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https://mofarrehmarzo-my.sharepoint.com/personal/mahmoud_basouny_harbico_com/Documents/Budgeting Department/Budget/Modon Project/Budget/Final/"/>
    </mc:Choice>
  </mc:AlternateContent>
  <xr:revisionPtr revIDLastSave="2" documentId="13_ncr:1_{318C23FC-7BAD-49FB-BE62-FB961C682720}" xr6:coauthVersionLast="47" xr6:coauthVersionMax="47" xr10:uidLastSave="{E79455C7-AE30-4FD9-9459-78E209CCBDDF}"/>
  <bookViews>
    <workbookView xWindow="-120" yWindow="-120" windowWidth="29040" windowHeight="15720" tabRatio="601" xr2:uid="{00000000-000D-0000-FFFF-FFFF00000000}"/>
  </bookViews>
  <sheets>
    <sheet name="Budget" sheetId="1" r:id="rId1"/>
    <sheet name="Sheet2" sheetId="6" r:id="rId2"/>
    <sheet name="Level 3" sheetId="5" state="hidden" r:id="rId3"/>
    <sheet name="Summary" sheetId="9" state="hidden" r:id="rId4"/>
  </sheets>
  <definedNames>
    <definedName name="\" localSheetId="3" hidden="1">{#N/A,#N/A,TRUE,"Front";#N/A,#N/A,TRUE,"Simple Letter";#N/A,#N/A,TRUE,"Inside";#N/A,#N/A,TRUE,"Contents";#N/A,#N/A,TRUE,"Basis";#N/A,#N/A,TRUE,"Inclusions";#N/A,#N/A,TRUE,"Exclusions";#N/A,#N/A,TRUE,"Areas";#N/A,#N/A,TRUE,"Summary";#N/A,#N/A,TRUE,"Detail"}</definedName>
    <definedName name="\" hidden="1">{#N/A,#N/A,TRUE,"Front";#N/A,#N/A,TRUE,"Simple Letter";#N/A,#N/A,TRUE,"Inside";#N/A,#N/A,TRUE,"Contents";#N/A,#N/A,TRUE,"Basis";#N/A,#N/A,TRUE,"Inclusions";#N/A,#N/A,TRUE,"Exclusions";#N/A,#N/A,TRUE,"Areas";#N/A,#N/A,TRUE,"Summary";#N/A,#N/A,TRUE,"Detail"}</definedName>
    <definedName name="\__">#REF!</definedName>
    <definedName name="\0">#N/A</definedName>
    <definedName name="\122" hidden="1">#REF!</definedName>
    <definedName name="\123" hidden="1">#REF!</definedName>
    <definedName name="\1234" hidden="1">#REF!</definedName>
    <definedName name="\12345" hidden="1">#REF!</definedName>
    <definedName name="\a">#N/A</definedName>
    <definedName name="\AA">#REF!</definedName>
    <definedName name="\b">#N/A</definedName>
    <definedName name="\c">#N/A</definedName>
    <definedName name="\CC">#REF!</definedName>
    <definedName name="\d">#N/A</definedName>
    <definedName name="\e">#N/A</definedName>
    <definedName name="\f">#N/A</definedName>
    <definedName name="\g">#N/A</definedName>
    <definedName name="\h">#N/A</definedName>
    <definedName name="\i">#N/A</definedName>
    <definedName name="\j">#N/A</definedName>
    <definedName name="\k">#N/A</definedName>
    <definedName name="\KWS123">#N/A</definedName>
    <definedName name="\l">#REF!</definedName>
    <definedName name="\m">#N/A</definedName>
    <definedName name="\n">#N/A</definedName>
    <definedName name="\o">#REF!</definedName>
    <definedName name="\OO">#REF!</definedName>
    <definedName name="\P" localSheetId="2">#REF!</definedName>
    <definedName name="\P">#REF!</definedName>
    <definedName name="\q">#N/A</definedName>
    <definedName name="\R">#REF!</definedName>
    <definedName name="\s">#N/A</definedName>
    <definedName name="\t">#N/A</definedName>
    <definedName name="\U">#REF!</definedName>
    <definedName name="\V">#REF!</definedName>
    <definedName name="\X">#REF!</definedName>
    <definedName name="\Y">#REF!</definedName>
    <definedName name="\z">#N/A</definedName>
    <definedName name="_" localSheetId="2">#REF!</definedName>
    <definedName name="_">#REF!</definedName>
    <definedName name="___">#REF!</definedName>
    <definedName name="_____" hidden="1">#REF!</definedName>
    <definedName name="___________________________________________________ccr1" localSheetId="3" hidden="1">{#N/A,#N/A,TRUE,"Cover";#N/A,#N/A,TRUE,"Conts";#N/A,#N/A,TRUE,"VOS";#N/A,#N/A,TRUE,"Warrington";#N/A,#N/A,TRUE,"Widnes"}</definedName>
    <definedName name="___________________________________________________ccr1" hidden="1">{#N/A,#N/A,TRUE,"Cover";#N/A,#N/A,TRUE,"Conts";#N/A,#N/A,TRUE,"VOS";#N/A,#N/A,TRUE,"Warrington";#N/A,#N/A,TRUE,"Widnes"}</definedName>
    <definedName name="__________________________________ccr1" localSheetId="3" hidden="1">{#N/A,#N/A,TRUE,"Cover";#N/A,#N/A,TRUE,"Conts";#N/A,#N/A,TRUE,"VOS";#N/A,#N/A,TRUE,"Warrington";#N/A,#N/A,TRUE,"Widnes"}</definedName>
    <definedName name="__________________________________ccr1" hidden="1">{#N/A,#N/A,TRUE,"Cover";#N/A,#N/A,TRUE,"Conts";#N/A,#N/A,TRUE,"VOS";#N/A,#N/A,TRUE,"Warrington";#N/A,#N/A,TRUE,"Widnes"}</definedName>
    <definedName name="______________________________ccr1" localSheetId="3" hidden="1">{#N/A,#N/A,TRUE,"Cover";#N/A,#N/A,TRUE,"Conts";#N/A,#N/A,TRUE,"VOS";#N/A,#N/A,TRUE,"Warrington";#N/A,#N/A,TRUE,"Widnes"}</definedName>
    <definedName name="______________________________ccr1" hidden="1">{#N/A,#N/A,TRUE,"Cover";#N/A,#N/A,TRUE,"Conts";#N/A,#N/A,TRUE,"VOS";#N/A,#N/A,TRUE,"Warrington";#N/A,#N/A,TRUE,"Widnes"}</definedName>
    <definedName name="________________________ccr1" localSheetId="3" hidden="1">{#N/A,#N/A,TRUE,"Cover";#N/A,#N/A,TRUE,"Conts";#N/A,#N/A,TRUE,"VOS";#N/A,#N/A,TRUE,"Warrington";#N/A,#N/A,TRUE,"Widnes"}</definedName>
    <definedName name="________________________ccr1" hidden="1">{#N/A,#N/A,TRUE,"Cover";#N/A,#N/A,TRUE,"Conts";#N/A,#N/A,TRUE,"VOS";#N/A,#N/A,TRUE,"Warrington";#N/A,#N/A,TRUE,"Widnes"}</definedName>
    <definedName name="_____________________ccr1" localSheetId="3" hidden="1">{#N/A,#N/A,TRUE,"Cover";#N/A,#N/A,TRUE,"Conts";#N/A,#N/A,TRUE,"VOS";#N/A,#N/A,TRUE,"Warrington";#N/A,#N/A,TRUE,"Widnes"}</definedName>
    <definedName name="_____________________ccr1" hidden="1">{#N/A,#N/A,TRUE,"Cover";#N/A,#N/A,TRUE,"Conts";#N/A,#N/A,TRUE,"VOS";#N/A,#N/A,TRUE,"Warrington";#N/A,#N/A,TRUE,"Widnes"}</definedName>
    <definedName name="_____________________new8" hidden="1">#REF!</definedName>
    <definedName name="____________________ccr1" localSheetId="3" hidden="1">{#N/A,#N/A,TRUE,"Cover";#N/A,#N/A,TRUE,"Conts";#N/A,#N/A,TRUE,"VOS";#N/A,#N/A,TRUE,"Warrington";#N/A,#N/A,TRUE,"Widnes"}</definedName>
    <definedName name="____________________ccr1" hidden="1">{#N/A,#N/A,TRUE,"Cover";#N/A,#N/A,TRUE,"Conts";#N/A,#N/A,TRUE,"VOS";#N/A,#N/A,TRUE,"Warrington";#N/A,#N/A,TRUE,"Widnes"}</definedName>
    <definedName name="____________________new8" hidden="1">#REF!</definedName>
    <definedName name="___________________ccr1" localSheetId="3" hidden="1">{#N/A,#N/A,TRUE,"Cover";#N/A,#N/A,TRUE,"Conts";#N/A,#N/A,TRUE,"VOS";#N/A,#N/A,TRUE,"Warrington";#N/A,#N/A,TRUE,"Widnes"}</definedName>
    <definedName name="___________________ccr1" hidden="1">{#N/A,#N/A,TRUE,"Cover";#N/A,#N/A,TRUE,"Conts";#N/A,#N/A,TRUE,"VOS";#N/A,#N/A,TRUE,"Warrington";#N/A,#N/A,TRUE,"Widnes"}</definedName>
    <definedName name="___________________new8" hidden="1">#REF!</definedName>
    <definedName name="__________________ccr1" localSheetId="3" hidden="1">{#N/A,#N/A,TRUE,"Cover";#N/A,#N/A,TRUE,"Conts";#N/A,#N/A,TRUE,"VOS";#N/A,#N/A,TRUE,"Warrington";#N/A,#N/A,TRUE,"Widnes"}</definedName>
    <definedName name="__________________ccr1" hidden="1">{#N/A,#N/A,TRUE,"Cover";#N/A,#N/A,TRUE,"Conts";#N/A,#N/A,TRUE,"VOS";#N/A,#N/A,TRUE,"Warrington";#N/A,#N/A,TRUE,"Widnes"}</definedName>
    <definedName name="__________________new8" hidden="1">#REF!</definedName>
    <definedName name="_________________ccr1" localSheetId="3" hidden="1">{#N/A,#N/A,TRUE,"Cover";#N/A,#N/A,TRUE,"Conts";#N/A,#N/A,TRUE,"VOS";#N/A,#N/A,TRUE,"Warrington";#N/A,#N/A,TRUE,"Widnes"}</definedName>
    <definedName name="_________________ccr1" hidden="1">{#N/A,#N/A,TRUE,"Cover";#N/A,#N/A,TRUE,"Conts";#N/A,#N/A,TRUE,"VOS";#N/A,#N/A,TRUE,"Warrington";#N/A,#N/A,TRUE,"Widnes"}</definedName>
    <definedName name="_________________new8" hidden="1">#REF!</definedName>
    <definedName name="_________________NS1">#REF!</definedName>
    <definedName name="_________________tem1" hidden="1">{#N/A,#N/A,TRUE,"Front";#N/A,#N/A,TRUE,"Simple Letter";#N/A,#N/A,TRUE,"Inside";#N/A,#N/A,TRUE,"Contents";#N/A,#N/A,TRUE,"Basis";#N/A,#N/A,TRUE,"Inclusions";#N/A,#N/A,TRUE,"Exclusions";#N/A,#N/A,TRUE,"Areas";#N/A,#N/A,TRUE,"Summary";#N/A,#N/A,TRUE,"Detail"}</definedName>
    <definedName name="________________ccr1" localSheetId="3" hidden="1">{#N/A,#N/A,TRUE,"Cover";#N/A,#N/A,TRUE,"Conts";#N/A,#N/A,TRUE,"VOS";#N/A,#N/A,TRUE,"Warrington";#N/A,#N/A,TRUE,"Widnes"}</definedName>
    <definedName name="________________ccr1" hidden="1">{#N/A,#N/A,TRUE,"Cover";#N/A,#N/A,TRUE,"Conts";#N/A,#N/A,TRUE,"VOS";#N/A,#N/A,TRUE,"Warrington";#N/A,#N/A,TRUE,"Widnes"}</definedName>
    <definedName name="________________NS1">#REF!</definedName>
    <definedName name="________________tem1" hidden="1">{#N/A,#N/A,TRUE,"Front";#N/A,#N/A,TRUE,"Simple Letter";#N/A,#N/A,TRUE,"Inside";#N/A,#N/A,TRUE,"Contents";#N/A,#N/A,TRUE,"Basis";#N/A,#N/A,TRUE,"Inclusions";#N/A,#N/A,TRUE,"Exclusions";#N/A,#N/A,TRUE,"Areas";#N/A,#N/A,TRUE,"Summary";#N/A,#N/A,TRUE,"Detail"}</definedName>
    <definedName name="_______________cat12" localSheetId="3"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_ccr1" localSheetId="3" hidden="1">{#N/A,#N/A,TRUE,"Cover";#N/A,#N/A,TRUE,"Conts";#N/A,#N/A,TRUE,"VOS";#N/A,#N/A,TRUE,"Warrington";#N/A,#N/A,TRUE,"Widnes"}</definedName>
    <definedName name="_______________ccr1" hidden="1">{#N/A,#N/A,TRUE,"Cover";#N/A,#N/A,TRUE,"Conts";#N/A,#N/A,TRUE,"VOS";#N/A,#N/A,TRUE,"Warrington";#N/A,#N/A,TRUE,"Widnes"}</definedName>
    <definedName name="_______________new8" hidden="1">#REF!</definedName>
    <definedName name="_______________NS1">#REF!</definedName>
    <definedName name="_______________tem1" hidden="1">{#N/A,#N/A,TRUE,"Front";#N/A,#N/A,TRUE,"Simple Letter";#N/A,#N/A,TRUE,"Inside";#N/A,#N/A,TRUE,"Contents";#N/A,#N/A,TRUE,"Basis";#N/A,#N/A,TRUE,"Inclusions";#N/A,#N/A,TRUE,"Exclusions";#N/A,#N/A,TRUE,"Areas";#N/A,#N/A,TRUE,"Summary";#N/A,#N/A,TRUE,"Detail"}</definedName>
    <definedName name="______________cat12" localSheetId="3"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ccr1" localSheetId="3" hidden="1">{#N/A,#N/A,TRUE,"Cover";#N/A,#N/A,TRUE,"Conts";#N/A,#N/A,TRUE,"VOS";#N/A,#N/A,TRUE,"Warrington";#N/A,#N/A,TRUE,"Widnes"}</definedName>
    <definedName name="______________ccr1" hidden="1">{#N/A,#N/A,TRUE,"Cover";#N/A,#N/A,TRUE,"Conts";#N/A,#N/A,TRUE,"VOS";#N/A,#N/A,TRUE,"Warrington";#N/A,#N/A,TRUE,"Widnes"}</definedName>
    <definedName name="______________new8" hidden="1">#REF!</definedName>
    <definedName name="______________NS1">#REF!</definedName>
    <definedName name="______________tem1" hidden="1">{#N/A,#N/A,TRUE,"Front";#N/A,#N/A,TRUE,"Simple Letter";#N/A,#N/A,TRUE,"Inside";#N/A,#N/A,TRUE,"Contents";#N/A,#N/A,TRUE,"Basis";#N/A,#N/A,TRUE,"Inclusions";#N/A,#N/A,TRUE,"Exclusions";#N/A,#N/A,TRUE,"Areas";#N/A,#N/A,TRUE,"Summary";#N/A,#N/A,TRUE,"Detail"}</definedName>
    <definedName name="_____________cat12" localSheetId="3"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ccr1" localSheetId="3" hidden="1">{#N/A,#N/A,TRUE,"Cover";#N/A,#N/A,TRUE,"Conts";#N/A,#N/A,TRUE,"VOS";#N/A,#N/A,TRUE,"Warrington";#N/A,#N/A,TRUE,"Widnes"}</definedName>
    <definedName name="_____________ccr1" hidden="1">{#N/A,#N/A,TRUE,"Cover";#N/A,#N/A,TRUE,"Conts";#N/A,#N/A,TRUE,"VOS";#N/A,#N/A,TRUE,"Warrington";#N/A,#N/A,TRUE,"Widnes"}</definedName>
    <definedName name="_____________new8" hidden="1">#REF!</definedName>
    <definedName name="_____________NS1">#REF!</definedName>
    <definedName name="_____________tem1" hidden="1">{#N/A,#N/A,TRUE,"Front";#N/A,#N/A,TRUE,"Simple Letter";#N/A,#N/A,TRUE,"Inside";#N/A,#N/A,TRUE,"Contents";#N/A,#N/A,TRUE,"Basis";#N/A,#N/A,TRUE,"Inclusions";#N/A,#N/A,TRUE,"Exclusions";#N/A,#N/A,TRUE,"Areas";#N/A,#N/A,TRUE,"Summary";#N/A,#N/A,TRUE,"Detail"}</definedName>
    <definedName name="____________a1">#REF!</definedName>
    <definedName name="____________cat12" localSheetId="3"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ccr1" localSheetId="3" hidden="1">{#N/A,#N/A,TRUE,"Cover";#N/A,#N/A,TRUE,"Conts";#N/A,#N/A,TRUE,"VOS";#N/A,#N/A,TRUE,"Warrington";#N/A,#N/A,TRUE,"Widnes"}</definedName>
    <definedName name="____________ccr1" hidden="1">{#N/A,#N/A,TRUE,"Cover";#N/A,#N/A,TRUE,"Conts";#N/A,#N/A,TRUE,"VOS";#N/A,#N/A,TRUE,"Warrington";#N/A,#N/A,TRUE,"Widnes"}</definedName>
    <definedName name="____________new8" hidden="1">#REF!</definedName>
    <definedName name="____________NS1">#REF!</definedName>
    <definedName name="____________tem1" hidden="1">{#N/A,#N/A,TRUE,"Front";#N/A,#N/A,TRUE,"Simple Letter";#N/A,#N/A,TRUE,"Inside";#N/A,#N/A,TRUE,"Contents";#N/A,#N/A,TRUE,"Basis";#N/A,#N/A,TRUE,"Inclusions";#N/A,#N/A,TRUE,"Exclusions";#N/A,#N/A,TRUE,"Areas";#N/A,#N/A,TRUE,"Summary";#N/A,#N/A,TRUE,"Detail"}</definedName>
    <definedName name="___________a1">#REF!</definedName>
    <definedName name="___________cat12" localSheetId="3"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ccr1" localSheetId="3" hidden="1">{#N/A,#N/A,TRUE,"Cover";#N/A,#N/A,TRUE,"Conts";#N/A,#N/A,TRUE,"VOS";#N/A,#N/A,TRUE,"Warrington";#N/A,#N/A,TRUE,"Widnes"}</definedName>
    <definedName name="___________ccr1" hidden="1">{#N/A,#N/A,TRUE,"Cover";#N/A,#N/A,TRUE,"Conts";#N/A,#N/A,TRUE,"VOS";#N/A,#N/A,TRUE,"Warrington";#N/A,#N/A,TRUE,"Widnes"}</definedName>
    <definedName name="___________new8" hidden="1">#REF!</definedName>
    <definedName name="___________No1">#REF!</definedName>
    <definedName name="___________No2">#REF!</definedName>
    <definedName name="___________No3">#REF!</definedName>
    <definedName name="___________NS1">#REF!</definedName>
    <definedName name="___________RAB002" hidden="1">{#N/A,#N/A,TRUE,"Front";#N/A,#N/A,TRUE,"Simple Letter";#N/A,#N/A,TRUE,"Inside";#N/A,#N/A,TRUE,"Contents";#N/A,#N/A,TRUE,"Basis";#N/A,#N/A,TRUE,"Inclusions";#N/A,#N/A,TRUE,"Exclusions";#N/A,#N/A,TRUE,"Areas";#N/A,#N/A,TRUE,"Summary";#N/A,#N/A,TRUE,"Detail"}</definedName>
    <definedName name="___________sdb2">#REF!</definedName>
    <definedName name="___________tem1" hidden="1">{#N/A,#N/A,TRUE,"Front";#N/A,#N/A,TRUE,"Simple Letter";#N/A,#N/A,TRUE,"Inside";#N/A,#N/A,TRUE,"Contents";#N/A,#N/A,TRUE,"Basis";#N/A,#N/A,TRUE,"Inclusions";#N/A,#N/A,TRUE,"Exclusions";#N/A,#N/A,TRUE,"Areas";#N/A,#N/A,TRUE,"Summary";#N/A,#N/A,TRUE,"Detail"}</definedName>
    <definedName name="__________a1">#REF!</definedName>
    <definedName name="__________cat12" localSheetId="3"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ccr1" localSheetId="3" hidden="1">{#N/A,#N/A,TRUE,"Cover";#N/A,#N/A,TRUE,"Conts";#N/A,#N/A,TRUE,"VOS";#N/A,#N/A,TRUE,"Warrington";#N/A,#N/A,TRUE,"Widnes"}</definedName>
    <definedName name="__________ccr1" hidden="1">{#N/A,#N/A,TRUE,"Cover";#N/A,#N/A,TRUE,"Conts";#N/A,#N/A,TRUE,"VOS";#N/A,#N/A,TRUE,"Warrington";#N/A,#N/A,TRUE,"Widnes"}</definedName>
    <definedName name="__________dep123">#REF!</definedName>
    <definedName name="__________new8" hidden="1">#REF!</definedName>
    <definedName name="__________No1">#REF!</definedName>
    <definedName name="__________No2">#REF!</definedName>
    <definedName name="__________No3">#REF!</definedName>
    <definedName name="__________NS1">#REF!</definedName>
    <definedName name="__________RAB002" hidden="1">{#N/A,#N/A,TRUE,"Front";#N/A,#N/A,TRUE,"Simple Letter";#N/A,#N/A,TRUE,"Inside";#N/A,#N/A,TRUE,"Contents";#N/A,#N/A,TRUE,"Basis";#N/A,#N/A,TRUE,"Inclusions";#N/A,#N/A,TRUE,"Exclusions";#N/A,#N/A,TRUE,"Areas";#N/A,#N/A,TRUE,"Summary";#N/A,#N/A,TRUE,"Detail"}</definedName>
    <definedName name="__________sdb2">#REF!</definedName>
    <definedName name="__________tem1" hidden="1">{#N/A,#N/A,TRUE,"Front";#N/A,#N/A,TRUE,"Simple Letter";#N/A,#N/A,TRUE,"Inside";#N/A,#N/A,TRUE,"Contents";#N/A,#N/A,TRUE,"Basis";#N/A,#N/A,TRUE,"Inclusions";#N/A,#N/A,TRUE,"Exclusions";#N/A,#N/A,TRUE,"Areas";#N/A,#N/A,TRUE,"Summary";#N/A,#N/A,TRUE,"Detail"}</definedName>
    <definedName name="_________a1">#REF!</definedName>
    <definedName name="_________a100">#REF!</definedName>
    <definedName name="_________cat12" localSheetId="3"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ccr1" localSheetId="3" hidden="1">{#N/A,#N/A,TRUE,"Cover";#N/A,#N/A,TRUE,"Conts";#N/A,#N/A,TRUE,"VOS";#N/A,#N/A,TRUE,"Warrington";#N/A,#N/A,TRUE,"Widnes"}</definedName>
    <definedName name="_________ccr1" hidden="1">{#N/A,#N/A,TRUE,"Cover";#N/A,#N/A,TRUE,"Conts";#N/A,#N/A,TRUE,"VOS";#N/A,#N/A,TRUE,"Warrington";#N/A,#N/A,TRUE,"Widnes"}</definedName>
    <definedName name="_________dep123">#REF!</definedName>
    <definedName name="_________ETC01">#REF!</definedName>
    <definedName name="_________hp10" localSheetId="3"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new8" hidden="1">#REF!</definedName>
    <definedName name="_________No1">#REF!</definedName>
    <definedName name="_________No2">#REF!</definedName>
    <definedName name="_________No3">#REF!</definedName>
    <definedName name="_________NS1">#REF!</definedName>
    <definedName name="_________RAB002" hidden="1">{#N/A,#N/A,TRUE,"Front";#N/A,#N/A,TRUE,"Simple Letter";#N/A,#N/A,TRUE,"Inside";#N/A,#N/A,TRUE,"Contents";#N/A,#N/A,TRUE,"Basis";#N/A,#N/A,TRUE,"Inclusions";#N/A,#N/A,TRUE,"Exclusions";#N/A,#N/A,TRUE,"Areas";#N/A,#N/A,TRUE,"Summary";#N/A,#N/A,TRUE,"Detail"}</definedName>
    <definedName name="_________sdb2">#REF!</definedName>
    <definedName name="_________tem1"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1.2">#REF!</definedName>
    <definedName name="________1.3">#REF!</definedName>
    <definedName name="________1.4">#REF!</definedName>
    <definedName name="________5A.1">#REF!</definedName>
    <definedName name="________5A.2">#REF!</definedName>
    <definedName name="________5A.3">#REF!</definedName>
    <definedName name="________5B.1">#REF!</definedName>
    <definedName name="________5B.2">#REF!</definedName>
    <definedName name="________5B.3">#REF!</definedName>
    <definedName name="________5B.4">#REF!</definedName>
    <definedName name="________6.2">#REF!</definedName>
    <definedName name="________6.3">#REF!</definedName>
    <definedName name="________6.4">#REF!</definedName>
    <definedName name="________a1">#REF!</definedName>
    <definedName name="________a100">#REF!</definedName>
    <definedName name="________A31">#REF!</definedName>
    <definedName name="________ALT3">#REF!</definedName>
    <definedName name="________cat12" localSheetId="3"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ccr1" localSheetId="3" hidden="1">{#N/A,#N/A,TRUE,"Cover";#N/A,#N/A,TRUE,"Conts";#N/A,#N/A,TRUE,"VOS";#N/A,#N/A,TRUE,"Warrington";#N/A,#N/A,TRUE,"Widnes"}</definedName>
    <definedName name="________ccr1" hidden="1">{#N/A,#N/A,TRUE,"Cover";#N/A,#N/A,TRUE,"Conts";#N/A,#N/A,TRUE,"VOS";#N/A,#N/A,TRUE,"Warrington";#N/A,#N/A,TRUE,"Widnes"}</definedName>
    <definedName name="________dep123">#REF!</definedName>
    <definedName name="________hp10" localSheetId="3"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MN1">#REF!</definedName>
    <definedName name="________new8" hidden="1">#REF!</definedName>
    <definedName name="________No1">#REF!</definedName>
    <definedName name="________No2">#REF!</definedName>
    <definedName name="________No3">#REF!</definedName>
    <definedName name="________NS1">#REF!</definedName>
    <definedName name="________RAB002" hidden="1">{#N/A,#N/A,TRUE,"Front";#N/A,#N/A,TRUE,"Simple Letter";#N/A,#N/A,TRUE,"Inside";#N/A,#N/A,TRUE,"Contents";#N/A,#N/A,TRUE,"Basis";#N/A,#N/A,TRUE,"Inclusions";#N/A,#N/A,TRUE,"Exclusions";#N/A,#N/A,TRUE,"Areas";#N/A,#N/A,TRUE,"Summary";#N/A,#N/A,TRUE,"Detail"}</definedName>
    <definedName name="________sdb2">#REF!</definedName>
    <definedName name="________tem1"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a1">#REF!</definedName>
    <definedName name="_______a100">#REF!</definedName>
    <definedName name="_______A31">#REF!</definedName>
    <definedName name="_______A65800">#REF!</definedName>
    <definedName name="_______A66000">#REF!</definedName>
    <definedName name="_______A99999">#REF!</definedName>
    <definedName name="_______ALT3">#REF!</definedName>
    <definedName name="_______bol1">#REF!</definedName>
    <definedName name="_______cat12" localSheetId="3"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cat123">#N/A</definedName>
    <definedName name="_______ccr1" localSheetId="3" hidden="1">{#N/A,#N/A,TRUE,"Cover";#N/A,#N/A,TRUE,"Conts";#N/A,#N/A,TRUE,"VOS";#N/A,#N/A,TRUE,"Warrington";#N/A,#N/A,TRUE,"Widnes"}</definedName>
    <definedName name="_______ccr1" hidden="1">{#N/A,#N/A,TRUE,"Cover";#N/A,#N/A,TRUE,"Conts";#N/A,#N/A,TRUE,"VOS";#N/A,#N/A,TRUE,"Warrington";#N/A,#N/A,TRUE,"Widnes"}</definedName>
    <definedName name="_______dep123">#REF!</definedName>
    <definedName name="_______hp10" localSheetId="3"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IDC2">#N/A</definedName>
    <definedName name="_______loc1">#N/A</definedName>
    <definedName name="_______MN1">#REF!</definedName>
    <definedName name="_______new8" hidden="1">#REF!</definedName>
    <definedName name="_______No1">#REF!</definedName>
    <definedName name="_______No2">#REF!</definedName>
    <definedName name="_______No3">#REF!</definedName>
    <definedName name="_______NS1">#REF!</definedName>
    <definedName name="_______RAB002" hidden="1">{#N/A,#N/A,TRUE,"Front";#N/A,#N/A,TRUE,"Simple Letter";#N/A,#N/A,TRUE,"Inside";#N/A,#N/A,TRUE,"Contents";#N/A,#N/A,TRUE,"Basis";#N/A,#N/A,TRUE,"Inclusions";#N/A,#N/A,TRUE,"Exclusions";#N/A,#N/A,TRUE,"Areas";#N/A,#N/A,TRUE,"Summary";#N/A,#N/A,TRUE,"Detail"}</definedName>
    <definedName name="_______sdb2">#REF!</definedName>
    <definedName name="_______tem1"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_xlfn.BAHTTEXT" hidden="1">#NAME?</definedName>
    <definedName name="______1.2">#REF!</definedName>
    <definedName name="______1.3">#REF!</definedName>
    <definedName name="______1.4">#REF!</definedName>
    <definedName name="______5A.1">#REF!</definedName>
    <definedName name="______5A.2">#REF!</definedName>
    <definedName name="______5A.3">#REF!</definedName>
    <definedName name="______5B.1">#REF!</definedName>
    <definedName name="______5B.2">#REF!</definedName>
    <definedName name="______5B.3">#REF!</definedName>
    <definedName name="______5B.4">#REF!</definedName>
    <definedName name="______6.2">#REF!</definedName>
    <definedName name="______6.3">#REF!</definedName>
    <definedName name="______6.4">#REF!</definedName>
    <definedName name="______a1">#REF!</definedName>
    <definedName name="______a100">#REF!</definedName>
    <definedName name="______A100000">#REF!</definedName>
    <definedName name="______A31">#REF!</definedName>
    <definedName name="______A65800">#REF!</definedName>
    <definedName name="______A66000">#REF!</definedName>
    <definedName name="______A70000">#REF!</definedName>
    <definedName name="______A80000">#REF!</definedName>
    <definedName name="______A99999">#REF!</definedName>
    <definedName name="______A999999">#REF!</definedName>
    <definedName name="______AA1">#REF!</definedName>
    <definedName name="______alt1">#REF!</definedName>
    <definedName name="______ALT2">#REF!</definedName>
    <definedName name="______ALT3">#REF!</definedName>
    <definedName name="______ALT4">#REF!</definedName>
    <definedName name="______b201185">#REF!</definedName>
    <definedName name="______bol1">#REF!</definedName>
    <definedName name="______CAT07">#REF!</definedName>
    <definedName name="______cat12" localSheetId="3"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cat123">#N/A</definedName>
    <definedName name="______CAT21">#REF!</definedName>
    <definedName name="______CAT22">#REF!</definedName>
    <definedName name="______CAT31">#REF!</definedName>
    <definedName name="______CAT33">#REF!</definedName>
    <definedName name="______CAT34">#REF!</definedName>
    <definedName name="______CAT35">#REF!</definedName>
    <definedName name="______CAT36">#REF!</definedName>
    <definedName name="______CAT39">#REF!</definedName>
    <definedName name="______CAT42">#REF!</definedName>
    <definedName name="______CAT43">#REF!</definedName>
    <definedName name="______CAT45">#REF!</definedName>
    <definedName name="______CAT46">#REF!</definedName>
    <definedName name="______CAT48">#REF!</definedName>
    <definedName name="______CAT49">#REF!</definedName>
    <definedName name="______CAT52">#REF!</definedName>
    <definedName name="______CAT53">#REF!</definedName>
    <definedName name="______CAT54">#REF!</definedName>
    <definedName name="______CAT55">#REF!</definedName>
    <definedName name="______CAT82">#REF!</definedName>
    <definedName name="______CAT84">#REF!</definedName>
    <definedName name="______ccr1" localSheetId="3" hidden="1">{#N/A,#N/A,TRUE,"Cover";#N/A,#N/A,TRUE,"Conts";#N/A,#N/A,TRUE,"VOS";#N/A,#N/A,TRUE,"Warrington";#N/A,#N/A,TRUE,"Widnes"}</definedName>
    <definedName name="______ccr1" hidden="1">{#N/A,#N/A,TRUE,"Cover";#N/A,#N/A,TRUE,"Conts";#N/A,#N/A,TRUE,"VOS";#N/A,#N/A,TRUE,"Warrington";#N/A,#N/A,TRUE,"Widnes"}</definedName>
    <definedName name="______dep123">#REF!</definedName>
    <definedName name="______dim4">#REF!</definedName>
    <definedName name="______Eg616103">#REF!</definedName>
    <definedName name="______hp10" localSheetId="3"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DC2">#N/A</definedName>
    <definedName name="______Inc1">#REF!</definedName>
    <definedName name="______irr1">#REF!</definedName>
    <definedName name="______irr2">#REF!</definedName>
    <definedName name="______iv66666">#REF!</definedName>
    <definedName name="______jj300">#REF!</definedName>
    <definedName name="______loc1">#N/A</definedName>
    <definedName name="______MN1">#REF!</definedName>
    <definedName name="______new8" hidden="1">#REF!</definedName>
    <definedName name="______No1">#REF!</definedName>
    <definedName name="______No2">#REF!</definedName>
    <definedName name="______No3">#REF!</definedName>
    <definedName name="______nr83">#REF!</definedName>
    <definedName name="______NS1">#REF!</definedName>
    <definedName name="______QTY07">#REF!</definedName>
    <definedName name="______QTY12">#REF!</definedName>
    <definedName name="______QTY21">#REF!</definedName>
    <definedName name="______QTY22">#REF!</definedName>
    <definedName name="______QTY33">#REF!</definedName>
    <definedName name="______QTY34">#REF!</definedName>
    <definedName name="______QTY35">#REF!</definedName>
    <definedName name="______QTY36">#REF!</definedName>
    <definedName name="______QTY39">#REF!</definedName>
    <definedName name="______QTY42">#REF!</definedName>
    <definedName name="______QTY43">#REF!</definedName>
    <definedName name="______QTY45">#REF!</definedName>
    <definedName name="______QTY46">#REF!</definedName>
    <definedName name="______QTY48">#REF!</definedName>
    <definedName name="______QTY49">#REF!</definedName>
    <definedName name="______QTY52">#REF!</definedName>
    <definedName name="______QTY53">#REF!</definedName>
    <definedName name="______QTY54">#REF!</definedName>
    <definedName name="______QTY55">#REF!</definedName>
    <definedName name="______QTY82">#REF!</definedName>
    <definedName name="______QTY84">#REF!</definedName>
    <definedName name="______RAB002" hidden="1">{#N/A,#N/A,TRUE,"Front";#N/A,#N/A,TRUE,"Simple Letter";#N/A,#N/A,TRUE,"Inside";#N/A,#N/A,TRUE,"Contents";#N/A,#N/A,TRUE,"Basis";#N/A,#N/A,TRUE,"Inclusions";#N/A,#N/A,TRUE,"Exclusions";#N/A,#N/A,TRUE,"Areas";#N/A,#N/A,TRUE,"Summary";#N/A,#N/A,TRUE,"Detail"}</definedName>
    <definedName name="______rim4">#REF!</definedName>
    <definedName name="______rm4">#REF!</definedName>
    <definedName name="______sdb2">#REF!</definedName>
    <definedName name="______tem1"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xlfn.BAHTTEXT" hidden="1">#NAME?</definedName>
    <definedName name="_____1.2">#REF!</definedName>
    <definedName name="_____1.3">#REF!</definedName>
    <definedName name="_____1.4">#REF!</definedName>
    <definedName name="_____5A.1">#REF!</definedName>
    <definedName name="_____5A.2">#REF!</definedName>
    <definedName name="_____5A.3">#REF!</definedName>
    <definedName name="_____5B.1">#REF!</definedName>
    <definedName name="_____5B.2">#REF!</definedName>
    <definedName name="_____5B.3">#REF!</definedName>
    <definedName name="_____5B.4">#REF!</definedName>
    <definedName name="_____6.2">#REF!</definedName>
    <definedName name="_____6.3">#REF!</definedName>
    <definedName name="_____6.4">#REF!</definedName>
    <definedName name="_____a1">#REF!</definedName>
    <definedName name="_____a100">#REF!</definedName>
    <definedName name="_____A100000">#REF!</definedName>
    <definedName name="_____A31">#REF!</definedName>
    <definedName name="_____A65800">#REF!</definedName>
    <definedName name="_____A66000">#REF!</definedName>
    <definedName name="_____A70000">#REF!</definedName>
    <definedName name="_____A80000">#REF!</definedName>
    <definedName name="_____A99999">#REF!</definedName>
    <definedName name="_____A999999">#REF!</definedName>
    <definedName name="_____AA1">#REF!</definedName>
    <definedName name="_____aj1">#REF!</definedName>
    <definedName name="_____alt1">#REF!</definedName>
    <definedName name="_____ALT2">#REF!</definedName>
    <definedName name="_____ALT3">#REF!</definedName>
    <definedName name="_____ALT4">#REF!</definedName>
    <definedName name="_____b201185">#REF!</definedName>
    <definedName name="_____bol1">#REF!</definedName>
    <definedName name="_____can430">40.73</definedName>
    <definedName name="_____can435">43.3</definedName>
    <definedName name="_____cat12" localSheetId="3"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cat123">#N/A</definedName>
    <definedName name="_____ccr1" localSheetId="3" hidden="1">{#N/A,#N/A,TRUE,"Cover";#N/A,#N/A,TRUE,"Conts";#N/A,#N/A,TRUE,"VOS";#N/A,#N/A,TRUE,"Warrington";#N/A,#N/A,TRUE,"Widnes"}</definedName>
    <definedName name="_____ccr1" hidden="1">{#N/A,#N/A,TRUE,"Cover";#N/A,#N/A,TRUE,"Conts";#N/A,#N/A,TRUE,"VOS";#N/A,#N/A,TRUE,"Warrington";#N/A,#N/A,TRUE,"Widnes"}</definedName>
    <definedName name="_____dep123">#REF!</definedName>
    <definedName name="_____dim4">#REF!</definedName>
    <definedName name="_____Eg616103">#REF!</definedName>
    <definedName name="_____hp10" localSheetId="3"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DC2">#N/A</definedName>
    <definedName name="_____iv66666">#REF!</definedName>
    <definedName name="_____jj300">#REF!</definedName>
    <definedName name="_____key2" hidden="1">#REF!</definedName>
    <definedName name="_____L1">#REF!</definedName>
    <definedName name="_____loc1">#N/A</definedName>
    <definedName name="_____may1" hidden="1">{#N/A,#N/A,FALSE,"MARCH"}</definedName>
    <definedName name="_____MN1">#REF!</definedName>
    <definedName name="_____new8" hidden="1">#REF!</definedName>
    <definedName name="_____No1">#REF!</definedName>
    <definedName name="_____No2">#REF!</definedName>
    <definedName name="_____No3">#REF!</definedName>
    <definedName name="_____NS1">#REF!</definedName>
    <definedName name="_____RAB002" localSheetId="3"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rim4">#REF!</definedName>
    <definedName name="_____rm4">#REF!</definedName>
    <definedName name="_____sdb2">#REF!</definedName>
    <definedName name="_____tem1"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xlfn.BAHTTEXT" hidden="1">#NAME?</definedName>
    <definedName name="____1.2">#REF!</definedName>
    <definedName name="____1.3">#REF!</definedName>
    <definedName name="____1.4">#REF!</definedName>
    <definedName name="____5A.1">#REF!</definedName>
    <definedName name="____5A.2">#REF!</definedName>
    <definedName name="____5A.3">#REF!</definedName>
    <definedName name="____5B.1">#REF!</definedName>
    <definedName name="____5B.2">#REF!</definedName>
    <definedName name="____5B.3">#REF!</definedName>
    <definedName name="____5B.4">#REF!</definedName>
    <definedName name="____6.2">#REF!</definedName>
    <definedName name="____6.3">#REF!</definedName>
    <definedName name="____6.4">#REF!</definedName>
    <definedName name="____a1">#REF!</definedName>
    <definedName name="____a100">#REF!</definedName>
    <definedName name="____A100000">#REF!</definedName>
    <definedName name="____A31">#REF!</definedName>
    <definedName name="____A655600">#REF!</definedName>
    <definedName name="____A65800">#REF!</definedName>
    <definedName name="____A66000">#REF!</definedName>
    <definedName name="____A70000">#REF!</definedName>
    <definedName name="____A80000">#REF!</definedName>
    <definedName name="____A99999">#REF!</definedName>
    <definedName name="____A999999">#REF!</definedName>
    <definedName name="____AA1">#REF!</definedName>
    <definedName name="____ab1" localSheetId="3"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j1">#REF!</definedName>
    <definedName name="____alt1">#REF!</definedName>
    <definedName name="____ALT2">#REF!</definedName>
    <definedName name="____ALT3">#REF!</definedName>
    <definedName name="____ALT4">#REF!</definedName>
    <definedName name="____as1" localSheetId="3"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aux10">#REF!</definedName>
    <definedName name="____aux3">#REF!</definedName>
    <definedName name="____aux5">#REF!</definedName>
    <definedName name="____aux7">#REF!</definedName>
    <definedName name="____b201185">#REF!</definedName>
    <definedName name="____bol1">#REF!</definedName>
    <definedName name="____boq1">#REF!</definedName>
    <definedName name="____boq3">#REF!</definedName>
    <definedName name="____boq5">#REF!</definedName>
    <definedName name="____boq6">#REF!</definedName>
    <definedName name="____can430">40.73</definedName>
    <definedName name="____can435">43.3</definedName>
    <definedName name="____CAT07">#REF!</definedName>
    <definedName name="____cat12" localSheetId="3"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at123">#N/A</definedName>
    <definedName name="____CAT21">#REF!</definedName>
    <definedName name="____CAT22">#REF!</definedName>
    <definedName name="____CAT31">#REF!</definedName>
    <definedName name="____CAT33">#REF!</definedName>
    <definedName name="____CAT34">#REF!</definedName>
    <definedName name="____CAT35">#REF!</definedName>
    <definedName name="____CAT36">#REF!</definedName>
    <definedName name="____CAT39">#REF!</definedName>
    <definedName name="____CAT42">#REF!</definedName>
    <definedName name="____CAT43">#REF!</definedName>
    <definedName name="____CAT45">#REF!</definedName>
    <definedName name="____CAT46">#REF!</definedName>
    <definedName name="____CAT48">#REF!</definedName>
    <definedName name="____CAT49">#REF!</definedName>
    <definedName name="____CAT52">#REF!</definedName>
    <definedName name="____CAT53">#REF!</definedName>
    <definedName name="____CAT54">#REF!</definedName>
    <definedName name="____CAT55">#REF!</definedName>
    <definedName name="____CAT82">#REF!</definedName>
    <definedName name="____CAT84">#REF!</definedName>
    <definedName name="____ccr1" localSheetId="3" hidden="1">{#N/A,#N/A,TRUE,"Cover";#N/A,#N/A,TRUE,"Conts";#N/A,#N/A,TRUE,"VOS";#N/A,#N/A,TRUE,"Warrington";#N/A,#N/A,TRUE,"Widnes"}</definedName>
    <definedName name="____ccr1" hidden="1">{#N/A,#N/A,TRUE,"Cover";#N/A,#N/A,TRUE,"Conts";#N/A,#N/A,TRUE,"VOS";#N/A,#N/A,TRUE,"Warrington";#N/A,#N/A,TRUE,"Widnes"}</definedName>
    <definedName name="____dep123">#REF!</definedName>
    <definedName name="____dim4">#REF!</definedName>
    <definedName name="____div10">#REF!</definedName>
    <definedName name="____div14">#REF!</definedName>
    <definedName name="____div2">#REF!</definedName>
    <definedName name="____div21">#REF!</definedName>
    <definedName name="____div22">#REF!</definedName>
    <definedName name="____div23">#REF!</definedName>
    <definedName name="____div25">#REF!</definedName>
    <definedName name="____div26">#REF!</definedName>
    <definedName name="____div27">#REF!</definedName>
    <definedName name="____div28">#REF!</definedName>
    <definedName name="____div3">#REF!</definedName>
    <definedName name="____div31">#REF!</definedName>
    <definedName name="____div33">#REF!</definedName>
    <definedName name="____div4">#REF!</definedName>
    <definedName name="____div5">#REF!</definedName>
    <definedName name="____div7">#REF!</definedName>
    <definedName name="____div8">#REF!</definedName>
    <definedName name="____div9">#REF!</definedName>
    <definedName name="____Eg616103">#REF!</definedName>
    <definedName name="____ETC01">#REF!</definedName>
    <definedName name="____exc1">#REF!</definedName>
    <definedName name="____exc11">#REF!</definedName>
    <definedName name="____exc2">#REF!</definedName>
    <definedName name="____EXC3">#REF!</definedName>
    <definedName name="____EXC4">#REF!</definedName>
    <definedName name="____foo1">#REF!</definedName>
    <definedName name="____foo2">#REF!</definedName>
    <definedName name="____foo3">#REF!</definedName>
    <definedName name="____FOO4">#REF!</definedName>
    <definedName name="____hp10" localSheetId="3"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DC2">#N/A</definedName>
    <definedName name="____Inc1">#REF!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iv66666">#REF!</definedName>
    <definedName name="____jj300">#REF!</definedName>
    <definedName name="____KWS1">#N/A</definedName>
    <definedName name="____KWS2">#N/A</definedName>
    <definedName name="____KWS3">#N/A</definedName>
    <definedName name="____L1">#REF!</definedName>
    <definedName name="____let1">#REF!</definedName>
    <definedName name="____loc1">#N/A</definedName>
    <definedName name="____MN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new8" hidden="1">#REF!</definedName>
    <definedName name="____No1">#REF!</definedName>
    <definedName name="____No2">#REF!</definedName>
    <definedName name="____No3">#REF!</definedName>
    <definedName name="____NS1">#REF!</definedName>
    <definedName name="____old3" localSheetId="3"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ord1">#REF!</definedName>
    <definedName name="____ord2">#REF!</definedName>
    <definedName name="____ord3">#REF!</definedName>
    <definedName name="____ord4">#REF!</definedName>
    <definedName name="____PAG1">#REF!</definedName>
    <definedName name="____PAG2">#REF!</definedName>
    <definedName name="____PAG3">#REF!</definedName>
    <definedName name="____pcc1">#REF!</definedName>
    <definedName name="____pcc2">#REF!</definedName>
    <definedName name="____pcc3">#REF!</definedName>
    <definedName name="____PCC4">#REF!</definedName>
    <definedName name="____pd2">#REF!</definedName>
    <definedName name="____plb1">#REF!</definedName>
    <definedName name="____plb2">#REF!</definedName>
    <definedName name="____plb3">#REF!</definedName>
    <definedName name="____plb4">#REF!</definedName>
    <definedName name="____QTY07">#REF!</definedName>
    <definedName name="____QTY12">#REF!</definedName>
    <definedName name="____QTY21">#REF!</definedName>
    <definedName name="____QTY22">#REF!</definedName>
    <definedName name="____QTY33">#REF!</definedName>
    <definedName name="____QTY34">#REF!</definedName>
    <definedName name="____QTY35">#REF!</definedName>
    <definedName name="____QTY36">#REF!</definedName>
    <definedName name="____QTY39">#REF!</definedName>
    <definedName name="____QTY42">#REF!</definedName>
    <definedName name="____QTY43">#REF!</definedName>
    <definedName name="____QTY45">#REF!</definedName>
    <definedName name="____QTY46">#REF!</definedName>
    <definedName name="____QTY48">#REF!</definedName>
    <definedName name="____QTY49">#REF!</definedName>
    <definedName name="____QTY52">#REF!</definedName>
    <definedName name="____QTY53">#REF!</definedName>
    <definedName name="____QTY54">#REF!</definedName>
    <definedName name="____QTY55">#REF!</definedName>
    <definedName name="____QTY82">#REF!</definedName>
    <definedName name="____QTY84">#REF!</definedName>
    <definedName name="____RAB002" localSheetId="3"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rim4">#REF!</definedName>
    <definedName name="____rm4">#REF!</definedName>
    <definedName name="____RR1">#REF!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#REF!</definedName>
    <definedName name="____sdb2">#REF!</definedName>
    <definedName name="____SUN1">#N/A</definedName>
    <definedName name="____SUN2">#N/A</definedName>
    <definedName name="____TB2">#REF!</definedName>
    <definedName name="____tdp1">#REF!</definedName>
    <definedName name="____tem1"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ubr1">#REF!</definedName>
    <definedName name="____xlfn.BAHTTEXT" hidden="1">#NAME?</definedName>
    <definedName name="___1.2">#REF!</definedName>
    <definedName name="___1.3">#REF!</definedName>
    <definedName name="___1.4">#REF!</definedName>
    <definedName name="___5A.1">#REF!</definedName>
    <definedName name="___5A.2">#REF!</definedName>
    <definedName name="___5A.3">#REF!</definedName>
    <definedName name="___5B.1">#REF!</definedName>
    <definedName name="___5B.2">#REF!</definedName>
    <definedName name="___5B.3">#REF!</definedName>
    <definedName name="___5B.4">#REF!</definedName>
    <definedName name="___6.2">#REF!</definedName>
    <definedName name="___6.3">#REF!</definedName>
    <definedName name="___6.4">#REF!</definedName>
    <definedName name="___9__123Graph_BCHART_3" hidden="1">#REF!</definedName>
    <definedName name="___a1">#REF!</definedName>
    <definedName name="___a100">#REF!</definedName>
    <definedName name="___A100000">#REF!</definedName>
    <definedName name="___A31">#REF!</definedName>
    <definedName name="___A655600">#REF!</definedName>
    <definedName name="___A65800">#REF!</definedName>
    <definedName name="___A66000">#REF!</definedName>
    <definedName name="___A70000">#REF!</definedName>
    <definedName name="___A80000">#REF!</definedName>
    <definedName name="___A99999">#REF!</definedName>
    <definedName name="___A999999">#REF!</definedName>
    <definedName name="___AA1">#REF!</definedName>
    <definedName name="___ab1" localSheetId="3"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j1">#REF!</definedName>
    <definedName name="___alt1">#REF!</definedName>
    <definedName name="___ALT2">#REF!</definedName>
    <definedName name="___ALT3">#REF!</definedName>
    <definedName name="___ALT4">#REF!</definedName>
    <definedName name="___as1" localSheetId="3"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ux10">#REF!</definedName>
    <definedName name="___aux3">#REF!</definedName>
    <definedName name="___aux5">#REF!</definedName>
    <definedName name="___aux7">#REF!</definedName>
    <definedName name="___b201185">#REF!</definedName>
    <definedName name="___blg1">#REF!</definedName>
    <definedName name="___bol1">#REF!</definedName>
    <definedName name="___boq1">#REF!</definedName>
    <definedName name="___boq3">#REF!</definedName>
    <definedName name="___boq5">#REF!</definedName>
    <definedName name="___boq6">#REF!</definedName>
    <definedName name="___C68840">#REF!</definedName>
    <definedName name="___can430">40.73</definedName>
    <definedName name="___can435">43.3</definedName>
    <definedName name="___cat12" localSheetId="3"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at123">#N/A</definedName>
    <definedName name="___ccr1" localSheetId="3" hidden="1">{#N/A,#N/A,TRUE,"Cover";#N/A,#N/A,TRUE,"Conts";#N/A,#N/A,TRUE,"VOS";#N/A,#N/A,TRUE,"Warrington";#N/A,#N/A,TRUE,"Widnes"}</definedName>
    <definedName name="___ccr1" hidden="1">{#N/A,#N/A,TRUE,"Cover";#N/A,#N/A,TRUE,"Conts";#N/A,#N/A,TRUE,"VOS";#N/A,#N/A,TRUE,"Warrington";#N/A,#N/A,TRUE,"Widnes"}</definedName>
    <definedName name="___ddd2" localSheetId="3" hidden="1">{#N/A,#N/A,TRUE,"Cover Memo";"Complete Sys. Estimate",#N/A,TRUE,"Change Summary";"Complete Sys. Estimate",#N/A,TRUE,"Estimate Summary";"Complete Sys. Estimate",#N/A,TRUE,"Dept. Summary";"Complete Sys. Estimate",#N/A,TRUE,"DOW Detail"}</definedName>
    <definedName name="___ddd2" hidden="1">{#N/A,#N/A,TRUE,"Cover Memo";"Complete Sys. Estimate",#N/A,TRUE,"Change Summary";"Complete Sys. Estimate",#N/A,TRUE,"Estimate Summary";"Complete Sys. Estimate",#N/A,TRUE,"Dept. Summary";"Complete Sys. Estimate",#N/A,TRUE,"DOW Detail"}</definedName>
    <definedName name="___dep123">#REF!</definedName>
    <definedName name="___dim4">#REF!</definedName>
    <definedName name="___div10">#REF!</definedName>
    <definedName name="___div14">#REF!</definedName>
    <definedName name="___div2">#REF!</definedName>
    <definedName name="___div21">#REF!</definedName>
    <definedName name="___div22">#REF!</definedName>
    <definedName name="___div23">#REF!</definedName>
    <definedName name="___div25">#REF!</definedName>
    <definedName name="___div26">#REF!</definedName>
    <definedName name="___div27">#REF!</definedName>
    <definedName name="___div28">#REF!</definedName>
    <definedName name="___div3">#REF!</definedName>
    <definedName name="___div31">#REF!</definedName>
    <definedName name="___div33">#REF!</definedName>
    <definedName name="___div4">#REF!</definedName>
    <definedName name="___div5">#REF!</definedName>
    <definedName name="___div7">#REF!</definedName>
    <definedName name="___div8">#REF!</definedName>
    <definedName name="___div9">#REF!</definedName>
    <definedName name="___DWR001">#REF!</definedName>
    <definedName name="___DWR002">#REF!</definedName>
    <definedName name="___DWR003">#REF!</definedName>
    <definedName name="___DWR004">#REF!</definedName>
    <definedName name="___DWR005">#REF!</definedName>
    <definedName name="___Eg616103">#REF!</definedName>
    <definedName name="___ETC01">#REF!</definedName>
    <definedName name="___exc1">#REF!</definedName>
    <definedName name="___exc11">#REF!</definedName>
    <definedName name="___exc2">#REF!</definedName>
    <definedName name="___EXC3">#REF!</definedName>
    <definedName name="___EXC4">#REF!</definedName>
    <definedName name="___foo1">#REF!</definedName>
    <definedName name="___foo2">#REF!</definedName>
    <definedName name="___foo3">#REF!</definedName>
    <definedName name="___FOO4">#REF!</definedName>
    <definedName name="___hp10" localSheetId="3"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DC2">#N/A</definedName>
    <definedName name="___Int1">#REF!</definedName>
    <definedName name="___Int2">#REF!</definedName>
    <definedName name="___irr10">#REF!</definedName>
    <definedName name="___irr3">#REF!</definedName>
    <definedName name="___irr5">#REF!</definedName>
    <definedName name="___irr7">#REF!</definedName>
    <definedName name="___iv66666">#REF!</definedName>
    <definedName name="___jj300">#REF!</definedName>
    <definedName name="___key2" hidden="1">#REF!</definedName>
    <definedName name="___KWS1">#N/A</definedName>
    <definedName name="___KWS2">#N/A</definedName>
    <definedName name="___KWS3">#N/A</definedName>
    <definedName name="___L1">#REF!</definedName>
    <definedName name="___let1">#REF!</definedName>
    <definedName name="___loc1">#N/A</definedName>
    <definedName name="___may1" hidden="1">{#N/A,#N/A,FALSE,"MARCH"}</definedName>
    <definedName name="___MN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new8" hidden="1">#REF!</definedName>
    <definedName name="___No1">#REF!</definedName>
    <definedName name="___No2">#REF!</definedName>
    <definedName name="___No3">#REF!</definedName>
    <definedName name="___NS1">#REF!</definedName>
    <definedName name="___old3" localSheetId="3"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rd1">#REF!</definedName>
    <definedName name="___ord2">#REF!</definedName>
    <definedName name="___ord3">#REF!</definedName>
    <definedName name="___ord4">#REF!</definedName>
    <definedName name="___PAG1">#REF!</definedName>
    <definedName name="___PAG2">#REF!</definedName>
    <definedName name="___PAG3">#REF!</definedName>
    <definedName name="___pcc1">#REF!</definedName>
    <definedName name="___pcc2">#REF!</definedName>
    <definedName name="___pcc3">#REF!</definedName>
    <definedName name="___PCC4">#REF!</definedName>
    <definedName name="___pd1">#REF!</definedName>
    <definedName name="___pd2">#REF!</definedName>
    <definedName name="___plb1">#REF!</definedName>
    <definedName name="___plb2">#REF!</definedName>
    <definedName name="___plb3">#REF!</definedName>
    <definedName name="___plb4">#REF!</definedName>
    <definedName name="___POS1" localSheetId="3" hidden="1">{#N/A,#N/A,FALSE,"양식(을)"}</definedName>
    <definedName name="___POS1" hidden="1">{#N/A,#N/A,FALSE,"양식(을)"}</definedName>
    <definedName name="___RAB002" localSheetId="3"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im4">#REF!</definedName>
    <definedName name="___rm4">#REF!</definedName>
    <definedName name="___RR1">#REF!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sdb2">#REF!</definedName>
    <definedName name="___SF1">#REF!</definedName>
    <definedName name="___SUN1">#N/A</definedName>
    <definedName name="___SUN2">#N/A</definedName>
    <definedName name="___sw1">#REF!</definedName>
    <definedName name="___sw2">#REF!</definedName>
    <definedName name="___sw3">#REF!</definedName>
    <definedName name="___sw4">#REF!</definedName>
    <definedName name="___sw5">#REF!</definedName>
    <definedName name="___sw6">#REF!</definedName>
    <definedName name="___sw7">#REF!</definedName>
    <definedName name="___sw8">#REF!</definedName>
    <definedName name="___TB2">#REF!</definedName>
    <definedName name="___tdp1">#REF!</definedName>
    <definedName name="___tem1" hidden="1">{#N/A,#N/A,TRUE,"Front";#N/A,#N/A,TRUE,"Simple Letter";#N/A,#N/A,TRUE,"Inside";#N/A,#N/A,TRUE,"Contents";#N/A,#N/A,TRUE,"Basis";#N/A,#N/A,TRUE,"Inclusions";#N/A,#N/A,TRUE,"Exclusions";#N/A,#N/A,TRUE,"Areas";#N/A,#N/A,TRUE,"Summary";#N/A,#N/A,TRUE,"Detail"}</definedName>
    <definedName name="___thinkcell11wvTEL6W0W2zDrq5o.quA" hidden="1">#REF!</definedName>
    <definedName name="___tm3" hidden="1">{#N/A,#N/A,TRUE,"Front";#N/A,#N/A,TRUE,"Simple Letter";#N/A,#N/A,TRUE,"Inside";#N/A,#N/A,TRUE,"Contents";#N/A,#N/A,TRUE,"Basis";#N/A,#N/A,TRUE,"Inclusions";#N/A,#N/A,TRUE,"Exclusions";#N/A,#N/A,TRUE,"Areas";#N/A,#N/A,TRUE,"Summary";#N/A,#N/A,TRUE,"Detail"}</definedName>
    <definedName name="___ubr1">#REF!</definedName>
    <definedName name="___xlfn.BAHTTEXT" hidden="1">#NAME?</definedName>
    <definedName name="___xlfn.SUMIFS" hidden="1">#NAME?</definedName>
    <definedName name="___xlnm.Print_Titles">#REF!</definedName>
    <definedName name="__1.2">#REF!</definedName>
    <definedName name="__1.3">#REF!</definedName>
    <definedName name="__1.4">#REF!</definedName>
    <definedName name="__1___123Graph_ACHART_3" hidden="1">#REF!</definedName>
    <definedName name="__1__123Graph_ACHART_1" hidden="1">#REF!</definedName>
    <definedName name="__1__123Graph_ACHART_3" hidden="1">#REF!</definedName>
    <definedName name="__1_1.2">#REF!</definedName>
    <definedName name="__10__123Graph_BCHART_4" hidden="1">#REF!</definedName>
    <definedName name="__10_5B.4">#REF!</definedName>
    <definedName name="__11__123Graph_XCHART_3" hidden="1">#REF!</definedName>
    <definedName name="__11_6.2">#REF!</definedName>
    <definedName name="__12__123Graph_XCHART_4" hidden="1">#REF!</definedName>
    <definedName name="__12_6.3">#REF!</definedName>
    <definedName name="__123Graph_A" hidden="1">#REF!</definedName>
    <definedName name="__123Graph_ABHUSHAN" hidden="1">#REF!</definedName>
    <definedName name="__123Graph_ABHUSMAN" hidden="1">#REF!</definedName>
    <definedName name="__123Graph_ACHART1" hidden="1">#REF!</definedName>
    <definedName name="__123Graph_ACURRENT" hidden="1">#REF!</definedName>
    <definedName name="__123Graph_ACURVE" hidden="1">#REF!</definedName>
    <definedName name="__123Graph_APAY" hidden="1">#REF!</definedName>
    <definedName name="__123Graph_B" hidden="1">#REF!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ERFORMANCE" hidden="1">#REF!</definedName>
    <definedName name="__123Graph_BPIPING" hidden="1">#REF!</definedName>
    <definedName name="__123Graph_BTOTAL"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BHUSMAN" hidden="1">#REF!</definedName>
    <definedName name="__123Graph_XCHART1" hidden="1">#REF!</definedName>
    <definedName name="__123Graph_XCON" hidden="1">#REF!</definedName>
    <definedName name="__123Graph_XCURRENT" hidden="1">#REF!</definedName>
    <definedName name="__123Graph_XCURVE" hidden="1">#REF!</definedName>
    <definedName name="__123Graph_XPAY" hidden="1">#REF!</definedName>
    <definedName name="__13_6.4">#REF!</definedName>
    <definedName name="__16___123Graph_BCHART_4" hidden="1">#REF!</definedName>
    <definedName name="__17___123Graph_XCHART_3" hidden="1">#REF!</definedName>
    <definedName name="__18___123Graph_XCHART_4" hidden="1">#REF!</definedName>
    <definedName name="__2___123Graph_ACHART_4" hidden="1">#REF!</definedName>
    <definedName name="__2__123Graph_ACHART_2" hidden="1">#REF!</definedName>
    <definedName name="__2__123Graph_ACHART_4" hidden="1">#REF!</definedName>
    <definedName name="__2_1.3">#REF!</definedName>
    <definedName name="__3___123Graph_BCHART_3" hidden="1">#REF!</definedName>
    <definedName name="__3__123Graph_BCHART_2" hidden="1">#REF!</definedName>
    <definedName name="__3__123Graph_BCHART_3" hidden="1">#REF!</definedName>
    <definedName name="__3_1.4">#REF!</definedName>
    <definedName name="__4___123Graph_BCHART_4" hidden="1">#REF!</definedName>
    <definedName name="__4__123Graph_BCHART_4" hidden="1">#REF!</definedName>
    <definedName name="__4__123Graph_CCHART_1" hidden="1">#REF!</definedName>
    <definedName name="__4_5A.1">#REF!</definedName>
    <definedName name="__5___123Graph_XCHART_3" hidden="1">#REF!</definedName>
    <definedName name="__5__123Graph_DCHART_1" hidden="1">#REF!</definedName>
    <definedName name="__5__123Graph_XCHART_3" hidden="1">#REF!</definedName>
    <definedName name="__5_5A.2">#REF!</definedName>
    <definedName name="__5A.1">#REF!</definedName>
    <definedName name="__5A.2">#REF!</definedName>
    <definedName name="__5A.3">#REF!</definedName>
    <definedName name="__5B.1">#REF!</definedName>
    <definedName name="__5B.2">#REF!</definedName>
    <definedName name="__5B.3">#REF!</definedName>
    <definedName name="__5B.4">#REF!</definedName>
    <definedName name="__6.2">#REF!</definedName>
    <definedName name="__6.3">#REF!</definedName>
    <definedName name="__6.4">#REF!</definedName>
    <definedName name="__6___123Graph_XCHART_4" hidden="1">#REF!</definedName>
    <definedName name="__6__123Graph_XCHART_4" hidden="1">#REF!</definedName>
    <definedName name="__6_5A.3">#REF!</definedName>
    <definedName name="__7__123Graph_ACHART_3" hidden="1">#REF!</definedName>
    <definedName name="__7_5B.1">#REF!</definedName>
    <definedName name="__8__123Graph_ACHART_4" hidden="1">#REF!</definedName>
    <definedName name="__8_5B.2">#REF!</definedName>
    <definedName name="__9__123Graph_BCHART_3" hidden="1">#REF!</definedName>
    <definedName name="__9_5B.3">#REF!</definedName>
    <definedName name="__a100">#REF!</definedName>
    <definedName name="__A100000">#REF!</definedName>
    <definedName name="__a3" localSheetId="3" hidden="1">{#N/A,#N/A,TRUE,"Financials";#N/A,#N/A,TRUE,"Operating Statistics";#N/A,#N/A,TRUE,"Capex &amp; Depreciation";#N/A,#N/A,TRUE,"Debt"}</definedName>
    <definedName name="__a3" hidden="1">{#N/A,#N/A,TRUE,"Financials";#N/A,#N/A,TRUE,"Operating Statistics";#N/A,#N/A,TRUE,"Capex &amp; Depreciation";#N/A,#N/A,TRUE,"Debt"}</definedName>
    <definedName name="__A31">#REF!</definedName>
    <definedName name="__a65537">#REF!</definedName>
    <definedName name="__A65555">#REF!</definedName>
    <definedName name="__A655600">#REF!</definedName>
    <definedName name="__A65658">#REF!</definedName>
    <definedName name="__A65800">#REF!</definedName>
    <definedName name="__A66000">#REF!</definedName>
    <definedName name="__A70000">#REF!</definedName>
    <definedName name="__A80000">#REF!</definedName>
    <definedName name="__A99999">#REF!</definedName>
    <definedName name="__A999999">#REF!</definedName>
    <definedName name="__AA1">#REF!</definedName>
    <definedName name="__ab1" localSheetId="3"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j1">#REF!</definedName>
    <definedName name="__alt1">#REF!</definedName>
    <definedName name="__ALT2">#REF!</definedName>
    <definedName name="__ALT3">#REF!</definedName>
    <definedName name="__ALT4">#REF!</definedName>
    <definedName name="__as1" localSheetId="3"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ux10">#REF!</definedName>
    <definedName name="__aux3">#REF!</definedName>
    <definedName name="__aux5">#REF!</definedName>
    <definedName name="__aux7">#REF!</definedName>
    <definedName name="__B19999">#REF!</definedName>
    <definedName name="__b201185">#REF!</definedName>
    <definedName name="__blg1">#REF!</definedName>
    <definedName name="__bol1">#REF!</definedName>
    <definedName name="__boq1">#REF!</definedName>
    <definedName name="__boq3">#REF!</definedName>
    <definedName name="__boq5">#REF!</definedName>
    <definedName name="__boq6">#REF!</definedName>
    <definedName name="__can430">40.73</definedName>
    <definedName name="__can435">43.3</definedName>
    <definedName name="__CAT07">#REF!</definedName>
    <definedName name="__cat12" localSheetId="3"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at123">#N/A</definedName>
    <definedName name="__CAT21">#REF!</definedName>
    <definedName name="__CAT22">#REF!</definedName>
    <definedName name="__CAT31">#REF!</definedName>
    <definedName name="__CAT33">#REF!</definedName>
    <definedName name="__CAT34">#REF!</definedName>
    <definedName name="__CAT35">#REF!</definedName>
    <definedName name="__CAT36">#REF!</definedName>
    <definedName name="__CAT39">#REF!</definedName>
    <definedName name="__CAT42">#REF!</definedName>
    <definedName name="__CAT43">#REF!</definedName>
    <definedName name="__CAT45">#REF!</definedName>
    <definedName name="__CAT46">#REF!</definedName>
    <definedName name="__CAT48">#REF!</definedName>
    <definedName name="__CAT49">#REF!</definedName>
    <definedName name="__CAT52">#REF!</definedName>
    <definedName name="__CAT53">#REF!</definedName>
    <definedName name="__CAT54">#REF!</definedName>
    <definedName name="__CAT55">#REF!</definedName>
    <definedName name="__CAT82">#REF!</definedName>
    <definedName name="__CAT84">#REF!</definedName>
    <definedName name="__ccr1" localSheetId="3" hidden="1">{#N/A,#N/A,TRUE,"Cover";#N/A,#N/A,TRUE,"Conts";#N/A,#N/A,TRUE,"VOS";#N/A,#N/A,TRUE,"Warrington";#N/A,#N/A,TRUE,"Widnes"}</definedName>
    <definedName name="__ccr1" hidden="1">{#N/A,#N/A,TRUE,"Cover";#N/A,#N/A,TRUE,"Conts";#N/A,#N/A,TRUE,"VOS";#N/A,#N/A,TRUE,"Warrington";#N/A,#N/A,TRUE,"Widnes"}</definedName>
    <definedName name="__COL1">#REF!</definedName>
    <definedName name="__ddd2" localSheetId="3" hidden="1">{#N/A,#N/A,TRUE,"Cover Memo";"Complete Sys. Estimate",#N/A,TRUE,"Change Summary";"Complete Sys. Estimate",#N/A,TRUE,"Estimate Summary";"Complete Sys. Estimate",#N/A,TRUE,"Dept. Summary";"Complete Sys. Estimate",#N/A,TRUE,"DOW Detail"}</definedName>
    <definedName name="__ddd2" hidden="1">{#N/A,#N/A,TRUE,"Cover Memo";"Complete Sys. Estimate",#N/A,TRUE,"Change Summary";"Complete Sys. Estimate",#N/A,TRUE,"Estimate Summary";"Complete Sys. Estimate",#N/A,TRUE,"Dept. Summary";"Complete Sys. Estimate",#N/A,TRUE,"DOW Detail"}</definedName>
    <definedName name="__DemandLoad">TRUE</definedName>
    <definedName name="__dim4">#REF!</definedName>
    <definedName name="__div10">#REF!</definedName>
    <definedName name="__div14">#REF!</definedName>
    <definedName name="__div2">#REF!</definedName>
    <definedName name="__div21">#REF!</definedName>
    <definedName name="__div22">#REF!</definedName>
    <definedName name="__div23">#REF!</definedName>
    <definedName name="__div25">#REF!</definedName>
    <definedName name="__div26">#REF!</definedName>
    <definedName name="__div27">#REF!</definedName>
    <definedName name="__div28">#REF!</definedName>
    <definedName name="__div3">#REF!</definedName>
    <definedName name="__div31">#REF!</definedName>
    <definedName name="__div33">#REF!</definedName>
    <definedName name="__div4">#REF!</definedName>
    <definedName name="__div5">#REF!</definedName>
    <definedName name="__div7">#REF!</definedName>
    <definedName name="__div8">#REF!</definedName>
    <definedName name="__div9">#REF!</definedName>
    <definedName name="__DWR001">#REF!</definedName>
    <definedName name="__DWR002">#REF!</definedName>
    <definedName name="__DWR003">#REF!</definedName>
    <definedName name="__DWR004">#REF!</definedName>
    <definedName name="__DWR005">#REF!</definedName>
    <definedName name="__dwr4">#REF!</definedName>
    <definedName name="__e20000">#REF!</definedName>
    <definedName name="__Eg616103">#REF!</definedName>
    <definedName name="__ETC01">#REF!</definedName>
    <definedName name="__exc1">#REF!</definedName>
    <definedName name="__exc11">#REF!</definedName>
    <definedName name="__exc2">#REF!</definedName>
    <definedName name="__EXC3">#REF!</definedName>
    <definedName name="__EXC4">#REF!</definedName>
    <definedName name="__fd2" localSheetId="3"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foo1">#REF!</definedName>
    <definedName name="__foo2">#REF!</definedName>
    <definedName name="__foo3">#REF!</definedName>
    <definedName name="__FOO4">#REF!</definedName>
    <definedName name="__hp10" localSheetId="3"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DC2">#N/A</definedName>
    <definedName name="__Inc1">#REF!</definedName>
    <definedName name="__Int1">#REF!</definedName>
    <definedName name="__Int2">#REF!</definedName>
    <definedName name="__IntlFixup" hidden="1">TRUE</definedName>
    <definedName name="__irr1">#REF!</definedName>
    <definedName name="__irr10">#REF!</definedName>
    <definedName name="__irr2">#REF!</definedName>
    <definedName name="__irr3">#REF!</definedName>
    <definedName name="__irr5">#REF!</definedName>
    <definedName name="__irr7">#REF!</definedName>
    <definedName name="__is5" localSheetId="3" hidden="1">{#N/A,#N/A,FALSE,"inctrnd99"}</definedName>
    <definedName name="__is5" hidden="1">{#N/A,#N/A,FALSE,"inctrnd99"}</definedName>
    <definedName name="__iv66666">#REF!</definedName>
    <definedName name="__jay1">#REF!</definedName>
    <definedName name="__jj300">#REF!</definedName>
    <definedName name="__key2" hidden="1">#REF!</definedName>
    <definedName name="__ki501">#REF!</definedName>
    <definedName name="__KWS1">#N/A</definedName>
    <definedName name="__KWS2">#N/A</definedName>
    <definedName name="__KWS3">#N/A</definedName>
    <definedName name="__L1">#REF!</definedName>
    <definedName name="__let1">#REF!</definedName>
    <definedName name="__loc1">#N/A</definedName>
    <definedName name="__ML2">#REF!</definedName>
    <definedName name="__ML3">#REF!</definedName>
    <definedName name="__ML4">#REF!</definedName>
    <definedName name="__ML5">#REF!</definedName>
    <definedName name="__ML6">#REF!</definedName>
    <definedName name="__ML7">#REF!</definedName>
    <definedName name="__MN1">#REF!</definedName>
    <definedName name="__NB2">#REF!</definedName>
    <definedName name="__NB3">#REF!</definedName>
    <definedName name="__NB4">#REF!</definedName>
    <definedName name="__NB5">#REF!</definedName>
    <definedName name="__NB6">#REF!</definedName>
    <definedName name="__NB7">#REF!</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new12">#REF!</definedName>
    <definedName name="__new13">#REF!</definedName>
    <definedName name="__new14">#REF!</definedName>
    <definedName name="__new15">#REF!</definedName>
    <definedName name="__new5">#REF!</definedName>
    <definedName name="__new6">#REF!</definedName>
    <definedName name="__new7">#REF!</definedName>
    <definedName name="__new8" hidden="1">#REF!</definedName>
    <definedName name="__new9">#REF!</definedName>
    <definedName name="__No1">#REF!</definedName>
    <definedName name="__No2">#REF!</definedName>
    <definedName name="__No3">#REF!</definedName>
    <definedName name="__nr83">#REF!</definedName>
    <definedName name="__NS1">#REF!</definedName>
    <definedName name="__OD1" hidden="1">#REF!</definedName>
    <definedName name="__old3" localSheetId="3"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3"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rd1">#REF!</definedName>
    <definedName name="__ord2">#REF!</definedName>
    <definedName name="__ord3">#REF!</definedName>
    <definedName name="__ord4">#REF!</definedName>
    <definedName name="__pag1">#REF!</definedName>
    <definedName name="__pag2">#REF!</definedName>
    <definedName name="__pag25">#REF!</definedName>
    <definedName name="__pag3">#REF!</definedName>
    <definedName name="__pag4">#REF!</definedName>
    <definedName name="__pag5">#REF!</definedName>
    <definedName name="__pag6">#REF!</definedName>
    <definedName name="__pcc1">#REF!</definedName>
    <definedName name="__pcc2">#REF!</definedName>
    <definedName name="__pcc3">#REF!</definedName>
    <definedName name="__PCC4">#REF!</definedName>
    <definedName name="__PER2">#REF!</definedName>
    <definedName name="__PER3">#REF!</definedName>
    <definedName name="__PER4">#REF!</definedName>
    <definedName name="__PER5">#REF!</definedName>
    <definedName name="__PER6">#REF!</definedName>
    <definedName name="__PER7">#REF!</definedName>
    <definedName name="__plb1">#REF!</definedName>
    <definedName name="__plb2">#REF!</definedName>
    <definedName name="__plb3">#REF!</definedName>
    <definedName name="__plb4">#REF!</definedName>
    <definedName name="__pmf03">#REF!</definedName>
    <definedName name="__pmf04">#REF!</definedName>
    <definedName name="__pmf05">#REF!</definedName>
    <definedName name="__pmf06">#REF!</definedName>
    <definedName name="__pmf07">#REF!</definedName>
    <definedName name="__pmf08">#REF!</definedName>
    <definedName name="__pmf09">#REF!</definedName>
    <definedName name="__pmf10">#REF!</definedName>
    <definedName name="__pmf11">#REF!</definedName>
    <definedName name="__pmf12">#REF!</definedName>
    <definedName name="__pmf13">#REF!</definedName>
    <definedName name="__POS1" localSheetId="3" hidden="1">{#N/A,#N/A,FALSE,"양식(을)"}</definedName>
    <definedName name="__POS1" hidden="1">{#N/A,#N/A,FALSE,"양식(을)"}</definedName>
    <definedName name="__PR1">#N/A</definedName>
    <definedName name="__QTY07">#REF!</definedName>
    <definedName name="__QTY12">#REF!</definedName>
    <definedName name="__QTY21">#REF!</definedName>
    <definedName name="__QTY22">#REF!</definedName>
    <definedName name="__QTY33">#REF!</definedName>
    <definedName name="__QTY34">#REF!</definedName>
    <definedName name="__QTY35">#REF!</definedName>
    <definedName name="__QTY36">#REF!</definedName>
    <definedName name="__QTY39">#REF!</definedName>
    <definedName name="__QTY42">#REF!</definedName>
    <definedName name="__QTY43">#REF!</definedName>
    <definedName name="__QTY45">#REF!</definedName>
    <definedName name="__QTY46">#REF!</definedName>
    <definedName name="__QTY48">#REF!</definedName>
    <definedName name="__QTY49">#REF!</definedName>
    <definedName name="__QTY52">#REF!</definedName>
    <definedName name="__QTY53">#REF!</definedName>
    <definedName name="__QTY54">#REF!</definedName>
    <definedName name="__QTY55">#REF!</definedName>
    <definedName name="__QTY82">#REF!</definedName>
    <definedName name="__QTY84">#REF!</definedName>
    <definedName name="__R">#REF!</definedName>
    <definedName name="__RAB002" localSheetId="3"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ef2" hidden="1">#REF!</definedName>
    <definedName name="__rim4">#REF!</definedName>
    <definedName name="__rm4">#REF!</definedName>
    <definedName name="__RR1">#REF!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sdb2">#REF!</definedName>
    <definedName name="__SEC1200">#REF!</definedName>
    <definedName name="__SF1">#REF!</definedName>
    <definedName name="__SH1">#REF!</definedName>
    <definedName name="__SH2">#REF!</definedName>
    <definedName name="__SH3">#REF!</definedName>
    <definedName name="__SH4">#REF!</definedName>
    <definedName name="__SH5">#REF!</definedName>
    <definedName name="__SH6">#REF!</definedName>
    <definedName name="__SH7">#REF!</definedName>
    <definedName name="__SM2">#REF!</definedName>
    <definedName name="__SM3">#REF!</definedName>
    <definedName name="__SM4">#REF!</definedName>
    <definedName name="__SM5">#REF!</definedName>
    <definedName name="__SM6">#REF!</definedName>
    <definedName name="__SM7">#REF!</definedName>
    <definedName name="__SUN1">#N/A</definedName>
    <definedName name="__SUN2">#N/A</definedName>
    <definedName name="__SV2">#REF!</definedName>
    <definedName name="__SV3">#REF!</definedName>
    <definedName name="__SV4">#REF!</definedName>
    <definedName name="__SV5">#REF!</definedName>
    <definedName name="__SV6">#REF!</definedName>
    <definedName name="__SV7">#REF!</definedName>
    <definedName name="__sw1">#REF!</definedName>
    <definedName name="__sw2">#REF!</definedName>
    <definedName name="__sw3">#REF!</definedName>
    <definedName name="__sw4">#REF!</definedName>
    <definedName name="__sw5">#REF!</definedName>
    <definedName name="__sw6">#REF!</definedName>
    <definedName name="__sw7">#REF!</definedName>
    <definedName name="__sw8">#REF!</definedName>
    <definedName name="__TB2">#REF!</definedName>
    <definedName name="__tdp1">#REF!</definedName>
    <definedName name="__tem1"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U14">#REF!</definedName>
    <definedName name="__U60">#REF!</definedName>
    <definedName name="__ubr1">#REF!</definedName>
    <definedName name="__VOL2">#REF!</definedName>
    <definedName name="__VOL3">#REF!</definedName>
    <definedName name="__VOL4">#REF!</definedName>
    <definedName name="__VOL5">#REF!</definedName>
    <definedName name="__VOL6">#REF!</definedName>
    <definedName name="__VOL7">#REF!</definedName>
    <definedName name="__xlfn.BAHTTEXT" hidden="1">#NAME?</definedName>
    <definedName name="__xlfn.SUMIFS" hidden="1">#NAME?</definedName>
    <definedName name="__xlnm.Print_Area_1">#REF!</definedName>
    <definedName name="__xlnm.Print_Area_15">#REF!</definedName>
    <definedName name="__xlnm.Print_Titles">#REF!</definedName>
    <definedName name="__xlnm.Print_Titles_15">#REF!</definedName>
    <definedName name="_0">#REF!</definedName>
    <definedName name="_0.01">#REF!</definedName>
    <definedName name="_0.02">#REF!</definedName>
    <definedName name="_0.03">#REF!</definedName>
    <definedName name="_0.04">#REF!</definedName>
    <definedName name="_0___0">#REF!</definedName>
    <definedName name="_0_SLQ_MetricsDIR">#REF!</definedName>
    <definedName name="_0_SLQ_MetricsIND">#REF!</definedName>
    <definedName name="_0_TAQ_TDC_AcctSumry">#REF!</definedName>
    <definedName name="_0_TAQ_TDC_ListEQProj">#REF!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01">#REF!</definedName>
    <definedName name="_1.02">#REF!</definedName>
    <definedName name="_1.03">#REF!</definedName>
    <definedName name="_1.04">#REF!</definedName>
    <definedName name="_1.05">#REF!</definedName>
    <definedName name="_1.06">#REF!</definedName>
    <definedName name="_1.07">#REF!</definedName>
    <definedName name="_1.2">#REF!</definedName>
    <definedName name="_1.3">#REF!</definedName>
    <definedName name="_1.4">#REF!</definedName>
    <definedName name="_1_" hidden="1">#REF!</definedName>
    <definedName name="_1__________________________________________________________123Graph_ACHART_3" hidden="1">#REF!</definedName>
    <definedName name="_1_____________________________________________123Graph_ACHART_3" hidden="1">#REF!</definedName>
    <definedName name="_1_____123Graph_ACHART_3" hidden="1">#REF!</definedName>
    <definedName name="_1____123Graph_ACHART_3" hidden="1">#REF!</definedName>
    <definedName name="_1___123Graph_ACHART_1" hidden="1">#REF!</definedName>
    <definedName name="_1___123Graph_ACHART_3" hidden="1">#REF!</definedName>
    <definedName name="_1__123Graph_ACHART_1" hidden="1">#REF!</definedName>
    <definedName name="_1__123Graph_ACHART_12" hidden="1">#REF!</definedName>
    <definedName name="_1__123Graph_ACHART_3" hidden="1">#REF!</definedName>
    <definedName name="_1_0ELECB">#REF!</definedName>
    <definedName name="_1_1">#REF!</definedName>
    <definedName name="_1_1.2">#REF!</definedName>
    <definedName name="_1_10">#REF!</definedName>
    <definedName name="_1_2">#REF!</definedName>
    <definedName name="_1_3">#REF!</definedName>
    <definedName name="_1_4">#REF!</definedName>
    <definedName name="_1_5">#REF!</definedName>
    <definedName name="_1_6">#REF!</definedName>
    <definedName name="_1_7">#REF!</definedName>
    <definedName name="_1_8">#REF!</definedName>
    <definedName name="_1_9">#REF!</definedName>
    <definedName name="_1_Excel_BuiltIn_Print_Area_7_1">#REF!</definedName>
    <definedName name="_10">#N/A</definedName>
    <definedName name="_10_______________________________________________________123Graph_ACHART_4" hidden="1">#REF!</definedName>
    <definedName name="_10___________________________________________123Graph_ACHART_4" hidden="1">#REF!</definedName>
    <definedName name="_10____123Graph_BCHART_4" hidden="1">#REF!</definedName>
    <definedName name="_10___123Graph_ACHART_3" hidden="1">#REF!</definedName>
    <definedName name="_10___123Graph_ACHART_4" hidden="1">#REF!</definedName>
    <definedName name="_10___123Graph_XCHART_4" hidden="1">#REF!</definedName>
    <definedName name="_10__123Graph_ACHART_18" hidden="1">#REF!</definedName>
    <definedName name="_10__123Graph_ACHART_3" hidden="1">#REF!</definedName>
    <definedName name="_10__123Graph_ACHART_4" hidden="1">#REF!</definedName>
    <definedName name="_10__123Graph_BCHART_16" hidden="1">#REF!</definedName>
    <definedName name="_10__123Graph_BCHART_4" hidden="1">#REF!</definedName>
    <definedName name="_10__123Graph_DCHART_1" hidden="1">#REF!</definedName>
    <definedName name="_10__123Graph_XCHART_4" hidden="1">#REF!</definedName>
    <definedName name="_10_0_0__123Graph_X" hidden="1">#REF!</definedName>
    <definedName name="_10_1">#REF!</definedName>
    <definedName name="_10_10">#REF!</definedName>
    <definedName name="_10_11">#REF!</definedName>
    <definedName name="_10_12">#REF!</definedName>
    <definedName name="_10_13">#REF!</definedName>
    <definedName name="_10_2">#REF!</definedName>
    <definedName name="_10_3">#REF!</definedName>
    <definedName name="_10_4">#REF!</definedName>
    <definedName name="_10_5">#REF!</definedName>
    <definedName name="_10_5B.4">#REF!</definedName>
    <definedName name="_10_6">#REF!</definedName>
    <definedName name="_10_7">#REF!</definedName>
    <definedName name="_10_8">#REF!</definedName>
    <definedName name="_10_9">#REF!</definedName>
    <definedName name="_100___________________________123Graph_BCHART_4" hidden="1">#REF!</definedName>
    <definedName name="_1000A01">#N/A</definedName>
    <definedName name="_100CorpClient_Text_4_1">#REF!</definedName>
    <definedName name="_100CurrencyRate_4_1">#REF!</definedName>
    <definedName name="_101___________________________123Graph_XCHART_3" hidden="1">#REF!</definedName>
    <definedName name="_101CURR_4_1">#REF!</definedName>
    <definedName name="_101dim4_4_1">#REF!</definedName>
    <definedName name="_102___________________________123Graph_XCHART_4" hidden="1">#REF!</definedName>
    <definedName name="_102EngAddress_4_1">#REF!</definedName>
    <definedName name="_103__________________________123Graph_XCHART_3" hidden="1">#REF!</definedName>
    <definedName name="_103EngCity_4_1">#REF!</definedName>
    <definedName name="_104__________________________123Graph_XCHART_4" hidden="1">#REF!</definedName>
    <definedName name="_104CurrencyRate_4_1">#REF!</definedName>
    <definedName name="_104EngName_4_1">#REF!</definedName>
    <definedName name="_105_________________________123Graph_ACHART_3" hidden="1">#REF!</definedName>
    <definedName name="_105dim4_4_1">#REF!</definedName>
    <definedName name="_105EngPostal_4_1">#REF!</definedName>
    <definedName name="_106_________________________123Graph_ACHART_4" hidden="1">#REF!</definedName>
    <definedName name="_106EngAddress_4_1">#REF!</definedName>
    <definedName name="_106EngPrio_4_1">#REF!</definedName>
    <definedName name="_107_________________________123Graph_BCHART_3" hidden="1">#REF!</definedName>
    <definedName name="_107EngCity_4_1">#REF!</definedName>
    <definedName name="_107EngPrio_Text_4_1">#REF!</definedName>
    <definedName name="_108_________________________123Graph_BCHART_4" hidden="1">#REF!</definedName>
    <definedName name="_108EngName_4_1">#REF!</definedName>
    <definedName name="_108EngState_4_1">#REF!</definedName>
    <definedName name="_109_________________________123Graph_XCHART_3" hidden="1">#REF!</definedName>
    <definedName name="_109EngPostal_4_1">#REF!</definedName>
    <definedName name="_109EstCost_4_1">#REF!</definedName>
    <definedName name="_10MACRO_SOMMAIRE_.Bouton5_QuandClic" localSheetId="3">Summary!_10MACRO_SOMMAIRE_.Bouton5_QuandClic</definedName>
    <definedName name="_10MACRO_SOMMAIRE_.Bouton5_QuandClic">#N/A</definedName>
    <definedName name="_11">#N/A</definedName>
    <definedName name="_11_______________________________________________________123Graph_BCHART_3" hidden="1">#REF!</definedName>
    <definedName name="_11___________________________________________123Graph_BCHART_3" hidden="1">#REF!</definedName>
    <definedName name="_11____123Graph_XCHART_3" hidden="1">#REF!</definedName>
    <definedName name="_11__123Graph_BCHART_17" hidden="1">#REF!</definedName>
    <definedName name="_11__123Graph_BCHART_4" hidden="1">#REF!</definedName>
    <definedName name="_11__123Graph_XCHART_3" hidden="1">#REF!</definedName>
    <definedName name="_11_1">#REF!</definedName>
    <definedName name="_11_6.2">#REF!</definedName>
    <definedName name="_110_________________________123Graph_XCHART_4" hidden="1">#REF!</definedName>
    <definedName name="_110EngPrio_4_1">#REF!</definedName>
    <definedName name="_110eu_4_1">#REF!</definedName>
    <definedName name="_111________________________123Graph_XCHART_3" hidden="1">#REF!</definedName>
    <definedName name="_111EngPrio_Text_4_1">#REF!</definedName>
    <definedName name="_111Excel_BuiltIn_Print_Area_1">#REF!</definedName>
    <definedName name="_112________________________123Graph_XCHART_4" hidden="1">#REF!</definedName>
    <definedName name="_112EngState_4_1">#REF!</definedName>
    <definedName name="_112Excel_BuiltIn_Print_Area_1_1_1">#REF!</definedName>
    <definedName name="_113_______________________123Graph_ACHART_3" hidden="1">#REF!</definedName>
    <definedName name="_113EstCost_4_1">#REF!</definedName>
    <definedName name="_114_______________________123Graph_ACHART_4" hidden="1">#REF!</definedName>
    <definedName name="_1147____________123Graph_XCHART_3" hidden="1">#REF!</definedName>
    <definedName name="_1148____________123Graph_XCHART_4" hidden="1">#REF!</definedName>
    <definedName name="_114eu_4_1">#REF!</definedName>
    <definedName name="_115________________________123Graph_XCHART_3" hidden="1">#REF!</definedName>
    <definedName name="_115_______________________123Graph_BCHART_3" hidden="1">#REF!</definedName>
    <definedName name="_115Excel_BuiltIn_Print_Area_1">#REF!</definedName>
    <definedName name="_116________________________123Graph_XCHART_4" hidden="1">#REF!</definedName>
    <definedName name="_116_______________________123Graph_BCHART_4" hidden="1">#REF!</definedName>
    <definedName name="_116Excel_BuiltIn_Print_Area_1_1_1">#REF!</definedName>
    <definedName name="_117_______________________123Graph_ACHART_3" hidden="1">#REF!</definedName>
    <definedName name="_117_______________________123Graph_XCHART_3" hidden="1">#REF!</definedName>
    <definedName name="_118_______________________123Graph_ACHART_4" hidden="1">#REF!</definedName>
    <definedName name="_118_______________________123Graph_XCHART_4" hidden="1">#REF!</definedName>
    <definedName name="_118FiscalIDNum_4_1">#REF!</definedName>
    <definedName name="_119_______________________123Graph_BCHART_3" hidden="1">#REF!</definedName>
    <definedName name="_119______________________123Graph_XCHART_3" hidden="1">#REF!</definedName>
    <definedName name="_119FormTitle_4_1">#REF!</definedName>
    <definedName name="_11MACRO_SOMMAIRE_.Bouton11_QuandClic" localSheetId="3">Summary!_11MACRO_SOMMAIRE_.Bouton11_QuandClic</definedName>
    <definedName name="_11MACRO_SOMMAIRE_.Bouton11_QuandClic">#N/A</definedName>
    <definedName name="_11MACRO_SOMMAIRE_.Bouton6_QuandClic" localSheetId="3">Summary!_11MACRO_SOMMAIRE_.Bouton6_QuandClic</definedName>
    <definedName name="_11MACRO_SOMMAIRE_.Bouton6_QuandClic">#N/A</definedName>
    <definedName name="_12" localSheetId="3">#REF!</definedName>
    <definedName name="_12">#REF!</definedName>
    <definedName name="_12_______________________________________________________123Graph_BCHART_4" hidden="1">#REF!</definedName>
    <definedName name="_12___________________________________________123Graph_BCHART_4" hidden="1">#REF!</definedName>
    <definedName name="_12____123Graph_BCHART_4" hidden="1">#REF!</definedName>
    <definedName name="_12____123Graph_XCHART_4" hidden="1">#REF!</definedName>
    <definedName name="_12___123Graph_ACHART_4" hidden="1">#REF!</definedName>
    <definedName name="_12__123Graph_ACHART_19" hidden="1">#REF!</definedName>
    <definedName name="_12__123Graph_ACHART_3" hidden="1">#REF!</definedName>
    <definedName name="_12__123Graph_BCHART_22" hidden="1">#REF!</definedName>
    <definedName name="_12__123Graph_BCHART_3" hidden="1">#REF!</definedName>
    <definedName name="_12__123Graph_BCHART_4" hidden="1">#REF!</definedName>
    <definedName name="_12__123Graph_XCHART_4" hidden="1">#REF!</definedName>
    <definedName name="_12_5A.1">#REF!</definedName>
    <definedName name="_12_6.3">#REF!</definedName>
    <definedName name="_12_Month">#REF!</definedName>
    <definedName name="_12_month_growth">#REF!</definedName>
    <definedName name="_120_______________________123Graph_BCHART_4" hidden="1">#REF!</definedName>
    <definedName name="_120______________________123Graph_XCHART_4" hidden="1">#REF!</definedName>
    <definedName name="_120GMAmount_4_1">#REF!</definedName>
    <definedName name="_121_______________________123Graph_XCHART_3" hidden="1">#REF!</definedName>
    <definedName name="_121_____________________123Graph_ACHART_3" hidden="1">#REF!</definedName>
    <definedName name="_121GMPercent_4_1">#REF!</definedName>
    <definedName name="_122_______________________123Graph_XCHART_4" hidden="1">#REF!</definedName>
    <definedName name="_122_____________________123Graph_ACHART_4" hidden="1">#REF!</definedName>
    <definedName name="_122FiscalIDNum_4_1">#REF!</definedName>
    <definedName name="_123______________________123Graph_ACHART_3" hidden="1">#REF!</definedName>
    <definedName name="_123_____________________123Graph_BCHART_3" hidden="1">#REF!</definedName>
    <definedName name="_123FormTitle_4_1">#REF!</definedName>
    <definedName name="_123Graph_ACURRENT" hidden="1">#REF!</definedName>
    <definedName name="_123indf_4_1">#REF!</definedName>
    <definedName name="_124______________________123Graph_ACHART_4" hidden="1">#REF!</definedName>
    <definedName name="_124_____________________123Graph_BCHART_4" hidden="1">#REF!</definedName>
    <definedName name="_124GMAmount_4_1">#REF!</definedName>
    <definedName name="_125______________________123Graph_BCHART_3" hidden="1">#REF!</definedName>
    <definedName name="_125_____________________123Graph_XCHART_3" hidden="1">#REF!</definedName>
    <definedName name="_125GMPercent_4_1">#REF!</definedName>
    <definedName name="_126______________________123Graph_BCHART_4" hidden="1">#REF!</definedName>
    <definedName name="_126_____________________123Graph_XCHART_4" hidden="1">#REF!</definedName>
    <definedName name="_126InstBillingMethod_4_1">#REF!</definedName>
    <definedName name="_127______________________123Graph_XCHART_3" hidden="1">#REF!</definedName>
    <definedName name="_127____________________123Graph_ACHART_3" hidden="1">#REF!</definedName>
    <definedName name="_127indf_4_1">#REF!</definedName>
    <definedName name="_127instf_4_1">#REF!</definedName>
    <definedName name="_128______________________123Graph_XCHART_4" hidden="1">#REF!</definedName>
    <definedName name="_128____________________123Graph_ACHART_4" hidden="1">#REF!</definedName>
    <definedName name="_128MarketType_4_1">#REF!</definedName>
    <definedName name="_129____________________123Graph_BCHART_3" hidden="1">#REF!</definedName>
    <definedName name="_129MarketType_Text_4_1">#REF!</definedName>
    <definedName name="_12Excel_BuiltIn_Print_Area_5_1_1">#REF!</definedName>
    <definedName name="_12MACRO_SOMMAIRE_.Bouton11_QuandClic" localSheetId="3">Summary!_12MACRO_SOMMAIRE_.Bouton11_QuandClic</definedName>
    <definedName name="_12MACRO_SOMMAIRE_.Bouton11_QuandClic">#N/A</definedName>
    <definedName name="_12MACRO_SOMMAIRE_.Bouton7_QuandClic" localSheetId="3">Summary!_12MACRO_SOMMAIRE_.Bouton7_QuandClic</definedName>
    <definedName name="_12MACRO_SOMMAIRE_.Bouton7_QuandClic">#N/A</definedName>
    <definedName name="_13" localSheetId="3">#REF!</definedName>
    <definedName name="_13">#REF!</definedName>
    <definedName name="_13______________________________________________________123Graph_ACHART_3" hidden="1">#REF!</definedName>
    <definedName name="_13__________________________________________123Graph_ACHART_3" hidden="1">#REF!</definedName>
    <definedName name="_13___123Graph_ACHART_3" hidden="1">#REF!</definedName>
    <definedName name="_13___123Graph_BCHART_3" hidden="1">#REF!</definedName>
    <definedName name="_13__123Graph_ACHART_4" hidden="1">#REF!</definedName>
    <definedName name="_13__123Graph_CCHART_15" hidden="1">#REF!</definedName>
    <definedName name="_13__123Graph_XCHART_3" hidden="1">#REF!</definedName>
    <definedName name="_13_6.4">#REF!</definedName>
    <definedName name="_130____________________123Graph_BCHART_4" hidden="1">#REF!</definedName>
    <definedName name="_1301___________123Graph_ACHART_3" hidden="1">#REF!</definedName>
    <definedName name="_1302___________123Graph_ACHART_4" hidden="1">#REF!</definedName>
    <definedName name="_1303___________123Graph_BCHART_3" hidden="1">#REF!</definedName>
    <definedName name="_1304___________123Graph_BCHART_4" hidden="1">#REF!</definedName>
    <definedName name="_1305___________123Graph_XCHART_3" hidden="1">#REF!</definedName>
    <definedName name="_1306___________123Graph_XCHART_4" hidden="1">#REF!</definedName>
    <definedName name="_130InstBillingMethod_4_1">#REF!</definedName>
    <definedName name="_130nonmodular_4_1">#REF!</definedName>
    <definedName name="_131____________________123Graph_XCHART_3" hidden="1">#REF!</definedName>
    <definedName name="_131instf_4_1">#REF!</definedName>
    <definedName name="_131OwnAcctNum_4_1">#REF!</definedName>
    <definedName name="_132_____________________123Graph_ACHART_3" hidden="1">#REF!</definedName>
    <definedName name="_132____________________123Graph_XCHART_4" hidden="1">#REF!</definedName>
    <definedName name="_132MarketType_4_1">#REF!</definedName>
    <definedName name="_132po_4_1">#REF!</definedName>
    <definedName name="_133_____________________123Graph_ACHART_4" hidden="1">#REF!</definedName>
    <definedName name="_133___________________123Graph_ACHART_3" hidden="1">#REF!</definedName>
    <definedName name="_133MarketType_Text_4_1">#REF!</definedName>
    <definedName name="_133PrimeAddress_4_1">#REF!</definedName>
    <definedName name="_134_____________________123Graph_BCHART_3" hidden="1">#REF!</definedName>
    <definedName name="_134___________________123Graph_ACHART_4" hidden="1">#REF!</definedName>
    <definedName name="_134nonmodular_4_1">#REF!</definedName>
    <definedName name="_134PrimeCity_4_1">#REF!</definedName>
    <definedName name="_135_____________________123Graph_BCHART_4" hidden="1">#REF!</definedName>
    <definedName name="_135___________________123Graph_BCHART_3" hidden="1">#REF!</definedName>
    <definedName name="_135OwnAcctNum_4_1">#REF!</definedName>
    <definedName name="_135PrimeName_4_1">#REF!</definedName>
    <definedName name="_136_____________________123Graph_XCHART_3" hidden="1">#REF!</definedName>
    <definedName name="_136___________________123Graph_BCHART_4" hidden="1">#REF!</definedName>
    <definedName name="_136po_4_1">#REF!</definedName>
    <definedName name="_136PrimePostal_4_1">#REF!</definedName>
    <definedName name="_137_____________________123Graph_XCHART_4" hidden="1">#REF!</definedName>
    <definedName name="_137___________________123Graph_XCHART_3" hidden="1">#REF!</definedName>
    <definedName name="_137PrimeAddress_4_1">#REF!</definedName>
    <definedName name="_137PrimePrio_4_1">#REF!</definedName>
    <definedName name="_138___________________123Graph_XCHART_4" hidden="1">#REF!</definedName>
    <definedName name="_138PrimeCity_4_1">#REF!</definedName>
    <definedName name="_138PrimePrio_Text_4_1">#REF!</definedName>
    <definedName name="_139__________________123Graph_ACHART_3" hidden="1">#REF!</definedName>
    <definedName name="_139PrimeName_4_1">#REF!</definedName>
    <definedName name="_139PrimeState_4_1">#REF!</definedName>
    <definedName name="_13MACRO_SOMMAIRE_.Bouton8_QuandClic" localSheetId="3">Summary!_13MACRO_SOMMAIRE_.Bouton8_QuandClic</definedName>
    <definedName name="_13MACRO_SOMMAIRE_.Bouton8_QuandClic">#N/A</definedName>
    <definedName name="_14" localSheetId="3">#REF!</definedName>
    <definedName name="_14">#REF!</definedName>
    <definedName name="_14______________________________________________________123Graph_ACHART_4" hidden="1">#REF!</definedName>
    <definedName name="_14__________________________________________123Graph_ACHART_4" hidden="1">#REF!</definedName>
    <definedName name="_14___123Graph_ACHART_4" hidden="1">#REF!</definedName>
    <definedName name="_14___123Graph_BCHART_3" hidden="1">#REF!</definedName>
    <definedName name="_14__123Graph_ACHART_21" hidden="1">#REF!</definedName>
    <definedName name="_14__123Graph_ACHART_4" hidden="1">#REF!</definedName>
    <definedName name="_14__123Graph_CCHART_16" hidden="1">#REF!</definedName>
    <definedName name="_14__123Graph_XCHART_4" hidden="1">#REF!</definedName>
    <definedName name="_14_123Graph_X" hidden="1">#REF!</definedName>
    <definedName name="_140__________________123Graph_ACHART_4" hidden="1">#REF!</definedName>
    <definedName name="_140PrimePostal_4_1">#REF!</definedName>
    <definedName name="_140PRINT_AREA_MI_4_1">#REF!</definedName>
    <definedName name="_141__________________123Graph_BCHART_3" hidden="1">#REF!</definedName>
    <definedName name="_141PrimePrio_4_1">#REF!</definedName>
    <definedName name="_141PROD_4_1">#REF!</definedName>
    <definedName name="_142__________________123Graph_BCHART_4" hidden="1">#REF!</definedName>
    <definedName name="_142PrimePrio_Text_4_1">#REF!</definedName>
    <definedName name="_142ProdCode1_4_1">#REF!</definedName>
    <definedName name="_143__________________123Graph_XCHART_3" hidden="1">#REF!</definedName>
    <definedName name="_143PrimeState_4_1">#REF!</definedName>
    <definedName name="_143ProdCode1_Text_4_1">#REF!</definedName>
    <definedName name="_144__________________123Graph_XCHART_4" hidden="1">#REF!</definedName>
    <definedName name="_144PRINT_AREA_MI_4_1">#REF!</definedName>
    <definedName name="_144ProdCode2_4_1">#REF!</definedName>
    <definedName name="_145_________________123Graph_ACHART_3" hidden="1">#REF!</definedName>
    <definedName name="_145PROD_4_1">#REF!</definedName>
    <definedName name="_145ProdCode2_Text_4_1">#REF!</definedName>
    <definedName name="_146_________________123Graph_ACHART_4" hidden="1">#REF!</definedName>
    <definedName name="_1463__________123Graph_XCHART_3" hidden="1">#REF!</definedName>
    <definedName name="_1464__________123Graph_XCHART_4" hidden="1">#REF!</definedName>
    <definedName name="_146ProdCode1_4_1">#REF!</definedName>
    <definedName name="_147_________________123Graph_BCHART_3" hidden="1">#REF!</definedName>
    <definedName name="_147ProdCode1_Text_4_1">#REF!</definedName>
    <definedName name="_148_________________123Graph_BCHART_4" hidden="1">#REF!</definedName>
    <definedName name="_148ProdCode2_4_1">#REF!</definedName>
    <definedName name="_148ProdCode3_4_1">#REF!</definedName>
    <definedName name="_149_________________123Graph_XCHART_3" hidden="1">#REF!</definedName>
    <definedName name="_149ProdCode2_Text_4_1">#REF!</definedName>
    <definedName name="_14MACRO_SOMMAIRE_.Bouton12_QuandClic" localSheetId="3">Summary!_14MACRO_SOMMAIRE_.Bouton12_QuandClic</definedName>
    <definedName name="_14MACRO_SOMMAIRE_.Bouton12_QuandClic">#N/A</definedName>
    <definedName name="_14MACRO_SOMMAIRE_.Bouton9_QuandClic" localSheetId="3">Summary!_14MACRO_SOMMAIRE_.Bouton9_QuandClic</definedName>
    <definedName name="_14MACRO_SOMMAIRE_.Bouton9_QuandClic">#N/A</definedName>
    <definedName name="_15" localSheetId="3">#REF!</definedName>
    <definedName name="_15">#REF!</definedName>
    <definedName name="_15______________________________________________________123Graph_BCHART_3" hidden="1">#REF!</definedName>
    <definedName name="_15__________________________________________123Graph_BCHART_3" hidden="1">#REF!</definedName>
    <definedName name="_15___123Graph_ACHART_3" hidden="1">#REF!</definedName>
    <definedName name="_15___123Graph_BCHART_3" hidden="1">#REF!</definedName>
    <definedName name="_15__123Graph_BCHART_3" hidden="1">#REF!</definedName>
    <definedName name="_15__123Graph_CCHART_17" hidden="1">#REF!</definedName>
    <definedName name="_15__123Graph_XCHART_3" hidden="1">#REF!</definedName>
    <definedName name="_15_5A.2">#REF!</definedName>
    <definedName name="_150_________________123Graph_XCHART_4" hidden="1">#REF!</definedName>
    <definedName name="_151________________123Graph_ACHART_3" hidden="1">#REF!</definedName>
    <definedName name="_151ProdCode3_Text_4_1">#REF!</definedName>
    <definedName name="_152________________123Graph_ACHART_4" hidden="1">#REF!</definedName>
    <definedName name="_152ProdCode3_4_1">#REF!</definedName>
    <definedName name="_153________________123Graph_BCHART_3" hidden="1">#REF!</definedName>
    <definedName name="_154________________123Graph_BCHART_4" hidden="1">#REF!</definedName>
    <definedName name="_154ProdCode4_4_1">#REF!</definedName>
    <definedName name="_155________________123Graph_XCHART_3" hidden="1">#REF!</definedName>
    <definedName name="_155ProdCode3_Text_4_1">#REF!</definedName>
    <definedName name="_156________________123Graph_XCHART_4" hidden="1">#REF!</definedName>
    <definedName name="_157_______________123Graph_ACHART_3" hidden="1">#REF!</definedName>
    <definedName name="_157ProdCode4_Text_4_1">#REF!</definedName>
    <definedName name="_158_______________123Graph_ACHART_4" hidden="1">#REF!</definedName>
    <definedName name="_158ProdCode4_4_1">#REF!</definedName>
    <definedName name="_158ProdCode5_4_1">#REF!</definedName>
    <definedName name="_159_______________123Graph_BCHART_3" hidden="1">#REF!</definedName>
    <definedName name="_159ProdCode5_Text_4_1">#REF!</definedName>
    <definedName name="_15MACRO_SOMMAIRE_.Bouton12_QuandClic" localSheetId="3">Summary!_15MACRO_SOMMAIRE_.Bouton12_QuandClic</definedName>
    <definedName name="_15MACRO_SOMMAIRE_.Bouton12_QuandClic">#N/A</definedName>
    <definedName name="_15MACROS_IMPRESSION_.Choix" localSheetId="3">Summary!_15MACROS_IMPRESSION_.Choix</definedName>
    <definedName name="_15MACROS_IMPRESSION_.Choix">#N/A</definedName>
    <definedName name="_16" localSheetId="3">#REF!</definedName>
    <definedName name="_16">#REF!</definedName>
    <definedName name="_16______________________________________________________123Graph_BCHART_4" hidden="1">#REF!</definedName>
    <definedName name="_16__________________________________________123Graph_BCHART_4" hidden="1">#REF!</definedName>
    <definedName name="_16___123Graph_BCHART_4" hidden="1">#REF!</definedName>
    <definedName name="_16__123Graph_ASEG_PIE" hidden="1">#REF!</definedName>
    <definedName name="_16__123Graph_BCHART_3" hidden="1">#REF!</definedName>
    <definedName name="_16__123Graph_BCHART_4" hidden="1">#REF!</definedName>
    <definedName name="_16__123Graph_CCHART_22" hidden="1">#REF!</definedName>
    <definedName name="_16__123Graph_XCHART_4" hidden="1">#REF!</definedName>
    <definedName name="_16_Mar_07">#REF!</definedName>
    <definedName name="_160_______________123Graph_BCHART_4" hidden="1">#REF!</definedName>
    <definedName name="_161_______________123Graph_XCHART_3" hidden="1">#REF!</definedName>
    <definedName name="_1617_________123Graph_ACHART_3" hidden="1">#REF!</definedName>
    <definedName name="_1618_________123Graph_ACHART_4" hidden="1">#REF!</definedName>
    <definedName name="_1619_________123Graph_BCHART_3" hidden="1">#REF!</definedName>
    <definedName name="_161ProdCode4_Text_4_1">#REF!</definedName>
    <definedName name="_162_______________123Graph_XCHART_4" hidden="1">#REF!</definedName>
    <definedName name="_1620_________123Graph_BCHART_4" hidden="1">#REF!</definedName>
    <definedName name="_1621_________123Graph_XCHART_3" hidden="1">#REF!</definedName>
    <definedName name="_1622_________123Graph_XCHART_4" hidden="1">#REF!</definedName>
    <definedName name="_162ProdCode5_4_1">#REF!</definedName>
    <definedName name="_162ProdPct1_4_1">#REF!</definedName>
    <definedName name="_163______________123Graph_ACHART_3" hidden="1">#REF!</definedName>
    <definedName name="_163ProdCode5_Text_4_1">#REF!</definedName>
    <definedName name="_164______________123Graph_ACHART_4" hidden="1">#REF!</definedName>
    <definedName name="_165______________123Graph_BCHART_3" hidden="1">#REF!</definedName>
    <definedName name="_165ProdPct2_4_1">#REF!</definedName>
    <definedName name="_166______________123Graph_BCHART_4" hidden="1">#REF!</definedName>
    <definedName name="_166ProdPct1_4_1">#REF!</definedName>
    <definedName name="_167______________123Graph_XCHART_3" hidden="1">#REF!</definedName>
    <definedName name="_168______________123Graph_XCHART_4" hidden="1">#REF!</definedName>
    <definedName name="_168ProdPct3_4_1">#REF!</definedName>
    <definedName name="_169_____________123Graph_ACHART_3" hidden="1">#REF!</definedName>
    <definedName name="_169ProdPct2_4_1">#REF!</definedName>
    <definedName name="_169ProdPct4_4_1">#REF!</definedName>
    <definedName name="_16MACROS_IMPRESSION_.Démare" localSheetId="3">Summary!_16MACROS_IMPRESSION_.Démare</definedName>
    <definedName name="_16MACROS_IMPRESSION_.Démare">#N/A</definedName>
    <definedName name="_17" localSheetId="3">#REF!</definedName>
    <definedName name="_17">#REF!</definedName>
    <definedName name="_17_____________________________________________________123Graph_ACHART_3" hidden="1">#REF!</definedName>
    <definedName name="_17_________________________________________123Graph_ACHART_3" hidden="1">#REF!</definedName>
    <definedName name="_17___123Graph_XCHART_3" hidden="1">#REF!</definedName>
    <definedName name="_17__123Graph_CSEG_PIE" hidden="1">#REF!</definedName>
    <definedName name="_17__123Graph_XCHART_3" hidden="1">#REF!</definedName>
    <definedName name="_170_____________123Graph_ACHART_4" hidden="1">#REF!</definedName>
    <definedName name="_170ProdPct5_4_1">#REF!</definedName>
    <definedName name="_171_____________123Graph_BCHART_3" hidden="1">#REF!</definedName>
    <definedName name="_171ProjAddress1_4_1">#REF!</definedName>
    <definedName name="_172_____________123Graph_BCHART_4" hidden="1">#REF!</definedName>
    <definedName name="_172ProdPct3_4_1">#REF!</definedName>
    <definedName name="_172ProjAddress2_4_1">#REF!</definedName>
    <definedName name="_173_____________123Graph_XCHART_3" hidden="1">#REF!</definedName>
    <definedName name="_173ProdPct4_4_1">#REF!</definedName>
    <definedName name="_173ProjCity_4_1">#REF!</definedName>
    <definedName name="_174_____________123Graph_XCHART_4" hidden="1">#REF!</definedName>
    <definedName name="_174ProdPct5_4_1">#REF!</definedName>
    <definedName name="_174ProjCountry_4_1">#REF!</definedName>
    <definedName name="_175____________123Graph_ACHART_3" hidden="1">#REF!</definedName>
    <definedName name="_175ProjAddress1_4_1">#REF!</definedName>
    <definedName name="_175ProjCounty_4_1">#REF!</definedName>
    <definedName name="_176____________123Graph_ACHART_4" hidden="1">#REF!</definedName>
    <definedName name="_176ProjAddress2_4_1">#REF!</definedName>
    <definedName name="_176ProjName_4_1">#REF!</definedName>
    <definedName name="_177____________123Graph_BCHART_3" hidden="1">#REF!</definedName>
    <definedName name="_1779________123Graph_XCHART_3" hidden="1">#REF!</definedName>
    <definedName name="_177ProjCity_4_1">#REF!</definedName>
    <definedName name="_177ProjNum_4_1">#REF!</definedName>
    <definedName name="_178____________123Graph_BCHART_4" hidden="1">#REF!</definedName>
    <definedName name="_1780________123Graph_XCHART_4" hidden="1">#REF!</definedName>
    <definedName name="_178ProjCountry_4_1">#REF!</definedName>
    <definedName name="_178ProjPostal_4_1">#REF!</definedName>
    <definedName name="_179____________123Graph_XCHART_3" hidden="1">#REF!</definedName>
    <definedName name="_179ProjCounty_4_1">#REF!</definedName>
    <definedName name="_179ProjState_4_1">#REF!</definedName>
    <definedName name="_17MACRO_SOMMAIRE_.Bouton13_QuandClic" localSheetId="3">Summary!_17MACRO_SOMMAIRE_.Bouton13_QuandClic</definedName>
    <definedName name="_17MACRO_SOMMAIRE_.Bouton13_QuandClic">#N/A</definedName>
    <definedName name="_18" localSheetId="3">#REF!</definedName>
    <definedName name="_18">#REF!</definedName>
    <definedName name="_18_____________________________________________________123Graph_ACHART_4" hidden="1">#REF!</definedName>
    <definedName name="_18_________________________________________123Graph_ACHART_4" hidden="1">#REF!</definedName>
    <definedName name="_18___123Graph_ACHART_4" hidden="1">#REF!</definedName>
    <definedName name="_18___123Graph_XCHART_4" hidden="1">#REF!</definedName>
    <definedName name="_18__123Graph_BCHART_15" hidden="1">#REF!</definedName>
    <definedName name="_18__123Graph_BCHART_4" hidden="1">#REF!</definedName>
    <definedName name="_18__123Graph_DCHART_15" hidden="1">#REF!</definedName>
    <definedName name="_18__123Graph_XCHART_4" hidden="1">#REF!</definedName>
    <definedName name="_18_0_0" hidden="1">#REF!</definedName>
    <definedName name="_18_5A.3">#REF!</definedName>
    <definedName name="_18_month_growth">#REF!</definedName>
    <definedName name="_180____________123Graph_XCHART_4" hidden="1">#REF!</definedName>
    <definedName name="_180ProjName_4_1">#REF!</definedName>
    <definedName name="_181___________123Graph_ACHART_3" hidden="1">#REF!</definedName>
    <definedName name="_181ProjNum_4_1">#REF!</definedName>
    <definedName name="_182___________123Graph_ACHART_4" hidden="1">#REF!</definedName>
    <definedName name="_182ProjPostal_4_1">#REF!</definedName>
    <definedName name="_182PSABillingMethod_4_1">#REF!</definedName>
    <definedName name="_183___________123Graph_BCHART_3" hidden="1">#REF!</definedName>
    <definedName name="_183ProjState_4_1">#REF!</definedName>
    <definedName name="_183rim4_4_1">#REF!</definedName>
    <definedName name="_184___________123Graph_BCHART_4" hidden="1">#REF!</definedName>
    <definedName name="_184SalesMgr_4_1">#REF!</definedName>
    <definedName name="_185___________123Graph_XCHART_3" hidden="1">#REF!</definedName>
    <definedName name="_185saud_4_1">#REF!</definedName>
    <definedName name="_186____________________123Graph_ACHART_3" hidden="1">#REF!</definedName>
    <definedName name="_186___________123Graph_XCHART_4" hidden="1">#REF!</definedName>
    <definedName name="_186PSABillingMethod_4_1">#REF!</definedName>
    <definedName name="_186sauf_4_1">#REF!</definedName>
    <definedName name="_187____________________123Graph_ACHART_4" hidden="1">#REF!</definedName>
    <definedName name="_187__________123Graph_ACHART_3" hidden="1">#REF!</definedName>
    <definedName name="_187rim4_4_1">#REF!</definedName>
    <definedName name="_187sauif_4_1">#REF!</definedName>
    <definedName name="_188____________________123Graph_BCHART_3" hidden="1">#REF!</definedName>
    <definedName name="_188__________123Graph_ACHART_4" hidden="1">#REF!</definedName>
    <definedName name="_188SalesMgr_4_1">#REF!</definedName>
    <definedName name="_188SelectedLanguage_4_1">#REF!</definedName>
    <definedName name="_189____________________123Graph_BCHART_4" hidden="1">#REF!</definedName>
    <definedName name="_189__________123Graph_BCHART_3" hidden="1">#REF!</definedName>
    <definedName name="_189saud_4_1">#REF!</definedName>
    <definedName name="_18MACRO_SOMMAIRE_.Bouton13_QuandClic" localSheetId="3">Summary!_18MACRO_SOMMAIRE_.Bouton13_QuandClic</definedName>
    <definedName name="_18MACRO_SOMMAIRE_.Bouton13_QuandClic">#N/A</definedName>
    <definedName name="_19" localSheetId="3">#REF!</definedName>
    <definedName name="_19">#REF!</definedName>
    <definedName name="_19_____________________________________________________123Graph_BCHART_3" hidden="1">#REF!</definedName>
    <definedName name="_19_________________________________________123Graph_BCHART_3" hidden="1">#REF!</definedName>
    <definedName name="_19__123Graph_BCHART_4" hidden="1">#REF!</definedName>
    <definedName name="_19__123Graph_DCHART_16" hidden="1">#REF!</definedName>
    <definedName name="_19__123Graph_XCHART_3" hidden="1">#REF!</definedName>
    <definedName name="_190____________________123Graph_XCHART_3" hidden="1">#REF!</definedName>
    <definedName name="_190__________123Graph_BCHART_4" hidden="1">#REF!</definedName>
    <definedName name="_190sauf_4_1">#REF!</definedName>
    <definedName name="_191____________________123Graph_XCHART_4" hidden="1">#REF!</definedName>
    <definedName name="_191__________123Graph_XCHART_3" hidden="1">#REF!</definedName>
    <definedName name="_191sauif_4_1">#REF!</definedName>
    <definedName name="_191SiteID_4_1">#REF!</definedName>
    <definedName name="_192__________123Graph_XCHART_4" hidden="1">#REF!</definedName>
    <definedName name="_192SelectedLanguage_4_1">#REF!</definedName>
    <definedName name="_193_________123Graph_ACHART_3" hidden="1">#REF!</definedName>
    <definedName name="_194_________123Graph_ACHART_4" hidden="1">#REF!</definedName>
    <definedName name="_194SiteType_4_1">#REF!</definedName>
    <definedName name="_195_________123Graph_BCHART_3" hidden="1">#REF!</definedName>
    <definedName name="_195SiteID_4_1">#REF!</definedName>
    <definedName name="_195SmallProj_4_1">#REF!</definedName>
    <definedName name="_196_________123Graph_BCHART_4" hidden="1">#REF!</definedName>
    <definedName name="_196SmallProj_Text_4_1">#REF!</definedName>
    <definedName name="_197_________123Graph_XCHART_3" hidden="1">#REF!</definedName>
    <definedName name="_197SP1Branch_4_1">#REF!</definedName>
    <definedName name="_198_________123Graph_XCHART_4" hidden="1">#REF!</definedName>
    <definedName name="_198SiteType_4_1">#REF!</definedName>
    <definedName name="_198SP1Credit_4_1">#REF!</definedName>
    <definedName name="_199________123Graph_ACHART_3" hidden="1">#REF!</definedName>
    <definedName name="_199SmallProj_4_1">#REF!</definedName>
    <definedName name="_199SP1Name_4_1">#REF!</definedName>
    <definedName name="_1Excel_BuiltIn_Print_Area_5_1_1">#REF!</definedName>
    <definedName name="_1M_1">#REF!</definedName>
    <definedName name="_1MACRO_3___Roof_Plate_.resolution" localSheetId="3">Summary!_1MACRO_3___Roof_Plate_.resolution</definedName>
    <definedName name="_1MACRO_3___Roof_Plate_.resolution">#N/A</definedName>
    <definedName name="_2">#REF!</definedName>
    <definedName name="_2_" hidden="1">#REF!</definedName>
    <definedName name="_2__________________________________________________________123Graph_ACHART_4" hidden="1">#REF!</definedName>
    <definedName name="_2_____________________________________________123Graph_ACHART_4" hidden="1">#REF!</definedName>
    <definedName name="_2_____123Graph_ACHART_4" hidden="1">#REF!</definedName>
    <definedName name="_2____123Graph_ACHART_3" hidden="1">#REF!</definedName>
    <definedName name="_2____123Graph_ACHART_4" hidden="1">#REF!</definedName>
    <definedName name="_2___123Graph_ACHART_2" hidden="1">#REF!</definedName>
    <definedName name="_2___123Graph_ACHART_3" hidden="1">#REF!</definedName>
    <definedName name="_2___123Graph_ACHART_4" hidden="1">#REF!</definedName>
    <definedName name="_2__123Graph_ACHART_12" hidden="1">#REF!</definedName>
    <definedName name="_2__123Graph_ACHART_15" hidden="1">#REF!</definedName>
    <definedName name="_2__123Graph_ACHART_2" hidden="1">#REF!</definedName>
    <definedName name="_2__123Graph_ACHART_3" hidden="1">#REF!</definedName>
    <definedName name="_2__123Graph_ACHART_4" hidden="1">#REF!</definedName>
    <definedName name="_2_0_0_F" hidden="1">#REF!</definedName>
    <definedName name="_2_1">#REF!</definedName>
    <definedName name="_2_1.3">#REF!</definedName>
    <definedName name="_2_SLQ_NozzleList">#REF!</definedName>
    <definedName name="_20">#REF!</definedName>
    <definedName name="_20_____________________________________________________123Graph_BCHART_4" hidden="1">#REF!</definedName>
    <definedName name="_20_________________________________________123Graph_BCHART_4" hidden="1">#REF!</definedName>
    <definedName name="_20__123Graph_ACHART_3" hidden="1">#REF!</definedName>
    <definedName name="_20__123Graph_BCHART_16" hidden="1">#REF!</definedName>
    <definedName name="_20__123Graph_BCHART_4" hidden="1">#REF!</definedName>
    <definedName name="_20__123Graph_DCHART_17" hidden="1">#REF!</definedName>
    <definedName name="_20__123Graph_XCHART_3" hidden="1">#REF!</definedName>
    <definedName name="_20__123Graph_XCHART_4" hidden="1">#REF!</definedName>
    <definedName name="_200________123Graph_ACHART_4" hidden="1">#REF!</definedName>
    <definedName name="_200SmallProj_Text_4_1">#REF!</definedName>
    <definedName name="_200SP1Number_4_1">#REF!</definedName>
    <definedName name="_201________123Graph_BCHART_3" hidden="1">#REF!</definedName>
    <definedName name="_201SP1Branch_4_1">#REF!</definedName>
    <definedName name="_202________123Graph_BCHART_4" hidden="1">#REF!</definedName>
    <definedName name="_202SP1Credit_4_1">#REF!</definedName>
    <definedName name="_203________123Graph_XCHART_3" hidden="1">#REF!</definedName>
    <definedName name="_203SP1Name_4_1">#REF!</definedName>
    <definedName name="_203SP2Branch_4_1">#REF!</definedName>
    <definedName name="_204________123Graph_XCHART_4" hidden="1">#REF!</definedName>
    <definedName name="_204SP1Number_4_1">#REF!</definedName>
    <definedName name="_205_______123Graph_ACHART_3" hidden="1">#REF!</definedName>
    <definedName name="_206_______123Graph_ACHART_4" hidden="1">#REF!</definedName>
    <definedName name="_206SP2Credit_4_1">#REF!</definedName>
    <definedName name="_207_______123Graph_BCHART_3" hidden="1">#REF!</definedName>
    <definedName name="_207SP2Branch_4_1">#REF!</definedName>
    <definedName name="_208_______123Graph_BCHART_4" hidden="1">#REF!</definedName>
    <definedName name="_209_______123Graph_XCHART_3" hidden="1">#REF!</definedName>
    <definedName name="_209SP2Name_4_1">#REF!</definedName>
    <definedName name="_20MACRO_SOMMAIRE_.Bouton2_QuandClic" localSheetId="3">Summary!_20MACRO_SOMMAIRE_.Bouton2_QuandClic</definedName>
    <definedName name="_20MACRO_SOMMAIRE_.Bouton2_QuandClic">#N/A</definedName>
    <definedName name="_21" localSheetId="3">#REF!</definedName>
    <definedName name="_21">#REF!</definedName>
    <definedName name="_21___________________________________________________123Graph_ACHART_3" hidden="1">#REF!</definedName>
    <definedName name="_21________________________________________123Graph_ACHART_3" hidden="1">#REF!</definedName>
    <definedName name="_21___123Graph_BCHART_3" hidden="1">#REF!</definedName>
    <definedName name="_21__123Graph_DCHART_22" hidden="1">#REF!</definedName>
    <definedName name="_21__123Graph_XCHART_3" hidden="1">#REF!</definedName>
    <definedName name="_21__123Graph_XCHART_4" hidden="1">#REF!</definedName>
    <definedName name="_21_5B.1">#REF!</definedName>
    <definedName name="_210_______123Graph_XCHART_4" hidden="1">#REF!</definedName>
    <definedName name="_210SP2Credit_4_1">#REF!</definedName>
    <definedName name="_211______123Graph_ACHART_3" hidden="1">#REF!</definedName>
    <definedName name="_212______123Graph_ACHART_4" hidden="1">#REF!</definedName>
    <definedName name="_212SP2Number_4_1">#REF!</definedName>
    <definedName name="_213______123Graph_BCHART_3" hidden="1">#REF!</definedName>
    <definedName name="_213SP2Name_4_1">#REF!</definedName>
    <definedName name="_214______123Graph_BCHART_4" hidden="1">#REF!</definedName>
    <definedName name="_215______123Graph_XCHART_3" hidden="1">#REF!</definedName>
    <definedName name="_215SP3Branch_4_1">#REF!</definedName>
    <definedName name="_216______123Graph_XCHART_4" hidden="1">#REF!</definedName>
    <definedName name="_216SP2Number_4_1">#REF!</definedName>
    <definedName name="_217_____123Graph_ACHART_3" hidden="1">#REF!</definedName>
    <definedName name="_218_____123Graph_ACHART_4" hidden="1">#REF!</definedName>
    <definedName name="_218SP3Credit_4_1">#REF!</definedName>
    <definedName name="_219_____123Graph_BCHART_3" hidden="1">#REF!</definedName>
    <definedName name="_219SP3Branch_4_1">#REF!</definedName>
    <definedName name="_21MACRO_SOMMAIRE_.Bouton2_QuandClic" localSheetId="3">Summary!_21MACRO_SOMMAIRE_.Bouton2_QuandClic</definedName>
    <definedName name="_21MACRO_SOMMAIRE_.Bouton2_QuandClic">#N/A</definedName>
    <definedName name="_22">#N/A</definedName>
    <definedName name="_22___________________________________________________123Graph_ACHART_4" hidden="1">#REF!</definedName>
    <definedName name="_22________________________________________123Graph_ACHART_4" hidden="1">#REF!</definedName>
    <definedName name="_22__123Graph_ACHART_4" hidden="1">#REF!</definedName>
    <definedName name="_22__123Graph_BCHART_17" hidden="1">#REF!</definedName>
    <definedName name="_22__123Graph_ECHART_15" hidden="1">#REF!</definedName>
    <definedName name="_22__123Graph_XCHART_4" hidden="1">#REF!</definedName>
    <definedName name="_220_____123Graph_BCHART_4" hidden="1">#REF!</definedName>
    <definedName name="_221_____123Graph_XCHART_3" hidden="1">#REF!</definedName>
    <definedName name="_221SP3Name_4_1">#REF!</definedName>
    <definedName name="_222_____123Graph_XCHART_4" hidden="1">#REF!</definedName>
    <definedName name="_222SP3Credit_4_1">#REF!</definedName>
    <definedName name="_223____123Graph_ACHART_3" hidden="1">#REF!</definedName>
    <definedName name="_224____123Graph_ACHART_4" hidden="1">#REF!</definedName>
    <definedName name="_224SP3Number_4_1">#REF!</definedName>
    <definedName name="_225____123Graph_BCHART_3" hidden="1">#REF!</definedName>
    <definedName name="_225SP3Name_4_1">#REF!</definedName>
    <definedName name="_226____123Graph_BCHART_4" hidden="1">#REF!</definedName>
    <definedName name="_227____123Graph_XCHART_3" hidden="1">#REF!</definedName>
    <definedName name="_227SP4Branch_4_1">#REF!</definedName>
    <definedName name="_228____123Graph_XCHART_4" hidden="1">#REF!</definedName>
    <definedName name="_228SP3Number_4_1">#REF!</definedName>
    <definedName name="_229___123Graph_ACHART_3" hidden="1">#REF!</definedName>
    <definedName name="_23">#REF!</definedName>
    <definedName name="_23___________________________________________________123Graph_BCHART_3" hidden="1">#REF!</definedName>
    <definedName name="_23________________________________________123Graph_BCHART_3" hidden="1">#REF!</definedName>
    <definedName name="_23__123Graph_ACHART_3" hidden="1">#REF!</definedName>
    <definedName name="_23__123Graph_ECHART_16" hidden="1">#REF!</definedName>
    <definedName name="_230___123Graph_ACHART_4" hidden="1">#REF!</definedName>
    <definedName name="_230SP4Credit_4_1">#REF!</definedName>
    <definedName name="_231___123Graph_BCHART_3" hidden="1">#REF!</definedName>
    <definedName name="_231SP4Branch_4_1">#REF!</definedName>
    <definedName name="_231SP4Name_4_1">#REF!</definedName>
    <definedName name="_232___123Graph_BCHART_4" hidden="1">#REF!</definedName>
    <definedName name="_233___123Graph_XCHART_3" hidden="1">#REF!</definedName>
    <definedName name="_234___123Graph_XCHART_4" hidden="1">#REF!</definedName>
    <definedName name="_234SP4Credit_4_1">#REF!</definedName>
    <definedName name="_234SP4Number_4_1">#REF!</definedName>
    <definedName name="_235__123Graph_ACHART_3" hidden="1">#REF!</definedName>
    <definedName name="_235SP4Name_4_1">#REF!</definedName>
    <definedName name="_236__123Graph_ACHART_4" hidden="1">#REF!</definedName>
    <definedName name="_237__123Graph_BCHART_3" hidden="1">#REF!</definedName>
    <definedName name="_237SP5Branch_4_1">#REF!</definedName>
    <definedName name="_238__123Graph_BCHART_4" hidden="1">#REF!</definedName>
    <definedName name="_238SP4Number_4_1">#REF!</definedName>
    <definedName name="_239__123Graph_XCHART_3" hidden="1">#REF!</definedName>
    <definedName name="_23MACRO_SOMMAIRE_.Bouton3_QuandClic" localSheetId="3">Summary!_23MACRO_SOMMAIRE_.Bouton3_QuandClic</definedName>
    <definedName name="_23MACRO_SOMMAIRE_.Bouton3_QuandClic">#N/A</definedName>
    <definedName name="_24" localSheetId="3">#REF!</definedName>
    <definedName name="_24">#REF!</definedName>
    <definedName name="_24___________________________________________________123Graph_BCHART_4" hidden="1">#REF!</definedName>
    <definedName name="_24________________________________________123Graph_BCHART_4" hidden="1">#REF!</definedName>
    <definedName name="_24___123Graph_BCHART_4" hidden="1">#REF!</definedName>
    <definedName name="_24__123Graph_ACHART_3" hidden="1">#REF!</definedName>
    <definedName name="_24__123Graph_BCHART_22" hidden="1">#REF!</definedName>
    <definedName name="_24__123Graph_BCHART_3" hidden="1">#REF!</definedName>
    <definedName name="_24__123Graph_ECHART_17" hidden="1">#REF!</definedName>
    <definedName name="_24_5B.2">#REF!</definedName>
    <definedName name="_24_Jul_09">#REF!</definedName>
    <definedName name="_24_month_growth">#REF!</definedName>
    <definedName name="_240___________________123Graph_ACHART_3" hidden="1">#REF!</definedName>
    <definedName name="_240__123Graph_XCHART_4" hidden="1">#REF!</definedName>
    <definedName name="_240SP5Credit_4_1">#REF!</definedName>
    <definedName name="_241___________________123Graph_ACHART_4" hidden="1">#REF!</definedName>
    <definedName name="_241SP5Branch_4_1">#REF!</definedName>
    <definedName name="_242___________________123Graph_BCHART_3" hidden="1">#REF!</definedName>
    <definedName name="_243___________________123Graph_BCHART_4" hidden="1">#REF!</definedName>
    <definedName name="_243SP5Name_4_1">#REF!</definedName>
    <definedName name="_244___________________123Graph_XCHART_3" hidden="1">#REF!</definedName>
    <definedName name="_244SP5Credit_4_1">#REF!</definedName>
    <definedName name="_245___________________123Graph_XCHART_4" hidden="1">#REF!</definedName>
    <definedName name="_246SP5Number_4_1">#REF!</definedName>
    <definedName name="_247SP5Name_4_1">#REF!</definedName>
    <definedName name="_247SpecClass_4_1">#REF!</definedName>
    <definedName name="_248SpecClass_Text_4_1">#REF!</definedName>
    <definedName name="_24MACRO_SOMMAIRE_.Bouton3_QuandClic" localSheetId="3">Summary!_24MACRO_SOMMAIRE_.Bouton3_QuandClic</definedName>
    <definedName name="_24MACRO_SOMMAIRE_.Bouton3_QuandClic">#N/A</definedName>
    <definedName name="_25" localSheetId="3">#REF!</definedName>
    <definedName name="_25">#REF!</definedName>
    <definedName name="_25_________________________________________________123Graph_ACHART_3" hidden="1">#REF!</definedName>
    <definedName name="_25_______________________________________123Graph_ACHART_3" hidden="1">#REF!</definedName>
    <definedName name="_25___123Graph_XCHART_3" hidden="1">#REF!</definedName>
    <definedName name="_25__123Graph_ECHART_22" hidden="1">#REF!</definedName>
    <definedName name="_25_1">#REF!</definedName>
    <definedName name="_25_dec_09">#REF!</definedName>
    <definedName name="_250SP5Number_4_1">#REF!</definedName>
    <definedName name="_251SpecClass_4_1">#REF!</definedName>
    <definedName name="_251SpecEnv1_4_1">#REF!</definedName>
    <definedName name="_252SpecClass_Text_4_1">#REF!</definedName>
    <definedName name="_254SpecEnv1_Text_4_1">#REF!</definedName>
    <definedName name="_255SpecEnv1_4_1">#REF!</definedName>
    <definedName name="_257SpecEnv2_4_1">#REF!</definedName>
    <definedName name="_258SpecEnv1_Text_4_1">#REF!</definedName>
    <definedName name="_26">#REF!</definedName>
    <definedName name="_26_________________________________________________123Graph_ACHART_4" hidden="1">#REF!</definedName>
    <definedName name="_26_______________________________________123Graph_ACHART_4" hidden="1">#REF!</definedName>
    <definedName name="_26___123Graph_XCHART_4" hidden="1">#REF!</definedName>
    <definedName name="_26__123Graph_BCHART_4" hidden="1">#REF!</definedName>
    <definedName name="_26__123Graph_CCHART_15" hidden="1">#REF!</definedName>
    <definedName name="_26__123Graph_FCHART_15" hidden="1">#REF!</definedName>
    <definedName name="_260SpecEnv2_Text_4_1">#REF!</definedName>
    <definedName name="_261SpecEnv2_4_1">#REF!</definedName>
    <definedName name="_261SPLR_4_1">#REF!</definedName>
    <definedName name="_264SpecEnv2_Text_4_1">#REF!</definedName>
    <definedName name="_264SrvcCode1_4_1">#REF!</definedName>
    <definedName name="_265SPLR_4_1">#REF!</definedName>
    <definedName name="_267SrvcCode1_Text_4_1">#REF!</definedName>
    <definedName name="_268SrvcCode1_4_1">#REF!</definedName>
    <definedName name="_26MACRO_SOMMAIRE_.Bouton4_QuandClic" localSheetId="3">Summary!_26MACRO_SOMMAIRE_.Bouton4_QuandClic</definedName>
    <definedName name="_26MACRO_SOMMAIRE_.Bouton4_QuandClic">#N/A</definedName>
    <definedName name="_27" localSheetId="3">#REF!</definedName>
    <definedName name="_27">#REF!</definedName>
    <definedName name="_27_________________________________________________123Graph_BCHART_3" hidden="1">#REF!</definedName>
    <definedName name="_27_______________________________________123Graph_BCHART_3" hidden="1">#REF!</definedName>
    <definedName name="_27__123Graph_FCHART_16" hidden="1">#REF!</definedName>
    <definedName name="_27__123Graph_XCHART_3" hidden="1">#REF!</definedName>
    <definedName name="_27_5B.3">#REF!</definedName>
    <definedName name="_270SrvcCode2_4_1">#REF!</definedName>
    <definedName name="_271SrvcCode1_Text_4_1">#REF!</definedName>
    <definedName name="_273SrvcCode2_Text_4_1">#REF!</definedName>
    <definedName name="_274SrvcCode2_4_1">#REF!</definedName>
    <definedName name="_276SrvcCode3_4_1">#REF!</definedName>
    <definedName name="_277SrvcCode2_Text_4_1">#REF!</definedName>
    <definedName name="_279SrvcCode3_Text_4_1">#REF!</definedName>
    <definedName name="_27MACRO_SOMMAIRE_.Bouton4_QuandClic" localSheetId="3">Summary!_27MACRO_SOMMAIRE_.Bouton4_QuandClic</definedName>
    <definedName name="_27MACRO_SOMMAIRE_.Bouton4_QuandClic">#N/A</definedName>
    <definedName name="_28" localSheetId="3">#REF!</definedName>
    <definedName name="_28">#REF!</definedName>
    <definedName name="_28_________________________________________________123Graph_BCHART_4" hidden="1">#REF!</definedName>
    <definedName name="_28_______________________________________123Graph_BCHART_4" hidden="1">#REF!</definedName>
    <definedName name="_28__123Graph_ACHART_4" hidden="1">#REF!</definedName>
    <definedName name="_28__123Graph_CCHART_16" hidden="1">#REF!</definedName>
    <definedName name="_28__123Graph_FCHART_17" hidden="1">#REF!</definedName>
    <definedName name="_28__123Graph_XCHART_4" hidden="1">#REF!</definedName>
    <definedName name="_28_0__123Graph_X" hidden="1">#REF!</definedName>
    <definedName name="_280SrvcCode3_4_1">#REF!</definedName>
    <definedName name="_280SrvcCode4_4_1">#REF!</definedName>
    <definedName name="_281SrvcCode4_Text_4_1">#REF!</definedName>
    <definedName name="_282SrvcCode5_4_1">#REF!</definedName>
    <definedName name="_283SrvcCode3_Text_4_1">#REF!</definedName>
    <definedName name="_283SrvcCode5_Text_4_1">#REF!</definedName>
    <definedName name="_284SrvcCode4_4_1">#REF!</definedName>
    <definedName name="_284StartDate_4_1">#REF!</definedName>
    <definedName name="_285SrvcCode4_Text_4_1">#REF!</definedName>
    <definedName name="_285swf_4_1">#REF!</definedName>
    <definedName name="_286SrvcCode5_4_1">#REF!</definedName>
    <definedName name="_286TierCode_4_1">#REF!</definedName>
    <definedName name="_287SrvcCode5_Text_4_1">#REF!</definedName>
    <definedName name="_287TierCode_Text_4_1">#REF!</definedName>
    <definedName name="_288StartDate_4_1">#REF!</definedName>
    <definedName name="_288vatf_4_1">#REF!</definedName>
    <definedName name="_289swf_4_1">#REF!</definedName>
    <definedName name="_29_______________________________________________123Graph_ACHART_3" hidden="1">#REF!</definedName>
    <definedName name="_29______________________________________123Graph_ACHART_3" hidden="1">#REF!</definedName>
    <definedName name="_29__123Graph_FCHART_22" hidden="1">#REF!</definedName>
    <definedName name="_290TierCode_4_1">#REF!</definedName>
    <definedName name="_291TierCode_Text_4_1">#REF!</definedName>
    <definedName name="_292vatf_4_1">#REF!</definedName>
    <definedName name="_298__________________123Graph_XCHART_3" hidden="1">#REF!</definedName>
    <definedName name="_299__________________123Graph_XCHART_4" hidden="1">#REF!</definedName>
    <definedName name="_29MACRO_SOMMAIRE_.Bouton5_QuandClic" localSheetId="3">Summary!_29MACRO_SOMMAIRE_.Bouton5_QuandClic</definedName>
    <definedName name="_29MACRO_SOMMAIRE_.Bouton5_QuandClic">#N/A</definedName>
    <definedName name="_2ELECB" localSheetId="3">#REF!</definedName>
    <definedName name="_2ELECB">#REF!</definedName>
    <definedName name="_2Excel_BuiltIn_Print_Area_7_1">#REF!</definedName>
    <definedName name="_2fd2_" localSheetId="3" hidden="1">{#N/A,#N/A,TRUE,"Cover Memo";"Complete Sys. Estimate",#N/A,TRUE,"Change Summary";"Complete Sys. Estimate",#N/A,TRUE,"Estimate Summary";"Complete Sys. Estimate",#N/A,TRUE,"Dept. Summary";"Complete Sys. Estimate",#N/A,TRUE,"DOW Detail"}</definedName>
    <definedName name="_2fd2_" hidden="1">{#N/A,#N/A,TRUE,"Cover Memo";"Complete Sys. Estimate",#N/A,TRUE,"Change Summary";"Complete Sys. Estimate",#N/A,TRUE,"Estimate Summary";"Complete Sys. Estimate",#N/A,TRUE,"Dept. Summary";"Complete Sys. Estimate",#N/A,TRUE,"DOW Detail"}</definedName>
    <definedName name="_2M_2">#REF!</definedName>
    <definedName name="_2MACRO_3___Roof_Plate_.resolution" localSheetId="3">Summary!_2MACRO_3___Roof_Plate_.resolution</definedName>
    <definedName name="_2MACRO_3___Roof_Plate_.resolution">#N/A</definedName>
    <definedName name="_2MACRO_SOMMAIRE_.Bouton1_QuandClic" localSheetId="3">Summary!_2MACRO_SOMMAIRE_.Bouton1_QuandClic</definedName>
    <definedName name="_2MACRO_SOMMAIRE_.Bouton1_QuandClic">#N/A</definedName>
    <definedName name="_3">#REF!</definedName>
    <definedName name="_3.7">#REF!</definedName>
    <definedName name="_3__________________________________________________________123Graph_BCHART_3" hidden="1">#REF!</definedName>
    <definedName name="_3_____________________________________________123Graph_BCHART_3" hidden="1">#REF!</definedName>
    <definedName name="_3_____123Graph_BCHART_3" hidden="1">#REF!</definedName>
    <definedName name="_3____123Graph_ACHART_3" hidden="1">#REF!</definedName>
    <definedName name="_3____123Graph_BCHART_3" hidden="1">#REF!</definedName>
    <definedName name="_3___123Graph_ACHART_4" hidden="1">#REF!</definedName>
    <definedName name="_3___123Graph_BCHART_2" hidden="1">#REF!</definedName>
    <definedName name="_3___123Graph_BCHART_3" hidden="1">#REF!</definedName>
    <definedName name="_3__123Graph_ACHART_16" hidden="1">#REF!</definedName>
    <definedName name="_3__123Graph_ACHART_3" hidden="1">#REF!</definedName>
    <definedName name="_3__123Graph_BCHART_2" hidden="1">#REF!</definedName>
    <definedName name="_3__123Graph_BCHART_3" hidden="1">#REF!</definedName>
    <definedName name="_3_1">#REF!</definedName>
    <definedName name="_3_1.2">#REF!</definedName>
    <definedName name="_3_1.4">#REF!</definedName>
    <definedName name="_3_10">#REF!</definedName>
    <definedName name="_3_11">#REF!</definedName>
    <definedName name="_3_12">#REF!</definedName>
    <definedName name="_3_2">#REF!</definedName>
    <definedName name="_3_3">#REF!</definedName>
    <definedName name="_3_4">#REF!</definedName>
    <definedName name="_3_5">#REF!</definedName>
    <definedName name="_3_6">#REF!</definedName>
    <definedName name="_3_7">#REF!</definedName>
    <definedName name="_3_8">#REF!</definedName>
    <definedName name="_3_9">#REF!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0_______________________________________________123Graph_ACHART_4" hidden="1">#REF!</definedName>
    <definedName name="_30______________________________________123Graph_ACHART_4" hidden="1">#REF!</definedName>
    <definedName name="_30__123Graph_ACHART_4" hidden="1">#REF!</definedName>
    <definedName name="_30__123Graph_CCHART_17" hidden="1">#REF!</definedName>
    <definedName name="_30__123Graph_XCHART_15" hidden="1">#REF!</definedName>
    <definedName name="_30_5B.4">#REF!</definedName>
    <definedName name="_30cd___Horizontal_Strobe_light_speaker__wall_mounted">#REF!</definedName>
    <definedName name="_30cd__Vertical_strobe_light__wall_mounted">#REF!</definedName>
    <definedName name="_30MACRO_SOMMAIRE_.Bouton5_QuandClic" localSheetId="3">Summary!_30MACRO_SOMMAIRE_.Bouton5_QuandClic</definedName>
    <definedName name="_30MACRO_SOMMAIRE_.Bouton5_QuandClic">#N/A</definedName>
    <definedName name="_31" localSheetId="3">#REF!</definedName>
    <definedName name="_31">#REF!</definedName>
    <definedName name="_31_______________________________________________123Graph_BCHART_3" hidden="1">#REF!</definedName>
    <definedName name="_31______________________________________123Graph_BCHART_3" hidden="1">#REF!</definedName>
    <definedName name="_31__123Graph_XCHART_16" hidden="1">#REF!</definedName>
    <definedName name="_32">#REF!</definedName>
    <definedName name="_32_______________________________________________123Graph_BCHART_4" hidden="1">#REF!</definedName>
    <definedName name="_32______________________________________123Graph_BCHART_4" hidden="1">#REF!</definedName>
    <definedName name="_32__123Graph_CCHART_22" hidden="1">#REF!</definedName>
    <definedName name="_32__123Graph_XCHART_17" hidden="1">#REF!</definedName>
    <definedName name="_321" hidden="1">#REF!</definedName>
    <definedName name="_32MACRO_SOMMAIRE_.Bouton6_QuandClic" localSheetId="3">Summary!_32MACRO_SOMMAIRE_.Bouton6_QuandClic</definedName>
    <definedName name="_32MACRO_SOMMAIRE_.Bouton6_QuandClic">#N/A</definedName>
    <definedName name="_33" localSheetId="3">#REF!</definedName>
    <definedName name="_33">#REF!</definedName>
    <definedName name="_33_____________________________________________123Graph_ACHART_3" hidden="1">#REF!</definedName>
    <definedName name="_33_____________________________________123Graph_ACHART_3" hidden="1">#REF!</definedName>
    <definedName name="_33__123Graph_BCHART_3" hidden="1">#REF!</definedName>
    <definedName name="_33__123Graph_XCHART_18" hidden="1">#REF!</definedName>
    <definedName name="_33_6.2">#REF!</definedName>
    <definedName name="_33MACRO_SOMMAIRE_.Bouton6_QuandClic" localSheetId="3">Summary!_33MACRO_SOMMAIRE_.Bouton6_QuandClic</definedName>
    <definedName name="_33MACRO_SOMMAIRE_.Bouton6_QuandClic">#N/A</definedName>
    <definedName name="_34" localSheetId="3">#REF!</definedName>
    <definedName name="_34">#REF!</definedName>
    <definedName name="_34_____________________________________________123Graph_ACHART_4" hidden="1">#REF!</definedName>
    <definedName name="_34_____________________________________123Graph_ACHART_4" hidden="1">#REF!</definedName>
    <definedName name="_34__123Graph_CSEG_PIE" hidden="1">#REF!</definedName>
    <definedName name="_34__123Graph_XCHART_19" hidden="1">#REF!</definedName>
    <definedName name="_35_____________________________________________123Graph_BCHART_3" hidden="1">#REF!</definedName>
    <definedName name="_35_____________________________________123Graph_BCHART_3" hidden="1">#REF!</definedName>
    <definedName name="_35__123Graph_XCHART_22" hidden="1">#REF!</definedName>
    <definedName name="_353_________________123Graph_ACHART_3" hidden="1">#REF!</definedName>
    <definedName name="_354_________________123Graph_ACHART_4" hidden="1">#REF!</definedName>
    <definedName name="_355_________________123Graph_BCHART_3" hidden="1">#REF!</definedName>
    <definedName name="_356_________________123Graph_BCHART_4" hidden="1">#REF!</definedName>
    <definedName name="_357_________________123Graph_XCHART_3" hidden="1">#REF!</definedName>
    <definedName name="_358_________________123Graph_XCHART_4" hidden="1">#REF!</definedName>
    <definedName name="_35MACRO_SOMMAIRE_.Bouton7_QuandClic" localSheetId="3">Summary!_35MACRO_SOMMAIRE_.Bouton7_QuandClic</definedName>
    <definedName name="_35MACRO_SOMMAIRE_.Bouton7_QuandClic">#N/A</definedName>
    <definedName name="_36" localSheetId="3">#REF!</definedName>
    <definedName name="_36">#REF!</definedName>
    <definedName name="_36_____________________________________________123Graph_BCHART_4" hidden="1">#REF!</definedName>
    <definedName name="_36_____________________________________123Graph_BCHART_4" hidden="1">#REF!</definedName>
    <definedName name="_36__123Graph_BCHART_3" hidden="1">#REF!</definedName>
    <definedName name="_36__123Graph_DCHART_15" hidden="1">#REF!</definedName>
    <definedName name="_36__123Graph_XSEG_PIE" hidden="1">#REF!</definedName>
    <definedName name="_36_6.3">#REF!</definedName>
    <definedName name="_36MACRO_SOMMAIRE_.Bouton7_QuandClic" localSheetId="3">Summary!_36MACRO_SOMMAIRE_.Bouton7_QuandClic</definedName>
    <definedName name="_36MACRO_SOMMAIRE_.Bouton7_QuandClic">#N/A</definedName>
    <definedName name="_37" localSheetId="3">#REF!</definedName>
    <definedName name="_37">#REF!</definedName>
    <definedName name="_37___________________________________________123Graph_ACHART_3" hidden="1">#REF!</definedName>
    <definedName name="_37_____________________________________123Graph_XCHART_3" hidden="1">#REF!</definedName>
    <definedName name="_38___________________________________________123Graph_ACHART_4" hidden="1">#REF!</definedName>
    <definedName name="_38_____________________________________123Graph_XCHART_4" hidden="1">#REF!</definedName>
    <definedName name="_38__123Graph_ACHART_3" hidden="1">#REF!</definedName>
    <definedName name="_38__123Graph_BCHART_4" hidden="1">#REF!</definedName>
    <definedName name="_38__123Graph_DCHART_16" hidden="1">#REF!</definedName>
    <definedName name="_38MACRO_SOMMAIRE_.Bouton8_QuandClic" localSheetId="3">Summary!_38MACRO_SOMMAIRE_.Bouton8_QuandClic</definedName>
    <definedName name="_38MACRO_SOMMAIRE_.Bouton8_QuandClic">#N/A</definedName>
    <definedName name="_39___________________________________________123Graph_BCHART_3" hidden="1">#REF!</definedName>
    <definedName name="_39____________________________________123Graph_ACHART_3" hidden="1">#REF!</definedName>
    <definedName name="_39__123Graph_XCHART_3" hidden="1">#REF!</definedName>
    <definedName name="_39_6.4">#REF!</definedName>
    <definedName name="_39MACRO_SOMMAIRE_.Bouton8_QuandClic" localSheetId="3">Summary!_39MACRO_SOMMAIRE_.Bouton8_QuandClic</definedName>
    <definedName name="_39MACRO_SOMMAIRE_.Bouton8_QuandClic">#N/A</definedName>
    <definedName name="_3MACRO_3___Roof_Plate_.resolution" localSheetId="3">Summary!_3MACRO_3___Roof_Plate_.resolution</definedName>
    <definedName name="_3MACRO_3___Roof_Plate_.resolution">#N/A</definedName>
    <definedName name="_3MACRO_SOMMAIRE_.Bouton10_QuandClic" localSheetId="3">Summary!_3MACRO_SOMMAIRE_.Bouton10_QuandClic</definedName>
    <definedName name="_3MACRO_SOMMAIRE_.Bouton10_QuandClic">#N/A</definedName>
    <definedName name="_4">#REF!</definedName>
    <definedName name="_4__________________________________________________________123Graph_BCHART_4" hidden="1">#REF!</definedName>
    <definedName name="_4_____________________________________________123Graph_BCHART_4" hidden="1">#REF!</definedName>
    <definedName name="_4_____123Graph_BCHART_4" hidden="1">#REF!</definedName>
    <definedName name="_4____123Graph_ACHART_4" hidden="1">#REF!</definedName>
    <definedName name="_4____123Graph_BCHART_4" hidden="1">#REF!</definedName>
    <definedName name="_4___123Graph_ACHART_4" hidden="1">#REF!</definedName>
    <definedName name="_4___123Graph_BCHART_3" hidden="1">#REF!</definedName>
    <definedName name="_4___123Graph_BCHART_4" hidden="1">#REF!</definedName>
    <definedName name="_4___123Graph_CCHART_1" hidden="1">#REF!</definedName>
    <definedName name="_4__123Graph_ACHART_15" hidden="1">#REF!</definedName>
    <definedName name="_4__123Graph_ACHART_17" hidden="1">#REF!</definedName>
    <definedName name="_4__123Graph_ACHART_3" hidden="1">#REF!</definedName>
    <definedName name="_4__123Graph_ACHART_4" hidden="1">#REF!</definedName>
    <definedName name="_4__123Graph_BCHART_4" hidden="1">#REF!</definedName>
    <definedName name="_4__123Graph_CCHART_1" hidden="1">#REF!</definedName>
    <definedName name="_4_0_0_F" hidden="1">#REF!</definedName>
    <definedName name="_4_1">#REF!</definedName>
    <definedName name="_4_10">#REF!</definedName>
    <definedName name="_4_11">#REF!</definedName>
    <definedName name="_4_123Graph_X" hidden="1">#REF!</definedName>
    <definedName name="_4_2">#REF!</definedName>
    <definedName name="_4_3">#REF!</definedName>
    <definedName name="_4_4">#REF!</definedName>
    <definedName name="_4_5">#REF!</definedName>
    <definedName name="_4_5A.1">#REF!</definedName>
    <definedName name="_4_6">#REF!</definedName>
    <definedName name="_4_7">#REF!</definedName>
    <definedName name="_4_8">#REF!</definedName>
    <definedName name="_4_9">#REF!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_________________________________________123Graph_BCHART_4" hidden="1">#REF!</definedName>
    <definedName name="_40____________________________________123Graph_ACHART_4" hidden="1">#REF!</definedName>
    <definedName name="_40__123Graph_DCHART_17" hidden="1">#REF!</definedName>
    <definedName name="_40__123Graph_XCHART_4" hidden="1">#REF!</definedName>
    <definedName name="_41_________________________________________123Graph_ACHART_3" hidden="1">#REF!</definedName>
    <definedName name="_41____________________________________123Graph_BCHART_3" hidden="1">#REF!</definedName>
    <definedName name="_41MACRO_SOMMAIRE_.Bouton9_QuandClic" localSheetId="3">Summary!_41MACRO_SOMMAIRE_.Bouton9_QuandClic</definedName>
    <definedName name="_41MACRO_SOMMAIRE_.Bouton9_QuandClic">#N/A</definedName>
    <definedName name="_42_________________________________________123Graph_ACHART_4" hidden="1">#REF!</definedName>
    <definedName name="_42____________________________________123Graph_BCHART_4" hidden="1">#REF!</definedName>
    <definedName name="_42__123Graph_BCHART_4" hidden="1">#REF!</definedName>
    <definedName name="_42__123Graph_DCHART_22" hidden="1">#REF!</definedName>
    <definedName name="_42_123Graph_X" hidden="1">#REF!</definedName>
    <definedName name="_42MACRO_SOMMAIRE_.Bouton9_QuandClic" localSheetId="3">Summary!_42MACRO_SOMMAIRE_.Bouton9_QuandClic</definedName>
    <definedName name="_42MACRO_SOMMAIRE_.Bouton9_QuandClic">#N/A</definedName>
    <definedName name="_43_________________________________________123Graph_BCHART_3" hidden="1">#REF!</definedName>
    <definedName name="_43____________________________________123Graph_XCHART_3" hidden="1">#REF!</definedName>
    <definedName name="_43__123Graph_XCHART_3" hidden="1">#REF!</definedName>
    <definedName name="_43_a_1">#REF!</definedName>
    <definedName name="_44_________________________________________123Graph_BCHART_4" hidden="1">#REF!</definedName>
    <definedName name="_44____________________________________123Graph_XCHART_4" hidden="1">#REF!</definedName>
    <definedName name="_44__123Graph_ECHART_15" hidden="1">#REF!</definedName>
    <definedName name="_44__123Graph_XCHART_4" hidden="1">#REF!</definedName>
    <definedName name="_44MACROS_IMPRESSION_.Choix" localSheetId="3">Summary!_44MACROS_IMPRESSION_.Choix</definedName>
    <definedName name="_44MACROS_IMPRESSION_.Choix">#N/A</definedName>
    <definedName name="_45_________________________________________123Graph_XCHART_3" hidden="1">#REF!</definedName>
    <definedName name="_45___________________________________123Graph_ACHART_3" hidden="1">#REF!</definedName>
    <definedName name="_45MACROS_IMPRESSION_.Choix" localSheetId="3">Summary!_45MACROS_IMPRESSION_.Choix</definedName>
    <definedName name="_45MACROS_IMPRESSION_.Choix">#N/A</definedName>
    <definedName name="_46_________________________________________123Graph_XCHART_4" hidden="1">#REF!</definedName>
    <definedName name="_46___________________________________123Graph_ACHART_4" hidden="1">#REF!</definedName>
    <definedName name="_46__123Graph_ECHART_16" hidden="1">#REF!</definedName>
    <definedName name="_46_a_1_1_1">#REF!</definedName>
    <definedName name="_47________________________________________123Graph_XCHART_3" hidden="1">#REF!</definedName>
    <definedName name="_47___________________________________123Graph_BCHART_3" hidden="1">#REF!</definedName>
    <definedName name="_47_a_1">#REF!</definedName>
    <definedName name="_47MACROS_IMPRESSION_.Démare" localSheetId="3">Summary!_47MACROS_IMPRESSION_.Démare</definedName>
    <definedName name="_47MACROS_IMPRESSION_.Démare">#N/A</definedName>
    <definedName name="_48________________________________________123Graph_XCHART_4" hidden="1">#REF!</definedName>
    <definedName name="_48___________________________________123Graph_BCHART_4" hidden="1">#REF!</definedName>
    <definedName name="_48__123Graph_ECHART_17" hidden="1">#REF!</definedName>
    <definedName name="_48MACROS_IMPRESSION_.Démare" localSheetId="3">Summary!_48MACROS_IMPRESSION_.Démare</definedName>
    <definedName name="_48MACROS_IMPRESSION_.Démare">#N/A</definedName>
    <definedName name="_49_______________________________________123Graph_ACHART_3" hidden="1">#REF!</definedName>
    <definedName name="_49___________________________________123Graph_XCHART_3" hidden="1">#REF!</definedName>
    <definedName name="_49_a_4_1">#REF!</definedName>
    <definedName name="_4MACRO_SOMMAIRE_.Bouton11_QuandClic" localSheetId="3">Summary!_4MACRO_SOMMAIRE_.Bouton11_QuandClic</definedName>
    <definedName name="_4MACRO_SOMMAIRE_.Bouton11_QuandClic">#N/A</definedName>
    <definedName name="_5">#REF!</definedName>
    <definedName name="_5________________________________________________________123Graph_ACHART_3" hidden="1">#REF!</definedName>
    <definedName name="_5____________________________________________123Graph_ACHART_3" hidden="1">#REF!</definedName>
    <definedName name="_5_____123Graph_XCHART_3" hidden="1">#REF!</definedName>
    <definedName name="_5___123Graph_BCHART_4" hidden="1">#REF!</definedName>
    <definedName name="_5___123Graph_DCHART_1" hidden="1">#REF!</definedName>
    <definedName name="_5___123Graph_XCHART_3" hidden="1">#REF!</definedName>
    <definedName name="_5__123Graph_ACHART_18" hidden="1">#REF!</definedName>
    <definedName name="_5__123Graph_ACHART_3" hidden="1">#REF!</definedName>
    <definedName name="_5__123Graph_DCHART_1" hidden="1">#REF!</definedName>
    <definedName name="_5__123Graph_XCHART_3" hidden="1">#REF!</definedName>
    <definedName name="_5_0__123Graph_X" hidden="1">#REF!</definedName>
    <definedName name="_5_1">#REF!</definedName>
    <definedName name="_5_2">#REF!</definedName>
    <definedName name="_5_3">#REF!</definedName>
    <definedName name="_5_4">#REF!</definedName>
    <definedName name="_5_5A.2">#REF!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_____________________________________123Graph_ACHART_4" hidden="1">#REF!</definedName>
    <definedName name="_50___________________________________123Graph_XCHART_4" hidden="1">#REF!</definedName>
    <definedName name="_50__123Graph_ACHART_4" hidden="1">#REF!</definedName>
    <definedName name="_50__123Graph_ECHART_22" hidden="1">#REF!</definedName>
    <definedName name="_50_a_1_1_1">#REF!</definedName>
    <definedName name="_50_l_1">#REF!</definedName>
    <definedName name="_51_______________________________________123Graph_BCHART_3" hidden="1">#REF!</definedName>
    <definedName name="_51__________________________________123Graph_ACHART_3" hidden="1">#REF!</definedName>
    <definedName name="_51_l_4_1">#REF!</definedName>
    <definedName name="_515________________123Graph_XCHART_3" hidden="1">#REF!</definedName>
    <definedName name="_516________________123Graph_XCHART_4" hidden="1">#REF!</definedName>
    <definedName name="_52_______________________________________123Graph_BCHART_4" hidden="1">#REF!</definedName>
    <definedName name="_52__________________________________123Graph_ACHART_4" hidden="1">#REF!</definedName>
    <definedName name="_52__123Graph_FCHART_15" hidden="1">#REF!</definedName>
    <definedName name="_52_p_1">#REF!</definedName>
    <definedName name="_53_______________________________________123Graph_XCHART_3" hidden="1">#REF!</definedName>
    <definedName name="_53__________________________________123Graph_BCHART_3" hidden="1">#REF!</definedName>
    <definedName name="_53_a_4_1">#REF!</definedName>
    <definedName name="_53_p_4_1">#REF!</definedName>
    <definedName name="_54_______________________________________123Graph_XCHART_4" hidden="1">#REF!</definedName>
    <definedName name="_54__________________________________123Graph_BCHART_4" hidden="1">#REF!</definedName>
    <definedName name="_54__123Graph_FCHART_16" hidden="1">#REF!</definedName>
    <definedName name="_54_l_1">#REF!</definedName>
    <definedName name="_55______________________________________123Graph_XCHART_3" hidden="1">#REF!</definedName>
    <definedName name="_55__________________________________123Graph_XCHART_3" hidden="1">#REF!</definedName>
    <definedName name="_55_l_4_1">#REF!</definedName>
    <definedName name="_56______________________________________123Graph_XCHART_4" hidden="1">#REF!</definedName>
    <definedName name="_56__________________________________123Graph_XCHART_4" hidden="1">#REF!</definedName>
    <definedName name="_56__123Graph_FCHART_17" hidden="1">#REF!</definedName>
    <definedName name="_56_0_0__123Graph_X" hidden="1">#REF!</definedName>
    <definedName name="_56_p_1">#REF!</definedName>
    <definedName name="_56AcctName_4_1">#REF!</definedName>
    <definedName name="_57_____________________________________123Graph_ACHART_3" hidden="1">#REF!</definedName>
    <definedName name="_57_________________________________123Graph_ACHART_3" hidden="1">#REF!</definedName>
    <definedName name="_57_p_4_1">#REF!</definedName>
    <definedName name="_58_____________________________________123Graph_ACHART_4" hidden="1">#REF!</definedName>
    <definedName name="_58_________________________________123Graph_ACHART_4" hidden="1">#REF!</definedName>
    <definedName name="_58__123Graph_FCHART_22" hidden="1">#REF!</definedName>
    <definedName name="_59_____________________________________123Graph_BCHART_3" hidden="1">#REF!</definedName>
    <definedName name="_59_________________________________123Graph_BCHART_3" hidden="1">#REF!</definedName>
    <definedName name="_59AcctPrio_4_1">#REF!</definedName>
    <definedName name="_5A.1">#REF!</definedName>
    <definedName name="_5A.2">#REF!</definedName>
    <definedName name="_5A.3">#REF!</definedName>
    <definedName name="_5B">#REF!</definedName>
    <definedName name="_5B.1">#REF!</definedName>
    <definedName name="_5B.2">#REF!</definedName>
    <definedName name="_5B.3">#REF!</definedName>
    <definedName name="_5B.4">#REF!</definedName>
    <definedName name="_5MACRO_SOMMAIRE_.Bouton1_QuandClic" localSheetId="3">Summary!_5MACRO_SOMMAIRE_.Bouton1_QuandClic</definedName>
    <definedName name="_5MACRO_SOMMAIRE_.Bouton1_QuandClic">#N/A</definedName>
    <definedName name="_5MACRO_SOMMAIRE_.Bouton12_QuandClic" localSheetId="3">Summary!_5MACRO_SOMMAIRE_.Bouton12_QuandClic</definedName>
    <definedName name="_5MACRO_SOMMAIRE_.Bouton12_QuandClic">#N/A</definedName>
    <definedName name="_6">#REF!</definedName>
    <definedName name="_6.2">#REF!</definedName>
    <definedName name="_6.3">#REF!</definedName>
    <definedName name="_6.4">#REF!</definedName>
    <definedName name="_6________________________________________________________123Graph_ACHART_4" hidden="1">#REF!</definedName>
    <definedName name="_6____________________________________________123Graph_ACHART_4" hidden="1">#REF!</definedName>
    <definedName name="_6_____123Graph_XCHART_4" hidden="1">#REF!</definedName>
    <definedName name="_6____123Graph_ACHART_4" hidden="1">#REF!</definedName>
    <definedName name="_6____123Graph_BCHART_3" hidden="1">#REF!</definedName>
    <definedName name="_6___123Graph_BCHART_3" hidden="1">#REF!</definedName>
    <definedName name="_6___123Graph_XCHART_3" hidden="1">#REF!</definedName>
    <definedName name="_6___123Graph_XCHART_4" hidden="1">#REF!</definedName>
    <definedName name="_6__123Graph_ACHART_1" hidden="1">#REF!</definedName>
    <definedName name="_6__123Graph_ACHART_16" hidden="1">#REF!</definedName>
    <definedName name="_6__123Graph_ACHART_19" hidden="1">#REF!</definedName>
    <definedName name="_6__123Graph_ACHART_4" hidden="1">#REF!</definedName>
    <definedName name="_6__123Graph_BCHART_3" hidden="1">#REF!</definedName>
    <definedName name="_6__123Graph_XCHART_4" hidden="1">#REF!</definedName>
    <definedName name="_6_1">#REF!</definedName>
    <definedName name="_6_1.3">#REF!</definedName>
    <definedName name="_6_2">#REF!</definedName>
    <definedName name="_6_3">#REF!</definedName>
    <definedName name="_6_4">#REF!</definedName>
    <definedName name="_6_5">#REF!</definedName>
    <definedName name="_6_5A.3">#REF!</definedName>
    <definedName name="_6_6">#REF!</definedName>
    <definedName name="_6_KQQ_InstTerms">#REF!</definedName>
    <definedName name="_6_KQQ_InstWire">#REF!</definedName>
    <definedName name="_6_KQQ_RacewayTot">#REF!</definedName>
    <definedName name="_6_KQQ_TotCount_InstJBox">#REF!</definedName>
    <definedName name="_60_____________________________________123Graph_BCHART_4" hidden="1">#REF!</definedName>
    <definedName name="_60_________________________________123Graph_BCHART_4" hidden="1">#REF!</definedName>
    <definedName name="_60__123Graph_XCHART_15" hidden="1">#REF!</definedName>
    <definedName name="_60AcctName_4_1">#REF!</definedName>
    <definedName name="_61_____________________________________123Graph_XCHART_3" hidden="1">#REF!</definedName>
    <definedName name="_61_________________________________123Graph_XCHART_3" hidden="1">#REF!</definedName>
    <definedName name="_62_____________________________________123Graph_XCHART_4" hidden="1">#REF!</definedName>
    <definedName name="_62_________________________________123Graph_XCHART_4" hidden="1">#REF!</definedName>
    <definedName name="_62__123Graph_BCHART_3" hidden="1">#REF!</definedName>
    <definedName name="_62__123Graph_XCHART_16" hidden="1">#REF!</definedName>
    <definedName name="_62AcctPrio_Text_4_1">#REF!</definedName>
    <definedName name="_63____________________________________123Graph_XCHART_3" hidden="1">#REF!</definedName>
    <definedName name="_63________________________________123Graph_ACHART_3" hidden="1">#REF!</definedName>
    <definedName name="_63AcctPrio_4_1">#REF!</definedName>
    <definedName name="_63BidClass_4_1">#REF!</definedName>
    <definedName name="_64____________________________________123Graph_XCHART_4" hidden="1">#REF!</definedName>
    <definedName name="_64________________________________123Graph_ACHART_4" hidden="1">#REF!</definedName>
    <definedName name="_64__123Graph_XCHART_17" hidden="1">#REF!</definedName>
    <definedName name="_64BidClass_Text_4_1">#REF!</definedName>
    <definedName name="_65___________________________________123Graph_ACHART_3" hidden="1">#REF!</definedName>
    <definedName name="_65________________________________123Graph_BCHART_3" hidden="1">#REF!</definedName>
    <definedName name="_66___________________________________123Graph_ACHART_4" hidden="1">#REF!</definedName>
    <definedName name="_66________________________________123Graph_BCHART_4" hidden="1">#REF!</definedName>
    <definedName name="_66__123Graph_XCHART_18" hidden="1">#REF!</definedName>
    <definedName name="_669_______________123Graph_ACHART_3" hidden="1">#REF!</definedName>
    <definedName name="_66AcctPrio_Text_4_1">#REF!</definedName>
    <definedName name="_67___________________________________123Graph_BCHART_3" hidden="1">#REF!</definedName>
    <definedName name="_67________________________________123Graph_XCHART_3" hidden="1">#REF!</definedName>
    <definedName name="_670_______________123Graph_ACHART_4" hidden="1">#REF!</definedName>
    <definedName name="_671_______________123Graph_BCHART_3" hidden="1">#REF!</definedName>
    <definedName name="_672_______________123Graph_BCHART_4" hidden="1">#REF!</definedName>
    <definedName name="_673_______________123Graph_XCHART_3" hidden="1">#REF!</definedName>
    <definedName name="_674_______________123Graph_XCHART_4" hidden="1">#REF!</definedName>
    <definedName name="_67BidClass_4_1">#REF!</definedName>
    <definedName name="_67BillingFreq_4_1">#REF!</definedName>
    <definedName name="_68___________________________________123Graph_BCHART_4" hidden="1">#REF!</definedName>
    <definedName name="_68________________________________123Graph_XCHART_4" hidden="1">#REF!</definedName>
    <definedName name="_68__123Graph_XCHART_19" hidden="1">#REF!</definedName>
    <definedName name="_68BidClass_Text_4_1">#REF!</definedName>
    <definedName name="_69___________________________________123Graph_XCHART_3" hidden="1">#REF!</definedName>
    <definedName name="_69_______________________________123Graph_ACHART_3" hidden="1">#REF!</definedName>
    <definedName name="_6MACRO_SOMMAIRE_.Bouton1_QuandClic" localSheetId="3">Summary!_6MACRO_SOMMAIRE_.Bouton1_QuandClic</definedName>
    <definedName name="_6MACRO_SOMMAIRE_.Bouton1_QuandClic">#N/A</definedName>
    <definedName name="_6MACRO_SOMMAIRE_.Bouton13_QuandClic" localSheetId="3">Summary!_6MACRO_SOMMAIRE_.Bouton13_QuandClic</definedName>
    <definedName name="_6MACRO_SOMMAIRE_.Bouton13_QuandClic">#N/A</definedName>
    <definedName name="_7">#N/A</definedName>
    <definedName name="_7________________________________________________________123Graph_BCHART_3" hidden="1">#REF!</definedName>
    <definedName name="_7____________________________________________123Graph_BCHART_3" hidden="1">#REF!</definedName>
    <definedName name="_7____123Graph_ACHART_3" hidden="1">#REF!</definedName>
    <definedName name="_7___123Graph_ACHART_3" hidden="1">#REF!</definedName>
    <definedName name="_7___123Graph_XCHART_4" hidden="1">#REF!</definedName>
    <definedName name="_7__123Graph_ACHART_2" hidden="1">#REF!</definedName>
    <definedName name="_7__123Graph_ACHART_21" hidden="1">#REF!</definedName>
    <definedName name="_7__123Graph_ACHART_3" hidden="1">#REF!</definedName>
    <definedName name="_7_0_0_F" hidden="1">#REF!</definedName>
    <definedName name="_7_1">#REF!</definedName>
    <definedName name="_7_2">#REF!</definedName>
    <definedName name="_7_3">#REF!</definedName>
    <definedName name="_7_4">#REF!</definedName>
    <definedName name="_7_5">#REF!</definedName>
    <definedName name="_7_5B.1">#REF!</definedName>
    <definedName name="_7_6">#REF!</definedName>
    <definedName name="_7_7">#REF!</definedName>
    <definedName name="_7_9">#REF!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0___________________________________123Graph_XCHART_4" hidden="1">#REF!</definedName>
    <definedName name="_70_______________________________123Graph_ACHART_4" hidden="1">#REF!</definedName>
    <definedName name="_70__123Graph_XCHART_22" hidden="1">#REF!</definedName>
    <definedName name="_70BillingTiming_4_1">#REF!</definedName>
    <definedName name="_71__________________________________123Graph_XCHART_3" hidden="1">#REF!</definedName>
    <definedName name="_71_______________________________123Graph_BCHART_3" hidden="1">#REF!</definedName>
    <definedName name="_71BillingFreq_4_1">#REF!</definedName>
    <definedName name="_71BusType_4_1">#REF!</definedName>
    <definedName name="_72__________________________________123Graph_XCHART_4" hidden="1">#REF!</definedName>
    <definedName name="_72_______________________________123Graph_BCHART_4" hidden="1">#REF!</definedName>
    <definedName name="_72__123Graph_XSEG_PIE" hidden="1">#REF!</definedName>
    <definedName name="_72BusType_Text_4_1">#REF!</definedName>
    <definedName name="_73_________________________________123Graph_ACHART_3" hidden="1">#REF!</definedName>
    <definedName name="_73_______________________________123Graph_XCHART_3" hidden="1">#REF!</definedName>
    <definedName name="_73cab21.5tp_4_1">#REF!</definedName>
    <definedName name="_74_________________________________123Graph_ACHART_4" hidden="1">#REF!</definedName>
    <definedName name="_74_______________________________123Graph_XCHART_4" hidden="1">#REF!</definedName>
    <definedName name="_74__123Graph_BCHART_4" hidden="1">#REF!</definedName>
    <definedName name="_74BillingTiming_4_1">#REF!</definedName>
    <definedName name="_74cab21s_4_1">#REF!</definedName>
    <definedName name="_75_________________________________123Graph_BCHART_3" hidden="1">#REF!</definedName>
    <definedName name="_75______________________________123Graph_ACHART_3" hidden="1">#REF!</definedName>
    <definedName name="_75__123Graph_XCHART_3" hidden="1">#REF!</definedName>
    <definedName name="_75BusType_4_1">#REF!</definedName>
    <definedName name="_75cab21us_4_1">#REF!</definedName>
    <definedName name="_76_________________________________123Graph_BCHART_4" hidden="1">#REF!</definedName>
    <definedName name="_76______________________________123Graph_ACHART_4" hidden="1">#REF!</definedName>
    <definedName name="_76__123Graph_XCHART_4" hidden="1">#REF!</definedName>
    <definedName name="_76BusType_Text_4_1">#REF!</definedName>
    <definedName name="_76cab31s_4_1">#REF!</definedName>
    <definedName name="_77_________________________________123Graph_XCHART_3" hidden="1">#REF!</definedName>
    <definedName name="_77______________________________123Graph_BCHART_3" hidden="1">#REF!</definedName>
    <definedName name="_77cab21.5tp_4_1">#REF!</definedName>
    <definedName name="_77cab31us_4_1">#REF!</definedName>
    <definedName name="_78_________________________________123Graph_XCHART_4" hidden="1">#REF!</definedName>
    <definedName name="_78______________________________123Graph_BCHART_4" hidden="1">#REF!</definedName>
    <definedName name="_78cab21s_4_1">#REF!</definedName>
    <definedName name="_78cab41s_4_1">#REF!</definedName>
    <definedName name="_79________________________________123Graph_XCHART_3" hidden="1">#REF!</definedName>
    <definedName name="_79______________________________123Graph_XCHART_3" hidden="1">#REF!</definedName>
    <definedName name="_79cab21us_4_1">#REF!</definedName>
    <definedName name="_79cab41us_4_1">#REF!</definedName>
    <definedName name="_7MACRO_SOMMAIRE_.Bouton2_QuandClic" localSheetId="3">Summary!_7MACRO_SOMMAIRE_.Bouton2_QuandClic</definedName>
    <definedName name="_7MACRO_SOMMAIRE_.Bouton2_QuandClic">#N/A</definedName>
    <definedName name="_8">#N/A</definedName>
    <definedName name="_8________________________________________________________123Graph_BCHART_4" hidden="1">#REF!</definedName>
    <definedName name="_8____________________________________________123Graph_BCHART_4" hidden="1">#REF!</definedName>
    <definedName name="_8____123Graph_ACHART_4" hidden="1">#REF!</definedName>
    <definedName name="_8____123Graph_BCHART_4" hidden="1">#REF!</definedName>
    <definedName name="_8___123Graph_BCHART_4" hidden="1">#REF!</definedName>
    <definedName name="_8__123Graph_ACHART_17" hidden="1">#REF!</definedName>
    <definedName name="_8__123Graph_ACHART_4" hidden="1">#REF!</definedName>
    <definedName name="_8__123Graph_ASEG_PIE" hidden="1">#REF!</definedName>
    <definedName name="_8__123Graph_BCHART_2" hidden="1">#REF!</definedName>
    <definedName name="_8__123Graph_BCHART_4" hidden="1">#REF!</definedName>
    <definedName name="_8_1">#REF!</definedName>
    <definedName name="_8_2">#REF!</definedName>
    <definedName name="_8_3">#REF!</definedName>
    <definedName name="_8_5B.2">#REF!</definedName>
    <definedName name="_80________________________________123Graph_XCHART_4" hidden="1">#REF!</definedName>
    <definedName name="_80______________________________123Graph_XCHART_4" hidden="1">#REF!</definedName>
    <definedName name="_80cab31s_4_1">#REF!</definedName>
    <definedName name="_80cabf_4_1">#REF!</definedName>
    <definedName name="_81_______________________________123Graph_ACHART_3" hidden="1">#REF!</definedName>
    <definedName name="_81_____________________________123Graph_ACHART_3" hidden="1">#REF!</definedName>
    <definedName name="_81cab31us_4_1">#REF!</definedName>
    <definedName name="_81CABLE_4_1">#REF!</definedName>
    <definedName name="_82_______________________________123Graph_ACHART_4" hidden="1">#REF!</definedName>
    <definedName name="_82_____________________________123Graph_ACHART_4" hidden="1">#REF!</definedName>
    <definedName name="_82cab41s_4_1">#REF!</definedName>
    <definedName name="_82CALf_4_1">#REF!</definedName>
    <definedName name="_83_______________________________123Graph_BCHART_3" hidden="1">#REF!</definedName>
    <definedName name="_83_____________________________123Graph_BCHART_3" hidden="1">#REF!</definedName>
    <definedName name="_831______________123Graph_XCHART_3" hidden="1">#REF!</definedName>
    <definedName name="_832______________123Graph_XCHART_4" hidden="1">#REF!</definedName>
    <definedName name="_83cab41us_4_1">#REF!</definedName>
    <definedName name="_83ChangeBy_4_1">#REF!</definedName>
    <definedName name="_84_______________________________123Graph_BCHART_4" hidden="1">#REF!</definedName>
    <definedName name="_84_____________________________123Graph_BCHART_4" hidden="1">#REF!</definedName>
    <definedName name="_84cabf_4_1">#REF!</definedName>
    <definedName name="_84ChangeDate_4_1">#REF!</definedName>
    <definedName name="_85_______________________________123Graph_XCHART_3" hidden="1">#REF!</definedName>
    <definedName name="_85_____________________________123Graph_XCHART_3" hidden="1">#REF!</definedName>
    <definedName name="_85CABLE_4_1">#REF!</definedName>
    <definedName name="_85CompDate_4_1">#REF!</definedName>
    <definedName name="_86_______________________________123Graph_XCHART_4" hidden="1">#REF!</definedName>
    <definedName name="_86_____________________________123Graph_XCHART_4" hidden="1">#REF!</definedName>
    <definedName name="_86CALf_4_1">#REF!</definedName>
    <definedName name="_86conf_4_1">#REF!</definedName>
    <definedName name="_87______________________________123Graph_XCHART_3" hidden="1">#REF!</definedName>
    <definedName name="_87____________________________123Graph_ACHART_3" hidden="1">#REF!</definedName>
    <definedName name="_87ChangeBy_4_1">#REF!</definedName>
    <definedName name="_87ContAmt_4_1">#REF!</definedName>
    <definedName name="_88______________________________123Graph_XCHART_4" hidden="1">#REF!</definedName>
    <definedName name="_88____________________________123Graph_ACHART_4" hidden="1">#REF!</definedName>
    <definedName name="_88ChangeDate_4_1">#REF!</definedName>
    <definedName name="_89_____________________________123Graph_ACHART_3" hidden="1">#REF!</definedName>
    <definedName name="_89____________________________123Graph_BCHART_3" hidden="1">#REF!</definedName>
    <definedName name="_89CompDate_4_1">#REF!</definedName>
    <definedName name="_8MACRO_SOMMAIRE_.Bouton10_QuandClic" localSheetId="3">Summary!_8MACRO_SOMMAIRE_.Bouton10_QuandClic</definedName>
    <definedName name="_8MACRO_SOMMAIRE_.Bouton10_QuandClic">#N/A</definedName>
    <definedName name="_8MACRO_SOMMAIRE_.Bouton3_QuandClic" localSheetId="3">Summary!_8MACRO_SOMMAIRE_.Bouton3_QuandClic</definedName>
    <definedName name="_8MACRO_SOMMAIRE_.Bouton3_QuandClic">#N/A</definedName>
    <definedName name="_9">#N/A</definedName>
    <definedName name="_9_______________________________________________________123Graph_ACHART_3" hidden="1">#REF!</definedName>
    <definedName name="_9___________________________________________123Graph_ACHART_3" hidden="1">#REF!</definedName>
    <definedName name="_9____123Graph_BCHART_3" hidden="1">#REF!</definedName>
    <definedName name="_9___123Graph_XCHART_3" hidden="1">#REF!</definedName>
    <definedName name="_9__123Graph_BCHART_15" hidden="1">#REF!</definedName>
    <definedName name="_9__123Graph_BCHART_3" hidden="1">#REF!</definedName>
    <definedName name="_9__123Graph_CCHART_1" hidden="1">#REF!</definedName>
    <definedName name="_9__123Graph_XCHART_3" hidden="1">#REF!</definedName>
    <definedName name="_9_1">#REF!</definedName>
    <definedName name="_9_1.4">#REF!</definedName>
    <definedName name="_9_123Graph_X" hidden="1">#REF!</definedName>
    <definedName name="_9_2">#REF!</definedName>
    <definedName name="_9_3">#REF!</definedName>
    <definedName name="_9_4">#REF!</definedName>
    <definedName name="_9_5">#REF!</definedName>
    <definedName name="_9_5B.3">#REF!</definedName>
    <definedName name="_9_6">#REF!</definedName>
    <definedName name="_9_7">#REF!</definedName>
    <definedName name="_9_8">#REF!</definedName>
    <definedName name="_9_9">#REF!</definedName>
    <definedName name="_90_____________________________123Graph_ACHART_4" hidden="1">#REF!</definedName>
    <definedName name="_90____________________________123Graph_BCHART_4" hidden="1">#REF!</definedName>
    <definedName name="_9009_ACTUAL">#REF!</definedName>
    <definedName name="_90conf_4_1">#REF!</definedName>
    <definedName name="_90ContWithAcct_4_1">#REF!</definedName>
    <definedName name="_91_____________________________123Graph_BCHART_3" hidden="1">#REF!</definedName>
    <definedName name="_91____________________________123Graph_XCHART_3" hidden="1">#REF!</definedName>
    <definedName name="_91ContAmt_4_1">#REF!</definedName>
    <definedName name="_91ContWithName_4_1">#REF!</definedName>
    <definedName name="_92_____________________________123Graph_BCHART_4" hidden="1">#REF!</definedName>
    <definedName name="_92____________________________123Graph_XCHART_4" hidden="1">#REF!</definedName>
    <definedName name="_92ContWithPrio_4_1">#REF!</definedName>
    <definedName name="_93_____________________________123Graph_XCHART_3" hidden="1">#REF!</definedName>
    <definedName name="_93___________________________123Graph_ACHART_3" hidden="1">#REF!</definedName>
    <definedName name="_93ContWithPrio_Text_4_1">#REF!</definedName>
    <definedName name="_94_____________________________123Graph_XCHART_4" hidden="1">#REF!</definedName>
    <definedName name="_94___________________________123Graph_ACHART_4" hidden="1">#REF!</definedName>
    <definedName name="_94ContWithAcct_4_1">#REF!</definedName>
    <definedName name="_94CONum_4_1">#REF!</definedName>
    <definedName name="_95____________________________123Graph_XCHART_3" hidden="1">#REF!</definedName>
    <definedName name="_95___________________________123Graph_BCHART_3" hidden="1">#REF!</definedName>
    <definedName name="_95ContWithName_4_1">#REF!</definedName>
    <definedName name="_95CorpClient_4_1">#REF!</definedName>
    <definedName name="_96____________________________123Graph_XCHART_4" hidden="1">#REF!</definedName>
    <definedName name="_96___________________________123Graph_BCHART_4" hidden="1">#REF!</definedName>
    <definedName name="_96ContWithPrio_4_1">#REF!</definedName>
    <definedName name="_96CorpClient_Text_4_1">#REF!</definedName>
    <definedName name="_97___________________________123Graph_ACHART_3" hidden="1">#REF!</definedName>
    <definedName name="_97___________________________123Graph_XCHART_3" hidden="1">#REF!</definedName>
    <definedName name="_97ContWithPrio_Text_4_1">#REF!</definedName>
    <definedName name="_97CURR_4_1">#REF!</definedName>
    <definedName name="_98___________________________123Graph_ACHART_4" hidden="1">#REF!</definedName>
    <definedName name="_98___________________________123Graph_XCHART_4" hidden="1">#REF!</definedName>
    <definedName name="_985_____________123Graph_ACHART_3" hidden="1">#REF!</definedName>
    <definedName name="_986_____________123Graph_ACHART_4" hidden="1">#REF!</definedName>
    <definedName name="_987_____________123Graph_BCHART_3" hidden="1">#REF!</definedName>
    <definedName name="_988_____________123Graph_BCHART_4" hidden="1">#REF!</definedName>
    <definedName name="_989_____________123Graph_XCHART_3" hidden="1">#REF!</definedName>
    <definedName name="_98CONum_4_1">#REF!</definedName>
    <definedName name="_99___________________________123Graph_BCHART_3" hidden="1">#REF!</definedName>
    <definedName name="_990_____________123Graph_XCHART_4" hidden="1">#REF!</definedName>
    <definedName name="_99CorpClient_4_1">#REF!</definedName>
    <definedName name="_9MACRO_SOMMAIRE_.Bouton10_QuandClic" localSheetId="3">Summary!_9MACRO_SOMMAIRE_.Bouton10_QuandClic</definedName>
    <definedName name="_9MACRO_SOMMAIRE_.Bouton10_QuandClic">#N/A</definedName>
    <definedName name="_9MACRO_SOMMAIRE_.Bouton4_QuandClic" localSheetId="3">Summary!_9MACRO_SOMMAIRE_.Bouton4_QuandClic</definedName>
    <definedName name="_9MACRO_SOMMAIRE_.Bouton4_QuandClic">#N/A</definedName>
    <definedName name="_a" hidden="1">#REF!</definedName>
    <definedName name="_a_1">#REF!</definedName>
    <definedName name="_a_1_1">#REF!</definedName>
    <definedName name="_a_2">#REF!</definedName>
    <definedName name="_a_4">#REF!</definedName>
    <definedName name="_a_4_1">#REF!</definedName>
    <definedName name="_a_6">#REF!</definedName>
    <definedName name="_a1">#REF!</definedName>
    <definedName name="_a100">#REF!</definedName>
    <definedName name="_A100000">#REF!</definedName>
    <definedName name="_a3" localSheetId="3" hidden="1">{#N/A,#N/A,TRUE,"Financials";#N/A,#N/A,TRUE,"Operating Statistics";#N/A,#N/A,TRUE,"Capex &amp; Depreciation";#N/A,#N/A,TRUE,"Debt"}</definedName>
    <definedName name="_a3" hidden="1">{#N/A,#N/A,TRUE,"Financials";#N/A,#N/A,TRUE,"Operating Statistics";#N/A,#N/A,TRUE,"Capex &amp; Depreciation";#N/A,#N/A,TRUE,"Debt"}</definedName>
    <definedName name="_A31">#REF!</definedName>
    <definedName name="_a65537">#REF!</definedName>
    <definedName name="_A65555">#REF!</definedName>
    <definedName name="_A655600">#REF!</definedName>
    <definedName name="_A65658">#REF!</definedName>
    <definedName name="_A65800">#REF!</definedName>
    <definedName name="_A66000">#REF!</definedName>
    <definedName name="_A70000">#REF!</definedName>
    <definedName name="_A80000">#REF!</definedName>
    <definedName name="_A99999">#REF!</definedName>
    <definedName name="_A999999">#REF!</definedName>
    <definedName name="_aa1">#REF!</definedName>
    <definedName name="_aa2" localSheetId="3" hidden="1">{"Datos",#N/A,TRUE,"Datos"}</definedName>
    <definedName name="_aa2" hidden="1">{"Datos",#N/A,TRUE,"Datos"}</definedName>
    <definedName name="_aaa1" hidden="1">{#N/A,#N/A,FALSE,"CCTV"}</definedName>
    <definedName name="_ab1" localSheetId="3"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j1">#REF!</definedName>
    <definedName name="_alt1">#REF!</definedName>
    <definedName name="_ALT2">#REF!</definedName>
    <definedName name="_ALT3">#REF!</definedName>
    <definedName name="_ALT4">#REF!</definedName>
    <definedName name="_as1" localSheetId="3"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2" localSheetId="3"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tt1" localSheetId="3" hidden="1">{"'Flowchart'!$A$2:$AO$22"}</definedName>
    <definedName name="_Att1" hidden="1">{"'Flowchart'!$A$2:$AO$22"}</definedName>
    <definedName name="_aux10">#REF!</definedName>
    <definedName name="_aux3">#REF!</definedName>
    <definedName name="_aux5">#REF!</definedName>
    <definedName name="_aux7">#REF!</definedName>
    <definedName name="_b1">#REF!</definedName>
    <definedName name="_b111121">#REF!</definedName>
    <definedName name="_B19000">#REF!</definedName>
    <definedName name="_B19999">#REF!</definedName>
    <definedName name="_B20000">#REF!</definedName>
    <definedName name="_b201185">#REF!</definedName>
    <definedName name="_B98518">#REF!</definedName>
    <definedName name="_bb1">#REF!</definedName>
    <definedName name="_bbb1" hidden="1">{#N/A,#N/A,FALSE,"CCTV"}</definedName>
    <definedName name="_bdm.0B4FFE91F18447B0ADF9000A64F23663.edm" hidden="1">#REF!</definedName>
    <definedName name="_bdm.0C07D5881B9948AA83AD50DA234033D8.edm" hidden="1">#REF!</definedName>
    <definedName name="_bdm.110863605F9942A8A648C3F868647E2E.edm" hidden="1">#REF!</definedName>
    <definedName name="_bdm.1B452EB456C84D948AB7CD6173DD2027.edm" hidden="1">#REF!</definedName>
    <definedName name="_bdm.47B4A6FD3B314E16809B6D1F0C2F9D52.edm" hidden="1">#REF!</definedName>
    <definedName name="_bdm.4CD256297ECE44CCBB5602C6476BC757.edm" hidden="1">#REF!</definedName>
    <definedName name="_bdm.521DC5547E094D3EAB9C9F4D139EF5FF.edm" hidden="1">#REF!</definedName>
    <definedName name="_bdm.61B3F847AC054DB29E98FAD943860106.edm" hidden="1">#REF!</definedName>
    <definedName name="_bdm.67A95F6CB6EF481085AB7779D7F28D24.edm" hidden="1">#REF!</definedName>
    <definedName name="_bdm.7072907F221B49BBAB5021F4EC0817E4.edm" hidden="1">#REF!</definedName>
    <definedName name="_bdm.71F24B5C5CA94E5D92ED4A5CF816C4DD.edm" hidden="1">#REF!</definedName>
    <definedName name="_bdm.7923EEC314B242E8BC1F3FD0A2CB8DC9.edm" hidden="1">#REF!</definedName>
    <definedName name="_bdm.A22BB7CDC55C4D5CB31AA205A045099A.edm" hidden="1">#REF!</definedName>
    <definedName name="_bdm.DBCFE22487124F2EA8CCA87E363BF4F4.edm" hidden="1">#REF!</definedName>
    <definedName name="_bdm.E10CE6269BA74B248056A82B5C67B7F8.edm" hidden="1">#REF!</definedName>
    <definedName name="_bdm.E1C5F0B458ED44AABE2B275FE5594376.edm" hidden="1">#REF!</definedName>
    <definedName name="_bdm.F1585B0A6FB34D8DA2C3973E2B57E98B.edm" hidden="1">#REF!</definedName>
    <definedName name="_bdm.F48B2541AF20463C9043238AF20A5593.edm" hidden="1">#REF!</definedName>
    <definedName name="_bdm.FE9F6DFC62254C08B5570218FA025632.edm" hidden="1">#REF!</definedName>
    <definedName name="_blg1">#REF!</definedName>
    <definedName name="_bol1">#REF!</definedName>
    <definedName name="_boq1">#REF!</definedName>
    <definedName name="_boq3">#REF!</definedName>
    <definedName name="_boq5">#REF!</definedName>
    <definedName name="_boq6">#REF!</definedName>
    <definedName name="_Builtin13" hidden="1">#REF!</definedName>
    <definedName name="_C">#REF!</definedName>
    <definedName name="_C_?___?__">#REF!</definedName>
    <definedName name="_C___0">#REF!</definedName>
    <definedName name="_C___13">#REF!</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AT07">#REF!</definedName>
    <definedName name="_cat12" localSheetId="3"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at123">#N/A</definedName>
    <definedName name="_CAT21">#REF!</definedName>
    <definedName name="_CAT22">#REF!</definedName>
    <definedName name="_CAT31">#REF!</definedName>
    <definedName name="_CAT33">#REF!</definedName>
    <definedName name="_CAT34">#REF!</definedName>
    <definedName name="_CAT35">#REF!</definedName>
    <definedName name="_CAT36">#REF!</definedName>
    <definedName name="_CAT39">#REF!</definedName>
    <definedName name="_CAT42">#REF!</definedName>
    <definedName name="_CAT43">#REF!</definedName>
    <definedName name="_CAT45">#REF!</definedName>
    <definedName name="_CAT46">#REF!</definedName>
    <definedName name="_CAT48">#REF!</definedName>
    <definedName name="_CAT49">#REF!</definedName>
    <definedName name="_CAT52">#REF!</definedName>
    <definedName name="_CAT53">#REF!</definedName>
    <definedName name="_CAT54">#REF!</definedName>
    <definedName name="_CAT55">#REF!</definedName>
    <definedName name="_CAT82">#REF!</definedName>
    <definedName name="_CAT84">#REF!</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1">#REF!</definedName>
    <definedName name="_ccr1" localSheetId="3" hidden="1">{#N/A,#N/A,TRUE,"Cover";#N/A,#N/A,TRUE,"Conts";#N/A,#N/A,TRUE,"VOS";#N/A,#N/A,TRUE,"Warrington";#N/A,#N/A,TRUE,"Widnes"}</definedName>
    <definedName name="_ccr1" hidden="1">{#N/A,#N/A,TRUE,"Cover";#N/A,#N/A,TRUE,"Conts";#N/A,#N/A,TRUE,"VOS";#N/A,#N/A,TRUE,"Warrington";#N/A,#N/A,TRUE,"Widnes"}</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OL1">#REF!</definedName>
    <definedName name="_Currency_List__Equipment">#REF!</definedName>
    <definedName name="_d1">#REF!</definedName>
    <definedName name="_DAT1" localSheetId="2">#REF!</definedName>
    <definedName name="_DAT1">#REF!</definedName>
    <definedName name="_DAT2" localSheetId="2">#REF!</definedName>
    <definedName name="_DAT2">#REF!</definedName>
    <definedName name="_DAT3" localSheetId="2">#REF!</definedName>
    <definedName name="_DAT3">#REF!</definedName>
    <definedName name="_DAT4" localSheetId="2">#REF!</definedName>
    <definedName name="_DAT4">#REF!</definedName>
    <definedName name="_DAT5" localSheetId="2">#REF!</definedName>
    <definedName name="_DAT5">#REF!</definedName>
    <definedName name="_DAT6" localSheetId="2">#REF!</definedName>
    <definedName name="_DAT6">#REF!</definedName>
    <definedName name="_DAT7" localSheetId="2">#REF!</definedName>
    <definedName name="_DAT7">#REF!</definedName>
    <definedName name="_DAT8" localSheetId="2">#REF!</definedName>
    <definedName name="_DAT8">#REF!</definedName>
    <definedName name="_dd_">#REF!</definedName>
    <definedName name="_dd1">#REF!</definedName>
    <definedName name="_ddd2" localSheetId="3" hidden="1">{#N/A,#N/A,TRUE,"Cover Memo";"Complete Sys. Estimate",#N/A,TRUE,"Change Summary";"Complete Sys. Estimate",#N/A,TRUE,"Estimate Summary";"Complete Sys. Estimate",#N/A,TRUE,"Dept. Summary";"Complete Sys. Estimate",#N/A,TRUE,"DOW Detail"}</definedName>
    <definedName name="_ddd2" hidden="1">{#N/A,#N/A,TRUE,"Cover Memo";"Complete Sys. Estimate",#N/A,TRUE,"Change Summary";"Complete Sys. Estimate",#N/A,TRUE,"Estimate Summary";"Complete Sys. Estimate",#N/A,TRUE,"Dept. Summary";"Complete Sys. Estimate",#N/A,TRUE,"DOW Detail"}</definedName>
    <definedName name="_dep123">#REF!</definedName>
    <definedName name="_dep2">#REF!</definedName>
    <definedName name="_dep3">#REF!</definedName>
    <definedName name="_dim4">#REF!</definedName>
    <definedName name="_div10">#REF!</definedName>
    <definedName name="_div14">#REF!</definedName>
    <definedName name="_div2">#REF!</definedName>
    <definedName name="_div21">#REF!</definedName>
    <definedName name="_div22">#REF!</definedName>
    <definedName name="_div23">#REF!</definedName>
    <definedName name="_div25">#REF!</definedName>
    <definedName name="_div26">#REF!</definedName>
    <definedName name="_div27">#REF!</definedName>
    <definedName name="_div28">#REF!</definedName>
    <definedName name="_div3">#REF!</definedName>
    <definedName name="_div31">#REF!</definedName>
    <definedName name="_div33">#REF!</definedName>
    <definedName name="_div4">#REF!</definedName>
    <definedName name="_div5">#REF!</definedName>
    <definedName name="_div7">#REF!</definedName>
    <definedName name="_div8">#REF!</definedName>
    <definedName name="_div9">#REF!</definedName>
    <definedName name="_dsw25">#REF!</definedName>
    <definedName name="_dsw32">#REF!</definedName>
    <definedName name="_dsw63">#REF!</definedName>
    <definedName name="_DWR001">#REF!</definedName>
    <definedName name="_DWR002">#REF!</definedName>
    <definedName name="_DWR003">#REF!</definedName>
    <definedName name="_DWR004">#REF!</definedName>
    <definedName name="_DWR005">#REF!</definedName>
    <definedName name="_dwr4">#REF!</definedName>
    <definedName name="_e20000">#REF!</definedName>
    <definedName name="_e772">#REF!</definedName>
    <definedName name="_e99991">#REF!</definedName>
    <definedName name="_Eg616103">#REF!</definedName>
    <definedName name="_EnterGlobalbuildingmaterials" hidden="1">#REF!</definedName>
    <definedName name="_Estimate_Class_List__Equipment">#REF!</definedName>
    <definedName name="_Estimate_Date_List__Equipment">#REF!</definedName>
    <definedName name="_ETC01">#REF!</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1" localSheetId="3">#REF!,#REF!,#REF!,#REF!,#REF!,#REF!,#REF!</definedName>
    <definedName name="_EV1">#REF!,#REF!,#REF!,#REF!,#REF!,#REF!,#REF!</definedName>
    <definedName name="_EV2" localSheetId="3">#REF!,#REF!,#REF!,#REF!,#REF!,#REF!,#REF!</definedName>
    <definedName name="_EV2">#REF!,#REF!,#REF!,#REF!,#REF!,#REF!,#REF!</definedName>
    <definedName name="_exc1">#REF!</definedName>
    <definedName name="_exc11">#REF!</definedName>
    <definedName name="_exc2">#REF!</definedName>
    <definedName name="_EXC3">#REF!</definedName>
    <definedName name="_EXC4">#REF!</definedName>
    <definedName name="_ext2">#REF!</definedName>
    <definedName name="_ext3">#REF!</definedName>
    <definedName name="_f1">#REF!</definedName>
    <definedName name="_fd2" localSheetId="3"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_fds2530">#REF!</definedName>
    <definedName name="_Feb06" localSheetId="3" hidden="1">{#N/A,#N/A,TRUE,"Front";#N/A,#N/A,TRUE,"Simple Letter";#N/A,#N/A,TRUE,"Inside";#N/A,#N/A,TRUE,"Contents";#N/A,#N/A,TRUE,"Basis";#N/A,#N/A,TRUE,"Inclusions";#N/A,#N/A,TRUE,"Exclusions";#N/A,#N/A,TRUE,"Areas";#N/A,#N/A,TRUE,"Summary";#N/A,#N/A,TRUE,"Detail"}</definedName>
    <definedName name="_Feb06" hidden="1">{#N/A,#N/A,TRUE,"Front";#N/A,#N/A,TRUE,"Simple Letter";#N/A,#N/A,TRUE,"Inside";#N/A,#N/A,TRUE,"Contents";#N/A,#N/A,TRUE,"Basis";#N/A,#N/A,TRUE,"Inclusions";#N/A,#N/A,TRUE,"Exclusions";#N/A,#N/A,TRUE,"Areas";#N/A,#N/A,TRUE,"Summary";#N/A,#N/A,TRUE,"Detail"}</definedName>
    <definedName name="_Fill" hidden="1">#REF!</definedName>
    <definedName name="_Fill1" hidden="1">#REF!</definedName>
    <definedName name="_Fill2" hidden="1">#REF!</definedName>
    <definedName name="_Fill3" hidden="1">#REF!</definedName>
    <definedName name="_xlnm._FilterDatabase" localSheetId="0" hidden="1">Budget!$A$14:$AI$10517</definedName>
    <definedName name="_xlnm._FilterDatabase" localSheetId="2" hidden="1">'Level 3'!$A$1:$K$7</definedName>
    <definedName name="_xlnm._FilterDatabase" hidden="1">#REF!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oll" hidden="1">#REF!</definedName>
    <definedName name="_foo1">#REF!</definedName>
    <definedName name="_foo2">#REF!</definedName>
    <definedName name="_foo3">#REF!</definedName>
    <definedName name="_FOO4">#REF!</definedName>
    <definedName name="_FR_?__">#REF!</definedName>
    <definedName name="_FRT\_.WK3__">#REF!</definedName>
    <definedName name="_FS_R_">#REF!</definedName>
    <definedName name="_gal1">#REF!</definedName>
    <definedName name="_gal2">#REF!</definedName>
    <definedName name="_gal75">#REF!</definedName>
    <definedName name="_GC1" localSheetId="3">#REF!,#REF!,#REF!,#REF!,#REF!,#REF!,#REF!,#REF!</definedName>
    <definedName name="_GC1">#REF!,#REF!,#REF!,#REF!,#REF!,#REF!,#REF!,#REF!</definedName>
    <definedName name="_GC2" localSheetId="3">#REF!,#REF!,#REF!,#REF!,#REF!,#REF!,#REF!,#REF!</definedName>
    <definedName name="_GC2">#REF!,#REF!,#REF!,#REF!,#REF!,#REF!,#REF!,#REF!</definedName>
    <definedName name="_GC3" localSheetId="3">#REF!,#REF!,#REF!,#REF!,#REF!,#REF!,#REF!,#REF!,#REF!,#REF!,#REF!,#REF!</definedName>
    <definedName name="_GC3">#REF!,#REF!,#REF!,#REF!,#REF!,#REF!,#REF!,#REF!,#REF!,#REF!,#REF!,#REF!</definedName>
    <definedName name="_hp10" localSheetId="3"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DC2">#N/A</definedName>
    <definedName name="_ig541">#REF!</definedName>
    <definedName name="_Inc1">#REF!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is5" localSheetId="3" hidden="1">{#N/A,#N/A,FALSE,"inctrnd99"}</definedName>
    <definedName name="_is5" hidden="1">{#N/A,#N/A,FALSE,"inctrnd99"}</definedName>
    <definedName name="_iv66666">#REF!</definedName>
    <definedName name="_jay1">#REF!</definedName>
    <definedName name="_JAY2">#REF!</definedName>
    <definedName name="_jj300">#REF!</definedName>
    <definedName name="_Job_Number_List__Equipment">#REF!</definedName>
    <definedName name="_Key1" hidden="1">#REF!</definedName>
    <definedName name="_Key2" hidden="1">#REF!</definedName>
    <definedName name="_Ki1">#REF!</definedName>
    <definedName name="_Ki2">#REF!</definedName>
    <definedName name="_ki501">#REF!</definedName>
    <definedName name="_KWS1">#N/A</definedName>
    <definedName name="_KWS2">#N/A</definedName>
    <definedName name="_KWS3">#N/A</definedName>
    <definedName name="_l">#REF!</definedName>
    <definedName name="_l_1">#REF!</definedName>
    <definedName name="_l_1_1">#REF!</definedName>
    <definedName name="_l_4">#REF!</definedName>
    <definedName name="_l_4_1">#REF!</definedName>
    <definedName name="_l_6">#REF!</definedName>
    <definedName name="_L1">#REF!</definedName>
    <definedName name="_le2" localSheetId="3" hidden="1">{"'Break down'!$A$4"}</definedName>
    <definedName name="_le2" hidden="1">{"'Break down'!$A$4"}</definedName>
    <definedName name="_le3" localSheetId="3" hidden="1">{"'Break down'!$A$4"}</definedName>
    <definedName name="_le3" hidden="1">{"'Break down'!$A$4"}</definedName>
    <definedName name="_le4" localSheetId="3" hidden="1">{"'Break down'!$A$4"}</definedName>
    <definedName name="_le4" hidden="1">{"'Break down'!$A$4"}</definedName>
    <definedName name="_len2">#REF!</definedName>
    <definedName name="_len3">#REF!</definedName>
    <definedName name="_let1">#REF!</definedName>
    <definedName name="_LHS700">#REF!</definedName>
    <definedName name="_loc1">#N/A</definedName>
    <definedName name="_M_?__">#REF!</definedName>
    <definedName name="_MAN1">#REF!</definedName>
    <definedName name="_mar16">#REF!</definedName>
    <definedName name="_mar20">#REF!</definedName>
    <definedName name="_mar25">#REF!</definedName>
    <definedName name="_mar32">#REF!</definedName>
    <definedName name="_mar40">#REF!</definedName>
    <definedName name="_mar50">#REF!</definedName>
    <definedName name="_MatInverse_In" hidden="1">#REF!</definedName>
    <definedName name="_MatInverse_Out" hidden="1">#REF!</definedName>
    <definedName name="_MatMult_A" hidden="1">#REF!</definedName>
    <definedName name="_MatMult_B" hidden="1">#REF!</definedName>
    <definedName name="_may09" localSheetId="3" hidden="1">{#N/A,#N/A,FALSE,"Bericht 2";#N/A,#N/A,FALSE,"Bericht 3";#N/A,#N/A,FALSE,"Bericht 1"}</definedName>
    <definedName name="_may09" hidden="1">{#N/A,#N/A,FALSE,"Bericht 2";#N/A,#N/A,FALSE,"Bericht 3";#N/A,#N/A,FALSE,"Bericht 1"}</definedName>
    <definedName name="_may1" hidden="1">{#N/A,#N/A,FALSE,"MARCH"}</definedName>
    <definedName name="_mit2">#REF!</definedName>
    <definedName name="_mit75">#REF!</definedName>
    <definedName name="_ML2">#REF!</definedName>
    <definedName name="_ML3">#REF!</definedName>
    <definedName name="_ML4">#REF!</definedName>
    <definedName name="_ML5">#REF!</definedName>
    <definedName name="_ML6">#REF!</definedName>
    <definedName name="_ML7">#REF!</definedName>
    <definedName name="_MN1">#REF!</definedName>
    <definedName name="_NB2">#REF!</definedName>
    <definedName name="_NB3">#REF!</definedName>
    <definedName name="_NB4">#REF!</definedName>
    <definedName name="_NB5">#REF!</definedName>
    <definedName name="_NB6">#REF!</definedName>
    <definedName name="_NB7">#REF!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new10" hidden="1">#REF!</definedName>
    <definedName name="_new11">#REF!</definedName>
    <definedName name="_new12">#REF!</definedName>
    <definedName name="_new13">#REF!</definedName>
    <definedName name="_new14">#REF!</definedName>
    <definedName name="_new15">#REF!</definedName>
    <definedName name="_new16">#REF!</definedName>
    <definedName name="_new17">#REF!</definedName>
    <definedName name="_new2">#REF!</definedName>
    <definedName name="_new3">#REF!</definedName>
    <definedName name="_new4">#REF!</definedName>
    <definedName name="_new5">#REF!</definedName>
    <definedName name="_new6">#REF!</definedName>
    <definedName name="_new7">#REF!</definedName>
    <definedName name="_new8" hidden="1">#REF!</definedName>
    <definedName name="_new9">#REF!</definedName>
    <definedName name="_No1">#REF!</definedName>
    <definedName name="_No2">#REF!</definedName>
    <definedName name="_No3">#REF!</definedName>
    <definedName name="_nr83">#REF!</definedName>
    <definedName name="_NS1">#REF!</definedName>
    <definedName name="_odc1" localSheetId="3" hidden="1">{#N/A,#N/A,FALSE,"Matrix";#N/A,#N/A,FALSE,"Executive";#N/A,#N/A,FALSE,"Summary"}</definedName>
    <definedName name="_odc1" hidden="1">{#N/A,#N/A,FALSE,"Matrix";#N/A,#N/A,FALSE,"Executive";#N/A,#N/A,FALSE,"Summary"}</definedName>
    <definedName name="_OH1">#REF!</definedName>
    <definedName name="_OH2">#REF!</definedName>
    <definedName name="_old3" localSheetId="3"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1">#REF!</definedName>
    <definedName name="_ord2">#REF!</definedName>
    <definedName name="_ord3">#REF!</definedName>
    <definedName name="_ord4">#REF!</definedName>
    <definedName name="_Order1" hidden="1">255</definedName>
    <definedName name="_Order2" hidden="1">255</definedName>
    <definedName name="_out1">#REF!</definedName>
    <definedName name="_out2">#REF!</definedName>
    <definedName name="_out3">#REF!</definedName>
    <definedName name="_out4">#REF!</definedName>
    <definedName name="_p">#REF!</definedName>
    <definedName name="_p_1">#REF!</definedName>
    <definedName name="_p_1_1">#REF!</definedName>
    <definedName name="_p_4">#REF!</definedName>
    <definedName name="_p_4_1">#REF!</definedName>
    <definedName name="_p_6">#REF!</definedName>
    <definedName name="_p1">#REF!</definedName>
    <definedName name="_pag1">#REF!</definedName>
    <definedName name="_pag2">#REF!</definedName>
    <definedName name="_pag25">#REF!</definedName>
    <definedName name="_pag3">#REF!</definedName>
    <definedName name="_pag4">#REF!</definedName>
    <definedName name="_pag5">#REF!</definedName>
    <definedName name="_pag6">#REF!</definedName>
    <definedName name="_Parse_In" hidden="1">#REF!</definedName>
    <definedName name="_Parse_Out" hidden="1">#REF!</definedName>
    <definedName name="_PB1">#REF!</definedName>
    <definedName name="_pc1">#REF!</definedName>
    <definedName name="_pc2">#REF!</definedName>
    <definedName name="_pc3">#REF!</definedName>
    <definedName name="_pcc1">#REF!</definedName>
    <definedName name="_pcc2">#REF!</definedName>
    <definedName name="_pcc3">#REF!</definedName>
    <definedName name="_PCC4">#REF!</definedName>
    <definedName name="_PER2">#REF!</definedName>
    <definedName name="_PER3">#REF!</definedName>
    <definedName name="_PER4">#REF!</definedName>
    <definedName name="_PER5">#REF!</definedName>
    <definedName name="_PER6">#REF!</definedName>
    <definedName name="_PER7">#REF!</definedName>
    <definedName name="_plb1">#REF!</definedName>
    <definedName name="_plb2">#REF!</definedName>
    <definedName name="_plb3">#REF!</definedName>
    <definedName name="_plb4">#REF!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OS1" localSheetId="3" hidden="1">{#N/A,#N/A,FALSE,"양식(을)"}</definedName>
    <definedName name="_POS1" hidden="1">{#N/A,#N/A,FALSE,"양식(을)"}</definedName>
    <definedName name="_PPR_?__">#REF!</definedName>
    <definedName name="_PR1">#N/A</definedName>
    <definedName name="_PR2">#N/A</definedName>
    <definedName name="_Prepared_By_List__Equipment">#REF!</definedName>
    <definedName name="_Project_Directory_Proj_Cost_Sumry">#REF!</definedName>
    <definedName name="_Project_Location_List__Equipment">#REF!</definedName>
    <definedName name="_Project_Name_List__Equipment">#REF!</definedName>
    <definedName name="_Project_Title_List__Equipment">#REF!</definedName>
    <definedName name="_ps1">#REF!</definedName>
    <definedName name="_ps3">#REF!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1">#REF!</definedName>
    <definedName name="_QTY07">#REF!</definedName>
    <definedName name="_QTY12">#REF!</definedName>
    <definedName name="_QTY21">#REF!</definedName>
    <definedName name="_QTY22">#REF!</definedName>
    <definedName name="_QTY33">#REF!</definedName>
    <definedName name="_QTY34">#REF!</definedName>
    <definedName name="_QTY35">#REF!</definedName>
    <definedName name="_QTY36">#REF!</definedName>
    <definedName name="_QTY39">#REF!</definedName>
    <definedName name="_QTY42">#REF!</definedName>
    <definedName name="_QTY43">#REF!</definedName>
    <definedName name="_QTY45">#REF!</definedName>
    <definedName name="_QTY46">#REF!</definedName>
    <definedName name="_QTY48">#REF!</definedName>
    <definedName name="_QTY49">#REF!</definedName>
    <definedName name="_QTY52">#REF!</definedName>
    <definedName name="_QTY53">#REF!</definedName>
    <definedName name="_QTY54">#REF!</definedName>
    <definedName name="_QTY55">#REF!</definedName>
    <definedName name="_QTY82">#REF!</definedName>
    <definedName name="_QTY84">#REF!</definedName>
    <definedName name="_R">#REF!</definedName>
    <definedName name="_ra4">#REF!</definedName>
    <definedName name="_Ra6">#REF!</definedName>
    <definedName name="_RAB002" localSheetId="3"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E_?__">#REF!</definedName>
    <definedName name="_ref2" hidden="1">#REF!</definedName>
    <definedName name="_Regression_Int" hidden="1">1</definedName>
    <definedName name="_Regression_Out" hidden="1">#REF!</definedName>
    <definedName name="_Regression_X" hidden="1">#REF!</definedName>
    <definedName name="_Regression_Y" hidden="1">#REF!</definedName>
    <definedName name="_RG11">#REF!</definedName>
    <definedName name="_rg45">#REF!</definedName>
    <definedName name="_rim4">#REF!</definedName>
    <definedName name="_rm4">#REF!</definedName>
    <definedName name="_RNLR_?__">#REF!</definedName>
    <definedName name="_ROI1">#REF!</definedName>
    <definedName name="_roi2">#REF!</definedName>
    <definedName name="_RR1">#REF!</definedName>
    <definedName name="_RS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rw78" localSheetId="3" hidden="1">{#N/A,#N/A,TRUE,"COVER";#N/A,#N/A,TRUE,"DETAILS";#N/A,#N/A,TRUE,"SUMMARY";#N/A,#N/A,TRUE,"EXP MON";#N/A,#N/A,TRUE,"APPENDIX A";#N/A,#N/A,TRUE,"APPENDIX B";#N/A,#N/A,TRUE,"APPENDIX C";#N/A,#N/A,TRUE,"APPENDIX D";#N/A,#N/A,TRUE,"APPENDIX E";#N/A,#N/A,TRUE,"APPENDIX F";#N/A,#N/A,TRUE,"APPENDIX G"}</definedName>
    <definedName name="_rw78" hidden="1">{#N/A,#N/A,TRUE,"COVER";#N/A,#N/A,TRUE,"DETAILS";#N/A,#N/A,TRUE,"SUMMARY";#N/A,#N/A,TRUE,"EXP MON";#N/A,#N/A,TRUE,"APPENDIX A";#N/A,#N/A,TRUE,"APPENDIX B";#N/A,#N/A,TRUE,"APPENDIX C";#N/A,#N/A,TRUE,"APPENDIX D";#N/A,#N/A,TRUE,"APPENDIX E";#N/A,#N/A,TRUE,"APPENDIX F";#N/A,#N/A,TRUE,"APPENDIX G"}</definedName>
    <definedName name="_S" hidden="1">#REF!</definedName>
    <definedName name="_s056">#REF!</definedName>
    <definedName name="_s0564">#REF!</definedName>
    <definedName name="_s105640">#REF!</definedName>
    <definedName name="_s12">#REF!</definedName>
    <definedName name="_s15604">#REF!</definedName>
    <definedName name="_s1564">#REF!</definedName>
    <definedName name="_s4560">#REF!</definedName>
    <definedName name="_s45620">#REF!</definedName>
    <definedName name="_s560">#REF!</definedName>
    <definedName name="_sc1">#REF!</definedName>
    <definedName name="_Scenario_Name_List__Equipment">#REF!</definedName>
    <definedName name="_sch401">#REF!</definedName>
    <definedName name="_sch402">#REF!</definedName>
    <definedName name="_sdb2">#REF!</definedName>
    <definedName name="_SEC1200">#REF!</definedName>
    <definedName name="_sep05">#REF!</definedName>
    <definedName name="_set1">#REF!,#REF!,#REF!,#REF!,#REF!,#REF!,#REF!,#REF!,#REF!,#REF!,#REF!,#REF!,#REF!,#REF!,#REF!,#REF!,#REF!,#REF!</definedName>
    <definedName name="_SF1">#REF!</definedName>
    <definedName name="_SH1">#REF!</definedName>
    <definedName name="_SH2">#REF!</definedName>
    <definedName name="_SH3">#REF!</definedName>
    <definedName name="_SH4">#REF!</definedName>
    <definedName name="_SH5">#REF!</definedName>
    <definedName name="_SH6">#REF!</definedName>
    <definedName name="_SH7">#REF!</definedName>
    <definedName name="_sls5">#REF!</definedName>
    <definedName name="_SM2">#REF!</definedName>
    <definedName name="_SM3">#REF!</definedName>
    <definedName name="_SM4">#REF!</definedName>
    <definedName name="_SM5">#REF!</definedName>
    <definedName name="_SM6">#REF!</definedName>
    <definedName name="_SM7">#REF!</definedName>
    <definedName name="_so1">#REF!</definedName>
    <definedName name="_so2">#REF!</definedName>
    <definedName name="_Sort" hidden="1">#REF!</definedName>
    <definedName name="_sort2" hidden="1">#REF!</definedName>
    <definedName name="_SS" hidden="1">#REF!</definedName>
    <definedName name="_SUM__?_._?___">#REF!</definedName>
    <definedName name="_SUN1">#N/A</definedName>
    <definedName name="_SUN2">#N/A</definedName>
    <definedName name="_SV2">#REF!</definedName>
    <definedName name="_SV3">#REF!</definedName>
    <definedName name="_SV4">#REF!</definedName>
    <definedName name="_SV5">#REF!</definedName>
    <definedName name="_SV6">#REF!</definedName>
    <definedName name="_SV7">#REF!</definedName>
    <definedName name="_sw1">#REF!</definedName>
    <definedName name="_sw2">#REF!</definedName>
    <definedName name="_sw3">#REF!</definedName>
    <definedName name="_sw4">#REF!</definedName>
    <definedName name="_sw5">#REF!</definedName>
    <definedName name="_sw6">#REF!</definedName>
    <definedName name="_sw7">#REF!</definedName>
    <definedName name="_sw8">#REF!</definedName>
    <definedName name="_t1">#REF!</definedName>
    <definedName name="_Table2_In1" hidden="1">#REF!</definedName>
    <definedName name="_Table2_In2" hidden="1">#REF!</definedName>
    <definedName name="_Table2_Out" hidden="1">#REF!</definedName>
    <definedName name="_TB2">#REF!</definedName>
    <definedName name="_tbc2">#REF!</definedName>
    <definedName name="_tbc3">#REF!</definedName>
    <definedName name="_tdp1">#REF!</definedName>
    <definedName name="_tel1">#REF!</definedName>
    <definedName name="_tel2">#REF!</definedName>
    <definedName name="_tem1" hidden="1">{#N/A,#N/A,TRUE,"Front";#N/A,#N/A,TRUE,"Simple Letter";#N/A,#N/A,TRUE,"Inside";#N/A,#N/A,TRUE,"Contents";#N/A,#N/A,TRUE,"Basis";#N/A,#N/A,TRUE,"Inclusions";#N/A,#N/A,TRUE,"Exclusions";#N/A,#N/A,TRUE,"Areas";#N/A,#N/A,TRUE,"Summary";#N/A,#N/A,TRUE,"Detail"}</definedName>
    <definedName name="_tm3" localSheetId="3"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oc166927049">#REF!</definedName>
    <definedName name="_Toc166927050">#REF!</definedName>
    <definedName name="_Toc166927051">#REF!</definedName>
    <definedName name="_Toc166927052">#REF!</definedName>
    <definedName name="_ttt1" localSheetId="3" hidden="1">{"'Sheet1'!$L$16"}</definedName>
    <definedName name="_ttt1" hidden="1">{"'Sheet1'!$L$16"}</definedName>
    <definedName name="_u1">#REF!</definedName>
    <definedName name="_U14">#REF!</definedName>
    <definedName name="_U60">#REF!</definedName>
    <definedName name="_ubr1">#REF!</definedName>
    <definedName name="_VOL2">#REF!</definedName>
    <definedName name="_VOL3">#REF!</definedName>
    <definedName name="_VOL4">#REF!</definedName>
    <definedName name="_VOL5">#REF!</definedName>
    <definedName name="_VOL6">#REF!</definedName>
    <definedName name="_VOL7">#REF!</definedName>
    <definedName name="_w1">#REF!</definedName>
    <definedName name="_WCD_?__">#REF!</definedName>
    <definedName name="_WCH_?__">#REF!</definedName>
    <definedName name="_WCS_?__">#REF!</definedName>
    <definedName name="_WDC_?__">#REF!</definedName>
    <definedName name="_WDR_?__">#REF!</definedName>
    <definedName name="_WGF__?__">#REF!</definedName>
    <definedName name="_WGZY_">#REF!</definedName>
    <definedName name="_WIC_?__">#REF!</definedName>
    <definedName name="_wid2">#REF!</definedName>
    <definedName name="_wid3">#REF!</definedName>
    <definedName name="_WIR_?__">#REF!</definedName>
    <definedName name="_wp62">#REF!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TB_">#REF!</definedName>
    <definedName name="_ww22" localSheetId="3" hidden="1">{"Datos",#N/A,TRUE,"Datos"}</definedName>
    <definedName name="_ww22" hidden="1">{"Datos",#N/A,TRUE,"Datos"}</definedName>
    <definedName name="_x1">#REF!</definedName>
    <definedName name="_x2">#REF!</definedName>
    <definedName name="_y" hidden="1">#REF!</definedName>
    <definedName name="_y1">#REF!</definedName>
    <definedName name="_z1">#REF!</definedName>
    <definedName name="_zz93">#REF!</definedName>
    <definedName name="´cAE°eE¹" hidden="1">#REF!</definedName>
    <definedName name="￠￥cAE¡ÆeEⓒo" hidden="1">#REF!</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___0">#REF!</definedName>
    <definedName name="a___13">#REF!</definedName>
    <definedName name="A__360">#REF!</definedName>
    <definedName name="A__Formwork">#REF!</definedName>
    <definedName name="A_2000_Concrete">#REF!</definedName>
    <definedName name="A_2500_Concrete">#REF!</definedName>
    <definedName name="A_Angle_Screed">#REF!</definedName>
    <definedName name="A_Concrete_Ang.Connection">#REF!</definedName>
    <definedName name="A_Drain_Length">#REF!</definedName>
    <definedName name="A_Hor.Screed">#REF!</definedName>
    <definedName name="A_Prelims">#REF!</definedName>
    <definedName name="A_Raft_Edge_Length">#REF!</definedName>
    <definedName name="A_raft_ver.Concrete">#REF!</definedName>
    <definedName name="A_Side_FW">#REF!</definedName>
    <definedName name="A_SStrip_L">#REF!</definedName>
    <definedName name="A_Sstrip_Side_Area">#REF!</definedName>
    <definedName name="A_T12RF">#REF!</definedName>
    <definedName name="A_T16RF">#REF!</definedName>
    <definedName name="A_T25RF">#REF!</definedName>
    <definedName name="A_T32RF">#REF!</definedName>
    <definedName name="A_Waterproofing_Ver">#REF!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1F">#REF!</definedName>
    <definedName name="A1Fsheepiling">#REF!</definedName>
    <definedName name="A1Fsheetpiling">#REF!</definedName>
    <definedName name="A2_">#REF!</definedName>
    <definedName name="A2____0">#REF!</definedName>
    <definedName name="A2____13">#REF!</definedName>
    <definedName name="A2A">#REF!</definedName>
    <definedName name="a2a2" localSheetId="3" hidden="1">{#N/A,#N/A,TRUE,"Financials";#N/A,#N/A,TRUE,"Operating Statistics";#N/A,#N/A,TRUE,"Capex &amp; Depreciation";#N/A,#N/A,TRUE,"Debt"}</definedName>
    <definedName name="a2a2" hidden="1">{#N/A,#N/A,TRUE,"Financials";#N/A,#N/A,TRUE,"Operating Statistics";#N/A,#N/A,TRUE,"Capex &amp; Depreciation";#N/A,#N/A,TRUE,"Debt"}</definedName>
    <definedName name="A2Csheetpiling">#REF!</definedName>
    <definedName name="A3_">#REF!</definedName>
    <definedName name="A3____0">#REF!</definedName>
    <definedName name="A3____13">#REF!</definedName>
    <definedName name="A3A">#REF!</definedName>
    <definedName name="A4_">#REF!</definedName>
    <definedName name="A4____0">#REF!</definedName>
    <definedName name="A4____13">#REF!</definedName>
    <definedName name="A4A">#REF!</definedName>
    <definedName name="A5_">#REF!</definedName>
    <definedName name="A5____0">#REF!</definedName>
    <definedName name="A5____13">#REF!</definedName>
    <definedName name="A5A">#REF!</definedName>
    <definedName name="A6_">#REF!</definedName>
    <definedName name="A6____0">#REF!</definedName>
    <definedName name="A6____13">#REF!</definedName>
    <definedName name="A6A">#REF!</definedName>
    <definedName name="A7_">#REF!</definedName>
    <definedName name="A7____0">#REF!</definedName>
    <definedName name="A7____13">#REF!</definedName>
    <definedName name="A7A">#REF!</definedName>
    <definedName name="A8_">#REF!</definedName>
    <definedName name="A8____0">#REF!</definedName>
    <definedName name="A8____13">#REF!</definedName>
    <definedName name="A8A">#REF!</definedName>
    <definedName name="A9_">#REF!</definedName>
    <definedName name="A9____0">#REF!</definedName>
    <definedName name="A9____13">#REF!</definedName>
    <definedName name="aa">#REF!</definedName>
    <definedName name="AAA" localSheetId="3" hidden="1">{#N/A,#N/A,FALSE,"JACKETS (1100 t) (1)"}</definedName>
    <definedName name="AAA" hidden="1">{#N/A,#N/A,FALSE,"JACKETS (1100 t) (1)"}</definedName>
    <definedName name="aaaa" localSheetId="3" hidden="1">{#N/A,#N/A,TRUE,"Cover Memo";"Complete Sys. Estimate",#N/A,TRUE,"Change Summary";"Complete Sys. Estimate",#N/A,TRUE,"Estimate Summary";"Complete Sys. Estimate",#N/A,TRUE,"Dept. Summary";"Complete Sys. Estimate",#N/A,TRUE,"DOW Detail"}</definedName>
    <definedName name="aaaa" hidden="1">{#N/A,#N/A,TRUE,"Cover Memo";"Complete Sys. Estimate",#N/A,TRUE,"Change Summary";"Complete Sys. Estimate",#N/A,TRUE,"Estimate Summary";"Complete Sys. Estimate",#N/A,TRUE,"Dept. Summary";"Complete Sys. Estimate",#N/A,TRUE,"DOW Detail"}</definedName>
    <definedName name="aaaa1" hidden="1">{#N/A,#N/A,FALSE,"CCTV"}</definedName>
    <definedName name="aaaaa" hidden="1">#REF!</definedName>
    <definedName name="aaaaaa" hidden="1">{#N/A,#N/A,FALSE,"Work progress mensile";#N/A,#N/A,FALSE,"Work progress mensile IE1"}</definedName>
    <definedName name="AAAAAAA" hidden="1">#REF!</definedName>
    <definedName name="aaaaaaaa" localSheetId="3" hidden="1">{#N/A,#N/A,TRUE,"Cover";#N/A,#N/A,TRUE,"Conts";#N/A,#N/A,TRUE,"VOS";#N/A,#N/A,TRUE,"Warrington";#N/A,#N/A,TRUE,"Widnes"}</definedName>
    <definedName name="aaaaaaaa" hidden="1">{#N/A,#N/A,TRUE,"Cover";#N/A,#N/A,TRUE,"Conts";#N/A,#N/A,TRUE,"VOS";#N/A,#N/A,TRUE,"Warrington";#N/A,#N/A,TRUE,"Widnes"}</definedName>
    <definedName name="aaaaaaaaa" hidden="1">{#N/A,#N/A,FALSE,"Work progress mensile";#N/A,#N/A,FALSE,"Work progress mensile IE1"}</definedName>
    <definedName name="aaaaaaaaaa">#REF!</definedName>
    <definedName name="aaaaaaaaaaa" hidden="1">{"NORMAL",#N/A,FALSE,"02"}</definedName>
    <definedName name="aaaaaaaaaaaaaaa" hidden="1">{#N/A,#N/A,TRUE,"Cover";#N/A,#N/A,TRUE,"Conts";#N/A,#N/A,TRUE,"VOS";#N/A,#N/A,TRUE,"Warrington";#N/A,#N/A,TRUE,"Widnes"}</definedName>
    <definedName name="AAAAAAAAAAAAAAAAA" hidden="1">#REF!</definedName>
    <definedName name="aaaq" localSheetId="3" hidden="1">{#N/A,#N/A,FALSE,"E-1";#N/A,#N/A,FALSE,"E-2";#N/A,#N/A,FALSE,"F-1";#N/A,#N/A,FALSE,"F-2";#N/A,#N/A,FALSE,"F-3";#N/A,#N/A,FALSE,"F-4";#N/A,#N/A,FALSE,"F-5";#N/A,#N/A,FALSE,"F-6";#N/A,#N/A,FALSE,"Matrix"}</definedName>
    <definedName name="aaaq" hidden="1">{#N/A,#N/A,FALSE,"E-1";#N/A,#N/A,FALSE,"E-2";#N/A,#N/A,FALSE,"F-1";#N/A,#N/A,FALSE,"F-2";#N/A,#N/A,FALSE,"F-3";#N/A,#N/A,FALSE,"F-4";#N/A,#N/A,FALSE,"F-5";#N/A,#N/A,FALSE,"F-6";#N/A,#N/A,FALSE,"Matrix"}</definedName>
    <definedName name="aaasd">#REF!</definedName>
    <definedName name="aaax">#REF!</definedName>
    <definedName name="AAB" localSheetId="3" hidden="1">{#N/A,#N/A,FALSE,"JACKETS (1100 t) (1)"}</definedName>
    <definedName name="AAB" hidden="1">{#N/A,#N/A,FALSE,"JACKETS (1100 t) (1)"}</definedName>
    <definedName name="aabb" hidden="1">{"VISTA_1",#N/A,FALSE,"GRAFO"}</definedName>
    <definedName name="aad">#N/A</definedName>
    <definedName name="aadawawdaW">#REF!</definedName>
    <definedName name="aamir1khan">#REF!</definedName>
    <definedName name="aamirkhan">#REF!</definedName>
    <definedName name="Aapp">#REF!</definedName>
    <definedName name="aas" localSheetId="3" hidden="1">{"Datos",#N/A,TRUE,"Datos"}</definedName>
    <definedName name="aas" hidden="1">{"Datos",#N/A,TRUE,"Datos"}</definedName>
    <definedName name="aasas" localSheetId="3" hidden="1">{#N/A,#N/A,TRUE,"Cover";#N/A,#N/A,TRUE,"Conts";#N/A,#N/A,TRUE,"VOS";#N/A,#N/A,TRUE,"Warrington";#N/A,#N/A,TRUE,"Widnes"}</definedName>
    <definedName name="aasas" hidden="1">{#N/A,#N/A,TRUE,"Cover";#N/A,#N/A,TRUE,"Conts";#N/A,#N/A,TRUE,"VOS";#N/A,#N/A,TRUE,"Warrington";#N/A,#N/A,TRUE,"Widnes"}</definedName>
    <definedName name="AASD" hidden="1">{"VISTA_1",#N/A,FALSE,"GRAFO"}</definedName>
    <definedName name="AASDD" hidden="1">{"VISTA_1",#N/A,FALSE,"GRAFO"}</definedName>
    <definedName name="ab">#REF!</definedName>
    <definedName name="abc">#REF!</definedName>
    <definedName name="ABCD" localSheetId="3">MAX([0]!Page)</definedName>
    <definedName name="ABCD">MAX(Page)</definedName>
    <definedName name="abcdef" hidden="1">{"'Break down'!$A$4"}</definedName>
    <definedName name="abcs" hidden="1">{"'Break down'!$A$4"}</definedName>
    <definedName name="abel" hidden="1">#REF!</definedName>
    <definedName name="Abst">#REF!</definedName>
    <definedName name="ABSTRACT">#REF!</definedName>
    <definedName name="abstractEB" localSheetId="3"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tarea">#REF!</definedName>
    <definedName name="abtends">#REF!</definedName>
    <definedName name="abtpi">#REF!</definedName>
    <definedName name="abtpiledia">#REF!</definedName>
    <definedName name="Abuld">#REF!</definedName>
    <definedName name="abutpiles">#REF!</definedName>
    <definedName name="ac">#REF!</definedName>
    <definedName name="AC_M32">#REF!</definedName>
    <definedName name="AC_M33">#REF!</definedName>
    <definedName name="AC_M34">#REF!</definedName>
    <definedName name="AC_M35">#REF!</definedName>
    <definedName name="AC_M36">#REF!</definedName>
    <definedName name="AC_M37">#REF!</definedName>
    <definedName name="AC_SYSTEM">#REF!</definedName>
    <definedName name="Acap">#REF!</definedName>
    <definedName name="accc" hidden="1">{"'Break down'!$A$4"}</definedName>
    <definedName name="AccessCode" hidden="1">""""</definedName>
    <definedName name="AccessDatabase" hidden="1">"G:\EXCEL\PETTER\VAKANS\1996\VAK9609\VAK9609.mdb"</definedName>
    <definedName name="accomation" hidden="1">#REF!</definedName>
    <definedName name="Account_Balance">#REF!</definedName>
    <definedName name="accountcodes">#REF!</definedName>
    <definedName name="accounts">#REF!</definedName>
    <definedName name="Accrued_Expenses">#REF!</definedName>
    <definedName name="Accrued_Int___Deposits">#REF!</definedName>
    <definedName name="AcctCodes">#REF!</definedName>
    <definedName name="AcctDescrip">#REF!</definedName>
    <definedName name="AcctName">#REF!</definedName>
    <definedName name="AcctName_4">#REF!</definedName>
    <definedName name="AcctName_4_1">#REF!</definedName>
    <definedName name="AcctName_6">#REF!</definedName>
    <definedName name="AcctPrio">#REF!</definedName>
    <definedName name="AcctPrio_4">#REF!</definedName>
    <definedName name="AcctPrio_4_1">#REF!</definedName>
    <definedName name="AcctPrio_6">#REF!</definedName>
    <definedName name="AcctPrio_Text">#REF!</definedName>
    <definedName name="AcctPrio_Text_4">#REF!</definedName>
    <definedName name="AcctPrio_Text_4_1">#REF!</definedName>
    <definedName name="AcctPrio_Text_6">#REF!</definedName>
    <definedName name="ACIER2">#REF!</definedName>
    <definedName name="ACIER3">#REF!</definedName>
    <definedName name="ACIER4">#REF!</definedName>
    <definedName name="ACIER5">#REF!</definedName>
    <definedName name="ACIER6">#REF!</definedName>
    <definedName name="ACIER7">#REF!</definedName>
    <definedName name="acountrep">#REF!</definedName>
    <definedName name="acsr" localSheetId="2">'Level 3'!#REF!</definedName>
    <definedName name="ACT">#REF!</definedName>
    <definedName name="actcum">OFFSET(#REF!,0,0,COUNTA(#REF!),1)</definedName>
    <definedName name="actcum1">OFFSET(#REF!,0,0,COUNTA(#REF!),1)</definedName>
    <definedName name="activity">#REF!</definedName>
    <definedName name="ActMap">#REF!</definedName>
    <definedName name="actmonth">OFFSET(#REF!,0,0,COUNTA(#REF!),1)</definedName>
    <definedName name="actmonth1">OFFSET(#REF!,0,0,COUNTA(#REF!),1)</definedName>
    <definedName name="Actual_Max_Gearing">#REF!</definedName>
    <definedName name="Actual_YTD">#REF!</definedName>
    <definedName name="Actuals">#REF!</definedName>
    <definedName name="Actuals_SWF">#REF!</definedName>
    <definedName name="AD" hidden="1">#REF!</definedName>
    <definedName name="ADA" hidden="1">#REF!</definedName>
    <definedName name="ADAD" hidden="1">#REF!</definedName>
    <definedName name="ADADASASDASD">#REF!</definedName>
    <definedName name="ADAFQA" localSheetId="3" hidden="1">{"sheet1",#N/A,FALSE,"easheet";"sheet2a",#N/A,FALSE,"easheet";"sheet2b",#N/A,FALSE,"easheet";"sheet3",#N/A,FALSE,"easheet"}</definedName>
    <definedName name="ADAFQA" hidden="1">{"sheet1",#N/A,FALSE,"easheet";"sheet2a",#N/A,FALSE,"easheet";"sheet2b",#N/A,FALSE,"easheet";"sheet3",#N/A,FALSE,"easheet"}</definedName>
    <definedName name="ADASASDASASDASDAS">#REF!</definedName>
    <definedName name="ADASASDASDASDAD">#REF!</definedName>
    <definedName name="ADASDASASDAS">#REF!</definedName>
    <definedName name="ADASDASDASDAS">#REF!</definedName>
    <definedName name="ADD" hidden="1">#REF!</definedName>
    <definedName name="add_mktg">#REF!</definedName>
    <definedName name="addbeam">#REF!</definedName>
    <definedName name="Address">#REF!</definedName>
    <definedName name="Aded">#REF!</definedName>
    <definedName name="ADF">#REF!</definedName>
    <definedName name="ADFS">#REF!</definedName>
    <definedName name="adfv">#REF!</definedName>
    <definedName name="adght" localSheetId="3" hidden="1">{"Datos",#N/A,TRUE,"Datos"}</definedName>
    <definedName name="adght" hidden="1">{"Datos",#N/A,TRUE,"Datos"}</definedName>
    <definedName name="adh"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JUSMENT">#REF!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inCont">#REF!</definedName>
    <definedName name="admn_off">#REF!</definedName>
    <definedName name="admn_site">#REF!</definedName>
    <definedName name="adpvol">#REF!</definedName>
    <definedName name="adqwer" localSheetId="3" hidden="1">{#N/A,#N/A,FALSE,"Matrix";#N/A,#N/A,FALSE,"Executive";#N/A,#N/A,FALSE,"Summary"}</definedName>
    <definedName name="adqwer" hidden="1">{#N/A,#N/A,FALSE,"Matrix";#N/A,#N/A,FALSE,"Executive";#N/A,#N/A,FALSE,"Summary"}</definedName>
    <definedName name="adsadsad">#REF!</definedName>
    <definedName name="adsfdafdf"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thtrh" localSheetId="3" hidden="1">{"Datos",#N/A,TRUE,"Datos"}</definedName>
    <definedName name="adthtrh" hidden="1">{"Datos",#N/A,TRUE,"Datos"}</definedName>
    <definedName name="advancemay09" localSheetId="3" hidden="1">{#N/A,#N/A,FALSE,"Bericht 2";#N/A,#N/A,FALSE,"Bericht 3";#N/A,#N/A,FALSE,"Bericht 1"}</definedName>
    <definedName name="advancemay09" hidden="1">{#N/A,#N/A,FALSE,"Bericht 2";#N/A,#N/A,FALSE,"Bericht 3";#N/A,#N/A,FALSE,"Bericht 1"}</definedName>
    <definedName name="AdvOthers">#REF!</definedName>
    <definedName name="ae" localSheetId="3" hidden="1">{"'Break down'!$A$4"}</definedName>
    <definedName name="ae" hidden="1">{"'Break down'!$A$4"}</definedName>
    <definedName name="aee" localSheetId="3" hidden="1">{"'Break down'!$A$4"}</definedName>
    <definedName name="aee" hidden="1">{"'Break down'!$A$4"}</definedName>
    <definedName name="aef" localSheetId="3" hidden="1">{"Datos",#N/A,TRUE,"Datos"}</definedName>
    <definedName name="aef" hidden="1">{"Datos",#N/A,TRUE,"Datos"}</definedName>
    <definedName name="AEFDS">#REF!</definedName>
    <definedName name="aegrgas" localSheetId="3" hidden="1">{#N/A,#N/A,TRUE,"Cover";#N/A,#N/A,TRUE,"Conts";#N/A,#N/A,TRUE,"VOS";#N/A,#N/A,TRUE,"Warrington";#N/A,#N/A,TRUE,"Widnes"}</definedName>
    <definedName name="aegrgas" hidden="1">{#N/A,#N/A,TRUE,"Cover";#N/A,#N/A,TRUE,"Conts";#N/A,#N/A,TRUE,"VOS";#N/A,#N/A,TRUE,"Warrington";#N/A,#N/A,TRUE,"Widnes"}</definedName>
    <definedName name="aegrh" localSheetId="3" hidden="1">{"Datos",#N/A,TRUE,"Datos"}</definedName>
    <definedName name="aegrh" hidden="1">{"Datos",#N/A,TRUE,"Datos"}</definedName>
    <definedName name="aeht" localSheetId="3" hidden="1">{"Datos",#N/A,TRUE,"Datos"}</definedName>
    <definedName name="aeht" hidden="1">{"Datos",#N/A,TRUE,"Datos"}</definedName>
    <definedName name="aera">#REF!</definedName>
    <definedName name="AERAFG" localSheetId="3" hidden="1">{#N/A,#N/A,TRUE,"Cover";#N/A,#N/A,TRUE,"Conts";#N/A,#N/A,TRUE,"VOS";#N/A,#N/A,TRUE,"Warrington";#N/A,#N/A,TRUE,"Widnes"}</definedName>
    <definedName name="AERAFG" hidden="1">{#N/A,#N/A,TRUE,"Cover";#N/A,#N/A,TRUE,"Conts";#N/A,#N/A,TRUE,"VOS";#N/A,#N/A,TRUE,"Warrington";#N/A,#N/A,TRUE,"Widnes"}</definedName>
    <definedName name="aerh" localSheetId="3" hidden="1">{"Datos",#N/A,TRUE,"Datos"}</definedName>
    <definedName name="aerh" hidden="1">{"Datos",#N/A,TRUE,"Datos"}</definedName>
    <definedName name="aeron">#REF!</definedName>
    <definedName name="aertes" localSheetId="3" hidden="1">{#N/A,#N/A,TRUE,"Cover";#N/A,#N/A,TRUE,"Conts";#N/A,#N/A,TRUE,"VOS";#N/A,#N/A,TRUE,"Warrington";#N/A,#N/A,TRUE,"Widnes"}</definedName>
    <definedName name="aertes" hidden="1">{#N/A,#N/A,TRUE,"Cover";#N/A,#N/A,TRUE,"Conts";#N/A,#N/A,TRUE,"VOS";#N/A,#N/A,TRUE,"Warrington";#N/A,#N/A,TRUE,"Widnes"}</definedName>
    <definedName name="aetertryh" localSheetId="3" hidden="1">{#N/A,#N/A,TRUE,"Cover";#N/A,#N/A,TRUE,"Conts";#N/A,#N/A,TRUE,"VOS";#N/A,#N/A,TRUE,"Warrington";#N/A,#N/A,TRUE,"Widnes"}</definedName>
    <definedName name="aetertryh" hidden="1">{#N/A,#N/A,TRUE,"Cover";#N/A,#N/A,TRUE,"Conts";#N/A,#N/A,TRUE,"VOS";#N/A,#N/A,TRUE,"Warrington";#N/A,#N/A,TRUE,"Widnes"}</definedName>
    <definedName name="afdasgh" hidden="1">{#N/A,#N/A,FALSE,"CCTV"}</definedName>
    <definedName name="AFDS">#REF!</definedName>
    <definedName name="afdsfdg" hidden="1">{#N/A,#N/A,FALSE,"CCTV"}</definedName>
    <definedName name="afdslkjf" localSheetId="3" hidden="1">{#N/A,#N/A,TRUE,"Cover Memo";"Complete Sys. Estimate",#N/A,TRUE,"Change Summary";"Complete Sys. Estimate",#N/A,TRUE,"Estimate Summary";"Complete Sys. Estimate",#N/A,TRUE,"Dept. Summary";"Complete Sys. Estimate",#N/A,TRUE,"DOW Detail"}</definedName>
    <definedName name="afdslkjf" hidden="1">{#N/A,#N/A,TRUE,"Cover Memo";"Complete Sys. Estimate",#N/A,TRUE,"Change Summary";"Complete Sys. Estimate",#N/A,TRUE,"Estimate Summary";"Complete Sys. Estimate",#N/A,TRUE,"Dept. Summary";"Complete Sys. Estimate",#N/A,TRUE,"DOW Detail"}</definedName>
    <definedName name="aferg" localSheetId="3" hidden="1">{"Datos",#N/A,TRUE,"Datos"}</definedName>
    <definedName name="aferg" hidden="1">{"Datos",#N/A,TRUE,"Datos"}</definedName>
    <definedName name="AFESGV">#REF!</definedName>
    <definedName name="aff" localSheetId="3" hidden="1">{#N/A,#N/A,TRUE,"Cover";#N/A,#N/A,TRUE,"Conts";#N/A,#N/A,TRUE,"VOS";#N/A,#N/A,TRUE,"Warrington";#N/A,#N/A,TRUE,"Widnes"}</definedName>
    <definedName name="aff" hidden="1">{#N/A,#N/A,TRUE,"Cover";#N/A,#N/A,TRUE,"Conts";#N/A,#N/A,TRUE,"VOS";#N/A,#N/A,TRUE,"Warrington";#N/A,#N/A,TRUE,"Widnes"}</definedName>
    <definedName name="affaire">#REF!</definedName>
    <definedName name="afffgff" hidden="1">{#N/A,#N/A,FALSE,"CCTV"}</definedName>
    <definedName name="Afford_Perc">#REF!</definedName>
    <definedName name="Afford_Rate">#REF!</definedName>
    <definedName name="Aflar">#REF!</definedName>
    <definedName name="afre" localSheetId="3" hidden="1">{#N/A,#N/A,TRUE,"Cover Memo";"Complete Sys. Estimate",#N/A,TRUE,"Change Summary";"Complete Sys. Estimate",#N/A,TRUE,"Estimate Summary";"Complete Sys. Estimate",#N/A,TRUE,"Dept. Summary";"Complete Sys. Estimate",#N/A,TRUE,"DOW Detail"}</definedName>
    <definedName name="afre" hidden="1">{#N/A,#N/A,TRUE,"Cover Memo";"Complete Sys. Estimate",#N/A,TRUE,"Change Summary";"Complete Sys. Estimate",#N/A,TRUE,"Estimate Summary";"Complete Sys. Estimate",#N/A,TRUE,"Dept. Summary";"Complete Sys. Estimate",#N/A,TRUE,"DOW Detail"}</definedName>
    <definedName name="ag" localSheetId="3" hidden="1">{"Datos",#N/A,TRUE,"Datos"}</definedName>
    <definedName name="ag" hidden="1">{"Datos",#N/A,TRUE,"Datos"}</definedName>
    <definedName name="Ag___0">#REF!</definedName>
    <definedName name="Ag___13">#REF!</definedName>
    <definedName name="agdfg" localSheetId="3" hidden="1">{"Datos",#N/A,TRUE,"Datos"}</definedName>
    <definedName name="agdfg" hidden="1">{"Datos",#N/A,TRUE,"Datos"}</definedName>
    <definedName name="Agents_Fees">#REF!</definedName>
    <definedName name="AggregateBaseCourse">#REF!</definedName>
    <definedName name="AGN">#REF!</definedName>
    <definedName name="ah">#REF!</definedName>
    <definedName name="ahmed">#REF!</definedName>
    <definedName name="ahr" localSheetId="3" hidden="1">{"Datos",#N/A,TRUE,"Datos"}</definedName>
    <definedName name="ahr" hidden="1">{"Datos",#N/A,TRUE,"Datos"}</definedName>
    <definedName name="ahu">#REF!</definedName>
    <definedName name="AHUFan" hidden="1">#REF!</definedName>
    <definedName name="air_trap">#REF!</definedName>
    <definedName name="Airport">#REF!</definedName>
    <definedName name="AirportStat">#REF!</definedName>
    <definedName name="aji">#REF!</definedName>
    <definedName name="AJITABH">#REF!</definedName>
    <definedName name="AJITABHPANDEY">#REF!</definedName>
    <definedName name="ajitha">#REF!</definedName>
    <definedName name="AK_1972" hidden="1">{#N/A,#N/A,TRUE,"Front";#N/A,#N/A,TRUE,"Simple Letter";#N/A,#N/A,TRUE,"Inside";#N/A,#N/A,TRUE,"Contents";#N/A,#N/A,TRUE,"Basis";#N/A,#N/A,TRUE,"Inclusions";#N/A,#N/A,TRUE,"Exclusions";#N/A,#N/A,TRUE,"Areas";#N/A,#N/A,TRUE,"Summary";#N/A,#N/A,TRUE,"Detail"}</definedName>
    <definedName name="AKDBSBCNB">#REF!</definedName>
    <definedName name="AKFGHL">#REF!</definedName>
    <definedName name="AKGOH">#REF!</definedName>
    <definedName name="AKLMNOPQR">#REF!</definedName>
    <definedName name="al">#REF!</definedName>
    <definedName name="ALAMSAMEER">#REF!</definedName>
    <definedName name="Alarm_current_Amp_In_Minutes">#REF!</definedName>
    <definedName name="ALDKHAN1234">#REF!</definedName>
    <definedName name="ALFAYAH1">#REF!</definedName>
    <definedName name="ALL">#REF!</definedName>
    <definedName name="all_activities">#REF!,#REF!,#REF!,#REF!,#REF!,#REF!,#REF!,#REF!,#REF!,#REF!,#REF!,#REF!,#REF!,#REF!,#REF!,#REF!</definedName>
    <definedName name="All_Item">#REF!</definedName>
    <definedName name="AllData">#REF!</definedName>
    <definedName name="allline">#REF!</definedName>
    <definedName name="alllines">#REF!</definedName>
    <definedName name="Allocation">#REF!</definedName>
    <definedName name="ALPAN">#REF!</definedName>
    <definedName name="alpha">#REF!</definedName>
    <definedName name="alphabet">#REF!</definedName>
    <definedName name="ALPIN">#N/A</definedName>
    <definedName name="ALPJYOU">#N/A</definedName>
    <definedName name="ALPTOI">#N/A</definedName>
    <definedName name="AltMonth">#REF!</definedName>
    <definedName name="alu.">#REF!</definedName>
    <definedName name="ALU_door_window">#REF!</definedName>
    <definedName name="alu_haerware">#REF!</definedName>
    <definedName name="alu_haerware1">#REF!</definedName>
    <definedName name="alu_hardware">#REF!</definedName>
    <definedName name="alum11120">#REF!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_Work">#REF!</definedName>
    <definedName name="Alw">#REF!</definedName>
    <definedName name="amj" hidden="1">#REF!</definedName>
    <definedName name="Amortization">#REF!</definedName>
    <definedName name="Analysis">#REF!</definedName>
    <definedName name="AnalysisType">#REF!</definedName>
    <definedName name="analz">#REF!</definedName>
    <definedName name="angle">#REF!</definedName>
    <definedName name="Angle_Screed">#REF!</definedName>
    <definedName name="AnjanaPandey">#REF!</definedName>
    <definedName name="ann">#REF!</definedName>
    <definedName name="anne">#REF!</definedName>
    <definedName name="annealing">#REF!</definedName>
    <definedName name="annealing1">#REF!</definedName>
    <definedName name="anscount" hidden="1">1</definedName>
    <definedName name="antifire.selant">#REF!</definedName>
    <definedName name="antonio" hidden="1">{#N/A,#N/A,FALSE,"Work progress mensile";#N/A,#N/A,FALSE,"Work progress mensile IE1"}</definedName>
    <definedName name="anuj101" localSheetId="3"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3"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3"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3"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3"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3"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3"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3"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3"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3"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3"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3"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P">#REF!</definedName>
    <definedName name="aocd">#REF!</definedName>
    <definedName name="APL">#REF!</definedName>
    <definedName name="apm">#REF!</definedName>
    <definedName name="apm_bax.contract">#REF!</definedName>
    <definedName name="apm_bax.now">#REF!</definedName>
    <definedName name="apm_bax.old">#REF!</definedName>
    <definedName name="apm_bax.old.now">#REF!</definedName>
    <definedName name="apm_bax.old.payment">#REF!</definedName>
    <definedName name="apm_bax.old.vo.app">#REF!</definedName>
    <definedName name="apm_bax.payment">#REF!</definedName>
    <definedName name="apm_bax.rev">#REF!</definedName>
    <definedName name="apm_bax.tot.contract">#REF!</definedName>
    <definedName name="apm_bax.tot.now">#REF!</definedName>
    <definedName name="apm_bax.tot.payment">#REF!</definedName>
    <definedName name="apm_bax.tot.vo.app">#REF!</definedName>
    <definedName name="apm_bax.vo.app">#REF!</definedName>
    <definedName name="apm_ccu.bs">#REF!</definedName>
    <definedName name="apm_ccu.bs.now">#REF!</definedName>
    <definedName name="apm_ccu.bs.payment">#REF!</definedName>
    <definedName name="apm_ccu.bs.vo.app">#REF!</definedName>
    <definedName name="apm_ccu.cert">#REF!</definedName>
    <definedName name="apm_ccu.contract">#REF!</definedName>
    <definedName name="apm_ccu.contract.now">#REF!</definedName>
    <definedName name="apm_ccu.fire">#REF!</definedName>
    <definedName name="apm_ccu.fire.now">#REF!</definedName>
    <definedName name="apm_ccu.fire.payment">#REF!</definedName>
    <definedName name="apm_ccu.fire.vo.app">#REF!</definedName>
    <definedName name="apm_ccu.furn">#REF!</definedName>
    <definedName name="apm_ccu.furn.vo.app">#REF!</definedName>
    <definedName name="apm_ccu.mon">#REF!</definedName>
    <definedName name="apm_ccu.mon.vo.app">#REF!</definedName>
    <definedName name="apm_ccu.payment">#REF!</definedName>
    <definedName name="apm_ccu.rev">#REF!</definedName>
    <definedName name="apm_ccu.tot.contract">#REF!</definedName>
    <definedName name="apm_ccu.tot.now">#REF!</definedName>
    <definedName name="apm_ccu.tot.payment">#REF!</definedName>
    <definedName name="apm_ccu.tot.vo.app">#REF!</definedName>
    <definedName name="apm_ccu.vo.app">#REF!</definedName>
    <definedName name="apm_dax.app.vo">#REF!</definedName>
    <definedName name="apm_dax.bs.fee">#REF!</definedName>
    <definedName name="apm_dax.bs.now">#REF!</definedName>
    <definedName name="apm_dax.bs.payment">#REF!</definedName>
    <definedName name="apm_dax.bs.vo.app">#REF!</definedName>
    <definedName name="apm_dax.cert">#REF!</definedName>
    <definedName name="apm_dax.com.now">#REF!</definedName>
    <definedName name="apm_dax.com.payment">#REF!</definedName>
    <definedName name="apm_dax.com.vo.app">#REF!</definedName>
    <definedName name="apm_dax.consult.fee">#REF!</definedName>
    <definedName name="apm_dax.consult.now">#REF!</definedName>
    <definedName name="apm_dax.consult.payment">#REF!</definedName>
    <definedName name="apm_dax.consult.vo.app">#REF!</definedName>
    <definedName name="apm_dax.contract.now">#REF!</definedName>
    <definedName name="apm_dax.contractor">#REF!</definedName>
    <definedName name="apm_dax.ffe">#REF!</definedName>
    <definedName name="apm_dax.ffe.now">#REF!</definedName>
    <definedName name="apm_dax.ffe.payment">#REF!</definedName>
    <definedName name="apm_dax.ffe.vo.app">#REF!</definedName>
    <definedName name="apm_dax.hosp">#REF!</definedName>
    <definedName name="apm_dax.hosp.com">#REF!</definedName>
    <definedName name="apm_dax.hosp.comm">#REF!</definedName>
    <definedName name="apm_dax.hosp.now">#REF!</definedName>
    <definedName name="apm_dax.hosp.payment">#REF!</definedName>
    <definedName name="apm_dax.hosp.vo.app">#REF!</definedName>
    <definedName name="apm_dax.pabx">#REF!</definedName>
    <definedName name="apm_dax.pabx.now">#REF!</definedName>
    <definedName name="apm_dax.pabx.payment">#REF!</definedName>
    <definedName name="apm_dax.pabx.vo.app">#REF!</definedName>
    <definedName name="apm_dax.payment">#REF!</definedName>
    <definedName name="apm_dax.pm.fee">#REF!</definedName>
    <definedName name="apm_dax.pm.now">#REF!</definedName>
    <definedName name="apm_dax.pm.payment">#REF!</definedName>
    <definedName name="apm_dax.pm.vo.app">#REF!</definedName>
    <definedName name="apm_dax.ps">#REF!</definedName>
    <definedName name="apm_dax.qs.fee">#REF!</definedName>
    <definedName name="apm_dax.qs.now">#REF!</definedName>
    <definedName name="apm_dax.qs.payment">#REF!</definedName>
    <definedName name="apm_dax.qs.vo.app">#REF!</definedName>
    <definedName name="apm_dax.special.now">#REF!</definedName>
    <definedName name="apm_dax.specialist.fee">#REF!</definedName>
    <definedName name="apm_dax.specialist.payment">#REF!</definedName>
    <definedName name="apm_dax.specialist.vo.app">#REF!</definedName>
    <definedName name="apm_dem.consult">#REF!</definedName>
    <definedName name="apm_dem.consult.now">#REF!</definedName>
    <definedName name="apm_dem.consult.payment">#REF!</definedName>
    <definedName name="apm_dem.consult.vo.app">#REF!</definedName>
    <definedName name="apm_dem.contract">#REF!</definedName>
    <definedName name="apm_dem.contract.now">#REF!</definedName>
    <definedName name="apm_dem.contract.payment">#REF!</definedName>
    <definedName name="apm_dem.contract.vo.app">#REF!</definedName>
    <definedName name="apm_dem.furn">#REF!</definedName>
    <definedName name="apm_dem.furn.now">#REF!</definedName>
    <definedName name="apm_dem.furn.payment">#REF!</definedName>
    <definedName name="apm_dem.furn.vo.app">#REF!</definedName>
    <definedName name="apm_dem.hosp">#REF!</definedName>
    <definedName name="apm_dem.hosp.now">#REF!</definedName>
    <definedName name="apm_dem.hosp.payment">#REF!</definedName>
    <definedName name="apm_dem.hosp.vo.app">#REF!</definedName>
    <definedName name="apm_dem.mon">#REF!</definedName>
    <definedName name="apm_dem.mon.now">#REF!</definedName>
    <definedName name="apm_dem.mon.payment">#REF!</definedName>
    <definedName name="apm_dem.mon.vo.app">#REF!</definedName>
    <definedName name="apm_dem.rev">#REF!</definedName>
    <definedName name="apm_dem.tot.contract">#REF!</definedName>
    <definedName name="apm_dem.tot.now">#REF!</definedName>
    <definedName name="apm_dem.tot.payment">#REF!</definedName>
    <definedName name="apm_dem.tot.vo.app">#REF!</definedName>
    <definedName name="apm_icu.bs">#REF!</definedName>
    <definedName name="apm_icu.bs.now">#REF!</definedName>
    <definedName name="apm_icu.bs.payment">#REF!</definedName>
    <definedName name="apm_icu.bs.vo.app">#REF!</definedName>
    <definedName name="apm_icu.cert">#REF!</definedName>
    <definedName name="apm_icu.contract">#REF!</definedName>
    <definedName name="apm_icu.contract.now">#REF!</definedName>
    <definedName name="apm_icu.furn">#REF!</definedName>
    <definedName name="apm_icu.furn.vo.app">#REF!</definedName>
    <definedName name="apm_icu.mon">#REF!</definedName>
    <definedName name="apm_icu.mon.vo.app">#REF!</definedName>
    <definedName name="apm_icu.payment">#REF!</definedName>
    <definedName name="apm_icu.rev">#REF!</definedName>
    <definedName name="apm_icu.tot.contract">#REF!</definedName>
    <definedName name="apm_icu.tot.now">#REF!</definedName>
    <definedName name="apm_icu.tot.payment">#REF!</definedName>
    <definedName name="apm_icu.tot.vo.app">#REF!</definedName>
    <definedName name="apm_icu.vo.app">#REF!</definedName>
    <definedName name="apm_temp.cert">#REF!</definedName>
    <definedName name="applen">#REF!</definedName>
    <definedName name="appraisal" localSheetId="3" hidden="1">{#N/A,#N/A,TRUE,"Cover";#N/A,#N/A,TRUE,"Conts";#N/A,#N/A,TRUE,"VOS";#N/A,#N/A,TRUE,"Warrington";#N/A,#N/A,TRUE,"Widnes"}</definedName>
    <definedName name="appraisal" hidden="1">{#N/A,#N/A,TRUE,"Cover";#N/A,#N/A,TRUE,"Conts";#N/A,#N/A,TRUE,"VOS";#N/A,#N/A,TRUE,"Warrington";#N/A,#N/A,TRUE,"Widnes"}</definedName>
    <definedName name="Approved_by">#REF!</definedName>
    <definedName name="april_qty">#REF!</definedName>
    <definedName name="April09" localSheetId="3" hidden="1">{#N/A,#N/A,FALSE,"Bericht 2";#N/A,#N/A,FALSE,"Bericht 3";#N/A,#N/A,FALSE,"Bericht 1"}</definedName>
    <definedName name="April09" hidden="1">{#N/A,#N/A,FALSE,"Bericht 2";#N/A,#N/A,FALSE,"Bericht 3";#N/A,#N/A,FALSE,"Bericht 1"}</definedName>
    <definedName name="april2010" localSheetId="3" hidden="1">{#N/A,#N/A,FALSE,"Bericht 2";#N/A,#N/A,FALSE,"Bericht 3";#N/A,#N/A,FALSE,"Bericht 1"}</definedName>
    <definedName name="april2010" hidden="1">{#N/A,#N/A,FALSE,"Bericht 2";#N/A,#N/A,FALSE,"Bericht 3";#N/A,#N/A,FALSE,"Bericht 1"}</definedName>
    <definedName name="APX_A">#REF!</definedName>
    <definedName name="APX_B">#REF!</definedName>
    <definedName name="APX_C">#REF!</definedName>
    <definedName name="APX_D">#REF!</definedName>
    <definedName name="APX_E">#REF!</definedName>
    <definedName name="APX_G">#REF!</definedName>
    <definedName name="aq" hidden="1">#REF!</definedName>
    <definedName name="aqa">#REF!</definedName>
    <definedName name="aqw" localSheetId="3" hidden="1">{#N/A,#N/A,FALSE,"SUBS";#N/A,#N/A,FALSE,"SUPERS";#N/A,#N/A,FALSE,"FINISHES";#N/A,#N/A,FALSE,"FITTINGS";#N/A,#N/A,FALSE,"SERVICES";#N/A,#N/A,FALSE,"SITEWORKS"}</definedName>
    <definedName name="aqw" hidden="1">{#N/A,#N/A,FALSE,"SUBS";#N/A,#N/A,FALSE,"SUPERS";#N/A,#N/A,FALSE,"FINISHES";#N/A,#N/A,FALSE,"FITTINGS";#N/A,#N/A,FALSE,"SERVICES";#N/A,#N/A,FALSE,"SITEWORKS"}</definedName>
    <definedName name="AQWER" hidden="1">{#N/A,#N/A,TRUE,"Cover";#N/A,#N/A,TRUE,"Conts";#N/A,#N/A,TRUE,"VOS";#N/A,#N/A,TRUE,"Warrington";#N/A,#N/A,TRUE,"Widnes"}</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ert">#REF!</definedName>
    <definedName name="ar">#REF!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hitectural">#REF!</definedName>
    <definedName name="arcos1">#REF!</definedName>
    <definedName name="are">#REF!</definedName>
    <definedName name="AREA">#REF!</definedName>
    <definedName name="Area_00">#REF!</definedName>
    <definedName name="Area_01">#REF!</definedName>
    <definedName name="Area_02">#REF!</definedName>
    <definedName name="Area_03">#REF!</definedName>
    <definedName name="AREA_100mm_thk_blinding">#REF!</definedName>
    <definedName name="AREA_1600mm_thk_base_slab">#REF!</definedName>
    <definedName name="AREA_200mm_thick_cantilever_slab">#REF!</definedName>
    <definedName name="AREA_22KV_SWITCHGEAR_GR_651">#REF!</definedName>
    <definedName name="AREA_22KV_SWITCHGEAR_under_eqpt__GR_651">#REF!</definedName>
    <definedName name="AREA_22KV_SWITCHGEAR_under_walk__GR_651">#REF!</definedName>
    <definedName name="AREA_300mm_thk_base_slab">#REF!</definedName>
    <definedName name="AREA_300mm_thk_Susp._slab">#REF!</definedName>
    <definedName name="AREA_4mm_thk_below_ground_waterproofing">#REF!</definedName>
    <definedName name="AREA_4mm_thk_roof_covering_system">#REF!</definedName>
    <definedName name="AREA_500mm_thk_base_slab">#REF!</definedName>
    <definedName name="AREA_75mm_thk_blinding">#REF!</definedName>
    <definedName name="AREA_800mm_thk_base_slab">#REF!</definedName>
    <definedName name="AREA_AC_DC_GR_658">#REF!</definedName>
    <definedName name="AREA_Access_drive_rear">#REF!</definedName>
    <definedName name="AREA_Access_drive_rear_F.1">#REF!</definedName>
    <definedName name="AREA_Access_tunnel">#REF!</definedName>
    <definedName name="AREA_AGV_depot">#REF!</definedName>
    <definedName name="AREA_Air_filter_chamber">#REF!</definedName>
    <definedName name="AREA_Air_intake_trench">#REF!</definedName>
    <definedName name="AREA_AUX_1_GR_653">#REF!</definedName>
    <definedName name="AREA_AUX_2_GR_654">#REF!</definedName>
    <definedName name="AREA_BASEMENT_BS_651">#REF!</definedName>
    <definedName name="AREA_BATTERY_GR_659">#REF!</definedName>
    <definedName name="AREA_Below_ground_horizontal">#REF!</definedName>
    <definedName name="AREA_Below_tunnel_horizontal">#REF!</definedName>
    <definedName name="AREA_Blinding">#REF!</definedName>
    <definedName name="AREA_Break">#REF!</definedName>
    <definedName name="AREA_Break.F">#REF!</definedName>
    <definedName name="AREA_Break_room">#REF!</definedName>
    <definedName name="AREA_Break_room.1">#REF!</definedName>
    <definedName name="AREA_Cable_trench_slab_200mm_thk">#REF!</definedName>
    <definedName name="AREA_Comm">#REF!</definedName>
    <definedName name="AREA_COMMU.ROOM_GR_660">#REF!</definedName>
    <definedName name="AREA_Communication_room">#REF!</definedName>
    <definedName name="AREA_Control.1">#REF!</definedName>
    <definedName name="AREA_CONTROL_ROOM_GR_657">#REF!</definedName>
    <definedName name="AREA_Corridor">#REF!</definedName>
    <definedName name="AREA_Corridor.1">#REF!</definedName>
    <definedName name="AREA_Corridor.2">#REF!</definedName>
    <definedName name="AREA_Corridor.3">#REF!</definedName>
    <definedName name="AREA_Corridor.4">#REF!</definedName>
    <definedName name="AREA_CORRIDOR_GR_665">#REF!</definedName>
    <definedName name="AREA_CT___02">#REF!</definedName>
    <definedName name="AREA_Elec">#REF!</definedName>
    <definedName name="AREA_Elec.1">#REF!</definedName>
    <definedName name="AREA_Elec.2">#REF!</definedName>
    <definedName name="AREA_Electrical">#REF!</definedName>
    <definedName name="AREA_Electrical.1">#REF!</definedName>
    <definedName name="AREA_Electrical.f">#REF!</definedName>
    <definedName name="AREA_Electrical_room">#REF!</definedName>
    <definedName name="AREA_Elev._equip">#REF!</definedName>
    <definedName name="AREA_EP___01">#REF!</definedName>
    <definedName name="AREA_EP___02">#REF!</definedName>
    <definedName name="AREA_Epoxy_paint_anti_fungus">#REF!</definedName>
    <definedName name="AREA_Excation">#REF!</definedName>
    <definedName name="AREA_Exit_passageway">#REF!</definedName>
    <definedName name="AREA_Exit_passageway.1">#REF!</definedName>
    <definedName name="AREA_Exit_passageway.2">#REF!</definedName>
    <definedName name="AREA_Exit_passageway.F">#REF!</definedName>
    <definedName name="AREA_Exit_passageway_1">#REF!</definedName>
    <definedName name="AREA_Fair_faced_concrete">#REF!</definedName>
    <definedName name="AREA_False_Ceiling">#REF!</definedName>
    <definedName name="AREA_Fan_room">#REF!</definedName>
    <definedName name="AREA_Fan_room.2">#REF!</definedName>
    <definedName name="AREA_Female_toilet_shower.F">#REF!</definedName>
    <definedName name="AREA_FF_conc._w_epoxy_paint_anti_fungus">#REF!</definedName>
    <definedName name="AREA_Filters.RF">#REF!</definedName>
    <definedName name="AREA_FIRE_FIGHTING_GR_656">#REF!</definedName>
    <definedName name="AREA_Fire_riser">#REF!</definedName>
    <definedName name="AREA_Fire_riser.F">#REF!</definedName>
    <definedName name="AREA_FL_01_General_floor">#REF!</definedName>
    <definedName name="AREA_FL_01_Ramps">#REF!</definedName>
    <definedName name="AREA_FL_02_Traffic_islands___Raised_area">#REF!</definedName>
    <definedName name="AREA_FL_06_Ped._Walkways">#REF!</definedName>
    <definedName name="AREA_Footing_F1_400mm_high">#REF!</definedName>
    <definedName name="AREA_GENERATOR_1_GR_671">#REF!</definedName>
    <definedName name="AREA_GENERATOR_2_GR_672">#REF!</definedName>
    <definedName name="AREA_GIS_ROOM_GR_652">#REF!</definedName>
    <definedName name="AREA_GIS_ROOM_under_eqpt__GR_652">#REF!</definedName>
    <definedName name="AREA_GIS_ROOM_under_walkable__GR_652">#REF!</definedName>
    <definedName name="AREA_Grade_Slab_200mm_thk">#REF!</definedName>
    <definedName name="AREA_GUARD_ROOM_GR_666">#REF!</definedName>
    <definedName name="AREA_GUARD_WC_GR_669">#REF!</definedName>
    <definedName name="AREA_Hangar_11">#REF!</definedName>
    <definedName name="AREA_Hangar_12">#REF!</definedName>
    <definedName name="AREA_Imam_office">#REF!</definedName>
    <definedName name="AREA_Janitor">#REF!</definedName>
    <definedName name="AREA_Janitor.1">#REF!</definedName>
    <definedName name="AREA_Line_hangar_1">#REF!</definedName>
    <definedName name="AREA_Mech">#REF!</definedName>
    <definedName name="AREA_Mech.">#REF!</definedName>
    <definedName name="AREA_Mech.1">#REF!</definedName>
    <definedName name="AREA_Mech.2">#REF!</definedName>
    <definedName name="AREA_Mechanical">#REF!</definedName>
    <definedName name="AREA_Mechanical.1">#REF!</definedName>
    <definedName name="AREA_Mechanical.PH">#REF!</definedName>
    <definedName name="AREA_Mechanical.RF">#REF!</definedName>
    <definedName name="AREA_Mechanical_room">#REF!</definedName>
    <definedName name="AREA_MEDIUM_VOLTAGE_RM_GR_670">#REF!</definedName>
    <definedName name="AREA_Men_toilet_shower">#REF!</definedName>
    <definedName name="AREA_Men_toilet_shower.1">#REF!</definedName>
    <definedName name="AREA_Men_toilet_shower.F">#REF!</definedName>
    <definedName name="AREA_Mens_toilet">#REF!</definedName>
    <definedName name="AREA_Mens_toilet.F">#REF!</definedName>
    <definedName name="AREA_Office">#REF!</definedName>
    <definedName name="AREA_Office.1">#REF!</definedName>
    <definedName name="AREA_Office_1">#REF!</definedName>
    <definedName name="AREA_Office_2">#REF!</definedName>
    <definedName name="AREA_Office_3">#REF!</definedName>
    <definedName name="AREA_OFFICE_GR_663">#REF!</definedName>
    <definedName name="AREA_OFFICE_GR_664">#REF!</definedName>
    <definedName name="AREA_Offices">#REF!</definedName>
    <definedName name="AREA_OIL_PIT_B_655">#REF!</definedName>
    <definedName name="AREA_OIL_PIT_B_656">#REF!</definedName>
    <definedName name="AREA_OIL_PIT_BS_654">#REF!</definedName>
    <definedName name="AREA_Open_office">#REF!</definedName>
    <definedName name="AREA_OPen_office.1">#REF!</definedName>
    <definedName name="AREA_Open_office.F">#REF!</definedName>
    <definedName name="AREA_Paint_hangar_1">#REF!</definedName>
    <definedName name="AREA_Paint_hold.1">#REF!</definedName>
    <definedName name="AREA_Paint_mix">#REF!</definedName>
    <definedName name="AREA_Paint_mix.1">#REF!</definedName>
    <definedName name="AREA_Paint_shop">#REF!</definedName>
    <definedName name="AREA_Paint_shop.1">#REF!</definedName>
    <definedName name="AREA_Paint_store">#REF!</definedName>
    <definedName name="AREA_Painted_plaster">#REF!</definedName>
    <definedName name="AREA_PANTRY_GR_662">#REF!</definedName>
    <definedName name="AREA_Parts">#REF!</definedName>
    <definedName name="AREA_Parts.1">#REF!</definedName>
    <definedName name="AREA_Parts_">#REF!</definedName>
    <definedName name="AREA_Plaster_Anti_alkaline_paint">#REF!</definedName>
    <definedName name="AREA_Plot_Area">#REF!</definedName>
    <definedName name="AREA_Prayer_room">#REF!</definedName>
    <definedName name="AREA_PT___10">#REF!</definedName>
    <definedName name="AREA_RC_base">#REF!</definedName>
    <definedName name="AREA_Receiver_tanks">#REF!</definedName>
    <definedName name="AREA_Removal_of_top_soil">#REF!</definedName>
    <definedName name="AREA_Riser">#REF!</definedName>
    <definedName name="AREA_ROOF_RF_651">#REF!</definedName>
    <definedName name="AREA_ROOF_RF_652">#REF!</definedName>
    <definedName name="AREA_ROOF_RF_653">#REF!</definedName>
    <definedName name="AREA_ROOF_RF_654">#REF!</definedName>
    <definedName name="AREA_Roof_Slab_200mm_thick">#REF!</definedName>
    <definedName name="AREA_Roof_slab_250mm_thk">#REF!</definedName>
    <definedName name="AREA_Seat_storage.F1">#REF!</definedName>
    <definedName name="AREA_Seat_storage.F2">#REF!</definedName>
    <definedName name="AREA_SF_01_General_soffit">#REF!</definedName>
    <definedName name="AREA_Slab_S2_180mm_thick">#REF!</definedName>
    <definedName name="AREA_Slab_S3_200mm_thick">#REF!</definedName>
    <definedName name="AREA_Slab_S4_220mm_thick">#REF!</definedName>
    <definedName name="AREA_Slab_S5_250mm_thk">#REF!</definedName>
    <definedName name="AREA_Sloped_Roof_160mm_thick">#REF!</definedName>
    <definedName name="AREA_Smoking.1">#REF!</definedName>
    <definedName name="AREA_Smoking.2">#REF!</definedName>
    <definedName name="AREA_Smoking.F">#REF!</definedName>
    <definedName name="AREA_Stair">#REF!</definedName>
    <definedName name="AREA_Stair.1">#REF!</definedName>
    <definedName name="AREA_Stair_10">#REF!</definedName>
    <definedName name="AREA_Stair_11">#REF!</definedName>
    <definedName name="AREA_Stair_11A">#REF!</definedName>
    <definedName name="AREA_Stair_12">#REF!</definedName>
    <definedName name="AREA_Stair_12A">#REF!</definedName>
    <definedName name="AREA_Stair_12B">#REF!</definedName>
    <definedName name="AREA_Stair_13">#REF!</definedName>
    <definedName name="AREA_Stair_14">#REF!</definedName>
    <definedName name="AREA_STAIRCASE_ROOM_BS_668">#REF!</definedName>
    <definedName name="AREA_Storage.1">#REF!</definedName>
    <definedName name="AREA_Storage.F">#REF!</definedName>
    <definedName name="AREA_Storage.F1">#REF!</definedName>
    <definedName name="AREA_Storage.F2">#REF!</definedName>
    <definedName name="AREA_Storage.F3">#REF!</definedName>
    <definedName name="AREA_Storage_F">#REF!</definedName>
    <definedName name="AREA_STORE_GR_655">#REF!</definedName>
    <definedName name="AREA_Strip_footings_400mm_thk">#REF!</definedName>
    <definedName name="AREA_Strip_footings_500mm_thk">#REF!</definedName>
    <definedName name="AREA_Surface_Bed_S_120mm_thick">#REF!</definedName>
    <definedName name="AREA_Surface_Bed_S1_150mm_thick">#REF!</definedName>
    <definedName name="AREA_Surface_Bed_S5_250mm_thk">#REF!</definedName>
    <definedName name="AREA_Tech.">#REF!</definedName>
    <definedName name="AREA_Tech._library">#REF!</definedName>
    <definedName name="AREA_Tech.1">#REF!</definedName>
    <definedName name="AREA_Tech_library.1">#REF!</definedName>
    <definedName name="AREA_TL___01">#REF!</definedName>
    <definedName name="AREA_TL___04">#REF!</definedName>
    <definedName name="AREA_TL___09">#REF!</definedName>
    <definedName name="AREA_TL___10">#REF!</definedName>
    <definedName name="AREA_TL___11">#REF!</definedName>
    <definedName name="AREA_TOILETS_GR_661">#REF!</definedName>
    <definedName name="AREA_Tool_crib">#REF!</definedName>
    <definedName name="AREA_Tool_crib.1">#REF!</definedName>
    <definedName name="AREA_Tools">#REF!</definedName>
    <definedName name="AREA_Tools_CE_P">#REF!</definedName>
    <definedName name="AREA_Tools_CE_P.1">#REF!</definedName>
    <definedName name="AREA_Training.F">#REF!</definedName>
    <definedName name="AREA_Training_room">#REF!</definedName>
    <definedName name="AREA_Training_room.1">#REF!</definedName>
    <definedName name="AREA_TRENCH_BS_653">#REF!</definedName>
    <definedName name="AREA_TUNNEL_BS_652">#REF!</definedName>
    <definedName name="AREA_Type_E_Scratched_Finish">#REF!</definedName>
    <definedName name="AREA_Type_F_Smooth_finish">#REF!</definedName>
    <definedName name="AREA_Warming_kitchen">#REF!</definedName>
    <definedName name="AREA_Wash_hangar_2">#REF!</definedName>
    <definedName name="AREA_Womens_toilet">#REF!</definedName>
    <definedName name="AREA_Womens_toilet.F">#REF!</definedName>
    <definedName name="AREA_WORKSHOP_GR_667">#REF!</definedName>
    <definedName name="areabroad">#REF!</definedName>
    <definedName name="areacentral">#REF!</definedName>
    <definedName name="AREAEC">#REF!</definedName>
    <definedName name="areaencentre">#REF!</definedName>
    <definedName name="areafins">#REF!</definedName>
    <definedName name="AREAS">#REF!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eas2">#REF!</definedName>
    <definedName name="areasort">#REF!</definedName>
    <definedName name="areatop2">#REF!</definedName>
    <definedName name="areawc2">#REF!</definedName>
    <definedName name="areawc3">#REF!</definedName>
    <definedName name="arif">#REF!</definedName>
    <definedName name="array">#REF!</definedName>
    <definedName name="arrs">#REF!</definedName>
    <definedName name="Arshad">#REF!</definedName>
    <definedName name="Arshad1">#REF!</definedName>
    <definedName name="Arshad123">#REF!</definedName>
    <definedName name="arshad1234">#REF!</definedName>
    <definedName name="Arshad123456789">#REF!</definedName>
    <definedName name="Arshad567">#REF!</definedName>
    <definedName name="ARUN" hidden="1">#REF!</definedName>
    <definedName name="As">#REF!</definedName>
    <definedName name="AS_PER_TALLY_31_09_04_ONYX_List1">#REF!</definedName>
    <definedName name="AS2DocOpenMode" hidden="1">"AS2DocumentBrowse"</definedName>
    <definedName name="AS2HasNoAutoHeaderFooter" hidden="1">" "</definedName>
    <definedName name="ASA">#REF!</definedName>
    <definedName name="ASADKHAN">#REF!</definedName>
    <definedName name="ASADKHAN123">#REF!</definedName>
    <definedName name="asas" hidden="1">#REF!</definedName>
    <definedName name="asasasas">#REF!</definedName>
    <definedName name="asd">#N/A</definedName>
    <definedName name="asd123asd">#REF!</definedName>
    <definedName name="asdads">#REF!</definedName>
    <definedName name="asdas" localSheetId="3" hidden="1">{#N/A,#N/A,FALSE,"subcontract"}</definedName>
    <definedName name="asdas" hidden="1">{#N/A,#N/A,FALSE,"subcontract"}</definedName>
    <definedName name="asdasd">#REF!</definedName>
    <definedName name="ASDASDF">#REF!</definedName>
    <definedName name="asdc">#REF!</definedName>
    <definedName name="asde" localSheetId="3" hidden="1">{"'Break down'!$A$4"}</definedName>
    <definedName name="asde" hidden="1">{"'Break down'!$A$4"}</definedName>
    <definedName name="asdf" localSheetId="3" hidden="1">{#N/A,#N/A,FALSE,"SumD";#N/A,#N/A,FALSE,"ElecD";#N/A,#N/A,FALSE,"MechD";#N/A,#N/A,FALSE,"GeotD";#N/A,#N/A,FALSE,"PrcsD";#N/A,#N/A,FALSE,"TunnD";#N/A,#N/A,FALSE,"CivlD";#N/A,#N/A,FALSE,"NtwkD";#N/A,#N/A,FALSE,"EstgD";#N/A,#N/A,FALSE,"PEngD"}</definedName>
    <definedName name="asdf" hidden="1">{#N/A,#N/A,FALSE,"SumD";#N/A,#N/A,FALSE,"ElecD";#N/A,#N/A,FALSE,"MechD";#N/A,#N/A,FALSE,"GeotD";#N/A,#N/A,FALSE,"PrcsD";#N/A,#N/A,FALSE,"TunnD";#N/A,#N/A,FALSE,"CivlD";#N/A,#N/A,FALSE,"NtwkD";#N/A,#N/A,FALSE,"EstgD";#N/A,#N/A,FALSE,"PEngD"}</definedName>
    <definedName name="asdfa">#REF!</definedName>
    <definedName name="asdfgasdf">#REF!</definedName>
    <definedName name="asdfgh">#REF!</definedName>
    <definedName name="Asdfghjk">#REF!</definedName>
    <definedName name="ASDFGHJKLMNOP">#REF!</definedName>
    <definedName name="ASDFGHYTRUIUI">#REF!</definedName>
    <definedName name="ASDFGTRY">#REF!</definedName>
    <definedName name="asdfsa" hidden="1">#REF!</definedName>
    <definedName name="asdfw">#N/A</definedName>
    <definedName name="asdsa">#REF!</definedName>
    <definedName name="asdsdfsda">#REF!</definedName>
    <definedName name="asdsf">#REF!</definedName>
    <definedName name="asedsa" hidden="1">#REF!</definedName>
    <definedName name="ASF" hidden="1">#REF!</definedName>
    <definedName name="asfghjklmn">#REF!</definedName>
    <definedName name="asgrr" localSheetId="3" hidden="1">{"MF-601",#N/A,TRUE,"MANT-EX-B(fJ)";"MF-602",#N/A,TRUE,"ELECTR-FJ(B)";"MF-603",#N/A,TRUE,"PERSONAL(FJ)B";"MF-604",#N/A,TRUE,"REACT-P(B)";"MF-605",#N/A,TRUE,"OTR-COS.FJ(B)";"MF-60X",#N/A,TRUE,"Resumen"}</definedName>
    <definedName name="asgrr" hidden="1">{"MF-601",#N/A,TRUE,"MANT-EX-B(fJ)";"MF-602",#N/A,TRUE,"ELECTR-FJ(B)";"MF-603",#N/A,TRUE,"PERSONAL(FJ)B";"MF-604",#N/A,TRUE,"REACT-P(B)";"MF-605",#N/A,TRUE,"OTR-COS.FJ(B)";"MF-60X",#N/A,TRUE,"Resumen"}</definedName>
    <definedName name="asgseg" localSheetId="3" hidden="1">{#N/A,#N/A,TRUE,"Cover";#N/A,#N/A,TRUE,"Conts";#N/A,#N/A,TRUE,"VOS";#N/A,#N/A,TRUE,"Warrington";#N/A,#N/A,TRUE,"Widnes"}</definedName>
    <definedName name="asgseg" hidden="1">{#N/A,#N/A,TRUE,"Cover";#N/A,#N/A,TRUE,"Conts";#N/A,#N/A,TRUE,"VOS";#N/A,#N/A,TRUE,"Warrington";#N/A,#N/A,TRUE,"Widnes"}</definedName>
    <definedName name="ASHOKA">#REF!</definedName>
    <definedName name="AshrafMahan">#REF!</definedName>
    <definedName name="asifiqbal">#REF!</definedName>
    <definedName name="asifkhan1">#REF!</definedName>
    <definedName name="AsphalticBaseCourse">#REF!</definedName>
    <definedName name="asqw345">#REF!</definedName>
    <definedName name="asrasnrjutu" localSheetId="3" hidden="1">{#N/A,#N/A,TRUE,"Cover";#N/A,#N/A,TRUE,"Conts";#N/A,#N/A,TRUE,"VOS";#N/A,#N/A,TRUE,"Warrington";#N/A,#N/A,TRUE,"Widnes"}</definedName>
    <definedName name="asrasnrjutu" hidden="1">{#N/A,#N/A,TRUE,"Cover";#N/A,#N/A,TRUE,"Conts";#N/A,#N/A,TRUE,"VOS";#N/A,#N/A,TRUE,"Warrington";#N/A,#N/A,TRUE,"Widnes"}</definedName>
    <definedName name="ass">#REF!</definedName>
    <definedName name="ASS_1">#REF!</definedName>
    <definedName name="ASS_2">#REF!</definedName>
    <definedName name="assds">#REF!</definedName>
    <definedName name="assfdf">#REF!</definedName>
    <definedName name="asss">#REF!</definedName>
    <definedName name="astg" localSheetId="3" hidden="1">{"MF-601",#N/A,TRUE,"MANT-EX-B(fJ)";"MF-602",#N/A,TRUE,"ELECTR-FJ(B)";"MF-603",#N/A,TRUE,"PERSONAL(FJ)B";"MF-604",#N/A,TRUE,"REACT-P(B)";"MF-6XX",#N/A,TRUE,"Resumen";"MF-605",#N/A,TRUE,"OTR-COS.FJ(B)"}</definedName>
    <definedName name="astg" hidden="1">{"MF-601",#N/A,TRUE,"MANT-EX-B(fJ)";"MF-602",#N/A,TRUE,"ELECTR-FJ(B)";"MF-603",#N/A,TRUE,"PERSONAL(FJ)B";"MF-604",#N/A,TRUE,"REACT-P(B)";"MF-6XX",#N/A,TRUE,"Resumen";"MF-605",#N/A,TRUE,"OTR-COS.FJ(B)"}</definedName>
    <definedName name="aswe" localSheetId="2">#REF!</definedName>
    <definedName name="aswe">#REF!</definedName>
    <definedName name="aswt4t" localSheetId="3" hidden="1">{"MF-601",#N/A,TRUE,"MANT-EX-B(fJ)";"MF-602",#N/A,TRUE,"ELECTR-FJ(B)";"MF-603",#N/A,TRUE,"PERSONAL(FJ)B";"MF-604",#N/A,TRUE,"REACT-P(B)";"MF-605",#N/A,TRUE,"OTR-COS.FJ(B)";"MF-60X",#N/A,TRUE,"Resumen"}</definedName>
    <definedName name="aswt4t" hidden="1">{"MF-601",#N/A,TRUE,"MANT-EX-B(fJ)";"MF-602",#N/A,TRUE,"ELECTR-FJ(B)";"MF-603",#N/A,TRUE,"PERSONAL(FJ)B";"MF-604",#N/A,TRUE,"REACT-P(B)";"MF-605",#N/A,TRUE,"OTR-COS.FJ(B)";"MF-60X",#N/A,TRUE,"Resumen"}</definedName>
    <definedName name="ASWWER" hidden="1">{#N/A,#N/A,TRUE,"Cover";#N/A,#N/A,TRUE,"Conts";#N/A,#N/A,TRUE,"VOS";#N/A,#N/A,TRUE,"Warrington";#N/A,#N/A,TRUE,"Widnes"}</definedName>
    <definedName name="asxa">#REF!</definedName>
    <definedName name="asxd" hidden="1">#REF!</definedName>
    <definedName name="asz" localSheetId="3" hidden="1">{"'Break down'!$A$4"}</definedName>
    <definedName name="asz" hidden="1">{"'Break down'!$A$4"}</definedName>
    <definedName name="at">#REF!</definedName>
    <definedName name="At_risk">#REF!</definedName>
    <definedName name="atrisk_total_net_rent_for_cashflow">#REF!</definedName>
    <definedName name="atrts" localSheetId="3" hidden="1">{"offequipsch",#N/A,FALSE,"GTC_Schedule";"onconstsch",#N/A,FALSE,"GTC_Schedule";"techsch",#N/A,FALSE,"GTC_Schedule";"totsch",#N/A,FALSE,"GTC_Schedule"}</definedName>
    <definedName name="atrts" hidden="1">{"offequipsch",#N/A,FALSE,"GTC_Schedule";"onconstsch",#N/A,FALSE,"GTC_Schedule";"techsch",#N/A,FALSE,"GTC_Schedule";"totsch",#N/A,FALSE,"GTC_Schedule"}</definedName>
    <definedName name="Att" localSheetId="3" hidden="1">{"'Flowchart'!$A$2:$AO$22"}</definedName>
    <definedName name="Att" hidden="1">{"'Flowchart'!$A$2:$AO$22"}</definedName>
    <definedName name="Atta" localSheetId="3">Summary!Atta</definedName>
    <definedName name="Atta">#N/A</definedName>
    <definedName name="Attachment" localSheetId="3" hidden="1">{"'Flowchart'!$A$2:$AO$22"}</definedName>
    <definedName name="Attachment" hidden="1">{"'Flowchart'!$A$2:$AO$22"}</definedName>
    <definedName name="Attachment1" localSheetId="3" hidden="1">{"'Flowchart'!$A$2:$AO$22"}</definedName>
    <definedName name="Attachment1" hidden="1">{"'Flowchart'!$A$2:$AO$22"}</definedName>
    <definedName name="attrh" localSheetId="3" hidden="1">{"Datos",#N/A,TRUE,"Datos"}</definedName>
    <definedName name="attrh" hidden="1">{"Datos",#N/A,TRUE,"Datos"}</definedName>
    <definedName name="AUD">#REF!</definedName>
    <definedName name="Audit_serv_LY">#REF!</definedName>
    <definedName name="Author">"Artjom Dashko / UBS Investment Bank © 2006"</definedName>
    <definedName name="_xlnm.Auto_Open">#REF!</definedName>
    <definedName name="autonum">#REF!</definedName>
    <definedName name="auxlp">#REF!</definedName>
    <definedName name="Average_Calories">#REF!</definedName>
    <definedName name="Average_Distance__miles_km">#REF!</definedName>
    <definedName name="Average_Duration__minutes">#REF!</definedName>
    <definedName name="Average_Pace__per_hour">#REF!</definedName>
    <definedName name="Average_Weight">#REF!</definedName>
    <definedName name="avethk">#REF!</definedName>
    <definedName name="avewid">#REF!</definedName>
    <definedName name="avi">#REF!</definedName>
    <definedName name="avyt">#REF!</definedName>
    <definedName name="aw">#REF!</definedName>
    <definedName name="aw_Gewerke_Preis_Export">#REF!</definedName>
    <definedName name="AWAWWWWAA">#REF!</definedName>
    <definedName name="awe" localSheetId="3" hidden="1">{"Datos",#N/A,TRUE,"Datos"}</definedName>
    <definedName name="awe" hidden="1">{"Datos",#N/A,TRUE,"Datos"}</definedName>
    <definedName name="aweas" localSheetId="3" hidden="1">{"sheet1",#N/A,FALSE,"easheet";"sheet2a",#N/A,FALSE,"easheet";"sheet2b",#N/A,FALSE,"easheet";"sheet3",#N/A,FALSE,"easheet"}</definedName>
    <definedName name="aweas" hidden="1">{"sheet1",#N/A,FALSE,"easheet";"sheet2a",#N/A,FALSE,"easheet";"sheet2b",#N/A,FALSE,"easheet";"sheet3",#N/A,FALSE,"easheet"}</definedName>
    <definedName name="awerq" localSheetId="3" hidden="1">{#N/A,#N/A,FALSE,"MAQUINA"}</definedName>
    <definedName name="awerq" hidden="1">{#N/A,#N/A,FALSE,"MAQUINA"}</definedName>
    <definedName name="awf" hidden="1">#REF!</definedName>
    <definedName name="awt" localSheetId="3" hidden="1">{#N/A,#N/A,TRUE,"Cover";#N/A,#N/A,TRUE,"Conts";#N/A,#N/A,TRUE,"VOS";#N/A,#N/A,TRUE,"Warrington";#N/A,#N/A,TRUE,"Widnes"}</definedName>
    <definedName name="awt" hidden="1">{#N/A,#N/A,TRUE,"Cover";#N/A,#N/A,TRUE,"Conts";#N/A,#N/A,TRUE,"VOS";#N/A,#N/A,TRUE,"Warrington";#N/A,#N/A,TRUE,"Widnes"}</definedName>
    <definedName name="awyawghh" localSheetId="3" hidden="1">{#N/A,#N/A,TRUE,"Cover";#N/A,#N/A,TRUE,"Conts";#N/A,#N/A,TRUE,"VOS";#N/A,#N/A,TRUE,"Warrington";#N/A,#N/A,TRUE,"Widnes"}</definedName>
    <definedName name="awyawghh" hidden="1">{#N/A,#N/A,TRUE,"Cover";#N/A,#N/A,TRUE,"Conts";#N/A,#N/A,TRUE,"VOS";#N/A,#N/A,TRUE,"Warrington";#N/A,#N/A,TRUE,"Widnes"}</definedName>
    <definedName name="axcs">#REF!</definedName>
    <definedName name="axdrth" localSheetId="3"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ayman" localSheetId="3" hidden="1">{#N/A,#N/A,FALSE,"Bal.Sht"}</definedName>
    <definedName name="ayman" hidden="1">{#N/A,#N/A,FALSE,"Bal.Sht"}</definedName>
    <definedName name="AYTOPSAAT">#REF!</definedName>
    <definedName name="az" localSheetId="3" hidden="1">{"'Break down'!$A$4"}</definedName>
    <definedName name="az" hidden="1">{"'Break down'!$A$4"}</definedName>
    <definedName name="B">#REF!+1</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____CONCRETE_PRICING_TABLE">#REF!</definedName>
    <definedName name="B___0">#REF!</definedName>
    <definedName name="B___13">#REF!</definedName>
    <definedName name="B_Alterations">#REF!</definedName>
    <definedName name="B1AT">#REF!</definedName>
    <definedName name="B1B">#REF!</definedName>
    <definedName name="B1BT">#REF!</definedName>
    <definedName name="B1Length">#REF!</definedName>
    <definedName name="B1T">#REF!</definedName>
    <definedName name="b275.">#REF!</definedName>
    <definedName name="B2AT">#REF!</definedName>
    <definedName name="B2B">#REF!</definedName>
    <definedName name="B2Length">#REF!</definedName>
    <definedName name="B2T">#REF!</definedName>
    <definedName name="B3B">#REF!</definedName>
    <definedName name="B3Length">#REF!</definedName>
    <definedName name="B3T">#REF!</definedName>
    <definedName name="B4a">#REF!</definedName>
    <definedName name="B4B">#REF!</definedName>
    <definedName name="B4T">#REF!</definedName>
    <definedName name="B5B">#REF!</definedName>
    <definedName name="B5Length">#REF!</definedName>
    <definedName name="B5T">#REF!</definedName>
    <definedName name="B6B">#REF!</definedName>
    <definedName name="B6T">#REF!</definedName>
    <definedName name="B7B">#REF!</definedName>
    <definedName name="B7T">#REF!</definedName>
    <definedName name="B8B">#REF!</definedName>
    <definedName name="B8Length">#REF!</definedName>
    <definedName name="b9960.">#REF!</definedName>
    <definedName name="BABA">#REF!</definedName>
    <definedName name="Babita">#REF!</definedName>
    <definedName name="BABITAKAPOOR">#REF!</definedName>
    <definedName name="BABU" hidden="1">#REF!</definedName>
    <definedName name="back">#REF!</definedName>
    <definedName name="back_pressure">#REF!</definedName>
    <definedName name="backfill">#REF!</definedName>
    <definedName name="backup" localSheetId="3" hidden="1">{#N/A,#N/A,TRUE,"Cover Memo";"Complete Sys. Estimate",#N/A,TRUE,"Change Summary";"Complete Sys. Estimate",#N/A,TRUE,"Estimate Summary";"Complete Sys. Estimate",#N/A,TRUE,"Dept. Summary";"Complete Sys. Estimate",#N/A,TRUE,"DOW Detail"}</definedName>
    <definedName name="backup" hidden="1">{#N/A,#N/A,TRUE,"Cover Memo";"Complete Sys. Estimate",#N/A,TRUE,"Change Summary";"Complete Sys. Estimate",#N/A,TRUE,"Estimate Summary";"Complete Sys. Estimate",#N/A,TRUE,"Dept. Summary";"Complete Sys. Estimate",#N/A,TRUE,"DOW Detail"}</definedName>
    <definedName name="backup1" localSheetId="3" hidden="1">{#N/A,#N/A,TRUE,"Cover Memo";"Complete Sys. Estimate",#N/A,TRUE,"Change Summary";"Complete Sys. Estimate",#N/A,TRUE,"Estimate Summary";"Complete Sys. Estimate",#N/A,TRUE,"Dept. Summary";"Complete Sys. Estimate",#N/A,TRUE,"DOW Detail"}</definedName>
    <definedName name="backup1" hidden="1">{#N/A,#N/A,TRUE,"Cover Memo";"Complete Sys. Estimate",#N/A,TRUE,"Change Summary";"Complete Sys. Estimate",#N/A,TRUE,"Estimate Summary";"Complete Sys. Estimate",#N/A,TRUE,"Dept. Summary";"Complete Sys. Estimate",#N/A,TRUE,"DOW Detail"}</definedName>
    <definedName name="BadDebt">#REF!</definedName>
    <definedName name="BadLink" hidden="1">#REF!</definedName>
    <definedName name="Baghmare">#REF!</definedName>
    <definedName name="Bährstundensatz">1.35</definedName>
    <definedName name="baicstr">#REF!</definedName>
    <definedName name="balaji" localSheetId="3" hidden="1">{#N/A,#N/A,FALSE,"Bericht 2";#N/A,#N/A,FALSE,"Bericht 3";#N/A,#N/A,FALSE,"Bericht 1"}</definedName>
    <definedName name="balaji" hidden="1">{#N/A,#N/A,FALSE,"Bericht 2";#N/A,#N/A,FALSE,"Bericht 3";#N/A,#N/A,FALSE,"Bericht 1"}</definedName>
    <definedName name="ball">#REF!</definedName>
    <definedName name="bandwidth">#REF!</definedName>
    <definedName name="Bank_Balances__debit">#REF!</definedName>
    <definedName name="Banquet">#REF!</definedName>
    <definedName name="BARCHART.BARCHART">#REF!</definedName>
    <definedName name="BARCHT1">#REF!</definedName>
    <definedName name="BARCHT2">#REF!</definedName>
    <definedName name="bargroup1" hidden="1">OR(#REF!=0,#REF!=1,#REF!=99)</definedName>
    <definedName name="bargroup2" hidden="1">OR(#REF!=11,#REF!=75,#REF!=47,#REF!=51,#REF!=63)</definedName>
    <definedName name="bargroup3" hidden="1">OR(#REF!=13,#REF!=14,#REF!=15,#REF!=21,#REF!=23,#REF!=33)</definedName>
    <definedName name="bargroup4" hidden="1">OR(#REF!=22,#REF!=24,#REF!=26,#REF!=27,#REF!=28,#REF!=29,#REF!=31,#REF!=32,#REF!=98)</definedName>
    <definedName name="bargroup5" hidden="1">OR(#REF!=25,#REF!=34,#REF!=35,#REF!=36,#REF!=41,#REF!=44,#REF!=46,#REF!=56,#REF!=64)</definedName>
    <definedName name="bargroup6" hidden="1">#REF!=67</definedName>
    <definedName name="bargroup7" hidden="1">#REF!=12</definedName>
    <definedName name="bargroup8" hidden="1">#REF!=77</definedName>
    <definedName name="bars">#REF!</definedName>
    <definedName name="barstool">#REF!</definedName>
    <definedName name="bas">#REF!</definedName>
    <definedName name="BASE" localSheetId="3" hidden="1">{#N/A,#N/A,TRUE,"Basic";#N/A,#N/A,TRUE,"EXT-TABLE";#N/A,#N/A,TRUE,"STEEL";#N/A,#N/A,TRUE,"INT-Table";#N/A,#N/A,TRUE,"STEEL";#N/A,#N/A,TRUE,"Door"}</definedName>
    <definedName name="BASE" hidden="1">{#N/A,#N/A,TRUE,"Basic";#N/A,#N/A,TRUE,"EXT-TABLE";#N/A,#N/A,TRUE,"STEEL";#N/A,#N/A,TRUE,"INT-Table";#N/A,#N/A,TRUE,"STEEL";#N/A,#N/A,TRUE,"Door"}</definedName>
    <definedName name="Base_Fee">#REF!</definedName>
    <definedName name="BaseD">#REF!</definedName>
    <definedName name="BaseDate">#REF!</definedName>
    <definedName name="BaseDay">#REF!</definedName>
    <definedName name="BaseM">#REF!</definedName>
    <definedName name="BaseMonth">#REF!</definedName>
    <definedName name="BaseYear">#REF!</definedName>
    <definedName name="basf">#REF!</definedName>
    <definedName name="basi">#REF!</definedName>
    <definedName name="Basic">#REF!</definedName>
    <definedName name="Basic_amount">#REF!</definedName>
    <definedName name="Basic_Tower_A">#REF!</definedName>
    <definedName name="Basic5fini">#REF!</definedName>
    <definedName name="Basic5str">#REF!</definedName>
    <definedName name="Basic6fini">#REF!</definedName>
    <definedName name="Basic6str">#REF!</definedName>
    <definedName name="basicfin">#REF!</definedName>
    <definedName name="Basicoverall">#REF!</definedName>
    <definedName name="BASIS">#REF!</definedName>
    <definedName name="BASIS1">#REF!</definedName>
    <definedName name="basistr">#REF!</definedName>
    <definedName name="Bay">#REF!</definedName>
    <definedName name="BAYMESKAT">#REF!</definedName>
    <definedName name="bb" localSheetId="3" hidden="1">{#N/A,#N/A,TRUE,"COVER";#N/A,#N/A,TRUE,"DETAILS";#N/A,#N/A,TRUE,"SUMMARY";#N/A,#N/A,TRUE,"EXP MON";#N/A,#N/A,TRUE,"APPENDIX A";#N/A,#N/A,TRUE,"APPENDIX B";#N/A,#N/A,TRUE,"APPENDIX C";#N/A,#N/A,TRUE,"APPENDIX D";#N/A,#N/A,TRUE,"APPENDIX E";#N/A,#N/A,TRUE,"APPENDIX F";#N/A,#N/A,TRUE,"APPENDIX G"}</definedName>
    <definedName name="bb" hidden="1">{#N/A,#N/A,TRUE,"COVER";#N/A,#N/A,TRUE,"DETAILS";#N/A,#N/A,TRUE,"SUMMARY";#N/A,#N/A,TRUE,"EXP MON";#N/A,#N/A,TRUE,"APPENDIX A";#N/A,#N/A,TRUE,"APPENDIX B";#N/A,#N/A,TRUE,"APPENDIX C";#N/A,#N/A,TRUE,"APPENDIX D";#N/A,#N/A,TRUE,"APPENDIX E";#N/A,#N/A,TRUE,"APPENDIX F";#N/A,#N/A,TRUE,"APPENDIX G"}</definedName>
    <definedName name="BBB" localSheetId="3" hidden="1">{#N/A,#N/A,FALSE,"양식(을)"}</definedName>
    <definedName name="BBB" hidden="1">{#N/A,#N/A,FALSE,"양식(을)"}</definedName>
    <definedName name="bbbb" hidden="1">{#N/A,#N/A,FALSE,"COPERTINA"}</definedName>
    <definedName name="BBBBB" localSheetId="3" hidden="1">{#N/A,#N/A,FALSE,"inctrnd99"}</definedName>
    <definedName name="BBBBB" hidden="1">{#N/A,#N/A,FALSE,"inctrnd99"}</definedName>
    <definedName name="BBBBBBBB" hidden="1">{"DECIMAL",#N/A,FALSE,"02"}</definedName>
    <definedName name="bbbbbbbbb">#REF!</definedName>
    <definedName name="bbbbbbbbbb" hidden="1">#REF!</definedName>
    <definedName name="BBBBBBBBBBBBBBBBBBBBBB">#REF!</definedName>
    <definedName name="bbnb" localSheetId="3" hidden="1">{"Datos",#N/A,TRUE,"Datos"}</definedName>
    <definedName name="bbnb" hidden="1">{"Datos",#N/A,TRUE,"Datos"}</definedName>
    <definedName name="Bbuld">#REF!</definedName>
    <definedName name="BC" hidden="1">#REF!</definedName>
    <definedName name="BCGHCF" hidden="1">{#N/A,#N/A,TRUE,"Cover";#N/A,#N/A,TRUE,"Conts";#N/A,#N/A,TRUE,"VOS";#N/A,#N/A,TRUE,"Warrington";#N/A,#N/A,TRUE,"Widnes"}</definedName>
    <definedName name="bcvb" localSheetId="3" hidden="1">{"Datos",#N/A,TRUE,"Datos"}</definedName>
    <definedName name="bcvb" hidden="1">{"Datos",#N/A,TRUE,"Datos"}</definedName>
    <definedName name="BD" hidden="1">#REF!</definedName>
    <definedName name="bdd">#REF!</definedName>
    <definedName name="bdxzb">#REF!</definedName>
    <definedName name="BE" hidden="1">#REF!</definedName>
    <definedName name="BeamLength">#REF!</definedName>
    <definedName name="Beams">#REF!</definedName>
    <definedName name="BED">#REF!</definedName>
    <definedName name="BED_WALL">#REF!</definedName>
    <definedName name="Beds">#REF!</definedName>
    <definedName name="beet20">#REF!</definedName>
    <definedName name="BEF">#REF!</definedName>
    <definedName name="BELL" localSheetId="3" hidden="1">{#N/A,#N/A,TRUE,"Basic";#N/A,#N/A,TRUE,"EXT-TABLE";#N/A,#N/A,TRUE,"STEEL";#N/A,#N/A,TRUE,"INT-Table";#N/A,#N/A,TRUE,"STEEL";#N/A,#N/A,TRUE,"Door"}</definedName>
    <definedName name="BELL" hidden="1">{#N/A,#N/A,TRUE,"Basic";#N/A,#N/A,TRUE,"EXT-TABLE";#N/A,#N/A,TRUE,"STEEL";#N/A,#N/A,TRUE,"INT-Table";#N/A,#N/A,TRUE,"STEEL";#N/A,#N/A,TRUE,"Door"}</definedName>
    <definedName name="BELL__Polarised">#REF!</definedName>
    <definedName name="bench">#REF!</definedName>
    <definedName name="BENDS_45°_ASTM_A74_HUB_TYPE_CAST_IRON_SOIL_FITTINGS__BELL_AND_SPIGOT">"data"</definedName>
    <definedName name="beta">#REF!</definedName>
    <definedName name="Bf">#REF!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r">#REF!</definedName>
    <definedName name="BG" hidden="1">#REF!</definedName>
    <definedName name="BGA">#REF!</definedName>
    <definedName name="bghjh" hidden="1">{#N/A,#N/A,TRUE,"Cover";#N/A,#N/A,TRUE,"Conts";#N/A,#N/A,TRUE,"VOS";#N/A,#N/A,TRUE,"Warrington";#N/A,#N/A,TRUE,"Widnes"}</definedName>
    <definedName name="BH" hidden="1">#REF!</definedName>
    <definedName name="BHG">#REF!</definedName>
    <definedName name="bhjbh">#REF!</definedName>
    <definedName name="BHP">#REF!</definedName>
    <definedName name="BidClass">#REF!</definedName>
    <definedName name="BidClass_4">#REF!</definedName>
    <definedName name="BidClass_4_1">#REF!</definedName>
    <definedName name="BidClass_6">#REF!</definedName>
    <definedName name="BidClass_Text">#REF!</definedName>
    <definedName name="BidClass_Text_4">#REF!</definedName>
    <definedName name="BidClass_Text_4_1">#REF!</definedName>
    <definedName name="BidClass_Text_6">#REF!</definedName>
    <definedName name="biiiiiiiiii" localSheetId="3"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u" localSheetId="3"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A">#REF!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_END">#REF!</definedName>
    <definedName name="BILL_NO._1">#REF!</definedName>
    <definedName name="BILL_NO._11">#REF!</definedName>
    <definedName name="BILL_NO._14">#REF!</definedName>
    <definedName name="BILL_NO._15">#REF!</definedName>
    <definedName name="BILL_NO._16">#REF!</definedName>
    <definedName name="BILL_NO._17">#REF!</definedName>
    <definedName name="BILL_NO._2">#REF!</definedName>
    <definedName name="BILL_NO._3">#REF!</definedName>
    <definedName name="BILL_NO._4">#REF!</definedName>
    <definedName name="BILL_NO._5">#REF!</definedName>
    <definedName name="BILL_NO._6">#REF!</definedName>
    <definedName name="BILL_NO._8">#REF!</definedName>
    <definedName name="BILL_NO._9">#REF!</definedName>
    <definedName name="BILL_START">#REF!</definedName>
    <definedName name="Bill13">#REF!</definedName>
    <definedName name="bill2">#REF!</definedName>
    <definedName name="bill3">#REF!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ingFreq">#REF!</definedName>
    <definedName name="BillingFreq_4">#REF!</definedName>
    <definedName name="BillingFreq_4_1">#REF!</definedName>
    <definedName name="BillingFreq_6">#REF!</definedName>
    <definedName name="BillingTiming">#REF!</definedName>
    <definedName name="BillingTiming_4">#REF!</definedName>
    <definedName name="BillingTiming_4_1">#REF!</definedName>
    <definedName name="BillingTiming_6">#REF!</definedName>
    <definedName name="billname1">#REF!</definedName>
    <definedName name="billname2">#REF!</definedName>
    <definedName name="billname3">#REF!</definedName>
    <definedName name="billno">#REF!</definedName>
    <definedName name="BIN">#REF!</definedName>
    <definedName name="Bitumen">#REF!</definedName>
    <definedName name="BJ" hidden="1">#REF!</definedName>
    <definedName name="bjlc">#REF!</definedName>
    <definedName name="BL">#REF!</definedName>
    <definedName name="BLDG">#REF!</definedName>
    <definedName name="blf">#REF!</definedName>
    <definedName name="blgx">#REF!</definedName>
    <definedName name="BLIA">#REF!</definedName>
    <definedName name="Block02">#REF!</definedName>
    <definedName name="Block03">#REF!</definedName>
    <definedName name="Block04">#REF!</definedName>
    <definedName name="Block05">#REF!</definedName>
    <definedName name="Block06">#REF!</definedName>
    <definedName name="Block07">#REF!</definedName>
    <definedName name="b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ms">#REF!</definedName>
    <definedName name="bn">#REF!</definedName>
    <definedName name="bnm" localSheetId="3" hidden="1">{"Datos",#N/A,TRUE,"Datos"}</definedName>
    <definedName name="bnm" hidden="1">{"Datos",#N/A,TRUE,"Datos"}</definedName>
    <definedName name="BO">#REF!</definedName>
    <definedName name="BOBBY">#REF!</definedName>
    <definedName name="bol">#REF!</definedName>
    <definedName name="BOLGE">#REF!</definedName>
    <definedName name="BOLGE1">#REF!</definedName>
    <definedName name="boml">#REF!</definedName>
    <definedName name="boml1">#REF!</definedName>
    <definedName name="BONUS">#REF!</definedName>
    <definedName name="Bookcase_00">#REF!</definedName>
    <definedName name="Bookcase_01">#REF!</definedName>
    <definedName name="Bookcase_02">#REF!</definedName>
    <definedName name="Bookcase_03">#REF!</definedName>
    <definedName name="boq">#N/A</definedName>
    <definedName name="BOQ_CLUSTERL">#REF!</definedName>
    <definedName name="BOQLTOWER">#REF!</definedName>
    <definedName name="BOQM123">#REF!</definedName>
    <definedName name="borabt">#REF!</definedName>
    <definedName name="BORDER">#REF!</definedName>
    <definedName name="borlen1">#REF!</definedName>
    <definedName name="borlen2">#REF!</definedName>
    <definedName name="borlen3">#REF!</definedName>
    <definedName name="bose">#REF!</definedName>
    <definedName name="botl">#REF!</definedName>
    <definedName name="botl1">#REF!</definedName>
    <definedName name="botn">#REF!</definedName>
    <definedName name="bott">#REF!</definedName>
    <definedName name="Bottom_T32_RF_Factor">#REF!</definedName>
    <definedName name="Bouton12_QuandClic" localSheetId="3">Summary!Bouton12_QuandClic</definedName>
    <definedName name="Bouton12_QuandClic">#N/A</definedName>
    <definedName name="Bouton13_QuandClic" localSheetId="3">Summary!Bouton13_QuandClic</definedName>
    <definedName name="Bouton13_QuandClic">#N/A</definedName>
    <definedName name="box_speaker">#REF!</definedName>
    <definedName name="Boxvol" localSheetId="3">#REF!</definedName>
    <definedName name="Boxvol">#REF!</definedName>
    <definedName name="BOYCUTHAIR">#REF!</definedName>
    <definedName name="BQ" localSheetId="3">#REF!</definedName>
    <definedName name="BQ">#REF!</definedName>
    <definedName name="br">#REF!</definedName>
    <definedName name="BrandNamePrice">#REF!</definedName>
    <definedName name="Brazil">#REF!</definedName>
    <definedName name="Brazilr">#REF!</definedName>
    <definedName name="break" localSheetId="3" hidden="1">{#N/A,#N/A,TRUE,"Cover Memo";"Ride Estimate",#N/A,TRUE,"Change Summary";"Ride Estimate",#N/A,TRUE,"Estimate Summary";"Ride Estimate",#N/A,TRUE,"Dept. Summary";"Ride Estimate",#N/A,TRUE,"DOW Detail"}</definedName>
    <definedName name="break" hidden="1">{#N/A,#N/A,TRUE,"Cover Memo";"Ride Estimate",#N/A,TRUE,"Change Summary";"Ride Estimate",#N/A,TRUE,"Estimate Summary";"Ride Estimate",#N/A,TRUE,"Dept. Summary";"Ride Estimate",#N/A,TRUE,"DOW Detail"}</definedName>
    <definedName name="break2" localSheetId="3" hidden="1">{#N/A,#N/A,TRUE,"Cover Memo";"Ride Estimate",#N/A,TRUE,"Change Summary";"Ride Estimate",#N/A,TRUE,"Estimate Summary";"Ride Estimate",#N/A,TRUE,"Dept. Summary";"Ride Estimate",#N/A,TRUE,"DOW Detail"}</definedName>
    <definedName name="break2" hidden="1">{#N/A,#N/A,TRUE,"Cover Memo";"Ride Estimate",#N/A,TRUE,"Change Summary";"Ride Estimate",#N/A,TRUE,"Estimate Summary";"Ride Estimate",#N/A,TRUE,"Dept. Summary";"Ride Estimate",#N/A,TRUE,"DOW Detail"}</definedName>
    <definedName name="Breaks">#REF!</definedName>
    <definedName name="Brgname">#REF!</definedName>
    <definedName name="Brname">#REF!</definedName>
    <definedName name="BS">#REF!</definedName>
    <definedName name="bs0.75">#REF!</definedName>
    <definedName name="BSAF401">#REF!</definedName>
    <definedName name="BSAF425">#REF!</definedName>
    <definedName name="BSIPbPageSetupChartSize" hidden="1">1</definedName>
    <definedName name="BSIPbPageSetupChartSize_0" hidden="1">-2146826246</definedName>
    <definedName name="BSIPbPageSetupDraftQuality" hidden="1">1</definedName>
    <definedName name="BSIPbPageSetupDraftQuality_0" hidden="1">0</definedName>
    <definedName name="BSIPbPageSetupDrawingColor" hidden="1">1</definedName>
    <definedName name="BSIPbPageSetupDrawingColor_0" hidden="1">0</definedName>
    <definedName name="BSIPbPageSetupFitToPagesTall" hidden="1">1</definedName>
    <definedName name="BSIPbPageSetupFitToPagesTall_0" hidden="1">1</definedName>
    <definedName name="BSIPbPageSetupFitToPagesWide" hidden="1">1</definedName>
    <definedName name="BSIPbPageSetupFitToPagesWide_0" hidden="1">1</definedName>
    <definedName name="BSIPbPageSetupMediaName" hidden="1">1</definedName>
    <definedName name="BSIPbPageSetupMediaName_0" hidden="1">"ISO_A4_(210.00_x_297.00_MM)"</definedName>
    <definedName name="BSIPbPageSetupPageOrientation" hidden="1">1</definedName>
    <definedName name="BSIPbPageSetupPageOrientation_0" hidden="1">2</definedName>
    <definedName name="BSIPbPageSetupPaperHeight" hidden="1">1</definedName>
    <definedName name="BSIPbPageSetupPaperHeight_0" hidden="1">842.00031496063</definedName>
    <definedName name="BSIPbPageSetupPaperMarginBottom" hidden="1">1</definedName>
    <definedName name="BSIPbPageSetupPaperMarginBottom_0" hidden="1">36</definedName>
    <definedName name="BSIPbPageSetupPaperMarginFooter" hidden="1">1</definedName>
    <definedName name="BSIPbPageSetupPaperMarginFooter_0" hidden="1">21.6</definedName>
    <definedName name="BSIPbPageSetupPaperMarginHeader" hidden="1">1</definedName>
    <definedName name="BSIPbPageSetupPaperMarginHeader_0" hidden="1">21.6</definedName>
    <definedName name="BSIPbPageSetupPaperMarginLeft" hidden="1">1</definedName>
    <definedName name="BSIPbPageSetupPaperMarginLeft_0" hidden="1">18</definedName>
    <definedName name="BSIPbPageSetupPaperMarginRight" hidden="1">1</definedName>
    <definedName name="BSIPbPageSetupPaperMarginRight_0" hidden="1">18</definedName>
    <definedName name="BSIPbPageSetupPaperMarginTop" hidden="1">1</definedName>
    <definedName name="BSIPbPageSetupPaperMarginTop_0" hidden="1">36</definedName>
    <definedName name="BSIPbPageSetupPaperWidth" hidden="1">1</definedName>
    <definedName name="BSIPbPageSetupPaperWidth_0" hidden="1">595.218897637795</definedName>
    <definedName name="BSIPbPageSetupPlotSizeType" hidden="1">1</definedName>
    <definedName name="BSIPbPageSetupPlotSizeType_0" hidden="1">1</definedName>
    <definedName name="BSIPbPageSetupPrintCellErrors" hidden="1">1</definedName>
    <definedName name="BSIPbPageSetupPrintCellErrors_0" hidden="1">0</definedName>
    <definedName name="BSIPbPageSetupPrintComments" hidden="1">1</definedName>
    <definedName name="BSIPbPageSetupPrintComments_0" hidden="1">-4142</definedName>
    <definedName name="BSIPbPageSetupPrintGridlines" hidden="1">1</definedName>
    <definedName name="BSIPbPageSetupPrintGridlines_0" hidden="1">0</definedName>
    <definedName name="BSIPbPageSetupUseStandardMargins" hidden="1">1</definedName>
    <definedName name="BSIPbPageSetupUseStandardMargins_0" hidden="1">1</definedName>
    <definedName name="BSIPbPageSetupUseZoom" hidden="1">1</definedName>
    <definedName name="BSIPbPageSetupUseZoom_0" hidden="1">1</definedName>
    <definedName name="BSIPbPageSetupZoom" hidden="1">1</definedName>
    <definedName name="BSIPbPageSetupZoom_0" hidden="1">100</definedName>
    <definedName name="BSIWhichPageSetup" hidden="1">1</definedName>
    <definedName name="BSIWhichPageSetup_0" hidden="1">"1þ"</definedName>
    <definedName name="bsmay" localSheetId="3" hidden="1">{#N/A,#N/A,FALSE,"inctrnd99"}</definedName>
    <definedName name="bsmay" hidden="1">{#N/A,#N/A,FALSE,"inctrnd99"}</definedName>
    <definedName name="BT">#REF!</definedName>
    <definedName name="BTP">#REF!</definedName>
    <definedName name="bua">#REF!</definedName>
    <definedName name="bud_autho.org">#REF!</definedName>
    <definedName name="bud_autho.trf">#REF!</definedName>
    <definedName name="bud_ccu.org">#REF!</definedName>
    <definedName name="bud_ccu.trf">#REF!</definedName>
    <definedName name="bud_com.org">#REF!</definedName>
    <definedName name="bud_com.trf">#REF!</definedName>
    <definedName name="bud_dax.con">#REF!</definedName>
    <definedName name="bud_dax.con.org">#REF!</definedName>
    <definedName name="bud_dax.con.trf">#REF!</definedName>
    <definedName name="bud_dax.org">#REF!</definedName>
    <definedName name="bud_dax.rev">#REF!</definedName>
    <definedName name="bud_dax.trf">#REF!</definedName>
    <definedName name="bud_dem.org">#REF!</definedName>
    <definedName name="bud_dem.trf">#REF!</definedName>
    <definedName name="bud_fee.org">#REF!</definedName>
    <definedName name="bud_fee.trf">#REF!</definedName>
    <definedName name="bud_furn.org">#REF!</definedName>
    <definedName name="bud_furn.trf">#REF!</definedName>
    <definedName name="bud_icu.org">#REF!</definedName>
    <definedName name="bud_icu.trf">#REF!</definedName>
    <definedName name="bud_pcon.org">#REF!</definedName>
    <definedName name="bud_pcon.trf">#REF!</definedName>
    <definedName name="bud_sun.org">#REF!</definedName>
    <definedName name="bud_sun.trf">#REF!</definedName>
    <definedName name="BUDDHA">#REF!</definedName>
    <definedName name="BUDGET">#REF!</definedName>
    <definedName name="Budget_01">#REF!</definedName>
    <definedName name="Build">#REF!</definedName>
    <definedName name="build_sens">#REF!</definedName>
    <definedName name="building">#REF!</definedName>
    <definedName name="building___0">#REF!</definedName>
    <definedName name="building___11">#REF!</definedName>
    <definedName name="building___12">#REF!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DING_No.4B">#REF!</definedName>
    <definedName name="Building_Rev">#REF!</definedName>
    <definedName name="BuildingA">#REF!</definedName>
    <definedName name="BuildingB">#REF!</definedName>
    <definedName name="BuildingC">#REF!</definedName>
    <definedName name="BuildingList" localSheetId="2">#REF!</definedName>
    <definedName name="BuildingList">#REF!</definedName>
    <definedName name="BuildingServices" localSheetId="2">#REF!</definedName>
    <definedName name="BuildingServices">#REF!</definedName>
    <definedName name="BuildingVar_Rev">#REF!</definedName>
    <definedName name="Built_Area">#REF!</definedName>
    <definedName name="BuiltIn_Print_Area">#REF!</definedName>
    <definedName name="BuiltIn_Print_Area___0">#REF!</definedName>
    <definedName name="BuiltIn_Print_Titles">#REF!</definedName>
    <definedName name="BuiltIn_Print_Titles___0">#N/A</definedName>
    <definedName name="BUS">#REF!</definedName>
    <definedName name="Business_Park_Cover">#REF!</definedName>
    <definedName name="Business_Stories">#REF!</definedName>
    <definedName name="BusinessSize">#REF!</definedName>
    <definedName name="BusType">#REF!</definedName>
    <definedName name="BusType_4">#REF!</definedName>
    <definedName name="BusType_4_1">#REF!</definedName>
    <definedName name="BusType_6">#REF!</definedName>
    <definedName name="BusType_Text">#REF!</definedName>
    <definedName name="BusType_Text_4">#REF!</definedName>
    <definedName name="BusType_Text_4_1">#REF!</definedName>
    <definedName name="BusType_Text_6">#REF!</definedName>
    <definedName name="butterfly">#REF!</definedName>
    <definedName name="Button_41">"Master_Project_Cost_Format_Variance_Analysis_List"</definedName>
    <definedName name="Button_5">"AS_PER_TALLY_31_09_04_ONYX_List"</definedName>
    <definedName name="Button_7">"AS_PER_TALLY_31_09_04_ONYX_List1"</definedName>
    <definedName name="Button_8">"AS_PER_TALLY_31_09_04_ONYX_List1"</definedName>
    <definedName name="bv" localSheetId="3" hidden="1">{"Datos",#N/A,TRUE,"Datos"}</definedName>
    <definedName name="bv" hidden="1">{"Datos",#N/A,TRUE,"Datos"}</definedName>
    <definedName name="bvbv" localSheetId="3" hidden="1">{"MF-601",#N/A,TRUE,"MANT-EX-B(fJ)";"MF-602",#N/A,TRUE,"ELECTR-FJ(B)";"MF-603",#N/A,TRUE,"PERSONAL(FJ)B";"MF-604",#N/A,TRUE,"REACT-P(B)";"MF-6XX",#N/A,TRUE,"Resumen";"MF-605",#N/A,TRUE,"OTR-COS.FJ(B)"}</definedName>
    <definedName name="bvbv" hidden="1">{"MF-601",#N/A,TRUE,"MANT-EX-B(fJ)";"MF-602",#N/A,TRUE,"ELECTR-FJ(B)";"MF-603",#N/A,TRUE,"PERSONAL(FJ)B";"MF-604",#N/A,TRUE,"REACT-P(B)";"MF-6XX",#N/A,TRUE,"Resumen";"MF-605",#N/A,TRUE,"OTR-COS.FJ(B)"}</definedName>
    <definedName name="bvcn" localSheetId="3" hidden="1">{"Datos",#N/A,TRUE,"Datos"}</definedName>
    <definedName name="bvcn" hidden="1">{"Datos",#N/A,TRUE,"Datos"}</definedName>
    <definedName name="bvcvhcv">#REF!</definedName>
    <definedName name="bvf">#REF!</definedName>
    <definedName name="bvn" localSheetId="3" hidden="1">{"Datos",#N/A,TRUE,"Datos"}</definedName>
    <definedName name="bvn" hidden="1">{"Datos",#N/A,TRUE,"Datos"}</definedName>
    <definedName name="bvv"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vxcz">#REF!</definedName>
    <definedName name="bw">#REF!</definedName>
    <definedName name="bwic">#REF!</definedName>
    <definedName name="bwicspr">#REF!</definedName>
    <definedName name="Bx">#REF!</definedName>
    <definedName name="Bx___0">#REF!</definedName>
    <definedName name="Bx___13">#REF!</definedName>
    <definedName name="bxnvxnd">#REF!</definedName>
    <definedName name="BXP">#REF!</definedName>
    <definedName name="bz" localSheetId="3" hidden="1">{"'Break down'!$A$4"}</definedName>
    <definedName name="bz" hidden="1">{"'Break down'!$A$4"}</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cost">#REF!</definedName>
    <definedName name="c_">#REF!</definedName>
    <definedName name="C_____STEEL_REBAR">#REF!</definedName>
    <definedName name="C_1">#REF!</definedName>
    <definedName name="C_A">#REF!</definedName>
    <definedName name="c_adjust1">#REF!</definedName>
    <definedName name="c_adjust2">#REF!</definedName>
    <definedName name="c_adjust3">#REF!</definedName>
    <definedName name="c_adjust4">#REF!</definedName>
    <definedName name="C_Earthworks">#REF!</definedName>
    <definedName name="CA_PROJ_DETAILS">#REF!</definedName>
    <definedName name="ca1boq">#REF!</definedName>
    <definedName name="cab">#REF!</definedName>
    <definedName name="cab21.5tp">#REF!</definedName>
    <definedName name="cab21.5tp_4">#REF!</definedName>
    <definedName name="cab21.5tp_4_1">#REF!</definedName>
    <definedName name="cab21.5tp_6">#REF!</definedName>
    <definedName name="cab21s">#REF!</definedName>
    <definedName name="cab21s_4">#REF!</definedName>
    <definedName name="cab21s_4_1">#REF!</definedName>
    <definedName name="cab21s_6">#REF!</definedName>
    <definedName name="cab21us">#REF!</definedName>
    <definedName name="cab21us_4">#REF!</definedName>
    <definedName name="cab21us_4_1">#REF!</definedName>
    <definedName name="cab21us_6">#REF!</definedName>
    <definedName name="cab31s">#REF!</definedName>
    <definedName name="cab31s_4">#REF!</definedName>
    <definedName name="cab31s_4_1">#REF!</definedName>
    <definedName name="cab31s_6">#REF!</definedName>
    <definedName name="cab31us">#REF!</definedName>
    <definedName name="cab31us_4">#REF!</definedName>
    <definedName name="cab31us_4_1">#REF!</definedName>
    <definedName name="cab31us_6">#REF!</definedName>
    <definedName name="cab41s">#REF!</definedName>
    <definedName name="cab41s_4">#REF!</definedName>
    <definedName name="cab41s_4_1">#REF!</definedName>
    <definedName name="cab41s_6">#REF!</definedName>
    <definedName name="cab41us">#REF!</definedName>
    <definedName name="cab41us_4">#REF!</definedName>
    <definedName name="cab41us_4_1">#REF!</definedName>
    <definedName name="cab41us_6">#REF!</definedName>
    <definedName name="cabf">#REF!</definedName>
    <definedName name="cabf_4">#REF!</definedName>
    <definedName name="cabf_4_1">#REF!</definedName>
    <definedName name="cabf_6">#REF!</definedName>
    <definedName name="CABLE">#REF!</definedName>
    <definedName name="CABLE_1">#REF!</definedName>
    <definedName name="CABLE_2">#REF!</definedName>
    <definedName name="CABLE_4">#REF!</definedName>
    <definedName name="CABLE_4_1">#REF!</definedName>
    <definedName name="CABLE_6">#REF!</definedName>
    <definedName name="CableExcavation">#REF!</definedName>
    <definedName name="CAD">#REF!</definedName>
    <definedName name="Cadmesure">#REF!</definedName>
    <definedName name="cal">#REF!</definedName>
    <definedName name="Calculation">#REF!</definedName>
    <definedName name="CALf">#REF!</definedName>
    <definedName name="CALf_4">#REF!</definedName>
    <definedName name="CALf_4_1">#REF!</definedName>
    <definedName name="CALf_6">#REF!</definedName>
    <definedName name="camp">#REF!</definedName>
    <definedName name="campid">#REF!</definedName>
    <definedName name="Cap_rate">#REF!</definedName>
    <definedName name="capcost1">#REF!</definedName>
    <definedName name="CApentry">#REF!</definedName>
    <definedName name="capital">#REF!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R">#REF!</definedName>
    <definedName name="car_park_cash_flow">#REF!</definedName>
    <definedName name="carp_tot">#REF!</definedName>
    <definedName name="carp_weight">#REF!</definedName>
    <definedName name="CarPark_Income">#REF!</definedName>
    <definedName name="Carparks">#REF!</definedName>
    <definedName name="carpenterie">#REF!</definedName>
    <definedName name="carpenterie_base">#REF!</definedName>
    <definedName name="carpenterie_esc">#REF!</definedName>
    <definedName name="carpenterie_escalate">#REF!</definedName>
    <definedName name="carpet">#REF!</definedName>
    <definedName name="carpet___0">#REF!</definedName>
    <definedName name="carpet___11">#REF!</definedName>
    <definedName name="carpet___12">#REF!</definedName>
    <definedName name="carpet_sft">#REF!</definedName>
    <definedName name="carpet_sqm">#REF!</definedName>
    <definedName name="CARPET1">#REF!</definedName>
    <definedName name="cash">#REF!</definedName>
    <definedName name="cash_bank">#REF!</definedName>
    <definedName name="Cash_Deposit">#REF!</definedName>
    <definedName name="Cash_Flow_cap_for_perform_fee">#REF!</definedName>
    <definedName name="CASH_OUT">#REF!</definedName>
    <definedName name="cashfl" localSheetId="3" hidden="1">{#N/A,#N/A,TRUE,"Cover";#N/A,#N/A,TRUE,"Conts";#N/A,#N/A,TRUE,"VOS";#N/A,#N/A,TRUE,"Warrington";#N/A,#N/A,TRUE,"Widnes"}</definedName>
    <definedName name="cashfl" hidden="1">{#N/A,#N/A,TRUE,"Cover";#N/A,#N/A,TRUE,"Conts";#N/A,#N/A,TRUE,"VOS";#N/A,#N/A,TRUE,"Warrington";#N/A,#N/A,TRUE,"Widnes"}</definedName>
    <definedName name="cashflow_3">#REF!</definedName>
    <definedName name="cashflow1">#REF!</definedName>
    <definedName name="CAT">#REF!</definedName>
    <definedName name="CATEGORY">#REF!</definedName>
    <definedName name="Category_All">#REF!</definedName>
    <definedName name="CatEyes">#REF!</definedName>
    <definedName name="CATG">#REF!</definedName>
    <definedName name="CATIN">#N/A</definedName>
    <definedName name="CATJYOU">#N/A</definedName>
    <definedName name="CATREC">#N/A</definedName>
    <definedName name="CATSYU">#N/A</definedName>
    <definedName name="cb_" hidden="1">#REF!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 hidden="1">#REF!</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 hidden="1">#REF!</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hidden="1">#REF!</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 hidden="1">#REF!</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 hidden="1">#REF!</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 hidden="1">#REF!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gl1">#REF!</definedName>
    <definedName name="cbgl2">#REF!</definedName>
    <definedName name="cbgl3">#REF!</definedName>
    <definedName name="cbgl4">#REF!</definedName>
    <definedName name="Cbuld">#REF!</definedName>
    <definedName name="cbv" localSheetId="3" hidden="1">{"Datos",#N/A,TRUE,"Datos"}</definedName>
    <definedName name="cbv" hidden="1">{"Datos",#N/A,TRUE,"Datos"}</definedName>
    <definedName name="CBWorkbookPriority" hidden="1">-1411612577</definedName>
    <definedName name="CC">#REF!</definedName>
    <definedName name="ccbx">#REF!</definedName>
    <definedName name="ccc" localSheetId="3"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#REF!</definedName>
    <definedName name="ccccc" localSheetId="3" hidden="1">{#N/A,#N/A,FALSE,"SUBS";#N/A,#N/A,FALSE,"SUPERS";#N/A,#N/A,FALSE,"FINISHES";#N/A,#N/A,FALSE,"FITTINGS";#N/A,#N/A,FALSE,"SERVICES";#N/A,#N/A,FALSE,"SITEWORKS"}</definedName>
    <definedName name="ccccc" hidden="1">{#N/A,#N/A,FALSE,"SUBS";#N/A,#N/A,FALSE,"SUPERS";#N/A,#N/A,FALSE,"FINISHES";#N/A,#N/A,FALSE,"FITTINGS";#N/A,#N/A,FALSE,"SERVICES";#N/A,#N/A,FALSE,"SITEWORKS"}</definedName>
    <definedName name="cccccc" localSheetId="3" hidden="1">{#N/A,#N/A,TRUE,"COVER";#N/A,#N/A,TRUE,"DETAILS";#N/A,#N/A,TRUE,"SUMMARY";#N/A,#N/A,TRUE,"EXP MON";#N/A,#N/A,TRUE,"APPENDIX A";#N/A,#N/A,TRUE,"APPENDIX B";#N/A,#N/A,TRUE,"APPENDIX C";#N/A,#N/A,TRUE,"APPENDIX D";#N/A,#N/A,TRUE,"APPENDIX E";#N/A,#N/A,TRUE,"APPENDIX F";#N/A,#N/A,TRUE,"APPENDIX G"}</definedName>
    <definedName name="cccccc" hidden="1">{#N/A,#N/A,TRUE,"COVER";#N/A,#N/A,TRUE,"DETAILS";#N/A,#N/A,TRUE,"SUMMARY";#N/A,#N/A,TRUE,"EXP MON";#N/A,#N/A,TRUE,"APPENDIX A";#N/A,#N/A,TRUE,"APPENDIX B";#N/A,#N/A,TRUE,"APPENDIX C";#N/A,#N/A,TRUE,"APPENDIX D";#N/A,#N/A,TRUE,"APPENDIX E";#N/A,#N/A,TRUE,"APPENDIX F";#N/A,#N/A,TRUE,"APPENDIX G"}</definedName>
    <definedName name="cccccccc">#REF!</definedName>
    <definedName name="CCCCCCCCCC" hidden="1">{#N/A,#N/A,FALSE,"COPERTINA"}</definedName>
    <definedName name="CCL" localSheetId="3"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3"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#REF!</definedName>
    <definedName name="ccolagl">#REF!</definedName>
    <definedName name="ccPC">#REF!</definedName>
    <definedName name="CCR" localSheetId="3" hidden="1">{#N/A,#N/A,TRUE,"Cover";#N/A,#N/A,TRUE,"Conts";#N/A,#N/A,TRUE,"VOS";#N/A,#N/A,TRUE,"Warrington";#N/A,#N/A,TRUE,"Widnes"}</definedName>
    <definedName name="CCR" hidden="1">{#N/A,#N/A,TRUE,"Cover";#N/A,#N/A,TRUE,"Conts";#N/A,#N/A,TRUE,"VOS";#N/A,#N/A,TRUE,"Warrington";#N/A,#N/A,TRUE,"Widnes"}</definedName>
    <definedName name="ccs">#REF!</definedName>
    <definedName name="Ccurry">#REF!</definedName>
    <definedName name="ccv" localSheetId="3" hidden="1">{#N/A,#N/A,TRUE,"Front";#N/A,#N/A,TRUE,"Simple Letter";#N/A,#N/A,TRUE,"Inside";#N/A,#N/A,TRUE,"Contents";#N/A,#N/A,TRUE,"Basis";#N/A,#N/A,TRUE,"Inclusions";#N/A,#N/A,TRUE,"Exclusions";#N/A,#N/A,TRUE,"Areas";#N/A,#N/A,TRUE,"Summary";#N/A,#N/A,TRUE,"Detail"}</definedName>
    <definedName name="ccv" hidden="1">{#N/A,#N/A,TRUE,"Front";#N/A,#N/A,TRUE,"Simple Letter";#N/A,#N/A,TRUE,"Inside";#N/A,#N/A,TRUE,"Contents";#N/A,#N/A,TRUE,"Basis";#N/A,#N/A,TRUE,"Inclusions";#N/A,#N/A,TRUE,"Exclusions";#N/A,#N/A,TRUE,"Areas";#N/A,#N/A,TRUE,"Summary";#N/A,#N/A,TRUE,"Detail"}</definedName>
    <definedName name="CD" hidden="1">#REF!</definedName>
    <definedName name="Cdata">#REF!</definedName>
    <definedName name="CDEDRTG" hidden="1">{#N/A,#N/A,TRUE,"Cover";#N/A,#N/A,TRUE,"Conts";#N/A,#N/A,TRUE,"VOS";#N/A,#N/A,TRUE,"Warrington";#N/A,#N/A,TRUE,"Widnes"}</definedName>
    <definedName name="cdf">#REF!</definedName>
    <definedName name="cdfg" hidden="1">{#N/A,#N/A,TRUE,"Cover";#N/A,#N/A,TRUE,"Conts";#N/A,#N/A,TRUE,"VOS";#N/A,#N/A,TRUE,"Warrington";#N/A,#N/A,TRUE,"Widnes"}</definedName>
    <definedName name="cds">#REF!</definedName>
    <definedName name="ceiling">#REF!</definedName>
    <definedName name="Ceiling_Finishes">#REF!</definedName>
    <definedName name="Ceiling_Painting">#REF!</definedName>
    <definedName name="Ceiling_Plaster">#REF!</definedName>
    <definedName name="Ceiling_speaker">#REF!</definedName>
    <definedName name="Ceiling_Speaker_Unsupervised">#REF!</definedName>
    <definedName name="Cell_Length_X">#REF!</definedName>
    <definedName name="Cell_length_Y">#REF!</definedName>
    <definedName name="cellper">#REF!</definedName>
    <definedName name="Cement">#REF!</definedName>
    <definedName name="Centralize_system">#REF!</definedName>
    <definedName name="Cert2" localSheetId="3"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 localSheetId="3"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AN">#REF!</definedName>
    <definedName name="cfb">#REF!</definedName>
    <definedName name="cfbeams">#REF!</definedName>
    <definedName name="CFS" localSheetId="3" hidden="1">{#N/A,#N/A,TRUE,"Cover";#N/A,#N/A,TRUE,"Conts";#N/A,#N/A,TRUE,"VOS";#N/A,#N/A,TRUE,"Warrington";#N/A,#N/A,TRUE,"Widnes"}</definedName>
    <definedName name="CFS" hidden="1">{#N/A,#N/A,TRUE,"Cover";#N/A,#N/A,TRUE,"Conts";#N/A,#N/A,TRUE,"VOS";#N/A,#N/A,TRUE,"Warrington";#N/A,#N/A,TRUE,"Widnes"}</definedName>
    <definedName name="cfsalb">#REF!</definedName>
    <definedName name="cfslab">#REF!</definedName>
    <definedName name="cfvd" localSheetId="3">Summary!cfvd</definedName>
    <definedName name="cfvd">#N/A</definedName>
    <definedName name="cg" localSheetId="3" hidden="1">{"offequipsch",#N/A,FALSE,"GTC_Schedule";"onconstsch",#N/A,FALSE,"GTC_Schedule";"techsch",#N/A,FALSE,"GTC_Schedule";"totsch",#N/A,FALSE,"GTC_Schedule"}</definedName>
    <definedName name="cg" hidden="1">{"offequipsch",#N/A,FALSE,"GTC_Schedule";"onconstsch",#N/A,FALSE,"GTC_Schedule";"techsch",#N/A,FALSE,"GTC_Schedule";"totsch",#N/A,FALSE,"GTC_Schedule"}</definedName>
    <definedName name="CGT_payable">#REF!</definedName>
    <definedName name="CGT_Rate">#REF!</definedName>
    <definedName name="CH">#REF!</definedName>
    <definedName name="chair_00">#REF!</definedName>
    <definedName name="Chair_01">#REF!</definedName>
    <definedName name="Chair_02">#REF!</definedName>
    <definedName name="Chair_03">#REF!</definedName>
    <definedName name="Chair_04">#REF!</definedName>
    <definedName name="Change_in_Construction_Cost">#REF!</definedName>
    <definedName name="Change_in_Rents">#REF!</definedName>
    <definedName name="ChangeBy">#REF!</definedName>
    <definedName name="ChangeBy_4">#REF!</definedName>
    <definedName name="ChangeBy_4_1">#REF!</definedName>
    <definedName name="ChangeBy_6">#REF!</definedName>
    <definedName name="ChangeDate">#REF!</definedName>
    <definedName name="ChangeDate_4">#REF!</definedName>
    <definedName name="ChangeDate_4_1">#REF!</definedName>
    <definedName name="ChangeDate_6">#REF!</definedName>
    <definedName name="chap11email1">#REF!</definedName>
    <definedName name="Charmare">#REF!</definedName>
    <definedName name="chart">#REF!</definedName>
    <definedName name="ChartData_Monthly">#REF!</definedName>
    <definedName name="ChartData_Weekly">#REF!</definedName>
    <definedName name="check">#REF!</definedName>
    <definedName name="checked">#REF!</definedName>
    <definedName name="chemical" hidden="1">{#N/A,#N/A,FALSE,"CCTV"}</definedName>
    <definedName name="CHF">#REF!</definedName>
    <definedName name="chiller">#REF!</definedName>
    <definedName name="chl" localSheetId="3" hidden="1">{#N/A,#N/A,TRUE,"Basic";#N/A,#N/A,TRUE,"EXT-TABLE";#N/A,#N/A,TRUE,"STEEL";#N/A,#N/A,TRUE,"INT-Table";#N/A,#N/A,TRUE,"STEEL";#N/A,#N/A,TRUE,"Door"}</definedName>
    <definedName name="chl" hidden="1">{#N/A,#N/A,TRUE,"Basic";#N/A,#N/A,TRUE,"EXT-TABLE";#N/A,#N/A,TRUE,"STEEL";#N/A,#N/A,TRUE,"INT-Table";#N/A,#N/A,TRUE,"STEEL";#N/A,#N/A,TRUE,"Door"}</definedName>
    <definedName name="Choices_Wrapper" localSheetId="3">Summary!Choices_Wrapper</definedName>
    <definedName name="Choices_Wrapper">#N/A</definedName>
    <definedName name="Choix" localSheetId="3">Summary!Choix</definedName>
    <definedName name="Choix">#N/A</definedName>
    <definedName name="ci" localSheetId="3" hidden="1">{"'照明目录'!$A$1:$H$31"}</definedName>
    <definedName name="ci" hidden="1">{"'照明目录'!$A$1:$H$31"}</definedName>
    <definedName name="cici">#REF!</definedName>
    <definedName name="ciff">#REF!</definedName>
    <definedName name="CIM01_END">#REF!</definedName>
    <definedName name="CIM01_START">#REF!</definedName>
    <definedName name="Cinema_Rate">#REF!</definedName>
    <definedName name="circu1">#REF!</definedName>
    <definedName name="circu2">#REF!</definedName>
    <definedName name="citotal">#REF!</definedName>
    <definedName name="City">#REF!</definedName>
    <definedName name="city1area">#REF!</definedName>
    <definedName name="CityIndex">#REF!</definedName>
    <definedName name="civ" hidden="1">{#N/A,#N/A,TRUE,"Front";#N/A,#N/A,TRUE,"Simple Letter";#N/A,#N/A,TRUE,"Inside";#N/A,#N/A,TRUE,"Contents";#N/A,#N/A,TRUE,"Basis";#N/A,#N/A,TRUE,"Inclusions";#N/A,#N/A,TRUE,"Exclusions";#N/A,#N/A,TRUE,"Areas";#N/A,#N/A,TRUE,"Summary";#N/A,#N/A,TRUE,"Detail"}</definedName>
    <definedName name="civ_tot">#REF!</definedName>
    <definedName name="civil" localSheetId="3"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WORKS">#REF!</definedName>
    <definedName name="civil_workss">#REF!</definedName>
    <definedName name="CivilBasic">#REF!</definedName>
    <definedName name="civile">#REF!</definedName>
    <definedName name="civile_esc">#REF!</definedName>
    <definedName name="civilworks">#REF!</definedName>
    <definedName name="ckey">#REF!</definedName>
    <definedName name="cl" localSheetId="3" hidden="1">{"'照明目录'!$A$1:$H$31"}</definedName>
    <definedName name="cl" hidden="1">{"'照明目录'!$A$1:$H$31"}</definedName>
    <definedName name="CLASSE2">#REF!</definedName>
    <definedName name="Clean" localSheetId="3"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ean2" localSheetId="3" hidden="1">{#N/A,#N/A,TRUE,"Cover Memo";"Complete Sys. Estimate",#N/A,TRUE,"Change Summary";"Complete Sys. Estimate",#N/A,TRUE,"Estimate Summary";"Complete Sys. Estimate",#N/A,TRUE,"Dept. Summary";"Complete Sys. Estimate",#N/A,TRUE,"DOW Detail"}</definedName>
    <definedName name="clean2" hidden="1">{#N/A,#N/A,TRUE,"Cover Memo";"Complete Sys. Estimate",#N/A,TRUE,"Change Summary";"Complete Sys. Estimate",#N/A,TRUE,"Estimate Summary";"Complete Sys. Estimate",#N/A,TRUE,"Dept. Summary";"Complete Sys. Estimate",#N/A,TRUE,"DOW Detail"}</definedName>
    <definedName name="CleanData">#REF!</definedName>
    <definedName name="ClearingAndGrubbing">#REF!</definedName>
    <definedName name="clength">#REF!</definedName>
    <definedName name="Client">#REF!</definedName>
    <definedName name="Client_Markup">#REF!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huts">#REF!</definedName>
    <definedName name="ClientPhone">#REF!</definedName>
    <definedName name="ClientState">#REF!</definedName>
    <definedName name="ClientZip">#REF!</definedName>
    <definedName name="clinic">"Text 55"</definedName>
    <definedName name="clintels">#REF!</definedName>
    <definedName name="CLRCLR">#REF!</definedName>
    <definedName name="clrf">#REF!</definedName>
    <definedName name="CLRGYP">#REF!</definedName>
    <definedName name="CLRPAN">#REF!</definedName>
    <definedName name="ClusterB_Summary">#REF!</definedName>
    <definedName name="ClusterC">#REF!</definedName>
    <definedName name="ClusterC_Summary">#REF!</definedName>
    <definedName name="ClusterK">#REF!</definedName>
    <definedName name="CLUSTERL">#REF!</definedName>
    <definedName name="CLUSTERM">#REF!</definedName>
    <definedName name="cm" localSheetId="3" hidden="1">{#N/A,#N/A,TRUE,"Cover Memo";"Complete Sys. Estimate",#N/A,TRUE,"Change Summary";"Complete Sys. Estimate",#N/A,TRUE,"Estimate Summary";"Complete Sys. Estimate",#N/A,TRUE,"Dept. Summary";"Complete Sys. Estimate",#N/A,TRUE,"DOW Detail"}</definedName>
    <definedName name="cm" hidden="1">{#N/A,#N/A,TRUE,"Cover Memo";"Complete Sys. Estimate",#N/A,TRUE,"Change Summary";"Complete Sys. Estimate",#N/A,TRUE,"Estimate Summary";"Complete Sys. Estimate",#N/A,TRUE,"Dept. Summary";"Complete Sys. Estimate",#N/A,TRUE,"DOW Detail"}</definedName>
    <definedName name="CM_">#REF!</definedName>
    <definedName name="CMA">#REF!</definedName>
    <definedName name="CNCN" hidden="1">{#N/A,#N/A,TRUE,"Cover";#N/A,#N/A,TRUE,"Conts";#N/A,#N/A,TRUE,"VOS";#N/A,#N/A,TRUE,"Warrington";#N/A,#N/A,TRUE,"Widnes"}</definedName>
    <definedName name="cncv" localSheetId="3" hidden="1">{"Datos",#N/A,TRUE,"Datos"}</definedName>
    <definedName name="cncv" hidden="1">{"Datos",#N/A,TRUE,"Datos"}</definedName>
    <definedName name="Co">#REF!</definedName>
    <definedName name="cocnlen1">#REF!</definedName>
    <definedName name="COCUK">#REF!</definedName>
    <definedName name="Code" hidden="1">#REF!</definedName>
    <definedName name="CODE1">#REF!</definedName>
    <definedName name="CODES">#REF!</definedName>
    <definedName name="coimbatore">#REF!</definedName>
    <definedName name="col">#REF!</definedName>
    <definedName name="col___0">#REF!</definedName>
    <definedName name="col___11">#REF!</definedName>
    <definedName name="col___12">#REF!</definedName>
    <definedName name="Col_Sched">#REF!</definedName>
    <definedName name="colarea">#REF!</definedName>
    <definedName name="Colbgl">#REF!</definedName>
    <definedName name="colbgl2">#REF!</definedName>
    <definedName name="COLCOPIERVALEURSemail1">#REF!</definedName>
    <definedName name="COLCOPIERVALEURSemail2">#REF!</definedName>
    <definedName name="COLDEBUT">#REF!</definedName>
    <definedName name="COLFIN">#REF!</definedName>
    <definedName name="colouredcolunmn">#REF!</definedName>
    <definedName name="COLPLANNING">#REF!</definedName>
    <definedName name="columnLength">#REF!</definedName>
    <definedName name="ColumnReft">#REF!</definedName>
    <definedName name="Columns">#REF!</definedName>
    <definedName name="ComboBox">#REF!</definedName>
    <definedName name="ComboLookup">#REF!</definedName>
    <definedName name="ComboResult">#REF!</definedName>
    <definedName name="COMELEC">#REF!</definedName>
    <definedName name="cominput">#REF!</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ercialisation">#REF!</definedName>
    <definedName name="CommGrwth">#REF!</definedName>
    <definedName name="Commission_Income">#REF!</definedName>
    <definedName name="Commitment_Data">#REF!</definedName>
    <definedName name="COMP" hidden="1">#REF!</definedName>
    <definedName name="Comp_occ">#REF!</definedName>
    <definedName name="Comp_Occ_Rate">#REF!</definedName>
    <definedName name="Comp1Seg1">"Check Box 1"</definedName>
    <definedName name="Company">#REF!</definedName>
    <definedName name="CompDate">#REF!</definedName>
    <definedName name="CompDate_4">#REF!</definedName>
    <definedName name="CompDate_4_1">#REF!</definedName>
    <definedName name="CompDate_6">#REF!</definedName>
    <definedName name="compiercircu">#REF!</definedName>
    <definedName name="compierstri">#REF!</definedName>
    <definedName name="compiersufare">#REF!</definedName>
    <definedName name="compiertopare">#REF!</definedName>
    <definedName name="compiervol">#REF!</definedName>
    <definedName name="COMPING">#REF!</definedName>
    <definedName name="completion_date">#REF!</definedName>
    <definedName name="COMPLUMB">#REF!</definedName>
    <definedName name="CompOcc">#REF!</definedName>
    <definedName name="CompOccRate">#REF!</definedName>
    <definedName name="Compost">#REF!</definedName>
    <definedName name="CompRates">#REF!</definedName>
    <definedName name="CompSales">#REF!</definedName>
    <definedName name="Computer_00">#REF!</definedName>
    <definedName name="Computer_01">#REF!</definedName>
    <definedName name="Computer_02">#REF!</definedName>
    <definedName name="Computer_03">#REF!</definedName>
    <definedName name="computers">#REF!</definedName>
    <definedName name="CompValParam">#REF!</definedName>
    <definedName name="CON" localSheetId="3" hidden="1">{#N/A,#N/A,TRUE,"Cover";#N/A,#N/A,TRUE,"Conts";#N/A,#N/A,TRUE,"VOS";#N/A,#N/A,TRUE,"Warrington";#N/A,#N/A,TRUE,"Widnes"}</definedName>
    <definedName name="CON" hidden="1">{#N/A,#N/A,TRUE,"Cover";#N/A,#N/A,TRUE,"Conts";#N/A,#N/A,TRUE,"VOS";#N/A,#N/A,TRUE,"Warrington";#N/A,#N/A,TRUE,"Widnes"}</definedName>
    <definedName name="con_ped">#REF!</definedName>
    <definedName name="conc">#REF!</definedName>
    <definedName name="conc\">#N/A</definedName>
    <definedName name="conc2">#REF!</definedName>
    <definedName name="conc32">#REF!</definedName>
    <definedName name="conc41">#REF!</definedName>
    <definedName name="CONCA">#REF!</definedName>
    <definedName name="concabt">#REF!</definedName>
    <definedName name="CONCB">#REF!</definedName>
    <definedName name="CONCC">#REF!</definedName>
    <definedName name="conclen3">#REF!</definedName>
    <definedName name="CONCOURSE" localSheetId="3" hidden="1">{#N/A,#N/A,TRUE,"Cover";#N/A,#N/A,TRUE,"Conts";#N/A,#N/A,TRUE,"VOS";#N/A,#N/A,TRUE,"Warrington";#N/A,#N/A,TRUE,"Widnes"}</definedName>
    <definedName name="CONCOURSE" hidden="1">{#N/A,#N/A,TRUE,"Cover";#N/A,#N/A,TRUE,"Conts";#N/A,#N/A,TRUE,"VOS";#N/A,#N/A,TRUE,"Warrington";#N/A,#N/A,TRUE,"Widnes"}</definedName>
    <definedName name="Concrete_Ang.Connection">#REF!</definedName>
    <definedName name="Concrete_V_Connection">#REF!</definedName>
    <definedName name="CONCRETE_WORK_DURATION">#REF!</definedName>
    <definedName name="ConcreteClassA">#REF!</definedName>
    <definedName name="condf">#REF!</definedName>
    <definedName name="conf">#REF!</definedName>
    <definedName name="conf_4">#REF!</definedName>
    <definedName name="conf_4_1">#REF!</definedName>
    <definedName name="conf_6">#REF!</definedName>
    <definedName name="confli">#REF!</definedName>
    <definedName name="ConMgt">#REF!</definedName>
    <definedName name="CONS">#REF!</definedName>
    <definedName name="Const_hide_flag" localSheetId="3">#REF!,#REF!,#REF!,#REF!,#REF!,#REF!,#REF!,#REF!</definedName>
    <definedName name="Const_hide_flag">#REF!,#REF!,#REF!,#REF!,#REF!,#REF!,#REF!,#REF!</definedName>
    <definedName name="const1">#REF!</definedName>
    <definedName name="constrn">#REF!</definedName>
    <definedName name="Construction_Equipment">#REF!</definedName>
    <definedName name="Construction_Period">#REF!</definedName>
    <definedName name="Cont">#REF!</definedName>
    <definedName name="Contact">#REF!</definedName>
    <definedName name="ContAmt">#REF!</definedName>
    <definedName name="ContAmt_4">#REF!</definedName>
    <definedName name="ContAmt_4_1">#REF!</definedName>
    <definedName name="ContAmt_6">#REF!</definedName>
    <definedName name="content">#REF!</definedName>
    <definedName name="Contra" localSheetId="3" hidden="1">{#N/A,#N/A,TRUE,"Front";#N/A,#N/A,TRUE,"Simple Letter";#N/A,#N/A,TRUE,"Inside";#N/A,#N/A,TRUE,"Contents";#N/A,#N/A,TRUE,"Basis";#N/A,#N/A,TRUE,"Inclusions";#N/A,#N/A,TRUE,"Exclusions";#N/A,#N/A,TRUE,"Areas";#N/A,#N/A,TRUE,"Summary";#N/A,#N/A,TRUE,"Detail"}</definedName>
    <definedName name="Contra" hidden="1">{#N/A,#N/A,TRUE,"Front";#N/A,#N/A,TRUE,"Simple Letter";#N/A,#N/A,TRUE,"Inside";#N/A,#N/A,TRUE,"Contents";#N/A,#N/A,TRUE,"Basis";#N/A,#N/A,TRUE,"Inclusions";#N/A,#N/A,TRUE,"Exclusions";#N/A,#N/A,TRUE,"Areas";#N/A,#N/A,TRUE,"Summary";#N/A,#N/A,TRUE,"Detail"}</definedName>
    <definedName name="Contract_Cost">#REF!</definedName>
    <definedName name="Contract_sum">#REF!</definedName>
    <definedName name="Contract_sum1">#REF!</definedName>
    <definedName name="Contractdetors" localSheetId="3"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ntrat">#REF!</definedName>
    <definedName name="ContWithAcct">#REF!</definedName>
    <definedName name="ContWithAcct_4">#REF!</definedName>
    <definedName name="ContWithAcct_4_1">#REF!</definedName>
    <definedName name="ContWithAcct_6">#REF!</definedName>
    <definedName name="ContWithName">#REF!</definedName>
    <definedName name="ContWithName_4">#REF!</definedName>
    <definedName name="ContWithName_4_1">#REF!</definedName>
    <definedName name="ContWithName_6">#REF!</definedName>
    <definedName name="ContWithPrio">#REF!</definedName>
    <definedName name="ContWithPrio_4">#REF!</definedName>
    <definedName name="ContWithPrio_4_1">#REF!</definedName>
    <definedName name="ContWithPrio_6">#REF!</definedName>
    <definedName name="ContWithPrio_Text">#REF!</definedName>
    <definedName name="ContWithPrio_Text_4">#REF!</definedName>
    <definedName name="ContWithPrio_Text_4_1">#REF!</definedName>
    <definedName name="ContWithPrio_Text_6">#REF!</definedName>
    <definedName name="CONum">#REF!</definedName>
    <definedName name="CONum_4">#REF!</definedName>
    <definedName name="CONum_4_1">#REF!</definedName>
    <definedName name="CONum_6">#REF!</definedName>
    <definedName name="Conv">#REF!</definedName>
    <definedName name="Conveyance___Travel">#REF!</definedName>
    <definedName name="convusd">#REF!</definedName>
    <definedName name="copper">#REF!</definedName>
    <definedName name="copy">#REF!</definedName>
    <definedName name="copy_this">#REF!</definedName>
    <definedName name="Copyright" hidden="1">"© 1995 Worley Limited"</definedName>
    <definedName name="cord">#REF!</definedName>
    <definedName name="Core">#REF!</definedName>
    <definedName name="CORNER">#REF!</definedName>
    <definedName name="CorpClient">#REF!</definedName>
    <definedName name="CorpClient_4">#REF!</definedName>
    <definedName name="CorpClient_4_1">#REF!</definedName>
    <definedName name="CorpClient_6">#REF!</definedName>
    <definedName name="CorpClient_Text">#REF!</definedName>
    <definedName name="CorpClient_Text_4">#REF!</definedName>
    <definedName name="CorpClient_Text_4_1">#REF!</definedName>
    <definedName name="CorpClient_Text_6">#REF!</definedName>
    <definedName name="correc">#REF!</definedName>
    <definedName name="CorridorArea">#REF!</definedName>
    <definedName name="CorridorPerimeter">#REF!</definedName>
    <definedName name="cost" localSheetId="3" hidden="1">{#N/A,#N/A,TRUE,"Basic";#N/A,#N/A,TRUE,"EXT-TABLE";#N/A,#N/A,TRUE,"STEEL";#N/A,#N/A,TRUE,"INT-Table";#N/A,#N/A,TRUE,"STEEL";#N/A,#N/A,TRUE,"Door"}</definedName>
    <definedName name="cost" hidden="1">{#N/A,#N/A,TRUE,"Basic";#N/A,#N/A,TRUE,"EXT-TABLE";#N/A,#N/A,TRUE,"STEEL";#N/A,#N/A,TRUE,"INT-Table";#N/A,#N/A,TRUE,"STEEL";#N/A,#N/A,TRUE,"Door"}</definedName>
    <definedName name="Cost_of_Sales">#REF!</definedName>
    <definedName name="Cost_of_sales__External">#REF!</definedName>
    <definedName name="Cost_Per_Manday">#REF!</definedName>
    <definedName name="COST_RANGE">#REF!</definedName>
    <definedName name="cost_sum">#REF!</definedName>
    <definedName name="COST_VALUE_REPO">#REF!</definedName>
    <definedName name="cost1">#REF!</definedName>
    <definedName name="COST2" localSheetId="3" hidden="1">{#N/A,#N/A,TRUE,"Basic";#N/A,#N/A,TRUE,"EXT-TABLE";#N/A,#N/A,TRUE,"STEEL";#N/A,#N/A,TRUE,"INT-Table";#N/A,#N/A,TRUE,"STEEL";#N/A,#N/A,TRUE,"Door"}</definedName>
    <definedName name="COST2" hidden="1">{#N/A,#N/A,TRUE,"Basic";#N/A,#N/A,TRUE,"EXT-TABLE";#N/A,#N/A,TRUE,"STEEL";#N/A,#N/A,TRUE,"INT-Table";#N/A,#N/A,TRUE,"STEEL";#N/A,#N/A,TRUE,"Door"}</definedName>
    <definedName name="CostCenter1">#REF!</definedName>
    <definedName name="CostCenter2">#REF!</definedName>
    <definedName name="CostCenter3">#REF!</definedName>
    <definedName name="CostCentres">#REF!</definedName>
    <definedName name="costs">#REF!</definedName>
    <definedName name="costval">#REF!</definedName>
    <definedName name="costval1">#REF!</definedName>
    <definedName name="Costval10">#REF!</definedName>
    <definedName name="Costval11">#REF!</definedName>
    <definedName name="costval2">#REF!</definedName>
    <definedName name="Costval3">#REF!</definedName>
    <definedName name="Costval4">#REF!</definedName>
    <definedName name="Costval5">#REF!</definedName>
    <definedName name="Costval6">#REF!</definedName>
    <definedName name="Costval7">#REF!</definedName>
    <definedName name="Costval8">#REF!</definedName>
    <definedName name="Costval9">#REF!</definedName>
    <definedName name="COU">#REF!</definedName>
    <definedName name="COU___0">#REF!</definedName>
    <definedName name="COU___13">#REF!</definedName>
    <definedName name="Councils_overage">#REF!</definedName>
    <definedName name="COUNT_1000mm_dia._GRP">#REF!</definedName>
    <definedName name="COUNT_100mm_thk_blinding">#REF!</definedName>
    <definedName name="COUNT_1300mm_high_upstand">#REF!</definedName>
    <definedName name="COUNT_1600mm_thk_base_slab">#REF!</definedName>
    <definedName name="COUNT_200mm_thick_cantilever_slab">#REF!</definedName>
    <definedName name="COUNT_20mm_Isolation_Joint">#REF!</definedName>
    <definedName name="COUNT_22KV_SWITCHGEAR_GR_651">#REF!</definedName>
    <definedName name="COUNT_22KV_SWITCHGEAR_under_eqpt__GR_651">#REF!</definedName>
    <definedName name="COUNT_22KV_SWITCHGEAR_under_walk__GR_651">#REF!</definedName>
    <definedName name="COUNT_300mm_thk_base_slab">#REF!</definedName>
    <definedName name="COUNT_300mm_thk_Susp._slab">#REF!</definedName>
    <definedName name="COUNT_4mm_thk_below_ground_waterproofing">#REF!</definedName>
    <definedName name="COUNT_4mm_thk_roof_covering_system">#REF!</definedName>
    <definedName name="COUNT_500mm_thk_base_slab">#REF!</definedName>
    <definedName name="COUNT_75mm_thk_blinding">#REF!</definedName>
    <definedName name="COUNT_800mm_thk_base_slab">#REF!</definedName>
    <definedName name="COUNT_AC_DC_GR_658">#REF!</definedName>
    <definedName name="COUNT_Access_drive_rear">#REF!</definedName>
    <definedName name="COUNT_Access_drive_rear_F.1">#REF!</definedName>
    <definedName name="COUNT_Access_tunnel">#REF!</definedName>
    <definedName name="COUNT_AGV_depot">#REF!</definedName>
    <definedName name="COUNT_Air_filter_chamber">#REF!</definedName>
    <definedName name="COUNT_Air_intake_trench">#REF!</definedName>
    <definedName name="COUNT_AUX_1_GR_653">#REF!</definedName>
    <definedName name="COUNT_AUX_2_GR_654">#REF!</definedName>
    <definedName name="COUNT_b10s1">#REF!</definedName>
    <definedName name="COUNT_b20s2">#REF!</definedName>
    <definedName name="COUNT_b30s2">#REF!</definedName>
    <definedName name="COUNT_b50s3">#REF!</definedName>
    <definedName name="COUNT_BASEMENT_BS_651">#REF!</definedName>
    <definedName name="COUNT_BATTERY_GR_659">#REF!</definedName>
    <definedName name="COUNT_Beam_B1_400X700_">#REF!</definedName>
    <definedName name="COUNT_Beam_B2_300X700_">#REF!</definedName>
    <definedName name="COUNT_Below_ground_horizontal">#REF!</definedName>
    <definedName name="COUNT_Below_tunnel_horizontal">#REF!</definedName>
    <definedName name="COUNT_Blinding">#REF!</definedName>
    <definedName name="COUNT_Break">#REF!</definedName>
    <definedName name="COUNT_Break.F">#REF!</definedName>
    <definedName name="COUNT_Break_room">#REF!</definedName>
    <definedName name="COUNT_Break_room.1">#REF!</definedName>
    <definedName name="COUNT_Cable_trench_slab_200mm_thk">#REF!</definedName>
    <definedName name="COUNT_Cable_trench_wall_800mm_high">#REF!</definedName>
    <definedName name="COUNT_Comm">#REF!</definedName>
    <definedName name="COUNT_COMMU.ROOM_GR_660">#REF!</definedName>
    <definedName name="COUNT_Communication_room">#REF!</definedName>
    <definedName name="COUNT_Control.1">#REF!</definedName>
    <definedName name="COUNT_CONTROL_ROOM_GR_657">#REF!</definedName>
    <definedName name="COUNT_Corridor">#REF!</definedName>
    <definedName name="COUNT_Corridor.1">#REF!</definedName>
    <definedName name="COUNT_Corridor.2">#REF!</definedName>
    <definedName name="COUNT_Corridor.3">#REF!</definedName>
    <definedName name="COUNT_Corridor.4">#REF!</definedName>
    <definedName name="COUNT_CORRIDOR_GR_665">#REF!</definedName>
    <definedName name="COUNT_CT___02">#REF!</definedName>
    <definedName name="COUNT_Duct_from_SS_to_Trench">#REF!</definedName>
    <definedName name="COUNT_Elec">#REF!</definedName>
    <definedName name="COUNT_Elec.1">#REF!</definedName>
    <definedName name="COUNT_Elec.2">#REF!</definedName>
    <definedName name="COUNT_Electrical">#REF!</definedName>
    <definedName name="COUNT_Electrical.1">#REF!</definedName>
    <definedName name="COUNT_Electrical.f">#REF!</definedName>
    <definedName name="COUNT_Electrical_room">#REF!</definedName>
    <definedName name="COUNT_Elev._equip">#REF!</definedName>
    <definedName name="COUNT_EP___01">#REF!</definedName>
    <definedName name="COUNT_EP___02">#REF!</definedName>
    <definedName name="COUNT_EP_01_S">#REF!</definedName>
    <definedName name="COUNT_EP_02_S">#REF!</definedName>
    <definedName name="COUNT_Epoxy_paint_anti_fungus">#REF!</definedName>
    <definedName name="COUNT_Excation">#REF!</definedName>
    <definedName name="COUNT_Exit_passageway">#REF!</definedName>
    <definedName name="COUNT_Exit_passageway.1">#REF!</definedName>
    <definedName name="COUNT_Exit_passageway.2">#REF!</definedName>
    <definedName name="COUNT_Exit_passageway.F">#REF!</definedName>
    <definedName name="COUNT_Exit_passageway_1">#REF!</definedName>
    <definedName name="COUNT_Fair_faced_concrete">#REF!</definedName>
    <definedName name="COUNT_False_Ceiling">#REF!</definedName>
    <definedName name="COUNT_Fan_room">#REF!</definedName>
    <definedName name="COUNT_Fan_room.2">#REF!</definedName>
    <definedName name="COUNT_Female_toilet_shower.F">#REF!</definedName>
    <definedName name="COUNT_Fencing">#REF!</definedName>
    <definedName name="COUNT_FF_conc._w_epoxy_paint_anti_fungus">#REF!</definedName>
    <definedName name="COUNT_Filters.RF">#REF!</definedName>
    <definedName name="COUNT_FIRE_FIGHTING_GR_656">#REF!</definedName>
    <definedName name="COUNT_Fire_riser">#REF!</definedName>
    <definedName name="COUNT_Fire_riser.F">#REF!</definedName>
    <definedName name="COUNT_FL_01_General_floor">#REF!</definedName>
    <definedName name="COUNT_FL_01_Ramps">#REF!</definedName>
    <definedName name="COUNT_FL_02_Traffic_islands___Raised_area">#REF!</definedName>
    <definedName name="COUNT_FL_03__Kerbs_3">#REF!</definedName>
    <definedName name="COUNT_FL_03_Raised_Kerbs">#REF!</definedName>
    <definedName name="COUNT_FL_04_Wheel_stops">#REF!</definedName>
    <definedName name="COUNT_FL_05_Bay_Numbers">#REF!</definedName>
    <definedName name="COUNT_FL_05_Disable_signage">#REF!</definedName>
    <definedName name="COUNT_FL_05_Left_turn_Arrow_616">#REF!</definedName>
    <definedName name="COUNT_FL_05_Parking_line_100mm_thk">#REF!</definedName>
    <definedName name="COUNT_FL_05_Parking_line_280mm_thk">#REF!</definedName>
    <definedName name="COUNT_FL_05_Parking_line_390mm_thk">#REF!</definedName>
    <definedName name="COUNT_FL_05_Parking_line_530mm_thk">#REF!</definedName>
    <definedName name="COUNT_FL_05_Right_turn_Arrow_615">#REF!</definedName>
    <definedName name="COUNT_FL_05_Straight_Arrow_614">#REF!</definedName>
    <definedName name="COUNT_FL_05_Straight_Right_Arrow_617">#REF!</definedName>
    <definedName name="COUNT_FL_06_Ped._Walkways">#REF!</definedName>
    <definedName name="COUNT_Footing_F1_400mm_high">#REF!</definedName>
    <definedName name="COUNT_GB1_300X750mm">#REF!</definedName>
    <definedName name="COUNT_GB2_400X750mm">#REF!</definedName>
    <definedName name="COUNT_GENERATOR_1_GR_671">#REF!</definedName>
    <definedName name="COUNT_GENERATOR_2_GR_672">#REF!</definedName>
    <definedName name="COUNT_GIS_ROOM_GR_652">#REF!</definedName>
    <definedName name="COUNT_GIS_ROOM_under_eqpt__GR_652">#REF!</definedName>
    <definedName name="COUNT_GIS_ROOM_under_walkable__GR_652">#REF!</definedName>
    <definedName name="COUNT_Grade_Slab_200mm_thk">#REF!</definedName>
    <definedName name="COUNT_Ground_Beam_GB1_350X500_">#REF!</definedName>
    <definedName name="COUNT_Ground_Beam_GB2_300X500_">#REF!</definedName>
    <definedName name="COUNT_GUARD_ROOM_GR_666">#REF!</definedName>
    <definedName name="COUNT_GUARD_WC_GR_669">#REF!</definedName>
    <definedName name="COUNT_Hangar_11">#REF!</definedName>
    <definedName name="COUNT_Hangar_12">#REF!</definedName>
    <definedName name="COUNT_Imam_office">#REF!</definedName>
    <definedName name="COUNT_Janitor">#REF!</definedName>
    <definedName name="COUNT_Janitor.1">#REF!</definedName>
    <definedName name="COUNT_L1_300X400">#REF!</definedName>
    <definedName name="COUNT_L1_300X500">#REF!</definedName>
    <definedName name="COUNT_L1_300X600">#REF!</definedName>
    <definedName name="COUNT_L4_300X400">#REF!</definedName>
    <definedName name="COUNT_L4_300X500">#REF!</definedName>
    <definedName name="COUNT_L4_300X600">#REF!</definedName>
    <definedName name="COUNT_L4_350X500">#REF!</definedName>
    <definedName name="COUNT_L4_500X500">#REF!</definedName>
    <definedName name="COUNT_L6_300X300">#REF!</definedName>
    <definedName name="COUNT_L6_300X500">#REF!</definedName>
    <definedName name="COUNT_Line_hangar_1">#REF!</definedName>
    <definedName name="COUNT_Mech">#REF!</definedName>
    <definedName name="COUNT_Mech.">#REF!</definedName>
    <definedName name="COUNT_Mech.1">#REF!</definedName>
    <definedName name="COUNT_Mech.2">#REF!</definedName>
    <definedName name="COUNT_Mechanical">#REF!</definedName>
    <definedName name="COUNT_Mechanical.1">#REF!</definedName>
    <definedName name="COUNT_Mechanical.PH">#REF!</definedName>
    <definedName name="COUNT_Mechanical.RF">#REF!</definedName>
    <definedName name="COUNT_Mechanical_room">#REF!</definedName>
    <definedName name="COUNT_MEDIUM_VOLTAGE_RM_GR_670">#REF!</definedName>
    <definedName name="COUNT_Men_toilet_shower">#REF!</definedName>
    <definedName name="COUNT_Men_toilet_shower.1">#REF!</definedName>
    <definedName name="COUNT_Men_toilet_shower.F">#REF!</definedName>
    <definedName name="COUNT_Mens_toilet">#REF!</definedName>
    <definedName name="COUNT_Mens_toilet.F">#REF!</definedName>
    <definedName name="COUNT_Office">#REF!</definedName>
    <definedName name="COUNT_Office.1">#REF!</definedName>
    <definedName name="COUNT_Office_1">#REF!</definedName>
    <definedName name="COUNT_Office_2">#REF!</definedName>
    <definedName name="COUNT_Office_3">#REF!</definedName>
    <definedName name="COUNT_OFFICE_GR_663">#REF!</definedName>
    <definedName name="COUNT_OFFICE_GR_664">#REF!</definedName>
    <definedName name="COUNT_Offices">#REF!</definedName>
    <definedName name="COUNT_OIL_PIT_B_655">#REF!</definedName>
    <definedName name="COUNT_OIL_PIT_B_656">#REF!</definedName>
    <definedName name="COUNT_OIL_PIT_BS_654">#REF!</definedName>
    <definedName name="COUNT_Open_office">#REF!</definedName>
    <definedName name="COUNT_OPen_office.1">#REF!</definedName>
    <definedName name="COUNT_Open_office.F">#REF!</definedName>
    <definedName name="COUNT_Paint_hangar_1">#REF!</definedName>
    <definedName name="COUNT_Paint_hold.1">#REF!</definedName>
    <definedName name="COUNT_Paint_mix">#REF!</definedName>
    <definedName name="COUNT_Paint_mix.1">#REF!</definedName>
    <definedName name="COUNT_Paint_shop">#REF!</definedName>
    <definedName name="COUNT_Paint_shop.1">#REF!</definedName>
    <definedName name="COUNT_Paint_store">#REF!</definedName>
    <definedName name="COUNT_Painted_plaster">#REF!</definedName>
    <definedName name="COUNT_PANTRY_GR_662">#REF!</definedName>
    <definedName name="COUNT_Parapet_at_transformer_room">#REF!</definedName>
    <definedName name="COUNT_Parts">#REF!</definedName>
    <definedName name="COUNT_Parts.1">#REF!</definedName>
    <definedName name="COUNT_Parts_">#REF!</definedName>
    <definedName name="COUNT_Plaster_Anti_alkaline_paint">#REF!</definedName>
    <definedName name="COUNT_Plot_Area">#REF!</definedName>
    <definedName name="COUNT_Prayer_room">#REF!</definedName>
    <definedName name="COUNT_PT___10">#REF!</definedName>
    <definedName name="COUNT_PT_01_S">#REF!</definedName>
    <definedName name="COUNT_RC_base">#REF!</definedName>
    <definedName name="COUNT_RC_Wall">#REF!</definedName>
    <definedName name="COUNT_RC_Wall_300W_3500H">#REF!</definedName>
    <definedName name="COUNT_RC_Wall_300W_867H">#REF!</definedName>
    <definedName name="COUNT_RC_Wall_400W_3500H">#REF!</definedName>
    <definedName name="COUNT_RC_Wall_400W_3700H">#REF!</definedName>
    <definedName name="COUNT_RC_Wall_500W_11670H">#REF!</definedName>
    <definedName name="COUNT_RC_Wall_500W_12770H">#REF!</definedName>
    <definedName name="COUNT_RC_Wall_600W_4000H">#REF!</definedName>
    <definedName name="COUNT_RC_Wall_600W_5000H">#REF!</definedName>
    <definedName name="COUNT_RC_Wall_800W_4800H">#REF!</definedName>
    <definedName name="COUNT_RC_Wall_800W_6500H">#REF!</definedName>
    <definedName name="COUNT_Receiver_tanks">#REF!</definedName>
    <definedName name="COUNT_Removal_of_top_soil">#REF!</definedName>
    <definedName name="COUNT_Riser">#REF!</definedName>
    <definedName name="COUNT_Roof_Beam_RB1_300X600_">#REF!</definedName>
    <definedName name="COUNT_Roof_beam_RB1_400X600_">#REF!</definedName>
    <definedName name="COUNT_Roof_Beam_RB2_300X600_">#REF!</definedName>
    <definedName name="COUNT_Roof_beam_RB2_400X600_">#REF!</definedName>
    <definedName name="COUNT_Roof_beam_RB3_300X600_">#REF!</definedName>
    <definedName name="COUNT_Roof_beam_RB4_200X400_">#REF!</definedName>
    <definedName name="COUNT_Roof_parapet_300mm_high">#REF!</definedName>
    <definedName name="COUNT_Roof_Parapet_500mm_high">#REF!</definedName>
    <definedName name="COUNT_ROOF_RF_651">#REF!</definedName>
    <definedName name="COUNT_ROOF_RF_652">#REF!</definedName>
    <definedName name="COUNT_ROOF_RF_653">#REF!</definedName>
    <definedName name="COUNT_ROOF_RF_654">#REF!</definedName>
    <definedName name="COUNT_Roof_Slab_200mm_thick">#REF!</definedName>
    <definedName name="COUNT_Roof_slab_250mm_thk">#REF!</definedName>
    <definedName name="COUNT_SC_Columns_C1">#REF!</definedName>
    <definedName name="COUNT_SC_Columns_C2">#REF!</definedName>
    <definedName name="COUNT_Seat_storage.F1">#REF!</definedName>
    <definedName name="COUNT_Seat_storage.F2">#REF!</definedName>
    <definedName name="COUNT_SF_01_General_soffit">#REF!</definedName>
    <definedName name="COUNT_Slab_S2_180mm_thick">#REF!</definedName>
    <definedName name="COUNT_Slab_S3_200mm_thick">#REF!</definedName>
    <definedName name="COUNT_Slab_S4_220mm_thick">#REF!</definedName>
    <definedName name="COUNT_Slab_S5_250mm_thk">#REF!</definedName>
    <definedName name="COUNT_Sloped_Roof_160mm_thick">#REF!</definedName>
    <definedName name="COUNT_Smoking.1">#REF!</definedName>
    <definedName name="COUNT_Smoking.2">#REF!</definedName>
    <definedName name="COUNT_Smoking.F">#REF!</definedName>
    <definedName name="COUNT_SS_B1_300X600_450mm_deep">#REF!</definedName>
    <definedName name="COUNT_SS_B1_300X700_450mm_deep">#REF!</definedName>
    <definedName name="COUNT_SS_B1_300X700_500mm_deep">#REF!</definedName>
    <definedName name="COUNT_SS_B1_300X700X520mm_deep">#REF!</definedName>
    <definedName name="COUNT_SS_B10_300X600_350mm_deep">#REF!</definedName>
    <definedName name="COUNT_SS_B10_300X700_450mm_deep">#REF!</definedName>
    <definedName name="COUNT_SS_B10_300X700_480mm_deep">#REF!</definedName>
    <definedName name="COUNT_SS_B10_350X700_450mm_deep">#REF!</definedName>
    <definedName name="COUNT_SS_B10_350X700_500mm_deep">#REF!</definedName>
    <definedName name="COUNT_SS_B11_300X700_450mm_deep">#REF!</definedName>
    <definedName name="COUNT_SS_B11_400X800_550mm_deep">#REF!</definedName>
    <definedName name="COUNT_SS_B12_200X600_380mm_deep">#REF!</definedName>
    <definedName name="COUNT_SS_B12_300X700">#REF!</definedName>
    <definedName name="COUNT_SS_B12_300X700_500mm_deep">#REF!</definedName>
    <definedName name="COUNT_SS_B12_300X700_520mm_deep">#REF!</definedName>
    <definedName name="COUNT_SS_B12_300X700_580mm_deep">#REF!</definedName>
    <definedName name="COUNT_SS_B13_300X700_480mm_deep">#REF!</definedName>
    <definedName name="COUNT_SS_B13_350X700_450mm_deep">#REF!</definedName>
    <definedName name="COUNT_SS_B14_300X700_450mm_deep">#REF!</definedName>
    <definedName name="COUNT_SS_B14_300X700_500mm_deep">#REF!</definedName>
    <definedName name="COUNT_SS_B15_300X700_450mm_deep">#REF!</definedName>
    <definedName name="COUNT_SS_B15_350X700_450mm_deep">#REF!</definedName>
    <definedName name="COUNT_SS_B15_350X700_500mm_deep">#REF!</definedName>
    <definedName name="COUNT_SS_B16_300X700">#REF!</definedName>
    <definedName name="COUNT_SS_B16_300X700_520mm_deep">#REF!</definedName>
    <definedName name="COUNT_SS_B16_350X700_500mm_deep">#REF!</definedName>
    <definedName name="COUNT_SS_B17_300X700">#REF!</definedName>
    <definedName name="COUNT_SS_B18_300X700_480mm_deep">#REF!</definedName>
    <definedName name="COUNT_SS_B18_300X700_500mm_deep">#REF!</definedName>
    <definedName name="COUNT_SS_B18300X700">#REF!</definedName>
    <definedName name="COUNT_SS_B19_300X700_450mm_deep">#REF!</definedName>
    <definedName name="COUNT_SS_B19_300X700_500mm_deep">#REF!</definedName>
    <definedName name="COUNT_SS_B2_400X800_550mm_deep">#REF!</definedName>
    <definedName name="COUNT_SS_B20_300X700_450mm_deep">#REF!</definedName>
    <definedName name="COUNT_SS_B20_300X700_520mm_deep">#REF!</definedName>
    <definedName name="COUNT_SS_B21_300X700_450mm_deep">#REF!</definedName>
    <definedName name="COUNT_SS_B22_300X700_450mm_deep">#REF!</definedName>
    <definedName name="COUNT_SS_B23_300X700_500mm_deep">#REF!</definedName>
    <definedName name="COUNT_SS_B24_300X700_500mm_deep">#REF!</definedName>
    <definedName name="COUNT_SS_B25_300X700_480mm_deep">#REF!</definedName>
    <definedName name="COUNT_SS_B26_300X500_340mm_deep">#REF!</definedName>
    <definedName name="COUNT_SS_B27_300X500_340___deep">#REF!</definedName>
    <definedName name="COUNT_SS_B28_500X1000_750mm_deep">#REF!</definedName>
    <definedName name="COUNT_SS_B29_500X1000_750mm_deep">#REF!</definedName>
    <definedName name="COUNT_SS_B3_400X700_480mm_deep">#REF!</definedName>
    <definedName name="COUNT_SS_B3_400X800_550mm_deep">#REF!</definedName>
    <definedName name="COUNT_SS_B30_500X1000_750mm_deep">#REF!</definedName>
    <definedName name="COUNT_SS_B31_500X1000_750mm_deep">#REF!</definedName>
    <definedName name="COUNT_SS_B4_300X700_520mm_deep">#REF!</definedName>
    <definedName name="COUNT_SS_B4_400X800_550mm_deep">#REF!</definedName>
    <definedName name="COUNT_SS_B5_400X800_550mm_deep">#REF!</definedName>
    <definedName name="COUNT_SS_B6_300X600_350mm_deep">#REF!</definedName>
    <definedName name="COUNT_SS_B6_300X700">#REF!</definedName>
    <definedName name="COUNT_SS_B6_300X700_520mm_deep">#REF!</definedName>
    <definedName name="COUNT_SS_B7_200X700_450mm_deep">#REF!</definedName>
    <definedName name="COUNT_SS_B8_400X800_550mm_deep">#REF!</definedName>
    <definedName name="COUNT_SS_B9_300X600_350mm_deep">#REF!</definedName>
    <definedName name="COUNT_SS_B9_300X700_450mm_deep">#REF!</definedName>
    <definedName name="COUNT_SS_B9_350X700_450mm_deep">#REF!</definedName>
    <definedName name="COUNT_SS_B9_350X700_500mm_deep">#REF!</definedName>
    <definedName name="COUNT_SS_CA1_300X700">#REF!</definedName>
    <definedName name="COUNT_Stair">#REF!</definedName>
    <definedName name="COUNT_Stair.1">#REF!</definedName>
    <definedName name="COUNT_Stair_10">#REF!</definedName>
    <definedName name="COUNT_Stair_11">#REF!</definedName>
    <definedName name="COUNT_Stair_11A">#REF!</definedName>
    <definedName name="COUNT_Stair_12">#REF!</definedName>
    <definedName name="COUNT_Stair_12A">#REF!</definedName>
    <definedName name="COUNT_Stair_12B">#REF!</definedName>
    <definedName name="COUNT_Stair_13">#REF!</definedName>
    <definedName name="COUNT_Stair_14">#REF!</definedName>
    <definedName name="COUNT_STAIRCASE_ROOM_BS_668">#REF!</definedName>
    <definedName name="COUNT_Storage.1">#REF!</definedName>
    <definedName name="COUNT_Storage.F">#REF!</definedName>
    <definedName name="COUNT_Storage.F1">#REF!</definedName>
    <definedName name="COUNT_Storage.F2">#REF!</definedName>
    <definedName name="COUNT_Storage.F3">#REF!</definedName>
    <definedName name="COUNT_Storage_F">#REF!</definedName>
    <definedName name="COUNT_STORE_GR_655">#REF!</definedName>
    <definedName name="COUNT_Strip_footings_400mm_thk">#REF!</definedName>
    <definedName name="COUNT_Strip_footings_500mm_thk">#REF!</definedName>
    <definedName name="COUNT_Sub_Str._RC_Wall_250mm_thk">#REF!</definedName>
    <definedName name="COUNT_Sub_str._RC_Wall_400mm_thk">#REF!</definedName>
    <definedName name="COUNT_Sub_Str._Trench_wall_250mm_thick">#REF!</definedName>
    <definedName name="COUNT_Sub_Str.RC_Wall_300mm_thk">#REF!</definedName>
    <definedName name="COUNT_Superstr._Basement_Wall_250mm_thick">#REF!</definedName>
    <definedName name="COUNT_Surface_Bed_S_120mm_thick">#REF!</definedName>
    <definedName name="COUNT_Surface_Bed_S1_150mm_thick">#REF!</definedName>
    <definedName name="COUNT_Surface_Bed_S5_250mm_thk">#REF!</definedName>
    <definedName name="COUNT_Tech.">#REF!</definedName>
    <definedName name="COUNT_Tech._library">#REF!</definedName>
    <definedName name="COUNT_Tech.1">#REF!</definedName>
    <definedName name="COUNT_Tech_library.1">#REF!</definedName>
    <definedName name="COUNT_TL___01">#REF!</definedName>
    <definedName name="COUNT_TL___04">#REF!</definedName>
    <definedName name="COUNT_TL___09">#REF!</definedName>
    <definedName name="COUNT_TL___10">#REF!</definedName>
    <definedName name="COUNT_TL___11">#REF!</definedName>
    <definedName name="COUNT_TL___12_S">#REF!</definedName>
    <definedName name="COUNT_TL_04_S">#REF!</definedName>
    <definedName name="COUNT_TL_09_S">#REF!</definedName>
    <definedName name="COUNT_TOILETS_GR_661">#REF!</definedName>
    <definedName name="COUNT_Tool_crib">#REF!</definedName>
    <definedName name="COUNT_Tool_crib.1">#REF!</definedName>
    <definedName name="COUNT_Tools">#REF!</definedName>
    <definedName name="COUNT_Tools_CE_P">#REF!</definedName>
    <definedName name="COUNT_Tools_CE_P.1">#REF!</definedName>
    <definedName name="COUNT_Training.F">#REF!</definedName>
    <definedName name="COUNT_Training_room">#REF!</definedName>
    <definedName name="COUNT_Training_room.1">#REF!</definedName>
    <definedName name="COUNT_TRENCH_BS_653">#REF!</definedName>
    <definedName name="COUNT_TUNNEL_BS_652">#REF!</definedName>
    <definedName name="COUNT_Type_E_Scratched_Finish">#REF!</definedName>
    <definedName name="COUNT_Type_F_Smooth_finish">#REF!</definedName>
    <definedName name="COUNT_Warming_kitchen">#REF!</definedName>
    <definedName name="COUNT_Wash_hangar_2">#REF!</definedName>
    <definedName name="COUNT_WL_01_General_walls">#REF!</definedName>
    <definedName name="COUNT_WL_01_Upstand">#REF!</definedName>
    <definedName name="COUNT_WL_02_Columns_and_Corners">#REF!</definedName>
    <definedName name="COUNT_WL_03_Bollards___100dia">#REF!</definedName>
    <definedName name="COUNT_WL_03_Bollards___150dia">#REF!</definedName>
    <definedName name="COUNT_Womens_toilet">#REF!</definedName>
    <definedName name="COUNT_Womens_toilet.F">#REF!</definedName>
    <definedName name="COUNT_WORKSHOP_GR_667">#REF!</definedName>
    <definedName name="CountCode">#REF!</definedName>
    <definedName name="Country">#REF!</definedName>
    <definedName name="COURANT">#REF!</definedName>
    <definedName name="cover">#REF!</definedName>
    <definedName name="CP">#REF!</definedName>
    <definedName name="cpdpvol">#REF!</definedName>
    <definedName name="cpf" localSheetId="3" hidden="1">{#N/A,#N/A,TRUE,"Basic";#N/A,#N/A,TRUE,"EXT-TABLE";#N/A,#N/A,TRUE,"STEEL";#N/A,#N/A,TRUE,"INT-Table";#N/A,#N/A,TRUE,"STEEL";#N/A,#N/A,TRUE,"Door"}</definedName>
    <definedName name="cpf" hidden="1">{#N/A,#N/A,TRUE,"Basic";#N/A,#N/A,TRUE,"EXT-TABLE";#N/A,#N/A,TRUE,"STEEL";#N/A,#N/A,TRUE,"INT-Table";#N/A,#N/A,TRUE,"STEEL";#N/A,#N/A,TRUE,"Door"}</definedName>
    <definedName name="cpierends">#REF!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anes">#REF!</definedName>
    <definedName name="cris" hidden="1">#REF!</definedName>
    <definedName name="_xlnm.Criteria">#REF!</definedName>
    <definedName name="CRITERIA1">#REF!</definedName>
    <definedName name="Criterion">#REF!</definedName>
    <definedName name="Criterion_Basis">#REF!</definedName>
    <definedName name="crsr" hidden="1">#REF!</definedName>
    <definedName name="crsr1" hidden="1">#REF!</definedName>
    <definedName name="crsr2" hidden="1">#REF!</definedName>
    <definedName name="crsr3" hidden="1">#REF!</definedName>
    <definedName name="CS">#REF!</definedName>
    <definedName name="Cs___0">#REF!</definedName>
    <definedName name="Cs___13">#REF!</definedName>
    <definedName name="CSA">#REF!</definedName>
    <definedName name="CSB" hidden="1">{#N/A,#N/A,TRUE,"Cover";#N/A,#N/A,TRUE,"Conts";#N/A,#N/A,TRUE,"VOS";#N/A,#N/A,TRUE,"Warrington";#N/A,#N/A,TRUE,"Widnes"}</definedName>
    <definedName name="CSI">#REF!</definedName>
    <definedName name="csl">#REF!</definedName>
    <definedName name="CSR">#REF!</definedName>
    <definedName name="csshade">#REF!</definedName>
    <definedName name="cst">#REF!</definedName>
    <definedName name="cstf">#REF!</definedName>
    <definedName name="CSTOTAL">#REF!</definedName>
    <definedName name="cttravF">#REF!</definedName>
    <definedName name="Cum_Values">#REF!</definedName>
    <definedName name="cummeas_June1006">#REF!</definedName>
    <definedName name="cummeas_may1006">#REF!</definedName>
    <definedName name="cummeas_up_to_mar">#REF!</definedName>
    <definedName name="CumulativeFinancialProgress">#REF!</definedName>
    <definedName name="CumulativePercentCompletion">#REF!</definedName>
    <definedName name="cur">"L.E."</definedName>
    <definedName name="Curr">#REF!</definedName>
    <definedName name="CURR_4">#REF!</definedName>
    <definedName name="CURR_4_1">#REF!</definedName>
    <definedName name="CURR_6">#REF!</definedName>
    <definedName name="curr_liab_prov">#REF!</definedName>
    <definedName name="Curr_Unit">#REF!</definedName>
    <definedName name="CurrCode">#REF!</definedName>
    <definedName name="Currency">#REF!</definedName>
    <definedName name="CurrencyName">#REF!</definedName>
    <definedName name="CurrencyRate">#REF!</definedName>
    <definedName name="CurrencyRate_4">#REF!</definedName>
    <definedName name="CurrencyRate_4_1">#REF!</definedName>
    <definedName name="CurrencyRate_6">#REF!</definedName>
    <definedName name="CurrencySymbol">#REF!</definedName>
    <definedName name="CurrencyText">#REF!</definedName>
    <definedName name="current1">#REF!</definedName>
    <definedName name="current2">#REF!</definedName>
    <definedName name="current3">#REF!</definedName>
    <definedName name="current4">#REF!</definedName>
    <definedName name="current5">#REF!</definedName>
    <definedName name="CurrentAge">#REF!</definedName>
    <definedName name="CurrentMonth">#REF!</definedName>
    <definedName name="CURRIE">#REF!</definedName>
    <definedName name="Curry">#REF!</definedName>
    <definedName name="curve1" hidden="1">{#N/A,#N/A,FALSE,"Work progress mensile";#N/A,#N/A,FALSE,"Work progress mensile IE1"}</definedName>
    <definedName name="cust">#REF!</definedName>
    <definedName name="CustName">#REF!</definedName>
    <definedName name="customes">#REF!</definedName>
    <definedName name="cutoutArea">#REF!</definedName>
    <definedName name="cutoutPerimeter">#REF!</definedName>
    <definedName name="cuv">#REF!</definedName>
    <definedName name="cv" localSheetId="3" hidden="1">{"Datos",#N/A,TRUE,"Datos"}</definedName>
    <definedName name="cv" hidden="1">{"Datos",#N/A,TRUE,"Datos"}</definedName>
    <definedName name="cvb" hidden="1">{#N/A,#N/A,TRUE,"Cover";#N/A,#N/A,TRUE,"Conts";#N/A,#N/A,TRUE,"VOS";#N/A,#N/A,TRUE,"Warrington";#N/A,#N/A,TRUE,"Widnes"}</definedName>
    <definedName name="cvcbn" localSheetId="3" hidden="1">{"Datos",#N/A,TRUE,"Datos"}</definedName>
    <definedName name="cvcbn" hidden="1">{"Datos",#N/A,TRUE,"Datos"}</definedName>
    <definedName name="CvData">#REF!</definedName>
    <definedName name="cvdf">#REF!</definedName>
    <definedName name="cvfg689">#REF!</definedName>
    <definedName name="cvfgf" localSheetId="3" hidden="1">{"MF-601",#N/A,TRUE,"MANT-EX-B(fJ)";"MF-602",#N/A,TRUE,"ELECTR-FJ(B)";"MF-603",#N/A,TRUE,"PERSONAL(FJ)B";"MF-604",#N/A,TRUE,"REACT-P(B)";"MF-605",#N/A,TRUE,"OTR-COS.FJ(B)";"MF-60X",#N/A,TRUE,"Resumen"}</definedName>
    <definedName name="cvfgf" hidden="1">{"MF-601",#N/A,TRUE,"MANT-EX-B(fJ)";"MF-602",#N/A,TRUE,"ELECTR-FJ(B)";"MF-603",#N/A,TRUE,"PERSONAL(FJ)B";"MF-604",#N/A,TRUE,"REACT-P(B)";"MF-605",#N/A,TRUE,"OTR-COS.FJ(B)";"MF-60X",#N/A,TRUE,"Resumen"}</definedName>
    <definedName name="cvgf" localSheetId="3" hidden="1">{"offequipsch",#N/A,FALSE,"GTC_Schedule";"onconstsch",#N/A,FALSE,"GTC_Schedule";"techsch",#N/A,FALSE,"GTC_Schedule";"totsch",#N/A,FALSE,"GTC_Schedule"}</definedName>
    <definedName name="cvgf" hidden="1">{"offequipsch",#N/A,FALSE,"GTC_Schedule";"onconstsch",#N/A,FALSE,"GTC_Schedule";"techsch",#N/A,FALSE,"GTC_Schedule";"totsch",#N/A,FALSE,"GTC_Schedule"}</definedName>
    <definedName name="CVGYU" hidden="1">{#N/A,#N/A,TRUE,"Cover";#N/A,#N/A,TRUE,"Conts";#N/A,#N/A,TRUE,"VOS";#N/A,#N/A,TRUE,"Warrington";#N/A,#N/A,TRUE,"Widnes"}</definedName>
    <definedName name="cxx">#REF!</definedName>
    <definedName name="czx">#REF!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C">#REF!</definedName>
    <definedName name="D_____MASONRY___PLASTER_WORKS">#REF!</definedName>
    <definedName name="d___0">#REF!</definedName>
    <definedName name="d___13">#REF!</definedName>
    <definedName name="D_Concrete">#REF!</definedName>
    <definedName name="D_Masonry">#REF!</definedName>
    <definedName name="d_r">#REF!</definedName>
    <definedName name="d10fas">#REF!</definedName>
    <definedName name="d10fls">#REF!</definedName>
    <definedName name="d10sec">#REF!</definedName>
    <definedName name="d10spr">#REF!</definedName>
    <definedName name="d14fas">#REF!</definedName>
    <definedName name="d14FLS">#REF!</definedName>
    <definedName name="d14sec">#REF!</definedName>
    <definedName name="d14spr">#REF!</definedName>
    <definedName name="d21fas">#REF!</definedName>
    <definedName name="d21fls">#REF!</definedName>
    <definedName name="d21sec">#REF!</definedName>
    <definedName name="d21spr">#REF!</definedName>
    <definedName name="d23afas">#REF!</definedName>
    <definedName name="d23afls">#REF!</definedName>
    <definedName name="d23asec">#REF!</definedName>
    <definedName name="d23aspr">#REF!</definedName>
    <definedName name="d23fas">#REF!</definedName>
    <definedName name="d23fls">#REF!</definedName>
    <definedName name="d23sec">#REF!</definedName>
    <definedName name="d23spr">#REF!</definedName>
    <definedName name="d26afas">#REF!</definedName>
    <definedName name="d26afls">#REF!</definedName>
    <definedName name="d26asec">#REF!</definedName>
    <definedName name="d26aspr">#REF!</definedName>
    <definedName name="d26bfas">#REF!</definedName>
    <definedName name="d26bfls">#REF!</definedName>
    <definedName name="d26bsec">#REF!</definedName>
    <definedName name="d26bspr">#REF!</definedName>
    <definedName name="d26cfas">#REF!</definedName>
    <definedName name="d26cfls">#REF!</definedName>
    <definedName name="d26csec">#REF!</definedName>
    <definedName name="d26cspr">#REF!</definedName>
    <definedName name="d26fas">#REF!</definedName>
    <definedName name="d26fls">#REF!</definedName>
    <definedName name="d26sec">#REF!</definedName>
    <definedName name="d26spr">#REF!</definedName>
    <definedName name="d27bfas">#REF!</definedName>
    <definedName name="d27bfls">#REF!</definedName>
    <definedName name="d27bsec">#REF!</definedName>
    <definedName name="d27bspr">#REF!</definedName>
    <definedName name="d27cfas">#REF!</definedName>
    <definedName name="d27cfls">#REF!</definedName>
    <definedName name="d27csec">#REF!</definedName>
    <definedName name="d27cspr">#REF!</definedName>
    <definedName name="d27fas">#REF!</definedName>
    <definedName name="d27fls">#REF!</definedName>
    <definedName name="d27sec">#REF!</definedName>
    <definedName name="d27spr">#REF!</definedName>
    <definedName name="d28afas">#REF!</definedName>
    <definedName name="d28afls">#REF!</definedName>
    <definedName name="d28asec">#REF!</definedName>
    <definedName name="d28aspr">#REF!</definedName>
    <definedName name="d28fas">#REF!</definedName>
    <definedName name="d28fls">#REF!</definedName>
    <definedName name="d28sec">#REF!</definedName>
    <definedName name="d28spr">#REF!</definedName>
    <definedName name="d2fas">#REF!</definedName>
    <definedName name="d2fls">#REF!</definedName>
    <definedName name="d2sec">#REF!</definedName>
    <definedName name="d2spr">#REF!</definedName>
    <definedName name="d31fas">#REF!</definedName>
    <definedName name="d31fls">#REF!</definedName>
    <definedName name="d31sec">#REF!</definedName>
    <definedName name="d31spr">#REF!</definedName>
    <definedName name="d33fas">#REF!</definedName>
    <definedName name="d33fls">#REF!</definedName>
    <definedName name="d33sec">#REF!</definedName>
    <definedName name="d33spr">#REF!</definedName>
    <definedName name="d3fas">#REF!</definedName>
    <definedName name="d3fls">#REF!</definedName>
    <definedName name="d3sec">#REF!</definedName>
    <definedName name="d3spr">#REF!</definedName>
    <definedName name="d4fas">#REF!</definedName>
    <definedName name="d4fls">#REF!</definedName>
    <definedName name="d4sec">#REF!</definedName>
    <definedName name="d4spr">#REF!</definedName>
    <definedName name="d5fas">#REF!</definedName>
    <definedName name="d5fls">#REF!</definedName>
    <definedName name="d5sec">#REF!</definedName>
    <definedName name="d5spr">#REF!</definedName>
    <definedName name="d7fas">#REF!</definedName>
    <definedName name="d7fls">#REF!</definedName>
    <definedName name="d7sec">#REF!</definedName>
    <definedName name="d7spr">#REF!</definedName>
    <definedName name="d8fas">#REF!</definedName>
    <definedName name="d8fls">#REF!</definedName>
    <definedName name="d8sec">#REF!</definedName>
    <definedName name="d8spr">#REF!</definedName>
    <definedName name="d9fas">#REF!</definedName>
    <definedName name="d9fls">#REF!</definedName>
    <definedName name="d9sec">#REF!</definedName>
    <definedName name="d9spr">#REF!</definedName>
    <definedName name="da" localSheetId="3" hidden="1">{#N/A,#N/A,TRUE,"Cover";#N/A,#N/A,TRUE,"Conts";#N/A,#N/A,TRUE,"VOS";#N/A,#N/A,TRUE,"Warrington";#N/A,#N/A,TRUE,"Widnes"}</definedName>
    <definedName name="da" hidden="1">{#N/A,#N/A,TRUE,"Cover";#N/A,#N/A,TRUE,"Conts";#N/A,#N/A,TRUE,"VOS";#N/A,#N/A,TRUE,"Warrington";#N/A,#N/A,TRUE,"Widnes"}</definedName>
    <definedName name="dad" hidden="1">#REF!</definedName>
    <definedName name="dadddd" hidden="1">#REF!</definedName>
    <definedName name="DAdsaD" hidden="1">#REF!</definedName>
    <definedName name="Daff">#REF!</definedName>
    <definedName name="Daralhansha">#REF!</definedName>
    <definedName name="dasft" hidden="1">#REF!</definedName>
    <definedName name="Data">#REF!</definedName>
    <definedName name="DATA_DATE">#REF!</definedName>
    <definedName name="DATA_MANAGEMENT">#REF!</definedName>
    <definedName name="data1" hidden="1">#REF!</definedName>
    <definedName name="data2" hidden="1">#REF!</definedName>
    <definedName name="data20a" localSheetId="3">#REF!,#REF!,#REF!,#REF!,#REF!,#REF!,#REF!,#REF!</definedName>
    <definedName name="data20a">#REF!,#REF!,#REF!,#REF!,#REF!,#REF!,#REF!,#REF!</definedName>
    <definedName name="data21">#REF!,#REF!,#REF!,#REF!</definedName>
    <definedName name="data22">#REF!,#REF!,#REF!,#REF!</definedName>
    <definedName name="data23">#REF!,#REF!,#REF!,#REF!</definedName>
    <definedName name="data24">#REF!,#REF!,#REF!,#REF!</definedName>
    <definedName name="data25">#REF!,#REF!,#REF!,#REF!</definedName>
    <definedName name="data2ab">#REF!</definedName>
    <definedName name="data3" hidden="1">#REF!</definedName>
    <definedName name="data39">#REF!</definedName>
    <definedName name="data40">#REF!</definedName>
    <definedName name="_xlnm.Database">#REF!</definedName>
    <definedName name="DataFilter">#REF!</definedName>
    <definedName name="DataSort">#REF!</definedName>
    <definedName name="date">#REF!</definedName>
    <definedName name="DATE_OLD">#REF!</definedName>
    <definedName name="date1">#REF!</definedName>
    <definedName name="dates2">#REF!</definedName>
    <definedName name="Datos_reales">#REF!</definedName>
    <definedName name="Datum">#REF!</definedName>
    <definedName name="dax_adj.contract.sum">#REF!</definedName>
    <definedName name="dax_con.bal">#REF!</definedName>
    <definedName name="dax_cont.r">#REF!</definedName>
    <definedName name="dax_final.sum">#REF!</definedName>
    <definedName name="dax_org.contract">#REF!</definedName>
    <definedName name="dax_rev.sum">#REF!</definedName>
    <definedName name="dax_uncommit">#REF!</definedName>
    <definedName name="dax_vo.app">#REF!</definedName>
    <definedName name="dax_vo.pend">#REF!</definedName>
    <definedName name="dax_vo.total">#REF!</definedName>
    <definedName name="dax_work.complete">#REF!</definedName>
    <definedName name="Daywork1" hidden="1">{#N/A,#N/A,FALSE,"MARCH"}</definedName>
    <definedName name="db">#REF!</definedName>
    <definedName name="db___0">#REF!</definedName>
    <definedName name="db___13">#REF!</definedName>
    <definedName name="DBASE">#REF!</definedName>
    <definedName name="DBASEM">#REF!</definedName>
    <definedName name="DBASEP">#REF!</definedName>
    <definedName name="Dbl_Tough">#REF!</definedName>
    <definedName name="dc">#REF!</definedName>
    <definedName name="DC_Profile">#REF!</definedName>
    <definedName name="DC_Summary">#REF!</definedName>
    <definedName name="DCCont">#REF!</definedName>
    <definedName name="DCF">#REF!</definedName>
    <definedName name="DCF_analysis___Standard_model">#REF!</definedName>
    <definedName name="DCI" localSheetId="3"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D">#REF!</definedName>
    <definedName name="dda">#REF!</definedName>
    <definedName name="ddasfsf" localSheetId="3" hidden="1">{"Datos",#N/A,TRUE,"Datos"}</definedName>
    <definedName name="ddasfsf" hidden="1">{"Datos",#N/A,TRUE,"Datos"}</definedName>
    <definedName name="ddcx" localSheetId="3" hidden="1">{#N/A,#N/A,TRUE,"Cover";#N/A,#N/A,TRUE,"Conts";#N/A,#N/A,TRUE,"VOS";#N/A,#N/A,TRUE,"Warrington";#N/A,#N/A,TRUE,"Widnes"}</definedName>
    <definedName name="ddcx" hidden="1">{#N/A,#N/A,TRUE,"Cover";#N/A,#N/A,TRUE,"Conts";#N/A,#N/A,TRUE,"VOS";#N/A,#N/A,TRUE,"Warrington";#N/A,#N/A,TRUE,"Widnes"}</definedName>
    <definedName name="ddd" localSheetId="3" hidden="1">{#N/A,#N/A,TRUE,"Cover Memo";"Complete Sys. Estimate",#N/A,TRUE,"Change Summary";"Complete Sys. Estimate",#N/A,TRUE,"Estimate Summary";"Complete Sys. Estimate",#N/A,TRUE,"Dept. Summary";"Complete Sys. Estimate",#N/A,TRUE,"DOW Detail"}</definedName>
    <definedName name="ddd" hidden="1">{#N/A,#N/A,TRUE,"Cover Memo";"Complete Sys. Estimate",#N/A,TRUE,"Change Summary";"Complete Sys. Estimate",#N/A,TRUE,"Estimate Summary";"Complete Sys. Estimate",#N/A,TRUE,"Dept. Summary";"Complete Sys. Estimate",#N/A,TRUE,"DOW Detail"}</definedName>
    <definedName name="dddd" localSheetId="3" hidden="1">{#N/A,#N/A,TRUE,"Cover Memo";"Complete Sys. Estimate",#N/A,TRUE,"Change Summary";"Complete Sys. Estimate",#N/A,TRUE,"Estimate Summary";"Complete Sys. Estimate",#N/A,TRUE,"Dept. Summary";"Complete Sys. Estimate",#N/A,TRUE,"DOW Detail"}</definedName>
    <definedName name="dddd" hidden="1">{#N/A,#N/A,TRUE,"Cover Memo";"Complete Sys. Estimate",#N/A,TRUE,"Change Summary";"Complete Sys. Estimate",#N/A,TRUE,"Estimate Summary";"Complete Sys. Estimate",#N/A,TRUE,"Dept. Summary";"Complete Sys. Estimate",#N/A,TRUE,"DOW Detail"}</definedName>
    <definedName name="ddddd" localSheetId="3" hidden="1">{#N/A,#N/A,TRUE,"Cover Memo";"Complete Sys. Estimate",#N/A,TRUE,"Change Summary";"Complete Sys. Estimate",#N/A,TRUE,"Estimate Summary";"Complete Sys. Estimate",#N/A,TRUE,"Dept. Summary";"Complete Sys. Estimate",#N/A,TRUE,"DOW Detail"}</definedName>
    <definedName name="ddddd" hidden="1">{#N/A,#N/A,TRUE,"Cover Memo";"Complete Sys. Estimate",#N/A,TRUE,"Change Summary";"Complete Sys. Estimate",#N/A,TRUE,"Estimate Summary";"Complete Sys. Estimate",#N/A,TRUE,"Dept. Summary";"Complete Sys. Estimate",#N/A,TRUE,"DOW Detail"}</definedName>
    <definedName name="dddddddd">#REF!</definedName>
    <definedName name="ddddddddddd">#REF!</definedName>
    <definedName name="DDDDDDDDDDDDDD" localSheetId="3" hidden="1">{#N/A,#N/A,TRUE,"Cover Memo";"Ride Estimate",#N/A,TRUE,"Change Summary";"Ride Estimate",#N/A,TRUE,"Estimate Summary";"Ride Estimate",#N/A,TRUE,"Dept. Summary";"Ride Estimate",#N/A,TRUE,"DOW Detail"}</definedName>
    <definedName name="DDDDDDDDDDDDDD" hidden="1">{#N/A,#N/A,TRUE,"Cover Memo";"Ride Estimate",#N/A,TRUE,"Change Summary";"Ride Estimate",#N/A,TRUE,"Estimate Summary";"Ride Estimate",#N/A,TRUE,"Dept. Summary";"Ride Estimate",#N/A,TRUE,"DOW Detail"}</definedName>
    <definedName name="ddddddddddddddd" hidden="1">#REF!</definedName>
    <definedName name="ddddr">#REF!</definedName>
    <definedName name="dddt" localSheetId="3" hidden="1">{"'Break down'!$A$4"}</definedName>
    <definedName name="dddt" hidden="1">{"'Break down'!$A$4"}</definedName>
    <definedName name="dddz" localSheetId="3" hidden="1">{"'Break down'!$A$4"}</definedName>
    <definedName name="dddz" hidden="1">{"'Break down'!$A$4"}</definedName>
    <definedName name="ddeete23442">#REF!</definedName>
    <definedName name="ddf" hidden="1">{#N/A,#N/A,TRUE,"Cover";#N/A,#N/A,TRUE,"Conts";#N/A,#N/A,TRUE,"VOS";#N/A,#N/A,TRUE,"Warrington";#N/A,#N/A,TRUE,"Widnes"}</definedName>
    <definedName name="ddfd" localSheetId="3" hidden="1">{"'Break down'!$A$4"}</definedName>
    <definedName name="ddfd" hidden="1">{"'Break down'!$A$4"}</definedName>
    <definedName name="ddfff">#REF!</definedName>
    <definedName name="ddffgh">#REF!</definedName>
    <definedName name="ddsa" hidden="1">{#N/A,#N/A,TRUE,"Cover";#N/A,#N/A,TRUE,"Conts";#N/A,#N/A,TRUE,"VOS";#N/A,#N/A,TRUE,"Warrington";#N/A,#N/A,TRUE,"Widnes"}</definedName>
    <definedName name="DDSD" hidden="1">{#N/A,#N/A,TRUE,"Cover";#N/A,#N/A,TRUE,"Conts";#N/A,#N/A,TRUE,"VOS";#N/A,#N/A,TRUE,"Warrington";#N/A,#N/A,TRUE,"Widnes"}</definedName>
    <definedName name="Ddt_H_Screed">#REF!</definedName>
    <definedName name="Ddt_H_Screed_AC">#REF!</definedName>
    <definedName name="DealData">#REF!</definedName>
    <definedName name="Debt_Coverage_Ratio">#REF!</definedName>
    <definedName name="Debt_finance">#REF!</definedName>
    <definedName name="deco16">#REF!</definedName>
    <definedName name="deco20">#REF!</definedName>
    <definedName name="deco25">#REF!</definedName>
    <definedName name="deco32">#REF!</definedName>
    <definedName name="deco40">#REF!</definedName>
    <definedName name="deco50">#REF!</definedName>
    <definedName name="deddd">#REF!</definedName>
    <definedName name="def" hidden="1">#REF!</definedName>
    <definedName name="DEFECT_LIABILITY_PERIOD">#REF!</definedName>
    <definedName name="defi" localSheetId="3">#REF!,#REF!,#REF!</definedName>
    <definedName name="defi">#REF!,#REF!,#REF!</definedName>
    <definedName name="degaset" localSheetId="3" hidden="1">{"MF-601",#N/A,TRUE,"MANT-EX-B(fJ)";"MF-602",#N/A,TRUE,"ELECTR-FJ(B)";"MF-603",#N/A,TRUE,"PERSONAL(FJ)B";"MF-604",#N/A,TRUE,"REACT-P(B)";"MF-6XX",#N/A,TRUE,"Resumen";"MF-605",#N/A,TRUE,"OTR-COS.FJ(B)"}</definedName>
    <definedName name="degaset" hidden="1">{"MF-601",#N/A,TRUE,"MANT-EX-B(fJ)";"MF-602",#N/A,TRUE,"ELECTR-FJ(B)";"MF-603",#N/A,TRUE,"PERSONAL(FJ)B";"MF-604",#N/A,TRUE,"REACT-P(B)";"MF-6XX",#N/A,TRUE,"Resumen";"MF-605",#N/A,TRUE,"OTR-COS.FJ(B)"}</definedName>
    <definedName name="del_code">#REF!</definedName>
    <definedName name="del_qty">#REF!</definedName>
    <definedName name="DELfeb09" hidden="1">#REF!</definedName>
    <definedName name="Deliv">#REF!</definedName>
    <definedName name="Delivbasis">#REF!</definedName>
    <definedName name="delivcode">#REF!</definedName>
    <definedName name="delivtype">#REF!</definedName>
    <definedName name="Delshan" localSheetId="3" hidden="1">{#N/A,#N/A,FALSE,"VCR"}</definedName>
    <definedName name="Delshan" hidden="1">{#N/A,#N/A,FALSE,"VCR"}</definedName>
    <definedName name="DELTA20">#REF!</definedName>
    <definedName name="DELTA20___0">#REF!</definedName>
    <definedName name="DELTA20___13">#REF!</definedName>
    <definedName name="DeluxeArea">#REF!</definedName>
    <definedName name="DeluxePerimeter">#REF!</definedName>
    <definedName name="DEM">#REF!</definedName>
    <definedName name="demand">#REF!</definedName>
    <definedName name="DemandGrowth">#REF!</definedName>
    <definedName name="Demolish">#REF!</definedName>
    <definedName name="demoliz_base">#REF!</definedName>
    <definedName name="Dep._Non_Direct_Cost">#REF!</definedName>
    <definedName name="Dep_Scaff">#REF!</definedName>
    <definedName name="Depereciation" localSheetId="3" hidden="1">{"'Furniture&amp; O.E'!$A$4:$D$27"}</definedName>
    <definedName name="Depereciation" hidden="1">{"'Furniture&amp; O.E'!$A$4:$D$27"}</definedName>
    <definedName name="Depn">#REF!</definedName>
    <definedName name="Depn_PMEScaff">#REF!</definedName>
    <definedName name="Depn_Props">#REF!</definedName>
    <definedName name="Deposits">#REF!</definedName>
    <definedName name="Depreciation">#REF!</definedName>
    <definedName name="Depreciation__Non_direct">#REF!</definedName>
    <definedName name="Depreciation_Adjustment">#REF!</definedName>
    <definedName name="Depth">#REF!</definedName>
    <definedName name="der">#REF!</definedName>
    <definedName name="DES">#REF!</definedName>
    <definedName name="Description">#REF!</definedName>
    <definedName name="designed">#REF!</definedName>
    <definedName name="DESIGNS">#REF!</definedName>
    <definedName name="DESIGNS07">#REF!</definedName>
    <definedName name="DESIGNS12">#REF!</definedName>
    <definedName name="DESIGNS21">#REF!</definedName>
    <definedName name="DESIGNS22">#REF!</definedName>
    <definedName name="DESIGNS31">#REF!</definedName>
    <definedName name="DESIGNS33">#REF!</definedName>
    <definedName name="DESIGNS34">#REF!</definedName>
    <definedName name="DESIGNS35">#REF!</definedName>
    <definedName name="DESIGNS36">#REF!</definedName>
    <definedName name="DESIGNS39">#REF!</definedName>
    <definedName name="DESIGNS42">#REF!</definedName>
    <definedName name="DESIGNS43">#REF!</definedName>
    <definedName name="DESIGNS45">#REF!</definedName>
    <definedName name="DESIGNS46">#REF!</definedName>
    <definedName name="DESIGNS48">#REF!</definedName>
    <definedName name="DESIGNS49">#REF!</definedName>
    <definedName name="DESIGNS52">#REF!</definedName>
    <definedName name="DESIGNS53">#REF!</definedName>
    <definedName name="DESIGNS54">#REF!</definedName>
    <definedName name="DESIGNS55">#REF!</definedName>
    <definedName name="DESIGNS82">#REF!</definedName>
    <definedName name="DESIGNS84">#REF!</definedName>
    <definedName name="Desk_00">#REF!</definedName>
    <definedName name="Desk_01">#REF!</definedName>
    <definedName name="Desk_02">#REF!</definedName>
    <definedName name="Desk_03">#REF!</definedName>
    <definedName name="DETAILS">#REF!</definedName>
    <definedName name="detalle1">#REF!</definedName>
    <definedName name="Detector_Type">#REF!</definedName>
    <definedName name="Dev_Costs">#REF!</definedName>
    <definedName name="Dev_Fee_Yes_No">#REF!</definedName>
    <definedName name="Dev_Opt">#REF!</definedName>
    <definedName name="Development_Costs">#REF!</definedName>
    <definedName name="Developmentcost">#REF!</definedName>
    <definedName name="DevelopmentCosts">#REF!</definedName>
    <definedName name="Developproforma">#REF!</definedName>
    <definedName name="DevFee">#REF!</definedName>
    <definedName name="devman">#REF!</definedName>
    <definedName name="DevMgt">#REF!</definedName>
    <definedName name="Df">#REF!</definedName>
    <definedName name="dfadfd">#REF!</definedName>
    <definedName name="dfadfdf" localSheetId="3" hidden="1">{"MF-601",#N/A,TRUE,"MANT-EX-B(fJ)";"MF-602",#N/A,TRUE,"ELECTR-FJ(B)";"MF-603",#N/A,TRUE,"PERSONAL(FJ)B";"MF-604",#N/A,TRUE,"REACT-P(B)";"MF-605",#N/A,TRUE,"OTR-COS.FJ(B)";"MF-60X",#N/A,TRUE,"Resumen"}</definedName>
    <definedName name="dfadfdf" hidden="1">{"MF-601",#N/A,TRUE,"MANT-EX-B(fJ)";"MF-602",#N/A,TRUE,"ELECTR-FJ(B)";"MF-603",#N/A,TRUE,"PERSONAL(FJ)B";"MF-604",#N/A,TRUE,"REACT-P(B)";"MF-605",#N/A,TRUE,"OTR-COS.FJ(B)";"MF-60X",#N/A,TRUE,"Resumen"}</definedName>
    <definedName name="dfafdasdf">#REF!</definedName>
    <definedName name="dfd">#REF!</definedName>
    <definedName name="dfddf" localSheetId="3" hidden="1">{"Datos",#N/A,TRUE,"Datos"}</definedName>
    <definedName name="dfddf" hidden="1">{"Datos",#N/A,TRUE,"Datos"}</definedName>
    <definedName name="dfde" hidden="1">#REF!</definedName>
    <definedName name="DFDF" localSheetId="3" hidden="1">{#N/A,#N/A,TRUE,"Cover Memo";"Complete Sys. Estimate",#N/A,TRUE,"Change Summary";"Complete Sys. Estimate",#N/A,TRUE,"Estimate Summary";"Complete Sys. Estimate",#N/A,TRUE,"Dept. Summary";"Complete Sys. Estimate",#N/A,TRUE,"DOW Detail"}</definedName>
    <definedName name="DFDF" hidden="1">{#N/A,#N/A,TRUE,"Cover Memo";"Complete Sys. Estimate",#N/A,TRUE,"Change Summary";"Complete Sys. Estimate",#N/A,TRUE,"Estimate Summary";"Complete Sys. Estimate",#N/A,TRUE,"Dept. Summary";"Complete Sys. Estimate",#N/A,TRUE,"DOW Detail"}</definedName>
    <definedName name="dfdfadfadf" localSheetId="3" hidden="1">{"MF-601",#N/A,TRUE,"MANT-EX-B(fJ)";"MF-602",#N/A,TRUE,"ELECTR-FJ(B)";"MF-603",#N/A,TRUE,"PERSONAL(FJ)B";"MF-604",#N/A,TRUE,"REACT-P(B)";"MF-6XX",#N/A,TRUE,"Resumen";"MF-605",#N/A,TRUE,"OTR-COS.FJ(B)"}</definedName>
    <definedName name="dfdfadfadf" hidden="1">{"MF-601",#N/A,TRUE,"MANT-EX-B(fJ)";"MF-602",#N/A,TRUE,"ELECTR-FJ(B)";"MF-603",#N/A,TRUE,"PERSONAL(FJ)B";"MF-604",#N/A,TRUE,"REACT-P(B)";"MF-6XX",#N/A,TRUE,"Resumen";"MF-605",#N/A,TRUE,"OTR-COS.FJ(B)"}</definedName>
    <definedName name="dfdfd" hidden="1">{#N/A,#N/A,TRUE,"Cover";#N/A,#N/A,TRUE,"Conts";#N/A,#N/A,TRUE,"VOS";#N/A,#N/A,TRUE,"Warrington";#N/A,#N/A,TRUE,"Widnes"}</definedName>
    <definedName name="dfdfdf" localSheetId="3" hidden="1">{"Datos",#N/A,TRUE,"Datos"}</definedName>
    <definedName name="dfdfdf" hidden="1">{"Datos",#N/A,TRUE,"Datos"}</definedName>
    <definedName name="DFDFG">#REF!</definedName>
    <definedName name="dfdfs" localSheetId="3" hidden="1">{"Datos",#N/A,TRUE,"Datos"}</definedName>
    <definedName name="dfdfs" hidden="1">{"Datos",#N/A,TRUE,"Datos"}</definedName>
    <definedName name="dfdfsdf" localSheetId="3" hidden="1">{"Datos",#N/A,TRUE,"Datos"}</definedName>
    <definedName name="dfdfsdf" hidden="1">{"Datos",#N/A,TRUE,"Datos"}</definedName>
    <definedName name="DFDS" hidden="1">#REF!</definedName>
    <definedName name="dff">#REF!</definedName>
    <definedName name="dffd" localSheetId="3" hidden="1">{"Datos",#N/A,TRUE,"Datos"}</definedName>
    <definedName name="dffd" hidden="1">{"Datos",#N/A,TRUE,"Datos"}</definedName>
    <definedName name="dffddf" hidden="1">{"'Break down'!$A$4"}</definedName>
    <definedName name="dffdfdf" localSheetId="3" hidden="1">{"Datos",#N/A,TRUE,"Datos"}</definedName>
    <definedName name="dffdfdf" hidden="1">{"Datos",#N/A,TRUE,"Datos"}</definedName>
    <definedName name="dffds" localSheetId="3"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FF">#REF!</definedName>
    <definedName name="dfffff" localSheetId="3"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3" hidden="1">{"Datos",#N/A,TRUE,"Datos"}</definedName>
    <definedName name="dfgd" hidden="1">{"Datos",#N/A,TRUE,"Datos"}</definedName>
    <definedName name="DFGDF">#REF!</definedName>
    <definedName name="dfgh" localSheetId="3"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GWSDGFSDGSGDSDG">#REF!</definedName>
    <definedName name="dfh" localSheetId="3" hidden="1">{"Datos",#N/A,TRUE,"Datos"}</definedName>
    <definedName name="dfh" hidden="1">{"Datos",#N/A,TRUE,"Datos"}</definedName>
    <definedName name="DFHADAWEHYWER3WYEHRQH">#REF!</definedName>
    <definedName name="dfhjdf" localSheetId="3" hidden="1">{"sheet1",#N/A,FALSE,"easheet";"sheet2a",#N/A,FALSE,"easheet";"sheet2b",#N/A,FALSE,"easheet";"sheet3",#N/A,FALSE,"easheet"}</definedName>
    <definedName name="dfhjdf" hidden="1">{"sheet1",#N/A,FALSE,"easheet";"sheet2a",#N/A,FALSE,"easheet";"sheet2b",#N/A,FALSE,"easheet";"sheet3",#N/A,FALSE,"easheet"}</definedName>
    <definedName name="dfjtr" localSheetId="3" hidden="1">{"offequipsch",#N/A,FALSE,"GTC_Schedule";"onconstsch",#N/A,FALSE,"GTC_Schedule";"techsch",#N/A,FALSE,"GTC_Schedule";"totsch",#N/A,FALSE,"GTC_Schedule"}</definedName>
    <definedName name="dfjtr" hidden="1">{"offequipsch",#N/A,FALSE,"GTC_Schedule";"onconstsch",#N/A,FALSE,"GTC_Schedule";"techsch",#N/A,FALSE,"GTC_Schedule";"totsch",#N/A,FALSE,"GTC_Schedule"}</definedName>
    <definedName name="DFL">#REF!</definedName>
    <definedName name="DFRG" hidden="1">#REF!</definedName>
    <definedName name="dfs" localSheetId="3" hidden="1">{"offequipsch",#N/A,FALSE,"GTC_Schedule";"onconstsch",#N/A,FALSE,"GTC_Schedule";"techsch",#N/A,FALSE,"GTC_Schedule";"totsch",#N/A,FALSE,"GTC_Schedule"}</definedName>
    <definedName name="dfs" hidden="1">{"offequipsch",#N/A,FALSE,"GTC_Schedule";"onconstsch",#N/A,FALSE,"GTC_Schedule";"techsch",#N/A,FALSE,"GTC_Schedule";"totsch",#N/A,FALSE,"GTC_Schedule"}</definedName>
    <definedName name="dfsa" hidden="1">#REF!</definedName>
    <definedName name="dfsaf" localSheetId="3" hidden="1">{#N/A,#N/A,TRUE,"Cover";#N/A,#N/A,TRUE,"Conts";#N/A,#N/A,TRUE,"VOS";#N/A,#N/A,TRUE,"Warrington";#N/A,#N/A,TRUE,"Widnes"}</definedName>
    <definedName name="dfsaf" hidden="1">{#N/A,#N/A,TRUE,"Cover";#N/A,#N/A,TRUE,"Conts";#N/A,#N/A,TRUE,"VOS";#N/A,#N/A,TRUE,"Warrington";#N/A,#N/A,TRUE,"Widnes"}</definedName>
    <definedName name="DFSDF">#REF!</definedName>
    <definedName name="dfsdfd" localSheetId="3" hidden="1">{"Datos",#N/A,TRUE,"Datos"}</definedName>
    <definedName name="dfsdfd" hidden="1">{"Datos",#N/A,TRUE,"Datos"}</definedName>
    <definedName name="dfsdfds">#REF!</definedName>
    <definedName name="dfsert23">#REF!</definedName>
    <definedName name="dfshdfhdfhsdfhsdfh">#REF!</definedName>
    <definedName name="DFSSA" localSheetId="3" hidden="1">{#N/A,#N/A,FALSE,"운반시간"}</definedName>
    <definedName name="DFSSA" hidden="1">{#N/A,#N/A,FALSE,"운반시간"}</definedName>
    <definedName name="dg" localSheetId="3" hidden="1">{"MF-601",#N/A,TRUE,"MANT-EX-B(fJ)";"MF-602",#N/A,TRUE,"ELECTR-FJ(B)";"MF-603",#N/A,TRUE,"PERSONAL(FJ)B";"MF-604",#N/A,TRUE,"REACT-P(B)";"MF-605",#N/A,TRUE,"OTR-COS.FJ(B)";"MF-60X",#N/A,TRUE,"Resumen"}</definedName>
    <definedName name="dg" hidden="1">{"MF-601",#N/A,TRUE,"MANT-EX-B(fJ)";"MF-602",#N/A,TRUE,"ELECTR-FJ(B)";"MF-603",#N/A,TRUE,"PERSONAL(FJ)B";"MF-604",#N/A,TRUE,"REACT-P(B)";"MF-605",#N/A,TRUE,"OTR-COS.FJ(B)";"MF-60X",#N/A,TRUE,"Resumen"}</definedName>
    <definedName name="dgagd" localSheetId="3" hidden="1">{#N/A,#N/A,TRUE,"Basic";#N/A,#N/A,TRUE,"EXT-TABLE";#N/A,#N/A,TRUE,"STEEL";#N/A,#N/A,TRUE,"INT-Table";#N/A,#N/A,TRUE,"STEEL";#N/A,#N/A,TRUE,"Door"}</definedName>
    <definedName name="dgagd" hidden="1">{#N/A,#N/A,TRUE,"Basic";#N/A,#N/A,TRUE,"EXT-TABLE";#N/A,#N/A,TRUE,"STEEL";#N/A,#N/A,TRUE,"INT-Table";#N/A,#N/A,TRUE,"STEEL";#N/A,#N/A,TRUE,"Door"}</definedName>
    <definedName name="dgas" localSheetId="3" hidden="1">{"Datos",#N/A,TRUE,"Datos"}</definedName>
    <definedName name="dgas" hidden="1">{"Datos",#N/A,TRUE,"Datos"}</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#REF!</definedName>
    <definedName name="DGDFG">#REF!</definedName>
    <definedName name="dgdfgd" localSheetId="3" hidden="1">{"offequipsch",#N/A,FALSE,"GTC_Schedule";"onconstsch",#N/A,FALSE,"GTC_Schedule";"techsch",#N/A,FALSE,"GTC_Schedule";"totsch",#N/A,FALSE,"GTC_Schedule"}</definedName>
    <definedName name="dgdfgd" hidden="1">{"offequipsch",#N/A,FALSE,"GTC_Schedule";"onconstsch",#N/A,FALSE,"GTC_Schedule";"techsch",#N/A,FALSE,"GTC_Schedule";"totsch",#N/A,FALSE,"GTC_Schedule"}</definedName>
    <definedName name="dge" localSheetId="3" hidden="1">{"Datos",#N/A,TRUE,"Datos"}</definedName>
    <definedName name="dge" hidden="1">{"Datos",#N/A,TRUE,"Datos"}</definedName>
    <definedName name="dgf" localSheetId="3" hidden="1">{"Datos",#N/A,TRUE,"Datos"}</definedName>
    <definedName name="dgf" hidden="1">{"Datos",#N/A,TRUE,"Datos"}</definedName>
    <definedName name="dgfd" localSheetId="3"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h" localSheetId="3" hidden="1">{"Datos",#N/A,TRUE,"Datos"}</definedName>
    <definedName name="dgh" hidden="1">{"Datos",#N/A,TRUE,"Datos"}</definedName>
    <definedName name="dghdf" localSheetId="3" hidden="1">{"offequipsch",#N/A,FALSE,"GTC_Schedule";"onconstsch",#N/A,FALSE,"GTC_Schedule";"techsch",#N/A,FALSE,"GTC_Schedule";"totsch",#N/A,FALSE,"GTC_Schedule"}</definedName>
    <definedName name="dghdf" hidden="1">{"offequipsch",#N/A,FALSE,"GTC_Schedule";"onconstsch",#N/A,FALSE,"GTC_Schedule";"techsch",#N/A,FALSE,"GTC_Schedule";"totsch",#N/A,FALSE,"GTC_Schedule"}</definedName>
    <definedName name="dgsd" hidden="1">#REF!</definedName>
    <definedName name="dh" localSheetId="3" hidden="1">{"Datos",#N/A,TRUE,"Datos"}</definedName>
    <definedName name="dh" hidden="1">{"Datos",#N/A,TRUE,"Datos"}</definedName>
    <definedName name="dhf" localSheetId="3" hidden="1">{"MF-601",#N/A,TRUE,"MANT-EX-B(fJ)";"MF-602",#N/A,TRUE,"ELECTR-FJ(B)";"MF-603",#N/A,TRUE,"PERSONAL(FJ)B";"MF-604",#N/A,TRUE,"REACT-P(B)";"MF-605",#N/A,TRUE,"OTR-COS.FJ(B)";"MF-60X",#N/A,TRUE,"Resumen"}</definedName>
    <definedName name="dhf" hidden="1">{"MF-601",#N/A,TRUE,"MANT-EX-B(fJ)";"MF-602",#N/A,TRUE,"ELECTR-FJ(B)";"MF-603",#N/A,TRUE,"PERSONAL(FJ)B";"MF-604",#N/A,TRUE,"REACT-P(B)";"MF-605",#N/A,TRUE,"OTR-COS.FJ(B)";"MF-60X",#N/A,TRUE,"Resumen"}</definedName>
    <definedName name="DHS">#REF!</definedName>
    <definedName name="DHTML" localSheetId="3" hidden="1">{"'Sheet1'!$A$4386:$N$4591"}</definedName>
    <definedName name="DHTML" hidden="1">{"'Sheet1'!$A$4386:$N$4591"}</definedName>
    <definedName name="dhzhgh">#REF!</definedName>
    <definedName name="Di">#REF!</definedName>
    <definedName name="dia">#REF!</definedName>
    <definedName name="diameter">#REF!</definedName>
    <definedName name="diaphragm">#REF!</definedName>
    <definedName name="dIESEL">#REF!</definedName>
    <definedName name="Difference">#REF!</definedName>
    <definedName name="DIGN" localSheetId="3" hidden="1">{#N/A,#N/A,TRUE,"Basic";#N/A,#N/A,TRUE,"EXT-TABLE";#N/A,#N/A,TRUE,"STEEL";#N/A,#N/A,TRUE,"INT-Table";#N/A,#N/A,TRUE,"STEEL";#N/A,#N/A,TRUE,"Door"}</definedName>
    <definedName name="DIGN" hidden="1">{#N/A,#N/A,TRUE,"Basic";#N/A,#N/A,TRUE,"EXT-TABLE";#N/A,#N/A,TRUE,"STEEL";#N/A,#N/A,TRUE,"INT-Table";#N/A,#N/A,TRUE,"STEEL";#N/A,#N/A,TRUE,"Door"}</definedName>
    <definedName name="dim">#REF!</definedName>
    <definedName name="dim4_4">#REF!</definedName>
    <definedName name="dim4_4_1">#REF!</definedName>
    <definedName name="dim4_6">#REF!</definedName>
    <definedName name="dimi">#REF!</definedName>
    <definedName name="DIMITRIS">#REF!</definedName>
    <definedName name="din">#REF!</definedName>
    <definedName name="DIns">#REF!</definedName>
    <definedName name="Dir_ERV">#REF!</definedName>
    <definedName name="direct1">#REF!</definedName>
    <definedName name="Directory">#REF!</definedName>
    <definedName name="DirLabourRate">#REF!</definedName>
    <definedName name="dis">#REF!</definedName>
    <definedName name="Disaggregations">#REF!</definedName>
    <definedName name="Disc">#REF!</definedName>
    <definedName name="DiscForm">#REF!</definedName>
    <definedName name="Discount" hidden="1">#REF!</definedName>
    <definedName name="discount_factor">#REF!</definedName>
    <definedName name="DiscRate">#REF!</definedName>
    <definedName name="DiscRef">#REF!</definedName>
    <definedName name="disp">#REF!</definedName>
    <definedName name="Disp_Val_Part">#REF!</definedName>
    <definedName name="Disp_Val_PC">#REF!</definedName>
    <definedName name="display_area_2" hidden="1">#REF!</definedName>
    <definedName name="Disposal">#REF!</definedName>
    <definedName name="div">#REF!</definedName>
    <definedName name="div21spr">#REF!</definedName>
    <definedName name="div2spr">#REF!</definedName>
    <definedName name="div3spr">#REF!</definedName>
    <definedName name="div4spr">#REF!</definedName>
    <definedName name="div5spr">#REF!</definedName>
    <definedName name="div9spr">#REF!</definedName>
    <definedName name="djg" localSheetId="3" hidden="1">{"Datos",#N/A,TRUE,"Datos"}</definedName>
    <definedName name="djg" hidden="1">{"Datos",#N/A,TRUE,"Datos"}</definedName>
    <definedName name="djjii" localSheetId="3" hidden="1">{#N/A,#N/A,TRUE,"Cover";#N/A,#N/A,TRUE,"Conts";#N/A,#N/A,TRUE,"VOS";#N/A,#N/A,TRUE,"Warrington";#N/A,#N/A,TRUE,"Widnes"}</definedName>
    <definedName name="djjii" hidden="1">{#N/A,#N/A,TRUE,"Cover";#N/A,#N/A,TRUE,"Conts";#N/A,#N/A,TRUE,"VOS";#N/A,#N/A,TRUE,"Warrington";#N/A,#N/A,TRUE,"Widnes"}</definedName>
    <definedName name="djjku" localSheetId="3" hidden="1">{"Datos",#N/A,TRUE,"Datos"}</definedName>
    <definedName name="djjku" hidden="1">{"Datos",#N/A,TRUE,"Datos"}</definedName>
    <definedName name="dk">#REF!</definedName>
    <definedName name="DKDLFJKDS" localSheetId="3" hidden="1">{#N/A,#N/A,TRUE,"Basic";#N/A,#N/A,TRUE,"EXT-TABLE";#N/A,#N/A,TRUE,"STEEL";#N/A,#N/A,TRUE,"INT-Table";#N/A,#N/A,TRUE,"STEEL";#N/A,#N/A,TRUE,"Door"}</definedName>
    <definedName name="DKDLFJKDS" hidden="1">{#N/A,#N/A,TRUE,"Basic";#N/A,#N/A,TRUE,"EXT-TABLE";#N/A,#N/A,TRUE,"STEEL";#N/A,#N/A,TRUE,"INT-Table";#N/A,#N/A,TRUE,"STEEL";#N/A,#N/A,TRUE,"Door"}</definedName>
    <definedName name="DKK">#REF!</definedName>
    <definedName name="dl">#REF!</definedName>
    <definedName name="dl___0">#REF!</definedName>
    <definedName name="dl___13">#REF!</definedName>
    <definedName name="DLP">#REF!</definedName>
    <definedName name="dm">#REF!</definedName>
    <definedName name="Dmark">#REF!</definedName>
    <definedName name="dmcc">#REF!</definedName>
    <definedName name="dmfds">#REF!</definedName>
    <definedName name="DMK">#REF!</definedName>
    <definedName name="dncov">#REF!</definedName>
    <definedName name="Do">#REF!</definedName>
    <definedName name="DOCNO">#REF!</definedName>
    <definedName name="docu">#REF!</definedName>
    <definedName name="Document_array">{"Book1","sch1222-01.xls"}</definedName>
    <definedName name="DOLLARFORFUND">#REF!</definedName>
    <definedName name="Dollarforgoods">#REF!</definedName>
    <definedName name="Door" hidden="1">#REF!</definedName>
    <definedName name="DOOR_Painting">#REF!</definedName>
    <definedName name="DOW_CORNING_789_SILICONE_SEALANT">#REF!</definedName>
    <definedName name="dp">#REF!</definedName>
    <definedName name="dq">#REF!</definedName>
    <definedName name="dr">#REF!</definedName>
    <definedName name="dradrdr" localSheetId="3" hidden="1">{"Datos",#N/A,TRUE,"Datos"}</definedName>
    <definedName name="dradrdr" hidden="1">{"Datos",#N/A,TRUE,"Datos"}</definedName>
    <definedName name="draft">#REF!</definedName>
    <definedName name="Drain_Length">#REF!</definedName>
    <definedName name="drain_trap">#REF!</definedName>
    <definedName name="drawingnr">#REF!</definedName>
    <definedName name="drsge" localSheetId="3" hidden="1">{"Datos",#N/A,TRUE,"Datos"}</definedName>
    <definedName name="drsge" hidden="1">{"Datos",#N/A,TRUE,"Datos"}</definedName>
    <definedName name="drytytuyu" localSheetId="3" hidden="1">{#N/A,#N/A,TRUE,"Cover";#N/A,#N/A,TRUE,"Conts";#N/A,#N/A,TRUE,"VOS";#N/A,#N/A,TRUE,"Warrington";#N/A,#N/A,TRUE,"Widnes"}</definedName>
    <definedName name="drytytuyu" hidden="1">{#N/A,#N/A,TRUE,"Cover";#N/A,#N/A,TRUE,"Conts";#N/A,#N/A,TRUE,"VOS";#N/A,#N/A,TRUE,"Warrington";#N/A,#N/A,TRUE,"Widnes"}</definedName>
    <definedName name="ds" localSheetId="3">Summary!ds</definedName>
    <definedName name="ds">#N/A</definedName>
    <definedName name="Ds___0">#REF!</definedName>
    <definedName name="Ds___13">#REF!</definedName>
    <definedName name="ds1004p" localSheetId="3">#REF!</definedName>
    <definedName name="ds1004p">#REF!</definedName>
    <definedName name="ds1004pwp" localSheetId="3">#REF!</definedName>
    <definedName name="ds1004pwp">#REF!</definedName>
    <definedName name="ds1254p">#REF!</definedName>
    <definedName name="ds1254pwp">#REF!</definedName>
    <definedName name="ds1604p">#REF!</definedName>
    <definedName name="ds1604pwp">#REF!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FDWE">#REF!</definedName>
    <definedName name="dsbv" hidden="1">{#N/A,#N/A,FALSE,"CCTV"}</definedName>
    <definedName name="dsd" localSheetId="3" hidden="1">{#N/A,#N/A,TRUE,"Cover Memo";"Ride Estimate",#N/A,TRUE,"Change Summary";"Ride Estimate",#N/A,TRUE,"Estimate Summary";"Ride Estimate",#N/A,TRUE,"Dept. Summary";"Ride Estimate",#N/A,TRUE,"DOW Detail"}</definedName>
    <definedName name="dsd" hidden="1">{#N/A,#N/A,TRUE,"Cover Memo";"Ride Estimate",#N/A,TRUE,"Change Summary";"Ride Estimate",#N/A,TRUE,"Estimate Summary";"Ride Estimate",#N/A,TRUE,"Dept. Summary";"Ride Estimate",#N/A,TRUE,"DOW Detail"}</definedName>
    <definedName name="DSDS">#REF!</definedName>
    <definedName name="dsdsaqd">#REF!</definedName>
    <definedName name="dsdud">#REF!</definedName>
    <definedName name="dsf" localSheetId="3" hidden="1">{#N/A,#N/A,TRUE,"Cover Memo";"Complete Sys. Estimate",#N/A,TRUE,"Change Summary";"Complete Sys. Estimate",#N/A,TRUE,"Estimate Summary";"Complete Sys. Estimate",#N/A,TRUE,"Dept. Summary";"Complete Sys. Estimate",#N/A,TRUE,"DOW Detail"}</definedName>
    <definedName name="dsf" hidden="1">{#N/A,#N/A,TRUE,"Cover Memo";"Complete Sys. Estimate",#N/A,TRUE,"Change Summary";"Complete Sys. Estimate",#N/A,TRUE,"Estimate Summary";"Complete Sys. Estimate",#N/A,TRUE,"Dept. Summary";"Complete Sys. Estimate",#N/A,TRUE,"DOW Detail"}</definedName>
    <definedName name="dsfdsfdsfdasfdfs">#REF!</definedName>
    <definedName name="dsgh" localSheetId="3" hidden="1">{"Datos",#N/A,TRUE,"Datos"}</definedName>
    <definedName name="dsgh" hidden="1">{"Datos",#N/A,TRUE,"Datos"}</definedName>
    <definedName name="dshhg">#REF!</definedName>
    <definedName name="dsm_feb">#REF!</definedName>
    <definedName name="dsm_new">#REF!</definedName>
    <definedName name="dsr" localSheetId="3" hidden="1">{"sheet1",#N/A,FALSE,"easheet";"sheet2a",#N/A,FALSE,"easheet";"sheet2b",#N/A,FALSE,"easheet";"sheet3",#N/A,FALSE,"easheet"}</definedName>
    <definedName name="dsr" hidden="1">{"sheet1",#N/A,FALSE,"easheet";"sheet2a",#N/A,FALSE,"easheet";"sheet2b",#N/A,FALSE,"easheet";"sheet3",#N/A,FALSE,"easheet"}</definedName>
    <definedName name="DST">#REF!</definedName>
    <definedName name="dt">#REF!</definedName>
    <definedName name="DT_A2"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dry" localSheetId="3" hidden="1">{#N/A,#N/A,TRUE,"Cover";#N/A,#N/A,TRUE,"Conts";#N/A,#N/A,TRUE,"VOS";#N/A,#N/A,TRUE,"Warrington";#N/A,#N/A,TRUE,"Widnes"}</definedName>
    <definedName name="dtdry" hidden="1">{#N/A,#N/A,TRUE,"Cover";#N/A,#N/A,TRUE,"Conts";#N/A,#N/A,TRUE,"VOS";#N/A,#N/A,TRUE,"Warrington";#N/A,#N/A,TRUE,"Widnes"}</definedName>
    <definedName name="dtert" localSheetId="3" hidden="1">{"offequipsch",#N/A,FALSE,"GTC_Schedule";"onconstsch",#N/A,FALSE,"GTC_Schedule";"techsch",#N/A,FALSE,"GTC_Schedule";"totsch",#N/A,FALSE,"GTC_Schedule"}</definedName>
    <definedName name="dtert" hidden="1">{"offequipsch",#N/A,FALSE,"GTC_Schedule";"onconstsch",#N/A,FALSE,"GTC_Schedule";"techsch",#N/A,FALSE,"GTC_Schedule";"totsch",#N/A,FALSE,"GTC_Schedule"}</definedName>
    <definedName name="dtj"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uruthju" localSheetId="3" hidden="1">{#N/A,#N/A,TRUE,"Cover";#N/A,#N/A,TRUE,"Conts";#N/A,#N/A,TRUE,"VOS";#N/A,#N/A,TRUE,"Warrington";#N/A,#N/A,TRUE,"Widnes"}</definedName>
    <definedName name="dturuthju" hidden="1">{#N/A,#N/A,TRUE,"Cover";#N/A,#N/A,TRUE,"Conts";#N/A,#N/A,TRUE,"VOS";#N/A,#N/A,TRUE,"Warrington";#N/A,#N/A,TRUE,"Widnes"}</definedName>
    <definedName name="dtyj" localSheetId="3" hidden="1">{"MF-601",#N/A,TRUE,"MANT-EX-B(fJ)";"MF-602",#N/A,TRUE,"ELECTR-FJ(B)";"MF-603",#N/A,TRUE,"PERSONAL(FJ)B";"MF-604",#N/A,TRUE,"REACT-P(B)";"MF-6XX",#N/A,TRUE,"Resumen";"MF-605",#N/A,TRUE,"OTR-COS.FJ(B)"}</definedName>
    <definedName name="dtyj" hidden="1">{"MF-601",#N/A,TRUE,"MANT-EX-B(fJ)";"MF-602",#N/A,TRUE,"ELECTR-FJ(B)";"MF-603",#N/A,TRUE,"PERSONAL(FJ)B";"MF-604",#N/A,TRUE,"REACT-P(B)";"MF-6XX",#N/A,TRUE,"Resumen";"MF-605",#N/A,TRUE,"OTR-COS.FJ(B)"}</definedName>
    <definedName name="dual_plate_check">#REF!</definedName>
    <definedName name="Duct_Plaster">#REF!</definedName>
    <definedName name="Due_from_EIM">#REF!</definedName>
    <definedName name="Due_from_Group_Companies">#REF!</definedName>
    <definedName name="Due_from_MCL">#REF!</definedName>
    <definedName name="Due_from_MECON">#REF!</definedName>
    <definedName name="dueuuiyj" localSheetId="3" hidden="1">{#N/A,#N/A,TRUE,"Cover";#N/A,#N/A,TRUE,"Conts";#N/A,#N/A,TRUE,"VOS";#N/A,#N/A,TRUE,"Warrington";#N/A,#N/A,TRUE,"Widnes"}</definedName>
    <definedName name="dueuuiyj" hidden="1">{#N/A,#N/A,TRUE,"Cover";#N/A,#N/A,TRUE,"Conts";#N/A,#N/A,TRUE,"VOS";#N/A,#N/A,TRUE,"Warrington";#N/A,#N/A,TRUE,"Widnes"}</definedName>
    <definedName name="Dummydata">#REF!</definedName>
    <definedName name="dump1">#REF!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plex_strainer">#REF!</definedName>
    <definedName name="Duration">#REF!</definedName>
    <definedName name="Duration1">#REF!</definedName>
    <definedName name="dvbgf" localSheetId="3"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gdg" hidden="1">#REF!</definedName>
    <definedName name="DW" localSheetId="3" hidden="1">{"'장비'!$A$3:$M$12"}</definedName>
    <definedName name="DW" hidden="1">{"'장비'!$A$3:$M$12"}</definedName>
    <definedName name="DW_Sched">#REF!</definedName>
    <definedName name="DW015.2.1">#REF!</definedName>
    <definedName name="DWEDWD" localSheetId="3" hidden="1">{#N/A,#N/A,FALSE,"양식(을)"}</definedName>
    <definedName name="DWEDWD" hidden="1">{#N/A,#N/A,FALSE,"양식(을)"}</definedName>
    <definedName name="DWG">#REF!</definedName>
    <definedName name="DWGREG">#REF!</definedName>
    <definedName name="dwgyg" localSheetId="3"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WPRICE" hidden="1">#REF!</definedName>
    <definedName name="dwr0">#REF!</definedName>
    <definedName name="dwv" localSheetId="3" hidden="1">{#N/A,#N/A,TRUE,"Basic";#N/A,#N/A,TRUE,"EXT-TABLE";#N/A,#N/A,TRUE,"STEEL";#N/A,#N/A,TRUE,"INT-Table";#N/A,#N/A,TRUE,"STEEL";#N/A,#N/A,TRUE,"Door"}</definedName>
    <definedName name="dwv" hidden="1">{#N/A,#N/A,TRUE,"Basic";#N/A,#N/A,TRUE,"EXT-TABLE";#N/A,#N/A,TRUE,"STEEL";#N/A,#N/A,TRUE,"INT-Table";#N/A,#N/A,TRUE,"STEEL";#N/A,#N/A,TRUE,"Door"}</definedName>
    <definedName name="dy">#REF!</definedName>
    <definedName name="dydfugfuj" localSheetId="3" hidden="1">{#N/A,#N/A,TRUE,"Cover";#N/A,#N/A,TRUE,"Conts";#N/A,#N/A,TRUE,"VOS";#N/A,#N/A,TRUE,"Warrington";#N/A,#N/A,TRUE,"Widnes"}</definedName>
    <definedName name="dydfugfuj" hidden="1">{#N/A,#N/A,TRUE,"Cover";#N/A,#N/A,TRUE,"Conts";#N/A,#N/A,TRUE,"VOS";#N/A,#N/A,TRUE,"Warrington";#N/A,#N/A,TRUE,"Widnes"}</definedName>
    <definedName name="dyt" localSheetId="3" hidden="1">{"MF-601",#N/A,TRUE,"MANT-EX-B(fJ)";"MF-602",#N/A,TRUE,"ELECTR-FJ(B)";"MF-603",#N/A,TRUE,"PERSONAL(FJ)B";"MF-604",#N/A,TRUE,"REACT-P(B)";"MF-605",#N/A,TRUE,"OTR-COS.FJ(B)";"MF-60X",#N/A,TRUE,"Resumen"}</definedName>
    <definedName name="dyt" hidden="1">{"MF-601",#N/A,TRUE,"MANT-EX-B(fJ)";"MF-602",#N/A,TRUE,"ELECTR-FJ(B)";"MF-603",#N/A,TRUE,"PERSONAL(FJ)B";"MF-604",#N/A,TRUE,"REACT-P(B)";"MF-605",#N/A,TRUE,"OTR-COS.FJ(B)";"MF-60X",#N/A,TRUE,"Resumen"}</definedName>
    <definedName name="dyuiuouo" localSheetId="3" hidden="1">{#N/A,#N/A,TRUE,"Cover";#N/A,#N/A,TRUE,"Conts";#N/A,#N/A,TRUE,"VOS";#N/A,#N/A,TRUE,"Warrington";#N/A,#N/A,TRUE,"Widnes"}</definedName>
    <definedName name="dyuiuouo" hidden="1">{#N/A,#N/A,TRUE,"Cover";#N/A,#N/A,TRUE,"Conts";#N/A,#N/A,TRUE,"VOS";#N/A,#N/A,TRUE,"Warrington";#N/A,#N/A,TRUE,"Widnes"}</definedName>
    <definedName name="E">#REF!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____FLOORING___WALL_TILES">#REF!</definedName>
    <definedName name="E_M">#REF!</definedName>
    <definedName name="E_M_Selling">#REF!</definedName>
    <definedName name="E_Waterproofing">#REF!</definedName>
    <definedName name="E0.5">#REF!</definedName>
    <definedName name="eagrga" localSheetId="3" hidden="1">{#N/A,#N/A,TRUE,"Cover";#N/A,#N/A,TRUE,"Conts";#N/A,#N/A,TRUE,"VOS";#N/A,#N/A,TRUE,"Warrington";#N/A,#N/A,TRUE,"Widnes"}</definedName>
    <definedName name="eagrga" hidden="1">{#N/A,#N/A,TRUE,"Cover";#N/A,#N/A,TRUE,"Conts";#N/A,#N/A,TRUE,"VOS";#N/A,#N/A,TRUE,"Warrington";#N/A,#N/A,TRUE,"Widnes"}</definedName>
    <definedName name="Earthing">#REF!</definedName>
    <definedName name="Earthworks">#REF!</definedName>
    <definedName name="Ebc">#REF!</definedName>
    <definedName name="EC" hidden="1">{#N/A,#N/A,FALSE,"CCTV"}</definedName>
    <definedName name="ECHARGE" localSheetId="3">#REF!,#REF!,#REF!,#REF!</definedName>
    <definedName name="ECHARGE">#REF!,#REF!,#REF!,#REF!</definedName>
    <definedName name="EconIndicators">#REF!</definedName>
    <definedName name="EconIndPrimary">#REF!</definedName>
    <definedName name="Economic_Ground_Rent">#REF!</definedName>
    <definedName name="Economy">#REF!</definedName>
    <definedName name="Ecurry">#REF!</definedName>
    <definedName name="ed">#REF!</definedName>
    <definedName name="edar" localSheetId="3" hidden="1">{"Datos",#N/A,TRUE,"Datos"}</definedName>
    <definedName name="edar" hidden="1">{"Datos",#N/A,TRUE,"Datos"}</definedName>
    <definedName name="EData">#REF!</definedName>
    <definedName name="edds">#REF!</definedName>
    <definedName name="edgar">#REF!</definedName>
    <definedName name="EDS_BASESLAB">#REF!</definedName>
    <definedName name="EDS_CONCOURSESLABST">#REF!</definedName>
    <definedName name="EDS_CONCRETECOLUMNST">#REF!</definedName>
    <definedName name="EDS_EXCAVATIONENT">#REF!</definedName>
    <definedName name="EDS_EXCAVATIONST">#REF!</definedName>
    <definedName name="EDS_EXCAVATIONSTENT">#REF!</definedName>
    <definedName name="EDS_ROOFSLABCONCRETEENT">#REF!</definedName>
    <definedName name="EDS_ROOFSLABCONCRETEOVERALL">#REF!</definedName>
    <definedName name="EDS_ROOFSLABCONCRETEST">#REF!</definedName>
    <definedName name="EDS_WALLCONCRETEST">#REF!</definedName>
    <definedName name="EDS_WALLCONCRETESTUNDERPASS">#REF!</definedName>
    <definedName name="EDS_WALLCONCRETEUNDERPASS">#REF!</definedName>
    <definedName name="EE">#REF!</definedName>
    <definedName name="eed">#REF!</definedName>
    <definedName name="eee" localSheetId="3" hidden="1">{#N/A,#N/A,FALSE,"Bal.Sht"}</definedName>
    <definedName name="eee">#REF!</definedName>
    <definedName name="EEEE">#REF!</definedName>
    <definedName name="eeeee" localSheetId="3"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eeeee">#REF!</definedName>
    <definedName name="eeett" hidden="1">{#N/A,#N/A,TRUE,"Cover";#N/A,#N/A,TRUE,"Conts";#N/A,#N/A,TRUE,"VOS";#N/A,#N/A,TRUE,"Warrington";#N/A,#N/A,TRUE,"Widnes"}</definedName>
    <definedName name="eell">#REF!</definedName>
    <definedName name="eer" localSheetId="3" hidden="1">{"Datos",#N/A,TRUE,"Datos"}</definedName>
    <definedName name="eer" hidden="1">{"Datos",#N/A,TRUE,"Datos"}</definedName>
    <definedName name="eet" localSheetId="3" hidden="1">{"Datos",#N/A,TRUE,"Datos"}</definedName>
    <definedName name="eet" hidden="1">{"Datos",#N/A,TRUE,"Datos"}</definedName>
    <definedName name="eeye5y">#REF!</definedName>
    <definedName name="EF">#REF!</definedName>
    <definedName name="EFA">#REF!</definedName>
    <definedName name="eg">#REF!</definedName>
    <definedName name="egag" localSheetId="3" hidden="1">{#N/A,#N/A,TRUE,"Cover";#N/A,#N/A,TRUE,"Conts";#N/A,#N/A,TRUE,"VOS";#N/A,#N/A,TRUE,"Warrington";#N/A,#N/A,TRUE,"Widnes"}</definedName>
    <definedName name="egag" hidden="1">{#N/A,#N/A,TRUE,"Cover";#N/A,#N/A,TRUE,"Conts";#N/A,#N/A,TRUE,"VOS";#N/A,#N/A,TRUE,"Warrington";#N/A,#N/A,TRUE,"Widnes"}</definedName>
    <definedName name="EGFRC">#REF!</definedName>
    <definedName name="eghhtbtb">#REF!</definedName>
    <definedName name="EGP">#REF!</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2ehs">#REF!</definedName>
    <definedName name="ehr">#REF!</definedName>
    <definedName name="ehranu">#REF!</definedName>
    <definedName name="Ei_Summary">#REF!</definedName>
    <definedName name="ekey">#REF!</definedName>
    <definedName name="el">#REF!</definedName>
    <definedName name="ELBISE">#REF!</definedName>
    <definedName name="Ele" localSheetId="3" hidden="1">{"'Break down'!$A$4"}</definedName>
    <definedName name="Ele" hidden="1">{"'Break down'!$A$4"}</definedName>
    <definedName name="ELEC" hidden="1">#REF!</definedName>
    <definedName name="ELEC1" localSheetId="3">#REF!,#REF!,#REF!,#REF!,#REF!,#REF!,#REF!,#REF!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asic">#REF!</definedName>
    <definedName name="ELECBILL">#REF!</definedName>
    <definedName name="Elect">#REF!</definedName>
    <definedName name="Elect_Telecom" localSheetId="2">#REF!</definedName>
    <definedName name="Elect_Telecom">#REF!</definedName>
    <definedName name="eLECTRICAL"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1">#REF!</definedName>
    <definedName name="ElectricalBasic">#REF!</definedName>
    <definedName name="Electricalnetworks">#REF!</definedName>
    <definedName name="Electricity___Water">#REF!</definedName>
    <definedName name="ELECTRICITY_CHARGES">#REF!</definedName>
    <definedName name="ELEE" localSheetId="3" hidden="1">{"'Break down'!$A$4"}</definedName>
    <definedName name="ELEE" hidden="1">{"'Break down'!$A$4"}</definedName>
    <definedName name="Elesum">#REF!</definedName>
    <definedName name="elez" localSheetId="3" hidden="1">{"'Break down'!$A$4"}</definedName>
    <definedName name="elez" hidden="1">{"'Break down'!$A$4"}</definedName>
    <definedName name="elz" localSheetId="3" hidden="1">{"'Break down'!$A$4"}</definedName>
    <definedName name="elz" hidden="1">{"'Break down'!$A$4"}</definedName>
    <definedName name="Em">#REF!</definedName>
    <definedName name="Em___0">#REF!</definedName>
    <definedName name="Em___13">#REF!</definedName>
    <definedName name="Email">#REF!</definedName>
    <definedName name="Emb108a">#REF!</definedName>
    <definedName name="Emb108c">#REF!</definedName>
    <definedName name="emco20">#REF!</definedName>
    <definedName name="emco25">#REF!</definedName>
    <definedName name="emco32">#REF!</definedName>
    <definedName name="emco40">#REF!</definedName>
    <definedName name="emco50">#REF!</definedName>
    <definedName name="EMhrs">#REF!</definedName>
    <definedName name="EMI">#REF!</definedName>
    <definedName name="Emilio" hidden="1">#REF!</definedName>
    <definedName name="emilio1" hidden="1">#REF!</definedName>
    <definedName name="Emilio2" hidden="1">#REF!</definedName>
    <definedName name="Employers">#REF!</definedName>
    <definedName name="END">#REF!</definedName>
    <definedName name="ENDMECH.">#REF!</definedName>
    <definedName name="EngAddress">#REF!</definedName>
    <definedName name="EngAddress_4">#REF!</definedName>
    <definedName name="EngAddress_4_1">#REF!</definedName>
    <definedName name="EngAddress_6">#REF!</definedName>
    <definedName name="EngCity">#REF!</definedName>
    <definedName name="EngCity_4">#REF!</definedName>
    <definedName name="EngCity_4_1">#REF!</definedName>
    <definedName name="EngCity_6">#REF!</definedName>
    <definedName name="ENGG_GRAPH1">#REF!</definedName>
    <definedName name="engg_overalldeliverables">#REF!</definedName>
    <definedName name="engineering">#REF!</definedName>
    <definedName name="EngName">#REF!</definedName>
    <definedName name="EngName_4">#REF!</definedName>
    <definedName name="EngName_4_1">#REF!</definedName>
    <definedName name="EngName_6">#REF!</definedName>
    <definedName name="EngPostal">#REF!</definedName>
    <definedName name="EngPostal_4">#REF!</definedName>
    <definedName name="EngPostal_4_1">#REF!</definedName>
    <definedName name="EngPostal_6">#REF!</definedName>
    <definedName name="EngPrio">#REF!</definedName>
    <definedName name="EngPrio_4">#REF!</definedName>
    <definedName name="EngPrio_4_1">#REF!</definedName>
    <definedName name="EngPrio_6">#REF!</definedName>
    <definedName name="EngPrio_Text">#REF!</definedName>
    <definedName name="EngPrio_Text_4">#REF!</definedName>
    <definedName name="EngPrio_Text_4_1">#REF!</definedName>
    <definedName name="EngPrio_Text_6">#REF!</definedName>
    <definedName name="EngState">#REF!</definedName>
    <definedName name="EngState_4">#REF!</definedName>
    <definedName name="EngState_4_1">#REF!</definedName>
    <definedName name="EngState_6">#REF!</definedName>
    <definedName name="ENTERTAINMENT__REFRESHMENT_ETC.">#REF!</definedName>
    <definedName name="Entry">#REF!</definedName>
    <definedName name="Entry_Method">#REF!</definedName>
    <definedName name="EP2L3ZA">#REF!</definedName>
    <definedName name="Eqlist">#REF!</definedName>
    <definedName name="equip"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quipment">#REF!</definedName>
    <definedName name="Equity">#REF!</definedName>
    <definedName name="Equity_Available">#REF!</definedName>
    <definedName name="EquityYield">#REF!</definedName>
    <definedName name="er" localSheetId="3"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0.75">#REF!</definedName>
    <definedName name="erajsos">#REF!</definedName>
    <definedName name="erawy">#REF!</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ion_Cost">#REF!</definedName>
    <definedName name="Erection_Sales">#REF!</definedName>
    <definedName name="EREHN">#REF!</definedName>
    <definedName name="erer" localSheetId="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t">#REF!</definedName>
    <definedName name="ergaghag" localSheetId="3" hidden="1">{#N/A,#N/A,TRUE,"Cover";#N/A,#N/A,TRUE,"Conts";#N/A,#N/A,TRUE,"VOS";#N/A,#N/A,TRUE,"Warrington";#N/A,#N/A,TRUE,"Widnes"}</definedName>
    <definedName name="ergaghag" hidden="1">{#N/A,#N/A,TRUE,"Cover";#N/A,#N/A,TRUE,"Conts";#N/A,#N/A,TRUE,"VOS";#N/A,#N/A,TRUE,"Warrington";#N/A,#N/A,TRUE,"Widnes"}</definedName>
    <definedName name="ergega" localSheetId="3" hidden="1">{#N/A,#N/A,TRUE,"Cover";#N/A,#N/A,TRUE,"Conts";#N/A,#N/A,TRUE,"VOS";#N/A,#N/A,TRUE,"Warrington";#N/A,#N/A,TRUE,"Widnes"}</definedName>
    <definedName name="ergega" hidden="1">{#N/A,#N/A,TRUE,"Cover";#N/A,#N/A,TRUE,"Conts";#N/A,#N/A,TRUE,"VOS";#N/A,#N/A,TRUE,"Warrington";#N/A,#N/A,TRUE,"Widnes"}</definedName>
    <definedName name="ergtaeg" localSheetId="3" hidden="1">{#N/A,#N/A,TRUE,"Cover";#N/A,#N/A,TRUE,"Conts";#N/A,#N/A,TRUE,"VOS";#N/A,#N/A,TRUE,"Warrington";#N/A,#N/A,TRUE,"Widnes"}</definedName>
    <definedName name="ergtaeg" hidden="1">{#N/A,#N/A,TRUE,"Cover";#N/A,#N/A,TRUE,"Conts";#N/A,#N/A,TRUE,"VOS";#N/A,#N/A,TRUE,"Warrington";#N/A,#N/A,TRUE,"Widnes"}</definedName>
    <definedName name="ergvb">#REF!</definedName>
    <definedName name="ERHIS">#REF!</definedName>
    <definedName name="eric">#REF!</definedName>
    <definedName name="erqw" hidden="1">#REF!</definedName>
    <definedName name="erqwf" hidden="1">#REF!</definedName>
    <definedName name="Ersteller">#REF!</definedName>
    <definedName name="ersyy" localSheetId="3" hidden="1">{#N/A,#N/A,TRUE,"Cover";#N/A,#N/A,TRUE,"Conts";#N/A,#N/A,TRUE,"VOS";#N/A,#N/A,TRUE,"Warrington";#N/A,#N/A,TRUE,"Widnes"}</definedName>
    <definedName name="ersyy" hidden="1">{#N/A,#N/A,TRUE,"Cover";#N/A,#N/A,TRUE,"Conts";#N/A,#N/A,TRUE,"VOS";#N/A,#N/A,TRUE,"Warrington";#N/A,#N/A,TRUE,"Widnes"}</definedName>
    <definedName name="ert" hidden="1">#REF!</definedName>
    <definedName name="ertertyry" localSheetId="3" hidden="1">{#N/A,#N/A,TRUE,"Cover";#N/A,#N/A,TRUE,"Conts";#N/A,#N/A,TRUE,"VOS";#N/A,#N/A,TRUE,"Warrington";#N/A,#N/A,TRUE,"Widnes"}</definedName>
    <definedName name="ertertyry" hidden="1">{#N/A,#N/A,TRUE,"Cover";#N/A,#N/A,TRUE,"Conts";#N/A,#N/A,TRUE,"VOS";#N/A,#N/A,TRUE,"Warrington";#N/A,#N/A,TRUE,"Widnes"}</definedName>
    <definedName name="erterydrutru" localSheetId="3" hidden="1">{#N/A,#N/A,TRUE,"Cover";#N/A,#N/A,TRUE,"Conts";#N/A,#N/A,TRUE,"VOS";#N/A,#N/A,TRUE,"Warrington";#N/A,#N/A,TRUE,"Widnes"}</definedName>
    <definedName name="erterydrutru" hidden="1">{#N/A,#N/A,TRUE,"Cover";#N/A,#N/A,TRUE,"Conts";#N/A,#N/A,TRUE,"VOS";#N/A,#N/A,TRUE,"Warrington";#N/A,#N/A,TRUE,"Widnes"}</definedName>
    <definedName name="erteysry" localSheetId="3" hidden="1">{#N/A,#N/A,TRUE,"Cover";#N/A,#N/A,TRUE,"Conts";#N/A,#N/A,TRUE,"VOS";#N/A,#N/A,TRUE,"Warrington";#N/A,#N/A,TRUE,"Widnes"}</definedName>
    <definedName name="erteysry" hidden="1">{#N/A,#N/A,TRUE,"Cover";#N/A,#N/A,TRUE,"Conts";#N/A,#N/A,TRUE,"VOS";#N/A,#N/A,TRUE,"Warrington";#N/A,#N/A,TRUE,"Widnes"}</definedName>
    <definedName name="ertgtr" localSheetId="3" hidden="1">{"Datos",#N/A,TRUE,"Datos"}</definedName>
    <definedName name="ertgtr" hidden="1">{"Datos",#N/A,TRUE,"Datos"}</definedName>
    <definedName name="ertr" localSheetId="3" hidden="1">{"Datos",#N/A,TRUE,"Datos"}</definedName>
    <definedName name="ertr" hidden="1">{"Datos",#N/A,TRUE,"Datos"}</definedName>
    <definedName name="erttte" localSheetId="3" hidden="1">{"Datos",#N/A,TRUE,"Datos"}</definedName>
    <definedName name="erttte" hidden="1">{"Datos",#N/A,TRUE,"Datos"}</definedName>
    <definedName name="ertw2341">#REF!</definedName>
    <definedName name="ertw34">#REF!</definedName>
    <definedName name="ertyu" hidden="1">{#N/A,#N/A,TRUE,"Cover";#N/A,#N/A,TRUE,"Conts";#N/A,#N/A,TRUE,"VOS";#N/A,#N/A,TRUE,"Warrington";#N/A,#N/A,TRUE,"Widnes"}</definedName>
    <definedName name="ertyui" hidden="1">{#N/A,#N/A,TRUE,"Cover";#N/A,#N/A,TRUE,"Conts";#N/A,#N/A,TRUE,"VOS";#N/A,#N/A,TRUE,"Warrington";#N/A,#N/A,TRUE,"Widnes"}</definedName>
    <definedName name="erwgwb">#REF!</definedName>
    <definedName name="ery" localSheetId="3" hidden="1">{"Datos",#N/A,TRUE,"Datos"}</definedName>
    <definedName name="ery" hidden="1">{"Datos",#N/A,TRUE,"Datos"}</definedName>
    <definedName name="eryaey" localSheetId="3" hidden="1">{"Datos",#N/A,TRUE,"Datos"}</definedName>
    <definedName name="eryaey" hidden="1">{"Datos",#N/A,TRUE,"Datos"}</definedName>
    <definedName name="eryr" localSheetId="3" hidden="1">{#N/A,#N/A,TRUE,"Cover";#N/A,#N/A,TRUE,"Conts";#N/A,#N/A,TRUE,"VOS";#N/A,#N/A,TRUE,"Warrington";#N/A,#N/A,TRUE,"Widnes"}</definedName>
    <definedName name="eryr" hidden="1">{#N/A,#N/A,TRUE,"Cover";#N/A,#N/A,TRUE,"Conts";#N/A,#N/A,TRUE,"VOS";#N/A,#N/A,TRUE,"Warrington";#N/A,#N/A,TRUE,"Widnes"}</definedName>
    <definedName name="eryrutru" localSheetId="3" hidden="1">{#N/A,#N/A,TRUE,"Cover";#N/A,#N/A,TRUE,"Conts";#N/A,#N/A,TRUE,"VOS";#N/A,#N/A,TRUE,"Warrington";#N/A,#N/A,TRUE,"Widnes"}</definedName>
    <definedName name="eryrutru" hidden="1">{#N/A,#N/A,TRUE,"Cover";#N/A,#N/A,TRUE,"Conts";#N/A,#N/A,TRUE,"VOS";#N/A,#N/A,TRUE,"Warrington";#N/A,#N/A,TRUE,"Widnes"}</definedName>
    <definedName name="erytrh" localSheetId="3" hidden="1">{#N/A,#N/A,TRUE,"Cover";#N/A,#N/A,TRUE,"Conts";#N/A,#N/A,TRUE,"VOS";#N/A,#N/A,TRUE,"Warrington";#N/A,#N/A,TRUE,"Widnes"}</definedName>
    <definedName name="erytrh" hidden="1">{#N/A,#N/A,TRUE,"Cover";#N/A,#N/A,TRUE,"Conts";#N/A,#N/A,TRUE,"VOS";#N/A,#N/A,TRUE,"Warrington";#N/A,#N/A,TRUE,"Widnes"}</definedName>
    <definedName name="erytuui" localSheetId="3" hidden="1">{#N/A,#N/A,TRUE,"Cover";#N/A,#N/A,TRUE,"Conts";#N/A,#N/A,TRUE,"VOS";#N/A,#N/A,TRUE,"Warrington";#N/A,#N/A,TRUE,"Widnes"}</definedName>
    <definedName name="erytuui" hidden="1">{#N/A,#N/A,TRUE,"Cover";#N/A,#N/A,TRUE,"Conts";#N/A,#N/A,TRUE,"VOS";#N/A,#N/A,TRUE,"Warrington";#N/A,#N/A,TRUE,"Widnes"}</definedName>
    <definedName name="eryytrysy" localSheetId="3" hidden="1">{#N/A,#N/A,TRUE,"Cover";#N/A,#N/A,TRUE,"Conts";#N/A,#N/A,TRUE,"VOS";#N/A,#N/A,TRUE,"Warrington";#N/A,#N/A,TRUE,"Widnes"}</definedName>
    <definedName name="eryytrysy" hidden="1">{#N/A,#N/A,TRUE,"Cover";#N/A,#N/A,TRUE,"Conts";#N/A,#N/A,TRUE,"VOS";#N/A,#N/A,TRUE,"Warrington";#N/A,#N/A,TRUE,"Widnes"}</definedName>
    <definedName name="ES">#REF!</definedName>
    <definedName name="Es___0">#REF!</definedName>
    <definedName name="Es___13">#REF!</definedName>
    <definedName name="ESA">#REF!</definedName>
    <definedName name="ESC">#REF!</definedName>
    <definedName name="ESCAL">#REF!</definedName>
    <definedName name="Escalation">#REF!</definedName>
    <definedName name="ESP">#REF!</definedName>
    <definedName name="esp_prec_v">#REF!</definedName>
    <definedName name="EssOptions">"1100000000010000_01000"</definedName>
    <definedName name="est">#REF!</definedName>
    <definedName name="EstCost">#REF!</definedName>
    <definedName name="EstCost_4">#REF!</definedName>
    <definedName name="EstCost_4_1">#REF!</definedName>
    <definedName name="EstCost_6">#REF!</definedName>
    <definedName name="estetystry" localSheetId="3" hidden="1">{#N/A,#N/A,TRUE,"Cover";#N/A,#N/A,TRUE,"Conts";#N/A,#N/A,TRUE,"VOS";#N/A,#N/A,TRUE,"Warrington";#N/A,#N/A,TRUE,"Widnes"}</definedName>
    <definedName name="estetystry" hidden="1">{#N/A,#N/A,TRUE,"Cover";#N/A,#N/A,TRUE,"Conts";#N/A,#N/A,TRUE,"VOS";#N/A,#N/A,TRUE,"Warrington";#N/A,#N/A,TRUE,"Widnes"}</definedName>
    <definedName name="estimate">#REF!</definedName>
    <definedName name="estimateb" localSheetId="3" hidden="1">{#N/A,#N/A,TRUE,"Cover";#N/A,#N/A,TRUE,"Conts";#N/A,#N/A,TRUE,"VOS";#N/A,#N/A,TRUE,"Warrington";#N/A,#N/A,TRUE,"Widnes"}</definedName>
    <definedName name="estimateb" hidden="1">{#N/A,#N/A,TRUE,"Cover";#N/A,#N/A,TRUE,"Conts";#N/A,#N/A,TRUE,"VOS";#N/A,#N/A,TRUE,"Warrington";#N/A,#N/A,TRUE,"Widnes"}</definedName>
    <definedName name="estimated" localSheetId="3" hidden="1">{#N/A,#N/A,FALSE,"Bericht 2";#N/A,#N/A,FALSE,"Bericht 3";#N/A,#N/A,FALSE,"Bericht 1"}</definedName>
    <definedName name="estimated" hidden="1">{#N/A,#N/A,FALSE,"Bericht 2";#N/A,#N/A,FALSE,"Bericht 3";#N/A,#N/A,FALSE,"Bericht 1"}</definedName>
    <definedName name="Estimated_Building_Cost">#REF!</definedName>
    <definedName name="ESTIMATED_COST">#REF!</definedName>
    <definedName name="Estimated_Land_Value">#REF!</definedName>
    <definedName name="Estimation">#REF!</definedName>
    <definedName name="Estimator">#REF!</definedName>
    <definedName name="ET" localSheetId="2">#REF!</definedName>
    <definedName name="ET">#REF!</definedName>
    <definedName name="Et___0">#REF!</definedName>
    <definedName name="Et___13">#REF!</definedName>
    <definedName name="ETCMH">#REF!</definedName>
    <definedName name="etertyr" localSheetId="3" hidden="1">{#N/A,#N/A,TRUE,"Cover";#N/A,#N/A,TRUE,"Conts";#N/A,#N/A,TRUE,"VOS";#N/A,#N/A,TRUE,"Warrington";#N/A,#N/A,TRUE,"Widnes"}</definedName>
    <definedName name="etertyr" hidden="1">{#N/A,#N/A,TRUE,"Cover";#N/A,#N/A,TRUE,"Conts";#N/A,#N/A,TRUE,"VOS";#N/A,#N/A,TRUE,"Warrington";#N/A,#N/A,TRUE,"Widnes"}</definedName>
    <definedName name="etetert" localSheetId="3" hidden="1">{#N/A,#N/A,TRUE,"Cover";#N/A,#N/A,TRUE,"Conts";#N/A,#N/A,TRUE,"VOS";#N/A,#N/A,TRUE,"Warrington";#N/A,#N/A,TRUE,"Widnes"}</definedName>
    <definedName name="etetert" hidden="1">{#N/A,#N/A,TRUE,"Cover";#N/A,#N/A,TRUE,"Conts";#N/A,#N/A,TRUE,"VOS";#N/A,#N/A,TRUE,"Warrington";#N/A,#N/A,TRUE,"Widnes"}</definedName>
    <definedName name="eth" hidden="1">#REF!</definedName>
    <definedName name="etr6str7tuiuo" localSheetId="3" hidden="1">{#N/A,#N/A,TRUE,"Cover";#N/A,#N/A,TRUE,"Conts";#N/A,#N/A,TRUE,"VOS";#N/A,#N/A,TRUE,"Warrington";#N/A,#N/A,TRUE,"Widnes"}</definedName>
    <definedName name="etr6str7tuiuo" hidden="1">{#N/A,#N/A,TRUE,"Cover";#N/A,#N/A,TRUE,"Conts";#N/A,#N/A,TRUE,"VOS";#N/A,#N/A,TRUE,"Warrington";#N/A,#N/A,TRUE,"Widnes"}</definedName>
    <definedName name="etretyer" localSheetId="3" hidden="1">{#N/A,#N/A,TRUE,"Cover";#N/A,#N/A,TRUE,"Conts";#N/A,#N/A,TRUE,"VOS";#N/A,#N/A,TRUE,"Warrington";#N/A,#N/A,TRUE,"Widnes"}</definedName>
    <definedName name="etretyer" hidden="1">{#N/A,#N/A,TRUE,"Cover";#N/A,#N/A,TRUE,"Conts";#N/A,#N/A,TRUE,"VOS";#N/A,#N/A,TRUE,"Warrington";#N/A,#N/A,TRUE,"Widnes"}</definedName>
    <definedName name="ety" localSheetId="3" hidden="1">{"Datos",#N/A,TRUE,"Datos"}</definedName>
    <definedName name="ety" hidden="1">{"Datos",#N/A,TRUE,"Datos"}</definedName>
    <definedName name="etyegf" localSheetId="3" hidden="1">{#N/A,#N/A,TRUE,"Cover";#N/A,#N/A,TRUE,"Conts";#N/A,#N/A,TRUE,"VOS";#N/A,#N/A,TRUE,"Warrington";#N/A,#N/A,TRUE,"Widnes"}</definedName>
    <definedName name="etyegf" hidden="1">{#N/A,#N/A,TRUE,"Cover";#N/A,#N/A,TRUE,"Conts";#N/A,#N/A,TRUE,"VOS";#N/A,#N/A,TRUE,"Warrington";#N/A,#N/A,TRUE,"Widnes"}</definedName>
    <definedName name="etyytr" localSheetId="3" hidden="1">{#N/A,#N/A,TRUE,"Cover";#N/A,#N/A,TRUE,"Conts";#N/A,#N/A,TRUE,"VOS";#N/A,#N/A,TRUE,"Warrington";#N/A,#N/A,TRUE,"Widnes"}</definedName>
    <definedName name="etyytr" hidden="1">{#N/A,#N/A,TRUE,"Cover";#N/A,#N/A,TRUE,"Conts";#N/A,#N/A,TRUE,"VOS";#N/A,#N/A,TRUE,"Warrington";#N/A,#N/A,TRUE,"Widnes"}</definedName>
    <definedName name="eu">#REF!</definedName>
    <definedName name="eu_4">#REF!</definedName>
    <definedName name="eu_4_1">#REF!</definedName>
    <definedName name="eu_6">#REF!</definedName>
    <definedName name="eur">#REF!</definedName>
    <definedName name="euro">#REF!</definedName>
    <definedName name="EUROforGOODS">#REF!</definedName>
    <definedName name="euty" localSheetId="3" hidden="1">{"Datos",#N/A,TRUE,"Datos"}</definedName>
    <definedName name="euty" hidden="1">{"Datos",#N/A,TRUE,"Datos"}</definedName>
    <definedName name="ev.Calculation" hidden="1">-4135</definedName>
    <definedName name="ev.Initialized" hidden="1">FALSE</definedName>
    <definedName name="EvData">#REF!</definedName>
    <definedName name="EVS04EE_BASESLAB">#REF!</definedName>
    <definedName name="EVS04EE_EXCAVATION">#REF!</definedName>
    <definedName name="ew" localSheetId="3" hidden="1">{"offequipsch",#N/A,FALSE,"GTC_Schedule";"onconstsch",#N/A,FALSE,"GTC_Schedule";"techsch",#N/A,FALSE,"GTC_Schedule";"totsch",#N/A,FALSE,"GTC_Schedule"}</definedName>
    <definedName name="ew" hidden="1">{"offequipsch",#N/A,FALSE,"GTC_Schedule";"onconstsch",#N/A,FALSE,"GTC_Schedule";"techsch",#N/A,FALSE,"GTC_Schedule";"totsch",#N/A,FALSE,"GTC_Schedule"}</definedName>
    <definedName name="ewdsd" hidden="1">{"'Break down'!$A$4"}</definedName>
    <definedName name="EWE">#REF!</definedName>
    <definedName name="EWeight">#REF!</definedName>
    <definedName name="ewf" hidden="1">#REF!</definedName>
    <definedName name="ewqasd" hidden="1">{#N/A,#N/A,TRUE,"Cover";#N/A,#N/A,TRUE,"Conts";#N/A,#N/A,TRUE,"VOS";#N/A,#N/A,TRUE,"Warrington";#N/A,#N/A,TRUE,"Widnes"}</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wq" localSheetId="3" hidden="1">{"turbine",#N/A,FALSE,"Option"}</definedName>
    <definedName name="ewqewq" hidden="1">{"turbine",#N/A,FALSE,"Option"}</definedName>
    <definedName name="ewqr">#REF!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t" localSheetId="3" hidden="1">{#N/A,#N/A,TRUE,"Cover";#N/A,#N/A,TRUE,"Conts";#N/A,#N/A,TRUE,"VOS";#N/A,#N/A,TRUE,"Warrington";#N/A,#N/A,TRUE,"Widnes"}</definedName>
    <definedName name="ewt" hidden="1">{#N/A,#N/A,TRUE,"Cover";#N/A,#N/A,TRUE,"Conts";#N/A,#N/A,TRUE,"VOS";#N/A,#N/A,TRUE,"Warrington";#N/A,#N/A,TRUE,"Widnes"}</definedName>
    <definedName name="ewtateryry" localSheetId="3" hidden="1">{#N/A,#N/A,TRUE,"Cover";#N/A,#N/A,TRUE,"Conts";#N/A,#N/A,TRUE,"VOS";#N/A,#N/A,TRUE,"Warrington";#N/A,#N/A,TRUE,"Widnes"}</definedName>
    <definedName name="ewtateryry" hidden="1">{#N/A,#N/A,TRUE,"Cover";#N/A,#N/A,TRUE,"Conts";#N/A,#N/A,TRUE,"VOS";#N/A,#N/A,TRUE,"Warrington";#N/A,#N/A,TRUE,"Widnes"}</definedName>
    <definedName name="EX">#REF!</definedName>
    <definedName name="ex_joint">#REF!</definedName>
    <definedName name="EX_RATE">#REF!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cav">#REF!</definedName>
    <definedName name="Excavation">#REF!</definedName>
    <definedName name="excel">#REF!</definedName>
    <definedName name="Excel_BuiltIn__FilterDatabase_1">#REF!</definedName>
    <definedName name="Excel_BuiltIn__FilterDatabase_15">"$'ESTIMATE SUMMARY'.$#REF!$#REF!:$#REF!$#REF!"</definedName>
    <definedName name="Excel_BuiltIn__FilterDatabase_2_1">#REF!</definedName>
    <definedName name="Excel_BuiltIn__FilterDatabase_2_1_1">#REF!</definedName>
    <definedName name="Excel_BuiltIn__FilterDatabase_3">"$'STAIR FLOORING'.$#REF!#REF!"</definedName>
    <definedName name="Excel_BuiltIn__FilterDatabase_6">#REF!</definedName>
    <definedName name="Excel_BuiltIn__FilterDatabase_9">#REF!</definedName>
    <definedName name="Excel_BuiltIn_Database">#REF!</definedName>
    <definedName name="Excel_BuiltIn_Database_0">#REF!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2">#REF!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#REF!</definedName>
    <definedName name="Excel_BuiltIn_Print_Area_21">#REF!</definedName>
    <definedName name="Excel_BuiltIn_Print_Area_22">#REF!</definedName>
    <definedName name="Excel_BuiltIn_Print_Area_23">#REF!</definedName>
    <definedName name="Excel_BuiltIn_Print_Area_24">#REF!</definedName>
    <definedName name="Excel_BuiltIn_Print_Area_3">#REF!</definedName>
    <definedName name="Excel_BuiltIn_Print_Area_3_1">#REF!</definedName>
    <definedName name="Excel_BuiltIn_Print_Area_3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5">#REF!</definedName>
    <definedName name="Excel_BuiltIn_Print_Area_5_1">"$#REF!.$A$1:$G$1278"</definedName>
    <definedName name="Excel_BuiltIn_Print_Area_6">#REF!</definedName>
    <definedName name="Excel_BuiltIn_Print_Area_6_1">#REF!</definedName>
    <definedName name="Excel_BuiltIn_Print_Area_7">#REF!</definedName>
    <definedName name="Excel_BuiltIn_Print_Area_8">#REF!</definedName>
    <definedName name="Excel_BuiltIn_Print_Area_9">#REF!</definedName>
    <definedName name="Excel_BuiltIn_Print_Titles">#REF!,#REF!</definedName>
    <definedName name="Excel_BuiltIn_Print_Titles_1">#REF!</definedName>
    <definedName name="Excel_BuiltIn_Print_Titles_1_1" localSheetId="3">#REF!</definedName>
    <definedName name="Excel_BuiltIn_Print_Titles_1_1">#REF!</definedName>
    <definedName name="Excel_BuiltIn_Print_Titles_10" localSheetId="3">#REF!</definedName>
    <definedName name="Excel_BuiltIn_Print_Titles_10">#REF!</definedName>
    <definedName name="Excel_BuiltIn_Print_Titles_11" localSheetId="3">#REF!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 localSheetId="3">#REF!</definedName>
    <definedName name="Excel_BuiltIn_Print_Titles_16">#REF!</definedName>
    <definedName name="Excel_BuiltIn_Print_Titles_18" localSheetId="3">#REF!</definedName>
    <definedName name="Excel_BuiltIn_Print_Titles_18">#REF!</definedName>
    <definedName name="Excel_BuiltIn_Print_Titles_19" localSheetId="3">#REF!</definedName>
    <definedName name="Excel_BuiltIn_Print_Titles_19">#REF!</definedName>
    <definedName name="Excel_BuiltIn_Print_Titles_2">#REF!</definedName>
    <definedName name="Excel_BuiltIn_Print_Titles_2_1" localSheetId="3">#REF!</definedName>
    <definedName name="Excel_BuiltIn_Print_Titles_2_1">#REF!</definedName>
    <definedName name="Excel_BuiltIn_Print_Titles_2_1_1">NA()</definedName>
    <definedName name="Excel_BuiltIn_Print_Titles_20">#REF!</definedName>
    <definedName name="Excel_BuiltIn_Print_Titles_21" localSheetId="3">#REF!</definedName>
    <definedName name="Excel_BuiltIn_Print_Titles_21">#REF!</definedName>
    <definedName name="Excel_BuiltIn_Print_Titles_22" localSheetId="3">#REF!</definedName>
    <definedName name="Excel_BuiltIn_Print_Titles_22">#REF!</definedName>
    <definedName name="Excel_BuiltIn_Print_Titles_24">#REF!</definedName>
    <definedName name="Excel_BuiltIn_Print_Titles_3_1" localSheetId="3">#REF!</definedName>
    <definedName name="Excel_BuiltIn_Print_Titles_3_1">#REF!</definedName>
    <definedName name="Excel_BuiltIn_Print_Titles_4">#REF!</definedName>
    <definedName name="Excel_BuiltIn_Print_Titles_4_1" localSheetId="3">#REF!</definedName>
    <definedName name="Excel_BuiltIn_Print_Titles_4_1">#REF!</definedName>
    <definedName name="Excel_BuiltIn_Print_Titles_5">#REF!</definedName>
    <definedName name="Excel_BuiltIn_Print_Titles_5_1" localSheetId="3">#REF!</definedName>
    <definedName name="Excel_BuiltIn_Print_Titles_5_1">#REF!</definedName>
    <definedName name="Excel_BuiltIn_Print_Titles_6">#REF!</definedName>
    <definedName name="Excel_BuiltIn_Print_Titles_6_1" localSheetId="3">#REF!</definedName>
    <definedName name="Excel_BuiltIn_Print_Titles_6_1">#REF!</definedName>
    <definedName name="Excel_BuiltIn_Print_Titles_7" localSheetId="3">#REF!</definedName>
    <definedName name="Excel_BuiltIn_Print_Titles_7">#REF!</definedName>
    <definedName name="Excel_BuiltIn_Print_Titles_8" localSheetId="3">#REF!</definedName>
    <definedName name="Excel_BuiltIn_Print_Titles_8">#REF!</definedName>
    <definedName name="Excel_BuiltIn_Print_Titles_9" localSheetId="3">#REF!</definedName>
    <definedName name="Excel_BuiltIn_Print_Titles_9">#REF!</definedName>
    <definedName name="excf">#REF!</definedName>
    <definedName name="Exch">#REF!</definedName>
    <definedName name="Exchange_rate">#REF!</definedName>
    <definedName name="excludes">#REF!</definedName>
    <definedName name="eXCLUSIONS" localSheetId="3" hidden="1">{#N/A,#N/A,TRUE,"Cover";#N/A,#N/A,TRUE,"Conts";#N/A,#N/A,TRUE,"VOS";#N/A,#N/A,TRUE,"Warrington";#N/A,#N/A,TRUE,"Widnes"}</definedName>
    <definedName name="eXCLUSIONS" hidden="1">{#N/A,#N/A,TRUE,"Cover";#N/A,#N/A,TRUE,"Conts";#N/A,#N/A,TRUE,"VOS";#N/A,#N/A,TRUE,"Warrington";#N/A,#N/A,TRUE,"Widnes"}</definedName>
    <definedName name="ExecSumfinal">#REF!</definedName>
    <definedName name="EXIT">#REF!</definedName>
    <definedName name="exit1">#REF!</definedName>
    <definedName name="exit10">#REF!</definedName>
    <definedName name="exit2">#REF!</definedName>
    <definedName name="exit3">#REF!</definedName>
    <definedName name="exit5">#REF!</definedName>
    <definedName name="exit7">#REF!</definedName>
    <definedName name="EXPATSAL">#REF!</definedName>
    <definedName name="expcode">#REF!</definedName>
    <definedName name="Expd_TO_Yr1">#REF!</definedName>
    <definedName name="Expded">#REF!</definedName>
    <definedName name="Expected_balance">#REF!</definedName>
    <definedName name="External">#REF!</definedName>
    <definedName name="External_Doors">#REF!</definedName>
    <definedName name="External_paint">#REF!</definedName>
    <definedName name="External_Plaster">#REF!</definedName>
    <definedName name="External_Walls">#REF!</definedName>
    <definedName name="External01" hidden="1">#REF!</definedName>
    <definedName name="Externalopenings">#REF!</definedName>
    <definedName name="extrac_a_trier">#REF!</definedName>
    <definedName name="_xlnm.Extract">#REF!</definedName>
    <definedName name="ey"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e">#REF!</definedName>
    <definedName name="eyrlp">#REF!</definedName>
    <definedName name="eyteyt" hidden="1">{#N/A,#N/A,FALSE,"CCTV"}</definedName>
    <definedName name="eyy" localSheetId="3" hidden="1">{#N/A,#N/A,TRUE,"Cover";#N/A,#N/A,TRUE,"Conts";#N/A,#N/A,TRUE,"VOS";#N/A,#N/A,TRUE,"Warrington";#N/A,#N/A,TRUE,"Widnes"}</definedName>
    <definedName name="eyy" hidden="1">{#N/A,#N/A,TRUE,"Cover";#N/A,#N/A,TRUE,"Conts";#N/A,#N/A,TRUE,"VOS";#N/A,#N/A,TRUE,"Warrington";#N/A,#N/A,TRUE,"Widnes"}</definedName>
    <definedName name="F">#REF!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____PAINTING">#REF!</definedName>
    <definedName name="F_0">#REF!</definedName>
    <definedName name="F_B">#REF!</definedName>
    <definedName name="F_BModel1">#REF!</definedName>
    <definedName name="F_BModel2">#REF!</definedName>
    <definedName name="F_BModel3">#REF!</definedName>
    <definedName name="F_BModel4">#REF!</definedName>
    <definedName name="F_BModel5">#REF!</definedName>
    <definedName name="FA">#REF!</definedName>
    <definedName name="FABFAB">#REF!</definedName>
    <definedName name="FABGYP">#REF!</definedName>
    <definedName name="FABPAN">#REF!</definedName>
    <definedName name="FAC">#REF!</definedName>
    <definedName name="Facilities">#REF!</definedName>
    <definedName name="FACTOR">#REF!</definedName>
    <definedName name="Factor_Calc">#REF!</definedName>
    <definedName name="FACTOR1">#REF!</definedName>
    <definedName name="factor2">#REF!</definedName>
    <definedName name="factot">#REF!</definedName>
    <definedName name="FAN">#REF!</definedName>
    <definedName name="fancymeet">#REF!</definedName>
    <definedName name="faraz">#REF!</definedName>
    <definedName name="farazd7723">#REF!</definedName>
    <definedName name="FARbus">#REF!</definedName>
    <definedName name="FARhotel">#REF!</definedName>
    <definedName name="FARres">#REF!</definedName>
    <definedName name="FARretail">#REF!</definedName>
    <definedName name="fasdad" localSheetId="3" hidden="1">{#N/A,#N/A,FALSE,"SUBS";#N/A,#N/A,FALSE,"SUPERS";#N/A,#N/A,FALSE,"FINISHES";#N/A,#N/A,FALSE,"FITTINGS";#N/A,#N/A,FALSE,"SERVICES";#N/A,#N/A,FALSE,"SITEWORKS"}</definedName>
    <definedName name="fasdad" hidden="1">{#N/A,#N/A,FALSE,"SUBS";#N/A,#N/A,FALSE,"SUPERS";#N/A,#N/A,FALSE,"FINISHES";#N/A,#N/A,FALSE,"FITTINGS";#N/A,#N/A,FALSE,"SERVICES";#N/A,#N/A,FALSE,"SITEWORKS"}</definedName>
    <definedName name="fasfe" hidden="1">#REF!</definedName>
    <definedName name="fasfsdfsdfasdfsdfsd" localSheetId="3" hidden="1">{#N/A,#N/A,TRUE,"Basic";#N/A,#N/A,TRUE,"EXT-TABLE";#N/A,#N/A,TRUE,"STEEL";#N/A,#N/A,TRUE,"INT-Table";#N/A,#N/A,TRUE,"STEEL";#N/A,#N/A,TRUE,"Door"}</definedName>
    <definedName name="fasfsdfsdfasdfsdfsd" hidden="1">{#N/A,#N/A,TRUE,"Basic";#N/A,#N/A,TRUE,"EXT-TABLE";#N/A,#N/A,TRUE,"STEEL";#N/A,#N/A,TRUE,"INT-Table";#N/A,#N/A,TRUE,"STEEL";#N/A,#N/A,TRUE,"Door"}</definedName>
    <definedName name="Fax">#REF!</definedName>
    <definedName name="Fb">#REF!</definedName>
    <definedName name="fbPC">#REF!</definedName>
    <definedName name="FBTOTAL">#REF!</definedName>
    <definedName name="Fc">#REF!</definedName>
    <definedName name="fcb_Tender_reference">#REF!</definedName>
    <definedName name="FCode" hidden="1">#REF!</definedName>
    <definedName name="fcompany">#REF!</definedName>
    <definedName name="FCVV">#REF!</definedName>
    <definedName name="fd" localSheetId="3" hidden="1">{#N/A,#N/A,TRUE,"Cover Memo";"Complete Sys. Estimate",#N/A,TRUE,"Change Summary";"Complete Sys. Estimate",#N/A,TRUE,"Estimate Summary";"Complete Sys. Estimate",#N/A,TRUE,"Dept. Summary";"Complete Sys. Estimate",#N/A,TRUE,"DOW Detail"}</definedName>
    <definedName name="fd" hidden="1">{#N/A,#N/A,TRUE,"Cover Memo";"Complete Sys. Estimate",#N/A,TRUE,"Change Summary";"Complete Sys. Estimate",#N/A,TRUE,"Estimate Summary";"Complete Sys. Estimate",#N/A,TRUE,"Dept. Summary";"Complete Sys. Estimate",#N/A,TRUE,"DOW Detail"}</definedName>
    <definedName name="fdaffdfdff" localSheetId="3" hidden="1">{#N/A,#N/A,TRUE,"Cover";#N/A,#N/A,TRUE,"Conts";#N/A,#N/A,TRUE,"VOS";#N/A,#N/A,TRUE,"Warrington";#N/A,#N/A,TRUE,"Widnes"}</definedName>
    <definedName name="fdaffdfdff" hidden="1">{#N/A,#N/A,TRUE,"Cover";#N/A,#N/A,TRUE,"Conts";#N/A,#N/A,TRUE,"VOS";#N/A,#N/A,TRUE,"Warrington";#N/A,#N/A,TRUE,"Widnes"}</definedName>
    <definedName name="fdate">#REF!</definedName>
    <definedName name="fdd" localSheetId="3" hidden="1">{"Datos",#N/A,TRUE,"Datos"}</definedName>
    <definedName name="fdd" hidden="1">{"Datos",#N/A,TRUE,"Datos"}</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evise">#REF!</definedName>
    <definedName name="fdf" localSheetId="3" hidden="1">{#N/A,#N/A,TRUE,"Cover Memo";"Complete Sys. Estimate",#N/A,TRUE,"Change Summary";"Complete Sys. Estimate",#N/A,TRUE,"Estimate Summary";"Complete Sys. Estimate",#N/A,TRUE,"Dept. Summary";"Complete Sys. Estimate",#N/A,TRUE,"DOW Detail"}</definedName>
    <definedName name="fdf" hidden="1">{#N/A,#N/A,TRUE,"Cover Memo";"Complete Sys. Estimate",#N/A,TRUE,"Change Summary";"Complete Sys. Estimate",#N/A,TRUE,"Estimate Summary";"Complete Sys. Estimate",#N/A,TRUE,"Dept. Summary";"Complete Sys. Estimate",#N/A,TRUE,"DOW Detail"}</definedName>
    <definedName name="fdfd" localSheetId="3"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1" localSheetId="3" hidden="1">{#N/A,#N/A,TRUE,"Cover Memo";"Complete Sys. Estimate",#N/A,TRUE,"Change Summary";"Complete Sys. Estimate",#N/A,TRUE,"Estimate Summary";"Complete Sys. Estimate",#N/A,TRUE,"Dept. Summary";"Complete Sys. Estimate",#N/A,TRUE,"DOW Detail"}</definedName>
    <definedName name="FDFD1" hidden="1">{#N/A,#N/A,TRUE,"Cover Memo";"Complete Sys. Estimate",#N/A,TRUE,"Change Summary";"Complete Sys. Estimate",#N/A,TRUE,"Estimate Summary";"Complete Sys. Estimate",#N/A,TRUE,"Dept. Summary";"Complete Sys. Estimate",#N/A,TRUE,"DOW Detail"}</definedName>
    <definedName name="fdfd2" localSheetId="3"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{#N/A,#N/A,FALSE,"CCTV"}</definedName>
    <definedName name="fdff" localSheetId="3"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F">#REF!</definedName>
    <definedName name="fdgdg" localSheetId="3"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h">#REF!</definedName>
    <definedName name="fdh">#REF!</definedName>
    <definedName name="fdhgh" localSheetId="3" hidden="1">{"Datos",#N/A,TRUE,"Datos"}</definedName>
    <definedName name="fdhgh" hidden="1">{"Datos",#N/A,TRUE,"Datos"}</definedName>
    <definedName name="fdmfdf">#REF!</definedName>
    <definedName name="fdrt">#REF!</definedName>
    <definedName name="fds" hidden="1">#REF!</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hidden="1">{#N/A,#N/A,FALSE,"CCTV"}</definedName>
    <definedName name="Feature_Sofa____DIMANTION________FINIH">#REF!</definedName>
    <definedName name="FEB_05">#REF!</definedName>
    <definedName name="feb_qty_rev_3">#REF!</definedName>
    <definedName name="feb_rev4_qty">#REF!</definedName>
    <definedName name="FED01_END">#REF!</definedName>
    <definedName name="FED01_START">#REF!</definedName>
    <definedName name="fee_autho.contract">#REF!</definedName>
    <definedName name="fee_autho.now">#REF!</definedName>
    <definedName name="fee_autho.payment">#REF!</definedName>
    <definedName name="fee_autho.uncommit">#REF!</definedName>
    <definedName name="fee_autho.vo.app">#REF!</definedName>
    <definedName name="fee_autho.vo.pend">#REF!</definedName>
    <definedName name="fee_contract">#REF!</definedName>
    <definedName name="fee_now">#REF!</definedName>
    <definedName name="fee_payment">#REF!</definedName>
    <definedName name="fee_uncommit">#REF!</definedName>
    <definedName name="fee_vo.app">#REF!</definedName>
    <definedName name="fee_vo.pend">#REF!</definedName>
    <definedName name="Fees.1" localSheetId="3" hidden="1">{#N/A,#N/A,TRUE,"Cover";#N/A,#N/A,TRUE,"Conts";#N/A,#N/A,TRUE,"VOS";#N/A,#N/A,TRUE,"Warrington";#N/A,#N/A,TRUE,"Widnes"}</definedName>
    <definedName name="Fees.1" hidden="1">{#N/A,#N/A,TRUE,"Cover";#N/A,#N/A,TRUE,"Conts";#N/A,#N/A,TRUE,"VOS";#N/A,#N/A,TRUE,"Warrington";#N/A,#N/A,TRUE,"Widnes"}</definedName>
    <definedName name="Fees_Expat">#REF!</definedName>
    <definedName name="Fees_TCNHI">#REF!</definedName>
    <definedName name="Fees_TCNLI">#REF!</definedName>
    <definedName name="feesfls">#REF!</definedName>
    <definedName name="feessec">#REF!</definedName>
    <definedName name="fefdfe" hidden="1">#REF!</definedName>
    <definedName name="ferro">#REF!</definedName>
    <definedName name="FF">#REF!</definedName>
    <definedName name="ffd" localSheetId="3" hidden="1">{#N/A,#N/A,FALSE,"SumD";#N/A,#N/A,FALSE,"ElecD";#N/A,#N/A,FALSE,"MechD";#N/A,#N/A,FALSE,"GeotD";#N/A,#N/A,FALSE,"PrcsD";#N/A,#N/A,FALSE,"TunnD";#N/A,#N/A,FALSE,"CivlD";#N/A,#N/A,FALSE,"NtwkD";#N/A,#N/A,FALSE,"EstgD";#N/A,#N/A,FALSE,"PEngD"}</definedName>
    <definedName name="ffd" hidden="1">{#N/A,#N/A,FALSE,"SumD";#N/A,#N/A,FALSE,"ElecD";#N/A,#N/A,FALSE,"MechD";#N/A,#N/A,FALSE,"GeotD";#N/A,#N/A,FALSE,"PrcsD";#N/A,#N/A,FALSE,"TunnD";#N/A,#N/A,FALSE,"CivlD";#N/A,#N/A,FALSE,"NtwkD";#N/A,#N/A,FALSE,"EstgD";#N/A,#N/A,FALSE,"PEngD"}</definedName>
    <definedName name="ffdg" localSheetId="3" hidden="1">{"Datos",#N/A,TRUE,"Datos"}</definedName>
    <definedName name="ffdg" hidden="1">{"Datos",#N/A,TRUE,"Datos"}</definedName>
    <definedName name="ffds" localSheetId="3" hidden="1">{"Datos",#N/A,TRUE,"Datos"}</definedName>
    <definedName name="ffds" hidden="1">{"Datos",#N/A,TRUE,"Datos"}</definedName>
    <definedName name="FFE_1" hidden="1">#REF!</definedName>
    <definedName name="FFE_FFE" hidden="1">#REF!</definedName>
    <definedName name="FFF" localSheetId="3" hidden="1">{#N/A,#N/A,FALSE,"양식(을)"}</definedName>
    <definedName name="FFF" hidden="1">{#N/A,#N/A,FALSE,"양식(을)"}</definedName>
    <definedName name="FFFF">#REF!</definedName>
    <definedName name="fffff" localSheetId="3" hidden="1">{#N/A,#N/A,TRUE,"Basic";#N/A,#N/A,TRUE,"EXT-TABLE";#N/A,#N/A,TRUE,"STEEL";#N/A,#N/A,TRUE,"INT-Table";#N/A,#N/A,TRUE,"STEEL";#N/A,#N/A,TRUE,"Door"}</definedName>
    <definedName name="fffff" hidden="1">{#N/A,#N/A,TRUE,"Basic";#N/A,#N/A,TRUE,"EXT-TABLE";#N/A,#N/A,TRUE,"STEEL";#N/A,#N/A,TRUE,"INT-Table";#N/A,#N/A,TRUE,"STEEL";#N/A,#N/A,TRUE,"Door"}</definedName>
    <definedName name="ffffff" hidden="1">{#N/A,#N/A,FALSE,"CCTV"}</definedName>
    <definedName name="ffffffffffffff">#REF!</definedName>
    <definedName name="fffuu" localSheetId="3" hidden="1">{"'Break down'!$A$4"}</definedName>
    <definedName name="fffuu" hidden="1">{"'Break down'!$A$4"}</definedName>
    <definedName name="fffuz" localSheetId="3" hidden="1">{"'Break down'!$A$4"}</definedName>
    <definedName name="fffuz" hidden="1">{"'Break down'!$A$4"}</definedName>
    <definedName name="ffggfg">#REF!</definedName>
    <definedName name="FFR">#REF!</definedName>
    <definedName name="ffsf" localSheetId="3" hidden="1">{#N/A,#N/A,FALSE,"Chi tiÆt"}</definedName>
    <definedName name="ffsf" hidden="1">{#N/A,#N/A,FALSE,"Chi tiÆt"}</definedName>
    <definedName name="fg" localSheetId="3" hidden="1">{#N/A,#N/A,TRUE,"Cover";#N/A,#N/A,TRUE,"Conts";#N/A,#N/A,TRUE,"VOS";#N/A,#N/A,TRUE,"Warrington";#N/A,#N/A,TRUE,"Widnes"}</definedName>
    <definedName name="fg" hidden="1">{#N/A,#N/A,TRUE,"Cover";#N/A,#N/A,TRUE,"Conts";#N/A,#N/A,TRUE,"VOS";#N/A,#N/A,TRUE,"Warrington";#N/A,#N/A,TRUE,"Widnes"}</definedName>
    <definedName name="fgbvfd" localSheetId="3" hidden="1">{"Datos",#N/A,TRUE,"Datos"}</definedName>
    <definedName name="fgbvfd" hidden="1">{"Datos",#N/A,TRUE,"Datos"}</definedName>
    <definedName name="fgdfg" localSheetId="3"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ececf">#REF!</definedName>
    <definedName name="FGF" hidden="1">{#N/A,#N/A,FALSE,"CCTV"}</definedName>
    <definedName name="fgfdg" localSheetId="3"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 hidden="1">#REF!</definedName>
    <definedName name="FGH">#REF!</definedName>
    <definedName name="fghf" localSheetId="3" hidden="1">{"Datos",#N/A,TRUE,"Datos"}</definedName>
    <definedName name="fghf" hidden="1">{"Datos",#N/A,TRUE,"Datos"}</definedName>
    <definedName name="fghfg" localSheetId="3"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 localSheetId="3" hidden="1">{"Datos",#N/A,TRUE,"Datos"}</definedName>
    <definedName name="fgj" hidden="1">{"Datos",#N/A,TRUE,"Datos"}</definedName>
    <definedName name="fgjjjkyg" localSheetId="3" hidden="1">{#N/A,#N/A,TRUE,"Cover";#N/A,#N/A,TRUE,"Conts";#N/A,#N/A,TRUE,"VOS";#N/A,#N/A,TRUE,"Warrington";#N/A,#N/A,TRUE,"Widnes"}</definedName>
    <definedName name="fgjjjkyg" hidden="1">{#N/A,#N/A,TRUE,"Cover";#N/A,#N/A,TRUE,"Conts";#N/A,#N/A,TRUE,"VOS";#N/A,#N/A,TRUE,"Warrington";#N/A,#N/A,TRUE,"Widnes"}</definedName>
    <definedName name="fgl01_end">#REF!</definedName>
    <definedName name="fgl01_start">#REF!</definedName>
    <definedName name="FGL02_END">#REF!</definedName>
    <definedName name="FGL02_START">#REF!</definedName>
    <definedName name="fgrthrtg">#REF!</definedName>
    <definedName name="fh" localSheetId="3" hidden="1">{"Datos",#N/A,TRUE,"Datos"}</definedName>
    <definedName name="fh" hidden="1">{"Datos",#N/A,TRUE,"Datos"}</definedName>
    <definedName name="fhdsgbh">#REF!</definedName>
    <definedName name="FHFGHFG" hidden="1">{#N/A,#N/A,TRUE,"Cover";#N/A,#N/A,TRUE,"Conts";#N/A,#N/A,TRUE,"VOS";#N/A,#N/A,TRUE,"Warrington";#N/A,#N/A,TRUE,"Widnes"}</definedName>
    <definedName name="fhgh" localSheetId="3" hidden="1">{"Datos",#N/A,TRUE,"Datos"}</definedName>
    <definedName name="fhgh" hidden="1">{"Datos",#N/A,TRUE,"Datos"}</definedName>
    <definedName name="fhgjfghfghgf" hidden="1">{#N/A,#N/A,FALSE,"CCTV"}</definedName>
    <definedName name="fhgujguthi" localSheetId="3" hidden="1">{#N/A,#N/A,TRUE,"Cover";#N/A,#N/A,TRUE,"Conts";#N/A,#N/A,TRUE,"VOS";#N/A,#N/A,TRUE,"Warrington";#N/A,#N/A,TRUE,"Widnes"}</definedName>
    <definedName name="fhgujguthi" hidden="1">{#N/A,#N/A,TRUE,"Cover";#N/A,#N/A,TRUE,"Conts";#N/A,#N/A,TRUE,"VOS";#N/A,#N/A,TRUE,"Warrington";#N/A,#N/A,TRUE,"Widnes"}</definedName>
    <definedName name="FHGYP">#REF!</definedName>
    <definedName name="fhjsjs" localSheetId="3" hidden="1">{#N/A,#N/A,TRUE,"Cover";#N/A,#N/A,TRUE,"Conts";#N/A,#N/A,TRUE,"VOS";#N/A,#N/A,TRUE,"Warrington";#N/A,#N/A,TRUE,"Widnes"}</definedName>
    <definedName name="fhjsjs" hidden="1">{#N/A,#N/A,TRUE,"Cover";#N/A,#N/A,TRUE,"Conts";#N/A,#N/A,TRUE,"VOS";#N/A,#N/A,TRUE,"Warrington";#N/A,#N/A,TRUE,"Widnes"}</definedName>
    <definedName name="FHLAM">#REF!</definedName>
    <definedName name="Fhwl">#REF!</definedName>
    <definedName name="fi" localSheetId="3" hidden="1">{#N/A,#N/A,TRUE,"Cover Memo";"Complete Sys. Estimate",#N/A,TRUE,"Change Summary";"Complete Sys. Estimate",#N/A,TRUE,"Estimate Summary";"Complete Sys. Estimate",#N/A,TRUE,"Dept. Summary";"Complete Sys. Estimate",#N/A,TRUE,"DOW Detail"}</definedName>
    <definedName name="fi" hidden="1">{#N/A,#N/A,TRUE,"Cover Memo";"Complete Sys. Estimate",#N/A,TRUE,"Change Summary";"Complete Sys. Estimate",#N/A,TRUE,"Estimate Summary";"Complete Sys. Estimate",#N/A,TRUE,"Dept. Summary";"Complete Sys. Estimate",#N/A,TRUE,"DOW Detail"}</definedName>
    <definedName name="file" localSheetId="3" hidden="1">{#N/A,#N/A,TRUE,"Front";#N/A,#N/A,TRUE,"Simple Letter";#N/A,#N/A,TRUE,"Inside";#N/A,#N/A,TRUE,"Contents";#N/A,#N/A,TRUE,"Basis";#N/A,#N/A,TRUE,"Inclusions";#N/A,#N/A,TRUE,"Exclusions";#N/A,#N/A,TRUE,"Areas";#N/A,#N/A,TRUE,"Summary";#N/A,#N/A,TRUE,"Detail"}</definedName>
    <definedName name="File">#REF!</definedName>
    <definedName name="File_Used">#REF!</definedName>
    <definedName name="Filename">#REF!</definedName>
    <definedName name="FileNameSummary">#REF!</definedName>
    <definedName name="fill" hidden="1">#REF!</definedName>
    <definedName name="FILLED" hidden="1">#REF!</definedName>
    <definedName name="fin">#REF!</definedName>
    <definedName name="FIN_CHARGE">#REF!</definedName>
    <definedName name="FIN_MAN">#REF!</definedName>
    <definedName name="FIN_MAT">#REF!</definedName>
    <definedName name="FIN_SC">#REF!</definedName>
    <definedName name="Final">#REF!</definedName>
    <definedName name="Final_amount">#REF!</definedName>
    <definedName name="final_report">#REF!</definedName>
    <definedName name="final_report1">#REF!</definedName>
    <definedName name="finalre">#REF!</definedName>
    <definedName name="Finance_Fee">#REF!</definedName>
    <definedName name="Financial_Charges">#REF!</definedName>
    <definedName name="fine">#REF!</definedName>
    <definedName name="finish">#REF!</definedName>
    <definedName name="FINISHES">#REF!</definedName>
    <definedName name="finishesArea">#REF!</definedName>
    <definedName name="finishesPerimeter">#REF!</definedName>
    <definedName name="Finishings">#REF!</definedName>
    <definedName name="fins1">#REF!</definedName>
    <definedName name="fins2">#REF!</definedName>
    <definedName name="finsarea">#REF!</definedName>
    <definedName name="fire821">#REF!</definedName>
    <definedName name="fire822">#REF!</definedName>
    <definedName name="fire823">#REF!</definedName>
    <definedName name="fire824">#REF!</definedName>
    <definedName name="firesum">#REF!</definedName>
    <definedName name="first_sales_income">#REF!</definedName>
    <definedName name="FiscalIDNum">#REF!</definedName>
    <definedName name="FiscalIDNum_4">#REF!</definedName>
    <definedName name="FiscalIDNum_4_1">#REF!</definedName>
    <definedName name="FiscalIDNum_6">#REF!</definedName>
    <definedName name="Fish_Lookup">#REF!</definedName>
    <definedName name="FIT">#REF!</definedName>
    <definedName name="FIT___0">#REF!</definedName>
    <definedName name="FIT___13">#REF!</definedName>
    <definedName name="FIVE">#REF!</definedName>
    <definedName name="fiveycf">#REF!</definedName>
    <definedName name="FiveYr_Occ">#REF!</definedName>
    <definedName name="Fixed">#REF!</definedName>
    <definedName name="fixed_asset">#REF!</definedName>
    <definedName name="fixedwords">#REF!</definedName>
    <definedName name="fjfgjsfgfjsfj">#REF!</definedName>
    <definedName name="fjjh" localSheetId="3" hidden="1">{"Datos",#N/A,TRUE,"Datos"}</definedName>
    <definedName name="fjjh" hidden="1">{"Datos",#N/A,TRUE,"Datos"}</definedName>
    <definedName name="fkfkvhikkhju" localSheetId="3" hidden="1">{#N/A,#N/A,TRUE,"Cover";#N/A,#N/A,TRUE,"Conts";#N/A,#N/A,TRUE,"VOS";#N/A,#N/A,TRUE,"Warrington";#N/A,#N/A,TRUE,"Widnes"}</definedName>
    <definedName name="fkfkvhikkhju" hidden="1">{#N/A,#N/A,TRUE,"Cover";#N/A,#N/A,TRUE,"Conts";#N/A,#N/A,TRUE,"VOS";#N/A,#N/A,TRUE,"Warrington";#N/A,#N/A,TRUE,"Widnes"}</definedName>
    <definedName name="fkjsk">#REF!</definedName>
    <definedName name="fkyuu" localSheetId="3" hidden="1">{"Datos",#N/A,TRUE,"Datos"}</definedName>
    <definedName name="fkyuu" hidden="1">{"Datos",#N/A,TRUE,"Datos"}</definedName>
    <definedName name="flag1">#REF!</definedName>
    <definedName name="FLOO">#REF!</definedName>
    <definedName name="floor">#REF!</definedName>
    <definedName name="Floorfinishes">#REF!</definedName>
    <definedName name="FLOORING">#REF!</definedName>
    <definedName name="Flowchart" localSheetId="3" hidden="1">{"'Flowchart'!$A$2:$AO$22"}</definedName>
    <definedName name="Flowchart" hidden="1">{"'Flowchart'!$A$2:$AO$22"}</definedName>
    <definedName name="Flysheets">#REF!</definedName>
    <definedName name="fndsf">#REF!</definedName>
    <definedName name="fo">#REF!</definedName>
    <definedName name="foamglas">#REF!</definedName>
    <definedName name="Foglio1_END" localSheetId="3">Morano [0]!Po -#REF!</definedName>
    <definedName name="Foglio1_END">Morano Po -#REF!</definedName>
    <definedName name="Foglio1_START" localSheetId="3">Morano [0]!Po -#REF!</definedName>
    <definedName name="Foglio1_START">Morano Po -#REF!</definedName>
    <definedName name="FoodandBev">#REF!</definedName>
    <definedName name="FoodandBeverage">#REF!</definedName>
    <definedName name="FOOTING" hidden="1">#REF!</definedName>
    <definedName name="Footings">#REF!</definedName>
    <definedName name="Forecast_01">#REF!</definedName>
    <definedName name="forex">0.18</definedName>
    <definedName name="forfaitE">#REF!</definedName>
    <definedName name="forfaitF">#REF!</definedName>
    <definedName name="FormTitle">#REF!</definedName>
    <definedName name="FormTitle_4">#REF!</definedName>
    <definedName name="FormTitle_4_1">#REF!</definedName>
    <definedName name="FormTitle_6">#REF!</definedName>
    <definedName name="formula1">#REF!</definedName>
    <definedName name="formwork">#REF!</definedName>
    <definedName name="Foundation">#REF!</definedName>
    <definedName name="FOUR">#REF!</definedName>
    <definedName name="fp">#REF!</definedName>
    <definedName name="fqwettqwtq" hidden="1">{#N/A,#N/A,FALSE,"MARCH"}</definedName>
    <definedName name="fr">#REF!</definedName>
    <definedName name="FRAMED">#REF!</definedName>
    <definedName name="FRAMELESS">#REF!</definedName>
    <definedName name="Frameless_tough">#REF!</definedName>
    <definedName name="Framlss_tough">#REF!</definedName>
    <definedName name="fRANCIS">#REF!</definedName>
    <definedName name="fraw" localSheetId="3" hidden="1">{"Datos",#N/A,TRUE,"Datos"}</definedName>
    <definedName name="fraw" hidden="1">{"Datos",#N/A,TRUE,"Datos"}</definedName>
    <definedName name="fre" localSheetId="3" hidden="1">{#N/A,#N/A,TRUE,"Cover";#N/A,#N/A,TRUE,"Conts";#N/A,#N/A,TRUE,"VOS";#N/A,#N/A,TRUE,"Warrington";#N/A,#N/A,TRUE,"Widnes"}</definedName>
    <definedName name="fre" hidden="1">{#N/A,#N/A,TRUE,"Cover";#N/A,#N/A,TRUE,"Conts";#N/A,#N/A,TRUE,"VOS";#N/A,#N/A,TRUE,"Warrington";#N/A,#N/A,TRUE,"Widnes"}</definedName>
    <definedName name="fred">#REF!</definedName>
    <definedName name="freight">#REF!</definedName>
    <definedName name="FReport5" hidden="1">{#N/A,#N/A,FALSE,"MARCH"}</definedName>
    <definedName name="FRF">#REF!</definedName>
    <definedName name="frjj" localSheetId="3" hidden="1">{#N/A,#N/A,TRUE,"Cover";#N/A,#N/A,TRUE,"Conts";#N/A,#N/A,TRUE,"VOS";#N/A,#N/A,TRUE,"Warrington";#N/A,#N/A,TRUE,"Widnes"}</definedName>
    <definedName name="frjj" hidden="1">{#N/A,#N/A,TRUE,"Cover";#N/A,#N/A,TRUE,"Conts";#N/A,#N/A,TRUE,"VOS";#N/A,#N/A,TRUE,"Warrington";#N/A,#N/A,TRUE,"Widnes"}</definedName>
    <definedName name="FRLESS_Toughn">#REF!</definedName>
    <definedName name="frmless">#REF!</definedName>
    <definedName name="FRMLESS_NON">#REF!</definedName>
    <definedName name="frncis">#REF!</definedName>
    <definedName name="Front_Set_Bus_BE">#REF!</definedName>
    <definedName name="Front_Set_Ind">#REF!</definedName>
    <definedName name="FRTHJJG" hidden="1">{#N/A,#N/A,TRUE,"Cover";#N/A,#N/A,TRUE,"Conts";#N/A,#N/A,TRUE,"VOS";#N/A,#N/A,TRUE,"Warrington";#N/A,#N/A,TRUE,"Widnes"}</definedName>
    <definedName name="Fs">#REF!</definedName>
    <definedName name="fsa" hidden="1">#REF!</definedName>
    <definedName name="fsda" localSheetId="3" hidden="1">{#N/A,#N/A,TRUE,"Basic";#N/A,#N/A,TRUE,"EXT-TABLE";#N/A,#N/A,TRUE,"STEEL";#N/A,#N/A,TRUE,"INT-Table";#N/A,#N/A,TRUE,"STEEL";#N/A,#N/A,TRUE,"Door"}</definedName>
    <definedName name="fsda" hidden="1">{#N/A,#N/A,TRUE,"Basic";#N/A,#N/A,TRUE,"EXT-TABLE";#N/A,#N/A,TRUE,"STEEL";#N/A,#N/A,TRUE,"INT-Table";#N/A,#N/A,TRUE,"STEEL";#N/A,#N/A,TRUE,"Door"}</definedName>
    <definedName name="fsdanhgty" localSheetId="3" hidden="1">{"sheet1",#N/A,FALSE,"easheet";"sheet2a",#N/A,FALSE,"easheet";"sheet2b",#N/A,FALSE,"easheet";"sheet3",#N/A,FALSE,"easheet"}</definedName>
    <definedName name="fsdanhgty" hidden="1">{"sheet1",#N/A,FALSE,"easheet";"sheet2a",#N/A,FALSE,"easheet";"sheet2b",#N/A,FALSE,"easheet";"sheet3",#N/A,FALSE,"easheet"}</definedName>
    <definedName name="fsdd" hidden="1">#REF!</definedName>
    <definedName name="FSDF" localSheetId="3" hidden="1">{#N/A,#N/A,FALSE,"운반시간"}</definedName>
    <definedName name="FSDF" hidden="1">{#N/A,#N/A,FALSE,"운반시간"}</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f" localSheetId="3" hidden="1">{"Datos",#N/A,TRUE,"Datos"}</definedName>
    <definedName name="fsf" hidden="1">{"Datos",#N/A,TRUE,"Datos"}</definedName>
    <definedName name="fsg">#REF!</definedName>
    <definedName name="FSRVRFR">#REF!</definedName>
    <definedName name="fssdsdsfdsf">#N/A</definedName>
    <definedName name="FT">#REF!</definedName>
    <definedName name="ft_sch">#REF!</definedName>
    <definedName name="ftg_thk">#REF!</definedName>
    <definedName name="FULL" hidden="1">#REF!</definedName>
    <definedName name="fullTl">#REF!</definedName>
    <definedName name="Function">#REF!</definedName>
    <definedName name="Fund_Caprate">#REF!</definedName>
    <definedName name="Furnished_Apartments_Cost">#REF!</definedName>
    <definedName name="Fv">#REF!</definedName>
    <definedName name="FW">#REF!</definedName>
    <definedName name="fwe">#REF!</definedName>
    <definedName name="fwgqwerg" localSheetId="3" hidden="1">{"'Sheet1'!$L$16"}</definedName>
    <definedName name="fwgqwerg" hidden="1">{"'Sheet1'!$L$16"}</definedName>
    <definedName name="Fy">#REF!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Ceilings">#REF!</definedName>
    <definedName name="G_ÿ_P_">#REF!</definedName>
    <definedName name="g1622.">#REF!</definedName>
    <definedName name="g1622._1">#REF!</definedName>
    <definedName name="g1622._2">#REF!</definedName>
    <definedName name="G1G">#REF!</definedName>
    <definedName name="g2707.">#REF!</definedName>
    <definedName name="G2G">#REF!</definedName>
    <definedName name="G31j1620">#REF!</definedName>
    <definedName name="g5410.">#REF!</definedName>
    <definedName name="gA">#REF!</definedName>
    <definedName name="ga10a">#REF!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eg" localSheetId="3" hidden="1">{#N/A,#N/A,TRUE,"Cover";#N/A,#N/A,TRUE,"Conts";#N/A,#N/A,TRUE,"VOS";#N/A,#N/A,TRUE,"Warrington";#N/A,#N/A,TRUE,"Widnes"}</definedName>
    <definedName name="gaeg" hidden="1">{#N/A,#N/A,TRUE,"Cover";#N/A,#N/A,TRUE,"Conts";#N/A,#N/A,TRUE,"VOS";#N/A,#N/A,TRUE,"Warrington";#N/A,#N/A,TRUE,"Widnes"}</definedName>
    <definedName name="gaegg" localSheetId="3" hidden="1">{#N/A,#N/A,TRUE,"Cover";#N/A,#N/A,TRUE,"Conts";#N/A,#N/A,TRUE,"VOS";#N/A,#N/A,TRUE,"Warrington";#N/A,#N/A,TRUE,"Widnes"}</definedName>
    <definedName name="gaegg" hidden="1">{#N/A,#N/A,TRUE,"Cover";#N/A,#N/A,TRUE,"Conts";#N/A,#N/A,TRUE,"VOS";#N/A,#N/A,TRUE,"Warrington";#N/A,#N/A,TRUE,"Widnes"}</definedName>
    <definedName name="gaf">#REF!</definedName>
    <definedName name="gama">#REF!</definedName>
    <definedName name="gamah">#REF!</definedName>
    <definedName name="gas">#REF!</definedName>
    <definedName name="gate">#REF!</definedName>
    <definedName name="gb">#REF!</definedName>
    <definedName name="GB_Sched">#REF!</definedName>
    <definedName name="GBP">#REF!</definedName>
    <definedName name="GC">#REF!</definedName>
    <definedName name="GCFA">#REF!</definedName>
    <definedName name="GCV">#REF!</definedName>
    <definedName name="gd" localSheetId="3" hidden="1">{"Datos",#N/A,TRUE,"Datos"}</definedName>
    <definedName name="gd" hidden="1">{"Datos",#N/A,TRUE,"Datos"}</definedName>
    <definedName name="gdfdf">#REF!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3" hidden="1">{"Datos",#N/A,TRUE,"Datos"}</definedName>
    <definedName name="gdg" hidden="1">{"Datos",#N/A,TRUE,"Datos"}</definedName>
    <definedName name="gdsd" localSheetId="3" hidden="1">{"Datos",#N/A,TRUE,"Datos"}</definedName>
    <definedName name="gdsd" hidden="1">{"Datos",#N/A,TRUE,"Datos"}</definedName>
    <definedName name="ge">#REF!</definedName>
    <definedName name="geag" localSheetId="3" hidden="1">{#N/A,#N/A,TRUE,"Cover";#N/A,#N/A,TRUE,"Conts";#N/A,#N/A,TRUE,"VOS";#N/A,#N/A,TRUE,"Warrington";#N/A,#N/A,TRUE,"Widnes"}</definedName>
    <definedName name="geag" hidden="1">{#N/A,#N/A,TRUE,"Cover";#N/A,#N/A,TRUE,"Conts";#N/A,#N/A,TRUE,"VOS";#N/A,#N/A,TRUE,"Warrington";#N/A,#N/A,TRUE,"Widnes"}</definedName>
    <definedName name="Gearing">#REF!</definedName>
    <definedName name="General">#REF!</definedName>
    <definedName name="GenericBrandPrice">#REF!</definedName>
    <definedName name="Genl___Admin_Expenses">#REF!</definedName>
    <definedName name="gerag">#REF!</definedName>
    <definedName name="gerger" localSheetId="3" hidden="1">{#N/A,#N/A,TRUE,"Cover";#N/A,#N/A,TRUE,"Conts";#N/A,#N/A,TRUE,"VOS";#N/A,#N/A,TRUE,"Warrington";#N/A,#N/A,TRUE,"Widnes"}</definedName>
    <definedName name="gerger" hidden="1">{#N/A,#N/A,TRUE,"Cover";#N/A,#N/A,TRUE,"Conts";#N/A,#N/A,TRUE,"VOS";#N/A,#N/A,TRUE,"Warrington";#N/A,#N/A,TRUE,"Widnes"}</definedName>
    <definedName name="gerv">#REF!</definedName>
    <definedName name="gf" localSheetId="3" hidden="1">{#N/A,#N/A,TRUE,"Cover";#N/A,#N/A,TRUE,"Conts";#N/A,#N/A,TRUE,"VOS";#N/A,#N/A,TRUE,"Warrington";#N/A,#N/A,TRUE,"Widnes"}</definedName>
    <definedName name="gf" hidden="1">{#N/A,#N/A,TRUE,"Cover";#N/A,#N/A,TRUE,"Conts";#N/A,#N/A,TRUE,"VOS";#N/A,#N/A,TRUE,"Warrington";#N/A,#N/A,TRUE,"Widnes"}</definedName>
    <definedName name="GFAArea">#REF!</definedName>
    <definedName name="GFAPerimeter">#REF!</definedName>
    <definedName name="GFBeam">#REF!</definedName>
    <definedName name="gfd"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localSheetId="3" hidden="1">{"Datos",#N/A,TRUE,"Datos"}</definedName>
    <definedName name="gfdg" hidden="1">{"Datos",#N/A,TRUE,"Datos"}</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localSheetId="3"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h" localSheetId="3" hidden="1">{"Datos",#N/A,TRUE,"Datos"}</definedName>
    <definedName name="gfdh" hidden="1">{"Datos",#N/A,TRUE,"Datos"}</definedName>
    <definedName name="GFDS" hidden="1">{#N/A,#N/A,FALSE,"CCTV"}</definedName>
    <definedName name="gff" localSheetId="3" hidden="1">{"Datos",#N/A,TRUE,"Datos"}</definedName>
    <definedName name="gff" hidden="1">{"Datos",#N/A,TRUE,"Datos"}</definedName>
    <definedName name="gfg" localSheetId="3" hidden="1">{#N/A,#N/A,TRUE,"Cover";#N/A,#N/A,TRUE,"Conts";#N/A,#N/A,TRUE,"VOS";#N/A,#N/A,TRUE,"Warrington";#N/A,#N/A,TRUE,"Widnes"}</definedName>
    <definedName name="gfg" hidden="1">{#N/A,#N/A,TRUE,"Cover";#N/A,#N/A,TRUE,"Conts";#N/A,#N/A,TRUE,"VOS";#N/A,#N/A,TRUE,"Warrington";#N/A,#N/A,TRUE,"Widnes"}</definedName>
    <definedName name="gfgfgfgfg" localSheetId="3"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3"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fhgh" localSheetId="3" hidden="1">{"'Break down'!$A$4"}</definedName>
    <definedName name="gfgfhgh" hidden="1">{"'Break down'!$A$4"}</definedName>
    <definedName name="gfgg" localSheetId="3" hidden="1">{"Datos",#N/A,TRUE,"Datos"}</definedName>
    <definedName name="gfgg" hidden="1">{"Datos",#N/A,TRUE,"Datos"}</definedName>
    <definedName name="gfhd" localSheetId="3" hidden="1">{"Datos",#N/A,TRUE,"Datos"}</definedName>
    <definedName name="gfhd" hidden="1">{"Datos",#N/A,TRUE,"Datos"}</definedName>
    <definedName name="gfhst" localSheetId="3" hidden="1">{"Datos",#N/A,TRUE,"Datos"}</definedName>
    <definedName name="gfhst" hidden="1">{"Datos",#N/A,TRUE,"Datos"}</definedName>
    <definedName name="gfjgfh" hidden="1">{#N/A,#N/A,FALSE,"CCTV"}</definedName>
    <definedName name="gfjgfhfg" hidden="1">{#N/A,#N/A,FALSE,"CCTV"}</definedName>
    <definedName name="gfrg">#REF!</definedName>
    <definedName name="gfs" localSheetId="3" hidden="1">{"Datos",#N/A,TRUE,"Datos"}</definedName>
    <definedName name="gfs" hidden="1">{"Datos",#N/A,TRUE,"Datos"}</definedName>
    <definedName name="gg" localSheetId="3"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df">#REF!</definedName>
    <definedName name="ggdrgdfhyyj" localSheetId="3" hidden="1">{#N/A,#N/A,TRUE,"Cover";#N/A,#N/A,TRUE,"Conts";#N/A,#N/A,TRUE,"VOS";#N/A,#N/A,TRUE,"Warrington";#N/A,#N/A,TRUE,"Widnes"}</definedName>
    <definedName name="ggdrgdfhyyj" hidden="1">{#N/A,#N/A,TRUE,"Cover";#N/A,#N/A,TRUE,"Conts";#N/A,#N/A,TRUE,"VOS";#N/A,#N/A,TRUE,"Warrington";#N/A,#N/A,TRUE,"Widnes"}</definedName>
    <definedName name="ggfgdgd" hidden="1">{#N/A,#N/A,TRUE,"Cover";#N/A,#N/A,TRUE,"Conts";#N/A,#N/A,TRUE,"VOS";#N/A,#N/A,TRUE,"Warrington";#N/A,#N/A,TRUE,"Widnes"}</definedName>
    <definedName name="ggg" hidden="1">#REF!</definedName>
    <definedName name="gggg" localSheetId="3"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 localSheetId="3" hidden="1">{#N/A,#N/A,TRUE,"Cover Memo";"Ride Estimate",#N/A,TRUE,"Change Summary";"Ride Estimate",#N/A,TRUE,"Estimate Summary";"Ride Estimate",#N/A,TRUE,"Dept. Summary";"Ride Estimate",#N/A,TRUE,"DOW Detail"}</definedName>
    <definedName name="ggggg" hidden="1">{#N/A,#N/A,TRUE,"Cover Memo";"Ride Estimate",#N/A,TRUE,"Change Summary";"Ride Estimate",#N/A,TRUE,"Estimate Summary";"Ride Estimate",#N/A,TRUE,"Dept. Summary";"Ride Estimate",#N/A,TRUE,"DOW Detail"}</definedName>
    <definedName name="ggggggggg" localSheetId="3">Summary!ggggggggg</definedName>
    <definedName name="ggggggggg">#N/A</definedName>
    <definedName name="ggggggggggg">#REF!</definedName>
    <definedName name="gggggggggggggggg">#REF!</definedName>
    <definedName name="gh" localSheetId="3"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jktu" localSheetId="3" hidden="1">{"Datos",#N/A,TRUE,"Datos"}</definedName>
    <definedName name="ghdjktu" hidden="1">{"Datos",#N/A,TRUE,"Datos"}</definedName>
    <definedName name="ghfj" localSheetId="3" hidden="1">{"Datos",#N/A,TRUE,"Datos"}</definedName>
    <definedName name="ghfj" hidden="1">{"Datos",#N/A,TRUE,"Datos"}</definedName>
    <definedName name="ghggg" localSheetId="3"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 hidden="1">{#N/A,#N/A,FALSE,"CCTV"}</definedName>
    <definedName name="ghh" localSheetId="3" hidden="1">{"Datos",#N/A,TRUE,"Datos"}</definedName>
    <definedName name="ghh" hidden="1">{"Datos",#N/A,TRUE,"Datos"}</definedName>
    <definedName name="ghj" hidden="1">#REF!</definedName>
    <definedName name="GHJT">#REF!</definedName>
    <definedName name="ghku" localSheetId="3" hidden="1">{"Datos",#N/A,TRUE,"Datos"}</definedName>
    <definedName name="ghku" hidden="1">{"Datos",#N/A,TRUE,"Datos"}</definedName>
    <definedName name="ghsdhth" localSheetId="3" hidden="1">{#N/A,#N/A,TRUE,"Cover";#N/A,#N/A,TRUE,"Conts";#N/A,#N/A,TRUE,"VOS";#N/A,#N/A,TRUE,"Warrington";#N/A,#N/A,TRUE,"Widnes"}</definedName>
    <definedName name="ghsdhth" hidden="1">{#N/A,#N/A,TRUE,"Cover";#N/A,#N/A,TRUE,"Conts";#N/A,#N/A,TRUE,"VOS";#N/A,#N/A,TRUE,"Warrington";#N/A,#N/A,TRUE,"Widnes"}</definedName>
    <definedName name="ghsf" localSheetId="3" hidden="1">{"Datos",#N/A,TRUE,"Datos"}</definedName>
    <definedName name="ghsf" hidden="1">{"Datos",#N/A,TRUE,"Datos"}</definedName>
    <definedName name="ghsg" localSheetId="3" hidden="1">{#N/A,#N/A,TRUE,"Cover";#N/A,#N/A,TRUE,"Conts";#N/A,#N/A,TRUE,"VOS";#N/A,#N/A,TRUE,"Warrington";#N/A,#N/A,TRUE,"Widnes"}</definedName>
    <definedName name="ghsg" hidden="1">{#N/A,#N/A,TRUE,"Cover";#N/A,#N/A,TRUE,"Conts";#N/A,#N/A,TRUE,"VOS";#N/A,#N/A,TRUE,"Warrington";#N/A,#N/A,TRUE,"Widnes"}</definedName>
    <definedName name="ghyt" localSheetId="3" hidden="1">{#N/A,#N/A,FALSE,"SUBS";#N/A,#N/A,FALSE,"SUPERS";#N/A,#N/A,FALSE,"FINISHES";#N/A,#N/A,FALSE,"FITTINGS";#N/A,#N/A,FALSE,"SERVICES";#N/A,#N/A,FALSE,"SITEWORKS"}</definedName>
    <definedName name="ghyt" hidden="1">{#N/A,#N/A,FALSE,"SUBS";#N/A,#N/A,FALSE,"SUPERS";#N/A,#N/A,FALSE,"FINISHES";#N/A,#N/A,FALSE,"FITTINGS";#N/A,#N/A,FALSE,"SERVICES";#N/A,#N/A,FALSE,"SITEWORKS"}</definedName>
    <definedName name="giluuo" localSheetId="3" hidden="1">{"Datos",#N/A,TRUE,"Datos"}</definedName>
    <definedName name="giluuo" hidden="1">{"Datos",#N/A,TRUE,"Datos"}</definedName>
    <definedName name="gj" localSheetId="3" hidden="1">{"MF-601",#N/A,TRUE,"MANT-EX-B(fJ)";"MF-602",#N/A,TRUE,"ELECTR-FJ(B)";"MF-603",#N/A,TRUE,"PERSONAL(FJ)B";"MF-604",#N/A,TRUE,"REACT-P(B)";"MF-605",#N/A,TRUE,"OTR-COS.FJ(B)";"MF-60X",#N/A,TRUE,"Resumen"}</definedName>
    <definedName name="gj" hidden="1">{"MF-601",#N/A,TRUE,"MANT-EX-B(fJ)";"MF-602",#N/A,TRUE,"ELECTR-FJ(B)";"MF-603",#N/A,TRUE,"PERSONAL(FJ)B";"MF-604",#N/A,TRUE,"REACT-P(B)";"MF-605",#N/A,TRUE,"OTR-COS.FJ(B)";"MF-60X",#N/A,TRUE,"Resumen"}</definedName>
    <definedName name="gjahgkj" localSheetId="3" hidden="1">{#N/A,#N/A,TRUE,"Cover";#N/A,#N/A,TRUE,"Conts";#N/A,#N/A,TRUE,"VOS";#N/A,#N/A,TRUE,"Warrington";#N/A,#N/A,TRUE,"Widnes"}</definedName>
    <definedName name="gjahgkj" hidden="1">{#N/A,#N/A,TRUE,"Cover";#N/A,#N/A,TRUE,"Conts";#N/A,#N/A,TRUE,"VOS";#N/A,#N/A,TRUE,"Warrington";#N/A,#N/A,TRUE,"Widnes"}</definedName>
    <definedName name="gjkhj" localSheetId="3" hidden="1">{"Datos",#N/A,TRUE,"Datos"}</definedName>
    <definedName name="gjkhj" hidden="1">{"Datos",#N/A,TRUE,"Datos"}</definedName>
    <definedName name="gjkkl" localSheetId="3" hidden="1">{#N/A,#N/A,TRUE,"Cover";#N/A,#N/A,TRUE,"Conts";#N/A,#N/A,TRUE,"VOS";#N/A,#N/A,TRUE,"Warrington";#N/A,#N/A,TRUE,"Widnes"}</definedName>
    <definedName name="gjkkl" hidden="1">{#N/A,#N/A,TRUE,"Cover";#N/A,#N/A,TRUE,"Conts";#N/A,#N/A,TRUE,"VOS";#N/A,#N/A,TRUE,"Warrington";#N/A,#N/A,TRUE,"Widnes"}</definedName>
    <definedName name="gk" localSheetId="3"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s_stud">#REF!</definedName>
    <definedName name="GlazCanted_Wall">#REF!</definedName>
    <definedName name="GLevel">#REF!</definedName>
    <definedName name="globale_marge">#REF!</definedName>
    <definedName name="globe">#REF!</definedName>
    <definedName name="GMAmount">#REF!</definedName>
    <definedName name="GMAmount_4">#REF!</definedName>
    <definedName name="GMAmount_4_1">#REF!</definedName>
    <definedName name="GMAmount_6">#REF!</definedName>
    <definedName name="gmd" localSheetId="3" hidden="1">{#N/A,#N/A,FALSE,"Matrix";#N/A,#N/A,FALSE,"Executive";#N/A,#N/A,FALSE,"Summary"}</definedName>
    <definedName name="gmd" hidden="1">{#N/A,#N/A,FALSE,"Matrix";#N/A,#N/A,FALSE,"Executive";#N/A,#N/A,FALSE,"Summary"}</definedName>
    <definedName name="gmo" localSheetId="3" hidden="1">{#N/A,#N/A,FALSE,"SumD";#N/A,#N/A,FALSE,"ElecD";#N/A,#N/A,FALSE,"MechD";#N/A,#N/A,FALSE,"GeotD";#N/A,#N/A,FALSE,"PrcsD";#N/A,#N/A,FALSE,"TunnD";#N/A,#N/A,FALSE,"CivlD";#N/A,#N/A,FALSE,"NtwkD";#N/A,#N/A,FALSE,"EstgD";#N/A,#N/A,FALSE,"PEngD"}</definedName>
    <definedName name="gmo" hidden="1">{#N/A,#N/A,FALSE,"SumD";#N/A,#N/A,FALSE,"ElecD";#N/A,#N/A,FALSE,"MechD";#N/A,#N/A,FALSE,"GeotD";#N/A,#N/A,FALSE,"PrcsD";#N/A,#N/A,FALSE,"TunnD";#N/A,#N/A,FALSE,"CivlD";#N/A,#N/A,FALSE,"NtwkD";#N/A,#N/A,FALSE,"EstgD";#N/A,#N/A,FALSE,"PEngD"}</definedName>
    <definedName name="GMPercent">#REF!</definedName>
    <definedName name="GMPercent_4">#REF!</definedName>
    <definedName name="GMPercent_4_1">#REF!</definedName>
    <definedName name="GMPercent_6">#REF!</definedName>
    <definedName name="GNOIDA">#REF!</definedName>
    <definedName name="GoBack">#REF!</definedName>
    <definedName name="Golf_1_Home">#REF!</definedName>
    <definedName name="golfhomes">#REF!</definedName>
    <definedName name="gop" hidden="1">#REF!</definedName>
    <definedName name="gound_rent">#REF!</definedName>
    <definedName name="GP">#REF!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b" hidden="1">#REF!</definedName>
    <definedName name="Grade">#REF!</definedName>
    <definedName name="grall1">#REF!</definedName>
    <definedName name="grall10">#REF!</definedName>
    <definedName name="grall2">#REF!</definedName>
    <definedName name="grall3">#REF!</definedName>
    <definedName name="grall5">#REF!</definedName>
    <definedName name="GrandBasic">#REF!</definedName>
    <definedName name="GrandSuiteArea">#REF!</definedName>
    <definedName name="GrandSuitePerimeter">#REF!</definedName>
    <definedName name="graph">#REF!</definedName>
    <definedName name="graphb" hidden="1">#REF!</definedName>
    <definedName name="greffls">#REF!</definedName>
    <definedName name="grefsecurity">#REF!</definedName>
    <definedName name="grege" localSheetId="3" hidden="1">{"Datos",#N/A,TRUE,"Datos"}</definedName>
    <definedName name="grege" hidden="1">{"Datos",#N/A,TRUE,"Datos"}</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oss_Yield">#REF!</definedName>
    <definedName name="Gross_Yield_incl_land_cost">#REF!</definedName>
    <definedName name="Grossprofit">#REF!</definedName>
    <definedName name="GROUP" hidden="1">"bissql"</definedName>
    <definedName name="Group1">#REF!</definedName>
    <definedName name="Group2">#REF!</definedName>
    <definedName name="Group3">#REF!</definedName>
    <definedName name="Group4">#REF!</definedName>
    <definedName name="GroutedRiprap">#REF!</definedName>
    <definedName name="grow1">#REF!</definedName>
    <definedName name="growthtable">#REF!</definedName>
    <definedName name="GRP">1.9</definedName>
    <definedName name="grqeg" localSheetId="3" hidden="1">{"'Sheet1'!$L$16"}</definedName>
    <definedName name="grqeg" hidden="1">{"'Sheet1'!$L$16"}</definedName>
    <definedName name="GS">#REF!</definedName>
    <definedName name="GSDFSDF">#REF!</definedName>
    <definedName name="gsdgtgh" localSheetId="3" hidden="1">{"sheet1",#N/A,FALSE,"easheet";"sheet2a",#N/A,FALSE,"easheet";"sheet2b",#N/A,FALSE,"easheet";"sheet3",#N/A,FALSE,"easheet"}</definedName>
    <definedName name="gsdgtgh" hidden="1">{"sheet1",#N/A,FALSE,"easheet";"sheet2a",#N/A,FALSE,"easheet";"sheet2b",#N/A,FALSE,"easheet";"sheet3",#N/A,FALSE,"easheet"}</definedName>
    <definedName name="gsg" hidden="1">{#N/A,#N/A,TRUE,"Cover";#N/A,#N/A,TRUE,"Conts";#N/A,#N/A,TRUE,"VOS";#N/A,#N/A,TRUE,"Warrington";#N/A,#N/A,TRUE,"Widnes"}</definedName>
    <definedName name="gshg" localSheetId="3" hidden="1">{"Datos",#N/A,TRUE,"Datos"}</definedName>
    <definedName name="gshg" hidden="1">{"Datos",#N/A,TRUE,"Datos"}</definedName>
    <definedName name="GT" localSheetId="3" hidden="1">{#N/A,#N/A,FALSE,"SumG";#N/A,#N/A,FALSE,"ElecG";#N/A,#N/A,FALSE,"MechG";#N/A,#N/A,FALSE,"GeotG";#N/A,#N/A,FALSE,"PrcsG";#N/A,#N/A,FALSE,"TunnG";#N/A,#N/A,FALSE,"CivlG";#N/A,#N/A,FALSE,"NtwkG";#N/A,#N/A,FALSE,"EstgG";#N/A,#N/A,FALSE,"PEngG"}</definedName>
    <definedName name="GT" hidden="1">{#N/A,#N/A,FALSE,"SumG";#N/A,#N/A,FALSE,"ElecG";#N/A,#N/A,FALSE,"MechG";#N/A,#N/A,FALSE,"GeotG";#N/A,#N/A,FALSE,"PrcsG";#N/A,#N/A,FALSE,"TunnG";#N/A,#N/A,FALSE,"CivlG";#N/A,#N/A,FALSE,"NtwkG";#N/A,#N/A,FALSE,"EstgG";#N/A,#N/A,FALSE,"PEngG"}</definedName>
    <definedName name="GTOT">#REF!</definedName>
    <definedName name="gtrghr" localSheetId="3" hidden="1">{#N/A,#N/A,TRUE,"Cover";#N/A,#N/A,TRUE,"Conts";#N/A,#N/A,TRUE,"VOS";#N/A,#N/A,TRUE,"Warrington";#N/A,#N/A,TRUE,"Widnes"}</definedName>
    <definedName name="gtrghr" hidden="1">{#N/A,#N/A,TRUE,"Cover";#N/A,#N/A,TRUE,"Conts";#N/A,#N/A,TRUE,"VOS";#N/A,#N/A,TRUE,"Warrington";#N/A,#N/A,TRUE,"Widnes"}</definedName>
    <definedName name="GUEST_HOTEL">#REF!</definedName>
    <definedName name="guestroom" localSheetId="3"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estrooms">#REF!</definedName>
    <definedName name="gurgaon112row" hidden="1">#REF!</definedName>
    <definedName name="gvgfvgf">#REF!</definedName>
    <definedName name="gwerg">#REF!</definedName>
    <definedName name="gwgtergyr" localSheetId="3" hidden="1">{#N/A,#N/A,TRUE,"Cover";#N/A,#N/A,TRUE,"Conts";#N/A,#N/A,TRUE,"VOS";#N/A,#N/A,TRUE,"Warrington";#N/A,#N/A,TRUE,"Widnes"}</definedName>
    <definedName name="gwgtergyr" hidden="1">{#N/A,#N/A,TRUE,"Cover";#N/A,#N/A,TRUE,"Conts";#N/A,#N/A,TRUE,"VOS";#N/A,#N/A,TRUE,"Warrington";#N/A,#N/A,TRUE,"Widnes"}</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YKV" hidden="1">{#N/A,#N/A,TRUE,"Cover";#N/A,#N/A,TRUE,"Conts";#N/A,#N/A,TRUE,"VOS";#N/A,#N/A,TRUE,"Warrington";#N/A,#N/A,TRUE,"Widnes"}</definedName>
    <definedName name="GYPPAN">#REF!</definedName>
    <definedName name="gyyy" hidden="1">#REF!</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__0">#REF!</definedName>
    <definedName name="H___13">#REF!</definedName>
    <definedName name="H_FloorCov">#REF!</definedName>
    <definedName name="H_ring">#REF!</definedName>
    <definedName name="H0">#REF!</definedName>
    <definedName name="H0___0">#REF!</definedName>
    <definedName name="H0___13">#REF!</definedName>
    <definedName name="HA">#REF!</definedName>
    <definedName name="haaaa">#REF!</definedName>
    <definedName name="Hadey">#REF!</definedName>
    <definedName name="Hafeez">#REF!</definedName>
    <definedName name="half">#REF!</definedName>
    <definedName name="haljf" localSheetId="3" hidden="1">{"'Sheet1'!$L$16"}</definedName>
    <definedName name="haljf"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I">#REF!</definedName>
    <definedName name="HAUT2">#REF!</definedName>
    <definedName name="HAUT3">#REF!</definedName>
    <definedName name="HAUT4">#REF!</definedName>
    <definedName name="HAUT5">#REF!</definedName>
    <definedName name="HAUT6">#REF!</definedName>
    <definedName name="HAUT7">#REF!</definedName>
    <definedName name="hbn" hidden="1">{#N/A,#N/A,TRUE,"Cover";#N/A,#N/A,TRUE,"Conts";#N/A,#N/A,TRUE,"VOS";#N/A,#N/A,TRUE,"Warrington";#N/A,#N/A,TRUE,"Widnes"}</definedName>
    <definedName name="hc">#REF!</definedName>
    <definedName name="hdbdhs">#REF!</definedName>
    <definedName name="hddfh" localSheetId="3" hidden="1">{"MF-601",#N/A,TRUE,"MANT-EX-B(fJ)";"MF-602",#N/A,TRUE,"ELECTR-FJ(B)";"MF-603",#N/A,TRUE,"PERSONAL(FJ)B";"MF-604",#N/A,TRUE,"REACT-P(B)";"MF-6XX",#N/A,TRUE,"Resumen";"MF-605",#N/A,TRUE,"OTR-COS.FJ(B)"}</definedName>
    <definedName name="hddfh" hidden="1">{"MF-601",#N/A,TRUE,"MANT-EX-B(fJ)";"MF-602",#N/A,TRUE,"ELECTR-FJ(B)";"MF-603",#N/A,TRUE,"PERSONAL(FJ)B";"MF-604",#N/A,TRUE,"REACT-P(B)";"MF-6XX",#N/A,TRUE,"Resumen";"MF-605",#N/A,TRUE,"OTR-COS.FJ(B)"}</definedName>
    <definedName name="hde">#REF!</definedName>
    <definedName name="hdf" localSheetId="3" hidden="1">{"Datos",#N/A,TRUE,"Datos"}</definedName>
    <definedName name="hdf" hidden="1">{"Datos",#N/A,TRUE,"Datos"}</definedName>
    <definedName name="hdfyftrt" localSheetId="3" hidden="1">{"sheet1",#N/A,FALSE,"easheet";"sheet2a",#N/A,FALSE,"easheet";"sheet2b",#N/A,FALSE,"easheet";"sheet3",#N/A,FALSE,"easheet"}</definedName>
    <definedName name="hdfyftrt" hidden="1">{"sheet1",#N/A,FALSE,"easheet";"sheet2a",#N/A,FALSE,"easheet";"sheet2b",#N/A,FALSE,"easheet";"sheet3",#N/A,FALSE,"easheet"}</definedName>
    <definedName name="hdsfhdgs">#REF!</definedName>
    <definedName name="hdsz">#REF!</definedName>
    <definedName name="HEADDAYA3">#REF!,#REF!,#REF!,#REF!,#REF!,#REF!,#REF!,#REF!,#REF!,#REF!,#REF!,#REF!,#REF!</definedName>
    <definedName name="HEADDAYA4">#REF!,#REF!,#REF!,#REF!,#REF!,#REF!,#REF!,#REF!,#REF!,#REF!,#REF!,#REF!,#REF!,#REF!,#REF!,#REF!,#REF!</definedName>
    <definedName name="HeadWall">#REF!</definedName>
    <definedName name="HEADWEEKA3">#REF!,#REF!,#REF!,#REF!,#REF!,#REF!,#REF!,#REF!,#REF!,#REF!,#REF!,#REF!</definedName>
    <definedName name="HEADWEEKA4">#REF!,#REF!,#REF!,#REF!,#REF!,#REF!,#REF!,#REF!,#REF!,#REF!,#REF!,#REF!</definedName>
    <definedName name="Health_Rate">#REF!</definedName>
    <definedName name="HEIGHT_1000mm_dia._GRP">#REF!</definedName>
    <definedName name="HEIGHT_100mm_thk_blinding">#REF!</definedName>
    <definedName name="HEIGHT_1300mm_high_upstand">#REF!</definedName>
    <definedName name="HEIGHT_1600mm_thk_base_slab">#REF!</definedName>
    <definedName name="HEIGHT_200mm_thick_cantilever_slab">#REF!</definedName>
    <definedName name="HEIGHT_20mm_Isolation_Joint">#REF!</definedName>
    <definedName name="HEIGHT_22KV_SWITCHGEAR_GR_651">#REF!</definedName>
    <definedName name="HEIGHT_22KV_SWITCHGEAR_under_eqpt__GR_651">#REF!</definedName>
    <definedName name="HEIGHT_22KV_SWITCHGEAR_under_walk__GR_651">#REF!</definedName>
    <definedName name="HEIGHT_300mm_thk_base_slab">#REF!</definedName>
    <definedName name="HEIGHT_300mm_thk_Susp._slab">#REF!</definedName>
    <definedName name="HEIGHT_4mm_thk_below_ground_waterproofing">#REF!</definedName>
    <definedName name="HEIGHT_4mm_thk_roof_covering_system">#REF!</definedName>
    <definedName name="HEIGHT_500mm_thk_base_slab">#REF!</definedName>
    <definedName name="HEIGHT_75mm_thk_blinding">#REF!</definedName>
    <definedName name="HEIGHT_800mm_thk_base_slab">#REF!</definedName>
    <definedName name="HEIGHT_AC_DC_GR_658">#REF!</definedName>
    <definedName name="HEIGHT_Access_drive_rear">#REF!</definedName>
    <definedName name="HEIGHT_Access_drive_rear_F.1">#REF!</definedName>
    <definedName name="HEIGHT_Access_tunnel">#REF!</definedName>
    <definedName name="HEIGHT_AGV_depot">#REF!</definedName>
    <definedName name="HEIGHT_Air_filter_chamber">#REF!</definedName>
    <definedName name="HEIGHT_Air_intake_trench">#REF!</definedName>
    <definedName name="HEIGHT_AUX_1_GR_653">#REF!</definedName>
    <definedName name="HEIGHT_AUX_2_GR_654">#REF!</definedName>
    <definedName name="HEIGHT_b10s1">#REF!</definedName>
    <definedName name="HEIGHT_b20s2">#REF!</definedName>
    <definedName name="HEIGHT_b30s2">#REF!</definedName>
    <definedName name="HEIGHT_b50s3">#REF!</definedName>
    <definedName name="HEIGHT_BASEMENT_BS_651">#REF!</definedName>
    <definedName name="HEIGHT_BATTERY_GR_659">#REF!</definedName>
    <definedName name="HEIGHT_Beam_B1_400X700_">#REF!</definedName>
    <definedName name="HEIGHT_Beam_B2_300X700_">#REF!</definedName>
    <definedName name="HEIGHT_Below_ground_horizontal">#REF!</definedName>
    <definedName name="HEIGHT_Below_tunnel_horizontal">#REF!</definedName>
    <definedName name="HEIGHT_Blinding">#REF!</definedName>
    <definedName name="Height_BP">#REF!</definedName>
    <definedName name="HEIGHT_Break">#REF!</definedName>
    <definedName name="HEIGHT_Break.F">#REF!</definedName>
    <definedName name="HEIGHT_Break_room">#REF!</definedName>
    <definedName name="HEIGHT_Break_room.1">#REF!</definedName>
    <definedName name="HEIGHT_Cable_trench_slab_200mm_thk">#REF!</definedName>
    <definedName name="HEIGHT_Cable_trench_wall_800mm_high">#REF!</definedName>
    <definedName name="HEIGHT_Comm">#REF!</definedName>
    <definedName name="HEIGHT_COMMU.ROOM_GR_660">#REF!</definedName>
    <definedName name="HEIGHT_Communication_room">#REF!</definedName>
    <definedName name="HEIGHT_Control.1">#REF!</definedName>
    <definedName name="HEIGHT_CONTROL_ROOM_GR_657">#REF!</definedName>
    <definedName name="HEIGHT_Corridor">#REF!</definedName>
    <definedName name="HEIGHT_Corridor.1">#REF!</definedName>
    <definedName name="HEIGHT_Corridor.2">#REF!</definedName>
    <definedName name="HEIGHT_Corridor.3">#REF!</definedName>
    <definedName name="HEIGHT_Corridor.4">#REF!</definedName>
    <definedName name="HEIGHT_CORRIDOR_GR_665">#REF!</definedName>
    <definedName name="HEIGHT_CT___02">#REF!</definedName>
    <definedName name="HEIGHT_Duct_from_SS_to_Trench">#REF!</definedName>
    <definedName name="HEIGHT_Elec">#REF!</definedName>
    <definedName name="HEIGHT_Elec.1">#REF!</definedName>
    <definedName name="HEIGHT_Elec.2">#REF!</definedName>
    <definedName name="HEIGHT_Electrical">#REF!</definedName>
    <definedName name="HEIGHT_Electrical.1">#REF!</definedName>
    <definedName name="HEIGHT_Electrical.f">#REF!</definedName>
    <definedName name="HEIGHT_Electrical_room">#REF!</definedName>
    <definedName name="HEIGHT_Elev._equip">#REF!</definedName>
    <definedName name="HEIGHT_EP___01">#REF!</definedName>
    <definedName name="HEIGHT_EP___02">#REF!</definedName>
    <definedName name="HEIGHT_EP_01_S">#REF!</definedName>
    <definedName name="HEIGHT_EP_02_S">#REF!</definedName>
    <definedName name="HEIGHT_Epoxy_paint_anti_fungus">#REF!</definedName>
    <definedName name="HEIGHT_Excation">#REF!</definedName>
    <definedName name="HEIGHT_Exit_passageway">#REF!</definedName>
    <definedName name="HEIGHT_Exit_passageway.1">#REF!</definedName>
    <definedName name="HEIGHT_Exit_passageway.2">#REF!</definedName>
    <definedName name="HEIGHT_Exit_passageway.F">#REF!</definedName>
    <definedName name="HEIGHT_Exit_passageway_1">#REF!</definedName>
    <definedName name="HEIGHT_Fair_faced_concrete">#REF!</definedName>
    <definedName name="HEIGHT_False_Ceiling">#REF!</definedName>
    <definedName name="HEIGHT_Fan_room">#REF!</definedName>
    <definedName name="HEIGHT_Fan_room.2">#REF!</definedName>
    <definedName name="HEIGHT_Female_toilet_shower.F">#REF!</definedName>
    <definedName name="HEIGHT_Fencing">#REF!</definedName>
    <definedName name="HEIGHT_FF_conc._w_epoxy_paint_anti_fungus">#REF!</definedName>
    <definedName name="HEIGHT_Filters.RF">#REF!</definedName>
    <definedName name="HEIGHT_FIRE_FIGHTING_GR_656">#REF!</definedName>
    <definedName name="HEIGHT_Fire_riser">#REF!</definedName>
    <definedName name="HEIGHT_Fire_riser.F">#REF!</definedName>
    <definedName name="HEIGHT_FL_01_General_floor">#REF!</definedName>
    <definedName name="HEIGHT_FL_01_Ramps">#REF!</definedName>
    <definedName name="HEIGHT_FL_02_Traffic_islands___Raised_area">#REF!</definedName>
    <definedName name="HEIGHT_FL_03__Kerbs_3">#REF!</definedName>
    <definedName name="HEIGHT_FL_03_Raised_Kerbs">#REF!</definedName>
    <definedName name="HEIGHT_FL_04_Wheel_stops">#REF!</definedName>
    <definedName name="HEIGHT_FL_05_Bay_Numbers">#REF!</definedName>
    <definedName name="HEIGHT_FL_05_Disable_signage">#REF!</definedName>
    <definedName name="HEIGHT_FL_05_Left_turn_Arrow_616">#REF!</definedName>
    <definedName name="HEIGHT_FL_05_Parking_line_100mm_thk">#REF!</definedName>
    <definedName name="HEIGHT_FL_05_Parking_line_280mm_thk">#REF!</definedName>
    <definedName name="HEIGHT_FL_05_Parking_line_390mm_thk">#REF!</definedName>
    <definedName name="HEIGHT_FL_05_Parking_line_530mm_thk">#REF!</definedName>
    <definedName name="HEIGHT_FL_05_Right_turn_Arrow_615">#REF!</definedName>
    <definedName name="HEIGHT_FL_05_Straight_Arrow_614">#REF!</definedName>
    <definedName name="HEIGHT_FL_05_Straight_Right_Arrow_617">#REF!</definedName>
    <definedName name="HEIGHT_FL_06_Ped._Walkways">#REF!</definedName>
    <definedName name="HEIGHT_Footing_F1_400mm_high">#REF!</definedName>
    <definedName name="HEIGHT_GB1_300X750mm">#REF!</definedName>
    <definedName name="HEIGHT_GB2_400X750mm">#REF!</definedName>
    <definedName name="HEIGHT_GENERATOR_1_GR_671">#REF!</definedName>
    <definedName name="HEIGHT_GENERATOR_2_GR_672">#REF!</definedName>
    <definedName name="HEIGHT_GIS_ROOM_GR_652">#REF!</definedName>
    <definedName name="HEIGHT_GIS_ROOM_under_eqpt__GR_652">#REF!</definedName>
    <definedName name="HEIGHT_GIS_ROOM_under_walkable__GR_652">#REF!</definedName>
    <definedName name="HEIGHT_Grade_Slab_200mm_thk">#REF!</definedName>
    <definedName name="HEIGHT_Ground_Beam_GB1_350X500_">#REF!</definedName>
    <definedName name="HEIGHT_Ground_Beam_GB2_300X500_">#REF!</definedName>
    <definedName name="HEIGHT_GUARD_ROOM_GR_666">#REF!</definedName>
    <definedName name="HEIGHT_GUARD_WC_GR_669">#REF!</definedName>
    <definedName name="HEIGHT_Hangar_11">#REF!</definedName>
    <definedName name="HEIGHT_Hangar_12">#REF!</definedName>
    <definedName name="HEIGHT_Imam_office">#REF!</definedName>
    <definedName name="Height_Ind">#REF!</definedName>
    <definedName name="HEIGHT_Janitor">#REF!</definedName>
    <definedName name="HEIGHT_Janitor.1">#REF!</definedName>
    <definedName name="HEIGHT_L1_300X400">#REF!</definedName>
    <definedName name="HEIGHT_L1_300X500">#REF!</definedName>
    <definedName name="HEIGHT_L1_300X600">#REF!</definedName>
    <definedName name="HEIGHT_L4_300X400">#REF!</definedName>
    <definedName name="HEIGHT_L4_300X500">#REF!</definedName>
    <definedName name="HEIGHT_L4_300X600">#REF!</definedName>
    <definedName name="HEIGHT_L4_350X500">#REF!</definedName>
    <definedName name="HEIGHT_L4_500X500">#REF!</definedName>
    <definedName name="HEIGHT_L6_300X300">#REF!</definedName>
    <definedName name="HEIGHT_L6_300X500">#REF!</definedName>
    <definedName name="HEIGHT_Line_hangar_1">#REF!</definedName>
    <definedName name="HEIGHT_Mech">#REF!</definedName>
    <definedName name="HEIGHT_Mech.">#REF!</definedName>
    <definedName name="HEIGHT_Mech.1">#REF!</definedName>
    <definedName name="HEIGHT_Mech.2">#REF!</definedName>
    <definedName name="HEIGHT_Mechanical">#REF!</definedName>
    <definedName name="HEIGHT_Mechanical.1">#REF!</definedName>
    <definedName name="HEIGHT_Mechanical.PH">#REF!</definedName>
    <definedName name="HEIGHT_Mechanical.RF">#REF!</definedName>
    <definedName name="HEIGHT_Mechanical_room">#REF!</definedName>
    <definedName name="HEIGHT_MEDIUM_VOLTAGE_RM_GR_670">#REF!</definedName>
    <definedName name="HEIGHT_Men_toilet_shower">#REF!</definedName>
    <definedName name="HEIGHT_Men_toilet_shower.1">#REF!</definedName>
    <definedName name="HEIGHT_Men_toilet_shower.F">#REF!</definedName>
    <definedName name="HEIGHT_Mens_toilet">#REF!</definedName>
    <definedName name="HEIGHT_Mens_toilet.F">#REF!</definedName>
    <definedName name="HEIGHT_Office">#REF!</definedName>
    <definedName name="HEIGHT_Office.1">#REF!</definedName>
    <definedName name="HEIGHT_Office_1">#REF!</definedName>
    <definedName name="HEIGHT_Office_2">#REF!</definedName>
    <definedName name="HEIGHT_Office_3">#REF!</definedName>
    <definedName name="HEIGHT_OFFICE_GR_663">#REF!</definedName>
    <definedName name="HEIGHT_OFFICE_GR_664">#REF!</definedName>
    <definedName name="HEIGHT_Offices">#REF!</definedName>
    <definedName name="HEIGHT_OIL_PIT_B_655">#REF!</definedName>
    <definedName name="HEIGHT_OIL_PIT_B_656">#REF!</definedName>
    <definedName name="HEIGHT_OIL_PIT_BS_654">#REF!</definedName>
    <definedName name="HEIGHT_Open_office">#REF!</definedName>
    <definedName name="HEIGHT_OPen_office.1">#REF!</definedName>
    <definedName name="HEIGHT_Open_office.F">#REF!</definedName>
    <definedName name="HEIGHT_Paint_hangar_1">#REF!</definedName>
    <definedName name="HEIGHT_Paint_hold.1">#REF!</definedName>
    <definedName name="HEIGHT_Paint_mix">#REF!</definedName>
    <definedName name="HEIGHT_Paint_mix.1">#REF!</definedName>
    <definedName name="HEIGHT_Paint_shop">#REF!</definedName>
    <definedName name="HEIGHT_Paint_shop.1">#REF!</definedName>
    <definedName name="HEIGHT_Paint_store">#REF!</definedName>
    <definedName name="HEIGHT_Painted_plaster">#REF!</definedName>
    <definedName name="HEIGHT_PANTRY_GR_662">#REF!</definedName>
    <definedName name="HEIGHT_Parapet_at_transformer_room">#REF!</definedName>
    <definedName name="HEIGHT_Parts">#REF!</definedName>
    <definedName name="HEIGHT_Parts.1">#REF!</definedName>
    <definedName name="HEIGHT_Parts_">#REF!</definedName>
    <definedName name="HEIGHT_Plaster_Anti_alkaline_paint">#REF!</definedName>
    <definedName name="HEIGHT_Plot_Area">#REF!</definedName>
    <definedName name="HEIGHT_Prayer_room">#REF!</definedName>
    <definedName name="HEIGHT_PT___10">#REF!</definedName>
    <definedName name="HEIGHT_PT_01_S">#REF!</definedName>
    <definedName name="HEIGHT_RC_base">#REF!</definedName>
    <definedName name="HEIGHT_RC_Wall">#REF!</definedName>
    <definedName name="HEIGHT_RC_Wall_300W_3500H">#REF!</definedName>
    <definedName name="HEIGHT_RC_Wall_300W_867H">#REF!</definedName>
    <definedName name="HEIGHT_RC_Wall_400W_3500H">#REF!</definedName>
    <definedName name="HEIGHT_RC_Wall_400W_3700H">#REF!</definedName>
    <definedName name="HEIGHT_RC_Wall_500W_11670H">#REF!</definedName>
    <definedName name="HEIGHT_RC_Wall_500W_12770H">#REF!</definedName>
    <definedName name="HEIGHT_RC_Wall_600W_4000H">#REF!</definedName>
    <definedName name="HEIGHT_RC_Wall_600W_5000H">#REF!</definedName>
    <definedName name="HEIGHT_RC_Wall_800W_4800H">#REF!</definedName>
    <definedName name="HEIGHT_RC_Wall_800W_6500H">#REF!</definedName>
    <definedName name="HEIGHT_Receiver_tanks">#REF!</definedName>
    <definedName name="HEIGHT_Removal_of_top_soil">#REF!</definedName>
    <definedName name="HEIGHT_Riser">#REF!</definedName>
    <definedName name="HEIGHT_Roof_Beam_RB1_300X600_">#REF!</definedName>
    <definedName name="HEIGHT_Roof_beam_RB1_400X600_">#REF!</definedName>
    <definedName name="HEIGHT_Roof_Beam_RB2_300X600_">#REF!</definedName>
    <definedName name="HEIGHT_Roof_beam_RB2_400X600_">#REF!</definedName>
    <definedName name="HEIGHT_Roof_beam_RB3_300X600_">#REF!</definedName>
    <definedName name="HEIGHT_Roof_beam_RB4_200X400_">#REF!</definedName>
    <definedName name="HEIGHT_Roof_parapet_300mm_high">#REF!</definedName>
    <definedName name="HEIGHT_Roof_Parapet_500mm_high">#REF!</definedName>
    <definedName name="HEIGHT_ROOF_RF_651">#REF!</definedName>
    <definedName name="HEIGHT_ROOF_RF_652">#REF!</definedName>
    <definedName name="HEIGHT_ROOF_RF_653">#REF!</definedName>
    <definedName name="HEIGHT_ROOF_RF_654">#REF!</definedName>
    <definedName name="HEIGHT_Roof_Slab_200mm_thick">#REF!</definedName>
    <definedName name="HEIGHT_Roof_slab_250mm_thk">#REF!</definedName>
    <definedName name="HEIGHT_SC_Columns_C1">#REF!</definedName>
    <definedName name="HEIGHT_SC_Columns_C2">#REF!</definedName>
    <definedName name="HEIGHT_Seat_storage.F1">#REF!</definedName>
    <definedName name="HEIGHT_Seat_storage.F2">#REF!</definedName>
    <definedName name="HEIGHT_SF_01_General_soffit">#REF!</definedName>
    <definedName name="HEIGHT_Slab_S2_180mm_thick">#REF!</definedName>
    <definedName name="HEIGHT_Slab_S3_200mm_thick">#REF!</definedName>
    <definedName name="HEIGHT_Slab_S4_220mm_thick">#REF!</definedName>
    <definedName name="HEIGHT_Slab_S5_250mm_thk">#REF!</definedName>
    <definedName name="HEIGHT_Sloped_Roof_160mm_thick">#REF!</definedName>
    <definedName name="HEIGHT_Smoking.1">#REF!</definedName>
    <definedName name="HEIGHT_Smoking.2">#REF!</definedName>
    <definedName name="HEIGHT_Smoking.F">#REF!</definedName>
    <definedName name="HEIGHT_SS_B1_300X600_450mm_deep">#REF!</definedName>
    <definedName name="HEIGHT_SS_B1_300X700_450mm_deep">#REF!</definedName>
    <definedName name="HEIGHT_SS_B1_300X700_500mm_deep">#REF!</definedName>
    <definedName name="HEIGHT_SS_B1_300X700X520mm_deep">#REF!</definedName>
    <definedName name="HEIGHT_SS_B10_300X600_350mm_deep">#REF!</definedName>
    <definedName name="HEIGHT_SS_B10_300X700_450mm_deep">#REF!</definedName>
    <definedName name="HEIGHT_SS_B10_300X700_480mm_deep">#REF!</definedName>
    <definedName name="HEIGHT_SS_B10_350X700_450mm_deep">#REF!</definedName>
    <definedName name="HEIGHT_SS_B10_350X700_500mm_deep">#REF!</definedName>
    <definedName name="HEIGHT_SS_B11_300X700_450mm_deep">#REF!</definedName>
    <definedName name="HEIGHT_SS_B11_400X800_550mm_deep">#REF!</definedName>
    <definedName name="HEIGHT_SS_B12_200X600_380mm_deep">#REF!</definedName>
    <definedName name="HEIGHT_SS_B12_300X700">#REF!</definedName>
    <definedName name="HEIGHT_SS_B12_300X700_500mm_deep">#REF!</definedName>
    <definedName name="HEIGHT_SS_B12_300X700_520mm_deep">#REF!</definedName>
    <definedName name="HEIGHT_SS_B12_300X700_580mm_deep">#REF!</definedName>
    <definedName name="HEIGHT_SS_B13_300X700_480mm_deep">#REF!</definedName>
    <definedName name="HEIGHT_SS_B13_350X700_450mm_deep">#REF!</definedName>
    <definedName name="HEIGHT_SS_B14_300X700_450mm_deep">#REF!</definedName>
    <definedName name="HEIGHT_SS_B14_300X700_500mm_deep">#REF!</definedName>
    <definedName name="HEIGHT_SS_B15_300X700_450mm_deep">#REF!</definedName>
    <definedName name="HEIGHT_SS_B15_350X700_450mm_deep">#REF!</definedName>
    <definedName name="HEIGHT_SS_B15_350X700_500mm_deep">#REF!</definedName>
    <definedName name="HEIGHT_SS_B16_300X700">#REF!</definedName>
    <definedName name="HEIGHT_SS_B16_300X700_520mm_deep">#REF!</definedName>
    <definedName name="HEIGHT_SS_B16_350X700_500mm_deep">#REF!</definedName>
    <definedName name="HEIGHT_SS_B17_300X700">#REF!</definedName>
    <definedName name="HEIGHT_SS_B18_300X700_480mm_deep">#REF!</definedName>
    <definedName name="HEIGHT_SS_B18_300X700_500mm_deep">#REF!</definedName>
    <definedName name="HEIGHT_SS_B18300X700">#REF!</definedName>
    <definedName name="HEIGHT_SS_B19_300X700_450mm_deep">#REF!</definedName>
    <definedName name="HEIGHT_SS_B19_300X700_500mm_deep">#REF!</definedName>
    <definedName name="HEIGHT_SS_B2_400X800_550mm_deep">#REF!</definedName>
    <definedName name="HEIGHT_SS_B20_300X700_450mm_deep">#REF!</definedName>
    <definedName name="HEIGHT_SS_B20_300X700_520mm_deep">#REF!</definedName>
    <definedName name="HEIGHT_SS_B21_300X700_450mm_deep">#REF!</definedName>
    <definedName name="HEIGHT_SS_B22_300X700_450mm_deep">#REF!</definedName>
    <definedName name="HEIGHT_SS_B23_300X700_500mm_deep">#REF!</definedName>
    <definedName name="HEIGHT_SS_B24_300X700_500mm_deep">#REF!</definedName>
    <definedName name="HEIGHT_SS_B25_300X700_480mm_deep">#REF!</definedName>
    <definedName name="HEIGHT_SS_B26_300X500_340mm_deep">#REF!</definedName>
    <definedName name="HEIGHT_SS_B27_300X500_340___deep">#REF!</definedName>
    <definedName name="HEIGHT_SS_B28_500X1000_750mm_deep">#REF!</definedName>
    <definedName name="HEIGHT_SS_B29_500X1000_750mm_deep">#REF!</definedName>
    <definedName name="HEIGHT_SS_B3_400X700_480mm_deep">#REF!</definedName>
    <definedName name="HEIGHT_SS_B3_400X800_550mm_deep">#REF!</definedName>
    <definedName name="HEIGHT_SS_B30_500X1000_750mm_deep">#REF!</definedName>
    <definedName name="HEIGHT_SS_B31_500X1000_750mm_deep">#REF!</definedName>
    <definedName name="HEIGHT_SS_B4_300X700_520mm_deep">#REF!</definedName>
    <definedName name="HEIGHT_SS_B4_400X800_550mm_deep">#REF!</definedName>
    <definedName name="HEIGHT_SS_B5_400X800_550mm_deep">#REF!</definedName>
    <definedName name="HEIGHT_SS_B6_300X600_350mm_deep">#REF!</definedName>
    <definedName name="HEIGHT_SS_B6_300X700">#REF!</definedName>
    <definedName name="HEIGHT_SS_B6_300X700_520mm_deep">#REF!</definedName>
    <definedName name="HEIGHT_SS_B7_200X700_450mm_deep">#REF!</definedName>
    <definedName name="HEIGHT_SS_B8_400X800_550mm_deep">#REF!</definedName>
    <definedName name="HEIGHT_SS_B9_300X600_350mm_deep">#REF!</definedName>
    <definedName name="HEIGHT_SS_B9_300X700_450mm_deep">#REF!</definedName>
    <definedName name="HEIGHT_SS_B9_350X700_450mm_deep">#REF!</definedName>
    <definedName name="HEIGHT_SS_B9_350X700_500mm_deep">#REF!</definedName>
    <definedName name="HEIGHT_SS_CA1_300X700">#REF!</definedName>
    <definedName name="HEIGHT_Stair">#REF!</definedName>
    <definedName name="HEIGHT_Stair.1">#REF!</definedName>
    <definedName name="HEIGHT_Stair_10">#REF!</definedName>
    <definedName name="HEIGHT_Stair_11">#REF!</definedName>
    <definedName name="HEIGHT_Stair_11A">#REF!</definedName>
    <definedName name="HEIGHT_Stair_12">#REF!</definedName>
    <definedName name="HEIGHT_Stair_12A">#REF!</definedName>
    <definedName name="HEIGHT_Stair_12B">#REF!</definedName>
    <definedName name="HEIGHT_Stair_13">#REF!</definedName>
    <definedName name="HEIGHT_Stair_14">#REF!</definedName>
    <definedName name="HEIGHT_STAIRCASE_ROOM_BS_668">#REF!</definedName>
    <definedName name="HEIGHT_Storage.1">#REF!</definedName>
    <definedName name="HEIGHT_Storage.F">#REF!</definedName>
    <definedName name="HEIGHT_Storage.F1">#REF!</definedName>
    <definedName name="HEIGHT_Storage.F2">#REF!</definedName>
    <definedName name="HEIGHT_Storage.F3">#REF!</definedName>
    <definedName name="HEIGHT_Storage_F">#REF!</definedName>
    <definedName name="HEIGHT_STORE_GR_655">#REF!</definedName>
    <definedName name="HEIGHT_Strip_footings_400mm_thk">#REF!</definedName>
    <definedName name="HEIGHT_Strip_footings_500mm_thk">#REF!</definedName>
    <definedName name="HEIGHT_Sub_Str._RC_Wall_250mm_thk">#REF!</definedName>
    <definedName name="HEIGHT_Sub_str._RC_Wall_400mm_thk">#REF!</definedName>
    <definedName name="HEIGHT_Sub_Str._Trench_wall_250mm_thick">#REF!</definedName>
    <definedName name="HEIGHT_Sub_Str.RC_Wall_300mm_thk">#REF!</definedName>
    <definedName name="HEIGHT_Superstr._Basement_Wall_250mm_thick">#REF!</definedName>
    <definedName name="HEIGHT_Surface_Bed_S_120mm_thick">#REF!</definedName>
    <definedName name="HEIGHT_Surface_Bed_S1_150mm_thick">#REF!</definedName>
    <definedName name="HEIGHT_Surface_Bed_S5_250mm_thk">#REF!</definedName>
    <definedName name="HEIGHT_Tech.">#REF!</definedName>
    <definedName name="HEIGHT_Tech._library">#REF!</definedName>
    <definedName name="HEIGHT_Tech.1">#REF!</definedName>
    <definedName name="HEIGHT_Tech_library.1">#REF!</definedName>
    <definedName name="HEIGHT_TL___01">#REF!</definedName>
    <definedName name="HEIGHT_TL___04">#REF!</definedName>
    <definedName name="HEIGHT_TL___09">#REF!</definedName>
    <definedName name="HEIGHT_TL___10">#REF!</definedName>
    <definedName name="HEIGHT_TL___11">#REF!</definedName>
    <definedName name="HEIGHT_TL___12_S">#REF!</definedName>
    <definedName name="HEIGHT_TL_04_S">#REF!</definedName>
    <definedName name="HEIGHT_TL_09_S">#REF!</definedName>
    <definedName name="HEIGHT_TOILETS_GR_661">#REF!</definedName>
    <definedName name="HEIGHT_Tool_crib">#REF!</definedName>
    <definedName name="HEIGHT_Tool_crib.1">#REF!</definedName>
    <definedName name="HEIGHT_Tools">#REF!</definedName>
    <definedName name="HEIGHT_Tools_CE_P">#REF!</definedName>
    <definedName name="HEIGHT_Tools_CE_P.1">#REF!</definedName>
    <definedName name="HEIGHT_Training.F">#REF!</definedName>
    <definedName name="HEIGHT_Training_room">#REF!</definedName>
    <definedName name="HEIGHT_Training_room.1">#REF!</definedName>
    <definedName name="HEIGHT_TRENCH_BS_653">#REF!</definedName>
    <definedName name="HEIGHT_TUNNEL_BS_652">#REF!</definedName>
    <definedName name="HEIGHT_Type_E_Scratched_Finish">#REF!</definedName>
    <definedName name="HEIGHT_Type_F_Smooth_finish">#REF!</definedName>
    <definedName name="HEIGHT_Warming_kitchen">#REF!</definedName>
    <definedName name="HEIGHT_Wash_hangar_2">#REF!</definedName>
    <definedName name="HEIGHT_WL_01_General_walls">#REF!</definedName>
    <definedName name="HEIGHT_WL_01_Upstand">#REF!</definedName>
    <definedName name="HEIGHT_WL_02_Columns_and_Corners">#REF!</definedName>
    <definedName name="HEIGHT_WL_03_Bollards___100dia">#REF!</definedName>
    <definedName name="HEIGHT_WL_03_Bollards___150dia">#REF!</definedName>
    <definedName name="HEIGHT_Womens_toilet">#REF!</definedName>
    <definedName name="HEIGHT_Womens_toilet.F">#REF!</definedName>
    <definedName name="HEIGHT_WORKSHOP_GR_667">#REF!</definedName>
    <definedName name="hello">#REF!</definedName>
    <definedName name="henry" localSheetId="3" hidden="1">{"offequipsch",#N/A,FALSE,"GTC_Schedule";"onconstsch",#N/A,FALSE,"GTC_Schedule";"techsch",#N/A,FALSE,"GTC_Schedule";"totsch",#N/A,FALSE,"GTC_Schedule"}</definedName>
    <definedName name="henry" hidden="1">{"offequipsch",#N/A,FALSE,"GTC_Schedule";"onconstsch",#N/A,FALSE,"GTC_Schedule";"techsch",#N/A,FALSE,"GTC_Schedule";"totsch",#N/A,FALSE,"GTC_Schedule"}</definedName>
    <definedName name="HERE">#REF!</definedName>
    <definedName name="here2">#REF!</definedName>
    <definedName name="hesh">#REF!</definedName>
    <definedName name="hesh4">#REF!</definedName>
    <definedName name="hf">#REF!</definedName>
    <definedName name="hfd"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hidden="1">{#N/A,#N/A,FALSE,"CCTV"}</definedName>
    <definedName name="hfgh" hidden="1">{#N/A,#N/A,TRUE,"Cover";#N/A,#N/A,TRUE,"Conts";#N/A,#N/A,TRUE,"VOS";#N/A,#N/A,TRUE,"Warrington";#N/A,#N/A,TRUE,"Widnes"}</definedName>
    <definedName name="hfhgf" localSheetId="3" hidden="1">{#N/A,#N/A,TRUE,"Cover";#N/A,#N/A,TRUE,"Conts";#N/A,#N/A,TRUE,"VOS";#N/A,#N/A,TRUE,"Warrington";#N/A,#N/A,TRUE,"Widnes"}</definedName>
    <definedName name="hfhgf" hidden="1">{#N/A,#N/A,TRUE,"Cover";#N/A,#N/A,TRUE,"Conts";#N/A,#N/A,TRUE,"VOS";#N/A,#N/A,TRUE,"Warrington";#N/A,#N/A,TRUE,"Widnes"}</definedName>
    <definedName name="HFJ">#REF!</definedName>
    <definedName name="hfjhhjj" hidden="1">{#N/A,#N/A,FALSE,"CCTV"}</definedName>
    <definedName name="hframe" localSheetId="3" hidden="1">{#N/A,#N/A,TRUE,"Front";#N/A,#N/A,TRUE,"Simple Letter";#N/A,#N/A,TRUE,"Inside";#N/A,#N/A,TRUE,"Contents";#N/A,#N/A,TRUE,"Basis";#N/A,#N/A,TRUE,"Inclusions";#N/A,#N/A,TRUE,"Exclusions";#N/A,#N/A,TRUE,"Areas";#N/A,#N/A,TRUE,"Summary";#N/A,#N/A,TRUE,"Detail"}</definedName>
    <definedName name="hframe" hidden="1">{#N/A,#N/A,TRUE,"Front";#N/A,#N/A,TRUE,"Simple Letter";#N/A,#N/A,TRUE,"Inside";#N/A,#N/A,TRUE,"Contents";#N/A,#N/A,TRUE,"Basis";#N/A,#N/A,TRUE,"Inclusions";#N/A,#N/A,TRUE,"Exclusions";#N/A,#N/A,TRUE,"Areas";#N/A,#N/A,TRUE,"Summary";#N/A,#N/A,TRUE,"Detail"}</definedName>
    <definedName name="hfrytr" localSheetId="3" hidden="1">{"offequipsch",#N/A,FALSE,"GTC_Schedule";"onconstsch",#N/A,FALSE,"GTC_Schedule";"techsch",#N/A,FALSE,"GTC_Schedule";"totsch",#N/A,FALSE,"GTC_Schedule"}</definedName>
    <definedName name="hfrytr" hidden="1">{"offequipsch",#N/A,FALSE,"GTC_Schedule";"onconstsch",#N/A,FALSE,"GTC_Schedule";"techsch",#N/A,FALSE,"GTC_Schedule";"totsch",#N/A,FALSE,"GTC_Schedule"}</definedName>
    <definedName name="hfs" localSheetId="3" hidden="1">{"Datos",#N/A,TRUE,"Datos"}</definedName>
    <definedName name="hfs" hidden="1">{"Datos",#N/A,TRUE,"Datos"}</definedName>
    <definedName name="hg" localSheetId="3" hidden="1">{"MF-601",#N/A,TRUE,"MANT-EX-B(fJ)";"MF-602",#N/A,TRUE,"ELECTR-FJ(B)";"MF-603",#N/A,TRUE,"PERSONAL(FJ)B";"MF-604",#N/A,TRUE,"REACT-P(B)";"MF-605",#N/A,TRUE,"OTR-COS.FJ(B)";"MF-60X",#N/A,TRUE,"Resumen"}</definedName>
    <definedName name="hg" hidden="1">{"MF-601",#N/A,TRUE,"MANT-EX-B(fJ)";"MF-602",#N/A,TRUE,"ELECTR-FJ(B)";"MF-603",#N/A,TRUE,"PERSONAL(FJ)B";"MF-604",#N/A,TRUE,"REACT-P(B)";"MF-605",#N/A,TRUE,"OTR-COS.FJ(B)";"MF-60X",#N/A,TRUE,"Resumen"}</definedName>
    <definedName name="hgfdhg">#REF!</definedName>
    <definedName name="hgfh" localSheetId="3" hidden="1">{"Total Indirect Manpower",#N/A,FALSE,"J";"Total Direct Manpower",#N/A,FALSE,"J";"Direct Structural Manpower",#N/A,FALSE,"J";"Direct Mechanical Manpower",#N/A,FALSE,"J";"Direct Piping Manpower",#N/A,FALSE,"J";"Direct Tanks Manpower",#N/A,FALSE,"J";"Direct ElecInstrSS Manpower",#N/A,FALSE,"J"}</definedName>
    <definedName name="hgfh" hidden="1">{"Total Indirect Manpower",#N/A,FALSE,"J";"Total Direct Manpower",#N/A,FALSE,"J";"Direct Structural Manpower",#N/A,FALSE,"J";"Direct Mechanical Manpower",#N/A,FALSE,"J";"Direct Piping Manpower",#N/A,FALSE,"J";"Direct Tanks Manpower",#N/A,FALSE,"J";"Direct ElecInstrSS Manpower",#N/A,FALSE,"J"}</definedName>
    <definedName name="hgfhfghgh" hidden="1">{#N/A,#N/A,TRUE,"Cover";#N/A,#N/A,TRUE,"Conts";#N/A,#N/A,TRUE,"VOS";#N/A,#N/A,TRUE,"Warrington";#N/A,#N/A,TRUE,"Widnes"}</definedName>
    <definedName name="hgfhh" localSheetId="3" hidden="1">{"Datos",#N/A,TRUE,"Datos"}</definedName>
    <definedName name="hgfhh" hidden="1">{"Datos",#N/A,TRUE,"Datos"}</definedName>
    <definedName name="hghg">#REF!</definedName>
    <definedName name="hgjfgh" hidden="1">{#N/A,#N/A,FALSE,"CCTV"}</definedName>
    <definedName name="hgjgfhgh" hidden="1">{#N/A,#N/A,FALSE,"CCTV"}</definedName>
    <definedName name="HH">#REF!</definedName>
    <definedName name="hh___0">#REF!</definedName>
    <definedName name="hh___13">#REF!</definedName>
    <definedName name="hhfgh" hidden="1">{#N/A,#N/A,TRUE,"Cover";#N/A,#N/A,TRUE,"Conts";#N/A,#N/A,TRUE,"VOS";#N/A,#N/A,TRUE,"Warrington";#N/A,#N/A,TRUE,"Widnes"}</definedName>
    <definedName name="HHH">#REF!</definedName>
    <definedName name="hhhh" hidden="1">#REF!</definedName>
    <definedName name="hhhhh">#REF!</definedName>
    <definedName name="hhhhhhhhhhhhhhhhhh">#REF!</definedName>
    <definedName name="HHHJ" hidden="1">{#N/A,#N/A,TRUE,"Cover";#N/A,#N/A,TRUE,"Conts";#N/A,#N/A,TRUE,"VOS";#N/A,#N/A,TRUE,"Warrington";#N/A,#N/A,TRUE,"Widnes"}</definedName>
    <definedName name="hhjjk">#REF!</definedName>
    <definedName name="hhkl"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i">#REF!</definedName>
    <definedName name="HiddenRows" hidden="1">#REF!</definedName>
    <definedName name="high_res_area" localSheetId="3">#REF!,#REF!</definedName>
    <definedName name="high_res_area">#REF!,#REF!</definedName>
    <definedName name="hikil" localSheetId="3" hidden="1">{"Datos",#N/A,TRUE,"Datos"}</definedName>
    <definedName name="hikil" hidden="1">{"Datos",#N/A,TRUE,"Datos"}</definedName>
    <definedName name="HINDHUSTAN">#REF!</definedName>
    <definedName name="HIns">#REF!</definedName>
    <definedName name="Hire">#REF!</definedName>
    <definedName name="Hire_Cost">#REF!</definedName>
    <definedName name="hj" hidden="1">#REF!</definedName>
    <definedName name="hjdfjt" localSheetId="3" hidden="1">{"Datos",#N/A,TRUE,"Datos"}</definedName>
    <definedName name="hjdfjt" hidden="1">{"Datos",#N/A,TRUE,"Datos"}</definedName>
    <definedName name="hjdj" localSheetId="3" hidden="1">{#N/A,#N/A,TRUE,"Cover";#N/A,#N/A,TRUE,"Conts";#N/A,#N/A,TRUE,"VOS";#N/A,#N/A,TRUE,"Warrington";#N/A,#N/A,TRUE,"Widnes"}</definedName>
    <definedName name="hjdj" hidden="1">{#N/A,#N/A,TRUE,"Cover";#N/A,#N/A,TRUE,"Conts";#N/A,#N/A,TRUE,"VOS";#N/A,#N/A,TRUE,"Warrington";#N/A,#N/A,TRUE,"Widnes"}</definedName>
    <definedName name="hjgdj" localSheetId="3" hidden="1">{"Datos",#N/A,TRUE,"Datos"}</definedName>
    <definedName name="hjgdj" hidden="1">{"Datos",#N/A,TRUE,"Datos"}</definedName>
    <definedName name="hjgfhj" localSheetId="3" hidden="1">{"Datos",#N/A,TRUE,"Datos"}</definedName>
    <definedName name="hjgfhj" hidden="1">{"Datos",#N/A,TRUE,"Datos"}</definedName>
    <definedName name="hjggh" localSheetId="3" hidden="1">{"MF-601",#N/A,TRUE,"MANT-EX-B(fJ)";"MF-602",#N/A,TRUE,"ELECTR-FJ(B)";"MF-603",#N/A,TRUE,"PERSONAL(FJ)B";"MF-604",#N/A,TRUE,"REACT-P(B)";"MF-6XX",#N/A,TRUE,"Resumen";"MF-605",#N/A,TRUE,"OTR-COS.FJ(B)"}</definedName>
    <definedName name="hjggh" hidden="1">{"MF-601",#N/A,TRUE,"MANT-EX-B(fJ)";"MF-602",#N/A,TRUE,"ELECTR-FJ(B)";"MF-603",#N/A,TRUE,"PERSONAL(FJ)B";"MF-604",#N/A,TRUE,"REACT-P(B)";"MF-6XX",#N/A,TRUE,"Resumen";"MF-605",#N/A,TRUE,"OTR-COS.FJ(B)"}</definedName>
    <definedName name="hjgk" localSheetId="3" hidden="1">{"Datos",#N/A,TRUE,"Datos"}</definedName>
    <definedName name="hjgk" hidden="1">{"Datos",#N/A,TRUE,"Datos"}</definedName>
    <definedName name="hjj" hidden="1">#REF!</definedName>
    <definedName name="hjk" hidden="1">{#N/A,#N/A,FALSE,"MARCH"}</definedName>
    <definedName name="hjklui"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localSheetId="3" hidden="1">{"offequipsch",#N/A,FALSE,"GTC_Schedule";"onconstsch",#N/A,FALSE,"GTC_Schedule";"techsch",#N/A,FALSE,"GTC_Schedule";"totsch",#N/A,FALSE,"GTC_Schedule"}</definedName>
    <definedName name="hjtfhr" hidden="1">{"offequipsch",#N/A,FALSE,"GTC_Schedule";"onconstsch",#N/A,FALSE,"GTC_Schedule";"techsch",#N/A,FALSE,"GTC_Schedule";"totsch",#N/A,FALSE,"GTC_Schedule"}</definedName>
    <definedName name="hjy" localSheetId="3" hidden="1">{"'Break down'!$A$4"}</definedName>
    <definedName name="hjy" hidden="1">{"'Break down'!$A$4"}</definedName>
    <definedName name="hjyz" localSheetId="3" hidden="1">{"'Break down'!$A$4"}</definedName>
    <definedName name="hjyz" hidden="1">{"'Break down'!$A$4"}</definedName>
    <definedName name="HKD">#REF!</definedName>
    <definedName name="hkfn" localSheetId="3" hidden="1">{"Datos",#N/A,TRUE,"Datos"}</definedName>
    <definedName name="hkfn" hidden="1">{"Datos",#N/A,TRUE,"Datos"}</definedName>
    <definedName name="hkhkhkj">#REF!</definedName>
    <definedName name="hkjjhkhkhk" localSheetId="3"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L2accom">#REF!</definedName>
    <definedName name="HL2ehs">#REF!</definedName>
    <definedName name="HL2hoists">#REF!</definedName>
    <definedName name="HL2it">#REF!</definedName>
    <definedName name="HL2rates">#REF!</definedName>
    <definedName name="HL2version">#REF!</definedName>
    <definedName name="HLdaycharge1">#REF!</definedName>
    <definedName name="HN">#REF!</definedName>
    <definedName name="hn.ExtDb" hidden="1">FALSE</definedName>
    <definedName name="hn.ModelType" hidden="1">"DEAL"</definedName>
    <definedName name="hn.ModelVersion" hidden="1">1</definedName>
    <definedName name="hn.NoUpload" hidden="1">0</definedName>
    <definedName name="ho">#REF!</definedName>
    <definedName name="ho___0">#REF!</definedName>
    <definedName name="ho___13">#REF!</definedName>
    <definedName name="hochtief" localSheetId="3" hidden="1">{#N/A,#N/A,FALSE,"Bericht 2";#N/A,#N/A,FALSE,"Bericht 3";#N/A,#N/A,FALSE,"Bericht 1"}</definedName>
    <definedName name="hochtief" hidden="1">{#N/A,#N/A,FALSE,"Bericht 2";#N/A,#N/A,FALSE,"Bericht 3";#N/A,#N/A,FALSE,"Bericht 1"}</definedName>
    <definedName name="hoi">#REF!</definedName>
    <definedName name="Hoistcalcprnt">#REF!</definedName>
    <definedName name="Hoistinputprnt">#REF!</definedName>
    <definedName name="HOJA_TOTAL">#REF!</definedName>
    <definedName name="hoja3" hidden="1">#REF!</definedName>
    <definedName name="HollywoodTwinArea">#REF!</definedName>
    <definedName name="HollywoodTwinPerimeter">#REF!</definedName>
    <definedName name="Home_curr">#REF!</definedName>
    <definedName name="HomeCell">#REF!</definedName>
    <definedName name="HorizontalArea">#REF!</definedName>
    <definedName name="Horn_Speaker">#REF!</definedName>
    <definedName name="Hosam" localSheetId="3" hidden="1">{#N/A,#N/A,FALSE,"inctrnd99"}</definedName>
    <definedName name="Hosam" hidden="1">{#N/A,#N/A,FALSE,"inctrnd99"}</definedName>
    <definedName name="hosp">#REF!</definedName>
    <definedName name="hosp_com">#REF!</definedName>
    <definedName name="hosp_com.now">#REF!</definedName>
    <definedName name="hosp_com.payment">#REF!</definedName>
    <definedName name="hosp_com.uncommit">#REF!</definedName>
    <definedName name="hosp_com.vo.app">#REF!</definedName>
    <definedName name="hosp_com.vo.pend">#REF!</definedName>
    <definedName name="hosp_ffe">#REF!</definedName>
    <definedName name="hosp_ffe.now">#REF!</definedName>
    <definedName name="hosp_ffe.payment">#REF!</definedName>
    <definedName name="hosp_ffe.uncommit">#REF!</definedName>
    <definedName name="hosp_ffe.vo.app">#REF!</definedName>
    <definedName name="hosp_ffe.vo.pend">#REF!</definedName>
    <definedName name="hot" hidden="1">#REF!</definedName>
    <definedName name="Hotel">#REF!</definedName>
    <definedName name="Hotel_Cover">#REF!</definedName>
    <definedName name="Hotel_Rate">#REF!</definedName>
    <definedName name="Hotel_Stories">#REF!</definedName>
    <definedName name="hourdi">#REF!</definedName>
    <definedName name="house_value_dv">#REF!</definedName>
    <definedName name="house_value_dv_check">#REF!</definedName>
    <definedName name="HPL">#REF!</definedName>
    <definedName name="HR_BUDGET" hidden="1">{#N/A,#N/A,FALSE,"Cover";#N/A,#N/A,FALSE,"Index";#N/A,#N/A,FALSE,"Spec";#N/A,#N/A,FALSE,"Breakdown";#N/A,#N/A,FALSE,"Cost Plan"}</definedName>
    <definedName name="hrcs">#REF!</definedName>
    <definedName name="hrtb">#REF!</definedName>
    <definedName name="hry" localSheetId="3" hidden="1">{"sheet1",#N/A,FALSE,"easheet";"sheet2a",#N/A,FALSE,"easheet";"sheet2b",#N/A,FALSE,"easheet";"sheet3",#N/A,FALSE,"easheet"}</definedName>
    <definedName name="hry" hidden="1">{"sheet1",#N/A,FALSE,"easheet";"sheet2a",#N/A,FALSE,"easheet";"sheet2b",#N/A,FALSE,"easheet";"sheet3",#N/A,FALSE,"easheet"}</definedName>
    <definedName name="hS">#REF!</definedName>
    <definedName name="hS___0">#REF!</definedName>
    <definedName name="hS___13">#REF!</definedName>
    <definedName name="hshjy" localSheetId="3" hidden="1">{#N/A,#N/A,TRUE,"Cover";#N/A,#N/A,TRUE,"Conts";#N/A,#N/A,TRUE,"VOS";#N/A,#N/A,TRUE,"Warrington";#N/A,#N/A,TRUE,"Widnes"}</definedName>
    <definedName name="hshjy" hidden="1">{#N/A,#N/A,TRUE,"Cover";#N/A,#N/A,TRUE,"Conts";#N/A,#N/A,TRUE,"VOS";#N/A,#N/A,TRUE,"Warrington";#N/A,#N/A,TRUE,"Widnes"}</definedName>
    <definedName name="hshxdht" localSheetId="3" hidden="1">{#N/A,#N/A,TRUE,"Cover";#N/A,#N/A,TRUE,"Conts";#N/A,#N/A,TRUE,"VOS";#N/A,#N/A,TRUE,"Warrington";#N/A,#N/A,TRUE,"Widnes"}</definedName>
    <definedName name="hshxdht" hidden="1">{#N/A,#N/A,TRUE,"Cover";#N/A,#N/A,TRUE,"Conts";#N/A,#N/A,TRUE,"VOS";#N/A,#N/A,TRUE,"Warrington";#N/A,#N/A,TRUE,"Widnes"}</definedName>
    <definedName name="hsyhjtyhj" localSheetId="3" hidden="1">{#N/A,#N/A,TRUE,"Cover";#N/A,#N/A,TRUE,"Conts";#N/A,#N/A,TRUE,"VOS";#N/A,#N/A,TRUE,"Warrington";#N/A,#N/A,TRUE,"Widnes"}</definedName>
    <definedName name="hsyhjtyhj" hidden="1">{#N/A,#N/A,TRUE,"Cover";#N/A,#N/A,TRUE,"Conts";#N/A,#N/A,TRUE,"VOS";#N/A,#N/A,TRUE,"Warrington";#N/A,#N/A,TRUE,"Widnes"}</definedName>
    <definedName name="ht" localSheetId="3" hidden="1">{"'Break down'!$A$4"}</definedName>
    <definedName name="ht" hidden="1">{"'Break down'!$A$4"}</definedName>
    <definedName name="hth">#REF!</definedName>
    <definedName name="HTML" localSheetId="3" hidden="1">{"'照明目录'!$A$1:$H$31"}</definedName>
    <definedName name="HTML" hidden="1">{"'照明目录'!$A$1:$H$31"}</definedName>
    <definedName name="HTML_C" localSheetId="3" hidden="1">{"'Flowchart'!$A$2:$AO$22"}</definedName>
    <definedName name="HTML_C" hidden="1">{"'Flowchart'!$A$2:$AO$22"}</definedName>
    <definedName name="HTML_CodePage" hidden="1">1252</definedName>
    <definedName name="HTML_Control" localSheetId="3" hidden="1">{"'Bill No. 7'!$A$1:$G$32"}</definedName>
    <definedName name="HTML_Control" hidden="1">{"'Bill No. 7'!$A$1:$G$32"}</definedName>
    <definedName name="html_control1" localSheetId="3" hidden="1">{"'Break down'!$A$4"}</definedName>
    <definedName name="html_control1" hidden="1">{"'Break down'!$A$4"}</definedName>
    <definedName name="HTML_Description" hidden="1">""</definedName>
    <definedName name="HTML_Email" hidden="1">""</definedName>
    <definedName name="HTML_Header" hidden="1">"Bill No. 7"</definedName>
    <definedName name="HTML_LastUpdate" hidden="1">"31/12/98"</definedName>
    <definedName name="HTML_LineAfter" hidden="1">FALSE</definedName>
    <definedName name="HTML_LineBefore" hidden="1">FALSE</definedName>
    <definedName name="HTML_Name" hidden="1">"Mr. Snehal Sompura"</definedName>
    <definedName name="HTML_OBDlg2" hidden="1">TRUE</definedName>
    <definedName name="HTML_OBDlg4" hidden="1">TRUE</definedName>
    <definedName name="HTML_OS" hidden="1">0</definedName>
    <definedName name="HTML_PathFile" hidden="1">"c:\myHTML.htm"</definedName>
    <definedName name="HTML_Title" hidden="1">"BOQ"</definedName>
    <definedName name="htr" localSheetId="3" hidden="1">{"'Break down'!$A$4"}</definedName>
    <definedName name="htr" hidden="1">{"'Break down'!$A$4"}</definedName>
    <definedName name="htrbg">#REF!</definedName>
    <definedName name="htrhrsth" localSheetId="3" hidden="1">{#N/A,#N/A,TRUE,"Cover";#N/A,#N/A,TRUE,"Conts";#N/A,#N/A,TRUE,"VOS";#N/A,#N/A,TRUE,"Warrington";#N/A,#N/A,TRUE,"Widnes"}</definedName>
    <definedName name="htrhrsth" hidden="1">{#N/A,#N/A,TRUE,"Cover";#N/A,#N/A,TRUE,"Conts";#N/A,#N/A,TRUE,"VOS";#N/A,#N/A,TRUE,"Warrington";#N/A,#N/A,TRUE,"Widnes"}</definedName>
    <definedName name="htrrs" localSheetId="3" hidden="1">{"Datos",#N/A,TRUE,"Datos"}</definedName>
    <definedName name="htrrs" hidden="1">{"Datos",#N/A,TRUE,"Datos"}</definedName>
    <definedName name="htryutr" localSheetId="3" hidden="1">{"MF-601",#N/A,TRUE,"MANT-EX-B(fJ)";"MF-602",#N/A,TRUE,"ELECTR-FJ(B)";"MF-603",#N/A,TRUE,"PERSONAL(FJ)B";"MF-604",#N/A,TRUE,"REACT-P(B)";"MF-605",#N/A,TRUE,"OTR-COS.FJ(B)";"MF-60X",#N/A,TRUE,"Resumen"}</definedName>
    <definedName name="htryutr" hidden="1">{"MF-601",#N/A,TRUE,"MANT-EX-B(fJ)";"MF-602",#N/A,TRUE,"ELECTR-FJ(B)";"MF-603",#N/A,TRUE,"PERSONAL(FJ)B";"MF-604",#N/A,TRUE,"REACT-P(B)";"MF-605",#N/A,TRUE,"OTR-COS.FJ(B)";"MF-60X",#N/A,TRUE,"Resumen"}</definedName>
    <definedName name="htwing">#REF!</definedName>
    <definedName name="hty" localSheetId="3" hidden="1">{"offequipsch",#N/A,FALSE,"GTC_Schedule";"onconstsch",#N/A,FALSE,"GTC_Schedule";"techsch",#N/A,FALSE,"GTC_Schedule";"totsch",#N/A,FALSE,"GTC_Schedule"}</definedName>
    <definedName name="hty" hidden="1">{"offequipsch",#N/A,FALSE,"GTC_Schedule";"onconstsch",#N/A,FALSE,"GTC_Schedule";"techsch",#N/A,FALSE,"GTC_Schedule";"totsch",#N/A,FALSE,"GTC_Schedule"}</definedName>
    <definedName name="htz" localSheetId="3" hidden="1">{"'Break down'!$A$4"}</definedName>
    <definedName name="htz" hidden="1">{"'Break down'!$A$4"}</definedName>
    <definedName name="Hu">#REF!</definedName>
    <definedName name="Hu___0">#REF!</definedName>
    <definedName name="Hu___13">#REF!</definedName>
    <definedName name="huj" localSheetId="3" hidden="1">{#N/A,#N/A,FALSE,"E-1";#N/A,#N/A,FALSE,"E-2";#N/A,#N/A,FALSE,"F-1";#N/A,#N/A,FALSE,"F-2";#N/A,#N/A,FALSE,"F-3";#N/A,#N/A,FALSE,"F-4";#N/A,#N/A,FALSE,"F-5";#N/A,#N/A,FALSE,"F-6";#N/A,#N/A,FALSE,"Matrix"}</definedName>
    <definedName name="huj" hidden="1">{#N/A,#N/A,FALSE,"E-1";#N/A,#N/A,FALSE,"E-2";#N/A,#N/A,FALSE,"F-1";#N/A,#N/A,FALSE,"F-2";#N/A,#N/A,FALSE,"F-3";#N/A,#N/A,FALSE,"F-4";#N/A,#N/A,FALSE,"F-5";#N/A,#N/A,FALSE,"F-6";#N/A,#N/A,FALSE,"Matrix"}</definedName>
    <definedName name="HukumDev">#REF!</definedName>
    <definedName name="hutgfru" localSheetId="3" hidden="1">{#N/A,#N/A,TRUE,"Cover";#N/A,#N/A,TRUE,"Conts";#N/A,#N/A,TRUE,"VOS";#N/A,#N/A,TRUE,"Warrington";#N/A,#N/A,TRUE,"Widnes"}</definedName>
    <definedName name="hutgfru" hidden="1">{#N/A,#N/A,TRUE,"Cover";#N/A,#N/A,TRUE,"Conts";#N/A,#N/A,TRUE,"VOS";#N/A,#N/A,TRUE,"Warrington";#N/A,#N/A,TRUE,"Widnes"}</definedName>
    <definedName name="huts">#REF!</definedName>
    <definedName name="huy" localSheetId="3" hidden="1">{"'Sheet1'!$L$16"}</definedName>
    <definedName name="huy" hidden="1">{"'Sheet1'!$L$16"}</definedName>
    <definedName name="huye" localSheetId="3" hidden="1">{"'Sheet1'!$L$16"}</definedName>
    <definedName name="huye" hidden="1">{"'Sheet1'!$L$16"}</definedName>
    <definedName name="hvac">#REF!</definedName>
    <definedName name="hvac_esc">#REF!</definedName>
    <definedName name="hvac_tot">#REF!</definedName>
    <definedName name="hvac841">#REF!</definedName>
    <definedName name="hvac842">#REF!</definedName>
    <definedName name="hvac843">#REF!</definedName>
    <definedName name="hvac844">#REF!</definedName>
    <definedName name="hvacrates">#REF!</definedName>
    <definedName name="HWCODE">#REF!</definedName>
    <definedName name="hxb">#REF!</definedName>
    <definedName name="hxi">#REF!</definedName>
    <definedName name="hy" localSheetId="3"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DBN" hidden="1">{#N/A,#N/A,TRUE,"Cover";#N/A,#N/A,TRUE,"Conts";#N/A,#N/A,TRUE,"VOS";#N/A,#N/A,TRUE,"Warrington";#N/A,#N/A,TRUE,"Widnes"}</definedName>
    <definedName name="hyreh"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z" localSheetId="3" hidden="1">{"'Break down'!$A$4"}</definedName>
    <definedName name="hz" hidden="1">{"'Break down'!$A$4"}</definedName>
    <definedName name="I">#REF!</definedName>
    <definedName name="I.01">#REF!</definedName>
    <definedName name="I.02">#REF!</definedName>
    <definedName name="I.03">#REF!</definedName>
    <definedName name="I.04">#REF!</definedName>
    <definedName name="I.05">#REF!</definedName>
    <definedName name="I.WALLLength">#REF!</definedName>
    <definedName name="I___0">#REF!</definedName>
    <definedName name="I___13">#REF!</definedName>
    <definedName name="I_Steel">#REF!</definedName>
    <definedName name="i8uiuyi" localSheetId="3" hidden="1">{#N/A,#N/A,TRUE,"Cover";#N/A,#N/A,TRUE,"Conts";#N/A,#N/A,TRUE,"VOS";#N/A,#N/A,TRUE,"Warrington";#N/A,#N/A,TRUE,"Widnes"}</definedName>
    <definedName name="i8uiuyi" hidden="1">{#N/A,#N/A,TRUE,"Cover";#N/A,#N/A,TRUE,"Conts";#N/A,#N/A,TRUE,"VOS";#N/A,#N/A,TRUE,"Warrington";#N/A,#N/A,TRUE,"Widnes"}</definedName>
    <definedName name="IC">#REF!</definedName>
    <definedName name="Icurry">#REF!</definedName>
    <definedName name="idays">#REF!</definedName>
    <definedName name="idc" localSheetId="3"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CGK">#N/A</definedName>
    <definedName name="idpvol">#REF!</definedName>
    <definedName name="If">#REF!</definedName>
    <definedName name="Ig">#REF!</definedName>
    <definedName name="Ig___0">#REF!</definedName>
    <definedName name="Ig___13">#REF!</definedName>
    <definedName name="IGLE" hidden="1">#REF!</definedName>
    <definedName name="IHBARSURESI">#REF!</definedName>
    <definedName name="II" localSheetId="3" hidden="1">{#N/A,#N/A,FALSE,"JACKETS (1100 t) (1)"}</definedName>
    <definedName name="II" hidden="1">{#N/A,#N/A,FALSE,"JACKETS (1100 t) (1)"}</definedName>
    <definedName name="IIF__PAGE_NUM___5___BUILDING_COSTS____SITEWORK_COSTS">#REF!</definedName>
    <definedName name="III" localSheetId="3" hidden="1">{#N/A,#N/A,TRUE,"Cover Memo";"Facility Estimate",#N/A,TRUE,"Change Summary";"Facility Estimate",#N/A,TRUE,"Estimate Summary";"Facility Estimate",#N/A,TRUE,"Dept. Summary";"Facility Estimate",#N/A,TRUE,"DOW Detail"}</definedName>
    <definedName name="III" hidden="1">{#N/A,#N/A,TRUE,"Cover Memo";"Facility Estimate",#N/A,TRUE,"Change Summary";"Facility Estimate",#N/A,TRUE,"Estimate Summary";"Facility Estimate",#N/A,TRUE,"Dept. Summary";"Facility Estimate",#N/A,TRUE,"DOW Detail"}</definedName>
    <definedName name="iiii">#REF!</definedName>
    <definedName name="iiiiiiiiiii">#REF!</definedName>
    <definedName name="iiiiiiiiiiiiii">#REF!</definedName>
    <definedName name="iiip" localSheetId="3" hidden="1">{"'Break down'!$A$4"}</definedName>
    <definedName name="iiip" hidden="1">{"'Break down'!$A$4"}</definedName>
    <definedName name="iiiz" localSheetId="3" hidden="1">{"'Break down'!$A$4"}</definedName>
    <definedName name="iiiz" hidden="1">{"'Break down'!$A$4"}</definedName>
    <definedName name="iiouolkll" hidden="1">{#N/A,#N/A,FALSE,"CCTV"}</definedName>
    <definedName name="iiy" localSheetId="3" hidden="1">{"'Break down'!$A$4"}</definedName>
    <definedName name="iiy" hidden="1">{"'Break down'!$A$4"}</definedName>
    <definedName name="iiz" localSheetId="3" hidden="1">{"'Break down'!$A$4"}</definedName>
    <definedName name="iiz" hidden="1">{"'Break down'!$A$4"}</definedName>
    <definedName name="ijn" hidden="1">{#N/A,#N/A,FALSE,"MARCH"}</definedName>
    <definedName name="IK" hidden="1">{"NORMAL",#N/A,FALSE,"02"}</definedName>
    <definedName name="ikey">#REF!</definedName>
    <definedName name="IKRAMIYESURESI">#REF!</definedName>
    <definedName name="ilufñoui" localSheetId="3" hidden="1">{"Datos",#N/A,TRUE,"Datos"}</definedName>
    <definedName name="ilufñoui" hidden="1">{"Datos",#N/A,TRUE,"Datos"}</definedName>
    <definedName name="Imama" hidden="1">{#N/A,#N/A,TRUE,"Front";#N/A,#N/A,TRUE,"Simple Letter";#N/A,#N/A,TRUE,"Inside";#N/A,#N/A,TRUE,"Contents";#N/A,#N/A,TRUE,"Basis";#N/A,#N/A,TRUE,"Inclusions";#N/A,#N/A,TRUE,"Exclusions";#N/A,#N/A,TRUE,"Areas";#N/A,#N/A,TRUE,"Summary";#N/A,#N/A,TRUE,"Detail"}</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ported">#REF!</definedName>
    <definedName name="IN_HOUSE_USAGE">#REF!</definedName>
    <definedName name="Inc">#REF!</definedName>
    <definedName name="Inc_Tax_Payable">#REF!</definedName>
    <definedName name="incassi" hidden="1">{#N/A,#N/A,FALSE,"Work progress mensile";#N/A,#N/A,FALSE,"Work progress mensile IE1"}</definedName>
    <definedName name="incasso" hidden="1">{#N/A,#N/A,FALSE,"Work progress mensile";#N/A,#N/A,FALSE,"Work progress mensile IE1"}</definedName>
    <definedName name="income">#REF!</definedName>
    <definedName name="income_sens">#REF!</definedName>
    <definedName name="Ind_ERV">#REF!</definedName>
    <definedName name="Indagine_geotecnica">#REF!</definedName>
    <definedName name="indf">#REF!</definedName>
    <definedName name="indf_4">#REF!</definedName>
    <definedName name="indf_4_1">#REF!</definedName>
    <definedName name="indf_6">#REF!</definedName>
    <definedName name="indirct">#REF!</definedName>
    <definedName name="indirect" localSheetId="3">#REF!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uced1">#REF!</definedName>
    <definedName name="Induced2">#REF!</definedName>
    <definedName name="Industrial__Light__Cover">#REF!</definedName>
    <definedName name="Industrial_Stories">#REF!</definedName>
    <definedName name="inf">#REF!</definedName>
    <definedName name="Infera_Total">#REF!</definedName>
    <definedName name="Inflation">#REF!</definedName>
    <definedName name="Inflation_rate">#REF!</definedName>
    <definedName name="InflationRate">#REF!</definedName>
    <definedName name="Info">#REF!</definedName>
    <definedName name="infra_rates">#REF!</definedName>
    <definedName name="Infra_Rev">#REF!</definedName>
    <definedName name="InfraVar_Rev">#REF!</definedName>
    <definedName name="ING" hidden="1">{#N/A,#N/A,TRUE,"Front";#N/A,#N/A,TRUE,"Simple Letter";#N/A,#N/A,TRUE,"Inside";#N/A,#N/A,TRUE,"Contents";#N/A,#N/A,TRUE,"Basis";#N/A,#N/A,TRUE,"Inclusions";#N/A,#N/A,TRUE,"Exclusions";#N/A,#N/A,TRUE,"Areas";#N/A,#N/A,TRUE,"Summary";#N/A,#N/A,TRUE,"Detail"}</definedName>
    <definedName name="inh" hidden="1">{#N/A,#N/A,TRUE,"Cover";#N/A,#N/A,TRUE,"Conts";#N/A,#N/A,TRUE,"VOS";#N/A,#N/A,TRUE,"Warrington";#N/A,#N/A,TRUE,"Widnes"}</definedName>
    <definedName name="Initial_Net_ERV">#REF!</definedName>
    <definedName name="Initial_Net_Passing_Rent">#REF!</definedName>
    <definedName name="Initial_T_o_rent">#REF!</definedName>
    <definedName name="Input">#REF!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ert">#REF!</definedName>
    <definedName name="insertplate_and_exp_joint">#REF!</definedName>
    <definedName name="InstBillingMethod">#REF!</definedName>
    <definedName name="InstBillingMethod_4">#REF!</definedName>
    <definedName name="InstBillingMethod_4_1">#REF!</definedName>
    <definedName name="InstBillingMethod_6">#REF!</definedName>
    <definedName name="instf">#REF!</definedName>
    <definedName name="instf_4">#REF!</definedName>
    <definedName name="instf_4_1">#REF!</definedName>
    <definedName name="instf_6">#REF!</definedName>
    <definedName name="Instr">#REF!</definedName>
    <definedName name="Insul">#REF!</definedName>
    <definedName name="Insulatio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rance">#REF!</definedName>
    <definedName name="Insurance__Non_Direct">#REF!</definedName>
    <definedName name="Int">#REF!</definedName>
    <definedName name="Int_Finalpay">#REF!</definedName>
    <definedName name="Int_IntPay">#REF!</definedName>
    <definedName name="Int_MM_MA">#REF!</definedName>
    <definedName name="Int_PG">#REF!</definedName>
    <definedName name="Int_Props">#REF!</definedName>
    <definedName name="Int_Relf_MA">#REF!</definedName>
    <definedName name="Int_RetMonsy">#REF!</definedName>
    <definedName name="Int_WorkingCap">#REF!</definedName>
    <definedName name="intb4">#REF!</definedName>
    <definedName name="intb5">#REF!</definedName>
    <definedName name="intbp1">#REF!</definedName>
    <definedName name="intbp2">#REF!</definedName>
    <definedName name="intbp3">#REF!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_Co_Gen___Admin_costs">#REF!</definedName>
    <definedName name="Interest">#REF!</definedName>
    <definedName name="INTEREST_CALCULATION">#REF!</definedName>
    <definedName name="Interest_Income">#REF!</definedName>
    <definedName name="INTEREST_LOADING">#REF!</definedName>
    <definedName name="Interest_Rate">#REF!</definedName>
    <definedName name="InterestAppraised">#REF!</definedName>
    <definedName name="Interior">#REF!</definedName>
    <definedName name="Internal_Doors">#REF!</definedName>
    <definedName name="Internal_Plaster">#REF!</definedName>
    <definedName name="Internal_Walls">#REF!</definedName>
    <definedName name="inthq1">#REF!</definedName>
    <definedName name="inthq2">#REF!</definedName>
    <definedName name="inthq3">#REF!</definedName>
    <definedName name="inthq4a">#REF!</definedName>
    <definedName name="inthq5">#REF!</definedName>
    <definedName name="IntPME_Scaff">#REF!</definedName>
    <definedName name="IntRate">#REF!</definedName>
    <definedName name="intrt2p">#REF!</definedName>
    <definedName name="intrt2r">#REF!</definedName>
    <definedName name="intwf9">#REF!</definedName>
    <definedName name="Inv_Pack">#REF!</definedName>
    <definedName name="Inv_Props">#REF!</definedName>
    <definedName name="Inv_Scaff">#REF!</definedName>
    <definedName name="INV_SCH">#REF!</definedName>
    <definedName name="invdr">#REF!</definedName>
    <definedName name="Inventories___Others">#REF!</definedName>
    <definedName name="investment">#REF!</definedName>
    <definedName name="Investment_in_Land">#REF!</definedName>
    <definedName name="Investment_Income">#REF!</definedName>
    <definedName name="InvestmentRate">#REF!</definedName>
    <definedName name="Investments">#REF!</definedName>
    <definedName name="Investments___New_Ventures">#REF!</definedName>
    <definedName name="InvIncome">#REF!</definedName>
    <definedName name="INVofPMEScaff">#REF!</definedName>
    <definedName name="INVOICE">#REF!</definedName>
    <definedName name="InvPrio">#REF!</definedName>
    <definedName name="Invst_Total_LY">#REF!</definedName>
    <definedName name="io" localSheetId="3" hidden="1">{#N/A,#N/A,TRUE,"Front";#N/A,#N/A,TRUE,"Simple Letter";#N/A,#N/A,TRUE,"Inside";#N/A,#N/A,TRUE,"Contents";#N/A,#N/A,TRUE,"Basis";#N/A,#N/A,TRUE,"Inclusions";#N/A,#N/A,TRUE,"Exclusions";#N/A,#N/A,TRUE,"Areas";#N/A,#N/A,TRUE,"Summary";#N/A,#N/A,TRUE,"Detail"}</definedName>
    <definedName name="io" hidden="1">{#N/A,#N/A,TRUE,"Front";#N/A,#N/A,TRUE,"Simple Letter";#N/A,#N/A,TRUE,"Inside";#N/A,#N/A,TRUE,"Contents";#N/A,#N/A,TRUE,"Basis";#N/A,#N/A,TRUE,"Inclusions";#N/A,#N/A,TRUE,"Exclusions";#N/A,#N/A,TRUE,"Areas";#N/A,#N/A,TRUE,"Summary";#N/A,#N/A,TRUE,"Detail"}</definedName>
    <definedName name="IO_DCS">#REF!</definedName>
    <definedName name="IO_PLC">#REF!</definedName>
    <definedName name="io8yuou8y" localSheetId="3" hidden="1">{#N/A,#N/A,TRUE,"Cover";#N/A,#N/A,TRUE,"Conts";#N/A,#N/A,TRUE,"VOS";#N/A,#N/A,TRUE,"Warrington";#N/A,#N/A,TRUE,"Widnes"}</definedName>
    <definedName name="io8yuou8y" hidden="1">{#N/A,#N/A,TRUE,"Cover";#N/A,#N/A,TRUE,"Conts";#N/A,#N/A,TRUE,"VOS";#N/A,#N/A,TRUE,"Warrington";#N/A,#N/A,TRUE,"Widnes"}</definedName>
    <definedName name="ioik" hidden="1">{#N/A,#N/A,TRUE,"Cover";#N/A,#N/A,TRUE,"Conts";#N/A,#N/A,TRUE,"VOS";#N/A,#N/A,TRUE,"Warrington";#N/A,#N/A,TRUE,"Widnes"}</definedName>
    <definedName name="iol" localSheetId="3" hidden="1">{#N/A,#N/A,TRUE,"Cover";#N/A,#N/A,TRUE,"Conts";#N/A,#N/A,TRUE,"VOS";#N/A,#N/A,TRUE,"Warrington";#N/A,#N/A,TRUE,"Widnes"}</definedName>
    <definedName name="iol" hidden="1">{#N/A,#N/A,TRUE,"Cover";#N/A,#N/A,TRUE,"Conts";#N/A,#N/A,TRUE,"VOS";#N/A,#N/A,TRUE,"Warrington";#N/A,#N/A,TRUE,"Widnes"}</definedName>
    <definedName name="iop" localSheetId="3"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oykyoyu" localSheetId="3" hidden="1">{#N/A,#N/A,TRUE,"Cover";#N/A,#N/A,TRUE,"Conts";#N/A,#N/A,TRUE,"VOS";#N/A,#N/A,TRUE,"Warrington";#N/A,#N/A,TRUE,"Widnes"}</definedName>
    <definedName name="ioykyoyu" hidden="1">{#N/A,#N/A,TRUE,"Cover";#N/A,#N/A,TRUE,"Conts";#N/A,#N/A,TRUE,"VOS";#N/A,#N/A,TRUE,"Warrington";#N/A,#N/A,TRUE,"Widnes"}</definedName>
    <definedName name="ip">#REF!</definedName>
    <definedName name="IPCs">#REF!</definedName>
    <definedName name="IPD_benchmark">#REF!</definedName>
    <definedName name="IPD_growth_Rate">#REF!</definedName>
    <definedName name="ipsgsghsrhr">#REF!</definedName>
    <definedName name="IPT">#N/A</definedName>
    <definedName name="ipu">#REF!</definedName>
    <definedName name="ipu___0">#REF!</definedName>
    <definedName name="ipu___13">#REF!</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40208.8753703704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p">#REF!</definedName>
    <definedName name="irpd">#REF!</definedName>
    <definedName name="IRR">#REF!</definedName>
    <definedName name="IRR_after_financing">#REF!</definedName>
    <definedName name="IRR_before_financing">#REF!</definedName>
    <definedName name="Irrigation">#REF!</definedName>
    <definedName name="iry">#REF!</definedName>
    <definedName name="Is">#REF!</definedName>
    <definedName name="IsCurrency">#REF!</definedName>
    <definedName name="ismay" localSheetId="3" hidden="1">{#N/A,#N/A,FALSE,"inctrnd99"}</definedName>
    <definedName name="ismay" hidden="1">{#N/A,#N/A,FALSE,"inctrnd99"}</definedName>
    <definedName name="isolator">#REF!</definedName>
    <definedName name="ISORGTHI" localSheetId="3" hidden="1">{#N/A,#N/A,FALSE,"Matrix";#N/A,#N/A,FALSE,"Executive";#N/A,#N/A,FALSE,"Summary";#N/A,#N/A,FALSE,"Office1";#N/A,#N/A,FALSE,"Office2";#N/A,#N/A,FALSE,"Office3";#N/A,#N/A,FALSE,"Office4";#N/A,#N/A,FALSE,"Office5";#N/A,#N/A,FALSE,"Office6";#N/A,#N/A,FALSE,"Office7";#N/A,#N/A,FALSE,"Labor"}</definedName>
    <definedName name="ISORGTHI" hidden="1">{#N/A,#N/A,FALSE,"Matrix";#N/A,#N/A,FALSE,"Executive";#N/A,#N/A,FALSE,"Summary";#N/A,#N/A,FALSE,"Office1";#N/A,#N/A,FALSE,"Office2";#N/A,#N/A,FALSE,"Office3";#N/A,#N/A,FALSE,"Office4";#N/A,#N/A,FALSE,"Office5";#N/A,#N/A,FALSE,"Office6";#N/A,#N/A,FALSE,"Office7";#N/A,#N/A,FALSE,"Labor"}</definedName>
    <definedName name="ISSIGCAL">#REF!</definedName>
    <definedName name="ISSIGEMK">#REF!</definedName>
    <definedName name="ISSIGISVCAL">#REF!</definedName>
    <definedName name="issue">#REF!</definedName>
    <definedName name="Issue_Date">#REF!</definedName>
    <definedName name="Issued_for">#REF!</definedName>
    <definedName name="IT">#REF!</definedName>
    <definedName name="ITALLOC">#REF!</definedName>
    <definedName name="ITEM">#REF!</definedName>
    <definedName name="ITEM2">#REF!</definedName>
    <definedName name="ITEM3">#REF!</definedName>
    <definedName name="ITEM4">#REF!</definedName>
    <definedName name="ITEM5">#REF!</definedName>
    <definedName name="ITEM6">#REF!</definedName>
    <definedName name="ITEM7">#REF!</definedName>
    <definedName name="ITEMCODE">#REF!</definedName>
    <definedName name="ITEMNO">#REF!</definedName>
    <definedName name="itl">#REF!</definedName>
    <definedName name="iu" localSheetId="3" hidden="1">{#N/A,#N/A,TRUE,"Financials";#N/A,#N/A,TRUE,"Operating Statistics";#N/A,#N/A,TRUE,"Capex &amp; Depreciation";#N/A,#N/A,TRUE,"Debt"}</definedName>
    <definedName name="iu" hidden="1">{#N/A,#N/A,TRUE,"Financials";#N/A,#N/A,TRUE,"Operating Statistics";#N/A,#N/A,TRUE,"Capex &amp; Depreciation";#N/A,#N/A,TRUE,"Debt"}</definedName>
    <definedName name="iui" localSheetId="3" hidden="1">{#N/A,#N/A,TRUE,"Cover";#N/A,#N/A,TRUE,"Conts";#N/A,#N/A,TRUE,"VOS";#N/A,#N/A,TRUE,"Warrington";#N/A,#N/A,TRUE,"Widnes"}</definedName>
    <definedName name="iui" hidden="1">{#N/A,#N/A,TRUE,"Cover";#N/A,#N/A,TRUE,"Conts";#N/A,#N/A,TRUE,"VOS";#N/A,#N/A,TRUE,"Warrington";#N/A,#N/A,TRUE,"Widnes"}</definedName>
    <definedName name="iuk" localSheetId="3" hidden="1">{#N/A,#N/A,TRUE,"Cover";#N/A,#N/A,TRUE,"Conts";#N/A,#N/A,TRUE,"VOS";#N/A,#N/A,TRUE,"Warrington";#N/A,#N/A,TRUE,"Widnes"}</definedName>
    <definedName name="iuk" hidden="1">{#N/A,#N/A,TRUE,"Cover";#N/A,#N/A,TRUE,"Conts";#N/A,#N/A,TRUE,"VOS";#N/A,#N/A,TRUE,"Warrington";#N/A,#N/A,TRUE,"Widnes"}</definedName>
    <definedName name="iukmjh">#REF!</definedName>
    <definedName name="iulouy" localSheetId="3" hidden="1">{#N/A,#N/A,TRUE,"Cover";#N/A,#N/A,TRUE,"Conts";#N/A,#N/A,TRUE,"VOS";#N/A,#N/A,TRUE,"Warrington";#N/A,#N/A,TRUE,"Widnes"}</definedName>
    <definedName name="iulouy" hidden="1">{#N/A,#N/A,TRUE,"Cover";#N/A,#N/A,TRUE,"Conts";#N/A,#N/A,TRUE,"VOS";#N/A,#N/A,TRUE,"Warrington";#N/A,#N/A,TRUE,"Widnes"}</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 localSheetId="3" hidden="1">{#N/A,#N/A,TRUE,"Cover Memo";"Ride Estimate",#N/A,TRUE,"Change Summary";"Ride Estimate",#N/A,TRUE,"Estimate Summary";"Ride Estimate",#N/A,TRUE,"Dept. Summary";"Ride Estimate",#N/A,TRUE,"DOW Detail"}</definedName>
    <definedName name="IV" hidden="1">{#N/A,#N/A,TRUE,"Cover Memo";"Ride Estimate",#N/A,TRUE,"Change Summary";"Ride Estimate",#N/A,TRUE,"Estimate Summary";"Ride Estimate",#N/A,TRUE,"Dept. Summary";"Ride Estimate",#N/A,TRUE,"DOW Detail"}</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ZIN">#REF!</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Metalwork">#REF!</definedName>
    <definedName name="jaghsdjas" hidden="1">#REF!</definedName>
    <definedName name="jas">#REF!</definedName>
    <definedName name="jaspre">#REF!</definedName>
    <definedName name="Jassim" localSheetId="3" hidden="1">{#N/A,#N/A,FALSE,"inctrnd99"}</definedName>
    <definedName name="Jassim" hidden="1">{#N/A,#N/A,FALSE,"inctrnd99"}</definedName>
    <definedName name="jay">#REF!</definedName>
    <definedName name="jbc">#REF!</definedName>
    <definedName name="jbhjb">#REF!</definedName>
    <definedName name="jbvhbvh">#REF!</definedName>
    <definedName name="JCT_WORDS">#REF!</definedName>
    <definedName name="JCTCODE">#REF!</definedName>
    <definedName name="JCTMENU">#REF!</definedName>
    <definedName name="jdfy" localSheetId="3" hidden="1">{"Datos",#N/A,TRUE,"Datos"}</definedName>
    <definedName name="jdfy" hidden="1">{"Datos",#N/A,TRUE,"Datos"}</definedName>
    <definedName name="JEJS">#REF!</definedName>
    <definedName name="JEJS___0">#REF!</definedName>
    <definedName name="JEJS___11">#REF!</definedName>
    <definedName name="JEJS___12">#REF!</definedName>
    <definedName name="JEJS___13">#REF!</definedName>
    <definedName name="JEJS___4">#REF!</definedName>
    <definedName name="jen">#REF!</definedName>
    <definedName name="jfkflf" hidden="1">{#N/A,#N/A,TRUE,"Cover";#N/A,#N/A,TRUE,"Conts";#N/A,#N/A,TRUE,"VOS";#N/A,#N/A,TRUE,"Warrington";#N/A,#N/A,TRUE,"Widnes"}</definedName>
    <definedName name="jfs">#REF!</definedName>
    <definedName name="jghjghk" localSheetId="3" hidden="1">{"MF-601",#N/A,TRUE,"MANT-EX-B(fJ)";"MF-602",#N/A,TRUE,"ELECTR-FJ(B)";"MF-603",#N/A,TRUE,"PERSONAL(FJ)B";"MF-604",#N/A,TRUE,"REACT-P(B)";"MF-6XX",#N/A,TRUE,"Resumen";"MF-605",#N/A,TRUE,"OTR-COS.FJ(B)"}</definedName>
    <definedName name="jghjghk" hidden="1">{"MF-601",#N/A,TRUE,"MANT-EX-B(fJ)";"MF-602",#N/A,TRUE,"ELECTR-FJ(B)";"MF-603",#N/A,TRUE,"PERSONAL(FJ)B";"MF-604",#N/A,TRUE,"REACT-P(B)";"MF-6XX",#N/A,TRUE,"Resumen";"MF-605",#N/A,TRUE,"OTR-COS.FJ(B)"}</definedName>
    <definedName name="jgj" hidden="1">#REF!</definedName>
    <definedName name="jgt" localSheetId="3" hidden="1">{"'Break down'!$A$4"}</definedName>
    <definedName name="jgt" hidden="1">{"'Break down'!$A$4"}</definedName>
    <definedName name="jgz" localSheetId="3" hidden="1">{"'Break down'!$A$4"}</definedName>
    <definedName name="jgz" hidden="1">{"'Break down'!$A$4"}</definedName>
    <definedName name="jh" localSheetId="3"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dsghghfh">#REF!</definedName>
    <definedName name="jhf">#REF!</definedName>
    <definedName name="jhfjh" localSheetId="3" hidden="1">{"Datos",#N/A,TRUE,"Datos"}</definedName>
    <definedName name="jhfjh" hidden="1">{"Datos",#N/A,TRUE,"Datos"}</definedName>
    <definedName name="jhg" localSheetId="3" hidden="1">{"Datos",#N/A,TRUE,"Datos"}</definedName>
    <definedName name="jhg" hidden="1">{"Datos",#N/A,TRUE,"Datos"}</definedName>
    <definedName name="jhhhh" hidden="1">{#N/A,#N/A,FALSE,"CCTV"}</definedName>
    <definedName name="jj">#REF!</definedName>
    <definedName name="jjiok">#REF!</definedName>
    <definedName name="JJJ" hidden="1">#REF!</definedName>
    <definedName name="JJJJJ" hidden="1">{"DECIMAL",#N/A,FALSE,"02"}</definedName>
    <definedName name="JJJJJJJJJ" hidden="1">{#N/A,#N/A,FALSE,"Work progress mensile";#N/A,#N/A,FALSE,"Work progress mensile IE1"}</definedName>
    <definedName name="jjjjjjjjjj">#REF!</definedName>
    <definedName name="JJJJJJJJJJJJ" hidden="1">{#N/A,#N/A,FALSE,"Work progress mensile";#N/A,#N/A,FALSE,"Work progress mensile IE1"}</definedName>
    <definedName name="jjjjjjjjjjjjjjj">#REF!</definedName>
    <definedName name="jjuu" hidden="1">{#N/A,#N/A,TRUE,"Cover";#N/A,#N/A,TRUE,"Conts";#N/A,#N/A,TRUE,"VOS";#N/A,#N/A,TRUE,"Warrington";#N/A,#N/A,TRUE,"Widnes"}</definedName>
    <definedName name="jjy" localSheetId="3" hidden="1">{"'Break down'!$A$4"}</definedName>
    <definedName name="jjy" hidden="1">{"'Break down'!$A$4"}</definedName>
    <definedName name="jjz" localSheetId="3" hidden="1">{"'Break down'!$A$4"}</definedName>
    <definedName name="jjz" hidden="1">{"'Break down'!$A$4"}</definedName>
    <definedName name="JK" localSheetId="3"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j.oi" localSheetId="3" hidden="1">{#N/A,#N/A,TRUE,"Cover";#N/A,#N/A,TRUE,"Conts";#N/A,#N/A,TRUE,"VOS";#N/A,#N/A,TRUE,"Warrington";#N/A,#N/A,TRUE,"Widnes"}</definedName>
    <definedName name="jk.j.oi" hidden="1">{#N/A,#N/A,TRUE,"Cover";#N/A,#N/A,TRUE,"Conts";#N/A,#N/A,TRUE,"VOS";#N/A,#N/A,TRUE,"Warrington";#N/A,#N/A,TRUE,"Widnes"}</definedName>
    <definedName name="JKGHJ" hidden="1">{#N/A,#N/A,TRUE,"Cover";#N/A,#N/A,TRUE,"Conts";#N/A,#N/A,TRUE,"VOS";#N/A,#N/A,TRUE,"Warrington";#N/A,#N/A,TRUE,"Widnes"}</definedName>
    <definedName name="jkghk"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localSheetId="3" hidden="1">{"MF-601",#N/A,TRUE,"MANT-EX-B(fJ)";"MF-602",#N/A,TRUE,"ELECTR-FJ(B)";"MF-603",#N/A,TRUE,"PERSONAL(FJ)B";"MF-604",#N/A,TRUE,"REACT-P(B)";"MF-605",#N/A,TRUE,"OTR-COS.FJ(B)";"MF-60X",#N/A,TRUE,"Resumen"}</definedName>
    <definedName name="jkghkug" hidden="1">{"MF-601",#N/A,TRUE,"MANT-EX-B(fJ)";"MF-602",#N/A,TRUE,"ELECTR-FJ(B)";"MF-603",#N/A,TRUE,"PERSONAL(FJ)B";"MF-604",#N/A,TRUE,"REACT-P(B)";"MF-605",#N/A,TRUE,"OTR-COS.FJ(B)";"MF-60X",#N/A,TRUE,"Resumen"}</definedName>
    <definedName name="JKGKJHK" localSheetId="3" hidden="1">{#N/A,#N/A,TRUE,"Cover";#N/A,#N/A,TRUE,"Conts";#N/A,#N/A,TRUE,"VOS";#N/A,#N/A,TRUE,"Warrington";#N/A,#N/A,TRUE,"Widnes"}</definedName>
    <definedName name="JKGKJHK" hidden="1">{#N/A,#N/A,TRUE,"Cover";#N/A,#N/A,TRUE,"Conts";#N/A,#N/A,TRUE,"VOS";#N/A,#N/A,TRUE,"Warrington";#N/A,#N/A,TRUE,"Widnes"}</definedName>
    <definedName name="jkhglkjge" hidden="1">#REF!</definedName>
    <definedName name="jkjk"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#REF!</definedName>
    <definedName name="jkl" hidden="1">#REF!</definedName>
    <definedName name="jkljljkl" localSheetId="3" hidden="1">{#N/A,#N/A,TRUE,"Cover";#N/A,#N/A,TRUE,"Conts";#N/A,#N/A,TRUE,"VOS";#N/A,#N/A,TRUE,"Warrington";#N/A,#N/A,TRUE,"Widnes"}</definedName>
    <definedName name="jkljljkl" hidden="1">{#N/A,#N/A,TRUE,"Cover";#N/A,#N/A,TRUE,"Conts";#N/A,#N/A,TRUE,"VOS";#N/A,#N/A,TRUE,"Warrington";#N/A,#N/A,TRUE,"Widnes"}</definedName>
    <definedName name="jktrujij" localSheetId="3" hidden="1">{#N/A,#N/A,TRUE,"Cover";#N/A,#N/A,TRUE,"Conts";#N/A,#N/A,TRUE,"VOS";#N/A,#N/A,TRUE,"Warrington";#N/A,#N/A,TRUE,"Widnes"}</definedName>
    <definedName name="jktrujij" hidden="1">{#N/A,#N/A,TRUE,"Cover";#N/A,#N/A,TRUE,"Conts";#N/A,#N/A,TRUE,"VOS";#N/A,#N/A,TRUE,"Warrington";#N/A,#N/A,TRUE,"Widnes"}</definedName>
    <definedName name="jktukk" localSheetId="3" hidden="1">{#N/A,#N/A,TRUE,"Cover";#N/A,#N/A,TRUE,"Conts";#N/A,#N/A,TRUE,"VOS";#N/A,#N/A,TRUE,"Warrington";#N/A,#N/A,TRUE,"Widnes"}</definedName>
    <definedName name="jktukk" hidden="1">{#N/A,#N/A,TRUE,"Cover";#N/A,#N/A,TRUE,"Conts";#N/A,#N/A,TRUE,"VOS";#N/A,#N/A,TRUE,"Warrington";#N/A,#N/A,TRUE,"Widnes"}</definedName>
    <definedName name="jky" localSheetId="3" hidden="1">{#N/A,#N/A,TRUE,"Cover";#N/A,#N/A,TRUE,"Conts";#N/A,#N/A,TRUE,"VOS";#N/A,#N/A,TRUE,"Warrington";#N/A,#N/A,TRUE,"Widnes"}</definedName>
    <definedName name="jky" hidden="1">{#N/A,#N/A,TRUE,"Cover";#N/A,#N/A,TRUE,"Conts";#N/A,#N/A,TRUE,"VOS";#N/A,#N/A,TRUE,"Warrington";#N/A,#N/A,TRUE,"Widnes"}</definedName>
    <definedName name="jlhligil" localSheetId="3" hidden="1">{"'Sheet1'!$L$16"}</definedName>
    <definedName name="jlhligil" hidden="1">{"'Sheet1'!$L$16"}</definedName>
    <definedName name="jlt">#REF!</definedName>
    <definedName name="jmjkjk" hidden="1">{"'Break down'!$A$4"}</definedName>
    <definedName name="JMVJMV" hidden="1">{#N/A,#N/A,TRUE,"Cover";#N/A,#N/A,TRUE,"Conts";#N/A,#N/A,TRUE,"VOS";#N/A,#N/A,TRUE,"Warrington";#N/A,#N/A,TRUE,"Widnes"}</definedName>
    <definedName name="jnnnmklnkl">#REF!</definedName>
    <definedName name="job">#REF!</definedName>
    <definedName name="job.no" hidden="1">#REF!</definedName>
    <definedName name="job___0">#REF!</definedName>
    <definedName name="job___11">#REF!</definedName>
    <definedName name="job___12">#REF!</definedName>
    <definedName name="Job_No.">#REF!</definedName>
    <definedName name="JobID">#REF!</definedName>
    <definedName name="joel">#REF!</definedName>
    <definedName name="john" localSheetId="3"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inery">#REF!</definedName>
    <definedName name="jon">#REF!</definedName>
    <definedName name="JOResProf">#REF!</definedName>
    <definedName name="JOSupProf">#REF!</definedName>
    <definedName name="jpg" localSheetId="3"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PY">#REF!</definedName>
    <definedName name="jtc">#REF!</definedName>
    <definedName name="jtjety" localSheetId="3" hidden="1">{"MF-601",#N/A,TRUE,"MANT-EX-B(fJ)";"MF-602",#N/A,TRUE,"ELECTR-FJ(B)";"MF-603",#N/A,TRUE,"PERSONAL(FJ)B";"MF-604",#N/A,TRUE,"REACT-P(B)";"MF-605",#N/A,TRUE,"OTR-COS.FJ(B)";"MF-60X",#N/A,TRUE,"Resumen"}</definedName>
    <definedName name="jtjety" hidden="1">{"MF-601",#N/A,TRUE,"MANT-EX-B(fJ)";"MF-602",#N/A,TRUE,"ELECTR-FJ(B)";"MF-603",#N/A,TRUE,"PERSONAL(FJ)B";"MF-604",#N/A,TRUE,"REACT-P(B)";"MF-605",#N/A,TRUE,"OTR-COS.FJ(B)";"MF-60X",#N/A,TRUE,"Resumen"}</definedName>
    <definedName name="jtyhjswjy" localSheetId="3" hidden="1">{#N/A,#N/A,TRUE,"Cover";#N/A,#N/A,TRUE,"Conts";#N/A,#N/A,TRUE,"VOS";#N/A,#N/A,TRUE,"Warrington";#N/A,#N/A,TRUE,"Widnes"}</definedName>
    <definedName name="jtyhjswjy" hidden="1">{#N/A,#N/A,TRUE,"Cover";#N/A,#N/A,TRUE,"Conts";#N/A,#N/A,TRUE,"VOS";#N/A,#N/A,TRUE,"Warrington";#N/A,#N/A,TRUE,"Widnes"}</definedName>
    <definedName name="jtyj" localSheetId="3" hidden="1">{"Datos",#N/A,TRUE,"Datos"}</definedName>
    <definedName name="jtyj" hidden="1">{"Datos",#N/A,TRUE,"Datos"}</definedName>
    <definedName name="juask" hidden="1">#REF!</definedName>
    <definedName name="jub" localSheetId="3" hidden="1">{#N/A,#N/A,FALSE,"양식(을)"}</definedName>
    <definedName name="jub" hidden="1">{#N/A,#N/A,FALSE,"양식(을)"}</definedName>
    <definedName name="jugd" localSheetId="3" hidden="1">{"Datos",#N/A,TRUE,"Datos"}</definedName>
    <definedName name="jugd" hidden="1">{"Datos",#N/A,TRUE,"Datos"}</definedName>
    <definedName name="june">#REF!</definedName>
    <definedName name="june_5">#REF!</definedName>
    <definedName name="june_7">#REF!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V">#REF!</definedName>
    <definedName name="jyt"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localSheetId="3" hidden="1">{"Datos",#N/A,TRUE,"Datos"}</definedName>
    <definedName name="jytj" hidden="1">{"Datos",#N/A,TRUE,"Datos"}</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#REF!</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#REF!</definedName>
    <definedName name="K___0">#REF!</definedName>
    <definedName name="K___13">#REF!</definedName>
    <definedName name="K_Plastering">#REF!</definedName>
    <definedName name="k1_table">#REF!</definedName>
    <definedName name="ka">#REF!</definedName>
    <definedName name="kagbk" localSheetId="3" hidden="1">{#N/A,#N/A,TRUE,"Cover";#N/A,#N/A,TRUE,"Conts";#N/A,#N/A,TRUE,"VOS";#N/A,#N/A,TRUE,"Warrington";#N/A,#N/A,TRUE,"Widnes"}</definedName>
    <definedName name="kagbk" hidden="1">{#N/A,#N/A,TRUE,"Cover";#N/A,#N/A,TRUE,"Conts";#N/A,#N/A,TRUE,"VOS";#N/A,#N/A,TRUE,"Warrington";#N/A,#N/A,TRUE,"Widnes"}</definedName>
    <definedName name="KAJLJ">#REF!</definedName>
    <definedName name="KAJLJ1">#REF!</definedName>
    <definedName name="KAMIL">#REF!</definedName>
    <definedName name="kan">#REF!</definedName>
    <definedName name="KAREEM">#REF!</definedName>
    <definedName name="KARNA">#REF!</definedName>
    <definedName name="Katsayi08">#REF!</definedName>
    <definedName name="KAUSHAR">#REF!</definedName>
    <definedName name="kay" hidden="1">#REF!</definedName>
    <definedName name="kb">#REF!</definedName>
    <definedName name="kc">#REF!</definedName>
    <definedName name="KD">#REF!</definedName>
    <definedName name="kdr">#REF!</definedName>
    <definedName name="Keith" localSheetId="3"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#REF!</definedName>
    <definedName name="keyworker_value_dv">#REF!</definedName>
    <definedName name="keyworker_value_dv_check">#REF!</definedName>
    <definedName name="kfufdh" hidden="1">#REF!</definedName>
    <definedName name="KGHJF" hidden="1">{#N/A,#N/A,TRUE,"Cover";#N/A,#N/A,TRUE,"Conts";#N/A,#N/A,TRUE,"VOS";#N/A,#N/A,TRUE,"Warrington";#N/A,#N/A,TRUE,"Widnes"}</definedName>
    <definedName name="kghlgh" hidden="1">{#N/A,#N/A,FALSE,"CCTV"}</definedName>
    <definedName name="kgj" hidden="1">{#N/A,#N/A,FALSE,"MARCH"}</definedName>
    <definedName name="kgjfgjgj" localSheetId="3" hidden="1">{#N/A,#N/A,TRUE,"Cover";#N/A,#N/A,TRUE,"Conts";#N/A,#N/A,TRUE,"VOS";#N/A,#N/A,TRUE,"Warrington";#N/A,#N/A,TRUE,"Widnes"}</definedName>
    <definedName name="kgjfgjgj" hidden="1">{#N/A,#N/A,TRUE,"Cover";#N/A,#N/A,TRUE,"Conts";#N/A,#N/A,TRUE,"VOS";#N/A,#N/A,TRUE,"Warrington";#N/A,#N/A,TRUE,"Widnes"}</definedName>
    <definedName name="KGMA">#REF!</definedName>
    <definedName name="KGOH">#REF!</definedName>
    <definedName name="KGOT">#REF!</definedName>
    <definedName name="KGPR">#REF!</definedName>
    <definedName name="Kh">#REF!</definedName>
    <definedName name="Kh___0">#REF!</definedName>
    <definedName name="Kh___13">#REF!</definedName>
    <definedName name="khj" localSheetId="3" hidden="1">{"offequipsch",#N/A,FALSE,"GTC_Schedule";"onconstsch",#N/A,FALSE,"GTC_Schedule";"techsch",#N/A,FALSE,"GTC_Schedule";"totsch",#N/A,FALSE,"GTC_Schedule"}</definedName>
    <definedName name="khj" hidden="1">{"offequipsch",#N/A,FALSE,"GTC_Schedule";"onconstsch",#N/A,FALSE,"GTC_Schedule";"techsch",#N/A,FALSE,"GTC_Schedule";"totsch",#N/A,FALSE,"GTC_Schedule"}</definedName>
    <definedName name="khjk" localSheetId="3" hidden="1">{"MF-601",#N/A,TRUE,"MANT-EX-B(fJ)";"MF-602",#N/A,TRUE,"ELECTR-FJ(B)";"MF-603",#N/A,TRUE,"PERSONAL(FJ)B";"MF-604",#N/A,TRUE,"REACT-P(B)";"MF-605",#N/A,TRUE,"OTR-COS.FJ(B)";"MF-60X",#N/A,TRUE,"Resumen"}</definedName>
    <definedName name="khjk" hidden="1">{"MF-601",#N/A,TRUE,"MANT-EX-B(fJ)";"MF-602",#N/A,TRUE,"ELECTR-FJ(B)";"MF-603",#N/A,TRUE,"PERSONAL(FJ)B";"MF-604",#N/A,TRUE,"REACT-P(B)";"MF-605",#N/A,TRUE,"OTR-COS.FJ(B)";"MF-60X",#N/A,TRUE,"Resumen"}</definedName>
    <definedName name="KHURSHID">#REF!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DEMTAVANI">#REF!</definedName>
    <definedName name="Kii">#REF!</definedName>
    <definedName name="Kii___0">#REF!</definedName>
    <definedName name="Kii___13">#REF!</definedName>
    <definedName name="kij" hidden="1">{#N/A,#N/A,FALSE,"MARCH"}</definedName>
    <definedName name="kiku" localSheetId="3" hidden="1">{"'Sheet1'!$L$16"}</definedName>
    <definedName name="kiku" hidden="1">{"'Sheet1'!$L$16"}</definedName>
    <definedName name="KILOPL" hidden="1">{#N/A,#N/A,TRUE,"Cover";#N/A,#N/A,TRUE,"Conts";#N/A,#N/A,TRUE,"VOS";#N/A,#N/A,TRUE,"Warrington";#N/A,#N/A,TRUE,"Widnes"}</definedName>
    <definedName name="KimmoSheet1">#REF!</definedName>
    <definedName name="KimmoSheet2">#REF!</definedName>
    <definedName name="kiop" hidden="1">{#N/A,#N/A,TRUE,"Cover";#N/A,#N/A,TRUE,"Conts";#N/A,#N/A,TRUE,"VOS";#N/A,#N/A,TRUE,"Warrington";#N/A,#N/A,TRUE,"Widnes"}</definedName>
    <definedName name="KIR">#REF!</definedName>
    <definedName name="kiulil" hidden="1">{#N/A,#N/A,FALSE,"CCTV"}</definedName>
    <definedName name="kj" localSheetId="3" hidden="1">{"'照明目录'!$A$1:$H$31"}</definedName>
    <definedName name="kj" hidden="1">{"'照明目录'!$A$1:$H$31"}</definedName>
    <definedName name="kjhgf" localSheetId="3" hidden="1">{#N/A,#N/A,FALSE,"Chi tiÆt"}</definedName>
    <definedName name="kjhgf" hidden="1">{#N/A,#N/A,FALSE,"Chi tiÆt"}</definedName>
    <definedName name="kjhkj" localSheetId="3"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lh" hidden="1">{#N/A,#N/A,FALSE,"CCTV"}</definedName>
    <definedName name="kjhljhk" hidden="1">{#N/A,#N/A,FALSE,"CCTV"}</definedName>
    <definedName name="kjhutuy" localSheetId="3" hidden="1">{"'Sheet1'!$L$16"}</definedName>
    <definedName name="kjhutuy" hidden="1">{"'Sheet1'!$L$16"}</definedName>
    <definedName name="kjlbsahdfb" localSheetId="3" hidden="1">{#N/A,#N/A,FALSE,"SumD";#N/A,#N/A,FALSE,"ElecD";#N/A,#N/A,FALSE,"MechD";#N/A,#N/A,FALSE,"GeotD";#N/A,#N/A,FALSE,"PrcsD";#N/A,#N/A,FALSE,"TunnD";#N/A,#N/A,FALSE,"CivlD";#N/A,#N/A,FALSE,"NtwkD";#N/A,#N/A,FALSE,"EstgD";#N/A,#N/A,FALSE,"PEngD"}</definedName>
    <definedName name="kjlbsahdfb" hidden="1">{#N/A,#N/A,FALSE,"SumD";#N/A,#N/A,FALSE,"ElecD";#N/A,#N/A,FALSE,"MechD";#N/A,#N/A,FALSE,"GeotD";#N/A,#N/A,FALSE,"PrcsD";#N/A,#N/A,FALSE,"TunnD";#N/A,#N/A,FALSE,"CivlD";#N/A,#N/A,FALSE,"NtwkD";#N/A,#N/A,FALSE,"EstgD";#N/A,#N/A,FALSE,"PEngD"}</definedName>
    <definedName name="kjo" hidden="1">#REF!</definedName>
    <definedName name="KJUIOL" hidden="1">{#N/A,#N/A,TRUE,"Cover";#N/A,#N/A,TRUE,"Conts";#N/A,#N/A,TRUE,"VOS";#N/A,#N/A,TRUE,"Warrington";#N/A,#N/A,TRUE,"Widnes"}</definedName>
    <definedName name="kk">#REF!</definedName>
    <definedName name="kkik" localSheetId="3" hidden="1">{"Datos",#N/A,TRUE,"Datos"}</definedName>
    <definedName name="kkik" hidden="1">{"Datos",#N/A,TRUE,"Datos"}</definedName>
    <definedName name="kkk">#N/A</definedName>
    <definedName name="kkki" localSheetId="3" hidden="1">{#N/A,#N/A,FALSE,"Chi tiÆt"}</definedName>
    <definedName name="kkki" hidden="1">{#N/A,#N/A,FALSE,"Chi tiÆt"}</definedName>
    <definedName name="KKKK">#REF!</definedName>
    <definedName name="kkkkj" localSheetId="3" hidden="1">{#N/A,#N/A,FALSE,"Chi tiÆt"}</definedName>
    <definedName name="kkkkj" hidden="1">{#N/A,#N/A,FALSE,"Chi tiÆt"}</definedName>
    <definedName name="kkkkk">#REF!</definedName>
    <definedName name="kkkkkkkkkkkkkk">#REF!</definedName>
    <definedName name="klira">#REF!</definedName>
    <definedName name="klj" localSheetId="3" hidden="1">{"Datos",#N/A,TRUE,"Datos"}</definedName>
    <definedName name="klj" hidden="1">{"Datos",#N/A,TRUE,"Datos"}</definedName>
    <definedName name="klkl" localSheetId="3" hidden="1">{#N/A,#N/A,FALSE,"Bericht 2";#N/A,#N/A,FALSE,"Bericht 3";#N/A,#N/A,FALSE,"Bericht 1"}</definedName>
    <definedName name="klkl" hidden="1">{#N/A,#N/A,FALSE,"Bericht 2";#N/A,#N/A,FALSE,"Bericht 3";#N/A,#N/A,FALSE,"Bericht 1"}</definedName>
    <definedName name="klo" hidden="1">{#N/A,#N/A,TRUE,"Cover";#N/A,#N/A,TRUE,"Conts";#N/A,#N/A,TRUE,"VOS";#N/A,#N/A,TRUE,"Warrington";#N/A,#N/A,TRUE,"Widnes"}</definedName>
    <definedName name="KLOP" hidden="1">{#N/A,#N/A,TRUE,"Cover";#N/A,#N/A,TRUE,"Conts";#N/A,#N/A,TRUE,"VOS";#N/A,#N/A,TRUE,"Warrington";#N/A,#N/A,TRUE,"Widnes"}</definedName>
    <definedName name="Km">#REF!</definedName>
    <definedName name="Km___0">#REF!</definedName>
    <definedName name="Km___13">#REF!</definedName>
    <definedName name="kñlñlñlñ" hidden="1">#REF!</definedName>
    <definedName name="KNVHDF" hidden="1">{#N/A,#N/A,TRUE,"Cover";#N/A,#N/A,TRUE,"Conts";#N/A,#N/A,TRUE,"VOS";#N/A,#N/A,TRUE,"Warrington";#N/A,#N/A,TRUE,"Widnes"}</definedName>
    <definedName name="koko" localSheetId="3" hidden="1">{#N/A,#N/A,FALSE,"Bericht 2";#N/A,#N/A,FALSE,"Bericht 3";#N/A,#N/A,FALSE,"Bericht 1"}</definedName>
    <definedName name="koko" hidden="1">{#N/A,#N/A,FALSE,"Bericht 2";#N/A,#N/A,FALSE,"Bericht 3";#N/A,#N/A,FALSE,"Bericht 1"}</definedName>
    <definedName name="KONTROL">#REF!</definedName>
    <definedName name="kp" localSheetId="3"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qw">#REF!</definedName>
    <definedName name="krdy">#REF!</definedName>
    <definedName name="kry">#REF!</definedName>
    <definedName name="kryk" localSheetId="3" hidden="1">{#N/A,#N/A,TRUE,"Cover";#N/A,#N/A,TRUE,"Conts";#N/A,#N/A,TRUE,"VOS";#N/A,#N/A,TRUE,"Warrington";#N/A,#N/A,TRUE,"Widnes"}</definedName>
    <definedName name="kryk" hidden="1">{#N/A,#N/A,TRUE,"Cover";#N/A,#N/A,TRUE,"Conts";#N/A,#N/A,TRUE,"VOS";#N/A,#N/A,TRUE,"Warrington";#N/A,#N/A,TRUE,"Widnes"}</definedName>
    <definedName name="Ks">#REF!</definedName>
    <definedName name="Ks___0">#REF!</definedName>
    <definedName name="Ks___13">#REF!</definedName>
    <definedName name="kskdakdkadasd" localSheetId="3" hidden="1">{#N/A,#N/A,TRUE,"COVER";#N/A,#N/A,TRUE,"DETAILS";#N/A,#N/A,TRUE,"SUMMARY";#N/A,#N/A,TRUE,"EXP MON";#N/A,#N/A,TRUE,"APPENDIX A";#N/A,#N/A,TRUE,"APPENDIX B";#N/A,#N/A,TRUE,"APPENDIX C";#N/A,#N/A,TRUE,"APPENDIX D";#N/A,#N/A,TRUE,"APPENDIX E";#N/A,#N/A,TRUE,"APPENDIX F";#N/A,#N/A,TRUE,"APPENDIX G"}</definedName>
    <definedName name="kskdakdkadasd" hidden="1">{#N/A,#N/A,TRUE,"COVER";#N/A,#N/A,TRUE,"DETAILS";#N/A,#N/A,TRUE,"SUMMARY";#N/A,#N/A,TRUE,"EXP MON";#N/A,#N/A,TRUE,"APPENDIX A";#N/A,#N/A,TRUE,"APPENDIX B";#N/A,#N/A,TRUE,"APPENDIX C";#N/A,#N/A,TRUE,"APPENDIX D";#N/A,#N/A,TRUE,"APPENDIX E";#N/A,#N/A,TRUE,"APPENDIX F";#N/A,#N/A,TRUE,"APPENDIX G"}</definedName>
    <definedName name="KT_USD">#REF!</definedName>
    <definedName name="ktu" hidden="1">#REF!</definedName>
    <definedName name="ku" hidden="1">#REF!</definedName>
    <definedName name="kuk" localSheetId="3" hidden="1">{"Datos",#N/A,TRUE,"Datos"}</definedName>
    <definedName name="kuk" hidden="1">{"Datos",#N/A,TRUE,"Datos"}</definedName>
    <definedName name="KUMAR">#REF!</definedName>
    <definedName name="Kumar_1963" localSheetId="3" hidden="1">{#N/A,#N/A,FALSE,"Bericht 2";#N/A,#N/A,FALSE,"Bericht 3";#N/A,#N/A,FALSE,"Bericht 1"}</definedName>
    <definedName name="Kumar_1963" hidden="1">{#N/A,#N/A,FALSE,"Bericht 2";#N/A,#N/A,FALSE,"Bericht 3";#N/A,#N/A,FALSE,"Bericht 1"}</definedName>
    <definedName name="KumarTKD">#REF!</definedName>
    <definedName name="Kunde">#REF!</definedName>
    <definedName name="KUR">#REF!</definedName>
    <definedName name="KurFarki">#REF!</definedName>
    <definedName name="kuyt" localSheetId="3" hidden="1">{"Datos",#N/A,TRUE,"Datos"}</definedName>
    <definedName name="kuyt" hidden="1">{"Datos",#N/A,TRUE,"Datos"}</definedName>
    <definedName name="kw" localSheetId="3" hidden="1">{"offequipsch",#N/A,FALSE,"GTC_Schedule";"onconstsch",#N/A,FALSE,"GTC_Schedule";"techsch",#N/A,FALSE,"GTC_Schedule";"totsch",#N/A,FALSE,"GTC_Schedule"}</definedName>
    <definedName name="kw" hidden="1">{"offequipsch",#N/A,FALSE,"GTC_Schedule";"onconstsch",#N/A,FALSE,"GTC_Schedule";"techsch",#N/A,FALSE,"GTC_Schedule";"totsch",#N/A,FALSE,"GTC_Schedule"}</definedName>
    <definedName name="kye">#REF!</definedName>
    <definedName name="KYFC" hidden="1">{#N/A,#N/A,TRUE,"Cover";#N/A,#N/A,TRUE,"Conts";#N/A,#N/A,TRUE,"VOS";#N/A,#N/A,TRUE,"Warrington";#N/A,#N/A,TRUE,"Widnes"}</definedName>
    <definedName name="kyk">#REF!</definedName>
    <definedName name="kyrd">#REF!</definedName>
    <definedName name="KYSTH" localSheetId="3" hidden="1">{#N/A,#N/A,TRUE,"Cover";#N/A,#N/A,TRUE,"Conts";#N/A,#N/A,TRUE,"VOS";#N/A,#N/A,TRUE,"Warrington";#N/A,#N/A,TRUE,"Widnes"}</definedName>
    <definedName name="KYSTH" hidden="1">{#N/A,#N/A,TRUE,"Cover";#N/A,#N/A,TRUE,"Conts";#N/A,#N/A,TRUE,"VOS";#N/A,#N/A,TRUE,"Warrington";#N/A,#N/A,TRUE,"Widnes"}</definedName>
    <definedName name="kyyy">#REF!</definedName>
    <definedName name="L">#REF!</definedName>
    <definedName name="L_______EARTH_WORKS">#REF!</definedName>
    <definedName name="L___0">#REF!</definedName>
    <definedName name="L___13">#REF!</definedName>
    <definedName name="L_Adjust">#REF!</definedName>
    <definedName name="L_AJE_Tot">#REF!</definedName>
    <definedName name="L_CY_Beg">#REF!</definedName>
    <definedName name="L_CY_End">#REF!</definedName>
    <definedName name="L_PY_End">#REF!</definedName>
    <definedName name="L_RJE_Tot">#REF!</definedName>
    <definedName name="L_Tiling">#REF!</definedName>
    <definedName name="L3ZA">#REF!</definedName>
    <definedName name="L3ZB">#REF!</definedName>
    <definedName name="L3ZC">#REF!</definedName>
    <definedName name="L3ZD">#REF!</definedName>
    <definedName name="LAB">#REF!</definedName>
    <definedName name="LABORATORY_EQUIPMENTS___MISC._TOOLS">#REF!</definedName>
    <definedName name="LABOUR_HUTS">#REF!</definedName>
    <definedName name="labourrecon">#REF!</definedName>
    <definedName name="LABP">#REF!</definedName>
    <definedName name="LAbrec">#REF!</definedName>
    <definedName name="LABS">#REF!</definedName>
    <definedName name="lala">#REF!</definedName>
    <definedName name="LAMP">#REF!</definedName>
    <definedName name="LAMP___0">#REF!</definedName>
    <definedName name="LAMP___13">#REF!</definedName>
    <definedName name="LamPan">#REF!</definedName>
    <definedName name="LAND">#REF!</definedName>
    <definedName name="Land_adv">#REF!</definedName>
    <definedName name="land_cost">#REF!</definedName>
    <definedName name="land_rate">#REF!</definedName>
    <definedName name="Land_Use1">#REF!</definedName>
    <definedName name="land_value_switch">#REF!</definedName>
    <definedName name="Landings1">#REF!</definedName>
    <definedName name="Landings123">#REF!</definedName>
    <definedName name="Landings2">#REF!</definedName>
    <definedName name="Landings3">#REF!</definedName>
    <definedName name="landscape">#REF!</definedName>
    <definedName name="LARG2">#REF!</definedName>
    <definedName name="LARG3">#REF!</definedName>
    <definedName name="LARG4">#REF!</definedName>
    <definedName name="LARG5">#REF!</definedName>
    <definedName name="LARG6">#REF!</definedName>
    <definedName name="LARG7">#REF!</definedName>
    <definedName name="Larsen___Toubro_Limited___ECC_Construction_Division">#REF!</definedName>
    <definedName name="last_row">111</definedName>
    <definedName name="lavatory">#REF!</definedName>
    <definedName name="Lbr">#REF!</definedName>
    <definedName name="LC">#REF!</definedName>
    <definedName name="Lc___0">#REF!</definedName>
    <definedName name="Lc___13">#REF!</definedName>
    <definedName name="Lcant">#REF!</definedName>
    <definedName name="LCAR100">#REF!</definedName>
    <definedName name="Lead">#REF!</definedName>
    <definedName name="LeanConcrete">#REF!</definedName>
    <definedName name="lef">#REF!</definedName>
    <definedName name="Legal_Fees">#REF!</definedName>
    <definedName name="lel">#REF!</definedName>
    <definedName name="len">#REF!</definedName>
    <definedName name="length">#REF!</definedName>
    <definedName name="LENGTH_1000mm_dia._GRP">#REF!</definedName>
    <definedName name="LENGTH_100mm_thk_blinding">#REF!</definedName>
    <definedName name="LENGTH_1300mm_high_upstand">#REF!</definedName>
    <definedName name="LENGTH_1600mm_thk_base_slab">#REF!</definedName>
    <definedName name="LENGTH_200mm_thick_cantilever_slab">#REF!</definedName>
    <definedName name="LENGTH_20mm_Isolation_Joint">#REF!</definedName>
    <definedName name="LENGTH_22KV_SWITCHGEAR_GR_651">#REF!</definedName>
    <definedName name="LENGTH_22KV_SWITCHGEAR_under_eqpt__GR_651">#REF!</definedName>
    <definedName name="LENGTH_22KV_SWITCHGEAR_under_walk__GR_651">#REF!</definedName>
    <definedName name="LENGTH_300mm_thk_base_slab">#REF!</definedName>
    <definedName name="LENGTH_300mm_thk_Susp._slab">#REF!</definedName>
    <definedName name="LENGTH_4mm_thk_below_ground_waterproofing">#REF!</definedName>
    <definedName name="LENGTH_4mm_thk_roof_covering_system">#REF!</definedName>
    <definedName name="LENGTH_500mm_thk_base_slab">#REF!</definedName>
    <definedName name="LENGTH_75mm_thk_blinding">#REF!</definedName>
    <definedName name="LENGTH_800mm_thk_base_slab">#REF!</definedName>
    <definedName name="LENGTH_AC_DC_GR_658">#REF!</definedName>
    <definedName name="LENGTH_Access_drive_rear">#REF!</definedName>
    <definedName name="LENGTH_Access_drive_rear_F.1">#REF!</definedName>
    <definedName name="LENGTH_Access_tunnel">#REF!</definedName>
    <definedName name="LENGTH_AGV_depot">#REF!</definedName>
    <definedName name="LENGTH_Air_filter_chamber">#REF!</definedName>
    <definedName name="LENGTH_Air_intake_trench">#REF!</definedName>
    <definedName name="LENGTH_AUX_1_GR_653">#REF!</definedName>
    <definedName name="LENGTH_AUX_2_GR_654">#REF!</definedName>
    <definedName name="LENGTH_b10s1">#REF!</definedName>
    <definedName name="LENGTH_b20s2">#REF!</definedName>
    <definedName name="LENGTH_b30s2">#REF!</definedName>
    <definedName name="LENGTH_b50s3">#REF!</definedName>
    <definedName name="LENGTH_BASEMENT_BS_651">#REF!</definedName>
    <definedName name="LENGTH_BATTERY_GR_659">#REF!</definedName>
    <definedName name="LENGTH_Beam_B1_400X700_">#REF!</definedName>
    <definedName name="LENGTH_Beam_B2_300X700_">#REF!</definedName>
    <definedName name="LENGTH_Below_ground_horizontal">#REF!</definedName>
    <definedName name="LENGTH_Below_tunnel_horizontal">#REF!</definedName>
    <definedName name="LENGTH_Blinding">#REF!</definedName>
    <definedName name="LENGTH_Break">#REF!</definedName>
    <definedName name="LENGTH_Break.F">#REF!</definedName>
    <definedName name="LENGTH_Break_room">#REF!</definedName>
    <definedName name="LENGTH_Break_room.1">#REF!</definedName>
    <definedName name="LENGTH_Cable_trench_slab_200mm_thk">#REF!</definedName>
    <definedName name="LENGTH_Cable_trench_wall_800mm_high">#REF!</definedName>
    <definedName name="LENGTH_Comm">#REF!</definedName>
    <definedName name="LENGTH_COMMU.ROOM_GR_660">#REF!</definedName>
    <definedName name="LENGTH_Communication_room">#REF!</definedName>
    <definedName name="LENGTH_Control.1">#REF!</definedName>
    <definedName name="LENGTH_CONTROL_ROOM_GR_657">#REF!</definedName>
    <definedName name="LENGTH_Corridor">#REF!</definedName>
    <definedName name="LENGTH_Corridor.1">#REF!</definedName>
    <definedName name="LENGTH_Corridor.2">#REF!</definedName>
    <definedName name="LENGTH_Corridor.3">#REF!</definedName>
    <definedName name="LENGTH_Corridor.4">#REF!</definedName>
    <definedName name="LENGTH_CORRIDOR_GR_665">#REF!</definedName>
    <definedName name="LENGTH_CT___02">#REF!</definedName>
    <definedName name="LENGTH_Duct_from_SS_to_Trench">#REF!</definedName>
    <definedName name="LENGTH_Elec">#REF!</definedName>
    <definedName name="LENGTH_Elec.1">#REF!</definedName>
    <definedName name="LENGTH_Elec.2">#REF!</definedName>
    <definedName name="LENGTH_Electrical">#REF!</definedName>
    <definedName name="LENGTH_Electrical.1">#REF!</definedName>
    <definedName name="LENGTH_Electrical.f">#REF!</definedName>
    <definedName name="LENGTH_Electrical_room">#REF!</definedName>
    <definedName name="LENGTH_Elev._equip">#REF!</definedName>
    <definedName name="LENGTH_EP___01">#REF!</definedName>
    <definedName name="LENGTH_EP___02">#REF!</definedName>
    <definedName name="LENGTH_EP_01_S">#REF!</definedName>
    <definedName name="LENGTH_EP_02_S">#REF!</definedName>
    <definedName name="LENGTH_Epoxy_paint_anti_fungus">#REF!</definedName>
    <definedName name="LENGTH_Excation">#REF!</definedName>
    <definedName name="LENGTH_Exit_passageway">#REF!</definedName>
    <definedName name="LENGTH_Exit_passageway.1">#REF!</definedName>
    <definedName name="LENGTH_Exit_passageway.2">#REF!</definedName>
    <definedName name="LENGTH_Exit_passageway.F">#REF!</definedName>
    <definedName name="LENGTH_Exit_passageway_1">#REF!</definedName>
    <definedName name="LENGTH_Fair_faced_concrete">#REF!</definedName>
    <definedName name="LENGTH_False_Ceiling">#REF!</definedName>
    <definedName name="LENGTH_Fan_room">#REF!</definedName>
    <definedName name="LENGTH_Fan_room.2">#REF!</definedName>
    <definedName name="LENGTH_Female_toilet_shower.F">#REF!</definedName>
    <definedName name="LENGTH_Fencing">#REF!</definedName>
    <definedName name="LENGTH_FF_conc._w_epoxy_paint_anti_fungus">#REF!</definedName>
    <definedName name="LENGTH_Filters.RF">#REF!</definedName>
    <definedName name="LENGTH_FIRE_FIGHTING_GR_656">#REF!</definedName>
    <definedName name="LENGTH_Fire_riser">#REF!</definedName>
    <definedName name="LENGTH_Fire_riser.F">#REF!</definedName>
    <definedName name="LENGTH_FL_01_General_floor">#REF!</definedName>
    <definedName name="LENGTH_FL_01_Ramps">#REF!</definedName>
    <definedName name="LENGTH_FL_02_Traffic_islands___Raised_area">#REF!</definedName>
    <definedName name="LENGTH_FL_03__Kerbs_3">#REF!</definedName>
    <definedName name="LENGTH_FL_03_Raised_Kerbs">#REF!</definedName>
    <definedName name="LENGTH_FL_04_Wheel_stops">#REF!</definedName>
    <definedName name="LENGTH_FL_05_Bay_Numbers">#REF!</definedName>
    <definedName name="LENGTH_FL_05_Disable_signage">#REF!</definedName>
    <definedName name="LENGTH_FL_05_Left_turn_Arrow_616">#REF!</definedName>
    <definedName name="LENGTH_FL_05_Parking_line_100mm_thk">#REF!</definedName>
    <definedName name="LENGTH_FL_05_Parking_line_280mm_thk">#REF!</definedName>
    <definedName name="LENGTH_FL_05_Parking_line_390mm_thk">#REF!</definedName>
    <definedName name="LENGTH_FL_05_Parking_line_530mm_thk">#REF!</definedName>
    <definedName name="LENGTH_FL_05_Right_turn_Arrow_615">#REF!</definedName>
    <definedName name="LENGTH_FL_05_Straight_Arrow_614">#REF!</definedName>
    <definedName name="LENGTH_FL_05_Straight_Right_Arrow_617">#REF!</definedName>
    <definedName name="LENGTH_FL_06_Ped._Walkways">#REF!</definedName>
    <definedName name="LENGTH_Footing_F1_400mm_high">#REF!</definedName>
    <definedName name="LENGTH_GB1_300X750mm">#REF!</definedName>
    <definedName name="LENGTH_GB2_400X750mm">#REF!</definedName>
    <definedName name="LENGTH_GENERATOR_1_GR_671">#REF!</definedName>
    <definedName name="LENGTH_GENERATOR_2_GR_672">#REF!</definedName>
    <definedName name="LENGTH_GIS_ROOM_GR_652">#REF!</definedName>
    <definedName name="LENGTH_GIS_ROOM_under_eqpt__GR_652">#REF!</definedName>
    <definedName name="LENGTH_GIS_ROOM_under_walkable__GR_652">#REF!</definedName>
    <definedName name="LENGTH_Grade_Slab_200mm_thk">#REF!</definedName>
    <definedName name="LENGTH_Ground_Beam_GB1_350X500_">#REF!</definedName>
    <definedName name="LENGTH_Ground_Beam_GB2_300X500_">#REF!</definedName>
    <definedName name="LENGTH_GUARD_ROOM_GR_666">#REF!</definedName>
    <definedName name="LENGTH_GUARD_WC_GR_669">#REF!</definedName>
    <definedName name="LENGTH_Hangar_11">#REF!</definedName>
    <definedName name="LENGTH_Hangar_12">#REF!</definedName>
    <definedName name="LENGTH_Imam_office">#REF!</definedName>
    <definedName name="LENGTH_Janitor">#REF!</definedName>
    <definedName name="LENGTH_Janitor.1">#REF!</definedName>
    <definedName name="LENGTH_L1_300X400">#REF!</definedName>
    <definedName name="LENGTH_L1_300X500">#REF!</definedName>
    <definedName name="LENGTH_L1_300X600">#REF!</definedName>
    <definedName name="LENGTH_L4_300X400">#REF!</definedName>
    <definedName name="LENGTH_L4_300X500">#REF!</definedName>
    <definedName name="LENGTH_L4_300X600">#REF!</definedName>
    <definedName name="LENGTH_L4_350X500">#REF!</definedName>
    <definedName name="LENGTH_L4_500X500">#REF!</definedName>
    <definedName name="LENGTH_L6_300X300">#REF!</definedName>
    <definedName name="LENGTH_L6_300X500">#REF!</definedName>
    <definedName name="LENGTH_Line_hangar_1">#REF!</definedName>
    <definedName name="LENGTH_Mech">#REF!</definedName>
    <definedName name="LENGTH_Mech.">#REF!</definedName>
    <definedName name="LENGTH_Mech.1">#REF!</definedName>
    <definedName name="LENGTH_Mech.2">#REF!</definedName>
    <definedName name="LENGTH_Mechanical">#REF!</definedName>
    <definedName name="LENGTH_Mechanical.1">#REF!</definedName>
    <definedName name="LENGTH_Mechanical.PH">#REF!</definedName>
    <definedName name="LENGTH_Mechanical.RF">#REF!</definedName>
    <definedName name="LENGTH_Mechanical_room">#REF!</definedName>
    <definedName name="LENGTH_MEDIUM_VOLTAGE_RM_GR_670">#REF!</definedName>
    <definedName name="LENGTH_Men_toilet_shower">#REF!</definedName>
    <definedName name="LENGTH_Men_toilet_shower.1">#REF!</definedName>
    <definedName name="LENGTH_Men_toilet_shower.F">#REF!</definedName>
    <definedName name="LENGTH_Mens_toilet">#REF!</definedName>
    <definedName name="LENGTH_Mens_toilet.F">#REF!</definedName>
    <definedName name="Length_of_the_cell__X_direction__m">#REF!</definedName>
    <definedName name="LENGTH_Office">#REF!</definedName>
    <definedName name="LENGTH_Office.1">#REF!</definedName>
    <definedName name="LENGTH_Office_1">#REF!</definedName>
    <definedName name="LENGTH_Office_2">#REF!</definedName>
    <definedName name="LENGTH_Office_3">#REF!</definedName>
    <definedName name="LENGTH_OFFICE_GR_663">#REF!</definedName>
    <definedName name="LENGTH_OFFICE_GR_664">#REF!</definedName>
    <definedName name="LENGTH_Offices">#REF!</definedName>
    <definedName name="LENGTH_OIL_PIT_B_655">#REF!</definedName>
    <definedName name="LENGTH_OIL_PIT_B_656">#REF!</definedName>
    <definedName name="LENGTH_OIL_PIT_BS_654">#REF!</definedName>
    <definedName name="LENGTH_Open_office">#REF!</definedName>
    <definedName name="LENGTH_OPen_office.1">#REF!</definedName>
    <definedName name="LENGTH_Open_office.F">#REF!</definedName>
    <definedName name="LENGTH_Paint_hangar_1">#REF!</definedName>
    <definedName name="LENGTH_Paint_hold.1">#REF!</definedName>
    <definedName name="LENGTH_Paint_mix">#REF!</definedName>
    <definedName name="LENGTH_Paint_mix.1">#REF!</definedName>
    <definedName name="LENGTH_Paint_shop">#REF!</definedName>
    <definedName name="LENGTH_Paint_shop.1">#REF!</definedName>
    <definedName name="LENGTH_Paint_store">#REF!</definedName>
    <definedName name="LENGTH_Painted_plaster">#REF!</definedName>
    <definedName name="LENGTH_PANTRY_GR_662">#REF!</definedName>
    <definedName name="LENGTH_Parapet_at_transformer_room">#REF!</definedName>
    <definedName name="LENGTH_Parts">#REF!</definedName>
    <definedName name="LENGTH_Parts.1">#REF!</definedName>
    <definedName name="LENGTH_Parts_">#REF!</definedName>
    <definedName name="LENGTH_Plaster_Anti_alkaline_paint">#REF!</definedName>
    <definedName name="LENGTH_Plot_Area">#REF!</definedName>
    <definedName name="LENGTH_Prayer_room">#REF!</definedName>
    <definedName name="LENGTH_PT___10">#REF!</definedName>
    <definedName name="LENGTH_PT_01_S">#REF!</definedName>
    <definedName name="LENGTH_RC_base">#REF!</definedName>
    <definedName name="LENGTH_RC_Wall">#REF!</definedName>
    <definedName name="LENGTH_RC_Wall_300W_3500H">#REF!</definedName>
    <definedName name="LENGTH_RC_Wall_300W_867H">#REF!</definedName>
    <definedName name="LENGTH_RC_Wall_400W_3500H">#REF!</definedName>
    <definedName name="LENGTH_RC_Wall_400W_3700H">#REF!</definedName>
    <definedName name="LENGTH_RC_Wall_500W_11670H">#REF!</definedName>
    <definedName name="LENGTH_RC_Wall_500W_12770H">#REF!</definedName>
    <definedName name="LENGTH_RC_Wall_600W_4000H">#REF!</definedName>
    <definedName name="LENGTH_RC_Wall_600W_5000H">#REF!</definedName>
    <definedName name="LENGTH_RC_Wall_800W_4800H">#REF!</definedName>
    <definedName name="LENGTH_RC_Wall_800W_6500H">#REF!</definedName>
    <definedName name="LENGTH_Receiver_tanks">#REF!</definedName>
    <definedName name="LENGTH_Removal_of_top_soil">#REF!</definedName>
    <definedName name="LENGTH_Riser">#REF!</definedName>
    <definedName name="LENGTH_Roof_Beam_RB1_300X600_">#REF!</definedName>
    <definedName name="LENGTH_Roof_beam_RB1_400X600_">#REF!</definedName>
    <definedName name="LENGTH_Roof_Beam_RB2_300X600_">#REF!</definedName>
    <definedName name="LENGTH_Roof_beam_RB2_400X600_">#REF!</definedName>
    <definedName name="LENGTH_Roof_beam_RB3_300X600_">#REF!</definedName>
    <definedName name="LENGTH_Roof_beam_RB4_200X400_">#REF!</definedName>
    <definedName name="LENGTH_Roof_parapet_300mm_high">#REF!</definedName>
    <definedName name="LENGTH_Roof_Parapet_500mm_high">#REF!</definedName>
    <definedName name="LENGTH_ROOF_RF_651">#REF!</definedName>
    <definedName name="LENGTH_ROOF_RF_652">#REF!</definedName>
    <definedName name="LENGTH_ROOF_RF_653">#REF!</definedName>
    <definedName name="LENGTH_ROOF_RF_654">#REF!</definedName>
    <definedName name="LENGTH_Roof_Slab_200mm_thick">#REF!</definedName>
    <definedName name="LENGTH_Roof_slab_250mm_thk">#REF!</definedName>
    <definedName name="LENGTH_SC_Columns_C1">#REF!</definedName>
    <definedName name="LENGTH_SC_Columns_C2">#REF!</definedName>
    <definedName name="LENGTH_Seat_storage.F1">#REF!</definedName>
    <definedName name="LENGTH_Seat_storage.F2">#REF!</definedName>
    <definedName name="LENGTH_SF_01_General_soffit">#REF!</definedName>
    <definedName name="LENGTH_Slab_S2_180mm_thick">#REF!</definedName>
    <definedName name="LENGTH_Slab_S3_200mm_thick">#REF!</definedName>
    <definedName name="LENGTH_Slab_S4_220mm_thick">#REF!</definedName>
    <definedName name="LENGTH_Slab_S5_250mm_thk">#REF!</definedName>
    <definedName name="LENGTH_Sloped_Roof_160mm_thick">#REF!</definedName>
    <definedName name="LENGTH_Smoking.1">#REF!</definedName>
    <definedName name="LENGTH_Smoking.2">#REF!</definedName>
    <definedName name="LENGTH_Smoking.F">#REF!</definedName>
    <definedName name="LENGTH_SS_B1_300X600_450mm_deep">#REF!</definedName>
    <definedName name="LENGTH_SS_B1_300X700_450mm_deep">#REF!</definedName>
    <definedName name="LENGTH_SS_B1_300X700_500mm_deep">#REF!</definedName>
    <definedName name="LENGTH_SS_B1_300X700X520mm_deep">#REF!</definedName>
    <definedName name="LENGTH_SS_B10_300X600_350mm_deep">#REF!</definedName>
    <definedName name="LENGTH_SS_B10_300X700_450mm_deep">#REF!</definedName>
    <definedName name="LENGTH_SS_B10_300X700_480mm_deep">#REF!</definedName>
    <definedName name="LENGTH_SS_B10_350X700_450mm_deep">#REF!</definedName>
    <definedName name="LENGTH_SS_B10_350X700_500mm_deep">#REF!</definedName>
    <definedName name="LENGTH_SS_B11_300X700_450mm_deep">#REF!</definedName>
    <definedName name="LENGTH_SS_B11_400X800_550mm_deep">#REF!</definedName>
    <definedName name="LENGTH_SS_B12_200X600_380mm_deep">#REF!</definedName>
    <definedName name="LENGTH_SS_B12_300X700">#REF!</definedName>
    <definedName name="LENGTH_SS_B12_300X700_500mm_deep">#REF!</definedName>
    <definedName name="LENGTH_SS_B12_300X700_520mm_deep">#REF!</definedName>
    <definedName name="LENGTH_SS_B12_300X700_580mm_deep">#REF!</definedName>
    <definedName name="LENGTH_SS_B13_300X700_480mm_deep">#REF!</definedName>
    <definedName name="LENGTH_SS_B13_350X700_450mm_deep">#REF!</definedName>
    <definedName name="LENGTH_SS_B14_300X700_450mm_deep">#REF!</definedName>
    <definedName name="LENGTH_SS_B14_300X700_500mm_deep">#REF!</definedName>
    <definedName name="LENGTH_SS_B15_300X700_450mm_deep">#REF!</definedName>
    <definedName name="LENGTH_SS_B15_350X700_450mm_deep">#REF!</definedName>
    <definedName name="LENGTH_SS_B15_350X700_500mm_deep">#REF!</definedName>
    <definedName name="LENGTH_SS_B16_300X700">#REF!</definedName>
    <definedName name="LENGTH_SS_B16_300X700_520mm_deep">#REF!</definedName>
    <definedName name="LENGTH_SS_B16_350X700_500mm_deep">#REF!</definedName>
    <definedName name="LENGTH_SS_B17_300X700">#REF!</definedName>
    <definedName name="LENGTH_SS_B18_300X700_480mm_deep">#REF!</definedName>
    <definedName name="LENGTH_SS_B18_300X700_500mm_deep">#REF!</definedName>
    <definedName name="LENGTH_SS_B18300X700">#REF!</definedName>
    <definedName name="LENGTH_SS_B19_300X700_450mm_deep">#REF!</definedName>
    <definedName name="LENGTH_SS_B19_300X700_500mm_deep">#REF!</definedName>
    <definedName name="LENGTH_SS_B2_400X800_550mm_deep">#REF!</definedName>
    <definedName name="LENGTH_SS_B20_300X700_450mm_deep">#REF!</definedName>
    <definedName name="LENGTH_SS_B20_300X700_520mm_deep">#REF!</definedName>
    <definedName name="LENGTH_SS_B21_300X700_450mm_deep">#REF!</definedName>
    <definedName name="LENGTH_SS_B22_300X700_450mm_deep">#REF!</definedName>
    <definedName name="LENGTH_SS_B23_300X700_500mm_deep">#REF!</definedName>
    <definedName name="LENGTH_SS_B24_300X700_500mm_deep">#REF!</definedName>
    <definedName name="LENGTH_SS_B25_300X700_480mm_deep">#REF!</definedName>
    <definedName name="LENGTH_SS_B26_300X500_340mm_deep">#REF!</definedName>
    <definedName name="LENGTH_SS_B27_300X500_340___deep">#REF!</definedName>
    <definedName name="LENGTH_SS_B28_500X1000_750mm_deep">#REF!</definedName>
    <definedName name="LENGTH_SS_B29_500X1000_750mm_deep">#REF!</definedName>
    <definedName name="LENGTH_SS_B3_400X700_480mm_deep">#REF!</definedName>
    <definedName name="LENGTH_SS_B3_400X800_550mm_deep">#REF!</definedName>
    <definedName name="LENGTH_SS_B30_500X1000_750mm_deep">#REF!</definedName>
    <definedName name="LENGTH_SS_B31_500X1000_750mm_deep">#REF!</definedName>
    <definedName name="LENGTH_SS_B4_300X700_520mm_deep">#REF!</definedName>
    <definedName name="LENGTH_SS_B4_400X800_550mm_deep">#REF!</definedName>
    <definedName name="LENGTH_SS_B5_400X800_550mm_deep">#REF!</definedName>
    <definedName name="LENGTH_SS_B6_300X600_350mm_deep">#REF!</definedName>
    <definedName name="LENGTH_SS_B6_300X700">#REF!</definedName>
    <definedName name="LENGTH_SS_B6_300X700_520mm_deep">#REF!</definedName>
    <definedName name="LENGTH_SS_B7_200X700_450mm_deep">#REF!</definedName>
    <definedName name="LENGTH_SS_B8_400X800_550mm_deep">#REF!</definedName>
    <definedName name="LENGTH_SS_B9_300X600_350mm_deep">#REF!</definedName>
    <definedName name="LENGTH_SS_B9_300X700_450mm_deep">#REF!</definedName>
    <definedName name="LENGTH_SS_B9_350X700_450mm_deep">#REF!</definedName>
    <definedName name="LENGTH_SS_B9_350X700_500mm_deep">#REF!</definedName>
    <definedName name="LENGTH_SS_CA1_300X700">#REF!</definedName>
    <definedName name="LENGTH_Stair">#REF!</definedName>
    <definedName name="LENGTH_Stair.1">#REF!</definedName>
    <definedName name="LENGTH_Stair_10">#REF!</definedName>
    <definedName name="LENGTH_Stair_11">#REF!</definedName>
    <definedName name="LENGTH_Stair_11A">#REF!</definedName>
    <definedName name="LENGTH_Stair_12">#REF!</definedName>
    <definedName name="LENGTH_Stair_12A">#REF!</definedName>
    <definedName name="LENGTH_Stair_12B">#REF!</definedName>
    <definedName name="LENGTH_Stair_13">#REF!</definedName>
    <definedName name="LENGTH_Stair_14">#REF!</definedName>
    <definedName name="LENGTH_STAIRCASE_ROOM_BS_668">#REF!</definedName>
    <definedName name="LENGTH_Storage.1">#REF!</definedName>
    <definedName name="LENGTH_Storage.F">#REF!</definedName>
    <definedName name="LENGTH_Storage.F1">#REF!</definedName>
    <definedName name="LENGTH_Storage.F2">#REF!</definedName>
    <definedName name="LENGTH_Storage.F3">#REF!</definedName>
    <definedName name="LENGTH_Storage_F">#REF!</definedName>
    <definedName name="LENGTH_STORE_GR_655">#REF!</definedName>
    <definedName name="LENGTH_Strip_footings_400mm_thk">#REF!</definedName>
    <definedName name="LENGTH_Strip_footings_500mm_thk">#REF!</definedName>
    <definedName name="LENGTH_Sub_Str._RC_Wall_250mm_thk">#REF!</definedName>
    <definedName name="LENGTH_Sub_str._RC_Wall_400mm_thk">#REF!</definedName>
    <definedName name="LENGTH_Sub_Str._Trench_wall_250mm_thick">#REF!</definedName>
    <definedName name="LENGTH_Sub_Str.RC_Wall_300mm_thk">#REF!</definedName>
    <definedName name="LENGTH_Superstr._Basement_Wall_250mm_thick">#REF!</definedName>
    <definedName name="LENGTH_Surface_Bed_S_120mm_thick">#REF!</definedName>
    <definedName name="LENGTH_Surface_Bed_S1_150mm_thick">#REF!</definedName>
    <definedName name="LENGTH_Surface_Bed_S5_250mm_thk">#REF!</definedName>
    <definedName name="LENGTH_Tech.">#REF!</definedName>
    <definedName name="LENGTH_Tech._library">#REF!</definedName>
    <definedName name="LENGTH_Tech.1">#REF!</definedName>
    <definedName name="LENGTH_Tech_library.1">#REF!</definedName>
    <definedName name="LENGTH_TL___01">#REF!</definedName>
    <definedName name="LENGTH_TL___04">#REF!</definedName>
    <definedName name="LENGTH_TL___09">#REF!</definedName>
    <definedName name="LENGTH_TL___10">#REF!</definedName>
    <definedName name="LENGTH_TL___11">#REF!</definedName>
    <definedName name="LENGTH_TL___12_S">#REF!</definedName>
    <definedName name="LENGTH_TL_04_S">#REF!</definedName>
    <definedName name="LENGTH_TL_09_S">#REF!</definedName>
    <definedName name="LENGTH_TOILETS_GR_661">#REF!</definedName>
    <definedName name="LENGTH_Tool_crib">#REF!</definedName>
    <definedName name="LENGTH_Tool_crib.1">#REF!</definedName>
    <definedName name="LENGTH_Tools">#REF!</definedName>
    <definedName name="LENGTH_Tools_CE_P">#REF!</definedName>
    <definedName name="LENGTH_Tools_CE_P.1">#REF!</definedName>
    <definedName name="LENGTH_Training.F">#REF!</definedName>
    <definedName name="LENGTH_Training_room">#REF!</definedName>
    <definedName name="LENGTH_Training_room.1">#REF!</definedName>
    <definedName name="LENGTH_TRENCH_BS_653">#REF!</definedName>
    <definedName name="LENGTH_TUNNEL_BS_652">#REF!</definedName>
    <definedName name="LENGTH_Type_E_Scratched_Finish">#REF!</definedName>
    <definedName name="LENGTH_Type_F_Smooth_finish">#REF!</definedName>
    <definedName name="Length_Vertical_Raft">#REF!</definedName>
    <definedName name="LENGTH_Warming_kitchen">#REF!</definedName>
    <definedName name="LENGTH_Wash_hangar_2">#REF!</definedName>
    <definedName name="LENGTH_WL_01_General_walls">#REF!</definedName>
    <definedName name="LENGTH_WL_01_Upstand">#REF!</definedName>
    <definedName name="LENGTH_WL_02_Columns_and_Corners">#REF!</definedName>
    <definedName name="LENGTH_WL_03_Bollards___100dia">#REF!</definedName>
    <definedName name="LENGTH_WL_03_Bollards___150dia">#REF!</definedName>
    <definedName name="LENGTH_Womens_toilet">#REF!</definedName>
    <definedName name="LENGTH_Womens_toilet.F">#REF!</definedName>
    <definedName name="LENGTH_WORKSHOP_GR_667">#REF!</definedName>
    <definedName name="level" localSheetId="3" hidden="1">{#N/A,#N/A,TRUE,"Cover";#N/A,#N/A,TRUE,"Conts";#N/A,#N/A,TRUE,"VOS";#N/A,#N/A,TRUE,"Warrington";#N/A,#N/A,TRUE,"Widnes"}</definedName>
    <definedName name="level" hidden="1">{#N/A,#N/A,TRUE,"Cover";#N/A,#N/A,TRUE,"Conts";#N/A,#N/A,TRUE,"VOS";#N/A,#N/A,TRUE,"Warrington";#N/A,#N/A,TRUE,"Widnes"}</definedName>
    <definedName name="Level2">#REF!</definedName>
    <definedName name="level3" localSheetId="3" hidden="1">{#N/A,#N/A,TRUE,"Cover";#N/A,#N/A,TRUE,"Conts";#N/A,#N/A,TRUE,"VOS";#N/A,#N/A,TRUE,"Warrington";#N/A,#N/A,TRUE,"Widnes"}</definedName>
    <definedName name="level3" hidden="1">{#N/A,#N/A,TRUE,"Cover";#N/A,#N/A,TRUE,"Conts";#N/A,#N/A,TRUE,"VOS";#N/A,#N/A,TRUE,"Warrington";#N/A,#N/A,TRUE,"Widnes"}</definedName>
    <definedName name="Levels">#REF!</definedName>
    <definedName name="Lf">#REF!</definedName>
    <definedName name="LfpA">#REF!</definedName>
    <definedName name="LfpB">#REF!</definedName>
    <definedName name="LfpC">#REF!</definedName>
    <definedName name="LfpS">#REF!</definedName>
    <definedName name="LGLGLG">#REF!</definedName>
    <definedName name="lgoguliu" localSheetId="3" hidden="1">{#N/A,#N/A,TRUE,"Cover";#N/A,#N/A,TRUE,"Conts";#N/A,#N/A,TRUE,"VOS";#N/A,#N/A,TRUE,"Warrington";#N/A,#N/A,TRUE,"Widnes"}</definedName>
    <definedName name="lgoguliu" hidden="1">{#N/A,#N/A,TRUE,"Cover";#N/A,#N/A,TRUE,"Conts";#N/A,#N/A,TRUE,"VOS";#N/A,#N/A,TRUE,"Warrington";#N/A,#N/A,TRUE,"Widnes"}</definedName>
    <definedName name="LHHC" hidden="1">{#N/A,#N/A,TRUE,"Cover";#N/A,#N/A,TRUE,"Conts";#N/A,#N/A,TRUE,"VOS";#N/A,#N/A,TRUE,"Warrington";#N/A,#N/A,TRUE,"Widnes"}</definedName>
    <definedName name="LIABILITY">#REF!</definedName>
    <definedName name="LIB">#REF!</definedName>
    <definedName name="lieu">#REF!</definedName>
    <definedName name="Life_Grp">#REF!</definedName>
    <definedName name="LifeExpectancy">#REF!</definedName>
    <definedName name="lift" localSheetId="3">Summary!lift</definedName>
    <definedName name="lift">#N/A</definedName>
    <definedName name="light">"Picture 1"</definedName>
    <definedName name="LIGHTNING_MEAS">#REF!</definedName>
    <definedName name="LIGPLANNING" localSheetId="3">#REF!</definedName>
    <definedName name="LIGPLANNING">#REF!</definedName>
    <definedName name="limcount" hidden="1">1</definedName>
    <definedName name="liner" hidden="1">{#N/A,#N/A,TRUE,"Front";#N/A,#N/A,TRUE,"Simple Letter";#N/A,#N/A,TRUE,"Inside";#N/A,#N/A,TRUE,"Contents";#N/A,#N/A,TRUE,"Basis";#N/A,#N/A,TRUE,"Inclusions";#N/A,#N/A,TRUE,"Exclusions";#N/A,#N/A,TRUE,"Areas";#N/A,#N/A,TRUE,"Summary";#N/A,#N/A,TRUE,"Detail"}</definedName>
    <definedName name="liop" localSheetId="3" hidden="1">{"'Break down'!$A$4"}</definedName>
    <definedName name="liop" hidden="1">{"'Break down'!$A$4"}</definedName>
    <definedName name="lioz" localSheetId="3" hidden="1">{"'Break down'!$A$4"}</definedName>
    <definedName name="lioz" hidden="1">{"'Break down'!$A$4"}</definedName>
    <definedName name="LIRA">#REF!</definedName>
    <definedName name="list" localSheetId="3" hidden="1">{#N/A,#N/A,TRUE,"Basic";#N/A,#N/A,TRUE,"EXT-TABLE";#N/A,#N/A,TRUE,"STEEL";#N/A,#N/A,TRUE,"INT-Table";#N/A,#N/A,TRUE,"STEEL";#N/A,#N/A,TRUE,"Door"}</definedName>
    <definedName name="list" hidden="1">{#N/A,#N/A,TRUE,"Basic";#N/A,#N/A,TRUE,"EXT-TABLE";#N/A,#N/A,TRUE,"STEEL";#N/A,#N/A,TRUE,"INT-Table";#N/A,#N/A,TRUE,"STEEL";#N/A,#N/A,TRUE,"Door"}</definedName>
    <definedName name="List_1">#REF!</definedName>
    <definedName name="list01" localSheetId="3" hidden="1">{#N/A,#N/A,TRUE,"Basic";#N/A,#N/A,TRUE,"EXT-TABLE";#N/A,#N/A,TRUE,"STEEL";#N/A,#N/A,TRUE,"INT-Table";#N/A,#N/A,TRUE,"STEEL";#N/A,#N/A,TRUE,"Door"}</definedName>
    <definedName name="list01" hidden="1">{#N/A,#N/A,TRUE,"Basic";#N/A,#N/A,TRUE,"EXT-TABLE";#N/A,#N/A,TRUE,"STEEL";#N/A,#N/A,TRUE,"INT-Table";#N/A,#N/A,TRUE,"STEEL";#N/A,#N/A,TRUE,"Door"}</definedName>
    <definedName name="list02" localSheetId="3" hidden="1">{#N/A,#N/A,TRUE,"Basic";#N/A,#N/A,TRUE,"EXT-TABLE";#N/A,#N/A,TRUE,"STEEL";#N/A,#N/A,TRUE,"INT-Table";#N/A,#N/A,TRUE,"STEEL";#N/A,#N/A,TRUE,"Door"}</definedName>
    <definedName name="list02" hidden="1">{#N/A,#N/A,TRUE,"Basic";#N/A,#N/A,TRUE,"EXT-TABLE";#N/A,#N/A,TRUE,"STEEL";#N/A,#N/A,TRUE,"INT-Table";#N/A,#N/A,TRUE,"STEEL";#N/A,#N/A,TRUE,"Door"}</definedName>
    <definedName name="LiveWork_Area">#REF!</definedName>
    <definedName name="LiveWork_Rate">#REF!</definedName>
    <definedName name="LK" localSheetId="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ii" hidden="1">{#N/A,#N/A,TRUE,"Cover";#N/A,#N/A,TRUE,"Conts";#N/A,#N/A,TRUE,"VOS";#N/A,#N/A,TRUE,"Warrington";#N/A,#N/A,TRUE,"Widnes"}</definedName>
    <definedName name="LKIO" hidden="1">{#N/A,#N/A,TRUE,"Cover";#N/A,#N/A,TRUE,"Conts";#N/A,#N/A,TRUE,"VOS";#N/A,#N/A,TRUE,"Warrington";#N/A,#N/A,TRUE,"Widnes"}</definedName>
    <definedName name="LKIOJK" hidden="1">{#N/A,#N/A,TRUE,"Cover";#N/A,#N/A,TRUE,"Conts";#N/A,#N/A,TRUE,"VOS";#N/A,#N/A,TRUE,"Warrington";#N/A,#N/A,TRUE,"Widnes"}</definedName>
    <definedName name="lkj" hidden="1">#REF!</definedName>
    <definedName name="lkjoiu" localSheetId="3" hidden="1">{"'Sheet1'!$L$16"}</definedName>
    <definedName name="lkjoiu" hidden="1">{"'Sheet1'!$L$16"}</definedName>
    <definedName name="LKL" localSheetId="3"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hlkjl" hidden="1">{#N/A,#N/A,FALSE,"CCTV"}</definedName>
    <definedName name="ll" localSheetId="3"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ALALLA" hidden="1">{#N/A,#N/A,TRUE,"Front";#N/A,#N/A,TRUE,"Simple Letter";#N/A,#N/A,TRUE,"Inside";#N/A,#N/A,TRUE,"Contents";#N/A,#N/A,TRUE,"Basis";#N/A,#N/A,TRUE,"Inclusions";#N/A,#N/A,TRUE,"Exclusions";#N/A,#N/A,TRUE,"Areas";#N/A,#N/A,TRUE,"Summary";#N/A,#N/A,TRUE,"Detail"}</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L" localSheetId="3" hidden="1">{#N/A,#N/A,FALSE,"양식(을)"}</definedName>
    <definedName name="LLL" hidden="1">{#N/A,#N/A,FALSE,"양식(을)"}</definedName>
    <definedName name="llll" localSheetId="3" hidden="1">{"'Break down'!$A$4"}</definedName>
    <definedName name="llll" hidden="1">{"'Break down'!$A$4"}</definedName>
    <definedName name="lllll" localSheetId="3"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lllllllllllll">#REF!</definedName>
    <definedName name="lllz" localSheetId="3" hidden="1">{"'Break down'!$A$4"}</definedName>
    <definedName name="lllz" hidden="1">{"'Break down'!$A$4"}</definedName>
    <definedName name="LLResProf">#REF!</definedName>
    <definedName name="LLSupProf">#REF!</definedName>
    <definedName name="LM_">#REF!</definedName>
    <definedName name="Loan">#REF!</definedName>
    <definedName name="Loan_A_margins">#REF!</definedName>
    <definedName name="loans_adv">#REF!</definedName>
    <definedName name="Lobby">#REF!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Rate">#REF!</definedName>
    <definedName name="lod" hidden="1">#REF!</definedName>
    <definedName name="Lodhi_Project_Updates_and_Cashflow">#REF!</definedName>
    <definedName name="LOGO">#REF!</definedName>
    <definedName name="lohd" hidden="1">#REF!</definedName>
    <definedName name="lohter" hidden="1">#REF!</definedName>
    <definedName name="loihd" hidden="1">#REF!</definedName>
    <definedName name="loisdnht" hidden="1">#REF!</definedName>
    <definedName name="loiy" hidden="1">{#N/A,#N/A,TRUE,"Cover";#N/A,#N/A,TRUE,"Conts";#N/A,#N/A,TRUE,"VOS";#N/A,#N/A,TRUE,"Warrington";#N/A,#N/A,TRUE,"Widnes"}</definedName>
    <definedName name="Long_Term_Receivables">#REF!</definedName>
    <definedName name="LONG2">#REF!</definedName>
    <definedName name="LONG3">#REF!</definedName>
    <definedName name="LONG4">#REF!</definedName>
    <definedName name="LONG5">#REF!</definedName>
    <definedName name="LONG6">#REF!</definedName>
    <definedName name="LONG7">#REF!</definedName>
    <definedName name="look">#REF!</definedName>
    <definedName name="lootah_dscnt1">#REF!</definedName>
    <definedName name="LOP" localSheetId="3"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ss___Sale_of_assets">#REF!</definedName>
    <definedName name="Loss_of_income">#REF!</definedName>
    <definedName name="Loss_of_income_Pack1">#REF!</definedName>
    <definedName name="Loss_of_income_Pack2">#REF!</definedName>
    <definedName name="Loss_of_income_Pack3">#REF!</definedName>
    <definedName name="loueb" hidden="1">#REF!</definedName>
    <definedName name="lp" hidden="1">#REF!</definedName>
    <definedName name="Lr">#REF!</definedName>
    <definedName name="Lr___0">#REF!</definedName>
    <definedName name="Lr___13">#REF!</definedName>
    <definedName name="LS_">#REF!</definedName>
    <definedName name="LSD_4100">#REF!</definedName>
    <definedName name="lsest">#REF!</definedName>
    <definedName name="lshead">#REF!</definedName>
    <definedName name="lth">#REF!</definedName>
    <definedName name="Ltitle">#REF!</definedName>
    <definedName name="LTV">#REF!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MEN___0">#REF!</definedName>
    <definedName name="LUMEN___13">#REF!</definedName>
    <definedName name="Lump_Sum_Discount">#REF!</definedName>
    <definedName name="Lux">#REF!</definedName>
    <definedName name="LUX___0">#REF!</definedName>
    <definedName name="LUX___13">#REF!</definedName>
    <definedName name="Lx">#REF!</definedName>
    <definedName name="Lx___0">#REF!</definedName>
    <definedName name="Lx___13">#REF!</definedName>
    <definedName name="M">#REF!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Samy" localSheetId="3" hidden="1">{#N/A,#N/A,FALSE,"inctrnd99"}</definedName>
    <definedName name="M.Samy" hidden="1">{#N/A,#N/A,FALSE,"inctrnd99"}</definedName>
    <definedName name="M\" localSheetId="3" hidden="1">{#N/A,#N/A,FALSE,"inctrnd99"}</definedName>
    <definedName name="M\" hidden="1">{#N/A,#N/A,FALSE,"inctrnd99"}</definedName>
    <definedName name="m___0">#REF!</definedName>
    <definedName name="m___13">#REF!</definedName>
    <definedName name="M_25_box_Culvert">#REF!</definedName>
    <definedName name="M_Angle_Screed">#REF!</definedName>
    <definedName name="M_Paintwork">#REF!</definedName>
    <definedName name="M1_">#N/A</definedName>
    <definedName name="M12aE" localSheetId="3" hidden="1">{"'照明目录'!$A$1:$H$31"}</definedName>
    <definedName name="M12aE" hidden="1">{"'照明目录'!$A$1:$H$31"}</definedName>
    <definedName name="M2_">#N/A</definedName>
    <definedName name="ma" hidden="1">{#N/A,#N/A,TRUE,"Cover";#N/A,#N/A,TRUE,"Conts";#N/A,#N/A,TRUE,"VOS";#N/A,#N/A,TRUE,"Warrington";#N/A,#N/A,TRUE,"Widnes"}</definedName>
    <definedName name="Mac_Visitors">#REF!</definedName>
    <definedName name="Machinary"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19">#REF!</definedName>
    <definedName name="Macro2">#REF!</definedName>
    <definedName name="Macro20">#REF!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gdy">#REF!</definedName>
    <definedName name="magdysssss">#REF!</definedName>
    <definedName name="MAIN">#REF!</definedName>
    <definedName name="major">#REF!</definedName>
    <definedName name="MajorOccupancy" localSheetId="2">#REF!</definedName>
    <definedName name="MajorOccupancy">#REF!</definedName>
    <definedName name="Mak">#REF!</definedName>
    <definedName name="man" localSheetId="3"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__0">#REF!</definedName>
    <definedName name="man___11">#REF!</definedName>
    <definedName name="man___12">#REF!</definedName>
    <definedName name="MAN_SALE">#REF!</definedName>
    <definedName name="MAN_SALE_FACT">#REF!</definedName>
    <definedName name="manday1">#REF!</definedName>
    <definedName name="manday1___0">#REF!</definedName>
    <definedName name="manday1___11">#REF!</definedName>
    <definedName name="manday1___12">#REF!</definedName>
    <definedName name="MANDEEP">#REF!</definedName>
    <definedName name="MANHOUR">#REF!</definedName>
    <definedName name="MANMENU">#REF!</definedName>
    <definedName name="Mannai_Engg._Co">#REF!</definedName>
    <definedName name="MANP_CHT">#REF!</definedName>
    <definedName name="MANPOWER">#REF!</definedName>
    <definedName name="manpower_details">#REF!</definedName>
    <definedName name="manual_comm">#REF!</definedName>
    <definedName name="Manya">#REF!</definedName>
    <definedName name="marble">#REF!</definedName>
    <definedName name="March_11">#REF!</definedName>
    <definedName name="march_qty">#REF!</definedName>
    <definedName name="margin">#REF!</definedName>
    <definedName name="MARGIN_MAN">#REF!</definedName>
    <definedName name="MARGIN_MAT">#REF!</definedName>
    <definedName name="MARGIN_MISC">#REF!</definedName>
    <definedName name="MARGIN_SC">#REF!</definedName>
    <definedName name="marino" hidden="1">{#N/A,#N/A,FALSE,"Work progress mensile";#N/A,#N/A,FALSE,"Work progress mensile IE1"}</definedName>
    <definedName name="Marketable_Securities">#REF!</definedName>
    <definedName name="markets">#REF!</definedName>
    <definedName name="MarketType">#REF!</definedName>
    <definedName name="MarketType_4">#REF!</definedName>
    <definedName name="MarketType_4_1">#REF!</definedName>
    <definedName name="MarketType_6">#REF!</definedName>
    <definedName name="MarketType_Text">#REF!</definedName>
    <definedName name="MarketType_Text_4">#REF!</definedName>
    <definedName name="MarketType_Text_4_1">#REF!</definedName>
    <definedName name="MarketType_Text_6">#REF!</definedName>
    <definedName name="MarkIdx">#REF!</definedName>
    <definedName name="MARKUP">#REF!</definedName>
    <definedName name="Marwa">#REF!</definedName>
    <definedName name="masonary">#REF!</definedName>
    <definedName name="Master_Project_Cost_Format_Variance_Analysis_List">#REF!</definedName>
    <definedName name="mat" localSheetId="3"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Percentage">#REF!</definedName>
    <definedName name="MAT_SALE">#REF!</definedName>
    <definedName name="MAT_SALE_FAC">#REF!</definedName>
    <definedName name="Mat_Sales">#REF!</definedName>
    <definedName name="Material">#REF!</definedName>
    <definedName name="Material_Ave_Selling">#REF!</definedName>
    <definedName name="Material_rate_entry">#REF!</definedName>
    <definedName name="Material_Selling">#REF!</definedName>
    <definedName name="Material_Selling_3">#REF!</definedName>
    <definedName name="Material_Selling_4">#REF!</definedName>
    <definedName name="MaterialOSTotal">#REF!</definedName>
    <definedName name="Materials">#REF!</definedName>
    <definedName name="MaterialToBeCrushed">#REF!</definedName>
    <definedName name="MaterialToBeScreened">#REF!</definedName>
    <definedName name="MATV">#REF!</definedName>
    <definedName name="MaxLotsPerPeriod">#REF!</definedName>
    <definedName name="maxmonth">OFFSET(#REF!,0,0,MATCH(#REF!,#REF!,0),1)</definedName>
    <definedName name="May" hidden="1">{#N/A,#N/A,FALSE,"MARCH"}</definedName>
    <definedName name="MAY03PH2">#REF!</definedName>
    <definedName name="mayflower">#REF!</definedName>
    <definedName name="mayneew09" localSheetId="3" hidden="1">{#N/A,#N/A,FALSE,"Bericht 2";#N/A,#N/A,FALSE,"Bericht 3";#N/A,#N/A,FALSE,"Bericht 1"}</definedName>
    <definedName name="mayneew09" hidden="1">{#N/A,#N/A,FALSE,"Bericht 2";#N/A,#N/A,FALSE,"Bericht 3";#N/A,#N/A,FALSE,"Bericht 1"}</definedName>
    <definedName name="maynew" localSheetId="3" hidden="1">{#N/A,#N/A,FALSE,"Bericht 2";#N/A,#N/A,FALSE,"Bericht 3";#N/A,#N/A,FALSE,"Bericht 1"}</definedName>
    <definedName name="maynew" hidden="1">{#N/A,#N/A,FALSE,"Bericht 2";#N/A,#N/A,FALSE,"Bericht 3";#N/A,#N/A,FALSE,"Bericht 1"}</definedName>
    <definedName name="maynew09" localSheetId="3" hidden="1">{#N/A,#N/A,FALSE,"Bericht 2";#N/A,#N/A,FALSE,"Bericht 3";#N/A,#N/A,FALSE,"Bericht 1"}</definedName>
    <definedName name="maynew09" hidden="1">{#N/A,#N/A,FALSE,"Bericht 2";#N/A,#N/A,FALSE,"Bericht 3";#N/A,#N/A,FALSE,"Bericht 1"}</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Length">#REF!</definedName>
    <definedName name="MB5Length">#REF!</definedName>
    <definedName name="MB6Length">#REF!</definedName>
    <definedName name="MB7Length">#REF!</definedName>
    <definedName name="MB8Length">#REF!</definedName>
    <definedName name="MB9Length">#REF!</definedName>
    <definedName name="mbn" localSheetId="3" hidden="1">{"MF-601",#N/A,TRUE,"MANT-EX-B(fJ)";"MF-602",#N/A,TRUE,"ELECTR-FJ(B)";"MF-603",#N/A,TRUE,"PERSONAL(FJ)B";"MF-604",#N/A,TRUE,"REACT-P(B)";"MF-605",#N/A,TRUE,"OTR-COS.FJ(B)";"MF-60X",#N/A,TRUE,"Resumen"}</definedName>
    <definedName name="mbn" hidden="1">{"MF-601",#N/A,TRUE,"MANT-EX-B(fJ)";"MF-602",#N/A,TRUE,"ELECTR-FJ(B)";"MF-603",#N/A,TRUE,"PERSONAL(FJ)B";"MF-604",#N/A,TRUE,"REACT-P(B)";"MF-605",#N/A,TRUE,"OTR-COS.FJ(B)";"MF-60X",#N/A,TRUE,"Resumen"}</definedName>
    <definedName name="mbvcmcv">#REF!</definedName>
    <definedName name="mbw">#REF!</definedName>
    <definedName name="MC_">#REF!</definedName>
    <definedName name="MCode">#REF!</definedName>
    <definedName name="MCS" hidden="1">#REF!</definedName>
    <definedName name="Mcurry">#REF!</definedName>
    <definedName name="MData">#REF!</definedName>
    <definedName name="mdfgyp">#REF!</definedName>
    <definedName name="mdflam">#REF!</definedName>
    <definedName name="MDFMDF">#REF!</definedName>
    <definedName name="mdfpan">#REF!</definedName>
    <definedName name="measu" hidden="1">{#N/A,#N/A,TRUE,"Front";#N/A,#N/A,TRUE,"Simple Letter";#N/A,#N/A,TRUE,"Inside";#N/A,#N/A,TRUE,"Contents";#N/A,#N/A,TRUE,"Basis";#N/A,#N/A,TRUE,"Inclusions";#N/A,#N/A,TRUE,"Exclusions";#N/A,#N/A,TRUE,"Areas";#N/A,#N/A,TRUE,"Summary";#N/A,#N/A,TRUE,"Detail"}</definedName>
    <definedName name="measur" localSheetId="3"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CA1" localSheetId="3">#REF!,#REF!,#REF!,#REF!,#REF!,#REF!,#REF!,#REF!,#REF!</definedName>
    <definedName name="MECA1">#REF!,#REF!,#REF!,#REF!,#REF!,#REF!,#REF!,#REF!,#REF!</definedName>
    <definedName name="MECA2">#REF!,#REF!,#REF!,#REF!</definedName>
    <definedName name="Mech"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_Piping" localSheetId="2">#REF!</definedName>
    <definedName name="Mech_Piping">#REF!</definedName>
    <definedName name="mechanical">#REF!</definedName>
    <definedName name="Mechanical_Piping" localSheetId="2">#REF!</definedName>
    <definedName name="Mechanical_Piping">#REF!</definedName>
    <definedName name="mechlbr">#REF!</definedName>
    <definedName name="meest">#REF!</definedName>
    <definedName name="Meeting">#REF!</definedName>
    <definedName name="mehead">#REF!</definedName>
    <definedName name="Mel" hidden="1">#REF!</definedName>
    <definedName name="men">#REF!</definedName>
    <definedName name="MEP" localSheetId="3"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pohp">#REF!</definedName>
    <definedName name="mepohpspr">#REF!</definedName>
    <definedName name="Merchandise_Cost">#REF!</definedName>
    <definedName name="MES01_END">#REF!</definedName>
    <definedName name="MES01_START">#REF!</definedName>
    <definedName name="Metalwork">#REF!</definedName>
    <definedName name="metlam_pan">#REF!</definedName>
    <definedName name="MF">#REF!</definedName>
    <definedName name="MF___0">#REF!</definedName>
    <definedName name="MF___13">#REF!</definedName>
    <definedName name="mgf">#REF!</definedName>
    <definedName name="mgjmcf" localSheetId="3" hidden="1">{"Datos",#N/A,TRUE,"Datos"}</definedName>
    <definedName name="mgjmcf" hidden="1">{"Datos",#N/A,TRUE,"Datos"}</definedName>
    <definedName name="MHR">#REF!</definedName>
    <definedName name="MHR_Selling">#REF!</definedName>
    <definedName name="MHRP">#REF!</definedName>
    <definedName name="MHRS">#REF!</definedName>
    <definedName name="mi" localSheetId="3" hidden="1">{#N/A,#N/A,TRUE,"Cover Memo";"Complete Sys. Estimate",#N/A,TRUE,"Change Summary";"Complete Sys. Estimate",#N/A,TRUE,"Estimate Summary";"Complete Sys. Estimate",#N/A,TRUE,"Dept. Summary";"Complete Sys. Estimate",#N/A,TRUE,"DOW Detail"}</definedName>
    <definedName name="mi" hidden="1">{#N/A,#N/A,TRUE,"Cover Memo";"Complete Sys. Estimate",#N/A,TRUE,"Change Summary";"Complete Sys. Estimate",#N/A,TRUE,"Estimate Summary";"Complete Sys. Estimate",#N/A,TRUE,"Dept. Summary";"Complete Sys. Estimate",#N/A,TRUE,"DOW Detail"}</definedName>
    <definedName name="Mirror_pan">#REF!</definedName>
    <definedName name="MISC._LABOURS">#REF!</definedName>
    <definedName name="MISC_EXPENCES">#REF!</definedName>
    <definedName name="Misc_Sales">#REF!</definedName>
    <definedName name="Miscellaneous_Income">#REF!</definedName>
    <definedName name="MiscIncome">#REF!</definedName>
    <definedName name="Miss" localSheetId="3" hidden="1">{#N/A,#N/A,TRUE,"Front";#N/A,#N/A,TRUE,"Simple Letter";#N/A,#N/A,TRUE,"Inside";#N/A,#N/A,TRUE,"Contents";#N/A,#N/A,TRUE,"Basis";#N/A,#N/A,TRUE,"Inclusions";#N/A,#N/A,TRUE,"Exclusions";#N/A,#N/A,TRUE,"Areas";#N/A,#N/A,TRUE,"Summary";#N/A,#N/A,TRUE,"Detail"}</definedName>
    <definedName name="Miss" hidden="1">{#N/A,#N/A,TRUE,"Front";#N/A,#N/A,TRUE,"Simple Letter";#N/A,#N/A,TRUE,"Inside";#N/A,#N/A,TRUE,"Contents";#N/A,#N/A,TRUE,"Basis";#N/A,#N/A,TRUE,"Inclusions";#N/A,#N/A,TRUE,"Exclusions";#N/A,#N/A,TRUE,"Areas";#N/A,#N/A,TRUE,"Summary";#N/A,#N/A,TRUE,"Detail"}</definedName>
    <definedName name="Mix_Occ_Check">#REF!</definedName>
    <definedName name="MixOccCheck">#REF!</definedName>
    <definedName name="mj">#REF!</definedName>
    <definedName name="MJKILO" hidden="1">{#N/A,#N/A,TRUE,"Cover";#N/A,#N/A,TRUE,"Conts";#N/A,#N/A,TRUE,"VOS";#N/A,#N/A,TRUE,"Warrington";#N/A,#N/A,TRUE,"Widnes"}</definedName>
    <definedName name="MJKL" hidden="1">{#N/A,#N/A,TRUE,"Cover";#N/A,#N/A,TRUE,"Conts";#N/A,#N/A,TRUE,"VOS";#N/A,#N/A,TRUE,"Warrington";#N/A,#N/A,TRUE,"Widnes"}</definedName>
    <definedName name="mjyuj" localSheetId="3" hidden="1">{"Datos",#N/A,TRUE,"Datos"}</definedName>
    <definedName name="mjyuj" hidden="1">{"Datos",#N/A,TRUE,"Datos"}</definedName>
    <definedName name="mkey">#REF!</definedName>
    <definedName name="mkkll" hidden="1">{#N/A,#N/A,TRUE,"Cover";#N/A,#N/A,TRUE,"Conts";#N/A,#N/A,TRUE,"VOS";#N/A,#N/A,TRUE,"Warrington";#N/A,#N/A,TRUE,"Widnes"}</definedName>
    <definedName name="Mlist">#REF!</definedName>
    <definedName name="mlvhz" localSheetId="3" hidden="1">{"'Sheet1'!$L$16"}</definedName>
    <definedName name="mlvhz" hidden="1">{"'Sheet1'!$L$16"}</definedName>
    <definedName name="mm">#REF!</definedName>
    <definedName name="MmExcelLinker_48EFC9ED_A550_40C1_A2F7_886170168388" localSheetId="3">idea gen&amp;#REF!</definedName>
    <definedName name="MmExcelLinker_48EFC9ED_A550_40C1_A2F7_886170168388">idea gen&amp;#REF!</definedName>
    <definedName name="MMKIU" localSheetId="3" hidden="1">{"'Sheet1'!$L$16"}</definedName>
    <definedName name="MMKIU" hidden="1">{"'Sheet1'!$L$16"}</definedName>
    <definedName name="mmm" localSheetId="3" hidden="1">{"'Break down'!$A$4"}</definedName>
    <definedName name="mmm" hidden="1">{"'Break down'!$A$4"}</definedName>
    <definedName name="MMMM" hidden="1">#REF!</definedName>
    <definedName name="mmmmm" hidden="1">#REF!</definedName>
    <definedName name="mmmmmmmmmm">#REF!</definedName>
    <definedName name="mmmmmmmmmmmmm">#REF!</definedName>
    <definedName name="mmz" localSheetId="3" hidden="1">{"'Break down'!$A$4"}</definedName>
    <definedName name="mmz" hidden="1">{"'Break down'!$A$4"}</definedName>
    <definedName name="MN">#REF!</definedName>
    <definedName name="mnbn">#REF!</definedName>
    <definedName name="mngfs.oom" localSheetId="3" hidden="1">{#N/A,#N/A,FALSE,"Chi tiÆt"}</definedName>
    <definedName name="mngfs.oom" hidden="1">{#N/A,#N/A,FALSE,"Chi tiÆt"}</definedName>
    <definedName name="MNKKLOLO" hidden="1">{#N/A,#N/A,TRUE,"Cover";#N/A,#N/A,TRUE,"Conts";#N/A,#N/A,TRUE,"VOS";#N/A,#N/A,TRUE,"Warrington";#N/A,#N/A,TRUE,"Widnes"}</definedName>
    <definedName name="mnm">#REF!</definedName>
    <definedName name="MOB_ADVANCE">#REF!</definedName>
    <definedName name="mobi">#REF!</definedName>
    <definedName name="MODELE">#REF!</definedName>
    <definedName name="Moh">#REF!</definedName>
    <definedName name="Mohammed">#REF!</definedName>
    <definedName name="Monetary_Precision">#REF!</definedName>
    <definedName name="montaj">#REF!</definedName>
    <definedName name="Month">#REF!</definedName>
    <definedName name="MONTH_CONDITION">#REF!</definedName>
    <definedName name="MONTH_DETAILS">#REF!</definedName>
    <definedName name="month1">OFFSET(#REF!,0,0,COUNTA(#REF!),1)</definedName>
    <definedName name="Monthly">#REF!</definedName>
    <definedName name="MonthlyRetirementIncome">#REF!</definedName>
    <definedName name="MONTHS">#REF!</definedName>
    <definedName name="MontlyPercentCompletion">#REF!</definedName>
    <definedName name="MOS">#REF!</definedName>
    <definedName name="mosq">#REF!</definedName>
    <definedName name="mou">#REF!</definedName>
    <definedName name="MP" localSheetId="2">#REF!</definedName>
    <definedName name="MP">#REF!</definedName>
    <definedName name="MPI">#REF!</definedName>
    <definedName name="MPwr_Percent">#REF!</definedName>
    <definedName name="Mpwr_Sales">#REF!</definedName>
    <definedName name="MR.1Length">#REF!</definedName>
    <definedName name="MR.2Length">#REF!</definedName>
    <definedName name="MR.3Length">#REF!</definedName>
    <definedName name="MR.4Length">#REF!</definedName>
    <definedName name="MR.5Length">#REF!</definedName>
    <definedName name="MR.6Length">#REF!</definedName>
    <definedName name="MR.7Length">#REF!</definedName>
    <definedName name="MR.8Length">#REF!</definedName>
    <definedName name="MR.9Length">#REF!</definedName>
    <definedName name="mr_date">#REF!</definedName>
    <definedName name="MS200202rev2">#REF!</definedName>
    <definedName name="ms200203rev03">#REF!</definedName>
    <definedName name="ms2002june1706">#REF!</definedName>
    <definedName name="ms2002may1706">#REF!</definedName>
    <definedName name="msjune1807">#REF!</definedName>
    <definedName name="msjunerev">#REF!</definedName>
    <definedName name="mta" localSheetId="3"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H">#REF!</definedName>
    <definedName name="mths">#REF!</definedName>
    <definedName name="MTV">#REF!</definedName>
    <definedName name="MU">#REF!</definedName>
    <definedName name="mukesh" localSheetId="3" hidden="1">{#N/A,#N/A,TRUE,"Cover";#N/A,#N/A,TRUE,"Conts";#N/A,#N/A,TRUE,"VOS";#N/A,#N/A,TRUE,"Warrington";#N/A,#N/A,TRUE,"Widnes"}</definedName>
    <definedName name="mukesh" hidden="1">{#N/A,#N/A,TRUE,"Cover";#N/A,#N/A,TRUE,"Conts";#N/A,#N/A,TRUE,"VOS";#N/A,#N/A,TRUE,"Warrington";#N/A,#N/A,TRUE,"Widnes"}</definedName>
    <definedName name="Mult">#REF!</definedName>
    <definedName name="Multiplier">#REF!</definedName>
    <definedName name="Multiplier1">#REF!</definedName>
    <definedName name="MUP">#REF!</definedName>
    <definedName name="MvDAta">#REF!</definedName>
    <definedName name="myarea">#REF!</definedName>
    <definedName name="MYR">#REF!</definedName>
    <definedName name="MZBJSHGX">#REF!</definedName>
    <definedName name="N">#REF!</definedName>
    <definedName name="N.01">#REF!</definedName>
    <definedName name="N.02">#REF!</definedName>
    <definedName name="N___0">#REF!</definedName>
    <definedName name="N___13">#REF!</definedName>
    <definedName name="N_ExternalWork">#REF!</definedName>
    <definedName name="nachi">#REF!</definedName>
    <definedName name="Nader">#REF!</definedName>
    <definedName name="nadu" localSheetId="3" hidden="1">{#N/A,#N/A,FALSE,"Bericht 2";#N/A,#N/A,FALSE,"Bericht 3";#N/A,#N/A,FALSE,"Bericht 1"}</definedName>
    <definedName name="nadu" hidden="1">{#N/A,#N/A,FALSE,"Bericht 2";#N/A,#N/A,FALSE,"Bericht 3";#N/A,#N/A,FALSE,"Bericht 1"}</definedName>
    <definedName name="nam" hidden="1">{#N/A,#N/A,TRUE,"Front";#N/A,#N/A,TRUE,"Simple Letter";#N/A,#N/A,TRUE,"Inside";#N/A,#N/A,TRUE,"Contents";#N/A,#N/A,TRUE,"Basis";#N/A,#N/A,TRUE,"Inclusions";#N/A,#N/A,TRUE,"Exclusions";#N/A,#N/A,TRUE,"Areas";#N/A,#N/A,TRUE,"Summary";#N/A,#N/A,TRUE,"Detail"}</definedName>
    <definedName name="Name">#REF!</definedName>
    <definedName name="Name_1">#REF!</definedName>
    <definedName name="Name_2">#REF!</definedName>
    <definedName name="Name_3">#REF!</definedName>
    <definedName name="NameofWork">#REF!</definedName>
    <definedName name="names">#REF!</definedName>
    <definedName name="nanako" localSheetId="3" hidden="1">{"'Sheet1'!$L$16"}</definedName>
    <definedName name="nanako" hidden="1">{"'Sheet1'!$L$16"}</definedName>
    <definedName name="nanda" localSheetId="3" hidden="1">{#N/A,#N/A,FALSE,"Bericht 2";#N/A,#N/A,FALSE,"Bericht 3";#N/A,#N/A,FALSE,"Bericht 1"}</definedName>
    <definedName name="nanda" hidden="1">{#N/A,#N/A,FALSE,"Bericht 2";#N/A,#N/A,FALSE,"Bericht 3";#N/A,#N/A,FALSE,"Bericht 1"}</definedName>
    <definedName name="nandan"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endraKumar">#REF!</definedName>
    <definedName name="Nariman_Point_Car_Parking_Site">#REF!</definedName>
    <definedName name="Nbars">#REF!</definedName>
    <definedName name="nbgy6">#REF!</definedName>
    <definedName name="nbnn">#REF!</definedName>
    <definedName name="ncompier">#REF!</definedName>
    <definedName name="NCV">#REF!</definedName>
    <definedName name="ND">#REF!</definedName>
    <definedName name="ndfond">#REF!</definedName>
    <definedName name="NDSHS">#REF!</definedName>
    <definedName name="needle">#REF!</definedName>
    <definedName name="Neels" localSheetId="3"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g_Margin">#REF!</definedName>
    <definedName name="Net_Final_for_A__B__Extd_basement">#REF!</definedName>
    <definedName name="Net_Profit_HY">#REF!</definedName>
    <definedName name="Net_Profit_LY">#REF!</definedName>
    <definedName name="Net_sale_proceeds">#REF!</definedName>
    <definedName name="Net_Sales_Area">#REF!</definedName>
    <definedName name="Net_Yield">#REF!</definedName>
    <definedName name="Net_Yield_incl_land_cost">#REF!</definedName>
    <definedName name="NetOpeningCash">#REF!</definedName>
    <definedName name="nettoday">#REF!</definedName>
    <definedName name="new">#REF!</definedName>
    <definedName name="NewItem">#REF!</definedName>
    <definedName name="NEWNAME" localSheetId="3" hidden="1">{#N/A,#N/A,FALSE,"CCTV"}</definedName>
    <definedName name="NEWNAME" hidden="1">{#N/A,#N/A,FALSE,"CCTV"}</definedName>
    <definedName name="NewRow">#REF!</definedName>
    <definedName name="newsupply">#REF!</definedName>
    <definedName name="nfako">#REF!</definedName>
    <definedName name="ng"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C">#REF!</definedName>
    <definedName name="nh" localSheetId="3"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HG" hidden="1">{#N/A,#N/A,TRUE,"Cover";#N/A,#N/A,TRUE,"Conts";#N/A,#N/A,TRUE,"VOS";#N/A,#N/A,TRUE,"Warrington";#N/A,#N/A,TRUE,"Widnes"}</definedName>
    <definedName name="Nicol">#REF!</definedName>
    <definedName name="Nischal">#REF!</definedName>
    <definedName name="nkknk" hidden="1">{#N/A,#N/A,FALSE,"CCTV"}</definedName>
    <definedName name="NLG">#REF!</definedName>
    <definedName name="nmbjkkjhk">#REF!</definedName>
    <definedName name="NMKL" hidden="1">{#N/A,#N/A,TRUE,"Cover";#N/A,#N/A,TRUE,"Conts";#N/A,#N/A,TRUE,"VOS";#N/A,#N/A,TRUE,"Warrington";#N/A,#N/A,TRUE,"Widnes"}</definedName>
    <definedName name="nmnm" localSheetId="3" hidden="1">{"Datos",#N/A,TRUE,"Datos"}</definedName>
    <definedName name="nmnm" hidden="1">{"Datos",#N/A,TRUE,"Datos"}</definedName>
    <definedName name="nn">#REF!</definedName>
    <definedName name="NN___0">#REF!</definedName>
    <definedName name="NN___13">#REF!</definedName>
    <definedName name="nnn" localSheetId="3"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#REF!</definedName>
    <definedName name="nnnnn" localSheetId="3"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nnnnnnnnnn">#REF!</definedName>
    <definedName name="NO">#REF!</definedName>
    <definedName name="No0">#REF!</definedName>
    <definedName name="NOGT">#REF!</definedName>
    <definedName name="NOI">#REF!</definedName>
    <definedName name="nolanes">#REF!</definedName>
    <definedName name="NOMDEVIS">#REF!</definedName>
    <definedName name="Non_Operating_Income">#REF!</definedName>
    <definedName name="Non_tA1_Anchor">#REF!</definedName>
    <definedName name="nonmodular">#REF!</definedName>
    <definedName name="nonmodular_4">#REF!</definedName>
    <definedName name="nonmodular_4_1">#REF!</definedName>
    <definedName name="nonmodular_6">#REF!</definedName>
    <definedName name="NORMESKAT">#REF!</definedName>
    <definedName name="Nos">#REF!</definedName>
    <definedName name="nose1" localSheetId="3"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3"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3" hidden="1">{#N/A,#N/A,FALSE,"Matrix";#N/A,#N/A,FALSE,"Executive";#N/A,#N/A,FALSE,"Summary"}</definedName>
    <definedName name="nose3" hidden="1">{#N/A,#N/A,FALSE,"Matrix";#N/A,#N/A,FALSE,"Executive";#N/A,#N/A,FALSE,"Summary"}</definedName>
    <definedName name="nose4" localSheetId="3" hidden="1">{#N/A,#N/A,FALSE,"Matrix";#N/A,#N/A,FALSE,"Executive";#N/A,#N/A,FALSE,"Summary"}</definedName>
    <definedName name="nose4" hidden="1">{#N/A,#N/A,FALSE,"Matrix";#N/A,#N/A,FALSE,"Executive";#N/A,#N/A,FALSE,"Summary"}</definedName>
    <definedName name="notes">#REF!</definedName>
    <definedName name="Notes_Payable">#REF!</definedName>
    <definedName name="noti">#REF!</definedName>
    <definedName name="Npiers">#REF!</definedName>
    <definedName name="npile2">#REF!</definedName>
    <definedName name="npile3">#REF!</definedName>
    <definedName name="NPV">#REF!</definedName>
    <definedName name="nr">#REF!</definedName>
    <definedName name="NR126B">#REF!</definedName>
    <definedName name="Nrows">#REF!</definedName>
    <definedName name="nry" localSheetId="3" hidden="1">{"offequipsch",#N/A,FALSE,"GTC_Schedule";"onconstsch",#N/A,FALSE,"GTC_Schedule";"techsch",#N/A,FALSE,"GTC_Schedule";"totsch",#N/A,FALSE,"GTC_Schedule"}</definedName>
    <definedName name="nry" hidden="1">{"offequipsch",#N/A,FALSE,"GTC_Schedule";"onconstsch",#N/A,FALSE,"GTC_Schedule";"techsch",#N/A,FALSE,"GTC_Schedule";"totsch",#N/A,FALSE,"GTC_Schedule"}</definedName>
    <definedName name="NS">#REF!</definedName>
    <definedName name="nsdd">#REF!</definedName>
    <definedName name="NSI" localSheetId="3"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pans">#REF!</definedName>
    <definedName name="NTBMR02_100ALMESSILACONCRETE">#REF!</definedName>
    <definedName name="NTBMR02_100BULKEXCAVATIONSTATION">#REF!</definedName>
    <definedName name="NTBMR02_100BULKEXCAVATIONTUNNEL">#REF!</definedName>
    <definedName name="NTBMR02_100CONCRETE">#REF!</definedName>
    <definedName name="NTBMR02_100CONCRETEBOREDPILES">#REF!</definedName>
    <definedName name="NTBMR02_100CRINGCONCRETE">#REF!</definedName>
    <definedName name="NTBMR02_100CRINGSTATIONBULKEXCAVATION">#REF!</definedName>
    <definedName name="NTBMR02_100EDSBULKEXCAVATION">#REF!</definedName>
    <definedName name="NTBMR02_100EDSCONCRETE">#REF!</definedName>
    <definedName name="NTBMR02_100QNLBULKEXCAVATION">#REF!</definedName>
    <definedName name="NTBMR02_100QNLCONCRETE">#REF!</definedName>
    <definedName name="NTBMR02_100RYCSTATIONBULKEXCAVATION">#REF!</definedName>
    <definedName name="NTBMR02_100RYMBULKEXCAVATION">#REF!</definedName>
    <definedName name="NTBMR02_100RYQBULKEXCAVATION">#REF!</definedName>
    <definedName name="NTBMR02_100RYQCONCRETE">#REF!</definedName>
    <definedName name="NTBMR02_100RYRCONCRETE">#REF!</definedName>
    <definedName name="NTBMR02_100RYRSTATIONBULKEXCAVATION">#REF!</definedName>
    <definedName name="NTBMR02_100SWHBULKEXCAVATION">#REF!</definedName>
    <definedName name="NTBMR02_100SWHCONCRETE">#REF!</definedName>
    <definedName name="NTBMR02_100TRGBULKEXCAVATION">#REF!</definedName>
    <definedName name="NTBMR02_100TRGCONCRETE">#REF!</definedName>
    <definedName name="ntesu">#REF!</definedName>
    <definedName name="ntg">#REF!</definedName>
    <definedName name="nu" localSheetId="3" hidden="1">{"'Sheet1'!$L$16"}</definedName>
    <definedName name="nu" hidden="1">{"'Sheet1'!$L$16"}</definedName>
    <definedName name="Number">#REF!</definedName>
    <definedName name="nv">#REF!</definedName>
    <definedName name="nvmm"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W">#REF!</definedName>
    <definedName name="Nwebs">#REF!</definedName>
    <definedName name="NWOH">#REF!</definedName>
    <definedName name="NWS_ROOFSLABCONCRETEOVERALL">#REF!</definedName>
    <definedName name="Nx">#REF!</definedName>
    <definedName name="Nx___0">#REF!</definedName>
    <definedName name="Nx___13">#REF!</definedName>
    <definedName name="Ny">#REF!</definedName>
    <definedName name="Ny___0">#REF!</definedName>
    <definedName name="Ny___13">#REF!</definedName>
    <definedName name="NZD">#REF!</definedName>
    <definedName name="O">#REF!</definedName>
    <definedName name="o.h">#REF!</definedName>
    <definedName name="o9u0piupi" localSheetId="3" hidden="1">{#N/A,#N/A,TRUE,"Cover";#N/A,#N/A,TRUE,"Conts";#N/A,#N/A,TRUE,"VOS";#N/A,#N/A,TRUE,"Warrington";#N/A,#N/A,TRUE,"Widnes"}</definedName>
    <definedName name="o9u0piupi" hidden="1">{#N/A,#N/A,TRUE,"Cover";#N/A,#N/A,TRUE,"Conts";#N/A,#N/A,TRUE,"VOS";#N/A,#N/A,TRUE,"Warrington";#N/A,#N/A,TRUE,"Widnes"}</definedName>
    <definedName name="oa" hidden="1">#REF!</definedName>
    <definedName name="obpl">#REF!</definedName>
    <definedName name="OC4P">#REF!</definedName>
    <definedName name="Occ_Rate_Tester">#REF!</definedName>
    <definedName name="occgraph">#REF!</definedName>
    <definedName name="OccRateTester">#REF!</definedName>
    <definedName name="occupancy">#REF!</definedName>
    <definedName name="octf">#REF!</definedName>
    <definedName name="ODH" hidden="1">#REF!</definedName>
    <definedName name="off">#N/A</definedName>
    <definedName name="Office">#REF!</definedName>
    <definedName name="Office_Expenses">#REF!</definedName>
    <definedName name="OFFICE_FURNITURE">#REF!</definedName>
    <definedName name="Office_Rate">#REF!</definedName>
    <definedName name="OFFICE_STATIONERY">#REF!</definedName>
    <definedName name="Office_Use">#REF!</definedName>
    <definedName name="Offices_Cost">#REF!</definedName>
    <definedName name="Offices_Rents">#REF!</definedName>
    <definedName name="OGI">#REF!</definedName>
    <definedName name="OGI_USD">#REF!</definedName>
    <definedName name="oh">#REF!</definedName>
    <definedName name="oha">#REF!</definedName>
    <definedName name="ohc">#REF!</definedName>
    <definedName name="oililui" hidden="1">{#N/A,#N/A,FALSE,"CCTV"}</definedName>
    <definedName name="oioyi" localSheetId="3" hidden="1">{#N/A,#N/A,FALSE,"Chi tiÆt"}</definedName>
    <definedName name="oioyi" hidden="1">{#N/A,#N/A,FALSE,"Chi tiÆt"}</definedName>
    <definedName name="OK">#REF!</definedName>
    <definedName name="okok" localSheetId="3" hidden="1">{#N/A,#N/A,FALSE,"Bericht 2";#N/A,#N/A,FALSE,"Bericht 3";#N/A,#N/A,FALSE,"Bericht 1"}</definedName>
    <definedName name="okok" hidden="1">{#N/A,#N/A,FALSE,"Bericht 2";#N/A,#N/A,FALSE,"Bericht 3";#N/A,#N/A,FALSE,"Bericht 1"}</definedName>
    <definedName name="ol">#REF!</definedName>
    <definedName name="OLE_LINK1">#REF!</definedName>
    <definedName name="OLE_LINK2">"$boq.$"</definedName>
    <definedName name="olieee">#REF!</definedName>
    <definedName name="oliver">#REF!</definedName>
    <definedName name="olivermmm">#REF!</definedName>
    <definedName name="olki">#REF!</definedName>
    <definedName name="OM" hidden="1">#REF!</definedName>
    <definedName name="one" localSheetId="3" hidden="1">{#N/A,#N/A,FALSE,"One Pager";#N/A,#N/A,FALSE,"Technical"}</definedName>
    <definedName name="one" hidden="1">{#N/A,#N/A,FALSE,"One Pager";#N/A,#N/A,FALSE,"Technical"}</definedName>
    <definedName name="onebed_area">#REF!</definedName>
    <definedName name="Onebed_rate">#REF!</definedName>
    <definedName name="oo" localSheetId="3" hidden="1">{"Datos",#N/A,TRUE,"Datos"}</definedName>
    <definedName name="oo" hidden="1">{"Datos",#N/A,TRUE,"Datos"}</definedName>
    <definedName name="ool">#REF!</definedName>
    <definedName name="ooo" localSheetId="3" hidden="1">{"'Break down'!$A$4"}</definedName>
    <definedName name="ooo" hidden="1">{"'Break down'!$A$4"}</definedName>
    <definedName name="oooo" localSheetId="3" hidden="1">{#N/A,#N/A,FALSE,"Chi tiÆt"}</definedName>
    <definedName name="oooo" hidden="1">{#N/A,#N/A,FALSE,"Chi tiÆt"}</definedName>
    <definedName name="OOOOO">#REF!</definedName>
    <definedName name="OOOOOO" hidden="1">#REF!</definedName>
    <definedName name="ooooooooo">#REF!</definedName>
    <definedName name="ooooooooooooooo">#REF!</definedName>
    <definedName name="ooopp">#REF!</definedName>
    <definedName name="oor">#REF!</definedName>
    <definedName name="ooz" localSheetId="3" hidden="1">{"'Break down'!$A$4"}</definedName>
    <definedName name="ooz" hidden="1">{"'Break down'!$A$4"}</definedName>
    <definedName name="op">#REF!</definedName>
    <definedName name="Op2_BPa_BH">#REF!</definedName>
    <definedName name="Op2_BPA_Coverage">#REF!</definedName>
    <definedName name="Op2_BPae_Stories">#REF!</definedName>
    <definedName name="Op2_BPbe_Cover">#REF!</definedName>
    <definedName name="Op2_Busa_Stories">#REF!</definedName>
    <definedName name="Op2_busbe_bh">#REF!</definedName>
    <definedName name="Op2_Hot_bh">#REF!</definedName>
    <definedName name="Op2_Hotel_cover">#REF!</definedName>
    <definedName name="Op2_Hotel_stories">#REF!</definedName>
    <definedName name="Op2_Ind_bh">#REF!</definedName>
    <definedName name="Op2_Ind_Cover">#REF!</definedName>
    <definedName name="Op2_ind_Stories">#REF!</definedName>
    <definedName name="Op2_Log_bh">#REF!</definedName>
    <definedName name="Op2_Log_stories">#REF!</definedName>
    <definedName name="OP2_Logistics_Cover">#REF!</definedName>
    <definedName name="Op2_Res_bh">#REF!</definedName>
    <definedName name="Op2_RES_Cover">#REF!</definedName>
    <definedName name="Op2_res_stories">#REF!</definedName>
    <definedName name="Op2_ret_bh">#REF!</definedName>
    <definedName name="Op2_RET_cover">#REF!</definedName>
    <definedName name="Op2_Ret_Stories">#REF!</definedName>
    <definedName name="Op3_BPa_Cover">#REF!</definedName>
    <definedName name="Op3_BPbe_cover">#REF!</definedName>
    <definedName name="Op3_Hotel_COver">#REF!</definedName>
    <definedName name="Op3_Ind_Cover">#REF!</definedName>
    <definedName name="Op3_Res_Cover">#REF!</definedName>
    <definedName name="Op3_RET_cover">#REF!</definedName>
    <definedName name="OPC">#REF!</definedName>
    <definedName name="Open">#REF!</definedName>
    <definedName name="oper">#REF!</definedName>
    <definedName name="Operating_Income">#REF!</definedName>
    <definedName name="OPLKUI" hidden="1">{#N/A,#N/A,TRUE,"Cover";#N/A,#N/A,TRUE,"Conts";#N/A,#N/A,TRUE,"VOS";#N/A,#N/A,TRUE,"Warrington";#N/A,#N/A,TRUE,"Widnes"}</definedName>
    <definedName name="opoiiyuy">#REF!</definedName>
    <definedName name="ops_hide_flag" localSheetId="3">#REF!,#REF!,#REF!,#REF!,#REF!,#REF!,#REF!</definedName>
    <definedName name="ops_hide_flag">#REF!,#REF!,#REF!,#REF!,#REF!,#REF!,#REF!</definedName>
    <definedName name="option1">#REF!</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d">#REF!</definedName>
    <definedName name="OrderTable" hidden="1">#REF!</definedName>
    <definedName name="origin">#REF!</definedName>
    <definedName name="OSBL" hidden="1">{#N/A,#N/A,FALSE,"CCTV"}</definedName>
    <definedName name="osdnvkls" hidden="1">#REF!</definedName>
    <definedName name="OSM" localSheetId="3" hidden="1">{#N/A,#N/A,FALSE,"TELEFON"}</definedName>
    <definedName name="OSM" hidden="1">{#N/A,#N/A,FALSE,"TELEFON"}</definedName>
    <definedName name="Other_Direct_cost">#REF!</definedName>
    <definedName name="Other_Income">#REF!</definedName>
    <definedName name="Other_Income__Related">#REF!</definedName>
    <definedName name="Other_Overheads">#REF!</definedName>
    <definedName name="Other_Payables">#REF!</definedName>
    <definedName name="Other_Receivables">#REF!</definedName>
    <definedName name="Other_serv_LY">#REF!</definedName>
    <definedName name="OUT_STATION_CHARGES">#REF!</definedName>
    <definedName name="outputs_dv">#REF!</definedName>
    <definedName name="outputs_dv_check">#REF!</definedName>
    <definedName name="outputs_value_dv">#REF!</definedName>
    <definedName name="outputs_value_dv_check">#REF!</definedName>
    <definedName name="outputs_value_dv_check_house">#REF!</definedName>
    <definedName name="outputs_value_dv_check_salary">#REF!</definedName>
    <definedName name="outputs_value_dv_house">#REF!</definedName>
    <definedName name="outputs_value_dv_keyworker_salary">#REF!</definedName>
    <definedName name="OUTTERWALLLength">#REF!</definedName>
    <definedName name="overage_value_dv">#REF!</definedName>
    <definedName name="overage_value_dv_check">#REF!</definedName>
    <definedName name="Overall">#REF!</definedName>
    <definedName name="Overall_Loading">#REF!</definedName>
    <definedName name="Overall_Summary_Title">#REF!</definedName>
    <definedName name="Overhead_Recoveries">#REF!</definedName>
    <definedName name="overrheads">#N/A</definedName>
    <definedName name="overseas">#REF!</definedName>
    <definedName name="overtime" hidden="1">#REF!</definedName>
    <definedName name="OwnAcctNum">#REF!</definedName>
    <definedName name="OwnAcctNum_4">#REF!</definedName>
    <definedName name="OwnAcctNum_4_1">#REF!</definedName>
    <definedName name="OwnAcctNum_6">#REF!</definedName>
    <definedName name="oy" localSheetId="3" hidden="1">{"sheet1",#N/A,FALSE,"easheet";"sheet2a",#N/A,FALSE,"easheet";"sheet2b",#N/A,FALSE,"easheet";"sheet3",#N/A,FALSE,"easheet"}</definedName>
    <definedName name="oy" hidden="1">{"sheet1",#N/A,FALSE,"easheet";"sheet2a",#N/A,FALSE,"easheet";"sheet2b",#N/A,FALSE,"easheet";"sheet3",#N/A,FALSE,"easheet"}</definedName>
    <definedName name="p" localSheetId="2">#REF!</definedName>
    <definedName name="p">#REF!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___0">#REF!</definedName>
    <definedName name="p___13">#REF!</definedName>
    <definedName name="P_1">#REF!</definedName>
    <definedName name="P_1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8">#REF!</definedName>
    <definedName name="P_29">#REF!</definedName>
    <definedName name="P_3">#REF!</definedName>
    <definedName name="P_30">#REF!</definedName>
    <definedName name="P_31">#REF!</definedName>
    <definedName name="P_4">#REF!</definedName>
    <definedName name="P_5">#REF!</definedName>
    <definedName name="P_6">#REF!</definedName>
    <definedName name="P_7">#REF!</definedName>
    <definedName name="P_8">#REF!</definedName>
    <definedName name="P_9">#REF!</definedName>
    <definedName name="P1R">#REF!</definedName>
    <definedName name="P2R">#REF!</definedName>
    <definedName name="P3R">#REF!</definedName>
    <definedName name="P4R">#REF!</definedName>
    <definedName name="P5R">#REF!</definedName>
    <definedName name="P6A">#REF!</definedName>
    <definedName name="p7y" localSheetId="3" hidden="1">{#N/A,#N/A,TRUE,"Cover";#N/A,#N/A,TRUE,"Conts";#N/A,#N/A,TRUE,"VOS";#N/A,#N/A,TRUE,"Warrington";#N/A,#N/A,TRUE,"Widnes"}</definedName>
    <definedName name="p7y" hidden="1">{#N/A,#N/A,TRUE,"Cover";#N/A,#N/A,TRUE,"Conts";#N/A,#N/A,TRUE,"VOS";#N/A,#N/A,TRUE,"Warrington";#N/A,#N/A,TRUE,"Widnes"}</definedName>
    <definedName name="pa">#REF!</definedName>
    <definedName name="pa___0">#REF!</definedName>
    <definedName name="pa___13">#REF!</definedName>
    <definedName name="pack_name">#REF!</definedName>
    <definedName name="Pack1POST">#REF!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D">#REF!</definedName>
    <definedName name="pafegseg" localSheetId="3" hidden="1">{#N/A,#N/A,TRUE,"Cover";#N/A,#N/A,TRUE,"Conts";#N/A,#N/A,TRUE,"VOS";#N/A,#N/A,TRUE,"Warrington";#N/A,#N/A,TRUE,"Widnes"}</definedName>
    <definedName name="pafegseg" hidden="1">{#N/A,#N/A,TRUE,"Cover";#N/A,#N/A,TRUE,"Conts";#N/A,#N/A,TRUE,"VOS";#N/A,#N/A,TRUE,"Warrington";#N/A,#N/A,TRUE,"Widnes"}</definedName>
    <definedName name="Page">#REF!</definedName>
    <definedName name="Page_total" localSheetId="3">MAX([0]!Page)</definedName>
    <definedName name="Page_total">MAX(Page)</definedName>
    <definedName name="page1" localSheetId="3">#REF!</definedName>
    <definedName name="page1">#REF!</definedName>
    <definedName name="page10" localSheetId="3">#REF!</definedName>
    <definedName name="page10">#REF!</definedName>
    <definedName name="page100" localSheetId="3">#REF!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2">#REF!</definedName>
    <definedName name="page13">#REF!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#REF!</definedName>
    <definedName name="PAGE5_21">#REF!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HE50">#REF!</definedName>
    <definedName name="Paint">#REF!</definedName>
    <definedName name="Pal_Workbook_GUID" hidden="1">"8HCIDT26H4PQ5VYPC7FKU7HT"</definedName>
    <definedName name="Palms">#REF!</definedName>
    <definedName name="Pane2">#REF!</definedName>
    <definedName name="Pane2___0">#REF!</definedName>
    <definedName name="Pane2___13">#REF!</definedName>
    <definedName name="Parking_Cost">#REF!</definedName>
    <definedName name="Parking_Rents">#REF!</definedName>
    <definedName name="part1">#REF!</definedName>
    <definedName name="part10">#REF!</definedName>
    <definedName name="part2">#REF!</definedName>
    <definedName name="part7">#REF!</definedName>
    <definedName name="part8">#REF!</definedName>
    <definedName name="part9">#REF!</definedName>
    <definedName name="participation_rents">#REF!</definedName>
    <definedName name="Partitioning">#REF!</definedName>
    <definedName name="PARTIV">#REF!</definedName>
    <definedName name="Partysanitary">#REF!</definedName>
    <definedName name="Passengerslift">#REF!</definedName>
    <definedName name="paul">50000</definedName>
    <definedName name="PavementMarking">#REF!</definedName>
    <definedName name="Payables___Accruals">#REF!</definedName>
    <definedName name="paym">#REF!</definedName>
    <definedName name="PaymentType">#REF!</definedName>
    <definedName name="PAYROLL">#REF!</definedName>
    <definedName name="pb">#REF!</definedName>
    <definedName name="pb___0">#REF!</definedName>
    <definedName name="pb___11">#REF!</definedName>
    <definedName name="pb___12">#REF!</definedName>
    <definedName name="pc">#REF!</definedName>
    <definedName name="PC_9SUMR12">#REF!</definedName>
    <definedName name="PC_9SUMR16">#REF!</definedName>
    <definedName name="PC_9SUMR20">#REF!</definedName>
    <definedName name="PC_9SUMR25">#REF!</definedName>
    <definedName name="PC_9SUMR32">#REF!</definedName>
    <definedName name="PC_9SUMR40">#REF!</definedName>
    <definedName name="PC_9SUMR6">#REF!</definedName>
    <definedName name="PC_9SUMR8">#REF!</definedName>
    <definedName name="PC_9SUMT10">#REF!</definedName>
    <definedName name="PC_9SUMT12">#REF!</definedName>
    <definedName name="PC_9SUMT16">#REF!</definedName>
    <definedName name="PC_9SUMT20">#REF!</definedName>
    <definedName name="PC_9SUMT25">#REF!</definedName>
    <definedName name="PC_9SUMT32">#REF!</definedName>
    <definedName name="PC_9SUMT40">#REF!</definedName>
    <definedName name="PC_9SUMT6">#REF!</definedName>
    <definedName name="PC_9SUMTT">#REF!</definedName>
    <definedName name="PCC">#REF!</definedName>
    <definedName name="pccut">#REF!</definedName>
    <definedName name="PCDate">#REF!</definedName>
    <definedName name="PCforecastfinal">#REF!</definedName>
    <definedName name="PCI">#REF!</definedName>
    <definedName name="PCNOI">#REF!</definedName>
    <definedName name="PCT">#REF!</definedName>
    <definedName name="Pcurry">#REF!</definedName>
    <definedName name="pcv">#REF!</definedName>
    <definedName name="PCW">#REF!</definedName>
    <definedName name="pdpdls" hidden="1">#REF!</definedName>
    <definedName name="pdvol">#REF!</definedName>
    <definedName name="PEDESTAL">#REF!</definedName>
    <definedName name="peepform" hidden="1">#REF!</definedName>
    <definedName name="PEI">#REF!</definedName>
    <definedName name="perbox">#REF!</definedName>
    <definedName name="Percent_Depreciated">#REF!</definedName>
    <definedName name="Percent_prev_thismonth">#REF!,#REF!,#REF!,#REF!,#REF!,#REF!,#REF!,#REF!,#REF!,#REF!,#REF!,#REF!,#REF!,#REF!,#REF!,#REF!</definedName>
    <definedName name="Percent_Text">#REF!</definedName>
    <definedName name="Percent_Value">#REF!</definedName>
    <definedName name="performance">#REF!</definedName>
    <definedName name="Performance_Fee">#REF!</definedName>
    <definedName name="Performance_Fee_Cap">#REF!</definedName>
    <definedName name="periimported">#REF!</definedName>
    <definedName name="Perimeter">#REF!</definedName>
    <definedName name="period">#REF!</definedName>
    <definedName name="peroxide" hidden="1">{#N/A,#N/A,FALSE,"CCTV"}</definedName>
    <definedName name="Personal">#REF!</definedName>
    <definedName name="peso_carp.___dda">#REF!</definedName>
    <definedName name="PGLabt">#REF!</definedName>
    <definedName name="pgone">#REF!</definedName>
    <definedName name="pgtwo">#REF!</definedName>
    <definedName name="pH">#REF!</definedName>
    <definedName name="pH___0">#REF!</definedName>
    <definedName name="pH___13">#REF!</definedName>
    <definedName name="PHASE_200" localSheetId="2">#REF!</definedName>
    <definedName name="PHASE_200">#REF!</definedName>
    <definedName name="PHASE_400" localSheetId="2">#REF!</definedName>
    <definedName name="PHASE_400">#REF!</definedName>
    <definedName name="PHASE_600" localSheetId="2">#REF!</definedName>
    <definedName name="PHASE_600">#REF!</definedName>
    <definedName name="PHASE_700" localSheetId="2">#REF!</definedName>
    <definedName name="PHASE_700">#REF!</definedName>
    <definedName name="PHASE_800" localSheetId="2">#REF!</definedName>
    <definedName name="PHASE_800">#REF!</definedName>
    <definedName name="PHASE_900" localSheetId="2">#REF!</definedName>
    <definedName name="PHASE_900">#REF!</definedName>
    <definedName name="PhaseCode">#REF!</definedName>
    <definedName name="Phone">#REF!</definedName>
    <definedName name="Phone_00">#REF!</definedName>
    <definedName name="Phone_01">#REF!</definedName>
    <definedName name="Phone_02">#REF!</definedName>
    <definedName name="Phone_03">#REF!</definedName>
    <definedName name="Physical_Depreciation">#REF!</definedName>
    <definedName name="pi" localSheetId="2">#REF!</definedName>
    <definedName name="pi">#REF!</definedName>
    <definedName name="Picture4">#REF!</definedName>
    <definedName name="pier2">#REF!</definedName>
    <definedName name="pierpiles">#REF!</definedName>
    <definedName name="piervol1">#REF!</definedName>
    <definedName name="piervol2">#REF!</definedName>
    <definedName name="PILE1000">#REF!</definedName>
    <definedName name="PILE400">#REF!</definedName>
    <definedName name="PILECAP">#REF!</definedName>
    <definedName name="piledia1">#REF!</definedName>
    <definedName name="piledia2">#REF!</definedName>
    <definedName name="piledia3">#REF!</definedName>
    <definedName name="pileinraftCount">#REF!</definedName>
    <definedName name="Piles">#REF!</definedName>
    <definedName name="Piletipele">#REF!</definedName>
    <definedName name="Pileworkfoundation">#REF!</definedName>
    <definedName name="PIND">#REF!</definedName>
    <definedName name="Pipe">#REF!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#REF!</definedName>
    <definedName name="pipe2.5">#REF!</definedName>
    <definedName name="pipe20">#REF!</definedName>
    <definedName name="pipe24">#REF!</definedName>
    <definedName name="pipe3">#REF!</definedName>
    <definedName name="pipe4">#REF!</definedName>
    <definedName name="pipe5">#REF!</definedName>
    <definedName name="pipe6">#REF!</definedName>
    <definedName name="pipe8">#REF!</definedName>
    <definedName name="PipeCulverts">#REF!</definedName>
    <definedName name="PipeData">#REF!</definedName>
    <definedName name="PipeDate1">#REF!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PO" hidden="1">{"VISTA_1",#N/A,FALSE,"GRAFO"}</definedName>
    <definedName name="PIPPO2" hidden="1">{"DECIMAL",#N/A,FALSE,"02"}</definedName>
    <definedName name="PIPPO3" hidden="1">{#N/A,#N/A,FALSE,"Work progress mensile";#N/A,#N/A,FALSE,"Work progress mensile IE1"}</definedName>
    <definedName name="PIPPO4" hidden="1">{#N/A,#N/A,FALSE,"Work progress mensile";#N/A,#N/A,FALSE,"Work progress mensile IE1"}</definedName>
    <definedName name="Pit_2000_Concrete">#REF!</definedName>
    <definedName name="Pit_2500_Concrete">#REF!</definedName>
    <definedName name="Pit_Ddt_H_Screed">#REF!</definedName>
    <definedName name="Pit_FW">#REF!</definedName>
    <definedName name="Pit_Sloping_Screed">#REF!</definedName>
    <definedName name="Pit_T25_RF">#REF!</definedName>
    <definedName name="Pit_T32_Concrete">#REF!</definedName>
    <definedName name="Pitale">#REF!</definedName>
    <definedName name="pkey">#REF!</definedName>
    <definedName name="PL">#REF!</definedName>
    <definedName name="plan">#REF!</definedName>
    <definedName name="Plan_Manpower">#REF!</definedName>
    <definedName name="PLANBARPROG">#REF!</definedName>
    <definedName name="PLANNED">#REF!</definedName>
    <definedName name="PLANT">#REF!</definedName>
    <definedName name="Planters">#REF!</definedName>
    <definedName name="plants">#REF!</definedName>
    <definedName name="PLANTS___MACHINERY">#REF!</definedName>
    <definedName name="plaster">#REF!</definedName>
    <definedName name="plastering">#REF!</definedName>
    <definedName name="plasterworks">#REF!</definedName>
    <definedName name="PLAT" localSheetId="3" hidden="1">{#N/A,#N/A,TRUE,"Cover";#N/A,#N/A,TRUE,"Conts";#N/A,#N/A,TRUE,"VOS";#N/A,#N/A,TRUE,"Warrington";#N/A,#N/A,TRUE,"Widnes"}</definedName>
    <definedName name="PLAT" hidden="1">{#N/A,#N/A,TRUE,"Cover";#N/A,#N/A,TRUE,"Conts";#N/A,#N/A,TRUE,"VOS";#N/A,#N/A,TRUE,"Warrington";#N/A,#N/A,TRUE,"Widnes"}</definedName>
    <definedName name="platering">#REF!</definedName>
    <definedName name="platerworks">#REF!</definedName>
    <definedName name="PLATFORM" localSheetId="3" hidden="1">{#N/A,#N/A,TRUE,"Cover";#N/A,#N/A,TRUE,"Conts";#N/A,#N/A,TRUE,"VOS";#N/A,#N/A,TRUE,"Warrington";#N/A,#N/A,TRUE,"Widnes"}</definedName>
    <definedName name="PLATFORM" hidden="1">{#N/A,#N/A,TRUE,"Cover";#N/A,#N/A,TRUE,"Conts";#N/A,#N/A,TRUE,"VOS";#N/A,#N/A,TRUE,"Warrington";#N/A,#N/A,TRUE,"Widnes"}</definedName>
    <definedName name="plbeams">#REF!</definedName>
    <definedName name="PLdetail">#REF!</definedName>
    <definedName name="PLJK" hidden="1">#REF!</definedName>
    <definedName name="plm">#REF!</definedName>
    <definedName name="plmb831">#REF!</definedName>
    <definedName name="plmb832">#REF!</definedName>
    <definedName name="plmb833">#REF!</definedName>
    <definedName name="plmb834">#REF!</definedName>
    <definedName name="plo" hidden="1">{#N/A,#N/A,TRUE,"Cover";#N/A,#N/A,TRUE,"Conts";#N/A,#N/A,TRUE,"VOS";#N/A,#N/A,TRUE,"Warrington";#N/A,#N/A,TRUE,"Widnes"}</definedName>
    <definedName name="PLSummary">#REF!</definedName>
    <definedName name="plu">#REF!</definedName>
    <definedName name="Plumbing">#REF!</definedName>
    <definedName name="PM">#REF!</definedName>
    <definedName name="PM_Fee">#REF!</definedName>
    <definedName name="pmc">#REF!</definedName>
    <definedName name="pmt">#REF!</definedName>
    <definedName name="pmvrates">#REF!</definedName>
    <definedName name="pmvsum">#REF!</definedName>
    <definedName name="Po">#REF!</definedName>
    <definedName name="po_4">#REF!</definedName>
    <definedName name="po_4_1">#REF!</definedName>
    <definedName name="po_6">#REF!</definedName>
    <definedName name="poi">#REF!</definedName>
    <definedName name="poiouu">#REF!</definedName>
    <definedName name="POIU" hidden="1">{#N/A,#N/A,TRUE,"Cover";#N/A,#N/A,TRUE,"Conts";#N/A,#N/A,TRUE,"VOS";#N/A,#N/A,TRUE,"Warrington";#N/A,#N/A,TRUE,"Widnes"}</definedName>
    <definedName name="poiujn" hidden="1">{#N/A,#N/A,TRUE,"Cover";#N/A,#N/A,TRUE,"Conts";#N/A,#N/A,TRUE,"VOS";#N/A,#N/A,TRUE,"Warrington";#N/A,#N/A,TRUE,"Widnes"}</definedName>
    <definedName name="POL">#REF!</definedName>
    <definedName name="POOJA">#REF!</definedName>
    <definedName name="PORI">#REF!</definedName>
    <definedName name="PORNOI">#REF!</definedName>
    <definedName name="Post_Area">#REF!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tencias" hidden="1">#REF!</definedName>
    <definedName name="pound">#REF!</definedName>
    <definedName name="Power">#REF!</definedName>
    <definedName name="pp">#REF!</definedName>
    <definedName name="PPI01_END">#REF!</definedName>
    <definedName name="PPI01_START">#REF!</definedName>
    <definedName name="ppoo345">#REF!</definedName>
    <definedName name="ppp" localSheetId="3" hidden="1">{"'Break down'!$A$4"}</definedName>
    <definedName name="ppp" hidden="1">{"'Break down'!$A$4"}</definedName>
    <definedName name="pppp" hidden="1">{#N/A,#N/A,TRUE,"Cover";#N/A,#N/A,TRUE,"Conts";#N/A,#N/A,TRUE,"VOS";#N/A,#N/A,TRUE,"Warrington";#N/A,#N/A,TRUE,"Widnes"}</definedName>
    <definedName name="PPPPP">#REF!</definedName>
    <definedName name="pppppppppp">#REF!</definedName>
    <definedName name="ppppppppppppp">#REF!</definedName>
    <definedName name="ppppppppppppppp">#REF!</definedName>
    <definedName name="ppz" localSheetId="3" hidden="1">{"'Break down'!$A$4"}</definedName>
    <definedName name="ppz" hidden="1">{"'Break down'!$A$4"}</definedName>
    <definedName name="pr">#REF!</definedName>
    <definedName name="PRA">#REF!</definedName>
    <definedName name="PRAYER" hidden="1">{#N/A,#N/A,FALSE,"CCTV"}</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cio">#REF!</definedName>
    <definedName name="Prefix">#REF!</definedName>
    <definedName name="Prelim">#REF!</definedName>
    <definedName name="Preliminaries">#REF!</definedName>
    <definedName name="prelimRM">#REF!</definedName>
    <definedName name="Prelm_Exp">#REF!</definedName>
    <definedName name="Prem_Rate">#REF!</definedName>
    <definedName name="Prepaid_Expenses">#REF!</definedName>
    <definedName name="prepared.by" hidden="1">#REF!</definedName>
    <definedName name="PreProj_ERV">#REF!</definedName>
    <definedName name="PreProjRent">#REF!</definedName>
    <definedName name="PREVAL">#REF!</definedName>
    <definedName name="PrevYears">#REF!</definedName>
    <definedName name="PREWKS">#REF!</definedName>
    <definedName name="PRICE">#REF!</definedName>
    <definedName name="Price_Fix_Fee">#REF!</definedName>
    <definedName name="PriceBasis">#REF!</definedName>
    <definedName name="PriceCode">#REF!</definedName>
    <definedName name="PRIME">#REF!</definedName>
    <definedName name="PrimeAddress">#REF!</definedName>
    <definedName name="PrimeAddress_4">#REF!</definedName>
    <definedName name="PrimeAddress_4_1">#REF!</definedName>
    <definedName name="PrimeAddress_6">#REF!</definedName>
    <definedName name="PrimeCity">#REF!</definedName>
    <definedName name="PrimeCity_4">#REF!</definedName>
    <definedName name="PrimeCity_4_1">#REF!</definedName>
    <definedName name="PrimeCity_6">#REF!</definedName>
    <definedName name="PrimeCoat">#REF!</definedName>
    <definedName name="PrimeName">#REF!</definedName>
    <definedName name="PrimeName_4">#REF!</definedName>
    <definedName name="PrimeName_4_1">#REF!</definedName>
    <definedName name="PrimeName_6">#REF!</definedName>
    <definedName name="PrimePostal">#REF!</definedName>
    <definedName name="PrimePostal_4">#REF!</definedName>
    <definedName name="PrimePostal_4_1">#REF!</definedName>
    <definedName name="PrimePostal_6">#REF!</definedName>
    <definedName name="PrimePrio">#REF!</definedName>
    <definedName name="PrimePrio_4">#REF!</definedName>
    <definedName name="PrimePrio_4_1">#REF!</definedName>
    <definedName name="PrimePrio_6">#REF!</definedName>
    <definedName name="PrimePrio_Text">#REF!</definedName>
    <definedName name="PrimePrio_Text_4">#REF!</definedName>
    <definedName name="PrimePrio_Text_4_1">#REF!</definedName>
    <definedName name="PrimePrio_Text_6">#REF!</definedName>
    <definedName name="PrimeState">#REF!</definedName>
    <definedName name="PrimeState_4">#REF!</definedName>
    <definedName name="PrimeState_4_1">#REF!</definedName>
    <definedName name="PrimeState_6">#REF!</definedName>
    <definedName name="pRIMSCH">#REF!</definedName>
    <definedName name="Principal">#REF!</definedName>
    <definedName name="_xlnm.Print_Area" localSheetId="0">Budget!$A$1:$AD$10517</definedName>
    <definedName name="_xlnm.Print_Area" localSheetId="2">'Level 3'!$A$1:$E$10</definedName>
    <definedName name="_xlnm.Print_Area" localSheetId="3">Summary!$B$1:$E$30</definedName>
    <definedName name="_xlnm.Print_Area">#REF!</definedName>
    <definedName name="Print_Area_Assmptns">#REF!,#REF!</definedName>
    <definedName name="Print_Area_Costs">#REF!,#REF!,#REF!</definedName>
    <definedName name="Print_Area_DLP">#REF!,#REF!,#REF!</definedName>
    <definedName name="Print_Area_Earnout">#REF!,#REF!</definedName>
    <definedName name="Print_Area_Funding">#REF!,#REF!</definedName>
    <definedName name="PRINT_area_M">#REF!</definedName>
    <definedName name="PRINT_AREA_MI">#REF!</definedName>
    <definedName name="PRINT_AREA_MI___0">#REF!</definedName>
    <definedName name="Print_Area_MI_12">"$#REF!.$A$2:$M$487"</definedName>
    <definedName name="Print_Area_MI_15">#REF!</definedName>
    <definedName name="Print_Area_MI_18">"$#REF!.$A$1:$N$465"</definedName>
    <definedName name="Print_Area_MI_2">"$#REF!.$A$2:$M$487"</definedName>
    <definedName name="Print_Area_MI_3">"$#REF!.$A$2:$M$487"</definedName>
    <definedName name="Print_Area_MI_38">"$#REF!.$A$2:$L$37"</definedName>
    <definedName name="PRINT_AREA_MI_4">#REF!</definedName>
    <definedName name="PRINT_AREA_MI_4_1">#REF!</definedName>
    <definedName name="Print_Area_MI_5">"$#REF!.$A$2:$M$487"</definedName>
    <definedName name="PRINT_AREA_MI_6">#REF!</definedName>
    <definedName name="Print_Area_MI_7">"$#REF!.$A$2:$M$487"</definedName>
    <definedName name="Print_Area_MI_8">"$#REF!.$A$2:$M$487"</definedName>
    <definedName name="Print_Area_Summary">#REF!,#REF!,#REF!</definedName>
    <definedName name="Print_Range">#REF!</definedName>
    <definedName name="_xlnm.Print_Titles" localSheetId="0">Budget!$11:$13</definedName>
    <definedName name="_xlnm.Print_Titles" localSheetId="2">'Level 3'!$1:$1</definedName>
    <definedName name="_xlnm.Print_Titles" localSheetId="3">Summary!$1:$9</definedName>
    <definedName name="_xlnm.Print_Titles">#REF!</definedName>
    <definedName name="Print_Titles_Costs" localSheetId="3">#REF!,#REF!</definedName>
    <definedName name="Print_Titles_Costs">#REF!,#REF!</definedName>
    <definedName name="Print_Titles_Costs_Mthly" localSheetId="3">#REF!,#REF!</definedName>
    <definedName name="Print_Titles_Costs_Mthly">#REF!,#REF!</definedName>
    <definedName name="Print_Titles_DLP" localSheetId="3">#REF!,#REF!</definedName>
    <definedName name="Print_Titles_DLP">#REF!,#REF!</definedName>
    <definedName name="Print_Titles_Earnout">#REF!,#REF!</definedName>
    <definedName name="Print_Titles_Funding">#REF!,#REF!</definedName>
    <definedName name="Print_Titles_InterimFund">#REF!,#REF!</definedName>
    <definedName name="Print_Titles_MI">#REF!,#REF!</definedName>
    <definedName name="Print_Titles_Rentroll">#REF!,#REF!</definedName>
    <definedName name="Prior_yr_actual">#REF!</definedName>
    <definedName name="PRJ_CODE">#REF!</definedName>
    <definedName name="PRJ_NAME">#REF!</definedName>
    <definedName name="Prj_title">#REF!</definedName>
    <definedName name="prjName">#REF!</definedName>
    <definedName name="prjNo">#REF!</definedName>
    <definedName name="pro">#REF!</definedName>
    <definedName name="PROD">#REF!</definedName>
    <definedName name="PROD_4">#REF!</definedName>
    <definedName name="PROD_4_1">#REF!</definedName>
    <definedName name="PROD_6">#REF!</definedName>
    <definedName name="Prod_Cat">#REF!</definedName>
    <definedName name="ProdCode1">#REF!</definedName>
    <definedName name="ProdCode1_4">#REF!</definedName>
    <definedName name="ProdCode1_4_1">#REF!</definedName>
    <definedName name="ProdCode1_6">#REF!</definedName>
    <definedName name="ProdCode1_Text">#REF!</definedName>
    <definedName name="ProdCode1_Text_4">#REF!</definedName>
    <definedName name="ProdCode1_Text_4_1">#REF!</definedName>
    <definedName name="ProdCode1_Text_6">#REF!</definedName>
    <definedName name="ProdCode2">#REF!</definedName>
    <definedName name="ProdCode2_4">#REF!</definedName>
    <definedName name="ProdCode2_4_1">#REF!</definedName>
    <definedName name="ProdCode2_6">#REF!</definedName>
    <definedName name="ProdCode2_Text">#REF!</definedName>
    <definedName name="ProdCode2_Text_4">#REF!</definedName>
    <definedName name="ProdCode2_Text_4_1">#REF!</definedName>
    <definedName name="ProdCode2_Text_6">#REF!</definedName>
    <definedName name="ProdCode3">#REF!</definedName>
    <definedName name="ProdCode3_4">#REF!</definedName>
    <definedName name="ProdCode3_4_1">#REF!</definedName>
    <definedName name="ProdCode3_6">#REF!</definedName>
    <definedName name="ProdCode3_Text">#REF!</definedName>
    <definedName name="ProdCode3_Text_4">#REF!</definedName>
    <definedName name="ProdCode3_Text_4_1">#REF!</definedName>
    <definedName name="ProdCode3_Text_6">#REF!</definedName>
    <definedName name="PRODCODE3KJGSCJKSDHCV">#REF!</definedName>
    <definedName name="ProdCode4">#REF!</definedName>
    <definedName name="ProdCode4_4">#REF!</definedName>
    <definedName name="ProdCode4_4_1">#REF!</definedName>
    <definedName name="ProdCode4_6">#REF!</definedName>
    <definedName name="ProdCode4_Text">#REF!</definedName>
    <definedName name="ProdCode4_Text_4">#REF!</definedName>
    <definedName name="ProdCode4_Text_4_1">#REF!</definedName>
    <definedName name="ProdCode4_Text_6">#REF!</definedName>
    <definedName name="ProdCode5">#REF!</definedName>
    <definedName name="ProdCode5_4">#REF!</definedName>
    <definedName name="ProdCode5_4_1">#REF!</definedName>
    <definedName name="ProdCode5_6">#REF!</definedName>
    <definedName name="ProdCode5_Text">#REF!</definedName>
    <definedName name="ProdCode5_Text_4">#REF!</definedName>
    <definedName name="ProdCode5_Text_4_1">#REF!</definedName>
    <definedName name="ProdCode5_Text_6">#REF!</definedName>
    <definedName name="ProdForm" hidden="1">#REF!</definedName>
    <definedName name="ProdPct1">#REF!</definedName>
    <definedName name="ProdPct1_4">#REF!</definedName>
    <definedName name="ProdPct1_4_1">#REF!</definedName>
    <definedName name="ProdPct1_6">#REF!</definedName>
    <definedName name="ProdPct2">#REF!</definedName>
    <definedName name="ProdPct2_4">#REF!</definedName>
    <definedName name="ProdPct2_4_1">#REF!</definedName>
    <definedName name="ProdPct2_6">#REF!</definedName>
    <definedName name="ProdPct3">#REF!</definedName>
    <definedName name="ProdPct3_4">#REF!</definedName>
    <definedName name="ProdPct3_4_1">#REF!</definedName>
    <definedName name="ProdPct3_6">#REF!</definedName>
    <definedName name="ProdPct4">#REF!</definedName>
    <definedName name="ProdPct4_4">#REF!</definedName>
    <definedName name="ProdPct4_4_1">#REF!</definedName>
    <definedName name="ProdPct4_6">#REF!</definedName>
    <definedName name="ProdPct5">#REF!</definedName>
    <definedName name="ProdPct5_4">#REF!</definedName>
    <definedName name="ProdPct5_4_1">#REF!</definedName>
    <definedName name="ProdPct5_6">#REF!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#REF!</definedName>
    <definedName name="PROFILES">#REF!</definedName>
    <definedName name="Profit">#REF!</definedName>
    <definedName name="Profit_Loss">#REF!</definedName>
    <definedName name="Profit_on_Sale_of_Assets">#REF!</definedName>
    <definedName name="PROFLOW">#REF!</definedName>
    <definedName name="PROG1">#REF!</definedName>
    <definedName name="program" localSheetId="3" hidden="1">{#N/A,#N/A,TRUE,"Front";#N/A,#N/A,TRUE,"Simple Letter";#N/A,#N/A,TRUE,"Inside";#N/A,#N/A,TRUE,"Contents";#N/A,#N/A,TRUE,"Basis";#N/A,#N/A,TRUE,"Inclusions";#N/A,#N/A,TRUE,"Exclusions";#N/A,#N/A,TRUE,"Areas";#N/A,#N/A,TRUE,"Summary";#N/A,#N/A,TRUE,"Detail"}</definedName>
    <definedName name="program" hidden="1">{#N/A,#N/A,TRUE,"Front";#N/A,#N/A,TRUE,"Simple Letter";#N/A,#N/A,TRUE,"Inside";#N/A,#N/A,TRUE,"Contents";#N/A,#N/A,TRUE,"Basis";#N/A,#N/A,TRUE,"Inclusions";#N/A,#N/A,TRUE,"Exclusions";#N/A,#N/A,TRUE,"Areas";#N/A,#N/A,TRUE,"Summary";#N/A,#N/A,TRUE,"Detail"}</definedName>
    <definedName name="Program_Export">#REF!</definedName>
    <definedName name="progress">#REF!</definedName>
    <definedName name="Progress_Table_Monthly">#REF!</definedName>
    <definedName name="Progress_Table_week">#REF!</definedName>
    <definedName name="PROGSUM">#REF!</definedName>
    <definedName name="PROJ">#REF!</definedName>
    <definedName name="Proj_curr">#REF!</definedName>
    <definedName name="Proj_Unit">#REF!</definedName>
    <definedName name="ProjAddress1">#REF!</definedName>
    <definedName name="ProjAddress1_4">#REF!</definedName>
    <definedName name="ProjAddress1_4_1">#REF!</definedName>
    <definedName name="ProjAddress1_6">#REF!</definedName>
    <definedName name="ProjAddress2">#REF!</definedName>
    <definedName name="ProjAddress2_4">#REF!</definedName>
    <definedName name="ProjAddress2_4_1">#REF!</definedName>
    <definedName name="ProjAddress2_6">#REF!</definedName>
    <definedName name="ProjCity">#REF!</definedName>
    <definedName name="ProjCity_4">#REF!</definedName>
    <definedName name="ProjCity_4_1">#REF!</definedName>
    <definedName name="ProjCity_6">#REF!</definedName>
    <definedName name="ProjCity1">#REF!</definedName>
    <definedName name="ProjCountry">#REF!</definedName>
    <definedName name="ProjCountry_4">#REF!</definedName>
    <definedName name="ProjCountry_4_1">#REF!</definedName>
    <definedName name="ProjCountry_6">#REF!</definedName>
    <definedName name="ProjCounty">#REF!</definedName>
    <definedName name="ProjCounty_4">#REF!</definedName>
    <definedName name="ProjCounty_4_1">#REF!</definedName>
    <definedName name="ProjCounty_6">#REF!</definedName>
    <definedName name="projcum">OFFSET(#REF!,0,0,COUNTA(#REF!),1)</definedName>
    <definedName name="projcum1">OFFSET(#REF!,0,0,COUNTA(#REF!),1)</definedName>
    <definedName name="ProjDay">#REF!</definedName>
    <definedName name="PROJECT">#REF!</definedName>
    <definedName name="Project_Cost">#REF!</definedName>
    <definedName name="PROJECT_DURATION">#REF!</definedName>
    <definedName name="Project_Name">#REF!</definedName>
    <definedName name="projectedmonthly">OFFSET(#REF!,0,0,COUNTA(#REF!),1)</definedName>
    <definedName name="ProjectFactor">#REF!</definedName>
    <definedName name="projections">#REF!</definedName>
    <definedName name="ProjectLocation">#REF!</definedName>
    <definedName name="ProjectNumber">#REF!</definedName>
    <definedName name="ProjectSubtitle">#REF!</definedName>
    <definedName name="ProjectTitle">#REF!</definedName>
    <definedName name="Projekt">#REF!</definedName>
    <definedName name="ProjektNr">#REF!</definedName>
    <definedName name="ProjMgt">#REF!</definedName>
    <definedName name="ProjMonth">#REF!</definedName>
    <definedName name="projmonthly">OFFSET(#REF!,0,0,COUNTA(#REF!),1)</definedName>
    <definedName name="projmonthly1">OFFSET(#REF!,0,0,COUNTA(#REF!),1)</definedName>
    <definedName name="projmonthmax">OFFSET(#REF!,0,0,MATCH(#REF!,#REF!,0),1)</definedName>
    <definedName name="projn">#REF!</definedName>
    <definedName name="ProjName">#REF!</definedName>
    <definedName name="ProjName_4">#REF!</definedName>
    <definedName name="ProjName_4_1">#REF!</definedName>
    <definedName name="ProjName_6">#REF!</definedName>
    <definedName name="ProjNum">#REF!</definedName>
    <definedName name="ProjNum_4">#REF!</definedName>
    <definedName name="ProjNum_4_1">#REF!</definedName>
    <definedName name="ProjNum_6">#REF!</definedName>
    <definedName name="ProjPostal">#REF!</definedName>
    <definedName name="ProjPostal_4">#REF!</definedName>
    <definedName name="ProjPostal_4_1">#REF!</definedName>
    <definedName name="ProjPostal_6">#REF!</definedName>
    <definedName name="ProjState">#REF!</definedName>
    <definedName name="ProjState_4">#REF!</definedName>
    <definedName name="ProjState_4_1">#REF!</definedName>
    <definedName name="ProjState_6">#REF!</definedName>
    <definedName name="projsupply">#REF!</definedName>
    <definedName name="ProjYear">#REF!</definedName>
    <definedName name="Proname">#REF!</definedName>
    <definedName name="Property_Name">#REF!</definedName>
    <definedName name="Propsiteanalysis">#REF!</definedName>
    <definedName name="PropStat">#REF!</definedName>
    <definedName name="Provforecastfinal">#REF!</definedName>
    <definedName name="Provision_for_Loss">#REF!</definedName>
    <definedName name="Provision_for_stock">#REF!</definedName>
    <definedName name="PRWMAY07">#REF!</definedName>
    <definedName name="PRWSEP05">#REF!</definedName>
    <definedName name="ps">#REF!</definedName>
    <definedName name="PS___0">#REF!</definedName>
    <definedName name="PS___13">#REF!</definedName>
    <definedName name="PSABillingMethod">#REF!</definedName>
    <definedName name="PSABillingMethod_4">#REF!</definedName>
    <definedName name="PSABillingMethod_4_1">#REF!</definedName>
    <definedName name="PSABillingMethod_6">#REF!</definedName>
    <definedName name="pss">#REF!</definedName>
    <definedName name="Pst_Gross_sales">#REF!</definedName>
    <definedName name="pswyry" localSheetId="3" hidden="1">{#N/A,#N/A,TRUE,"Cover";#N/A,#N/A,TRUE,"Conts";#N/A,#N/A,TRUE,"VOS";#N/A,#N/A,TRUE,"Warrington";#N/A,#N/A,TRUE,"Widnes"}</definedName>
    <definedName name="pswyry" hidden="1">{#N/A,#N/A,TRUE,"Cover";#N/A,#N/A,TRUE,"Conts";#N/A,#N/A,TRUE,"VOS";#N/A,#N/A,TRUE,"Warrington";#N/A,#N/A,TRUE,"Widnes"}</definedName>
    <definedName name="PU">#REF!</definedName>
    <definedName name="PUL">#REF!</definedName>
    <definedName name="Purchase_Ledger__debit_balance">#REF!</definedName>
    <definedName name="Purchaser_costs">#REF!</definedName>
    <definedName name="PurchasesPerMonth">#REF!</definedName>
    <definedName name="PVatTotIRR">#REF!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Q">#REF!</definedName>
    <definedName name="q3tqtq" localSheetId="3" hidden="1">{#N/A,#N/A,TRUE,"Cover";#N/A,#N/A,TRUE,"Conts";#N/A,#N/A,TRUE,"VOS";#N/A,#N/A,TRUE,"Warrington";#N/A,#N/A,TRUE,"Widnes"}</definedName>
    <definedName name="q3tqtq" hidden="1">{#N/A,#N/A,TRUE,"Cover";#N/A,#N/A,TRUE,"Conts";#N/A,#N/A,TRUE,"VOS";#N/A,#N/A,TRUE,"Warrington";#N/A,#N/A,TRUE,"Widnes"}</definedName>
    <definedName name="q5ttyr" localSheetId="3" hidden="1">{#N/A,#N/A,TRUE,"Cover";#N/A,#N/A,TRUE,"Conts";#N/A,#N/A,TRUE,"VOS";#N/A,#N/A,TRUE,"Warrington";#N/A,#N/A,TRUE,"Widnes"}</definedName>
    <definedName name="q5ttyr" hidden="1">{#N/A,#N/A,TRUE,"Cover";#N/A,#N/A,TRUE,"Conts";#N/A,#N/A,TRUE,"VOS";#N/A,#N/A,TRUE,"Warrington";#N/A,#N/A,TRUE,"Widnes"}</definedName>
    <definedName name="qa">#REF!</definedName>
    <definedName name="qaz">#REF!</definedName>
    <definedName name="Qc">#REF!</definedName>
    <definedName name="Qc___0">#REF!</definedName>
    <definedName name="Qc___13">#REF!</definedName>
    <definedName name="qdqdqdq" localSheetId="3" hidden="1">{#N/A,#N/A,TRUE,"Cover";#N/A,#N/A,TRUE,"Conts";#N/A,#N/A,TRUE,"VOS";#N/A,#N/A,TRUE,"Warrington";#N/A,#N/A,TRUE,"Widnes"}</definedName>
    <definedName name="qdqdqdq" hidden="1">{#N/A,#N/A,TRUE,"Cover";#N/A,#N/A,TRUE,"Conts";#N/A,#N/A,TRUE,"VOS";#N/A,#N/A,TRUE,"Warrington";#N/A,#N/A,TRUE,"Widnes"}</definedName>
    <definedName name="qe" localSheetId="3" hidden="1">{"'Break down'!$A$4"}</definedName>
    <definedName name="qe" hidden="1">{"'Break down'!$A$4"}</definedName>
    <definedName name="qeewq" localSheetId="3" hidden="1">{"offequipsch",#N/A,FALSE,"GTC_Schedule";"onconstsch",#N/A,FALSE,"GTC_Schedule";"techsch",#N/A,FALSE,"GTC_Schedule";"totsch",#N/A,FALSE,"GTC_Schedule"}</definedName>
    <definedName name="qeewq" hidden="1">{"offequipsch",#N/A,FALSE,"GTC_Schedule";"onconstsch",#N/A,FALSE,"GTC_Schedule";"techsch",#N/A,FALSE,"GTC_Schedule";"totsch",#N/A,FALSE,"GTC_Schedule"}</definedName>
    <definedName name="qeq" localSheetId="3" hidden="1">{#N/A,#N/A,FALSE,"Matrix";#N/A,#N/A,FALSE,"Executive";#N/A,#N/A,FALSE,"Summary"}</definedName>
    <definedName name="qeq" hidden="1">{#N/A,#N/A,FALSE,"Matrix";#N/A,#N/A,FALSE,"Executive";#N/A,#N/A,FALSE,"Summary"}</definedName>
    <definedName name="qewr" hidden="1">#REF!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mi" hidden="1">{#N/A,#N/A,TRUE,"Cover";#N/A,#N/A,TRUE,"Conts";#N/A,#N/A,TRUE,"VOS";#N/A,#N/A,TRUE,"Warrington";#N/A,#N/A,TRUE,"Widnes"}</definedName>
    <definedName name="QNL_BASESLAB">#REF!</definedName>
    <definedName name="QNL_CONCOURSESLABST">#REF!</definedName>
    <definedName name="QNL_EXCAVATION">#REF!</definedName>
    <definedName name="QNL_ROOFSLABCONCRETEENT">#REF!</definedName>
    <definedName name="QNL_ROOFSLABCONCRETEOVERALL">#REF!</definedName>
    <definedName name="QNL_ROOFSLABCONCRETEST">#REF!</definedName>
    <definedName name="QNL_WALLCONCRETEOVERALL">#REF!</definedName>
    <definedName name="QNL_WALLCONCRETEST">#REF!</definedName>
    <definedName name="QNL_WALLCONCRETEUNDERPASS">#REF!</definedName>
    <definedName name="qp" hidden="1">#REF!</definedName>
    <definedName name="qq">#REF!</definedName>
    <definedName name="qqq" localSheetId="3" hidden="1">{#N/A,#N/A,TRUE,"Cover";#N/A,#N/A,TRUE,"Conts";#N/A,#N/A,TRUE,"VOS";#N/A,#N/A,TRUE,"Warrington";#N/A,#N/A,TRUE,"Widnes"}</definedName>
    <definedName name="qqq" hidden="1">{#N/A,#N/A,TRUE,"Cover";#N/A,#N/A,TRUE,"Conts";#N/A,#N/A,TRUE,"VOS";#N/A,#N/A,TRUE,"Warrington";#N/A,#N/A,TRUE,"Widnes"}</definedName>
    <definedName name="qqqq">#REF!</definedName>
    <definedName name="qqqqq" localSheetId="3" hidden="1">{#N/A,#N/A,TRUE,"Basic";#N/A,#N/A,TRUE,"EXT-TABLE";#N/A,#N/A,TRUE,"STEEL";#N/A,#N/A,TRUE,"INT-Table";#N/A,#N/A,TRUE,"STEEL";#N/A,#N/A,TRUE,"Door"}</definedName>
    <definedName name="qqqqq" hidden="1">{#N/A,#N/A,TRUE,"Basic";#N/A,#N/A,TRUE,"EXT-TABLE";#N/A,#N/A,TRUE,"STEEL";#N/A,#N/A,TRUE,"INT-Table";#N/A,#N/A,TRUE,"STEEL";#N/A,#N/A,TRUE,"Door"}</definedName>
    <definedName name="qqqqqq">#N/A</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 hidden="1">#REF!</definedName>
    <definedName name="qqqqqqqqqqqqqqqq">#REF!</definedName>
    <definedName name="qqqqqqqqqqqqqqqqqqqqqqqqqqqqqq">#REF!</definedName>
    <definedName name="QQQQQQQQQQQQQQQQQQQQQQQQQQQQQQQQQQQ" hidden="1">{#N/A,#N/A,FALSE,"Work progress mensile";#N/A,#N/A,FALSE,"Work progress mensile IE1"}</definedName>
    <definedName name="qrt" localSheetId="3" hidden="1">{#N/A,#N/A,TRUE,"Cover";#N/A,#N/A,TRUE,"Conts";#N/A,#N/A,TRUE,"VOS";#N/A,#N/A,TRUE,"Warrington";#N/A,#N/A,TRUE,"Widnes"}</definedName>
    <definedName name="qrt" hidden="1">{#N/A,#N/A,TRUE,"Cover";#N/A,#N/A,TRUE,"Conts";#N/A,#N/A,TRUE,"VOS";#N/A,#N/A,TRUE,"Warrington";#N/A,#N/A,TRUE,"Widnes"}</definedName>
    <definedName name="qsdert432">#REF!</definedName>
    <definedName name="Qspan">#REF!</definedName>
    <definedName name="qsqsq">#REF!</definedName>
    <definedName name="QT">#REF!</definedName>
    <definedName name="QTE">#REF!</definedName>
    <definedName name="qtr">#REF!</definedName>
    <definedName name="Qtr_NPV">#REF!</definedName>
    <definedName name="qttyry" localSheetId="3" hidden="1">{#N/A,#N/A,TRUE,"Cover";#N/A,#N/A,TRUE,"Conts";#N/A,#N/A,TRUE,"VOS";#N/A,#N/A,TRUE,"Warrington";#N/A,#N/A,TRUE,"Widnes"}</definedName>
    <definedName name="qttyry" hidden="1">{#N/A,#N/A,TRUE,"Cover";#N/A,#N/A,TRUE,"Conts";#N/A,#N/A,TRUE,"VOS";#N/A,#N/A,TRUE,"Warrington";#N/A,#N/A,TRUE,"Widnes"}</definedName>
    <definedName name="QTY">#REF!</definedName>
    <definedName name="Qty_as_on">#REF!</definedName>
    <definedName name="Qty_as_on_apr">#REF!</definedName>
    <definedName name="QtyB02">#REF!</definedName>
    <definedName name="QtyB05">#REF!</definedName>
    <definedName name="QtyB06">#REF!</definedName>
    <definedName name="QtyB07">#REF!</definedName>
    <definedName name="qtyhytrh" localSheetId="3" hidden="1">{#N/A,#N/A,TRUE,"Cover";#N/A,#N/A,TRUE,"Conts";#N/A,#N/A,TRUE,"VOS";#N/A,#N/A,TRUE,"Warrington";#N/A,#N/A,TRUE,"Widnes"}</definedName>
    <definedName name="qtyhytrh" hidden="1">{#N/A,#N/A,TRUE,"Cover";#N/A,#N/A,TRUE,"Conts";#N/A,#N/A,TRUE,"VOS";#N/A,#N/A,TRUE,"Warrington";#N/A,#N/A,TRUE,"Widnes"}</definedName>
    <definedName name="qtyu" localSheetId="3" hidden="1">{#N/A,#N/A,TRUE,"Cover";#N/A,#N/A,TRUE,"Conts";#N/A,#N/A,TRUE,"VOS";#N/A,#N/A,TRUE,"Warrington";#N/A,#N/A,TRUE,"Widnes"}</definedName>
    <definedName name="qtyu" hidden="1">{#N/A,#N/A,TRUE,"Cover";#N/A,#N/A,TRUE,"Conts";#N/A,#N/A,TRUE,"VOS";#N/A,#N/A,TRUE,"Warrington";#N/A,#N/A,TRUE,"Widnes"}</definedName>
    <definedName name="qtyyut" localSheetId="3" hidden="1">{#N/A,#N/A,TRUE,"Cover";#N/A,#N/A,TRUE,"Conts";#N/A,#N/A,TRUE,"VOS";#N/A,#N/A,TRUE,"Warrington";#N/A,#N/A,TRUE,"Widnes"}</definedName>
    <definedName name="qtyyut" hidden="1">{#N/A,#N/A,TRUE,"Cover";#N/A,#N/A,TRUE,"Conts";#N/A,#N/A,TRUE,"VOS";#N/A,#N/A,TRUE,"Warrington";#N/A,#N/A,TRUE,"Widnes"}</definedName>
    <definedName name="qtyyyhh" localSheetId="3" hidden="1">{#N/A,#N/A,TRUE,"Cover";#N/A,#N/A,TRUE,"Conts";#N/A,#N/A,TRUE,"VOS";#N/A,#N/A,TRUE,"Warrington";#N/A,#N/A,TRUE,"Widnes"}</definedName>
    <definedName name="qtyyyhh" hidden="1">{#N/A,#N/A,TRUE,"Cover";#N/A,#N/A,TRUE,"Conts";#N/A,#N/A,TRUE,"VOS";#N/A,#N/A,TRUE,"Warrington";#N/A,#N/A,TRUE,"Widnes"}</definedName>
    <definedName name="qua">#REF!</definedName>
    <definedName name="Quantity">#REF!</definedName>
    <definedName name="quar">#REF!</definedName>
    <definedName name="quarterly_report">#REF!</definedName>
    <definedName name="QUARTZ">#REF!</definedName>
    <definedName name="Quote" localSheetId="3">#REF!,#REF!</definedName>
    <definedName name="Quote">#REF!,#REF!</definedName>
    <definedName name="qw" hidden="1">#REF!</definedName>
    <definedName name="qw3eq" localSheetId="3" hidden="1">{#N/A,#N/A,FALSE,"Matrix";#N/A,#N/A,FALSE,"Executive";#N/A,#N/A,FALSE,"Summary";#N/A,#N/A,FALSE,"Office1";#N/A,#N/A,FALSE,"Office2";#N/A,#N/A,FALSE,"Office3";#N/A,#N/A,FALSE,"Office4";#N/A,#N/A,FALSE,"Office5";#N/A,#N/A,FALSE,"Office6";#N/A,#N/A,FALSE,"Office7";#N/A,#N/A,FALSE,"Labor"}</definedName>
    <definedName name="qw3eq" hidden="1">{#N/A,#N/A,FALSE,"Matrix";#N/A,#N/A,FALSE,"Executive";#N/A,#N/A,FALSE,"Summary";#N/A,#N/A,FALSE,"Office1";#N/A,#N/A,FALSE,"Office2";#N/A,#N/A,FALSE,"Office3";#N/A,#N/A,FALSE,"Office4";#N/A,#N/A,FALSE,"Office5";#N/A,#N/A,FALSE,"Office6";#N/A,#N/A,FALSE,"Office7";#N/A,#N/A,FALSE,"Labor"}</definedName>
    <definedName name="qw3rwetwe4r">#REF!</definedName>
    <definedName name="qwe" localSheetId="3"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fg">#REF!</definedName>
    <definedName name="qwerrt">#REF!</definedName>
    <definedName name="qwert">#REF!</definedName>
    <definedName name="qwqqqqqqqqqqqqqqqqqqq" hidden="1">{#N/A,#N/A,FALSE,"MARCH"}</definedName>
    <definedName name="qwsdfety65">#REF!</definedName>
    <definedName name="QWVM" hidden="1">{#N/A,#N/A,TRUE,"Cover";#N/A,#N/A,TRUE,"Conts";#N/A,#N/A,TRUE,"VOS";#N/A,#N/A,TRUE,"Warrington";#N/A,#N/A,TRUE,"Widnes"}</definedName>
    <definedName name="qwytriuy">#REF!</definedName>
    <definedName name="qxcn" hidden="1">{#N/A,#N/A,TRUE,"Cover";#N/A,#N/A,TRUE,"Conts";#N/A,#N/A,TRUE,"VOS";#N/A,#N/A,TRUE,"Warrington";#N/A,#N/A,TRUE,"Widnes"}</definedName>
    <definedName name="qz" localSheetId="3" hidden="1">{"'Break down'!$A$4"}</definedName>
    <definedName name="qz" hidden="1">{"'Break down'!$A$4"}</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Factor">#REF!</definedName>
    <definedName name="RA">#REF!</definedName>
    <definedName name="racc_v">#REF!</definedName>
    <definedName name="Raft_Edge_A_2000">#REF!</definedName>
    <definedName name="Raft_Edge_A_2500">#REF!</definedName>
    <definedName name="Raft_Edge_L_2000">#REF!</definedName>
    <definedName name="Raft_Edge_L_2500">#REF!</definedName>
    <definedName name="RAFTArea">#REF!</definedName>
    <definedName name="RAFTPerimeter">#REF!</definedName>
    <definedName name="Raj" localSheetId="3" hidden="1">{"'Sheet1'!$A$4386:$N$4591"}</definedName>
    <definedName name="Raj" hidden="1">{"'Sheet1'!$A$4386:$N$4591"}</definedName>
    <definedName name="ramana">#REF!</definedName>
    <definedName name="Ramesh">#REF!</definedName>
    <definedName name="Ramp" hidden="1">#REF!</definedName>
    <definedName name="ramrm">#REF!</definedName>
    <definedName name="RANGE">#REF!</definedName>
    <definedName name="range1">#REF!</definedName>
    <definedName name="Rango_a_imprimir">#REF!</definedName>
    <definedName name="RANJAHANA">#REF!</definedName>
    <definedName name="rarewt" hidden="1">{#N/A,#N/A,FALSE,"CCTV"}</definedName>
    <definedName name="rasgg" localSheetId="3" hidden="1">{#N/A,#N/A,TRUE,"Cover";#N/A,#N/A,TRUE,"Conts";#N/A,#N/A,TRUE,"VOS";#N/A,#N/A,TRUE,"Warrington";#N/A,#N/A,TRUE,"Widnes"}</definedName>
    <definedName name="rasgg" hidden="1">{#N/A,#N/A,TRUE,"Cover";#N/A,#N/A,TRUE,"Conts";#N/A,#N/A,TRUE,"VOS";#N/A,#N/A,TRUE,"Warrington";#N/A,#N/A,TRUE,"Widnes"}</definedName>
    <definedName name="RASH">#REF!</definedName>
    <definedName name="Rashid">#REF!</definedName>
    <definedName name="Rate">#REF!</definedName>
    <definedName name="Rate1">#REF!</definedName>
    <definedName name="RateB02">#REF!</definedName>
    <definedName name="RateB05">#REF!</definedName>
    <definedName name="RateB06">#REF!</definedName>
    <definedName name="RateB07">#REF!</definedName>
    <definedName name="Rates">#REF!</definedName>
    <definedName name="RATES__ADJUSTMENT__AREA">#REF!</definedName>
    <definedName name="RatesCode">#REF!</definedName>
    <definedName name="RatesSpec">#REF!</definedName>
    <definedName name="RatesUnit">#REF!</definedName>
    <definedName name="RATIO">#REF!</definedName>
    <definedName name="ravi" localSheetId="3"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B">#REF!</definedName>
    <definedName name="RB7.4" hidden="1">#REF!</definedName>
    <definedName name="rbw" hidden="1">{#N/A,#N/A,TRUE,"Cover";#N/A,#N/A,TRUE,"Conts";#N/A,#N/A,TRUE,"VOS";#N/A,#N/A,TRUE,"Warrington";#N/A,#N/A,TRUE,"Widnes"}</definedName>
    <definedName name="RBX2B6">#REF!</definedName>
    <definedName name="RC_">#REF!</definedName>
    <definedName name="RCArea" hidden="1">#REF!</definedName>
    <definedName name="RCC">#REF!</definedName>
    <definedName name="RCVFINAL">#REF!</definedName>
    <definedName name="rcwbgl">#REF!</definedName>
    <definedName name="rcwbgl2">#REF!</definedName>
    <definedName name="RCYadav">#REF!</definedName>
    <definedName name="RCYadav12345">#REF!</definedName>
    <definedName name="rd" localSheetId="3" hidden="1">{#N/A,#N/A,FALSE,"One Pager";#N/A,#N/A,FALSE,"Technical"}</definedName>
    <definedName name="rd" hidden="1">{#N/A,#N/A,FALSE,"One Pager";#N/A,#N/A,FALSE,"Technical"}</definedName>
    <definedName name="rdegsegrg" localSheetId="3" hidden="1">{#N/A,#N/A,TRUE,"Cover";#N/A,#N/A,TRUE,"Conts";#N/A,#N/A,TRUE,"VOS";#N/A,#N/A,TRUE,"Warrington";#N/A,#N/A,TRUE,"Widnes"}</definedName>
    <definedName name="rdegsegrg" hidden="1">{#N/A,#N/A,TRUE,"Cover";#N/A,#N/A,TRUE,"Conts";#N/A,#N/A,TRUE,"VOS";#N/A,#N/A,TRUE,"Warrington";#N/A,#N/A,TRUE,"Widnes"}</definedName>
    <definedName name="re">#REF!</definedName>
    <definedName name="Re___0">#REF!</definedName>
    <definedName name="Re___13">#REF!</definedName>
    <definedName name="RE_SIZE">#REF!</definedName>
    <definedName name="READ" hidden="1">FALSE</definedName>
    <definedName name="Rear_Set_Bus_BE">#REF!</definedName>
    <definedName name="Rear_Set_Ind">#REF!</definedName>
    <definedName name="rebar">#REF!</definedName>
    <definedName name="Rebar_Qty._for_Bottom_L">#REF!</definedName>
    <definedName name="rec">#REF!</definedName>
    <definedName name="REC_PRGM_DB">#REF!</definedName>
    <definedName name="REC_PRGM_ID">#REF!</definedName>
    <definedName name="Recaparchitectural">#REF!</definedName>
    <definedName name="Recapexternal">#REF!</definedName>
    <definedName name="Recappiles">#REF!</definedName>
    <definedName name="Recapstructural">#REF!</definedName>
    <definedName name="Recaptravellingcrane">#REF!</definedName>
    <definedName name="Receivablenewmay09" localSheetId="3" hidden="1">{#N/A,#N/A,FALSE,"Bericht 2";#N/A,#N/A,FALSE,"Bericht 3";#N/A,#N/A,FALSE,"Bericht 1"}</definedName>
    <definedName name="Receivablenewmay09" hidden="1">{#N/A,#N/A,FALSE,"Bericht 2";#N/A,#N/A,FALSE,"Bericht 3";#N/A,#N/A,FALSE,"Bericht 1"}</definedName>
    <definedName name="receivables" localSheetId="3" hidden="1">{#N/A,#N/A,FALSE,"Bericht 2";#N/A,#N/A,FALSE,"Bericht 3";#N/A,#N/A,FALSE,"Bericht 1"}</definedName>
    <definedName name="receivables" hidden="1">{#N/A,#N/A,FALSE,"Bericht 2";#N/A,#N/A,FALSE,"Bericht 3";#N/A,#N/A,FALSE,"Bericht 1"}</definedName>
    <definedName name="Reclassifications">#REF!</definedName>
    <definedName name="Recmay09" localSheetId="3" hidden="1">{#N/A,#N/A,FALSE,"Bericht 2";#N/A,#N/A,FALSE,"Bericht 3";#N/A,#N/A,FALSE,"Bericht 1"}</definedName>
    <definedName name="Recmay09" hidden="1">{#N/A,#N/A,FALSE,"Bericht 2";#N/A,#N/A,FALSE,"Bericht 3";#N/A,#N/A,FALSE,"Bericht 1"}</definedName>
    <definedName name="RecomFacilities">#REF!</definedName>
    <definedName name="_xlnm.Recorder">#REF!</definedName>
    <definedName name="RECOUT">#N/A</definedName>
    <definedName name="Recover">#REF!</definedName>
    <definedName name="Recovery_Rev03">#REF!</definedName>
    <definedName name="rect_4_415">#REF!</definedName>
    <definedName name="rect4">"Rectangle 4"</definedName>
    <definedName name="rect5">"Rectangle 5"</definedName>
    <definedName name="Red.">#REF!</definedName>
    <definedName name="Reduce">#REF!</definedName>
    <definedName name="reert">#REF!</definedName>
    <definedName name="REF">#REF!</definedName>
    <definedName name="REFRACTAIRES" localSheetId="3">#REF!,#REF!,#REF!,#REF!</definedName>
    <definedName name="REFRACTAIRES">#REF!,#REF!,#REF!,#REF!</definedName>
    <definedName name="REG">#REF!</definedName>
    <definedName name="Region">#REF!</definedName>
    <definedName name="REI_Act">#REF!</definedName>
    <definedName name="rein">#REF!</definedName>
    <definedName name="ReinforcementSteel">#REF!</definedName>
    <definedName name="rel">#REF!</definedName>
    <definedName name="related">#REF!</definedName>
    <definedName name="RENE">#REF!</definedName>
    <definedName name="Rent__Non___Direct">#REF!</definedName>
    <definedName name="Rent__Non_direct">#REF!</definedName>
    <definedName name="rent_review_fee__new_passing">#REF!</definedName>
    <definedName name="rentadv">#REF!</definedName>
    <definedName name="Rep___Maint__Non_Direct">#REF!</definedName>
    <definedName name="RepData">#REF!</definedName>
    <definedName name="report">#REF!</definedName>
    <definedName name="Report_Ends">#REF!</definedName>
    <definedName name="report13">#REF!</definedName>
    <definedName name="reportno">#REF!</definedName>
    <definedName name="Req">#REF!</definedName>
    <definedName name="requi">#REF!</definedName>
    <definedName name="required">#REF!</definedName>
    <definedName name="rer" localSheetId="3" hidden="1">{#N/A,#N/A,TRUE,"Cover";#N/A,#N/A,TRUE,"Conts";#N/A,#N/A,TRUE,"VOS";#N/A,#N/A,TRUE,"Warrington";#N/A,#N/A,TRUE,"Widnes"}</definedName>
    <definedName name="rer" hidden="1">{#N/A,#N/A,TRUE,"Cover";#N/A,#N/A,TRUE,"Conts";#N/A,#N/A,TRUE,"VOS";#N/A,#N/A,TRUE,"Warrington";#N/A,#N/A,TRUE,"Widnes"}</definedName>
    <definedName name="rere" localSheetId="3" hidden="1">{"Datos",#N/A,TRUE,"Datos"}</definedName>
    <definedName name="rere" hidden="1">{"Datos",#N/A,TRUE,"Datos"}</definedName>
    <definedName name="rerererrerere" hidden="1">{#N/A,#N/A,FALSE,"Pro-forma claim";#N/A,#N/A,FALSE,"Summary sheet";#N/A,#N/A,FALSE,"SITE INSTRUCTIONS";#N/A,#N/A,FALSE,"DAY WORKS CIVILS";#N/A,#N/A,FALSE,"DAY WORKS STEEL"}</definedName>
    <definedName name="Res_Costs">#REF!</definedName>
    <definedName name="RES_DB">#REF!</definedName>
    <definedName name="RES_ID">#REF!</definedName>
    <definedName name="Res_Income1">#REF!</definedName>
    <definedName name="Res_Income2">#REF!</definedName>
    <definedName name="Res_Income3">#REF!</definedName>
    <definedName name="Res_IncomeG">#REF!</definedName>
    <definedName name="Res_Stories">#REF!</definedName>
    <definedName name="ResDisp">#REF!</definedName>
    <definedName name="Residential_Cover">#REF!</definedName>
    <definedName name="Residual_difference">#REF!</definedName>
    <definedName name="RESOLUTION" localSheetId="3">Summary!RESOLUTION</definedName>
    <definedName name="RESOLUTION">#N/A</definedName>
    <definedName name="results" localSheetId="3">#REF!</definedName>
    <definedName name="results">#REF!</definedName>
    <definedName name="Retail_Cost">#REF!</definedName>
    <definedName name="Retail_Rents">#REF!</definedName>
    <definedName name="Retail_Retail">#REF!</definedName>
    <definedName name="Retail_Stories">#REF!</definedName>
    <definedName name="RetaingWallLength">#REF!</definedName>
    <definedName name="Retention_percentage" localSheetId="3">#REF!</definedName>
    <definedName name="Retention_percentage">#REF!</definedName>
    <definedName name="Retention_percentage1">#REF!</definedName>
    <definedName name="Retention_period">#REF!</definedName>
    <definedName name="Retention_period1">#REF!</definedName>
    <definedName name="RetirementAge">#REF!</definedName>
    <definedName name="RETREYETHTYHW534G" hidden="1">#REF!</definedName>
    <definedName name="Return_on_Equity">#REF!</definedName>
    <definedName name="retyeg"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#REF!</definedName>
    <definedName name="Rev.">#REF!</definedName>
    <definedName name="RevenueDanat">#REF!</definedName>
    <definedName name="ReviewDate_Text">#REF!</definedName>
    <definedName name="REVISED">#REF!</definedName>
    <definedName name="Revision">#REF!</definedName>
    <definedName name="rew" localSheetId="3" hidden="1">{#N/A,#N/A,FALSE,"Chi tiÆt"}</definedName>
    <definedName name="rew" hidden="1">{#N/A,#N/A,FALSE,"Chi tiÆt"}</definedName>
    <definedName name="RF">#REF!</definedName>
    <definedName name="RFP">#REF!</definedName>
    <definedName name="RFP003A">#REF!</definedName>
    <definedName name="RFP003A_BQITC1">#REF!</definedName>
    <definedName name="RFP003A_BQITC2">#REF!</definedName>
    <definedName name="RFP003A_BQITC3">#REF!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q" hidden="1">#REF!</definedName>
    <definedName name="RFV" hidden="1">{#N/A,#N/A,FALSE,"CCTV"}</definedName>
    <definedName name="rfwe">#REF!</definedName>
    <definedName name="rg">#REF!</definedName>
    <definedName name="rgaeyht" localSheetId="3" hidden="1">{"Datos",#N/A,TRUE,"Datos"}</definedName>
    <definedName name="rgaeyht" hidden="1">{"Datos",#N/A,TRUE,"Datos"}</definedName>
    <definedName name="rgasdgasdsdg">#REF!</definedName>
    <definedName name="rgewvbfds">#REF!</definedName>
    <definedName name="rgfr">#REF!</definedName>
    <definedName name="rghhythy" localSheetId="3" hidden="1">{#N/A,#N/A,TRUE,"Cover";#N/A,#N/A,TRUE,"Conts";#N/A,#N/A,TRUE,"VOS";#N/A,#N/A,TRUE,"Warrington";#N/A,#N/A,TRUE,"Widnes"}</definedName>
    <definedName name="rghhythy" hidden="1">{#N/A,#N/A,TRUE,"Cover";#N/A,#N/A,TRUE,"Conts";#N/A,#N/A,TRUE,"VOS";#N/A,#N/A,TRUE,"Warrington";#N/A,#N/A,TRUE,"Widnes"}</definedName>
    <definedName name="RH" localSheetId="3" hidden="1">{#N/A,#N/A,FALSE,"양식(을)"}</definedName>
    <definedName name="RH" hidden="1">{#N/A,#N/A,FALSE,"양식(을)"}</definedName>
    <definedName name="rhsaf">#REF!</definedName>
    <definedName name="rhyuyi" localSheetId="3" hidden="1">{#N/A,#N/A,TRUE,"Cover";#N/A,#N/A,TRUE,"Conts";#N/A,#N/A,TRUE,"VOS";#N/A,#N/A,TRUE,"Warrington";#N/A,#N/A,TRUE,"Widnes"}</definedName>
    <definedName name="rhyuyi" hidden="1">{#N/A,#N/A,TRUE,"Cover";#N/A,#N/A,TRUE,"Conts";#N/A,#N/A,TRUE,"VOS";#N/A,#N/A,TRUE,"Warrington";#N/A,#N/A,TRUE,"Widnes"}</definedName>
    <definedName name="RIEPILOGO_END">#REF!</definedName>
    <definedName name="RIEPILOGO_START">#REF!</definedName>
    <definedName name="rig">#REF!</definedName>
    <definedName name="rim4_4">#REF!</definedName>
    <definedName name="rim4_4_1">#REF!</definedName>
    <definedName name="rim4_6">#REF!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electedCell" hidden="1">"$C$44"</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TRUE</definedName>
    <definedName name="RiskUseMultipleCPUs" hidden="1">TRUE</definedName>
    <definedName name="RIY">#REF!</definedName>
    <definedName name="Rl">#REF!</definedName>
    <definedName name="Rl___0">#REF!</definedName>
    <definedName name="Rl___13">#REF!</definedName>
    <definedName name="RLA" localSheetId="3" hidden="1">{#N/A,#N/A,FALSE,"양식(을)"}</definedName>
    <definedName name="RLA" hidden="1">{#N/A,#N/A,FALSE,"양식(을)"}</definedName>
    <definedName name="rm" hidden="1">#REF!</definedName>
    <definedName name="RMB">#REF!</definedName>
    <definedName name="RMC">#REF!</definedName>
    <definedName name="Road">#N/A</definedName>
    <definedName name="roads">#REF!</definedName>
    <definedName name="Roadworks">#REF!</definedName>
    <definedName name="robot">#REF!</definedName>
    <definedName name="ROI">#REF!</definedName>
    <definedName name="Roof">#REF!</definedName>
    <definedName name="ROOF_BEAM">#REF!</definedName>
    <definedName name="Roof_Water_proofing">#REF!</definedName>
    <definedName name="ropr" localSheetId="3" hidden="1">{#N/A,#N/A,FALSE,"Bericht 2";#N/A,#N/A,FALSE,"Bericht 3";#N/A,#N/A,FALSE,"Bericht 1"}</definedName>
    <definedName name="ropr" hidden="1">{#N/A,#N/A,FALSE,"Bericht 2";#N/A,#N/A,FALSE,"Bericht 3";#N/A,#N/A,FALSE,"Bericht 1"}</definedName>
    <definedName name="rosid">#REF!</definedName>
    <definedName name="Ross" localSheetId="3" hidden="1">{#N/A,#N/A,TRUE,"COVER";#N/A,#N/A,TRUE,"DETAILS";#N/A,#N/A,TRUE,"SUMMARY";#N/A,#N/A,TRUE,"EXP MON";#N/A,#N/A,TRUE,"APPENDIX A";#N/A,#N/A,TRUE,"APPENDIX B";#N/A,#N/A,TRUE,"APPENDIX C";#N/A,#N/A,TRUE,"APPENDIX D";#N/A,#N/A,TRUE,"APPENDIX E";#N/A,#N/A,TRUE,"APPENDIX F";#N/A,#N/A,TRUE,"APPENDIX G"}</definedName>
    <definedName name="Ross" hidden="1">{#N/A,#N/A,TRUE,"COVER";#N/A,#N/A,TRUE,"DETAILS";#N/A,#N/A,TRUE,"SUMMARY";#N/A,#N/A,TRUE,"EXP MON";#N/A,#N/A,TRUE,"APPENDIX A";#N/A,#N/A,TRUE,"APPENDIX B";#N/A,#N/A,TRUE,"APPENDIX C";#N/A,#N/A,TRUE,"APPENDIX D";#N/A,#N/A,TRUE,"APPENDIX E";#N/A,#N/A,TRUE,"APPENDIX F";#N/A,#N/A,TRUE,"APPENDIX G"}</definedName>
    <definedName name="ROUND">#REF!</definedName>
    <definedName name="RowIndex">#REF!</definedName>
    <definedName name="rp">#REF!</definedName>
    <definedName name="rpd">#REF!</definedName>
    <definedName name="rr" localSheetId="3"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_">#REF!</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gwvg" hidden="1">#REF!</definedName>
    <definedName name="rrr" localSheetId="3" hidden="1">{#N/A,#N/A,FALSE,"Bericht 2";#N/A,#N/A,FALSE,"Bericht 3";#N/A,#N/A,FALSE,"Bericht 1"}</definedName>
    <definedName name="rrr" hidden="1">{#N/A,#N/A,FALSE,"Bericht 2";#N/A,#N/A,FALSE,"Bericht 3";#N/A,#N/A,FALSE,"Bericht 1"}</definedName>
    <definedName name="rrrr" localSheetId="3" hidden="1">{#N/A,#N/A,TRUE,"Cover";#N/A,#N/A,TRUE,"Conts";#N/A,#N/A,TRUE,"VOS";#N/A,#N/A,TRUE,"Warrington";#N/A,#N/A,TRUE,"Widnes"}</definedName>
    <definedName name="rrrr" hidden="1">{#N/A,#N/A,TRUE,"Cover";#N/A,#N/A,TRUE,"Conts";#N/A,#N/A,TRUE,"VOS";#N/A,#N/A,TRUE,"Warrington";#N/A,#N/A,TRUE,"Widnes"}</definedName>
    <definedName name="rrrrrr">#REF!</definedName>
    <definedName name="rrrrrrr" localSheetId="3" hidden="1">{#N/A,#N/A,TRUE,"Cover";#N/A,#N/A,TRUE,"Conts";#N/A,#N/A,TRUE,"VOS";#N/A,#N/A,TRUE,"Warrington";#N/A,#N/A,TRUE,"Widnes"}</definedName>
    <definedName name="rrrrrrr" hidden="1">{#N/A,#N/A,TRUE,"Cover";#N/A,#N/A,TRUE,"Conts";#N/A,#N/A,TRUE,"VOS";#N/A,#N/A,TRUE,"Warrington";#N/A,#N/A,TRUE,"Widnes"}</definedName>
    <definedName name="rrrrrrrr" hidden="1">#REF!</definedName>
    <definedName name="rrrrrrrrr">#REF!</definedName>
    <definedName name="rrrrrrrrrr">#REF!</definedName>
    <definedName name="rrrrrrrrrrr">#REF!</definedName>
    <definedName name="rrrrrrrrrrrrrrrrrrrr">#REF!</definedName>
    <definedName name="rrtt">#REF!</definedName>
    <definedName name="rs">#REF!</definedName>
    <definedName name="Rs___0">#REF!</definedName>
    <definedName name="Rs___13">#REF!</definedName>
    <definedName name="rs_usd">#REF!</definedName>
    <definedName name="RSB_BASESLABLB1">#REF!</definedName>
    <definedName name="RSB_BASESLABLB12">#REF!</definedName>
    <definedName name="RSB_BASESLABLB2">#REF!</definedName>
    <definedName name="RSB_CONCOURSESLABST">#REF!</definedName>
    <definedName name="RSB_EXCAVATION">#REF!</definedName>
    <definedName name="RSB_ROOFSLABCONCRETEL1">#REF!</definedName>
    <definedName name="RSB_ROOFSLABCONCRETEL2">#REF!</definedName>
    <definedName name="RSB_ROOFSLABCONCRETEOVERALL">#REF!</definedName>
    <definedName name="RSB_ROOFSLABCONCRETEPL">#REF!</definedName>
    <definedName name="RSB_ROOFSLABCONCRETESUBSTB">#REF!</definedName>
    <definedName name="RSB_WALLCONCRETEEIL2">#REF!</definedName>
    <definedName name="RSB_WALLCONCRETELBL2">#REF!</definedName>
    <definedName name="RSB_WALLCONCRETEOVERALL">#REF!</definedName>
    <definedName name="RSB_WALLCONCRETEUBL1">#REF!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#REF!</definedName>
    <definedName name="Rse___0">#REF!</definedName>
    <definedName name="Rse___13">#REF!</definedName>
    <definedName name="RSRC">#REF!</definedName>
    <definedName name="rt" localSheetId="3" hidden="1">{#N/A,#N/A,TRUE,"Cover";#N/A,#N/A,TRUE,"Conts";#N/A,#N/A,TRUE,"VOS";#N/A,#N/A,TRUE,"Warrington";#N/A,#N/A,TRUE,"Widnes"}</definedName>
    <definedName name="rt" hidden="1">{#N/A,#N/A,TRUE,"Cover";#N/A,#N/A,TRUE,"Conts";#N/A,#N/A,TRUE,"VOS";#N/A,#N/A,TRUE,"Warrington";#N/A,#N/A,TRUE,"Widnes"}</definedName>
    <definedName name="rte" localSheetId="3" hidden="1">{"offequipsch",#N/A,FALSE,"GTC_Schedule";"onconstsch",#N/A,FALSE,"GTC_Schedule";"techsch",#N/A,FALSE,"GTC_Schedule";"totsch",#N/A,FALSE,"GTC_Schedule"}</definedName>
    <definedName name="rte" hidden="1">{"offequipsch",#N/A,FALSE,"GTC_Schedule";"onconstsch",#N/A,FALSE,"GTC_Schedule";"techsch",#N/A,FALSE,"GTC_Schedule";"totsch",#N/A,FALSE,"GTC_Schedule"}</definedName>
    <definedName name="rth" localSheetId="3" hidden="1">{"Datos",#N/A,TRUE,"Datos"}</definedName>
    <definedName name="rth" hidden="1">{"Datos",#N/A,TRUE,"Datos"}</definedName>
    <definedName name="rthsrhs" localSheetId="3" hidden="1">{#N/A,#N/A,TRUE,"Cover";#N/A,#N/A,TRUE,"Conts";#N/A,#N/A,TRUE,"VOS";#N/A,#N/A,TRUE,"Warrington";#N/A,#N/A,TRUE,"Widnes"}</definedName>
    <definedName name="rthsrhs" hidden="1">{#N/A,#N/A,TRUE,"Cover";#N/A,#N/A,TRUE,"Conts";#N/A,#N/A,TRUE,"VOS";#N/A,#N/A,TRUE,"Warrington";#N/A,#N/A,TRUE,"Widnes"}</definedName>
    <definedName name="rthujryjh">#REF!</definedName>
    <definedName name="Rtitle">#REF!</definedName>
    <definedName name="rtjh" localSheetId="3" hidden="1">{"Datos",#N/A,TRUE,"Datos"}</definedName>
    <definedName name="rtjh" hidden="1">{"Datos",#N/A,TRUE,"Datos"}</definedName>
    <definedName name="rtr" hidden="1">{"'Break down'!$A$4"}</definedName>
    <definedName name="RTRGJHJ" localSheetId="3" hidden="1">{#N/A,#N/A,TRUE,"Cover";#N/A,#N/A,TRUE,"Conts";#N/A,#N/A,TRUE,"VOS";#N/A,#N/A,TRUE,"Warrington";#N/A,#N/A,TRUE,"Widnes"}</definedName>
    <definedName name="RTRGJHJ" hidden="1">{#N/A,#N/A,TRUE,"Cover";#N/A,#N/A,TRUE,"Conts";#N/A,#N/A,TRUE,"VOS";#N/A,#N/A,TRUE,"Warrington";#N/A,#N/A,TRUE,"Widnes"}</definedName>
    <definedName name="rtrtrtrtrt">#REF!</definedName>
    <definedName name="rtryj" localSheetId="3" hidden="1">{#N/A,#N/A,TRUE,"Cover";#N/A,#N/A,TRUE,"Conts";#N/A,#N/A,TRUE,"VOS";#N/A,#N/A,TRUE,"Warrington";#N/A,#N/A,TRUE,"Widnes"}</definedName>
    <definedName name="rtryj" hidden="1">{#N/A,#N/A,TRUE,"Cover";#N/A,#N/A,TRUE,"Conts";#N/A,#N/A,TRUE,"VOS";#N/A,#N/A,TRUE,"Warrington";#N/A,#N/A,TRUE,"Widnes"}</definedName>
    <definedName name="rttt44544">#REF!</definedName>
    <definedName name="rturudu" localSheetId="3" hidden="1">{#N/A,#N/A,TRUE,"Cover";#N/A,#N/A,TRUE,"Conts";#N/A,#N/A,TRUE,"VOS";#N/A,#N/A,TRUE,"Warrington";#N/A,#N/A,TRUE,"Widnes"}</definedName>
    <definedName name="rturudu" hidden="1">{#N/A,#N/A,TRUE,"Cover";#N/A,#N/A,TRUE,"Conts";#N/A,#N/A,TRUE,"VOS";#N/A,#N/A,TRUE,"Warrington";#N/A,#N/A,TRUE,"Widnes"}</definedName>
    <definedName name="rty" localSheetId="3" hidden="1">{#N/A,#N/A,FALSE,"Matrix";#N/A,#N/A,FALSE,"Executive";#N/A,#N/A,FALSE,"Summary";#N/A,#N/A,FALSE,"Office1";#N/A,#N/A,FALSE,"Office2";#N/A,#N/A,FALSE,"Office3";#N/A,#N/A,FALSE,"Office4";#N/A,#N/A,FALSE,"Office5";#N/A,#N/A,FALSE,"Office6";#N/A,#N/A,FALSE,"Office7";#N/A,#N/A,FALSE,"Labor"}</definedName>
    <definedName name="rty" hidden="1">{#N/A,#N/A,FALSE,"Matrix";#N/A,#N/A,FALSE,"Executive";#N/A,#N/A,FALSE,"Summary";#N/A,#N/A,FALSE,"Office1";#N/A,#N/A,FALSE,"Office2";#N/A,#N/A,FALSE,"Office3";#N/A,#N/A,FALSE,"Office4";#N/A,#N/A,FALSE,"Office5";#N/A,#N/A,FALSE,"Office6";#N/A,#N/A,FALSE,"Office7";#N/A,#N/A,FALSE,"Labor"}</definedName>
    <definedName name="rtysh" localSheetId="3" hidden="1">{#N/A,#N/A,TRUE,"Cover";#N/A,#N/A,TRUE,"Conts";#N/A,#N/A,TRUE,"VOS";#N/A,#N/A,TRUE,"Warrington";#N/A,#N/A,TRUE,"Widnes"}</definedName>
    <definedName name="rtysh" hidden="1">{#N/A,#N/A,TRUE,"Cover";#N/A,#N/A,TRUE,"Conts";#N/A,#N/A,TRUE,"VOS";#N/A,#N/A,TRUE,"Warrington";#N/A,#N/A,TRUE,"Widnes"}</definedName>
    <definedName name="rtyty" localSheetId="3" hidden="1">{"MF-601",#N/A,TRUE,"MANT-EX-B(fJ)";"MF-602",#N/A,TRUE,"ELECTR-FJ(B)";"MF-603",#N/A,TRUE,"PERSONAL(FJ)B";"MF-604",#N/A,TRUE,"REACT-P(B)";"MF-605",#N/A,TRUE,"OTR-COS.FJ(B)";"MF-60X",#N/A,TRUE,"Resumen"}</definedName>
    <definedName name="rtyty" hidden="1">{"MF-601",#N/A,TRUE,"MANT-EX-B(fJ)";"MF-602",#N/A,TRUE,"ELECTR-FJ(B)";"MF-603",#N/A,TRUE,"PERSONAL(FJ)B";"MF-604",#N/A,TRUE,"REACT-P(B)";"MF-605",#N/A,TRUE,"OTR-COS.FJ(B)";"MF-60X",#N/A,TRUE,"Resumen"}</definedName>
    <definedName name="rtyujn" hidden="1">{#N/A,#N/A,TRUE,"Cover";#N/A,#N/A,TRUE,"Conts";#N/A,#N/A,TRUE,"VOS";#N/A,#N/A,TRUE,"Warrington";#N/A,#N/A,TRUE,"Widnes"}</definedName>
    <definedName name="rule" hidden="1">#REF!</definedName>
    <definedName name="RUT">#REF!</definedName>
    <definedName name="rvmn" localSheetId="3" hidden="1">{#N/A,#N/A,FALSE,"Bericht 2";#N/A,#N/A,FALSE,"Bericht 3";#N/A,#N/A,FALSE,"Bericht 1"}</definedName>
    <definedName name="rvmn" hidden="1">{#N/A,#N/A,FALSE,"Bericht 2";#N/A,#N/A,FALSE,"Bericht 3";#N/A,#N/A,FALSE,"Bericht 1"}</definedName>
    <definedName name="RW" localSheetId="3" hidden="1">{#N/A,#N/A,TRUE,"COVER";#N/A,#N/A,TRUE,"DETAILS";#N/A,#N/A,TRUE,"SUMMARY";#N/A,#N/A,TRUE,"EXP MON";#N/A,#N/A,TRUE,"APPENDIX A";#N/A,#N/A,TRUE,"APPENDIX B";#N/A,#N/A,TRUE,"APPENDIX C";#N/A,#N/A,TRUE,"APPENDIX D";#N/A,#N/A,TRUE,"APPENDIX E";#N/A,#N/A,TRUE,"APPENDIX F";#N/A,#N/A,TRUE,"APPENDIX G"}</definedName>
    <definedName name="RW" hidden="1">{#N/A,#N/A,TRUE,"COVER";#N/A,#N/A,TRUE,"DETAILS";#N/A,#N/A,TRUE,"SUMMARY";#N/A,#N/A,TRUE,"EXP MON";#N/A,#N/A,TRUE,"APPENDIX A";#N/A,#N/A,TRUE,"APPENDIX B";#N/A,#N/A,TRUE,"APPENDIX C";#N/A,#N/A,TRUE,"APPENDIX D";#N/A,#N/A,TRUE,"APPENDIX E";#N/A,#N/A,TRUE,"APPENDIX F";#N/A,#N/A,TRUE,"APPENDIX G"}</definedName>
    <definedName name="rwe" hidden="1">#REF!</definedName>
    <definedName name="rwr" localSheetId="3" hidden="1">{"Datos",#N/A,TRUE,"Datos"}</definedName>
    <definedName name="rwr" hidden="1">{"Datos",#N/A,TRUE,"Datos"}</definedName>
    <definedName name="rwt" localSheetId="3" hidden="1">{#N/A,#N/A,TRUE,"Cover";#N/A,#N/A,TRUE,"Conts";#N/A,#N/A,TRUE,"VOS";#N/A,#N/A,TRUE,"Warrington";#N/A,#N/A,TRUE,"Widnes"}</definedName>
    <definedName name="rwt" hidden="1">{#N/A,#N/A,TRUE,"Cover";#N/A,#N/A,TRUE,"Conts";#N/A,#N/A,TRUE,"VOS";#N/A,#N/A,TRUE,"Warrington";#N/A,#N/A,TRUE,"Widnes"}</definedName>
    <definedName name="ry" localSheetId="3" hidden="1">{"offequipsch",#N/A,FALSE,"GTC_Schedule";"onconstsch",#N/A,FALSE,"GTC_Schedule";"techsch",#N/A,FALSE,"GTC_Schedule";"totsch",#N/A,FALSE,"GTC_Schedule"}</definedName>
    <definedName name="ry" hidden="1">{"offequipsch",#N/A,FALSE,"GTC_Schedule";"onconstsch",#N/A,FALSE,"GTC_Schedule";"techsch",#N/A,FALSE,"GTC_Schedule";"totsch",#N/A,FALSE,"GTC_Schedule"}</definedName>
    <definedName name="RYC_BASESLAB">#REF!</definedName>
    <definedName name="RYC_BASESLABBL">#REF!</definedName>
    <definedName name="RYC_BASESLABGLBL">#REF!</definedName>
    <definedName name="RYC_CONCOURSESLABBL">#REF!</definedName>
    <definedName name="RYC_CONCOURSESLABGL">#REF!</definedName>
    <definedName name="RYC_CONCOURSESLABGLBL">#REF!</definedName>
    <definedName name="RYC_CONCRETECOLUMNBL">#REF!</definedName>
    <definedName name="RYC_CONCRETECOLUMNGL">#REF!</definedName>
    <definedName name="RYC_CONCRETECOLUMNGLBL">#REF!</definedName>
    <definedName name="RYC_CONCRETECOLUMNST">#REF!</definedName>
    <definedName name="RYC_EXCAVATIONBL">#REF!</definedName>
    <definedName name="RYC_EXCAVATIONGL">#REF!</definedName>
    <definedName name="RYC_ROOFSLABCONCRETEBL">#REF!</definedName>
    <definedName name="RYC_ROOFSLABCONCRETEEEVS">#REF!</definedName>
    <definedName name="RYC_ROOFSLABCONCRETEGL">#REF!</definedName>
    <definedName name="RYC_ROOFSLABCONCRETEOVERALL">#REF!</definedName>
    <definedName name="RYC_ROOFSLABCONCRETEUND">#REF!</definedName>
    <definedName name="RYC_WALLCONCRETEBL">#REF!</definedName>
    <definedName name="RYC_WALLCONCRETEGL">#REF!</definedName>
    <definedName name="RYC_WALLCONCRETEOVERALL">#REF!</definedName>
    <definedName name="RYC_WALLCONCRETEUNDERPASS">#REF!</definedName>
    <definedName name="RYC_WALLCONCRETEVENTSHAFT">#REF!</definedName>
    <definedName name="RYCROOF">#REF!</definedName>
    <definedName name="ryeru" localSheetId="3" hidden="1">{#N/A,#N/A,TRUE,"Cover";#N/A,#N/A,TRUE,"Conts";#N/A,#N/A,TRUE,"VOS";#N/A,#N/A,TRUE,"Warrington";#N/A,#N/A,TRUE,"Widnes"}</definedName>
    <definedName name="ryeru" hidden="1">{#N/A,#N/A,TRUE,"Cover";#N/A,#N/A,TRUE,"Conts";#N/A,#N/A,TRUE,"VOS";#N/A,#N/A,TRUE,"Warrington";#N/A,#N/A,TRUE,"Widnes"}</definedName>
    <definedName name="ryjmh">#REF!</definedName>
    <definedName name="RYM_BASESLABCO">#REF!</definedName>
    <definedName name="RYM_BASESLABLSB">#REF!</definedName>
    <definedName name="RYM_BASESLABSBOV">#REF!</definedName>
    <definedName name="RYM_CONCOURSESLABST">#REF!</definedName>
    <definedName name="RYM_CONCRETECOLUMNCO">#REF!</definedName>
    <definedName name="RYM_CONCRETECOLUMNST">#REF!</definedName>
    <definedName name="RYM_CONCRETECOLUMNSTCO">#REF!</definedName>
    <definedName name="RYM_EXCAVATIONST">#REF!</definedName>
    <definedName name="RYM_EXCAVATIONSTUP">#REF!</definedName>
    <definedName name="RYM_EXCAVATIONUP">#REF!</definedName>
    <definedName name="RYM_ROOFSLABCONCRETECRS">#REF!</definedName>
    <definedName name="RYM_ROOFSLABCONCRETEENT">#REF!</definedName>
    <definedName name="RYM_ROOFSLABCONCRETEST">#REF!</definedName>
    <definedName name="RYM_ROOFSLABCONCRETESTCRSENT">#REF!</definedName>
    <definedName name="RYM_WALLCONCRETECROSSOVER">#REF!</definedName>
    <definedName name="RYM_WALLCONCRETEOVERALL">#REF!</definedName>
    <definedName name="RYM_WALLCONCRETEST">#REF!</definedName>
    <definedName name="RYM_WALLCONCRETEUNDERPASS">#REF!</definedName>
    <definedName name="rymgfg">#REF!</definedName>
    <definedName name="RYQ_BASESLABSB">#REF!</definedName>
    <definedName name="RYQ_BASESLABSBSWH">#REF!</definedName>
    <definedName name="RYQ_BASESLABSWH">#REF!</definedName>
    <definedName name="RYQ_CONCOURSESLABST">#REF!</definedName>
    <definedName name="RYQ_CONCRETECOLUMNST">#REF!</definedName>
    <definedName name="RYQ_CONCRETECOLUMNSTSWH">#REF!</definedName>
    <definedName name="RYQ_CONCRETECOLUMNSWH">#REF!</definedName>
    <definedName name="RYQ_EXCAVATIONST">#REF!</definedName>
    <definedName name="RYQ_EXCAVATIONSTSWBUP12">#REF!</definedName>
    <definedName name="RYQ_EXCAVATIONSWB">#REF!</definedName>
    <definedName name="RYQ_EXCAVATIONUP12">#REF!</definedName>
    <definedName name="RYQ_ROOFSLABCONCRETEENT">#REF!</definedName>
    <definedName name="RYQ_ROOFSLABCONCRETEOVERALL">#REF!</definedName>
    <definedName name="RYQ_ROOFSLABCONCRETEST">#REF!</definedName>
    <definedName name="RYQ_ROOFSLABCONCRETESWH">#REF!</definedName>
    <definedName name="RYQ_WALLCONCRETEOVERALL">#REF!</definedName>
    <definedName name="RYQ_WALLCONCRETEST">#REF!</definedName>
    <definedName name="RYQ_WALLCONCRETESWH">#REF!</definedName>
    <definedName name="RYQ_WALLCONCRETEUNDERPASS">#REF!</definedName>
    <definedName name="RYR_BASESLAB">#REF!</definedName>
    <definedName name="RYR_BASESLABOR">#REF!</definedName>
    <definedName name="RYR_CONCOURSESLABST">#REF!</definedName>
    <definedName name="RYR_EXCAVATIONNSE">#REF!</definedName>
    <definedName name="RYR_EXCAVATIONST">#REF!</definedName>
    <definedName name="RYR_EXCAVATIONSTNSE">#REF!</definedName>
    <definedName name="RYR_ROOFSLABCONCRETEEEVS">#REF!</definedName>
    <definedName name="RYR_ROOFSLABCONCRETENSUND">#REF!</definedName>
    <definedName name="RYR_ROOFSLABCONCRETEOVERALL">#REF!</definedName>
    <definedName name="RYR_ROOFSLABCONCRETEST">#REF!</definedName>
    <definedName name="RYR_WALLCONCRETEENTRANCES">#REF!</definedName>
    <definedName name="RYR_WALLCONCRETEOVERALL">#REF!</definedName>
    <definedName name="RYR_WALLCONCRETEST">#REF!</definedName>
    <definedName name="RYR_WALLCONCRETEVENTSHAFT">#REF!</definedName>
    <definedName name="RYRSTRUC">#REF!</definedName>
    <definedName name="RYRWALLCONCRETE_180R01">#REF!</definedName>
    <definedName name="rysrtryftry" localSheetId="3" hidden="1">{#N/A,#N/A,TRUE,"Cover";#N/A,#N/A,TRUE,"Conts";#N/A,#N/A,TRUE,"VOS";#N/A,#N/A,TRUE,"Warrington";#N/A,#N/A,TRUE,"Widnes"}</definedName>
    <definedName name="rysrtryftry" hidden="1">{#N/A,#N/A,TRUE,"Cover";#N/A,#N/A,TRUE,"Conts";#N/A,#N/A,TRUE,"VOS";#N/A,#N/A,TRUE,"Warrington";#N/A,#N/A,TRUE,"Widnes"}</definedName>
    <definedName name="S">#REF!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_Adjust_Data">#REF!</definedName>
    <definedName name="S_AJE_Tot_Data">#REF!</definedName>
    <definedName name="S_CY_Beg_Data">#REF!</definedName>
    <definedName name="S_CY_End_Data">#REF!</definedName>
    <definedName name="S_PY_End_Data">#REF!</definedName>
    <definedName name="S_RJE_Tot_Data">#REF!</definedName>
    <definedName name="S0">#REF!</definedName>
    <definedName name="s11Area">#REF!</definedName>
    <definedName name="s11Perimeter">#REF!</definedName>
    <definedName name="s1234560">#REF!</definedName>
    <definedName name="SA">#REF!</definedName>
    <definedName name="saa">#REF!</definedName>
    <definedName name="sabi">#REF!</definedName>
    <definedName name="SAD">#REF!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 hidden="1">#REF!</definedName>
    <definedName name="saeq" hidden="1">#REF!</definedName>
    <definedName name="SAGA" localSheetId="3" hidden="1">{"'Break down'!$A$4"}</definedName>
    <definedName name="SAGA" hidden="1">{"'Break down'!$A$4"}</definedName>
    <definedName name="SAHID">#REF!</definedName>
    <definedName name="said">#REF!</definedName>
    <definedName name="SajjadHasan">#REF!</definedName>
    <definedName name="sak" hidden="1">#REF!</definedName>
    <definedName name="SALAR">#REF!</definedName>
    <definedName name="SALARY">#REF!</definedName>
    <definedName name="Sales">#REF!</definedName>
    <definedName name="Sales_Cat">#REF!</definedName>
    <definedName name="sales_income">#REF!</definedName>
    <definedName name="Sales_Per_Manday">#REF!</definedName>
    <definedName name="Sales_Promotion">#REF!</definedName>
    <definedName name="Sales_Third_party">#REF!</definedName>
    <definedName name="SalesMgr">#REF!</definedName>
    <definedName name="SalesMgr_4">#REF!</definedName>
    <definedName name="SalesMgr_4_1">#REF!</definedName>
    <definedName name="SalesMgr_6">#REF!</definedName>
    <definedName name="SAM" localSheetId="3" hidden="1">{#N/A,#N/A,TRUE,"Basic";#N/A,#N/A,TRUE,"EXT-TABLE";#N/A,#N/A,TRUE,"STEEL";#N/A,#N/A,TRUE,"INT-Table";#N/A,#N/A,TRUE,"STEEL";#N/A,#N/A,TRUE,"Door"}</definedName>
    <definedName name="SAM" hidden="1">{#N/A,#N/A,TRUE,"Basic";#N/A,#N/A,TRUE,"EXT-TABLE";#N/A,#N/A,TRUE,"STEEL";#N/A,#N/A,TRUE,"INT-Table";#N/A,#N/A,TRUE,"STEEL";#N/A,#N/A,TRUE,"Door"}</definedName>
    <definedName name="SAMEER">#REF!</definedName>
    <definedName name="Sameet">#REF!</definedName>
    <definedName name="sami" localSheetId="3" hidden="1">{#N/A,#N/A,FALSE,"Bal.Sht"}</definedName>
    <definedName name="sami" hidden="1">{#N/A,#N/A,FALSE,"Bal.Sht"}</definedName>
    <definedName name="sample" localSheetId="3" hidden="1">{#N/A,#N/A,TRUE,"Cover Memo";"Facility Estimate",#N/A,TRUE,"Change Summary";"Facility Estimate",#N/A,TRUE,"Estimate Summary";"Facility Estimate",#N/A,TRUE,"Dept. Summary";"Facility Estimate",#N/A,TRUE,"DOW Detail"}</definedName>
    <definedName name="sample" hidden="1">{#N/A,#N/A,TRUE,"Cover Memo";"Facility Estimate",#N/A,TRUE,"Change Summary";"Facility Estimate",#N/A,TRUE,"Estimate Summary";"Facility Estimate",#N/A,TRUE,"Dept. Summary";"Facility Estimate",#N/A,TRUE,"DOW Detail"}</definedName>
    <definedName name="samsher">#REF!</definedName>
    <definedName name="sand">#REF!</definedName>
    <definedName name="Sanitary_works">#REF!</definedName>
    <definedName name="SanitaryBasic">#REF!</definedName>
    <definedName name="SANJANA">#REF!</definedName>
    <definedName name="SanjanaRahi">#REF!</definedName>
    <definedName name="sanjay">#REF!</definedName>
    <definedName name="Sanjay123">#REF!</definedName>
    <definedName name="sant._fire_mb2">#REF!</definedName>
    <definedName name="Santosh">#REF!</definedName>
    <definedName name="SAPBEXrevision" hidden="1">3</definedName>
    <definedName name="SAPBEXsysID" hidden="1">"B01"</definedName>
    <definedName name="SAPBEXwbID" hidden="1">"1OKLBDAAGJ3NPBUSNNGRFDKQH"</definedName>
    <definedName name="SAQEENA">#REF!</definedName>
    <definedName name="SAR">#REF!</definedName>
    <definedName name="sarea1">#REF!</definedName>
    <definedName name="Sarwat">#REF!</definedName>
    <definedName name="SAS">#REF!</definedName>
    <definedName name="sasa" localSheetId="3" hidden="1">{#N/A,#N/A,FALSE,"CCTV"}</definedName>
    <definedName name="SASA">#REF!</definedName>
    <definedName name="SASASA" localSheetId="3" hidden="1">{"'Break down'!$A$4"}</definedName>
    <definedName name="SASASA" hidden="1">{"'Break down'!$A$4"}</definedName>
    <definedName name="SASDASD">#REF!</definedName>
    <definedName name="sat" localSheetId="3"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aucomd">#REF!</definedName>
    <definedName name="saucstf">#REF!</definedName>
    <definedName name="saud">#REF!</definedName>
    <definedName name="saud_4">#REF!</definedName>
    <definedName name="saud_4_1">#REF!</definedName>
    <definedName name="saud_6">#REF!</definedName>
    <definedName name="saudirf">#REF!</definedName>
    <definedName name="sauf">#REF!</definedName>
    <definedName name="sauf_4">#REF!</definedName>
    <definedName name="sauf_4_1">#REF!</definedName>
    <definedName name="sauf_6">#REF!</definedName>
    <definedName name="sauif">#REF!</definedName>
    <definedName name="sauif_4">#REF!</definedName>
    <definedName name="sauif_4_1">#REF!</definedName>
    <definedName name="sauif_6">#REF!</definedName>
    <definedName name="sauspad">#REF!</definedName>
    <definedName name="sausysd">#REF!</definedName>
    <definedName name="sb">#REF!</definedName>
    <definedName name="sc" localSheetId="3" hidden="1">{"'Break down'!$A$4"}</definedName>
    <definedName name="sc" hidden="1">{"'Break down'!$A$4"}</definedName>
    <definedName name="SC_percentage">#REF!</definedName>
    <definedName name="SC_SALE_FACT">#REF!</definedName>
    <definedName name="SC_Sales">#REF!</definedName>
    <definedName name="SC_SST_OA">#REF!</definedName>
    <definedName name="scaffold">#REF!</definedName>
    <definedName name="Scaffolding" localSheetId="3" hidden="1">{"'Break down'!$A$4"}</definedName>
    <definedName name="Scaffolding" hidden="1">{"'Break down'!$A$4"}</definedName>
    <definedName name="scaffolding1" localSheetId="3" hidden="1">{"'Break down'!$A$4"}</definedName>
    <definedName name="scaffolding1" hidden="1">{"'Break down'!$A$4"}</definedName>
    <definedName name="ScaleLabels">#REF!</definedName>
    <definedName name="Scales">#REF!</definedName>
    <definedName name="ScaleType">#REF!</definedName>
    <definedName name="ScaleTypes">#REF!</definedName>
    <definedName name="scarce" localSheetId="3"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D">#REF!</definedName>
    <definedName name="SCE">#REF!</definedName>
    <definedName name="SCED">#REF!</definedName>
    <definedName name="Scenario">#REF!</definedName>
    <definedName name="SCH_MAS_DB">#REF!</definedName>
    <definedName name="sch401.25">#REF!</definedName>
    <definedName name="sch401.5">#REF!</definedName>
    <definedName name="sch402.5">#REF!</definedName>
    <definedName name="SCHE_MAS_ID">#REF!</definedName>
    <definedName name="schedule">#REF!</definedName>
    <definedName name="schedule.nos" hidden="1">#REF!</definedName>
    <definedName name="SCHEDULE_ALL">#REF!</definedName>
    <definedName name="schedulenr">#REF!</definedName>
    <definedName name="SchInvInc">#REF!</definedName>
    <definedName name="SCHOOL_11">#REF!</definedName>
    <definedName name="SCHOOL_12">#REF!</definedName>
    <definedName name="SCHOOL_13">#REF!</definedName>
    <definedName name="schools">#REF!</definedName>
    <definedName name="SchOtherInc">#REF!</definedName>
    <definedName name="SchTransactions_with_group_companies">#REF!</definedName>
    <definedName name="SCREED" localSheetId="3"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S">#REF!</definedName>
    <definedName name="SCSS">#REF!</definedName>
    <definedName name="SCUR_IND">#REF!</definedName>
    <definedName name="SCUR_OA">#REF!</definedName>
    <definedName name="SCUR_OUTD">#REF!</definedName>
    <definedName name="Scurry">#REF!</definedName>
    <definedName name="scx" localSheetId="3" hidden="1">{"'Break down'!$A$4"}</definedName>
    <definedName name="scx" hidden="1">{"'Break down'!$A$4"}</definedName>
    <definedName name="scz" localSheetId="3" hidden="1">{"'Break down'!$A$4"}</definedName>
    <definedName name="scz" hidden="1">{"'Break down'!$A$4"}</definedName>
    <definedName name="sd" localSheetId="3"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fdsa" localSheetId="3"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sd">#REF!</definedName>
    <definedName name="sdassdad">#REF!</definedName>
    <definedName name="Sdate">#REF!</definedName>
    <definedName name="SDCFTRGVTYHVTT" hidden="1">{#N/A,#N/A,FALSE,"Work progress mensile";#N/A,#N/A,FALSE,"Work progress mensile IE1"}</definedName>
    <definedName name="sdd" localSheetId="3" hidden="1">{"'Break down'!$A$4"}</definedName>
    <definedName name="sdd" hidden="1">{"'Break down'!$A$4"}</definedName>
    <definedName name="sddddddddddddddd" hidden="1">#REF!</definedName>
    <definedName name="sddff455">#REF!</definedName>
    <definedName name="sddsd" hidden="1">{"'Break down'!$A$4"}</definedName>
    <definedName name="sdefegdeg" localSheetId="3" hidden="1">{#N/A,#N/A,TRUE,"Cover";#N/A,#N/A,TRUE,"Conts";#N/A,#N/A,TRUE,"VOS";#N/A,#N/A,TRUE,"Warrington";#N/A,#N/A,TRUE,"Widnes"}</definedName>
    <definedName name="sdefegdeg" hidden="1">{#N/A,#N/A,TRUE,"Cover";#N/A,#N/A,TRUE,"Conts";#N/A,#N/A,TRUE,"VOS";#N/A,#N/A,TRUE,"Warrington";#N/A,#N/A,TRUE,"Widnes"}</definedName>
    <definedName name="sdf" localSheetId="3" hidden="1">{#N/A,#N/A,TRUE,"Cover";#N/A,#N/A,TRUE,"Conts";#N/A,#N/A,TRUE,"VOS";#N/A,#N/A,TRUE,"Warrington";#N/A,#N/A,TRUE,"Widnes"}</definedName>
    <definedName name="sdf" hidden="1">{#N/A,#N/A,TRUE,"Cover";#N/A,#N/A,TRUE,"Conts";#N/A,#N/A,TRUE,"VOS";#N/A,#N/A,TRUE,"Warrington";#N/A,#N/A,TRUE,"Widnes"}</definedName>
    <definedName name="sdfdfg">#REF!</definedName>
    <definedName name="sdfds" localSheetId="3"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F" hidden="1">{#N/A,#N/A,TRUE,"Cover";#N/A,#N/A,TRUE,"Conts";#N/A,#N/A,TRUE,"VOS";#N/A,#N/A,TRUE,"Warrington";#N/A,#N/A,TRUE,"Widnes"}</definedName>
    <definedName name="sdffggg">#REF!</definedName>
    <definedName name="sdfgf" localSheetId="3" hidden="1">{"Datos",#N/A,TRUE,"Datos"}</definedName>
    <definedName name="sdfgf" hidden="1">{"Datos",#N/A,TRUE,"Datos"}</definedName>
    <definedName name="SDFGGFB" localSheetId="3" hidden="1">{#N/A,#N/A,TRUE,"Cover";#N/A,#N/A,TRUE,"Conts";#N/A,#N/A,TRUE,"VOS";#N/A,#N/A,TRUE,"Warrington";#N/A,#N/A,TRUE,"Widnes"}</definedName>
    <definedName name="SDFGGFB" hidden="1">{#N/A,#N/A,TRUE,"Cover";#N/A,#N/A,TRUE,"Conts";#N/A,#N/A,TRUE,"VOS";#N/A,#N/A,TRUE,"Warrington";#N/A,#N/A,TRUE,"Widnes"}</definedName>
    <definedName name="Sdfgh">#REF!</definedName>
    <definedName name="sdfghsdfhsdk" hidden="1">#REF!</definedName>
    <definedName name="sdfgs" localSheetId="3" hidden="1">{"Datos",#N/A,TRUE,"Datos"}</definedName>
    <definedName name="sdfgs" hidden="1">{"Datos",#N/A,TRUE,"Datos"}</definedName>
    <definedName name="sdfgsdsdsdf">#REF!</definedName>
    <definedName name="SDFGTH" hidden="1">{#N/A,#N/A,TRUE,"Cover";#N/A,#N/A,TRUE,"Conts";#N/A,#N/A,TRUE,"VOS";#N/A,#N/A,TRUE,"Warrington";#N/A,#N/A,TRUE,"Widnes"}</definedName>
    <definedName name="sdfh" localSheetId="3" hidden="1">{"MF-601",#N/A,TRUE,"MANT-EX-B(fJ)";"MF-602",#N/A,TRUE,"ELECTR-FJ(B)";"MF-603",#N/A,TRUE,"PERSONAL(FJ)B";"MF-604",#N/A,TRUE,"REACT-P(B)";"MF-605",#N/A,TRUE,"OTR-COS.FJ(B)";"MF-60X",#N/A,TRUE,"Resumen"}</definedName>
    <definedName name="sdfh" hidden="1">{"MF-601",#N/A,TRUE,"MANT-EX-B(fJ)";"MF-602",#N/A,TRUE,"ELECTR-FJ(B)";"MF-603",#N/A,TRUE,"PERSONAL(FJ)B";"MF-604",#N/A,TRUE,"REACT-P(B)";"MF-605",#N/A,TRUE,"OTR-COS.FJ(B)";"MF-60X",#N/A,TRUE,"Resumen"}</definedName>
    <definedName name="sdfjg" hidden="1">#REF!</definedName>
    <definedName name="sdfret455">#REF!</definedName>
    <definedName name="SDFRTG" hidden="1">{#N/A,#N/A,TRUE,"Cover";#N/A,#N/A,TRUE,"Conts";#N/A,#N/A,TRUE,"VOS";#N/A,#N/A,TRUE,"Warrington";#N/A,#N/A,TRUE,"Widnes"}</definedName>
    <definedName name="sdfsd" localSheetId="3"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fsdfsdf">#REF!</definedName>
    <definedName name="sdg" localSheetId="3" hidden="1">{"MF-601",#N/A,TRUE,"MANT-EX-B(fJ)";"MF-602",#N/A,TRUE,"ELECTR-FJ(B)";"MF-603",#N/A,TRUE,"PERSONAL(FJ)B";"MF-604",#N/A,TRUE,"REACT-P(B)";"MF-6XX",#N/A,TRUE,"Resumen";"MF-605",#N/A,TRUE,"OTR-COS.FJ(B)"}</definedName>
    <definedName name="sdg" hidden="1">{"MF-601",#N/A,TRUE,"MANT-EX-B(fJ)";"MF-602",#N/A,TRUE,"ELECTR-FJ(B)";"MF-603",#N/A,TRUE,"PERSONAL(FJ)B";"MF-604",#N/A,TRUE,"REACT-P(B)";"MF-6XX",#N/A,TRUE,"Resumen";"MF-605",#N/A,TRUE,"OTR-COS.FJ(B)"}</definedName>
    <definedName name="sdgda" localSheetId="3" hidden="1">{"Datos",#N/A,TRUE,"Datos"}</definedName>
    <definedName name="sdgda" hidden="1">{"Datos",#N/A,TRUE,"Datos"}</definedName>
    <definedName name="sdgfdg" localSheetId="3" hidden="1">{"'Sheet1'!$L$16"}</definedName>
    <definedName name="sdgfdg" hidden="1">{"'Sheet1'!$L$16"}</definedName>
    <definedName name="sdgh" localSheetId="3" hidden="1">{"Datos",#N/A,TRUE,"Datos"}</definedName>
    <definedName name="sdgh" hidden="1">{"Datos",#N/A,TRUE,"Datos"}</definedName>
    <definedName name="sdghdgh">#REF!</definedName>
    <definedName name="sdgsdht">#REF!</definedName>
    <definedName name="sdgsdsdf">#REF!</definedName>
    <definedName name="sdhty" localSheetId="3" hidden="1">{"Datos",#N/A,TRUE,"Datos"}</definedName>
    <definedName name="sdhty" hidden="1">{"Datos",#N/A,TRUE,"Datos"}</definedName>
    <definedName name="sdhydfyftuu" localSheetId="3" hidden="1">{#N/A,#N/A,TRUE,"Cover";#N/A,#N/A,TRUE,"Conts";#N/A,#N/A,TRUE,"VOS";#N/A,#N/A,TRUE,"Warrington";#N/A,#N/A,TRUE,"Widnes"}</definedName>
    <definedName name="sdhydfyftuu" hidden="1">{#N/A,#N/A,TRUE,"Cover";#N/A,#N/A,TRUE,"Conts";#N/A,#N/A,TRUE,"VOS";#N/A,#N/A,TRUE,"Warrington";#N/A,#N/A,TRUE,"Widnes"}</definedName>
    <definedName name="sdor">#REF!</definedName>
    <definedName name="sdpl">#REF!</definedName>
    <definedName name="SDPLBS">#REF!</definedName>
    <definedName name="SDPLFA">#REF!</definedName>
    <definedName name="SDPLPL">#REF!</definedName>
    <definedName name="SDSD">#REF!</definedName>
    <definedName name="sdtju" localSheetId="3" hidden="1">{"offequipsch",#N/A,FALSE,"GTC_Schedule";"onconstsch",#N/A,FALSE,"GTC_Schedule";"techsch",#N/A,FALSE,"GTC_Schedule";"totsch",#N/A,FALSE,"GTC_Schedule"}</definedName>
    <definedName name="sdtju" hidden="1">{"offequipsch",#N/A,FALSE,"GTC_Schedule";"onconstsch",#N/A,FALSE,"GTC_Schedule";"techsch",#N/A,FALSE,"GTC_Schedule";"totsch",#N/A,FALSE,"GTC_Schedule"}</definedName>
    <definedName name="SDW">#REF!</definedName>
    <definedName name="se">#REF!</definedName>
    <definedName name="SEC._DEPOSIT">#REF!</definedName>
    <definedName name="sec.85" hidden="1">#REF!</definedName>
    <definedName name="sec_deposit">#REF!</definedName>
    <definedName name="SECT">#REF!</definedName>
    <definedName name="SECTION">#REF!</definedName>
    <definedName name="SECTION_1">#REF!</definedName>
    <definedName name="Section_1_Title">#REF!</definedName>
    <definedName name="SECTION_2">#REF!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TP">#REF!</definedName>
    <definedName name="SECTY">#REF!</definedName>
    <definedName name="secured">#REF!</definedName>
    <definedName name="sef" localSheetId="3"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fw" hidden="1">#REF!</definedName>
    <definedName name="segment">#REF!</definedName>
    <definedName name="Segment1">#REF!</definedName>
    <definedName name="Segment2">#REF!</definedName>
    <definedName name="Segment3">#REF!</definedName>
    <definedName name="Segment4">#REF!</definedName>
    <definedName name="Segment5">#REF!</definedName>
    <definedName name="sek">#REF!</definedName>
    <definedName name="SelectedLanguage">#REF!</definedName>
    <definedName name="SelectedLanguage_4">#REF!</definedName>
    <definedName name="SelectedLanguage_4_1">#REF!</definedName>
    <definedName name="SelectedLanguage_6">#REF!</definedName>
    <definedName name="Seller_Costs">#REF!</definedName>
    <definedName name="SellExp">#REF!</definedName>
    <definedName name="Selling_Expenses">#REF!</definedName>
    <definedName name="sencount" hidden="1">1</definedName>
    <definedName name="seo" hidden="1">{#N/A,#N/A,TRUE,"Cover";#N/A,#N/A,TRUE,"Conts";#N/A,#N/A,TRUE,"VOS";#N/A,#N/A,TRUE,"Warrington";#N/A,#N/A,TRUE,"Widnes"}</definedName>
    <definedName name="SEPCONC">#REF!</definedName>
    <definedName name="Serv">#REF!</definedName>
    <definedName name="servf">#REF!</definedName>
    <definedName name="Service">#REF!</definedName>
    <definedName name="Services2" localSheetId="3"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_FRONT_BUS">#REF!</definedName>
    <definedName name="SET_FRONT_HOTEL">#REF!</definedName>
    <definedName name="SET_FRONT_RESID">#REF!</definedName>
    <definedName name="SET_FRONT_RETAIL">#REF!</definedName>
    <definedName name="SET_REAR_BUS">#REF!</definedName>
    <definedName name="SET_REAR_HOTEL">#REF!</definedName>
    <definedName name="SET_REAR_RESID">#REF!</definedName>
    <definedName name="SET_REAR_RETAIL">#REF!</definedName>
    <definedName name="SET_SIDE_BUS">#REF!</definedName>
    <definedName name="SET_SIDE_HOTEL">#REF!</definedName>
    <definedName name="SET_SIDE_RESID">#REF!</definedName>
    <definedName name="SET_SIDE_RETAIL">#REF!</definedName>
    <definedName name="setdydy" localSheetId="3" hidden="1">{#N/A,#N/A,TRUE,"Cover";#N/A,#N/A,TRUE,"Conts";#N/A,#N/A,TRUE,"VOS";#N/A,#N/A,TRUE,"Warrington";#N/A,#N/A,TRUE,"Widnes"}</definedName>
    <definedName name="setdydy" hidden="1">{#N/A,#N/A,TRUE,"Cover";#N/A,#N/A,TRUE,"Conts";#N/A,#N/A,TRUE,"VOS";#N/A,#N/A,TRUE,"Warrington";#N/A,#N/A,TRUE,"Widnes"}</definedName>
    <definedName name="Setflag">#REF!</definedName>
    <definedName name="settingout">#REF!</definedName>
    <definedName name="SetUpCosts">#REF!</definedName>
    <definedName name="sevycf">#REF!</definedName>
    <definedName name="Sewage">#REF!</definedName>
    <definedName name="sf" localSheetId="3" hidden="1">{"Datos",#N/A,TRUE,"Datos"}</definedName>
    <definedName name="sf" hidden="1">{"Datos",#N/A,TRUE,"Datos"}</definedName>
    <definedName name="sfa" localSheetId="3" hidden="1">{"Datos",#N/A,TRUE,"Datos"}</definedName>
    <definedName name="sfa" hidden="1">{"Datos",#N/A,TRUE,"Datos"}</definedName>
    <definedName name="sfbjdf" hidden="1">#REF!</definedName>
    <definedName name="sfdas" localSheetId="3" hidden="1">{"'Break down'!$A$4"}</definedName>
    <definedName name="sfdas" hidden="1">{"'Break down'!$A$4"}</definedName>
    <definedName name="sffff" localSheetId="3"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FSDF">#REF!</definedName>
    <definedName name="sfg" localSheetId="3" hidden="1">{"Datos",#N/A,TRUE,"Datos"}</definedName>
    <definedName name="sfg" hidden="1">{"Datos",#N/A,TRUE,"Datos"}</definedName>
    <definedName name="sfgsdfg" localSheetId="3" hidden="1">{"Datos",#N/A,TRUE,"Datos"}</definedName>
    <definedName name="sfgsdfg" hidden="1">{"Datos",#N/A,TRUE,"Datos"}</definedName>
    <definedName name="sfhdfj" localSheetId="3" hidden="1">{#N/A,#N/A,TRUE,"Cover";#N/A,#N/A,TRUE,"Conts";#N/A,#N/A,TRUE,"VOS";#N/A,#N/A,TRUE,"Warrington";#N/A,#N/A,TRUE,"Widnes"}</definedName>
    <definedName name="sfhdfj" hidden="1">{#N/A,#N/A,TRUE,"Cover";#N/A,#N/A,TRUE,"Conts";#N/A,#N/A,TRUE,"VOS";#N/A,#N/A,TRUE,"Warrington";#N/A,#N/A,TRUE,"Widnes"}</definedName>
    <definedName name="sfhr" localSheetId="3" hidden="1">{"MF-601",#N/A,TRUE,"MANT-EX-B(fJ)";"MF-602",#N/A,TRUE,"ELECTR-FJ(B)";"MF-603",#N/A,TRUE,"PERSONAL(FJ)B";"MF-604",#N/A,TRUE,"REACT-P(B)";"MF-6XX",#N/A,TRUE,"Resumen";"MF-605",#N/A,TRUE,"OTR-COS.FJ(B)"}</definedName>
    <definedName name="sfhr" hidden="1">{"MF-601",#N/A,TRUE,"MANT-EX-B(fJ)";"MF-602",#N/A,TRUE,"ELECTR-FJ(B)";"MF-603",#N/A,TRUE,"PERSONAL(FJ)B";"MF-604",#N/A,TRUE,"REACT-P(B)";"MF-6XX",#N/A,TRUE,"Resumen";"MF-605",#N/A,TRUE,"OTR-COS.FJ(B)"}</definedName>
    <definedName name="sfjf" localSheetId="3" hidden="1">{"Datos",#N/A,TRUE,"Datos"}</definedName>
    <definedName name="sfjf" hidden="1">{"Datos",#N/A,TRUE,"Datos"}</definedName>
    <definedName name="sfjff"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r">#REF!</definedName>
    <definedName name="SFSAF">#REF!</definedName>
    <definedName name="SFSDFS">#REF!</definedName>
    <definedName name="SFSDFSD">#REF!</definedName>
    <definedName name="SFSDFSDF">#REF!</definedName>
    <definedName name="SFSDFSF">#REF!</definedName>
    <definedName name="SFSFF" localSheetId="3" hidden="1">{#N/A,#N/A,FALSE,"양식(을)"}</definedName>
    <definedName name="SFSFF" hidden="1">{#N/A,#N/A,FALSE,"양식(을)"}</definedName>
    <definedName name="sfssf" hidden="1">#REF!</definedName>
    <definedName name="sfvdafv" localSheetId="3"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 localSheetId="3" hidden="1">{"Datos",#N/A,TRUE,"Datos"}</definedName>
    <definedName name="sg" hidden="1">{"Datos",#N/A,TRUE,"Datos"}</definedName>
    <definedName name="sga" localSheetId="3" hidden="1">{"Datos",#N/A,TRUE,"Datos"}</definedName>
    <definedName name="sga" hidden="1">{"Datos",#N/A,TRUE,"Datos"}</definedName>
    <definedName name="SGD">#REF!</definedName>
    <definedName name="sgdf" localSheetId="3" hidden="1">{"Datos",#N/A,TRUE,"Datos"}</definedName>
    <definedName name="sgdf" hidden="1">{"Datos",#N/A,TRUE,"Datos"}</definedName>
    <definedName name="sgdgdg">#REF!</definedName>
    <definedName name="sgfsdg" localSheetId="3" hidden="1">{"Datos",#N/A,TRUE,"Datos"}</definedName>
    <definedName name="sgfsdg" hidden="1">{"Datos",#N/A,TRUE,"Datos"}</definedName>
    <definedName name="sgh" localSheetId="3" hidden="1">{"Datos",#N/A,TRUE,"Datos"}</definedName>
    <definedName name="sgh" hidden="1">{"Datos",#N/A,TRUE,"Datos"}</definedName>
    <definedName name="sgsegegrt" localSheetId="3" hidden="1">{#N/A,#N/A,TRUE,"Cover";#N/A,#N/A,TRUE,"Conts";#N/A,#N/A,TRUE,"VOS";#N/A,#N/A,TRUE,"Warrington";#N/A,#N/A,TRUE,"Widnes"}</definedName>
    <definedName name="sgsegegrt" hidden="1">{#N/A,#N/A,TRUE,"Cover";#N/A,#N/A,TRUE,"Conts";#N/A,#N/A,TRUE,"VOS";#N/A,#N/A,TRUE,"Warrington";#N/A,#N/A,TRUE,"Widnes"}</definedName>
    <definedName name="sgsg"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hju" localSheetId="3" hidden="1">{#N/A,#N/A,TRUE,"Cover";#N/A,#N/A,TRUE,"Conts";#N/A,#N/A,TRUE,"VOS";#N/A,#N/A,TRUE,"Warrington";#N/A,#N/A,TRUE,"Widnes"}</definedName>
    <definedName name="sgsghju" hidden="1">{#N/A,#N/A,TRUE,"Cover";#N/A,#N/A,TRUE,"Conts";#N/A,#N/A,TRUE,"VOS";#N/A,#N/A,TRUE,"Warrington";#N/A,#N/A,TRUE,"Widnes"}</definedName>
    <definedName name="sgsgr" localSheetId="3" hidden="1">{#N/A,#N/A,TRUE,"Cover";#N/A,#N/A,TRUE,"Conts";#N/A,#N/A,TRUE,"VOS";#N/A,#N/A,TRUE,"Warrington";#N/A,#N/A,TRUE,"Widnes"}</definedName>
    <definedName name="sgsgr" hidden="1">{#N/A,#N/A,TRUE,"Cover";#N/A,#N/A,TRUE,"Conts";#N/A,#N/A,TRUE,"VOS";#N/A,#N/A,TRUE,"Warrington";#N/A,#N/A,TRUE,"Widnes"}</definedName>
    <definedName name="sgsow">#REF!</definedName>
    <definedName name="sh">#REF!</definedName>
    <definedName name="sh5hyg" localSheetId="3" hidden="1">{"Datos",#N/A,TRUE,"Datos"}</definedName>
    <definedName name="sh5hyg" hidden="1">{"Datos",#N/A,TRUE,"Datos"}</definedName>
    <definedName name="shantha">#REF!</definedName>
    <definedName name="shape.codes" hidden="1">#REF!</definedName>
    <definedName name="Shape_Code">#REF!</definedName>
    <definedName name="SHARMILA">#REF!</definedName>
    <definedName name="shdb">#REF!</definedName>
    <definedName name="SHEET">#N/A</definedName>
    <definedName name="sheet1">#REF!</definedName>
    <definedName name="sheet1___0">#REF!</definedName>
    <definedName name="sheet1___13">#REF!</definedName>
    <definedName name="SHELTER" localSheetId="3" hidden="1">{#N/A,#N/A,TRUE,"Basic";#N/A,#N/A,TRUE,"EXT-TABLE";#N/A,#N/A,TRUE,"STEEL";#N/A,#N/A,TRUE,"INT-Table";#N/A,#N/A,TRUE,"STEEL";#N/A,#N/A,TRUE,"Door"}</definedName>
    <definedName name="SHELTER" hidden="1">{#N/A,#N/A,TRUE,"Basic";#N/A,#N/A,TRUE,"EXT-TABLE";#N/A,#N/A,TRUE,"STEEL";#N/A,#N/A,TRUE,"INT-Table";#N/A,#N/A,TRUE,"STEEL";#N/A,#N/A,TRUE,"Door"}</definedName>
    <definedName name="shiva">#REF!</definedName>
    <definedName name="SHOPBOQ">#REF!</definedName>
    <definedName name="SHOPHED">#REF!</definedName>
    <definedName name="SHORE">#REF!</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ulderEmb.">#REF!</definedName>
    <definedName name="ShoulderSubbase">#REF!</definedName>
    <definedName name="shs" hidden="1">{#N/A,#N/A,TRUE,"Cover";#N/A,#N/A,TRUE,"Conts";#N/A,#N/A,TRUE,"VOS";#N/A,#N/A,TRUE,"Warrington";#N/A,#N/A,TRUE,"Widnes"}</definedName>
    <definedName name="shshgtr" localSheetId="3" hidden="1">{#N/A,#N/A,TRUE,"Cover";#N/A,#N/A,TRUE,"Conts";#N/A,#N/A,TRUE,"VOS";#N/A,#N/A,TRUE,"Warrington";#N/A,#N/A,TRUE,"Widnes"}</definedName>
    <definedName name="shshgtr" hidden="1">{#N/A,#N/A,TRUE,"Cover";#N/A,#N/A,TRUE,"Conts";#N/A,#N/A,TRUE,"VOS";#N/A,#N/A,TRUE,"Warrington";#N/A,#N/A,TRUE,"Widnes"}</definedName>
    <definedName name="shth" localSheetId="3" hidden="1">{"Datos",#N/A,TRUE,"Datos"}</definedName>
    <definedName name="shth" hidden="1">{"Datos",#N/A,TRUE,"Datos"}</definedName>
    <definedName name="shut">#REF!</definedName>
    <definedName name="shut_reqt">#REF!</definedName>
    <definedName name="shutter">#REF!</definedName>
    <definedName name="shvr">#REF!</definedName>
    <definedName name="SI">#REF!</definedName>
    <definedName name="siba">#REF!</definedName>
    <definedName name="siba1">#REF!</definedName>
    <definedName name="sibabb">#REF!</definedName>
    <definedName name="Side_Set_Bus_BE">#REF!</definedName>
    <definedName name="Side_Set_Ind">#REF!</definedName>
    <definedName name="SideFW_Ang.Connection">#REF!</definedName>
    <definedName name="SideFW_V_Connection">#REF!</definedName>
    <definedName name="sidewalk">#REF!</definedName>
    <definedName name="sigma0.2">#REF!</definedName>
    <definedName name="sigma0_2">#REF!</definedName>
    <definedName name="sigmab">#REF!</definedName>
    <definedName name="sigmah">#REF!</definedName>
    <definedName name="sigmat">#REF!</definedName>
    <definedName name="SIGOREMK">#REF!</definedName>
    <definedName name="SIGORISVCAL">#REF!</definedName>
    <definedName name="SIGORISVEMK">#REF!</definedName>
    <definedName name="SIGORNOR">#REF!</definedName>
    <definedName name="SIGTAV">#REF!</definedName>
    <definedName name="SIGTAV_USD">#REF!</definedName>
    <definedName name="SIMA">#REF!</definedName>
    <definedName name="sisis" localSheetId="3" hidden="1">{"'Sheet1'!$L$16"}</definedName>
    <definedName name="sisis" hidden="1">{"'Sheet1'!$L$16"}</definedName>
    <definedName name="SISUSM" localSheetId="3" hidden="1">{"'Sheet1'!$L$16"}</definedName>
    <definedName name="SISUSM" hidden="1">{"'Sheet1'!$L$16"}</definedName>
    <definedName name="site.ref" hidden="1">#REF!</definedName>
    <definedName name="SITE_OFFICES">#REF!</definedName>
    <definedName name="SITE_STAFF">#REF!</definedName>
    <definedName name="SiteID">#REF!</definedName>
    <definedName name="SiteID_4">#REF!</definedName>
    <definedName name="SiteID_4_1">#REF!</definedName>
    <definedName name="SiteID_6">#REF!</definedName>
    <definedName name="Sitetopographic">#REF!</definedName>
    <definedName name="SiteType">#REF!</definedName>
    <definedName name="SiteType_4">#REF!</definedName>
    <definedName name="SiteType_4_1">#REF!</definedName>
    <definedName name="SiteType_6">#REF!</definedName>
    <definedName name="SIXYRS_OF_PROJ">#REF!</definedName>
    <definedName name="size">#REF!</definedName>
    <definedName name="sk" hidden="1">"1, 3, 1, False, 2, False, False, , 0, False, True, 3, 2"</definedName>
    <definedName name="ska" localSheetId="3"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ew">#REF!</definedName>
    <definedName name="skey">#REF!</definedName>
    <definedName name="skirting">#REF!</definedName>
    <definedName name="Skopje_Demand">#REF!</definedName>
    <definedName name="Skopje_SandD">#REF!</definedName>
    <definedName name="Skopje_Visitors">#REF!</definedName>
    <definedName name="skq" localSheetId="3"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kr" localSheetId="3" hidden="1">{#N/A,#N/A,FALSE,"Bericht 2";#N/A,#N/A,FALSE,"Bericht 3";#N/A,#N/A,FALSE,"Bericht 1"}</definedName>
    <definedName name="skr" hidden="1">{#N/A,#N/A,FALSE,"Bericht 2";#N/A,#N/A,FALSE,"Bericht 3";#N/A,#N/A,FALSE,"Bericht 1"}</definedName>
    <definedName name="SL">#REF!</definedName>
    <definedName name="Sl_No">#REF!</definedName>
    <definedName name="Slab" localSheetId="3" hidden="1">{#N/A,#N/A,TRUE,"Cover";#N/A,#N/A,TRUE,"Conts";#N/A,#N/A,TRUE,"VOS";#N/A,#N/A,TRUE,"Warrington";#N/A,#N/A,TRUE,"Widnes"}</definedName>
    <definedName name="Slab" hidden="1">{#N/A,#N/A,TRUE,"Cover";#N/A,#N/A,TRUE,"Conts";#N/A,#N/A,TRUE,"VOS";#N/A,#N/A,TRUE,"Warrington";#N/A,#N/A,TRUE,"Widnes"}</definedName>
    <definedName name="Slab_Area_2000">#REF!</definedName>
    <definedName name="Slab_Area_2500">#REF!</definedName>
    <definedName name="SLAB1" hidden="1">#REF!</definedName>
    <definedName name="SLAB11" hidden="1">#REF!</definedName>
    <definedName name="SLAB112" hidden="1">#REF!</definedName>
    <definedName name="slab2" localSheetId="3" hidden="1">{#N/A,#N/A,TRUE,"Cover";#N/A,#N/A,TRUE,"Conts";#N/A,#N/A,TRUE,"VOS";#N/A,#N/A,TRUE,"Warrington";#N/A,#N/A,TRUE,"Widnes"}</definedName>
    <definedName name="slab2" hidden="1">{#N/A,#N/A,TRUE,"Cover";#N/A,#N/A,TRUE,"Conts";#N/A,#N/A,TRUE,"VOS";#N/A,#N/A,TRUE,"Warrington";#N/A,#N/A,TRUE,"Widnes"}</definedName>
    <definedName name="slab22" localSheetId="3" hidden="1">{#N/A,#N/A,TRUE,"Cover";#N/A,#N/A,TRUE,"Conts";#N/A,#N/A,TRUE,"VOS";#N/A,#N/A,TRUE,"Warrington";#N/A,#N/A,TRUE,"Widnes"}</definedName>
    <definedName name="slab22" hidden="1">{#N/A,#N/A,TRUE,"Cover";#N/A,#N/A,TRUE,"Conts";#N/A,#N/A,TRUE,"VOS";#N/A,#N/A,TRUE,"Warrington";#N/A,#N/A,TRUE,"Widnes"}</definedName>
    <definedName name="slab3" localSheetId="3" hidden="1">{#N/A,#N/A,TRUE,"Cover";#N/A,#N/A,TRUE,"Conts";#N/A,#N/A,TRUE,"VOS";#N/A,#N/A,TRUE,"Warrington";#N/A,#N/A,TRUE,"Widnes"}</definedName>
    <definedName name="slab3" hidden="1">{#N/A,#N/A,TRUE,"Cover";#N/A,#N/A,TRUE,"Conts";#N/A,#N/A,TRUE,"VOS";#N/A,#N/A,TRUE,"Warrington";#N/A,#N/A,TRUE,"Widnes"}</definedName>
    <definedName name="SlabArea">#REF!</definedName>
    <definedName name="slabconArea">#REF!</definedName>
    <definedName name="slabconPerimeter">#REF!</definedName>
    <definedName name="SlabPerimeter">#REF!</definedName>
    <definedName name="Slabs">#REF!</definedName>
    <definedName name="SLC">#REF!</definedName>
    <definedName name="Slicer_Month">#N/A</definedName>
    <definedName name="Slicer_اجمالى_السعر">#N/A</definedName>
    <definedName name="Slicer_تاريخ_المستند">#N/A</definedName>
    <definedName name="Slicer_رقم_المستند">#N/A</definedName>
    <definedName name="Slicer_نوع_المستند">#N/A</definedName>
    <definedName name="Slist">#REF!</definedName>
    <definedName name="slss">#REF!</definedName>
    <definedName name="slsssss">#REF!</definedName>
    <definedName name="slssssss">#REF!</definedName>
    <definedName name="SM_">#REF!</definedName>
    <definedName name="sma" localSheetId="3" hidden="1">{"'Break down'!$A$4"}</definedName>
    <definedName name="sma" hidden="1">{"'Break down'!$A$4"}</definedName>
    <definedName name="SmallProj">#REF!</definedName>
    <definedName name="SmallProj_4">#REF!</definedName>
    <definedName name="SmallProj_4_1">#REF!</definedName>
    <definedName name="SmallProj_6">#REF!</definedName>
    <definedName name="SmallProj_Text">#REF!</definedName>
    <definedName name="SmallProj_Text_4">#REF!</definedName>
    <definedName name="SmallProj_Text_4_1">#REF!</definedName>
    <definedName name="SmallProj_Text_6">#REF!</definedName>
    <definedName name="smo" localSheetId="3" hidden="1">{"'Break down'!$A$4"}</definedName>
    <definedName name="smo" hidden="1">{"'Break down'!$A$4"}</definedName>
    <definedName name="smz" localSheetId="3" hidden="1">{"'Break down'!$A$4"}</definedName>
    <definedName name="smz" hidden="1">{"'Break down'!$A$4"}</definedName>
    <definedName name="smzz" localSheetId="3" hidden="1">{"'Break down'!$A$4"}</definedName>
    <definedName name="smzz" hidden="1">{"'Break down'!$A$4"}</definedName>
    <definedName name="SO">#REF!</definedName>
    <definedName name="soffitl">#REF!</definedName>
    <definedName name="SOFITEL">#REF!</definedName>
    <definedName name="sohan">#REF!</definedName>
    <definedName name="soil">#REF!</definedName>
    <definedName name="solver_adj" hidden="1">#N/A</definedName>
    <definedName name="solver_lhs1" hidden="1">#N/A</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um" hidden="1">9</definedName>
    <definedName name="solver_opt" hidden="1">#N/A</definedName>
    <definedName name="solver_rel1"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typ" hidden="1">2</definedName>
    <definedName name="solver_val" hidden="1">0</definedName>
    <definedName name="Sonakshi">#REF!</definedName>
    <definedName name="sonali">#REF!</definedName>
    <definedName name="sond">#REF!</definedName>
    <definedName name="sondf">#REF!</definedName>
    <definedName name="SOONAMKAPOOR">#REF!</definedName>
    <definedName name="sort" hidden="1">#REF!</definedName>
    <definedName name="SOSYAR">#REF!</definedName>
    <definedName name="Source">#REF!</definedName>
    <definedName name="sources_hide_flag" localSheetId="3">#REF!,#REF!</definedName>
    <definedName name="sources_hide_flag">#REF!,#REF!</definedName>
    <definedName name="SozlesmeRsYenParitesi">#REF!</definedName>
    <definedName name="SozlesmeYenUSDParitesi">#REF!</definedName>
    <definedName name="sp">#REF!</definedName>
    <definedName name="SP1Branch">#REF!</definedName>
    <definedName name="SP1Branch_4">#REF!</definedName>
    <definedName name="SP1Branch_4_1">#REF!</definedName>
    <definedName name="SP1Branch_6">#REF!</definedName>
    <definedName name="SP1Credit">#REF!</definedName>
    <definedName name="SP1Credit_4">#REF!</definedName>
    <definedName name="SP1Credit_4_1">#REF!</definedName>
    <definedName name="SP1Credit_6">#REF!</definedName>
    <definedName name="SP1Name">#REF!</definedName>
    <definedName name="SP1Name_4">#REF!</definedName>
    <definedName name="SP1Name_4_1">#REF!</definedName>
    <definedName name="SP1Name_6">#REF!</definedName>
    <definedName name="SP1Number">#REF!</definedName>
    <definedName name="SP1Number_4">#REF!</definedName>
    <definedName name="SP1Number_4_1">#REF!</definedName>
    <definedName name="SP1Number_6">#REF!</definedName>
    <definedName name="SP2Branch">#REF!</definedName>
    <definedName name="SP2Branch_4">#REF!</definedName>
    <definedName name="SP2Branch_4_1">#REF!</definedName>
    <definedName name="SP2Branch_6">#REF!</definedName>
    <definedName name="SP2Credit">#REF!</definedName>
    <definedName name="SP2Credit_4">#REF!</definedName>
    <definedName name="SP2Credit_4_1">#REF!</definedName>
    <definedName name="SP2Credit_6">#REF!</definedName>
    <definedName name="SP2Name">#REF!</definedName>
    <definedName name="SP2Name_4">#REF!</definedName>
    <definedName name="SP2Name_4_1">#REF!</definedName>
    <definedName name="SP2Name_6">#REF!</definedName>
    <definedName name="SP2Number">#REF!</definedName>
    <definedName name="SP2Number_4">#REF!</definedName>
    <definedName name="SP2Number_4_1">#REF!</definedName>
    <definedName name="SP2Number_6">#REF!</definedName>
    <definedName name="SP3Branch">#REF!</definedName>
    <definedName name="SP3Branch_4">#REF!</definedName>
    <definedName name="SP3Branch_4_1">#REF!</definedName>
    <definedName name="SP3Branch_6">#REF!</definedName>
    <definedName name="SP3Credit">#REF!</definedName>
    <definedName name="SP3Credit_4">#REF!</definedName>
    <definedName name="SP3Credit_4_1">#REF!</definedName>
    <definedName name="SP3Credit_6">#REF!</definedName>
    <definedName name="SP3Name">#REF!</definedName>
    <definedName name="SP3Name_4">#REF!</definedName>
    <definedName name="SP3Name_4_1">#REF!</definedName>
    <definedName name="SP3Name_6">#REF!</definedName>
    <definedName name="SP3Number">#REF!</definedName>
    <definedName name="SP3Number_4">#REF!</definedName>
    <definedName name="SP3Number_4_1">#REF!</definedName>
    <definedName name="SP3Number_6">#REF!</definedName>
    <definedName name="SP4Branch">#REF!</definedName>
    <definedName name="SP4Branch_4">#REF!</definedName>
    <definedName name="SP4Branch_4_1">#REF!</definedName>
    <definedName name="SP4Branch_6">#REF!</definedName>
    <definedName name="SP4Credit">#REF!</definedName>
    <definedName name="SP4Credit_4">#REF!</definedName>
    <definedName name="SP4Credit_4_1">#REF!</definedName>
    <definedName name="SP4Credit_6">#REF!</definedName>
    <definedName name="SP4Name">#REF!</definedName>
    <definedName name="SP4Name_4">#REF!</definedName>
    <definedName name="SP4Name_4_1">#REF!</definedName>
    <definedName name="SP4Name_6">#REF!</definedName>
    <definedName name="SP4Number">#REF!</definedName>
    <definedName name="SP4Number_4">#REF!</definedName>
    <definedName name="SP4Number_4_1">#REF!</definedName>
    <definedName name="SP4Number_6">#REF!</definedName>
    <definedName name="SP5Branch">#REF!</definedName>
    <definedName name="SP5Branch_4">#REF!</definedName>
    <definedName name="SP5Branch_4_1">#REF!</definedName>
    <definedName name="SP5Branch_6">#REF!</definedName>
    <definedName name="SP5Credit">#REF!</definedName>
    <definedName name="SP5Credit_4">#REF!</definedName>
    <definedName name="SP5Credit_4_1">#REF!</definedName>
    <definedName name="SP5Credit_6">#REF!</definedName>
    <definedName name="SP5Name">#REF!</definedName>
    <definedName name="SP5Name_4">#REF!</definedName>
    <definedName name="SP5Name_4_1">#REF!</definedName>
    <definedName name="SP5Name_6">#REF!</definedName>
    <definedName name="SP5Number">#REF!</definedName>
    <definedName name="SP5Number_4">#REF!</definedName>
    <definedName name="SP5Number_4_1">#REF!</definedName>
    <definedName name="SP5Number_6">#REF!</definedName>
    <definedName name="spacing">#REF!</definedName>
    <definedName name="spacingL">#REF!</definedName>
    <definedName name="spare">#REF!</definedName>
    <definedName name="spares">#REF!</definedName>
    <definedName name="Spares___Merchandise">#REF!</definedName>
    <definedName name="SpecClass">#REF!</definedName>
    <definedName name="SpecClass_4">#REF!</definedName>
    <definedName name="SpecClass_4_1">#REF!</definedName>
    <definedName name="SpecClass_6">#REF!</definedName>
    <definedName name="SpecClass_Text">#REF!</definedName>
    <definedName name="SpecClass_Text_4">#REF!</definedName>
    <definedName name="SpecClass_Text_4_1">#REF!</definedName>
    <definedName name="SpecClass_Text_6">#REF!</definedName>
    <definedName name="SpecEnv1">#REF!</definedName>
    <definedName name="SpecEnv1_4">#REF!</definedName>
    <definedName name="SpecEnv1_4_1">#REF!</definedName>
    <definedName name="SpecEnv1_6">#REF!</definedName>
    <definedName name="SpecEnv1_Text">#REF!</definedName>
    <definedName name="SpecEnv1_Text_4">#REF!</definedName>
    <definedName name="SpecEnv1_Text_4_1">#REF!</definedName>
    <definedName name="SpecEnv1_Text_6">#REF!</definedName>
    <definedName name="SpecEnv2">#REF!</definedName>
    <definedName name="SpecEnv2_4">#REF!</definedName>
    <definedName name="SpecEnv2_4_1">#REF!</definedName>
    <definedName name="SpecEnv2_6">#REF!</definedName>
    <definedName name="SpecEnv2_Text">#REF!</definedName>
    <definedName name="SpecEnv2_Text_4">#REF!</definedName>
    <definedName name="SpecEnv2_Text_4_1">#REF!</definedName>
    <definedName name="SpecEnv2_Text_6">#REF!</definedName>
    <definedName name="Specializedtrainingschool">#REF!</definedName>
    <definedName name="SpecialPric" hidden="1">#REF!</definedName>
    <definedName name="SpecialPrice" hidden="1">#REF!</definedName>
    <definedName name="specif" localSheetId="3" hidden="1">{#N/A,#N/A,TRUE,"Cover Memo";"Complete Sys. Estimate",#N/A,TRUE,"Change Summary";"Complete Sys. Estimate",#N/A,TRUE,"Estimate Summary";"Complete Sys. Estimate",#N/A,TRUE,"Dept. Summary";"Complete Sys. Estimate",#N/A,TRUE,"DOW Detail"}</definedName>
    <definedName name="specif" hidden="1">{#N/A,#N/A,TRUE,"Cover Memo";"Complete Sys. Estimate",#N/A,TRUE,"Change Summary";"Complete Sys. Estimate",#N/A,TRUE,"Estimate Summary";"Complete Sys. Estimate",#N/A,TRUE,"Dept. Summary";"Complete Sys. Estimate",#N/A,TRUE,"DOW Detail"}</definedName>
    <definedName name="SPLR">#REF!</definedName>
    <definedName name="SPLR_4">#REF!</definedName>
    <definedName name="SPLR_4_1">#REF!</definedName>
    <definedName name="SPLR_6">#REF!</definedName>
    <definedName name="SPR">#REF!</definedName>
    <definedName name="sprare">#REF!</definedName>
    <definedName name="SQRT__1___0.6___1.0">#REF!</definedName>
    <definedName name="SQRT__1___0_6___1_0">#REF!</definedName>
    <definedName name="SQRT__1___0_6___1_0___0">#REF!</definedName>
    <definedName name="SQRT__1___0_6___1_0___13">#REF!</definedName>
    <definedName name="sr">#REF!</definedName>
    <definedName name="SRB" localSheetId="3" hidden="1">{"'Sheet1'!$A$4386:$N$4591"}</definedName>
    <definedName name="SRB" hidden="1">{"'Sheet1'!$A$4386:$N$4591"}</definedName>
    <definedName name="SRC">#REF!</definedName>
    <definedName name="srdtrd" localSheetId="3" hidden="1">{"'Sheet1'!$L$16"}</definedName>
    <definedName name="srdtrd" hidden="1">{"'Sheet1'!$L$16"}</definedName>
    <definedName name="srhrh" localSheetId="3" hidden="1">{#N/A,#N/A,TRUE,"Cover";#N/A,#N/A,TRUE,"Conts";#N/A,#N/A,TRUE,"VOS";#N/A,#N/A,TRUE,"Warrington";#N/A,#N/A,TRUE,"Widnes"}</definedName>
    <definedName name="srhrh" hidden="1">{#N/A,#N/A,TRUE,"Cover";#N/A,#N/A,TRUE,"Conts";#N/A,#N/A,TRUE,"VOS";#N/A,#N/A,TRUE,"Warrington";#N/A,#N/A,TRUE,"Widnes"}</definedName>
    <definedName name="srmgr1">#REF!</definedName>
    <definedName name="srmgr2">#REF!</definedName>
    <definedName name="srsetrthgfh" localSheetId="3" hidden="1">{#N/A,#N/A,TRUE,"Cover";#N/A,#N/A,TRUE,"Conts";#N/A,#N/A,TRUE,"VOS";#N/A,#N/A,TRUE,"Warrington";#N/A,#N/A,TRUE,"Widnes"}</definedName>
    <definedName name="srsetrthgfh" hidden="1">{#N/A,#N/A,TRUE,"Cover";#N/A,#N/A,TRUE,"Conts";#N/A,#N/A,TRUE,"VOS";#N/A,#N/A,TRUE,"Warrington";#N/A,#N/A,TRUE,"Widnes"}</definedName>
    <definedName name="srsretr" localSheetId="3" hidden="1">{#N/A,#N/A,TRUE,"Cover";#N/A,#N/A,TRUE,"Conts";#N/A,#N/A,TRUE,"VOS";#N/A,#N/A,TRUE,"Warrington";#N/A,#N/A,TRUE,"Widnes"}</definedName>
    <definedName name="srsretr" hidden="1">{#N/A,#N/A,TRUE,"Cover";#N/A,#N/A,TRUE,"Conts";#N/A,#N/A,TRUE,"VOS";#N/A,#N/A,TRUE,"Warrington";#N/A,#N/A,TRUE,"Widnes"}</definedName>
    <definedName name="SRSSET" localSheetId="3" hidden="1">{#N/A,#N/A,FALSE,"Matrix";#N/A,#N/A,FALSE,"Executive";#N/A,#N/A,FALSE,"Summary"}</definedName>
    <definedName name="SRSSET" hidden="1">{#N/A,#N/A,FALSE,"Matrix";#N/A,#N/A,FALSE,"Executive";#N/A,#N/A,FALSE,"Summary"}</definedName>
    <definedName name="srtthyrt" localSheetId="3"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vcCode1">#REF!</definedName>
    <definedName name="SrvcCode1_4">#REF!</definedName>
    <definedName name="SrvcCode1_4_1">#REF!</definedName>
    <definedName name="SrvcCode1_6">#REF!</definedName>
    <definedName name="SrvcCode1_Text">#REF!</definedName>
    <definedName name="SrvcCode1_Text_4">#REF!</definedName>
    <definedName name="SrvcCode1_Text_4_1">#REF!</definedName>
    <definedName name="SrvcCode1_Text_6">#REF!</definedName>
    <definedName name="SrvcCode2">#REF!</definedName>
    <definedName name="SrvcCode2_4">#REF!</definedName>
    <definedName name="SrvcCode2_4_1">#REF!</definedName>
    <definedName name="SrvcCode2_6">#REF!</definedName>
    <definedName name="SrvcCode2_Text">#REF!</definedName>
    <definedName name="SrvcCode2_Text_4">#REF!</definedName>
    <definedName name="SrvcCode2_Text_4_1">#REF!</definedName>
    <definedName name="SrvcCode2_Text_6">#REF!</definedName>
    <definedName name="SrvcCode3">#REF!</definedName>
    <definedName name="SrvcCode3_4">#REF!</definedName>
    <definedName name="SrvcCode3_4_1">#REF!</definedName>
    <definedName name="SrvcCode3_6">#REF!</definedName>
    <definedName name="SrvcCode3_Text">#REF!</definedName>
    <definedName name="SrvcCode3_Text_4">#REF!</definedName>
    <definedName name="SrvcCode3_Text_4_1">#REF!</definedName>
    <definedName name="SrvcCode3_Text_6">#REF!</definedName>
    <definedName name="SrvcCode4">#REF!</definedName>
    <definedName name="SrvcCode4_4">#REF!</definedName>
    <definedName name="SrvcCode4_4_1">#REF!</definedName>
    <definedName name="SrvcCode4_6">#REF!</definedName>
    <definedName name="SrvcCode4_Text">#REF!</definedName>
    <definedName name="SrvcCode4_Text_4">#REF!</definedName>
    <definedName name="SrvcCode4_Text_4_1">#REF!</definedName>
    <definedName name="SrvcCode4_Text_6">#REF!</definedName>
    <definedName name="SrvcCode5">#REF!</definedName>
    <definedName name="SrvcCode5_4">#REF!</definedName>
    <definedName name="SrvcCode5_4_1">#REF!</definedName>
    <definedName name="SrvcCode5_6">#REF!</definedName>
    <definedName name="SrvcCode5_Text">#REF!</definedName>
    <definedName name="SrvcCode5_Text_4">#REF!</definedName>
    <definedName name="SrvcCode5_Text_4_1">#REF!</definedName>
    <definedName name="SrvcCode5_Text_6">#REF!</definedName>
    <definedName name="sryeysr" localSheetId="3" hidden="1">{#N/A,#N/A,TRUE,"Cover";#N/A,#N/A,TRUE,"Conts";#N/A,#N/A,TRUE,"VOS";#N/A,#N/A,TRUE,"Warrington";#N/A,#N/A,TRUE,"Widnes"}</definedName>
    <definedName name="sryeysr" hidden="1">{#N/A,#N/A,TRUE,"Cover";#N/A,#N/A,TRUE,"Conts";#N/A,#N/A,TRUE,"VOS";#N/A,#N/A,TRUE,"Warrington";#N/A,#N/A,TRUE,"Widnes"}</definedName>
    <definedName name="SS">#REF!</definedName>
    <definedName name="ssa">#REF!</definedName>
    <definedName name="SSPAN">#REF!</definedName>
    <definedName name="SSS">#REF!</definedName>
    <definedName name="SSSD" localSheetId="3" hidden="1">{"'Break down'!$A$4"}</definedName>
    <definedName name="SSSD" hidden="1">{"'Break down'!$A$4"}</definedName>
    <definedName name="ssshhh" localSheetId="3"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localSheetId="3" hidden="1">{#N/A,#N/A,TRUE,"Basic";#N/A,#N/A,TRUE,"EXT-TABLE";#N/A,#N/A,TRUE,"STEEL";#N/A,#N/A,TRUE,"INT-Table";#N/A,#N/A,TRUE,"STEEL";#N/A,#N/A,TRUE,"Door"}</definedName>
    <definedName name="ssss" hidden="1">{#N/A,#N/A,TRUE,"Basic";#N/A,#N/A,TRUE,"EXT-TABLE";#N/A,#N/A,TRUE,"STEEL";#N/A,#N/A,TRUE,"INT-Table";#N/A,#N/A,TRUE,"STEEL";#N/A,#N/A,TRUE,"Door"}</definedName>
    <definedName name="ssss056">#REF!</definedName>
    <definedName name="sssss" hidden="1">#REF!</definedName>
    <definedName name="sssss15605">#REF!</definedName>
    <definedName name="SSSSSS" localSheetId="3" hidden="1">{#N/A,#N/A,TRUE,"Cover";#N/A,#N/A,TRUE,"Conts";#N/A,#N/A,TRUE,"VOS";#N/A,#N/A,TRUE,"Warrington";#N/A,#N/A,TRUE,"Widnes"}</definedName>
    <definedName name="SSSSSS" hidden="1">{#N/A,#N/A,TRUE,"Cover";#N/A,#N/A,TRUE,"Conts";#N/A,#N/A,TRUE,"VOS";#N/A,#N/A,TRUE,"Warrington";#N/A,#N/A,TRUE,"Widnes"}</definedName>
    <definedName name="sssssss">#REF!</definedName>
    <definedName name="ssssssslff">#REF!</definedName>
    <definedName name="ssssssss">#REF!</definedName>
    <definedName name="ssssssss456">#REF!</definedName>
    <definedName name="sssssssssss">#REF!</definedName>
    <definedName name="ssssssSsssss45566s">#REF!</definedName>
    <definedName name="sssssssssssssssssss">#REF!</definedName>
    <definedName name="SStrip_2000_Concrete">#REF!</definedName>
    <definedName name="SStrip_2500_Concrete">#REF!</definedName>
    <definedName name="SStrip_A">#REF!</definedName>
    <definedName name="SStrip_Area_2000">#REF!</definedName>
    <definedName name="SStrip_Area_2500">#REF!</definedName>
    <definedName name="SStrip_L">#REF!</definedName>
    <definedName name="SSttip_Area">#REF!</definedName>
    <definedName name="ST">#REF!</definedName>
    <definedName name="staf">#REF!</definedName>
    <definedName name="staff" localSheetId="3">#REF!</definedName>
    <definedName name="staff">#REF!</definedName>
    <definedName name="STAFF_REQUIRED_FOR_FINAL_BILL">#REF!</definedName>
    <definedName name="Stage">#REF!</definedName>
    <definedName name="Staircase">#REF!</definedName>
    <definedName name="Staircase2">#REF!</definedName>
    <definedName name="Staircases">#REF!</definedName>
    <definedName name="Stamp">#REF!</definedName>
    <definedName name="Start_date">#REF!</definedName>
    <definedName name="Start_date1">#REF!</definedName>
    <definedName name="StartDate">#REF!</definedName>
    <definedName name="StartDate_4">#REF!</definedName>
    <definedName name="StartDate_4_1">#REF!</definedName>
    <definedName name="StartDate_6">#REF!</definedName>
    <definedName name="State">#REF!</definedName>
    <definedName name="Statement_of_Income">#REF!</definedName>
    <definedName name="StationPC">#REF!</definedName>
    <definedName name="Statistics">#REF!</definedName>
    <definedName name="Statt">#REF!</definedName>
    <definedName name="STATUS">#REF!</definedName>
    <definedName name="steam_trap">#REF!</definedName>
    <definedName name="steel">#REF!</definedName>
    <definedName name="STEEL_BEAM">#REF!</definedName>
    <definedName name="STG3PROG">#REF!</definedName>
    <definedName name="Stock_Merchandise">#REF!</definedName>
    <definedName name="Stock_Provisions">#REF!</definedName>
    <definedName name="stop" hidden="1">#REF!</definedName>
    <definedName name="Stores___W_shop_maintenance">#REF!</definedName>
    <definedName name="Stormwaternetworks">#REF!</definedName>
    <definedName name="stp">#REF!</definedName>
    <definedName name="str">#REF!</definedName>
    <definedName name="stray" localSheetId="3" hidden="1">{"Datos",#N/A,TRUE,"Datos"}</definedName>
    <definedName name="stray" hidden="1">{"Datos",#N/A,TRUE,"Datos"}</definedName>
    <definedName name="stri1">#REF!</definedName>
    <definedName name="stri2">#REF!</definedName>
    <definedName name="StrID">#REF!</definedName>
    <definedName name="stru">#REF!</definedName>
    <definedName name="Structural">#REF!</definedName>
    <definedName name="structure">#REF!</definedName>
    <definedName name="Structure1" localSheetId="2">#REF!</definedName>
    <definedName name="Structure1">#REF!</definedName>
    <definedName name="structure3" localSheetId="2">#REF!</definedName>
    <definedName name="structure3">#REF!</definedName>
    <definedName name="structure4" localSheetId="2">#REF!</definedName>
    <definedName name="structure4">#REF!</definedName>
    <definedName name="structure5" localSheetId="2">#REF!</definedName>
    <definedName name="structure5">#REF!</definedName>
    <definedName name="Structure6" localSheetId="2">#REF!</definedName>
    <definedName name="Structure6">#REF!</definedName>
    <definedName name="structure8" localSheetId="2">#REF!</definedName>
    <definedName name="structure8">#REF!</definedName>
    <definedName name="stryt5u8h87" localSheetId="3" hidden="1">{#N/A,#N/A,TRUE,"Cover";#N/A,#N/A,TRUE,"Conts";#N/A,#N/A,TRUE,"VOS";#N/A,#N/A,TRUE,"Warrington";#N/A,#N/A,TRUE,"Widnes"}</definedName>
    <definedName name="stryt5u8h87" hidden="1">{#N/A,#N/A,TRUE,"Cover";#N/A,#N/A,TRUE,"Conts";#N/A,#N/A,TRUE,"VOS";#N/A,#N/A,TRUE,"Warrington";#N/A,#N/A,TRUE,"Widnes"}</definedName>
    <definedName name="StudioArea">#REF!</definedName>
    <definedName name="StudioPerimeter">#REF!</definedName>
    <definedName name="Stundensatz">72.13</definedName>
    <definedName name="stytryu" localSheetId="3" hidden="1">{"MF-601",#N/A,TRUE,"MANT-EX-B(fJ)";"MF-602",#N/A,TRUE,"ELECTR-FJ(B)";"MF-603",#N/A,TRUE,"PERSONAL(FJ)B";"MF-604",#N/A,TRUE,"REACT-P(B)";"MF-6XX",#N/A,TRUE,"Resumen";"MF-605",#N/A,TRUE,"OTR-COS.FJ(B)"}</definedName>
    <definedName name="stytryu" hidden="1">{"MF-601",#N/A,TRUE,"MANT-EX-B(fJ)";"MF-602",#N/A,TRUE,"ELECTR-FJ(B)";"MF-603",#N/A,TRUE,"PERSONAL(FJ)B";"MF-604",#N/A,TRUE,"REACT-P(B)";"MF-6XX",#N/A,TRUE,"Resumen";"MF-605",#N/A,TRUE,"OTR-COS.FJ(B)"}</definedName>
    <definedName name="sub">#REF!</definedName>
    <definedName name="Subbase">#REF!</definedName>
    <definedName name="SubCont">#REF!</definedName>
    <definedName name="Subcont_Selling">#REF!</definedName>
    <definedName name="Subcontract">#REF!</definedName>
    <definedName name="Subject">#REF!</definedName>
    <definedName name="SubjectProperty">#REF!</definedName>
    <definedName name="SubjectRooms">#REF!</definedName>
    <definedName name="SubReg">#REF!</definedName>
    <definedName name="SubRegion">#REF!</definedName>
    <definedName name="Substructure">#REF!</definedName>
    <definedName name="SUBTOTAL">#REF!</definedName>
    <definedName name="SUBTOTALS">#REF!</definedName>
    <definedName name="SUBTOTALS_12">"$#REF!.$M$8:$IV$8108"</definedName>
    <definedName name="SUBTOTALS_15">#REF!</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#REF!</definedName>
    <definedName name="suhail">#REF!</definedName>
    <definedName name="suite17Area">#REF!</definedName>
    <definedName name="suite17Perimeter">#REF!</definedName>
    <definedName name="SUM" localSheetId="3" hidden="1">{"'Sheet1 (2)'!$A$1:$C$61"}</definedName>
    <definedName name="SUM" hidden="1">{"'Sheet1 (2)'!$A$1:$C$61"}</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ana">#REF!</definedName>
    <definedName name="Sumer">#REF!</definedName>
    <definedName name="sumGTR10">#REF!</definedName>
    <definedName name="SUMGTR16">#REF!</definedName>
    <definedName name="SUMGTR20">#REF!</definedName>
    <definedName name="SUMGTR25">#REF!</definedName>
    <definedName name="SUMGTR32">#REF!</definedName>
    <definedName name="SUMGTR40">#REF!</definedName>
    <definedName name="SUMGTR6">#REF!</definedName>
    <definedName name="SUMGTR8">#REF!</definedName>
    <definedName name="SUMGTT10">#REF!</definedName>
    <definedName name="SUMGTT12">#REF!</definedName>
    <definedName name="SUMGTT14">#REF!</definedName>
    <definedName name="SUMGTT16">#REF!</definedName>
    <definedName name="SUMGTT20">#REF!</definedName>
    <definedName name="SUMGTT25">#REF!</definedName>
    <definedName name="SUMGTT32">#REF!</definedName>
    <definedName name="SUMGTT40">#REF!</definedName>
    <definedName name="SUMGTT6">#REF!</definedName>
    <definedName name="SUMGTT8">#REF!</definedName>
    <definedName name="SUMHEADER">#REF!</definedName>
    <definedName name="summ" localSheetId="3" hidden="1">{#N/A,#N/A,TRUE,"Front";#N/A,#N/A,TRUE,"Simple Letter";#N/A,#N/A,TRUE,"Inside";#N/A,#N/A,TRUE,"Contents";#N/A,#N/A,TRUE,"Basis";#N/A,#N/A,TRUE,"Inclusions";#N/A,#N/A,TRUE,"Exclusions";#N/A,#N/A,TRUE,"Areas";#N/A,#N/A,TRUE,"Summary";#N/A,#N/A,TRUE,"Detail"}</definedName>
    <definedName name="summ" hidden="1">{#N/A,#N/A,TRUE,"Front";#N/A,#N/A,TRUE,"Simple Letter";#N/A,#N/A,TRUE,"Inside";#N/A,#N/A,TRUE,"Contents";#N/A,#N/A,TRUE,"Basis";#N/A,#N/A,TRUE,"Inclusions";#N/A,#N/A,TRUE,"Exclusions";#N/A,#N/A,TRUE,"Areas";#N/A,#N/A,TRUE,"Summary";#N/A,#N/A,TRUE,"Detail"}</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list">#REF!</definedName>
    <definedName name="summury">#REF!</definedName>
    <definedName name="sumqty">#REF!</definedName>
    <definedName name="SumR10">#REF!</definedName>
    <definedName name="SUMR1094">#REF!</definedName>
    <definedName name="SumR12">#REF!</definedName>
    <definedName name="SUMR1294">#REF!</definedName>
    <definedName name="SumR16">#REF!</definedName>
    <definedName name="SUMR1694">#REF!</definedName>
    <definedName name="SumR20">#REF!</definedName>
    <definedName name="SUMR2094">#REF!</definedName>
    <definedName name="SumR25">#REF!</definedName>
    <definedName name="SUMR2594">#REF!</definedName>
    <definedName name="SumR32">#REF!</definedName>
    <definedName name="SUMR3294">#REF!</definedName>
    <definedName name="SumR40">#REF!</definedName>
    <definedName name="SUMR4094">#REF!</definedName>
    <definedName name="SumR6">#REF!</definedName>
    <definedName name="SUMR694">#REF!</definedName>
    <definedName name="SumR8">#REF!</definedName>
    <definedName name="SUMR894">#REF!</definedName>
    <definedName name="SumT10">#REF!</definedName>
    <definedName name="SUMT1094">#REF!</definedName>
    <definedName name="SumT12">#REF!</definedName>
    <definedName name="SUMT1294">#REF!</definedName>
    <definedName name="SUMT14">#REF!</definedName>
    <definedName name="SumT16">#REF!</definedName>
    <definedName name="SUMT1694">#REF!</definedName>
    <definedName name="SumT20">#REF!</definedName>
    <definedName name="SUMT2094">#REF!</definedName>
    <definedName name="SumT25">#REF!</definedName>
    <definedName name="SUMT2594">#REF!</definedName>
    <definedName name="SUMT28">#REF!</definedName>
    <definedName name="SUMT2894">#REF!</definedName>
    <definedName name="SumT32">#REF!</definedName>
    <definedName name="SUMT3294">#REF!</definedName>
    <definedName name="SumT40">#REF!</definedName>
    <definedName name="SUMT4094">#REF!</definedName>
    <definedName name="SumT6">#REF!</definedName>
    <definedName name="SUMT694">#REF!</definedName>
    <definedName name="SumT8">#REF!</definedName>
    <definedName name="SUMT894">#REF!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ndry_costs">#REF!</definedName>
    <definedName name="Sundry_costs_growth">#REF!</definedName>
    <definedName name="SUNIL">#REF!</definedName>
    <definedName name="SUNIL1">#REF!</definedName>
    <definedName name="SUNIL3">#REF!</definedName>
    <definedName name="Sunk_npv">#REF!</definedName>
    <definedName name="sunk_post_tax_irr">#REF!</definedName>
    <definedName name="sunk_pre_tax_irr">#REF!</definedName>
    <definedName name="super">#REF!</definedName>
    <definedName name="super_sft">#REF!</definedName>
    <definedName name="super_sqm">#REF!</definedName>
    <definedName name="superstructurebeams">#REF!</definedName>
    <definedName name="SUPNAME">#REF!</definedName>
    <definedName name="Supplier_s_Claim">#REF!</definedName>
    <definedName name="Supply">#REF!</definedName>
    <definedName name="Supply_Skopje">#REF!</definedName>
    <definedName name="SurajKumar">#REF!</definedName>
    <definedName name="surarea2">#REF!</definedName>
    <definedName name="suresh" localSheetId="3"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ESHH">#REF!</definedName>
    <definedName name="SURYA">#REF!</definedName>
    <definedName name="SuS">#REF!</definedName>
    <definedName name="Sust_Occ">#REF!</definedName>
    <definedName name="SV">#REF!</definedName>
    <definedName name="SVF">#REF!</definedName>
    <definedName name="SVF_FLOW">#REF!</definedName>
    <definedName name="SvgsByRetirement">#REF!</definedName>
    <definedName name="SvgsforLife">#REF!</definedName>
    <definedName name="SvgsPerDay">#REF!</definedName>
    <definedName name="SvgsPerMonth">#REF!</definedName>
    <definedName name="SvgsPerYear">#REF!</definedName>
    <definedName name="SVV">#REF!</definedName>
    <definedName name="sw" localSheetId="3" hidden="1">{"offequipsch",#N/A,FALSE,"GTC_Schedule";"onconstsch",#N/A,FALSE,"GTC_Schedule";"techsch",#N/A,FALSE,"GTC_Schedule";"totsch",#N/A,FALSE,"GTC_Schedule"}</definedName>
    <definedName name="sw" hidden="1">{"offequipsch",#N/A,FALSE,"GTC_Schedule";"onconstsch",#N/A,FALSE,"GTC_Schedule";"techsch",#N/A,FALSE,"GTC_Schedule";"totsch",#N/A,FALSE,"GTC_Schedule"}</definedName>
    <definedName name="SWE">#REF!</definedName>
    <definedName name="SWF">#REF!</definedName>
    <definedName name="swf_4">#REF!</definedName>
    <definedName name="swf_4_1">#REF!</definedName>
    <definedName name="swf_6">#REF!</definedName>
    <definedName name="SWH_WALLCONCRETE">#REF!</definedName>
    <definedName name="swt">#REF!</definedName>
    <definedName name="SX" hidden="1">{#N/A,#N/A,FALSE,"CCTV"}</definedName>
    <definedName name="sxgsdf" localSheetId="3" hidden="1">{"Datos",#N/A,TRUE,"Datos"}</definedName>
    <definedName name="sxgsdf" hidden="1">{"Datos",#N/A,TRUE,"Datos"}</definedName>
    <definedName name="syu" localSheetId="3" hidden="1">{#N/A,#N/A,TRUE,"Cover";#N/A,#N/A,TRUE,"Conts";#N/A,#N/A,TRUE,"VOS";#N/A,#N/A,TRUE,"Warrington";#N/A,#N/A,TRUE,"Widnes"}</definedName>
    <definedName name="syu" hidden="1">{#N/A,#N/A,TRUE,"Cover";#N/A,#N/A,TRUE,"Conts";#N/A,#N/A,TRUE,"VOS";#N/A,#N/A,TRUE,"Warrington";#N/A,#N/A,TRUE,"Widnes"}</definedName>
    <definedName name="sz" localSheetId="3" hidden="1">{"'Break down'!$A$4"}</definedName>
    <definedName name="sz" hidden="1">{"'Break down'!$A$4"}</definedName>
    <definedName name="T">#REF!</definedName>
    <definedName name="T.01">#REF!</definedName>
    <definedName name="T.02">#REF!</definedName>
    <definedName name="T.03">#REF!</definedName>
    <definedName name="T.04">#REF!</definedName>
    <definedName name="t___0">#REF!</definedName>
    <definedName name="t___13">#REF!</definedName>
    <definedName name="T_Basic_cost">#REF!</definedName>
    <definedName name="t_o_rent_growth">#REF!</definedName>
    <definedName name="T0">#REF!</definedName>
    <definedName name="T1_">#N/A</definedName>
    <definedName name="T12_Add_RF">#REF!</definedName>
    <definedName name="T16_Add_RF">#REF!</definedName>
    <definedName name="T2_">#N/A</definedName>
    <definedName name="T25_Add_RF">#REF!</definedName>
    <definedName name="T25_Ang.Connection">#REF!</definedName>
    <definedName name="T25_Ver_Connection">#REF!</definedName>
    <definedName name="T3_">#N/A</definedName>
    <definedName name="T32_Add_RF">#REF!</definedName>
    <definedName name="T32_Ver_Connection">#REF!</definedName>
    <definedName name="T4_">#N/A</definedName>
    <definedName name="TA" hidden="1">{#N/A,#N/A,FALSE,"CCTV"}</definedName>
    <definedName name="TAB___BANQUET">#REF!</definedName>
    <definedName name="TAB_AVG_SPEND">#REF!</definedName>
    <definedName name="TAB_BANQ_ATTEND">#REF!</definedName>
    <definedName name="TAB_BANQ_COVERS">#REF!</definedName>
    <definedName name="TAB_BANQ_REV">#REF!</definedName>
    <definedName name="TAB_BANQ_SPEND">#REF!</definedName>
    <definedName name="TAB_BANQUET_REV">#REF!</definedName>
    <definedName name="TAB_FACILITIES">#REF!</definedName>
    <definedName name="TAB_IN_HOUSE">#REF!</definedName>
    <definedName name="TAB_NON_HOTEL">#REF!</definedName>
    <definedName name="TAB_OUTLET_REV">#REF!</definedName>
    <definedName name="TAB_OUTLETCOVER">#REF!</definedName>
    <definedName name="Tab_Rate_Proj">#REF!</definedName>
    <definedName name="TAB_REVSUMM1">#REF!</definedName>
    <definedName name="TAB_REVSUMM2">#REF!</definedName>
    <definedName name="TAB_REVSUMM3">#REF!</definedName>
    <definedName name="TAB_ROOM_HIRE">#REF!</definedName>
    <definedName name="TAB_SEG_RATE_GR">#REF!</definedName>
    <definedName name="Tab_Stab_Rate_2">#REF!</definedName>
    <definedName name="TAB_TOTAL_COVER">#REF!</definedName>
    <definedName name="TABLE">#REF!</definedName>
    <definedName name="Table_00">#REF!</definedName>
    <definedName name="Table_01">#REF!</definedName>
    <definedName name="Table_02">#REF!</definedName>
    <definedName name="Table_03">#REF!</definedName>
    <definedName name="Table_3_2">#REF!</definedName>
    <definedName name="Table_3_3">#REF!</definedName>
    <definedName name="Table_3_4">#REF!</definedName>
    <definedName name="Table_3_5">#REF!</definedName>
    <definedName name="Table_3_6">#REF!</definedName>
    <definedName name="Table_3_7">#REF!</definedName>
    <definedName name="Table_3_8">#REF!</definedName>
    <definedName name="Table_4_1">#REF!</definedName>
    <definedName name="Table_9_10">#REF!</definedName>
    <definedName name="Table_9_7">#REF!</definedName>
    <definedName name="Table_9_8">#REF!</definedName>
    <definedName name="Table_9_9">#REF!</definedName>
    <definedName name="Table_conv">#REF!</definedName>
    <definedName name="table_disci">#REF!</definedName>
    <definedName name="Table_repABC">#REF!</definedName>
    <definedName name="Table01">#REF!</definedName>
    <definedName name="Table02">#REF!</definedName>
    <definedName name="Table03">#REF!</definedName>
    <definedName name="Table04">#REF!</definedName>
    <definedName name="Table05">#REF!</definedName>
    <definedName name="Table06">#REF!</definedName>
    <definedName name="Table07">#REF!</definedName>
    <definedName name="Table08">#REF!</definedName>
    <definedName name="Table09">#REF!</definedName>
    <definedName name="table1">#REF!</definedName>
    <definedName name="Table10">#REF!</definedName>
    <definedName name="TABLE2">#REF!</definedName>
    <definedName name="Table3">#REF!</definedName>
    <definedName name="TableName">"Dummy"</definedName>
    <definedName name="TableRange">#REF!</definedName>
    <definedName name="TableSummary" hidden="1">#REF!</definedName>
    <definedName name="TabPene">#REF!</definedName>
    <definedName name="tabtdp">#REF!</definedName>
    <definedName name="TackCoat">#REF!</definedName>
    <definedName name="TAHOMA">#REF!</definedName>
    <definedName name="tallu">#REF!</definedName>
    <definedName name="tally">#REF!</definedName>
    <definedName name="tan" hidden="1">#REF!</definedName>
    <definedName name="TAN01_END">#REF!</definedName>
    <definedName name="TAN01_START">#REF!</definedName>
    <definedName name="TankData">#REF!</definedName>
    <definedName name="Tanya">#REF!</definedName>
    <definedName name="tap">#REF!</definedName>
    <definedName name="Target">#REF!</definedName>
    <definedName name="Target_IRR">#REF!</definedName>
    <definedName name="Target_Max_Gearing">#REF!</definedName>
    <definedName name="Target_NPV">#REF!</definedName>
    <definedName name="TASK">#REF!</definedName>
    <definedName name="TaskChairs">#REF!</definedName>
    <definedName name="TASKRSRC">#REF!</definedName>
    <definedName name="tatsu" localSheetId="3" hidden="1">{#N/A,#N/A,FALSE,"Chi tiÆt"}</definedName>
    <definedName name="tatsu" hidden="1">{#N/A,#N/A,FALSE,"Chi tiÆt"}</definedName>
    <definedName name="taux">#REF!</definedName>
    <definedName name="tax">#REF!</definedName>
    <definedName name="Tax_Exp_HY">#REF!</definedName>
    <definedName name="Tax_Exp_LY">#REF!</definedName>
    <definedName name="tax_rate">#REF!</definedName>
    <definedName name="TaxesEstim">#REF!</definedName>
    <definedName name="TaxInflation">#REF!</definedName>
    <definedName name="TaxRate">#REF!</definedName>
    <definedName name="TaxTV">10%</definedName>
    <definedName name="TaxXL">5%</definedName>
    <definedName name="TB">#REF!</definedName>
    <definedName name="tbarri">#REF!</definedName>
    <definedName name="Tbc">#REF!</definedName>
    <definedName name="tbl_ProdInfo" hidden="1">#REF!</definedName>
    <definedName name="tcant">#REF!</definedName>
    <definedName name="TCOST" localSheetId="2">#REF!</definedName>
    <definedName name="TCOST">#REF!</definedName>
    <definedName name="TCOSTB" localSheetId="2">#REF!</definedName>
    <definedName name="TCOSTB">#REF!</definedName>
    <definedName name="tcpdp">#REF!</definedName>
    <definedName name="TDS">#REF!</definedName>
    <definedName name="te">#REF!</definedName>
    <definedName name="te6e66" localSheetId="3" hidden="1">{"'Sheet1'!$L$16"}</definedName>
    <definedName name="te6e66" hidden="1">{"'Sheet1'!$L$16"}</definedName>
    <definedName name="TECHI">#REF!</definedName>
    <definedName name="Technicalbuilding">#REF!</definedName>
    <definedName name="TECHSERV">#REF!</definedName>
    <definedName name="tee">#REF!</definedName>
    <definedName name="teh" hidden="1">#REF!</definedName>
    <definedName name="tejkut">#REF!</definedName>
    <definedName name="tel">#REF!</definedName>
    <definedName name="TELEVISION">#REF!</definedName>
    <definedName name="tem" localSheetId="3"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3" hidden="1">{"'Break down'!$A$4"}</definedName>
    <definedName name="temp" hidden="1">{"'Break down'!$A$4"}</definedName>
    <definedName name="temp_app">#REF!</definedName>
    <definedName name="temp_app.prev">#REF!</definedName>
    <definedName name="temp_bax.con">#REF!</definedName>
    <definedName name="temp_bax.con.bal">#REF!</definedName>
    <definedName name="temp_bax.tot.vo">#REF!</definedName>
    <definedName name="temp_bax.uncommit">#REF!</definedName>
    <definedName name="temp_ccu.con">#REF!</definedName>
    <definedName name="temp_ccu.con.bal">#REF!</definedName>
    <definedName name="temp_ccu.fire.con">#REF!</definedName>
    <definedName name="temp_ccu.tot.vo">#REF!</definedName>
    <definedName name="temp_ccu.uncommit">#REF!</definedName>
    <definedName name="temp_ccu.vo.app">#REF!</definedName>
    <definedName name="temp_dem.con">#REF!</definedName>
    <definedName name="temp_dem.con.bal">#REF!</definedName>
    <definedName name="temp_dem.tot.vo">#REF!</definedName>
    <definedName name="temp_dem.uncommit">#REF!</definedName>
    <definedName name="Temp_Facility_Total_Cost_LC">#REF!</definedName>
    <definedName name="temp_icu.con">#REF!</definedName>
    <definedName name="temp_icu.con.bal">#REF!</definedName>
    <definedName name="temp_icu.tot.vo">#REF!</definedName>
    <definedName name="temp_icu.uncommit">#REF!</definedName>
    <definedName name="temp_icu.vo.app">#REF!</definedName>
    <definedName name="temp_pend">#REF!</definedName>
    <definedName name="temp_pend.prev">#REF!</definedName>
    <definedName name="temp_strainer">#REF!</definedName>
    <definedName name="temp_tot.con">#REF!</definedName>
    <definedName name="temp_tot.con.bal">#REF!</definedName>
    <definedName name="temp_tot.fire.con">#REF!</definedName>
    <definedName name="temp_tot.vo">#REF!</definedName>
    <definedName name="temp1" localSheetId="3"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o" localSheetId="3" hidden="1">{"'Break down'!$A$4"}</definedName>
    <definedName name="tempo" hidden="1">{"'Break down'!$A$4"}</definedName>
    <definedName name="tempoz" localSheetId="3" hidden="1">{"'Break down'!$A$4"}</definedName>
    <definedName name="tempoz" hidden="1">{"'Break down'!$A$4"}</definedName>
    <definedName name="tempz" localSheetId="3" hidden="1">{"'Break down'!$A$4"}</definedName>
    <definedName name="tempz" hidden="1">{"'Break down'!$A$4"}</definedName>
    <definedName name="TENDER_EXPENCES">#REF!</definedName>
    <definedName name="Tender_No">#REF!</definedName>
    <definedName name="tenderss">#REF!</definedName>
    <definedName name="tendons_hor">#REF!</definedName>
    <definedName name="tenycf">#REF!</definedName>
    <definedName name="Term">#REF!</definedName>
    <definedName name="TerminalCap">#REF!</definedName>
    <definedName name="TerRet">#REF!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___0">#REF!</definedName>
    <definedName name="TEs___13">#REF!</definedName>
    <definedName name="test">#REF!</definedName>
    <definedName name="TEST0" localSheetId="2">#REF!</definedName>
    <definedName name="TEST0">#REF!</definedName>
    <definedName name="Testapply">#REF!</definedName>
    <definedName name="testing">#REF!</definedName>
    <definedName name="TESTKEYS" localSheetId="2">#REF!</definedName>
    <definedName name="TESTKEYS">#REF!</definedName>
    <definedName name="TESTVKEY" localSheetId="2">#REF!</definedName>
    <definedName name="TESTVKEY">#REF!</definedName>
    <definedName name="TEt">#REF!</definedName>
    <definedName name="TEt___0">#REF!</definedName>
    <definedName name="TEt___13">#REF!</definedName>
    <definedName name="TETER" hidden="1">{#N/A,#N/A,TRUE,"Cover";#N/A,#N/A,TRUE,"Conts";#N/A,#N/A,TRUE,"VOS";#N/A,#N/A,TRUE,"Warrington";#N/A,#N/A,TRUE,"Widnes"}</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1">#REF!</definedName>
    <definedName name="TextRefCopy2">#REF!</definedName>
    <definedName name="TextRefCopyRangeCount" hidden="1">23</definedName>
    <definedName name="TF">#REF!</definedName>
    <definedName name="tfgf" hidden="1">#REF!</definedName>
    <definedName name="tg" localSheetId="3" hidden="1">{"Datos",#N/A,TRUE,"Datos"}</definedName>
    <definedName name="tg" hidden="1">{"Datos",#N/A,TRUE,"Datos"}</definedName>
    <definedName name="tgfd" hidden="1">#REF!</definedName>
    <definedName name="tghy" hidden="1">{"'Break down'!$A$4"}</definedName>
    <definedName name="th">#REF!</definedName>
    <definedName name="th_w">#REF!</definedName>
    <definedName name="thikwing">#REF!</definedName>
    <definedName name="THK">#REF!</definedName>
    <definedName name="thomas" hidden="1">#REF!</definedName>
    <definedName name="THP">#REF!</definedName>
    <definedName name="thrbgsf">#REF!</definedName>
    <definedName name="THREE">#REF!</definedName>
    <definedName name="Three_Stage_Growth_Model">#REF!</definedName>
    <definedName name="threeycf">#REF!</definedName>
    <definedName name="Threshold">#REF!</definedName>
    <definedName name="THS01_END">#REF!</definedName>
    <definedName name="THS01_START">#REF!</definedName>
    <definedName name="thwghrt" localSheetId="3" hidden="1">{#N/A,#N/A,TRUE,"Cover";#N/A,#N/A,TRUE,"Conts";#N/A,#N/A,TRUE,"VOS";#N/A,#N/A,TRUE,"Warrington";#N/A,#N/A,TRUE,"Widnes"}</definedName>
    <definedName name="thwghrt" hidden="1">{#N/A,#N/A,TRUE,"Cover";#N/A,#N/A,TRUE,"Conts";#N/A,#N/A,TRUE,"VOS";#N/A,#N/A,TRUE,"Warrington";#N/A,#N/A,TRUE,"Widnes"}</definedName>
    <definedName name="Tick_Expat">#REF!</definedName>
    <definedName name="Tick_TCNHI">#REF!</definedName>
    <definedName name="Tick_TCNLI">#REF!</definedName>
    <definedName name="TICSHT">#REF!</definedName>
    <definedName name="TICSHTS">#REF!</definedName>
    <definedName name="TierCode">#REF!</definedName>
    <definedName name="TierCode_4">#REF!</definedName>
    <definedName name="TierCode_4_1">#REF!</definedName>
    <definedName name="TierCode_6">#REF!</definedName>
    <definedName name="TierCode_Text">#REF!</definedName>
    <definedName name="TierCode_Text_4">#REF!</definedName>
    <definedName name="TierCode_Text_4_1">#REF!</definedName>
    <definedName name="TierCode_Text_6">#REF!</definedName>
    <definedName name="Tile_work">#REF!</definedName>
    <definedName name="tileaq">#REF!</definedName>
    <definedName name="TIME_OF_COMPLETION">#REF!</definedName>
    <definedName name="TIME_OF_FINAL_BILLING">#REF!</definedName>
    <definedName name="Time_stamp">34345.65111875</definedName>
    <definedName name="TIR">#REF!</definedName>
    <definedName name="TITLE">#REF!</definedName>
    <definedName name="Title1">#REF!</definedName>
    <definedName name="Title2">#REF!</definedName>
    <definedName name="title2opt1">#REF!</definedName>
    <definedName name="title2opt2">#REF!</definedName>
    <definedName name="title3">#REF!</definedName>
    <definedName name="TK">#REF!</definedName>
    <definedName name="Tl">#REF!</definedName>
    <definedName name="tm" localSheetId="3" hidden="1">{"'Break down'!$A$4"}</definedName>
    <definedName name="tm" hidden="1">{"'Break down'!$A$4"}</definedName>
    <definedName name="tmp" localSheetId="3" hidden="1">{"'Break down'!$A$4"}</definedName>
    <definedName name="tmp" hidden="1">{"'Break down'!$A$4"}</definedName>
    <definedName name="tmpz" localSheetId="3" hidden="1">{"'Break down'!$A$4"}</definedName>
    <definedName name="tmpz" hidden="1">{"'Break down'!$A$4"}</definedName>
    <definedName name="tmz" localSheetId="3" hidden="1">{"'Break down'!$A$4"}</definedName>
    <definedName name="tmz" hidden="1">{"'Break down'!$A$4"}</definedName>
    <definedName name="Tnln">#REF!</definedName>
    <definedName name="tno" localSheetId="3" hidden="1">{"'Break down'!$A$4"}</definedName>
    <definedName name="tno" hidden="1">{"'Break down'!$A$4"}</definedName>
    <definedName name="tnoz" localSheetId="3" hidden="1">{"'Break down'!$A$4"}</definedName>
    <definedName name="tnoz" hidden="1">{"'Break down'!$A$4"}</definedName>
    <definedName name="toistall">#REF!</definedName>
    <definedName name="tol">#REF!</definedName>
    <definedName name="tools">#REF!</definedName>
    <definedName name="tootoo" localSheetId="3" hidden="1">{#N/A,#N/A,FALSE,"Bericht 2";#N/A,#N/A,FALSE,"Bericht 3";#N/A,#N/A,FALSE,"Bericht 1"}</definedName>
    <definedName name="tootoo" hidden="1">{#N/A,#N/A,FALSE,"Bericht 2";#N/A,#N/A,FALSE,"Bericht 3";#N/A,#N/A,FALSE,"Bericht 1"}</definedName>
    <definedName name="Top">#REF!</definedName>
    <definedName name="Top_T25_RF_factor">#REF!</definedName>
    <definedName name="toparea1">#REF!</definedName>
    <definedName name="topl">#REF!</definedName>
    <definedName name="topn">#REF!</definedName>
    <definedName name="TopNote">#REF!</definedName>
    <definedName name="Topsoil">#REF!</definedName>
    <definedName name="Toquepala" localSheetId="3" hidden="1">{#N/A,#N/A,FALSE,"Matrix";#N/A,#N/A,FALSE,"Executive";#N/A,#N/A,FALSE,"Summary"}</definedName>
    <definedName name="Toquepala" hidden="1">{#N/A,#N/A,FALSE,"Matrix";#N/A,#N/A,FALSE,"Executive";#N/A,#N/A,FALSE,"Summary"}</definedName>
    <definedName name="Tot_Investmetn">#REF!</definedName>
    <definedName name="Tot_Pre_Proj_Rent">#REF!</definedName>
    <definedName name="total">#REF!</definedName>
    <definedName name="Total_Area">#REF!</definedName>
    <definedName name="Total_Cash_Bank">#REF!</definedName>
    <definedName name="Total_Cash_STMM">#REF!</definedName>
    <definedName name="Total_Construction_Cost">#REF!</definedName>
    <definedName name="total_cost">#REF!</definedName>
    <definedName name="Total_Creditors">#REF!</definedName>
    <definedName name="Total_Depn">#REF!</definedName>
    <definedName name="Total_IDLandS_Cost_LC">#REF!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Mandays">#REF!</definedName>
    <definedName name="total_net_rent_for_cashflow">#REF!</definedName>
    <definedName name="TOTAL_NO._OF_CEMENT_BAGS">#REF!</definedName>
    <definedName name="TOTAL_OH">#REF!</definedName>
    <definedName name="TOTAL_PCC">#REF!</definedName>
    <definedName name="TOTAL_RCC">#REF!</definedName>
    <definedName name="Total_Recvbl_Drs">#REF!</definedName>
    <definedName name="Total_Recvbl_Prepay">#REF!</definedName>
    <definedName name="Total_Replacement_Cost">#REF!</definedName>
    <definedName name="Total_Rev">#REF!</definedName>
    <definedName name="total_value">#REF!</definedName>
    <definedName name="totale">#REF!</definedName>
    <definedName name="TotalInvestmentValue">#REF!</definedName>
    <definedName name="TotalLots">#REF!</definedName>
    <definedName name="totalquote">#REF!</definedName>
    <definedName name="totalroomnights">#REF!</definedName>
    <definedName name="TotaVar_Rev">#REF!</definedName>
    <definedName name="TotaVarl_Rev">#REF!</definedName>
    <definedName name="TOTCB">#REF!</definedName>
    <definedName name="TOTCN">#REF!</definedName>
    <definedName name="TOTCS">#REF!</definedName>
    <definedName name="TOTCT">#REF!</definedName>
    <definedName name="TOTCV">#REF!</definedName>
    <definedName name="TotData">#REF!</definedName>
    <definedName name="TOTMC">#REF!</definedName>
    <definedName name="TOTME">#REF!</definedName>
    <definedName name="TOTMI">#REF!</definedName>
    <definedName name="TOTMM">#REF!</definedName>
    <definedName name="Totmonths">#REF!</definedName>
    <definedName name="TOTMP">#REF!</definedName>
    <definedName name="TOTMR">#REF!</definedName>
    <definedName name="TOTMS">#REF!</definedName>
    <definedName name="TotVData">#REF!</definedName>
    <definedName name="Toughened">#REF!</definedName>
    <definedName name="TOW01_END">#REF!</definedName>
    <definedName name="TOW01_START">#REF!</definedName>
    <definedName name="TOW011_END">#REF!</definedName>
    <definedName name="TOW011_START">#REF!</definedName>
    <definedName name="TOW02_END">#REF!</definedName>
    <definedName name="TOW02_START">#REF!</definedName>
    <definedName name="TowerA">#REF!</definedName>
    <definedName name="TowerC">#REF!</definedName>
    <definedName name="TowerCD">#REF!</definedName>
    <definedName name="Townhouse_area">#REF!</definedName>
    <definedName name="TownHouse_Rate">#REF!</definedName>
    <definedName name="tr">#REF!</definedName>
    <definedName name="trac">#REF!</definedName>
    <definedName name="Trad_npv">#REF!</definedName>
    <definedName name="trad_post_tax_irr">#REF!</definedName>
    <definedName name="trad_pre_tax_irr">#REF!</definedName>
    <definedName name="Trade_Payables">#REF!</definedName>
    <definedName name="Trade_Receivables">#REF!</definedName>
    <definedName name="TrafficSings">#REF!</definedName>
    <definedName name="train">#REF!</definedName>
    <definedName name="TransactionCosts">#REF!</definedName>
    <definedName name="Transactions_with_Group_Companies">#REF!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#REF!</definedName>
    <definedName name="TRANSFERS">#REF!</definedName>
    <definedName name="TRANSPORTATION_CHARGES">#REF!</definedName>
    <definedName name="Travellingcrane">#REF!</definedName>
    <definedName name="trbnuomi" localSheetId="3" hidden="1">{#N/A,#N/A,TRUE,"Cover";#N/A,#N/A,TRUE,"Conts";#N/A,#N/A,TRUE,"VOS";#N/A,#N/A,TRUE,"Warrington";#N/A,#N/A,TRUE,"Widnes"}</definedName>
    <definedName name="trbnuomi" hidden="1">{#N/A,#N/A,TRUE,"Cover";#N/A,#N/A,TRUE,"Conts";#N/A,#N/A,TRUE,"VOS";#N/A,#N/A,TRUE,"Warrington";#N/A,#N/A,TRUE,"Widnes"}</definedName>
    <definedName name="tre">#REF!</definedName>
    <definedName name="Trees">#REF!</definedName>
    <definedName name="TRG_BASESLABAAABL12">#REF!</definedName>
    <definedName name="TRG_BASESLABAAL1">#REF!</definedName>
    <definedName name="TRG_BASESLABABL2">#REF!</definedName>
    <definedName name="TRG_CONCRETECOLUMNST">#REF!</definedName>
    <definedName name="TRG_EXCAVATIONAAL1">#REF!</definedName>
    <definedName name="TRG_EXCAVATIONAAL1ABL2">#REF!</definedName>
    <definedName name="TRG_EXCAVATIONABL2">#REF!</definedName>
    <definedName name="TRG_ROOFSLABCONCRETEAA">#REF!</definedName>
    <definedName name="TRG_WALLCONCRETEAAL1">#REF!</definedName>
    <definedName name="TRG_WALLCONCRETEABL2">#REF!</definedName>
    <definedName name="TRG_WALLCONCRETEOVERALL">#REF!</definedName>
    <definedName name="trgr" localSheetId="3" hidden="1">{#N/A,#N/A,TRUE,"Cover";#N/A,#N/A,TRUE,"Conts";#N/A,#N/A,TRUE,"VOS";#N/A,#N/A,TRUE,"Warrington";#N/A,#N/A,TRUE,"Widnes"}</definedName>
    <definedName name="trgr" hidden="1">{#N/A,#N/A,TRUE,"Cover";#N/A,#N/A,TRUE,"Conts";#N/A,#N/A,TRUE,"VOS";#N/A,#N/A,TRUE,"Warrington";#N/A,#N/A,TRUE,"Widnes"}</definedName>
    <definedName name="trhe" localSheetId="3" hidden="1">{#N/A,#N/A,TRUE,"Cover";#N/A,#N/A,TRUE,"Conts";#N/A,#N/A,TRUE,"VOS";#N/A,#N/A,TRUE,"Warrington";#N/A,#N/A,TRUE,"Widnes"}</definedName>
    <definedName name="trhe" hidden="1">{#N/A,#N/A,TRUE,"Cover";#N/A,#N/A,TRUE,"Conts";#N/A,#N/A,TRUE,"VOS";#N/A,#N/A,TRUE,"Warrington";#N/A,#N/A,TRUE,"Widnes"}</definedName>
    <definedName name="trhgf" localSheetId="3" hidden="1">{"Datos",#N/A,TRUE,"Datos"}</definedName>
    <definedName name="trhgf" hidden="1">{"Datos",#N/A,TRUE,"Datos"}</definedName>
    <definedName name="trhgfnh" localSheetId="3" hidden="1">{"Datos",#N/A,TRUE,"Datos"}</definedName>
    <definedName name="trhgfnh" hidden="1">{"Datos",#N/A,TRUE,"Datos"}</definedName>
    <definedName name="trhsh" localSheetId="3" hidden="1">{#N/A,#N/A,TRUE,"Cover";#N/A,#N/A,TRUE,"Conts";#N/A,#N/A,TRUE,"VOS";#N/A,#N/A,TRUE,"Warrington";#N/A,#N/A,TRUE,"Widnes"}</definedName>
    <definedName name="trhsh" hidden="1">{#N/A,#N/A,TRUE,"Cover";#N/A,#N/A,TRUE,"Conts";#N/A,#N/A,TRUE,"VOS";#N/A,#N/A,TRUE,"Warrington";#N/A,#N/A,TRUE,"Widnes"}</definedName>
    <definedName name="trhsw" localSheetId="3" hidden="1">{#N/A,#N/A,TRUE,"Cover";#N/A,#N/A,TRUE,"Conts";#N/A,#N/A,TRUE,"VOS";#N/A,#N/A,TRUE,"Warrington";#N/A,#N/A,TRUE,"Widnes"}</definedName>
    <definedName name="trhsw" hidden="1">{#N/A,#N/A,TRUE,"Cover";#N/A,#N/A,TRUE,"Conts";#N/A,#N/A,TRUE,"VOS";#N/A,#N/A,TRUE,"Warrington";#N/A,#N/A,TRUE,"Widnes"}</definedName>
    <definedName name="TRIAL">#REF!</definedName>
    <definedName name="trif" hidden="1">{#N/A,#N/A,TRUE,"Front";#N/A,#N/A,TRUE,"Simple Letter";#N/A,#N/A,TRUE,"Inside";#N/A,#N/A,TRUE,"Contents";#N/A,#N/A,TRUE,"Basis";#N/A,#N/A,TRUE,"Inclusions";#N/A,#N/A,TRUE,"Exclusions";#N/A,#N/A,TRUE,"Areas";#N/A,#N/A,TRUE,"Summary";#N/A,#N/A,TRUE,"Detail"}</definedName>
    <definedName name="trsh" localSheetId="3" hidden="1">{"Datos",#N/A,TRUE,"Datos"}</definedName>
    <definedName name="trsh" hidden="1">{"Datos",#N/A,TRUE,"Datos"}</definedName>
    <definedName name="trtg" localSheetId="3" hidden="1">{"MF-601",#N/A,TRUE,"MANT-EX-B(fJ)";"MF-602",#N/A,TRUE,"ELECTR-FJ(B)";"MF-603",#N/A,TRUE,"PERSONAL(FJ)B";"MF-604",#N/A,TRUE,"REACT-P(B)";"MF-6XX",#N/A,TRUE,"Resumen";"MF-605",#N/A,TRUE,"OTR-COS.FJ(B)"}</definedName>
    <definedName name="trtg" hidden="1">{"MF-601",#N/A,TRUE,"MANT-EX-B(fJ)";"MF-602",#N/A,TRUE,"ELECTR-FJ(B)";"MF-603",#N/A,TRUE,"PERSONAL(FJ)B";"MF-604",#N/A,TRUE,"REACT-P(B)";"MF-6XX",#N/A,TRUE,"Resumen";"MF-605",#N/A,TRUE,"OTR-COS.FJ(B)"}</definedName>
    <definedName name="trtyy" localSheetId="3" hidden="1">{"MF-601",#N/A,TRUE,"MANT-EX-B(fJ)";"MF-602",#N/A,TRUE,"ELECTR-FJ(B)";"MF-603",#N/A,TRUE,"PERSONAL(FJ)B";"MF-604",#N/A,TRUE,"REACT-P(B)";"MF-6XX",#N/A,TRUE,"Resumen";"MF-605",#N/A,TRUE,"OTR-COS.FJ(B)"}</definedName>
    <definedName name="trtyy" hidden="1">{"MF-601",#N/A,TRUE,"MANT-EX-B(fJ)";"MF-602",#N/A,TRUE,"ELECTR-FJ(B)";"MF-603",#N/A,TRUE,"PERSONAL(FJ)B";"MF-604",#N/A,TRUE,"REACT-P(B)";"MF-6XX",#N/A,TRUE,"Resumen";"MF-605",#N/A,TRUE,"OTR-COS.FJ(B)"}</definedName>
    <definedName name="TRUNK">#REF!</definedName>
    <definedName name="try">#REF!</definedName>
    <definedName name="tryerw123">#REF!</definedName>
    <definedName name="tS">#REF!</definedName>
    <definedName name="tS___0">#REF!</definedName>
    <definedName name="tS___13">#REF!</definedName>
    <definedName name="TSCH">#REF!</definedName>
    <definedName name="tsidewlk">#REF!</definedName>
    <definedName name="TSUPPOT" hidden="1">{#N/A,#N/A,FALSE,"CCTV"}</definedName>
    <definedName name="TSUPPOT1" hidden="1">{#N/A,#N/A,FALSE,"CCTV"}</definedName>
    <definedName name="tt"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rtt">#REF!</definedName>
    <definedName name="ttt">#REF!</definedName>
    <definedName name="tttki" localSheetId="3" hidden="1">{"'Sheet1'!$L$16"}</definedName>
    <definedName name="tttki" hidden="1">{"'Sheet1'!$L$16"}</definedName>
    <definedName name="tttm" localSheetId="3" hidden="1">{"'Sheet1'!$L$16"}</definedName>
    <definedName name="tttm" hidden="1">{"'Sheet1'!$L$16"}</definedName>
    <definedName name="TTTT" localSheetId="3" hidden="1">{#N/A,#N/A,TRUE,"Cover";#N/A,#N/A,TRUE,"Conts";#N/A,#N/A,TRUE,"VOS";#N/A,#N/A,TRUE,"Warrington";#N/A,#N/A,TRUE,"Widnes"}</definedName>
    <definedName name="TTTT" hidden="1">{#N/A,#N/A,TRUE,"Cover";#N/A,#N/A,TRUE,"Conts";#N/A,#N/A,TRUE,"VOS";#N/A,#N/A,TRUE,"Warrington";#N/A,#N/A,TRUE,"Widnes"}</definedName>
    <definedName name="ttttki" localSheetId="3" hidden="1">{"'Sheet1'!$L$16"}</definedName>
    <definedName name="ttttki" hidden="1">{"'Sheet1'!$L$16"}</definedName>
    <definedName name="ttttl" localSheetId="3" hidden="1">{"'Sheet1'!$L$16"}</definedName>
    <definedName name="ttttl" hidden="1">{"'Sheet1'!$L$16"}</definedName>
    <definedName name="ttttt">#REF!</definedName>
    <definedName name="tttttttt">#REF!</definedName>
    <definedName name="ttttttttt">#REF!</definedName>
    <definedName name="tttttttttttttt">#REF!</definedName>
    <definedName name="tttttttttttttttttttt">#REF!</definedName>
    <definedName name="TUBE" hidden="1">{#N/A,#N/A,FALSE,"CCTV"}</definedName>
    <definedName name="TUES1">#REF!</definedName>
    <definedName name="tui" localSheetId="3" hidden="1">{#N/A,#N/A,TRUE,"Cover";#N/A,#N/A,TRUE,"Conts";#N/A,#N/A,TRUE,"VOS";#N/A,#N/A,TRUE,"Warrington";#N/A,#N/A,TRUE,"Widnes"}</definedName>
    <definedName name="tui" hidden="1">{#N/A,#N/A,TRUE,"Cover";#N/A,#N/A,TRUE,"Conts";#N/A,#N/A,TRUE,"VOS";#N/A,#N/A,TRUE,"Warrington";#N/A,#N/A,TRUE,"Widnes"}</definedName>
    <definedName name="tuiop" localSheetId="3" hidden="1">{#N/A,#N/A,FALSE,"SUBS";#N/A,#N/A,FALSE,"SUPERS";#N/A,#N/A,FALSE,"FINISHES";#N/A,#N/A,FALSE,"FITTINGS";#N/A,#N/A,FALSE,"SERVICES";#N/A,#N/A,FALSE,"SITEWORKS"}</definedName>
    <definedName name="tuiop" hidden="1">{#N/A,#N/A,FALSE,"SUBS";#N/A,#N/A,FALSE,"SUPERS";#N/A,#N/A,FALSE,"FINISHES";#N/A,#N/A,FALSE,"FITTINGS";#N/A,#N/A,FALSE,"SERVICES";#N/A,#N/A,FALSE,"SITEWORKS"}</definedName>
    <definedName name="tuite" localSheetId="3" hidden="1">{#N/A,#N/A,TRUE,"Cover";#N/A,#N/A,TRUE,"Conts";#N/A,#N/A,TRUE,"VOS";#N/A,#N/A,TRUE,"Warrington";#N/A,#N/A,TRUE,"Widnes"}</definedName>
    <definedName name="tuite" hidden="1">{#N/A,#N/A,TRUE,"Cover";#N/A,#N/A,TRUE,"Conts";#N/A,#N/A,TRUE,"VOS";#N/A,#N/A,TRUE,"Warrington";#N/A,#N/A,TRUE,"Widnes"}</definedName>
    <definedName name="tulip">#REF!</definedName>
    <definedName name="TUR01_END">#REF!</definedName>
    <definedName name="TUR01_START">#REF!</definedName>
    <definedName name="TUR02_END">#REF!</definedName>
    <definedName name="TUR02_START">#REF!</definedName>
    <definedName name="TUR03_END">#REF!</definedName>
    <definedName name="TUR03_START">#REF!</definedName>
    <definedName name="TUR04_END">#REF!</definedName>
    <definedName name="TUR04_START">#REF!</definedName>
    <definedName name="TUR05_END">#REF!</definedName>
    <definedName name="TUR05_START">#REF!</definedName>
    <definedName name="TUR06_END">#REF!</definedName>
    <definedName name="TUR06_START">#REF!</definedName>
    <definedName name="Turf">#REF!</definedName>
    <definedName name="Turk">#REF!</definedName>
    <definedName name="Turnover">#REF!</definedName>
    <definedName name="Turnover_Yr1">#REF!</definedName>
    <definedName name="Turnover_Yr2">#REF!</definedName>
    <definedName name="Turnover_Yr3">#REF!</definedName>
    <definedName name="Turnover_Yr4">#REF!</definedName>
    <definedName name="Turnover_Yr5">#REF!</definedName>
    <definedName name="Turnover_Yr6">#REF!</definedName>
    <definedName name="TURO1_START">#REF!</definedName>
    <definedName name="TUTTO" hidden="1">{#N/A,#N/A,FALSE,"WBS 1°";#N/A,#N/A,FALSE,"WBS Units "}</definedName>
    <definedName name="TV" hidden="1">{#N/A,#N/A,FALSE,"CCTV"}</definedName>
    <definedName name="TVA">#REF!</definedName>
    <definedName name="tvtyiuoujl" localSheetId="3" hidden="1">{#N/A,#N/A,TRUE,"Cover";#N/A,#N/A,TRUE,"Conts";#N/A,#N/A,TRUE,"VOS";#N/A,#N/A,TRUE,"Warrington";#N/A,#N/A,TRUE,"Widnes"}</definedName>
    <definedName name="tvtyiuoujl" hidden="1">{#N/A,#N/A,TRUE,"Cover";#N/A,#N/A,TRUE,"Conts";#N/A,#N/A,TRUE,"VOS";#N/A,#N/A,TRUE,"Warrington";#N/A,#N/A,TRUE,"Widnes"}</definedName>
    <definedName name="TVV">#REF!</definedName>
    <definedName name="TW">#REF!</definedName>
    <definedName name="twentytwo">#REF!</definedName>
    <definedName name="TWO">#REF!</definedName>
    <definedName name="twosp">#REF!</definedName>
    <definedName name="tx">#REF!</definedName>
    <definedName name="txcomp">#REF!</definedName>
    <definedName name="txind">#REF!</definedName>
    <definedName name="ty" localSheetId="3" hidden="1">{#N/A,#N/A,TRUE,"Cover";#N/A,#N/A,TRUE,"Conts";#N/A,#N/A,TRUE,"VOS";#N/A,#N/A,TRUE,"Warrington";#N/A,#N/A,TRUE,"Widnes"}</definedName>
    <definedName name="ty" hidden="1">{#N/A,#N/A,TRUE,"Cover";#N/A,#N/A,TRUE,"Conts";#N/A,#N/A,TRUE,"VOS";#N/A,#N/A,TRUE,"Warrington";#N/A,#N/A,TRUE,"Widnes"}</definedName>
    <definedName name="tyejht">#REF!</definedName>
    <definedName name="tyieeeeeeeeeee">#REF!</definedName>
    <definedName name="tyjty"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pe">#REF!</definedName>
    <definedName name="Type1">#REF!</definedName>
    <definedName name="type2">#REF!</definedName>
    <definedName name="Type3">#REF!</definedName>
    <definedName name="type333">#REF!</definedName>
    <definedName name="tytjj" localSheetId="3" hidden="1">{"Datos",#N/A,TRUE,"Datos"}</definedName>
    <definedName name="tytjj" hidden="1">{"Datos",#N/A,TRUE,"Datos"}</definedName>
    <definedName name="tytjy" localSheetId="3" hidden="1">{"MF-601",#N/A,TRUE,"MANT-EX-B(fJ)";"MF-602",#N/A,TRUE,"ELECTR-FJ(B)";"MF-603",#N/A,TRUE,"PERSONAL(FJ)B";"MF-604",#N/A,TRUE,"REACT-P(B)";"MF-6XX",#N/A,TRUE,"Resumen";"MF-605",#N/A,TRUE,"OTR-COS.FJ(B)"}</definedName>
    <definedName name="tytjy" hidden="1">{"MF-601",#N/A,TRUE,"MANT-EX-B(fJ)";"MF-602",#N/A,TRUE,"ELECTR-FJ(B)";"MF-603",#N/A,TRUE,"PERSONAL(FJ)B";"MF-604",#N/A,TRUE,"REACT-P(B)";"MF-6XX",#N/A,TRUE,"Resumen";"MF-605",#N/A,TRUE,"OTR-COS.FJ(B)"}</definedName>
    <definedName name="tyu" localSheetId="3"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tyui" hidden="1">{#N/A,#N/A,TRUE,"Cover";#N/A,#N/A,TRUE,"Conts";#N/A,#N/A,TRUE,"VOS";#N/A,#N/A,TRUE,"Warrington";#N/A,#N/A,TRUE,"Widnes"}</definedName>
    <definedName name="TYUIOPLK" hidden="1">{#N/A,#N/A,TRUE,"Cover";#N/A,#N/A,TRUE,"Conts";#N/A,#N/A,TRUE,"VOS";#N/A,#N/A,TRUE,"Warrington";#N/A,#N/A,TRUE,"Widnes"}</definedName>
    <definedName name="tyunhg" hidden="1">{#N/A,#N/A,TRUE,"Cover";#N/A,#N/A,TRUE,"Conts";#N/A,#N/A,TRUE,"VOS";#N/A,#N/A,TRUE,"Warrington";#N/A,#N/A,TRUE,"Widnes"}</definedName>
    <definedName name="tyutri" localSheetId="3" hidden="1">{#N/A,#N/A,TRUE,"Cover";#N/A,#N/A,TRUE,"Conts";#N/A,#N/A,TRUE,"VOS";#N/A,#N/A,TRUE,"Warrington";#N/A,#N/A,TRUE,"Widnes"}</definedName>
    <definedName name="tyutri" hidden="1">{#N/A,#N/A,TRUE,"Cover";#N/A,#N/A,TRUE,"Conts";#N/A,#N/A,TRUE,"VOS";#N/A,#N/A,TRUE,"Warrington";#N/A,#N/A,TRUE,"Widnes"}</definedName>
    <definedName name="tyyyyy">#REF!</definedName>
    <definedName name="U">#REF!</definedName>
    <definedName name="U.60">#REF!</definedName>
    <definedName name="UAA_END">#REF!</definedName>
    <definedName name="UAA_START">#REF!</definedName>
    <definedName name="UAA01_END">#REF!</definedName>
    <definedName name="UAA01_START">#REF!</definedName>
    <definedName name="UAB_END">#REF!</definedName>
    <definedName name="UAB_START">#REF!</definedName>
    <definedName name="UAB01_END">#REF!</definedName>
    <definedName name="UAB01_START">#REF!</definedName>
    <definedName name="UAC_END">#REF!</definedName>
    <definedName name="UAC_START">#REF!</definedName>
    <definedName name="UAG_END">#REF!</definedName>
    <definedName name="UAG_START">#REF!</definedName>
    <definedName name="UAG01_END">#REF!</definedName>
    <definedName name="UAG01_START">#REF!</definedName>
    <definedName name="UAG02_END">#REF!</definedName>
    <definedName name="UAG02_START">#REF!</definedName>
    <definedName name="UAG03_END">#REF!</definedName>
    <definedName name="UAG03_START">#REF!</definedName>
    <definedName name="UAG04_END">#REF!</definedName>
    <definedName name="UAG04_START">#REF!</definedName>
    <definedName name="UAX_END">#REF!</definedName>
    <definedName name="UAX_START">#REF!</definedName>
    <definedName name="UB" hidden="1">{#N/A,#N/A,FALSE,"CCTV"}</definedName>
    <definedName name="UBA_END">#REF!</definedName>
    <definedName name="UBA_START">#REF!</definedName>
    <definedName name="UBA01_END">#REF!</definedName>
    <definedName name="UBA01_START">#REF!</definedName>
    <definedName name="ubaid" localSheetId="3" hidden="1">{#N/A,#N/A,FALSE,"VCR"}</definedName>
    <definedName name="ubaid" hidden="1">{#N/A,#N/A,FALSE,"VCR"}</definedName>
    <definedName name="Ubaide" localSheetId="3" hidden="1">{#N/A,#N/A,FALSE,"VCR"}</definedName>
    <definedName name="Ubaide" hidden="1">{#N/A,#N/A,FALSE,"VCR"}</definedName>
    <definedName name="UBArea">#REF!</definedName>
    <definedName name="UBC_END">#REF!</definedName>
    <definedName name="UBC_START">#REF!</definedName>
    <definedName name="UBC01_END">#REF!</definedName>
    <definedName name="UBC01_START">#REF!</definedName>
    <definedName name="UBF_END">#REF!</definedName>
    <definedName name="UBF_START">#REF!</definedName>
    <definedName name="UBPerimeter">#REF!</definedName>
    <definedName name="UBX_END">#REF!</definedName>
    <definedName name="UBX_START">#REF!</definedName>
    <definedName name="UC_Mnhr">#REF!</definedName>
    <definedName name="UCA_END">#REF!</definedName>
    <definedName name="UCA_START">#REF!</definedName>
    <definedName name="ucb_end">#REF!</definedName>
    <definedName name="ucb_start">#REF!</definedName>
    <definedName name="UDB_END">#REF!</definedName>
    <definedName name="UDB_START">#REF!</definedName>
    <definedName name="UDN_END">#REF!</definedName>
    <definedName name="Udor">#REF!</definedName>
    <definedName name="UEH_END">#REF!</definedName>
    <definedName name="UEH_START">#REF!</definedName>
    <definedName name="UEJ_END">#REF!</definedName>
    <definedName name="UEJ_START">#REF!</definedName>
    <definedName name="UEL_END">#REF!</definedName>
    <definedName name="UEL_START">#REF!</definedName>
    <definedName name="UEM_END">#REF!</definedName>
    <definedName name="UEM_START">#REF!</definedName>
    <definedName name="UEM01_END">#REF!</definedName>
    <definedName name="UEM01_START">#REF!</definedName>
    <definedName name="UEM02_END">#REF!</definedName>
    <definedName name="UEM02_START">#REF!</definedName>
    <definedName name="UEM03_END">#REF!</definedName>
    <definedName name="UEM03_START">#REF!</definedName>
    <definedName name="UEM04_END">#REF!</definedName>
    <definedName name="UEM04_START">#REF!</definedName>
    <definedName name="UEM05_END">#REF!</definedName>
    <definedName name="UEM05_START">#REF!</definedName>
    <definedName name="UEM06_END">#REF!</definedName>
    <definedName name="UEM06_START">#REF!</definedName>
    <definedName name="UEM07_END">#REF!</definedName>
    <definedName name="UEM07_START">#REF!</definedName>
    <definedName name="UEN_END">#REF!</definedName>
    <definedName name="UEN_START">#REF!</definedName>
    <definedName name="UEN01_END">#REF!</definedName>
    <definedName name="UEN01_START">#REF!</definedName>
    <definedName name="uert" hidden="1">{#N/A,#N/A,TRUE,"Cover";#N/A,#N/A,TRUE,"Conts";#N/A,#N/A,TRUE,"VOS";#N/A,#N/A,TRUE,"Warrington";#N/A,#N/A,TRUE,"Widnes"}</definedName>
    <definedName name="UEX">#REF!</definedName>
    <definedName name="UEX_END">#REF!</definedName>
    <definedName name="UEX_START">#REF!</definedName>
    <definedName name="UEZ_END">#REF!</definedName>
    <definedName name="UEZ_START">#REF!</definedName>
    <definedName name="UEZ01_END">#REF!</definedName>
    <definedName name="UEZ01_START">#REF!</definedName>
    <definedName name="UGA_END">#REF!</definedName>
    <definedName name="UGA_START">#REF!</definedName>
    <definedName name="UGD_END">#REF!</definedName>
    <definedName name="UGD_START">#REF!</definedName>
    <definedName name="UGD01_END">#REF!</definedName>
    <definedName name="UGD01_START">#REF!</definedName>
    <definedName name="UGD02_END">#REF!</definedName>
    <definedName name="UGD02_START">#REF!</definedName>
    <definedName name="UGD03_END">#REF!</definedName>
    <definedName name="UGD03_START">#REF!</definedName>
    <definedName name="UGD10_END">#REF!</definedName>
    <definedName name="UGD10_START">#REF!</definedName>
    <definedName name="UGE_END">#REF!</definedName>
    <definedName name="UGE_START">#REF!</definedName>
    <definedName name="UGE01_END">#REF!</definedName>
    <definedName name="UGE01_START">#REF!</definedName>
    <definedName name="UGG_END">#REF!</definedName>
    <definedName name="UGG_START">#REF!</definedName>
    <definedName name="UGH_END">#REF!</definedName>
    <definedName name="UGH_START">#REF!</definedName>
    <definedName name="UGN">#REF!</definedName>
    <definedName name="UGN_END">#REF!</definedName>
    <definedName name="UGN_ENN">#REF!</definedName>
    <definedName name="UGN_START">#REF!</definedName>
    <definedName name="UGN01_END">#REF!</definedName>
    <definedName name="UGN01_START">#REF!</definedName>
    <definedName name="UGP">#REF!</definedName>
    <definedName name="UGP_END">#REF!</definedName>
    <definedName name="UGP_START">#REF!</definedName>
    <definedName name="UGQ_END">#REF!</definedName>
    <definedName name="UGQ_START">#REF!</definedName>
    <definedName name="UGR_END">#REF!</definedName>
    <definedName name="UGR_START">#REF!</definedName>
    <definedName name="UGU_END">#REF!</definedName>
    <definedName name="UGU_START">#REF!</definedName>
    <definedName name="UGU01_END">#REF!</definedName>
    <definedName name="UGU01_START">#REF!</definedName>
    <definedName name="UGV_END">#REF!</definedName>
    <definedName name="UGV_START">#REF!</definedName>
    <definedName name="UGV01_EN">#REF!</definedName>
    <definedName name="UGV01_END">#REF!</definedName>
    <definedName name="UGV01_START">#REF!</definedName>
    <definedName name="UGV02_END">#REF!</definedName>
    <definedName name="UGV02_START">#REF!</definedName>
    <definedName name="UGV03_END">#REF!</definedName>
    <definedName name="UGV03_START">#REF!</definedName>
    <definedName name="UGX_END">#REF!</definedName>
    <definedName name="UGX_START">#REF!</definedName>
    <definedName name="UGZ_END">#REF!</definedName>
    <definedName name="UGZ_START">#REF!</definedName>
    <definedName name="UHA_END">#REF!</definedName>
    <definedName name="UHA_START">#REF!</definedName>
    <definedName name="UHA01_END">#REF!</definedName>
    <definedName name="UHA01_START">#REF!</definedName>
    <definedName name="UHA02_END">#REF!</definedName>
    <definedName name="UHA02_START">#REF!</definedName>
    <definedName name="UHA03_END">#REF!</definedName>
    <definedName name="UHA03_START">#REF!</definedName>
    <definedName name="UHA04_END">#REF!</definedName>
    <definedName name="UHA04_START">#REF!</definedName>
    <definedName name="UHA05_END">#REF!</definedName>
    <definedName name="UHA05_START">#REF!</definedName>
    <definedName name="uhhtrytrs" localSheetId="3" hidden="1">{#N/A,#N/A,TRUE,"Cover";#N/A,#N/A,TRUE,"Conts";#N/A,#N/A,TRUE,"VOS";#N/A,#N/A,TRUE,"Warrington";#N/A,#N/A,TRUE,"Widnes"}</definedName>
    <definedName name="uhhtrytrs" hidden="1">{#N/A,#N/A,TRUE,"Cover";#N/A,#N/A,TRUE,"Conts";#N/A,#N/A,TRUE,"VOS";#N/A,#N/A,TRUE,"Warrington";#N/A,#N/A,TRUE,"Widnes"}</definedName>
    <definedName name="uhkvhj" localSheetId="3" hidden="1">{"MF-601",#N/A,TRUE,"MANT-EX-B(fJ)";"MF-602",#N/A,TRUE,"ELECTR-FJ(B)";"MF-603",#N/A,TRUE,"PERSONAL(FJ)B";"MF-604",#N/A,TRUE,"REACT-P(B)";"MF-6XX",#N/A,TRUE,"Resumen";"MF-605",#N/A,TRUE,"OTR-COS.FJ(B)"}</definedName>
    <definedName name="uhkvhj" hidden="1">{"MF-601",#N/A,TRUE,"MANT-EX-B(fJ)";"MF-602",#N/A,TRUE,"ELECTR-FJ(B)";"MF-603",#N/A,TRUE,"PERSONAL(FJ)B";"MF-604",#N/A,TRUE,"REACT-P(B)";"MF-6XX",#N/A,TRUE,"Resumen";"MF-605",#N/A,TRUE,"OTR-COS.FJ(B)"}</definedName>
    <definedName name="UHN_END">#REF!</definedName>
    <definedName name="UHN_START">#REF!</definedName>
    <definedName name="UHN01_END">#REF!</definedName>
    <definedName name="UHN01_START">#REF!</definedName>
    <definedName name="UHN02_END">#REF!</definedName>
    <definedName name="UHN02_START">#REF!</definedName>
    <definedName name="UHQ_END">#REF!</definedName>
    <definedName name="UHQ_START">#REF!</definedName>
    <definedName name="UHQ01_END">#REF!</definedName>
    <definedName name="UHQ01_START">#REF!</definedName>
    <definedName name="UHQ02_END">#REF!</definedName>
    <definedName name="UHQ02_START">#REF!</definedName>
    <definedName name="UHV_END">#REF!</definedName>
    <definedName name="UHV_START">#REF!</definedName>
    <definedName name="UHX_END">#REF!</definedName>
    <definedName name="UHX_START">#REF!</definedName>
    <definedName name="UHX01_END">#REF!</definedName>
    <definedName name="UHX01_START">#REF!</definedName>
    <definedName name="UHZ_END">#REF!</definedName>
    <definedName name="UHZ_START">#REF!</definedName>
    <definedName name="uic" hidden="1">{#N/A,#N/A,TRUE,"Cover";#N/A,#N/A,TRUE,"Conts";#N/A,#N/A,TRUE,"VOS";#N/A,#N/A,TRUE,"Warrington";#N/A,#N/A,TRUE,"Widnes"}</definedName>
    <definedName name="uilñioñ"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o" hidden="1">{#N/A,#N/A,TRUE,"Cover";#N/A,#N/A,TRUE,"Conts";#N/A,#N/A,TRUE,"VOS";#N/A,#N/A,TRUE,"Warrington";#N/A,#N/A,TRUE,"Widnes"}</definedName>
    <definedName name="uiop" localSheetId="3"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3"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3"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it" localSheetId="3" hidden="1">{#N/A,#N/A,TRUE,"Cover";#N/A,#N/A,TRUE,"Conts";#N/A,#N/A,TRUE,"VOS";#N/A,#N/A,TRUE,"Warrington";#N/A,#N/A,TRUE,"Widnes"}</definedName>
    <definedName name="uit" hidden="1">{#N/A,#N/A,TRUE,"Cover";#N/A,#N/A,TRUE,"Conts";#N/A,#N/A,TRUE,"VOS";#N/A,#N/A,TRUE,"Warrington";#N/A,#N/A,TRUE,"Widnes"}</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localSheetId="3" hidden="1">{#N/A,#N/A,TRUE,"Cover";#N/A,#N/A,TRUE,"Conts";#N/A,#N/A,TRUE,"VOS";#N/A,#N/A,TRUE,"Warrington";#N/A,#N/A,TRUE,"Widnes"}</definedName>
    <definedName name="uiuif" hidden="1">{#N/A,#N/A,TRUE,"Cover";#N/A,#N/A,TRUE,"Conts";#N/A,#N/A,TRUE,"VOS";#N/A,#N/A,TRUE,"Warrington";#N/A,#N/A,TRUE,"Widnes"}</definedName>
    <definedName name="uiyuitii" localSheetId="3" hidden="1">{#N/A,#N/A,TRUE,"Cover";#N/A,#N/A,TRUE,"Conts";#N/A,#N/A,TRUE,"VOS";#N/A,#N/A,TRUE,"Warrington";#N/A,#N/A,TRUE,"Widnes"}</definedName>
    <definedName name="uiyuitii" hidden="1">{#N/A,#N/A,TRUE,"Cover";#N/A,#N/A,TRUE,"Conts";#N/A,#N/A,TRUE,"VOS";#N/A,#N/A,TRUE,"Warrington";#N/A,#N/A,TRUE,"Widnes"}</definedName>
    <definedName name="uj" localSheetId="3"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i" hidden="1">{#N/A,#N/A,TRUE,"Cover";#N/A,#N/A,TRUE,"Conts";#N/A,#N/A,TRUE,"VOS";#N/A,#N/A,TRUE,"Warrington";#N/A,#N/A,TRUE,"Widnes"}</definedName>
    <definedName name="ujn" hidden="1">{#N/A,#N/A,TRUE,"Cover";#N/A,#N/A,TRUE,"Conts";#N/A,#N/A,TRUE,"VOS";#N/A,#N/A,TRUE,"Warrington";#N/A,#N/A,TRUE,"Widnes"}</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 hidden="1">{#N/A,#N/A,TRUE,"Cover";#N/A,#N/A,TRUE,"Conts";#N/A,#N/A,TRUE,"VOS";#N/A,#N/A,TRUE,"Warrington";#N/A,#N/A,TRUE,"Widnes"}</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A_END">#REF!</definedName>
    <definedName name="ULA_START">#REF!</definedName>
    <definedName name="ulppuipui" localSheetId="3" hidden="1">{#N/A,#N/A,TRUE,"Cover";#N/A,#N/A,TRUE,"Conts";#N/A,#N/A,TRUE,"VOS";#N/A,#N/A,TRUE,"Warrington";#N/A,#N/A,TRUE,"Widnes"}</definedName>
    <definedName name="ulppuipui" hidden="1">{#N/A,#N/A,TRUE,"Cover";#N/A,#N/A,TRUE,"Conts";#N/A,#N/A,TRUE,"VOS";#N/A,#N/A,TRUE,"Warrington";#N/A,#N/A,TRUE,"Widnes"}</definedName>
    <definedName name="ULX_END">#REF!</definedName>
    <definedName name="ULX_START">#REF!</definedName>
    <definedName name="UMA">#REF!</definedName>
    <definedName name="uma_end">#REF!</definedName>
    <definedName name="UMA_START">#REF!</definedName>
    <definedName name="UMA01_END">#REF!</definedName>
    <definedName name="UMA01_START">#REF!</definedName>
    <definedName name="umb_end">#REF!</definedName>
    <definedName name="UMB_START">#REF!</definedName>
    <definedName name="UMB01_END">#REF!</definedName>
    <definedName name="UMB01_START">#REF!</definedName>
    <definedName name="UMB02_END">#REF!</definedName>
    <definedName name="UMB02_START">#REF!</definedName>
    <definedName name="UMJ_END">#REF!</definedName>
    <definedName name="UMJ_START">#REF!</definedName>
    <definedName name="UMJ01_END">#REF!</definedName>
    <definedName name="UMJ01_START">#REF!</definedName>
    <definedName name="UMM_END">#REF!</definedName>
    <definedName name="UMM_START">#REF!</definedName>
    <definedName name="UMM10_END">#REF!</definedName>
    <definedName name="UMM10_START">#REF!</definedName>
    <definedName name="UMN_END">#REF!</definedName>
    <definedName name="UMN_START">#REF!</definedName>
    <definedName name="UMP_END">#REF!</definedName>
    <definedName name="UMP_START">#REF!</definedName>
    <definedName name="UMX_END">#REF!</definedName>
    <definedName name="UMX_START">#REF!</definedName>
    <definedName name="UMX01_end">#REF!</definedName>
    <definedName name="UMX01_start">#REF!</definedName>
    <definedName name="UMX02_END">#REF!</definedName>
    <definedName name="UMX02_START">#REF!</definedName>
    <definedName name="UMX03_END">#REF!</definedName>
    <definedName name="UMX03_START">#REF!</definedName>
    <definedName name="UMY_END">#REF!</definedName>
    <definedName name="UMY_START">#REF!</definedName>
    <definedName name="Unaccom">#REF!</definedName>
    <definedName name="unaccom1">#REF!</definedName>
    <definedName name="Unaccom2">#REF!</definedName>
    <definedName name="undo" hidden="1">{#N/A,#N/A,TRUE,"Cover";#N/A,#N/A,TRUE,"Conts";#N/A,#N/A,TRUE,"VOS";#N/A,#N/A,TRUE,"Warrington";#N/A,#N/A,TRUE,"Widnes"}</definedName>
    <definedName name="Unfurnished_Apartments_Cost">#REF!</definedName>
    <definedName name="Unfurnished_Apartments_Rents">#REF!</definedName>
    <definedName name="ung" hidden="1">{#N/A,#N/A,TRUE,"Cover";#N/A,#N/A,TRUE,"Conts";#N/A,#N/A,TRUE,"VOS";#N/A,#N/A,TRUE,"Warrington";#N/A,#N/A,TRUE,"Widnes"}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e">#REF!</definedName>
    <definedName name="UNITS">#REF!</definedName>
    <definedName name="UnitsList">#REF!</definedName>
    <definedName name="unsecured">#REF!</definedName>
    <definedName name="uoihg" localSheetId="3" hidden="1">{"'Sheet1'!$L$16"}</definedName>
    <definedName name="uoihg" hidden="1">{"'Sheet1'!$L$16"}</definedName>
    <definedName name="uolougouio" localSheetId="3" hidden="1">{#N/A,#N/A,TRUE,"Cover";#N/A,#N/A,TRUE,"Conts";#N/A,#N/A,TRUE,"VOS";#N/A,#N/A,TRUE,"Warrington";#N/A,#N/A,TRUE,"Widnes"}</definedName>
    <definedName name="uolougouio" hidden="1">{#N/A,#N/A,TRUE,"Cover";#N/A,#N/A,TRUE,"Conts";#N/A,#N/A,TRUE,"VOS";#N/A,#N/A,TRUE,"Warrington";#N/A,#N/A,TRUE,"Widnes"}</definedName>
    <definedName name="UP_1">#REF!</definedName>
    <definedName name="UP_2">#REF!</definedName>
    <definedName name="UP_3">#REF!</definedName>
    <definedName name="UP_REC_PRGM_DB">#REF!</definedName>
    <definedName name="UP_REC_PRGM_ID">#REF!</definedName>
    <definedName name="UP_total">#REF!</definedName>
    <definedName name="UPC_END">#REF!</definedName>
    <definedName name="UPC_START">#REF!</definedName>
    <definedName name="UPC01_END">#REF!</definedName>
    <definedName name="UPC01_START">#REF!</definedName>
    <definedName name="upcov">#REF!</definedName>
    <definedName name="UPD_END">#REF!</definedName>
    <definedName name="UPD_START">#REF!</definedName>
    <definedName name="update" localSheetId="3" hidden="1">{#N/A,#N/A,TRUE,"Front";#N/A,#N/A,TRUE,"Simple Letter";#N/A,#N/A,TRUE,"Inside";#N/A,#N/A,TRUE,"Contents";#N/A,#N/A,TRUE,"Basis";#N/A,#N/A,TRUE,"Inclusions";#N/A,#N/A,TRUE,"Exclusions";#N/A,#N/A,TRUE,"Areas";#N/A,#N/A,TRUE,"Summary";#N/A,#N/A,TRUE,"Detail"}</definedName>
    <definedName name="update" hidden="1">{#N/A,#N/A,TRUE,"Front";#N/A,#N/A,TRUE,"Simple Letter";#N/A,#N/A,TRUE,"Inside";#N/A,#N/A,TRUE,"Contents";#N/A,#N/A,TRUE,"Basis";#N/A,#N/A,TRUE,"Inclusions";#N/A,#N/A,TRUE,"Exclusions";#N/A,#N/A,TRUE,"Areas";#N/A,#N/A,TRUE,"Summary";#N/A,#N/A,TRUE,"Detail"}</definedName>
    <definedName name="UPE_END">#REF!</definedName>
    <definedName name="UPE_START">#REF!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per_Floors">#REF!</definedName>
    <definedName name="uppipeabt">#REF!</definedName>
    <definedName name="uppipebox">#REF!</definedName>
    <definedName name="UQC_END">#REF!</definedName>
    <definedName name="UQC_START">#REF!</definedName>
    <definedName name="URA_END">#REF!</definedName>
    <definedName name="URA_START">#REF!</definedName>
    <definedName name="URA01_END">#REF!</definedName>
    <definedName name="URA01_START">#REF!</definedName>
    <definedName name="URA02_END">#REF!</definedName>
    <definedName name="URA02_START">#REF!</definedName>
    <definedName name="URB_END">#REF!</definedName>
    <definedName name="URB_START">#REF!</definedName>
    <definedName name="URB01_END">#REF!</definedName>
    <definedName name="URB01_START">#REF!</definedName>
    <definedName name="URB02_END">#REF!</definedName>
    <definedName name="URB02_START">#REF!</definedName>
    <definedName name="URB03_END">#REF!</definedName>
    <definedName name="URB03_START">#REF!</definedName>
    <definedName name="Urg">#REF!</definedName>
    <definedName name="urrt" hidden="1">{#N/A,#N/A,TRUE,"Cover";#N/A,#N/A,TRUE,"Conts";#N/A,#N/A,TRUE,"VOS";#N/A,#N/A,TRUE,"Warrington";#N/A,#N/A,TRUE,"Widnes"}</definedName>
    <definedName name="US">#REF!</definedName>
    <definedName name="usd">#REF!</definedName>
    <definedName name="USD_END">#REF!</definedName>
    <definedName name="USD_START">#REF!</definedName>
    <definedName name="USDRs">#REF!</definedName>
    <definedName name="USDYen">#REF!</definedName>
    <definedName name="Use_Alternates">#REF!</definedName>
    <definedName name="User">#REF!</definedName>
    <definedName name="USERDATA">#REF!</definedName>
    <definedName name="USERDATA1">#REF!</definedName>
    <definedName name="USG_END">#REF!</definedName>
    <definedName name="USG_START">#REF!</definedName>
    <definedName name="USG01_END">#REF!</definedName>
    <definedName name="USG01_START">#REF!</definedName>
    <definedName name="USG02_END">#REF!</definedName>
    <definedName name="USG02_START">#REF!</definedName>
    <definedName name="USG03_END">#REF!</definedName>
    <definedName name="USG03_START">#REF!</definedName>
    <definedName name="USG05_END">#REF!</definedName>
    <definedName name="USG05_START">#REF!</definedName>
    <definedName name="USG06_END">#REF!</definedName>
    <definedName name="USG06_START">#REF!</definedName>
    <definedName name="usle">#REF!</definedName>
    <definedName name="uss" hidden="1">#REF!</definedName>
    <definedName name="UST_END">#REF!</definedName>
    <definedName name="UST_START">#REF!</definedName>
    <definedName name="USU_END">#REF!</definedName>
    <definedName name="USU_START">#REF!</definedName>
    <definedName name="USX_END">#REF!</definedName>
    <definedName name="USX_START">#REF!</definedName>
    <definedName name="USX01_END">#REF!</definedName>
    <definedName name="USX01_START">#REF!</definedName>
    <definedName name="utb" hidden="1">{#N/A,#N/A,TRUE,"Cover";#N/A,#N/A,TRUE,"Conts";#N/A,#N/A,TRUE,"VOS";#N/A,#N/A,TRUE,"Warrington";#N/A,#N/A,TRUE,"Widnes"}</definedName>
    <definedName name="UTF_END">#REF!</definedName>
    <definedName name="UTF_START">#REF!</definedName>
    <definedName name="UTH_END">#REF!</definedName>
    <definedName name="UTH_START">#REF!</definedName>
    <definedName name="UU" localSheetId="3" hidden="1">{#N/A,#N/A,FALSE,"JACKETS (1100 t) (1)"}</definedName>
    <definedName name="UU" hidden="1">{#N/A,#N/A,FALSE,"JACKETS (1100 t) (1)"}</definedName>
    <definedName name="UUIKH" hidden="1">{#N/A,#N/A,TRUE,"Cover";#N/A,#N/A,TRUE,"Conts";#N/A,#N/A,TRUE,"VOS";#N/A,#N/A,TRUE,"Warrington";#N/A,#N/A,TRUE,"Widnes"}</definedName>
    <definedName name="uuu">#REF!</definedName>
    <definedName name="uuuu" localSheetId="3" hidden="1">{"'Break down'!$A$4"}</definedName>
    <definedName name="uuuu" hidden="1">{"'Break down'!$A$4"}</definedName>
    <definedName name="uuuuuu" hidden="1">{#N/A,#N/A,FALSE,"Work progress mensile";#N/A,#N/A,FALSE,"Work progress mensile IE1"}</definedName>
    <definedName name="uuuuuuu" hidden="1">{#N/A,#N/A,FALSE,"Work progress mensile";#N/A,#N/A,FALSE,"Work progress mensile IE1"}</definedName>
    <definedName name="uuuuuuuu" hidden="1">{"NORMAL",#N/A,FALSE,"02"}</definedName>
    <definedName name="uuuuuuuuu" hidden="1">{"DECIMAL",#N/A,FALSE,"02"}</definedName>
    <definedName name="uuuuuuuuuuuuuu">#REF!</definedName>
    <definedName name="uuuuz" localSheetId="3" hidden="1">{"'Break down'!$A$4"}</definedName>
    <definedName name="uuuuz" hidden="1">{"'Break down'!$A$4"}</definedName>
    <definedName name="uuuyi" localSheetId="3" hidden="1">{"'Break down'!$A$4"}</definedName>
    <definedName name="uuuyi" hidden="1">{"'Break down'!$A$4"}</definedName>
    <definedName name="uuyu">#REF!</definedName>
    <definedName name="uwed" hidden="1">{#N/A,#N/A,TRUE,"Cover";#N/A,#N/A,TRUE,"Conts";#N/A,#N/A,TRUE,"VOS";#N/A,#N/A,TRUE,"Warrington";#N/A,#N/A,TRUE,"Widnes"}</definedName>
    <definedName name="UXA_END">#REF!</definedName>
    <definedName name="UXA_START">#REF!</definedName>
    <definedName name="UXX_END">#REF!</definedName>
    <definedName name="UXX_START">#REF!</definedName>
    <definedName name="uy">#REF!</definedName>
    <definedName name="UYB_END">#REF!</definedName>
    <definedName name="UYB_START">#REF!</definedName>
    <definedName name="UYC_END">#REF!</definedName>
    <definedName name="UYC_START">#REF!</definedName>
    <definedName name="UYE_END">#REF!</definedName>
    <definedName name="UYE_START">#REF!</definedName>
    <definedName name="uyfyt" localSheetId="3" hidden="1">{"'Sheet1'!$L$16"}</definedName>
    <definedName name="uyfyt" hidden="1">{"'Sheet1'!$L$16"}</definedName>
    <definedName name="uyg" localSheetId="3" hidden="1">{"'Sheet1'!$L$16"}</definedName>
    <definedName name="uyg" hidden="1">{"'Sheet1'!$L$16"}</definedName>
    <definedName name="UYG_END">#REF!</definedName>
    <definedName name="UYG_START">#REF!</definedName>
    <definedName name="UYI_END">#REF!</definedName>
    <definedName name="UYI_START">#REF!</definedName>
    <definedName name="UYJKUIGHJIJNGHòKèàOIOERIODFOèGNHPòFBòDF" hidden="1">{#N/A,#N/A,FALSE,"Work progress mensile";#N/A,#N/A,FALSE,"Work progress mensile IE1"}</definedName>
    <definedName name="uyjmh">#REF!</definedName>
    <definedName name="UYM_END">#REF!</definedName>
    <definedName name="UYM_START">#REF!</definedName>
    <definedName name="UYR_END">#REF!</definedName>
    <definedName name="UYR_START">#REF!</definedName>
    <definedName name="uyre">#REF!</definedName>
    <definedName name="uyry" localSheetId="3" hidden="1">{"Datos",#N/A,TRUE,"Datos"}</definedName>
    <definedName name="uyry" hidden="1">{"Datos",#N/A,TRUE,"Datos"}</definedName>
    <definedName name="UYS_END">#REF!</definedName>
    <definedName name="UYS_START">#REF!</definedName>
    <definedName name="uyt" hidden="1">{#N/A,#N/A,TRUE,"Cover";#N/A,#N/A,TRUE,"Conts";#N/A,#N/A,TRUE,"VOS";#N/A,#N/A,TRUE,"Warrington";#N/A,#N/A,TRUE,"Widnes"}</definedName>
    <definedName name="uyu">#REF!</definedName>
    <definedName name="uyuii" hidden="1">{#N/A,#N/A,TRUE,"Cover";#N/A,#N/A,TRUE,"Conts";#N/A,#N/A,TRUE,"VOS";#N/A,#N/A,TRUE,"Warrington";#N/A,#N/A,TRUE,"Widnes"}</definedName>
    <definedName name="uyuuy">#REF!</definedName>
    <definedName name="uyuuyuy" hidden="1">{#N/A,#N/A,TRUE,"Cover";#N/A,#N/A,TRUE,"Conts";#N/A,#N/A,TRUE,"VOS";#N/A,#N/A,TRUE,"Warrington";#N/A,#N/A,TRUE,"Widnes"}</definedName>
    <definedName name="UYX_END">#REF!</definedName>
    <definedName name="UYX_START">#REF!</definedName>
    <definedName name="UYX01_END">#REF!</definedName>
    <definedName name="UYX01_START">#REF!</definedName>
    <definedName name="uyy">#REF!</definedName>
    <definedName name="UZA_END">#REF!</definedName>
    <definedName name="UZA_START">#REF!</definedName>
    <definedName name="UZC_END">#REF!</definedName>
    <definedName name="UZC_START">#REF!</definedName>
    <definedName name="uzc01_end">#REF!</definedName>
    <definedName name="UZC01_START">#REF!</definedName>
    <definedName name="UZC02_END">#REF!</definedName>
    <definedName name="UZC02_START">#REF!</definedName>
    <definedName name="UZZ_END">#REF!</definedName>
    <definedName name="UZZ_START">#REF!</definedName>
    <definedName name="v" localSheetId="3" hidden="1">{#N/A,#N/A,TRUE,"Cover";#N/A,#N/A,TRUE,"Conts";#N/A,#N/A,TRUE,"VOS";#N/A,#N/A,TRUE,"Warrington";#N/A,#N/A,TRUE,"Widnes"}</definedName>
    <definedName name="v" hidden="1">{#N/A,#N/A,TRUE,"Cover";#N/A,#N/A,TRUE,"Conts";#N/A,#N/A,TRUE,"VOS";#N/A,#N/A,TRUE,"Warrington";#N/A,#N/A,TRUE,"Widnes"}</definedName>
    <definedName name="V_Waterproofing_Area">#REF!</definedName>
    <definedName name="va">#REF!</definedName>
    <definedName name="va___0">#REF!</definedName>
    <definedName name="va___13">#REF!</definedName>
    <definedName name="Vacant_Possession">#REF!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idDepts">#REF!</definedName>
    <definedName name="VALUATION">#REF!</definedName>
    <definedName name="value">#REF!</definedName>
    <definedName name="ValueAtRetirement">#REF!</definedName>
    <definedName name="ValueEng">#REF!</definedName>
    <definedName name="VALUES">#REF!</definedName>
    <definedName name="VANDEMATARAM">#REF!</definedName>
    <definedName name="VARIANCE">#REF!</definedName>
    <definedName name="Variant">#REF!</definedName>
    <definedName name="Variation" localSheetId="3"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rious_00">#REF!</definedName>
    <definedName name="Various_01">#REF!</definedName>
    <definedName name="Various_02">#REF!</definedName>
    <definedName name="Various_03">#REF!</definedName>
    <definedName name="vatf">#REF!</definedName>
    <definedName name="vatf_4">#REF!</definedName>
    <definedName name="vatf_4_1">#REF!</definedName>
    <definedName name="vatf_6">#REF!</definedName>
    <definedName name="VB">#REF!</definedName>
    <definedName name="vbb">#REF!</definedName>
    <definedName name="VBG" hidden="1">{#N/A,#N/A,TRUE,"Cover";#N/A,#N/A,TRUE,"Conts";#N/A,#N/A,TRUE,"VOS";#N/A,#N/A,TRUE,"Warrington";#N/A,#N/A,TRUE,"Widnes"}</definedName>
    <definedName name="VBMKL" hidden="1">{#N/A,#N/A,TRUE,"Cover";#N/A,#N/A,TRUE,"Conts";#N/A,#N/A,TRUE,"VOS";#N/A,#N/A,TRUE,"Warrington";#N/A,#N/A,TRUE,"Widnes"}</definedName>
    <definedName name="vbn">#REF!</definedName>
    <definedName name="VBNMJK" hidden="1">{#N/A,#N/A,TRUE,"Cover";#N/A,#N/A,TRUE,"Conts";#N/A,#N/A,TRUE,"VOS";#N/A,#N/A,TRUE,"Warrington";#N/A,#N/A,TRUE,"Widnes"}</definedName>
    <definedName name="vbvbvb" localSheetId="3"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3"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bxdzb">#REF!</definedName>
    <definedName name="vc">#REF!</definedName>
    <definedName name="Vcsaaaa">#REF!</definedName>
    <definedName name="vcsz">#REF!</definedName>
    <definedName name="VCZS">#REF!</definedName>
    <definedName name="vczx">#REF!</definedName>
    <definedName name="VD">#REF!</definedName>
    <definedName name="VDAWQ">#REF!</definedName>
    <definedName name="Vehicle__Auto_stock">#REF!</definedName>
    <definedName name="ven_slat">#REF!</definedName>
    <definedName name="Vend">#REF!</definedName>
    <definedName name="VENPAN">#REF!</definedName>
    <definedName name="VenPart">#REF!</definedName>
    <definedName name="VERDIL1">#REF!</definedName>
    <definedName name="VERDIL1_USD">#REF!</definedName>
    <definedName name="VERDIL2">#REF!</definedName>
    <definedName name="VERDIL2_USD">#REF!</definedName>
    <definedName name="VERDIL3">#REF!</definedName>
    <definedName name="VERDIL3_USD">#REF!</definedName>
    <definedName name="VERDIL4">#REF!</definedName>
    <definedName name="VERDIL4_USD">#REF!</definedName>
    <definedName name="VERDIL5">#REF!</definedName>
    <definedName name="VERDIL5_USD">#REF!</definedName>
    <definedName name="VERDIL6">#REF!</definedName>
    <definedName name="VERDIL6_USD">#REF!</definedName>
    <definedName name="vere">#REF!</definedName>
    <definedName name="VEROR1">#REF!</definedName>
    <definedName name="VEROR1_USD">#REF!</definedName>
    <definedName name="VEROR2">#REF!</definedName>
    <definedName name="VEROR2_USD">#REF!</definedName>
    <definedName name="VEROR3">#REF!</definedName>
    <definedName name="VEROR3_USD">#REF!</definedName>
    <definedName name="VEROR4">#REF!</definedName>
    <definedName name="VEROR4_USD">#REF!</definedName>
    <definedName name="VEROR5">#REF!</definedName>
    <definedName name="VEROR5_USD">#REF!</definedName>
    <definedName name="VEROR6">#REF!</definedName>
    <definedName name="VEROR6_USD">#REF!</definedName>
    <definedName name="verpile">#REF!</definedName>
    <definedName name="Version">#REF!</definedName>
    <definedName name="vertical_col_and_corner_walls">#REF!</definedName>
    <definedName name="VerticalArea">#REF!</definedName>
    <definedName name="vf">#REF!</definedName>
    <definedName name="VFD" hidden="1">{#N/A,#N/A,TRUE,"Cover";#N/A,#N/A,TRUE,"Conts";#N/A,#N/A,TRUE,"VOS";#N/A,#N/A,TRUE,"Warrington";#N/A,#N/A,TRUE,"Widnes"}</definedName>
    <definedName name="vfda" localSheetId="3">Summary!vfda</definedName>
    <definedName name="vfda">#N/A</definedName>
    <definedName name="vffsfs" localSheetId="3" hidden="1">{#N/A,#N/A,TRUE,"Basic";#N/A,#N/A,TRUE,"EXT-TABLE";#N/A,#N/A,TRUE,"STEEL";#N/A,#N/A,TRUE,"INT-Table";#N/A,#N/A,TRUE,"STEEL";#N/A,#N/A,TRUE,"Door"}</definedName>
    <definedName name="vffsfs" hidden="1">{#N/A,#N/A,TRUE,"Basic";#N/A,#N/A,TRUE,"EXT-TABLE";#N/A,#N/A,TRUE,"STEEL";#N/A,#N/A,TRUE,"INT-Table";#N/A,#N/A,TRUE,"STEEL";#N/A,#N/A,TRUE,"Door"}</definedName>
    <definedName name="vffy" hidden="1">{#N/A,#N/A,TRUE,"Cover";#N/A,#N/A,TRUE,"Conts";#N/A,#N/A,TRUE,"VOS";#N/A,#N/A,TRUE,"Warrington";#N/A,#N/A,TRUE,"Widnes"}</definedName>
    <definedName name="VFRET" hidden="1">{#N/A,#N/A,TRUE,"Cover";#N/A,#N/A,TRUE,"Conts";#N/A,#N/A,TRUE,"VOS";#N/A,#N/A,TRUE,"Warrington";#N/A,#N/A,TRUE,"Widnes"}</definedName>
    <definedName name="vgf">#REF!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Rev">#REF!</definedName>
    <definedName name="VillaVar_Rev">#REF!</definedName>
    <definedName name="VIMAL">#REF!</definedName>
    <definedName name="Visitation">#REF!</definedName>
    <definedName name="visitor">#REF!</definedName>
    <definedName name="visitors">#REF!</definedName>
    <definedName name="viv">#REF!</definedName>
    <definedName name="VIVEKANANDA">#REF!</definedName>
    <definedName name="vj" localSheetId="3" hidden="1">{#N/A,#N/A,TRUE,"Cover";#N/A,#N/A,TRUE,"Conts";#N/A,#N/A,TRUE,"VOS";#N/A,#N/A,TRUE,"Warrington";#N/A,#N/A,TRUE,"Widnes"}</definedName>
    <definedName name="vj" hidden="1">{#N/A,#N/A,TRUE,"Cover";#N/A,#N/A,TRUE,"Conts";#N/A,#N/A,TRUE,"VOS";#N/A,#N/A,TRUE,"Warrington";#N/A,#N/A,TRUE,"Widnes"}</definedName>
    <definedName name="vjhk" localSheetId="3" hidden="1">{"Datos",#N/A,TRUE,"Datos"}</definedName>
    <definedName name="vjhk" hidden="1">{"Datos",#N/A,TRUE,"Datos"}</definedName>
    <definedName name="vjj">#REF!</definedName>
    <definedName name="VK_Faktor">#REF!</definedName>
    <definedName name="vla" localSheetId="3" hidden="1">{"'Break down'!$A$4"}</definedName>
    <definedName name="vla" hidden="1">{"'Break down'!$A$4"}</definedName>
    <definedName name="vlp">#REF!</definedName>
    <definedName name="vm" localSheetId="3" hidden="1">{"MF-601",#N/A,TRUE,"MANT-EX-B(fJ)";"MF-602",#N/A,TRUE,"ELECTR-FJ(B)";"MF-603",#N/A,TRUE,"PERSONAL(FJ)B";"MF-604",#N/A,TRUE,"REACT-P(B)";"MF-6XX",#N/A,TRUE,"Resumen";"MF-605",#N/A,TRUE,"OTR-COS.FJ(B)"}</definedName>
    <definedName name="vm" hidden="1">{"MF-601",#N/A,TRUE,"MANT-EX-B(fJ)";"MF-602",#N/A,TRUE,"ELECTR-FJ(B)";"MF-603",#N/A,TRUE,"PERSONAL(FJ)B";"MF-604",#N/A,TRUE,"REACT-P(B)";"MF-6XX",#N/A,TRUE,"Resumen";"MF-605",#N/A,TRUE,"OTR-COS.FJ(B)"}</definedName>
    <definedName name="vn" localSheetId="3" hidden="1">{"Datos",#N/A,TRUE,"Datos"}</definedName>
    <definedName name="vn" hidden="1">{"Datos",#N/A,TRUE,"Datos"}</definedName>
    <definedName name="VNFVBDVFBZDSD">#REF!</definedName>
    <definedName name="VNM" hidden="1">{#N/A,#N/A,TRUE,"Cover";#N/A,#N/A,TRUE,"Conts";#N/A,#N/A,TRUE,"VOS";#N/A,#N/A,TRUE,"Warrington";#N/A,#N/A,TRUE,"Widnes"}</definedName>
    <definedName name="VNRCLR">#REF!</definedName>
    <definedName name="vnrcol">#REF!</definedName>
    <definedName name="VNRGYP">#REF!</definedName>
    <definedName name="vnvn" localSheetId="3" hidden="1">{"Datos",#N/A,TRUE,"Datos"}</definedName>
    <definedName name="vnvn" hidden="1">{"Datos",#N/A,TRUE,"Datos"}</definedName>
    <definedName name="vo_.dax.ps.est">#REF!</definedName>
    <definedName name="vo_bax.app">#REF!</definedName>
    <definedName name="vo_bax.est">#REF!</definedName>
    <definedName name="vo_bax.max">#REF!</definedName>
    <definedName name="vo_bax.pcg">#REF!</definedName>
    <definedName name="vo_bax.pend">#REF!</definedName>
    <definedName name="vo_bax.pm">#REF!</definedName>
    <definedName name="vo_bax.quote">#REF!</definedName>
    <definedName name="vo_bax.rec">#REF!</definedName>
    <definedName name="vo_ccu.app">#REF!</definedName>
    <definedName name="vo_ccu.est">#REF!</definedName>
    <definedName name="vo_ccu.max">#REF!</definedName>
    <definedName name="vo_ccu.pcg">#REF!</definedName>
    <definedName name="vo_ccu.pend">#REF!</definedName>
    <definedName name="vo_ccu.pm">#REF!</definedName>
    <definedName name="vo_ccu.ps.est">#REF!</definedName>
    <definedName name="vo_ccu.ps.pcg">#REF!</definedName>
    <definedName name="vo_ccu.ps.pm">#REF!</definedName>
    <definedName name="vo_ccu.ps.quote">#REF!</definedName>
    <definedName name="vo_ccu.ps.rec">#REF!</definedName>
    <definedName name="vo_ccu.quote">#REF!</definedName>
    <definedName name="vo_ccu.rec">#REF!</definedName>
    <definedName name="vo_dax.app">#REF!</definedName>
    <definedName name="vo_dax.est">#REF!</definedName>
    <definedName name="vo_dax.max">#REF!</definedName>
    <definedName name="vo_dax.pcg">#REF!</definedName>
    <definedName name="vo_dax.pend">#REF!</definedName>
    <definedName name="vo_dax.pm">#REF!</definedName>
    <definedName name="vo_dax.pm.app">#REF!</definedName>
    <definedName name="vo_dax.ps.app">#REF!</definedName>
    <definedName name="vo_dax.ps.est">#REF!</definedName>
    <definedName name="vo_dax.ps.max">#REF!</definedName>
    <definedName name="vo_dax.ps.pcg">#REF!</definedName>
    <definedName name="vo_dax.ps.pend">#REF!</definedName>
    <definedName name="vo_dax.ps.pm">#REF!</definedName>
    <definedName name="vo_dax.ps.quote">#REF!</definedName>
    <definedName name="vo_dax.ps.rec">#REF!</definedName>
    <definedName name="vo_dax.quote">#REF!</definedName>
    <definedName name="vo_dax.rec">#REF!</definedName>
    <definedName name="vo_dem.app">#REF!</definedName>
    <definedName name="vo_dem.est">#REF!</definedName>
    <definedName name="vo_dem.max">#REF!</definedName>
    <definedName name="vo_dem.pcg">#REF!</definedName>
    <definedName name="vo_dem.pend">#REF!</definedName>
    <definedName name="vo_dem.pm">#REF!</definedName>
    <definedName name="vo_dem.ps.est">#REF!</definedName>
    <definedName name="vo_dem.ps.pcg">#REF!</definedName>
    <definedName name="vo_dem.ps.pm">#REF!</definedName>
    <definedName name="vo_dem.ps.quote">#REF!</definedName>
    <definedName name="vo_dem.ps.rec">#REF!</definedName>
    <definedName name="vo_dem.quote">#REF!</definedName>
    <definedName name="vo_dem.rec">#REF!</definedName>
    <definedName name="vo_icu.app">#REF!</definedName>
    <definedName name="vo_icu.est">#REF!</definedName>
    <definedName name="vo_icu.max">#REF!</definedName>
    <definedName name="vo_icu.pcg">#REF!</definedName>
    <definedName name="vo_icu.pend">#REF!</definedName>
    <definedName name="vo_icu.pm">#REF!</definedName>
    <definedName name="vo_icu.ps.app">#REF!</definedName>
    <definedName name="vo_icu.ps.est">#REF!</definedName>
    <definedName name="vo_icu.ps.pcg">#REF!</definedName>
    <definedName name="vo_icu.ps.pm">#REF!</definedName>
    <definedName name="vo_icu.ps.quote">#REF!</definedName>
    <definedName name="vo_icu.ps.rec">#REF!</definedName>
    <definedName name="vo_icu.quote">#REF!</definedName>
    <definedName name="vo_icu.rec">#REF!</definedName>
    <definedName name="vo_ps.icu.est">#REF!</definedName>
    <definedName name="Volume">#REF!</definedName>
    <definedName name="VOLUME_100mm_thk_blinding">#REF!</definedName>
    <definedName name="VOLUME_1600mm_thk_base_slab">#REF!</definedName>
    <definedName name="VOLUME_200mm_thick_cantilever_slab">#REF!</definedName>
    <definedName name="VOLUME_22KV_SWITCHGEAR_GR_651">#REF!</definedName>
    <definedName name="VOLUME_22KV_SWITCHGEAR_under_eqpt__GR_651">#REF!</definedName>
    <definedName name="VOLUME_22KV_SWITCHGEAR_under_walk__GR_651">#REF!</definedName>
    <definedName name="VOLUME_300mm_thk_base_slab">#REF!</definedName>
    <definedName name="VOLUME_300mm_thk_Susp._slab">#REF!</definedName>
    <definedName name="VOLUME_4mm_thk_below_ground_waterproofing">#REF!</definedName>
    <definedName name="VOLUME_4mm_thk_roof_covering_system">#REF!</definedName>
    <definedName name="VOLUME_500mm_thk_base_slab">#REF!</definedName>
    <definedName name="VOLUME_75mm_thk_blinding">#REF!</definedName>
    <definedName name="VOLUME_800mm_thk_base_slab">#REF!</definedName>
    <definedName name="VOLUME_AC_DC_GR_658">#REF!</definedName>
    <definedName name="VOLUME_Access_drive_rear">#REF!</definedName>
    <definedName name="VOLUME_Access_drive_rear_F.1">#REF!</definedName>
    <definedName name="VOLUME_Access_tunnel">#REF!</definedName>
    <definedName name="VOLUME_AGV_depot">#REF!</definedName>
    <definedName name="VOLUME_Air_filter_chamber">#REF!</definedName>
    <definedName name="VOLUME_Air_intake_trench">#REF!</definedName>
    <definedName name="VOLUME_AUX_1_GR_653">#REF!</definedName>
    <definedName name="VOLUME_AUX_2_GR_654">#REF!</definedName>
    <definedName name="VOLUME_BASEMENT_BS_651">#REF!</definedName>
    <definedName name="VOLUME_BATTERY_GR_659">#REF!</definedName>
    <definedName name="VOLUME_Below_ground_horizontal">#REF!</definedName>
    <definedName name="VOLUME_Below_tunnel_horizontal">#REF!</definedName>
    <definedName name="VOLUME_Blinding">#REF!</definedName>
    <definedName name="VOLUME_Break">#REF!</definedName>
    <definedName name="VOLUME_Break.F">#REF!</definedName>
    <definedName name="VOLUME_Break_room">#REF!</definedName>
    <definedName name="VOLUME_Break_room.1">#REF!</definedName>
    <definedName name="VOLUME_Cable_trench_slab_200mm_thk">#REF!</definedName>
    <definedName name="VOLUME_Comm">#REF!</definedName>
    <definedName name="VOLUME_COMMU.ROOM_GR_660">#REF!</definedName>
    <definedName name="VOLUME_Communication_room">#REF!</definedName>
    <definedName name="VOLUME_Control.1">#REF!</definedName>
    <definedName name="VOLUME_CONTROL_ROOM_GR_657">#REF!</definedName>
    <definedName name="VOLUME_Corridor">#REF!</definedName>
    <definedName name="VOLUME_Corridor.1">#REF!</definedName>
    <definedName name="VOLUME_Corridor.2">#REF!</definedName>
    <definedName name="VOLUME_Corridor.3">#REF!</definedName>
    <definedName name="VOLUME_Corridor.4">#REF!</definedName>
    <definedName name="VOLUME_CORRIDOR_GR_665">#REF!</definedName>
    <definedName name="VOLUME_CT___02">#REF!</definedName>
    <definedName name="VOLUME_Elec">#REF!</definedName>
    <definedName name="VOLUME_Elec.1">#REF!</definedName>
    <definedName name="VOLUME_Elec.2">#REF!</definedName>
    <definedName name="VOLUME_Electrical">#REF!</definedName>
    <definedName name="VOLUME_Electrical.1">#REF!</definedName>
    <definedName name="VOLUME_Electrical.f">#REF!</definedName>
    <definedName name="VOLUME_Electrical_room">#REF!</definedName>
    <definedName name="VOLUME_Elev._equip">#REF!</definedName>
    <definedName name="VOLUME_EP___01">#REF!</definedName>
    <definedName name="VOLUME_EP___02">#REF!</definedName>
    <definedName name="VOLUME_Epoxy_paint_anti_fungus">#REF!</definedName>
    <definedName name="VOLUME_Excation">#REF!</definedName>
    <definedName name="VOLUME_Exit_passageway">#REF!</definedName>
    <definedName name="VOLUME_Exit_passageway.1">#REF!</definedName>
    <definedName name="VOLUME_Exit_passageway.2">#REF!</definedName>
    <definedName name="VOLUME_Exit_passageway.F">#REF!</definedName>
    <definedName name="VOLUME_Exit_passageway_1">#REF!</definedName>
    <definedName name="VOLUME_Fair_faced_concrete">#REF!</definedName>
    <definedName name="VOLUME_False_Ceiling">#REF!</definedName>
    <definedName name="VOLUME_Fan_room">#REF!</definedName>
    <definedName name="VOLUME_Fan_room.2">#REF!</definedName>
    <definedName name="VOLUME_Female_toilet_shower.F">#REF!</definedName>
    <definedName name="VOLUME_FF_conc._w_epoxy_paint_anti_fungus">#REF!</definedName>
    <definedName name="VOLUME_Filters.RF">#REF!</definedName>
    <definedName name="VOLUME_FIRE_FIGHTING_GR_656">#REF!</definedName>
    <definedName name="VOLUME_Fire_riser">#REF!</definedName>
    <definedName name="VOLUME_Fire_riser.F">#REF!</definedName>
    <definedName name="VOLUME_FL_01_General_floor">#REF!</definedName>
    <definedName name="VOLUME_FL_01_Ramps">#REF!</definedName>
    <definedName name="VOLUME_FL_02_Traffic_islands___Raised_area">#REF!</definedName>
    <definedName name="VOLUME_FL_06_Ped._Walkways">#REF!</definedName>
    <definedName name="VOLUME_Footing_F1_400mm_high">#REF!</definedName>
    <definedName name="VOLUME_GENERATOR_1_GR_671">#REF!</definedName>
    <definedName name="VOLUME_GENERATOR_2_GR_672">#REF!</definedName>
    <definedName name="VOLUME_GIS_ROOM_GR_652">#REF!</definedName>
    <definedName name="VOLUME_GIS_ROOM_under_eqpt__GR_652">#REF!</definedName>
    <definedName name="VOLUME_GIS_ROOM_under_walkable__GR_652">#REF!</definedName>
    <definedName name="VOLUME_Grade_Slab_200mm_thk">#REF!</definedName>
    <definedName name="VOLUME_GUARD_ROOM_GR_666">#REF!</definedName>
    <definedName name="VOLUME_GUARD_WC_GR_669">#REF!</definedName>
    <definedName name="VOLUME_Hangar_11">#REF!</definedName>
    <definedName name="VOLUME_Hangar_12">#REF!</definedName>
    <definedName name="VOLUME_Imam_office">#REF!</definedName>
    <definedName name="VOLUME_Janitor">#REF!</definedName>
    <definedName name="VOLUME_Janitor.1">#REF!</definedName>
    <definedName name="VOLUME_Line_hangar_1">#REF!</definedName>
    <definedName name="VOLUME_Mech">#REF!</definedName>
    <definedName name="VOLUME_Mech.">#REF!</definedName>
    <definedName name="VOLUME_Mech.1">#REF!</definedName>
    <definedName name="VOLUME_Mech.2">#REF!</definedName>
    <definedName name="VOLUME_Mechanical">#REF!</definedName>
    <definedName name="VOLUME_Mechanical.1">#REF!</definedName>
    <definedName name="VOLUME_Mechanical.PH">#REF!</definedName>
    <definedName name="VOLUME_Mechanical.RF">#REF!</definedName>
    <definedName name="VOLUME_Mechanical_room">#REF!</definedName>
    <definedName name="VOLUME_MEDIUM_VOLTAGE_RM_GR_670">#REF!</definedName>
    <definedName name="VOLUME_Men_toilet_shower">#REF!</definedName>
    <definedName name="VOLUME_Men_toilet_shower.1">#REF!</definedName>
    <definedName name="VOLUME_Men_toilet_shower.F">#REF!</definedName>
    <definedName name="VOLUME_Mens_toilet">#REF!</definedName>
    <definedName name="VOLUME_Mens_toilet.F">#REF!</definedName>
    <definedName name="VOLUME_Office">#REF!</definedName>
    <definedName name="VOLUME_Office.1">#REF!</definedName>
    <definedName name="VOLUME_Office_1">#REF!</definedName>
    <definedName name="VOLUME_Office_2">#REF!</definedName>
    <definedName name="VOLUME_Office_3">#REF!</definedName>
    <definedName name="VOLUME_OFFICE_GR_663">#REF!</definedName>
    <definedName name="VOLUME_OFFICE_GR_664">#REF!</definedName>
    <definedName name="VOLUME_Offices">#REF!</definedName>
    <definedName name="VOLUME_OIL_PIT_B_655">#REF!</definedName>
    <definedName name="VOLUME_OIL_PIT_B_656">#REF!</definedName>
    <definedName name="VOLUME_OIL_PIT_BS_654">#REF!</definedName>
    <definedName name="VOLUME_Open_office">#REF!</definedName>
    <definedName name="VOLUME_OPen_office.1">#REF!</definedName>
    <definedName name="VOLUME_Open_office.F">#REF!</definedName>
    <definedName name="VOLUME_Paint_hangar_1">#REF!</definedName>
    <definedName name="VOLUME_Paint_hold.1">#REF!</definedName>
    <definedName name="VOLUME_Paint_mix">#REF!</definedName>
    <definedName name="VOLUME_Paint_mix.1">#REF!</definedName>
    <definedName name="VOLUME_Paint_shop">#REF!</definedName>
    <definedName name="VOLUME_Paint_shop.1">#REF!</definedName>
    <definedName name="VOLUME_Paint_store">#REF!</definedName>
    <definedName name="VOLUME_Painted_plaster">#REF!</definedName>
    <definedName name="VOLUME_PANTRY_GR_662">#REF!</definedName>
    <definedName name="VOLUME_Parts">#REF!</definedName>
    <definedName name="VOLUME_Parts.1">#REF!</definedName>
    <definedName name="VOLUME_Parts_">#REF!</definedName>
    <definedName name="VOLUME_Plaster_Anti_alkaline_paint">#REF!</definedName>
    <definedName name="VOLUME_Plot_Area">#REF!</definedName>
    <definedName name="VOLUME_Prayer_room">#REF!</definedName>
    <definedName name="VOLUME_PT___10">#REF!</definedName>
    <definedName name="VOLUME_RC_base">#REF!</definedName>
    <definedName name="VOLUME_Receiver_tanks">#REF!</definedName>
    <definedName name="VOLUME_Removal_of_top_soil">#REF!</definedName>
    <definedName name="VOLUME_Riser">#REF!</definedName>
    <definedName name="VOLUME_ROOF_RF_651">#REF!</definedName>
    <definedName name="VOLUME_ROOF_RF_652">#REF!</definedName>
    <definedName name="VOLUME_ROOF_RF_653">#REF!</definedName>
    <definedName name="VOLUME_ROOF_RF_654">#REF!</definedName>
    <definedName name="VOLUME_Roof_Slab_200mm_thick">#REF!</definedName>
    <definedName name="VOLUME_Roof_slab_250mm_thk">#REF!</definedName>
    <definedName name="VOLUME_Seat_storage.F1">#REF!</definedName>
    <definedName name="VOLUME_Seat_storage.F2">#REF!</definedName>
    <definedName name="VOLUME_SF_01_General_soffit">#REF!</definedName>
    <definedName name="VOLUME_Slab_S2_180mm_thick">#REF!</definedName>
    <definedName name="VOLUME_Slab_S3_200mm_thick">#REF!</definedName>
    <definedName name="VOLUME_Slab_S4_220mm_thick">#REF!</definedName>
    <definedName name="VOLUME_Slab_S5_250mm_thk">#REF!</definedName>
    <definedName name="VOLUME_Sloped_Roof_160mm_thick">#REF!</definedName>
    <definedName name="VOLUME_Smoking.1">#REF!</definedName>
    <definedName name="VOLUME_Smoking.2">#REF!</definedName>
    <definedName name="VOLUME_Smoking.F">#REF!</definedName>
    <definedName name="VOLUME_Stair">#REF!</definedName>
    <definedName name="VOLUME_Stair.1">#REF!</definedName>
    <definedName name="VOLUME_Stair_10">#REF!</definedName>
    <definedName name="VOLUME_Stair_11">#REF!</definedName>
    <definedName name="VOLUME_Stair_11A">#REF!</definedName>
    <definedName name="VOLUME_Stair_12">#REF!</definedName>
    <definedName name="VOLUME_Stair_12A">#REF!</definedName>
    <definedName name="VOLUME_Stair_12B">#REF!</definedName>
    <definedName name="VOLUME_Stair_13">#REF!</definedName>
    <definedName name="VOLUME_Stair_14">#REF!</definedName>
    <definedName name="VOLUME_STAIRCASE_ROOM_BS_668">#REF!</definedName>
    <definedName name="VOLUME_Storage.1">#REF!</definedName>
    <definedName name="VOLUME_Storage.F">#REF!</definedName>
    <definedName name="VOLUME_Storage.F1">#REF!</definedName>
    <definedName name="VOLUME_Storage.F2">#REF!</definedName>
    <definedName name="VOLUME_Storage.F3">#REF!</definedName>
    <definedName name="VOLUME_Storage_F">#REF!</definedName>
    <definedName name="VOLUME_STORE_GR_655">#REF!</definedName>
    <definedName name="VOLUME_Strip_footings_400mm_thk">#REF!</definedName>
    <definedName name="VOLUME_Strip_footings_500mm_thk">#REF!</definedName>
    <definedName name="VOLUME_Surface_Bed_S_120mm_thick">#REF!</definedName>
    <definedName name="VOLUME_Surface_Bed_S1_150mm_thick">#REF!</definedName>
    <definedName name="VOLUME_Surface_Bed_S5_250mm_thk">#REF!</definedName>
    <definedName name="VOLUME_Tech.">#REF!</definedName>
    <definedName name="VOLUME_Tech._library">#REF!</definedName>
    <definedName name="VOLUME_Tech.1">#REF!</definedName>
    <definedName name="VOLUME_Tech_library.1">#REF!</definedName>
    <definedName name="VOLUME_TL___01">#REF!</definedName>
    <definedName name="VOLUME_TL___04">#REF!</definedName>
    <definedName name="VOLUME_TL___09">#REF!</definedName>
    <definedName name="VOLUME_TL___10">#REF!</definedName>
    <definedName name="VOLUME_TL___11">#REF!</definedName>
    <definedName name="VOLUME_TOILETS_GR_661">#REF!</definedName>
    <definedName name="VOLUME_Tool_crib">#REF!</definedName>
    <definedName name="VOLUME_Tool_crib.1">#REF!</definedName>
    <definedName name="VOLUME_Tools">#REF!</definedName>
    <definedName name="VOLUME_Tools_CE_P">#REF!</definedName>
    <definedName name="VOLUME_Tools_CE_P.1">#REF!</definedName>
    <definedName name="VOLUME_Training.F">#REF!</definedName>
    <definedName name="VOLUME_Training_room">#REF!</definedName>
    <definedName name="VOLUME_Training_room.1">#REF!</definedName>
    <definedName name="VOLUME_TRENCH_BS_653">#REF!</definedName>
    <definedName name="VOLUME_TUNNEL_BS_652">#REF!</definedName>
    <definedName name="VOLUME_Type_E_Scratched_Finish">#REF!</definedName>
    <definedName name="VOLUME_Type_F_Smooth_finish">#REF!</definedName>
    <definedName name="VOLUME_Warming_kitchen">#REF!</definedName>
    <definedName name="VOLUME_Wash_hangar_2">#REF!</definedName>
    <definedName name="VOLUME_Womens_toilet">#REF!</definedName>
    <definedName name="VOLUME_Womens_toilet.F">#REF!</definedName>
    <definedName name="VOLUME_WORKSHOP_GR_667">#REF!</definedName>
    <definedName name="volww">#REF!</definedName>
    <definedName name="vs">#REF!</definedName>
    <definedName name="VSD" hidden="1">{#N/A,#N/A,TRUE,"Cover";#N/A,#N/A,TRUE,"Conts";#N/A,#N/A,TRUE,"VOS";#N/A,#N/A,TRUE,"Warrington";#N/A,#N/A,TRUE,"Widnes"}</definedName>
    <definedName name="Vsigma">#REF!</definedName>
    <definedName name="vv" localSheetId="3"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c">#REF!</definedName>
    <definedName name="vvv" hidden="1">#REF!</definedName>
    <definedName name="vvvvvvvvvvvvvvv">#REF!</definedName>
    <definedName name="VVXsv">#REF!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w" localSheetId="2">#REF!</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26te" localSheetId="3" hidden="1">{#N/A,#N/A,TRUE,"Cover";#N/A,#N/A,TRUE,"Conts";#N/A,#N/A,TRUE,"VOS";#N/A,#N/A,TRUE,"Warrington";#N/A,#N/A,TRUE,"Widnes"}</definedName>
    <definedName name="w26te" hidden="1">{#N/A,#N/A,TRUE,"Cover";#N/A,#N/A,TRUE,"Conts";#N/A,#N/A,TRUE,"VOS";#N/A,#N/A,TRUE,"Warrington";#N/A,#N/A,TRUE,"Widnes"}</definedName>
    <definedName name="w34frsw">#REF!</definedName>
    <definedName name="w6y" localSheetId="3" hidden="1">{#N/A,#N/A,TRUE,"Cover";#N/A,#N/A,TRUE,"Conts";#N/A,#N/A,TRUE,"VOS";#N/A,#N/A,TRUE,"Warrington";#N/A,#N/A,TRUE,"Widnes"}</definedName>
    <definedName name="w6y" hidden="1">{#N/A,#N/A,TRUE,"Cover";#N/A,#N/A,TRUE,"Conts";#N/A,#N/A,TRUE,"VOS";#N/A,#N/A,TRUE,"Warrington";#N/A,#N/A,TRUE,"Widnes"}</definedName>
    <definedName name="WA" localSheetId="3" hidden="1">{#N/A,#N/A,FALSE,"양식(을)"}</definedName>
    <definedName name="WA" hidden="1">{#N/A,#N/A,FALSE,"양식(을)"}</definedName>
    <definedName name="waff" localSheetId="3" hidden="1">{#N/A,#N/A,TRUE,"Cover";#N/A,#N/A,TRUE,"Conts";#N/A,#N/A,TRUE,"VOS";#N/A,#N/A,TRUE,"Warrington";#N/A,#N/A,TRUE,"Widnes"}</definedName>
    <definedName name="waff" hidden="1">{#N/A,#N/A,TRUE,"Cover";#N/A,#N/A,TRUE,"Conts";#N/A,#N/A,TRUE,"VOS";#N/A,#N/A,TRUE,"Warrington";#N/A,#N/A,TRUE,"Widnes"}</definedName>
    <definedName name="wage_scale7">#REF!</definedName>
    <definedName name="waheed">#REF!</definedName>
    <definedName name="Waiting">"Picture 1"</definedName>
    <definedName name="wall">#REF!</definedName>
    <definedName name="Wall_Finishes">#REF!</definedName>
    <definedName name="Wall_Painting">#REF!</definedName>
    <definedName name="WALLAREA_1000mm_dia._GRP">#REF!</definedName>
    <definedName name="WALLAREA_100mm_thk_blinding">#REF!</definedName>
    <definedName name="WALLAREA_1300mm_high_upstand">#REF!</definedName>
    <definedName name="WALLAREA_1600mm_thk_base_slab">#REF!</definedName>
    <definedName name="WALLAREA_200mm_thick_cantilever_slab">#REF!</definedName>
    <definedName name="WALLAREA_20mm_Isolation_Joint">#REF!</definedName>
    <definedName name="WALLAREA_22KV_SWITCHGEAR_GR_651">#REF!</definedName>
    <definedName name="WALLAREA_22KV_SWITCHGEAR_under_eqpt__GR_651">#REF!</definedName>
    <definedName name="WALLAREA_22KV_SWITCHGEAR_under_walk__GR_651">#REF!</definedName>
    <definedName name="WALLAREA_300mm_thk_base_slab">#REF!</definedName>
    <definedName name="WALLAREA_300mm_thk_Susp._slab">#REF!</definedName>
    <definedName name="WALLAREA_4mm_thk_below_ground_waterproofing">#REF!</definedName>
    <definedName name="WALLAREA_4mm_thk_roof_covering_system">#REF!</definedName>
    <definedName name="WALLAREA_500mm_thk_base_slab">#REF!</definedName>
    <definedName name="WALLAREA_75mm_thk_blinding">#REF!</definedName>
    <definedName name="WALLAREA_800mm_thk_base_slab">#REF!</definedName>
    <definedName name="WALLAREA_AC_DC_GR_658">#REF!</definedName>
    <definedName name="WALLAREA_Access_drive_rear">#REF!</definedName>
    <definedName name="WALLAREA_Access_drive_rear_F.1">#REF!</definedName>
    <definedName name="WALLAREA_Access_tunnel">#REF!</definedName>
    <definedName name="WALLAREA_AGV_depot">#REF!</definedName>
    <definedName name="WALLAREA_Air_filter_chamber">#REF!</definedName>
    <definedName name="WALLAREA_Air_intake_trench">#REF!</definedName>
    <definedName name="WALLAREA_AUX_1_GR_653">#REF!</definedName>
    <definedName name="WALLAREA_AUX_2_GR_654">#REF!</definedName>
    <definedName name="WALLAREA_b10s1">#REF!</definedName>
    <definedName name="WALLAREA_b20s2">#REF!</definedName>
    <definedName name="WALLAREA_b30s2">#REF!</definedName>
    <definedName name="WALLAREA_b50s3">#REF!</definedName>
    <definedName name="WALLAREA_BASEMENT_BS_651">#REF!</definedName>
    <definedName name="WALLAREA_BATTERY_GR_659">#REF!</definedName>
    <definedName name="WALLAREA_Beam_B1_400X700_">#REF!</definedName>
    <definedName name="WALLAREA_Beam_B2_300X700_">#REF!</definedName>
    <definedName name="WALLAREA_Below_ground_horizontal">#REF!</definedName>
    <definedName name="WALLAREA_Below_tunnel_horizontal">#REF!</definedName>
    <definedName name="WALLAREA_Blinding">#REF!</definedName>
    <definedName name="WALLAREA_Break">#REF!</definedName>
    <definedName name="WALLAREA_Break.F">#REF!</definedName>
    <definedName name="WALLAREA_Break_room">#REF!</definedName>
    <definedName name="WALLAREA_Break_room.1">#REF!</definedName>
    <definedName name="WALLAREA_Cable_trench_slab_200mm_thk">#REF!</definedName>
    <definedName name="WALLAREA_Cable_trench_wall_800mm_high">#REF!</definedName>
    <definedName name="WALLAREA_Comm">#REF!</definedName>
    <definedName name="WALLAREA_COMMU.ROOM_GR_660">#REF!</definedName>
    <definedName name="WALLAREA_Communication_room">#REF!</definedName>
    <definedName name="WALLAREA_Control.1">#REF!</definedName>
    <definedName name="WALLAREA_CONTROL_ROOM_GR_657">#REF!</definedName>
    <definedName name="WALLAREA_Corridor">#REF!</definedName>
    <definedName name="WALLAREA_Corridor.1">#REF!</definedName>
    <definedName name="WALLAREA_Corridor.2">#REF!</definedName>
    <definedName name="WALLAREA_Corridor.3">#REF!</definedName>
    <definedName name="WALLAREA_Corridor.4">#REF!</definedName>
    <definedName name="WALLAREA_CORRIDOR_GR_665">#REF!</definedName>
    <definedName name="WALLAREA_CT___02">#REF!</definedName>
    <definedName name="WALLAREA_Duct_from_SS_to_Trench">#REF!</definedName>
    <definedName name="WALLAREA_Elec">#REF!</definedName>
    <definedName name="WALLAREA_Elec.1">#REF!</definedName>
    <definedName name="WALLAREA_Elec.2">#REF!</definedName>
    <definedName name="WALLAREA_Electrical">#REF!</definedName>
    <definedName name="WALLAREA_Electrical.1">#REF!</definedName>
    <definedName name="WALLAREA_Electrical.f">#REF!</definedName>
    <definedName name="WALLAREA_Electrical_room">#REF!</definedName>
    <definedName name="WALLAREA_Elev._equip">#REF!</definedName>
    <definedName name="WALLAREA_EP___01">#REF!</definedName>
    <definedName name="WALLAREA_EP___02">#REF!</definedName>
    <definedName name="WALLAREA_EP_01_S">#REF!</definedName>
    <definedName name="WALLAREA_EP_02_S">#REF!</definedName>
    <definedName name="WALLAREA_Epoxy_paint_anti_fungus">#REF!</definedName>
    <definedName name="WALLAREA_Excation">#REF!</definedName>
    <definedName name="WALLAREA_Exit_passageway">#REF!</definedName>
    <definedName name="WALLAREA_Exit_passageway.1">#REF!</definedName>
    <definedName name="WALLAREA_Exit_passageway.2">#REF!</definedName>
    <definedName name="WALLAREA_Exit_passageway.F">#REF!</definedName>
    <definedName name="WALLAREA_Exit_passageway_1">#REF!</definedName>
    <definedName name="WALLAREA_Fair_faced_concrete">#REF!</definedName>
    <definedName name="WALLAREA_False_Ceiling">#REF!</definedName>
    <definedName name="WALLAREA_Fan_room">#REF!</definedName>
    <definedName name="WALLAREA_Fan_room.2">#REF!</definedName>
    <definedName name="WALLAREA_Female_toilet_shower.F">#REF!</definedName>
    <definedName name="WALLAREA_Fencing">#REF!</definedName>
    <definedName name="WALLAREA_FF_conc._w_epoxy_paint_anti_fungus">#REF!</definedName>
    <definedName name="WALLAREA_Filters.RF">#REF!</definedName>
    <definedName name="WALLAREA_FIRE_FIGHTING_GR_656">#REF!</definedName>
    <definedName name="WALLAREA_Fire_riser">#REF!</definedName>
    <definedName name="WALLAREA_Fire_riser.F">#REF!</definedName>
    <definedName name="WALLAREA_FL_01_General_floor">#REF!</definedName>
    <definedName name="WALLAREA_FL_01_Ramps">#REF!</definedName>
    <definedName name="WALLAREA_FL_02_Traffic_islands___Raised_area">#REF!</definedName>
    <definedName name="WALLAREA_FL_03__Kerbs_3">#REF!</definedName>
    <definedName name="WALLAREA_FL_03_Raised_Kerbs">#REF!</definedName>
    <definedName name="WALLAREA_FL_05_Parking_line_100mm_thk">#REF!</definedName>
    <definedName name="WALLAREA_FL_05_Parking_line_280mm_thk">#REF!</definedName>
    <definedName name="WALLAREA_FL_05_Parking_line_390mm_thk">#REF!</definedName>
    <definedName name="WALLAREA_FL_05_Parking_line_530mm_thk">#REF!</definedName>
    <definedName name="WALLAREA_FL_06_Ped._Walkways">#REF!</definedName>
    <definedName name="WALLAREA_Footing_F1_400mm_high">#REF!</definedName>
    <definedName name="WALLAREA_GB1_300X750mm">#REF!</definedName>
    <definedName name="WALLAREA_GB2_400X750mm">#REF!</definedName>
    <definedName name="WALLAREA_GENERATOR_1_GR_671">#REF!</definedName>
    <definedName name="WALLAREA_GENERATOR_2_GR_672">#REF!</definedName>
    <definedName name="WALLAREA_GIS_ROOM_GR_652">#REF!</definedName>
    <definedName name="WALLAREA_GIS_ROOM_under_eqpt__GR_652">#REF!</definedName>
    <definedName name="WALLAREA_GIS_ROOM_under_walkable__GR_652">#REF!</definedName>
    <definedName name="WALLAREA_Grade_Slab_200mm_thk">#REF!</definedName>
    <definedName name="WALLAREA_Ground_Beam_GB1_350X500_">#REF!</definedName>
    <definedName name="WALLAREA_Ground_Beam_GB2_300X500_">#REF!</definedName>
    <definedName name="WALLAREA_GUARD_ROOM_GR_666">#REF!</definedName>
    <definedName name="WALLAREA_GUARD_WC_GR_669">#REF!</definedName>
    <definedName name="WALLAREA_Hangar_11">#REF!</definedName>
    <definedName name="WALLAREA_Hangar_12">#REF!</definedName>
    <definedName name="WALLAREA_Imam_office">#REF!</definedName>
    <definedName name="WALLAREA_Janitor">#REF!</definedName>
    <definedName name="WALLAREA_Janitor.1">#REF!</definedName>
    <definedName name="WALLAREA_L1_300X400">#REF!</definedName>
    <definedName name="WALLAREA_L1_300X500">#REF!</definedName>
    <definedName name="WALLAREA_L1_300X600">#REF!</definedName>
    <definedName name="WALLAREA_L4_300X400">#REF!</definedName>
    <definedName name="WALLAREA_L4_300X500">#REF!</definedName>
    <definedName name="WALLAREA_L4_300X600">#REF!</definedName>
    <definedName name="WALLAREA_L4_350X500">#REF!</definedName>
    <definedName name="WALLAREA_L4_500X500">#REF!</definedName>
    <definedName name="WALLAREA_L6_300X300">#REF!</definedName>
    <definedName name="WALLAREA_L6_300X500">#REF!</definedName>
    <definedName name="WALLAREA_Line_hangar_1">#REF!</definedName>
    <definedName name="WALLAREA_Mech">#REF!</definedName>
    <definedName name="WALLAREA_Mech.">#REF!</definedName>
    <definedName name="WALLAREA_Mech.1">#REF!</definedName>
    <definedName name="WALLAREA_Mech.2">#REF!</definedName>
    <definedName name="WALLAREA_Mechanical">#REF!</definedName>
    <definedName name="WALLAREA_Mechanical.1">#REF!</definedName>
    <definedName name="WALLAREA_Mechanical.PH">#REF!</definedName>
    <definedName name="WALLAREA_Mechanical.RF">#REF!</definedName>
    <definedName name="WALLAREA_Mechanical_room">#REF!</definedName>
    <definedName name="WALLAREA_MEDIUM_VOLTAGE_RM_GR_670">#REF!</definedName>
    <definedName name="WALLAREA_Men_toilet_shower">#REF!</definedName>
    <definedName name="WALLAREA_Men_toilet_shower.1">#REF!</definedName>
    <definedName name="WALLAREA_Men_toilet_shower.F">#REF!</definedName>
    <definedName name="WALLAREA_Mens_toilet">#REF!</definedName>
    <definedName name="WALLAREA_Mens_toilet.F">#REF!</definedName>
    <definedName name="WALLAREA_Office">#REF!</definedName>
    <definedName name="WALLAREA_Office.1">#REF!</definedName>
    <definedName name="WALLAREA_Office_1">#REF!</definedName>
    <definedName name="WALLAREA_Office_2">#REF!</definedName>
    <definedName name="WALLAREA_Office_3">#REF!</definedName>
    <definedName name="WALLAREA_OFFICE_GR_663">#REF!</definedName>
    <definedName name="WALLAREA_OFFICE_GR_664">#REF!</definedName>
    <definedName name="WALLAREA_Offices">#REF!</definedName>
    <definedName name="WALLAREA_OIL_PIT_B_655">#REF!</definedName>
    <definedName name="WALLAREA_OIL_PIT_B_656">#REF!</definedName>
    <definedName name="WALLAREA_OIL_PIT_BS_654">#REF!</definedName>
    <definedName name="WALLAREA_Open_office">#REF!</definedName>
    <definedName name="WALLAREA_OPen_office.1">#REF!</definedName>
    <definedName name="WALLAREA_Open_office.F">#REF!</definedName>
    <definedName name="WALLAREA_Paint_hangar_1">#REF!</definedName>
    <definedName name="WALLAREA_Paint_hold.1">#REF!</definedName>
    <definedName name="WALLAREA_Paint_mix">#REF!</definedName>
    <definedName name="WALLAREA_Paint_mix.1">#REF!</definedName>
    <definedName name="WALLAREA_Paint_shop">#REF!</definedName>
    <definedName name="WALLAREA_Paint_shop.1">#REF!</definedName>
    <definedName name="WALLAREA_Paint_store">#REF!</definedName>
    <definedName name="WALLAREA_Painted_plaster">#REF!</definedName>
    <definedName name="WALLAREA_PANTRY_GR_662">#REF!</definedName>
    <definedName name="WALLAREA_Parapet_at_transformer_room">#REF!</definedName>
    <definedName name="WALLAREA_Parts">#REF!</definedName>
    <definedName name="WALLAREA_Parts.1">#REF!</definedName>
    <definedName name="WALLAREA_Parts_">#REF!</definedName>
    <definedName name="WALLAREA_Plaster_Anti_alkaline_paint">#REF!</definedName>
    <definedName name="WALLAREA_Plot_Area">#REF!</definedName>
    <definedName name="WALLAREA_Prayer_room">#REF!</definedName>
    <definedName name="WALLAREA_PT___10">#REF!</definedName>
    <definedName name="WALLAREA_PT_01_S">#REF!</definedName>
    <definedName name="WALLAREA_RC_base">#REF!</definedName>
    <definedName name="WALLAREA_RC_Wall">#REF!</definedName>
    <definedName name="WALLAREA_RC_Wall_300W_3500H">#REF!</definedName>
    <definedName name="WALLAREA_RC_Wall_300W_867H">#REF!</definedName>
    <definedName name="WALLAREA_RC_Wall_400W_3500H">#REF!</definedName>
    <definedName name="WALLAREA_RC_Wall_400W_3700H">#REF!</definedName>
    <definedName name="WALLAREA_RC_Wall_500W_11670H">#REF!</definedName>
    <definedName name="WALLAREA_RC_Wall_500W_12770H">#REF!</definedName>
    <definedName name="WALLAREA_RC_Wall_600W_4000H">#REF!</definedName>
    <definedName name="WALLAREA_RC_Wall_600W_5000H">#REF!</definedName>
    <definedName name="WALLAREA_RC_Wall_800W_4800H">#REF!</definedName>
    <definedName name="WALLAREA_RC_Wall_800W_6500H">#REF!</definedName>
    <definedName name="WALLAREA_Receiver_tanks">#REF!</definedName>
    <definedName name="WALLAREA_Removal_of_top_soil">#REF!</definedName>
    <definedName name="WALLAREA_Riser">#REF!</definedName>
    <definedName name="WALLAREA_Roof_Beam_RB1_300X600_">#REF!</definedName>
    <definedName name="WALLAREA_Roof_beam_RB1_400X600_">#REF!</definedName>
    <definedName name="WALLAREA_Roof_Beam_RB2_300X600_">#REF!</definedName>
    <definedName name="WALLAREA_Roof_beam_RB2_400X600_">#REF!</definedName>
    <definedName name="WALLAREA_Roof_beam_RB3_300X600_">#REF!</definedName>
    <definedName name="WALLAREA_Roof_beam_RB4_200X400_">#REF!</definedName>
    <definedName name="WALLAREA_Roof_parapet_300mm_high">#REF!</definedName>
    <definedName name="WALLAREA_Roof_Parapet_500mm_high">#REF!</definedName>
    <definedName name="WALLAREA_ROOF_RF_651">#REF!</definedName>
    <definedName name="WALLAREA_ROOF_RF_652">#REF!</definedName>
    <definedName name="WALLAREA_ROOF_RF_653">#REF!</definedName>
    <definedName name="WALLAREA_ROOF_RF_654">#REF!</definedName>
    <definedName name="WALLAREA_Roof_Slab_200mm_thick">#REF!</definedName>
    <definedName name="WALLAREA_Roof_slab_250mm_thk">#REF!</definedName>
    <definedName name="WALLAREA_Seat_storage.F1">#REF!</definedName>
    <definedName name="WALLAREA_Seat_storage.F2">#REF!</definedName>
    <definedName name="WALLAREA_SF_01_General_soffit">#REF!</definedName>
    <definedName name="WALLAREA_Slab_S2_180mm_thick">#REF!</definedName>
    <definedName name="WALLAREA_Slab_S3_200mm_thick">#REF!</definedName>
    <definedName name="WALLAREA_Slab_S4_220mm_thick">#REF!</definedName>
    <definedName name="WALLAREA_Slab_S5_250mm_thk">#REF!</definedName>
    <definedName name="WALLAREA_Sloped_Roof_160mm_thick">#REF!</definedName>
    <definedName name="WALLAREA_Smoking.1">#REF!</definedName>
    <definedName name="WALLAREA_Smoking.2">#REF!</definedName>
    <definedName name="WALLAREA_Smoking.F">#REF!</definedName>
    <definedName name="WALLAREA_SS_B1_300X600_450mm_deep">#REF!</definedName>
    <definedName name="WALLAREA_SS_B1_300X700_450mm_deep">#REF!</definedName>
    <definedName name="WALLAREA_SS_B1_300X700_500mm_deep">#REF!</definedName>
    <definedName name="WALLAREA_SS_B1_300X700X520mm_deep">#REF!</definedName>
    <definedName name="WALLAREA_SS_B10_300X600_350mm_deep">#REF!</definedName>
    <definedName name="WALLAREA_SS_B10_300X700_450mm_deep">#REF!</definedName>
    <definedName name="WALLAREA_SS_B10_300X700_480mm_deep">#REF!</definedName>
    <definedName name="WALLAREA_SS_B10_350X700_450mm_deep">#REF!</definedName>
    <definedName name="WALLAREA_SS_B10_350X700_500mm_deep">#REF!</definedName>
    <definedName name="WALLAREA_SS_B11_300X700_450mm_deep">#REF!</definedName>
    <definedName name="WALLAREA_SS_B11_400X800_550mm_deep">#REF!</definedName>
    <definedName name="WALLAREA_SS_B12_200X600_380mm_deep">#REF!</definedName>
    <definedName name="WALLAREA_SS_B12_300X700">#REF!</definedName>
    <definedName name="WALLAREA_SS_B12_300X700_500mm_deep">#REF!</definedName>
    <definedName name="WALLAREA_SS_B12_300X700_520mm_deep">#REF!</definedName>
    <definedName name="WALLAREA_SS_B12_300X700_580mm_deep">#REF!</definedName>
    <definedName name="WALLAREA_SS_B13_300X700_480mm_deep">#REF!</definedName>
    <definedName name="WALLAREA_SS_B13_350X700_450mm_deep">#REF!</definedName>
    <definedName name="WALLAREA_SS_B14_300X700_450mm_deep">#REF!</definedName>
    <definedName name="WALLAREA_SS_B14_300X700_500mm_deep">#REF!</definedName>
    <definedName name="WALLAREA_SS_B15_300X700_450mm_deep">#REF!</definedName>
    <definedName name="WALLAREA_SS_B15_350X700_450mm_deep">#REF!</definedName>
    <definedName name="WALLAREA_SS_B15_350X700_500mm_deep">#REF!</definedName>
    <definedName name="WALLAREA_SS_B16_300X700">#REF!</definedName>
    <definedName name="WALLAREA_SS_B16_300X700_520mm_deep">#REF!</definedName>
    <definedName name="WALLAREA_SS_B16_350X700_500mm_deep">#REF!</definedName>
    <definedName name="WALLAREA_SS_B17_300X700">#REF!</definedName>
    <definedName name="WALLAREA_SS_B18_300X700_480mm_deep">#REF!</definedName>
    <definedName name="WALLAREA_SS_B18_300X700_500mm_deep">#REF!</definedName>
    <definedName name="WALLAREA_SS_B18300X700">#REF!</definedName>
    <definedName name="WALLAREA_SS_B19_300X700_450mm_deep">#REF!</definedName>
    <definedName name="WALLAREA_SS_B19_300X700_500mm_deep">#REF!</definedName>
    <definedName name="WALLAREA_SS_B2_400X800_550mm_deep">#REF!</definedName>
    <definedName name="WALLAREA_SS_B20_300X700_450mm_deep">#REF!</definedName>
    <definedName name="WALLAREA_SS_B20_300X700_520mm_deep">#REF!</definedName>
    <definedName name="WALLAREA_SS_B21_300X700_450mm_deep">#REF!</definedName>
    <definedName name="WALLAREA_SS_B22_300X700_450mm_deep">#REF!</definedName>
    <definedName name="WALLAREA_SS_B23_300X700_500mm_deep">#REF!</definedName>
    <definedName name="WALLAREA_SS_B24_300X700_500mm_deep">#REF!</definedName>
    <definedName name="WALLAREA_SS_B25_300X700_480mm_deep">#REF!</definedName>
    <definedName name="WALLAREA_SS_B26_300X500_340mm_deep">#REF!</definedName>
    <definedName name="WALLAREA_SS_B27_300X500_340___deep">#REF!</definedName>
    <definedName name="WALLAREA_SS_B28_500X1000_750mm_deep">#REF!</definedName>
    <definedName name="WALLAREA_SS_B29_500X1000_750mm_deep">#REF!</definedName>
    <definedName name="WALLAREA_SS_B3_400X700_480mm_deep">#REF!</definedName>
    <definedName name="WALLAREA_SS_B3_400X800_550mm_deep">#REF!</definedName>
    <definedName name="WALLAREA_SS_B30_500X1000_750mm_deep">#REF!</definedName>
    <definedName name="WALLAREA_SS_B31_500X1000_750mm_deep">#REF!</definedName>
    <definedName name="WALLAREA_SS_B4_300X700_520mm_deep">#REF!</definedName>
    <definedName name="WALLAREA_SS_B4_400X800_550mm_deep">#REF!</definedName>
    <definedName name="WALLAREA_SS_B5_400X800_550mm_deep">#REF!</definedName>
    <definedName name="WALLAREA_SS_B6_300X600_350mm_deep">#REF!</definedName>
    <definedName name="WALLAREA_SS_B6_300X700">#REF!</definedName>
    <definedName name="WALLAREA_SS_B6_300X700_520mm_deep">#REF!</definedName>
    <definedName name="WALLAREA_SS_B7_200X700_450mm_deep">#REF!</definedName>
    <definedName name="WALLAREA_SS_B8_400X800_550mm_deep">#REF!</definedName>
    <definedName name="WALLAREA_SS_B9_300X600_350mm_deep">#REF!</definedName>
    <definedName name="WALLAREA_SS_B9_300X700_450mm_deep">#REF!</definedName>
    <definedName name="WALLAREA_SS_B9_350X700_450mm_deep">#REF!</definedName>
    <definedName name="WALLAREA_SS_B9_350X700_500mm_deep">#REF!</definedName>
    <definedName name="WALLAREA_SS_CA1_300X700">#REF!</definedName>
    <definedName name="WALLAREA_Stair">#REF!</definedName>
    <definedName name="WALLAREA_Stair.1">#REF!</definedName>
    <definedName name="WALLAREA_Stair_10">#REF!</definedName>
    <definedName name="WALLAREA_Stair_11">#REF!</definedName>
    <definedName name="WALLAREA_Stair_11A">#REF!</definedName>
    <definedName name="WALLAREA_Stair_12">#REF!</definedName>
    <definedName name="WALLAREA_Stair_12A">#REF!</definedName>
    <definedName name="WALLAREA_Stair_12B">#REF!</definedName>
    <definedName name="WALLAREA_Stair_13">#REF!</definedName>
    <definedName name="WALLAREA_Stair_14">#REF!</definedName>
    <definedName name="WALLAREA_STAIRCASE_ROOM_BS_668">#REF!</definedName>
    <definedName name="WALLAREA_Storage.1">#REF!</definedName>
    <definedName name="WALLAREA_Storage.F">#REF!</definedName>
    <definedName name="WALLAREA_Storage.F1">#REF!</definedName>
    <definedName name="WALLAREA_Storage.F2">#REF!</definedName>
    <definedName name="WALLAREA_Storage.F3">#REF!</definedName>
    <definedName name="WALLAREA_Storage_F">#REF!</definedName>
    <definedName name="WALLAREA_STORE_GR_655">#REF!</definedName>
    <definedName name="WALLAREA_Strip_footings_400mm_thk">#REF!</definedName>
    <definedName name="WALLAREA_Strip_footings_500mm_thk">#REF!</definedName>
    <definedName name="WALLAREA_Sub_Str._RC_Wall_250mm_thk">#REF!</definedName>
    <definedName name="WALLAREA_Sub_str._RC_Wall_400mm_thk">#REF!</definedName>
    <definedName name="WALLAREA_Sub_Str._Trench_wall_250mm_thick">#REF!</definedName>
    <definedName name="WALLAREA_Sub_Str.RC_Wall_300mm_thk">#REF!</definedName>
    <definedName name="WALLAREA_Superstr._Basement_Wall_250mm_thick">#REF!</definedName>
    <definedName name="WALLAREA_Surface_Bed_S_120mm_thick">#REF!</definedName>
    <definedName name="WALLAREA_Surface_Bed_S1_150mm_thick">#REF!</definedName>
    <definedName name="WALLAREA_Surface_Bed_S5_250mm_thk">#REF!</definedName>
    <definedName name="WALLAREA_Tech.">#REF!</definedName>
    <definedName name="WALLAREA_Tech._library">#REF!</definedName>
    <definedName name="WALLAREA_Tech.1">#REF!</definedName>
    <definedName name="WALLAREA_Tech_library.1">#REF!</definedName>
    <definedName name="WALLAREA_TL___01">#REF!</definedName>
    <definedName name="WALLAREA_TL___04">#REF!</definedName>
    <definedName name="WALLAREA_TL___09">#REF!</definedName>
    <definedName name="WALLAREA_TL___10">#REF!</definedName>
    <definedName name="WALLAREA_TL___11">#REF!</definedName>
    <definedName name="WALLAREA_TL___12_S">#REF!</definedName>
    <definedName name="WALLAREA_TL_04_S">#REF!</definedName>
    <definedName name="WALLAREA_TL_09_S">#REF!</definedName>
    <definedName name="WALLAREA_TOILETS_GR_661">#REF!</definedName>
    <definedName name="WALLAREA_Tool_crib">#REF!</definedName>
    <definedName name="WALLAREA_Tool_crib.1">#REF!</definedName>
    <definedName name="WALLAREA_Tools">#REF!</definedName>
    <definedName name="WALLAREA_Tools_CE_P">#REF!</definedName>
    <definedName name="WALLAREA_Tools_CE_P.1">#REF!</definedName>
    <definedName name="WALLAREA_Training.F">#REF!</definedName>
    <definedName name="WALLAREA_Training_room">#REF!</definedName>
    <definedName name="WALLAREA_Training_room.1">#REF!</definedName>
    <definedName name="WALLAREA_TRENCH_BS_653">#REF!</definedName>
    <definedName name="WALLAREA_TUNNEL_BS_652">#REF!</definedName>
    <definedName name="WALLAREA_Type_E_Scratched_Finish">#REF!</definedName>
    <definedName name="WALLAREA_Type_F_Smooth_finish">#REF!</definedName>
    <definedName name="WALLAREA_Warming_kitchen">#REF!</definedName>
    <definedName name="WALLAREA_Wash_hangar_2">#REF!</definedName>
    <definedName name="WALLAREA_WL_01_General_walls">#REF!</definedName>
    <definedName name="WALLAREA_WL_01_Upstand">#REF!</definedName>
    <definedName name="WALLAREA_WL_02_Columns_and_Corners">#REF!</definedName>
    <definedName name="WALLAREA_Womens_toilet">#REF!</definedName>
    <definedName name="WALLAREA_Womens_toilet.F">#REF!</definedName>
    <definedName name="WALLAREA_WORKSHOP_GR_667">#REF!</definedName>
    <definedName name="Wallfinishes">#REF!</definedName>
    <definedName name="WALLFINISHESArea">#REF!</definedName>
    <definedName name="WALLFINISHESPerimeter">#REF!</definedName>
    <definedName name="Walllining.1Length">#REF!</definedName>
    <definedName name="Walllining.2Length">#REF!</definedName>
    <definedName name="Walllining.3Length">#REF!</definedName>
    <definedName name="Walllining.4Length">#REF!</definedName>
    <definedName name="Walllining.5Length">#REF!</definedName>
    <definedName name="Walllining.6Length">#REF!</definedName>
    <definedName name="Walllining.7Length">#REF!</definedName>
    <definedName name="Walllining.8Length">#REF!</definedName>
    <definedName name="Walllining.9Length">#REF!</definedName>
    <definedName name="warergtrjyiu" localSheetId="3" hidden="1">{#N/A,#N/A,TRUE,"Cover";#N/A,#N/A,TRUE,"Conts";#N/A,#N/A,TRUE,"VOS";#N/A,#N/A,TRUE,"Warrington";#N/A,#N/A,TRUE,"Widnes"}</definedName>
    <definedName name="warergtrjyiu" hidden="1">{#N/A,#N/A,TRUE,"Cover";#N/A,#N/A,TRUE,"Conts";#N/A,#N/A,TRUE,"VOS";#N/A,#N/A,TRUE,"Warrington";#N/A,#N/A,TRUE,"Widnes"}</definedName>
    <definedName name="WATER_CHARGES">#REF!</definedName>
    <definedName name="Water_Proofing">#REF!</definedName>
    <definedName name="Waterproofing">#REF!</definedName>
    <definedName name="Waterstops_Compartmantalization">#REF!</definedName>
    <definedName name="Watersupply">#REF!</definedName>
    <definedName name="wawst" localSheetId="3" hidden="1">{#N/A,#N/A,TRUE,"Cover";#N/A,#N/A,TRUE,"Conts";#N/A,#N/A,TRUE,"VOS";#N/A,#N/A,TRUE,"Warrington";#N/A,#N/A,TRUE,"Widnes"}</definedName>
    <definedName name="wawst" hidden="1">{#N/A,#N/A,TRUE,"Cover";#N/A,#N/A,TRUE,"Conts";#N/A,#N/A,TRUE,"VOS";#N/A,#N/A,TRUE,"Warrington";#N/A,#N/A,TRUE,"Widnes"}</definedName>
    <definedName name="wbs">#REF!</definedName>
    <definedName name="WC">#REF!</definedName>
    <definedName name="WD" localSheetId="3" hidden="1">{"Datos",#N/A,TRUE,"Datos"}</definedName>
    <definedName name="WD" hidden="1">{"Datos",#N/A,TRUE,"Datos"}</definedName>
    <definedName name="wdf">#REF!</definedName>
    <definedName name="WDMH">#REF!</definedName>
    <definedName name="we" localSheetId="3" hidden="1">{"'Break down'!$A$4"}</definedName>
    <definedName name="we" hidden="1">{"'Break down'!$A$4"}</definedName>
    <definedName name="WearingCourse">#REF!</definedName>
    <definedName name="wedfty675">#REF!</definedName>
    <definedName name="wedsq2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fwe" hidden="1">{#N/A,#N/A,TRUE,"Cover";#N/A,#N/A,TRUE,"Conts";#N/A,#N/A,TRUE,"VOS";#N/A,#N/A,TRUE,"Warrington";#N/A,#N/A,TRUE,"Widnes"}</definedName>
    <definedName name="WEEKS_SCHOOL">#REF!</definedName>
    <definedName name="wegywegt" localSheetId="3" hidden="1">{#N/A,#N/A,TRUE,"Cover";#N/A,#N/A,TRUE,"Conts";#N/A,#N/A,TRUE,"VOS";#N/A,#N/A,TRUE,"Warrington";#N/A,#N/A,TRUE,"Widnes"}</definedName>
    <definedName name="wegywegt" hidden="1">{#N/A,#N/A,TRUE,"Cover";#N/A,#N/A,TRUE,"Conts";#N/A,#N/A,TRUE,"VOS";#N/A,#N/A,TRUE,"Warrington";#N/A,#N/A,TRUE,"Widnes"}</definedName>
    <definedName name="WEIGHT">#REF!</definedName>
    <definedName name="weq" localSheetId="3"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localSheetId="3" hidden="1">{"bechtel1",#N/A,TRUE,"BECHTEL";"bechtelhours",#N/A,TRUE,"BECHTEL";"bechtel$",#N/A,TRUE,"BECHTEL"}</definedName>
    <definedName name="wer" hidden="1">{"bechtel1",#N/A,TRUE,"BECHTEL";"bechtelhours",#N/A,TRUE,"BECHTEL";"bechtel$",#N/A,TRUE,"BECHTEL"}</definedName>
    <definedName name="werdf34">#REF!</definedName>
    <definedName name="werfg" hidden="1">{#N/A,#N/A,TRUE,"Cover";#N/A,#N/A,TRUE,"Conts";#N/A,#N/A,TRUE,"VOS";#N/A,#N/A,TRUE,"Warrington";#N/A,#N/A,TRUE,"Widnes"}</definedName>
    <definedName name="werrrrrrrrrrrrrrrrrrrrrrrrrrrrrrrr">#REF!</definedName>
    <definedName name="wert" localSheetId="3" hidden="1">{#N/A,#N/A,TRUE,"Cover";#N/A,#N/A,TRUE,"Conts";#N/A,#N/A,TRUE,"VOS";#N/A,#N/A,TRUE,"Warrington";#N/A,#N/A,TRUE,"Widnes"}</definedName>
    <definedName name="wert" hidden="1">{#N/A,#N/A,TRUE,"Cover";#N/A,#N/A,TRUE,"Conts";#N/A,#N/A,TRUE,"VOS";#N/A,#N/A,TRUE,"Warrington";#N/A,#N/A,TRUE,"Widnes"}</definedName>
    <definedName name="wertfgg">#REF!</definedName>
    <definedName name="WERTGH" hidden="1">{#N/A,#N/A,TRUE,"Cover";#N/A,#N/A,TRUE,"Conts";#N/A,#N/A,TRUE,"VOS";#N/A,#N/A,TRUE,"Warrington";#N/A,#N/A,TRUE,"Widnes"}</definedName>
    <definedName name="werweasdfwd">#REF!</definedName>
    <definedName name="WERWER" localSheetId="3" hidden="1">{#N/A,#N/A,FALSE,"양식(을)"}</definedName>
    <definedName name="WERWER" hidden="1">{#N/A,#N/A,FALSE,"양식(을)"}</definedName>
    <definedName name="WERWR" localSheetId="3" hidden="1">{#N/A,#N/A,FALSE,"양식(을)"}</definedName>
    <definedName name="WERWR" hidden="1">{#N/A,#N/A,FALSE,"양식(을)"}</definedName>
    <definedName name="WERWRWER" localSheetId="3" hidden="1">{#N/A,#N/A,FALSE,"양식(을)"}</definedName>
    <definedName name="WERWRWER" hidden="1">{#N/A,#N/A,FALSE,"양식(을)"}</definedName>
    <definedName name="wetjy" localSheetId="3" hidden="1">{#N/A,#N/A,TRUE,"Cover";#N/A,#N/A,TRUE,"Conts";#N/A,#N/A,TRUE,"VOS";#N/A,#N/A,TRUE,"Warrington";#N/A,#N/A,TRUE,"Widnes"}</definedName>
    <definedName name="wetjy" hidden="1">{#N/A,#N/A,TRUE,"Cover";#N/A,#N/A,TRUE,"Conts";#N/A,#N/A,TRUE,"VOS";#N/A,#N/A,TRUE,"Warrington";#N/A,#N/A,TRUE,"Widnes"}</definedName>
    <definedName name="wetq4w" localSheetId="3" hidden="1">{"Datos",#N/A,TRUE,"Datos"}</definedName>
    <definedName name="wetq4w" hidden="1">{"Datos",#N/A,TRUE,"Datos"}</definedName>
    <definedName name="wetwe" hidden="1">{#N/A,#N/A,TRUE,"Cover";#N/A,#N/A,TRUE,"Conts";#N/A,#N/A,TRUE,"VOS";#N/A,#N/A,TRUE,"Warrington";#N/A,#N/A,TRUE,"Widnes"}</definedName>
    <definedName name="wetyrutu" localSheetId="3" hidden="1">{#N/A,#N/A,TRUE,"Cover";#N/A,#N/A,TRUE,"Conts";#N/A,#N/A,TRUE,"VOS";#N/A,#N/A,TRUE,"Warrington";#N/A,#N/A,TRUE,"Widnes"}</definedName>
    <definedName name="wetyrutu" hidden="1">{#N/A,#N/A,TRUE,"Cover";#N/A,#N/A,TRUE,"Conts";#N/A,#N/A,TRUE,"VOS";#N/A,#N/A,TRUE,"Warrington";#N/A,#N/A,TRUE,"Widnes"}</definedName>
    <definedName name="wew">#REF!</definedName>
    <definedName name="wewew">#REF!</definedName>
    <definedName name="WF">#REF!</definedName>
    <definedName name="whatever">#REF!</definedName>
    <definedName name="wid">#REF!</definedName>
    <definedName name="widabt">#REF!</definedName>
    <definedName name="Width">#REF!</definedName>
    <definedName name="Width_of_the_cell_Y_direction__m">#REF!</definedName>
    <definedName name="widwing">#REF!</definedName>
    <definedName name="william" localSheetId="3" hidden="1">{#N/A,#N/A,TRUE,"COVER";#N/A,#N/A,TRUE,"DETAILS";#N/A,#N/A,TRUE,"SUMMARY";#N/A,#N/A,TRUE,"EXP MON";#N/A,#N/A,TRUE,"APPENDIX A";#N/A,#N/A,TRUE,"APPENDIX B";#N/A,#N/A,TRUE,"APPENDIX C";#N/A,#N/A,TRUE,"APPENDIX D";#N/A,#N/A,TRUE,"APPENDIX E";#N/A,#N/A,TRUE,"APPENDIX F";#N/A,#N/A,TRUE,"APPENDIX G"}</definedName>
    <definedName name="william" hidden="1">{#N/A,#N/A,TRUE,"COVER";#N/A,#N/A,TRUE,"DETAILS";#N/A,#N/A,TRUE,"SUMMARY";#N/A,#N/A,TRUE,"EXP MON";#N/A,#N/A,TRUE,"APPENDIX A";#N/A,#N/A,TRUE,"APPENDIX B";#N/A,#N/A,TRUE,"APPENDIX C";#N/A,#N/A,TRUE,"APPENDIX D";#N/A,#N/A,TRUE,"APPENDIX E";#N/A,#N/A,TRUE,"APPENDIX F";#N/A,#N/A,TRUE,"APPENDIX G"}</definedName>
    <definedName name="Window">#REF!</definedName>
    <definedName name="Windows">#REF!</definedName>
    <definedName name="wip">#REF!</definedName>
    <definedName name="WLP">#REF!</definedName>
    <definedName name="wm.조골재1" localSheetId="3" hidden="1">{#N/A,#N/A,FALSE,"조골재"}</definedName>
    <definedName name="wm.조골재1" hidden="1">{#N/A,#N/A,FALSE,"조골재"}</definedName>
    <definedName name="wmm">#REF!</definedName>
    <definedName name="WN">#REF!</definedName>
    <definedName name="won">908.38</definedName>
    <definedName name="WOOD_DOOR">#REF!</definedName>
    <definedName name="woodenbe">#REF!</definedName>
    <definedName name="woodenben">#REF!</definedName>
    <definedName name="woodenbench">#REF!</definedName>
    <definedName name="Woodenwork">#REF!</definedName>
    <definedName name="wordbox">#REF!</definedName>
    <definedName name="WORDS">#REF!</definedName>
    <definedName name="Wordstart">#REF!</definedName>
    <definedName name="work">#REF!</definedName>
    <definedName name="Work_in_Progress">#REF!</definedName>
    <definedName name="WORKER_BUS">#REF!</definedName>
    <definedName name="WORKER_HIGH_TEC">#REF!</definedName>
    <definedName name="WORKER_HOTEL">#REF!</definedName>
    <definedName name="WORKER_MEDIUM">#REF!</definedName>
    <definedName name="WORKER_OTHER_LIGHT">#REF!</definedName>
    <definedName name="WORKER_RETAIL">#REF!</definedName>
    <definedName name="workings">#REF!</definedName>
    <definedName name="WORKNO">#REF!</definedName>
    <definedName name="WORKSHOP" localSheetId="3" hidden="1">{#N/A,#N/A,TRUE,"Basic";#N/A,#N/A,TRUE,"EXT-TABLE";#N/A,#N/A,TRUE,"STEEL";#N/A,#N/A,TRUE,"INT-Table";#N/A,#N/A,TRUE,"STEEL";#N/A,#N/A,TRUE,"Door"}</definedName>
    <definedName name="WORKSHOP" hidden="1">{#N/A,#N/A,TRUE,"Basic";#N/A,#N/A,TRUE,"EXT-TABLE";#N/A,#N/A,TRUE,"STEEL";#N/A,#N/A,TRUE,"INT-Table";#N/A,#N/A,TRUE,"STEEL";#N/A,#N/A,TRUE,"Door"}</definedName>
    <definedName name="wp">#REF!</definedName>
    <definedName name="wqas">#REF!</definedName>
    <definedName name="wqasdt76">#REF!</definedName>
    <definedName name="wqed3245">#REF!</definedName>
    <definedName name="wqer" localSheetId="3" hidden="1">{#N/A,#N/A,TRUE,"Cover";#N/A,#N/A,TRUE,"Conts";#N/A,#N/A,TRUE,"VOS";#N/A,#N/A,TRUE,"Warrington";#N/A,#N/A,TRUE,"Widnes"}</definedName>
    <definedName name="wqer" hidden="1">{#N/A,#N/A,TRUE,"Cover";#N/A,#N/A,TRUE,"Conts";#N/A,#N/A,TRUE,"VOS";#N/A,#N/A,TRUE,"Warrington";#N/A,#N/A,TRUE,"Widnes"}</definedName>
    <definedName name="WR">#REF!</definedName>
    <definedName name="wre1.5">#REF!</definedName>
    <definedName name="wre2.5">#REF!</definedName>
    <definedName name="WRITE" localSheetId="3" hidden="1">{#N/A,#N/A,FALSE,"CCTV"}</definedName>
    <definedName name="WRITE" hidden="1">{#N/A,#N/A,FALSE,"CCTV"}</definedName>
    <definedName name="wrk_area">#REF!</definedName>
    <definedName name="WRK1_AREA">#REF!</definedName>
    <definedName name="wrn" hidden="1">{#N/A,#N/A,TRUE,"Front";#N/A,#N/A,TRUE,"Simple Letter";#N/A,#N/A,TRUE,"Inside";#N/A,#N/A,TRUE,"Contents";#N/A,#N/A,TRUE,"Basis";#N/A,#N/A,TRUE,"Inclusions";#N/A,#N/A,TRUE,"Exclusions";#N/A,#N/A,TRUE,"Areas";#N/A,#N/A,TRUE,"Summary";#N/A,#N/A,TRUE,"Detail"}</definedName>
    <definedName name="wrn.02INFORME." hidden="1">{"NORMAL",#N/A,FALSE,"02"}</definedName>
    <definedName name="wrn.111." hidden="1">{#N/A,#N/A,FALSE,"Sheet7"}</definedName>
    <definedName name="wrn.2번." localSheetId="3" hidden="1">{#N/A,#N/A,FALSE,"2~8번"}</definedName>
    <definedName name="wrn.2번." hidden="1">{#N/A,#N/A,FALSE,"2~8번"}</definedName>
    <definedName name="wrn.96사업계획." hidden="1">{#N/A,#N/A,FALSE,"96자동차사 계획";#N/A,#N/A,FALSE,"96자동차사 계획"}</definedName>
    <definedName name="wrn.abc." localSheetId="3" hidden="1">{#N/A,#N/A,TRUE,"천상그린44PY"}</definedName>
    <definedName name="wrn.abc." hidden="1">{#N/A,#N/A,TRUE,"천상그린44PY"}</definedName>
    <definedName name="wrn.Acc._.Balance." localSheetId="3" hidden="1">{#N/A,#N/A,FALSE,"Bal.Sht"}</definedName>
    <definedName name="wrn.Acc._.Balance." hidden="1">{#N/A,#N/A,FALSE,"Bal.Sht"}</definedName>
    <definedName name="wrn.Accountant." hidden="1">{"Accounts",#N/A,FALSE,"Subcontractor";"Accounts",#N/A,FALSE,"Supplier";"Accounts",#N/A,FALSE,"Statutory Authorities"}</definedName>
    <definedName name="wrn.all." localSheetId="3"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hidden="1">{#N/A,#N/A,FALSE,"Primary";#N/A,#N/A,FALSE,"Secondary";#N/A,#N/A,FALSE,"Latent";#N/A,#N/A,FALSE,"Demand Inputs";#N/A,#N/A,FALSE,"Supply Addn";#N/A,#N/A,FALSE,"Mkt Pen"}</definedName>
    <definedName name="wrn.all._.lines." localSheetId="3"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RA." localSheetId="3" hidden="1">{"ARA1",#N/A,FALSE,"ENG-ARA";"ARAhours",#N/A,FALSE,"ENG-ARA";"ARA$",#N/A,FALSE,"ENG-ARA"}</definedName>
    <definedName name="wrn.ARA." hidden="1">{"ARA1",#N/A,FALSE,"ENG-ARA";"ARAhours",#N/A,FALSE,"ENG-ARA";"ARA$",#N/A,FALSE,"ENG-ARA"}</definedName>
    <definedName name="wrn.Audit._.Measured._.Works." hidden="1">{#N/A,#N/A,FALSE,"Measured Works"}</definedName>
    <definedName name="wrn.Backup." localSheetId="3"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3"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kun._.Tender._.Evaluation." localSheetId="3"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localSheetId="3" hidden="1">{#N/A,#N/A,FALSE,"Bal.Sht"}</definedName>
    <definedName name="wrn.balance._.sheert2." hidden="1">{#N/A,#N/A,FALSE,"Bal.Sht"}</definedName>
    <definedName name="wrn.Balance._.Sheet." localSheetId="3" hidden="1">{#N/A,#N/A,FALSE,"Bal.Sht"}</definedName>
    <definedName name="wrn.Balance._.Sheet." hidden="1">{#N/A,#N/A,FALSE,"Bal.Sht"}</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RCHART." hidden="1">{"View1",#N/A,FALSE,"Sheet1";"View2",#N/A,FALSE,"Sheet1";"View3",#N/A,FALSE,"Sheet1";"View4",#N/A,FALSE,"Sheet1"}</definedName>
    <definedName name="wrn.BaseYearDemand." hidden="1">{"Base Year Demand",#N/A,FALSE,"Demand-Base Year"}</definedName>
    <definedName name="wrn.bechtel._.hours." localSheetId="3" hidden="1">{"bechtel1",#N/A,TRUE,"BECHTEL";"bechtelhours",#N/A,TRUE,"BECHTEL";"bechtel$",#N/A,TRUE,"BECHTEL"}</definedName>
    <definedName name="wrn.bechtel._.hours." hidden="1">{"bechtel1",#N/A,TRUE,"BECHTEL";"bechtelhours",#N/A,TRUE,"BECHTEL";"bechtel$",#N/A,TRUE,"BECHTEL"}</definedName>
    <definedName name="wrn.bh." localSheetId="3" hidden="1">{#N/A,#N/A,FALSE,"TELEFON"}</definedName>
    <definedName name="wrn.bh." hidden="1">{#N/A,#N/A,FALSE,"TELEFON"}</definedName>
    <definedName name="wrn.bh1." localSheetId="3" hidden="1">{#N/A,#N/A,FALSE,"TELEFON"}</definedName>
    <definedName name="wrn.bh1." hidden="1">{#N/A,#N/A,FALSE,"TELEFON"}</definedName>
    <definedName name="wrn.BILLS._.OF._.QUANTITY." localSheetId="3" hidden="1">{#N/A,#N/A,TRUE,"Str.";#N/A,#N/A,TRUE,"Steel &amp; Roof";#N/A,#N/A,TRUE,"Arc.";#N/A,#N/A,TRUE,"Preliminary";#N/A,#N/A,TRUE,"Sum_Prelim"}</definedName>
    <definedName name="wrn.BILLS._.OF._.QUANTITY." hidden="1">{#N/A,#N/A,TRUE,"Str.";#N/A,#N/A,TRUE,"Steel &amp; Roof";#N/A,#N/A,TRUE,"Arc.";#N/A,#N/A,TRUE,"Preliminary";#N/A,#N/A,TRUE,"Sum_Prelim"}</definedName>
    <definedName name="wrn.BM." localSheetId="3" hidden="1">{#N/A,#N/A,FALSE,"CCTV"}</definedName>
    <definedName name="wrn.BM." hidden="1">{#N/A,#N/A,FALSE,"CCTV"}</definedName>
    <definedName name="wrn.Both._.Outputs." hidden="1">{"LTV Output",#N/A,FALSE,"Output";"DCR Output",#N/A,FALSE,"Output"}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localSheetId="3" hidden="1">{#N/A,#N/A,FALSE,"VCR"}</definedName>
    <definedName name="wrn.Chandana." hidden="1">{#N/A,#N/A,FALSE,"VCR"}</definedName>
    <definedName name="wrn.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_.Sheets._.2000._.2001." hidden="1">{"Aug/Sep 2000",#N/A,TRUE,"Check Sheets";"Oct 2000",#N/A,TRUE,"Check Sheets";"Nov 2000",#N/A,TRUE,"Check Sheets";"Dec 2000",#N/A,TRUE,"Check Sheets";"Jan 2001",#N/A,TRUE,"Check Sheets";"Feb 2001",#N/A,TRUE,"Check Sheets";"Mar 2001",#N/A,TRUE,"Check Sheets";"Apr 2001",#N/A,TRUE,"Check Sheets";"May 2001",#N/A,TRUE,"Check Sheets";"Jun 2001",#N/A,TRUE,"Check Sheets";"Jul 2001",#N/A,TRUE,"Check Sheets";"Aug 2001",#N/A,TRUE,"Check Sheets"}</definedName>
    <definedName name="wrn.chi._.tiÆt." localSheetId="3" hidden="1">{#N/A,#N/A,FALSE,"Chi tiÆt"}</definedName>
    <definedName name="wrn.chi._.tiÆt." hidden="1">{#N/A,#N/A,FALSE,"Chi tiÆt"}</definedName>
    <definedName name="wrn.CHIEF._.REVIEW." localSheetId="3"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3" hidden="1">{"DBANK",#N/A,FALSE,"PriceE";"CKTS",#N/A,FALSE,"PriceE"}</definedName>
    <definedName name="wrn.CIRCUITS." hidden="1">{"DBANK",#N/A,FALSE,"PriceE";"CKTS",#N/A,FALSE,"PriceE"}</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3"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tract._.Sum." hidden="1">{"Contract Sums",#N/A,FALSE,"Subcontractor";"Contract Sums",#N/A,FALSE,"Supplier";"Contract Sums",#N/A,FALSE,"Statutory Authorities"}</definedName>
    <definedName name="wrn.Cost._.Report." localSheetId="3"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Cost._.Summary." localSheetId="3" hidden="1">{"Cost Summary",#N/A,FALSE,"B";"Cost Detail 1",#N/A,FALSE,"C";"Cost Detail 2",#N/A,FALSE,"C"}</definedName>
    <definedName name="wrn.Cost._.Summary." hidden="1">{"Cost Summary",#N/A,FALSE,"B";"Cost Detail 1",#N/A,FALSE,"C";"Cost Detail 2",#N/A,FALSE,"C"}</definedName>
    <definedName name="wrn.COST_SHEETS." localSheetId="3" hidden="1">{#N/A,#N/A,FALSE,"WBS 1.06";#N/A,#N/A,FALSE,"WBS 1.14";#N/A,#N/A,FALSE,"WBS 1.17";#N/A,#N/A,FALSE,"WBS 1.18"}</definedName>
    <definedName name="wrn.COST_SHEETS." hidden="1">{#N/A,#N/A,FALSE,"WBS 1.06";#N/A,#N/A,FALSE,"WBS 1.14";#N/A,#N/A,FALSE,"WBS 1.17";#N/A,#N/A,FALSE,"WBS 1.18"}</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D_Price._.List." localSheetId="3" hidden="1">{"D_Price list",#N/A,FALSE,"Sheet1"}</definedName>
    <definedName name="wrn.D_Price._.List." hidden="1">{"D_Price list",#N/A,FALSE,"Sheet1"}</definedName>
    <definedName name="wrn.DCR._.Output." hidden="1">{"DCR Output",#N/A,FALSE,"Output"}</definedName>
    <definedName name="wrn.DECIMAL." hidden="1">{"DECIMAL",#N/A,FALSE,"02"}</definedName>
    <definedName name="wrn.Demand._.Calcs." hidden="1">{#N/A,#N/A,FALSE,"Demand Calcs"}</definedName>
    <definedName name="wrn.Demand._.Inputs." hidden="1">{#N/A,#N/A,FALSE,"Demand Inputs"}</definedName>
    <definedName name="wrn.Detail." localSheetId="3"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EDAR." localSheetId="3" hidden="1">{"Datos",#N/A,TRUE,"Datos"}</definedName>
    <definedName name="wrn.EDAR." hidden="1">{"Datos",#N/A,TRUE,"Datos"}</definedName>
    <definedName name="wrn.EXPLOTACION."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localSheetId="3"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air._.Share._.Calcs." hidden="1">{#N/A,#N/A,FALSE,"Fair Share"}</definedName>
    <definedName name="wrn.Final._.Account." hidden="1">{#N/A,#N/A,FALSE,"Header P";#N/A,#N/A,FALSE,"Summary";#N/A,#N/A,FALSE,"CONTRACT WORKS";#N/A,#N/A,FALSE,"Variations";#N/A,#N/A,FALSE,"Dwk"}</definedName>
    <definedName name="wrn.FINAL._.ACCOUNT._.ANALYSES." hidden="1">{#N/A,#N/A,FALSE,"Variations"}</definedName>
    <definedName name="wrn.FINAL._.ESTIMATE." localSheetId="3"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hidden="1">{#N/A,#N/A,FALSE,"Final Output"}</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orms." localSheetId="3"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uel._.oil._.option." localSheetId="3" hidden="1">{"FUEL OIL",#N/A,FALSE,"Option"}</definedName>
    <definedName name="wrn.Fuel._.oil._.option." hidden="1">{"FUEL OIL",#N/A,FALSE,"Option"}</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3"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GRF_1." localSheetId="3" hidden="1">{"VISTA_1",#N/A,FALSE,"GRAFO"}</definedName>
    <definedName name="wrn.GRF_1." hidden="1">{"VISTA_1",#N/A,FALSE,"GRAFO"}</definedName>
    <definedName name="wrn.Harley._.House." hidden="1">{"HarleyHouse",#N/A,FALSE,"Elem Cost( New Bld) "}</definedName>
    <definedName name="wrn.INCOME._.STATEMENT." localSheetId="3" hidden="1">{#N/A,#N/A,FALSE,"inctrnd99"}</definedName>
    <definedName name="wrn.INCOME._.STATEMENT." hidden="1">{#N/A,#N/A,FALSE,"inctrnd99"}</definedName>
    <definedName name="wrn.Inputs." hidden="1">{#N/A,#N/A,FALSE,"Input"}</definedName>
    <definedName name="wrn.Interim._.Valuation." hidden="1">{"Valuation",#N/A,FALSE,"VALUATION";"Standard",#N/A,FALSE,"RETENTION STATEMENT";"Progress Chart",#N/A,FALSE,"PROGRESS GRAPH"}</definedName>
    <definedName name="wrn.Latent._.Demand._.Inputs." hidden="1">{#N/A,#N/A,FALSE,"Latent"}</definedName>
    <definedName name="wrn.LTV._.Output." hidden="1">{"LTV Output",#N/A,FALSE,"Output"}</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F6." localSheetId="3" hidden="1">{"MF-601",#N/A,TRUE,"MANT-EX-B(fJ)";"MF-602",#N/A,TRUE,"ELECTR-FJ(B)";"MF-603",#N/A,TRUE,"PERSONAL(FJ)B";"MF-604",#N/A,TRUE,"REACT-P(B)";"MF-6XX",#N/A,TRUE,"Resumen";"MF-605",#N/A,TRUE,"OTR-COS.FJ(B)"}</definedName>
    <definedName name="wrn.MF6." hidden="1">{"MF-601",#N/A,TRUE,"MANT-EX-B(fJ)";"MF-602",#N/A,TRUE,"ELECTR-FJ(B)";"MF-603",#N/A,TRUE,"PERSONAL(FJ)B";"MF-604",#N/A,TRUE,"REACT-P(B)";"MF-6XX",#N/A,TRUE,"Resumen";"MF-605",#N/A,TRUE,"OTR-COS.FJ(B)"}</definedName>
    <definedName name="wrn.MF60X." localSheetId="3" hidden="1">{"MF-601",#N/A,TRUE,"MANT-EX-B(fJ)";"MF-602",#N/A,TRUE,"ELECTR-FJ(B)";"MF-603",#N/A,TRUE,"PERSONAL(FJ)B";"MF-604",#N/A,TRUE,"REACT-P(B)";"MF-605",#N/A,TRUE,"OTR-COS.FJ(B)";"MF-60X",#N/A,TRUE,"Resumen"}</definedName>
    <definedName name="wrn.MF60X." hidden="1">{"MF-601",#N/A,TRUE,"MANT-EX-B(fJ)";"MF-602",#N/A,TRUE,"ELECTR-FJ(B)";"MF-603",#N/A,TRUE,"PERSONAL(FJ)B";"MF-604",#N/A,TRUE,"REACT-P(B)";"MF-605",#N/A,TRUE,"OTR-COS.FJ(B)";"MF-60X",#N/A,TRUE,"Resumen"}</definedName>
    <definedName name="wrn.Nelson._.Summary." localSheetId="3" hidden="1">{#N/A,#N/A,FALSE,"subcontract"}</definedName>
    <definedName name="wrn.Nelson._.Summary." hidden="1">{#N/A,#N/A,FALSE,"subcontract"}</definedName>
    <definedName name="wrn.Occupancy._.Calcs." hidden="1">{#N/A,#N/A,FALSE,"Occ. Calcs"}</definedName>
    <definedName name="wrn.OCS._.REPORT." localSheetId="3" hidden="1">{#N/A,#N/A,FALSE,"Cover";#N/A,#N/A,FALSE,"Index";#N/A,#N/A,FALSE,"Spec";#N/A,#N/A,FALSE,"Breakdown";#N/A,#N/A,FALSE,"Cost Plan"}</definedName>
    <definedName name="wrn.OCS._.REPORT." hidden="1">{#N/A,#N/A,FALSE,"Cover";#N/A,#N/A,FALSE,"Index";#N/A,#N/A,FALSE,"Spec";#N/A,#N/A,FALSE,"Breakdown";#N/A,#N/A,FALSE,"Cost Plan"}</definedName>
    <definedName name="wrn.office."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_COSTS." localSheetId="3" hidden="1">{#N/A,#N/A,FALSE,"Summary";#N/A,#N/A,FALSE,"Plant";#N/A,#N/A,FALSE,"Staff";#N/A,#N/A,FALSE,"Prelim";#N/A,#N/A,FALSE,"Others"}</definedName>
    <definedName name="wrn.ON_COSTS." hidden="1">{#N/A,#N/A,FALSE,"Summary";#N/A,#N/A,FALSE,"Plant";#N/A,#N/A,FALSE,"Staff";#N/A,#N/A,FALSE,"Prelim";#N/A,#N/A,FALSE,"Others"}</definedName>
    <definedName name="wrn.One._.Pager._.plus._.Technicals." localSheetId="3" hidden="1">{#N/A,#N/A,FALSE,"One Pager";#N/A,#N/A,FALSE,"Technical"}</definedName>
    <definedName name="wrn.One._.Pager._.plus._.Technicals." hidden="1">{#N/A,#N/A,FALSE,"One Pager";#N/A,#N/A,FALSE,"Technical"}</definedName>
    <definedName name="wrn.pag_1." localSheetId="3" hidden="1">{#N/A,#N/A,FALSE,"COPERTINA"}</definedName>
    <definedName name="wrn.pag_1." hidden="1">{#N/A,#N/A,FALSE,"COPERTINA"}</definedName>
    <definedName name="wrn.Penetration." hidden="1">{#N/A,#N/A,FALSE,"Mkt Pen"}</definedName>
    <definedName name="wrn.Primary._.Competition." hidden="1">{#N/A,#N/A,FALSE,"Primary"}</definedName>
    <definedName name="wrn.Print._.Output." hidden="1">{#N/A,#N/A,FALSE,"OUTPUT SHEET "}</definedName>
    <definedName name="wrn.PRINT._.REPORT." localSheetId="3" hidden="1">{#N/A,#N/A,FALSE,"summary";#N/A,#N/A,FALSE,"preliminy";#N/A,#N/A,FALSE,"bill 3";#N/A,#N/A,FALSE,"bill 4"}</definedName>
    <definedName name="wrn.PRINT._.REPORT." hidden="1">{#N/A,#N/A,FALSE,"summary";#N/A,#N/A,FALSE,"preliminy";#N/A,#N/A,FALSE,"bill 3";#N/A,#N/A,FALSE,"bill 4"}</definedName>
    <definedName name="wrn.printall." localSheetId="3" hidden="1">{"sheet1",#N/A,FALSE,"easheet";"sheet2a",#N/A,FALSE,"easheet";"sheet2b",#N/A,FALSE,"easheet";"sheet3",#N/A,FALSE,"easheet"}</definedName>
    <definedName name="wrn.printall." hidden="1">{"sheet1",#N/A,FALSE,"easheet";"sheet2a",#N/A,FALSE,"easheet";"sheet2b",#N/A,FALSE,"easheet";"sheet3",#N/A,FALSE,"easheet"}</definedName>
    <definedName name="wrn.PrintallD." localSheetId="3"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3"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ing."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OCART." localSheetId="3" hidden="1">{#N/A,#N/A,FALSE,"MAQUINA"}</definedName>
    <definedName name="wrn.PROCART." hidden="1">{#N/A,#N/A,FALSE,"MAQUINA"}</definedName>
    <definedName name="wrn.Progress._.Account." hidden="1">{#N/A,#N/A,FALSE,"Variations"}</definedName>
    <definedName name="wrn.R1_Sh1." hidden="1">{"V_sh1_01",#N/A,FALSE,"Sh1_ver_iso"}</definedName>
    <definedName name="wrn.R2_Sh2." hidden="1">{"V_sh1_01",#N/A,TRUE,"Sh1_"}</definedName>
    <definedName name="wrn.ratio." localSheetId="3" hidden="1">{#N/A,#N/A,FALSE,"JACKETS (1100 t) (1)"}</definedName>
    <definedName name="wrn.ratio." hidden="1">{#N/A,#N/A,FALSE,"JACKETS (1100 t) (1)"}</definedName>
    <definedName name="wrn.Redundant._.Equipment._.Option." localSheetId="3" hidden="1">{"pumps",#N/A,FALSE,"Option"}</definedName>
    <definedName name="wrn.Redundant._.Equipment._.Option." hidden="1">{"pumps",#N/A,FALSE,"Option"}</definedName>
    <definedName name="wrn.Report._.1." hidden="1">{#N/A,#N/A,FALSE,"Work progress mensile";#N/A,#N/A,FALSE,"Work progress mensile IE1"}</definedName>
    <definedName name="wrn.Retention._.Statement." hidden="1">{"Retention",#N/A,FALSE,"Subcontractor";"Retention",#N/A,FALSE,"Supplier";"Retention",#N/A,FALSE,"Statutory Authorities"}</definedName>
    <definedName name="wrn.Ride._.Estimate." localSheetId="3"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S_PRICE._.LIST." localSheetId="3" hidden="1">{"S_Price List",#N/A,FALSE,"Sheet1"}</definedName>
    <definedName name="wrn.S_PRICE._.LIST." hidden="1">{"S_Price List",#N/A,FALSE,"Sheet1"}</definedName>
    <definedName name="wrn.seafirst."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hidden="1">{#N/A,#N/A,FALSE,"Secondary"}</definedName>
    <definedName name="wrn.Show._.Estimate." localSheetId="3"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tat._.Auths." hidden="1">{"Retention",#N/A,FALSE,"Statutory Authorities";"Contract Sums",#N/A,FALSE,"Statutory Authorities";"Accounts",#N/A,FALSE,"Statutory Authorities"}</definedName>
    <definedName name="wrn.STG._.BLDG._.ENCLOSURE." localSheetId="3" hidden="1">{"turbine",#N/A,FALSE,"Option"}</definedName>
    <definedName name="wrn.STG._.BLDG._.ENCLOSURE." hidden="1">{"turbine",#N/A,FALSE,"Option"}</definedName>
    <definedName name="wrn.struckgi." localSheetId="3" hidden="1">{#N/A,#N/A,TRUE,"arnitower";#N/A,#N/A,TRUE,"arnigarage "}</definedName>
    <definedName name="wrn.struckgi." hidden="1">{#N/A,#N/A,TRUE,"arnitower";#N/A,#N/A,TRUE,"arnigarage "}</definedName>
    <definedName name="wrn.Subbies." hidden="1">{"Retention",#N/A,FALSE,"Subcontractor";"Contract Sums",#N/A,FALSE,"Subcontractor";"Accounts",#N/A,FALSE,"Subcontractor"}</definedName>
    <definedName name="wrn.Summary." localSheetId="3" hidden="1">{#N/A,#N/A,FALSE,"Matrix";#N/A,#N/A,FALSE,"Executive";#N/A,#N/A,FALSE,"Summary"}</definedName>
    <definedName name="wrn.Summary." hidden="1">{#N/A,#N/A,FALSE,"Matrix";#N/A,#N/A,FALSE,"Executive";#N/A,#N/A,FALSE,"Summary"}</definedName>
    <definedName name="wrn.Suppliers." hidden="1">{"Retention",#N/A,FALSE,"Supplier";"Contract Sums",#N/A,FALSE,"Supplier";"Accounts",#N/A,FALSE,"Supplier"}</definedName>
    <definedName name="wrn.Supply._.Additions." hidden="1">{#N/A,#N/A,FALSE,"Supply Addn"}</definedName>
    <definedName name="wrn.test." localSheetId="3" hidden="1">{#N/A,#N/A,FALSE,"Bericht 2";#N/A,#N/A,FALSE,"Bericht 3";#N/A,#N/A,FALSE,"Bericht 1"}</definedName>
    <definedName name="wrn.test." hidden="1">{#N/A,#N/A,FALSE,"Bericht 2";#N/A,#N/A,FALSE,"Bericht 3";#N/A,#N/A,FALSE,"Bericht 1"}</definedName>
    <definedName name="wrn.TOCHTERMAN."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sch." localSheetId="3" hidden="1">{"offequipsch",#N/A,FALSE,"GTC_Schedule";"onconstsch",#N/A,FALSE,"GTC_Schedule";"techsch",#N/A,FALSE,"GTC_Schedule";"totsch",#N/A,FALSE,"GTC_Schedule"}</definedName>
    <definedName name="wrn.totsch." hidden="1">{"offequipsch",#N/A,FALSE,"GTC_Schedule";"onconstsch",#N/A,FALSE,"GTC_Schedule";"techsch",#N/A,FALSE,"GTC_Schedule";"totsch",#N/A,FALSE,"GTC_Schedule"}</definedName>
    <definedName name="wrn.TUTTO." hidden="1">{#N/A,#N/A,FALSE,"WBS 1°";#N/A,#N/A,FALSE,"WBS Units "}</definedName>
    <definedName name="wrn.valn." hidden="1">{#N/A,#N/A,TRUE,"valbd";#N/A,#N/A,TRUE,"Summy"}</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Warrington._.Widnes._.QS._.Costs." localSheetId="3" hidden="1">{#N/A,#N/A,TRUE,"Cover";#N/A,#N/A,TRUE,"Conts";#N/A,#N/A,TRUE,"VOS";#N/A,#N/A,TRUE,"Warrington";#N/A,#N/A,TRUE,"Widnes"}</definedName>
    <definedName name="wrn.Warrington._.Widnes._.QS._.Costs." hidden="1">{#N/A,#N/A,TRUE,"Cover";#N/A,#N/A,TRUE,"Conts";#N/A,#N/A,TRUE,"VOS";#N/A,#N/A,TRUE,"Warrington";#N/A,#N/A,TRUE,"Widnes"}</definedName>
    <definedName name="wrn.WHOUSE._.CT." localSheetId="3" hidden="1">{"WESTINGHOUSE",#N/A,FALSE,"Option"}</definedName>
    <definedName name="wrn.WHOUSE._.CT." hidden="1">{"WESTINGHOUSE",#N/A,FALSE,"Option"}</definedName>
    <definedName name="wrn.WorkBook._.Print." localSheetId="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골재소요량." localSheetId="3" hidden="1">{#N/A,#N/A,FALSE,"골재소요량";#N/A,#N/A,FALSE,"골재소요량"}</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육청." localSheetId="3" hidden="1">{#N/A,#N/A,FALSE,"전력간선"}</definedName>
    <definedName name="wrn.교육청." hidden="1">{#N/A,#N/A,FALSE,"전력간선"}</definedName>
    <definedName name="wrn.단가표지." localSheetId="3" hidden="1">{#N/A,#N/A,FALSE,"단가표지"}</definedName>
    <definedName name="wrn.단가표지." hidden="1">{#N/A,#N/A,FALSE,"단가표지"}</definedName>
    <definedName name="wrn.보고서." localSheetId="3" hidden="1">{#N/A,#N/A,FALSE,"양식(을)"}</definedName>
    <definedName name="wrn.보고서." hidden="1">{#N/A,#N/A,FALSE,"양식(을)"}</definedName>
    <definedName name="wrn.운반시간." localSheetId="3" hidden="1">{#N/A,#N/A,FALSE,"운반시간"}</definedName>
    <definedName name="wrn.운반시간." hidden="1">{#N/A,#N/A,FALSE,"운반시간"}</definedName>
    <definedName name="wrn.조골재." localSheetId="3" hidden="1">{#N/A,#N/A,FALSE,"조골재"}</definedName>
    <definedName name="wrn.조골재." hidden="1">{#N/A,#N/A,FALSE,"조골재"}</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rn2.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fulla" localSheetId="3"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3"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#REF!</definedName>
    <definedName name="wrrwerwrew" localSheetId="3" hidden="1">{#N/A,#N/A,TRUE,"Cover";#N/A,#N/A,TRUE,"Conts";#N/A,#N/A,TRUE,"VOS";#N/A,#N/A,TRUE,"Warrington";#N/A,#N/A,TRUE,"Widnes"}</definedName>
    <definedName name="wrrwerwrew" hidden="1">{#N/A,#N/A,TRUE,"Cover";#N/A,#N/A,TRUE,"Conts";#N/A,#N/A,TRUE,"VOS";#N/A,#N/A,TRUE,"Warrington";#N/A,#N/A,TRUE,"Widnes"}</definedName>
    <definedName name="wryuwyrututwys" localSheetId="3" hidden="1">{#N/A,#N/A,TRUE,"Cover";#N/A,#N/A,TRUE,"Conts";#N/A,#N/A,TRUE,"VOS";#N/A,#N/A,TRUE,"Warrington";#N/A,#N/A,TRUE,"Widnes"}</definedName>
    <definedName name="wryuwyrututwys" hidden="1">{#N/A,#N/A,TRUE,"Cover";#N/A,#N/A,TRUE,"Conts";#N/A,#N/A,TRUE,"VOS";#N/A,#N/A,TRUE,"Warrington";#N/A,#N/A,TRUE,"Widnes"}</definedName>
    <definedName name="WT" localSheetId="3" hidden="1">{#N/A,#N/A,TRUE,"Cover";#N/A,#N/A,TRUE,"Conts";#N/A,#N/A,TRUE,"VOS";#N/A,#N/A,TRUE,"Warrington";#N/A,#N/A,TRUE,"Widnes"}</definedName>
    <definedName name="WT" hidden="1">{#N/A,#N/A,TRUE,"Cover";#N/A,#N/A,TRUE,"Conts";#N/A,#N/A,TRUE,"VOS";#N/A,#N/A,TRUE,"Warrington";#N/A,#N/A,TRUE,"Widnes"}</definedName>
    <definedName name="wtey" localSheetId="3" hidden="1">{#N/A,#N/A,TRUE,"Cover";#N/A,#N/A,TRUE,"Conts";#N/A,#N/A,TRUE,"VOS";#N/A,#N/A,TRUE,"Warrington";#N/A,#N/A,TRUE,"Widnes"}</definedName>
    <definedName name="wtey" hidden="1">{#N/A,#N/A,TRUE,"Cover";#N/A,#N/A,TRUE,"Conts";#N/A,#N/A,TRUE,"VOS";#N/A,#N/A,TRUE,"Warrington";#N/A,#N/A,TRUE,"Widnes"}</definedName>
    <definedName name="Wtotal">#REF!</definedName>
    <definedName name="WTRGREGFERGJTHREJTJERGJRJGHJERHGJRJGERJGJJERGERJEFVBFNDVJFHG">#REF!</definedName>
    <definedName name="wtrwt" localSheetId="3" hidden="1">{#N/A,#N/A,TRUE,"Cover";#N/A,#N/A,TRUE,"Conts";#N/A,#N/A,TRUE,"VOS";#N/A,#N/A,TRUE,"Warrington";#N/A,#N/A,TRUE,"Widnes"}</definedName>
    <definedName name="wtrwt" hidden="1">{#N/A,#N/A,TRUE,"Cover";#N/A,#N/A,TRUE,"Conts";#N/A,#N/A,TRUE,"VOS";#N/A,#N/A,TRUE,"Warrington";#N/A,#N/A,TRUE,"Widnes"}</definedName>
    <definedName name="wtrywryt" localSheetId="3" hidden="1">{#N/A,#N/A,TRUE,"Cover";#N/A,#N/A,TRUE,"Conts";#N/A,#N/A,TRUE,"VOS";#N/A,#N/A,TRUE,"Warrington";#N/A,#N/A,TRUE,"Widnes"}</definedName>
    <definedName name="wtrywryt" hidden="1">{#N/A,#N/A,TRUE,"Cover";#N/A,#N/A,TRUE,"Conts";#N/A,#N/A,TRUE,"VOS";#N/A,#N/A,TRUE,"Warrington";#N/A,#N/A,TRUE,"Widnes"}</definedName>
    <definedName name="wtt" hidden="1">{#N/A,#N/A,FALSE,"WBS 1°";#N/A,#N/A,FALSE,"WBS Units "}</definedName>
    <definedName name="wtwt" localSheetId="3" hidden="1">{#N/A,#N/A,TRUE,"Cover";#N/A,#N/A,TRUE,"Conts";#N/A,#N/A,TRUE,"VOS";#N/A,#N/A,TRUE,"Warrington";#N/A,#N/A,TRUE,"Widnes"}</definedName>
    <definedName name="wtwt" hidden="1">{#N/A,#N/A,TRUE,"Cover";#N/A,#N/A,TRUE,"Conts";#N/A,#N/A,TRUE,"VOS";#N/A,#N/A,TRUE,"Warrington";#N/A,#N/A,TRUE,"Widnes"}</definedName>
    <definedName name="wtwy" localSheetId="3" hidden="1">{#N/A,#N/A,TRUE,"Cover";#N/A,#N/A,TRUE,"Conts";#N/A,#N/A,TRUE,"VOS";#N/A,#N/A,TRUE,"Warrington";#N/A,#N/A,TRUE,"Widnes"}</definedName>
    <definedName name="wtwy" hidden="1">{#N/A,#N/A,TRUE,"Cover";#N/A,#N/A,TRUE,"Conts";#N/A,#N/A,TRUE,"VOS";#N/A,#N/A,TRUE,"Warrington";#N/A,#N/A,TRUE,"Widnes"}</definedName>
    <definedName name="ww" localSheetId="3" hidden="1">{#N/A,#N/A,FALSE,"골재소요량";#N/A,#N/A,FALSE,"골재소요량"}</definedName>
    <definedName name="ww" hidden="1">{#N/A,#N/A,FALSE,"골재소요량";#N/A,#N/A,FALSE,"골재소요량"}</definedName>
    <definedName name="wwee" hidden="1">#REF!</definedName>
    <definedName name="WWQ">#REF!</definedName>
    <definedName name="wwqs">#REF!</definedName>
    <definedName name="wwr" localSheetId="3" hidden="1">{"'Break down'!$A$4"}</definedName>
    <definedName name="wwr" hidden="1">{"'Break down'!$A$4"}</definedName>
    <definedName name="wwss" localSheetId="3" hidden="1">{"Datos",#N/A,TRUE,"Datos"}</definedName>
    <definedName name="wwss" hidden="1">{"Datos",#N/A,TRUE,"Datos"}</definedName>
    <definedName name="wwssaaqq">#REF!</definedName>
    <definedName name="www">#REF!</definedName>
    <definedName name="www22b" localSheetId="3" hidden="1">{"Datos",#N/A,TRUE,"Datos"}</definedName>
    <definedName name="www22b" hidden="1">{"Datos",#N/A,TRUE,"Datos"}</definedName>
    <definedName name="wwwdw" hidden="1">#REF!</definedName>
    <definedName name="wwweer">#REF!</definedName>
    <definedName name="wwwoie">#REF!</definedName>
    <definedName name="wwwww" hidden="1">#REF!</definedName>
    <definedName name="wwwwww">#REF!</definedName>
    <definedName name="wwwwwwwwwwwwwwww">#REF!</definedName>
    <definedName name="wwwwwwwwwwwwwwwww22222222222222222222333">#REF!</definedName>
    <definedName name="wy7u7y" localSheetId="3" hidden="1">{#N/A,#N/A,TRUE,"Cover";#N/A,#N/A,TRUE,"Conts";#N/A,#N/A,TRUE,"VOS";#N/A,#N/A,TRUE,"Warrington";#N/A,#N/A,TRUE,"Widnes"}</definedName>
    <definedName name="wy7u7y" hidden="1">{#N/A,#N/A,TRUE,"Cover";#N/A,#N/A,TRUE,"Conts";#N/A,#N/A,TRUE,"VOS";#N/A,#N/A,TRUE,"Warrington";#N/A,#N/A,TRUE,"Widnes"}</definedName>
    <definedName name="WYEU">#REF!</definedName>
    <definedName name="WZ" hidden="1">{#N/A,#N/A,FALSE,"CCTV"}</definedName>
    <definedName name="X" hidden="1">#REF!</definedName>
    <definedName name="xa">#REF!</definedName>
    <definedName name="xb">#REF!</definedName>
    <definedName name="xc" localSheetId="3"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cerg09">#REF!</definedName>
    <definedName name="xcgfn"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b">#REF!</definedName>
    <definedName name="xcvx" localSheetId="3"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localSheetId="3" hidden="1">{"Datos",#N/A,TRUE,"Datos"}</definedName>
    <definedName name="xcvxvc" hidden="1">{"Datos",#N/A,TRUE,"Datos"}</definedName>
    <definedName name="xcxcv" localSheetId="3" hidden="1">{"MF-601",#N/A,TRUE,"MANT-EX-B(fJ)";"MF-602",#N/A,TRUE,"ELECTR-FJ(B)";"MF-603",#N/A,TRUE,"PERSONAL(FJ)B";"MF-604",#N/A,TRUE,"REACT-P(B)";"MF-6XX",#N/A,TRUE,"Resumen";"MF-605",#N/A,TRUE,"OTR-COS.FJ(B)"}</definedName>
    <definedName name="xcxcv" hidden="1">{"MF-601",#N/A,TRUE,"MANT-EX-B(fJ)";"MF-602",#N/A,TRUE,"ELECTR-FJ(B)";"MF-603",#N/A,TRUE,"PERSONAL(FJ)B";"MF-604",#N/A,TRUE,"REACT-P(B)";"MF-6XX",#N/A,TRUE,"Resumen";"MF-605",#N/A,TRUE,"OTR-COS.FJ(B)"}</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FASF" hidden="1">{#N/A,#N/A,TRUE,"Cover";#N/A,#N/A,TRUE,"Conts";#N/A,#N/A,TRUE,"VOS";#N/A,#N/A,TRUE,"Warrington";#N/A,#N/A,TRUE,"Widnes"}</definedName>
    <definedName name="xdfghdfxhg">#REF!</definedName>
    <definedName name="xf" hidden="1">#REF!</definedName>
    <definedName name="xfac">#REF!</definedName>
    <definedName name="xhhjh" localSheetId="3" hidden="1">{"Datos",#N/A,TRUE,"Datos"}</definedName>
    <definedName name="xhhjh" hidden="1">{"Datos",#N/A,TRUE,"Datos"}</definedName>
    <definedName name="xhtyfrth" localSheetId="3" hidden="1">{"Datos",#N/A,TRUE,"Datos"}</definedName>
    <definedName name="xhtyfrth" hidden="1">{"Datos",#N/A,TRUE,"Datos"}</definedName>
    <definedName name="Xl">#REF!</definedName>
    <definedName name="Xl___0">#REF!</definedName>
    <definedName name="Xl___13">#REF!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localSheetId="3" hidden="1">{#N/A,#N/A,FALSE,"SumD";#N/A,#N/A,FALSE,"ElecD";#N/A,#N/A,FALSE,"MechD";#N/A,#N/A,FALSE,"GeotD";#N/A,#N/A,FALSE,"PrcsD";#N/A,#N/A,FALSE,"TunnD";#N/A,#N/A,FALSE,"CivlD";#N/A,#N/A,FALSE,"NtwkD";#N/A,#N/A,FALSE,"EstgD";#N/A,#N/A,FALSE,"PEngD"}</definedName>
    <definedName name="xls" hidden="1">{#N/A,#N/A,FALSE,"SumD";#N/A,#N/A,FALSE,"ElecD";#N/A,#N/A,FALSE,"MechD";#N/A,#N/A,FALSE,"GeotD";#N/A,#N/A,FALSE,"PrcsD";#N/A,#N/A,FALSE,"TunnD";#N/A,#N/A,FALSE,"CivlD";#N/A,#N/A,FALSE,"NtwkD";#N/A,#N/A,FALSE,"EstgD";#N/A,#N/A,FALSE,"PEngD"}</definedName>
    <definedName name="xls." localSheetId="3" hidden="1">{"'Break down'!$A$4"}</definedName>
    <definedName name="xls." hidden="1">{"'Break down'!$A$4"}</definedName>
    <definedName name="XLSS" localSheetId="3" hidden="1">{"'Break down'!$A$4"}</definedName>
    <definedName name="XLSS" hidden="1">{"'Break down'!$A$4"}</definedName>
    <definedName name="xlst" localSheetId="3" hidden="1">{"'Break down'!$A$4"}</definedName>
    <definedName name="xlst" hidden="1">{"'Break down'!$A$4"}</definedName>
    <definedName name="Xrate">#REF!</definedName>
    <definedName name="XREF_COLUMN_1" hidden="1">#REF!</definedName>
    <definedName name="XREF_COLUMN_15" hidden="1">#REF!</definedName>
    <definedName name="XREF_COLUMN_2" hidden="1">#REF!</definedName>
    <definedName name="XREF_COLUMN_3" hidden="1">#REF!</definedName>
    <definedName name="XREF_COLUMN_4" hidden="1">#REF!</definedName>
    <definedName name="XREF_COLUMN_7" hidden="1">#REF!</definedName>
    <definedName name="XRefActiveRow" hidden="1">#REF!</definedName>
    <definedName name="XRefColumnsCount" hidden="1">4</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5" hidden="1">#REF!</definedName>
    <definedName name="XRefCopy15Row" hidden="1">#REF!</definedName>
    <definedName name="XRefCopy16"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9" hidden="1">#REF!</definedName>
    <definedName name="XRefCopyRangeCount" hidden="1">31</definedName>
    <definedName name="XRefPaste1" hidden="1">#REF!</definedName>
    <definedName name="XRefPaste10"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Row" hidden="1">#REF!</definedName>
    <definedName name="XRefPaste12" hidden="1">#REF!</definedName>
    <definedName name="XRefPaste120Row" hidden="1">#REF!</definedName>
    <definedName name="XRefPaste121Row"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18</definedName>
    <definedName name="xs">#REF!</definedName>
    <definedName name="xv" localSheetId="3" hidden="1">{"Datos",#N/A,TRUE,"Datos"}</definedName>
    <definedName name="xv" hidden="1">{"Datos",#N/A,TRUE,"Datos"}</definedName>
    <definedName name="xvchfh" hidden="1">#REF!</definedName>
    <definedName name="xvcxcv" localSheetId="3" hidden="1">{"Datos",#N/A,TRUE,"Datos"}</definedName>
    <definedName name="xvcxcv" hidden="1">{"Datos",#N/A,TRUE,"Datos"}</definedName>
    <definedName name="xx">#REF!</definedName>
    <definedName name="XXX" localSheetId="2">#REF!</definedName>
    <definedName name="xxx" localSheetId="3" hidden="1">{#N/A,#N/A,TRUE,"Cover Memo";"Ride Estimate",#N/A,TRUE,"Change Summary";"Ride Estimate",#N/A,TRUE,"Estimate Summary";"Ride Estimate",#N/A,TRUE,"Dept. Summary";"Ride Estimate",#N/A,TRUE,"DOW Detail"}</definedName>
    <definedName name="XXX">#REF!</definedName>
    <definedName name="xxxx" localSheetId="3" hidden="1">{#N/A,#N/A,TRUE,"Front";#N/A,#N/A,TRUE,"Simple Letter";#N/A,#N/A,TRUE,"Inside";#N/A,#N/A,TRUE,"Contents";#N/A,#N/A,TRUE,"Basis";#N/A,#N/A,TRUE,"Inclusions";#N/A,#N/A,TRUE,"Exclusions";#N/A,#N/A,TRUE,"Areas";#N/A,#N/A,TRUE,"Summary";#N/A,#N/A,TRUE,"Detail"}</definedName>
    <definedName name="xxxx" hidden="1">{#N/A,#N/A,TRUE,"Front";#N/A,#N/A,TRUE,"Simple Letter";#N/A,#N/A,TRUE,"Inside";#N/A,#N/A,TRUE,"Contents";#N/A,#N/A,TRUE,"Basis";#N/A,#N/A,TRUE,"Inclusions";#N/A,#N/A,TRUE,"Exclusions";#N/A,#N/A,TRUE,"Areas";#N/A,#N/A,TRUE,"Summary";#N/A,#N/A,TRUE,"Detail"}</definedName>
    <definedName name="xxxxx">#REF!</definedName>
    <definedName name="xxxxxx">#REF!</definedName>
    <definedName name="xxxxxxx" localSheetId="3" hidden="1">{#N/A,#N/A,FALSE,"MARCH"}</definedName>
    <definedName name="xxxxxxx">#REF!</definedName>
    <definedName name="xxxxxxxxxxxxx">#REF!</definedName>
    <definedName name="xyz" hidden="1">{"'Break down'!$A$4"}</definedName>
    <definedName name="xz">#REF!</definedName>
    <definedName name="xzcbb">#REF!</definedName>
    <definedName name="Y">#REF!</definedName>
    <definedName name="y_strainer">#REF!</definedName>
    <definedName name="y10net">#REF!</definedName>
    <definedName name="y10r">#REF!</definedName>
    <definedName name="y1net">#REF!</definedName>
    <definedName name="y1r">#REF!</definedName>
    <definedName name="y2r">#REF!</definedName>
    <definedName name="y3net">#REF!</definedName>
    <definedName name="y3r">#REF!</definedName>
    <definedName name="y4etrd">#REF!</definedName>
    <definedName name="y5net">#REF!</definedName>
    <definedName name="y5r">#REF!</definedName>
    <definedName name="y7net">#REF!</definedName>
    <definedName name="YAE_END">#REF!</definedName>
    <definedName name="YAE_START">#REF!</definedName>
    <definedName name="YAHU">#REF!</definedName>
    <definedName name="YAP_END">#REF!</definedName>
    <definedName name="YAP_START">#REF!</definedName>
    <definedName name="YAS_END">#REF!</definedName>
    <definedName name="YAS_START">#REF!</definedName>
    <definedName name="YAX_END">#REF!</definedName>
    <definedName name="YAX_START">#REF!</definedName>
    <definedName name="YAZ_END">#REF!</definedName>
    <definedName name="YAZ_START">#REF!</definedName>
    <definedName name="YAZ01_END">#REF!</definedName>
    <definedName name="YAZ01_START">#REF!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 localSheetId="3" hidden="1">{"Datos",#N/A,TRUE,"Datos"}</definedName>
    <definedName name="ye" hidden="1">{"Datos",#N/A,TRUE,"Datos"}</definedName>
    <definedName name="Year">#REF!</definedName>
    <definedName name="Year1_Fees">#REF!</definedName>
    <definedName name="YearsToStabilizeFX">#REF!</definedName>
    <definedName name="YEMEK">#REF!</definedName>
    <definedName name="YEN">#REF!</definedName>
    <definedName name="yeth" localSheetId="3" hidden="1">{"MF-601",#N/A,TRUE,"MANT-EX-B(fJ)";"MF-602",#N/A,TRUE,"ELECTR-FJ(B)";"MF-603",#N/A,TRUE,"PERSONAL(FJ)B";"MF-604",#N/A,TRUE,"REACT-P(B)";"MF-6XX",#N/A,TRUE,"Resumen";"MF-605",#N/A,TRUE,"OTR-COS.FJ(B)"}</definedName>
    <definedName name="yeth" hidden="1">{"MF-601",#N/A,TRUE,"MANT-EX-B(fJ)";"MF-602",#N/A,TRUE,"ELECTR-FJ(B)";"MF-603",#N/A,TRUE,"PERSONAL(FJ)B";"MF-604",#N/A,TRUE,"REACT-P(B)";"MF-6XX",#N/A,TRUE,"Resumen";"MF-605",#N/A,TRUE,"OTR-COS.FJ(B)"}</definedName>
    <definedName name="YFCU">#REF!</definedName>
    <definedName name="yhmngf">#REF!</definedName>
    <definedName name="yhrsh" localSheetId="3" hidden="1">{#N/A,#N/A,TRUE,"Cover";#N/A,#N/A,TRUE,"Conts";#N/A,#N/A,TRUE,"VOS";#N/A,#N/A,TRUE,"Warrington";#N/A,#N/A,TRUE,"Widnes"}</definedName>
    <definedName name="yhrsh" hidden="1">{#N/A,#N/A,TRUE,"Cover";#N/A,#N/A,TRUE,"Conts";#N/A,#N/A,TRUE,"VOS";#N/A,#N/A,TRUE,"Warrington";#N/A,#N/A,TRUE,"Widnes"}</definedName>
    <definedName name="yhrw">#REF!</definedName>
    <definedName name="Yield">#REF!</definedName>
    <definedName name="Yield_for_T_o">#REF!</definedName>
    <definedName name="Yield_to_aboveERV">#REF!</definedName>
    <definedName name="yieldprofile">#REF!</definedName>
    <definedName name="yik">#REF!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henbghf">#REF!</definedName>
    <definedName name="yjtfy">#REF!</definedName>
    <definedName name="yjtgh">#REF!</definedName>
    <definedName name="yju">#REF!</definedName>
    <definedName name="ykhljkdggzsf" localSheetId="3" hidden="1">{#N/A,#N/A,TRUE,"Cover";#N/A,#N/A,TRUE,"Conts";#N/A,#N/A,TRUE,"VOS";#N/A,#N/A,TRUE,"Warrington";#N/A,#N/A,TRUE,"Widnes"}</definedName>
    <definedName name="ykhljkdggzsf" hidden="1">{#N/A,#N/A,TRUE,"Cover";#N/A,#N/A,TRUE,"Conts";#N/A,#N/A,TRUE,"VOS";#N/A,#N/A,TRUE,"Warrington";#N/A,#N/A,TRUE,"Widnes"}</definedName>
    <definedName name="ykkllylulf" localSheetId="3" hidden="1">{#N/A,#N/A,TRUE,"Cover";#N/A,#N/A,TRUE,"Conts";#N/A,#N/A,TRUE,"VOS";#N/A,#N/A,TRUE,"Warrington";#N/A,#N/A,TRUE,"Widnes"}</definedName>
    <definedName name="ykkllylulf" hidden="1">{#N/A,#N/A,TRUE,"Cover";#N/A,#N/A,TRUE,"Conts";#N/A,#N/A,TRUE,"VOS";#N/A,#N/A,TRUE,"Warrington";#N/A,#N/A,TRUE,"Widnes"}</definedName>
    <definedName name="yku">#REF!</definedName>
    <definedName name="ynkim" localSheetId="3" hidden="1">{#N/A,#N/A,TRUE,"Basic";#N/A,#N/A,TRUE,"EXT-TABLE";#N/A,#N/A,TRUE,"STEEL";#N/A,#N/A,TRUE,"INT-Table";#N/A,#N/A,TRUE,"STEEL";#N/A,#N/A,TRUE,"Door"}</definedName>
    <definedName name="ynkim" hidden="1">{#N/A,#N/A,TRUE,"Basic";#N/A,#N/A,TRUE,"EXT-TABLE";#N/A,#N/A,TRUE,"STEEL";#N/A,#N/A,TRUE,"INT-Table";#N/A,#N/A,TRUE,"STEEL";#N/A,#N/A,TRUE,"Door"}</definedName>
    <definedName name="Yoeld_to_aboveERV">#REF!</definedName>
    <definedName name="Yoginder">#REF!</definedName>
    <definedName name="YOGITA">#REF!</definedName>
    <definedName name="YOL">#REF!</definedName>
    <definedName name="YR">#REF!</definedName>
    <definedName name="YR1_Prob">#REF!</definedName>
    <definedName name="Yr2_Prob">#REF!</definedName>
    <definedName name="Yr3_Prob">#REF!</definedName>
    <definedName name="Yr4_Prob">#REF!</definedName>
    <definedName name="Yr5_Prob">#REF!</definedName>
    <definedName name="yrdtytyt" hidden="1">{#N/A,#N/A,FALSE,"CCTV"}</definedName>
    <definedName name="yrh" localSheetId="3" hidden="1">{"Datos",#N/A,TRUE,"Datos"}</definedName>
    <definedName name="yrh" hidden="1">{"Datos",#N/A,TRUE,"Datos"}</definedName>
    <definedName name="yrk">#REF!</definedName>
    <definedName name="yrtyet" localSheetId="3" hidden="1">{#N/A,#N/A,TRUE,"Cover";#N/A,#N/A,TRUE,"Conts";#N/A,#N/A,TRUE,"VOS";#N/A,#N/A,TRUE,"Warrington";#N/A,#N/A,TRUE,"Widnes"}</definedName>
    <definedName name="yrtyet" hidden="1">{#N/A,#N/A,TRUE,"Cover";#N/A,#N/A,TRUE,"Conts";#N/A,#N/A,TRUE,"VOS";#N/A,#N/A,TRUE,"Warrington";#N/A,#N/A,TRUE,"Widnes"}</definedName>
    <definedName name="yry" localSheetId="3" hidden="1">{#N/A,#N/A,TRUE,"Cover";#N/A,#N/A,TRUE,"Conts";#N/A,#N/A,TRUE,"VOS";#N/A,#N/A,TRUE,"Warrington";#N/A,#N/A,TRUE,"Widnes"}</definedName>
    <definedName name="yry" hidden="1">{#N/A,#N/A,TRUE,"Cover";#N/A,#N/A,TRUE,"Conts";#N/A,#N/A,TRUE,"VOS";#N/A,#N/A,TRUE,"Warrington";#N/A,#N/A,TRUE,"Widnes"}</definedName>
    <definedName name="ytety" localSheetId="3" hidden="1">{"'Sheet1'!$L$16"}</definedName>
    <definedName name="ytety" hidden="1">{"'Sheet1'!$L$16"}</definedName>
    <definedName name="ytjtyjre" localSheetId="3" hidden="1">{#N/A,#N/A,TRUE,"Cover";#N/A,#N/A,TRUE,"Conts";#N/A,#N/A,TRUE,"VOS";#N/A,#N/A,TRUE,"Warrington";#N/A,#N/A,TRUE,"Widnes"}</definedName>
    <definedName name="ytjtyjre" hidden="1">{#N/A,#N/A,TRUE,"Cover";#N/A,#N/A,TRUE,"Conts";#N/A,#N/A,TRUE,"VOS";#N/A,#N/A,TRUE,"Warrington";#N/A,#N/A,TRUE,"Widnes"}</definedName>
    <definedName name="ytr" localSheetId="3" hidden="1">{"'Break down'!$A$4"}</definedName>
    <definedName name="ytr" hidden="1">{"'Break down'!$A$4"}</definedName>
    <definedName name="yttuk" localSheetId="3" hidden="1">{"Datos",#N/A,TRUE,"Datos"}</definedName>
    <definedName name="yttuk" hidden="1">{"Datos",#N/A,TRUE,"Datos"}</definedName>
    <definedName name="ytuloioio" localSheetId="3" hidden="1">{#N/A,#N/A,TRUE,"Cover";#N/A,#N/A,TRUE,"Conts";#N/A,#N/A,TRUE,"VOS";#N/A,#N/A,TRUE,"Warrington";#N/A,#N/A,TRUE,"Widnes"}</definedName>
    <definedName name="ytuloioio" hidden="1">{#N/A,#N/A,TRUE,"Cover";#N/A,#N/A,TRUE,"Conts";#N/A,#N/A,TRUE,"VOS";#N/A,#N/A,TRUE,"Warrington";#N/A,#N/A,TRUE,"Widnes"}</definedName>
    <definedName name="YTYTY" hidden="1">{#N/A,#N/A,TRUE,"Cover";#N/A,#N/A,TRUE,"Conts";#N/A,#N/A,TRUE,"VOS";#N/A,#N/A,TRUE,"Warrington";#N/A,#N/A,TRUE,"Widnes"}</definedName>
    <definedName name="yu" localSheetId="3" hidden="1">{"Datos",#N/A,TRUE,"Datos"}</definedName>
    <definedName name="yu" hidden="1">{"Datos",#N/A,TRUE,"Datos"}</definedName>
    <definedName name="yui" localSheetId="3"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ujmgh">#REF!</definedName>
    <definedName name="yuk">#REF!</definedName>
    <definedName name="yukyflk" localSheetId="3" hidden="1">{"Datos",#N/A,TRUE,"Datos"}</definedName>
    <definedName name="yukyflk" hidden="1">{"Datos",#N/A,TRUE,"Datos"}</definedName>
    <definedName name="yuti7i78o" localSheetId="3" hidden="1">{#N/A,#N/A,TRUE,"Cover";#N/A,#N/A,TRUE,"Conts";#N/A,#N/A,TRUE,"VOS";#N/A,#N/A,TRUE,"Warrington";#N/A,#N/A,TRUE,"Widnes"}</definedName>
    <definedName name="yuti7i78o" hidden="1">{#N/A,#N/A,TRUE,"Cover";#N/A,#N/A,TRUE,"Conts";#N/A,#N/A,TRUE,"VOS";#N/A,#N/A,TRUE,"Warrington";#N/A,#N/A,TRUE,"Widnes"}</definedName>
    <definedName name="yutjf" localSheetId="3" hidden="1">{"Datos",#N/A,TRUE,"Datos"}</definedName>
    <definedName name="yutjf" hidden="1">{"Datos",#N/A,TRUE,"Datos"}</definedName>
    <definedName name="yuyu" localSheetId="3" hidden="1">{"Datos",#N/A,TRUE,"Datos"}</definedName>
    <definedName name="yuyu" hidden="1">{"Datos",#N/A,TRUE,"Datos"}</definedName>
    <definedName name="ywer" localSheetId="3" hidden="1">{"Datos",#N/A,TRUE,"Datos"}</definedName>
    <definedName name="ywer" hidden="1">{"Datos",#N/A,TRUE,"Datos"}</definedName>
    <definedName name="yy" localSheetId="3" hidden="1">{"MF-601",#N/A,TRUE,"MANT-EX-B(fJ)";"MF-602",#N/A,TRUE,"ELECTR-FJ(B)";"MF-603",#N/A,TRUE,"PERSONAL(FJ)B";"MF-604",#N/A,TRUE,"REACT-P(B)";"MF-6XX",#N/A,TRUE,"Resumen";"MF-605",#N/A,TRUE,"OTR-COS.FJ(B)"}</definedName>
    <definedName name="yy" hidden="1">{"MF-601",#N/A,TRUE,"MANT-EX-B(fJ)";"MF-602",#N/A,TRUE,"ELECTR-FJ(B)";"MF-603",#N/A,TRUE,"PERSONAL(FJ)B";"MF-604",#N/A,TRUE,"REACT-P(B)";"MF-6XX",#N/A,TRUE,"Resumen";"MF-605",#N/A,TRUE,"OTR-COS.FJ(B)"}</definedName>
    <definedName name="yyu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 localSheetId="3" hidden="1">{"'Break down'!$A$4"}</definedName>
    <definedName name="yyy" hidden="1">{"'Break down'!$A$4"}</definedName>
    <definedName name="yyyy" localSheetId="3"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localSheetId="3"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yyy">#REF!</definedName>
    <definedName name="yyyyyyyyyyy">#REF!</definedName>
    <definedName name="yyyyyyyyyyyyytr">#REF!</definedName>
    <definedName name="yyyyyyyyyyyyyyyy">#REF!</definedName>
    <definedName name="z" hidden="1">#REF!</definedName>
    <definedName name="Z_0495A18E_E329_11D5_B4A6_00508BDB88CF_.wvu.PrintTitles" hidden="1">#REF!,#REF!</definedName>
    <definedName name="Z_0B6DCAB3_0C05_11D6_B46A_0002A5863B5D_.wvu.PrintTitles" hidden="1">#REF!,#REF!</definedName>
    <definedName name="Z_0C509CAE_4B28_497F_9463_E056D87AE422_.wvu.Rows" hidden="1">#REF!</definedName>
    <definedName name="Z_1D1CC6C3_E7FE_11D5_B431_0002A5E0DFB2_.wvu.PrintTitles" hidden="1">#REF!,#REF!</definedName>
    <definedName name="Z_5A4CDE39_BC84_48C0_8208_6970E7A71896_.wvu.Cols" hidden="1">#REF!,#REF!,#REF!</definedName>
    <definedName name="Z_643436C3_26BB_11D6_9D08_0002A5E3F096_.wvu.PrintTitles" hidden="1">#REF!,#REF!</definedName>
    <definedName name="Z_64FBE21F_D610_4122_B662_C1CA556F0E6B_.wvu.Rows" hidden="1">#REF!,#REF!</definedName>
    <definedName name="Z_66F3A4F2_2C30_11D6_B712_00805FD77286_.wvu.PrintTitles" hidden="1">#REF!,#REF!</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A3AB2944_E33D_11D5_9D1B_00508B95C9AB_.wvu.PrintTitles" hidden="1">#REF!,#REF!</definedName>
    <definedName name="Z_A75F49D2_3660_11D6_B454_00508BF1A9ED_.wvu.PrintTitles" hidden="1">#REF!,#REF!</definedName>
    <definedName name="Z_CEF2306C_2787_11D6_B46E_0002A5E0DFB2_.wvu.PrintTitles" hidden="1">#REF!,#REF!</definedName>
    <definedName name="Z_E61184E6_4A82_48AD_BD46_AD03682B9E61_.wvu.Rows" hidden="1">#REF!</definedName>
    <definedName name="za">#REF!</definedName>
    <definedName name="zaed" localSheetId="3" hidden="1">{#N/A,#N/A,TRUE,"Cover";#N/A,#N/A,TRUE,"Conts";#N/A,#N/A,TRUE,"VOS";#N/A,#N/A,TRUE,"Warrington";#N/A,#N/A,TRUE,"Widnes"}</definedName>
    <definedName name="zaed" hidden="1">{#N/A,#N/A,TRUE,"Cover";#N/A,#N/A,TRUE,"Conts";#N/A,#N/A,TRUE,"VOS";#N/A,#N/A,TRUE,"Warrington";#N/A,#N/A,TRUE,"Widnes"}</definedName>
    <definedName name="zafgh" localSheetId="3" hidden="1">{"Datos",#N/A,TRUE,"Datos"}</definedName>
    <definedName name="zafgh" hidden="1">{"Datos",#N/A,TRUE,"Datos"}</definedName>
    <definedName name="ZAR">#REF!</definedName>
    <definedName name="ZBDZBDFB" localSheetId="3" hidden="1">{#N/A,#N/A,TRUE,"Cover";#N/A,#N/A,TRUE,"Conts";#N/A,#N/A,TRUE,"VOS";#N/A,#N/A,TRUE,"Warrington";#N/A,#N/A,TRUE,"Widnes"}</definedName>
    <definedName name="ZBDZBDFB" hidden="1">{#N/A,#N/A,TRUE,"Cover";#N/A,#N/A,TRUE,"Conts";#N/A,#N/A,TRUE,"VOS";#N/A,#N/A,TRUE,"Warrington";#N/A,#N/A,TRUE,"Widnes"}</definedName>
    <definedName name="zcv" localSheetId="3" hidden="1">{"Datos",#N/A,TRUE,"Datos"}</definedName>
    <definedName name="zcv" hidden="1">{"Datos",#N/A,TRUE,"Datos"}</definedName>
    <definedName name="zcx">#REF!</definedName>
    <definedName name="zdbfh">#REF!</definedName>
    <definedName name="ZENANA" hidden="1">{#N/A,#N/A,TRUE,"Front";#N/A,#N/A,TRUE,"Simple Letter";#N/A,#N/A,TRUE,"Inside";#N/A,#N/A,TRUE,"Contents";#N/A,#N/A,TRUE,"Basis";#N/A,#N/A,TRUE,"Inclusions";#N/A,#N/A,TRUE,"Exclusions";#N/A,#N/A,TRUE,"Areas";#N/A,#N/A,TRUE,"Summary";#N/A,#N/A,TRUE,"Detail"}</definedName>
    <definedName name="zio" hidden="1">{#N/A,#N/A,TRUE,"Cover";#N/A,#N/A,TRUE,"Conts";#N/A,#N/A,TRUE,"VOS";#N/A,#N/A,TRUE,"Warrington";#N/A,#N/A,TRUE,"Widnes"}</definedName>
    <definedName name="Zip">#REF!</definedName>
    <definedName name="Zip1" localSheetId="3"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l">#REF!</definedName>
    <definedName name="zl___0">#REF!</definedName>
    <definedName name="zl___13">#REF!</definedName>
    <definedName name="zlpu">#REF!</definedName>
    <definedName name="zlpu___0">#REF!</definedName>
    <definedName name="zlpu___13">#REF!</definedName>
    <definedName name="znm" hidden="1">{#N/A,#N/A,TRUE,"Cover";#N/A,#N/A,TRUE,"Conts";#N/A,#N/A,TRUE,"VOS";#N/A,#N/A,TRUE,"Warrington";#N/A,#N/A,TRUE,"Widnes"}</definedName>
    <definedName name="Zone_eff_dis">#REF!</definedName>
    <definedName name="Zone_impres_MI">#REF!</definedName>
    <definedName name="zone_saisie" localSheetId="3">#REF!,#REF!,#REF!,#REF!</definedName>
    <definedName name="zone_saisie">#REF!,#REF!,#REF!,#REF!</definedName>
    <definedName name="ZoneA_Cat">#REF!</definedName>
    <definedName name="zs">#REF!</definedName>
    <definedName name="zs___0">#REF!</definedName>
    <definedName name="zs___13">#REF!</definedName>
    <definedName name="zsdfa" hidden="1">#REF!</definedName>
    <definedName name="zse" localSheetId="3"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pu">#REF!</definedName>
    <definedName name="zspu___0">#REF!</definedName>
    <definedName name="zspu___13">#REF!</definedName>
    <definedName name="zsrdt" localSheetId="3" hidden="1">{"MF-601",#N/A,TRUE,"MANT-EX-B(fJ)";"MF-602",#N/A,TRUE,"ELECTR-FJ(B)";"MF-603",#N/A,TRUE,"PERSONAL(FJ)B";"MF-604",#N/A,TRUE,"REACT-P(B)";"MF-605",#N/A,TRUE,"OTR-COS.FJ(B)";"MF-60X",#N/A,TRUE,"Resumen"}</definedName>
    <definedName name="zsrdt" hidden="1">{"MF-601",#N/A,TRUE,"MANT-EX-B(fJ)";"MF-602",#N/A,TRUE,"ELECTR-FJ(B)";"MF-603",#N/A,TRUE,"PERSONAL(FJ)B";"MF-604",#N/A,TRUE,"REACT-P(B)";"MF-605",#N/A,TRUE,"OTR-COS.FJ(B)";"MF-60X",#N/A,TRUE,"Resumen"}</definedName>
    <definedName name="zss">#REF!</definedName>
    <definedName name="ZSS___0">#REF!</definedName>
    <definedName name="ZSS___13">#REF!</definedName>
    <definedName name="zsxc" hidden="1">{#N/A,#N/A,TRUE,"Cover";#N/A,#N/A,TRUE,"Conts";#N/A,#N/A,TRUE,"VOS";#N/A,#N/A,TRUE,"Warrington";#N/A,#N/A,TRUE,"Widnes"}</definedName>
    <definedName name="ztpu">#REF!</definedName>
    <definedName name="ztpu___0">#REF!</definedName>
    <definedName name="ztpu___13">#REF!</definedName>
    <definedName name="zv">#REF!</definedName>
    <definedName name="zwe" hidden="1">{#N/A,#N/A,TRUE,"Cover";#N/A,#N/A,TRUE,"Conts";#N/A,#N/A,TRUE,"VOS";#N/A,#N/A,TRUE,"Warrington";#N/A,#N/A,TRUE,"Widnes"}</definedName>
    <definedName name="zwzw">#REF!</definedName>
    <definedName name="ZXC">#REF!</definedName>
    <definedName name="ZXCv">#REF!</definedName>
    <definedName name="zxcxcv" localSheetId="3" hidden="1">{"MF-601",#N/A,TRUE,"MANT-EX-B(fJ)";"MF-602",#N/A,TRUE,"ELECTR-FJ(B)";"MF-603",#N/A,TRUE,"PERSONAL(FJ)B";"MF-604",#N/A,TRUE,"REACT-P(B)";"MF-605",#N/A,TRUE,"OTR-COS.FJ(B)";"MF-60X",#N/A,TRUE,"Resumen"}</definedName>
    <definedName name="zxcxcv" hidden="1">{"MF-601",#N/A,TRUE,"MANT-EX-B(fJ)";"MF-602",#N/A,TRUE,"ELECTR-FJ(B)";"MF-603",#N/A,TRUE,"PERSONAL(FJ)B";"MF-604",#N/A,TRUE,"REACT-P(B)";"MF-605",#N/A,TRUE,"OTR-COS.FJ(B)";"MF-60X",#N/A,TRUE,"Resumen"}</definedName>
    <definedName name="zxfvc" localSheetId="3" hidden="1">{"'Sheet1'!$L$16"}</definedName>
    <definedName name="zxfvc" hidden="1">{"'Sheet1'!$L$16"}</definedName>
    <definedName name="zxs" localSheetId="3" hidden="1">{#N/A,#N/A,TRUE,"Cover Memo";"Complete Sys. Estimate",#N/A,TRUE,"Change Summary";"Complete Sys. Estimate",#N/A,TRUE,"Estimate Summary";"Complete Sys. Estimate",#N/A,TRUE,"Dept. Summary";"Complete Sys. Estimate",#N/A,TRUE,"DOW Detail"}</definedName>
    <definedName name="zxs" hidden="1">{#N/A,#N/A,TRUE,"Cover Memo";"Complete Sys. Estimate",#N/A,TRUE,"Change Summary";"Complete Sys. Estimate",#N/A,TRUE,"Estimate Summary";"Complete Sys. Estimate",#N/A,TRUE,"Dept. Summary";"Complete Sys. Estimate",#N/A,TRUE,"DOW Detail"}</definedName>
    <definedName name="zxv" hidden="1">{#N/A,#N/A,TRUE,"Cover";#N/A,#N/A,TRUE,"Conts";#N/A,#N/A,TRUE,"VOS";#N/A,#N/A,TRUE,"Warrington";#N/A,#N/A,TRUE,"Widnes"}</definedName>
    <definedName name="ZY">#REF!</definedName>
    <definedName name="ZY___0">#REF!</definedName>
    <definedName name="ZY___13">#REF!</definedName>
    <definedName name="zz" localSheetId="3"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3" hidden="1">{#N/A,#N/A,TRUE,"Cover";#N/A,#N/A,TRUE,"Conts";#N/A,#N/A,TRUE,"VOS";#N/A,#N/A,TRUE,"Warrington";#N/A,#N/A,TRUE,"Widnes"}</definedName>
    <definedName name="zzz" hidden="1">{#N/A,#N/A,TRUE,"Cover";#N/A,#N/A,TRUE,"Conts";#N/A,#N/A,TRUE,"VOS";#N/A,#N/A,TRUE,"Warrington";#N/A,#N/A,TRUE,"Widnes"}</definedName>
    <definedName name="zzzz">#REF!</definedName>
    <definedName name="zzzzz">#REF!</definedName>
    <definedName name="zzzzzz" localSheetId="3"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 name="ZZZZZZZZZZZZZZ" hidden="1">#REF!</definedName>
    <definedName name="zzzzzzzzzzzzzzzzzzzz">#REF!</definedName>
    <definedName name="λ650">#REF!,#REF!,#REF!,#REF!,#REF!</definedName>
    <definedName name="ءء">#REF!</definedName>
    <definedName name="ا7">#REF!</definedName>
    <definedName name="ابيض.سفاجا2سم">#REF!</definedName>
    <definedName name="اثاث_مكتبى">#REF!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جور_عمالة">#REF!</definedName>
    <definedName name="اجور_ومرتبات">#REF!</definedName>
    <definedName name="احمر.غردقة2سم">#REF!</definedName>
    <definedName name="اختبارات.تربة">#REF!</definedName>
    <definedName name="اختباركثافة">#REF!</definedName>
    <definedName name="اخرى">#REF!</definedName>
    <definedName name="اخضر.تينوس2سم">#REF!</definedName>
    <definedName name="أخضر.هندى2سم">#REF!</definedName>
    <definedName name="أديبوند">#REF!</definedName>
    <definedName name="أرضيات.مرتفعة">#REF!</definedName>
    <definedName name="إستانلس.ستيل">#REF!</definedName>
    <definedName name="استشارات_واختبارات">#REF!</definedName>
    <definedName name="اسقف.شرائح">#REF!</definedName>
    <definedName name="أسقف.مضادة.للبكتريا">#REF!</definedName>
    <definedName name="أسمنت.أبيض">#REF!</definedName>
    <definedName name="أسمنت.عادى">#REF!</definedName>
    <definedName name="اسمنت.عادي">#REF!</definedName>
    <definedName name="اضافات.بياض">#REF!</definedName>
    <definedName name="إضافات.منع.تسرب.مياه">#REF!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إنترلوك">#REF!</definedName>
    <definedName name="انسو.فليم4مم">#REF!</definedName>
    <definedName name="ايجارات">#REF!</definedName>
    <definedName name="إيجازول.سيكا">#REF!</definedName>
    <definedName name="ب19">#REF!</definedName>
    <definedName name="باك.فلر">#REF!</definedName>
    <definedName name="باكر.رود20مم">#REF!</definedName>
    <definedName name="بامب">#REF!</definedName>
    <definedName name="بب">#REF!</definedName>
    <definedName name="بردورة.عجالي">#REF!</definedName>
    <definedName name="بردورة.متوسطة.حمراء">#REF!</definedName>
    <definedName name="بردورة50\30\8">#REF!</definedName>
    <definedName name="برلاتو2سم">#REF!</definedName>
    <definedName name="بسكويت">#REF!</definedName>
    <definedName name="بكر.رود">#REF!</definedName>
    <definedName name="بلاط.أسطح">#REF!</definedName>
    <definedName name="بلاط.موزايكو20\20">#REF!</definedName>
    <definedName name="بور40\40">#REF!</definedName>
    <definedName name="بورتورو2سم">#REF!</definedName>
    <definedName name="بورسلين.لامع">#REF!</definedName>
    <definedName name="بورسلين.مط">#REF!</definedName>
    <definedName name="بورسلين.واجهات">#REF!</definedName>
    <definedName name="بولسترين.ازرق">#REF!</definedName>
    <definedName name="بولى.ايثيلين300">#REF!</definedName>
    <definedName name="بولىايثيلين250">#REF!</definedName>
    <definedName name="بولىإيثيلين300">#REF!</definedName>
    <definedName name="بيتومين.بارد">#REF!</definedName>
    <definedName name="بيتومين.ساخن">#REF!</definedName>
    <definedName name="بيرلايت">#REF!</definedName>
    <definedName name="تامينات_اجتماعية">#REF!</definedName>
    <definedName name="تحليل">#REF!</definedName>
    <definedName name="تحليل_الدهانات_للسور_المبانى">#REF!</definedName>
    <definedName name="تحليل_لبياض_السور_المبانى">#REF!</definedName>
    <definedName name="تشوين.مبانى.م2">#REF!</definedName>
    <definedName name="تشوين.مبانى.م3">#REF!</definedName>
    <definedName name="تورش.سيل4مم">#REF!</definedName>
    <definedName name="تورشسيل4مم">#REF!</definedName>
    <definedName name="ثث">#REF!</definedName>
    <definedName name="ج.أحمر.أسوان2سم">#REF!</definedName>
    <definedName name="ج.أحمر.أسوان4سم">#REF!</definedName>
    <definedName name="جاك.همر">#REF!</definedName>
    <definedName name="جبس">#REF!</definedName>
    <definedName name="جج">#REF!</definedName>
    <definedName name="جر.اسود.اسوان2سم">#REF!</definedName>
    <definedName name="جرانيت.ابيض.سفاجا2سم">#REF!</definedName>
    <definedName name="جرانيت.ابيض.سفاجا4سم">#REF!</definedName>
    <definedName name="جلالة2سم">#REF!</definedName>
    <definedName name="جلالة4سم">#REF!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جر.هاشمى">#REF!</definedName>
    <definedName name="حديد.تسليح">#REF!</definedName>
    <definedName name="خ.بازلتية.300">#REF!</definedName>
    <definedName name="خ.ع.150.مقاوم">#REF!</definedName>
    <definedName name="خ.ع.180">#REF!</definedName>
    <definedName name="خ.ع.250.مقاوم">#REF!</definedName>
    <definedName name="خ.ع180">#REF!</definedName>
    <definedName name="خ.ع180كجم\سم2">#REF!</definedName>
    <definedName name="خ.ع250">#REF!</definedName>
    <definedName name="خ.ع300كجم\سم2">#REF!</definedName>
    <definedName name="خ.عادية.300">#REF!</definedName>
    <definedName name="خ.م.مقاوم">#REF!</definedName>
    <definedName name="خ.م150">#REF!</definedName>
    <definedName name="خ.م275">#REF!</definedName>
    <definedName name="خ.م300">#REF!</definedName>
    <definedName name="خ.م350">#REF!</definedName>
    <definedName name="خ221">#REF!</definedName>
    <definedName name="خامات">#REF!</definedName>
    <definedName name="خرسانة.180">#REF!</definedName>
    <definedName name="خرسانة.300">#REF!</definedName>
    <definedName name="خرسانة.بازلتية300">#REF!</definedName>
    <definedName name="خشب.موسكى">#REF!</definedName>
    <definedName name="دد">#REF!</definedName>
    <definedName name="دكاكة">#REF!</definedName>
    <definedName name="دهان.إيبوكسى">#REF!</definedName>
    <definedName name="رمل.بياض">#REF!</definedName>
    <definedName name="رمل.خرسانة">#REF!</definedName>
    <definedName name="رمل.ردم">#REF!</definedName>
    <definedName name="زلط.ردم">#REF!</definedName>
    <definedName name="زلط.مخصوص">#REF!</definedName>
    <definedName name="زوايا.نهاية.بياض">#REF!</definedName>
    <definedName name="سث">#REF!</definedName>
    <definedName name="سربجنتى2سم">#REF!</definedName>
    <definedName name="سس">#REF!</definedName>
    <definedName name="سعر">#REF!</definedName>
    <definedName name="سعر2">#REF!</definedName>
    <definedName name="سقالات">#REF!</definedName>
    <definedName name="سلك.رباط">#REF!</definedName>
    <definedName name="سلك.شبك">#REF!</definedName>
    <definedName name="سلك10سم">#REF!</definedName>
    <definedName name="سلك20سم">#REF!</definedName>
    <definedName name="سن2">#REF!</definedName>
    <definedName name="سنة">#REF!</definedName>
    <definedName name="سنة2">#REF!</definedName>
    <definedName name="سيراميك.جايل">#REF!</definedName>
    <definedName name="سيراميك.كليوباترا20\30">#REF!</definedName>
    <definedName name="سيراميك.واجهات">#REF!</definedName>
    <definedName name="سيراميك\20\20">#REF!</definedName>
    <definedName name="سيراميك20\20">#REF!</definedName>
    <definedName name="سيراميك30\30">#REF!</definedName>
    <definedName name="سيراميك40">#REF!</definedName>
    <definedName name="سيراميك40\40">#REF!</definedName>
    <definedName name="سيكا.برايمر3">#REF!</definedName>
    <definedName name="سيكا.فلكس1ايه">#REF!</definedName>
    <definedName name="سيكا.فلور261">#REF!</definedName>
    <definedName name="سيكابرايمر94">#REF!</definedName>
    <definedName name="سيكاجارد">#REF!</definedName>
    <definedName name="سيكاديور">#REF!</definedName>
    <definedName name="سيكافلور261">#REF!</definedName>
    <definedName name="سيكافلور94">#REF!</definedName>
    <definedName name="ش1">#REF!</definedName>
    <definedName name="شطف40\40">#REF!</definedName>
    <definedName name="شلا1">#REF!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وف.صخرى">#REF!</definedName>
    <definedName name="ضض">#REF!</definedName>
    <definedName name="طارق">#REF!</definedName>
    <definedName name="طبقةعازلة4مم">#REF!</definedName>
    <definedName name="طط">#REF!</definedName>
    <definedName name="طفلى.مثقب25\12\6">#REF!</definedName>
    <definedName name="طفلى.مصمت25\12\6">#REF!</definedName>
    <definedName name="طوب.أسمنتى.مصمت">#REF!</definedName>
    <definedName name="طوب.زجاجى">#REF!</definedName>
    <definedName name="طوب.زجاجى.ابيض">#REF!</definedName>
    <definedName name="طوب.زجاجي10">#REF!</definedName>
    <definedName name="طوب.مفرغ20\25\40">#REF!</definedName>
    <definedName name="طوب.مفرغ20\40\12">#REF!</definedName>
    <definedName name="ظظ">#REF!</definedName>
    <definedName name="ظل">#REF!</definedName>
    <definedName name="ظهر.حية.ستانلس">#REF!</definedName>
    <definedName name="ظهر.حية.ستانلستيل">#REF!</definedName>
    <definedName name="ع.خ.خ.م.أعمدة">#REF!</definedName>
    <definedName name="ع.خ.خ.م.سلالم">#REF!</definedName>
    <definedName name="ع.خشبية">#REF!</definedName>
    <definedName name="ع1">#REF!</definedName>
    <definedName name="ع2">#REF!</definedName>
    <definedName name="عدة.أعمدة">#REF!</definedName>
    <definedName name="عدة.خشبية">#REF!</definedName>
    <definedName name="عمالة">#REF!</definedName>
    <definedName name="غفقف" hidden="1">{#N/A,#N/A,TRUE,"Cover";#N/A,#N/A,TRUE,"Conts";#N/A,#N/A,TRUE,"VOS";#N/A,#N/A,TRUE,"Warrington";#N/A,#N/A,TRUE,"Widnes"}</definedName>
    <definedName name="ف2">#REF!</definedName>
    <definedName name="فف">#REF!</definedName>
    <definedName name="ففقف" hidden="1">{#N/A,#N/A,TRUE,"Cover";#N/A,#N/A,TRUE,"Conts";#N/A,#N/A,TRUE,"VOS";#N/A,#N/A,TRUE,"Warrington";#N/A,#N/A,TRUE,"Widnes"}</definedName>
    <definedName name="فلتو.حسنة">#REF!</definedName>
    <definedName name="فلتو.حسنة.قائمة">#REF!</definedName>
    <definedName name="فوم">#REF!</definedName>
    <definedName name="فوم.ابيض">#REF!</definedName>
    <definedName name="فينيل.أنتىستاتيك">#REF!</definedName>
    <definedName name="فينيل.مستورد2مم">#REF!</definedName>
    <definedName name="قطع.بلاستيك">#REF!</definedName>
    <definedName name="كانة20\4">#REF!</definedName>
    <definedName name="كسر.طوب">#REF!</definedName>
    <definedName name="كلبسات">#REF!</definedName>
    <definedName name="كور">#REF!</definedName>
    <definedName name="كونتر.22مم">#REF!</definedName>
    <definedName name="كونتر3مم">#REF!</definedName>
    <definedName name="لف">#REF!</definedName>
    <definedName name="لودر">#REF!</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ادة.سقية">#REF!</definedName>
    <definedName name="مادة.منع.النفاذية">#REF!</definedName>
    <definedName name="ماكينة.غلق">#REF!</definedName>
    <definedName name="مبض">#REF!</definedName>
    <definedName name="مسامير.بورمة">#REF!</definedName>
    <definedName name="مسمار.بورمة">#REF!</definedName>
    <definedName name="مصاريف_انتقالات">#REF!</definedName>
    <definedName name="مصاريف_بنكية">#REF!</definedName>
    <definedName name="مصاريف_نقل">#REF!</definedName>
    <definedName name="مصربريك.40\20\25">#REF!</definedName>
    <definedName name="مصلد">#REF!</definedName>
    <definedName name="مقاولين">#REF!</definedName>
    <definedName name="مقصات">#REF!</definedName>
    <definedName name="مم">#REF!</definedName>
    <definedName name="منع.نفاذية.المياة">#REF!</definedName>
    <definedName name="مونة.ذاتية">#REF!</definedName>
    <definedName name="مونة.ذاتية.التسوي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هراس">#REF!</definedName>
    <definedName name="هزاز.خ">#REF!</definedName>
    <definedName name="هزاز.خرسانة">#REF!</definedName>
    <definedName name="هواية.ألومنيوم">#REF!</definedName>
    <definedName name="ؤرء">#REF!</definedName>
    <definedName name="وزرة.فينيل.مستورد">#REF!</definedName>
    <definedName name="ؤؤ">#REF!</definedName>
    <definedName name="ووتر.ستوب">#REF!</definedName>
    <definedName name="ㄱ미" localSheetId="3" hidden="1">{#N/A,#N/A,TRUE,"Basic";#N/A,#N/A,TRUE,"EXT-TABLE";#N/A,#N/A,TRUE,"STEEL";#N/A,#N/A,TRUE,"INT-Table";#N/A,#N/A,TRUE,"STEEL";#N/A,#N/A,TRUE,"Door"}</definedName>
    <definedName name="ㄱ미" hidden="1">{#N/A,#N/A,TRUE,"Basic";#N/A,#N/A,TRUE,"EXT-TABLE";#N/A,#N/A,TRUE,"STEEL";#N/A,#N/A,TRUE,"INT-Table";#N/A,#N/A,TRUE,"STEEL";#N/A,#N/A,TRUE,"Door"}</definedName>
    <definedName name="건물">#REF!</definedName>
    <definedName name="겉표지" localSheetId="3" hidden="1">{#N/A,#N/A,TRUE,"Basic";#N/A,#N/A,TRUE,"EXT-TABLE";#N/A,#N/A,TRUE,"STEEL";#N/A,#N/A,TRUE,"INT-Table";#N/A,#N/A,TRUE,"STEEL";#N/A,#N/A,TRUE,"Door"}</definedName>
    <definedName name="겉표지" hidden="1">{#N/A,#N/A,TRUE,"Basic";#N/A,#N/A,TRUE,"EXT-TABLE";#N/A,#N/A,TRUE,"STEEL";#N/A,#N/A,TRUE,"INT-Table";#N/A,#N/A,TRUE,"STEEL";#N/A,#N/A,TRUE,"Door"}</definedName>
    <definedName name="겡오" hidden="1">{#N/A,#N/A,FALSE,"CCTV"}</definedName>
    <definedName name="계장공사" hidden="1">{#N/A,#N/A,FALSE,"CCTV"}</definedName>
    <definedName name="계획총괄" hidden="1">{#N/A,#N/A,FALSE,"96자동차사 계획";#N/A,#N/A,FALSE,"96자동차사 계획"}</definedName>
    <definedName name="고고" localSheetId="3" hidden="1">{#N/A,#N/A,FALSE,"양식(을)"}</definedName>
    <definedName name="고고" hidden="1">{#N/A,#N/A,FALSE,"양식(을)"}</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능합리화" hidden="1">{#N/A,#N/A,FALSE,"96자동차사 계획";#N/A,#N/A,FALSE,"96자동차사 계획"}</definedName>
    <definedName name="김" localSheetId="3" hidden="1">{#N/A,#N/A,FALSE,"양식(을)"}</definedName>
    <definedName name="김" hidden="1">{#N/A,#N/A,FALSE,"양식(을)"}</definedName>
    <definedName name="김1" localSheetId="3" hidden="1">{#N/A,#N/A,TRUE,"Basic";#N/A,#N/A,TRUE,"EXT-TABLE";#N/A,#N/A,TRUE,"STEEL";#N/A,#N/A,TRUE,"INT-Table";#N/A,#N/A,TRUE,"STEEL";#N/A,#N/A,TRUE,"Door"}</definedName>
    <definedName name="김1" hidden="1">{#N/A,#N/A,TRUE,"Basic";#N/A,#N/A,TRUE,"EXT-TABLE";#N/A,#N/A,TRUE,"STEEL";#N/A,#N/A,TRUE,"INT-Table";#N/A,#N/A,TRUE,"STEEL";#N/A,#N/A,TRUE,"Door"}</definedName>
    <definedName name="김3" localSheetId="3" hidden="1">{#N/A,#N/A,TRUE,"Basic";#N/A,#N/A,TRUE,"EXT-TABLE";#N/A,#N/A,TRUE,"STEEL";#N/A,#N/A,TRUE,"INT-Table";#N/A,#N/A,TRUE,"STEEL";#N/A,#N/A,TRUE,"Door"}</definedName>
    <definedName name="김3" hidden="1">{#N/A,#N/A,TRUE,"Basic";#N/A,#N/A,TRUE,"EXT-TABLE";#N/A,#N/A,TRUE,"STEEL";#N/A,#N/A,TRUE,"INT-Table";#N/A,#N/A,TRUE,"STEEL";#N/A,#N/A,TRUE,"Door"}</definedName>
    <definedName name="나">#REF!</definedName>
    <definedName name="내">#REF!</definedName>
    <definedName name="내역" localSheetId="3" hidden="1">{#N/A,#N/A,FALSE,"CCTV"}</definedName>
    <definedName name="내역" hidden="1">{#N/A,#N/A,FALSE,"CCTV"}</definedName>
    <definedName name="내이름">#REF!</definedName>
    <definedName name="ㄷ1">#REF!</definedName>
    <definedName name="단가비교">#N/A</definedName>
    <definedName name="당초계획" hidden="1">#REF!</definedName>
    <definedName name="더" localSheetId="3" hidden="1">{#N/A,#N/A,FALSE,"양식(을)"}</definedName>
    <definedName name="더" hidden="1">{#N/A,#N/A,FALSE,"양식(을)"}</definedName>
    <definedName name="도돋" localSheetId="3" hidden="1">{#N/A,#N/A,FALSE,"양식(을)"}</definedName>
    <definedName name="도돋" hidden="1">{#N/A,#N/A,FALSE,"양식(을)"}</definedName>
    <definedName name="동구연숩" localSheetId="3" hidden="1">{#N/A,#N/A,FALSE,"전력간선"}</definedName>
    <definedName name="동구연숩" hidden="1">{#N/A,#N/A,FALSE,"전력간선"}</definedName>
    <definedName name="뒷표지" localSheetId="3" hidden="1">{#N/A,#N/A,FALSE,"양식(을)"}</definedName>
    <definedName name="뒷표지" hidden="1">{#N/A,#N/A,FALSE,"양식(을)"}</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ㅁㅁ" localSheetId="3" hidden="1">{#N/A,#N/A,FALSE,"양식(을)"}</definedName>
    <definedName name="ㅁㅁ" hidden="1">{#N/A,#N/A,FALSE,"양식(을)"}</definedName>
    <definedName name="ㅁㅁㅁ" localSheetId="3" hidden="1">{#N/A,#N/A,FALSE,"양식(을)"}</definedName>
    <definedName name="ㅁㅁㅁ" hidden="1">{#N/A,#N/A,FALSE,"양식(을)"}</definedName>
    <definedName name="ㅂ" localSheetId="3" hidden="1">{#N/A,#N/A,FALSE,"양식(을)"}</definedName>
    <definedName name="ㅂ" hidden="1">{#N/A,#N/A,FALSE,"양식(을)"}</definedName>
    <definedName name="ㅂㅂㅂㅂ" hidden="1">#REF!</definedName>
    <definedName name="ㅂ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박" localSheetId="3" hidden="1">{#N/A,#N/A,FALSE,"양식(을)"}</definedName>
    <definedName name="박" hidden="1">{#N/A,#N/A,FALSE,"양식(을)"}</definedName>
    <definedName name="발주의뢰서1" localSheetId="3" hidden="1">{#N/A,#N/A,FALSE,"전력간선"}</definedName>
    <definedName name="발주의뢰서1" hidden="1">{#N/A,#N/A,FALSE,"전력간선"}</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부대공사" hidden="1">#REF!</definedName>
    <definedName name="비교표">#REF!</definedName>
    <definedName name="ㅅㅅ" hidden="1">#REF!</definedName>
    <definedName name="생활2합리화" hidden="1">{#N/A,#N/A,FALSE,"96자동차사 계획";#N/A,#N/A,FALSE,"96자동차사 계획"}</definedName>
    <definedName name="생활합리화" hidden="1">{#N/A,#N/A,FALSE,"96자동차사 계획";#N/A,#N/A,FALSE,"96자동차사 계획"}</definedName>
    <definedName name="소화갑지" localSheetId="3" hidden="1">{#N/A,#N/A,FALSE,"CCTV"}</definedName>
    <definedName name="소화갑지" hidden="1">{#N/A,#N/A,FALSE,"CCTV"}</definedName>
    <definedName name="수" localSheetId="3" hidden="1">{#N/A,#N/A,TRUE,"Basic";#N/A,#N/A,TRUE,"EXT-TABLE";#N/A,#N/A,TRUE,"STEEL";#N/A,#N/A,TRUE,"INT-Table";#N/A,#N/A,TRUE,"STEEL";#N/A,#N/A,TRUE,"Door"}</definedName>
    <definedName name="수" hidden="1">{#N/A,#N/A,TRUE,"Basic";#N/A,#N/A,TRUE,"EXT-TABLE";#N/A,#N/A,TRUE,"STEEL";#N/A,#N/A,TRUE,"INT-Table";#N/A,#N/A,TRUE,"STEEL";#N/A,#N/A,TRUE,"Door"}</definedName>
    <definedName name="압력용기" localSheetId="3" hidden="1">{#N/A,#N/A,FALSE,"양식(을)"}</definedName>
    <definedName name="압력용기" hidden="1">{#N/A,#N/A,FALSE,"양식(을)"}</definedName>
    <definedName name="오배수입상" localSheetId="3" hidden="1">{#N/A,#N/A,TRUE,"천상그린44PY"}</definedName>
    <definedName name="오배수입상" hidden="1">{#N/A,#N/A,TRUE,"천상그린44PY"}</definedName>
    <definedName name="이2" localSheetId="3" hidden="1">{#N/A,#N/A,FALSE,"양식(을)"}</definedName>
    <definedName name="이2" hidden="1">{#N/A,#N/A,FALSE,"양식(을)"}</definedName>
    <definedName name="이정석" localSheetId="3" hidden="1">{#N/A,#N/A,FALSE,"양식(을)"}</definedName>
    <definedName name="이정석" hidden="1">{#N/A,#N/A,FALSE,"양식(을)"}</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 localSheetId="3" hidden="1">{#N/A,#N/A,FALSE,"양식(을)"}</definedName>
    <definedName name="ㅈ" hidden="1">{#N/A,#N/A,FALSE,"양식(을)"}</definedName>
    <definedName name="ㅈㄷ" localSheetId="3" hidden="1">{#N/A,#N/A,FALSE,"양식(을)"}</definedName>
    <definedName name="ㅈㄷ" hidden="1">{#N/A,#N/A,FALSE,"양식(을)"}</definedName>
    <definedName name="장식합리화" hidden="1">{#N/A,#N/A,FALSE,"96자동차사 계획";#N/A,#N/A,FALSE,"96자동차사 계획"}</definedName>
    <definedName name="토목설계" localSheetId="3" hidden="1">{#N/A,#N/A,FALSE,"골재소요량";#N/A,#N/A,FALSE,"골재소요량"}</definedName>
    <definedName name="토목설계" hidden="1">{#N/A,#N/A,FALSE,"골재소요량";#N/A,#N/A,FALSE,"골재소요량"}</definedName>
    <definedName name="표지" localSheetId="3" hidden="1">{#N/A,#N/A,FALSE,"양식(을)"}</definedName>
    <definedName name="표지" hidden="1">{#N/A,#N/A,FALSE,"양식(을)"}</definedName>
    <definedName name="표지1" localSheetId="3" hidden="1">{#N/A,#N/A,FALSE,"양식(을)"}</definedName>
    <definedName name="표지1" hidden="1">{#N/A,#N/A,FALSE,"양식(을)"}</definedName>
    <definedName name="표지2" localSheetId="3" hidden="1">{#N/A,#N/A,FALSE,"양식(을)"}</definedName>
    <definedName name="표지2" hidden="1">{#N/A,#N/A,FALSE,"양식(을)"}</definedName>
    <definedName name="표지3" localSheetId="3" hidden="1">{#N/A,#N/A,FALSE,"양식(을)"}</definedName>
    <definedName name="표지3" hidden="1">{#N/A,#N/A,FALSE,"양식(을)"}</definedName>
    <definedName name="품질계획" localSheetId="3" hidden="1">{#N/A,#N/A,FALSE,"양식(을)"}</definedName>
    <definedName name="품질계획" hidden="1">{#N/A,#N/A,FALSE,"양식(을)"}</definedName>
    <definedName name="ㅎㅎ" hidden="1">#REF!</definedName>
    <definedName name="하반기계획" hidden="1">{#N/A,#N/A,FALSE,"96자동차사 계획";#N/A,#N/A,FALSE,"96자동차사 계획"}</definedName>
    <definedName name="합리화" hidden="1">{#N/A,#N/A,FALSE,"96자동차사 계획";#N/A,#N/A,FALSE,"96자동차사 계획"}</definedName>
    <definedName name="ㅐㅐㅐ">#N/A</definedName>
    <definedName name="ㅠ" localSheetId="3" hidden="1">{#N/A,#N/A,FALSE,"양식(을)"}</definedName>
    <definedName name="ㅠ" hidden="1">{#N/A,#N/A,FALSE,"양식(을)"}</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ㅑㅑ" localSheetId="3" hidden="1">{#N/A,#N/A,FALSE,"단가표지"}</definedName>
    <definedName name="ㅣㅑㅑ" hidden="1">{#N/A,#N/A,FALSE,"단가표지"}</definedName>
    <definedName name="入力ﾌｫｰﾑ">#REF!</definedName>
    <definedName name="入力方法の選択">#REF!</definedName>
    <definedName name="出力ﾌｫｰﾑ">#REF!</definedName>
    <definedName name="土建" localSheetId="3" hidden="1">{"'照明目录'!$A$1:$H$31"}</definedName>
    <definedName name="土建" hidden="1">{"'照明目录'!$A$1:$H$31"}</definedName>
    <definedName name="土建2" localSheetId="3" hidden="1">{"'照明目录'!$A$1:$H$31"}</definedName>
    <definedName name="土建2" hidden="1">{"'照明目录'!$A$1:$H$31"}</definedName>
    <definedName name="好听" localSheetId="3" hidden="1">{"'照明目录'!$A$1:$H$31"}</definedName>
    <definedName name="好听" hidden="1">{"'照明目录'!$A$1:$H$31"}</definedName>
    <definedName name="才了" localSheetId="3" hidden="1">{"'照明目录'!$A$1:$H$31"}</definedName>
    <definedName name="才了" hidden="1">{"'照明目录'!$A$1:$H$31"}</definedName>
    <definedName name="春" localSheetId="3" hidden="1">{"'照明目录'!$A$1:$H$31"}</definedName>
    <definedName name="春" hidden="1">{"'照明目录'!$A$1:$H$31"}</definedName>
    <definedName name="汇编" localSheetId="3" hidden="1">{"'照明目录'!$A$1:$H$31"}</definedName>
    <definedName name="汇编" hidden="1">{"'照明目录'!$A$1:$H$31"}</definedName>
    <definedName name="汇编1" localSheetId="3" hidden="1">{"'照明目录'!$A$1:$H$31"}</definedName>
    <definedName name="汇编1" hidden="1">{"'照明目录'!$A$1:$H$31"}</definedName>
    <definedName name="石膏破碎及输送" localSheetId="3" hidden="1">{"'照明目录'!$A$1:$H$31"}</definedName>
    <definedName name="石膏破碎及输送" hidden="1">{"'照明目录'!$A$1:$H$31"}</definedName>
    <definedName name="自动空气开关" localSheetId="3" hidden="1">{"'照明目录'!$A$1:$H$31"}</definedName>
    <definedName name="自动空气开关" hidden="1">{"'照明目录'!$A$1:$H$31"}</definedName>
    <definedName name="超高管线">#REF!</definedName>
    <definedName name="阿瑟" localSheetId="3" hidden="1">{"'照明目录'!$A$1:$H$31"}</definedName>
    <definedName name="阿瑟" hidden="1">{"'照明目录'!$A$1:$H$31"}</definedName>
    <definedName name="随机配套" localSheetId="3" hidden="1">{"'照明目录'!$A$1:$H$31"}</definedName>
    <definedName name="随机配套" hidden="1">{"'照明目录'!$A$1:$H$31"}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9" i="1" l="1"/>
  <c r="AK72" i="1"/>
  <c r="D24" i="9"/>
  <c r="D29" i="9"/>
  <c r="D28" i="9"/>
  <c r="D14" i="9" l="1"/>
  <c r="D21" i="9" s="1"/>
  <c r="E27" i="9"/>
  <c r="E26" i="9"/>
  <c r="B13" i="9"/>
  <c r="B14" i="9" s="1"/>
  <c r="E25" i="9"/>
  <c r="D18" i="9" l="1"/>
  <c r="E24" i="9"/>
  <c r="E18" i="9" l="1"/>
  <c r="E21" i="9"/>
  <c r="V10511" i="1" l="1"/>
  <c r="V10512" i="1" s="1"/>
  <c r="U10511" i="1"/>
  <c r="V10507" i="1"/>
  <c r="V10508" i="1" s="1"/>
  <c r="U10507" i="1"/>
  <c r="Q10466" i="1"/>
  <c r="O10466" i="1"/>
  <c r="J10466" i="1"/>
  <c r="K10466" i="1" s="1"/>
  <c r="H10466" i="1"/>
  <c r="I10466" i="1" s="1"/>
  <c r="G10466" i="1"/>
  <c r="V10502" i="1"/>
  <c r="AE10502" i="1" s="1"/>
  <c r="U10502" i="1"/>
  <c r="V10498" i="1"/>
  <c r="V10499" i="1" s="1"/>
  <c r="U10498" i="1"/>
  <c r="V10495" i="1"/>
  <c r="AE10495" i="1" s="1"/>
  <c r="AE10494" i="1" s="1"/>
  <c r="U10495" i="1"/>
  <c r="V10491" i="1"/>
  <c r="AF10491" i="1" s="1"/>
  <c r="AF10490" i="1" s="1"/>
  <c r="U10491" i="1"/>
  <c r="V10488" i="1"/>
  <c r="AE10488" i="1" s="1"/>
  <c r="AE10487" i="1" s="1"/>
  <c r="U10488" i="1"/>
  <c r="V10484" i="1"/>
  <c r="AF10484" i="1" s="1"/>
  <c r="AF10483" i="1" s="1"/>
  <c r="U10484" i="1"/>
  <c r="V10480" i="1"/>
  <c r="V10481" i="1" s="1"/>
  <c r="U10480" i="1"/>
  <c r="V10476" i="1"/>
  <c r="AG10476" i="1" s="1"/>
  <c r="AG10475" i="1" s="1"/>
  <c r="U10476" i="1"/>
  <c r="V10472" i="1"/>
  <c r="V10473" i="1" s="1"/>
  <c r="U10472" i="1"/>
  <c r="V10468" i="1"/>
  <c r="AF10468" i="1" s="1"/>
  <c r="AF10467" i="1" s="1"/>
  <c r="U10468" i="1"/>
  <c r="AA10461" i="1"/>
  <c r="AA10462" i="1" s="1"/>
  <c r="AA10451" i="1"/>
  <c r="AA10452" i="1" s="1"/>
  <c r="AA10449" i="1"/>
  <c r="AA10455" i="1" s="1"/>
  <c r="AA10456" i="1" s="1"/>
  <c r="Z10465" i="1"/>
  <c r="Z10463" i="1"/>
  <c r="Z10462" i="1"/>
  <c r="Z10461" i="1"/>
  <c r="Z10460" i="1"/>
  <c r="Z10459" i="1"/>
  <c r="Z10458" i="1"/>
  <c r="Z10456" i="1"/>
  <c r="Z10455" i="1"/>
  <c r="AA10454" i="1"/>
  <c r="Z10454" i="1"/>
  <c r="Z10453" i="1"/>
  <c r="Z10452" i="1"/>
  <c r="Z10451" i="1"/>
  <c r="Z10450" i="1"/>
  <c r="Z10449" i="1"/>
  <c r="AA10442" i="1"/>
  <c r="AA10443" i="1" s="1"/>
  <c r="AA10432" i="1"/>
  <c r="AA10433" i="1" s="1"/>
  <c r="AA10430" i="1"/>
  <c r="AA10436" i="1" s="1"/>
  <c r="AA10437" i="1" s="1"/>
  <c r="Z10446" i="1"/>
  <c r="Z10444" i="1"/>
  <c r="Z10443" i="1"/>
  <c r="Z10442" i="1"/>
  <c r="Z10441" i="1"/>
  <c r="Z10440" i="1"/>
  <c r="Z10439" i="1"/>
  <c r="Z10437" i="1"/>
  <c r="Z10436" i="1"/>
  <c r="AA10435" i="1"/>
  <c r="Z10435" i="1"/>
  <c r="Z10434" i="1"/>
  <c r="Z10433" i="1"/>
  <c r="Z10432" i="1"/>
  <c r="Z10431" i="1"/>
  <c r="Z10430" i="1"/>
  <c r="AA10411" i="1"/>
  <c r="AA10412" i="1" s="1"/>
  <c r="AA10409" i="1"/>
  <c r="AA10422" i="1"/>
  <c r="AA10423" i="1" s="1"/>
  <c r="Z10426" i="1"/>
  <c r="Z10424" i="1"/>
  <c r="Z10423" i="1"/>
  <c r="Z10422" i="1"/>
  <c r="Z10421" i="1"/>
  <c r="Z10420" i="1"/>
  <c r="Z10419" i="1"/>
  <c r="Z10418" i="1"/>
  <c r="Z10416" i="1"/>
  <c r="Z10415" i="1"/>
  <c r="AA10414" i="1"/>
  <c r="Z10414" i="1"/>
  <c r="Z10413" i="1"/>
  <c r="Z10412" i="1"/>
  <c r="Z10411" i="1"/>
  <c r="Z10410" i="1"/>
  <c r="Z10409" i="1"/>
  <c r="AA10402" i="1"/>
  <c r="AA10403" i="1" s="1"/>
  <c r="AA10391" i="1"/>
  <c r="AA10392" i="1" s="1"/>
  <c r="AA10389" i="1"/>
  <c r="AA10395" i="1" s="1"/>
  <c r="AA10396" i="1" s="1"/>
  <c r="Z10406" i="1"/>
  <c r="Z10404" i="1"/>
  <c r="Z10403" i="1"/>
  <c r="Z10402" i="1"/>
  <c r="Z10401" i="1"/>
  <c r="Z10400" i="1"/>
  <c r="Z10399" i="1"/>
  <c r="Z10398" i="1"/>
  <c r="Z10396" i="1"/>
  <c r="Z10395" i="1"/>
  <c r="AA10394" i="1"/>
  <c r="Z10394" i="1"/>
  <c r="Z10393" i="1"/>
  <c r="Z10392" i="1"/>
  <c r="Z10391" i="1"/>
  <c r="Z10390" i="1"/>
  <c r="Z10389" i="1"/>
  <c r="Z10386" i="1"/>
  <c r="Z10384" i="1"/>
  <c r="Z10383" i="1"/>
  <c r="AA10382" i="1"/>
  <c r="AA10383" i="1" s="1"/>
  <c r="Z10382" i="1"/>
  <c r="Z10381" i="1"/>
  <c r="Z10380" i="1"/>
  <c r="Z10379" i="1"/>
  <c r="Z10378" i="1"/>
  <c r="Z10376" i="1"/>
  <c r="Z10375" i="1"/>
  <c r="AA10374" i="1"/>
  <c r="Z10374" i="1"/>
  <c r="Z10373" i="1"/>
  <c r="Z10372" i="1"/>
  <c r="AA10371" i="1"/>
  <c r="AA10372" i="1" s="1"/>
  <c r="Z10371" i="1"/>
  <c r="Z10370" i="1"/>
  <c r="AA10369" i="1"/>
  <c r="AA10375" i="1" s="1"/>
  <c r="AA10376" i="1" s="1"/>
  <c r="Z10369" i="1"/>
  <c r="Z10366" i="1"/>
  <c r="Z10364" i="1"/>
  <c r="Z10363" i="1"/>
  <c r="AA10362" i="1"/>
  <c r="AA10363" i="1" s="1"/>
  <c r="Z10362" i="1"/>
  <c r="Z10361" i="1"/>
  <c r="Z10360" i="1"/>
  <c r="Z10359" i="1"/>
  <c r="Z10358" i="1"/>
  <c r="Z10356" i="1"/>
  <c r="Z10355" i="1"/>
  <c r="AA10354" i="1"/>
  <c r="Z10354" i="1"/>
  <c r="Z10353" i="1"/>
  <c r="Z10352" i="1"/>
  <c r="AA10351" i="1"/>
  <c r="AA10352" i="1" s="1"/>
  <c r="Z10351" i="1"/>
  <c r="Z10350" i="1"/>
  <c r="AA10349" i="1"/>
  <c r="AA10355" i="1" s="1"/>
  <c r="AA10356" i="1" s="1"/>
  <c r="Z10349" i="1"/>
  <c r="AA10316" i="1"/>
  <c r="AA10314" i="1"/>
  <c r="AA10311" i="1"/>
  <c r="AA10309" i="1"/>
  <c r="AA10306" i="1"/>
  <c r="AA10304" i="1"/>
  <c r="AA10291" i="1"/>
  <c r="AA10289" i="1"/>
  <c r="Z10316" i="1"/>
  <c r="Z10315" i="1"/>
  <c r="Z10314" i="1"/>
  <c r="Z10311" i="1"/>
  <c r="Z10310" i="1"/>
  <c r="Z10309" i="1"/>
  <c r="Z10306" i="1"/>
  <c r="Z10305" i="1"/>
  <c r="Z10304" i="1"/>
  <c r="Z10301" i="1"/>
  <c r="Z10300" i="1"/>
  <c r="Z10299" i="1"/>
  <c r="Z10296" i="1"/>
  <c r="Z10295" i="1"/>
  <c r="Z10294" i="1"/>
  <c r="Z10291" i="1"/>
  <c r="Z10290" i="1"/>
  <c r="Z10289" i="1"/>
  <c r="AA10286" i="1"/>
  <c r="Z10286" i="1"/>
  <c r="Z10285" i="1"/>
  <c r="AA10284" i="1"/>
  <c r="Z10284" i="1"/>
  <c r="Z10281" i="1"/>
  <c r="Z10280" i="1"/>
  <c r="Z10279" i="1"/>
  <c r="Z10276" i="1"/>
  <c r="Z10275" i="1"/>
  <c r="AA10274" i="1"/>
  <c r="AA10275" i="1" s="1"/>
  <c r="Z10274" i="1"/>
  <c r="Z10272" i="1"/>
  <c r="Z10271" i="1"/>
  <c r="Z10269" i="1"/>
  <c r="Z10268" i="1"/>
  <c r="AA10267" i="1"/>
  <c r="AA10268" i="1" s="1"/>
  <c r="Z10267" i="1"/>
  <c r="Z10265" i="1"/>
  <c r="Z10264" i="1"/>
  <c r="Z10262" i="1"/>
  <c r="AA10261" i="1"/>
  <c r="Z10261" i="1"/>
  <c r="AA10260" i="1"/>
  <c r="Z10260" i="1"/>
  <c r="AA10255" i="1"/>
  <c r="AA10256" i="1" s="1"/>
  <c r="Z10257" i="1"/>
  <c r="Z10256" i="1"/>
  <c r="Z10255" i="1"/>
  <c r="Z10253" i="1"/>
  <c r="Z10252" i="1"/>
  <c r="AA10248" i="1"/>
  <c r="AA10249" i="1" s="1"/>
  <c r="Z10250" i="1"/>
  <c r="Z10249" i="1"/>
  <c r="Z10248" i="1"/>
  <c r="Z10246" i="1"/>
  <c r="Z10245" i="1"/>
  <c r="AA10242" i="1"/>
  <c r="AA10241" i="1"/>
  <c r="Z10243" i="1"/>
  <c r="Z10242" i="1"/>
  <c r="Z10241" i="1"/>
  <c r="P10466" i="1" l="1"/>
  <c r="AE10511" i="1"/>
  <c r="AE10510" i="1" s="1"/>
  <c r="AF10511" i="1"/>
  <c r="AF10510" i="1" s="1"/>
  <c r="AG10511" i="1"/>
  <c r="AG10510" i="1" s="1"/>
  <c r="AH10511" i="1"/>
  <c r="AH10510" i="1" s="1"/>
  <c r="AE10507" i="1"/>
  <c r="AE10506" i="1" s="1"/>
  <c r="AF10507" i="1"/>
  <c r="AF10506" i="1" s="1"/>
  <c r="AG10507" i="1"/>
  <c r="AG10506" i="1" s="1"/>
  <c r="AH10507" i="1"/>
  <c r="AH10506" i="1" s="1"/>
  <c r="AE10501" i="1"/>
  <c r="M10466" i="1"/>
  <c r="AF10502" i="1"/>
  <c r="AF10501" i="1" s="1"/>
  <c r="AG10502" i="1"/>
  <c r="AG10501" i="1" s="1"/>
  <c r="AH10502" i="1"/>
  <c r="AH10501" i="1" s="1"/>
  <c r="V10503" i="1"/>
  <c r="AG10498" i="1"/>
  <c r="AG10497" i="1" s="1"/>
  <c r="AE10498" i="1"/>
  <c r="AE10497" i="1" s="1"/>
  <c r="AF10498" i="1"/>
  <c r="AF10497" i="1" s="1"/>
  <c r="AH10498" i="1"/>
  <c r="AH10497" i="1" s="1"/>
  <c r="AF10495" i="1"/>
  <c r="AF10494" i="1" s="1"/>
  <c r="AH10495" i="1"/>
  <c r="AH10494" i="1" s="1"/>
  <c r="V10496" i="1"/>
  <c r="AG10495" i="1"/>
  <c r="AG10494" i="1" s="1"/>
  <c r="AE10491" i="1"/>
  <c r="AE10490" i="1" s="1"/>
  <c r="AG10491" i="1"/>
  <c r="AG10490" i="1" s="1"/>
  <c r="V10492" i="1"/>
  <c r="AH10491" i="1"/>
  <c r="AH10490" i="1" s="1"/>
  <c r="AF10488" i="1"/>
  <c r="AF10487" i="1" s="1"/>
  <c r="V10477" i="1"/>
  <c r="AG10488" i="1"/>
  <c r="AG10487" i="1" s="1"/>
  <c r="AH10488" i="1"/>
  <c r="AH10487" i="1" s="1"/>
  <c r="V10489" i="1"/>
  <c r="AH10480" i="1"/>
  <c r="AH10479" i="1" s="1"/>
  <c r="AE10484" i="1"/>
  <c r="AE10483" i="1" s="1"/>
  <c r="AH10484" i="1"/>
  <c r="AH10483" i="1" s="1"/>
  <c r="V10485" i="1"/>
  <c r="AG10484" i="1"/>
  <c r="AG10483" i="1" s="1"/>
  <c r="AF10480" i="1"/>
  <c r="AF10479" i="1" s="1"/>
  <c r="AG10480" i="1"/>
  <c r="AG10479" i="1" s="1"/>
  <c r="AH10476" i="1"/>
  <c r="AH10475" i="1" s="1"/>
  <c r="AE10476" i="1"/>
  <c r="AE10475" i="1" s="1"/>
  <c r="AF10476" i="1"/>
  <c r="AF10475" i="1" s="1"/>
  <c r="AE10480" i="1"/>
  <c r="AE10479" i="1" s="1"/>
  <c r="AG10468" i="1"/>
  <c r="AG10467" i="1" s="1"/>
  <c r="AF10472" i="1"/>
  <c r="AF10471" i="1" s="1"/>
  <c r="AH10468" i="1"/>
  <c r="AH10467" i="1" s="1"/>
  <c r="AE10472" i="1"/>
  <c r="AE10471" i="1" s="1"/>
  <c r="AG10472" i="1"/>
  <c r="AG10471" i="1" s="1"/>
  <c r="AH10472" i="1"/>
  <c r="AH10471" i="1" s="1"/>
  <c r="V10469" i="1"/>
  <c r="AE10468" i="1"/>
  <c r="AE10467" i="1" s="1"/>
  <c r="AA10450" i="1"/>
  <c r="AA10431" i="1"/>
  <c r="AA10415" i="1"/>
  <c r="AA10416" i="1" s="1"/>
  <c r="AA10410" i="1"/>
  <c r="AA10390" i="1"/>
  <c r="AA10370" i="1"/>
  <c r="AA10350" i="1"/>
  <c r="AI10511" i="1" l="1"/>
  <c r="AI10507" i="1"/>
  <c r="AI10502" i="1"/>
  <c r="R10466" i="1"/>
  <c r="T10466" i="1" s="1"/>
  <c r="N10466" i="1"/>
  <c r="AI10495" i="1"/>
  <c r="AI10498" i="1"/>
  <c r="AI10491" i="1"/>
  <c r="AI10488" i="1"/>
  <c r="AI10468" i="1"/>
  <c r="AI10484" i="1"/>
  <c r="AI10480" i="1"/>
  <c r="AI10476" i="1"/>
  <c r="AI10472" i="1"/>
  <c r="Z10238" i="1"/>
  <c r="AA10237" i="1"/>
  <c r="AA10238" i="1" s="1"/>
  <c r="Z10237" i="1"/>
  <c r="Z10235" i="1"/>
  <c r="Z10232" i="1"/>
  <c r="AA10228" i="1"/>
  <c r="AA10229" i="1" s="1"/>
  <c r="Z10229" i="1"/>
  <c r="Z10228" i="1"/>
  <c r="AA10225" i="1"/>
  <c r="Z10225" i="1"/>
  <c r="Z10224" i="1"/>
  <c r="AA10221" i="1"/>
  <c r="Z10221" i="1"/>
  <c r="Z10220" i="1"/>
  <c r="AA10217" i="1"/>
  <c r="Z10217" i="1"/>
  <c r="Z10216" i="1"/>
  <c r="AA10213" i="1"/>
  <c r="Z10213" i="1"/>
  <c r="Z10212" i="1"/>
  <c r="AA10209" i="1"/>
  <c r="Z10209" i="1"/>
  <c r="Z10208" i="1"/>
  <c r="AA10201" i="1"/>
  <c r="Z10205" i="1"/>
  <c r="Z10204" i="1"/>
  <c r="Z10201" i="1"/>
  <c r="Z10200" i="1"/>
  <c r="AA10150" i="1"/>
  <c r="AA10151" i="1" s="1"/>
  <c r="Z10152" i="1"/>
  <c r="Z10151" i="1"/>
  <c r="Z10150" i="1"/>
  <c r="Z10149" i="1"/>
  <c r="AA10148" i="1"/>
  <c r="AA10152" i="1" s="1"/>
  <c r="Z10148" i="1"/>
  <c r="V10147" i="1"/>
  <c r="V10148" i="1" s="1"/>
  <c r="V10149" i="1" s="1"/>
  <c r="V10150" i="1" s="1"/>
  <c r="V10151" i="1" s="1"/>
  <c r="V10152" i="1" s="1"/>
  <c r="U10147" i="1"/>
  <c r="AA10178" i="1"/>
  <c r="Z10178" i="1"/>
  <c r="Z10177" i="1"/>
  <c r="Z10176" i="1"/>
  <c r="AA10175" i="1"/>
  <c r="AA10176" i="1" s="1"/>
  <c r="Z10175" i="1"/>
  <c r="AA10174" i="1"/>
  <c r="Z10174" i="1"/>
  <c r="Z10173" i="1"/>
  <c r="V10172" i="1"/>
  <c r="AG10172" i="1" s="1"/>
  <c r="U10172" i="1"/>
  <c r="Z10171" i="1"/>
  <c r="AA10170" i="1"/>
  <c r="AA10171" i="1" s="1"/>
  <c r="Z10170" i="1"/>
  <c r="V10169" i="1"/>
  <c r="AH10169" i="1" s="1"/>
  <c r="U10169" i="1"/>
  <c r="Z10168" i="1"/>
  <c r="Z10167" i="1"/>
  <c r="AA10166" i="1"/>
  <c r="AA10167" i="1" s="1"/>
  <c r="Z10166" i="1"/>
  <c r="Z10165" i="1"/>
  <c r="Z10164" i="1"/>
  <c r="V10163" i="1"/>
  <c r="AE10163" i="1" s="1"/>
  <c r="U10163" i="1"/>
  <c r="AA10162" i="1"/>
  <c r="Z10162" i="1"/>
  <c r="AA10161" i="1"/>
  <c r="Z10161" i="1"/>
  <c r="Z10160" i="1"/>
  <c r="Z10159" i="1"/>
  <c r="AA10158" i="1"/>
  <c r="Z10158" i="1"/>
  <c r="Z10157" i="1"/>
  <c r="AA10156" i="1"/>
  <c r="Z10156" i="1"/>
  <c r="Z10155" i="1"/>
  <c r="V10154" i="1"/>
  <c r="V10155" i="1" s="1"/>
  <c r="V10156" i="1" s="1"/>
  <c r="V10157" i="1" s="1"/>
  <c r="V10158" i="1" s="1"/>
  <c r="V10159" i="1" s="1"/>
  <c r="V10160" i="1" s="1"/>
  <c r="V10161" i="1" s="1"/>
  <c r="V10162" i="1" s="1"/>
  <c r="U10154" i="1"/>
  <c r="AA10197" i="1"/>
  <c r="Z10197" i="1"/>
  <c r="Z10196" i="1"/>
  <c r="Z10195" i="1"/>
  <c r="AA10194" i="1"/>
  <c r="AA10195" i="1" s="1"/>
  <c r="Z10194" i="1"/>
  <c r="AA10193" i="1"/>
  <c r="Z10193" i="1"/>
  <c r="Z10192" i="1"/>
  <c r="V10191" i="1"/>
  <c r="AG10191" i="1" s="1"/>
  <c r="U10191" i="1"/>
  <c r="Z10190" i="1"/>
  <c r="AA10189" i="1"/>
  <c r="AA10190" i="1" s="1"/>
  <c r="Z10189" i="1"/>
  <c r="V10188" i="1"/>
  <c r="AH10188" i="1" s="1"/>
  <c r="U10188" i="1"/>
  <c r="Z10187" i="1"/>
  <c r="Z10186" i="1"/>
  <c r="AA10185" i="1"/>
  <c r="AA10183" i="1" s="1"/>
  <c r="Z10185" i="1"/>
  <c r="Z10184" i="1"/>
  <c r="Z10183" i="1"/>
  <c r="V10182" i="1"/>
  <c r="AE10182" i="1" s="1"/>
  <c r="U10182" i="1"/>
  <c r="Z10181" i="1"/>
  <c r="V10180" i="1"/>
  <c r="V10181" i="1" s="1"/>
  <c r="U10180" i="1"/>
  <c r="AA10145" i="1"/>
  <c r="Z10145" i="1"/>
  <c r="Z10144" i="1"/>
  <c r="AA10143" i="1"/>
  <c r="Z10143" i="1"/>
  <c r="Z10142" i="1"/>
  <c r="Z10141" i="1"/>
  <c r="AA10140" i="1"/>
  <c r="AA10141" i="1" s="1"/>
  <c r="Z10140" i="1"/>
  <c r="Z10139" i="1"/>
  <c r="AA10138" i="1"/>
  <c r="AA10139" i="1" s="1"/>
  <c r="Z10138" i="1"/>
  <c r="Z10137" i="1"/>
  <c r="AA10136" i="1"/>
  <c r="AA10137" i="1" s="1"/>
  <c r="Z10136" i="1"/>
  <c r="Z10134" i="1"/>
  <c r="AA10133" i="1"/>
  <c r="AA10134" i="1" s="1"/>
  <c r="Z10133" i="1"/>
  <c r="AA10132" i="1"/>
  <c r="Z10132" i="1"/>
  <c r="Z10131" i="1"/>
  <c r="AA10130" i="1"/>
  <c r="Z10130" i="1"/>
  <c r="Z10129" i="1"/>
  <c r="AA10126" i="1"/>
  <c r="Z10126" i="1"/>
  <c r="Z10125" i="1"/>
  <c r="AA10124" i="1"/>
  <c r="Z10124" i="1"/>
  <c r="Z10123" i="1"/>
  <c r="Z10122" i="1"/>
  <c r="AA10121" i="1"/>
  <c r="AA10122" i="1" s="1"/>
  <c r="Z10121" i="1"/>
  <c r="Z10120" i="1"/>
  <c r="AA10119" i="1"/>
  <c r="AA10120" i="1" s="1"/>
  <c r="Z10119" i="1"/>
  <c r="Z10118" i="1"/>
  <c r="AA10117" i="1"/>
  <c r="AA10118" i="1" s="1"/>
  <c r="Z10117" i="1"/>
  <c r="Z10115" i="1"/>
  <c r="AA10114" i="1"/>
  <c r="AA10115" i="1" s="1"/>
  <c r="Z10114" i="1"/>
  <c r="AA10113" i="1"/>
  <c r="Z10113" i="1"/>
  <c r="Z10112" i="1"/>
  <c r="AA10111" i="1"/>
  <c r="Z10111" i="1"/>
  <c r="Z10110" i="1"/>
  <c r="AA10107" i="1"/>
  <c r="Z10107" i="1"/>
  <c r="Z10106" i="1"/>
  <c r="AA10105" i="1"/>
  <c r="Z10105" i="1"/>
  <c r="Z10104" i="1"/>
  <c r="Z10103" i="1"/>
  <c r="AA10102" i="1"/>
  <c r="AA10103" i="1" s="1"/>
  <c r="Z10102" i="1"/>
  <c r="Z10101" i="1"/>
  <c r="AA10100" i="1"/>
  <c r="AA10101" i="1" s="1"/>
  <c r="Z10100" i="1"/>
  <c r="Z10099" i="1"/>
  <c r="AA10098" i="1"/>
  <c r="AA10099" i="1" s="1"/>
  <c r="Z10098" i="1"/>
  <c r="Z10096" i="1"/>
  <c r="AA10095" i="1"/>
  <c r="AA10096" i="1" s="1"/>
  <c r="Z10095" i="1"/>
  <c r="AA10094" i="1"/>
  <c r="Z10094" i="1"/>
  <c r="Z10093" i="1"/>
  <c r="AA10092" i="1"/>
  <c r="Z10092" i="1"/>
  <c r="Z10091" i="1"/>
  <c r="AA10088" i="1"/>
  <c r="Z10088" i="1"/>
  <c r="Z10087" i="1"/>
  <c r="AA10086" i="1"/>
  <c r="Z10086" i="1"/>
  <c r="Z10085" i="1"/>
  <c r="Z10084" i="1"/>
  <c r="AA10083" i="1"/>
  <c r="AA10084" i="1" s="1"/>
  <c r="Z10083" i="1"/>
  <c r="Z10082" i="1"/>
  <c r="AA10081" i="1"/>
  <c r="AA10082" i="1" s="1"/>
  <c r="Z10081" i="1"/>
  <c r="Z10080" i="1"/>
  <c r="AA10079" i="1"/>
  <c r="AA10080" i="1" s="1"/>
  <c r="Z10079" i="1"/>
  <c r="Z10077" i="1"/>
  <c r="AA10076" i="1"/>
  <c r="AA10077" i="1" s="1"/>
  <c r="Z10076" i="1"/>
  <c r="AA10075" i="1"/>
  <c r="Z10075" i="1"/>
  <c r="Z10074" i="1"/>
  <c r="AA10073" i="1"/>
  <c r="Z10073" i="1"/>
  <c r="Z10072" i="1"/>
  <c r="V10068" i="1"/>
  <c r="AF10068" i="1" s="1"/>
  <c r="AF10067" i="1" s="1"/>
  <c r="U10068" i="1"/>
  <c r="AA10065" i="1"/>
  <c r="AA10066" i="1" s="1"/>
  <c r="AA10063" i="1"/>
  <c r="AA10064" i="1" s="1"/>
  <c r="AA10062" i="1"/>
  <c r="Z10062" i="1"/>
  <c r="AA10059" i="1"/>
  <c r="AA10060" i="1"/>
  <c r="AA10056" i="1"/>
  <c r="AA10054" i="1"/>
  <c r="AA10055" i="1" s="1"/>
  <c r="AA10053" i="1"/>
  <c r="AA10045" i="1"/>
  <c r="AA10046" i="1" s="1"/>
  <c r="AA10042" i="1"/>
  <c r="AA10043" i="1" s="1"/>
  <c r="AA10040" i="1"/>
  <c r="AA10041" i="1" s="1"/>
  <c r="Z10048" i="1"/>
  <c r="Z10047" i="1"/>
  <c r="Z10046" i="1"/>
  <c r="Z10045" i="1"/>
  <c r="U10044" i="1"/>
  <c r="Z10066" i="1"/>
  <c r="Z10065" i="1"/>
  <c r="Z10064" i="1"/>
  <c r="Z10063" i="1"/>
  <c r="U10061" i="1"/>
  <c r="Z10060" i="1"/>
  <c r="Z10059" i="1"/>
  <c r="V10058" i="1"/>
  <c r="V10059" i="1" s="1"/>
  <c r="V10060" i="1" s="1"/>
  <c r="U10058" i="1"/>
  <c r="Z10057" i="1"/>
  <c r="Z10056" i="1"/>
  <c r="Z10055" i="1"/>
  <c r="Z10054" i="1"/>
  <c r="Z10053" i="1"/>
  <c r="Z10051" i="1"/>
  <c r="AA10050" i="1"/>
  <c r="Z10050" i="1"/>
  <c r="U10049" i="1"/>
  <c r="Z10043" i="1"/>
  <c r="Z10042" i="1"/>
  <c r="Z10041" i="1"/>
  <c r="Z10040" i="1"/>
  <c r="AA10034" i="1"/>
  <c r="AA10036" i="1" s="1"/>
  <c r="AA10037" i="1" s="1"/>
  <c r="AA10031" i="1"/>
  <c r="AA10032" i="1" s="1"/>
  <c r="Z10037" i="1"/>
  <c r="Z10036" i="1"/>
  <c r="Z10035" i="1"/>
  <c r="Z10034" i="1"/>
  <c r="U10033" i="1"/>
  <c r="Z10032" i="1"/>
  <c r="Z10031" i="1"/>
  <c r="Z10030" i="1"/>
  <c r="Z10029" i="1"/>
  <c r="U10028" i="1"/>
  <c r="AA10027" i="1"/>
  <c r="AA10026" i="1"/>
  <c r="Z10027" i="1"/>
  <c r="Z10026" i="1"/>
  <c r="V10025" i="1"/>
  <c r="AH10025" i="1" s="1"/>
  <c r="U10025" i="1"/>
  <c r="AA10021" i="1"/>
  <c r="AA10022" i="1" s="1"/>
  <c r="AA10020" i="1"/>
  <c r="AA10023" i="1" s="1"/>
  <c r="Z10024" i="1"/>
  <c r="Z10023" i="1"/>
  <c r="Z10022" i="1"/>
  <c r="Z10021" i="1"/>
  <c r="Z10020" i="1"/>
  <c r="AA10017" i="1"/>
  <c r="Z10018" i="1"/>
  <c r="Z10017" i="1"/>
  <c r="U10016" i="1"/>
  <c r="AA10014" i="1"/>
  <c r="AA10015" i="1" s="1"/>
  <c r="AA10012" i="1"/>
  <c r="AA10013" i="1" s="1"/>
  <c r="Z10015" i="1"/>
  <c r="Z10014" i="1"/>
  <c r="Z10013" i="1"/>
  <c r="Z10012" i="1"/>
  <c r="AA9997" i="1"/>
  <c r="AA9998" i="1" s="1"/>
  <c r="AA9995" i="1"/>
  <c r="AA9996" i="1" s="1"/>
  <c r="Z9999" i="1"/>
  <c r="Z9998" i="1"/>
  <c r="Z9997" i="1"/>
  <c r="Z9996" i="1"/>
  <c r="Z9995" i="1"/>
  <c r="AA9994" i="1"/>
  <c r="AA10001" i="1"/>
  <c r="AA10002" i="1" s="1"/>
  <c r="Z9992" i="1"/>
  <c r="AA10009" i="1"/>
  <c r="Z10009" i="1"/>
  <c r="Z10008" i="1"/>
  <c r="Z10007" i="1"/>
  <c r="AA10006" i="1"/>
  <c r="AA10007" i="1" s="1"/>
  <c r="Z10006" i="1"/>
  <c r="AA10005" i="1"/>
  <c r="Z10005" i="1"/>
  <c r="Z10004" i="1"/>
  <c r="V10003" i="1"/>
  <c r="AE10003" i="1" s="1"/>
  <c r="U10003" i="1"/>
  <c r="Z10002" i="1"/>
  <c r="Z10001" i="1"/>
  <c r="V10000" i="1"/>
  <c r="AH10000" i="1" s="1"/>
  <c r="U10000" i="1"/>
  <c r="Z9994" i="1"/>
  <c r="V9993" i="1"/>
  <c r="AG9993" i="1" s="1"/>
  <c r="U9993" i="1"/>
  <c r="V9991" i="1"/>
  <c r="V9992" i="1" s="1"/>
  <c r="U9991" i="1"/>
  <c r="V9988" i="1"/>
  <c r="AG9988" i="1" s="1"/>
  <c r="AG9987" i="1" s="1"/>
  <c r="U9988" i="1"/>
  <c r="V9985" i="1"/>
  <c r="V9986" i="1" s="1"/>
  <c r="U9985" i="1"/>
  <c r="AA9971" i="1"/>
  <c r="AA9972" i="1" s="1"/>
  <c r="AA9952" i="1"/>
  <c r="AA9953" i="1" s="1"/>
  <c r="Z9972" i="1"/>
  <c r="Z9971" i="1"/>
  <c r="Z9983" i="1"/>
  <c r="Z9982" i="1"/>
  <c r="Z9981" i="1"/>
  <c r="Z9980" i="1"/>
  <c r="Z9979" i="1"/>
  <c r="Z9978" i="1"/>
  <c r="Z9976" i="1"/>
  <c r="Z9975" i="1"/>
  <c r="Z9973" i="1"/>
  <c r="Z9970" i="1"/>
  <c r="Z9969" i="1"/>
  <c r="Z9967" i="1"/>
  <c r="Z9964" i="1"/>
  <c r="Z9963" i="1"/>
  <c r="Z9962" i="1"/>
  <c r="Z9961" i="1"/>
  <c r="Z9960" i="1"/>
  <c r="Z9959" i="1"/>
  <c r="Z9957" i="1"/>
  <c r="Z9956" i="1"/>
  <c r="Z9954" i="1"/>
  <c r="Z9953" i="1"/>
  <c r="Z9952" i="1"/>
  <c r="Z9951" i="1"/>
  <c r="Z9950" i="1"/>
  <c r="Z9948" i="1"/>
  <c r="Z9947" i="1"/>
  <c r="Z9946" i="1"/>
  <c r="Z9945" i="1"/>
  <c r="Z9944" i="1"/>
  <c r="Z9943" i="1"/>
  <c r="Z9942" i="1"/>
  <c r="Z9941" i="1"/>
  <c r="Z9938" i="1"/>
  <c r="Z9937" i="1"/>
  <c r="Z9936" i="1"/>
  <c r="Z9935" i="1"/>
  <c r="Z9934" i="1"/>
  <c r="Z9931" i="1"/>
  <c r="Z9930" i="1"/>
  <c r="Z9929" i="1"/>
  <c r="Z9928" i="1"/>
  <c r="Z9925" i="1"/>
  <c r="Z9924" i="1"/>
  <c r="Z9923" i="1"/>
  <c r="Z9922" i="1"/>
  <c r="Z9921" i="1"/>
  <c r="Z9920" i="1"/>
  <c r="Z9919" i="1"/>
  <c r="AA9983" i="1"/>
  <c r="AA9980" i="1"/>
  <c r="AA9981" i="1" s="1"/>
  <c r="AA9979" i="1"/>
  <c r="V9977" i="1"/>
  <c r="AG9977" i="1" s="1"/>
  <c r="U9977" i="1"/>
  <c r="AA9975" i="1"/>
  <c r="AA9976" i="1" s="1"/>
  <c r="V9974" i="1"/>
  <c r="AG9974" i="1" s="1"/>
  <c r="U9974" i="1"/>
  <c r="V9968" i="1"/>
  <c r="AE9968" i="1" s="1"/>
  <c r="U9968" i="1"/>
  <c r="V9966" i="1"/>
  <c r="AH9966" i="1" s="1"/>
  <c r="U9966" i="1"/>
  <c r="AA9964" i="1"/>
  <c r="AA9961" i="1"/>
  <c r="AA9962" i="1" s="1"/>
  <c r="AA9960" i="1"/>
  <c r="V9958" i="1"/>
  <c r="AF9958" i="1" s="1"/>
  <c r="U9958" i="1"/>
  <c r="AA9956" i="1"/>
  <c r="AA9957" i="1" s="1"/>
  <c r="V9955" i="1"/>
  <c r="U9955" i="1"/>
  <c r="AA9950" i="1"/>
  <c r="V9949" i="1"/>
  <c r="V9950" i="1" s="1"/>
  <c r="V9951" i="1" s="1"/>
  <c r="V9952" i="1" s="1"/>
  <c r="V9953" i="1" s="1"/>
  <c r="V9954" i="1" s="1"/>
  <c r="U9949" i="1"/>
  <c r="AA9948" i="1"/>
  <c r="AA9947" i="1"/>
  <c r="AA9944" i="1"/>
  <c r="AA9942" i="1"/>
  <c r="V9940" i="1"/>
  <c r="V9941" i="1" s="1"/>
  <c r="V9942" i="1" s="1"/>
  <c r="V9943" i="1" s="1"/>
  <c r="V9944" i="1" s="1"/>
  <c r="V9945" i="1" s="1"/>
  <c r="V9946" i="1" s="1"/>
  <c r="V9947" i="1" s="1"/>
  <c r="V9948" i="1" s="1"/>
  <c r="U9940" i="1"/>
  <c r="AA9936" i="1"/>
  <c r="AA9937" i="1" s="1"/>
  <c r="AA9934" i="1"/>
  <c r="AA9935" i="1" s="1"/>
  <c r="U9933" i="1"/>
  <c r="AA9930" i="1"/>
  <c r="AA9931" i="1" s="1"/>
  <c r="AA9929" i="1"/>
  <c r="V9927" i="1"/>
  <c r="AE9927" i="1" s="1"/>
  <c r="U9927" i="1"/>
  <c r="AA9921" i="1"/>
  <c r="AA9923" i="1"/>
  <c r="AA9925" i="1"/>
  <c r="AA9920" i="1"/>
  <c r="V9918" i="1"/>
  <c r="AE9918" i="1" s="1"/>
  <c r="U9918" i="1"/>
  <c r="AA10164" i="1" l="1"/>
  <c r="AA10168" i="1" s="1"/>
  <c r="AA10149" i="1"/>
  <c r="AA10205" i="1"/>
  <c r="AF10147" i="1"/>
  <c r="AF10146" i="1" s="1"/>
  <c r="AG10147" i="1"/>
  <c r="AG10146" i="1" s="1"/>
  <c r="AH10147" i="1"/>
  <c r="AH10146" i="1" s="1"/>
  <c r="AE10147" i="1"/>
  <c r="AE10154" i="1"/>
  <c r="AF10154" i="1"/>
  <c r="AG10154" i="1"/>
  <c r="AH10154" i="1"/>
  <c r="AH10172" i="1"/>
  <c r="V10173" i="1"/>
  <c r="V10174" i="1" s="1"/>
  <c r="V10175" i="1" s="1"/>
  <c r="V10176" i="1" s="1"/>
  <c r="V10177" i="1" s="1"/>
  <c r="V10178" i="1" s="1"/>
  <c r="AF10182" i="1"/>
  <c r="V10189" i="1"/>
  <c r="V10190" i="1" s="1"/>
  <c r="AF10163" i="1"/>
  <c r="AG10182" i="1"/>
  <c r="AG10163" i="1"/>
  <c r="AH10182" i="1"/>
  <c r="AH10163" i="1"/>
  <c r="V10183" i="1"/>
  <c r="V10184" i="1" s="1"/>
  <c r="V10185" i="1" s="1"/>
  <c r="V10186" i="1" s="1"/>
  <c r="V10187" i="1" s="1"/>
  <c r="V10164" i="1"/>
  <c r="V10165" i="1" s="1"/>
  <c r="V10166" i="1" s="1"/>
  <c r="V10167" i="1" s="1"/>
  <c r="V10168" i="1" s="1"/>
  <c r="V10170" i="1"/>
  <c r="V10171" i="1" s="1"/>
  <c r="AF10180" i="1"/>
  <c r="AH10180" i="1"/>
  <c r="V10192" i="1"/>
  <c r="V10193" i="1" s="1"/>
  <c r="V10194" i="1" s="1"/>
  <c r="V10195" i="1" s="1"/>
  <c r="V10196" i="1" s="1"/>
  <c r="V10197" i="1" s="1"/>
  <c r="AA10186" i="1"/>
  <c r="AE10169" i="1"/>
  <c r="AF10169" i="1"/>
  <c r="AE10180" i="1"/>
  <c r="AG10180" i="1"/>
  <c r="AH10191" i="1"/>
  <c r="AG10169" i="1"/>
  <c r="AE10172" i="1"/>
  <c r="AF10172" i="1"/>
  <c r="AA10184" i="1"/>
  <c r="AA10187" i="1"/>
  <c r="AF10188" i="1"/>
  <c r="AG10188" i="1"/>
  <c r="AE10191" i="1"/>
  <c r="AE10188" i="1"/>
  <c r="AF10191" i="1"/>
  <c r="AG10068" i="1"/>
  <c r="AG10067" i="1" s="1"/>
  <c r="AH10068" i="1"/>
  <c r="AH10067" i="1" s="1"/>
  <c r="V10069" i="1"/>
  <c r="AE10068" i="1"/>
  <c r="AF10058" i="1"/>
  <c r="AG10058" i="1"/>
  <c r="V10044" i="1"/>
  <c r="AH10044" i="1" s="1"/>
  <c r="V10061" i="1"/>
  <c r="V10063" i="1" s="1"/>
  <c r="V10064" i="1" s="1"/>
  <c r="V10065" i="1" s="1"/>
  <c r="V10066" i="1" s="1"/>
  <c r="AE10058" i="1"/>
  <c r="AH10058" i="1"/>
  <c r="AA10047" i="1"/>
  <c r="AA10048" i="1" s="1"/>
  <c r="AA10057" i="1"/>
  <c r="AA10035" i="1"/>
  <c r="AA10030" i="1"/>
  <c r="V10028" i="1"/>
  <c r="V10029" i="1" s="1"/>
  <c r="V10026" i="1"/>
  <c r="V10027" i="1" s="1"/>
  <c r="V10033" i="1"/>
  <c r="AE10025" i="1"/>
  <c r="AF10025" i="1"/>
  <c r="AG10025" i="1"/>
  <c r="AA10024" i="1"/>
  <c r="AA9999" i="1"/>
  <c r="AG10003" i="1"/>
  <c r="AH9993" i="1"/>
  <c r="V9994" i="1"/>
  <c r="V9995" i="1" s="1"/>
  <c r="V9996" i="1" s="1"/>
  <c r="V9997" i="1" s="1"/>
  <c r="V9998" i="1" s="1"/>
  <c r="V9999" i="1" s="1"/>
  <c r="V9989" i="1"/>
  <c r="AF10003" i="1"/>
  <c r="AE9993" i="1"/>
  <c r="AH10003" i="1"/>
  <c r="V10004" i="1"/>
  <c r="V10005" i="1" s="1"/>
  <c r="V10006" i="1" s="1"/>
  <c r="AH9988" i="1"/>
  <c r="AH9987" i="1" s="1"/>
  <c r="V10001" i="1"/>
  <c r="V10002" i="1" s="1"/>
  <c r="AF9993" i="1"/>
  <c r="AG9991" i="1"/>
  <c r="AF9991" i="1"/>
  <c r="AH9991" i="1"/>
  <c r="AE10000" i="1"/>
  <c r="AF10000" i="1"/>
  <c r="AE9991" i="1"/>
  <c r="AG10000" i="1"/>
  <c r="AE9985" i="1"/>
  <c r="AF9985" i="1"/>
  <c r="AF9984" i="1" s="1"/>
  <c r="AG9985" i="1"/>
  <c r="AG9984" i="1" s="1"/>
  <c r="AH9985" i="1"/>
  <c r="AH9984" i="1" s="1"/>
  <c r="AF9988" i="1"/>
  <c r="AF9987" i="1" s="1"/>
  <c r="AE9988" i="1"/>
  <c r="V9967" i="1"/>
  <c r="AA9969" i="1"/>
  <c r="AA9970" i="1" s="1"/>
  <c r="AF9968" i="1"/>
  <c r="AH9977" i="1"/>
  <c r="V9978" i="1"/>
  <c r="V9979" i="1" s="1"/>
  <c r="V9980" i="1" s="1"/>
  <c r="V9981" i="1" s="1"/>
  <c r="V9982" i="1" s="1"/>
  <c r="V9983" i="1" s="1"/>
  <c r="AH9958" i="1"/>
  <c r="AG9968" i="1"/>
  <c r="V9975" i="1"/>
  <c r="V9976" i="1" s="1"/>
  <c r="V9959" i="1"/>
  <c r="V9960" i="1" s="1"/>
  <c r="V9961" i="1" s="1"/>
  <c r="V9962" i="1" s="1"/>
  <c r="V9963" i="1" s="1"/>
  <c r="V9964" i="1" s="1"/>
  <c r="AE9966" i="1"/>
  <c r="AH9968" i="1"/>
  <c r="AF9966" i="1"/>
  <c r="V9969" i="1"/>
  <c r="V9970" i="1" s="1"/>
  <c r="V9971" i="1" s="1"/>
  <c r="V9972" i="1" s="1"/>
  <c r="V9973" i="1" s="1"/>
  <c r="AG9966" i="1"/>
  <c r="AA9954" i="1"/>
  <c r="AA9951" i="1"/>
  <c r="AE9949" i="1"/>
  <c r="AF9949" i="1"/>
  <c r="AH9949" i="1"/>
  <c r="AE9940" i="1"/>
  <c r="AH9974" i="1"/>
  <c r="AF9977" i="1"/>
  <c r="AG9949" i="1"/>
  <c r="AF9940" i="1"/>
  <c r="AE9974" i="1"/>
  <c r="AG9940" i="1"/>
  <c r="AF9974" i="1"/>
  <c r="AH9940" i="1"/>
  <c r="AE9977" i="1"/>
  <c r="AG9958" i="1"/>
  <c r="AF9927" i="1"/>
  <c r="AF9926" i="1" s="1"/>
  <c r="AG9927" i="1"/>
  <c r="AG9926" i="1" s="1"/>
  <c r="AH9927" i="1"/>
  <c r="AH9926" i="1" s="1"/>
  <c r="V9928" i="1"/>
  <c r="V9929" i="1" s="1"/>
  <c r="V9930" i="1" s="1"/>
  <c r="V9931" i="1" s="1"/>
  <c r="AH9955" i="1"/>
  <c r="AG9955" i="1"/>
  <c r="AF9955" i="1"/>
  <c r="AE9955" i="1"/>
  <c r="V9956" i="1"/>
  <c r="V9957" i="1" s="1"/>
  <c r="AE9958" i="1"/>
  <c r="AE9926" i="1"/>
  <c r="AF9918" i="1"/>
  <c r="AF9917" i="1" s="1"/>
  <c r="AH9918" i="1"/>
  <c r="AH9917" i="1" s="1"/>
  <c r="AG9918" i="1"/>
  <c r="AG9917" i="1" s="1"/>
  <c r="V9919" i="1"/>
  <c r="V9920" i="1" s="1"/>
  <c r="V9921" i="1" s="1"/>
  <c r="V9922" i="1" s="1"/>
  <c r="V9923" i="1" s="1"/>
  <c r="V9924" i="1" s="1"/>
  <c r="V9925" i="1" s="1"/>
  <c r="AE9917" i="1"/>
  <c r="AA9922" i="1"/>
  <c r="AA9924" i="1"/>
  <c r="AA10165" i="1" l="1"/>
  <c r="AG10179" i="1"/>
  <c r="AE10179" i="1"/>
  <c r="AF10153" i="1"/>
  <c r="AE10153" i="1"/>
  <c r="V10045" i="1"/>
  <c r="V10046" i="1" s="1"/>
  <c r="V10047" i="1" s="1"/>
  <c r="V10048" i="1" s="1"/>
  <c r="AI10147" i="1"/>
  <c r="AE10146" i="1"/>
  <c r="AI10182" i="1"/>
  <c r="AF10179" i="1"/>
  <c r="AH10153" i="1"/>
  <c r="AI10163" i="1"/>
  <c r="AH10179" i="1"/>
  <c r="AG10153" i="1"/>
  <c r="AI10172" i="1"/>
  <c r="AF10061" i="1"/>
  <c r="AI10188" i="1"/>
  <c r="AI10154" i="1"/>
  <c r="AI10169" i="1"/>
  <c r="AI10180" i="1"/>
  <c r="AI10191" i="1"/>
  <c r="AE10044" i="1"/>
  <c r="AI10068" i="1"/>
  <c r="AE10067" i="1"/>
  <c r="AE10061" i="1"/>
  <c r="AG10044" i="1"/>
  <c r="AH10061" i="1"/>
  <c r="AF10044" i="1"/>
  <c r="AG10061" i="1"/>
  <c r="AI10058" i="1"/>
  <c r="AG10033" i="1"/>
  <c r="AF10033" i="1"/>
  <c r="V10034" i="1"/>
  <c r="AH10033" i="1"/>
  <c r="AE10033" i="1"/>
  <c r="AA9973" i="1"/>
  <c r="V10030" i="1"/>
  <c r="V10031" i="1" s="1"/>
  <c r="V10032" i="1" s="1"/>
  <c r="AE10028" i="1"/>
  <c r="AH10028" i="1"/>
  <c r="AG10028" i="1"/>
  <c r="AF10028" i="1"/>
  <c r="AI10025" i="1"/>
  <c r="V10007" i="1"/>
  <c r="V10008" i="1" s="1"/>
  <c r="V10009" i="1" s="1"/>
  <c r="V10016" i="1"/>
  <c r="AI10003" i="1"/>
  <c r="AI9993" i="1"/>
  <c r="AE9990" i="1"/>
  <c r="AH9990" i="1"/>
  <c r="AF9990" i="1"/>
  <c r="AG9990" i="1"/>
  <c r="AI9991" i="1"/>
  <c r="AI10000" i="1"/>
  <c r="AI9988" i="1"/>
  <c r="AE9987" i="1"/>
  <c r="AI9985" i="1"/>
  <c r="AE9984" i="1"/>
  <c r="AH9965" i="1"/>
  <c r="AI9968" i="1"/>
  <c r="AI9966" i="1"/>
  <c r="AE9965" i="1"/>
  <c r="AF9965" i="1"/>
  <c r="AG9965" i="1"/>
  <c r="AI9977" i="1"/>
  <c r="AI9958" i="1"/>
  <c r="AI9949" i="1"/>
  <c r="AI9955" i="1"/>
  <c r="AG9939" i="1"/>
  <c r="AI9940" i="1"/>
  <c r="AE9939" i="1"/>
  <c r="V9933" i="1"/>
  <c r="AG9933" i="1" s="1"/>
  <c r="AG9932" i="1" s="1"/>
  <c r="AI9927" i="1"/>
  <c r="AH9939" i="1"/>
  <c r="AI9974" i="1"/>
  <c r="AF9939" i="1"/>
  <c r="AA9938" i="1"/>
  <c r="AI9918" i="1"/>
  <c r="AI10061" i="1" l="1"/>
  <c r="AI10044" i="1"/>
  <c r="AI10033" i="1"/>
  <c r="V10035" i="1"/>
  <c r="V10036" i="1" s="1"/>
  <c r="V10037" i="1" s="1"/>
  <c r="V10049" i="1"/>
  <c r="AI10028" i="1"/>
  <c r="AH10016" i="1"/>
  <c r="AG10016" i="1"/>
  <c r="AF10016" i="1"/>
  <c r="AE10016" i="1"/>
  <c r="V10017" i="1"/>
  <c r="V10018" i="1" s="1"/>
  <c r="AE9933" i="1"/>
  <c r="AE9932" i="1" s="1"/>
  <c r="AH9933" i="1"/>
  <c r="AH9932" i="1" s="1"/>
  <c r="AF9933" i="1"/>
  <c r="AF9932" i="1" s="1"/>
  <c r="V9934" i="1"/>
  <c r="V9935" i="1" s="1"/>
  <c r="V9936" i="1" s="1"/>
  <c r="V9937" i="1" s="1"/>
  <c r="V9938" i="1" s="1"/>
  <c r="AH10049" i="1" l="1"/>
  <c r="AF10049" i="1"/>
  <c r="AE10049" i="1"/>
  <c r="AG10049" i="1"/>
  <c r="V10050" i="1"/>
  <c r="V10051" i="1" s="1"/>
  <c r="AI10016" i="1"/>
  <c r="AI9933" i="1"/>
  <c r="AI10049" i="1" l="1"/>
  <c r="O9916" i="1" l="1"/>
  <c r="J9916" i="1"/>
  <c r="K9916" i="1" s="1"/>
  <c r="G9916" i="1"/>
  <c r="AA9684" i="1"/>
  <c r="AA9687" i="1" s="1"/>
  <c r="AA9618" i="1"/>
  <c r="AA9619" i="1" s="1"/>
  <c r="AA9893" i="1"/>
  <c r="AA9894" i="1" s="1"/>
  <c r="AA9912" i="1"/>
  <c r="AA9913" i="1" s="1"/>
  <c r="AA9910" i="1"/>
  <c r="AA9911" i="1" s="1"/>
  <c r="AA9908" i="1"/>
  <c r="AA9909" i="1" s="1"/>
  <c r="AA9907" i="1"/>
  <c r="AA9904" i="1"/>
  <c r="AA9905" i="1" s="1"/>
  <c r="AA9892" i="1"/>
  <c r="AA9895" i="1" s="1"/>
  <c r="AA9889" i="1"/>
  <c r="AA9890" i="1" s="1"/>
  <c r="AA9887" i="1"/>
  <c r="AA9888" i="1" s="1"/>
  <c r="AA9915" i="1"/>
  <c r="Z9915" i="1"/>
  <c r="Z9914" i="1"/>
  <c r="Z9913" i="1"/>
  <c r="Z9912" i="1"/>
  <c r="Z9911" i="1"/>
  <c r="Z9910" i="1"/>
  <c r="Z9909" i="1"/>
  <c r="Z9908" i="1"/>
  <c r="Z9907" i="1"/>
  <c r="Z9905" i="1"/>
  <c r="Z9904" i="1"/>
  <c r="Z9902" i="1"/>
  <c r="AA9901" i="1"/>
  <c r="AA9902" i="1" s="1"/>
  <c r="Z9901" i="1"/>
  <c r="Z9900" i="1"/>
  <c r="AA9899" i="1"/>
  <c r="Z9899" i="1"/>
  <c r="Z9898" i="1"/>
  <c r="Z9897" i="1"/>
  <c r="Z9896" i="1"/>
  <c r="Z9895" i="1"/>
  <c r="Z9894" i="1"/>
  <c r="Z9893" i="1"/>
  <c r="Z9892" i="1"/>
  <c r="Z9890" i="1"/>
  <c r="Z9889" i="1"/>
  <c r="Z9888" i="1"/>
  <c r="Z9887" i="1"/>
  <c r="Z9884" i="1"/>
  <c r="AA9880" i="1"/>
  <c r="AA9881" i="1" s="1"/>
  <c r="AA9878" i="1"/>
  <c r="AA9879" i="1" s="1"/>
  <c r="AA9876" i="1"/>
  <c r="AA9877" i="1" s="1"/>
  <c r="AA9875" i="1"/>
  <c r="Z9881" i="1"/>
  <c r="Z9880" i="1"/>
  <c r="Z9879" i="1"/>
  <c r="Z9878" i="1"/>
  <c r="Z9877" i="1"/>
  <c r="Z9876" i="1"/>
  <c r="Z9875" i="1"/>
  <c r="Z9872" i="1"/>
  <c r="Z9871" i="1"/>
  <c r="Z9870" i="1"/>
  <c r="Z9869" i="1"/>
  <c r="Z9868" i="1"/>
  <c r="Z9865" i="1"/>
  <c r="Z9864" i="1"/>
  <c r="Z9863" i="1"/>
  <c r="Z9862" i="1"/>
  <c r="Z9861" i="1"/>
  <c r="AA9746" i="1"/>
  <c r="AA9747" i="1" s="1"/>
  <c r="AA9744" i="1"/>
  <c r="AA9745" i="1" s="1"/>
  <c r="AA9742" i="1"/>
  <c r="AA9743" i="1" s="1"/>
  <c r="AA9741" i="1"/>
  <c r="Z9747" i="1"/>
  <c r="Z9746" i="1"/>
  <c r="Z9745" i="1"/>
  <c r="Z9744" i="1"/>
  <c r="Z9743" i="1"/>
  <c r="Z9742" i="1"/>
  <c r="Z9741" i="1"/>
  <c r="AA9736" i="1"/>
  <c r="AA9737" i="1" s="1"/>
  <c r="AA9734" i="1"/>
  <c r="AA9735" i="1" s="1"/>
  <c r="AA9732" i="1"/>
  <c r="AA9733" i="1" s="1"/>
  <c r="AA9731" i="1"/>
  <c r="Z9737" i="1"/>
  <c r="Z9736" i="1"/>
  <c r="Z9735" i="1"/>
  <c r="Z9734" i="1"/>
  <c r="Z9733" i="1"/>
  <c r="Z9732" i="1"/>
  <c r="Z9731" i="1"/>
  <c r="Z9727" i="1"/>
  <c r="AA9726" i="1"/>
  <c r="AA9727" i="1" s="1"/>
  <c r="Z9726" i="1"/>
  <c r="Z9725" i="1"/>
  <c r="AA9724" i="1"/>
  <c r="AA9725" i="1" s="1"/>
  <c r="Z9724" i="1"/>
  <c r="Z9723" i="1"/>
  <c r="AA9722" i="1"/>
  <c r="AA9723" i="1" s="1"/>
  <c r="Z9722" i="1"/>
  <c r="AA9721" i="1"/>
  <c r="Z9721" i="1"/>
  <c r="AA9717" i="1"/>
  <c r="AA9718" i="1" s="1"/>
  <c r="AA9715" i="1"/>
  <c r="AA9716" i="1" s="1"/>
  <c r="AA9713" i="1"/>
  <c r="AA9714" i="1" s="1"/>
  <c r="AA9712" i="1"/>
  <c r="Z9718" i="1"/>
  <c r="Z9717" i="1"/>
  <c r="Z9716" i="1"/>
  <c r="Z9715" i="1"/>
  <c r="Z9714" i="1"/>
  <c r="Z9713" i="1"/>
  <c r="Z9712" i="1"/>
  <c r="AA9690" i="1"/>
  <c r="AA9703" i="1"/>
  <c r="AA9704" i="1" s="1"/>
  <c r="AA9701" i="1"/>
  <c r="AA9702" i="1" s="1"/>
  <c r="AA9699" i="1"/>
  <c r="AA9700" i="1" s="1"/>
  <c r="AA9698" i="1"/>
  <c r="AA9695" i="1"/>
  <c r="AA9696" i="1" s="1"/>
  <c r="AA9683" i="1"/>
  <c r="AA9686" i="1" s="1"/>
  <c r="AA9680" i="1"/>
  <c r="AA9681" i="1" s="1"/>
  <c r="AA9678" i="1"/>
  <c r="AA9679" i="1" s="1"/>
  <c r="AA9706" i="1"/>
  <c r="Z9706" i="1"/>
  <c r="Z9705" i="1"/>
  <c r="Z9704" i="1"/>
  <c r="Z9703" i="1"/>
  <c r="Z9702" i="1"/>
  <c r="Z9701" i="1"/>
  <c r="Z9700" i="1"/>
  <c r="Z9699" i="1"/>
  <c r="Z9698" i="1"/>
  <c r="Z9696" i="1"/>
  <c r="Z9695" i="1"/>
  <c r="Z9693" i="1"/>
  <c r="AA9692" i="1"/>
  <c r="AA9693" i="1" s="1"/>
  <c r="Z9692" i="1"/>
  <c r="Z9691" i="1"/>
  <c r="Z9690" i="1"/>
  <c r="Z9689" i="1"/>
  <c r="Z9688" i="1"/>
  <c r="Z9687" i="1"/>
  <c r="Z9686" i="1"/>
  <c r="Z9685" i="1"/>
  <c r="Z9684" i="1"/>
  <c r="Z9683" i="1"/>
  <c r="Z9681" i="1"/>
  <c r="Z9680" i="1"/>
  <c r="Z9679" i="1"/>
  <c r="Z9678" i="1"/>
  <c r="AA9670" i="1"/>
  <c r="AA9671" i="1" s="1"/>
  <c r="AA9668" i="1"/>
  <c r="AA9669" i="1" s="1"/>
  <c r="AA9666" i="1"/>
  <c r="AA9667" i="1" s="1"/>
  <c r="AA9665" i="1"/>
  <c r="AA9647" i="1"/>
  <c r="AA9648" i="1" s="1"/>
  <c r="AA9645" i="1"/>
  <c r="AA9646" i="1" s="1"/>
  <c r="AA9650" i="1"/>
  <c r="AA9653" i="1" s="1"/>
  <c r="Z9653" i="1"/>
  <c r="Z9650" i="1"/>
  <c r="AA9662" i="1"/>
  <c r="AA9663" i="1" s="1"/>
  <c r="AA9651" i="1"/>
  <c r="AA9654" i="1" s="1"/>
  <c r="AA9673" i="1"/>
  <c r="Z9673" i="1"/>
  <c r="Z9672" i="1"/>
  <c r="Z9671" i="1"/>
  <c r="Z9670" i="1"/>
  <c r="Z9669" i="1"/>
  <c r="Z9668" i="1"/>
  <c r="Z9667" i="1"/>
  <c r="Z9666" i="1"/>
  <c r="Z9665" i="1"/>
  <c r="Z9663" i="1"/>
  <c r="Z9662" i="1"/>
  <c r="Z9660" i="1"/>
  <c r="AA9659" i="1"/>
  <c r="AA9660" i="1" s="1"/>
  <c r="Z9659" i="1"/>
  <c r="Z9658" i="1"/>
  <c r="AA9657" i="1"/>
  <c r="Z9657" i="1"/>
  <c r="Z9656" i="1"/>
  <c r="Z9655" i="1"/>
  <c r="Z9654" i="1"/>
  <c r="Z9652" i="1"/>
  <c r="Z9651" i="1"/>
  <c r="Z9648" i="1"/>
  <c r="Z9647" i="1"/>
  <c r="Z9646" i="1"/>
  <c r="Z9645" i="1"/>
  <c r="AA9637" i="1"/>
  <c r="AA9638" i="1" s="1"/>
  <c r="AA9635" i="1"/>
  <c r="AA9636" i="1" s="1"/>
  <c r="AA9633" i="1"/>
  <c r="AA9634" i="1" s="1"/>
  <c r="AA9632" i="1"/>
  <c r="AA9629" i="1"/>
  <c r="AA9630" i="1" s="1"/>
  <c r="AA9617" i="1"/>
  <c r="AA9620" i="1" s="1"/>
  <c r="AA9614" i="1"/>
  <c r="AA9615" i="1" s="1"/>
  <c r="AA9612" i="1"/>
  <c r="AA9613" i="1" s="1"/>
  <c r="Z9620" i="1"/>
  <c r="Z9618" i="1"/>
  <c r="AA9640" i="1"/>
  <c r="Z9640" i="1"/>
  <c r="Z9639" i="1"/>
  <c r="Z9638" i="1"/>
  <c r="Z9637" i="1"/>
  <c r="Z9636" i="1"/>
  <c r="Z9635" i="1"/>
  <c r="Z9634" i="1"/>
  <c r="Z9633" i="1"/>
  <c r="Z9632" i="1"/>
  <c r="Z9630" i="1"/>
  <c r="Z9629" i="1"/>
  <c r="Z9627" i="1"/>
  <c r="AA9626" i="1"/>
  <c r="AA9627" i="1" s="1"/>
  <c r="Z9626" i="1"/>
  <c r="Z9625" i="1"/>
  <c r="AA9624" i="1"/>
  <c r="Z9624" i="1"/>
  <c r="Z9623" i="1"/>
  <c r="Z9622" i="1"/>
  <c r="Z9621" i="1"/>
  <c r="Z9619" i="1"/>
  <c r="Z9617" i="1"/>
  <c r="Z9615" i="1"/>
  <c r="Z9614" i="1"/>
  <c r="Z9613" i="1"/>
  <c r="Z9612" i="1"/>
  <c r="AA9609" i="1"/>
  <c r="Z9609" i="1"/>
  <c r="Z9608" i="1"/>
  <c r="Z9607" i="1"/>
  <c r="AA9606" i="1"/>
  <c r="AA9607" i="1" s="1"/>
  <c r="Z9606" i="1"/>
  <c r="Z9605" i="1"/>
  <c r="AA9604" i="1"/>
  <c r="AA9605" i="1" s="1"/>
  <c r="Z9604" i="1"/>
  <c r="Z9603" i="1"/>
  <c r="AA9602" i="1"/>
  <c r="AA9603" i="1" s="1"/>
  <c r="Z9602" i="1"/>
  <c r="AA9601" i="1"/>
  <c r="Z9601" i="1"/>
  <c r="Z9599" i="1"/>
  <c r="AA9598" i="1"/>
  <c r="AA9599" i="1" s="1"/>
  <c r="Z9598" i="1"/>
  <c r="Z9596" i="1"/>
  <c r="AA9595" i="1"/>
  <c r="AA9596" i="1" s="1"/>
  <c r="Z9595" i="1"/>
  <c r="Z9594" i="1"/>
  <c r="AA9593" i="1"/>
  <c r="Z9593" i="1"/>
  <c r="Z9592" i="1"/>
  <c r="Z9591" i="1"/>
  <c r="Z9590" i="1"/>
  <c r="Z9589" i="1"/>
  <c r="AA9588" i="1"/>
  <c r="AA9590" i="1" s="1"/>
  <c r="Z9588" i="1"/>
  <c r="Z9586" i="1"/>
  <c r="AA9585" i="1"/>
  <c r="AA9586" i="1" s="1"/>
  <c r="Z9585" i="1"/>
  <c r="Z9584" i="1"/>
  <c r="AA9583" i="1"/>
  <c r="AA9584" i="1" s="1"/>
  <c r="Z9583" i="1"/>
  <c r="AA9574" i="1"/>
  <c r="AA9575" i="1" s="1"/>
  <c r="AA9572" i="1"/>
  <c r="AA9573" i="1" s="1"/>
  <c r="AA9570" i="1"/>
  <c r="AA9571" i="1" s="1"/>
  <c r="AA9569" i="1"/>
  <c r="AA9566" i="1"/>
  <c r="AA9567" i="1" s="1"/>
  <c r="AA9556" i="1"/>
  <c r="AA9558" i="1" s="1"/>
  <c r="AA9553" i="1"/>
  <c r="AA9554" i="1" s="1"/>
  <c r="AA9551" i="1"/>
  <c r="AA9552" i="1" s="1"/>
  <c r="AA9577" i="1"/>
  <c r="Z9577" i="1"/>
  <c r="Z9576" i="1"/>
  <c r="Z9575" i="1"/>
  <c r="Z9574" i="1"/>
  <c r="Z9573" i="1"/>
  <c r="Z9572" i="1"/>
  <c r="Z9571" i="1"/>
  <c r="Z9570" i="1"/>
  <c r="Z9569" i="1"/>
  <c r="Z9567" i="1"/>
  <c r="Z9566" i="1"/>
  <c r="Z9564" i="1"/>
  <c r="AA9563" i="1"/>
  <c r="AA9564" i="1" s="1"/>
  <c r="Z9563" i="1"/>
  <c r="Z9562" i="1"/>
  <c r="AA9561" i="1"/>
  <c r="Z9561" i="1"/>
  <c r="Z9560" i="1"/>
  <c r="Z9559" i="1"/>
  <c r="Z9558" i="1"/>
  <c r="Z9557" i="1"/>
  <c r="Z9556" i="1"/>
  <c r="Z9554" i="1"/>
  <c r="Z9553" i="1"/>
  <c r="Z9552" i="1"/>
  <c r="Z9551" i="1"/>
  <c r="AA9545" i="1"/>
  <c r="AA9546" i="1" s="1"/>
  <c r="AA9543" i="1"/>
  <c r="AA9544" i="1" s="1"/>
  <c r="AA9541" i="1"/>
  <c r="AA9542" i="1" s="1"/>
  <c r="AA9540" i="1"/>
  <c r="AA9537" i="1"/>
  <c r="AA9538" i="1" s="1"/>
  <c r="AA9527" i="1"/>
  <c r="AA9529" i="1" s="1"/>
  <c r="AA9524" i="1"/>
  <c r="AA9525" i="1" s="1"/>
  <c r="AA9522" i="1"/>
  <c r="AA9523" i="1" s="1"/>
  <c r="AA9548" i="1"/>
  <c r="Z9548" i="1"/>
  <c r="Z9547" i="1"/>
  <c r="Z9546" i="1"/>
  <c r="Z9545" i="1"/>
  <c r="Z9544" i="1"/>
  <c r="Z9543" i="1"/>
  <c r="Z9542" i="1"/>
  <c r="Z9541" i="1"/>
  <c r="Z9540" i="1"/>
  <c r="Z9538" i="1"/>
  <c r="Z9537" i="1"/>
  <c r="Z9535" i="1"/>
  <c r="AA9534" i="1"/>
  <c r="AA9535" i="1" s="1"/>
  <c r="Z9534" i="1"/>
  <c r="Z9533" i="1"/>
  <c r="AA9532" i="1"/>
  <c r="Z9532" i="1"/>
  <c r="Z9531" i="1"/>
  <c r="Z9530" i="1"/>
  <c r="Z9529" i="1"/>
  <c r="Z9528" i="1"/>
  <c r="Z9527" i="1"/>
  <c r="Z9525" i="1"/>
  <c r="Z9524" i="1"/>
  <c r="Z9523" i="1"/>
  <c r="Z9522" i="1"/>
  <c r="AA9516" i="1"/>
  <c r="AA9517" i="1" s="1"/>
  <c r="AA9514" i="1"/>
  <c r="AA9515" i="1" s="1"/>
  <c r="AA9512" i="1"/>
  <c r="AA9513" i="1" s="1"/>
  <c r="AA9511" i="1"/>
  <c r="AA9508" i="1"/>
  <c r="AA9509" i="1" s="1"/>
  <c r="AA9498" i="1"/>
  <c r="AA9500" i="1" s="1"/>
  <c r="AA9495" i="1"/>
  <c r="AA9496" i="1" s="1"/>
  <c r="AA9493" i="1"/>
  <c r="AA9494" i="1" s="1"/>
  <c r="AA9519" i="1"/>
  <c r="Z9519" i="1"/>
  <c r="Z9518" i="1"/>
  <c r="Z9517" i="1"/>
  <c r="Z9516" i="1"/>
  <c r="Z9515" i="1"/>
  <c r="Z9514" i="1"/>
  <c r="Z9513" i="1"/>
  <c r="Z9512" i="1"/>
  <c r="Z9511" i="1"/>
  <c r="Z9509" i="1"/>
  <c r="Z9508" i="1"/>
  <c r="Z9506" i="1"/>
  <c r="AA9505" i="1"/>
  <c r="AA9506" i="1" s="1"/>
  <c r="Z9505" i="1"/>
  <c r="Z9504" i="1"/>
  <c r="AA9503" i="1"/>
  <c r="Z9503" i="1"/>
  <c r="Z9502" i="1"/>
  <c r="Z9501" i="1"/>
  <c r="Z9500" i="1"/>
  <c r="Z9499" i="1"/>
  <c r="Z9498" i="1"/>
  <c r="Z9496" i="1"/>
  <c r="Z9495" i="1"/>
  <c r="Z9494" i="1"/>
  <c r="Z9493" i="1"/>
  <c r="AA9487" i="1"/>
  <c r="AA9488" i="1" s="1"/>
  <c r="AA9485" i="1"/>
  <c r="AA9486" i="1" s="1"/>
  <c r="AA9483" i="1"/>
  <c r="AA9484" i="1" s="1"/>
  <c r="AA9482" i="1"/>
  <c r="AA9479" i="1"/>
  <c r="AA9480" i="1" s="1"/>
  <c r="AA9469" i="1"/>
  <c r="AA9470" i="1" s="1"/>
  <c r="AA9466" i="1"/>
  <c r="AA9467" i="1" s="1"/>
  <c r="AA9464" i="1"/>
  <c r="AA9465" i="1" s="1"/>
  <c r="AA9490" i="1"/>
  <c r="Z9490" i="1"/>
  <c r="Z9489" i="1"/>
  <c r="Z9488" i="1"/>
  <c r="Z9487" i="1"/>
  <c r="Z9486" i="1"/>
  <c r="Z9485" i="1"/>
  <c r="Z9484" i="1"/>
  <c r="Z9483" i="1"/>
  <c r="Z9482" i="1"/>
  <c r="Z9480" i="1"/>
  <c r="Z9479" i="1"/>
  <c r="Z9477" i="1"/>
  <c r="AA9476" i="1"/>
  <c r="AA9477" i="1" s="1"/>
  <c r="Z9476" i="1"/>
  <c r="Z9475" i="1"/>
  <c r="AA9474" i="1"/>
  <c r="Z9474" i="1"/>
  <c r="Z9473" i="1"/>
  <c r="Z9472" i="1"/>
  <c r="Z9471" i="1"/>
  <c r="Z9470" i="1"/>
  <c r="Z9469" i="1"/>
  <c r="Z9467" i="1"/>
  <c r="Z9466" i="1"/>
  <c r="Z9465" i="1"/>
  <c r="Z9464" i="1"/>
  <c r="AA9458" i="1"/>
  <c r="AA9459" i="1" s="1"/>
  <c r="AA9456" i="1"/>
  <c r="AA9457" i="1" s="1"/>
  <c r="AA9454" i="1"/>
  <c r="AA9455" i="1" s="1"/>
  <c r="AA9453" i="1"/>
  <c r="AA9450" i="1"/>
  <c r="AA9451" i="1" s="1"/>
  <c r="AA9440" i="1"/>
  <c r="AA9442" i="1" s="1"/>
  <c r="AA9437" i="1"/>
  <c r="AA9438" i="1" s="1"/>
  <c r="AA9435" i="1"/>
  <c r="AA9436" i="1" s="1"/>
  <c r="AA9461" i="1"/>
  <c r="Z9461" i="1"/>
  <c r="Z9460" i="1"/>
  <c r="Z9459" i="1"/>
  <c r="Z9458" i="1"/>
  <c r="Z9457" i="1"/>
  <c r="Z9456" i="1"/>
  <c r="Z9455" i="1"/>
  <c r="Z9454" i="1"/>
  <c r="Z9453" i="1"/>
  <c r="Z9451" i="1"/>
  <c r="Z9450" i="1"/>
  <c r="Z9448" i="1"/>
  <c r="AA9447" i="1"/>
  <c r="AA9448" i="1" s="1"/>
  <c r="Z9447" i="1"/>
  <c r="Z9446" i="1"/>
  <c r="AA9445" i="1"/>
  <c r="Z9445" i="1"/>
  <c r="Z9444" i="1"/>
  <c r="Z9443" i="1"/>
  <c r="Z9442" i="1"/>
  <c r="Z9441" i="1"/>
  <c r="Z9440" i="1"/>
  <c r="Z9438" i="1"/>
  <c r="Z9437" i="1"/>
  <c r="Z9436" i="1"/>
  <c r="Z9435" i="1"/>
  <c r="AA9429" i="1"/>
  <c r="AA9430" i="1" s="1"/>
  <c r="AA9427" i="1"/>
  <c r="AA9428" i="1" s="1"/>
  <c r="AA9425" i="1"/>
  <c r="AA9426" i="1" s="1"/>
  <c r="AA9424" i="1"/>
  <c r="AA9421" i="1"/>
  <c r="AA9422" i="1" s="1"/>
  <c r="AA9411" i="1"/>
  <c r="AA9408" i="1"/>
  <c r="AA9409" i="1" s="1"/>
  <c r="AA9406" i="1"/>
  <c r="AA9407" i="1" s="1"/>
  <c r="AA9432" i="1"/>
  <c r="Z9432" i="1"/>
  <c r="Z9431" i="1"/>
  <c r="Z9430" i="1"/>
  <c r="Z9429" i="1"/>
  <c r="Z9428" i="1"/>
  <c r="Z9427" i="1"/>
  <c r="Z9426" i="1"/>
  <c r="Z9425" i="1"/>
  <c r="Z9424" i="1"/>
  <c r="Z9422" i="1"/>
  <c r="Z9421" i="1"/>
  <c r="Z9419" i="1"/>
  <c r="AA9418" i="1"/>
  <c r="AA9419" i="1" s="1"/>
  <c r="Z9418" i="1"/>
  <c r="Z9417" i="1"/>
  <c r="AA9416" i="1"/>
  <c r="Z9416" i="1"/>
  <c r="Z9415" i="1"/>
  <c r="Z9414" i="1"/>
  <c r="Z9413" i="1"/>
  <c r="Z9412" i="1"/>
  <c r="Z9411" i="1"/>
  <c r="Z9409" i="1"/>
  <c r="Z9408" i="1"/>
  <c r="Z9407" i="1"/>
  <c r="Z9406" i="1"/>
  <c r="AA9399" i="1"/>
  <c r="AA9400" i="1" s="1"/>
  <c r="AA9397" i="1"/>
  <c r="AA9398" i="1" s="1"/>
  <c r="AA9395" i="1"/>
  <c r="AA9396" i="1" s="1"/>
  <c r="AA9394" i="1"/>
  <c r="AA9391" i="1"/>
  <c r="AA9392" i="1" s="1"/>
  <c r="AA9381" i="1"/>
  <c r="AA9383" i="1" s="1"/>
  <c r="AA9378" i="1"/>
  <c r="AA9379" i="1" s="1"/>
  <c r="AA9376" i="1"/>
  <c r="AA9377" i="1" s="1"/>
  <c r="AA9370" i="1"/>
  <c r="AA9371" i="1" s="1"/>
  <c r="AA9368" i="1"/>
  <c r="AA9369" i="1" s="1"/>
  <c r="AA9366" i="1"/>
  <c r="AA9367" i="1" s="1"/>
  <c r="AA9365" i="1"/>
  <c r="AA9362" i="1"/>
  <c r="AA9363" i="1" s="1"/>
  <c r="AA9352" i="1"/>
  <c r="AA9354" i="1" s="1"/>
  <c r="AA9349" i="1"/>
  <c r="AA9350" i="1" s="1"/>
  <c r="AA9347" i="1"/>
  <c r="AA9348" i="1" s="1"/>
  <c r="AA9341" i="1"/>
  <c r="AA9342" i="1" s="1"/>
  <c r="AA9339" i="1"/>
  <c r="AA9340" i="1" s="1"/>
  <c r="AA9337" i="1"/>
  <c r="AA9338" i="1" s="1"/>
  <c r="AA9336" i="1"/>
  <c r="AA9333" i="1"/>
  <c r="AA9334" i="1" s="1"/>
  <c r="AA9323" i="1"/>
  <c r="AA9325" i="1" s="1"/>
  <c r="AA9320" i="1"/>
  <c r="AA9321" i="1" s="1"/>
  <c r="AA9318" i="1"/>
  <c r="AA9319" i="1" s="1"/>
  <c r="AA9312" i="1"/>
  <c r="AA9313" i="1" s="1"/>
  <c r="AA9310" i="1"/>
  <c r="AA9311" i="1" s="1"/>
  <c r="AA9308" i="1"/>
  <c r="AA9309" i="1" s="1"/>
  <c r="AA9307" i="1"/>
  <c r="AA9304" i="1"/>
  <c r="AA9305" i="1" s="1"/>
  <c r="AA9294" i="1"/>
  <c r="AA9296" i="1" s="1"/>
  <c r="AA9291" i="1"/>
  <c r="AA9292" i="1" s="1"/>
  <c r="AA9289" i="1"/>
  <c r="AA9290" i="1" s="1"/>
  <c r="AA9283" i="1"/>
  <c r="AA9284" i="1" s="1"/>
  <c r="AA9281" i="1"/>
  <c r="AA9282" i="1" s="1"/>
  <c r="AA9279" i="1"/>
  <c r="AA9280" i="1" s="1"/>
  <c r="AA9278" i="1"/>
  <c r="AA9275" i="1"/>
  <c r="AA9276" i="1" s="1"/>
  <c r="AA9265" i="1"/>
  <c r="AA9262" i="1"/>
  <c r="AA9263" i="1" s="1"/>
  <c r="AA9260" i="1"/>
  <c r="AA9261" i="1" s="1"/>
  <c r="AA9254" i="1"/>
  <c r="AA9255" i="1" s="1"/>
  <c r="AA9252" i="1"/>
  <c r="AA9253" i="1" s="1"/>
  <c r="AA9250" i="1"/>
  <c r="AA9251" i="1" s="1"/>
  <c r="AA9249" i="1"/>
  <c r="AA9246" i="1"/>
  <c r="AA9247" i="1" s="1"/>
  <c r="AA9236" i="1"/>
  <c r="AA9237" i="1" s="1"/>
  <c r="AA9233" i="1"/>
  <c r="AA9234" i="1" s="1"/>
  <c r="AA9231" i="1"/>
  <c r="AA9232" i="1" s="1"/>
  <c r="AA9402" i="1"/>
  <c r="Z9402" i="1"/>
  <c r="Z9401" i="1"/>
  <c r="Z9400" i="1"/>
  <c r="Z9399" i="1"/>
  <c r="Z9398" i="1"/>
  <c r="Z9397" i="1"/>
  <c r="Z9396" i="1"/>
  <c r="Z9395" i="1"/>
  <c r="Z9394" i="1"/>
  <c r="Z9392" i="1"/>
  <c r="Z9391" i="1"/>
  <c r="Z9389" i="1"/>
  <c r="AA9388" i="1"/>
  <c r="AA9389" i="1" s="1"/>
  <c r="Z9388" i="1"/>
  <c r="Z9387" i="1"/>
  <c r="AA9386" i="1"/>
  <c r="Z9386" i="1"/>
  <c r="Z9385" i="1"/>
  <c r="Z9384" i="1"/>
  <c r="Z9383" i="1"/>
  <c r="Z9382" i="1"/>
  <c r="Z9381" i="1"/>
  <c r="Z9379" i="1"/>
  <c r="Z9378" i="1"/>
  <c r="Z9377" i="1"/>
  <c r="Z9376" i="1"/>
  <c r="AA9373" i="1"/>
  <c r="Z9373" i="1"/>
  <c r="Z9372" i="1"/>
  <c r="Z9371" i="1"/>
  <c r="Z9370" i="1"/>
  <c r="Z9369" i="1"/>
  <c r="Z9368" i="1"/>
  <c r="Z9367" i="1"/>
  <c r="Z9366" i="1"/>
  <c r="Z9365" i="1"/>
  <c r="Z9363" i="1"/>
  <c r="Z9362" i="1"/>
  <c r="Z9360" i="1"/>
  <c r="AA9359" i="1"/>
  <c r="AA9360" i="1" s="1"/>
  <c r="Z9359" i="1"/>
  <c r="Z9358" i="1"/>
  <c r="AA9357" i="1"/>
  <c r="Z9357" i="1"/>
  <c r="Z9356" i="1"/>
  <c r="Z9355" i="1"/>
  <c r="Z9354" i="1"/>
  <c r="Z9353" i="1"/>
  <c r="Z9352" i="1"/>
  <c r="Z9350" i="1"/>
  <c r="Z9349" i="1"/>
  <c r="Z9348" i="1"/>
  <c r="Z9347" i="1"/>
  <c r="AA9344" i="1"/>
  <c r="Z9344" i="1"/>
  <c r="Z9343" i="1"/>
  <c r="Z9342" i="1"/>
  <c r="Z9341" i="1"/>
  <c r="Z9340" i="1"/>
  <c r="Z9339" i="1"/>
  <c r="Z9338" i="1"/>
  <c r="Z9337" i="1"/>
  <c r="Z9336" i="1"/>
  <c r="Z9334" i="1"/>
  <c r="Z9333" i="1"/>
  <c r="Z9331" i="1"/>
  <c r="AA9330" i="1"/>
  <c r="AA9331" i="1" s="1"/>
  <c r="Z9330" i="1"/>
  <c r="Z9329" i="1"/>
  <c r="AA9328" i="1"/>
  <c r="Z9328" i="1"/>
  <c r="Z9327" i="1"/>
  <c r="Z9326" i="1"/>
  <c r="Z9325" i="1"/>
  <c r="Z9324" i="1"/>
  <c r="Z9323" i="1"/>
  <c r="Z9321" i="1"/>
  <c r="Z9320" i="1"/>
  <c r="Z9319" i="1"/>
  <c r="Z9318" i="1"/>
  <c r="AA9315" i="1"/>
  <c r="Z9315" i="1"/>
  <c r="Z9314" i="1"/>
  <c r="Z9313" i="1"/>
  <c r="Z9312" i="1"/>
  <c r="Z9311" i="1"/>
  <c r="Z9310" i="1"/>
  <c r="Z9309" i="1"/>
  <c r="Z9308" i="1"/>
  <c r="Z9307" i="1"/>
  <c r="Z9305" i="1"/>
  <c r="Z9304" i="1"/>
  <c r="Z9302" i="1"/>
  <c r="AA9301" i="1"/>
  <c r="AA9302" i="1" s="1"/>
  <c r="Z9301" i="1"/>
  <c r="Z9300" i="1"/>
  <c r="AA9299" i="1"/>
  <c r="Z9299" i="1"/>
  <c r="Z9298" i="1"/>
  <c r="Z9297" i="1"/>
  <c r="Z9296" i="1"/>
  <c r="Z9295" i="1"/>
  <c r="Z9294" i="1"/>
  <c r="Z9292" i="1"/>
  <c r="Z9291" i="1"/>
  <c r="Z9290" i="1"/>
  <c r="Z9289" i="1"/>
  <c r="AA9286" i="1"/>
  <c r="Z9286" i="1"/>
  <c r="Z9285" i="1"/>
  <c r="Z9284" i="1"/>
  <c r="Z9283" i="1"/>
  <c r="Z9282" i="1"/>
  <c r="Z9281" i="1"/>
  <c r="Z9280" i="1"/>
  <c r="Z9279" i="1"/>
  <c r="Z9278" i="1"/>
  <c r="Z9276" i="1"/>
  <c r="Z9275" i="1"/>
  <c r="Z9273" i="1"/>
  <c r="AA9272" i="1"/>
  <c r="AA9273" i="1" s="1"/>
  <c r="Z9272" i="1"/>
  <c r="Z9271" i="1"/>
  <c r="AA9270" i="1"/>
  <c r="Z9270" i="1"/>
  <c r="Z9269" i="1"/>
  <c r="Z9268" i="1"/>
  <c r="Z9267" i="1"/>
  <c r="Z9266" i="1"/>
  <c r="Z9265" i="1"/>
  <c r="Z9263" i="1"/>
  <c r="Z9262" i="1"/>
  <c r="Z9261" i="1"/>
  <c r="Z9260" i="1"/>
  <c r="AA9257" i="1"/>
  <c r="Z9257" i="1"/>
  <c r="Z9256" i="1"/>
  <c r="Z9255" i="1"/>
  <c r="Z9254" i="1"/>
  <c r="Z9253" i="1"/>
  <c r="Z9252" i="1"/>
  <c r="Z9251" i="1"/>
  <c r="Z9250" i="1"/>
  <c r="Z9249" i="1"/>
  <c r="Z9247" i="1"/>
  <c r="Z9246" i="1"/>
  <c r="Z9244" i="1"/>
  <c r="AA9243" i="1"/>
  <c r="AA9244" i="1" s="1"/>
  <c r="Z9243" i="1"/>
  <c r="Z9242" i="1"/>
  <c r="AA9241" i="1"/>
  <c r="Z9241" i="1"/>
  <c r="Z9240" i="1"/>
  <c r="Z9239" i="1"/>
  <c r="Z9238" i="1"/>
  <c r="Z9237" i="1"/>
  <c r="Z9236" i="1"/>
  <c r="Z9234" i="1"/>
  <c r="Z9233" i="1"/>
  <c r="Z9232" i="1"/>
  <c r="Z9231" i="1"/>
  <c r="AA9225" i="1"/>
  <c r="AA9226" i="1" s="1"/>
  <c r="AA9223" i="1"/>
  <c r="AA9224" i="1" s="1"/>
  <c r="AA9221" i="1"/>
  <c r="AA9222" i="1" s="1"/>
  <c r="AA9220" i="1"/>
  <c r="AA9217" i="1"/>
  <c r="AA9218" i="1" s="1"/>
  <c r="AA9207" i="1"/>
  <c r="AA9209" i="1" s="1"/>
  <c r="AA9212" i="1"/>
  <c r="AA9204" i="1"/>
  <c r="AA9205" i="1" s="1"/>
  <c r="AA9202" i="1"/>
  <c r="AA9203" i="1" s="1"/>
  <c r="AA9228" i="1"/>
  <c r="Z9228" i="1"/>
  <c r="Z9227" i="1"/>
  <c r="Z9226" i="1"/>
  <c r="Z9225" i="1"/>
  <c r="Z9224" i="1"/>
  <c r="Z9223" i="1"/>
  <c r="Z9222" i="1"/>
  <c r="Z9221" i="1"/>
  <c r="Z9220" i="1"/>
  <c r="Z9218" i="1"/>
  <c r="Z9217" i="1"/>
  <c r="Z9215" i="1"/>
  <c r="AA9214" i="1"/>
  <c r="AA9215" i="1" s="1"/>
  <c r="Z9214" i="1"/>
  <c r="Z9213" i="1"/>
  <c r="Z9212" i="1"/>
  <c r="Z9211" i="1"/>
  <c r="Z9210" i="1"/>
  <c r="Z9209" i="1"/>
  <c r="Z9208" i="1"/>
  <c r="Z9207" i="1"/>
  <c r="Z9205" i="1"/>
  <c r="Z9204" i="1"/>
  <c r="Z9203" i="1"/>
  <c r="Z9202" i="1"/>
  <c r="P9916" i="1" l="1"/>
  <c r="M9916" i="1"/>
  <c r="AA9896" i="1"/>
  <c r="AA9685" i="1"/>
  <c r="AA9621" i="1"/>
  <c r="AA9652" i="1"/>
  <c r="AA9589" i="1"/>
  <c r="AA9557" i="1"/>
  <c r="AA9528" i="1"/>
  <c r="AA9499" i="1"/>
  <c r="AA9471" i="1"/>
  <c r="AA9441" i="1"/>
  <c r="AA9413" i="1"/>
  <c r="AA9412" i="1"/>
  <c r="AA9382" i="1"/>
  <c r="AA9353" i="1"/>
  <c r="AA9324" i="1"/>
  <c r="AA9295" i="1"/>
  <c r="AA9267" i="1"/>
  <c r="AA9266" i="1"/>
  <c r="AA9238" i="1"/>
  <c r="AA9208" i="1"/>
  <c r="N9916" i="1" l="1"/>
  <c r="H9916" i="1" l="1"/>
  <c r="I9916" i="1" s="1"/>
  <c r="Q9916" i="1"/>
  <c r="R9916" i="1" s="1"/>
  <c r="T9916" i="1" s="1"/>
  <c r="AA6945" i="1" l="1"/>
  <c r="Z6945" i="1"/>
  <c r="Z6944" i="1"/>
  <c r="AA6943" i="1"/>
  <c r="Z6943" i="1"/>
  <c r="Z6942" i="1"/>
  <c r="Z6941" i="1"/>
  <c r="AA6940" i="1"/>
  <c r="AA6941" i="1" s="1"/>
  <c r="Z6940" i="1"/>
  <c r="Z6939" i="1"/>
  <c r="AA6938" i="1"/>
  <c r="AA6939" i="1" s="1"/>
  <c r="Z6938" i="1"/>
  <c r="Z6937" i="1"/>
  <c r="AA6936" i="1"/>
  <c r="AA6937" i="1" s="1"/>
  <c r="Z6936" i="1"/>
  <c r="Z6934" i="1"/>
  <c r="AA6933" i="1"/>
  <c r="AA6934" i="1" s="1"/>
  <c r="Z6933" i="1"/>
  <c r="AA6932" i="1"/>
  <c r="Z6932" i="1"/>
  <c r="Z6931" i="1"/>
  <c r="AA6930" i="1"/>
  <c r="Z6930" i="1"/>
  <c r="Z6929" i="1"/>
  <c r="Z6725" i="1"/>
  <c r="Z6720" i="1"/>
  <c r="AA6703" i="1"/>
  <c r="AA6704" i="1" s="1"/>
  <c r="AA6708" i="1"/>
  <c r="AA6709" i="1" s="1"/>
  <c r="AA6715" i="1"/>
  <c r="Z6715" i="1"/>
  <c r="Z6714" i="1"/>
  <c r="AA6713" i="1"/>
  <c r="Z6713" i="1"/>
  <c r="Z6712" i="1"/>
  <c r="Z6711" i="1"/>
  <c r="AA6710" i="1"/>
  <c r="AA6711" i="1" s="1"/>
  <c r="Z6710" i="1"/>
  <c r="Z6709" i="1"/>
  <c r="Z6708" i="1"/>
  <c r="Z6707" i="1"/>
  <c r="AA6706" i="1"/>
  <c r="AA6707" i="1" s="1"/>
  <c r="Z6706" i="1"/>
  <c r="Z6704" i="1"/>
  <c r="Z6703" i="1"/>
  <c r="AA6702" i="1"/>
  <c r="Z6702" i="1"/>
  <c r="Z6701" i="1"/>
  <c r="AA6700" i="1"/>
  <c r="Z6700" i="1"/>
  <c r="Z6699" i="1"/>
  <c r="Z6495" i="1"/>
  <c r="AA6487" i="1"/>
  <c r="Z6487" i="1"/>
  <c r="Z6486" i="1"/>
  <c r="AA6485" i="1"/>
  <c r="Z6485" i="1"/>
  <c r="Z6484" i="1"/>
  <c r="Z6483" i="1"/>
  <c r="AA6482" i="1"/>
  <c r="AA6483" i="1" s="1"/>
  <c r="Z6482" i="1"/>
  <c r="Z6481" i="1"/>
  <c r="AA6480" i="1"/>
  <c r="AA6481" i="1" s="1"/>
  <c r="Z6480" i="1"/>
  <c r="Z6479" i="1"/>
  <c r="AA6478" i="1"/>
  <c r="AA6479" i="1" s="1"/>
  <c r="Z6478" i="1"/>
  <c r="Z6476" i="1"/>
  <c r="AA6475" i="1"/>
  <c r="AA6476" i="1" s="1"/>
  <c r="Z6475" i="1"/>
  <c r="AA6474" i="1"/>
  <c r="Z6474" i="1"/>
  <c r="Z6473" i="1"/>
  <c r="AA6472" i="1"/>
  <c r="Z6472" i="1"/>
  <c r="Z6471" i="1"/>
  <c r="AA10335" i="1"/>
  <c r="Z10335" i="1"/>
  <c r="Z10334" i="1"/>
  <c r="AA10333" i="1"/>
  <c r="Z10333" i="1"/>
  <c r="Z10332" i="1"/>
  <c r="Z10331" i="1"/>
  <c r="AA10330" i="1"/>
  <c r="AA10331" i="1" s="1"/>
  <c r="Z10330" i="1"/>
  <c r="Z10329" i="1"/>
  <c r="AA10328" i="1"/>
  <c r="AA10329" i="1" s="1"/>
  <c r="Z10328" i="1"/>
  <c r="Z10327" i="1"/>
  <c r="AA10326" i="1"/>
  <c r="AA10327" i="1" s="1"/>
  <c r="Z10326" i="1"/>
  <c r="Z10324" i="1"/>
  <c r="AA10323" i="1"/>
  <c r="AA10324" i="1" s="1"/>
  <c r="Z10323" i="1"/>
  <c r="AA10322" i="1"/>
  <c r="Z10322" i="1"/>
  <c r="Z10321" i="1"/>
  <c r="AA10320" i="1"/>
  <c r="Z10320" i="1"/>
  <c r="Z10319" i="1"/>
  <c r="Z6467" i="1"/>
  <c r="Z6466" i="1"/>
  <c r="Z6465" i="1"/>
  <c r="M6464" i="1"/>
  <c r="AC6464" i="1" s="1"/>
  <c r="Z6463" i="1"/>
  <c r="M6462" i="1"/>
  <c r="AC6462" i="1" s="1"/>
  <c r="AC6463" i="1" s="1"/>
  <c r="Z6461" i="1"/>
  <c r="Z6460" i="1"/>
  <c r="Z6695" i="1"/>
  <c r="Z6694" i="1"/>
  <c r="Z6693" i="1"/>
  <c r="M6692" i="1"/>
  <c r="AC6692" i="1" s="1"/>
  <c r="Z6691" i="1"/>
  <c r="M6690" i="1"/>
  <c r="AC6690" i="1" s="1"/>
  <c r="AC6691" i="1" s="1"/>
  <c r="Z6689" i="1"/>
  <c r="Z6688" i="1"/>
  <c r="Z6925" i="1"/>
  <c r="Z6924" i="1"/>
  <c r="Z6923" i="1"/>
  <c r="M6922" i="1"/>
  <c r="AC6922" i="1" s="1"/>
  <c r="Z6921" i="1"/>
  <c r="M6920" i="1"/>
  <c r="AC6920" i="1" s="1"/>
  <c r="AC6921" i="1" s="1"/>
  <c r="Z6919" i="1"/>
  <c r="Z6918" i="1"/>
  <c r="Z6426" i="1"/>
  <c r="Z6655" i="1"/>
  <c r="Z6884" i="1"/>
  <c r="Z6423" i="1"/>
  <c r="Z6652" i="1"/>
  <c r="Z6881" i="1"/>
  <c r="Z6749" i="1"/>
  <c r="Z6513" i="1"/>
  <c r="Z6743" i="1"/>
  <c r="AA6419" i="1"/>
  <c r="Z6419" i="1"/>
  <c r="Z6418" i="1"/>
  <c r="Z6417" i="1"/>
  <c r="AA6416" i="1"/>
  <c r="AA6417" i="1" s="1"/>
  <c r="Z6416" i="1"/>
  <c r="Z6415" i="1"/>
  <c r="AA6414" i="1"/>
  <c r="AA6415" i="1" s="1"/>
  <c r="Z6414" i="1"/>
  <c r="Z6413" i="1"/>
  <c r="AA6412" i="1"/>
  <c r="AA6413" i="1" s="1"/>
  <c r="Z6412" i="1"/>
  <c r="Z6411" i="1"/>
  <c r="AA6410" i="1"/>
  <c r="AA6411" i="1" s="1"/>
  <c r="Z6410" i="1"/>
  <c r="Z6408" i="1"/>
  <c r="Z6407" i="1"/>
  <c r="Z6406" i="1"/>
  <c r="AA6405" i="1"/>
  <c r="AA6406" i="1" s="1"/>
  <c r="Z6405" i="1"/>
  <c r="AA6404" i="1"/>
  <c r="AA6407" i="1" s="1"/>
  <c r="Z6404" i="1"/>
  <c r="Z6402" i="1"/>
  <c r="Z6401" i="1"/>
  <c r="Z6400" i="1"/>
  <c r="AA6399" i="1"/>
  <c r="AA6400" i="1" s="1"/>
  <c r="Z6399" i="1"/>
  <c r="Z6398" i="1"/>
  <c r="AA6397" i="1"/>
  <c r="AA6398" i="1" s="1"/>
  <c r="Z6397" i="1"/>
  <c r="AA6648" i="1"/>
  <c r="Z6648" i="1"/>
  <c r="Z6647" i="1"/>
  <c r="Z6646" i="1"/>
  <c r="AA6645" i="1"/>
  <c r="AA6646" i="1" s="1"/>
  <c r="Z6645" i="1"/>
  <c r="Z6644" i="1"/>
  <c r="AA6643" i="1"/>
  <c r="AA6644" i="1" s="1"/>
  <c r="Z6643" i="1"/>
  <c r="Z6642" i="1"/>
  <c r="AA6641" i="1"/>
  <c r="AA6642" i="1" s="1"/>
  <c r="Z6641" i="1"/>
  <c r="Z6640" i="1"/>
  <c r="AA6639" i="1"/>
  <c r="AA6640" i="1" s="1"/>
  <c r="Z6639" i="1"/>
  <c r="Z6637" i="1"/>
  <c r="Z6636" i="1"/>
  <c r="Z6635" i="1"/>
  <c r="AA6634" i="1"/>
  <c r="AA6635" i="1" s="1"/>
  <c r="Z6634" i="1"/>
  <c r="AA6633" i="1"/>
  <c r="AA6636" i="1" s="1"/>
  <c r="Z6633" i="1"/>
  <c r="Z6631" i="1"/>
  <c r="Z6630" i="1"/>
  <c r="Z6629" i="1"/>
  <c r="AA6628" i="1"/>
  <c r="AA6629" i="1" s="1"/>
  <c r="Z6628" i="1"/>
  <c r="Z6627" i="1"/>
  <c r="AA6626" i="1"/>
  <c r="AA6627" i="1" s="1"/>
  <c r="Z6626" i="1"/>
  <c r="AA6877" i="1"/>
  <c r="Z6877" i="1"/>
  <c r="Z6876" i="1"/>
  <c r="Z6875" i="1"/>
  <c r="AA6874" i="1"/>
  <c r="AA6875" i="1" s="1"/>
  <c r="Z6874" i="1"/>
  <c r="Z6873" i="1"/>
  <c r="AA6872" i="1"/>
  <c r="AA6873" i="1" s="1"/>
  <c r="Z6872" i="1"/>
  <c r="Z6871" i="1"/>
  <c r="AA6870" i="1"/>
  <c r="AA6871" i="1" s="1"/>
  <c r="Z6870" i="1"/>
  <c r="Z6869" i="1"/>
  <c r="AA6868" i="1"/>
  <c r="AA6869" i="1" s="1"/>
  <c r="Z6868" i="1"/>
  <c r="Z6866" i="1"/>
  <c r="Z6865" i="1"/>
  <c r="Z6864" i="1"/>
  <c r="AA6863" i="1"/>
  <c r="AA6864" i="1" s="1"/>
  <c r="Z6863" i="1"/>
  <c r="AA6862" i="1"/>
  <c r="AA6865" i="1" s="1"/>
  <c r="Z6862" i="1"/>
  <c r="Z6860" i="1"/>
  <c r="Z6859" i="1"/>
  <c r="Z6858" i="1"/>
  <c r="AA6857" i="1"/>
  <c r="AA6858" i="1" s="1"/>
  <c r="Z6857" i="1"/>
  <c r="Z6856" i="1"/>
  <c r="AA6855" i="1"/>
  <c r="AA6856" i="1" s="1"/>
  <c r="Z6855" i="1"/>
  <c r="AA6394" i="1"/>
  <c r="Z6394" i="1"/>
  <c r="Z6393" i="1"/>
  <c r="Z6392" i="1"/>
  <c r="AA6391" i="1"/>
  <c r="AA6392" i="1" s="1"/>
  <c r="Z6391" i="1"/>
  <c r="Z6390" i="1"/>
  <c r="AA6389" i="1"/>
  <c r="AA6390" i="1" s="1"/>
  <c r="Z6389" i="1"/>
  <c r="Z6388" i="1"/>
  <c r="AA6387" i="1"/>
  <c r="AA6388" i="1" s="1"/>
  <c r="Z6387" i="1"/>
  <c r="Z6386" i="1"/>
  <c r="AA6385" i="1"/>
  <c r="AA6386" i="1" s="1"/>
  <c r="Z6385" i="1"/>
  <c r="Z6383" i="1"/>
  <c r="Z6382" i="1"/>
  <c r="Z6381" i="1"/>
  <c r="AA6380" i="1"/>
  <c r="AA6381" i="1" s="1"/>
  <c r="Z6380" i="1"/>
  <c r="AA6379" i="1"/>
  <c r="AA6382" i="1" s="1"/>
  <c r="Z6379" i="1"/>
  <c r="Z6377" i="1"/>
  <c r="Z6376" i="1"/>
  <c r="Z6375" i="1"/>
  <c r="AA6374" i="1"/>
  <c r="AA6375" i="1" s="1"/>
  <c r="Z6374" i="1"/>
  <c r="Z6373" i="1"/>
  <c r="AA6372" i="1"/>
  <c r="AA6373" i="1" s="1"/>
  <c r="Z6372" i="1"/>
  <c r="AA6623" i="1"/>
  <c r="Z6623" i="1"/>
  <c r="Z6622" i="1"/>
  <c r="Z6621" i="1"/>
  <c r="AA6620" i="1"/>
  <c r="AA6621" i="1" s="1"/>
  <c r="Z6620" i="1"/>
  <c r="Z6619" i="1"/>
  <c r="AA6618" i="1"/>
  <c r="AA6619" i="1" s="1"/>
  <c r="Z6618" i="1"/>
  <c r="Z6617" i="1"/>
  <c r="AA6616" i="1"/>
  <c r="AA6617" i="1" s="1"/>
  <c r="Z6616" i="1"/>
  <c r="Z6615" i="1"/>
  <c r="AA6614" i="1"/>
  <c r="AA6615" i="1" s="1"/>
  <c r="Z6614" i="1"/>
  <c r="Z6612" i="1"/>
  <c r="Z6611" i="1"/>
  <c r="Z6610" i="1"/>
  <c r="AA6609" i="1"/>
  <c r="AA6610" i="1" s="1"/>
  <c r="Z6609" i="1"/>
  <c r="AA6608" i="1"/>
  <c r="AA6611" i="1" s="1"/>
  <c r="Z6608" i="1"/>
  <c r="Z6606" i="1"/>
  <c r="Z6605" i="1"/>
  <c r="Z6604" i="1"/>
  <c r="AA6603" i="1"/>
  <c r="AA6604" i="1" s="1"/>
  <c r="Z6603" i="1"/>
  <c r="Z6602" i="1"/>
  <c r="AA6601" i="1"/>
  <c r="AA6602" i="1" s="1"/>
  <c r="Z6601" i="1"/>
  <c r="AA6852" i="1"/>
  <c r="Z6852" i="1"/>
  <c r="Z6851" i="1"/>
  <c r="Z6850" i="1"/>
  <c r="AA6849" i="1"/>
  <c r="AA6850" i="1" s="1"/>
  <c r="Z6849" i="1"/>
  <c r="Z6848" i="1"/>
  <c r="AA6847" i="1"/>
  <c r="AA6848" i="1" s="1"/>
  <c r="Z6847" i="1"/>
  <c r="Z6846" i="1"/>
  <c r="AA6845" i="1"/>
  <c r="AA6846" i="1" s="1"/>
  <c r="Z6845" i="1"/>
  <c r="Z6844" i="1"/>
  <c r="AA6843" i="1"/>
  <c r="AA6844" i="1" s="1"/>
  <c r="Z6843" i="1"/>
  <c r="Z6841" i="1"/>
  <c r="Z6840" i="1"/>
  <c r="Z6839" i="1"/>
  <c r="AA6838" i="1"/>
  <c r="AA6839" i="1" s="1"/>
  <c r="Z6838" i="1"/>
  <c r="AA6837" i="1"/>
  <c r="AA6840" i="1" s="1"/>
  <c r="Z6837" i="1"/>
  <c r="Z6835" i="1"/>
  <c r="Z6834" i="1"/>
  <c r="Z6833" i="1"/>
  <c r="AA6832" i="1"/>
  <c r="AA6833" i="1" s="1"/>
  <c r="Z6832" i="1"/>
  <c r="Z6831" i="1"/>
  <c r="AA6830" i="1"/>
  <c r="AA6831" i="1" s="1"/>
  <c r="Z6830" i="1"/>
  <c r="AA6369" i="1"/>
  <c r="Z6369" i="1"/>
  <c r="Z6368" i="1"/>
  <c r="Z6367" i="1"/>
  <c r="AA6366" i="1"/>
  <c r="AA6367" i="1" s="1"/>
  <c r="Z6366" i="1"/>
  <c r="Z6365" i="1"/>
  <c r="AA6364" i="1"/>
  <c r="AA6365" i="1" s="1"/>
  <c r="Z6364" i="1"/>
  <c r="Z6363" i="1"/>
  <c r="AA6362" i="1"/>
  <c r="AA6363" i="1" s="1"/>
  <c r="Z6362" i="1"/>
  <c r="Z6361" i="1"/>
  <c r="AA6360" i="1"/>
  <c r="AA6361" i="1" s="1"/>
  <c r="Z6360" i="1"/>
  <c r="Z6358" i="1"/>
  <c r="Z6357" i="1"/>
  <c r="Z6356" i="1"/>
  <c r="AA6355" i="1"/>
  <c r="AA6356" i="1" s="1"/>
  <c r="Z6355" i="1"/>
  <c r="AA6354" i="1"/>
  <c r="AA6357" i="1" s="1"/>
  <c r="Z6354" i="1"/>
  <c r="Z6352" i="1"/>
  <c r="Z6351" i="1"/>
  <c r="Z6350" i="1"/>
  <c r="AA6349" i="1"/>
  <c r="AA6350" i="1" s="1"/>
  <c r="Z6349" i="1"/>
  <c r="Z6348" i="1"/>
  <c r="AA6347" i="1"/>
  <c r="AA6348" i="1" s="1"/>
  <c r="Z6347" i="1"/>
  <c r="AA6598" i="1"/>
  <c r="Z6598" i="1"/>
  <c r="Z6597" i="1"/>
  <c r="Z6596" i="1"/>
  <c r="AA6595" i="1"/>
  <c r="AA6596" i="1" s="1"/>
  <c r="Z6595" i="1"/>
  <c r="Z6594" i="1"/>
  <c r="AA6593" i="1"/>
  <c r="AA6594" i="1" s="1"/>
  <c r="Z6593" i="1"/>
  <c r="Z6592" i="1"/>
  <c r="AA6591" i="1"/>
  <c r="AA6592" i="1" s="1"/>
  <c r="Z6591" i="1"/>
  <c r="Z6590" i="1"/>
  <c r="AA6589" i="1"/>
  <c r="AA6590" i="1" s="1"/>
  <c r="Z6589" i="1"/>
  <c r="Z6587" i="1"/>
  <c r="Z6586" i="1"/>
  <c r="Z6585" i="1"/>
  <c r="AA6584" i="1"/>
  <c r="AA6585" i="1" s="1"/>
  <c r="Z6584" i="1"/>
  <c r="AA6583" i="1"/>
  <c r="AA6586" i="1" s="1"/>
  <c r="Z6583" i="1"/>
  <c r="Z6581" i="1"/>
  <c r="Z6580" i="1"/>
  <c r="Z6579" i="1"/>
  <c r="AA6578" i="1"/>
  <c r="AA6579" i="1" s="1"/>
  <c r="Z6578" i="1"/>
  <c r="Z6577" i="1"/>
  <c r="AA6576" i="1"/>
  <c r="AA6577" i="1" s="1"/>
  <c r="Z6576" i="1"/>
  <c r="AA6827" i="1"/>
  <c r="Z6827" i="1"/>
  <c r="Z6826" i="1"/>
  <c r="Z6825" i="1"/>
  <c r="AA6824" i="1"/>
  <c r="AA6825" i="1" s="1"/>
  <c r="Z6824" i="1"/>
  <c r="Z6823" i="1"/>
  <c r="AA6822" i="1"/>
  <c r="AA6823" i="1" s="1"/>
  <c r="Z6822" i="1"/>
  <c r="Z6821" i="1"/>
  <c r="AA6820" i="1"/>
  <c r="AA6821" i="1" s="1"/>
  <c r="Z6820" i="1"/>
  <c r="Z6819" i="1"/>
  <c r="AA6818" i="1"/>
  <c r="AA6819" i="1" s="1"/>
  <c r="Z6818" i="1"/>
  <c r="Z6816" i="1"/>
  <c r="Z6815" i="1"/>
  <c r="Z6814" i="1"/>
  <c r="AA6813" i="1"/>
  <c r="AA6814" i="1" s="1"/>
  <c r="Z6813" i="1"/>
  <c r="AA6812" i="1"/>
  <c r="AA6815" i="1" s="1"/>
  <c r="Z6812" i="1"/>
  <c r="Z6810" i="1"/>
  <c r="Z6809" i="1"/>
  <c r="Z6808" i="1"/>
  <c r="AA6807" i="1"/>
  <c r="AA6808" i="1" s="1"/>
  <c r="Z6807" i="1"/>
  <c r="Z6806" i="1"/>
  <c r="AA6805" i="1"/>
  <c r="AA6806" i="1" s="1"/>
  <c r="Z6805" i="1"/>
  <c r="AD6463" i="1" l="1"/>
  <c r="AD6462" i="1" s="1"/>
  <c r="AD6691" i="1"/>
  <c r="AB6691" i="1" s="1"/>
  <c r="AC6467" i="1"/>
  <c r="AD6467" i="1" s="1"/>
  <c r="AB6467" i="1" s="1"/>
  <c r="AC6466" i="1"/>
  <c r="AD6466" i="1" s="1"/>
  <c r="AB6466" i="1" s="1"/>
  <c r="AC6465" i="1"/>
  <c r="AD6465" i="1" s="1"/>
  <c r="AD6921" i="1"/>
  <c r="AB6921" i="1" s="1"/>
  <c r="AC6695" i="1"/>
  <c r="AD6695" i="1" s="1"/>
  <c r="AB6695" i="1" s="1"/>
  <c r="AC6694" i="1"/>
  <c r="AD6694" i="1" s="1"/>
  <c r="AB6694" i="1" s="1"/>
  <c r="AC6693" i="1"/>
  <c r="AD6693" i="1" s="1"/>
  <c r="AC6925" i="1"/>
  <c r="AD6925" i="1" s="1"/>
  <c r="AB6925" i="1" s="1"/>
  <c r="AC6924" i="1"/>
  <c r="AD6924" i="1" s="1"/>
  <c r="AB6924" i="1" s="1"/>
  <c r="AC6923" i="1"/>
  <c r="AD6923" i="1" s="1"/>
  <c r="AA6401" i="1"/>
  <c r="AA6402" i="1" s="1"/>
  <c r="AA6630" i="1"/>
  <c r="AA6631" i="1" s="1"/>
  <c r="AA6859" i="1"/>
  <c r="AA6860" i="1" s="1"/>
  <c r="AA6376" i="1"/>
  <c r="AA6377" i="1" s="1"/>
  <c r="AA6605" i="1"/>
  <c r="AA6606" i="1" s="1"/>
  <c r="AA6834" i="1"/>
  <c r="AA6835" i="1" s="1"/>
  <c r="AA6351" i="1"/>
  <c r="AA6352" i="1" s="1"/>
  <c r="AA6580" i="1"/>
  <c r="AA6581" i="1" s="1"/>
  <c r="AA6809" i="1"/>
  <c r="AA6810" i="1" s="1"/>
  <c r="Z6342" i="1"/>
  <c r="Z6800" i="1"/>
  <c r="Z6570" i="1"/>
  <c r="Z6795" i="1"/>
  <c r="Z6565" i="1"/>
  <c r="Z6337" i="1"/>
  <c r="Z6792" i="1"/>
  <c r="Z6562" i="1"/>
  <c r="Z6334" i="1"/>
  <c r="Z6331" i="1"/>
  <c r="Z6330" i="1"/>
  <c r="Z6329" i="1"/>
  <c r="AA6327" i="1"/>
  <c r="Z6327" i="1"/>
  <c r="Z6326" i="1"/>
  <c r="Z6325" i="1"/>
  <c r="Z6324" i="1"/>
  <c r="AA6323" i="1"/>
  <c r="AA6326" i="1" s="1"/>
  <c r="Z6323" i="1"/>
  <c r="AA6322" i="1"/>
  <c r="AA6325" i="1" s="1"/>
  <c r="Z6322" i="1"/>
  <c r="Z6320" i="1"/>
  <c r="AA6319" i="1"/>
  <c r="AA6320" i="1" s="1"/>
  <c r="Z6319" i="1"/>
  <c r="Z6318" i="1"/>
  <c r="AA6317" i="1"/>
  <c r="AA6318" i="1" s="1"/>
  <c r="Z6317" i="1"/>
  <c r="Z6559" i="1"/>
  <c r="Z6558" i="1"/>
  <c r="Z6557" i="1"/>
  <c r="AA6555" i="1"/>
  <c r="Z6555" i="1"/>
  <c r="Z6554" i="1"/>
  <c r="Z6553" i="1"/>
  <c r="Z6552" i="1"/>
  <c r="AA6551" i="1"/>
  <c r="AA6552" i="1" s="1"/>
  <c r="Z6551" i="1"/>
  <c r="AA6550" i="1"/>
  <c r="AA6553" i="1" s="1"/>
  <c r="Z6550" i="1"/>
  <c r="Z6548" i="1"/>
  <c r="AA6547" i="1"/>
  <c r="AA6548" i="1" s="1"/>
  <c r="Z6547" i="1"/>
  <c r="Z6546" i="1"/>
  <c r="AA6545" i="1"/>
  <c r="AA6546" i="1" s="1"/>
  <c r="Z6545" i="1"/>
  <c r="Z6789" i="1"/>
  <c r="Z6788" i="1"/>
  <c r="Z6787" i="1"/>
  <c r="AA6785" i="1"/>
  <c r="Z6785" i="1"/>
  <c r="Z6784" i="1"/>
  <c r="Z6783" i="1"/>
  <c r="Z6782" i="1"/>
  <c r="AA6781" i="1"/>
  <c r="AA6782" i="1" s="1"/>
  <c r="Z6781" i="1"/>
  <c r="AA6780" i="1"/>
  <c r="AA6783" i="1" s="1"/>
  <c r="Z6780" i="1"/>
  <c r="Z6778" i="1"/>
  <c r="AA6777" i="1"/>
  <c r="AA6778" i="1" s="1"/>
  <c r="Z6777" i="1"/>
  <c r="Z6776" i="1"/>
  <c r="AA6775" i="1"/>
  <c r="AA6776" i="1" s="1"/>
  <c r="Z6775" i="1"/>
  <c r="Z6770" i="1"/>
  <c r="Z6769" i="1"/>
  <c r="AA6768" i="1"/>
  <c r="AA6770" i="1" s="1"/>
  <c r="Z6768" i="1"/>
  <c r="Z6767" i="1"/>
  <c r="AA6766" i="1"/>
  <c r="AA6767" i="1" s="1"/>
  <c r="Z6766" i="1"/>
  <c r="Z6540" i="1"/>
  <c r="Z6539" i="1"/>
  <c r="AA6538" i="1"/>
  <c r="AA6540" i="1" s="1"/>
  <c r="Z6538" i="1"/>
  <c r="Z6537" i="1"/>
  <c r="AA6536" i="1"/>
  <c r="AA6537" i="1" s="1"/>
  <c r="Z6536" i="1"/>
  <c r="Z6312" i="1"/>
  <c r="Z6311" i="1"/>
  <c r="AA6310" i="1"/>
  <c r="AA6311" i="1" s="1"/>
  <c r="Z6310" i="1"/>
  <c r="Z6309" i="1"/>
  <c r="AA6308" i="1"/>
  <c r="AA6309" i="1" s="1"/>
  <c r="Z6308" i="1"/>
  <c r="Z6762" i="1"/>
  <c r="Z6304" i="1"/>
  <c r="Z6532" i="1"/>
  <c r="Z6756" i="1"/>
  <c r="Z6527" i="1"/>
  <c r="Z6298" i="1"/>
  <c r="Z6519" i="1"/>
  <c r="Z6518" i="1"/>
  <c r="Z6517" i="1"/>
  <c r="AA6516" i="1"/>
  <c r="AA6518" i="1" s="1"/>
  <c r="Z6516" i="1"/>
  <c r="Z6736" i="1"/>
  <c r="Z6507" i="1"/>
  <c r="Z6731" i="1"/>
  <c r="Z6501" i="1"/>
  <c r="Z6498" i="1"/>
  <c r="Z6728" i="1"/>
  <c r="Z6739" i="1"/>
  <c r="AB6463" i="1" l="1"/>
  <c r="AD6690" i="1"/>
  <c r="AB6690" i="1" s="1"/>
  <c r="AD6920" i="1"/>
  <c r="AB6920" i="1" s="1"/>
  <c r="AD6464" i="1"/>
  <c r="AB6465" i="1"/>
  <c r="Z6462" i="1"/>
  <c r="AB6462" i="1"/>
  <c r="AD6692" i="1"/>
  <c r="AB6693" i="1"/>
  <c r="AD6922" i="1"/>
  <c r="AB6923" i="1"/>
  <c r="AA6324" i="1"/>
  <c r="AA6554" i="1"/>
  <c r="AA6769" i="1"/>
  <c r="AA6784" i="1"/>
  <c r="AA6312" i="1"/>
  <c r="AA6539" i="1"/>
  <c r="AA6517" i="1"/>
  <c r="Z6753" i="1"/>
  <c r="Z6524" i="1"/>
  <c r="Z6295" i="1"/>
  <c r="Z6291" i="1"/>
  <c r="Z6285" i="1"/>
  <c r="Z6278" i="1"/>
  <c r="Z6275" i="1"/>
  <c r="Z6920" i="1" l="1"/>
  <c r="Z6690" i="1"/>
  <c r="AB6464" i="1"/>
  <c r="Z6464" i="1"/>
  <c r="AB6692" i="1"/>
  <c r="Z6692" i="1"/>
  <c r="Z6922" i="1"/>
  <c r="AB6922" i="1"/>
  <c r="Z6272" i="1"/>
  <c r="Z6244" i="1" l="1"/>
  <c r="Z6243" i="1"/>
  <c r="Z6242" i="1"/>
  <c r="M6241" i="1"/>
  <c r="AC6241" i="1" s="1"/>
  <c r="Z6237" i="1"/>
  <c r="Z6240" i="1"/>
  <c r="M6239" i="1"/>
  <c r="AC6239" i="1" s="1"/>
  <c r="AC6240" i="1" s="1"/>
  <c r="Z6238" i="1"/>
  <c r="Z6913" i="1"/>
  <c r="Z6912" i="1"/>
  <c r="Z6911" i="1"/>
  <c r="Z6910" i="1"/>
  <c r="AA6908" i="1"/>
  <c r="Z6908" i="1"/>
  <c r="Z6907" i="1"/>
  <c r="AA6906" i="1"/>
  <c r="Z6906" i="1"/>
  <c r="Z6905" i="1"/>
  <c r="AA6904" i="1"/>
  <c r="Z6904" i="1"/>
  <c r="Z6903" i="1"/>
  <c r="Z6900" i="1"/>
  <c r="Z6899" i="1"/>
  <c r="Z6898" i="1"/>
  <c r="Z6897" i="1"/>
  <c r="AA6895" i="1"/>
  <c r="Z6895" i="1"/>
  <c r="Z6894" i="1"/>
  <c r="AA6893" i="1"/>
  <c r="Z6893" i="1"/>
  <c r="Z6892" i="1"/>
  <c r="AA6891" i="1"/>
  <c r="Z6891" i="1"/>
  <c r="Z6890" i="1"/>
  <c r="Z6683" i="1"/>
  <c r="Z6682" i="1"/>
  <c r="Z6681" i="1"/>
  <c r="Z6680" i="1"/>
  <c r="AA6678" i="1"/>
  <c r="Z6678" i="1"/>
  <c r="Z6677" i="1"/>
  <c r="AA6676" i="1"/>
  <c r="Z6676" i="1"/>
  <c r="Z6675" i="1"/>
  <c r="AA6674" i="1"/>
  <c r="Z6674" i="1"/>
  <c r="Z6673" i="1"/>
  <c r="Z6670" i="1"/>
  <c r="Z6669" i="1"/>
  <c r="Z6668" i="1"/>
  <c r="Z6667" i="1"/>
  <c r="AA6665" i="1"/>
  <c r="Z6665" i="1"/>
  <c r="Z6664" i="1"/>
  <c r="AA6663" i="1"/>
  <c r="Z6663" i="1"/>
  <c r="Z6662" i="1"/>
  <c r="AA6661" i="1"/>
  <c r="Z6661" i="1"/>
  <c r="Z6660" i="1"/>
  <c r="Z6455" i="1"/>
  <c r="Z6454" i="1"/>
  <c r="Z6453" i="1"/>
  <c r="Z6452" i="1"/>
  <c r="AA6450" i="1"/>
  <c r="Z6450" i="1"/>
  <c r="Z6449" i="1"/>
  <c r="AA6448" i="1"/>
  <c r="Z6448" i="1"/>
  <c r="Z6447" i="1"/>
  <c r="AA6446" i="1"/>
  <c r="Z6446" i="1"/>
  <c r="Z6445" i="1"/>
  <c r="Z6442" i="1"/>
  <c r="Z6441" i="1"/>
  <c r="Z6440" i="1"/>
  <c r="Z6439" i="1"/>
  <c r="AA6437" i="1"/>
  <c r="Z6437" i="1"/>
  <c r="Z6436" i="1"/>
  <c r="AA6435" i="1"/>
  <c r="Z6435" i="1"/>
  <c r="Z6434" i="1"/>
  <c r="AA6433" i="1"/>
  <c r="Z6433" i="1"/>
  <c r="Z6432" i="1"/>
  <c r="Z6232" i="1"/>
  <c r="Z6231" i="1"/>
  <c r="Z6230" i="1"/>
  <c r="Z6229" i="1"/>
  <c r="AA6227" i="1"/>
  <c r="Z6227" i="1"/>
  <c r="Z6226" i="1"/>
  <c r="AA6225" i="1"/>
  <c r="Z6225" i="1"/>
  <c r="Z6224" i="1"/>
  <c r="AA6223" i="1"/>
  <c r="Z6223" i="1"/>
  <c r="Z6222" i="1"/>
  <c r="AC6244" i="1" l="1"/>
  <c r="AD6244" i="1" s="1"/>
  <c r="AB6244" i="1" s="1"/>
  <c r="AD6240" i="1"/>
  <c r="AB6240" i="1" s="1"/>
  <c r="AC6243" i="1"/>
  <c r="AD6243" i="1" s="1"/>
  <c r="AB6243" i="1" s="1"/>
  <c r="AC6242" i="1"/>
  <c r="AD6242" i="1" s="1"/>
  <c r="AD6239" i="1" l="1"/>
  <c r="Z6239" i="1" s="1"/>
  <c r="AD6241" i="1"/>
  <c r="AB6242" i="1"/>
  <c r="AB6239" i="1" l="1"/>
  <c r="Z6241" i="1"/>
  <c r="AB6241" i="1"/>
  <c r="AA6212" i="1" l="1"/>
  <c r="Z6212" i="1"/>
  <c r="AA6214" i="1"/>
  <c r="AA6210" i="1"/>
  <c r="Z6219" i="1"/>
  <c r="Z6218" i="1"/>
  <c r="Z6217" i="1"/>
  <c r="Z6216" i="1"/>
  <c r="Z6211" i="1"/>
  <c r="Z6214" i="1"/>
  <c r="Z6213" i="1"/>
  <c r="Z6210" i="1"/>
  <c r="Z6209" i="1"/>
  <c r="AA6169" i="1"/>
  <c r="AA6170" i="1" s="1"/>
  <c r="AA6167" i="1"/>
  <c r="AA6168" i="1" s="1"/>
  <c r="AA6165" i="1"/>
  <c r="AA6166" i="1" s="1"/>
  <c r="AA6163" i="1"/>
  <c r="AA6164" i="1" s="1"/>
  <c r="AA6158" i="1"/>
  <c r="AA6159" i="1" s="1"/>
  <c r="AA6157" i="1"/>
  <c r="AA6160" i="1" s="1"/>
  <c r="AA6152" i="1"/>
  <c r="AA6153" i="1" s="1"/>
  <c r="AA6150" i="1"/>
  <c r="AA6151" i="1" s="1"/>
  <c r="AA6194" i="1"/>
  <c r="AA6195" i="1" s="1"/>
  <c r="AA6192" i="1"/>
  <c r="AA6193" i="1" s="1"/>
  <c r="AA6190" i="1"/>
  <c r="AA6191" i="1" s="1"/>
  <c r="AA6188" i="1"/>
  <c r="AA6189" i="1" s="1"/>
  <c r="AA6177" i="1"/>
  <c r="AA6178" i="1" s="1"/>
  <c r="AA6175" i="1"/>
  <c r="AA6179" i="1" s="1"/>
  <c r="AA6180" i="1" s="1"/>
  <c r="AA6197" i="1"/>
  <c r="Z6197" i="1"/>
  <c r="Z6196" i="1"/>
  <c r="Z6195" i="1"/>
  <c r="Z6194" i="1"/>
  <c r="Z6193" i="1"/>
  <c r="Z6192" i="1"/>
  <c r="Z6191" i="1"/>
  <c r="Z6190" i="1"/>
  <c r="Z6189" i="1"/>
  <c r="Z6188" i="1"/>
  <c r="Z6186" i="1"/>
  <c r="Z6185" i="1"/>
  <c r="Z6184" i="1"/>
  <c r="AA6183" i="1"/>
  <c r="AA6184" i="1" s="1"/>
  <c r="Z6183" i="1"/>
  <c r="AA6182" i="1"/>
  <c r="AA6185" i="1" s="1"/>
  <c r="Z6182" i="1"/>
  <c r="Z6180" i="1"/>
  <c r="Z6179" i="1"/>
  <c r="Z6178" i="1"/>
  <c r="Z6177" i="1"/>
  <c r="Z6176" i="1"/>
  <c r="Z6175" i="1"/>
  <c r="AA150" i="1"/>
  <c r="AA136" i="1"/>
  <c r="AA124" i="1"/>
  <c r="AA111" i="1"/>
  <c r="AA6172" i="1"/>
  <c r="Z6172" i="1"/>
  <c r="Z6171" i="1"/>
  <c r="Z6170" i="1"/>
  <c r="Z6169" i="1"/>
  <c r="Z6168" i="1"/>
  <c r="Z6167" i="1"/>
  <c r="Z6166" i="1"/>
  <c r="Z6165" i="1"/>
  <c r="Z6164" i="1"/>
  <c r="Z6163" i="1"/>
  <c r="Z6161" i="1"/>
  <c r="Z6160" i="1"/>
  <c r="Z6159" i="1"/>
  <c r="Z6158" i="1"/>
  <c r="Z6157" i="1"/>
  <c r="Z6155" i="1"/>
  <c r="Z6154" i="1"/>
  <c r="Z6153" i="1"/>
  <c r="Z6152" i="1"/>
  <c r="Z6151" i="1"/>
  <c r="Z6150" i="1"/>
  <c r="AA6144" i="1"/>
  <c r="AA6145" i="1" s="1"/>
  <c r="AA6142" i="1"/>
  <c r="AA6143" i="1" s="1"/>
  <c r="AA6140" i="1"/>
  <c r="AA6141" i="1" s="1"/>
  <c r="AA6138" i="1"/>
  <c r="AA6139" i="1" s="1"/>
  <c r="AA6133" i="1"/>
  <c r="AA6134" i="1" s="1"/>
  <c r="AA6132" i="1"/>
  <c r="AA6135" i="1" s="1"/>
  <c r="AA6127" i="1"/>
  <c r="AA6128" i="1" s="1"/>
  <c r="AA6125" i="1"/>
  <c r="AA6126" i="1" s="1"/>
  <c r="AA6147" i="1"/>
  <c r="Z6147" i="1"/>
  <c r="Z6146" i="1"/>
  <c r="Z6145" i="1"/>
  <c r="Z6144" i="1"/>
  <c r="Z6143" i="1"/>
  <c r="Z6142" i="1"/>
  <c r="Z6141" i="1"/>
  <c r="Z6140" i="1"/>
  <c r="Z6139" i="1"/>
  <c r="Z6138" i="1"/>
  <c r="Z6136" i="1"/>
  <c r="Z6135" i="1"/>
  <c r="Z6134" i="1"/>
  <c r="Z6133" i="1"/>
  <c r="Z6132" i="1"/>
  <c r="Z6130" i="1"/>
  <c r="Z6129" i="1"/>
  <c r="Z6128" i="1"/>
  <c r="Z6127" i="1"/>
  <c r="Z6126" i="1"/>
  <c r="Z6125" i="1"/>
  <c r="AA6176" i="1" l="1"/>
  <c r="AA6154" i="1"/>
  <c r="AA6155" i="1" s="1"/>
  <c r="AA6129" i="1"/>
  <c r="AA6130" i="1" s="1"/>
  <c r="AA6263" i="1"/>
  <c r="Z6263" i="1"/>
  <c r="Z6262" i="1"/>
  <c r="AA6261" i="1"/>
  <c r="Z6261" i="1"/>
  <c r="Z6260" i="1"/>
  <c r="Z6259" i="1"/>
  <c r="AA6258" i="1"/>
  <c r="AA6259" i="1" s="1"/>
  <c r="Z6258" i="1"/>
  <c r="Z6257" i="1"/>
  <c r="AA6256" i="1"/>
  <c r="AA6257" i="1" s="1"/>
  <c r="Z6256" i="1"/>
  <c r="Z6255" i="1"/>
  <c r="AA6254" i="1"/>
  <c r="AA6255" i="1" s="1"/>
  <c r="Z6254" i="1"/>
  <c r="Z6252" i="1"/>
  <c r="AA6251" i="1"/>
  <c r="AA6252" i="1" s="1"/>
  <c r="Z6251" i="1"/>
  <c r="AA6250" i="1"/>
  <c r="Z6250" i="1"/>
  <c r="Z6249" i="1"/>
  <c r="AA6248" i="1"/>
  <c r="Z6248" i="1"/>
  <c r="Z6247" i="1"/>
  <c r="Z6204" i="1"/>
  <c r="Z6201" i="1"/>
  <c r="Z6120" i="1"/>
  <c r="Z6114" i="1"/>
  <c r="Z6111" i="1"/>
  <c r="AA6104" i="1"/>
  <c r="AA6100" i="1"/>
  <c r="AA6101" i="1" s="1"/>
  <c r="AA6099" i="1"/>
  <c r="AA6102" i="1" s="1"/>
  <c r="AA6096" i="1"/>
  <c r="AA6097" i="1" s="1"/>
  <c r="AA6094" i="1"/>
  <c r="AA6095" i="1" s="1"/>
  <c r="Z6108" i="1"/>
  <c r="Z6107" i="1"/>
  <c r="Z6106" i="1"/>
  <c r="Z6104" i="1"/>
  <c r="Z6103" i="1"/>
  <c r="Z6102" i="1"/>
  <c r="Z6101" i="1"/>
  <c r="Z6100" i="1"/>
  <c r="Z6099" i="1"/>
  <c r="Z6097" i="1"/>
  <c r="Z6096" i="1"/>
  <c r="Z6095" i="1"/>
  <c r="Z6094" i="1"/>
  <c r="AA6087" i="1"/>
  <c r="AA6089" i="1" s="1"/>
  <c r="AA6085" i="1"/>
  <c r="Z6087" i="1"/>
  <c r="Z6089" i="1"/>
  <c r="Z6086" i="1"/>
  <c r="Z6088" i="1"/>
  <c r="Z6085" i="1"/>
  <c r="Z6081" i="1"/>
  <c r="AA6064" i="1"/>
  <c r="AA6065" i="1" s="1"/>
  <c r="Z6067" i="1"/>
  <c r="Z6066" i="1"/>
  <c r="Z6065" i="1"/>
  <c r="Z6076" i="1"/>
  <c r="Z6073" i="1"/>
  <c r="Z6070" i="1"/>
  <c r="Z6064" i="1"/>
  <c r="Z6061" i="1"/>
  <c r="Z6055" i="1"/>
  <c r="Z6051" i="1"/>
  <c r="Z6045" i="1"/>
  <c r="Z6042" i="1"/>
  <c r="Z6039" i="1"/>
  <c r="Z6036" i="1"/>
  <c r="AA6103" i="1" l="1"/>
  <c r="AA6088" i="1"/>
  <c r="AA6086" i="1"/>
  <c r="AA6066" i="1"/>
  <c r="Z6032" i="1" l="1"/>
  <c r="Z6031" i="1"/>
  <c r="AA6030" i="1"/>
  <c r="AA6032" i="1" s="1"/>
  <c r="Z6030" i="1"/>
  <c r="Z6027" i="1"/>
  <c r="Z6026" i="1"/>
  <c r="AA6025" i="1"/>
  <c r="AA6027" i="1" s="1"/>
  <c r="Z6025" i="1"/>
  <c r="Z6022" i="1"/>
  <c r="Z6021" i="1"/>
  <c r="AA6020" i="1"/>
  <c r="AA6022" i="1" s="1"/>
  <c r="Z6020" i="1"/>
  <c r="AA6014" i="1"/>
  <c r="AA6015" i="1" s="1"/>
  <c r="AA6012" i="1"/>
  <c r="AA6013" i="1" s="1"/>
  <c r="AA6010" i="1"/>
  <c r="AA6011" i="1" s="1"/>
  <c r="AA6009" i="1"/>
  <c r="Z6015" i="1"/>
  <c r="Z6014" i="1"/>
  <c r="Z6013" i="1"/>
  <c r="Z6012" i="1"/>
  <c r="Z6011" i="1"/>
  <c r="Z6010" i="1"/>
  <c r="Z6009" i="1"/>
  <c r="AA6005" i="1"/>
  <c r="AA6006" i="1" s="1"/>
  <c r="AA6003" i="1"/>
  <c r="AA6004" i="1" s="1"/>
  <c r="AA6001" i="1"/>
  <c r="AA6002" i="1" s="1"/>
  <c r="AA6000" i="1"/>
  <c r="Z6006" i="1"/>
  <c r="Z6005" i="1"/>
  <c r="Z6004" i="1"/>
  <c r="Z6003" i="1"/>
  <c r="Z6002" i="1"/>
  <c r="Z6001" i="1"/>
  <c r="Z6000" i="1"/>
  <c r="AA5996" i="1"/>
  <c r="AA5997" i="1" s="1"/>
  <c r="AA5994" i="1"/>
  <c r="AA5995" i="1" s="1"/>
  <c r="AA5992" i="1"/>
  <c r="AA5993" i="1" s="1"/>
  <c r="AA5991" i="1"/>
  <c r="Z5997" i="1"/>
  <c r="Z5996" i="1"/>
  <c r="Z5995" i="1"/>
  <c r="Z5994" i="1"/>
  <c r="Z5993" i="1"/>
  <c r="Z5992" i="1"/>
  <c r="Z5991" i="1"/>
  <c r="AA5987" i="1"/>
  <c r="AA5988" i="1" s="1"/>
  <c r="AA5985" i="1"/>
  <c r="AA5986" i="1" s="1"/>
  <c r="AA5983" i="1"/>
  <c r="AA5984" i="1" s="1"/>
  <c r="AA5982" i="1"/>
  <c r="Z5988" i="1"/>
  <c r="Z5987" i="1"/>
  <c r="Z5986" i="1"/>
  <c r="Z5985" i="1"/>
  <c r="Z5984" i="1"/>
  <c r="Z5983" i="1"/>
  <c r="Z5982" i="1"/>
  <c r="AA5977" i="1"/>
  <c r="AA5978" i="1" s="1"/>
  <c r="AA5975" i="1"/>
  <c r="AA5976" i="1" s="1"/>
  <c r="AA5973" i="1"/>
  <c r="AA5974" i="1" s="1"/>
  <c r="AA5972" i="1"/>
  <c r="Z5978" i="1"/>
  <c r="Z5977" i="1"/>
  <c r="Z5976" i="1"/>
  <c r="Z5975" i="1"/>
  <c r="Z5974" i="1"/>
  <c r="Z5973" i="1"/>
  <c r="Z5972" i="1"/>
  <c r="AA5968" i="1"/>
  <c r="AA5969" i="1" s="1"/>
  <c r="AA5966" i="1"/>
  <c r="AA5967" i="1" s="1"/>
  <c r="AA5964" i="1"/>
  <c r="AA5965" i="1" s="1"/>
  <c r="AA5963" i="1"/>
  <c r="Z5969" i="1"/>
  <c r="Z5968" i="1"/>
  <c r="Z5967" i="1"/>
  <c r="Z5966" i="1"/>
  <c r="Z5965" i="1"/>
  <c r="Z5964" i="1"/>
  <c r="Z5963" i="1"/>
  <c r="AA5959" i="1"/>
  <c r="AA5960" i="1" s="1"/>
  <c r="AA5957" i="1"/>
  <c r="AA5958" i="1" s="1"/>
  <c r="AA5955" i="1"/>
  <c r="AA5956" i="1" s="1"/>
  <c r="AA5954" i="1"/>
  <c r="Z5960" i="1"/>
  <c r="Z5959" i="1"/>
  <c r="Z5958" i="1"/>
  <c r="Z5957" i="1"/>
  <c r="Z5956" i="1"/>
  <c r="Z5955" i="1"/>
  <c r="Z5954" i="1"/>
  <c r="AA5950" i="1"/>
  <c r="AA5951" i="1" s="1"/>
  <c r="AA5948" i="1"/>
  <c r="AA5949" i="1" s="1"/>
  <c r="AA5946" i="1"/>
  <c r="AA5947" i="1" s="1"/>
  <c r="AA5945" i="1"/>
  <c r="Z5945" i="1"/>
  <c r="Z5951" i="1"/>
  <c r="Z5950" i="1"/>
  <c r="Z5949" i="1"/>
  <c r="Z5948" i="1"/>
  <c r="Z5947" i="1"/>
  <c r="Z5946" i="1"/>
  <c r="AA6031" i="1" l="1"/>
  <c r="AA6026" i="1"/>
  <c r="AA6021" i="1"/>
  <c r="Z5904" i="1"/>
  <c r="Z5919" i="1"/>
  <c r="AA5918" i="1"/>
  <c r="AA5919" i="1" s="1"/>
  <c r="Z5918" i="1"/>
  <c r="Z5917" i="1"/>
  <c r="AA5916" i="1"/>
  <c r="AA5917" i="1" s="1"/>
  <c r="Z5916" i="1"/>
  <c r="Z5915" i="1"/>
  <c r="AA5914" i="1"/>
  <c r="AA5915" i="1" s="1"/>
  <c r="Z5914" i="1"/>
  <c r="Z5913" i="1"/>
  <c r="AA5912" i="1"/>
  <c r="AA5913" i="1" s="1"/>
  <c r="Z5912" i="1"/>
  <c r="AA5911" i="1"/>
  <c r="Z5911" i="1"/>
  <c r="Z5909" i="1"/>
  <c r="Z5908" i="1"/>
  <c r="Z5907" i="1"/>
  <c r="Z5906" i="1"/>
  <c r="AA5905" i="1"/>
  <c r="AA5906" i="1" s="1"/>
  <c r="Z5905" i="1"/>
  <c r="Z5903" i="1"/>
  <c r="AA5901" i="1"/>
  <c r="Z5901" i="1"/>
  <c r="Z5900" i="1"/>
  <c r="Z5899" i="1"/>
  <c r="Z5898" i="1"/>
  <c r="AA5897" i="1"/>
  <c r="AA5898" i="1" s="1"/>
  <c r="Z5897" i="1"/>
  <c r="AA5896" i="1"/>
  <c r="AA5899" i="1" s="1"/>
  <c r="Z5896" i="1"/>
  <c r="Z5894" i="1"/>
  <c r="AA5893" i="1"/>
  <c r="AA5894" i="1" s="1"/>
  <c r="Z5893" i="1"/>
  <c r="Z5892" i="1"/>
  <c r="AA5891" i="1"/>
  <c r="AA5892" i="1" s="1"/>
  <c r="Z5891" i="1"/>
  <c r="Z5935" i="1"/>
  <c r="AA5934" i="1"/>
  <c r="AA5935" i="1" s="1"/>
  <c r="Z5934" i="1"/>
  <c r="Z5933" i="1"/>
  <c r="AA5932" i="1"/>
  <c r="AA5933" i="1" s="1"/>
  <c r="Z5932" i="1"/>
  <c r="Z5931" i="1"/>
  <c r="AA5930" i="1"/>
  <c r="AA5931" i="1" s="1"/>
  <c r="Z5930" i="1"/>
  <c r="Z5929" i="1"/>
  <c r="AA5928" i="1"/>
  <c r="AA5929" i="1" s="1"/>
  <c r="Z5928" i="1"/>
  <c r="AA5927" i="1"/>
  <c r="Z5927" i="1"/>
  <c r="Z5925" i="1"/>
  <c r="AA5924" i="1"/>
  <c r="AA5925" i="1" s="1"/>
  <c r="Z5924" i="1"/>
  <c r="Z5923" i="1"/>
  <c r="AA5922" i="1"/>
  <c r="AA5923" i="1" s="1"/>
  <c r="Z5922" i="1"/>
  <c r="AA5882" i="1"/>
  <c r="AA5883" i="1" s="1"/>
  <c r="AA5880" i="1"/>
  <c r="AA5881" i="1" s="1"/>
  <c r="AA5878" i="1"/>
  <c r="AA5879" i="1" s="1"/>
  <c r="AA5876" i="1"/>
  <c r="AA5877" i="1" s="1"/>
  <c r="AA5875" i="1"/>
  <c r="AA5872" i="1"/>
  <c r="AA5873" i="1" s="1"/>
  <c r="AA5870" i="1"/>
  <c r="AA5871" i="1" s="1"/>
  <c r="Z5883" i="1"/>
  <c r="Z5882" i="1"/>
  <c r="Z5881" i="1"/>
  <c r="Z5880" i="1"/>
  <c r="Z5879" i="1"/>
  <c r="Z5878" i="1"/>
  <c r="Z5877" i="1"/>
  <c r="Z5876" i="1"/>
  <c r="Z5875" i="1"/>
  <c r="Z5873" i="1"/>
  <c r="Z5872" i="1"/>
  <c r="Z5871" i="1"/>
  <c r="Z5870" i="1"/>
  <c r="AA5866" i="1"/>
  <c r="AA5867" i="1" s="1"/>
  <c r="AA5864" i="1"/>
  <c r="AA5865" i="1" s="1"/>
  <c r="AA5862" i="1"/>
  <c r="AA5863" i="1" s="1"/>
  <c r="AA5860" i="1"/>
  <c r="AA5861" i="1" s="1"/>
  <c r="AA5859" i="1"/>
  <c r="AA5842" i="1"/>
  <c r="AA5843" i="1" s="1"/>
  <c r="AA5840" i="1"/>
  <c r="AA5841" i="1" s="1"/>
  <c r="Z5867" i="1"/>
  <c r="Z5866" i="1"/>
  <c r="Z5865" i="1"/>
  <c r="Z5864" i="1"/>
  <c r="Z5863" i="1"/>
  <c r="Z5862" i="1"/>
  <c r="Z5861" i="1"/>
  <c r="Z5860" i="1"/>
  <c r="Z5859" i="1"/>
  <c r="Z5857" i="1"/>
  <c r="Z5856" i="1"/>
  <c r="Z5855" i="1"/>
  <c r="Z5854" i="1"/>
  <c r="AA5853" i="1"/>
  <c r="AA5856" i="1" s="1"/>
  <c r="AA5857" i="1" s="1"/>
  <c r="Z5853" i="1"/>
  <c r="Z5852" i="1"/>
  <c r="AA5850" i="1"/>
  <c r="Z5850" i="1"/>
  <c r="Z5849" i="1"/>
  <c r="Z5848" i="1"/>
  <c r="Z5847" i="1"/>
  <c r="AA5846" i="1"/>
  <c r="AA5849" i="1" s="1"/>
  <c r="Z5846" i="1"/>
  <c r="AA5845" i="1"/>
  <c r="AA5848" i="1" s="1"/>
  <c r="Z5845" i="1"/>
  <c r="Z5843" i="1"/>
  <c r="Z5842" i="1"/>
  <c r="Z5841" i="1"/>
  <c r="Z5840" i="1"/>
  <c r="AA5834" i="1"/>
  <c r="AA5835" i="1" s="1"/>
  <c r="AA5832" i="1"/>
  <c r="AA5833" i="1" s="1"/>
  <c r="AA5830" i="1"/>
  <c r="AA5831" i="1" s="1"/>
  <c r="AA5829" i="1"/>
  <c r="AA5820" i="1"/>
  <c r="AA5815" i="1"/>
  <c r="AA5818" i="1" s="1"/>
  <c r="AA5816" i="1"/>
  <c r="AA5819" i="1" s="1"/>
  <c r="AA5812" i="1"/>
  <c r="AA5813" i="1" s="1"/>
  <c r="AA5810" i="1"/>
  <c r="AA5811" i="1" s="1"/>
  <c r="Z5837" i="1"/>
  <c r="AA5836" i="1"/>
  <c r="AA5837" i="1" s="1"/>
  <c r="Z5836" i="1"/>
  <c r="Z5835" i="1"/>
  <c r="Z5834" i="1"/>
  <c r="Z5833" i="1"/>
  <c r="Z5832" i="1"/>
  <c r="Z5831" i="1"/>
  <c r="Z5830" i="1"/>
  <c r="Z5829" i="1"/>
  <c r="Z5827" i="1"/>
  <c r="Z5826" i="1"/>
  <c r="Z5825" i="1"/>
  <c r="Z5824" i="1"/>
  <c r="AA5823" i="1"/>
  <c r="AA5826" i="1" s="1"/>
  <c r="AA5827" i="1" s="1"/>
  <c r="Z5823" i="1"/>
  <c r="Z5822" i="1"/>
  <c r="Z5820" i="1"/>
  <c r="Z5819" i="1"/>
  <c r="Z5818" i="1"/>
  <c r="Z5817" i="1"/>
  <c r="Z5816" i="1"/>
  <c r="Z5815" i="1"/>
  <c r="Z5813" i="1"/>
  <c r="Z5812" i="1"/>
  <c r="Z5811" i="1"/>
  <c r="Z5810" i="1"/>
  <c r="Z5789" i="1"/>
  <c r="Z5804" i="1"/>
  <c r="AA5803" i="1"/>
  <c r="AA5804" i="1" s="1"/>
  <c r="Z5803" i="1"/>
  <c r="Z5802" i="1"/>
  <c r="AA5801" i="1"/>
  <c r="AA5802" i="1" s="1"/>
  <c r="Z5801" i="1"/>
  <c r="Z5800" i="1"/>
  <c r="AA5799" i="1"/>
  <c r="AA5800" i="1" s="1"/>
  <c r="Z5799" i="1"/>
  <c r="Z5798" i="1"/>
  <c r="AA5797" i="1"/>
  <c r="AA5798" i="1" s="1"/>
  <c r="Z5797" i="1"/>
  <c r="AA5796" i="1"/>
  <c r="Z5796" i="1"/>
  <c r="Z5794" i="1"/>
  <c r="Z5793" i="1"/>
  <c r="Z5792" i="1"/>
  <c r="Z5791" i="1"/>
  <c r="AA5790" i="1"/>
  <c r="AA5791" i="1" s="1"/>
  <c r="Z5790" i="1"/>
  <c r="Z5788" i="1"/>
  <c r="AA5786" i="1"/>
  <c r="Z5786" i="1"/>
  <c r="Z5785" i="1"/>
  <c r="Z5784" i="1"/>
  <c r="Z5783" i="1"/>
  <c r="AA5782" i="1"/>
  <c r="AA5783" i="1" s="1"/>
  <c r="Z5782" i="1"/>
  <c r="AA5781" i="1"/>
  <c r="AA5784" i="1" s="1"/>
  <c r="Z5781" i="1"/>
  <c r="Z5779" i="1"/>
  <c r="AA5778" i="1"/>
  <c r="AA5779" i="1" s="1"/>
  <c r="Z5778" i="1"/>
  <c r="Z5777" i="1"/>
  <c r="AA5776" i="1"/>
  <c r="AA5777" i="1" s="1"/>
  <c r="Z5776" i="1"/>
  <c r="AA5760" i="1"/>
  <c r="AA5761" i="1" s="1"/>
  <c r="AA5758" i="1"/>
  <c r="AA5759" i="1" s="1"/>
  <c r="AA5756" i="1"/>
  <c r="AA5757" i="1" s="1"/>
  <c r="AA5754" i="1"/>
  <c r="AA5755" i="1" s="1"/>
  <c r="AA5753" i="1"/>
  <c r="AA5736" i="1"/>
  <c r="AA5737" i="1" s="1"/>
  <c r="AA5734" i="1"/>
  <c r="AA5735" i="1" s="1"/>
  <c r="Z5761" i="1"/>
  <c r="Z5760" i="1"/>
  <c r="Z5759" i="1"/>
  <c r="Z5758" i="1"/>
  <c r="Z5757" i="1"/>
  <c r="Z5756" i="1"/>
  <c r="Z5755" i="1"/>
  <c r="Z5754" i="1"/>
  <c r="Z5753" i="1"/>
  <c r="Z5751" i="1"/>
  <c r="Z5750" i="1"/>
  <c r="Z5749" i="1"/>
  <c r="Z5748" i="1"/>
  <c r="AA5747" i="1"/>
  <c r="AA5748" i="1" s="1"/>
  <c r="Z5747" i="1"/>
  <c r="Z5746" i="1"/>
  <c r="AA5744" i="1"/>
  <c r="Z5744" i="1"/>
  <c r="Z5743" i="1"/>
  <c r="Z5742" i="1"/>
  <c r="Z5741" i="1"/>
  <c r="AA5740" i="1"/>
  <c r="AA5741" i="1" s="1"/>
  <c r="Z5740" i="1"/>
  <c r="AA5739" i="1"/>
  <c r="AA5742" i="1" s="1"/>
  <c r="Z5739" i="1"/>
  <c r="Z5737" i="1"/>
  <c r="Z5736" i="1"/>
  <c r="Z5735" i="1"/>
  <c r="Z5734" i="1"/>
  <c r="AA5730" i="1"/>
  <c r="AA5731" i="1" s="1"/>
  <c r="AA5728" i="1"/>
  <c r="AA5729" i="1" s="1"/>
  <c r="AA5726" i="1"/>
  <c r="AA5727" i="1" s="1"/>
  <c r="AA5724" i="1"/>
  <c r="AA5725" i="1" s="1"/>
  <c r="AA5723" i="1"/>
  <c r="AA5706" i="1"/>
  <c r="AA5707" i="1" s="1"/>
  <c r="AA5704" i="1"/>
  <c r="AA5705" i="1" s="1"/>
  <c r="Z5731" i="1"/>
  <c r="Z5730" i="1"/>
  <c r="Z5729" i="1"/>
  <c r="Z5728" i="1"/>
  <c r="Z5727" i="1"/>
  <c r="Z5726" i="1"/>
  <c r="Z5725" i="1"/>
  <c r="Z5724" i="1"/>
  <c r="Z5723" i="1"/>
  <c r="Z5721" i="1"/>
  <c r="Z5720" i="1"/>
  <c r="Z5719" i="1"/>
  <c r="Z5718" i="1"/>
  <c r="AA5717" i="1"/>
  <c r="AA5718" i="1" s="1"/>
  <c r="Z5717" i="1"/>
  <c r="Z5716" i="1"/>
  <c r="AA5714" i="1"/>
  <c r="Z5714" i="1"/>
  <c r="Z5713" i="1"/>
  <c r="Z5712" i="1"/>
  <c r="Z5711" i="1"/>
  <c r="AA5710" i="1"/>
  <c r="AA5713" i="1" s="1"/>
  <c r="Z5710" i="1"/>
  <c r="AA5709" i="1"/>
  <c r="AA5712" i="1" s="1"/>
  <c r="Z5709" i="1"/>
  <c r="Z5707" i="1"/>
  <c r="Z5706" i="1"/>
  <c r="Z5705" i="1"/>
  <c r="Z5704" i="1"/>
  <c r="AA5700" i="1"/>
  <c r="AA5701" i="1" s="1"/>
  <c r="AA5698" i="1"/>
  <c r="AA5699" i="1" s="1"/>
  <c r="AA5696" i="1"/>
  <c r="AA5697" i="1" s="1"/>
  <c r="AA5694" i="1"/>
  <c r="AA5695" i="1" s="1"/>
  <c r="AA5693" i="1"/>
  <c r="AA5676" i="1"/>
  <c r="AA5677" i="1" s="1"/>
  <c r="AA5674" i="1"/>
  <c r="AA5675" i="1" s="1"/>
  <c r="Z5701" i="1"/>
  <c r="Z5700" i="1"/>
  <c r="Z5699" i="1"/>
  <c r="Z5698" i="1"/>
  <c r="Z5697" i="1"/>
  <c r="Z5696" i="1"/>
  <c r="Z5695" i="1"/>
  <c r="Z5694" i="1"/>
  <c r="Z5693" i="1"/>
  <c r="Z5691" i="1"/>
  <c r="Z5690" i="1"/>
  <c r="Z5689" i="1"/>
  <c r="Z5688" i="1"/>
  <c r="AA5687" i="1"/>
  <c r="AA5688" i="1" s="1"/>
  <c r="Z5687" i="1"/>
  <c r="Z5686" i="1"/>
  <c r="AA5684" i="1"/>
  <c r="Z5684" i="1"/>
  <c r="Z5683" i="1"/>
  <c r="Z5682" i="1"/>
  <c r="Z5681" i="1"/>
  <c r="AA5680" i="1"/>
  <c r="AA5683" i="1" s="1"/>
  <c r="Z5680" i="1"/>
  <c r="AA5679" i="1"/>
  <c r="AA5682" i="1" s="1"/>
  <c r="Z5679" i="1"/>
  <c r="Z5677" i="1"/>
  <c r="Z5676" i="1"/>
  <c r="Z5675" i="1"/>
  <c r="Z5674" i="1"/>
  <c r="AA5670" i="1"/>
  <c r="AA5671" i="1" s="1"/>
  <c r="AA5668" i="1"/>
  <c r="AA5669" i="1" s="1"/>
  <c r="AA5666" i="1"/>
  <c r="AA5667" i="1" s="1"/>
  <c r="AA5664" i="1"/>
  <c r="AA5665" i="1" s="1"/>
  <c r="AA5663" i="1"/>
  <c r="AA5646" i="1"/>
  <c r="AA5647" i="1" s="1"/>
  <c r="AA5616" i="1"/>
  <c r="AA5617" i="1" s="1"/>
  <c r="AA5644" i="1"/>
  <c r="AA5645" i="1" s="1"/>
  <c r="Z5671" i="1"/>
  <c r="Z5670" i="1"/>
  <c r="Z5669" i="1"/>
  <c r="Z5668" i="1"/>
  <c r="Z5667" i="1"/>
  <c r="Z5666" i="1"/>
  <c r="Z5665" i="1"/>
  <c r="Z5664" i="1"/>
  <c r="Z5663" i="1"/>
  <c r="Z5661" i="1"/>
  <c r="Z5660" i="1"/>
  <c r="Z5659" i="1"/>
  <c r="Z5658" i="1"/>
  <c r="AA5657" i="1"/>
  <c r="AA5658" i="1" s="1"/>
  <c r="Z5657" i="1"/>
  <c r="Z5656" i="1"/>
  <c r="AA5654" i="1"/>
  <c r="Z5654" i="1"/>
  <c r="Z5653" i="1"/>
  <c r="Z5652" i="1"/>
  <c r="Z5651" i="1"/>
  <c r="AA5650" i="1"/>
  <c r="AA5653" i="1" s="1"/>
  <c r="Z5650" i="1"/>
  <c r="AA5649" i="1"/>
  <c r="AA5652" i="1" s="1"/>
  <c r="Z5649" i="1"/>
  <c r="Z5647" i="1"/>
  <c r="Z5646" i="1"/>
  <c r="Z5645" i="1"/>
  <c r="Z5644" i="1"/>
  <c r="AA5640" i="1"/>
  <c r="AA5641" i="1" s="1"/>
  <c r="AA5638" i="1"/>
  <c r="AA5639" i="1" s="1"/>
  <c r="AA5636" i="1"/>
  <c r="AA5637" i="1" s="1"/>
  <c r="AA5634" i="1"/>
  <c r="AA5635" i="1" s="1"/>
  <c r="AA5633" i="1"/>
  <c r="AA5614" i="1"/>
  <c r="AA5615" i="1" s="1"/>
  <c r="Z5641" i="1"/>
  <c r="Z5640" i="1"/>
  <c r="Z5639" i="1"/>
  <c r="Z5638" i="1"/>
  <c r="Z5637" i="1"/>
  <c r="Z5636" i="1"/>
  <c r="Z5635" i="1"/>
  <c r="Z5634" i="1"/>
  <c r="Z5633" i="1"/>
  <c r="Z5631" i="1"/>
  <c r="Z5630" i="1"/>
  <c r="Z5629" i="1"/>
  <c r="Z5628" i="1"/>
  <c r="AA5627" i="1"/>
  <c r="AA5628" i="1" s="1"/>
  <c r="Z5627" i="1"/>
  <c r="Z5626" i="1"/>
  <c r="AA5624" i="1"/>
  <c r="Z5624" i="1"/>
  <c r="Z5623" i="1"/>
  <c r="Z5622" i="1"/>
  <c r="Z5621" i="1"/>
  <c r="AA5620" i="1"/>
  <c r="AA5623" i="1" s="1"/>
  <c r="Z5620" i="1"/>
  <c r="AA5619" i="1"/>
  <c r="AA5622" i="1" s="1"/>
  <c r="Z5619" i="1"/>
  <c r="Z5617" i="1"/>
  <c r="Z5616" i="1"/>
  <c r="Z5615" i="1"/>
  <c r="Z5614" i="1"/>
  <c r="Z5610" i="1"/>
  <c r="AA5609" i="1"/>
  <c r="AA5610" i="1" s="1"/>
  <c r="Z5609" i="1"/>
  <c r="Z5608" i="1"/>
  <c r="AA5607" i="1"/>
  <c r="AA5608" i="1" s="1"/>
  <c r="Z5607" i="1"/>
  <c r="Z5606" i="1"/>
  <c r="AA5605" i="1"/>
  <c r="AA5606" i="1" s="1"/>
  <c r="Z5605" i="1"/>
  <c r="Z5604" i="1"/>
  <c r="AA5603" i="1"/>
  <c r="AA5604" i="1" s="1"/>
  <c r="Z5603" i="1"/>
  <c r="AA5602" i="1"/>
  <c r="Z5602" i="1"/>
  <c r="Z5600" i="1"/>
  <c r="Z5599" i="1"/>
  <c r="Z5598" i="1"/>
  <c r="Z5597" i="1"/>
  <c r="AA5596" i="1"/>
  <c r="AA5599" i="1" s="1"/>
  <c r="AA5600" i="1" s="1"/>
  <c r="Z5596" i="1"/>
  <c r="Z5595" i="1"/>
  <c r="AA5593" i="1"/>
  <c r="Z5593" i="1"/>
  <c r="Z5592" i="1"/>
  <c r="Z5591" i="1"/>
  <c r="Z5590" i="1"/>
  <c r="AA5589" i="1"/>
  <c r="AA5590" i="1" s="1"/>
  <c r="Z5589" i="1"/>
  <c r="AA5588" i="1"/>
  <c r="AA5591" i="1" s="1"/>
  <c r="Z5588" i="1"/>
  <c r="Z5586" i="1"/>
  <c r="AA5585" i="1"/>
  <c r="AA5586" i="1" s="1"/>
  <c r="Z5585" i="1"/>
  <c r="Z5584" i="1"/>
  <c r="AA5583" i="1"/>
  <c r="AA5584" i="1" s="1"/>
  <c r="Z5583" i="1"/>
  <c r="Z5580" i="1"/>
  <c r="AA5579" i="1"/>
  <c r="AA5580" i="1" s="1"/>
  <c r="Z5579" i="1"/>
  <c r="Z5578" i="1"/>
  <c r="AA5577" i="1"/>
  <c r="AA5578" i="1" s="1"/>
  <c r="Z5577" i="1"/>
  <c r="Z5576" i="1"/>
  <c r="AA5575" i="1"/>
  <c r="AA5576" i="1" s="1"/>
  <c r="Z5575" i="1"/>
  <c r="Z5574" i="1"/>
  <c r="AA5573" i="1"/>
  <c r="AA5574" i="1" s="1"/>
  <c r="Z5573" i="1"/>
  <c r="AA5572" i="1"/>
  <c r="Z5572" i="1"/>
  <c r="Z5570" i="1"/>
  <c r="Z5569" i="1"/>
  <c r="Z5568" i="1"/>
  <c r="Z5567" i="1"/>
  <c r="AA5566" i="1"/>
  <c r="AA5567" i="1" s="1"/>
  <c r="Z5566" i="1"/>
  <c r="Z5565" i="1"/>
  <c r="AA5563" i="1"/>
  <c r="Z5563" i="1"/>
  <c r="Z5562" i="1"/>
  <c r="Z5561" i="1"/>
  <c r="Z5560" i="1"/>
  <c r="AA5559" i="1"/>
  <c r="AA5562" i="1" s="1"/>
  <c r="Z5559" i="1"/>
  <c r="AA5558" i="1"/>
  <c r="AA5561" i="1" s="1"/>
  <c r="Z5558" i="1"/>
  <c r="Z5556" i="1"/>
  <c r="AA5555" i="1"/>
  <c r="AA5556" i="1" s="1"/>
  <c r="Z5555" i="1"/>
  <c r="Z5554" i="1"/>
  <c r="AA5553" i="1"/>
  <c r="AA5554" i="1" s="1"/>
  <c r="Z5553" i="1"/>
  <c r="Z5526" i="1"/>
  <c r="Z5495" i="1"/>
  <c r="Z5464" i="1"/>
  <c r="Z5541" i="1"/>
  <c r="AA5540" i="1"/>
  <c r="AA5541" i="1" s="1"/>
  <c r="Z5540" i="1"/>
  <c r="Z5539" i="1"/>
  <c r="AA5538" i="1"/>
  <c r="AA5539" i="1" s="1"/>
  <c r="Z5538" i="1"/>
  <c r="Z5537" i="1"/>
  <c r="AA5536" i="1"/>
  <c r="AA5537" i="1" s="1"/>
  <c r="Z5536" i="1"/>
  <c r="Z5535" i="1"/>
  <c r="AA5534" i="1"/>
  <c r="AA5535" i="1" s="1"/>
  <c r="Z5534" i="1"/>
  <c r="AA5533" i="1"/>
  <c r="Z5533" i="1"/>
  <c r="Z5531" i="1"/>
  <c r="Z5530" i="1"/>
  <c r="Z5529" i="1"/>
  <c r="Z5528" i="1"/>
  <c r="AA5527" i="1"/>
  <c r="AA5530" i="1" s="1"/>
  <c r="AA5531" i="1" s="1"/>
  <c r="Z5527" i="1"/>
  <c r="Z5525" i="1"/>
  <c r="AA5523" i="1"/>
  <c r="Z5523" i="1"/>
  <c r="Z5522" i="1"/>
  <c r="Z5521" i="1"/>
  <c r="Z5520" i="1"/>
  <c r="AA5519" i="1"/>
  <c r="AA5522" i="1" s="1"/>
  <c r="Z5519" i="1"/>
  <c r="AA5518" i="1"/>
  <c r="AA5521" i="1" s="1"/>
  <c r="Z5518" i="1"/>
  <c r="Z5516" i="1"/>
  <c r="AA5515" i="1"/>
  <c r="AA5516" i="1" s="1"/>
  <c r="Z5515" i="1"/>
  <c r="Z5514" i="1"/>
  <c r="AA5513" i="1"/>
  <c r="AA5514" i="1" s="1"/>
  <c r="Z5513" i="1"/>
  <c r="Z5510" i="1"/>
  <c r="AA5509" i="1"/>
  <c r="AA5510" i="1" s="1"/>
  <c r="Z5509" i="1"/>
  <c r="Z5508" i="1"/>
  <c r="AA5507" i="1"/>
  <c r="AA5508" i="1" s="1"/>
  <c r="Z5507" i="1"/>
  <c r="Z5506" i="1"/>
  <c r="AA5505" i="1"/>
  <c r="AA5506" i="1" s="1"/>
  <c r="Z5505" i="1"/>
  <c r="Z5504" i="1"/>
  <c r="AA5503" i="1"/>
  <c r="AA5504" i="1" s="1"/>
  <c r="Z5503" i="1"/>
  <c r="AA5502" i="1"/>
  <c r="Z5502" i="1"/>
  <c r="Z5500" i="1"/>
  <c r="Z5499" i="1"/>
  <c r="Z5498" i="1"/>
  <c r="Z5497" i="1"/>
  <c r="AA5496" i="1"/>
  <c r="AA5497" i="1" s="1"/>
  <c r="Z5496" i="1"/>
  <c r="Z5494" i="1"/>
  <c r="AA5492" i="1"/>
  <c r="Z5492" i="1"/>
  <c r="Z5491" i="1"/>
  <c r="Z5490" i="1"/>
  <c r="Z5489" i="1"/>
  <c r="AA5488" i="1"/>
  <c r="AA5491" i="1" s="1"/>
  <c r="Z5488" i="1"/>
  <c r="AA5487" i="1"/>
  <c r="AA5490" i="1" s="1"/>
  <c r="Z5487" i="1"/>
  <c r="Z5485" i="1"/>
  <c r="AA5484" i="1"/>
  <c r="AA5485" i="1" s="1"/>
  <c r="Z5484" i="1"/>
  <c r="Z5483" i="1"/>
  <c r="AA5482" i="1"/>
  <c r="AA5483" i="1" s="1"/>
  <c r="Z5482" i="1"/>
  <c r="Z5479" i="1"/>
  <c r="AA5478" i="1"/>
  <c r="AA5479" i="1" s="1"/>
  <c r="Z5478" i="1"/>
  <c r="Z5477" i="1"/>
  <c r="AA5476" i="1"/>
  <c r="AA5477" i="1" s="1"/>
  <c r="Z5476" i="1"/>
  <c r="Z5475" i="1"/>
  <c r="AA5474" i="1"/>
  <c r="AA5475" i="1" s="1"/>
  <c r="Z5474" i="1"/>
  <c r="Z5473" i="1"/>
  <c r="AA5472" i="1"/>
  <c r="AA5473" i="1" s="1"/>
  <c r="Z5472" i="1"/>
  <c r="AA5471" i="1"/>
  <c r="Z5471" i="1"/>
  <c r="Z5469" i="1"/>
  <c r="Z5468" i="1"/>
  <c r="Z5467" i="1"/>
  <c r="Z5466" i="1"/>
  <c r="AA5465" i="1"/>
  <c r="AA5466" i="1" s="1"/>
  <c r="Z5465" i="1"/>
  <c r="Z5463" i="1"/>
  <c r="AA5461" i="1"/>
  <c r="Z5461" i="1"/>
  <c r="Z5460" i="1"/>
  <c r="Z5459" i="1"/>
  <c r="Z5458" i="1"/>
  <c r="AA5457" i="1"/>
  <c r="AA5458" i="1" s="1"/>
  <c r="Z5457" i="1"/>
  <c r="AA5456" i="1"/>
  <c r="AA5459" i="1" s="1"/>
  <c r="Z5456" i="1"/>
  <c r="Z5454" i="1"/>
  <c r="AA5453" i="1"/>
  <c r="AA5454" i="1" s="1"/>
  <c r="Z5453" i="1"/>
  <c r="Z5452" i="1"/>
  <c r="AA5451" i="1"/>
  <c r="AA5452" i="1" s="1"/>
  <c r="Z5451" i="1"/>
  <c r="AA5442" i="1"/>
  <c r="AA5443" i="1" s="1"/>
  <c r="AA5440" i="1"/>
  <c r="AA5441" i="1" s="1"/>
  <c r="AA5438" i="1"/>
  <c r="AA5439" i="1" s="1"/>
  <c r="AA5436" i="1"/>
  <c r="AA5437" i="1" s="1"/>
  <c r="AA5435" i="1"/>
  <c r="AA5418" i="1"/>
  <c r="AA5419" i="1" s="1"/>
  <c r="AA5416" i="1"/>
  <c r="AA5417" i="1" s="1"/>
  <c r="Z5443" i="1"/>
  <c r="Z5442" i="1"/>
  <c r="Z5441" i="1"/>
  <c r="Z5440" i="1"/>
  <c r="Z5439" i="1"/>
  <c r="Z5438" i="1"/>
  <c r="Z5437" i="1"/>
  <c r="Z5436" i="1"/>
  <c r="Z5435" i="1"/>
  <c r="Z5433" i="1"/>
  <c r="Z5432" i="1"/>
  <c r="Z5431" i="1"/>
  <c r="Z5430" i="1"/>
  <c r="AA5429" i="1"/>
  <c r="AA5430" i="1" s="1"/>
  <c r="Z5429" i="1"/>
  <c r="AA5426" i="1"/>
  <c r="Z5426" i="1"/>
  <c r="Z5425" i="1"/>
  <c r="Z5424" i="1"/>
  <c r="Z5423" i="1"/>
  <c r="AA5422" i="1"/>
  <c r="AA5423" i="1" s="1"/>
  <c r="Z5422" i="1"/>
  <c r="AA5421" i="1"/>
  <c r="AA5424" i="1" s="1"/>
  <c r="Z5421" i="1"/>
  <c r="Z5419" i="1"/>
  <c r="Z5418" i="1"/>
  <c r="Z5417" i="1"/>
  <c r="Z5416" i="1"/>
  <c r="AA5412" i="1"/>
  <c r="AA5413" i="1" s="1"/>
  <c r="AA5410" i="1"/>
  <c r="AA5411" i="1" s="1"/>
  <c r="AA5408" i="1"/>
  <c r="AA5409" i="1" s="1"/>
  <c r="AA5406" i="1"/>
  <c r="AA5407" i="1" s="1"/>
  <c r="AA5405" i="1"/>
  <c r="AA5388" i="1"/>
  <c r="AA5389" i="1" s="1"/>
  <c r="AA5386" i="1"/>
  <c r="AA5387" i="1" s="1"/>
  <c r="Z5413" i="1"/>
  <c r="Z5412" i="1"/>
  <c r="Z5411" i="1"/>
  <c r="Z5410" i="1"/>
  <c r="Z5409" i="1"/>
  <c r="Z5408" i="1"/>
  <c r="Z5407" i="1"/>
  <c r="Z5406" i="1"/>
  <c r="Z5405" i="1"/>
  <c r="Z5403" i="1"/>
  <c r="Z5402" i="1"/>
  <c r="Z5401" i="1"/>
  <c r="Z5400" i="1"/>
  <c r="AA5399" i="1"/>
  <c r="AA5400" i="1" s="1"/>
  <c r="Z5399" i="1"/>
  <c r="Z5398" i="1"/>
  <c r="AA5396" i="1"/>
  <c r="Z5396" i="1"/>
  <c r="Z5395" i="1"/>
  <c r="Z5394" i="1"/>
  <c r="Z5393" i="1"/>
  <c r="AA5392" i="1"/>
  <c r="AA5393" i="1" s="1"/>
  <c r="Z5392" i="1"/>
  <c r="AA5391" i="1"/>
  <c r="AA5394" i="1" s="1"/>
  <c r="Z5391" i="1"/>
  <c r="Z5389" i="1"/>
  <c r="Z5388" i="1"/>
  <c r="Z5387" i="1"/>
  <c r="Z5386" i="1"/>
  <c r="AA5382" i="1"/>
  <c r="AA5383" i="1" s="1"/>
  <c r="AA5380" i="1"/>
  <c r="AA5381" i="1" s="1"/>
  <c r="AA5378" i="1"/>
  <c r="AA5379" i="1" s="1"/>
  <c r="AA5376" i="1"/>
  <c r="AA5377" i="1" s="1"/>
  <c r="AA5375" i="1"/>
  <c r="AA5358" i="1"/>
  <c r="AA5359" i="1" s="1"/>
  <c r="AA5356" i="1"/>
  <c r="AA5357" i="1" s="1"/>
  <c r="Z5383" i="1"/>
  <c r="Z5382" i="1"/>
  <c r="Z5381" i="1"/>
  <c r="Z5380" i="1"/>
  <c r="Z5379" i="1"/>
  <c r="Z5378" i="1"/>
  <c r="Z5377" i="1"/>
  <c r="Z5376" i="1"/>
  <c r="Z5375" i="1"/>
  <c r="Z5373" i="1"/>
  <c r="Z5372" i="1"/>
  <c r="Z5371" i="1"/>
  <c r="Z5370" i="1"/>
  <c r="AA5369" i="1"/>
  <c r="AA5372" i="1" s="1"/>
  <c r="AA5373" i="1" s="1"/>
  <c r="Z5369" i="1"/>
  <c r="Z5368" i="1"/>
  <c r="AA5366" i="1"/>
  <c r="Z5366" i="1"/>
  <c r="Z5365" i="1"/>
  <c r="Z5364" i="1"/>
  <c r="Z5363" i="1"/>
  <c r="AA5362" i="1"/>
  <c r="AA5363" i="1" s="1"/>
  <c r="Z5362" i="1"/>
  <c r="AA5361" i="1"/>
  <c r="AA5364" i="1" s="1"/>
  <c r="Z5361" i="1"/>
  <c r="Z5359" i="1"/>
  <c r="Z5358" i="1"/>
  <c r="Z5357" i="1"/>
  <c r="Z5356" i="1"/>
  <c r="AA5352" i="1"/>
  <c r="AA5353" i="1" s="1"/>
  <c r="AA5350" i="1"/>
  <c r="AA5351" i="1" s="1"/>
  <c r="AA5348" i="1"/>
  <c r="AA5349" i="1" s="1"/>
  <c r="AA5346" i="1"/>
  <c r="AA5347" i="1" s="1"/>
  <c r="AA5345" i="1"/>
  <c r="AA5328" i="1"/>
  <c r="AA5329" i="1" s="1"/>
  <c r="AA5326" i="1"/>
  <c r="AA5327" i="1" s="1"/>
  <c r="Z5353" i="1"/>
  <c r="Z5352" i="1"/>
  <c r="Z5351" i="1"/>
  <c r="Z5350" i="1"/>
  <c r="Z5349" i="1"/>
  <c r="Z5348" i="1"/>
  <c r="Z5347" i="1"/>
  <c r="Z5346" i="1"/>
  <c r="Z5345" i="1"/>
  <c r="Z5343" i="1"/>
  <c r="Z5342" i="1"/>
  <c r="Z5341" i="1"/>
  <c r="Z5340" i="1"/>
  <c r="AA5339" i="1"/>
  <c r="AA5340" i="1" s="1"/>
  <c r="Z5339" i="1"/>
  <c r="Z5338" i="1"/>
  <c r="AA5336" i="1"/>
  <c r="Z5336" i="1"/>
  <c r="Z5335" i="1"/>
  <c r="Z5334" i="1"/>
  <c r="Z5333" i="1"/>
  <c r="AA5332" i="1"/>
  <c r="AA5333" i="1" s="1"/>
  <c r="Z5332" i="1"/>
  <c r="AA5331" i="1"/>
  <c r="AA5334" i="1" s="1"/>
  <c r="Z5331" i="1"/>
  <c r="Z5329" i="1"/>
  <c r="Z5328" i="1"/>
  <c r="Z5327" i="1"/>
  <c r="Z5326" i="1"/>
  <c r="AA5322" i="1"/>
  <c r="AA5323" i="1" s="1"/>
  <c r="AA5320" i="1"/>
  <c r="AA5321" i="1" s="1"/>
  <c r="AA5318" i="1"/>
  <c r="AA5319" i="1" s="1"/>
  <c r="AA5316" i="1"/>
  <c r="AA5317" i="1" s="1"/>
  <c r="AA5315" i="1"/>
  <c r="AA5298" i="1"/>
  <c r="AA5299" i="1" s="1"/>
  <c r="AA5296" i="1"/>
  <c r="AA5297" i="1" s="1"/>
  <c r="Z5323" i="1"/>
  <c r="Z5322" i="1"/>
  <c r="Z5321" i="1"/>
  <c r="Z5320" i="1"/>
  <c r="Z5319" i="1"/>
  <c r="Z5318" i="1"/>
  <c r="Z5317" i="1"/>
  <c r="Z5316" i="1"/>
  <c r="Z5315" i="1"/>
  <c r="Z5313" i="1"/>
  <c r="Z5312" i="1"/>
  <c r="Z5311" i="1"/>
  <c r="Z5310" i="1"/>
  <c r="AA5309" i="1"/>
  <c r="AA5310" i="1" s="1"/>
  <c r="Z5309" i="1"/>
  <c r="Z5308" i="1"/>
  <c r="AA5306" i="1"/>
  <c r="Z5306" i="1"/>
  <c r="Z5305" i="1"/>
  <c r="Z5304" i="1"/>
  <c r="Z5303" i="1"/>
  <c r="AA5302" i="1"/>
  <c r="AA5305" i="1" s="1"/>
  <c r="Z5302" i="1"/>
  <c r="AA5301" i="1"/>
  <c r="AA5304" i="1" s="1"/>
  <c r="Z5301" i="1"/>
  <c r="Z5299" i="1"/>
  <c r="Z5298" i="1"/>
  <c r="Z5297" i="1"/>
  <c r="Z5296" i="1"/>
  <c r="AA5292" i="1"/>
  <c r="AA5293" i="1" s="1"/>
  <c r="AA5290" i="1"/>
  <c r="AA5291" i="1" s="1"/>
  <c r="AA5288" i="1"/>
  <c r="AA5289" i="1" s="1"/>
  <c r="AA5286" i="1"/>
  <c r="AA5287" i="1" s="1"/>
  <c r="AA5285" i="1"/>
  <c r="AA5268" i="1"/>
  <c r="AA5269" i="1" s="1"/>
  <c r="AA5266" i="1"/>
  <c r="AA5267" i="1" s="1"/>
  <c r="Z5293" i="1"/>
  <c r="Z5292" i="1"/>
  <c r="Z5291" i="1"/>
  <c r="Z5290" i="1"/>
  <c r="Z5289" i="1"/>
  <c r="Z5288" i="1"/>
  <c r="Z5287" i="1"/>
  <c r="Z5286" i="1"/>
  <c r="Z5285" i="1"/>
  <c r="Z5283" i="1"/>
  <c r="Z5282" i="1"/>
  <c r="Z5281" i="1"/>
  <c r="Z5280" i="1"/>
  <c r="AA5279" i="1"/>
  <c r="AA5280" i="1" s="1"/>
  <c r="Z5279" i="1"/>
  <c r="Z5278" i="1"/>
  <c r="AA5276" i="1"/>
  <c r="Z5276" i="1"/>
  <c r="Z5275" i="1"/>
  <c r="Z5274" i="1"/>
  <c r="Z5273" i="1"/>
  <c r="AA5272" i="1"/>
  <c r="AA5275" i="1" s="1"/>
  <c r="Z5272" i="1"/>
  <c r="AA5271" i="1"/>
  <c r="AA5274" i="1" s="1"/>
  <c r="Z5271" i="1"/>
  <c r="Z5269" i="1"/>
  <c r="Z5268" i="1"/>
  <c r="Z5267" i="1"/>
  <c r="Z5266" i="1"/>
  <c r="D383" i="6"/>
  <c r="Z5428" i="1" s="1"/>
  <c r="Z5263" i="1"/>
  <c r="AA5262" i="1"/>
  <c r="AA5263" i="1" s="1"/>
  <c r="Z5262" i="1"/>
  <c r="Z5261" i="1"/>
  <c r="AA5260" i="1"/>
  <c r="AA5261" i="1" s="1"/>
  <c r="Z5260" i="1"/>
  <c r="Z5259" i="1"/>
  <c r="AA5258" i="1"/>
  <c r="AA5259" i="1" s="1"/>
  <c r="Z5258" i="1"/>
  <c r="Z5257" i="1"/>
  <c r="AA5256" i="1"/>
  <c r="AA5257" i="1" s="1"/>
  <c r="Z5256" i="1"/>
  <c r="AA5255" i="1"/>
  <c r="Z5255" i="1"/>
  <c r="Z5253" i="1"/>
  <c r="Z5252" i="1"/>
  <c r="Z5251" i="1"/>
  <c r="Z5250" i="1"/>
  <c r="AA5249" i="1"/>
  <c r="AA5250" i="1" s="1"/>
  <c r="Z5249" i="1"/>
  <c r="Z5248" i="1"/>
  <c r="AA5246" i="1"/>
  <c r="Z5246" i="1"/>
  <c r="Z5245" i="1"/>
  <c r="Z5244" i="1"/>
  <c r="Z5243" i="1"/>
  <c r="AA5242" i="1"/>
  <c r="AA5245" i="1" s="1"/>
  <c r="Z5242" i="1"/>
  <c r="AA5241" i="1"/>
  <c r="AA5244" i="1" s="1"/>
  <c r="Z5241" i="1"/>
  <c r="Z5239" i="1"/>
  <c r="AA5238" i="1"/>
  <c r="AA5239" i="1" s="1"/>
  <c r="Z5238" i="1"/>
  <c r="Z5237" i="1"/>
  <c r="AA5236" i="1"/>
  <c r="AA5237" i="1" s="1"/>
  <c r="Z5236" i="1"/>
  <c r="Z5233" i="1"/>
  <c r="AA5232" i="1"/>
  <c r="AA5233" i="1" s="1"/>
  <c r="Z5232" i="1"/>
  <c r="Z5231" i="1"/>
  <c r="AA5230" i="1"/>
  <c r="AA5231" i="1" s="1"/>
  <c r="Z5230" i="1"/>
  <c r="Z5229" i="1"/>
  <c r="AA5228" i="1"/>
  <c r="AA5229" i="1" s="1"/>
  <c r="Z5228" i="1"/>
  <c r="Z5227" i="1"/>
  <c r="AA5226" i="1"/>
  <c r="AA5227" i="1" s="1"/>
  <c r="Z5226" i="1"/>
  <c r="AA5225" i="1"/>
  <c r="Z5225" i="1"/>
  <c r="Z5223" i="1"/>
  <c r="Z5222" i="1"/>
  <c r="Z5221" i="1"/>
  <c r="Z5220" i="1"/>
  <c r="AA5219" i="1"/>
  <c r="AA5220" i="1" s="1"/>
  <c r="Z5219" i="1"/>
  <c r="Z5218" i="1"/>
  <c r="AA5216" i="1"/>
  <c r="Z5216" i="1"/>
  <c r="Z5215" i="1"/>
  <c r="Z5214" i="1"/>
  <c r="Z5213" i="1"/>
  <c r="AA5212" i="1"/>
  <c r="AA5213" i="1" s="1"/>
  <c r="Z5212" i="1"/>
  <c r="AA5211" i="1"/>
  <c r="AA5214" i="1" s="1"/>
  <c r="Z5211" i="1"/>
  <c r="Z5209" i="1"/>
  <c r="AA5208" i="1"/>
  <c r="AA5209" i="1" s="1"/>
  <c r="Z5208" i="1"/>
  <c r="Z5207" i="1"/>
  <c r="AA5206" i="1"/>
  <c r="AA5207" i="1" s="1"/>
  <c r="Z5206" i="1"/>
  <c r="Z5203" i="1"/>
  <c r="AA5202" i="1"/>
  <c r="AA5203" i="1" s="1"/>
  <c r="Z5202" i="1"/>
  <c r="Z5201" i="1"/>
  <c r="AA5200" i="1"/>
  <c r="AA5201" i="1" s="1"/>
  <c r="Z5200" i="1"/>
  <c r="Z5199" i="1"/>
  <c r="AA5198" i="1"/>
  <c r="AA5199" i="1" s="1"/>
  <c r="Z5198" i="1"/>
  <c r="Z5197" i="1"/>
  <c r="AA5196" i="1"/>
  <c r="AA5197" i="1" s="1"/>
  <c r="Z5196" i="1"/>
  <c r="AA5195" i="1"/>
  <c r="Z5195" i="1"/>
  <c r="Z5193" i="1"/>
  <c r="Z5192" i="1"/>
  <c r="Z5191" i="1"/>
  <c r="Z5190" i="1"/>
  <c r="AA5189" i="1"/>
  <c r="AA5190" i="1" s="1"/>
  <c r="Z5189" i="1"/>
  <c r="Z5188" i="1"/>
  <c r="AA5186" i="1"/>
  <c r="Z5186" i="1"/>
  <c r="Z5185" i="1"/>
  <c r="Z5184" i="1"/>
  <c r="Z5183" i="1"/>
  <c r="AA5182" i="1"/>
  <c r="Z5182" i="1"/>
  <c r="AA5181" i="1"/>
  <c r="AA5184" i="1" s="1"/>
  <c r="Z5181" i="1"/>
  <c r="Z5179" i="1"/>
  <c r="AA5178" i="1"/>
  <c r="AA5179" i="1" s="1"/>
  <c r="Z5178" i="1"/>
  <c r="Z5177" i="1"/>
  <c r="AA5176" i="1"/>
  <c r="AA5177" i="1" s="1"/>
  <c r="Z5176" i="1"/>
  <c r="Z5173" i="1"/>
  <c r="AA5172" i="1"/>
  <c r="AA5173" i="1" s="1"/>
  <c r="Z5172" i="1"/>
  <c r="Z5171" i="1"/>
  <c r="AA5170" i="1"/>
  <c r="AA5171" i="1" s="1"/>
  <c r="Z5170" i="1"/>
  <c r="Z5169" i="1"/>
  <c r="AA5168" i="1"/>
  <c r="AA5169" i="1" s="1"/>
  <c r="Z5168" i="1"/>
  <c r="Z5167" i="1"/>
  <c r="AA5166" i="1"/>
  <c r="AA5167" i="1" s="1"/>
  <c r="Z5166" i="1"/>
  <c r="AA5165" i="1"/>
  <c r="Z5165" i="1"/>
  <c r="Z5163" i="1"/>
  <c r="Z5162" i="1"/>
  <c r="Z5161" i="1"/>
  <c r="Z5160" i="1"/>
  <c r="AA5159" i="1"/>
  <c r="AA5160" i="1" s="1"/>
  <c r="Z5159" i="1"/>
  <c r="Z5158" i="1"/>
  <c r="AA5156" i="1"/>
  <c r="Z5156" i="1"/>
  <c r="Z5155" i="1"/>
  <c r="Z5154" i="1"/>
  <c r="Z5153" i="1"/>
  <c r="AA5152" i="1"/>
  <c r="Z5152" i="1"/>
  <c r="AA5151" i="1"/>
  <c r="AA5154" i="1" s="1"/>
  <c r="Z5151" i="1"/>
  <c r="Z5149" i="1"/>
  <c r="AA5148" i="1"/>
  <c r="AA5149" i="1" s="1"/>
  <c r="Z5148" i="1"/>
  <c r="Z5147" i="1"/>
  <c r="AA5146" i="1"/>
  <c r="AA5147" i="1" s="1"/>
  <c r="Z5146" i="1"/>
  <c r="Z5143" i="1"/>
  <c r="AA5142" i="1"/>
  <c r="AA5143" i="1" s="1"/>
  <c r="Z5142" i="1"/>
  <c r="Z5141" i="1"/>
  <c r="AA5140" i="1"/>
  <c r="AA5141" i="1" s="1"/>
  <c r="Z5140" i="1"/>
  <c r="Z5139" i="1"/>
  <c r="AA5138" i="1"/>
  <c r="AA5139" i="1" s="1"/>
  <c r="Z5138" i="1"/>
  <c r="Z5137" i="1"/>
  <c r="AA5136" i="1"/>
  <c r="AA5137" i="1" s="1"/>
  <c r="Z5136" i="1"/>
  <c r="AA5135" i="1"/>
  <c r="Z5135" i="1"/>
  <c r="Z5133" i="1"/>
  <c r="Z5132" i="1"/>
  <c r="Z5131" i="1"/>
  <c r="Z5130" i="1"/>
  <c r="AA5129" i="1"/>
  <c r="AA5130" i="1" s="1"/>
  <c r="Z5129" i="1"/>
  <c r="Z5128" i="1"/>
  <c r="AA5126" i="1"/>
  <c r="Z5126" i="1"/>
  <c r="Z5125" i="1"/>
  <c r="Z5124" i="1"/>
  <c r="Z5123" i="1"/>
  <c r="AA5122" i="1"/>
  <c r="AA5123" i="1" s="1"/>
  <c r="Z5122" i="1"/>
  <c r="AA5121" i="1"/>
  <c r="AA5124" i="1" s="1"/>
  <c r="Z5121" i="1"/>
  <c r="Z5119" i="1"/>
  <c r="AA5118" i="1"/>
  <c r="AA5119" i="1" s="1"/>
  <c r="Z5118" i="1"/>
  <c r="Z5117" i="1"/>
  <c r="AA5116" i="1"/>
  <c r="AA5117" i="1" s="1"/>
  <c r="Z5116" i="1"/>
  <c r="Z5093" i="1"/>
  <c r="Z5108" i="1"/>
  <c r="AA5107" i="1"/>
  <c r="AA5108" i="1" s="1"/>
  <c r="Z5107" i="1"/>
  <c r="Z5106" i="1"/>
  <c r="AA5105" i="1"/>
  <c r="AA5106" i="1" s="1"/>
  <c r="Z5105" i="1"/>
  <c r="Z5104" i="1"/>
  <c r="AA5103" i="1"/>
  <c r="AA5104" i="1" s="1"/>
  <c r="Z5103" i="1"/>
  <c r="Z5102" i="1"/>
  <c r="AA5101" i="1"/>
  <c r="AA5102" i="1" s="1"/>
  <c r="Z5101" i="1"/>
  <c r="AA5100" i="1"/>
  <c r="Z5100" i="1"/>
  <c r="Z5098" i="1"/>
  <c r="Z5097" i="1"/>
  <c r="Z5096" i="1"/>
  <c r="Z5095" i="1"/>
  <c r="AA5094" i="1"/>
  <c r="AA5097" i="1" s="1"/>
  <c r="AA5098" i="1" s="1"/>
  <c r="Z5094" i="1"/>
  <c r="Z5092" i="1"/>
  <c r="AA5090" i="1"/>
  <c r="Z5090" i="1"/>
  <c r="Z5089" i="1"/>
  <c r="Z5088" i="1"/>
  <c r="Z5087" i="1"/>
  <c r="AA5086" i="1"/>
  <c r="AA5089" i="1" s="1"/>
  <c r="Z5086" i="1"/>
  <c r="AA5085" i="1"/>
  <c r="AA5088" i="1" s="1"/>
  <c r="Z5085" i="1"/>
  <c r="Z5083" i="1"/>
  <c r="AA5082" i="1"/>
  <c r="AA5083" i="1" s="1"/>
  <c r="Z5082" i="1"/>
  <c r="Z5081" i="1"/>
  <c r="AA5080" i="1"/>
  <c r="AA5081" i="1" s="1"/>
  <c r="Z5080" i="1"/>
  <c r="Z5062" i="1"/>
  <c r="Z5077" i="1"/>
  <c r="AA5076" i="1"/>
  <c r="AA5077" i="1" s="1"/>
  <c r="Z5076" i="1"/>
  <c r="Z5075" i="1"/>
  <c r="AA5074" i="1"/>
  <c r="AA5075" i="1" s="1"/>
  <c r="Z5074" i="1"/>
  <c r="Z5073" i="1"/>
  <c r="AA5072" i="1"/>
  <c r="AA5073" i="1" s="1"/>
  <c r="Z5072" i="1"/>
  <c r="Z5071" i="1"/>
  <c r="AA5070" i="1"/>
  <c r="AA5071" i="1" s="1"/>
  <c r="Z5070" i="1"/>
  <c r="AA5069" i="1"/>
  <c r="Z5069" i="1"/>
  <c r="Z5067" i="1"/>
  <c r="Z5066" i="1"/>
  <c r="Z5065" i="1"/>
  <c r="Z5064" i="1"/>
  <c r="AA5063" i="1"/>
  <c r="AA5066" i="1" s="1"/>
  <c r="AA5067" i="1" s="1"/>
  <c r="Z5063" i="1"/>
  <c r="Z5061" i="1"/>
  <c r="AA5059" i="1"/>
  <c r="Z5059" i="1"/>
  <c r="Z5058" i="1"/>
  <c r="Z5057" i="1"/>
  <c r="Z5056" i="1"/>
  <c r="AA5055" i="1"/>
  <c r="AA5056" i="1" s="1"/>
  <c r="Z5055" i="1"/>
  <c r="AA5054" i="1"/>
  <c r="AA5057" i="1" s="1"/>
  <c r="Z5054" i="1"/>
  <c r="Z5052" i="1"/>
  <c r="AA5051" i="1"/>
  <c r="AA5052" i="1" s="1"/>
  <c r="Z5051" i="1"/>
  <c r="Z5050" i="1"/>
  <c r="AA5049" i="1"/>
  <c r="AA5050" i="1" s="1"/>
  <c r="Z5049" i="1"/>
  <c r="Z5031" i="1"/>
  <c r="Z5046" i="1"/>
  <c r="AA5045" i="1"/>
  <c r="AA5046" i="1" s="1"/>
  <c r="Z5045" i="1"/>
  <c r="Z5044" i="1"/>
  <c r="AA5043" i="1"/>
  <c r="AA5044" i="1" s="1"/>
  <c r="Z5043" i="1"/>
  <c r="Z5042" i="1"/>
  <c r="AA5041" i="1"/>
  <c r="AA5042" i="1" s="1"/>
  <c r="Z5041" i="1"/>
  <c r="Z5040" i="1"/>
  <c r="AA5039" i="1"/>
  <c r="AA5040" i="1" s="1"/>
  <c r="Z5039" i="1"/>
  <c r="AA5038" i="1"/>
  <c r="Z5038" i="1"/>
  <c r="Z5036" i="1"/>
  <c r="Z5035" i="1"/>
  <c r="Z5034" i="1"/>
  <c r="Z5033" i="1"/>
  <c r="AA5032" i="1"/>
  <c r="AA5035" i="1" s="1"/>
  <c r="AA5036" i="1" s="1"/>
  <c r="Z5032" i="1"/>
  <c r="Z5030" i="1"/>
  <c r="AA5028" i="1"/>
  <c r="Z5028" i="1"/>
  <c r="Z5027" i="1"/>
  <c r="Z5026" i="1"/>
  <c r="Z5025" i="1"/>
  <c r="AA5024" i="1"/>
  <c r="AA5027" i="1" s="1"/>
  <c r="Z5024" i="1"/>
  <c r="AA5023" i="1"/>
  <c r="AA5026" i="1" s="1"/>
  <c r="Z5023" i="1"/>
  <c r="Z5021" i="1"/>
  <c r="AA5020" i="1"/>
  <c r="AA5021" i="1" s="1"/>
  <c r="Z5020" i="1"/>
  <c r="Z5019" i="1"/>
  <c r="AA5018" i="1"/>
  <c r="AA5019" i="1" s="1"/>
  <c r="Z5018" i="1"/>
  <c r="Z5000" i="1"/>
  <c r="Z5015" i="1"/>
  <c r="AA5014" i="1"/>
  <c r="AA5015" i="1" s="1"/>
  <c r="Z5014" i="1"/>
  <c r="Z5013" i="1"/>
  <c r="AA5012" i="1"/>
  <c r="AA5013" i="1" s="1"/>
  <c r="Z5012" i="1"/>
  <c r="Z5011" i="1"/>
  <c r="AA5010" i="1"/>
  <c r="AA5011" i="1" s="1"/>
  <c r="Z5010" i="1"/>
  <c r="Z5009" i="1"/>
  <c r="AA5008" i="1"/>
  <c r="AA5009" i="1" s="1"/>
  <c r="Z5008" i="1"/>
  <c r="AA5007" i="1"/>
  <c r="Z5007" i="1"/>
  <c r="Z5005" i="1"/>
  <c r="Z5004" i="1"/>
  <c r="Z5003" i="1"/>
  <c r="Z5002" i="1"/>
  <c r="AA5001" i="1"/>
  <c r="AA5004" i="1" s="1"/>
  <c r="AA5005" i="1" s="1"/>
  <c r="Z5001" i="1"/>
  <c r="Z4999" i="1"/>
  <c r="AA4997" i="1"/>
  <c r="Z4997" i="1"/>
  <c r="Z4996" i="1"/>
  <c r="Z4995" i="1"/>
  <c r="Z4994" i="1"/>
  <c r="AA4993" i="1"/>
  <c r="AA4994" i="1" s="1"/>
  <c r="Z4993" i="1"/>
  <c r="AA4992" i="1"/>
  <c r="AA4995" i="1" s="1"/>
  <c r="Z4992" i="1"/>
  <c r="Z4990" i="1"/>
  <c r="AA4989" i="1"/>
  <c r="AA4990" i="1" s="1"/>
  <c r="Z4989" i="1"/>
  <c r="Z4988" i="1"/>
  <c r="AA4987" i="1"/>
  <c r="AA4988" i="1" s="1"/>
  <c r="Z4987" i="1"/>
  <c r="AA4969" i="1"/>
  <c r="AA4970" i="1" s="1"/>
  <c r="AA4967" i="1"/>
  <c r="AA4968" i="1" s="1"/>
  <c r="AA4965" i="1"/>
  <c r="AA4966" i="1" s="1"/>
  <c r="AA4963" i="1"/>
  <c r="AA4964" i="1" s="1"/>
  <c r="AA4962" i="1"/>
  <c r="AA4945" i="1"/>
  <c r="AA4946" i="1" s="1"/>
  <c r="AA4943" i="1"/>
  <c r="AA4944" i="1" s="1"/>
  <c r="Z4970" i="1"/>
  <c r="Z4969" i="1"/>
  <c r="Z4968" i="1"/>
  <c r="Z4967" i="1"/>
  <c r="Z4966" i="1"/>
  <c r="Z4965" i="1"/>
  <c r="Z4964" i="1"/>
  <c r="Z4963" i="1"/>
  <c r="Z4962" i="1"/>
  <c r="Z4960" i="1"/>
  <c r="Z4959" i="1"/>
  <c r="Z4958" i="1"/>
  <c r="Z4957" i="1"/>
  <c r="AA4956" i="1"/>
  <c r="AA4957" i="1" s="1"/>
  <c r="Z4956" i="1"/>
  <c r="Z4955" i="1"/>
  <c r="AA4953" i="1"/>
  <c r="Z4953" i="1"/>
  <c r="Z4952" i="1"/>
  <c r="Z4951" i="1"/>
  <c r="Z4950" i="1"/>
  <c r="AA4949" i="1"/>
  <c r="AA4952" i="1" s="1"/>
  <c r="Z4949" i="1"/>
  <c r="AA4948" i="1"/>
  <c r="AA4951" i="1" s="1"/>
  <c r="Z4948" i="1"/>
  <c r="Z4946" i="1"/>
  <c r="Z4945" i="1"/>
  <c r="Z4944" i="1"/>
  <c r="Z4943" i="1"/>
  <c r="AA4939" i="1"/>
  <c r="AA4940" i="1" s="1"/>
  <c r="AA4937" i="1"/>
  <c r="AA4938" i="1" s="1"/>
  <c r="AA4935" i="1"/>
  <c r="AA4936" i="1" s="1"/>
  <c r="AA4933" i="1"/>
  <c r="AA4934" i="1" s="1"/>
  <c r="AA4932" i="1"/>
  <c r="AA4915" i="1"/>
  <c r="AA4916" i="1" s="1"/>
  <c r="AA4913" i="1"/>
  <c r="AA4914" i="1" s="1"/>
  <c r="Z4940" i="1"/>
  <c r="Z4939" i="1"/>
  <c r="Z4938" i="1"/>
  <c r="Z4937" i="1"/>
  <c r="Z4936" i="1"/>
  <c r="Z4935" i="1"/>
  <c r="Z4934" i="1"/>
  <c r="Z4933" i="1"/>
  <c r="Z4932" i="1"/>
  <c r="Z4930" i="1"/>
  <c r="Z4929" i="1"/>
  <c r="Z4928" i="1"/>
  <c r="Z4927" i="1"/>
  <c r="AA4926" i="1"/>
  <c r="AA4929" i="1" s="1"/>
  <c r="AA4930" i="1" s="1"/>
  <c r="Z4926" i="1"/>
  <c r="Z4925" i="1"/>
  <c r="AA4923" i="1"/>
  <c r="Z4923" i="1"/>
  <c r="Z4922" i="1"/>
  <c r="Z4921" i="1"/>
  <c r="Z4920" i="1"/>
  <c r="AA4919" i="1"/>
  <c r="AA4922" i="1" s="1"/>
  <c r="Z4919" i="1"/>
  <c r="AA4918" i="1"/>
  <c r="AA4921" i="1" s="1"/>
  <c r="Z4918" i="1"/>
  <c r="Z4916" i="1"/>
  <c r="Z4915" i="1"/>
  <c r="Z4914" i="1"/>
  <c r="Z4913" i="1"/>
  <c r="AA4909" i="1"/>
  <c r="AA4910" i="1" s="1"/>
  <c r="AA4907" i="1"/>
  <c r="AA4908" i="1" s="1"/>
  <c r="AA4905" i="1"/>
  <c r="AA4906" i="1" s="1"/>
  <c r="AA4903" i="1"/>
  <c r="AA4904" i="1" s="1"/>
  <c r="AA4902" i="1"/>
  <c r="AA4885" i="1"/>
  <c r="AA4886" i="1" s="1"/>
  <c r="AA4883" i="1"/>
  <c r="AA4884" i="1" s="1"/>
  <c r="Z4910" i="1"/>
  <c r="Z4909" i="1"/>
  <c r="Z4908" i="1"/>
  <c r="Z4907" i="1"/>
  <c r="Z4906" i="1"/>
  <c r="Z4905" i="1"/>
  <c r="Z4904" i="1"/>
  <c r="Z4903" i="1"/>
  <c r="Z4902" i="1"/>
  <c r="Z4900" i="1"/>
  <c r="Z4899" i="1"/>
  <c r="Z4898" i="1"/>
  <c r="Z4897" i="1"/>
  <c r="AA4896" i="1"/>
  <c r="AA4897" i="1" s="1"/>
  <c r="Z4896" i="1"/>
  <c r="Z4895" i="1"/>
  <c r="AA4893" i="1"/>
  <c r="Z4893" i="1"/>
  <c r="Z4892" i="1"/>
  <c r="Z4891" i="1"/>
  <c r="Z4890" i="1"/>
  <c r="AA4889" i="1"/>
  <c r="AA4892" i="1" s="1"/>
  <c r="Z4889" i="1"/>
  <c r="AA4888" i="1"/>
  <c r="AA4891" i="1" s="1"/>
  <c r="Z4888" i="1"/>
  <c r="Z4886" i="1"/>
  <c r="Z4885" i="1"/>
  <c r="Z4884" i="1"/>
  <c r="Z4883" i="1"/>
  <c r="AA4879" i="1"/>
  <c r="AA4880" i="1" s="1"/>
  <c r="AA4877" i="1"/>
  <c r="AA4878" i="1" s="1"/>
  <c r="AA4875" i="1"/>
  <c r="AA4876" i="1" s="1"/>
  <c r="AA4873" i="1"/>
  <c r="AA4874" i="1" s="1"/>
  <c r="AA4872" i="1"/>
  <c r="AA4855" i="1"/>
  <c r="AA4856" i="1" s="1"/>
  <c r="AA4853" i="1"/>
  <c r="AA4854" i="1" s="1"/>
  <c r="Z4880" i="1"/>
  <c r="Z4879" i="1"/>
  <c r="Z4878" i="1"/>
  <c r="Z4877" i="1"/>
  <c r="Z4876" i="1"/>
  <c r="Z4875" i="1"/>
  <c r="Z4874" i="1"/>
  <c r="Z4873" i="1"/>
  <c r="Z4872" i="1"/>
  <c r="Z4870" i="1"/>
  <c r="Z4869" i="1"/>
  <c r="Z4868" i="1"/>
  <c r="Z4867" i="1"/>
  <c r="AA4866" i="1"/>
  <c r="AA4867" i="1" s="1"/>
  <c r="Z4866" i="1"/>
  <c r="Z4865" i="1"/>
  <c r="AA4863" i="1"/>
  <c r="Z4863" i="1"/>
  <c r="Z4862" i="1"/>
  <c r="Z4861" i="1"/>
  <c r="Z4860" i="1"/>
  <c r="AA4859" i="1"/>
  <c r="AA4860" i="1" s="1"/>
  <c r="Z4859" i="1"/>
  <c r="AA4858" i="1"/>
  <c r="AA4861" i="1" s="1"/>
  <c r="Z4858" i="1"/>
  <c r="Z4856" i="1"/>
  <c r="Z4855" i="1"/>
  <c r="Z4854" i="1"/>
  <c r="Z4853" i="1"/>
  <c r="Z4850" i="1"/>
  <c r="AA4849" i="1"/>
  <c r="AA4850" i="1" s="1"/>
  <c r="Z4849" i="1"/>
  <c r="Z4848" i="1"/>
  <c r="AA4847" i="1"/>
  <c r="AA4848" i="1" s="1"/>
  <c r="Z4847" i="1"/>
  <c r="Z4846" i="1"/>
  <c r="AA4845" i="1"/>
  <c r="AA4846" i="1" s="1"/>
  <c r="Z4845" i="1"/>
  <c r="Z4844" i="1"/>
  <c r="AA4843" i="1"/>
  <c r="AA4844" i="1" s="1"/>
  <c r="Z4843" i="1"/>
  <c r="AA4842" i="1"/>
  <c r="Z4842" i="1"/>
  <c r="Z4840" i="1"/>
  <c r="Z4839" i="1"/>
  <c r="Z4838" i="1"/>
  <c r="Z4837" i="1"/>
  <c r="AA4836" i="1"/>
  <c r="AA4839" i="1" s="1"/>
  <c r="AA4840" i="1" s="1"/>
  <c r="Z4836" i="1"/>
  <c r="Z4835" i="1"/>
  <c r="AA4833" i="1"/>
  <c r="Z4833" i="1"/>
  <c r="Z4832" i="1"/>
  <c r="Z4831" i="1"/>
  <c r="Z4830" i="1"/>
  <c r="AA4829" i="1"/>
  <c r="Z4829" i="1"/>
  <c r="AA4828" i="1"/>
  <c r="AA4831" i="1" s="1"/>
  <c r="Z4828" i="1"/>
  <c r="Z4826" i="1"/>
  <c r="AA4825" i="1"/>
  <c r="AA4826" i="1" s="1"/>
  <c r="Z4825" i="1"/>
  <c r="Z4824" i="1"/>
  <c r="AA4823" i="1"/>
  <c r="AA4824" i="1" s="1"/>
  <c r="Z4823" i="1"/>
  <c r="Z4820" i="1"/>
  <c r="AA4819" i="1"/>
  <c r="AA4820" i="1" s="1"/>
  <c r="Z4819" i="1"/>
  <c r="Z4818" i="1"/>
  <c r="AA4817" i="1"/>
  <c r="AA4818" i="1" s="1"/>
  <c r="Z4817" i="1"/>
  <c r="Z4816" i="1"/>
  <c r="AA4815" i="1"/>
  <c r="AA4816" i="1" s="1"/>
  <c r="Z4815" i="1"/>
  <c r="Z4814" i="1"/>
  <c r="AA4813" i="1"/>
  <c r="AA4814" i="1" s="1"/>
  <c r="Z4813" i="1"/>
  <c r="AA4812" i="1"/>
  <c r="Z4812" i="1"/>
  <c r="Z4810" i="1"/>
  <c r="Z4809" i="1"/>
  <c r="Z4808" i="1"/>
  <c r="Z4807" i="1"/>
  <c r="AA4806" i="1"/>
  <c r="Z4806" i="1"/>
  <c r="Z4805" i="1"/>
  <c r="AA4803" i="1"/>
  <c r="Z4803" i="1"/>
  <c r="Z4802" i="1"/>
  <c r="Z4801" i="1"/>
  <c r="Z4800" i="1"/>
  <c r="AA4799" i="1"/>
  <c r="AA4802" i="1" s="1"/>
  <c r="Z4799" i="1"/>
  <c r="AA4798" i="1"/>
  <c r="AA4801" i="1" s="1"/>
  <c r="Z4798" i="1"/>
  <c r="Z4796" i="1"/>
  <c r="AA4795" i="1"/>
  <c r="AA4796" i="1" s="1"/>
  <c r="Z4795" i="1"/>
  <c r="Z4794" i="1"/>
  <c r="AA4793" i="1"/>
  <c r="AA4794" i="1" s="1"/>
  <c r="Z4793" i="1"/>
  <c r="Z4790" i="1"/>
  <c r="AA4789" i="1"/>
  <c r="AA4790" i="1" s="1"/>
  <c r="Z4789" i="1"/>
  <c r="Z4788" i="1"/>
  <c r="AA4787" i="1"/>
  <c r="AA4788" i="1" s="1"/>
  <c r="Z4787" i="1"/>
  <c r="Z4786" i="1"/>
  <c r="AA4785" i="1"/>
  <c r="AA4786" i="1" s="1"/>
  <c r="Z4785" i="1"/>
  <c r="Z4784" i="1"/>
  <c r="AA4783" i="1"/>
  <c r="AA4784" i="1" s="1"/>
  <c r="Z4783" i="1"/>
  <c r="AA4782" i="1"/>
  <c r="Z4782" i="1"/>
  <c r="Z4780" i="1"/>
  <c r="Z4779" i="1"/>
  <c r="Z4778" i="1"/>
  <c r="Z4777" i="1"/>
  <c r="AA4776" i="1"/>
  <c r="AA4777" i="1" s="1"/>
  <c r="Z4776" i="1"/>
  <c r="Z4775" i="1"/>
  <c r="AA4773" i="1"/>
  <c r="Z4773" i="1"/>
  <c r="Z4772" i="1"/>
  <c r="Z4771" i="1"/>
  <c r="Z4770" i="1"/>
  <c r="AA4769" i="1"/>
  <c r="AA4770" i="1" s="1"/>
  <c r="Z4769" i="1"/>
  <c r="AA4768" i="1"/>
  <c r="AA4771" i="1" s="1"/>
  <c r="Z4768" i="1"/>
  <c r="Z4766" i="1"/>
  <c r="AA4765" i="1"/>
  <c r="AA4766" i="1" s="1"/>
  <c r="Z4765" i="1"/>
  <c r="Z4764" i="1"/>
  <c r="AA4763" i="1"/>
  <c r="AA4764" i="1" s="1"/>
  <c r="Z4763" i="1"/>
  <c r="Z4760" i="1"/>
  <c r="AA4759" i="1"/>
  <c r="AA4760" i="1" s="1"/>
  <c r="Z4759" i="1"/>
  <c r="Z4758" i="1"/>
  <c r="AA4757" i="1"/>
  <c r="AA4758" i="1" s="1"/>
  <c r="Z4757" i="1"/>
  <c r="Z4756" i="1"/>
  <c r="AA4755" i="1"/>
  <c r="AA4756" i="1" s="1"/>
  <c r="Z4755" i="1"/>
  <c r="Z4754" i="1"/>
  <c r="AA4753" i="1"/>
  <c r="AA4754" i="1" s="1"/>
  <c r="Z4753" i="1"/>
  <c r="AA4752" i="1"/>
  <c r="Z4752" i="1"/>
  <c r="Z4750" i="1"/>
  <c r="Z4749" i="1"/>
  <c r="Z4748" i="1"/>
  <c r="Z4747" i="1"/>
  <c r="AA4746" i="1"/>
  <c r="AA4747" i="1" s="1"/>
  <c r="Z4746" i="1"/>
  <c r="Z4745" i="1"/>
  <c r="AA4743" i="1"/>
  <c r="Z4743" i="1"/>
  <c r="Z4742" i="1"/>
  <c r="Z4741" i="1"/>
  <c r="Z4740" i="1"/>
  <c r="AA4739" i="1"/>
  <c r="Z4739" i="1"/>
  <c r="AA4738" i="1"/>
  <c r="AA4741" i="1" s="1"/>
  <c r="Z4738" i="1"/>
  <c r="Z4736" i="1"/>
  <c r="AA4735" i="1"/>
  <c r="AA4736" i="1" s="1"/>
  <c r="Z4735" i="1"/>
  <c r="Z4734" i="1"/>
  <c r="AA4733" i="1"/>
  <c r="AA4734" i="1" s="1"/>
  <c r="Z4733" i="1"/>
  <c r="Z4730" i="1"/>
  <c r="AA4729" i="1"/>
  <c r="AA4730" i="1" s="1"/>
  <c r="Z4729" i="1"/>
  <c r="Z4728" i="1"/>
  <c r="AA4727" i="1"/>
  <c r="AA4728" i="1" s="1"/>
  <c r="Z4727" i="1"/>
  <c r="Z4726" i="1"/>
  <c r="AA4725" i="1"/>
  <c r="AA4726" i="1" s="1"/>
  <c r="Z4725" i="1"/>
  <c r="Z4724" i="1"/>
  <c r="AA4723" i="1"/>
  <c r="AA4724" i="1" s="1"/>
  <c r="Z4723" i="1"/>
  <c r="AA4722" i="1"/>
  <c r="Z4722" i="1"/>
  <c r="Z4720" i="1"/>
  <c r="Z4719" i="1"/>
  <c r="Z4718" i="1"/>
  <c r="Z4717" i="1"/>
  <c r="AA4716" i="1"/>
  <c r="AA4717" i="1" s="1"/>
  <c r="Z4716" i="1"/>
  <c r="Z4715" i="1"/>
  <c r="AA4713" i="1"/>
  <c r="Z4713" i="1"/>
  <c r="Z4712" i="1"/>
  <c r="Z4711" i="1"/>
  <c r="Z4710" i="1"/>
  <c r="AA4709" i="1"/>
  <c r="AA4712" i="1" s="1"/>
  <c r="Z4709" i="1"/>
  <c r="AA4708" i="1"/>
  <c r="AA4711" i="1" s="1"/>
  <c r="Z4708" i="1"/>
  <c r="Z4706" i="1"/>
  <c r="AA4705" i="1"/>
  <c r="AA4706" i="1" s="1"/>
  <c r="Z4705" i="1"/>
  <c r="Z4704" i="1"/>
  <c r="AA4703" i="1"/>
  <c r="AA4704" i="1" s="1"/>
  <c r="Z4703" i="1"/>
  <c r="Z4700" i="1"/>
  <c r="AA4699" i="1"/>
  <c r="AA4700" i="1" s="1"/>
  <c r="Z4699" i="1"/>
  <c r="Z4698" i="1"/>
  <c r="AA4697" i="1"/>
  <c r="AA4698" i="1" s="1"/>
  <c r="Z4697" i="1"/>
  <c r="Z4696" i="1"/>
  <c r="AA4695" i="1"/>
  <c r="AA4696" i="1" s="1"/>
  <c r="Z4695" i="1"/>
  <c r="Z4694" i="1"/>
  <c r="AA4693" i="1"/>
  <c r="AA4694" i="1" s="1"/>
  <c r="Z4693" i="1"/>
  <c r="AA4692" i="1"/>
  <c r="Z4692" i="1"/>
  <c r="Z4690" i="1"/>
  <c r="Z4689" i="1"/>
  <c r="Z4688" i="1"/>
  <c r="Z4687" i="1"/>
  <c r="AA4686" i="1"/>
  <c r="AA4689" i="1" s="1"/>
  <c r="AA4690" i="1" s="1"/>
  <c r="Z4686" i="1"/>
  <c r="Z4685" i="1"/>
  <c r="AA4683" i="1"/>
  <c r="Z4683" i="1"/>
  <c r="Z4682" i="1"/>
  <c r="Z4681" i="1"/>
  <c r="Z4680" i="1"/>
  <c r="AA4679" i="1"/>
  <c r="AA4680" i="1" s="1"/>
  <c r="Z4679" i="1"/>
  <c r="AA4678" i="1"/>
  <c r="AA4681" i="1" s="1"/>
  <c r="Z4678" i="1"/>
  <c r="Z4676" i="1"/>
  <c r="AA4675" i="1"/>
  <c r="AA4676" i="1" s="1"/>
  <c r="Z4675" i="1"/>
  <c r="Z4674" i="1"/>
  <c r="AA4673" i="1"/>
  <c r="AA4674" i="1" s="1"/>
  <c r="Z4673" i="1"/>
  <c r="Z129" i="1"/>
  <c r="AA128" i="1"/>
  <c r="AA129" i="1" s="1"/>
  <c r="Z128" i="1"/>
  <c r="AA154" i="1"/>
  <c r="AA152" i="1"/>
  <c r="AA148" i="1"/>
  <c r="AA141" i="1"/>
  <c r="AA142" i="1" s="1"/>
  <c r="AA134" i="1"/>
  <c r="AA138" i="1" s="1"/>
  <c r="Z142" i="1"/>
  <c r="AA143" i="1"/>
  <c r="AA144" i="1" s="1"/>
  <c r="AA126" i="1"/>
  <c r="AA122" i="1"/>
  <c r="AA117" i="1"/>
  <c r="AA118" i="1" s="1"/>
  <c r="AA116" i="1"/>
  <c r="AA119" i="1" s="1"/>
  <c r="AA109" i="1"/>
  <c r="AA113" i="1" s="1"/>
  <c r="AA114" i="1" s="1"/>
  <c r="Z65" i="1"/>
  <c r="AA62" i="1"/>
  <c r="Z62" i="1"/>
  <c r="Z59" i="1"/>
  <c r="Z56" i="1"/>
  <c r="Z53" i="1"/>
  <c r="Z50" i="1"/>
  <c r="Z49" i="1"/>
  <c r="Z48" i="1"/>
  <c r="AA5900" i="1" l="1"/>
  <c r="AA5908" i="1"/>
  <c r="AA5909" i="1" s="1"/>
  <c r="AA5817" i="1"/>
  <c r="AA5847" i="1"/>
  <c r="AA5854" i="1"/>
  <c r="AA5824" i="1"/>
  <c r="AA5743" i="1"/>
  <c r="AA5785" i="1"/>
  <c r="AA5711" i="1"/>
  <c r="AA5793" i="1"/>
  <c r="AA5794" i="1" s="1"/>
  <c r="AA5750" i="1"/>
  <c r="AA5751" i="1" s="1"/>
  <c r="AA5651" i="1"/>
  <c r="AA5720" i="1"/>
  <c r="AA5721" i="1" s="1"/>
  <c r="AA5681" i="1"/>
  <c r="AA5630" i="1"/>
  <c r="AA5631" i="1" s="1"/>
  <c r="AA5621" i="1"/>
  <c r="AA5690" i="1"/>
  <c r="AA5691" i="1" s="1"/>
  <c r="AA5592" i="1"/>
  <c r="AA5660" i="1"/>
  <c r="AA5661" i="1" s="1"/>
  <c r="AA5597" i="1"/>
  <c r="AA5560" i="1"/>
  <c r="AA5569" i="1"/>
  <c r="AA5570" i="1" s="1"/>
  <c r="AA5520" i="1"/>
  <c r="AA5489" i="1"/>
  <c r="AA5425" i="1"/>
  <c r="AA5528" i="1"/>
  <c r="AA5460" i="1"/>
  <c r="AA5499" i="1"/>
  <c r="AA5500" i="1" s="1"/>
  <c r="AA5468" i="1"/>
  <c r="AA5469" i="1" s="1"/>
  <c r="AA5365" i="1"/>
  <c r="AA5395" i="1"/>
  <c r="AA5432" i="1"/>
  <c r="AA5433" i="1" s="1"/>
  <c r="AA5402" i="1"/>
  <c r="AA5403" i="1" s="1"/>
  <c r="AA5335" i="1"/>
  <c r="AA5303" i="1"/>
  <c r="AA5370" i="1"/>
  <c r="AA5273" i="1"/>
  <c r="AA5342" i="1"/>
  <c r="AA5343" i="1" s="1"/>
  <c r="AA5312" i="1"/>
  <c r="AA5313" i="1" s="1"/>
  <c r="AA5125" i="1"/>
  <c r="AA5243" i="1"/>
  <c r="AA5282" i="1"/>
  <c r="AA5283" i="1" s="1"/>
  <c r="AA5215" i="1"/>
  <c r="AA5252" i="1"/>
  <c r="AA5253" i="1" s="1"/>
  <c r="AA5185" i="1"/>
  <c r="AA5183" i="1"/>
  <c r="AA5222" i="1"/>
  <c r="AA5223" i="1" s="1"/>
  <c r="AA5153" i="1"/>
  <c r="AA5155" i="1"/>
  <c r="AA5192" i="1"/>
  <c r="AA5193" i="1" s="1"/>
  <c r="AA5162" i="1"/>
  <c r="AA5163" i="1" s="1"/>
  <c r="AA5132" i="1"/>
  <c r="AA5133" i="1" s="1"/>
  <c r="AA5087" i="1"/>
  <c r="AA5095" i="1"/>
  <c r="AA5058" i="1"/>
  <c r="AA5064" i="1"/>
  <c r="AA5025" i="1"/>
  <c r="AA5033" i="1"/>
  <c r="AA4996" i="1"/>
  <c r="AA4920" i="1"/>
  <c r="AA5002" i="1"/>
  <c r="AA4950" i="1"/>
  <c r="AA4862" i="1"/>
  <c r="AA4959" i="1"/>
  <c r="AA4960" i="1" s="1"/>
  <c r="AA4890" i="1"/>
  <c r="AA4927" i="1"/>
  <c r="AA4899" i="1"/>
  <c r="AA4900" i="1" s="1"/>
  <c r="AA4869" i="1"/>
  <c r="AA4870" i="1" s="1"/>
  <c r="AA4772" i="1"/>
  <c r="AA4830" i="1"/>
  <c r="AA4832" i="1"/>
  <c r="AA4837" i="1"/>
  <c r="AA4800" i="1"/>
  <c r="AA4807" i="1"/>
  <c r="AA4809" i="1"/>
  <c r="AA4810" i="1" s="1"/>
  <c r="AA4710" i="1"/>
  <c r="AA4682" i="1"/>
  <c r="AA4740" i="1"/>
  <c r="AA4742" i="1"/>
  <c r="AA4779" i="1"/>
  <c r="AA4780" i="1" s="1"/>
  <c r="AA4749" i="1"/>
  <c r="AA4750" i="1" s="1"/>
  <c r="AA4719" i="1"/>
  <c r="AA4720" i="1" s="1"/>
  <c r="AA4687" i="1"/>
  <c r="AA39" i="1" l="1"/>
  <c r="Z45" i="1"/>
  <c r="Z44" i="1"/>
  <c r="Z43" i="1"/>
  <c r="Z42" i="1"/>
  <c r="Z41" i="1"/>
  <c r="Z40" i="1"/>
  <c r="Z39" i="1"/>
  <c r="AA9180" i="1" l="1"/>
  <c r="AA9181" i="1" s="1"/>
  <c r="AA9178" i="1"/>
  <c r="AA9179" i="1" s="1"/>
  <c r="AA9176" i="1"/>
  <c r="AA9177" i="1" s="1"/>
  <c r="AA9174" i="1"/>
  <c r="AA9175" i="1" s="1"/>
  <c r="AA9173" i="1"/>
  <c r="AA9156" i="1"/>
  <c r="AA9157" i="1" s="1"/>
  <c r="AA9154" i="1"/>
  <c r="AA9155" i="1" s="1"/>
  <c r="AA9150" i="1"/>
  <c r="AA9151" i="1" s="1"/>
  <c r="AA9148" i="1"/>
  <c r="AA9149" i="1" s="1"/>
  <c r="AA9146" i="1"/>
  <c r="AA9147" i="1" s="1"/>
  <c r="AA9144" i="1"/>
  <c r="AA9145" i="1" s="1"/>
  <c r="AA9143" i="1"/>
  <c r="AA9126" i="1"/>
  <c r="AA9127" i="1" s="1"/>
  <c r="AA9124" i="1"/>
  <c r="AA9125" i="1" s="1"/>
  <c r="AA9120" i="1"/>
  <c r="AA9121" i="1" s="1"/>
  <c r="AA9118" i="1"/>
  <c r="AA9119" i="1" s="1"/>
  <c r="AA9116" i="1"/>
  <c r="AA9117" i="1" s="1"/>
  <c r="AA9114" i="1"/>
  <c r="AA9115" i="1" s="1"/>
  <c r="AA9113" i="1"/>
  <c r="AA9096" i="1"/>
  <c r="AA9097" i="1" s="1"/>
  <c r="AA9094" i="1"/>
  <c r="AA9095" i="1" s="1"/>
  <c r="Z9181" i="1"/>
  <c r="Z9180" i="1"/>
  <c r="Z9179" i="1"/>
  <c r="Z9178" i="1"/>
  <c r="Z9177" i="1"/>
  <c r="Z9176" i="1"/>
  <c r="Z9175" i="1"/>
  <c r="Z9174" i="1"/>
  <c r="Z9173" i="1"/>
  <c r="Z9171" i="1"/>
  <c r="Z9170" i="1"/>
  <c r="Z9169" i="1"/>
  <c r="Z9168" i="1"/>
  <c r="AA9167" i="1"/>
  <c r="AA9168" i="1" s="1"/>
  <c r="Z9167" i="1"/>
  <c r="Z9166" i="1"/>
  <c r="AA9164" i="1"/>
  <c r="Z9164" i="1"/>
  <c r="Z9163" i="1"/>
  <c r="Z9162" i="1"/>
  <c r="Z9161" i="1"/>
  <c r="AA9160" i="1"/>
  <c r="AA9161" i="1" s="1"/>
  <c r="Z9160" i="1"/>
  <c r="AA9159" i="1"/>
  <c r="AA9162" i="1" s="1"/>
  <c r="Z9159" i="1"/>
  <c r="Z9157" i="1"/>
  <c r="Z9156" i="1"/>
  <c r="Z9155" i="1"/>
  <c r="Z9154" i="1"/>
  <c r="Z9151" i="1"/>
  <c r="Z9150" i="1"/>
  <c r="Z9149" i="1"/>
  <c r="Z9148" i="1"/>
  <c r="Z9147" i="1"/>
  <c r="Z9146" i="1"/>
  <c r="Z9145" i="1"/>
  <c r="Z9144" i="1"/>
  <c r="Z9143" i="1"/>
  <c r="Z9141" i="1"/>
  <c r="Z9140" i="1"/>
  <c r="Z9139" i="1"/>
  <c r="Z9138" i="1"/>
  <c r="AA9137" i="1"/>
  <c r="AA9138" i="1" s="1"/>
  <c r="Z9137" i="1"/>
  <c r="Z9136" i="1"/>
  <c r="AA9134" i="1"/>
  <c r="Z9134" i="1"/>
  <c r="Z9133" i="1"/>
  <c r="Z9132" i="1"/>
  <c r="Z9131" i="1"/>
  <c r="AA9130" i="1"/>
  <c r="AA9133" i="1" s="1"/>
  <c r="Z9130" i="1"/>
  <c r="AA9129" i="1"/>
  <c r="AA9132" i="1" s="1"/>
  <c r="Z9129" i="1"/>
  <c r="Z9127" i="1"/>
  <c r="Z9126" i="1"/>
  <c r="Z9125" i="1"/>
  <c r="Z9124" i="1"/>
  <c r="Z9121" i="1"/>
  <c r="Z9120" i="1"/>
  <c r="Z9119" i="1"/>
  <c r="Z9118" i="1"/>
  <c r="Z9117" i="1"/>
  <c r="Z9116" i="1"/>
  <c r="Z9115" i="1"/>
  <c r="Z9114" i="1"/>
  <c r="Z9113" i="1"/>
  <c r="Z9111" i="1"/>
  <c r="Z9110" i="1"/>
  <c r="Z9109" i="1"/>
  <c r="Z9108" i="1"/>
  <c r="AA9107" i="1"/>
  <c r="AA9110" i="1" s="1"/>
  <c r="AA9111" i="1" s="1"/>
  <c r="Z9107" i="1"/>
  <c r="Z9106" i="1"/>
  <c r="AA9104" i="1"/>
  <c r="Z9104" i="1"/>
  <c r="Z9103" i="1"/>
  <c r="Z9102" i="1"/>
  <c r="Z9101" i="1"/>
  <c r="AA9100" i="1"/>
  <c r="AA9101" i="1" s="1"/>
  <c r="Z9100" i="1"/>
  <c r="AA9099" i="1"/>
  <c r="AA9102" i="1" s="1"/>
  <c r="Z9099" i="1"/>
  <c r="Z9097" i="1"/>
  <c r="Z9096" i="1"/>
  <c r="Z9095" i="1"/>
  <c r="Z9094" i="1"/>
  <c r="AA9088" i="1"/>
  <c r="AA9089" i="1" s="1"/>
  <c r="AA9086" i="1"/>
  <c r="AA9087" i="1" s="1"/>
  <c r="AA9084" i="1"/>
  <c r="AA9085" i="1" s="1"/>
  <c r="AA9083" i="1"/>
  <c r="AA9066" i="1"/>
  <c r="AA9067" i="1" s="1"/>
  <c r="AA9064" i="1"/>
  <c r="AA9065" i="1" s="1"/>
  <c r="AA9074" i="1"/>
  <c r="AA9069" i="1"/>
  <c r="AA9072" i="1" s="1"/>
  <c r="AA9070" i="1"/>
  <c r="AA9071" i="1" s="1"/>
  <c r="Z9091" i="1"/>
  <c r="AA9090" i="1"/>
  <c r="AA9091" i="1" s="1"/>
  <c r="Z9090" i="1"/>
  <c r="Z9089" i="1"/>
  <c r="Z9088" i="1"/>
  <c r="Z9087" i="1"/>
  <c r="Z9086" i="1"/>
  <c r="Z9085" i="1"/>
  <c r="Z9084" i="1"/>
  <c r="Z9083" i="1"/>
  <c r="Z9081" i="1"/>
  <c r="Z9080" i="1"/>
  <c r="Z9079" i="1"/>
  <c r="Z9078" i="1"/>
  <c r="AA9077" i="1"/>
  <c r="AA9080" i="1" s="1"/>
  <c r="AA9081" i="1" s="1"/>
  <c r="Z9077" i="1"/>
  <c r="Z9076" i="1"/>
  <c r="Z9074" i="1"/>
  <c r="Z9073" i="1"/>
  <c r="Z9072" i="1"/>
  <c r="Z9071" i="1"/>
  <c r="Z9070" i="1"/>
  <c r="Z9069" i="1"/>
  <c r="Z9067" i="1"/>
  <c r="Z9066" i="1"/>
  <c r="Z9065" i="1"/>
  <c r="Z9064" i="1"/>
  <c r="AA9052" i="1"/>
  <c r="AA9053" i="1" s="1"/>
  <c r="AA9050" i="1"/>
  <c r="AA9051" i="1" s="1"/>
  <c r="AA9048" i="1"/>
  <c r="AA9049" i="1" s="1"/>
  <c r="AA9046" i="1"/>
  <c r="AA9047" i="1" s="1"/>
  <c r="AA9045" i="1"/>
  <c r="AA9028" i="1"/>
  <c r="AA9029" i="1" s="1"/>
  <c r="AA9026" i="1"/>
  <c r="AA9027" i="1" s="1"/>
  <c r="Z9053" i="1"/>
  <c r="Z9052" i="1"/>
  <c r="Z9051" i="1"/>
  <c r="Z9050" i="1"/>
  <c r="Z9049" i="1"/>
  <c r="Z9048" i="1"/>
  <c r="Z9047" i="1"/>
  <c r="Z9046" i="1"/>
  <c r="Z9045" i="1"/>
  <c r="Z9043" i="1"/>
  <c r="Z9042" i="1"/>
  <c r="Z9041" i="1"/>
  <c r="Z9040" i="1"/>
  <c r="AA9039" i="1"/>
  <c r="AA9040" i="1" s="1"/>
  <c r="Z9039" i="1"/>
  <c r="Z9038" i="1"/>
  <c r="AA9036" i="1"/>
  <c r="Z9036" i="1"/>
  <c r="Z9035" i="1"/>
  <c r="Z9034" i="1"/>
  <c r="Z9033" i="1"/>
  <c r="AA9032" i="1"/>
  <c r="AA9033" i="1" s="1"/>
  <c r="Z9032" i="1"/>
  <c r="AA9031" i="1"/>
  <c r="AA9034" i="1" s="1"/>
  <c r="Z9031" i="1"/>
  <c r="Z9029" i="1"/>
  <c r="Z9028" i="1"/>
  <c r="Z9027" i="1"/>
  <c r="Z9026" i="1"/>
  <c r="AA9022" i="1"/>
  <c r="AA9023" i="1" s="1"/>
  <c r="AA9020" i="1"/>
  <c r="AA9021" i="1" s="1"/>
  <c r="AA9018" i="1"/>
  <c r="AA9019" i="1" s="1"/>
  <c r="AA9016" i="1"/>
  <c r="AA9017" i="1" s="1"/>
  <c r="AA9015" i="1"/>
  <c r="AA8998" i="1"/>
  <c r="AA8999" i="1" s="1"/>
  <c r="AA8996" i="1"/>
  <c r="AA8997" i="1" s="1"/>
  <c r="Z9023" i="1"/>
  <c r="Z9022" i="1"/>
  <c r="Z9021" i="1"/>
  <c r="Z9020" i="1"/>
  <c r="Z9019" i="1"/>
  <c r="Z9018" i="1"/>
  <c r="Z9017" i="1"/>
  <c r="Z9016" i="1"/>
  <c r="Z9015" i="1"/>
  <c r="Z9013" i="1"/>
  <c r="Z9012" i="1"/>
  <c r="Z9011" i="1"/>
  <c r="Z9010" i="1"/>
  <c r="AA9009" i="1"/>
  <c r="AA9012" i="1" s="1"/>
  <c r="AA9013" i="1" s="1"/>
  <c r="Z9009" i="1"/>
  <c r="Z9008" i="1"/>
  <c r="AA9006" i="1"/>
  <c r="Z9006" i="1"/>
  <c r="Z9005" i="1"/>
  <c r="Z9004" i="1"/>
  <c r="Z9003" i="1"/>
  <c r="AA9002" i="1"/>
  <c r="AA9005" i="1" s="1"/>
  <c r="Z9002" i="1"/>
  <c r="AA9001" i="1"/>
  <c r="AA9004" i="1" s="1"/>
  <c r="Z9001" i="1"/>
  <c r="Z8999" i="1"/>
  <c r="Z8998" i="1"/>
  <c r="Z8997" i="1"/>
  <c r="Z8996" i="1"/>
  <c r="AA8992" i="1"/>
  <c r="AA8993" i="1" s="1"/>
  <c r="AA8990" i="1"/>
  <c r="AA8991" i="1" s="1"/>
  <c r="AA8988" i="1"/>
  <c r="AA8989" i="1" s="1"/>
  <c r="AA8986" i="1"/>
  <c r="AA8987" i="1" s="1"/>
  <c r="AA8985" i="1"/>
  <c r="AA8968" i="1"/>
  <c r="AA8969" i="1" s="1"/>
  <c r="AA8966" i="1"/>
  <c r="AA8967" i="1" s="1"/>
  <c r="Z8993" i="1"/>
  <c r="Z8992" i="1"/>
  <c r="Z8991" i="1"/>
  <c r="Z8990" i="1"/>
  <c r="Z8989" i="1"/>
  <c r="Z8988" i="1"/>
  <c r="Z8987" i="1"/>
  <c r="Z8986" i="1"/>
  <c r="Z8985" i="1"/>
  <c r="Z8983" i="1"/>
  <c r="Z8982" i="1"/>
  <c r="Z8981" i="1"/>
  <c r="Z8980" i="1"/>
  <c r="AA8979" i="1"/>
  <c r="AA8980" i="1" s="1"/>
  <c r="Z8979" i="1"/>
  <c r="Z8978" i="1"/>
  <c r="AA8976" i="1"/>
  <c r="Z8976" i="1"/>
  <c r="Z8975" i="1"/>
  <c r="Z8974" i="1"/>
  <c r="Z8973" i="1"/>
  <c r="AA8972" i="1"/>
  <c r="AA8973" i="1" s="1"/>
  <c r="Z8972" i="1"/>
  <c r="AA8971" i="1"/>
  <c r="AA8974" i="1" s="1"/>
  <c r="Z8971" i="1"/>
  <c r="Z8969" i="1"/>
  <c r="Z8968" i="1"/>
  <c r="Z8967" i="1"/>
  <c r="Z8966" i="1"/>
  <c r="AA9163" i="1" l="1"/>
  <c r="AA9035" i="1"/>
  <c r="AA9131" i="1"/>
  <c r="AA9170" i="1"/>
  <c r="AA9171" i="1" s="1"/>
  <c r="AA9108" i="1"/>
  <c r="AA9078" i="1"/>
  <c r="AA9140" i="1"/>
  <c r="AA9141" i="1" s="1"/>
  <c r="AA9103" i="1"/>
  <c r="AA9073" i="1"/>
  <c r="AA9003" i="1"/>
  <c r="AA9042" i="1"/>
  <c r="AA9043" i="1" s="1"/>
  <c r="AA8975" i="1"/>
  <c r="AA9010" i="1"/>
  <c r="AA8982" i="1"/>
  <c r="AA8983" i="1" s="1"/>
  <c r="AA8962" i="1"/>
  <c r="AA8963" i="1" s="1"/>
  <c r="AA8960" i="1"/>
  <c r="AA8961" i="1" s="1"/>
  <c r="AA8958" i="1"/>
  <c r="AA8959" i="1" s="1"/>
  <c r="AA8956" i="1"/>
  <c r="AA8957" i="1" s="1"/>
  <c r="AA8955" i="1"/>
  <c r="AA8938" i="1"/>
  <c r="AA8939" i="1" s="1"/>
  <c r="AA8936" i="1"/>
  <c r="AA8937" i="1" s="1"/>
  <c r="Z8963" i="1"/>
  <c r="Z8962" i="1"/>
  <c r="Z8961" i="1"/>
  <c r="Z8960" i="1"/>
  <c r="Z8959" i="1"/>
  <c r="Z8958" i="1"/>
  <c r="Z8957" i="1"/>
  <c r="Z8956" i="1"/>
  <c r="Z8955" i="1"/>
  <c r="Z8953" i="1"/>
  <c r="Z8952" i="1"/>
  <c r="Z8951" i="1"/>
  <c r="Z8950" i="1"/>
  <c r="AA8949" i="1"/>
  <c r="AA8950" i="1" s="1"/>
  <c r="Z8949" i="1"/>
  <c r="Z8948" i="1"/>
  <c r="AA8946" i="1"/>
  <c r="Z8946" i="1"/>
  <c r="Z8945" i="1"/>
  <c r="Z8944" i="1"/>
  <c r="Z8943" i="1"/>
  <c r="AA8942" i="1"/>
  <c r="AA8943" i="1" s="1"/>
  <c r="Z8942" i="1"/>
  <c r="AA8941" i="1"/>
  <c r="AA8944" i="1" s="1"/>
  <c r="Z8941" i="1"/>
  <c r="Z8939" i="1"/>
  <c r="Z8938" i="1"/>
  <c r="Z8937" i="1"/>
  <c r="Z8936" i="1"/>
  <c r="AA8932" i="1"/>
  <c r="AA8933" i="1" s="1"/>
  <c r="AA8930" i="1"/>
  <c r="AA8931" i="1" s="1"/>
  <c r="AA8928" i="1"/>
  <c r="AA8929" i="1" s="1"/>
  <c r="AA8926" i="1"/>
  <c r="AA8927" i="1" s="1"/>
  <c r="AA8925" i="1"/>
  <c r="AA8908" i="1"/>
  <c r="AA8909" i="1" s="1"/>
  <c r="AA8906" i="1"/>
  <c r="AA8907" i="1" s="1"/>
  <c r="Z8933" i="1"/>
  <c r="Z8932" i="1"/>
  <c r="Z8931" i="1"/>
  <c r="Z8930" i="1"/>
  <c r="Z8929" i="1"/>
  <c r="Z8928" i="1"/>
  <c r="Z8927" i="1"/>
  <c r="Z8926" i="1"/>
  <c r="Z8925" i="1"/>
  <c r="Z8923" i="1"/>
  <c r="Z8922" i="1"/>
  <c r="Z8921" i="1"/>
  <c r="Z8920" i="1"/>
  <c r="AA8919" i="1"/>
  <c r="AA8920" i="1" s="1"/>
  <c r="Z8919" i="1"/>
  <c r="Z8918" i="1"/>
  <c r="AA8916" i="1"/>
  <c r="Z8916" i="1"/>
  <c r="Z8915" i="1"/>
  <c r="Z8914" i="1"/>
  <c r="Z8913" i="1"/>
  <c r="AA8912" i="1"/>
  <c r="AA8915" i="1" s="1"/>
  <c r="Z8912" i="1"/>
  <c r="AA8911" i="1"/>
  <c r="AA8914" i="1" s="1"/>
  <c r="Z8911" i="1"/>
  <c r="Z8909" i="1"/>
  <c r="Z8908" i="1"/>
  <c r="Z8907" i="1"/>
  <c r="Z8906" i="1"/>
  <c r="AA8900" i="1"/>
  <c r="AA8901" i="1" s="1"/>
  <c r="AA8898" i="1"/>
  <c r="AA8899" i="1" s="1"/>
  <c r="AA8896" i="1"/>
  <c r="AA8897" i="1" s="1"/>
  <c r="AA8895" i="1"/>
  <c r="AA8886" i="1"/>
  <c r="AA8881" i="1"/>
  <c r="AA8884" i="1" s="1"/>
  <c r="AA8882" i="1"/>
  <c r="AA8885" i="1" s="1"/>
  <c r="AA8878" i="1"/>
  <c r="AA8879" i="1" s="1"/>
  <c r="AA8876" i="1"/>
  <c r="AA8877" i="1" s="1"/>
  <c r="Z8903" i="1"/>
  <c r="AA8902" i="1"/>
  <c r="AA8903" i="1" s="1"/>
  <c r="Z8902" i="1"/>
  <c r="Z8901" i="1"/>
  <c r="Z8900" i="1"/>
  <c r="Z8899" i="1"/>
  <c r="Z8898" i="1"/>
  <c r="Z8897" i="1"/>
  <c r="Z8896" i="1"/>
  <c r="Z8895" i="1"/>
  <c r="Z8893" i="1"/>
  <c r="Z8892" i="1"/>
  <c r="Z8891" i="1"/>
  <c r="Z8890" i="1"/>
  <c r="AA8889" i="1"/>
  <c r="AA8892" i="1" s="1"/>
  <c r="AA8893" i="1" s="1"/>
  <c r="Z8889" i="1"/>
  <c r="Z8888" i="1"/>
  <c r="Z8886" i="1"/>
  <c r="Z8885" i="1"/>
  <c r="Z8884" i="1"/>
  <c r="Z8883" i="1"/>
  <c r="Z8882" i="1"/>
  <c r="Z8881" i="1"/>
  <c r="Z8879" i="1"/>
  <c r="Z8878" i="1"/>
  <c r="Z8877" i="1"/>
  <c r="Z8876" i="1"/>
  <c r="AA8865" i="1"/>
  <c r="AA8866" i="1" s="1"/>
  <c r="AA8863" i="1"/>
  <c r="AA8864" i="1" s="1"/>
  <c r="AA8861" i="1"/>
  <c r="AA8862" i="1" s="1"/>
  <c r="AA8859" i="1"/>
  <c r="AA8860" i="1" s="1"/>
  <c r="AA8858" i="1"/>
  <c r="AA8841" i="1"/>
  <c r="AA8842" i="1" s="1"/>
  <c r="AA8839" i="1"/>
  <c r="AA8840" i="1" s="1"/>
  <c r="Z8866" i="1"/>
  <c r="Z8865" i="1"/>
  <c r="Z8864" i="1"/>
  <c r="Z8863" i="1"/>
  <c r="Z8862" i="1"/>
  <c r="Z8861" i="1"/>
  <c r="Z8860" i="1"/>
  <c r="Z8859" i="1"/>
  <c r="Z8858" i="1"/>
  <c r="Z8856" i="1"/>
  <c r="Z8855" i="1"/>
  <c r="Z8854" i="1"/>
  <c r="Z8853" i="1"/>
  <c r="AA8852" i="1"/>
  <c r="AA8853" i="1" s="1"/>
  <c r="Z8852" i="1"/>
  <c r="Z8851" i="1"/>
  <c r="AA8849" i="1"/>
  <c r="Z8849" i="1"/>
  <c r="Z8848" i="1"/>
  <c r="Z8847" i="1"/>
  <c r="Z8846" i="1"/>
  <c r="AA8845" i="1"/>
  <c r="AA8846" i="1" s="1"/>
  <c r="Z8845" i="1"/>
  <c r="AA8844" i="1"/>
  <c r="AA8847" i="1" s="1"/>
  <c r="Z8844" i="1"/>
  <c r="Z8842" i="1"/>
  <c r="Z8841" i="1"/>
  <c r="Z8840" i="1"/>
  <c r="Z8839" i="1"/>
  <c r="AA8835" i="1"/>
  <c r="AA8836" i="1" s="1"/>
  <c r="AA8833" i="1"/>
  <c r="AA8834" i="1" s="1"/>
  <c r="AA8831" i="1"/>
  <c r="AA8832" i="1" s="1"/>
  <c r="AA8829" i="1"/>
  <c r="AA8830" i="1" s="1"/>
  <c r="AA8828" i="1"/>
  <c r="AA8811" i="1"/>
  <c r="AA8812" i="1" s="1"/>
  <c r="AA8809" i="1"/>
  <c r="AA8810" i="1" s="1"/>
  <c r="Z8836" i="1"/>
  <c r="Z8835" i="1"/>
  <c r="Z8834" i="1"/>
  <c r="Z8833" i="1"/>
  <c r="Z8832" i="1"/>
  <c r="Z8831" i="1"/>
  <c r="Z8830" i="1"/>
  <c r="Z8829" i="1"/>
  <c r="Z8828" i="1"/>
  <c r="Z8826" i="1"/>
  <c r="Z8825" i="1"/>
  <c r="Z8824" i="1"/>
  <c r="Z8823" i="1"/>
  <c r="AA8822" i="1"/>
  <c r="AA8823" i="1" s="1"/>
  <c r="Z8822" i="1"/>
  <c r="Z8821" i="1"/>
  <c r="AA8819" i="1"/>
  <c r="Z8819" i="1"/>
  <c r="Z8818" i="1"/>
  <c r="Z8817" i="1"/>
  <c r="Z8816" i="1"/>
  <c r="AA8815" i="1"/>
  <c r="AA8816" i="1" s="1"/>
  <c r="Z8815" i="1"/>
  <c r="AA8814" i="1"/>
  <c r="AA8817" i="1" s="1"/>
  <c r="Z8814" i="1"/>
  <c r="Z8812" i="1"/>
  <c r="Z8811" i="1"/>
  <c r="Z8810" i="1"/>
  <c r="Z8809" i="1"/>
  <c r="AA8805" i="1"/>
  <c r="AA8806" i="1" s="1"/>
  <c r="AA8803" i="1"/>
  <c r="AA8804" i="1" s="1"/>
  <c r="AA8801" i="1"/>
  <c r="AA8802" i="1" s="1"/>
  <c r="AA8799" i="1"/>
  <c r="AA8800" i="1" s="1"/>
  <c r="AA8798" i="1"/>
  <c r="AA8781" i="1"/>
  <c r="AA8782" i="1" s="1"/>
  <c r="AA8779" i="1"/>
  <c r="AA8780" i="1" s="1"/>
  <c r="Z8806" i="1"/>
  <c r="Z8805" i="1"/>
  <c r="Z8804" i="1"/>
  <c r="Z8803" i="1"/>
  <c r="Z8802" i="1"/>
  <c r="Z8801" i="1"/>
  <c r="Z8800" i="1"/>
  <c r="Z8799" i="1"/>
  <c r="Z8798" i="1"/>
  <c r="Z8796" i="1"/>
  <c r="Z8795" i="1"/>
  <c r="Z8794" i="1"/>
  <c r="Z8793" i="1"/>
  <c r="AA8792" i="1"/>
  <c r="AA8793" i="1" s="1"/>
  <c r="Z8792" i="1"/>
  <c r="Z8791" i="1"/>
  <c r="AA8789" i="1"/>
  <c r="Z8789" i="1"/>
  <c r="Z8788" i="1"/>
  <c r="Z8787" i="1"/>
  <c r="Z8786" i="1"/>
  <c r="AA8785" i="1"/>
  <c r="AA8786" i="1" s="1"/>
  <c r="Z8785" i="1"/>
  <c r="AA8784" i="1"/>
  <c r="AA8787" i="1" s="1"/>
  <c r="Z8784" i="1"/>
  <c r="Z8782" i="1"/>
  <c r="Z8781" i="1"/>
  <c r="Z8780" i="1"/>
  <c r="Z8779" i="1"/>
  <c r="AA8775" i="1"/>
  <c r="AA8776" i="1" s="1"/>
  <c r="AA8773" i="1"/>
  <c r="AA8774" i="1" s="1"/>
  <c r="AA8771" i="1"/>
  <c r="AA8772" i="1" s="1"/>
  <c r="AA8769" i="1"/>
  <c r="AA8770" i="1" s="1"/>
  <c r="AA8768" i="1"/>
  <c r="AA8751" i="1"/>
  <c r="AA8752" i="1" s="1"/>
  <c r="AA8749" i="1"/>
  <c r="AA8750" i="1" s="1"/>
  <c r="Z8776" i="1"/>
  <c r="Z8775" i="1"/>
  <c r="Z8774" i="1"/>
  <c r="Z8773" i="1"/>
  <c r="Z8772" i="1"/>
  <c r="Z8771" i="1"/>
  <c r="Z8770" i="1"/>
  <c r="Z8769" i="1"/>
  <c r="Z8768" i="1"/>
  <c r="Z8766" i="1"/>
  <c r="Z8765" i="1"/>
  <c r="Z8764" i="1"/>
  <c r="Z8763" i="1"/>
  <c r="AA8762" i="1"/>
  <c r="AA8765" i="1" s="1"/>
  <c r="AA8766" i="1" s="1"/>
  <c r="Z8762" i="1"/>
  <c r="Z8761" i="1"/>
  <c r="AA8759" i="1"/>
  <c r="Z8759" i="1"/>
  <c r="Z8758" i="1"/>
  <c r="Z8757" i="1"/>
  <c r="Z8756" i="1"/>
  <c r="AA8755" i="1"/>
  <c r="AA8758" i="1" s="1"/>
  <c r="Z8755" i="1"/>
  <c r="AA8754" i="1"/>
  <c r="AA8757" i="1" s="1"/>
  <c r="Z8754" i="1"/>
  <c r="Z8752" i="1"/>
  <c r="Z8751" i="1"/>
  <c r="Z8750" i="1"/>
  <c r="Z8749" i="1"/>
  <c r="AA8745" i="1"/>
  <c r="AA8746" i="1" s="1"/>
  <c r="AA8743" i="1"/>
  <c r="AA8744" i="1" s="1"/>
  <c r="AA8741" i="1"/>
  <c r="AA8742" i="1" s="1"/>
  <c r="AA8739" i="1"/>
  <c r="AA8740" i="1" s="1"/>
  <c r="AA8738" i="1"/>
  <c r="AA8721" i="1"/>
  <c r="AA8722" i="1" s="1"/>
  <c r="AA8719" i="1"/>
  <c r="AA8720" i="1" s="1"/>
  <c r="Z8746" i="1"/>
  <c r="Z8745" i="1"/>
  <c r="Z8744" i="1"/>
  <c r="Z8743" i="1"/>
  <c r="Z8742" i="1"/>
  <c r="Z8741" i="1"/>
  <c r="Z8740" i="1"/>
  <c r="Z8739" i="1"/>
  <c r="Z8738" i="1"/>
  <c r="Z8736" i="1"/>
  <c r="Z8735" i="1"/>
  <c r="Z8734" i="1"/>
  <c r="Z8733" i="1"/>
  <c r="AA8732" i="1"/>
  <c r="AA8733" i="1" s="1"/>
  <c r="Z8732" i="1"/>
  <c r="Z8731" i="1"/>
  <c r="AA8729" i="1"/>
  <c r="Z8729" i="1"/>
  <c r="Z8728" i="1"/>
  <c r="Z8727" i="1"/>
  <c r="Z8726" i="1"/>
  <c r="AA8725" i="1"/>
  <c r="AA8726" i="1" s="1"/>
  <c r="Z8725" i="1"/>
  <c r="AA8724" i="1"/>
  <c r="AA8727" i="1" s="1"/>
  <c r="Z8724" i="1"/>
  <c r="Z8722" i="1"/>
  <c r="Z8721" i="1"/>
  <c r="Z8720" i="1"/>
  <c r="Z8719" i="1"/>
  <c r="AA8715" i="1"/>
  <c r="AA8716" i="1" s="1"/>
  <c r="AA8713" i="1"/>
  <c r="AA8714" i="1" s="1"/>
  <c r="AA8708" i="1"/>
  <c r="AA8711" i="1"/>
  <c r="AA8712" i="1" s="1"/>
  <c r="AA8709" i="1"/>
  <c r="AA8710" i="1" s="1"/>
  <c r="AA8702" i="1"/>
  <c r="AA8705" i="1" s="1"/>
  <c r="AA8706" i="1" s="1"/>
  <c r="AA8699" i="1"/>
  <c r="AA8695" i="1"/>
  <c r="AA8696" i="1" s="1"/>
  <c r="AA8694" i="1"/>
  <c r="AA8697" i="1" s="1"/>
  <c r="AA8691" i="1"/>
  <c r="AA8692" i="1" s="1"/>
  <c r="AA8689" i="1"/>
  <c r="AA8690" i="1" s="1"/>
  <c r="Z8716" i="1"/>
  <c r="Z8715" i="1"/>
  <c r="Z8714" i="1"/>
  <c r="Z8713" i="1"/>
  <c r="Z8712" i="1"/>
  <c r="Z8711" i="1"/>
  <c r="Z8710" i="1"/>
  <c r="Z8709" i="1"/>
  <c r="Z8708" i="1"/>
  <c r="Z8699" i="1"/>
  <c r="Z8706" i="1"/>
  <c r="Z8705" i="1"/>
  <c r="Z8704" i="1"/>
  <c r="Z8703" i="1"/>
  <c r="Z8702" i="1"/>
  <c r="Z8701" i="1"/>
  <c r="Z8698" i="1"/>
  <c r="Z8697" i="1"/>
  <c r="Z8696" i="1"/>
  <c r="Z8695" i="1"/>
  <c r="Z8694" i="1"/>
  <c r="Z8692" i="1"/>
  <c r="Z8691" i="1"/>
  <c r="Z8690" i="1"/>
  <c r="Z8689" i="1"/>
  <c r="AA8952" i="1" l="1"/>
  <c r="AA8953" i="1" s="1"/>
  <c r="AA8945" i="1"/>
  <c r="AA8913" i="1"/>
  <c r="AA8848" i="1"/>
  <c r="AA8922" i="1"/>
  <c r="AA8923" i="1" s="1"/>
  <c r="AA8883" i="1"/>
  <c r="AA8788" i="1"/>
  <c r="AA8890" i="1"/>
  <c r="AA8818" i="1"/>
  <c r="AA8855" i="1"/>
  <c r="AA8856" i="1" s="1"/>
  <c r="AA8756" i="1"/>
  <c r="AA8825" i="1"/>
  <c r="AA8826" i="1" s="1"/>
  <c r="AA8698" i="1"/>
  <c r="AA8795" i="1"/>
  <c r="AA8796" i="1" s="1"/>
  <c r="AA8763" i="1"/>
  <c r="AA8728" i="1"/>
  <c r="AA8703" i="1"/>
  <c r="AA8735" i="1"/>
  <c r="AA8736" i="1" s="1"/>
  <c r="AA8651" i="1" l="1"/>
  <c r="AA8652" i="1" s="1"/>
  <c r="AA8641" i="1"/>
  <c r="AA8644" i="1" s="1"/>
  <c r="AA8640" i="1"/>
  <c r="AA8643" i="1" s="1"/>
  <c r="AA8649" i="1"/>
  <c r="AA8637" i="1"/>
  <c r="AA8638" i="1" s="1"/>
  <c r="AA8635" i="1"/>
  <c r="AA8636" i="1" s="1"/>
  <c r="AA8655" i="1"/>
  <c r="AA8656" i="1" s="1"/>
  <c r="AA8653" i="1"/>
  <c r="AA8654" i="1" s="1"/>
  <c r="AA8658" i="1"/>
  <c r="Z8658" i="1"/>
  <c r="Z8657" i="1"/>
  <c r="Z8656" i="1"/>
  <c r="Z8655" i="1"/>
  <c r="Z8654" i="1"/>
  <c r="Z8653" i="1"/>
  <c r="Z8652" i="1"/>
  <c r="Z8651" i="1"/>
  <c r="Z8649" i="1"/>
  <c r="Z8647" i="1"/>
  <c r="AA8647" i="1"/>
  <c r="Z8646" i="1"/>
  <c r="Z8645" i="1"/>
  <c r="Z8644" i="1"/>
  <c r="Z8643" i="1"/>
  <c r="Z8642" i="1"/>
  <c r="Z8641" i="1"/>
  <c r="Z8640" i="1"/>
  <c r="Z8638" i="1"/>
  <c r="Z8637" i="1"/>
  <c r="Z8636" i="1"/>
  <c r="Z8635" i="1"/>
  <c r="Z8681" i="1"/>
  <c r="Z8680" i="1"/>
  <c r="AA8679" i="1"/>
  <c r="AA8681" i="1" s="1"/>
  <c r="Z8679" i="1"/>
  <c r="AA8678" i="1"/>
  <c r="Z8678" i="1"/>
  <c r="Z8676" i="1"/>
  <c r="Z8675" i="1"/>
  <c r="Z8674" i="1"/>
  <c r="AA8673" i="1"/>
  <c r="Z8673" i="1"/>
  <c r="Z8672" i="1"/>
  <c r="Z8671" i="1"/>
  <c r="AA8670" i="1"/>
  <c r="AA8671" i="1" s="1"/>
  <c r="Z8670" i="1"/>
  <c r="Z8669" i="1"/>
  <c r="AA8668" i="1"/>
  <c r="AA8674" i="1" s="1"/>
  <c r="AA8675" i="1" s="1"/>
  <c r="Z8668" i="1"/>
  <c r="AA8642" i="1" l="1"/>
  <c r="AA8680" i="1"/>
  <c r="AA8669" i="1"/>
  <c r="AA4653" i="1" l="1"/>
  <c r="AA4651" i="1"/>
  <c r="AA4652" i="1" s="1"/>
  <c r="AA4649" i="1"/>
  <c r="AA4650" i="1" s="1"/>
  <c r="AA4648" i="1"/>
  <c r="AA4634" i="1"/>
  <c r="AA4635" i="1" s="1"/>
  <c r="AA4633" i="1"/>
  <c r="AA4636" i="1" s="1"/>
  <c r="AA4630" i="1"/>
  <c r="AA4631" i="1" s="1"/>
  <c r="AA4628" i="1"/>
  <c r="AA4629" i="1" s="1"/>
  <c r="AA4656" i="1"/>
  <c r="Z4656" i="1"/>
  <c r="Z4655" i="1"/>
  <c r="Z4654" i="1"/>
  <c r="AA4654" i="1"/>
  <c r="Z4653" i="1"/>
  <c r="Z4652" i="1"/>
  <c r="Z4651" i="1"/>
  <c r="Z4650" i="1"/>
  <c r="Z4649" i="1"/>
  <c r="Z4648" i="1"/>
  <c r="Z4646" i="1"/>
  <c r="AA4645" i="1"/>
  <c r="AA4646" i="1" s="1"/>
  <c r="Z4645" i="1"/>
  <c r="Z4643" i="1"/>
  <c r="AA4642" i="1"/>
  <c r="AA4643" i="1" s="1"/>
  <c r="Z4642" i="1"/>
  <c r="Z4641" i="1"/>
  <c r="AA4640" i="1"/>
  <c r="Z4640" i="1"/>
  <c r="Z4639" i="1"/>
  <c r="Z4638" i="1"/>
  <c r="Z4637" i="1"/>
  <c r="Z4636" i="1"/>
  <c r="Z4635" i="1"/>
  <c r="Z4634" i="1"/>
  <c r="Z4633" i="1"/>
  <c r="Z4631" i="1"/>
  <c r="Z4630" i="1"/>
  <c r="Z4629" i="1"/>
  <c r="Z4628" i="1"/>
  <c r="AA4621" i="1"/>
  <c r="Z4621" i="1"/>
  <c r="Z4620" i="1"/>
  <c r="Z4619" i="1"/>
  <c r="AA4618" i="1"/>
  <c r="AA4619" i="1" s="1"/>
  <c r="Z4618" i="1"/>
  <c r="Z4617" i="1"/>
  <c r="AA4616" i="1"/>
  <c r="AA4617" i="1" s="1"/>
  <c r="Z4616" i="1"/>
  <c r="Z4615" i="1"/>
  <c r="AA4614" i="1"/>
  <c r="AA4615" i="1" s="1"/>
  <c r="Z4614" i="1"/>
  <c r="AA4613" i="1"/>
  <c r="Z4613" i="1"/>
  <c r="Z4611" i="1"/>
  <c r="AA4610" i="1"/>
  <c r="AA4611" i="1" s="1"/>
  <c r="Z4610" i="1"/>
  <c r="Z4608" i="1"/>
  <c r="AA4607" i="1"/>
  <c r="AA4608" i="1" s="1"/>
  <c r="Z4607" i="1"/>
  <c r="Z4606" i="1"/>
  <c r="AA4605" i="1"/>
  <c r="Z4605" i="1"/>
  <c r="Z4604" i="1"/>
  <c r="Z4603" i="1"/>
  <c r="Z4602" i="1"/>
  <c r="Z4601" i="1"/>
  <c r="AA4600" i="1"/>
  <c r="Z4600" i="1"/>
  <c r="AA4599" i="1"/>
  <c r="AA4602" i="1" s="1"/>
  <c r="Z4599" i="1"/>
  <c r="AA4598" i="1"/>
  <c r="AA4601" i="1" s="1"/>
  <c r="Z4598" i="1"/>
  <c r="Z4596" i="1"/>
  <c r="AA4595" i="1"/>
  <c r="AA4596" i="1" s="1"/>
  <c r="Z4595" i="1"/>
  <c r="Z4594" i="1"/>
  <c r="AA4593" i="1"/>
  <c r="AA4594" i="1" s="1"/>
  <c r="Z4593" i="1"/>
  <c r="AA4587" i="1"/>
  <c r="Z4587" i="1"/>
  <c r="Z4586" i="1"/>
  <c r="Z4585" i="1"/>
  <c r="AA4584" i="1"/>
  <c r="AA4585" i="1" s="1"/>
  <c r="Z4584" i="1"/>
  <c r="Z4583" i="1"/>
  <c r="AA4582" i="1"/>
  <c r="AA4583" i="1" s="1"/>
  <c r="Z4582" i="1"/>
  <c r="Z4581" i="1"/>
  <c r="AA4580" i="1"/>
  <c r="AA4581" i="1" s="1"/>
  <c r="Z4580" i="1"/>
  <c r="AA4579" i="1"/>
  <c r="Z4579" i="1"/>
  <c r="Z4577" i="1"/>
  <c r="AA4576" i="1"/>
  <c r="AA4577" i="1" s="1"/>
  <c r="Z4576" i="1"/>
  <c r="Z4574" i="1"/>
  <c r="AA4573" i="1"/>
  <c r="AA4574" i="1" s="1"/>
  <c r="Z4573" i="1"/>
  <c r="Z4572" i="1"/>
  <c r="AA4571" i="1"/>
  <c r="Z4571" i="1"/>
  <c r="Z4570" i="1"/>
  <c r="Z4569" i="1"/>
  <c r="Z4568" i="1"/>
  <c r="Z4567" i="1"/>
  <c r="AA4566" i="1"/>
  <c r="Z4566" i="1"/>
  <c r="AA4565" i="1"/>
  <c r="AA4568" i="1" s="1"/>
  <c r="Z4565" i="1"/>
  <c r="AA4564" i="1"/>
  <c r="AA4567" i="1" s="1"/>
  <c r="Z4564" i="1"/>
  <c r="Z4562" i="1"/>
  <c r="AA4561" i="1"/>
  <c r="AA4562" i="1" s="1"/>
  <c r="Z4561" i="1"/>
  <c r="Z4560" i="1"/>
  <c r="AA4559" i="1"/>
  <c r="AA4560" i="1" s="1"/>
  <c r="Z4559" i="1"/>
  <c r="AA4556" i="1"/>
  <c r="Z4556" i="1"/>
  <c r="Z4555" i="1"/>
  <c r="Z4554" i="1"/>
  <c r="AA4553" i="1"/>
  <c r="AA4554" i="1" s="1"/>
  <c r="Z4553" i="1"/>
  <c r="Z4552" i="1"/>
  <c r="AA4551" i="1"/>
  <c r="AA4552" i="1" s="1"/>
  <c r="Z4551" i="1"/>
  <c r="Z4550" i="1"/>
  <c r="AA4549" i="1"/>
  <c r="AA4550" i="1" s="1"/>
  <c r="Z4549" i="1"/>
  <c r="AA4548" i="1"/>
  <c r="Z4548" i="1"/>
  <c r="Z4546" i="1"/>
  <c r="AA4545" i="1"/>
  <c r="AA4546" i="1" s="1"/>
  <c r="Z4545" i="1"/>
  <c r="Z4543" i="1"/>
  <c r="AA4542" i="1"/>
  <c r="AA4543" i="1" s="1"/>
  <c r="Z4542" i="1"/>
  <c r="Z4541" i="1"/>
  <c r="AA4540" i="1"/>
  <c r="Z4540" i="1"/>
  <c r="Z4539" i="1"/>
  <c r="Z4538" i="1"/>
  <c r="Z4537" i="1"/>
  <c r="Z4536" i="1"/>
  <c r="AA4535" i="1"/>
  <c r="Z4535" i="1"/>
  <c r="AA4534" i="1"/>
  <c r="AA4537" i="1" s="1"/>
  <c r="Z4534" i="1"/>
  <c r="AA4533" i="1"/>
  <c r="AA4536" i="1" s="1"/>
  <c r="Z4533" i="1"/>
  <c r="Z4531" i="1"/>
  <c r="AA4530" i="1"/>
  <c r="AA4531" i="1" s="1"/>
  <c r="Z4530" i="1"/>
  <c r="Z4529" i="1"/>
  <c r="AA4528" i="1"/>
  <c r="AA4529" i="1" s="1"/>
  <c r="Z4528" i="1"/>
  <c r="AA4525" i="1"/>
  <c r="Z4525" i="1"/>
  <c r="Z4524" i="1"/>
  <c r="Z4523" i="1"/>
  <c r="AA4522" i="1"/>
  <c r="AA4523" i="1" s="1"/>
  <c r="Z4522" i="1"/>
  <c r="Z4521" i="1"/>
  <c r="AA4520" i="1"/>
  <c r="AA4521" i="1" s="1"/>
  <c r="Z4520" i="1"/>
  <c r="Z4519" i="1"/>
  <c r="AA4518" i="1"/>
  <c r="AA4519" i="1" s="1"/>
  <c r="Z4518" i="1"/>
  <c r="AA4517" i="1"/>
  <c r="Z4517" i="1"/>
  <c r="Z4515" i="1"/>
  <c r="AA4514" i="1"/>
  <c r="AA4515" i="1" s="1"/>
  <c r="Z4514" i="1"/>
  <c r="Z4512" i="1"/>
  <c r="AA4511" i="1"/>
  <c r="AA4512" i="1" s="1"/>
  <c r="Z4511" i="1"/>
  <c r="Z4510" i="1"/>
  <c r="AA4509" i="1"/>
  <c r="Z4509" i="1"/>
  <c r="Z4508" i="1"/>
  <c r="Z4507" i="1"/>
  <c r="Z4506" i="1"/>
  <c r="Z4505" i="1"/>
  <c r="AA4504" i="1"/>
  <c r="Z4504" i="1"/>
  <c r="AA4503" i="1"/>
  <c r="AA4506" i="1" s="1"/>
  <c r="Z4503" i="1"/>
  <c r="AA4502" i="1"/>
  <c r="AA4505" i="1" s="1"/>
  <c r="Z4502" i="1"/>
  <c r="Z4500" i="1"/>
  <c r="AA4499" i="1"/>
  <c r="AA4500" i="1" s="1"/>
  <c r="Z4499" i="1"/>
  <c r="Z4498" i="1"/>
  <c r="AA4497" i="1"/>
  <c r="AA4498" i="1" s="1"/>
  <c r="Z4497" i="1"/>
  <c r="AA4637" i="1" l="1"/>
  <c r="D251" i="6"/>
  <c r="Z4441" i="1" s="1"/>
  <c r="Z4490" i="1"/>
  <c r="Z4489" i="1"/>
  <c r="Z4488" i="1"/>
  <c r="Z4484" i="1"/>
  <c r="Z4482" i="1"/>
  <c r="Z4479" i="1"/>
  <c r="Z4478" i="1"/>
  <c r="Z4477" i="1"/>
  <c r="Z4474" i="1"/>
  <c r="Z4473" i="1"/>
  <c r="Z4472" i="1"/>
  <c r="Z4469" i="1"/>
  <c r="Z4467" i="1"/>
  <c r="Z4463" i="1"/>
  <c r="Z4462" i="1"/>
  <c r="Z4461" i="1"/>
  <c r="Z4457" i="1"/>
  <c r="Z4455" i="1"/>
  <c r="Z4452" i="1"/>
  <c r="Z4451" i="1"/>
  <c r="Z4450" i="1"/>
  <c r="Z4447" i="1"/>
  <c r="Z4446" i="1"/>
  <c r="Z4445" i="1"/>
  <c r="Z4442" i="1"/>
  <c r="Z4440" i="1"/>
  <c r="Z4435" i="1"/>
  <c r="Z4433" i="1"/>
  <c r="Z4430" i="1"/>
  <c r="Z4429" i="1"/>
  <c r="Z4428" i="1"/>
  <c r="Z4425" i="1"/>
  <c r="Z4424" i="1"/>
  <c r="Z4423" i="1"/>
  <c r="Z4420" i="1"/>
  <c r="Z4418" i="1"/>
  <c r="AA4413" i="1"/>
  <c r="Z4413" i="1"/>
  <c r="Z4412" i="1"/>
  <c r="Z4411" i="1"/>
  <c r="AA4408" i="1"/>
  <c r="Z4408" i="1"/>
  <c r="Z4407" i="1"/>
  <c r="Z4406" i="1"/>
  <c r="AA4403" i="1"/>
  <c r="Z4403" i="1"/>
  <c r="Z4402" i="1"/>
  <c r="Z4401" i="1"/>
  <c r="AA4395" i="1"/>
  <c r="Z4395" i="1"/>
  <c r="Z4394" i="1"/>
  <c r="Z4393" i="1"/>
  <c r="AA4389" i="1"/>
  <c r="Z4389" i="1"/>
  <c r="Z4388" i="1"/>
  <c r="Z4387" i="1"/>
  <c r="AA4384" i="1"/>
  <c r="Z4384" i="1"/>
  <c r="Z4383" i="1"/>
  <c r="Z4382" i="1"/>
  <c r="AA4379" i="1"/>
  <c r="Z4379" i="1"/>
  <c r="Z4378" i="1"/>
  <c r="Z4377" i="1"/>
  <c r="AA4371" i="1"/>
  <c r="Z4371" i="1"/>
  <c r="Z4370" i="1"/>
  <c r="Z4369" i="1"/>
  <c r="AA4364" i="1"/>
  <c r="Z4364" i="1"/>
  <c r="Z4363" i="1"/>
  <c r="Z4362" i="1"/>
  <c r="Z4419" i="1" l="1"/>
  <c r="Z4468" i="1"/>
  <c r="AA2874" i="1" l="1"/>
  <c r="Z2874" i="1"/>
  <c r="Z2873" i="1"/>
  <c r="AA2872" i="1"/>
  <c r="Z2872" i="1"/>
  <c r="Z2871" i="1"/>
  <c r="Z2870" i="1"/>
  <c r="AA2869" i="1"/>
  <c r="AA2870" i="1" s="1"/>
  <c r="Z2869" i="1"/>
  <c r="Z2868" i="1"/>
  <c r="AA2867" i="1"/>
  <c r="AA2868" i="1" s="1"/>
  <c r="Z2867" i="1"/>
  <c r="Z2866" i="1"/>
  <c r="AA2865" i="1"/>
  <c r="AA2866" i="1" s="1"/>
  <c r="Z2865" i="1"/>
  <c r="Z2863" i="1"/>
  <c r="AA2862" i="1"/>
  <c r="AA2863" i="1" s="1"/>
  <c r="Z2862" i="1"/>
  <c r="AA2861" i="1"/>
  <c r="Z2861" i="1"/>
  <c r="Z2860" i="1"/>
  <c r="AA2859" i="1"/>
  <c r="Z2859" i="1"/>
  <c r="Z2858" i="1"/>
  <c r="Z2855" i="1"/>
  <c r="Z2854" i="1"/>
  <c r="AA2853" i="1"/>
  <c r="AA2854" i="1" s="1"/>
  <c r="Z2853" i="1"/>
  <c r="Z2850" i="1"/>
  <c r="Z2849" i="1"/>
  <c r="AA2848" i="1"/>
  <c r="AA2850" i="1" s="1"/>
  <c r="Z2848" i="1"/>
  <c r="Z2845" i="1"/>
  <c r="Z2844" i="1"/>
  <c r="AA2843" i="1"/>
  <c r="AA2844" i="1" s="1"/>
  <c r="Z2843" i="1"/>
  <c r="Z2840" i="1"/>
  <c r="Z2839" i="1"/>
  <c r="AA2838" i="1"/>
  <c r="AA2839" i="1" s="1"/>
  <c r="Z2838" i="1"/>
  <c r="AA2830" i="1"/>
  <c r="AA2831" i="1" s="1"/>
  <c r="AA2828" i="1"/>
  <c r="AA2829" i="1" s="1"/>
  <c r="AA2826" i="1"/>
  <c r="AA2827" i="1" s="1"/>
  <c r="AA2835" i="1"/>
  <c r="Z2835" i="1"/>
  <c r="Z2834" i="1"/>
  <c r="Z2833" i="1"/>
  <c r="AA2832" i="1"/>
  <c r="AA2833" i="1" s="1"/>
  <c r="Z2832" i="1"/>
  <c r="Z2831" i="1"/>
  <c r="Z2830" i="1"/>
  <c r="Z2829" i="1"/>
  <c r="Z2828" i="1"/>
  <c r="Z2827" i="1"/>
  <c r="Z2826" i="1"/>
  <c r="AA2818" i="1"/>
  <c r="AA2819" i="1" s="1"/>
  <c r="AA2816" i="1"/>
  <c r="AA2817" i="1" s="1"/>
  <c r="AA2814" i="1"/>
  <c r="AA2815" i="1" s="1"/>
  <c r="AA2823" i="1"/>
  <c r="Z2823" i="1"/>
  <c r="Z2822" i="1"/>
  <c r="Z2821" i="1"/>
  <c r="AA2820" i="1"/>
  <c r="AA2821" i="1" s="1"/>
  <c r="Z2820" i="1"/>
  <c r="Z2819" i="1"/>
  <c r="Z2818" i="1"/>
  <c r="Z2817" i="1"/>
  <c r="Z2816" i="1"/>
  <c r="Z2815" i="1"/>
  <c r="Z2814" i="1"/>
  <c r="AA2811" i="1"/>
  <c r="Z2811" i="1"/>
  <c r="Z2810" i="1"/>
  <c r="Z2809" i="1"/>
  <c r="AA2808" i="1"/>
  <c r="AA2809" i="1" s="1"/>
  <c r="Z2808" i="1"/>
  <c r="Z2807" i="1"/>
  <c r="AA2806" i="1"/>
  <c r="AA2807" i="1" s="1"/>
  <c r="Z2806" i="1"/>
  <c r="Z2805" i="1"/>
  <c r="AA2804" i="1"/>
  <c r="AA2805" i="1" s="1"/>
  <c r="Z2804" i="1"/>
  <c r="Z2803" i="1"/>
  <c r="AA2802" i="1"/>
  <c r="AA2803" i="1" s="1"/>
  <c r="Z2802" i="1"/>
  <c r="AA2799" i="1"/>
  <c r="Z2799" i="1"/>
  <c r="Z2798" i="1"/>
  <c r="Z2797" i="1"/>
  <c r="AA2796" i="1"/>
  <c r="AA2797" i="1" s="1"/>
  <c r="Z2796" i="1"/>
  <c r="Z2795" i="1"/>
  <c r="AA2794" i="1"/>
  <c r="AA2795" i="1" s="1"/>
  <c r="Z2794" i="1"/>
  <c r="Z2793" i="1"/>
  <c r="AA2792" i="1"/>
  <c r="AA2793" i="1" s="1"/>
  <c r="Z2792" i="1"/>
  <c r="Z2791" i="1"/>
  <c r="AA2790" i="1"/>
  <c r="AA2791" i="1" s="1"/>
  <c r="Z2790" i="1"/>
  <c r="AA2787" i="1"/>
  <c r="Z2787" i="1"/>
  <c r="Z2786" i="1"/>
  <c r="Z2785" i="1"/>
  <c r="AA2784" i="1"/>
  <c r="AA2785" i="1" s="1"/>
  <c r="Z2784" i="1"/>
  <c r="Z2783" i="1"/>
  <c r="AA2782" i="1"/>
  <c r="AA2783" i="1" s="1"/>
  <c r="Z2782" i="1"/>
  <c r="Z2781" i="1"/>
  <c r="AA2780" i="1"/>
  <c r="AA2781" i="1" s="1"/>
  <c r="Z2780" i="1"/>
  <c r="Z2779" i="1"/>
  <c r="AA2778" i="1"/>
  <c r="AA2779" i="1" s="1"/>
  <c r="Z2778" i="1"/>
  <c r="O2774" i="1"/>
  <c r="J2774" i="1"/>
  <c r="K2774" i="1" s="1"/>
  <c r="G2774" i="1"/>
  <c r="O2767" i="1"/>
  <c r="J2767" i="1"/>
  <c r="K2767" i="1" s="1"/>
  <c r="G2767" i="1"/>
  <c r="AA2766" i="1"/>
  <c r="Z2766" i="1"/>
  <c r="Z2765" i="1"/>
  <c r="Z2764" i="1"/>
  <c r="AA2763" i="1"/>
  <c r="AA2764" i="1" s="1"/>
  <c r="Z2763" i="1"/>
  <c r="Z2762" i="1"/>
  <c r="AA2761" i="1"/>
  <c r="AA2762" i="1" s="1"/>
  <c r="Z2761" i="1"/>
  <c r="Z2760" i="1"/>
  <c r="AA2759" i="1"/>
  <c r="AA2760" i="1" s="1"/>
  <c r="Z2759" i="1"/>
  <c r="AA2758" i="1"/>
  <c r="Z2758" i="1"/>
  <c r="Z2756" i="1"/>
  <c r="AA2755" i="1"/>
  <c r="AA2756" i="1" s="1"/>
  <c r="Z2755" i="1"/>
  <c r="Z2753" i="1"/>
  <c r="AA2752" i="1"/>
  <c r="AA2753" i="1" s="1"/>
  <c r="Z2752" i="1"/>
  <c r="Z2751" i="1"/>
  <c r="AA2750" i="1"/>
  <c r="Z2750" i="1"/>
  <c r="Z2749" i="1"/>
  <c r="Z2748" i="1"/>
  <c r="Z2747" i="1"/>
  <c r="Z2746" i="1"/>
  <c r="Z2745" i="1"/>
  <c r="AA2744" i="1"/>
  <c r="Z2744" i="1"/>
  <c r="AA2743" i="1"/>
  <c r="AA2746" i="1" s="1"/>
  <c r="Z2743" i="1"/>
  <c r="AA2742" i="1"/>
  <c r="AA2745" i="1" s="1"/>
  <c r="Z2742" i="1"/>
  <c r="Z2740" i="1"/>
  <c r="AA2739" i="1"/>
  <c r="AA2740" i="1" s="1"/>
  <c r="Z2739" i="1"/>
  <c r="Z2738" i="1"/>
  <c r="AA2737" i="1"/>
  <c r="AA2738" i="1" s="1"/>
  <c r="Z2737" i="1"/>
  <c r="AA2734" i="1"/>
  <c r="Z2734" i="1"/>
  <c r="Z2733" i="1"/>
  <c r="Z2732" i="1"/>
  <c r="AA2731" i="1"/>
  <c r="AA2732" i="1" s="1"/>
  <c r="Z2731" i="1"/>
  <c r="Z2730" i="1"/>
  <c r="AA2729" i="1"/>
  <c r="AA2730" i="1" s="1"/>
  <c r="Z2729" i="1"/>
  <c r="Z2728" i="1"/>
  <c r="AA2727" i="1"/>
  <c r="AA2728" i="1" s="1"/>
  <c r="Z2727" i="1"/>
  <c r="AA2726" i="1"/>
  <c r="Z2726" i="1"/>
  <c r="Z2724" i="1"/>
  <c r="AA2723" i="1"/>
  <c r="AA2724" i="1" s="1"/>
  <c r="Z2723" i="1"/>
  <c r="Z2721" i="1"/>
  <c r="AA2720" i="1"/>
  <c r="AA2721" i="1" s="1"/>
  <c r="Z2720" i="1"/>
  <c r="Z2719" i="1"/>
  <c r="AA2718" i="1"/>
  <c r="Z2718" i="1"/>
  <c r="Z2717" i="1"/>
  <c r="Z2716" i="1"/>
  <c r="Z2715" i="1"/>
  <c r="Z2714" i="1"/>
  <c r="Z2713" i="1"/>
  <c r="AA2712" i="1"/>
  <c r="Z2712" i="1"/>
  <c r="AA2711" i="1"/>
  <c r="AA2714" i="1" s="1"/>
  <c r="Z2711" i="1"/>
  <c r="AA2710" i="1"/>
  <c r="AA2713" i="1" s="1"/>
  <c r="Z2710" i="1"/>
  <c r="Z2708" i="1"/>
  <c r="AA2707" i="1"/>
  <c r="AA2708" i="1" s="1"/>
  <c r="Z2707" i="1"/>
  <c r="Z2706" i="1"/>
  <c r="AA2705" i="1"/>
  <c r="AA2706" i="1" s="1"/>
  <c r="Z2705" i="1"/>
  <c r="AA2702" i="1"/>
  <c r="Z2702" i="1"/>
  <c r="Z2701" i="1"/>
  <c r="Z2700" i="1"/>
  <c r="AA2699" i="1"/>
  <c r="AA2700" i="1" s="1"/>
  <c r="Z2699" i="1"/>
  <c r="Z2698" i="1"/>
  <c r="AA2697" i="1"/>
  <c r="AA2698" i="1" s="1"/>
  <c r="Z2697" i="1"/>
  <c r="Z2696" i="1"/>
  <c r="AA2695" i="1"/>
  <c r="AA2696" i="1" s="1"/>
  <c r="Z2695" i="1"/>
  <c r="AA2694" i="1"/>
  <c r="Z2694" i="1"/>
  <c r="Z2692" i="1"/>
  <c r="AA2691" i="1"/>
  <c r="AA2692" i="1" s="1"/>
  <c r="Z2691" i="1"/>
  <c r="Z2689" i="1"/>
  <c r="AA2688" i="1"/>
  <c r="AA2689" i="1" s="1"/>
  <c r="Z2688" i="1"/>
  <c r="Z2687" i="1"/>
  <c r="AA2686" i="1"/>
  <c r="Z2686" i="1"/>
  <c r="Z2685" i="1"/>
  <c r="Z2684" i="1"/>
  <c r="Z2683" i="1"/>
  <c r="Z2682" i="1"/>
  <c r="Z2681" i="1"/>
  <c r="AA2680" i="1"/>
  <c r="Z2680" i="1"/>
  <c r="AA2679" i="1"/>
  <c r="AA2682" i="1" s="1"/>
  <c r="Z2679" i="1"/>
  <c r="AA2678" i="1"/>
  <c r="AA2681" i="1" s="1"/>
  <c r="Z2678" i="1"/>
  <c r="Z2676" i="1"/>
  <c r="AA2675" i="1"/>
  <c r="AA2676" i="1" s="1"/>
  <c r="Z2675" i="1"/>
  <c r="Z2674" i="1"/>
  <c r="AA2673" i="1"/>
  <c r="AA2674" i="1" s="1"/>
  <c r="Z2673" i="1"/>
  <c r="AA2669" i="1"/>
  <c r="Z2669" i="1"/>
  <c r="Z2668" i="1"/>
  <c r="Z2667" i="1"/>
  <c r="AA2666" i="1"/>
  <c r="AA2667" i="1" s="1"/>
  <c r="Z2666" i="1"/>
  <c r="Z2665" i="1"/>
  <c r="AA2664" i="1"/>
  <c r="AA2665" i="1" s="1"/>
  <c r="Z2664" i="1"/>
  <c r="Z2663" i="1"/>
  <c r="AA2662" i="1"/>
  <c r="AA2663" i="1" s="1"/>
  <c r="Z2662" i="1"/>
  <c r="AA2661" i="1"/>
  <c r="Z2661" i="1"/>
  <c r="Z2659" i="1"/>
  <c r="AA2658" i="1"/>
  <c r="AA2659" i="1" s="1"/>
  <c r="Z2658" i="1"/>
  <c r="Z2656" i="1"/>
  <c r="AA2655" i="1"/>
  <c r="AA2656" i="1" s="1"/>
  <c r="Z2655" i="1"/>
  <c r="Z2654" i="1"/>
  <c r="AA2653" i="1"/>
  <c r="Z2653" i="1"/>
  <c r="Z2652" i="1"/>
  <c r="Z2651" i="1"/>
  <c r="Z2650" i="1"/>
  <c r="Z2649" i="1"/>
  <c r="AA2648" i="1"/>
  <c r="Z2648" i="1"/>
  <c r="AA2647" i="1"/>
  <c r="AA2650" i="1" s="1"/>
  <c r="Z2647" i="1"/>
  <c r="AA2646" i="1"/>
  <c r="AA2649" i="1" s="1"/>
  <c r="Z2646" i="1"/>
  <c r="Z2644" i="1"/>
  <c r="AA2643" i="1"/>
  <c r="AA2644" i="1" s="1"/>
  <c r="Z2643" i="1"/>
  <c r="Z2642" i="1"/>
  <c r="AA2641" i="1"/>
  <c r="AA2642" i="1" s="1"/>
  <c r="Z2641" i="1"/>
  <c r="AA2638" i="1"/>
  <c r="Z2638" i="1"/>
  <c r="Z2637" i="1"/>
  <c r="Z2636" i="1"/>
  <c r="AA2635" i="1"/>
  <c r="AA2636" i="1" s="1"/>
  <c r="Z2635" i="1"/>
  <c r="Z2634" i="1"/>
  <c r="AA2633" i="1"/>
  <c r="AA2634" i="1" s="1"/>
  <c r="Z2633" i="1"/>
  <c r="Z2632" i="1"/>
  <c r="AA2631" i="1"/>
  <c r="AA2632" i="1" s="1"/>
  <c r="Z2631" i="1"/>
  <c r="AA2630" i="1"/>
  <c r="Z2630" i="1"/>
  <c r="Z2628" i="1"/>
  <c r="AA2627" i="1"/>
  <c r="AA2628" i="1" s="1"/>
  <c r="Z2627" i="1"/>
  <c r="Z2625" i="1"/>
  <c r="AA2624" i="1"/>
  <c r="AA2625" i="1" s="1"/>
  <c r="Z2624" i="1"/>
  <c r="Z2623" i="1"/>
  <c r="AA2622" i="1"/>
  <c r="Z2622" i="1"/>
  <c r="Z2621" i="1"/>
  <c r="Z2620" i="1"/>
  <c r="Z2619" i="1"/>
  <c r="Z2618" i="1"/>
  <c r="AA2617" i="1"/>
  <c r="Z2617" i="1"/>
  <c r="AA2616" i="1"/>
  <c r="AA2619" i="1" s="1"/>
  <c r="Z2616" i="1"/>
  <c r="AA2615" i="1"/>
  <c r="AA2618" i="1" s="1"/>
  <c r="Z2615" i="1"/>
  <c r="Z2613" i="1"/>
  <c r="AA2612" i="1"/>
  <c r="AA2613" i="1" s="1"/>
  <c r="Z2612" i="1"/>
  <c r="Z2611" i="1"/>
  <c r="AA2610" i="1"/>
  <c r="AA2611" i="1" s="1"/>
  <c r="Z2610" i="1"/>
  <c r="AA2607" i="1"/>
  <c r="Z2607" i="1"/>
  <c r="Z2606" i="1"/>
  <c r="Z2605" i="1"/>
  <c r="AA2604" i="1"/>
  <c r="AA2605" i="1" s="1"/>
  <c r="Z2604" i="1"/>
  <c r="Z2603" i="1"/>
  <c r="AA2602" i="1"/>
  <c r="AA2603" i="1" s="1"/>
  <c r="Z2602" i="1"/>
  <c r="Z2601" i="1"/>
  <c r="AA2600" i="1"/>
  <c r="AA2601" i="1" s="1"/>
  <c r="Z2600" i="1"/>
  <c r="AA2599" i="1"/>
  <c r="Z2599" i="1"/>
  <c r="Z2597" i="1"/>
  <c r="AA2596" i="1"/>
  <c r="AA2597" i="1" s="1"/>
  <c r="Z2596" i="1"/>
  <c r="Z2594" i="1"/>
  <c r="AA2593" i="1"/>
  <c r="AA2594" i="1" s="1"/>
  <c r="Z2593" i="1"/>
  <c r="Z2592" i="1"/>
  <c r="AA2591" i="1"/>
  <c r="Z2591" i="1"/>
  <c r="Z2590" i="1"/>
  <c r="Z2589" i="1"/>
  <c r="Z2588" i="1"/>
  <c r="Z2587" i="1"/>
  <c r="AA2586" i="1"/>
  <c r="Z2586" i="1"/>
  <c r="AA2585" i="1"/>
  <c r="AA2588" i="1" s="1"/>
  <c r="Z2585" i="1"/>
  <c r="AA2584" i="1"/>
  <c r="AA2587" i="1" s="1"/>
  <c r="Z2584" i="1"/>
  <c r="Z2582" i="1"/>
  <c r="AA2581" i="1"/>
  <c r="AA2582" i="1" s="1"/>
  <c r="Z2581" i="1"/>
  <c r="Z2580" i="1"/>
  <c r="AA2579" i="1"/>
  <c r="AA2580" i="1" s="1"/>
  <c r="Z2579" i="1"/>
  <c r="AA2570" i="1"/>
  <c r="AA2571" i="1" s="1"/>
  <c r="AA2568" i="1"/>
  <c r="AA2569" i="1" s="1"/>
  <c r="AA2566" i="1"/>
  <c r="AA2567" i="1" s="1"/>
  <c r="AA2565" i="1"/>
  <c r="AA2562" i="1"/>
  <c r="AA2563" i="1" s="1"/>
  <c r="AA2552" i="1"/>
  <c r="AA2551" i="1"/>
  <c r="AA2554" i="1" s="1"/>
  <c r="AA2547" i="1"/>
  <c r="AA2548" i="1" s="1"/>
  <c r="AA2545" i="1"/>
  <c r="AA2546" i="1" s="1"/>
  <c r="AA2573" i="1"/>
  <c r="Z2573" i="1"/>
  <c r="Z2572" i="1"/>
  <c r="Z2571" i="1"/>
  <c r="Z2570" i="1"/>
  <c r="Z2569" i="1"/>
  <c r="Z2568" i="1"/>
  <c r="Z2567" i="1"/>
  <c r="Z2566" i="1"/>
  <c r="Z2565" i="1"/>
  <c r="Z2563" i="1"/>
  <c r="Z2562" i="1"/>
  <c r="Z2560" i="1"/>
  <c r="AA2559" i="1"/>
  <c r="AA2560" i="1" s="1"/>
  <c r="Z2559" i="1"/>
  <c r="Z2558" i="1"/>
  <c r="AA2557" i="1"/>
  <c r="Z2557" i="1"/>
  <c r="Z2556" i="1"/>
  <c r="Z2555" i="1"/>
  <c r="Z2554" i="1"/>
  <c r="Z2553" i="1"/>
  <c r="Z2552" i="1"/>
  <c r="Z2551" i="1"/>
  <c r="AA2550" i="1"/>
  <c r="AA2553" i="1" s="1"/>
  <c r="Z2550" i="1"/>
  <c r="Z2548" i="1"/>
  <c r="Z2547" i="1"/>
  <c r="Z2546" i="1"/>
  <c r="Z2545" i="1"/>
  <c r="AA2542" i="1"/>
  <c r="Z2542" i="1"/>
  <c r="Z2541" i="1"/>
  <c r="Z2540" i="1"/>
  <c r="AA2539" i="1"/>
  <c r="AA2540" i="1" s="1"/>
  <c r="Z2539" i="1"/>
  <c r="Z2538" i="1"/>
  <c r="AA2537" i="1"/>
  <c r="AA2538" i="1" s="1"/>
  <c r="Z2537" i="1"/>
  <c r="Z2536" i="1"/>
  <c r="AA2535" i="1"/>
  <c r="AA2536" i="1" s="1"/>
  <c r="Z2535" i="1"/>
  <c r="AA2534" i="1"/>
  <c r="Z2534" i="1"/>
  <c r="Z2532" i="1"/>
  <c r="AA2531" i="1"/>
  <c r="AA2532" i="1" s="1"/>
  <c r="Z2531" i="1"/>
  <c r="Z2529" i="1"/>
  <c r="AA2528" i="1"/>
  <c r="AA2529" i="1" s="1"/>
  <c r="Z2528" i="1"/>
  <c r="Z2527" i="1"/>
  <c r="AA2526" i="1"/>
  <c r="Z2526" i="1"/>
  <c r="Z2525" i="1"/>
  <c r="Z2524" i="1"/>
  <c r="Z2523" i="1"/>
  <c r="Z2522" i="1"/>
  <c r="AA2521" i="1"/>
  <c r="Z2521" i="1"/>
  <c r="AA2520" i="1"/>
  <c r="AA2523" i="1" s="1"/>
  <c r="Z2520" i="1"/>
  <c r="AA2519" i="1"/>
  <c r="AA2522" i="1" s="1"/>
  <c r="Z2519" i="1"/>
  <c r="Z2517" i="1"/>
  <c r="AA2516" i="1"/>
  <c r="AA2517" i="1" s="1"/>
  <c r="Z2516" i="1"/>
  <c r="Z2515" i="1"/>
  <c r="AA2514" i="1"/>
  <c r="AA2515" i="1" s="1"/>
  <c r="Z2514" i="1"/>
  <c r="AA1460" i="1"/>
  <c r="AA1458" i="1"/>
  <c r="AA1456" i="1"/>
  <c r="AA1455" i="1"/>
  <c r="AA1452" i="1"/>
  <c r="AA1442" i="1"/>
  <c r="AA1441" i="1"/>
  <c r="AA1437" i="1"/>
  <c r="AA1435" i="1"/>
  <c r="AA2511" i="1"/>
  <c r="Z2511" i="1"/>
  <c r="Z2510" i="1"/>
  <c r="Z2509" i="1"/>
  <c r="AA2508" i="1"/>
  <c r="AA2509" i="1" s="1"/>
  <c r="Z2508" i="1"/>
  <c r="Z2507" i="1"/>
  <c r="AA2506" i="1"/>
  <c r="AA2507" i="1" s="1"/>
  <c r="Z2506" i="1"/>
  <c r="Z2505" i="1"/>
  <c r="AA2504" i="1"/>
  <c r="AA2505" i="1" s="1"/>
  <c r="Z2504" i="1"/>
  <c r="AA2503" i="1"/>
  <c r="Z2503" i="1"/>
  <c r="Z2501" i="1"/>
  <c r="AA2500" i="1"/>
  <c r="AA2501" i="1" s="1"/>
  <c r="Z2500" i="1"/>
  <c r="Z2498" i="1"/>
  <c r="AA2497" i="1"/>
  <c r="AA2498" i="1" s="1"/>
  <c r="Z2497" i="1"/>
  <c r="Z2496" i="1"/>
  <c r="AA2495" i="1"/>
  <c r="Z2495" i="1"/>
  <c r="Z2494" i="1"/>
  <c r="Z2493" i="1"/>
  <c r="Z2492" i="1"/>
  <c r="Z2491" i="1"/>
  <c r="AA2490" i="1"/>
  <c r="Z2490" i="1"/>
  <c r="AA2489" i="1"/>
  <c r="AA2492" i="1" s="1"/>
  <c r="Z2489" i="1"/>
  <c r="AA2488" i="1"/>
  <c r="AA2491" i="1" s="1"/>
  <c r="Z2488" i="1"/>
  <c r="Z2486" i="1"/>
  <c r="AA2485" i="1"/>
  <c r="AA2486" i="1" s="1"/>
  <c r="Z2485" i="1"/>
  <c r="Z2484" i="1"/>
  <c r="AA2483" i="1"/>
  <c r="AA2484" i="1" s="1"/>
  <c r="Z2483" i="1"/>
  <c r="AA2477" i="1"/>
  <c r="Z2477" i="1"/>
  <c r="Z2476" i="1"/>
  <c r="Z2475" i="1"/>
  <c r="AA2474" i="1"/>
  <c r="AA2475" i="1" s="1"/>
  <c r="Z2474" i="1"/>
  <c r="Z2473" i="1"/>
  <c r="AA2472" i="1"/>
  <c r="AA2473" i="1" s="1"/>
  <c r="Z2472" i="1"/>
  <c r="Z2471" i="1"/>
  <c r="AA2470" i="1"/>
  <c r="AA2471" i="1" s="1"/>
  <c r="Z2470" i="1"/>
  <c r="AA2469" i="1"/>
  <c r="Z2469" i="1"/>
  <c r="Z2467" i="1"/>
  <c r="AA2466" i="1"/>
  <c r="AA2467" i="1" s="1"/>
  <c r="Z2466" i="1"/>
  <c r="Z2464" i="1"/>
  <c r="AA2463" i="1"/>
  <c r="AA2464" i="1" s="1"/>
  <c r="Z2463" i="1"/>
  <c r="Z2462" i="1"/>
  <c r="AA2461" i="1"/>
  <c r="Z2461" i="1"/>
  <c r="Z2460" i="1"/>
  <c r="Z2459" i="1"/>
  <c r="Z2458" i="1"/>
  <c r="Z2457" i="1"/>
  <c r="AA2456" i="1"/>
  <c r="Z2456" i="1"/>
  <c r="AA2455" i="1"/>
  <c r="AA2458" i="1" s="1"/>
  <c r="Z2455" i="1"/>
  <c r="AA2454" i="1"/>
  <c r="AA2457" i="1" s="1"/>
  <c r="Z2454" i="1"/>
  <c r="Z2452" i="1"/>
  <c r="AA2451" i="1"/>
  <c r="AA2452" i="1" s="1"/>
  <c r="Z2451" i="1"/>
  <c r="Z2450" i="1"/>
  <c r="AA2449" i="1"/>
  <c r="AA2450" i="1" s="1"/>
  <c r="Z2449" i="1"/>
  <c r="AA2446" i="1"/>
  <c r="Z2446" i="1"/>
  <c r="Z2445" i="1"/>
  <c r="Z2444" i="1"/>
  <c r="AA2443" i="1"/>
  <c r="AA2444" i="1" s="1"/>
  <c r="Z2443" i="1"/>
  <c r="Z2442" i="1"/>
  <c r="AA2441" i="1"/>
  <c r="AA2442" i="1" s="1"/>
  <c r="Z2441" i="1"/>
  <c r="Z2440" i="1"/>
  <c r="AA2439" i="1"/>
  <c r="AA2440" i="1" s="1"/>
  <c r="Z2439" i="1"/>
  <c r="AA2438" i="1"/>
  <c r="Z2438" i="1"/>
  <c r="Z2436" i="1"/>
  <c r="AA2435" i="1"/>
  <c r="AA2436" i="1" s="1"/>
  <c r="Z2435" i="1"/>
  <c r="Z2433" i="1"/>
  <c r="AA2432" i="1"/>
  <c r="AA2433" i="1" s="1"/>
  <c r="Z2432" i="1"/>
  <c r="Z2431" i="1"/>
  <c r="AA2430" i="1"/>
  <c r="Z2430" i="1"/>
  <c r="Z2429" i="1"/>
  <c r="Z2428" i="1"/>
  <c r="Z2427" i="1"/>
  <c r="Z2426" i="1"/>
  <c r="AA2425" i="1"/>
  <c r="Z2425" i="1"/>
  <c r="AA2424" i="1"/>
  <c r="AA2427" i="1" s="1"/>
  <c r="Z2424" i="1"/>
  <c r="AA2423" i="1"/>
  <c r="AA2426" i="1" s="1"/>
  <c r="Z2423" i="1"/>
  <c r="Z2421" i="1"/>
  <c r="AA2420" i="1"/>
  <c r="AA2421" i="1" s="1"/>
  <c r="Z2420" i="1"/>
  <c r="Z2419" i="1"/>
  <c r="AA2418" i="1"/>
  <c r="AA2419" i="1" s="1"/>
  <c r="Z2418" i="1"/>
  <c r="O2390" i="1"/>
  <c r="J2390" i="1"/>
  <c r="K2390" i="1" s="1"/>
  <c r="G2390" i="1"/>
  <c r="Z2400" i="1"/>
  <c r="Z2399" i="1"/>
  <c r="Z2398" i="1"/>
  <c r="Z2395" i="1"/>
  <c r="Z2394" i="1"/>
  <c r="Z2393" i="1"/>
  <c r="Z2389" i="1"/>
  <c r="Z2388" i="1"/>
  <c r="Z2387" i="1"/>
  <c r="Z2384" i="1"/>
  <c r="Z2383" i="1"/>
  <c r="Z2382" i="1"/>
  <c r="Z2379" i="1"/>
  <c r="Z2378" i="1"/>
  <c r="Z2377" i="1"/>
  <c r="AA2855" i="1" l="1"/>
  <c r="AA2849" i="1"/>
  <c r="AA2845" i="1"/>
  <c r="AA2840" i="1"/>
  <c r="P2774" i="1"/>
  <c r="M2774" i="1"/>
  <c r="P2767" i="1"/>
  <c r="M2767" i="1"/>
  <c r="M2390" i="1"/>
  <c r="P2390" i="1"/>
  <c r="AC2774" i="1" l="1"/>
  <c r="AB2774" i="1" s="1"/>
  <c r="N2774" i="1"/>
  <c r="AC2767" i="1"/>
  <c r="AB2767" i="1" s="1"/>
  <c r="N2767" i="1"/>
  <c r="AC2390" i="1"/>
  <c r="AB2390" i="1" s="1"/>
  <c r="N2390" i="1"/>
  <c r="H2774" i="1" l="1"/>
  <c r="I2774" i="1" s="1"/>
  <c r="Q2774" i="1"/>
  <c r="R2774" i="1" s="1"/>
  <c r="T2774" i="1" s="1"/>
  <c r="H2767" i="1"/>
  <c r="I2767" i="1" s="1"/>
  <c r="Q2767" i="1"/>
  <c r="R2767" i="1" s="1"/>
  <c r="T2767" i="1" s="1"/>
  <c r="H2390" i="1"/>
  <c r="I2390" i="1" s="1"/>
  <c r="Q2390" i="1"/>
  <c r="R2390" i="1" s="1"/>
  <c r="T2390" i="1" s="1"/>
  <c r="AA2372" i="1" l="1"/>
  <c r="Z2372" i="1"/>
  <c r="Z2371" i="1"/>
  <c r="Z2370" i="1"/>
  <c r="AA2367" i="1"/>
  <c r="Z2367" i="1"/>
  <c r="Z2366" i="1"/>
  <c r="Z2365" i="1"/>
  <c r="AA2362" i="1"/>
  <c r="Z2362" i="1"/>
  <c r="Z2361" i="1"/>
  <c r="Z2360" i="1"/>
  <c r="AA2357" i="1"/>
  <c r="Z2357" i="1"/>
  <c r="Z2356" i="1"/>
  <c r="Z2355" i="1"/>
  <c r="AA2352" i="1"/>
  <c r="Z2352" i="1"/>
  <c r="Z2351" i="1"/>
  <c r="Z2350" i="1"/>
  <c r="AA2346" i="1"/>
  <c r="Z2346" i="1"/>
  <c r="Z2345" i="1"/>
  <c r="Z2344" i="1"/>
  <c r="AA2341" i="1"/>
  <c r="Z2341" i="1"/>
  <c r="Z2340" i="1"/>
  <c r="Z2339" i="1"/>
  <c r="AA2336" i="1"/>
  <c r="Z2336" i="1"/>
  <c r="Z2335" i="1"/>
  <c r="Z2334" i="1"/>
  <c r="AA2331" i="1"/>
  <c r="Z2331" i="1"/>
  <c r="Z2330" i="1"/>
  <c r="Z2329" i="1"/>
  <c r="AA2326" i="1"/>
  <c r="Z2326" i="1"/>
  <c r="Z2325" i="1"/>
  <c r="Z2324" i="1"/>
  <c r="AA2321" i="1"/>
  <c r="Z2321" i="1"/>
  <c r="Z2320" i="1"/>
  <c r="Z2319" i="1"/>
  <c r="AA2316" i="1"/>
  <c r="Z2316" i="1"/>
  <c r="Z2315" i="1"/>
  <c r="Z2314" i="1"/>
  <c r="AA2311" i="1"/>
  <c r="Z2311" i="1"/>
  <c r="Z2310" i="1"/>
  <c r="Z2309" i="1"/>
  <c r="AA2306" i="1"/>
  <c r="Z2306" i="1"/>
  <c r="Z2305" i="1"/>
  <c r="Z2304" i="1"/>
  <c r="AA2301" i="1"/>
  <c r="Z2301" i="1"/>
  <c r="Z2300" i="1"/>
  <c r="Z2299" i="1"/>
  <c r="AA2296" i="1"/>
  <c r="Z2296" i="1"/>
  <c r="Z2295" i="1"/>
  <c r="Z2294" i="1"/>
  <c r="AA2291" i="1"/>
  <c r="Z2291" i="1"/>
  <c r="Z2290" i="1"/>
  <c r="Z2289" i="1"/>
  <c r="AA2286" i="1"/>
  <c r="Z2286" i="1"/>
  <c r="Z2285" i="1"/>
  <c r="Z2284" i="1"/>
  <c r="AA2281" i="1"/>
  <c r="Z2281" i="1"/>
  <c r="Z2280" i="1"/>
  <c r="Z2279" i="1"/>
  <c r="AA2276" i="1"/>
  <c r="Z2276" i="1"/>
  <c r="Z2275" i="1"/>
  <c r="Z2274" i="1"/>
  <c r="O2214" i="1"/>
  <c r="J2214" i="1"/>
  <c r="K2214" i="1" s="1"/>
  <c r="G2214" i="1"/>
  <c r="AA2270" i="1"/>
  <c r="Z2270" i="1"/>
  <c r="Z2269" i="1"/>
  <c r="Z2268" i="1"/>
  <c r="AA2265" i="1"/>
  <c r="Z2265" i="1"/>
  <c r="Z2264" i="1"/>
  <c r="Z2263" i="1"/>
  <c r="AA2259" i="1"/>
  <c r="Z2259" i="1"/>
  <c r="Z2258" i="1"/>
  <c r="Z2257" i="1"/>
  <c r="AA2254" i="1"/>
  <c r="Z2254" i="1"/>
  <c r="Z2253" i="1"/>
  <c r="Z2252" i="1"/>
  <c r="AA2249" i="1"/>
  <c r="Z2249" i="1"/>
  <c r="Z2248" i="1"/>
  <c r="Z2247" i="1"/>
  <c r="AA2244" i="1"/>
  <c r="Z2244" i="1"/>
  <c r="Z2243" i="1"/>
  <c r="Z2242" i="1"/>
  <c r="AA2239" i="1"/>
  <c r="Z2239" i="1"/>
  <c r="Z2238" i="1"/>
  <c r="Z2237" i="1"/>
  <c r="AA2234" i="1"/>
  <c r="Z2234" i="1"/>
  <c r="Z2233" i="1"/>
  <c r="Z2232" i="1"/>
  <c r="AA2229" i="1"/>
  <c r="Z2229" i="1"/>
  <c r="Z2228" i="1"/>
  <c r="Z2227" i="1"/>
  <c r="AA2224" i="1"/>
  <c r="Z2224" i="1"/>
  <c r="Z2223" i="1"/>
  <c r="Z2222" i="1"/>
  <c r="AA2219" i="1"/>
  <c r="Z2219" i="1"/>
  <c r="Z2218" i="1"/>
  <c r="Z2217" i="1"/>
  <c r="AA1946" i="1"/>
  <c r="AA1948" i="1" s="1"/>
  <c r="Z1948" i="1"/>
  <c r="Z1947" i="1"/>
  <c r="Z1946" i="1"/>
  <c r="AA1952" i="1"/>
  <c r="AA1958" i="1"/>
  <c r="AA1959" i="1" s="1"/>
  <c r="AA1956" i="1"/>
  <c r="AA1954" i="1"/>
  <c r="AA1950" i="1"/>
  <c r="AA1943" i="1"/>
  <c r="AA1944" i="1" s="1"/>
  <c r="AA1941" i="1"/>
  <c r="AA1939" i="1"/>
  <c r="AA1940" i="1" s="1"/>
  <c r="P2214" i="1" l="1"/>
  <c r="M2214" i="1"/>
  <c r="AA1947" i="1"/>
  <c r="AC2214" i="1" l="1"/>
  <c r="AB2214" i="1" s="1"/>
  <c r="N2214" i="1"/>
  <c r="H2214" i="1" l="1"/>
  <c r="I2214" i="1" s="1"/>
  <c r="Q2214" i="1"/>
  <c r="R2214" i="1" s="1"/>
  <c r="T2214" i="1" s="1"/>
  <c r="Z1959" i="1" l="1"/>
  <c r="Z1958" i="1"/>
  <c r="AA1957" i="1"/>
  <c r="Z1957" i="1"/>
  <c r="Z1956" i="1"/>
  <c r="Z1955" i="1"/>
  <c r="AA1955" i="1"/>
  <c r="Z1954" i="1"/>
  <c r="AA1953" i="1"/>
  <c r="Z1953" i="1"/>
  <c r="Z1952" i="1"/>
  <c r="Z1951" i="1"/>
  <c r="AA1951" i="1"/>
  <c r="Z1950" i="1"/>
  <c r="Z1942" i="1"/>
  <c r="AA1942" i="1"/>
  <c r="Z1941" i="1"/>
  <c r="Z1940" i="1"/>
  <c r="Z1939" i="1"/>
  <c r="Z1944" i="1"/>
  <c r="Z1943" i="1"/>
  <c r="Z1936" i="1"/>
  <c r="Z1933" i="1"/>
  <c r="Z1930" i="1"/>
  <c r="AA1925" i="1"/>
  <c r="AA1924" i="1"/>
  <c r="Z1925" i="1"/>
  <c r="Z1924" i="1"/>
  <c r="Z1923" i="1"/>
  <c r="AA1917" i="1"/>
  <c r="AA1918" i="1" s="1"/>
  <c r="AA1915" i="1"/>
  <c r="AA1916" i="1" s="1"/>
  <c r="AA1913" i="1"/>
  <c r="AA1914" i="1" s="1"/>
  <c r="AA1912" i="1"/>
  <c r="AA1909" i="1"/>
  <c r="AA1910" i="1" s="1"/>
  <c r="AA1898" i="1"/>
  <c r="AA1897" i="1"/>
  <c r="AA1900" i="1" s="1"/>
  <c r="AA1896" i="1"/>
  <c r="AA1899" i="1" s="1"/>
  <c r="AA1893" i="1"/>
  <c r="AA1894" i="1" s="1"/>
  <c r="AA1891" i="1"/>
  <c r="AA1892" i="1" s="1"/>
  <c r="AA1920" i="1"/>
  <c r="Z1920" i="1"/>
  <c r="Z1919" i="1"/>
  <c r="Z1918" i="1"/>
  <c r="Z1917" i="1"/>
  <c r="Z1916" i="1"/>
  <c r="Z1915" i="1"/>
  <c r="Z1914" i="1"/>
  <c r="Z1913" i="1"/>
  <c r="Z1912" i="1"/>
  <c r="Z1910" i="1"/>
  <c r="Z1909" i="1"/>
  <c r="Z1907" i="1"/>
  <c r="AA1906" i="1"/>
  <c r="AA1907" i="1" s="1"/>
  <c r="Z1906" i="1"/>
  <c r="Z1905" i="1"/>
  <c r="AA1904" i="1"/>
  <c r="Z1904" i="1"/>
  <c r="Z1903" i="1"/>
  <c r="Z1902" i="1"/>
  <c r="Z1901" i="1"/>
  <c r="Z1900" i="1"/>
  <c r="Z1899" i="1"/>
  <c r="Z1898" i="1"/>
  <c r="Z1897" i="1"/>
  <c r="Z1896" i="1"/>
  <c r="Z1894" i="1"/>
  <c r="Z1893" i="1"/>
  <c r="Z1892" i="1"/>
  <c r="Z1891" i="1"/>
  <c r="Z1888" i="1"/>
  <c r="Z1885" i="1"/>
  <c r="Z1882" i="1"/>
  <c r="Z1879" i="1"/>
  <c r="Z1876" i="1"/>
  <c r="Z1873" i="1"/>
  <c r="AA1869" i="1"/>
  <c r="AA1864" i="1"/>
  <c r="AA1865" i="1" s="1"/>
  <c r="AA1862" i="1"/>
  <c r="AA1863" i="1" s="1"/>
  <c r="AA1860" i="1"/>
  <c r="AA1861" i="1" s="1"/>
  <c r="Z1869" i="1"/>
  <c r="Z1868" i="1"/>
  <c r="Z1867" i="1"/>
  <c r="AA1867" i="1"/>
  <c r="Z1866" i="1"/>
  <c r="Z1865" i="1"/>
  <c r="Z1864" i="1"/>
  <c r="Z1863" i="1"/>
  <c r="Z1862" i="1"/>
  <c r="Z1861" i="1"/>
  <c r="Z1860" i="1"/>
  <c r="AA1856" i="1"/>
  <c r="AA1854" i="1"/>
  <c r="AA1857" i="1"/>
  <c r="AA1858" i="1" s="1"/>
  <c r="Z1854" i="1"/>
  <c r="Z1853" i="1"/>
  <c r="Z1858" i="1"/>
  <c r="Z1857" i="1"/>
  <c r="Z1856" i="1"/>
  <c r="Z1855" i="1"/>
  <c r="AA1847" i="1"/>
  <c r="AA1848" i="1" s="1"/>
  <c r="Z1849" i="1"/>
  <c r="Z1848" i="1"/>
  <c r="Z1847" i="1"/>
  <c r="AA1842" i="1"/>
  <c r="AA1844" i="1" s="1"/>
  <c r="Z1844" i="1"/>
  <c r="Z1843" i="1"/>
  <c r="Z1842" i="1"/>
  <c r="AA1837" i="1"/>
  <c r="AA1839" i="1" s="1"/>
  <c r="Z1839" i="1"/>
  <c r="Z1838" i="1"/>
  <c r="Z1837" i="1"/>
  <c r="AA1827" i="1"/>
  <c r="AA1829" i="1" s="1"/>
  <c r="AA1832" i="1"/>
  <c r="AA1834" i="1" s="1"/>
  <c r="Z1834" i="1"/>
  <c r="Z1833" i="1"/>
  <c r="Z1832" i="1"/>
  <c r="Z1829" i="1"/>
  <c r="Z1828" i="1"/>
  <c r="Z1827" i="1"/>
  <c r="AA1796" i="1"/>
  <c r="AA1793" i="1"/>
  <c r="AA1794" i="1" s="1"/>
  <c r="AA1791" i="1"/>
  <c r="AA1792" i="1" s="1"/>
  <c r="AA1789" i="1"/>
  <c r="AA1790" i="1" s="1"/>
  <c r="AA1787" i="1"/>
  <c r="AA1788" i="1" s="1"/>
  <c r="AA1808" i="1"/>
  <c r="AA1805" i="1"/>
  <c r="AA1806" i="1" s="1"/>
  <c r="AA1803" i="1"/>
  <c r="AA1804" i="1" s="1"/>
  <c r="AA1801" i="1"/>
  <c r="AA1802" i="1" s="1"/>
  <c r="AA1799" i="1"/>
  <c r="AA1800" i="1" s="1"/>
  <c r="AA1815" i="1"/>
  <c r="AA1816" i="1" s="1"/>
  <c r="AA1813" i="1"/>
  <c r="AA1814" i="1" s="1"/>
  <c r="AA1811" i="1"/>
  <c r="AA1812" i="1" s="1"/>
  <c r="AA1820" i="1"/>
  <c r="Z1820" i="1"/>
  <c r="Z1819" i="1"/>
  <c r="Z1818" i="1"/>
  <c r="AA1817" i="1"/>
  <c r="AA1818" i="1" s="1"/>
  <c r="Z1817" i="1"/>
  <c r="Z1816" i="1"/>
  <c r="Z1815" i="1"/>
  <c r="Z1814" i="1"/>
  <c r="Z1813" i="1"/>
  <c r="Z1812" i="1"/>
  <c r="Z1811" i="1"/>
  <c r="Z1808" i="1"/>
  <c r="Z1807" i="1"/>
  <c r="Z1806" i="1"/>
  <c r="Z1805" i="1"/>
  <c r="Z1804" i="1"/>
  <c r="Z1803" i="1"/>
  <c r="Z1802" i="1"/>
  <c r="Z1801" i="1"/>
  <c r="Z1800" i="1"/>
  <c r="Z1799" i="1"/>
  <c r="Z1794" i="1"/>
  <c r="Z1793" i="1"/>
  <c r="Z1796" i="1"/>
  <c r="Z1795" i="1"/>
  <c r="Z1792" i="1"/>
  <c r="Z1791" i="1"/>
  <c r="Z1790" i="1"/>
  <c r="Z1789" i="1"/>
  <c r="Z1788" i="1"/>
  <c r="Z1787" i="1"/>
  <c r="AA1843" i="1" l="1"/>
  <c r="AA1849" i="1"/>
  <c r="AA1838" i="1"/>
  <c r="AA1833" i="1"/>
  <c r="AA1828" i="1"/>
  <c r="Z8616" i="1" l="1"/>
  <c r="Z8600" i="1"/>
  <c r="Z8582" i="1"/>
  <c r="Z8565" i="1"/>
  <c r="Z8549" i="1"/>
  <c r="Z8532" i="1"/>
  <c r="Z8516" i="1"/>
  <c r="Z8494" i="1"/>
  <c r="Z8478" i="1"/>
  <c r="Z8458" i="1"/>
  <c r="Z8442" i="1"/>
  <c r="Z8426" i="1"/>
  <c r="Z8410" i="1"/>
  <c r="Z8394" i="1"/>
  <c r="Z8379" i="1"/>
  <c r="Z8362" i="1"/>
  <c r="Z8341" i="1"/>
  <c r="Z8325" i="1"/>
  <c r="Z8309" i="1"/>
  <c r="Z8293" i="1"/>
  <c r="Z8276" i="1"/>
  <c r="Z8258" i="1"/>
  <c r="Z8242" i="1"/>
  <c r="Z8226" i="1"/>
  <c r="Z8209" i="1"/>
  <c r="Z8193" i="1"/>
  <c r="Z8177" i="1"/>
  <c r="Z8161" i="1"/>
  <c r="Z8145" i="1"/>
  <c r="Z8125" i="1"/>
  <c r="Z8103" i="1"/>
  <c r="Z8087" i="1"/>
  <c r="Z8071" i="1"/>
  <c r="Z8056" i="1"/>
  <c r="Z8037" i="1"/>
  <c r="Z8021" i="1"/>
  <c r="Z8006" i="1"/>
  <c r="Z7990" i="1"/>
  <c r="Z7974" i="1"/>
  <c r="Z7958" i="1"/>
  <c r="Z7942" i="1"/>
  <c r="Z7926" i="1"/>
  <c r="Z7907" i="1"/>
  <c r="Z7891" i="1"/>
  <c r="Z7875" i="1"/>
  <c r="Z7859" i="1"/>
  <c r="Z7844" i="1"/>
  <c r="Z7827" i="1"/>
  <c r="Z7811" i="1"/>
  <c r="Z7796" i="1"/>
  <c r="AA1772" i="1"/>
  <c r="Z1772" i="1"/>
  <c r="Z1771" i="1"/>
  <c r="Z1770" i="1"/>
  <c r="AA1769" i="1"/>
  <c r="AA1770" i="1" s="1"/>
  <c r="Z1769" i="1"/>
  <c r="Z1768" i="1"/>
  <c r="AA1767" i="1"/>
  <c r="AA1768" i="1" s="1"/>
  <c r="Z1767" i="1"/>
  <c r="Z1766" i="1"/>
  <c r="AA1765" i="1"/>
  <c r="AA1766" i="1" s="1"/>
  <c r="Z1765" i="1"/>
  <c r="AA1764" i="1"/>
  <c r="Z1764" i="1"/>
  <c r="Z1762" i="1"/>
  <c r="AA1761" i="1"/>
  <c r="AA1762" i="1" s="1"/>
  <c r="Z1761" i="1"/>
  <c r="Z1759" i="1"/>
  <c r="AA1758" i="1"/>
  <c r="AA1759" i="1" s="1"/>
  <c r="Z1758" i="1"/>
  <c r="Z1757" i="1"/>
  <c r="AA1756" i="1"/>
  <c r="Z1756" i="1"/>
  <c r="Z1755" i="1"/>
  <c r="Z1754" i="1"/>
  <c r="Z1753" i="1"/>
  <c r="Z1752" i="1"/>
  <c r="Z1751" i="1"/>
  <c r="AA1750" i="1"/>
  <c r="Z1750" i="1"/>
  <c r="AA1749" i="1"/>
  <c r="AA1752" i="1" s="1"/>
  <c r="Z1749" i="1"/>
  <c r="AA1748" i="1"/>
  <c r="AA1751" i="1" s="1"/>
  <c r="Z1748" i="1"/>
  <c r="Z1746" i="1"/>
  <c r="AA1745" i="1"/>
  <c r="AA1746" i="1" s="1"/>
  <c r="Z1745" i="1"/>
  <c r="Z1744" i="1"/>
  <c r="AA1743" i="1"/>
  <c r="AA1744" i="1" s="1"/>
  <c r="Z1743" i="1"/>
  <c r="AA1737" i="1"/>
  <c r="AA1738" i="1" s="1"/>
  <c r="AA1735" i="1"/>
  <c r="AA1736" i="1" s="1"/>
  <c r="AA1733" i="1"/>
  <c r="AA1734" i="1" s="1"/>
  <c r="AA1732" i="1"/>
  <c r="AA1729" i="1"/>
  <c r="AA1730" i="1" s="1"/>
  <c r="AA1718" i="1"/>
  <c r="AA1717" i="1"/>
  <c r="AA1720" i="1" s="1"/>
  <c r="AA1713" i="1"/>
  <c r="AA1714" i="1" s="1"/>
  <c r="AA1711" i="1"/>
  <c r="AA1712" i="1" s="1"/>
  <c r="AA1740" i="1"/>
  <c r="Z1740" i="1"/>
  <c r="Z1739" i="1"/>
  <c r="Z1738" i="1"/>
  <c r="Z1737" i="1"/>
  <c r="Z1736" i="1"/>
  <c r="Z1735" i="1"/>
  <c r="Z1734" i="1"/>
  <c r="Z1733" i="1"/>
  <c r="Z1732" i="1"/>
  <c r="Z1730" i="1"/>
  <c r="Z1729" i="1"/>
  <c r="Z1727" i="1"/>
  <c r="AA1726" i="1"/>
  <c r="AA1727" i="1" s="1"/>
  <c r="Z1726" i="1"/>
  <c r="Z1725" i="1"/>
  <c r="AA1724" i="1"/>
  <c r="Z1724" i="1"/>
  <c r="Z1723" i="1"/>
  <c r="Z1722" i="1"/>
  <c r="Z1721" i="1"/>
  <c r="Z1720" i="1"/>
  <c r="Z1719" i="1"/>
  <c r="Z1718" i="1"/>
  <c r="Z1717" i="1"/>
  <c r="AA1716" i="1"/>
  <c r="AA1719" i="1" s="1"/>
  <c r="Z1716" i="1"/>
  <c r="Z1714" i="1"/>
  <c r="Z1713" i="1"/>
  <c r="Z1712" i="1"/>
  <c r="Z1711" i="1"/>
  <c r="Z1690" i="1"/>
  <c r="AA1708" i="1"/>
  <c r="Z1708" i="1"/>
  <c r="Z1707" i="1"/>
  <c r="Z1706" i="1"/>
  <c r="AA1705" i="1"/>
  <c r="AA1706" i="1" s="1"/>
  <c r="Z1705" i="1"/>
  <c r="Z1704" i="1"/>
  <c r="AA1703" i="1"/>
  <c r="AA1704" i="1" s="1"/>
  <c r="Z1703" i="1"/>
  <c r="Z1702" i="1"/>
  <c r="AA1701" i="1"/>
  <c r="AA1702" i="1" s="1"/>
  <c r="Z1701" i="1"/>
  <c r="AA1700" i="1"/>
  <c r="Z1700" i="1"/>
  <c r="Z1698" i="1"/>
  <c r="AA1697" i="1"/>
  <c r="AA1698" i="1" s="1"/>
  <c r="Z1697" i="1"/>
  <c r="Z1695" i="1"/>
  <c r="AA1694" i="1"/>
  <c r="AA1695" i="1" s="1"/>
  <c r="Z1694" i="1"/>
  <c r="Z1693" i="1"/>
  <c r="AA1692" i="1"/>
  <c r="Z1692" i="1"/>
  <c r="Z1691" i="1"/>
  <c r="Z1689" i="1"/>
  <c r="Z1688" i="1"/>
  <c r="Z1687" i="1"/>
  <c r="AA1686" i="1"/>
  <c r="Z1686" i="1"/>
  <c r="AA1685" i="1"/>
  <c r="AA1688" i="1" s="1"/>
  <c r="Z1685" i="1"/>
  <c r="AA1684" i="1"/>
  <c r="AA1687" i="1" s="1"/>
  <c r="Z1684" i="1"/>
  <c r="Z1682" i="1"/>
  <c r="AA1681" i="1"/>
  <c r="AA1682" i="1" s="1"/>
  <c r="Z1681" i="1"/>
  <c r="Z1680" i="1"/>
  <c r="AA1679" i="1"/>
  <c r="AA1680" i="1" s="1"/>
  <c r="Z1679" i="1"/>
  <c r="Z1609" i="1"/>
  <c r="AA1608" i="1"/>
  <c r="AA1609" i="1" s="1"/>
  <c r="Z1608" i="1"/>
  <c r="Z1607" i="1"/>
  <c r="AA1606" i="1"/>
  <c r="AA1607" i="1" s="1"/>
  <c r="Z1606" i="1"/>
  <c r="Z1605" i="1"/>
  <c r="AA1604" i="1"/>
  <c r="AA1605" i="1" s="1"/>
  <c r="Z1604" i="1"/>
  <c r="Z1603" i="1"/>
  <c r="AA1602" i="1"/>
  <c r="AA1603" i="1" s="1"/>
  <c r="Z1602" i="1"/>
  <c r="AA1601" i="1"/>
  <c r="Z1601" i="1"/>
  <c r="Z1599" i="1"/>
  <c r="AA1598" i="1"/>
  <c r="AA1599" i="1" s="1"/>
  <c r="Z1598" i="1"/>
  <c r="Z1596" i="1"/>
  <c r="AA1595" i="1"/>
  <c r="AA1596" i="1" s="1"/>
  <c r="Z1595" i="1"/>
  <c r="Z1594" i="1"/>
  <c r="Z1593" i="1"/>
  <c r="AA1592" i="1"/>
  <c r="Z1592" i="1"/>
  <c r="AA1591" i="1"/>
  <c r="AA1593" i="1" s="1"/>
  <c r="Z1591" i="1"/>
  <c r="Z1589" i="1"/>
  <c r="AA1588" i="1"/>
  <c r="AA1589" i="1" s="1"/>
  <c r="Z1588" i="1"/>
  <c r="Z1587" i="1"/>
  <c r="AA1586" i="1"/>
  <c r="AA1587" i="1" s="1"/>
  <c r="Z1586" i="1"/>
  <c r="AA1547" i="1"/>
  <c r="AA1548" i="1" s="1"/>
  <c r="AA1545" i="1"/>
  <c r="AA1546" i="1" s="1"/>
  <c r="AA1543" i="1"/>
  <c r="AA1544" i="1" s="1"/>
  <c r="AA1542" i="1"/>
  <c r="AA1539" i="1"/>
  <c r="AA1540" i="1" s="1"/>
  <c r="AA1529" i="1"/>
  <c r="AA1528" i="1"/>
  <c r="AA1531" i="1" s="1"/>
  <c r="AA1524" i="1"/>
  <c r="AA1525" i="1" s="1"/>
  <c r="AA1522" i="1"/>
  <c r="AA1523" i="1" s="1"/>
  <c r="AA1671" i="1"/>
  <c r="Z1671" i="1"/>
  <c r="Z1670" i="1"/>
  <c r="Z1669" i="1"/>
  <c r="AA1668" i="1"/>
  <c r="AA1669" i="1" s="1"/>
  <c r="Z1668" i="1"/>
  <c r="Z1667" i="1"/>
  <c r="AA1666" i="1"/>
  <c r="AA1667" i="1" s="1"/>
  <c r="Z1666" i="1"/>
  <c r="Z1665" i="1"/>
  <c r="AA1664" i="1"/>
  <c r="AA1665" i="1" s="1"/>
  <c r="Z1664" i="1"/>
  <c r="AA1663" i="1"/>
  <c r="Z1663" i="1"/>
  <c r="Z1661" i="1"/>
  <c r="AA1660" i="1"/>
  <c r="AA1661" i="1" s="1"/>
  <c r="Z1660" i="1"/>
  <c r="Z1658" i="1"/>
  <c r="AA1657" i="1"/>
  <c r="AA1658" i="1" s="1"/>
  <c r="Z1657" i="1"/>
  <c r="Z1656" i="1"/>
  <c r="AA1655" i="1"/>
  <c r="Z1655" i="1"/>
  <c r="Z1654" i="1"/>
  <c r="Z1653" i="1"/>
  <c r="Z1652" i="1"/>
  <c r="Z1651" i="1"/>
  <c r="AA1650" i="1"/>
  <c r="Z1650" i="1"/>
  <c r="AA1649" i="1"/>
  <c r="AA1652" i="1" s="1"/>
  <c r="Z1649" i="1"/>
  <c r="AA1648" i="1"/>
  <c r="AA1651" i="1" s="1"/>
  <c r="Z1648" i="1"/>
  <c r="Z1646" i="1"/>
  <c r="AA1645" i="1"/>
  <c r="AA1646" i="1" s="1"/>
  <c r="Z1645" i="1"/>
  <c r="Z1644" i="1"/>
  <c r="AA1643" i="1"/>
  <c r="AA1644" i="1" s="1"/>
  <c r="Z1643" i="1"/>
  <c r="AA1640" i="1"/>
  <c r="Z1640" i="1"/>
  <c r="Z1639" i="1"/>
  <c r="Z1638" i="1"/>
  <c r="AA1637" i="1"/>
  <c r="AA1638" i="1" s="1"/>
  <c r="Z1637" i="1"/>
  <c r="Z1636" i="1"/>
  <c r="AA1635" i="1"/>
  <c r="AA1636" i="1" s="1"/>
  <c r="Z1635" i="1"/>
  <c r="Z1634" i="1"/>
  <c r="AA1633" i="1"/>
  <c r="AA1634" i="1" s="1"/>
  <c r="Z1633" i="1"/>
  <c r="AA1632" i="1"/>
  <c r="Z1632" i="1"/>
  <c r="Z1630" i="1"/>
  <c r="AA1629" i="1"/>
  <c r="AA1630" i="1" s="1"/>
  <c r="Z1629" i="1"/>
  <c r="Z1627" i="1"/>
  <c r="AA1626" i="1"/>
  <c r="AA1627" i="1" s="1"/>
  <c r="Z1626" i="1"/>
  <c r="Z1625" i="1"/>
  <c r="AA1624" i="1"/>
  <c r="Z1624" i="1"/>
  <c r="Z1623" i="1"/>
  <c r="Z1622" i="1"/>
  <c r="Z1621" i="1"/>
  <c r="Z1620" i="1"/>
  <c r="AA1619" i="1"/>
  <c r="Z1619" i="1"/>
  <c r="AA1618" i="1"/>
  <c r="AA1621" i="1" s="1"/>
  <c r="Z1618" i="1"/>
  <c r="AA1617" i="1"/>
  <c r="AA1620" i="1" s="1"/>
  <c r="Z1617" i="1"/>
  <c r="Z1615" i="1"/>
  <c r="AA1614" i="1"/>
  <c r="AA1615" i="1" s="1"/>
  <c r="Z1614" i="1"/>
  <c r="Z1613" i="1"/>
  <c r="AA1612" i="1"/>
  <c r="AA1613" i="1" s="1"/>
  <c r="Z1612" i="1"/>
  <c r="AA1583" i="1"/>
  <c r="Z1583" i="1"/>
  <c r="Z1582" i="1"/>
  <c r="Z1581" i="1"/>
  <c r="AA1580" i="1"/>
  <c r="AA1581" i="1" s="1"/>
  <c r="Z1580" i="1"/>
  <c r="Z1579" i="1"/>
  <c r="AA1578" i="1"/>
  <c r="AA1579" i="1" s="1"/>
  <c r="Z1578" i="1"/>
  <c r="Z1577" i="1"/>
  <c r="AA1576" i="1"/>
  <c r="AA1577" i="1" s="1"/>
  <c r="Z1576" i="1"/>
  <c r="AA1575" i="1"/>
  <c r="Z1575" i="1"/>
  <c r="Z1573" i="1"/>
  <c r="AA1572" i="1"/>
  <c r="AA1573" i="1" s="1"/>
  <c r="Z1572" i="1"/>
  <c r="Z1570" i="1"/>
  <c r="AA1569" i="1"/>
  <c r="AA1570" i="1" s="1"/>
  <c r="Z1569" i="1"/>
  <c r="Z1568" i="1"/>
  <c r="AA1567" i="1"/>
  <c r="Z1567" i="1"/>
  <c r="Z1566" i="1"/>
  <c r="Z1565" i="1"/>
  <c r="Z1564" i="1"/>
  <c r="Z1563" i="1"/>
  <c r="AA1562" i="1"/>
  <c r="Z1562" i="1"/>
  <c r="AA1561" i="1"/>
  <c r="AA1564" i="1" s="1"/>
  <c r="Z1561" i="1"/>
  <c r="AA1560" i="1"/>
  <c r="AA1563" i="1" s="1"/>
  <c r="Z1560" i="1"/>
  <c r="Z1558" i="1"/>
  <c r="AA1557" i="1"/>
  <c r="AA1558" i="1" s="1"/>
  <c r="Z1557" i="1"/>
  <c r="Z1556" i="1"/>
  <c r="AA1555" i="1"/>
  <c r="AA1556" i="1" s="1"/>
  <c r="Z1555" i="1"/>
  <c r="AA1550" i="1"/>
  <c r="Z1550" i="1"/>
  <c r="Z1549" i="1"/>
  <c r="Z1548" i="1"/>
  <c r="Z1547" i="1"/>
  <c r="Z1546" i="1"/>
  <c r="Z1545" i="1"/>
  <c r="Z1544" i="1"/>
  <c r="Z1543" i="1"/>
  <c r="Z1542" i="1"/>
  <c r="Z1540" i="1"/>
  <c r="Z1539" i="1"/>
  <c r="Z1537" i="1"/>
  <c r="AA1536" i="1"/>
  <c r="AA1537" i="1" s="1"/>
  <c r="Z1536" i="1"/>
  <c r="Z1535" i="1"/>
  <c r="AA1534" i="1"/>
  <c r="Z1534" i="1"/>
  <c r="Z1533" i="1"/>
  <c r="Z1532" i="1"/>
  <c r="Z1531" i="1"/>
  <c r="Z1530" i="1"/>
  <c r="Z1529" i="1"/>
  <c r="Z1528" i="1"/>
  <c r="AA1527" i="1"/>
  <c r="AA1530" i="1" s="1"/>
  <c r="Z1527" i="1"/>
  <c r="Z1525" i="1"/>
  <c r="Z1524" i="1"/>
  <c r="Z1523" i="1"/>
  <c r="Z1522" i="1"/>
  <c r="Z1516" i="1"/>
  <c r="AA1515" i="1"/>
  <c r="AA1516" i="1" s="1"/>
  <c r="Z1515" i="1"/>
  <c r="Z1514" i="1"/>
  <c r="AA1513" i="1"/>
  <c r="AA1514" i="1" s="1"/>
  <c r="Z1513" i="1"/>
  <c r="Z1512" i="1"/>
  <c r="AA1511" i="1"/>
  <c r="AA1512" i="1" s="1"/>
  <c r="Z1511" i="1"/>
  <c r="Z1510" i="1"/>
  <c r="AA1509" i="1"/>
  <c r="AA1510" i="1" s="1"/>
  <c r="Z1509" i="1"/>
  <c r="AA1508" i="1"/>
  <c r="Z1508" i="1"/>
  <c r="Z1506" i="1"/>
  <c r="AA1505" i="1"/>
  <c r="AA1506" i="1" s="1"/>
  <c r="Z1505" i="1"/>
  <c r="Z1503" i="1"/>
  <c r="AA1502" i="1"/>
  <c r="AA1503" i="1" s="1"/>
  <c r="Z1502" i="1"/>
  <c r="Z1501" i="1"/>
  <c r="Z1500" i="1"/>
  <c r="AA1499" i="1"/>
  <c r="Z1499" i="1"/>
  <c r="AA1498" i="1"/>
  <c r="AA1500" i="1" s="1"/>
  <c r="Z1498" i="1"/>
  <c r="Z1496" i="1"/>
  <c r="AA1495" i="1"/>
  <c r="AA1496" i="1" s="1"/>
  <c r="Z1495" i="1"/>
  <c r="Z1494" i="1"/>
  <c r="AA1493" i="1"/>
  <c r="AA1494" i="1" s="1"/>
  <c r="Z1493" i="1"/>
  <c r="Z1490" i="1"/>
  <c r="AA1489" i="1"/>
  <c r="AA1490" i="1" s="1"/>
  <c r="Z1489" i="1"/>
  <c r="Z1488" i="1"/>
  <c r="AA1487" i="1"/>
  <c r="AA1488" i="1" s="1"/>
  <c r="Z1487" i="1"/>
  <c r="Z1486" i="1"/>
  <c r="AA1485" i="1"/>
  <c r="AA1486" i="1" s="1"/>
  <c r="Z1485" i="1"/>
  <c r="Z1484" i="1"/>
  <c r="AA1483" i="1"/>
  <c r="AA1484" i="1" s="1"/>
  <c r="Z1483" i="1"/>
  <c r="AA1482" i="1"/>
  <c r="Z1482" i="1"/>
  <c r="Z1480" i="1"/>
  <c r="AA1479" i="1"/>
  <c r="AA1480" i="1" s="1"/>
  <c r="Z1479" i="1"/>
  <c r="Z1477" i="1"/>
  <c r="AA1476" i="1"/>
  <c r="AA1477" i="1" s="1"/>
  <c r="Z1476" i="1"/>
  <c r="Z1475" i="1"/>
  <c r="Z1474" i="1"/>
  <c r="AA1473" i="1"/>
  <c r="Z1473" i="1"/>
  <c r="AA1472" i="1"/>
  <c r="AA1474" i="1" s="1"/>
  <c r="Z1472" i="1"/>
  <c r="Z1470" i="1"/>
  <c r="AA1469" i="1"/>
  <c r="AA1470" i="1" s="1"/>
  <c r="Z1469" i="1"/>
  <c r="Z1468" i="1"/>
  <c r="AA1467" i="1"/>
  <c r="AA1468" i="1" s="1"/>
  <c r="Z1467" i="1"/>
  <c r="Z1431" i="1"/>
  <c r="AA1430" i="1"/>
  <c r="AA1431" i="1" s="1"/>
  <c r="Z1430" i="1"/>
  <c r="Z1429" i="1"/>
  <c r="AA1428" i="1"/>
  <c r="AA1429" i="1" s="1"/>
  <c r="Z1428" i="1"/>
  <c r="Z1427" i="1"/>
  <c r="AA1426" i="1"/>
  <c r="AA1427" i="1" s="1"/>
  <c r="Z1426" i="1"/>
  <c r="Z1425" i="1"/>
  <c r="AA1424" i="1"/>
  <c r="AA1425" i="1" s="1"/>
  <c r="Z1424" i="1"/>
  <c r="AA1423" i="1"/>
  <c r="Z1423" i="1"/>
  <c r="Z1421" i="1"/>
  <c r="AA1420" i="1"/>
  <c r="AA1421" i="1" s="1"/>
  <c r="Z1420" i="1"/>
  <c r="Z1418" i="1"/>
  <c r="AA1417" i="1"/>
  <c r="AA1418" i="1" s="1"/>
  <c r="Z1417" i="1"/>
  <c r="Z1416" i="1"/>
  <c r="Z1415" i="1"/>
  <c r="AA1414" i="1"/>
  <c r="Z1414" i="1"/>
  <c r="AA1413" i="1"/>
  <c r="AA1415" i="1" s="1"/>
  <c r="Z1413" i="1"/>
  <c r="Z1411" i="1"/>
  <c r="AA1410" i="1"/>
  <c r="AA1411" i="1" s="1"/>
  <c r="Z1410" i="1"/>
  <c r="Z1409" i="1"/>
  <c r="AA1408" i="1"/>
  <c r="AA1409" i="1" s="1"/>
  <c r="Z1408" i="1"/>
  <c r="Z1371" i="1"/>
  <c r="AA1370" i="1"/>
  <c r="AA1371" i="1" s="1"/>
  <c r="Z1370" i="1"/>
  <c r="Z1369" i="1"/>
  <c r="AA1368" i="1"/>
  <c r="AA1369" i="1" s="1"/>
  <c r="Z1368" i="1"/>
  <c r="Z1367" i="1"/>
  <c r="AA1366" i="1"/>
  <c r="AA1367" i="1" s="1"/>
  <c r="Z1366" i="1"/>
  <c r="Z1365" i="1"/>
  <c r="AA1364" i="1"/>
  <c r="AA1365" i="1" s="1"/>
  <c r="Z1364" i="1"/>
  <c r="AA1363" i="1"/>
  <c r="Z1363" i="1"/>
  <c r="Z1361" i="1"/>
  <c r="AA1360" i="1"/>
  <c r="AA1361" i="1" s="1"/>
  <c r="Z1360" i="1"/>
  <c r="Z1358" i="1"/>
  <c r="AA1357" i="1"/>
  <c r="AA1358" i="1" s="1"/>
  <c r="Z1357" i="1"/>
  <c r="Z1356" i="1"/>
  <c r="Z1355" i="1"/>
  <c r="AA1354" i="1"/>
  <c r="Z1354" i="1"/>
  <c r="AA1353" i="1"/>
  <c r="AA1355" i="1" s="1"/>
  <c r="Z1353" i="1"/>
  <c r="Z1351" i="1"/>
  <c r="AA1350" i="1"/>
  <c r="AA1351" i="1" s="1"/>
  <c r="Z1350" i="1"/>
  <c r="Z1349" i="1"/>
  <c r="AA1348" i="1"/>
  <c r="AA1349" i="1" s="1"/>
  <c r="Z1348" i="1"/>
  <c r="Z1345" i="1"/>
  <c r="AA1344" i="1"/>
  <c r="AA1345" i="1" s="1"/>
  <c r="Z1344" i="1"/>
  <c r="Z1343" i="1"/>
  <c r="AA1342" i="1"/>
  <c r="AA1343" i="1" s="1"/>
  <c r="Z1342" i="1"/>
  <c r="Z1341" i="1"/>
  <c r="AA1340" i="1"/>
  <c r="AA1341" i="1" s="1"/>
  <c r="Z1340" i="1"/>
  <c r="Z1339" i="1"/>
  <c r="AA1338" i="1"/>
  <c r="AA1339" i="1" s="1"/>
  <c r="Z1338" i="1"/>
  <c r="AA1337" i="1"/>
  <c r="Z1337" i="1"/>
  <c r="Z1335" i="1"/>
  <c r="AA1334" i="1"/>
  <c r="AA1335" i="1" s="1"/>
  <c r="Z1334" i="1"/>
  <c r="Z1332" i="1"/>
  <c r="AA1331" i="1"/>
  <c r="AA1332" i="1" s="1"/>
  <c r="Z1331" i="1"/>
  <c r="Z1330" i="1"/>
  <c r="Z1329" i="1"/>
  <c r="AA1328" i="1"/>
  <c r="Z1328" i="1"/>
  <c r="AA1327" i="1"/>
  <c r="AA1329" i="1" s="1"/>
  <c r="Z1327" i="1"/>
  <c r="Z1325" i="1"/>
  <c r="AA1324" i="1"/>
  <c r="AA1325" i="1" s="1"/>
  <c r="Z1324" i="1"/>
  <c r="Z1323" i="1"/>
  <c r="AA1322" i="1"/>
  <c r="AA1323" i="1" s="1"/>
  <c r="Z1322" i="1"/>
  <c r="AA1463" i="1"/>
  <c r="Z1463" i="1"/>
  <c r="Z1462" i="1"/>
  <c r="Z1461" i="1"/>
  <c r="AA1461" i="1"/>
  <c r="Z1460" i="1"/>
  <c r="Z1459" i="1"/>
  <c r="AA1459" i="1"/>
  <c r="Z1458" i="1"/>
  <c r="Z1457" i="1"/>
  <c r="AA1457" i="1"/>
  <c r="Z1456" i="1"/>
  <c r="Z1455" i="1"/>
  <c r="Z1453" i="1"/>
  <c r="AA1453" i="1"/>
  <c r="Z1452" i="1"/>
  <c r="Z1450" i="1"/>
  <c r="AA1449" i="1"/>
  <c r="AA1450" i="1" s="1"/>
  <c r="Z1449" i="1"/>
  <c r="Z1448" i="1"/>
  <c r="AA1447" i="1"/>
  <c r="Z1447" i="1"/>
  <c r="Z1446" i="1"/>
  <c r="Z1445" i="1"/>
  <c r="Z1444" i="1"/>
  <c r="Z1443" i="1"/>
  <c r="Z1442" i="1"/>
  <c r="AA1444" i="1"/>
  <c r="Z1441" i="1"/>
  <c r="AA1440" i="1"/>
  <c r="AA1443" i="1" s="1"/>
  <c r="Z1440" i="1"/>
  <c r="Z1438" i="1"/>
  <c r="AA1438" i="1"/>
  <c r="Z1437" i="1"/>
  <c r="Z1436" i="1"/>
  <c r="AA1436" i="1"/>
  <c r="Z1435" i="1"/>
  <c r="AA1403" i="1"/>
  <c r="Z1403" i="1"/>
  <c r="Z1402" i="1"/>
  <c r="Z1401" i="1"/>
  <c r="AA1400" i="1"/>
  <c r="AA1401" i="1" s="1"/>
  <c r="Z1400" i="1"/>
  <c r="Z1399" i="1"/>
  <c r="AA1398" i="1"/>
  <c r="AA1399" i="1" s="1"/>
  <c r="Z1398" i="1"/>
  <c r="Z1397" i="1"/>
  <c r="AA1396" i="1"/>
  <c r="AA1397" i="1" s="1"/>
  <c r="Z1396" i="1"/>
  <c r="AA1395" i="1"/>
  <c r="Z1395" i="1"/>
  <c r="Z1393" i="1"/>
  <c r="AA1392" i="1"/>
  <c r="AA1393" i="1" s="1"/>
  <c r="Z1392" i="1"/>
  <c r="Z1390" i="1"/>
  <c r="AA1389" i="1"/>
  <c r="AA1390" i="1" s="1"/>
  <c r="Z1389" i="1"/>
  <c r="Z1388" i="1"/>
  <c r="AA1387" i="1"/>
  <c r="Z1387" i="1"/>
  <c r="Z1386" i="1"/>
  <c r="Z1385" i="1"/>
  <c r="Z1384" i="1"/>
  <c r="Z1383" i="1"/>
  <c r="AA1382" i="1"/>
  <c r="Z1382" i="1"/>
  <c r="AA1381" i="1"/>
  <c r="AA1384" i="1" s="1"/>
  <c r="Z1381" i="1"/>
  <c r="AA1380" i="1"/>
  <c r="AA1383" i="1" s="1"/>
  <c r="Z1380" i="1"/>
  <c r="Z1378" i="1"/>
  <c r="AA1377" i="1"/>
  <c r="AA1378" i="1" s="1"/>
  <c r="Z1377" i="1"/>
  <c r="Z1376" i="1"/>
  <c r="AA1375" i="1"/>
  <c r="AA1376" i="1" s="1"/>
  <c r="Z1375" i="1"/>
  <c r="AA1319" i="1"/>
  <c r="Z1319" i="1"/>
  <c r="Z1318" i="1"/>
  <c r="Z1317" i="1"/>
  <c r="AA1316" i="1"/>
  <c r="AA1317" i="1" s="1"/>
  <c r="Z1316" i="1"/>
  <c r="Z1315" i="1"/>
  <c r="AA1314" i="1"/>
  <c r="AA1315" i="1" s="1"/>
  <c r="Z1314" i="1"/>
  <c r="Z1313" i="1"/>
  <c r="AA1312" i="1"/>
  <c r="AA1313" i="1" s="1"/>
  <c r="Z1312" i="1"/>
  <c r="AA1311" i="1"/>
  <c r="Z1311" i="1"/>
  <c r="Z1309" i="1"/>
  <c r="AA1308" i="1"/>
  <c r="AA1309" i="1" s="1"/>
  <c r="Z1308" i="1"/>
  <c r="Z1306" i="1"/>
  <c r="AA1305" i="1"/>
  <c r="AA1306" i="1" s="1"/>
  <c r="Z1305" i="1"/>
  <c r="Z1304" i="1"/>
  <c r="AA1303" i="1"/>
  <c r="Z1303" i="1"/>
  <c r="Z1302" i="1"/>
  <c r="Z1301" i="1"/>
  <c r="Z1300" i="1"/>
  <c r="Z1299" i="1"/>
  <c r="AA1298" i="1"/>
  <c r="Z1298" i="1"/>
  <c r="AA1297" i="1"/>
  <c r="AA1300" i="1" s="1"/>
  <c r="Z1297" i="1"/>
  <c r="AA1296" i="1"/>
  <c r="AA1299" i="1" s="1"/>
  <c r="Z1296" i="1"/>
  <c r="Z1294" i="1"/>
  <c r="AA1293" i="1"/>
  <c r="AA1294" i="1" s="1"/>
  <c r="Z1293" i="1"/>
  <c r="Z1292" i="1"/>
  <c r="AA1291" i="1"/>
  <c r="AA1292" i="1" s="1"/>
  <c r="Z1291" i="1"/>
  <c r="AA1283" i="1"/>
  <c r="Z1283" i="1"/>
  <c r="Z1282" i="1"/>
  <c r="Z1281" i="1"/>
  <c r="AA1280" i="1"/>
  <c r="AA1281" i="1" s="1"/>
  <c r="Z1280" i="1"/>
  <c r="Z1279" i="1"/>
  <c r="AA1278" i="1"/>
  <c r="AA1279" i="1" s="1"/>
  <c r="Z1278" i="1"/>
  <c r="Z1277" i="1"/>
  <c r="AA1276" i="1"/>
  <c r="AA1277" i="1" s="1"/>
  <c r="Z1276" i="1"/>
  <c r="AA1275" i="1"/>
  <c r="Z1275" i="1"/>
  <c r="Z1273" i="1"/>
  <c r="AA1272" i="1"/>
  <c r="AA1273" i="1" s="1"/>
  <c r="Z1272" i="1"/>
  <c r="Z1270" i="1"/>
  <c r="AA1269" i="1"/>
  <c r="AA1270" i="1" s="1"/>
  <c r="Z1269" i="1"/>
  <c r="Z1268" i="1"/>
  <c r="Z1267" i="1"/>
  <c r="AA1266" i="1"/>
  <c r="Z1266" i="1"/>
  <c r="AA1265" i="1"/>
  <c r="AA1267" i="1" s="1"/>
  <c r="Z1265" i="1"/>
  <c r="Z1263" i="1"/>
  <c r="AA1262" i="1"/>
  <c r="AA1263" i="1" s="1"/>
  <c r="Z1262" i="1"/>
  <c r="Z1261" i="1"/>
  <c r="AA1260" i="1"/>
  <c r="AA1261" i="1" s="1"/>
  <c r="Z1260" i="1"/>
  <c r="AA1119" i="1"/>
  <c r="AA1120" i="1" s="1"/>
  <c r="AA1117" i="1"/>
  <c r="AA1118" i="1" s="1"/>
  <c r="AA1115" i="1"/>
  <c r="AA1116" i="1" s="1"/>
  <c r="AA1114" i="1"/>
  <c r="AA1111" i="1"/>
  <c r="AA1112" i="1" s="1"/>
  <c r="AA1104" i="1"/>
  <c r="AA1106" i="1" s="1"/>
  <c r="AA917" i="1"/>
  <c r="AA916" i="1"/>
  <c r="AA918" i="1" s="1"/>
  <c r="AA1079" i="1"/>
  <c r="AA1078" i="1"/>
  <c r="AA1080" i="1" s="1"/>
  <c r="AA1101" i="1"/>
  <c r="AA1102" i="1" s="1"/>
  <c r="AA1099" i="1"/>
  <c r="AA1100" i="1" s="1"/>
  <c r="AA1122" i="1"/>
  <c r="Z1122" i="1"/>
  <c r="Z1121" i="1"/>
  <c r="Z1120" i="1"/>
  <c r="Z1119" i="1"/>
  <c r="Z1118" i="1"/>
  <c r="Z1117" i="1"/>
  <c r="Z1116" i="1"/>
  <c r="Z1115" i="1"/>
  <c r="Z1114" i="1"/>
  <c r="Z1112" i="1"/>
  <c r="Z1111" i="1"/>
  <c r="Z1109" i="1"/>
  <c r="AA1108" i="1"/>
  <c r="AA1109" i="1" s="1"/>
  <c r="Z1108" i="1"/>
  <c r="Z1107" i="1"/>
  <c r="Z1106" i="1"/>
  <c r="AA1105" i="1"/>
  <c r="Z1105" i="1"/>
  <c r="Z1104" i="1"/>
  <c r="Z1102" i="1"/>
  <c r="Z1101" i="1"/>
  <c r="Z1100" i="1"/>
  <c r="Z1099" i="1"/>
  <c r="AA1096" i="1"/>
  <c r="Z1096" i="1"/>
  <c r="Z1095" i="1"/>
  <c r="Z1094" i="1"/>
  <c r="AA1093" i="1"/>
  <c r="AA1094" i="1" s="1"/>
  <c r="Z1093" i="1"/>
  <c r="Z1092" i="1"/>
  <c r="AA1091" i="1"/>
  <c r="AA1092" i="1" s="1"/>
  <c r="Z1091" i="1"/>
  <c r="Z1090" i="1"/>
  <c r="AA1089" i="1"/>
  <c r="AA1090" i="1" s="1"/>
  <c r="Z1089" i="1"/>
  <c r="AA1088" i="1"/>
  <c r="Z1088" i="1"/>
  <c r="Z1086" i="1"/>
  <c r="AA1085" i="1"/>
  <c r="AA1086" i="1" s="1"/>
  <c r="Z1085" i="1"/>
  <c r="Z1083" i="1"/>
  <c r="AA1082" i="1"/>
  <c r="AA1083" i="1" s="1"/>
  <c r="Z1082" i="1"/>
  <c r="Z1081" i="1"/>
  <c r="Z1080" i="1"/>
  <c r="Z1079" i="1"/>
  <c r="Z1078" i="1"/>
  <c r="Z1076" i="1"/>
  <c r="AA1075" i="1"/>
  <c r="AA1076" i="1" s="1"/>
  <c r="Z1075" i="1"/>
  <c r="Z1074" i="1"/>
  <c r="AA1073" i="1"/>
  <c r="AA1074" i="1" s="1"/>
  <c r="Z1073" i="1"/>
  <c r="Z1257" i="1"/>
  <c r="AA1256" i="1"/>
  <c r="AA1257" i="1" s="1"/>
  <c r="Z1256" i="1"/>
  <c r="Z1255" i="1"/>
  <c r="AA1254" i="1"/>
  <c r="AA1255" i="1" s="1"/>
  <c r="Z1254" i="1"/>
  <c r="Z1253" i="1"/>
  <c r="AA1252" i="1"/>
  <c r="AA1253" i="1" s="1"/>
  <c r="Z1252" i="1"/>
  <c r="Z1251" i="1"/>
  <c r="AA1250" i="1"/>
  <c r="AA1251" i="1" s="1"/>
  <c r="Z1250" i="1"/>
  <c r="AA1249" i="1"/>
  <c r="Z1249" i="1"/>
  <c r="Z1247" i="1"/>
  <c r="AA1246" i="1"/>
  <c r="AA1247" i="1" s="1"/>
  <c r="Z1246" i="1"/>
  <c r="Z1244" i="1"/>
  <c r="AA1243" i="1"/>
  <c r="AA1244" i="1" s="1"/>
  <c r="Z1243" i="1"/>
  <c r="Z1242" i="1"/>
  <c r="Z1241" i="1"/>
  <c r="AA1240" i="1"/>
  <c r="Z1240" i="1"/>
  <c r="AA1239" i="1"/>
  <c r="AA1241" i="1" s="1"/>
  <c r="Z1239" i="1"/>
  <c r="Z1237" i="1"/>
  <c r="AA1236" i="1"/>
  <c r="AA1237" i="1" s="1"/>
  <c r="Z1236" i="1"/>
  <c r="Z1235" i="1"/>
  <c r="AA1234" i="1"/>
  <c r="AA1235" i="1" s="1"/>
  <c r="Z1234" i="1"/>
  <c r="Z1070" i="1"/>
  <c r="AA1069" i="1"/>
  <c r="AA1070" i="1" s="1"/>
  <c r="Z1069" i="1"/>
  <c r="Z1068" i="1"/>
  <c r="AA1067" i="1"/>
  <c r="AA1068" i="1" s="1"/>
  <c r="Z1067" i="1"/>
  <c r="Z1066" i="1"/>
  <c r="AA1065" i="1"/>
  <c r="AA1066" i="1" s="1"/>
  <c r="Z1065" i="1"/>
  <c r="Z1064" i="1"/>
  <c r="AA1063" i="1"/>
  <c r="AA1064" i="1" s="1"/>
  <c r="Z1063" i="1"/>
  <c r="AA1062" i="1"/>
  <c r="Z1062" i="1"/>
  <c r="Z1060" i="1"/>
  <c r="AA1059" i="1"/>
  <c r="AA1060" i="1" s="1"/>
  <c r="Z1059" i="1"/>
  <c r="Z1057" i="1"/>
  <c r="AA1056" i="1"/>
  <c r="AA1057" i="1" s="1"/>
  <c r="Z1056" i="1"/>
  <c r="Z1055" i="1"/>
  <c r="Z1054" i="1"/>
  <c r="AA1053" i="1"/>
  <c r="Z1053" i="1"/>
  <c r="AA1052" i="1"/>
  <c r="AA1054" i="1" s="1"/>
  <c r="Z1052" i="1"/>
  <c r="Z1050" i="1"/>
  <c r="AA1049" i="1"/>
  <c r="AA1050" i="1" s="1"/>
  <c r="Z1049" i="1"/>
  <c r="Z1048" i="1"/>
  <c r="AA1047" i="1"/>
  <c r="AA1048" i="1" s="1"/>
  <c r="Z1047" i="1"/>
  <c r="Z1179" i="1"/>
  <c r="AA1178" i="1"/>
  <c r="AA1179" i="1" s="1"/>
  <c r="Z1178" i="1"/>
  <c r="Z1177" i="1"/>
  <c r="AA1176" i="1"/>
  <c r="AA1177" i="1" s="1"/>
  <c r="Z1176" i="1"/>
  <c r="Z1175" i="1"/>
  <c r="AA1174" i="1"/>
  <c r="AA1175" i="1" s="1"/>
  <c r="Z1174" i="1"/>
  <c r="Z1173" i="1"/>
  <c r="AA1172" i="1"/>
  <c r="AA1173" i="1" s="1"/>
  <c r="Z1172" i="1"/>
  <c r="AA1171" i="1"/>
  <c r="Z1171" i="1"/>
  <c r="Z1169" i="1"/>
  <c r="AA1168" i="1"/>
  <c r="AA1169" i="1" s="1"/>
  <c r="Z1168" i="1"/>
  <c r="Z1166" i="1"/>
  <c r="AA1165" i="1"/>
  <c r="AA1166" i="1" s="1"/>
  <c r="Z1165" i="1"/>
  <c r="Z1164" i="1"/>
  <c r="Z1163" i="1"/>
  <c r="AA1162" i="1"/>
  <c r="Z1162" i="1"/>
  <c r="AA1161" i="1"/>
  <c r="AA1163" i="1" s="1"/>
  <c r="Z1161" i="1"/>
  <c r="Z1159" i="1"/>
  <c r="AA1158" i="1"/>
  <c r="AA1159" i="1" s="1"/>
  <c r="Z1158" i="1"/>
  <c r="Z1157" i="1"/>
  <c r="AA1156" i="1"/>
  <c r="AA1157" i="1" s="1"/>
  <c r="Z1156" i="1"/>
  <c r="Z1231" i="1"/>
  <c r="AA1230" i="1"/>
  <c r="AA1231" i="1" s="1"/>
  <c r="Z1230" i="1"/>
  <c r="Z1229" i="1"/>
  <c r="AA1228" i="1"/>
  <c r="AA1229" i="1" s="1"/>
  <c r="Z1228" i="1"/>
  <c r="Z1227" i="1"/>
  <c r="AA1226" i="1"/>
  <c r="AA1227" i="1" s="1"/>
  <c r="Z1226" i="1"/>
  <c r="Z1225" i="1"/>
  <c r="AA1224" i="1"/>
  <c r="AA1225" i="1" s="1"/>
  <c r="Z1224" i="1"/>
  <c r="AA1223" i="1"/>
  <c r="Z1223" i="1"/>
  <c r="Z1221" i="1"/>
  <c r="AA1220" i="1"/>
  <c r="AA1221" i="1" s="1"/>
  <c r="Z1220" i="1"/>
  <c r="Z1218" i="1"/>
  <c r="AA1217" i="1"/>
  <c r="AA1218" i="1" s="1"/>
  <c r="Z1217" i="1"/>
  <c r="Z1216" i="1"/>
  <c r="Z1215" i="1"/>
  <c r="AA1214" i="1"/>
  <c r="Z1214" i="1"/>
  <c r="AA1213" i="1"/>
  <c r="AA1215" i="1" s="1"/>
  <c r="Z1213" i="1"/>
  <c r="Z1211" i="1"/>
  <c r="AA1210" i="1"/>
  <c r="AA1211" i="1" s="1"/>
  <c r="Z1210" i="1"/>
  <c r="Z1209" i="1"/>
  <c r="AA1208" i="1"/>
  <c r="AA1209" i="1" s="1"/>
  <c r="Z1208" i="1"/>
  <c r="Z1044" i="1"/>
  <c r="AA1043" i="1"/>
  <c r="AA1044" i="1" s="1"/>
  <c r="Z1043" i="1"/>
  <c r="Z1042" i="1"/>
  <c r="AA1041" i="1"/>
  <c r="AA1042" i="1" s="1"/>
  <c r="Z1041" i="1"/>
  <c r="Z1040" i="1"/>
  <c r="AA1039" i="1"/>
  <c r="AA1040" i="1" s="1"/>
  <c r="Z1039" i="1"/>
  <c r="Z1038" i="1"/>
  <c r="AA1037" i="1"/>
  <c r="AA1038" i="1" s="1"/>
  <c r="Z1037" i="1"/>
  <c r="AA1036" i="1"/>
  <c r="Z1036" i="1"/>
  <c r="Z1034" i="1"/>
  <c r="AA1033" i="1"/>
  <c r="AA1034" i="1" s="1"/>
  <c r="Z1033" i="1"/>
  <c r="Z1031" i="1"/>
  <c r="AA1030" i="1"/>
  <c r="AA1031" i="1" s="1"/>
  <c r="Z1030" i="1"/>
  <c r="Z1029" i="1"/>
  <c r="Z1028" i="1"/>
  <c r="AA1027" i="1"/>
  <c r="Z1027" i="1"/>
  <c r="AA1026" i="1"/>
  <c r="AA1028" i="1" s="1"/>
  <c r="Z1026" i="1"/>
  <c r="Z1024" i="1"/>
  <c r="AA1023" i="1"/>
  <c r="AA1024" i="1" s="1"/>
  <c r="Z1023" i="1"/>
  <c r="Z1022" i="1"/>
  <c r="AA1021" i="1"/>
  <c r="AA1022" i="1" s="1"/>
  <c r="Z1021" i="1"/>
  <c r="AA1153" i="1"/>
  <c r="Z1153" i="1"/>
  <c r="Z1152" i="1"/>
  <c r="Z1151" i="1"/>
  <c r="AA1150" i="1"/>
  <c r="AA1151" i="1" s="1"/>
  <c r="Z1150" i="1"/>
  <c r="Z1149" i="1"/>
  <c r="AA1148" i="1"/>
  <c r="AA1149" i="1" s="1"/>
  <c r="Z1148" i="1"/>
  <c r="Z1147" i="1"/>
  <c r="AA1146" i="1"/>
  <c r="AA1147" i="1" s="1"/>
  <c r="Z1146" i="1"/>
  <c r="AA1145" i="1"/>
  <c r="Z1145" i="1"/>
  <c r="Z1143" i="1"/>
  <c r="AA1142" i="1"/>
  <c r="AA1143" i="1" s="1"/>
  <c r="Z1142" i="1"/>
  <c r="Z1140" i="1"/>
  <c r="AA1139" i="1"/>
  <c r="AA1140" i="1" s="1"/>
  <c r="Z1139" i="1"/>
  <c r="Z1138" i="1"/>
  <c r="AA1137" i="1"/>
  <c r="Z1137" i="1"/>
  <c r="Z1136" i="1"/>
  <c r="Z1135" i="1"/>
  <c r="Z1134" i="1"/>
  <c r="Z1133" i="1"/>
  <c r="AA1132" i="1"/>
  <c r="Z1132" i="1"/>
  <c r="AA1131" i="1"/>
  <c r="AA1134" i="1" s="1"/>
  <c r="Z1131" i="1"/>
  <c r="AA1130" i="1"/>
  <c r="AA1133" i="1" s="1"/>
  <c r="Z1130" i="1"/>
  <c r="Z1128" i="1"/>
  <c r="AA1127" i="1"/>
  <c r="AA1128" i="1" s="1"/>
  <c r="Z1127" i="1"/>
  <c r="Z1126" i="1"/>
  <c r="AA1125" i="1"/>
  <c r="AA1126" i="1" s="1"/>
  <c r="Z1125" i="1"/>
  <c r="Z1205" i="1"/>
  <c r="AA1204" i="1"/>
  <c r="AA1205" i="1" s="1"/>
  <c r="Z1204" i="1"/>
  <c r="Z1203" i="1"/>
  <c r="AA1202" i="1"/>
  <c r="AA1203" i="1" s="1"/>
  <c r="Z1202" i="1"/>
  <c r="Z1201" i="1"/>
  <c r="AA1200" i="1"/>
  <c r="AA1201" i="1" s="1"/>
  <c r="Z1200" i="1"/>
  <c r="Z1199" i="1"/>
  <c r="AA1198" i="1"/>
  <c r="AA1199" i="1" s="1"/>
  <c r="Z1198" i="1"/>
  <c r="AA1197" i="1"/>
  <c r="Z1197" i="1"/>
  <c r="Z1195" i="1"/>
  <c r="AA1194" i="1"/>
  <c r="AA1195" i="1" s="1"/>
  <c r="Z1194" i="1"/>
  <c r="Z1192" i="1"/>
  <c r="AA1191" i="1"/>
  <c r="AA1192" i="1" s="1"/>
  <c r="Z1191" i="1"/>
  <c r="Z1190" i="1"/>
  <c r="Z1189" i="1"/>
  <c r="AA1188" i="1"/>
  <c r="Z1188" i="1"/>
  <c r="AA1187" i="1"/>
  <c r="AA1189" i="1" s="1"/>
  <c r="Z1187" i="1"/>
  <c r="Z1185" i="1"/>
  <c r="AA1184" i="1"/>
  <c r="AA1185" i="1" s="1"/>
  <c r="Z1184" i="1"/>
  <c r="Z1183" i="1"/>
  <c r="AA1182" i="1"/>
  <c r="AA1183" i="1" s="1"/>
  <c r="Z1182" i="1"/>
  <c r="Z1018" i="1"/>
  <c r="AA1017" i="1"/>
  <c r="AA1018" i="1" s="1"/>
  <c r="Z1017" i="1"/>
  <c r="Z1016" i="1"/>
  <c r="AA1015" i="1"/>
  <c r="AA1016" i="1" s="1"/>
  <c r="Z1015" i="1"/>
  <c r="Z1014" i="1"/>
  <c r="AA1013" i="1"/>
  <c r="AA1014" i="1" s="1"/>
  <c r="Z1013" i="1"/>
  <c r="Z1012" i="1"/>
  <c r="AA1011" i="1"/>
  <c r="AA1012" i="1" s="1"/>
  <c r="Z1011" i="1"/>
  <c r="AA1010" i="1"/>
  <c r="Z1010" i="1"/>
  <c r="Z1008" i="1"/>
  <c r="AA1007" i="1"/>
  <c r="AA1008" i="1" s="1"/>
  <c r="Z1007" i="1"/>
  <c r="Z1005" i="1"/>
  <c r="AA1004" i="1"/>
  <c r="AA1005" i="1" s="1"/>
  <c r="Z1004" i="1"/>
  <c r="Z1003" i="1"/>
  <c r="Z1002" i="1"/>
  <c r="AA1001" i="1"/>
  <c r="Z1001" i="1"/>
  <c r="AA1000" i="1"/>
  <c r="AA1002" i="1" s="1"/>
  <c r="Z1000" i="1"/>
  <c r="Z998" i="1"/>
  <c r="AA997" i="1"/>
  <c r="AA998" i="1" s="1"/>
  <c r="Z997" i="1"/>
  <c r="Z996" i="1"/>
  <c r="AA995" i="1"/>
  <c r="AA996" i="1" s="1"/>
  <c r="Z995" i="1"/>
  <c r="Z992" i="1"/>
  <c r="AA991" i="1"/>
  <c r="AA992" i="1" s="1"/>
  <c r="Z991" i="1"/>
  <c r="Z990" i="1"/>
  <c r="AA989" i="1"/>
  <c r="AA990" i="1" s="1"/>
  <c r="Z989" i="1"/>
  <c r="Z988" i="1"/>
  <c r="AA987" i="1"/>
  <c r="AA988" i="1" s="1"/>
  <c r="Z987" i="1"/>
  <c r="Z986" i="1"/>
  <c r="AA985" i="1"/>
  <c r="AA986" i="1" s="1"/>
  <c r="Z985" i="1"/>
  <c r="AA984" i="1"/>
  <c r="Z984" i="1"/>
  <c r="Z982" i="1"/>
  <c r="AA981" i="1"/>
  <c r="AA982" i="1" s="1"/>
  <c r="Z981" i="1"/>
  <c r="Z979" i="1"/>
  <c r="AA978" i="1"/>
  <c r="AA979" i="1" s="1"/>
  <c r="Z978" i="1"/>
  <c r="Z977" i="1"/>
  <c r="Z976" i="1"/>
  <c r="AA975" i="1"/>
  <c r="Z975" i="1"/>
  <c r="AA974" i="1"/>
  <c r="AA976" i="1" s="1"/>
  <c r="Z974" i="1"/>
  <c r="Z972" i="1"/>
  <c r="AA971" i="1"/>
  <c r="AA972" i="1" s="1"/>
  <c r="Z971" i="1"/>
  <c r="Z970" i="1"/>
  <c r="AA969" i="1"/>
  <c r="AA970" i="1" s="1"/>
  <c r="Z969" i="1"/>
  <c r="AA966" i="1"/>
  <c r="Z966" i="1"/>
  <c r="Z965" i="1"/>
  <c r="Z964" i="1"/>
  <c r="AA963" i="1"/>
  <c r="AA964" i="1" s="1"/>
  <c r="Z963" i="1"/>
  <c r="Z962" i="1"/>
  <c r="AA961" i="1"/>
  <c r="AA962" i="1" s="1"/>
  <c r="Z961" i="1"/>
  <c r="Z960" i="1"/>
  <c r="AA959" i="1"/>
  <c r="AA960" i="1" s="1"/>
  <c r="Z959" i="1"/>
  <c r="AA958" i="1"/>
  <c r="Z958" i="1"/>
  <c r="Z956" i="1"/>
  <c r="AA955" i="1"/>
  <c r="AA956" i="1" s="1"/>
  <c r="Z955" i="1"/>
  <c r="Z953" i="1"/>
  <c r="AA952" i="1"/>
  <c r="AA953" i="1" s="1"/>
  <c r="Z952" i="1"/>
  <c r="Z951" i="1"/>
  <c r="AA950" i="1"/>
  <c r="Z950" i="1"/>
  <c r="Z949" i="1"/>
  <c r="Z948" i="1"/>
  <c r="Z947" i="1"/>
  <c r="Z946" i="1"/>
  <c r="AA945" i="1"/>
  <c r="Z945" i="1"/>
  <c r="AA944" i="1"/>
  <c r="AA947" i="1" s="1"/>
  <c r="Z944" i="1"/>
  <c r="AA943" i="1"/>
  <c r="AA946" i="1" s="1"/>
  <c r="Z943" i="1"/>
  <c r="Z941" i="1"/>
  <c r="AA940" i="1"/>
  <c r="AA941" i="1" s="1"/>
  <c r="Z940" i="1"/>
  <c r="Z939" i="1"/>
  <c r="AA938" i="1"/>
  <c r="AA939" i="1" s="1"/>
  <c r="Z938" i="1"/>
  <c r="AA897" i="1"/>
  <c r="AA898" i="1" s="1"/>
  <c r="AA871" i="1"/>
  <c r="AA872" i="1" s="1"/>
  <c r="AA845" i="1"/>
  <c r="AA846" i="1" s="1"/>
  <c r="AA931" i="1"/>
  <c r="AA932" i="1" s="1"/>
  <c r="AA929" i="1"/>
  <c r="AA930" i="1" s="1"/>
  <c r="AA927" i="1"/>
  <c r="AA928" i="1" s="1"/>
  <c r="AA926" i="1"/>
  <c r="AA934" i="1"/>
  <c r="AA923" i="1"/>
  <c r="AA924" i="1" s="1"/>
  <c r="AA913" i="1"/>
  <c r="AA914" i="1" s="1"/>
  <c r="AA911" i="1"/>
  <c r="AA912" i="1" s="1"/>
  <c r="AA907" i="1"/>
  <c r="AA908" i="1" s="1"/>
  <c r="AA905" i="1"/>
  <c r="AA906" i="1" s="1"/>
  <c r="AA903" i="1"/>
  <c r="AA904" i="1" s="1"/>
  <c r="AA901" i="1"/>
  <c r="AA902" i="1" s="1"/>
  <c r="AA900" i="1"/>
  <c r="AA891" i="1"/>
  <c r="AA890" i="1"/>
  <c r="AA892" i="1" s="1"/>
  <c r="AA887" i="1"/>
  <c r="AA888" i="1" s="1"/>
  <c r="AA885" i="1"/>
  <c r="AA886" i="1" s="1"/>
  <c r="AA920" i="1"/>
  <c r="AA921" i="1" s="1"/>
  <c r="AA894" i="1"/>
  <c r="AA895" i="1" s="1"/>
  <c r="AA881" i="1"/>
  <c r="AA882" i="1" s="1"/>
  <c r="AA879" i="1"/>
  <c r="AA880" i="1" s="1"/>
  <c r="AA877" i="1"/>
  <c r="AA878" i="1" s="1"/>
  <c r="AA875" i="1"/>
  <c r="AA876" i="1" s="1"/>
  <c r="AA874" i="1"/>
  <c r="AA865" i="1"/>
  <c r="AA864" i="1"/>
  <c r="AA866" i="1" s="1"/>
  <c r="AA861" i="1"/>
  <c r="AA862" i="1" s="1"/>
  <c r="AA859" i="1"/>
  <c r="AA860" i="1" s="1"/>
  <c r="AA855" i="1"/>
  <c r="AA856" i="1" s="1"/>
  <c r="AA853" i="1"/>
  <c r="AA854" i="1" s="1"/>
  <c r="AA851" i="1"/>
  <c r="AA852" i="1" s="1"/>
  <c r="AA849" i="1"/>
  <c r="AA850" i="1" s="1"/>
  <c r="AA848" i="1"/>
  <c r="AA839" i="1"/>
  <c r="AA838" i="1"/>
  <c r="AA840" i="1" s="1"/>
  <c r="AA835" i="1"/>
  <c r="AA836" i="1" s="1"/>
  <c r="AA833" i="1"/>
  <c r="AA834" i="1" s="1"/>
  <c r="Z934" i="1"/>
  <c r="Z933" i="1"/>
  <c r="Z932" i="1"/>
  <c r="Z931" i="1"/>
  <c r="Z930" i="1"/>
  <c r="Z929" i="1"/>
  <c r="Z928" i="1"/>
  <c r="Z927" i="1"/>
  <c r="Z926" i="1"/>
  <c r="Z924" i="1"/>
  <c r="Z923" i="1"/>
  <c r="Z921" i="1"/>
  <c r="Z920" i="1"/>
  <c r="Z919" i="1"/>
  <c r="Z918" i="1"/>
  <c r="Z917" i="1"/>
  <c r="Z916" i="1"/>
  <c r="Z914" i="1"/>
  <c r="Z913" i="1"/>
  <c r="Z912" i="1"/>
  <c r="Z911" i="1"/>
  <c r="Z908" i="1"/>
  <c r="Z907" i="1"/>
  <c r="Z906" i="1"/>
  <c r="Z905" i="1"/>
  <c r="Z904" i="1"/>
  <c r="Z903" i="1"/>
  <c r="Z902" i="1"/>
  <c r="Z901" i="1"/>
  <c r="Z900" i="1"/>
  <c r="Z898" i="1"/>
  <c r="Z897" i="1"/>
  <c r="Z895" i="1"/>
  <c r="Z894" i="1"/>
  <c r="Z893" i="1"/>
  <c r="Z892" i="1"/>
  <c r="Z891" i="1"/>
  <c r="Z890" i="1"/>
  <c r="Z888" i="1"/>
  <c r="Z887" i="1"/>
  <c r="Z886" i="1"/>
  <c r="Z885" i="1"/>
  <c r="Z882" i="1"/>
  <c r="Z881" i="1"/>
  <c r="Z880" i="1"/>
  <c r="Z879" i="1"/>
  <c r="Z878" i="1"/>
  <c r="Z877" i="1"/>
  <c r="Z876" i="1"/>
  <c r="Z875" i="1"/>
  <c r="Z874" i="1"/>
  <c r="Z872" i="1"/>
  <c r="Z871" i="1"/>
  <c r="Z869" i="1"/>
  <c r="AA868" i="1"/>
  <c r="AA869" i="1" s="1"/>
  <c r="Z868" i="1"/>
  <c r="Z867" i="1"/>
  <c r="Z866" i="1"/>
  <c r="Z865" i="1"/>
  <c r="Z864" i="1"/>
  <c r="Z862" i="1"/>
  <c r="Z861" i="1"/>
  <c r="Z860" i="1"/>
  <c r="Z859" i="1"/>
  <c r="Z856" i="1"/>
  <c r="Z855" i="1"/>
  <c r="Z854" i="1"/>
  <c r="Z853" i="1"/>
  <c r="Z852" i="1"/>
  <c r="Z851" i="1"/>
  <c r="Z850" i="1"/>
  <c r="Z849" i="1"/>
  <c r="Z848" i="1"/>
  <c r="Z846" i="1"/>
  <c r="Z845" i="1"/>
  <c r="Z843" i="1"/>
  <c r="AA842" i="1"/>
  <c r="AA843" i="1" s="1"/>
  <c r="Z842" i="1"/>
  <c r="Z841" i="1"/>
  <c r="Z840" i="1"/>
  <c r="Z839" i="1"/>
  <c r="Z838" i="1"/>
  <c r="Z836" i="1"/>
  <c r="Z835" i="1"/>
  <c r="Z834" i="1"/>
  <c r="Z833" i="1"/>
  <c r="AA829" i="1"/>
  <c r="AA830" i="1" s="1"/>
  <c r="AA827" i="1"/>
  <c r="AA828" i="1" s="1"/>
  <c r="AA825" i="1"/>
  <c r="AA826" i="1" s="1"/>
  <c r="AA823" i="1"/>
  <c r="AA824" i="1" s="1"/>
  <c r="AA822" i="1"/>
  <c r="AA819" i="1"/>
  <c r="AA820" i="1" s="1"/>
  <c r="AA813" i="1"/>
  <c r="AA812" i="1"/>
  <c r="AA814" i="1" s="1"/>
  <c r="AA809" i="1"/>
  <c r="AA810" i="1" s="1"/>
  <c r="AA807" i="1"/>
  <c r="AA808" i="1" s="1"/>
  <c r="Z830" i="1"/>
  <c r="Z829" i="1"/>
  <c r="Z828" i="1"/>
  <c r="Z827" i="1"/>
  <c r="Z826" i="1"/>
  <c r="Z825" i="1"/>
  <c r="Z824" i="1"/>
  <c r="Z823" i="1"/>
  <c r="Z822" i="1"/>
  <c r="Z820" i="1"/>
  <c r="Z819" i="1"/>
  <c r="Z817" i="1"/>
  <c r="AA816" i="1"/>
  <c r="AA817" i="1" s="1"/>
  <c r="Z816" i="1"/>
  <c r="Z815" i="1"/>
  <c r="Z814" i="1"/>
  <c r="Z813" i="1"/>
  <c r="Z812" i="1"/>
  <c r="Z810" i="1"/>
  <c r="Z809" i="1"/>
  <c r="Z808" i="1"/>
  <c r="Z807" i="1"/>
  <c r="AA801" i="1"/>
  <c r="AA802" i="1" s="1"/>
  <c r="AA799" i="1"/>
  <c r="AA800" i="1" s="1"/>
  <c r="AA797" i="1"/>
  <c r="AA798" i="1" s="1"/>
  <c r="AA796" i="1"/>
  <c r="AA804" i="1"/>
  <c r="Z804" i="1"/>
  <c r="Z803" i="1"/>
  <c r="Z802" i="1"/>
  <c r="Z801" i="1"/>
  <c r="Z800" i="1"/>
  <c r="Z799" i="1"/>
  <c r="Z798" i="1"/>
  <c r="Z797" i="1"/>
  <c r="Z796" i="1"/>
  <c r="AA793" i="1"/>
  <c r="AA794" i="1" s="1"/>
  <c r="Z794" i="1"/>
  <c r="Z793" i="1"/>
  <c r="AA790" i="1"/>
  <c r="AA791" i="1" s="1"/>
  <c r="AA788" i="1"/>
  <c r="Z791" i="1"/>
  <c r="Z790" i="1"/>
  <c r="AA783" i="1"/>
  <c r="Z783" i="1"/>
  <c r="AA782" i="1"/>
  <c r="AA785" i="1" s="1"/>
  <c r="AA781" i="1"/>
  <c r="AA784" i="1" s="1"/>
  <c r="Z789" i="1"/>
  <c r="Z788" i="1"/>
  <c r="Z787" i="1"/>
  <c r="Z786" i="1"/>
  <c r="Z785" i="1"/>
  <c r="Z784" i="1"/>
  <c r="Z782" i="1"/>
  <c r="Z781" i="1"/>
  <c r="AA778" i="1"/>
  <c r="AA779" i="1" s="1"/>
  <c r="AA776" i="1"/>
  <c r="AA777" i="1" s="1"/>
  <c r="Z779" i="1"/>
  <c r="Z778" i="1"/>
  <c r="Z777" i="1"/>
  <c r="Z776" i="1"/>
  <c r="O773" i="1"/>
  <c r="J773" i="1"/>
  <c r="K773" i="1" s="1"/>
  <c r="G773" i="1"/>
  <c r="Z768" i="1"/>
  <c r="D268" i="6"/>
  <c r="Z749" i="1" s="1"/>
  <c r="D261" i="6"/>
  <c r="Z744" i="1" s="1"/>
  <c r="D254" i="6"/>
  <c r="Z739" i="1" s="1"/>
  <c r="D243" i="6"/>
  <c r="Z4483" i="1" s="1"/>
  <c r="D239" i="6"/>
  <c r="Z728" i="1" s="1"/>
  <c r="D236" i="6"/>
  <c r="Z723" i="1" s="1"/>
  <c r="Z750" i="1"/>
  <c r="Z748" i="1"/>
  <c r="Z745" i="1"/>
  <c r="Z743" i="1"/>
  <c r="Z740" i="1"/>
  <c r="Z738" i="1"/>
  <c r="Z734" i="1"/>
  <c r="Z732" i="1"/>
  <c r="Z729" i="1"/>
  <c r="Z727" i="1"/>
  <c r="Z724" i="1"/>
  <c r="Z722" i="1"/>
  <c r="AA704" i="1"/>
  <c r="Z704" i="1"/>
  <c r="Z703" i="1"/>
  <c r="Z702" i="1"/>
  <c r="AA699" i="1"/>
  <c r="Z699" i="1"/>
  <c r="Z698" i="1"/>
  <c r="Z697" i="1"/>
  <c r="AA694" i="1"/>
  <c r="Z694" i="1"/>
  <c r="Z693" i="1"/>
  <c r="Z692" i="1"/>
  <c r="AA689" i="1"/>
  <c r="Z689" i="1"/>
  <c r="Z688" i="1"/>
  <c r="Z687" i="1"/>
  <c r="AA684" i="1"/>
  <c r="Z684" i="1"/>
  <c r="Z683" i="1"/>
  <c r="Z682" i="1"/>
  <c r="AA665" i="1"/>
  <c r="Z665" i="1"/>
  <c r="Z664" i="1"/>
  <c r="Z663" i="1"/>
  <c r="AA670" i="1"/>
  <c r="Z670" i="1"/>
  <c r="Z669" i="1"/>
  <c r="Z668" i="1"/>
  <c r="AA660" i="1"/>
  <c r="Z660" i="1"/>
  <c r="Z659" i="1"/>
  <c r="Z658" i="1"/>
  <c r="AA655" i="1"/>
  <c r="Z655" i="1"/>
  <c r="Z654" i="1"/>
  <c r="Z653" i="1"/>
  <c r="AA649" i="1"/>
  <c r="Z649" i="1"/>
  <c r="Z648" i="1"/>
  <c r="Z647" i="1"/>
  <c r="AA644" i="1"/>
  <c r="Z644" i="1"/>
  <c r="Z643" i="1"/>
  <c r="Z642" i="1"/>
  <c r="AA639" i="1"/>
  <c r="Z639" i="1"/>
  <c r="Z638" i="1"/>
  <c r="Z637" i="1"/>
  <c r="AA634" i="1"/>
  <c r="Z634" i="1"/>
  <c r="Z633" i="1"/>
  <c r="Z632" i="1"/>
  <c r="AA629" i="1"/>
  <c r="Z629" i="1"/>
  <c r="Z628" i="1"/>
  <c r="Z627" i="1"/>
  <c r="AA624" i="1"/>
  <c r="Z624" i="1"/>
  <c r="Z623" i="1"/>
  <c r="Z622" i="1"/>
  <c r="AA619" i="1"/>
  <c r="Z619" i="1"/>
  <c r="Z618" i="1"/>
  <c r="Z617" i="1"/>
  <c r="AA614" i="1"/>
  <c r="Z614" i="1"/>
  <c r="Z613" i="1"/>
  <c r="Z612" i="1"/>
  <c r="AA609" i="1"/>
  <c r="Z609" i="1"/>
  <c r="Z608" i="1"/>
  <c r="Z607" i="1"/>
  <c r="AA604" i="1"/>
  <c r="Z604" i="1"/>
  <c r="Z603" i="1"/>
  <c r="Z602" i="1"/>
  <c r="AA599" i="1"/>
  <c r="Z599" i="1"/>
  <c r="Z598" i="1"/>
  <c r="Z597" i="1"/>
  <c r="AA594" i="1"/>
  <c r="Z594" i="1"/>
  <c r="Z593" i="1"/>
  <c r="Z592" i="1"/>
  <c r="AA589" i="1"/>
  <c r="Z589" i="1"/>
  <c r="Z588" i="1"/>
  <c r="Z587" i="1"/>
  <c r="AA584" i="1"/>
  <c r="Z584" i="1"/>
  <c r="Z583" i="1"/>
  <c r="Z582" i="1"/>
  <c r="Z733" i="1" l="1"/>
  <c r="Z4434" i="1"/>
  <c r="Z4456" i="1"/>
  <c r="P773" i="1"/>
  <c r="M773" i="1"/>
  <c r="AC773" i="1" l="1"/>
  <c r="AB773" i="1" s="1"/>
  <c r="N773" i="1"/>
  <c r="H773" i="1" l="1"/>
  <c r="I773" i="1" s="1"/>
  <c r="Q773" i="1"/>
  <c r="R773" i="1" s="1"/>
  <c r="T773" i="1" s="1"/>
  <c r="AA578" i="1" l="1"/>
  <c r="Z578" i="1"/>
  <c r="Z577" i="1"/>
  <c r="Z576" i="1"/>
  <c r="AA573" i="1"/>
  <c r="Z573" i="1"/>
  <c r="Z572" i="1"/>
  <c r="Z571" i="1"/>
  <c r="AA568" i="1"/>
  <c r="Z568" i="1"/>
  <c r="Z567" i="1"/>
  <c r="Z566" i="1"/>
  <c r="AA563" i="1"/>
  <c r="Z563" i="1"/>
  <c r="Z562" i="1"/>
  <c r="Z561" i="1"/>
  <c r="AA558" i="1"/>
  <c r="AA553" i="1"/>
  <c r="AA548" i="1"/>
  <c r="AA543" i="1"/>
  <c r="AA538" i="1"/>
  <c r="AA533" i="1"/>
  <c r="Z558" i="1"/>
  <c r="Z557" i="1"/>
  <c r="Z556" i="1"/>
  <c r="Z553" i="1"/>
  <c r="Z552" i="1"/>
  <c r="Z551" i="1"/>
  <c r="Z548" i="1"/>
  <c r="Z547" i="1"/>
  <c r="Z546" i="1"/>
  <c r="Z543" i="1"/>
  <c r="Z542" i="1"/>
  <c r="Z541" i="1"/>
  <c r="Z536" i="1"/>
  <c r="Z538" i="1"/>
  <c r="Z537" i="1"/>
  <c r="Z533" i="1"/>
  <c r="Z532" i="1"/>
  <c r="Z531" i="1"/>
  <c r="AA2206" i="1" l="1"/>
  <c r="AA2207" i="1" s="1"/>
  <c r="AA2196" i="1"/>
  <c r="AA2197" i="1" s="1"/>
  <c r="AA2194" i="1"/>
  <c r="AA2200" i="1" s="1"/>
  <c r="AA2201" i="1" s="1"/>
  <c r="Z2210" i="1"/>
  <c r="Z2208" i="1"/>
  <c r="Z2207" i="1"/>
  <c r="Z2206" i="1"/>
  <c r="Z2205" i="1"/>
  <c r="Z2204" i="1"/>
  <c r="Z2202" i="1"/>
  <c r="Z2201" i="1"/>
  <c r="Z2200" i="1"/>
  <c r="AA2199" i="1"/>
  <c r="Z2199" i="1"/>
  <c r="Z2198" i="1"/>
  <c r="Z2197" i="1"/>
  <c r="Z2196" i="1"/>
  <c r="Z2195" i="1"/>
  <c r="Z2194" i="1"/>
  <c r="AA2171" i="1"/>
  <c r="AA2172" i="1" s="1"/>
  <c r="AA2169" i="1"/>
  <c r="AA2175" i="1" s="1"/>
  <c r="AA2176" i="1" s="1"/>
  <c r="Z2185" i="1"/>
  <c r="Z2183" i="1"/>
  <c r="Z2182" i="1"/>
  <c r="AA2181" i="1"/>
  <c r="AA2182" i="1" s="1"/>
  <c r="Z2181" i="1"/>
  <c r="Z2180" i="1"/>
  <c r="Z2179" i="1"/>
  <c r="Z2177" i="1"/>
  <c r="Z2176" i="1"/>
  <c r="Z2175" i="1"/>
  <c r="AA2174" i="1"/>
  <c r="Z2174" i="1"/>
  <c r="Z2173" i="1"/>
  <c r="Z2172" i="1"/>
  <c r="Z2171" i="1"/>
  <c r="Z2170" i="1"/>
  <c r="Z2169" i="1"/>
  <c r="Z2166" i="1"/>
  <c r="Z2164" i="1"/>
  <c r="Z2163" i="1"/>
  <c r="AA2162" i="1"/>
  <c r="AA2163" i="1" s="1"/>
  <c r="Z2162" i="1"/>
  <c r="Z2161" i="1"/>
  <c r="Z2160" i="1"/>
  <c r="Z2158" i="1"/>
  <c r="Z2157" i="1"/>
  <c r="Z2156" i="1"/>
  <c r="AA2155" i="1"/>
  <c r="Z2155" i="1"/>
  <c r="Z2154" i="1"/>
  <c r="Z2153" i="1"/>
  <c r="AA2152" i="1"/>
  <c r="AA2153" i="1" s="1"/>
  <c r="Z2152" i="1"/>
  <c r="Z2151" i="1"/>
  <c r="AA2150" i="1"/>
  <c r="AA2156" i="1" s="1"/>
  <c r="AA2157" i="1" s="1"/>
  <c r="Z2150" i="1"/>
  <c r="AA2133" i="1"/>
  <c r="AA2134" i="1" s="1"/>
  <c r="AA2131" i="1"/>
  <c r="AA2137" i="1" s="1"/>
  <c r="AA2138" i="1" s="1"/>
  <c r="AA2143" i="1"/>
  <c r="AA2144" i="1" s="1"/>
  <c r="AA2124" i="1"/>
  <c r="AA2125" i="1" s="1"/>
  <c r="AA2115" i="1"/>
  <c r="AA2116" i="1" s="1"/>
  <c r="AA2113" i="1"/>
  <c r="AA2119" i="1" s="1"/>
  <c r="AA2120" i="1" s="1"/>
  <c r="Z2147" i="1"/>
  <c r="Z2145" i="1"/>
  <c r="Z2144" i="1"/>
  <c r="Z2143" i="1"/>
  <c r="Z2142" i="1"/>
  <c r="Z2141" i="1"/>
  <c r="Z2139" i="1"/>
  <c r="Z2138" i="1"/>
  <c r="Z2137" i="1"/>
  <c r="AA2136" i="1"/>
  <c r="Z2136" i="1"/>
  <c r="Z2135" i="1"/>
  <c r="Z2134" i="1"/>
  <c r="Z2133" i="1"/>
  <c r="Z2132" i="1"/>
  <c r="Z2131" i="1"/>
  <c r="Z2128" i="1"/>
  <c r="Z2126" i="1"/>
  <c r="Z2125" i="1"/>
  <c r="Z2124" i="1"/>
  <c r="Z2123" i="1"/>
  <c r="Z2122" i="1"/>
  <c r="Z2120" i="1"/>
  <c r="Z2119" i="1"/>
  <c r="AA2118" i="1"/>
  <c r="Z2118" i="1"/>
  <c r="Z2117" i="1"/>
  <c r="Z2116" i="1"/>
  <c r="Z2115" i="1"/>
  <c r="Z2114" i="1"/>
  <c r="Z2113" i="1"/>
  <c r="Z2110" i="1"/>
  <c r="Z2108" i="1"/>
  <c r="Z2107" i="1"/>
  <c r="AA2106" i="1"/>
  <c r="AA2107" i="1" s="1"/>
  <c r="Z2106" i="1"/>
  <c r="Z2105" i="1"/>
  <c r="Z2104" i="1"/>
  <c r="Z2102" i="1"/>
  <c r="Z2101" i="1"/>
  <c r="Z2100" i="1"/>
  <c r="AA2099" i="1"/>
  <c r="Z2099" i="1"/>
  <c r="Z2098" i="1"/>
  <c r="Z2097" i="1"/>
  <c r="AA2096" i="1"/>
  <c r="AA2097" i="1" s="1"/>
  <c r="Z2096" i="1"/>
  <c r="Z2095" i="1"/>
  <c r="AA2094" i="1"/>
  <c r="AA2100" i="1" s="1"/>
  <c r="AA2101" i="1" s="1"/>
  <c r="Z2094" i="1"/>
  <c r="Z2091" i="1"/>
  <c r="Z2089" i="1"/>
  <c r="Z2088" i="1"/>
  <c r="AA2087" i="1"/>
  <c r="AA2088" i="1" s="1"/>
  <c r="Z2087" i="1"/>
  <c r="Z2086" i="1"/>
  <c r="Z2085" i="1"/>
  <c r="Z2083" i="1"/>
  <c r="Z2082" i="1"/>
  <c r="AA2081" i="1"/>
  <c r="Z2081" i="1"/>
  <c r="Z2080" i="1"/>
  <c r="Z2079" i="1"/>
  <c r="AA2078" i="1"/>
  <c r="AA2079" i="1" s="1"/>
  <c r="Z2078" i="1"/>
  <c r="Z2077" i="1"/>
  <c r="AA2076" i="1"/>
  <c r="AA2082" i="1" s="1"/>
  <c r="AA2083" i="1" s="1"/>
  <c r="Z2076" i="1"/>
  <c r="Z2073" i="1"/>
  <c r="Z2071" i="1"/>
  <c r="Z2070" i="1"/>
  <c r="AA2069" i="1"/>
  <c r="AA2070" i="1" s="1"/>
  <c r="Z2069" i="1"/>
  <c r="Z2068" i="1"/>
  <c r="Z2067" i="1"/>
  <c r="Z2065" i="1"/>
  <c r="Z2064" i="1"/>
  <c r="AA2063" i="1"/>
  <c r="Z2063" i="1"/>
  <c r="Z2062" i="1"/>
  <c r="Z2061" i="1"/>
  <c r="AA2060" i="1"/>
  <c r="AA2061" i="1" s="1"/>
  <c r="Z2060" i="1"/>
  <c r="Z2059" i="1"/>
  <c r="AA2058" i="1"/>
  <c r="AA2059" i="1" s="1"/>
  <c r="Z2058" i="1"/>
  <c r="Z2054" i="1"/>
  <c r="Z2052" i="1"/>
  <c r="Z2051" i="1"/>
  <c r="AA2050" i="1"/>
  <c r="AA2051" i="1" s="1"/>
  <c r="Z2050" i="1"/>
  <c r="Z2049" i="1"/>
  <c r="Z2048" i="1"/>
  <c r="Z2046" i="1"/>
  <c r="Z2045" i="1"/>
  <c r="AA2044" i="1"/>
  <c r="Z2044" i="1"/>
  <c r="Z2043" i="1"/>
  <c r="Z2042" i="1"/>
  <c r="AA2041" i="1"/>
  <c r="AA2042" i="1" s="1"/>
  <c r="Z2041" i="1"/>
  <c r="Z2040" i="1"/>
  <c r="AA2039" i="1"/>
  <c r="AA2045" i="1" s="1"/>
  <c r="AA2046" i="1" s="1"/>
  <c r="Z2039" i="1"/>
  <c r="Z2036" i="1"/>
  <c r="Z2034" i="1"/>
  <c r="Z2033" i="1"/>
  <c r="AA2032" i="1"/>
  <c r="AA2033" i="1" s="1"/>
  <c r="Z2032" i="1"/>
  <c r="Z2031" i="1"/>
  <c r="Z2030" i="1"/>
  <c r="Z2028" i="1"/>
  <c r="Z2027" i="1"/>
  <c r="AA2026" i="1"/>
  <c r="Z2026" i="1"/>
  <c r="Z2025" i="1"/>
  <c r="Z2024" i="1"/>
  <c r="AA2023" i="1"/>
  <c r="AA2024" i="1" s="1"/>
  <c r="Z2023" i="1"/>
  <c r="Z2022" i="1"/>
  <c r="AA2021" i="1"/>
  <c r="AA2022" i="1" s="1"/>
  <c r="Z2021" i="1"/>
  <c r="Z2018" i="1"/>
  <c r="Z2016" i="1"/>
  <c r="Z2015" i="1"/>
  <c r="AA2014" i="1"/>
  <c r="AA2015" i="1" s="1"/>
  <c r="Z2014" i="1"/>
  <c r="Z2013" i="1"/>
  <c r="Z2012" i="1"/>
  <c r="Z2010" i="1"/>
  <c r="Z2009" i="1"/>
  <c r="Z2008" i="1"/>
  <c r="AA2007" i="1"/>
  <c r="Z2007" i="1"/>
  <c r="Z2006" i="1"/>
  <c r="Z2005" i="1"/>
  <c r="AA2004" i="1"/>
  <c r="AA2005" i="1" s="1"/>
  <c r="Z2004" i="1"/>
  <c r="Z2003" i="1"/>
  <c r="AA2002" i="1"/>
  <c r="AA2008" i="1" s="1"/>
  <c r="AA2009" i="1" s="1"/>
  <c r="Z2002" i="1"/>
  <c r="Z1999" i="1"/>
  <c r="Z1997" i="1"/>
  <c r="Z1996" i="1"/>
  <c r="AA1995" i="1"/>
  <c r="AA1996" i="1" s="1"/>
  <c r="Z1995" i="1"/>
  <c r="Z1994" i="1"/>
  <c r="Z1993" i="1"/>
  <c r="Z1991" i="1"/>
  <c r="Z1990" i="1"/>
  <c r="AA1989" i="1"/>
  <c r="Z1989" i="1"/>
  <c r="Z1988" i="1"/>
  <c r="Z1987" i="1"/>
  <c r="AA1986" i="1"/>
  <c r="AA1987" i="1" s="1"/>
  <c r="Z1986" i="1"/>
  <c r="Z1985" i="1"/>
  <c r="AA1984" i="1"/>
  <c r="AA1990" i="1" s="1"/>
  <c r="AA1991" i="1" s="1"/>
  <c r="Z1984" i="1"/>
  <c r="Z1981" i="1"/>
  <c r="Z1979" i="1"/>
  <c r="Z1978" i="1"/>
  <c r="AA1977" i="1"/>
  <c r="AA1978" i="1" s="1"/>
  <c r="Z1977" i="1"/>
  <c r="Z1976" i="1"/>
  <c r="Z1975" i="1"/>
  <c r="Z1973" i="1"/>
  <c r="Z1972" i="1"/>
  <c r="AA1971" i="1"/>
  <c r="Z1971" i="1"/>
  <c r="Z1970" i="1"/>
  <c r="Z1969" i="1"/>
  <c r="AA1968" i="1"/>
  <c r="AA1969" i="1" s="1"/>
  <c r="Z1968" i="1"/>
  <c r="Z1967" i="1"/>
  <c r="AA1966" i="1"/>
  <c r="AA1967" i="1" s="1"/>
  <c r="Z1966" i="1"/>
  <c r="AA506" i="1"/>
  <c r="AA507" i="1" s="1"/>
  <c r="AA504" i="1"/>
  <c r="AA510" i="1" s="1"/>
  <c r="AA511" i="1" s="1"/>
  <c r="Z520" i="1"/>
  <c r="Z518" i="1"/>
  <c r="Z517" i="1"/>
  <c r="AA516" i="1"/>
  <c r="AA517" i="1" s="1"/>
  <c r="Z516" i="1"/>
  <c r="Z515" i="1"/>
  <c r="Z514" i="1"/>
  <c r="Z512" i="1"/>
  <c r="Z511" i="1"/>
  <c r="Z510" i="1"/>
  <c r="AA509" i="1"/>
  <c r="Z509" i="1"/>
  <c r="Z508" i="1"/>
  <c r="Z507" i="1"/>
  <c r="Z506" i="1"/>
  <c r="Z505" i="1"/>
  <c r="Z504" i="1"/>
  <c r="AA497" i="1"/>
  <c r="AA498" i="1" s="1"/>
  <c r="AA487" i="1"/>
  <c r="AA488" i="1" s="1"/>
  <c r="AA485" i="1"/>
  <c r="AA491" i="1" s="1"/>
  <c r="AA492" i="1" s="1"/>
  <c r="AA478" i="1"/>
  <c r="AA479" i="1" s="1"/>
  <c r="AA468" i="1"/>
  <c r="AA469" i="1" s="1"/>
  <c r="AA466" i="1"/>
  <c r="AA472" i="1" s="1"/>
  <c r="AA473" i="1" s="1"/>
  <c r="Z501" i="1"/>
  <c r="Z499" i="1"/>
  <c r="Z498" i="1"/>
  <c r="Z497" i="1"/>
  <c r="Z496" i="1"/>
  <c r="Z495" i="1"/>
  <c r="Z493" i="1"/>
  <c r="Z492" i="1"/>
  <c r="Z491" i="1"/>
  <c r="AA490" i="1"/>
  <c r="Z490" i="1"/>
  <c r="Z489" i="1"/>
  <c r="Z488" i="1"/>
  <c r="Z487" i="1"/>
  <c r="Z486" i="1"/>
  <c r="Z485" i="1"/>
  <c r="Z482" i="1"/>
  <c r="Z480" i="1"/>
  <c r="Z479" i="1"/>
  <c r="Z478" i="1"/>
  <c r="Z477" i="1"/>
  <c r="Z476" i="1"/>
  <c r="Z474" i="1"/>
  <c r="Z473" i="1"/>
  <c r="Z472" i="1"/>
  <c r="AA471" i="1"/>
  <c r="Z471" i="1"/>
  <c r="Z470" i="1"/>
  <c r="Z469" i="1"/>
  <c r="Z468" i="1"/>
  <c r="Z467" i="1"/>
  <c r="Z466" i="1"/>
  <c r="AA454" i="1"/>
  <c r="AA455" i="1" s="1"/>
  <c r="AA444" i="1"/>
  <c r="AA445" i="1" s="1"/>
  <c r="AA442" i="1"/>
  <c r="AA448" i="1" s="1"/>
  <c r="AA449" i="1" s="1"/>
  <c r="AA435" i="1"/>
  <c r="AA436" i="1" s="1"/>
  <c r="AA425" i="1"/>
  <c r="AA426" i="1" s="1"/>
  <c r="AA423" i="1"/>
  <c r="AA429" i="1" s="1"/>
  <c r="AA430" i="1" s="1"/>
  <c r="AA416" i="1"/>
  <c r="AA417" i="1" s="1"/>
  <c r="AA407" i="1"/>
  <c r="AA408" i="1" s="1"/>
  <c r="AA405" i="1"/>
  <c r="AA411" i="1" s="1"/>
  <c r="AA412" i="1" s="1"/>
  <c r="Z458" i="1"/>
  <c r="Z456" i="1"/>
  <c r="Z455" i="1"/>
  <c r="Z454" i="1"/>
  <c r="Z453" i="1"/>
  <c r="Z452" i="1"/>
  <c r="Z450" i="1"/>
  <c r="Z449" i="1"/>
  <c r="Z448" i="1"/>
  <c r="AA447" i="1"/>
  <c r="Z447" i="1"/>
  <c r="Z446" i="1"/>
  <c r="Z445" i="1"/>
  <c r="Z444" i="1"/>
  <c r="Z443" i="1"/>
  <c r="Z442" i="1"/>
  <c r="Z439" i="1"/>
  <c r="Z437" i="1"/>
  <c r="Z436" i="1"/>
  <c r="Z435" i="1"/>
  <c r="Z434" i="1"/>
  <c r="Z433" i="1"/>
  <c r="Z431" i="1"/>
  <c r="Z430" i="1"/>
  <c r="Z429" i="1"/>
  <c r="AA428" i="1"/>
  <c r="Z428" i="1"/>
  <c r="Z427" i="1"/>
  <c r="Z426" i="1"/>
  <c r="Z425" i="1"/>
  <c r="Z424" i="1"/>
  <c r="Z423" i="1"/>
  <c r="Z420" i="1"/>
  <c r="Z418" i="1"/>
  <c r="Z417" i="1"/>
  <c r="Z416" i="1"/>
  <c r="Z415" i="1"/>
  <c r="Z414" i="1"/>
  <c r="Z412" i="1"/>
  <c r="Z411" i="1"/>
  <c r="AA410" i="1"/>
  <c r="Z410" i="1"/>
  <c r="Z409" i="1"/>
  <c r="Z408" i="1"/>
  <c r="Z407" i="1"/>
  <c r="Z406" i="1"/>
  <c r="Z405" i="1"/>
  <c r="Z357" i="1"/>
  <c r="Z355" i="1"/>
  <c r="Z354" i="1"/>
  <c r="AA353" i="1"/>
  <c r="AA354" i="1" s="1"/>
  <c r="Z353" i="1"/>
  <c r="Z352" i="1"/>
  <c r="Z351" i="1"/>
  <c r="Z349" i="1"/>
  <c r="Z348" i="1"/>
  <c r="AA347" i="1"/>
  <c r="Z347" i="1"/>
  <c r="Z346" i="1"/>
  <c r="Z345" i="1"/>
  <c r="AA344" i="1"/>
  <c r="AA345" i="1" s="1"/>
  <c r="Z344" i="1"/>
  <c r="Z343" i="1"/>
  <c r="AA342" i="1"/>
  <c r="AA343" i="1" s="1"/>
  <c r="Z342" i="1"/>
  <c r="Z376" i="1"/>
  <c r="Z374" i="1"/>
  <c r="Z373" i="1"/>
  <c r="AA372" i="1"/>
  <c r="AA373" i="1" s="1"/>
  <c r="Z372" i="1"/>
  <c r="Z371" i="1"/>
  <c r="Z370" i="1"/>
  <c r="Z368" i="1"/>
  <c r="Z367" i="1"/>
  <c r="Z366" i="1"/>
  <c r="AA365" i="1"/>
  <c r="Z365" i="1"/>
  <c r="Z364" i="1"/>
  <c r="Z363" i="1"/>
  <c r="AA362" i="1"/>
  <c r="AA363" i="1" s="1"/>
  <c r="Z362" i="1"/>
  <c r="Z361" i="1"/>
  <c r="AA360" i="1"/>
  <c r="AA366" i="1" s="1"/>
  <c r="AA367" i="1" s="1"/>
  <c r="Z360" i="1"/>
  <c r="Z339" i="1"/>
  <c r="Z337" i="1"/>
  <c r="Z336" i="1"/>
  <c r="AA335" i="1"/>
  <c r="AA336" i="1" s="1"/>
  <c r="Z335" i="1"/>
  <c r="Z334" i="1"/>
  <c r="Z333" i="1"/>
  <c r="Z331" i="1"/>
  <c r="Z330" i="1"/>
  <c r="Z329" i="1"/>
  <c r="AA328" i="1"/>
  <c r="Z328" i="1"/>
  <c r="Z327" i="1"/>
  <c r="Z326" i="1"/>
  <c r="AA325" i="1"/>
  <c r="AA326" i="1" s="1"/>
  <c r="Z325" i="1"/>
  <c r="Z324" i="1"/>
  <c r="AA323" i="1"/>
  <c r="AA329" i="1" s="1"/>
  <c r="AA330" i="1" s="1"/>
  <c r="Z323" i="1"/>
  <c r="Z320" i="1"/>
  <c r="Z318" i="1"/>
  <c r="Z317" i="1"/>
  <c r="AA316" i="1"/>
  <c r="AA317" i="1" s="1"/>
  <c r="Z316" i="1"/>
  <c r="Z315" i="1"/>
  <c r="Z314" i="1"/>
  <c r="Z312" i="1"/>
  <c r="Z311" i="1"/>
  <c r="AA310" i="1"/>
  <c r="Z310" i="1"/>
  <c r="Z309" i="1"/>
  <c r="Z308" i="1"/>
  <c r="AA307" i="1"/>
  <c r="AA308" i="1" s="1"/>
  <c r="Z307" i="1"/>
  <c r="Z306" i="1"/>
  <c r="AA305" i="1"/>
  <c r="AA311" i="1" s="1"/>
  <c r="AA312" i="1" s="1"/>
  <c r="Z305" i="1"/>
  <c r="Z302" i="1"/>
  <c r="Z300" i="1"/>
  <c r="Z299" i="1"/>
  <c r="AA298" i="1"/>
  <c r="AA299" i="1" s="1"/>
  <c r="Z298" i="1"/>
  <c r="Z297" i="1"/>
  <c r="Z296" i="1"/>
  <c r="Z294" i="1"/>
  <c r="Z293" i="1"/>
  <c r="AA292" i="1"/>
  <c r="Z292" i="1"/>
  <c r="Z291" i="1"/>
  <c r="Z290" i="1"/>
  <c r="AA289" i="1"/>
  <c r="AA290" i="1" s="1"/>
  <c r="Z289" i="1"/>
  <c r="Z288" i="1"/>
  <c r="AA287" i="1"/>
  <c r="AA288" i="1" s="1"/>
  <c r="Z287" i="1"/>
  <c r="Z283" i="1"/>
  <c r="Z281" i="1"/>
  <c r="Z280" i="1"/>
  <c r="AA279" i="1"/>
  <c r="AA280" i="1" s="1"/>
  <c r="Z279" i="1"/>
  <c r="Z278" i="1"/>
  <c r="Z277" i="1"/>
  <c r="Z275" i="1"/>
  <c r="Z274" i="1"/>
  <c r="AA273" i="1"/>
  <c r="Z273" i="1"/>
  <c r="Z272" i="1"/>
  <c r="Z271" i="1"/>
  <c r="AA270" i="1"/>
  <c r="AA271" i="1" s="1"/>
  <c r="Z270" i="1"/>
  <c r="Z269" i="1"/>
  <c r="AA268" i="1"/>
  <c r="AA274" i="1" s="1"/>
  <c r="AA275" i="1" s="1"/>
  <c r="Z268" i="1"/>
  <c r="Z265" i="1"/>
  <c r="Z263" i="1"/>
  <c r="Z262" i="1"/>
  <c r="AA261" i="1"/>
  <c r="AA262" i="1" s="1"/>
  <c r="Z261" i="1"/>
  <c r="Z260" i="1"/>
  <c r="Z259" i="1"/>
  <c r="Z257" i="1"/>
  <c r="Z256" i="1"/>
  <c r="AA255" i="1"/>
  <c r="Z255" i="1"/>
  <c r="Z254" i="1"/>
  <c r="Z253" i="1"/>
  <c r="AA252" i="1"/>
  <c r="AA253" i="1" s="1"/>
  <c r="Z252" i="1"/>
  <c r="Z251" i="1"/>
  <c r="AA250" i="1"/>
  <c r="AA256" i="1" s="1"/>
  <c r="AA257" i="1" s="1"/>
  <c r="Z250" i="1"/>
  <c r="AA197" i="1"/>
  <c r="AA198" i="1" s="1"/>
  <c r="AA195" i="1"/>
  <c r="AA196" i="1" s="1"/>
  <c r="Z210" i="1"/>
  <c r="Z208" i="1"/>
  <c r="Z207" i="1"/>
  <c r="AA206" i="1"/>
  <c r="AA207" i="1" s="1"/>
  <c r="Z206" i="1"/>
  <c r="Z205" i="1"/>
  <c r="Z204" i="1"/>
  <c r="Z202" i="1"/>
  <c r="Z201" i="1"/>
  <c r="AA200" i="1"/>
  <c r="Z200" i="1"/>
  <c r="Z199" i="1"/>
  <c r="Z198" i="1"/>
  <c r="Z197" i="1"/>
  <c r="Z196" i="1"/>
  <c r="Z195" i="1"/>
  <c r="Z395" i="1"/>
  <c r="Z393" i="1"/>
  <c r="Z392" i="1"/>
  <c r="AA391" i="1"/>
  <c r="AA392" i="1" s="1"/>
  <c r="Z391" i="1"/>
  <c r="Z390" i="1"/>
  <c r="Z389" i="1"/>
  <c r="Z387" i="1"/>
  <c r="Z386" i="1"/>
  <c r="Z385" i="1"/>
  <c r="AA384" i="1"/>
  <c r="Z384" i="1"/>
  <c r="Z383" i="1"/>
  <c r="Z382" i="1"/>
  <c r="AA381" i="1"/>
  <c r="AA382" i="1" s="1"/>
  <c r="Z381" i="1"/>
  <c r="Z380" i="1"/>
  <c r="AA379" i="1"/>
  <c r="AA385" i="1" s="1"/>
  <c r="AA386" i="1" s="1"/>
  <c r="Z379" i="1"/>
  <c r="Z247" i="1"/>
  <c r="Z245" i="1"/>
  <c r="Z244" i="1"/>
  <c r="AA243" i="1"/>
  <c r="AA244" i="1" s="1"/>
  <c r="Z243" i="1"/>
  <c r="Z242" i="1"/>
  <c r="Z241" i="1"/>
  <c r="Z239" i="1"/>
  <c r="Z238" i="1"/>
  <c r="Z237" i="1"/>
  <c r="AA236" i="1"/>
  <c r="Z236" i="1"/>
  <c r="Z235" i="1"/>
  <c r="Z234" i="1"/>
  <c r="AA233" i="1"/>
  <c r="AA234" i="1" s="1"/>
  <c r="Z233" i="1"/>
  <c r="Z232" i="1"/>
  <c r="AA231" i="1"/>
  <c r="AA237" i="1" s="1"/>
  <c r="AA238" i="1" s="1"/>
  <c r="Z231" i="1"/>
  <c r="Z228" i="1"/>
  <c r="Z226" i="1"/>
  <c r="Z225" i="1"/>
  <c r="AA224" i="1"/>
  <c r="AA225" i="1" s="1"/>
  <c r="Z224" i="1"/>
  <c r="Z223" i="1"/>
  <c r="Z222" i="1"/>
  <c r="Z220" i="1"/>
  <c r="Z219" i="1"/>
  <c r="AA218" i="1"/>
  <c r="Z218" i="1"/>
  <c r="Z217" i="1"/>
  <c r="Z216" i="1"/>
  <c r="AA215" i="1"/>
  <c r="AA216" i="1" s="1"/>
  <c r="Z215" i="1"/>
  <c r="Z214" i="1"/>
  <c r="AA213" i="1"/>
  <c r="AA219" i="1" s="1"/>
  <c r="AA220" i="1" s="1"/>
  <c r="Z213" i="1"/>
  <c r="Z188" i="1"/>
  <c r="AA188" i="1"/>
  <c r="Z187" i="1"/>
  <c r="Z155" i="1"/>
  <c r="AA155" i="1"/>
  <c r="Z154" i="1"/>
  <c r="AA185" i="1"/>
  <c r="AA186" i="1" s="1"/>
  <c r="AA183" i="1"/>
  <c r="AA184" i="1" s="1"/>
  <c r="AA181" i="1"/>
  <c r="AA182" i="1" s="1"/>
  <c r="AA180" i="1"/>
  <c r="AA190" i="1"/>
  <c r="Z190" i="1"/>
  <c r="Z189" i="1"/>
  <c r="Z186" i="1"/>
  <c r="Z185" i="1"/>
  <c r="Z184" i="1"/>
  <c r="Z183" i="1"/>
  <c r="Z182" i="1"/>
  <c r="Z181" i="1"/>
  <c r="Z180" i="1"/>
  <c r="AA178" i="1"/>
  <c r="AA174" i="1"/>
  <c r="AA175" i="1" s="1"/>
  <c r="AA169" i="1"/>
  <c r="AA170" i="1" s="1"/>
  <c r="AA167" i="1"/>
  <c r="AA168" i="1" s="1"/>
  <c r="AA165" i="1"/>
  <c r="AA171" i="1" s="1"/>
  <c r="AA172" i="1" s="1"/>
  <c r="Z178" i="1"/>
  <c r="Z177" i="1"/>
  <c r="Z175" i="1"/>
  <c r="Z174" i="1"/>
  <c r="Z172" i="1"/>
  <c r="Z171" i="1"/>
  <c r="Z170" i="1"/>
  <c r="Z169" i="1"/>
  <c r="Z168" i="1"/>
  <c r="Z167" i="1"/>
  <c r="Z166" i="1"/>
  <c r="Z165" i="1"/>
  <c r="AA157" i="1"/>
  <c r="Z157" i="1"/>
  <c r="Z156" i="1"/>
  <c r="AA153" i="1"/>
  <c r="Z153" i="1"/>
  <c r="Z152" i="1"/>
  <c r="Z151" i="1"/>
  <c r="AA151" i="1"/>
  <c r="Z150" i="1"/>
  <c r="Z149" i="1"/>
  <c r="AA149" i="1"/>
  <c r="Z148" i="1"/>
  <c r="Z146" i="1"/>
  <c r="Z145" i="1"/>
  <c r="Z144" i="1"/>
  <c r="Z143" i="1"/>
  <c r="AA145" i="1"/>
  <c r="Z141" i="1"/>
  <c r="Z139" i="1"/>
  <c r="AA139" i="1"/>
  <c r="Z138" i="1"/>
  <c r="Z137" i="1"/>
  <c r="AA137" i="1"/>
  <c r="Z136" i="1"/>
  <c r="Z135" i="1"/>
  <c r="AA135" i="1"/>
  <c r="Z134" i="1"/>
  <c r="AA127" i="1"/>
  <c r="AA125" i="1"/>
  <c r="Z127" i="1"/>
  <c r="Z126" i="1"/>
  <c r="AA131" i="1"/>
  <c r="Z131" i="1"/>
  <c r="Z130" i="1"/>
  <c r="Z125" i="1"/>
  <c r="Z124" i="1"/>
  <c r="Z123" i="1"/>
  <c r="AA123" i="1"/>
  <c r="Z122" i="1"/>
  <c r="Z119" i="1"/>
  <c r="Z117" i="1"/>
  <c r="Z118" i="1"/>
  <c r="AA2064" i="1" l="1"/>
  <c r="AA2065" i="1" s="1"/>
  <c r="AA2195" i="1"/>
  <c r="AA2114" i="1"/>
  <c r="AA2170" i="1"/>
  <c r="AA2151" i="1"/>
  <c r="AA2132" i="1"/>
  <c r="AA2077" i="1"/>
  <c r="AA2095" i="1"/>
  <c r="AA2027" i="1"/>
  <c r="AA2028" i="1" s="1"/>
  <c r="AA2040" i="1"/>
  <c r="AA1972" i="1"/>
  <c r="AA1973" i="1" s="1"/>
  <c r="AA1985" i="1"/>
  <c r="AA2003" i="1"/>
  <c r="AA348" i="1"/>
  <c r="AA349" i="1" s="1"/>
  <c r="AA505" i="1"/>
  <c r="AA486" i="1"/>
  <c r="AA467" i="1"/>
  <c r="AA406" i="1"/>
  <c r="AA443" i="1"/>
  <c r="AA424" i="1"/>
  <c r="AA306" i="1"/>
  <c r="AA293" i="1"/>
  <c r="AA294" i="1" s="1"/>
  <c r="AA361" i="1"/>
  <c r="AA324" i="1"/>
  <c r="AA251" i="1"/>
  <c r="AA201" i="1"/>
  <c r="AA202" i="1" s="1"/>
  <c r="AA269" i="1"/>
  <c r="AA380" i="1"/>
  <c r="AA214" i="1"/>
  <c r="AA232" i="1"/>
  <c r="AA166" i="1"/>
  <c r="AA4340" i="1" l="1"/>
  <c r="AA4346" i="1" s="1"/>
  <c r="AA4347" i="1" s="1"/>
  <c r="AA4342" i="1"/>
  <c r="AA4343" i="1" s="1"/>
  <c r="AA4323" i="1"/>
  <c r="AA4324" i="1" s="1"/>
  <c r="AA4321" i="1"/>
  <c r="AA4327" i="1" s="1"/>
  <c r="AA4328" i="1" s="1"/>
  <c r="Z4356" i="1"/>
  <c r="Z4354" i="1"/>
  <c r="Z4353" i="1"/>
  <c r="AA4352" i="1"/>
  <c r="AA4353" i="1" s="1"/>
  <c r="Z4352" i="1"/>
  <c r="Z4351" i="1"/>
  <c r="Z4350" i="1"/>
  <c r="Z4348" i="1"/>
  <c r="Z4347" i="1"/>
  <c r="Z4346" i="1"/>
  <c r="AA4345" i="1"/>
  <c r="Z4345" i="1"/>
  <c r="Z4344" i="1"/>
  <c r="Z4343" i="1"/>
  <c r="Z4342" i="1"/>
  <c r="Z4341" i="1"/>
  <c r="Z4340" i="1"/>
  <c r="Z4337" i="1"/>
  <c r="Z4335" i="1"/>
  <c r="Z4334" i="1"/>
  <c r="AA4333" i="1"/>
  <c r="AA4334" i="1" s="1"/>
  <c r="Z4333" i="1"/>
  <c r="Z4332" i="1"/>
  <c r="Z4331" i="1"/>
  <c r="Z4329" i="1"/>
  <c r="Z4328" i="1"/>
  <c r="Z4327" i="1"/>
  <c r="AA4326" i="1"/>
  <c r="Z4326" i="1"/>
  <c r="Z4325" i="1"/>
  <c r="Z4324" i="1"/>
  <c r="Z4323" i="1"/>
  <c r="Z4322" i="1"/>
  <c r="Z4321" i="1"/>
  <c r="AA4304" i="1"/>
  <c r="AA4305" i="1" s="1"/>
  <c r="AA4302" i="1"/>
  <c r="AA4308" i="1" s="1"/>
  <c r="AA4309" i="1" s="1"/>
  <c r="AA4285" i="1"/>
  <c r="AA4286" i="1" s="1"/>
  <c r="AA4283" i="1"/>
  <c r="AA4289" i="1" s="1"/>
  <c r="AA4290" i="1" s="1"/>
  <c r="AA4314" i="1"/>
  <c r="AA4315" i="1" s="1"/>
  <c r="AA4295" i="1"/>
  <c r="AA4296" i="1" s="1"/>
  <c r="Z4299" i="1"/>
  <c r="Z4297" i="1"/>
  <c r="Z4296" i="1"/>
  <c r="Z4295" i="1"/>
  <c r="Z4294" i="1"/>
  <c r="Z4293" i="1"/>
  <c r="Z4291" i="1"/>
  <c r="Z4290" i="1"/>
  <c r="Z4289" i="1"/>
  <c r="AA4288" i="1"/>
  <c r="Z4288" i="1"/>
  <c r="Z4287" i="1"/>
  <c r="Z4286" i="1"/>
  <c r="Z4285" i="1"/>
  <c r="Z4284" i="1"/>
  <c r="Z4283" i="1"/>
  <c r="Z4318" i="1"/>
  <c r="Z4316" i="1"/>
  <c r="Z4315" i="1"/>
  <c r="Z4314" i="1"/>
  <c r="Z4313" i="1"/>
  <c r="Z4312" i="1"/>
  <c r="Z4310" i="1"/>
  <c r="Z4309" i="1"/>
  <c r="Z4308" i="1"/>
  <c r="AA4307" i="1"/>
  <c r="Z4307" i="1"/>
  <c r="Z4306" i="1"/>
  <c r="Z4305" i="1"/>
  <c r="Z4304" i="1"/>
  <c r="Z4303" i="1"/>
  <c r="Z4302" i="1"/>
  <c r="AA4267" i="1"/>
  <c r="AA4268" i="1" s="1"/>
  <c r="AA4265" i="1"/>
  <c r="AA4271" i="1" s="1"/>
  <c r="AA4272" i="1" s="1"/>
  <c r="AA4276" i="1"/>
  <c r="AA4277" i="1" s="1"/>
  <c r="Z4280" i="1"/>
  <c r="Z4278" i="1"/>
  <c r="Z4277" i="1"/>
  <c r="Z4276" i="1"/>
  <c r="Z4275" i="1"/>
  <c r="Z4274" i="1"/>
  <c r="Z4272" i="1"/>
  <c r="Z4271" i="1"/>
  <c r="AA4270" i="1"/>
  <c r="Z4270" i="1"/>
  <c r="Z4269" i="1"/>
  <c r="Z4268" i="1"/>
  <c r="Z4267" i="1"/>
  <c r="Z4266" i="1"/>
  <c r="Z4265" i="1"/>
  <c r="AA4256" i="1"/>
  <c r="AA4257" i="1" s="1"/>
  <c r="AA4246" i="1"/>
  <c r="AA4247" i="1" s="1"/>
  <c r="AA4244" i="1"/>
  <c r="AA4250" i="1" s="1"/>
  <c r="AA4251" i="1" s="1"/>
  <c r="Z4260" i="1"/>
  <c r="Z4258" i="1"/>
  <c r="Z4257" i="1"/>
  <c r="Z4256" i="1"/>
  <c r="Z4255" i="1"/>
  <c r="Z4254" i="1"/>
  <c r="Z4252" i="1"/>
  <c r="Z4251" i="1"/>
  <c r="Z4250" i="1"/>
  <c r="AA4249" i="1"/>
  <c r="Z4249" i="1"/>
  <c r="Z4248" i="1"/>
  <c r="Z4247" i="1"/>
  <c r="Z4246" i="1"/>
  <c r="Z4245" i="1"/>
  <c r="Z4244" i="1"/>
  <c r="Z4222" i="1"/>
  <c r="Z4220" i="1"/>
  <c r="Z4219" i="1"/>
  <c r="AA4218" i="1"/>
  <c r="AA4219" i="1" s="1"/>
  <c r="Z4218" i="1"/>
  <c r="Z4217" i="1"/>
  <c r="Z4216" i="1"/>
  <c r="Z4214" i="1"/>
  <c r="Z4213" i="1"/>
  <c r="AA4212" i="1"/>
  <c r="Z4212" i="1"/>
  <c r="Z4211" i="1"/>
  <c r="Z4210" i="1"/>
  <c r="AA4209" i="1"/>
  <c r="AA4210" i="1" s="1"/>
  <c r="Z4209" i="1"/>
  <c r="Z4208" i="1"/>
  <c r="AA4207" i="1"/>
  <c r="AA4213" i="1" s="1"/>
  <c r="AA4214" i="1" s="1"/>
  <c r="Z4207" i="1"/>
  <c r="Z4241" i="1"/>
  <c r="Z4239" i="1"/>
  <c r="Z4238" i="1"/>
  <c r="AA4237" i="1"/>
  <c r="AA4238" i="1" s="1"/>
  <c r="Z4237" i="1"/>
  <c r="Z4236" i="1"/>
  <c r="Z4235" i="1"/>
  <c r="Z4233" i="1"/>
  <c r="Z4232" i="1"/>
  <c r="Z4231" i="1"/>
  <c r="AA4230" i="1"/>
  <c r="Z4230" i="1"/>
  <c r="Z4229" i="1"/>
  <c r="Z4228" i="1"/>
  <c r="AA4227" i="1"/>
  <c r="AA4228" i="1" s="1"/>
  <c r="Z4227" i="1"/>
  <c r="Z4226" i="1"/>
  <c r="AA4225" i="1"/>
  <c r="AA4231" i="1" s="1"/>
  <c r="AA4232" i="1" s="1"/>
  <c r="Z4225" i="1"/>
  <c r="AA4185" i="1"/>
  <c r="AA4186" i="1" s="1"/>
  <c r="AA4183" i="1"/>
  <c r="AA4189" i="1" s="1"/>
  <c r="AA4190" i="1" s="1"/>
  <c r="AA4195" i="1"/>
  <c r="AA4196" i="1" s="1"/>
  <c r="Z4199" i="1"/>
  <c r="Z4197" i="1"/>
  <c r="Z4196" i="1"/>
  <c r="Z4195" i="1"/>
  <c r="Z4194" i="1"/>
  <c r="Z4193" i="1"/>
  <c r="Z4191" i="1"/>
  <c r="Z4190" i="1"/>
  <c r="Z4189" i="1"/>
  <c r="AA4188" i="1"/>
  <c r="Z4188" i="1"/>
  <c r="Z4187" i="1"/>
  <c r="Z4186" i="1"/>
  <c r="Z4185" i="1"/>
  <c r="Z4184" i="1"/>
  <c r="Z4183" i="1"/>
  <c r="AA4174" i="1"/>
  <c r="AA4175" i="1" s="1"/>
  <c r="AA4172" i="1"/>
  <c r="AA4178" i="1" s="1"/>
  <c r="AA4179" i="1" s="1"/>
  <c r="Z4179" i="1"/>
  <c r="Z4178" i="1"/>
  <c r="AA4177" i="1"/>
  <c r="Z4177" i="1"/>
  <c r="Z4176" i="1"/>
  <c r="Z4175" i="1"/>
  <c r="Z4174" i="1"/>
  <c r="Z4173" i="1"/>
  <c r="Z4172" i="1"/>
  <c r="AA4164" i="1"/>
  <c r="AA4165" i="1" s="1"/>
  <c r="AA4162" i="1"/>
  <c r="AA4168" i="1" s="1"/>
  <c r="AA4169" i="1" s="1"/>
  <c r="Z4169" i="1"/>
  <c r="Z4168" i="1"/>
  <c r="AA4167" i="1"/>
  <c r="Z4167" i="1"/>
  <c r="Z4166" i="1"/>
  <c r="Z4165" i="1"/>
  <c r="Z4164" i="1"/>
  <c r="Z4163" i="1"/>
  <c r="Z4162" i="1"/>
  <c r="AA4145" i="1"/>
  <c r="AA4146" i="1" s="1"/>
  <c r="AA4143" i="1"/>
  <c r="AA4149" i="1" s="1"/>
  <c r="AA4150" i="1" s="1"/>
  <c r="Z4159" i="1"/>
  <c r="Z4157" i="1"/>
  <c r="Z4156" i="1"/>
  <c r="AA4155" i="1"/>
  <c r="AA4156" i="1" s="1"/>
  <c r="Z4155" i="1"/>
  <c r="Z4154" i="1"/>
  <c r="Z4153" i="1"/>
  <c r="Z4151" i="1"/>
  <c r="Z4150" i="1"/>
  <c r="Z4149" i="1"/>
  <c r="AA4148" i="1"/>
  <c r="Z4148" i="1"/>
  <c r="Z4147" i="1"/>
  <c r="Z4146" i="1"/>
  <c r="Z4145" i="1"/>
  <c r="Z4144" i="1"/>
  <c r="Z4143" i="1"/>
  <c r="Z4132" i="1"/>
  <c r="AA4136" i="1"/>
  <c r="AA4137" i="1" s="1"/>
  <c r="AA4126" i="1"/>
  <c r="AA4127" i="1" s="1"/>
  <c r="AA4124" i="1"/>
  <c r="AA4130" i="1" s="1"/>
  <c r="AA4131" i="1" s="1"/>
  <c r="Z4140" i="1"/>
  <c r="Z4138" i="1"/>
  <c r="Z4137" i="1"/>
  <c r="Z4136" i="1"/>
  <c r="Z4135" i="1"/>
  <c r="Z4134" i="1"/>
  <c r="Z4131" i="1"/>
  <c r="Z4130" i="1"/>
  <c r="AA4129" i="1"/>
  <c r="Z4129" i="1"/>
  <c r="Z4128" i="1"/>
  <c r="Z4127" i="1"/>
  <c r="Z4126" i="1"/>
  <c r="Z4125" i="1"/>
  <c r="Z4124" i="1"/>
  <c r="AA4106" i="1"/>
  <c r="AA4107" i="1" s="1"/>
  <c r="AA4104" i="1"/>
  <c r="AA4110" i="1" s="1"/>
  <c r="AA4111" i="1" s="1"/>
  <c r="AA4115" i="1"/>
  <c r="AA4116" i="1" s="1"/>
  <c r="Z4119" i="1"/>
  <c r="Z4117" i="1"/>
  <c r="Z4116" i="1"/>
  <c r="Z4115" i="1"/>
  <c r="Z4114" i="1"/>
  <c r="Z4113" i="1"/>
  <c r="Z4111" i="1"/>
  <c r="Z4110" i="1"/>
  <c r="AA4109" i="1"/>
  <c r="Z4109" i="1"/>
  <c r="Z4108" i="1"/>
  <c r="Z4107" i="1"/>
  <c r="Z4106" i="1"/>
  <c r="Z4105" i="1"/>
  <c r="Z4104" i="1"/>
  <c r="AA4341" i="1" l="1"/>
  <c r="AA4322" i="1"/>
  <c r="AA4284" i="1"/>
  <c r="AA4303" i="1"/>
  <c r="AA4208" i="1"/>
  <c r="AA4266" i="1"/>
  <c r="AA4245" i="1"/>
  <c r="AA4173" i="1"/>
  <c r="AA4226" i="1"/>
  <c r="AA4184" i="1"/>
  <c r="AA4163" i="1"/>
  <c r="AA4144" i="1"/>
  <c r="AA4125" i="1"/>
  <c r="AA4105" i="1"/>
  <c r="AA4025" i="1"/>
  <c r="AA4026" i="1" s="1"/>
  <c r="AA4023" i="1"/>
  <c r="AA4029" i="1" s="1"/>
  <c r="AA4030" i="1" s="1"/>
  <c r="AA4045" i="1"/>
  <c r="AA4046" i="1" s="1"/>
  <c r="AA4043" i="1"/>
  <c r="AA4044" i="1" s="1"/>
  <c r="AA4065" i="1"/>
  <c r="AA4066" i="1" s="1"/>
  <c r="AA4063" i="1"/>
  <c r="AA4069" i="1" s="1"/>
  <c r="AA4070" i="1" s="1"/>
  <c r="AA4085" i="1"/>
  <c r="AA4086" i="1" s="1"/>
  <c r="AA4083" i="1"/>
  <c r="AA4089" i="1" s="1"/>
  <c r="AA4090" i="1" s="1"/>
  <c r="Z4100" i="1"/>
  <c r="Z4098" i="1"/>
  <c r="Z4097" i="1"/>
  <c r="AA4096" i="1"/>
  <c r="AA4097" i="1" s="1"/>
  <c r="Z4096" i="1"/>
  <c r="Z4095" i="1"/>
  <c r="Z4094" i="1"/>
  <c r="Z4093" i="1"/>
  <c r="Z4091" i="1"/>
  <c r="Z4090" i="1"/>
  <c r="Z4089" i="1"/>
  <c r="AA4088" i="1"/>
  <c r="Z4088" i="1"/>
  <c r="Z4087" i="1"/>
  <c r="Z4086" i="1"/>
  <c r="Z4085" i="1"/>
  <c r="Z4084" i="1"/>
  <c r="Z4083" i="1"/>
  <c r="Z4080" i="1"/>
  <c r="Z4078" i="1"/>
  <c r="Z4077" i="1"/>
  <c r="AA4076" i="1"/>
  <c r="AA4077" i="1" s="1"/>
  <c r="Z4076" i="1"/>
  <c r="Z4075" i="1"/>
  <c r="Z4074" i="1"/>
  <c r="Z4073" i="1"/>
  <c r="Z4071" i="1"/>
  <c r="Z4070" i="1"/>
  <c r="Z4069" i="1"/>
  <c r="AA4068" i="1"/>
  <c r="Z4068" i="1"/>
  <c r="Z4067" i="1"/>
  <c r="Z4066" i="1"/>
  <c r="Z4065" i="1"/>
  <c r="Z4064" i="1"/>
  <c r="Z4063" i="1"/>
  <c r="Z4060" i="1"/>
  <c r="Z4058" i="1"/>
  <c r="Z4057" i="1"/>
  <c r="AA4056" i="1"/>
  <c r="AA4057" i="1" s="1"/>
  <c r="Z4056" i="1"/>
  <c r="Z4055" i="1"/>
  <c r="Z4054" i="1"/>
  <c r="Z4053" i="1"/>
  <c r="Z4051" i="1"/>
  <c r="Z4050" i="1"/>
  <c r="Z4049" i="1"/>
  <c r="AA4048" i="1"/>
  <c r="Z4048" i="1"/>
  <c r="Z4047" i="1"/>
  <c r="Z4046" i="1"/>
  <c r="Z4045" i="1"/>
  <c r="Z4044" i="1"/>
  <c r="Z4043" i="1"/>
  <c r="Z4040" i="1"/>
  <c r="Z4038" i="1"/>
  <c r="Z4037" i="1"/>
  <c r="AA4036" i="1"/>
  <c r="AA4037" i="1" s="1"/>
  <c r="Z4036" i="1"/>
  <c r="Z4035" i="1"/>
  <c r="Z4034" i="1"/>
  <c r="Z4033" i="1"/>
  <c r="Z4031" i="1"/>
  <c r="Z4030" i="1"/>
  <c r="Z4029" i="1"/>
  <c r="AA4028" i="1"/>
  <c r="Z4028" i="1"/>
  <c r="Z4027" i="1"/>
  <c r="Z4026" i="1"/>
  <c r="Z4025" i="1"/>
  <c r="Z4024" i="1"/>
  <c r="Z4023" i="1"/>
  <c r="AA4005" i="1"/>
  <c r="AA4006" i="1" s="1"/>
  <c r="AA4003" i="1"/>
  <c r="AA4004" i="1" s="1"/>
  <c r="Z4020" i="1"/>
  <c r="Z4018" i="1"/>
  <c r="Z4017" i="1"/>
  <c r="AA4016" i="1"/>
  <c r="AA4017" i="1" s="1"/>
  <c r="Z4016" i="1"/>
  <c r="Z4015" i="1"/>
  <c r="Z4014" i="1"/>
  <c r="Z4013" i="1"/>
  <c r="Z4011" i="1"/>
  <c r="Z4010" i="1"/>
  <c r="Z4009" i="1"/>
  <c r="AA4008" i="1"/>
  <c r="Z4008" i="1"/>
  <c r="Z4007" i="1"/>
  <c r="Z4006" i="1"/>
  <c r="Z4005" i="1"/>
  <c r="Z4004" i="1"/>
  <c r="Z4003" i="1"/>
  <c r="AA3985" i="1"/>
  <c r="AA3986" i="1" s="1"/>
  <c r="AA3983" i="1"/>
  <c r="AA3989" i="1" s="1"/>
  <c r="AA3990" i="1" s="1"/>
  <c r="Z4000" i="1"/>
  <c r="Z3998" i="1"/>
  <c r="Z3997" i="1"/>
  <c r="AA3996" i="1"/>
  <c r="AA3997" i="1" s="1"/>
  <c r="Z3996" i="1"/>
  <c r="Z3995" i="1"/>
  <c r="Z3994" i="1"/>
  <c r="Z3993" i="1"/>
  <c r="Z3991" i="1"/>
  <c r="Z3990" i="1"/>
  <c r="Z3989" i="1"/>
  <c r="AA3988" i="1"/>
  <c r="Z3988" i="1"/>
  <c r="Z3987" i="1"/>
  <c r="Z3986" i="1"/>
  <c r="Z3985" i="1"/>
  <c r="Z3984" i="1"/>
  <c r="Z3983" i="1"/>
  <c r="AA3965" i="1"/>
  <c r="AA3966" i="1" s="1"/>
  <c r="AA3963" i="1"/>
  <c r="AA3969" i="1" s="1"/>
  <c r="AA3970" i="1" s="1"/>
  <c r="Z3980" i="1"/>
  <c r="Z3978" i="1"/>
  <c r="Z3977" i="1"/>
  <c r="AA3976" i="1"/>
  <c r="AA3977" i="1" s="1"/>
  <c r="Z3976" i="1"/>
  <c r="Z3975" i="1"/>
  <c r="Z3974" i="1"/>
  <c r="Z3973" i="1"/>
  <c r="Z3971" i="1"/>
  <c r="Z3970" i="1"/>
  <c r="Z3969" i="1"/>
  <c r="AA3968" i="1"/>
  <c r="Z3968" i="1"/>
  <c r="Z3967" i="1"/>
  <c r="Z3966" i="1"/>
  <c r="Z3965" i="1"/>
  <c r="Z3964" i="1"/>
  <c r="Z3963" i="1"/>
  <c r="Z3959" i="1"/>
  <c r="Z3957" i="1"/>
  <c r="Z3956" i="1"/>
  <c r="AA3955" i="1"/>
  <c r="AA3956" i="1" s="1"/>
  <c r="Z3955" i="1"/>
  <c r="Z3954" i="1"/>
  <c r="Z3953" i="1"/>
  <c r="Z3952" i="1"/>
  <c r="Z3950" i="1"/>
  <c r="Z3949" i="1"/>
  <c r="Z3948" i="1"/>
  <c r="AA3947" i="1"/>
  <c r="Z3947" i="1"/>
  <c r="Z3946" i="1"/>
  <c r="Z3945" i="1"/>
  <c r="AA3944" i="1"/>
  <c r="AA3945" i="1" s="1"/>
  <c r="Z3944" i="1"/>
  <c r="Z3943" i="1"/>
  <c r="AA3942" i="1"/>
  <c r="AA3948" i="1" s="1"/>
  <c r="AA3949" i="1" s="1"/>
  <c r="Z3942" i="1"/>
  <c r="Z3939" i="1"/>
  <c r="Z3937" i="1"/>
  <c r="Z3936" i="1"/>
  <c r="AA3935" i="1"/>
  <c r="AA3936" i="1" s="1"/>
  <c r="Z3935" i="1"/>
  <c r="Z3934" i="1"/>
  <c r="Z3933" i="1"/>
  <c r="Z3932" i="1"/>
  <c r="Z3930" i="1"/>
  <c r="Z3929" i="1"/>
  <c r="Z3928" i="1"/>
  <c r="AA3927" i="1"/>
  <c r="Z3927" i="1"/>
  <c r="Z3926" i="1"/>
  <c r="Z3925" i="1"/>
  <c r="AA3924" i="1"/>
  <c r="AA3925" i="1" s="1"/>
  <c r="Z3924" i="1"/>
  <c r="Z3923" i="1"/>
  <c r="AA3922" i="1"/>
  <c r="AA3928" i="1" s="1"/>
  <c r="AA3929" i="1" s="1"/>
  <c r="Z3922" i="1"/>
  <c r="Z3919" i="1"/>
  <c r="Z3917" i="1"/>
  <c r="Z3916" i="1"/>
  <c r="AA3915" i="1"/>
  <c r="AA3916" i="1" s="1"/>
  <c r="Z3915" i="1"/>
  <c r="Z3914" i="1"/>
  <c r="Z3913" i="1"/>
  <c r="Z3912" i="1"/>
  <c r="Z3910" i="1"/>
  <c r="Z3909" i="1"/>
  <c r="AA3908" i="1"/>
  <c r="Z3908" i="1"/>
  <c r="Z3907" i="1"/>
  <c r="Z3906" i="1"/>
  <c r="AA3905" i="1"/>
  <c r="AA3906" i="1" s="1"/>
  <c r="Z3905" i="1"/>
  <c r="Z3904" i="1"/>
  <c r="AA3903" i="1"/>
  <c r="AA3909" i="1" s="1"/>
  <c r="AA3910" i="1" s="1"/>
  <c r="Z3903" i="1"/>
  <c r="AA3884" i="1"/>
  <c r="AA3885" i="1" s="1"/>
  <c r="AA3882" i="1"/>
  <c r="AA3888" i="1" s="1"/>
  <c r="AA3889" i="1" s="1"/>
  <c r="AA3862" i="1"/>
  <c r="AA3863" i="1" s="1"/>
  <c r="AA3860" i="1"/>
  <c r="AA3861" i="1" s="1"/>
  <c r="AA3842" i="1"/>
  <c r="AA3843" i="1" s="1"/>
  <c r="AA3840" i="1"/>
  <c r="AA3846" i="1" s="1"/>
  <c r="AA3847" i="1" s="1"/>
  <c r="Z3899" i="1"/>
  <c r="Z3897" i="1"/>
  <c r="Z3896" i="1"/>
  <c r="AA3895" i="1"/>
  <c r="AA3896" i="1" s="1"/>
  <c r="Z3895" i="1"/>
  <c r="Z3894" i="1"/>
  <c r="Z3893" i="1"/>
  <c r="Z3892" i="1"/>
  <c r="Z3890" i="1"/>
  <c r="Z3889" i="1"/>
  <c r="Z3888" i="1"/>
  <c r="AA3887" i="1"/>
  <c r="Z3887" i="1"/>
  <c r="Z3886" i="1"/>
  <c r="Z3885" i="1"/>
  <c r="Z3884" i="1"/>
  <c r="Z3883" i="1"/>
  <c r="Z3882" i="1"/>
  <c r="Z3877" i="1"/>
  <c r="Z3875" i="1"/>
  <c r="Z3874" i="1"/>
  <c r="AA3873" i="1"/>
  <c r="AA3874" i="1" s="1"/>
  <c r="Z3873" i="1"/>
  <c r="Z3872" i="1"/>
  <c r="Z3871" i="1"/>
  <c r="Z3870" i="1"/>
  <c r="Z3868" i="1"/>
  <c r="Z3867" i="1"/>
  <c r="Z3866" i="1"/>
  <c r="AA3865" i="1"/>
  <c r="Z3865" i="1"/>
  <c r="Z3864" i="1"/>
  <c r="Z3863" i="1"/>
  <c r="Z3862" i="1"/>
  <c r="Z3861" i="1"/>
  <c r="Z3860" i="1"/>
  <c r="Z3857" i="1"/>
  <c r="Z3855" i="1"/>
  <c r="Z3854" i="1"/>
  <c r="AA3853" i="1"/>
  <c r="AA3854" i="1" s="1"/>
  <c r="Z3853" i="1"/>
  <c r="Z3852" i="1"/>
  <c r="Z3851" i="1"/>
  <c r="Z3850" i="1"/>
  <c r="Z3848" i="1"/>
  <c r="Z3847" i="1"/>
  <c r="Z3846" i="1"/>
  <c r="AA3845" i="1"/>
  <c r="Z3845" i="1"/>
  <c r="Z3844" i="1"/>
  <c r="Z3843" i="1"/>
  <c r="Z3842" i="1"/>
  <c r="Z3841" i="1"/>
  <c r="Z3840" i="1"/>
  <c r="AA3822" i="1"/>
  <c r="AA3823" i="1" s="1"/>
  <c r="AA3820" i="1"/>
  <c r="AA3821" i="1" s="1"/>
  <c r="AA3802" i="1"/>
  <c r="AA3803" i="1" s="1"/>
  <c r="AA3800" i="1"/>
  <c r="AA3806" i="1" s="1"/>
  <c r="AA3807" i="1" s="1"/>
  <c r="Z3837" i="1"/>
  <c r="Z3835" i="1"/>
  <c r="Z3834" i="1"/>
  <c r="AA3833" i="1"/>
  <c r="AA3834" i="1" s="1"/>
  <c r="Z3833" i="1"/>
  <c r="Z3832" i="1"/>
  <c r="Z3831" i="1"/>
  <c r="Z3830" i="1"/>
  <c r="Z3828" i="1"/>
  <c r="Z3827" i="1"/>
  <c r="Z3826" i="1"/>
  <c r="AA3825" i="1"/>
  <c r="Z3825" i="1"/>
  <c r="Z3824" i="1"/>
  <c r="Z3823" i="1"/>
  <c r="Z3822" i="1"/>
  <c r="Z3821" i="1"/>
  <c r="Z3820" i="1"/>
  <c r="Z3817" i="1"/>
  <c r="Z3815" i="1"/>
  <c r="Z3814" i="1"/>
  <c r="AA3813" i="1"/>
  <c r="AA3814" i="1" s="1"/>
  <c r="Z3813" i="1"/>
  <c r="Z3812" i="1"/>
  <c r="Z3811" i="1"/>
  <c r="Z3810" i="1"/>
  <c r="Z3808" i="1"/>
  <c r="Z3807" i="1"/>
  <c r="Z3806" i="1"/>
  <c r="AA3805" i="1"/>
  <c r="Z3805" i="1"/>
  <c r="Z3804" i="1"/>
  <c r="Z3803" i="1"/>
  <c r="Z3802" i="1"/>
  <c r="Z3801" i="1"/>
  <c r="Z3800" i="1"/>
  <c r="Z3797" i="1"/>
  <c r="Z3795" i="1"/>
  <c r="Z3794" i="1"/>
  <c r="AA3793" i="1"/>
  <c r="AA3794" i="1" s="1"/>
  <c r="Z3793" i="1"/>
  <c r="Z3792" i="1"/>
  <c r="Z3791" i="1"/>
  <c r="Z3790" i="1"/>
  <c r="Z3788" i="1"/>
  <c r="Z3787" i="1"/>
  <c r="Z3786" i="1"/>
  <c r="AA3785" i="1"/>
  <c r="Z3785" i="1"/>
  <c r="Z3784" i="1"/>
  <c r="Z3783" i="1"/>
  <c r="AA3782" i="1"/>
  <c r="AA3783" i="1" s="1"/>
  <c r="Z3782" i="1"/>
  <c r="Z3781" i="1"/>
  <c r="AA3780" i="1"/>
  <c r="AA3786" i="1" s="1"/>
  <c r="AA3787" i="1" s="1"/>
  <c r="Z3780" i="1"/>
  <c r="Z3775" i="1"/>
  <c r="Z3773" i="1"/>
  <c r="Z3772" i="1"/>
  <c r="AA3771" i="1"/>
  <c r="AA3772" i="1" s="1"/>
  <c r="Z3771" i="1"/>
  <c r="Z3770" i="1"/>
  <c r="Z3769" i="1"/>
  <c r="Z3768" i="1"/>
  <c r="Z3766" i="1"/>
  <c r="Z3765" i="1"/>
  <c r="Z3764" i="1"/>
  <c r="AA3763" i="1"/>
  <c r="Z3763" i="1"/>
  <c r="Z3762" i="1"/>
  <c r="Z3761" i="1"/>
  <c r="AA3760" i="1"/>
  <c r="AA3761" i="1" s="1"/>
  <c r="Z3760" i="1"/>
  <c r="Z3759" i="1"/>
  <c r="AA3758" i="1"/>
  <c r="AA3764" i="1" s="1"/>
  <c r="AA3765" i="1" s="1"/>
  <c r="Z3758" i="1"/>
  <c r="Z3755" i="1"/>
  <c r="Z3753" i="1"/>
  <c r="Z3752" i="1"/>
  <c r="AA3751" i="1"/>
  <c r="AA3752" i="1" s="1"/>
  <c r="Z3751" i="1"/>
  <c r="Z3750" i="1"/>
  <c r="Z3749" i="1"/>
  <c r="Z3748" i="1"/>
  <c r="Z3746" i="1"/>
  <c r="Z3745" i="1"/>
  <c r="AA3744" i="1"/>
  <c r="Z3744" i="1"/>
  <c r="Z3743" i="1"/>
  <c r="Z3742" i="1"/>
  <c r="AA3741" i="1"/>
  <c r="AA3742" i="1" s="1"/>
  <c r="Z3741" i="1"/>
  <c r="Z3740" i="1"/>
  <c r="AA3739" i="1"/>
  <c r="AA3745" i="1" s="1"/>
  <c r="AA3746" i="1" s="1"/>
  <c r="Z3739" i="1"/>
  <c r="AA3716" i="1"/>
  <c r="AA3717" i="1" s="1"/>
  <c r="AA3714" i="1"/>
  <c r="AA3720" i="1" s="1"/>
  <c r="AA3721" i="1" s="1"/>
  <c r="Z3722" i="1"/>
  <c r="Z3721" i="1"/>
  <c r="Z3720" i="1"/>
  <c r="AA3719" i="1"/>
  <c r="Z3719" i="1"/>
  <c r="Z3718" i="1"/>
  <c r="Z3717" i="1"/>
  <c r="Z3716" i="1"/>
  <c r="Z3715" i="1"/>
  <c r="Z3714" i="1"/>
  <c r="AA3694" i="1"/>
  <c r="AA3695" i="1" s="1"/>
  <c r="AA3696" i="1"/>
  <c r="AA3697" i="1" s="1"/>
  <c r="Z3731" i="1"/>
  <c r="Z3729" i="1"/>
  <c r="Z3728" i="1"/>
  <c r="AA3727" i="1"/>
  <c r="AA3728" i="1" s="1"/>
  <c r="Z3727" i="1"/>
  <c r="Z3726" i="1"/>
  <c r="Z3725" i="1"/>
  <c r="Z3724" i="1"/>
  <c r="Z3711" i="1"/>
  <c r="Z3709" i="1"/>
  <c r="Z3708" i="1"/>
  <c r="AA3707" i="1"/>
  <c r="AA3708" i="1" s="1"/>
  <c r="Z3707" i="1"/>
  <c r="Z3706" i="1"/>
  <c r="Z3705" i="1"/>
  <c r="Z3704" i="1"/>
  <c r="Z3702" i="1"/>
  <c r="Z3701" i="1"/>
  <c r="Z3700" i="1"/>
  <c r="AA3699" i="1"/>
  <c r="Z3699" i="1"/>
  <c r="Z3698" i="1"/>
  <c r="Z3697" i="1"/>
  <c r="Z3696" i="1"/>
  <c r="Z3695" i="1"/>
  <c r="Z3694" i="1"/>
  <c r="AA3682" i="1"/>
  <c r="AA3683" i="1" s="1"/>
  <c r="AA3672" i="1"/>
  <c r="AA3673" i="1" s="1"/>
  <c r="AA3670" i="1"/>
  <c r="AA3676" i="1" s="1"/>
  <c r="AA3677" i="1" s="1"/>
  <c r="Z3686" i="1"/>
  <c r="Z3684" i="1"/>
  <c r="Z3683" i="1"/>
  <c r="Z3682" i="1"/>
  <c r="Z3681" i="1"/>
  <c r="Z3680" i="1"/>
  <c r="Z3679" i="1"/>
  <c r="Z3677" i="1"/>
  <c r="Z3676" i="1"/>
  <c r="AA3675" i="1"/>
  <c r="Z3675" i="1"/>
  <c r="Z3674" i="1"/>
  <c r="Z3673" i="1"/>
  <c r="Z3672" i="1"/>
  <c r="Z3671" i="1"/>
  <c r="Z3670" i="1"/>
  <c r="AA3650" i="1"/>
  <c r="AA3651" i="1" s="1"/>
  <c r="AA3648" i="1"/>
  <c r="AA3649" i="1" s="1"/>
  <c r="AA3628" i="1"/>
  <c r="AA3629" i="1" s="1"/>
  <c r="AA3626" i="1"/>
  <c r="AA3627" i="1" s="1"/>
  <c r="AA3608" i="1"/>
  <c r="AA3609" i="1" s="1"/>
  <c r="AA3606" i="1"/>
  <c r="AA3607" i="1" s="1"/>
  <c r="AA3588" i="1"/>
  <c r="AA3589" i="1" s="1"/>
  <c r="AA3586" i="1"/>
  <c r="AA3592" i="1" s="1"/>
  <c r="AA3593" i="1" s="1"/>
  <c r="AA3568" i="1"/>
  <c r="AA3569" i="1" s="1"/>
  <c r="AA3566" i="1"/>
  <c r="AA3567" i="1" s="1"/>
  <c r="Z3665" i="1"/>
  <c r="Z3663" i="1"/>
  <c r="Z3662" i="1"/>
  <c r="AA3661" i="1"/>
  <c r="AA3662" i="1" s="1"/>
  <c r="Z3661" i="1"/>
  <c r="Z3660" i="1"/>
  <c r="Z3659" i="1"/>
  <c r="Z3658" i="1"/>
  <c r="Z3656" i="1"/>
  <c r="Z3655" i="1"/>
  <c r="Z3654" i="1"/>
  <c r="AA3653" i="1"/>
  <c r="Z3653" i="1"/>
  <c r="Z3652" i="1"/>
  <c r="Z3651" i="1"/>
  <c r="Z3650" i="1"/>
  <c r="Z3649" i="1"/>
  <c r="Z3648" i="1"/>
  <c r="Z3643" i="1"/>
  <c r="Z3641" i="1"/>
  <c r="Z3640" i="1"/>
  <c r="AA3639" i="1"/>
  <c r="AA3640" i="1" s="1"/>
  <c r="Z3639" i="1"/>
  <c r="Z3638" i="1"/>
  <c r="Z3637" i="1"/>
  <c r="Z3636" i="1"/>
  <c r="Z3634" i="1"/>
  <c r="Z3633" i="1"/>
  <c r="Z3632" i="1"/>
  <c r="AA3631" i="1"/>
  <c r="Z3631" i="1"/>
  <c r="Z3630" i="1"/>
  <c r="Z3629" i="1"/>
  <c r="Z3628" i="1"/>
  <c r="Z3627" i="1"/>
  <c r="Z3626" i="1"/>
  <c r="Z3623" i="1"/>
  <c r="Z3621" i="1"/>
  <c r="Z3620" i="1"/>
  <c r="AA3619" i="1"/>
  <c r="AA3620" i="1" s="1"/>
  <c r="Z3619" i="1"/>
  <c r="Z3618" i="1"/>
  <c r="Z3617" i="1"/>
  <c r="Z3616" i="1"/>
  <c r="Z3614" i="1"/>
  <c r="Z3613" i="1"/>
  <c r="Z3612" i="1"/>
  <c r="AA3611" i="1"/>
  <c r="Z3611" i="1"/>
  <c r="Z3610" i="1"/>
  <c r="Z3609" i="1"/>
  <c r="Z3608" i="1"/>
  <c r="Z3607" i="1"/>
  <c r="Z3606" i="1"/>
  <c r="Z3603" i="1"/>
  <c r="Z3601" i="1"/>
  <c r="Z3600" i="1"/>
  <c r="AA3599" i="1"/>
  <c r="AA3600" i="1" s="1"/>
  <c r="Z3599" i="1"/>
  <c r="Z3598" i="1"/>
  <c r="Z3597" i="1"/>
  <c r="Z3596" i="1"/>
  <c r="Z3594" i="1"/>
  <c r="Z3593" i="1"/>
  <c r="Z3592" i="1"/>
  <c r="AA3591" i="1"/>
  <c r="Z3591" i="1"/>
  <c r="Z3590" i="1"/>
  <c r="Z3589" i="1"/>
  <c r="Z3588" i="1"/>
  <c r="Z3587" i="1"/>
  <c r="Z3586" i="1"/>
  <c r="Z3583" i="1"/>
  <c r="Z3581" i="1"/>
  <c r="Z3580" i="1"/>
  <c r="AA3579" i="1"/>
  <c r="AA3580" i="1" s="1"/>
  <c r="Z3579" i="1"/>
  <c r="Z3578" i="1"/>
  <c r="Z3577" i="1"/>
  <c r="Z3576" i="1"/>
  <c r="Z3574" i="1"/>
  <c r="Z3573" i="1"/>
  <c r="Z3572" i="1"/>
  <c r="AA3571" i="1"/>
  <c r="Z3571" i="1"/>
  <c r="Z3570" i="1"/>
  <c r="Z3569" i="1"/>
  <c r="Z3568" i="1"/>
  <c r="Z3567" i="1"/>
  <c r="Z3566" i="1"/>
  <c r="AA3548" i="1"/>
  <c r="AA3549" i="1" s="1"/>
  <c r="AA3546" i="1"/>
  <c r="AA3552" i="1" s="1"/>
  <c r="AA3553" i="1" s="1"/>
  <c r="AA3529" i="1"/>
  <c r="AA3530" i="1" s="1"/>
  <c r="AA3527" i="1"/>
  <c r="AA3533" i="1" s="1"/>
  <c r="AA3534" i="1" s="1"/>
  <c r="Z3563" i="1"/>
  <c r="Z3561" i="1"/>
  <c r="Z3560" i="1"/>
  <c r="AA3559" i="1"/>
  <c r="AA3560" i="1" s="1"/>
  <c r="Z3559" i="1"/>
  <c r="Z3558" i="1"/>
  <c r="Z3557" i="1"/>
  <c r="Z3556" i="1"/>
  <c r="Z3554" i="1"/>
  <c r="Z3553" i="1"/>
  <c r="Z3552" i="1"/>
  <c r="AA3551" i="1"/>
  <c r="Z3551" i="1"/>
  <c r="Z3550" i="1"/>
  <c r="Z3549" i="1"/>
  <c r="Z3548" i="1"/>
  <c r="Z3547" i="1"/>
  <c r="Z3546" i="1"/>
  <c r="Z3543" i="1"/>
  <c r="Z3541" i="1"/>
  <c r="Z3540" i="1"/>
  <c r="AA3539" i="1"/>
  <c r="AA3540" i="1" s="1"/>
  <c r="Z3539" i="1"/>
  <c r="Z3538" i="1"/>
  <c r="Z3537" i="1"/>
  <c r="Z3536" i="1"/>
  <c r="Z3534" i="1"/>
  <c r="Z3533" i="1"/>
  <c r="AA3532" i="1"/>
  <c r="Z3532" i="1"/>
  <c r="Z3531" i="1"/>
  <c r="Z3530" i="1"/>
  <c r="Z3529" i="1"/>
  <c r="Z3528" i="1"/>
  <c r="Z3527" i="1"/>
  <c r="AA4009" i="1" l="1"/>
  <c r="AA4010" i="1" s="1"/>
  <c r="AA4084" i="1"/>
  <c r="AA4064" i="1"/>
  <c r="AA4049" i="1"/>
  <c r="AA4050" i="1" s="1"/>
  <c r="AA4024" i="1"/>
  <c r="AA3984" i="1"/>
  <c r="AA3964" i="1"/>
  <c r="AA3943" i="1"/>
  <c r="AA3923" i="1"/>
  <c r="AA3904" i="1"/>
  <c r="AA3883" i="1"/>
  <c r="AA3826" i="1"/>
  <c r="AA3827" i="1" s="1"/>
  <c r="AA3866" i="1"/>
  <c r="AA3867" i="1" s="1"/>
  <c r="AA3715" i="1"/>
  <c r="AA3700" i="1"/>
  <c r="AA3701" i="1" s="1"/>
  <c r="AA3841" i="1"/>
  <c r="AA3801" i="1"/>
  <c r="AA3781" i="1"/>
  <c r="AA3759" i="1"/>
  <c r="AA3740" i="1"/>
  <c r="AA3654" i="1"/>
  <c r="AA3655" i="1" s="1"/>
  <c r="AA3632" i="1"/>
  <c r="AA3633" i="1" s="1"/>
  <c r="AA3671" i="1"/>
  <c r="AA3612" i="1"/>
  <c r="AA3613" i="1" s="1"/>
  <c r="AA3572" i="1"/>
  <c r="AA3573" i="1" s="1"/>
  <c r="AA3587" i="1"/>
  <c r="AA3547" i="1"/>
  <c r="AA3528" i="1"/>
  <c r="Z3522" i="1"/>
  <c r="Z3520" i="1"/>
  <c r="Z3519" i="1"/>
  <c r="AA3518" i="1"/>
  <c r="AA3519" i="1" s="1"/>
  <c r="Z3518" i="1"/>
  <c r="Z3517" i="1"/>
  <c r="Z3516" i="1"/>
  <c r="Z3515" i="1"/>
  <c r="Z3514" i="1"/>
  <c r="Z3512" i="1"/>
  <c r="Z3511" i="1"/>
  <c r="Z3510" i="1"/>
  <c r="AA3509" i="1"/>
  <c r="Z3509" i="1"/>
  <c r="Z3508" i="1"/>
  <c r="Z3507" i="1"/>
  <c r="AA3506" i="1"/>
  <c r="AA3507" i="1" s="1"/>
  <c r="Z3506" i="1"/>
  <c r="Z3505" i="1"/>
  <c r="AA3504" i="1"/>
  <c r="AA3505" i="1" s="1"/>
  <c r="Z3504" i="1"/>
  <c r="Z3501" i="1"/>
  <c r="Z3499" i="1"/>
  <c r="Z3498" i="1"/>
  <c r="AA3497" i="1"/>
  <c r="AA3498" i="1" s="1"/>
  <c r="Z3497" i="1"/>
  <c r="Z3496" i="1"/>
  <c r="Z3495" i="1"/>
  <c r="Z3494" i="1"/>
  <c r="Z3493" i="1"/>
  <c r="Z3491" i="1"/>
  <c r="Z3490" i="1"/>
  <c r="Z3489" i="1"/>
  <c r="AA3488" i="1"/>
  <c r="Z3488" i="1"/>
  <c r="Z3487" i="1"/>
  <c r="Z3486" i="1"/>
  <c r="AA3485" i="1"/>
  <c r="AA3486" i="1" s="1"/>
  <c r="Z3485" i="1"/>
  <c r="Z3484" i="1"/>
  <c r="AA3483" i="1"/>
  <c r="AA3484" i="1" s="1"/>
  <c r="Z3483" i="1"/>
  <c r="Z3480" i="1"/>
  <c r="Z3478" i="1"/>
  <c r="Z3477" i="1"/>
  <c r="AA3476" i="1"/>
  <c r="AA3477" i="1" s="1"/>
  <c r="Z3476" i="1"/>
  <c r="Z3475" i="1"/>
  <c r="Z3474" i="1"/>
  <c r="Z3473" i="1"/>
  <c r="Z3472" i="1"/>
  <c r="Z3470" i="1"/>
  <c r="Z3469" i="1"/>
  <c r="Z3468" i="1"/>
  <c r="AA3467" i="1"/>
  <c r="Z3467" i="1"/>
  <c r="Z3466" i="1"/>
  <c r="Z3465" i="1"/>
  <c r="AA3464" i="1"/>
  <c r="AA3465" i="1" s="1"/>
  <c r="Z3464" i="1"/>
  <c r="Z3463" i="1"/>
  <c r="AA3462" i="1"/>
  <c r="AA3468" i="1" s="1"/>
  <c r="AA3469" i="1" s="1"/>
  <c r="Z3462" i="1"/>
  <c r="Z3458" i="1"/>
  <c r="Z3456" i="1"/>
  <c r="Z3455" i="1"/>
  <c r="AA3454" i="1"/>
  <c r="AA3455" i="1" s="1"/>
  <c r="Z3454" i="1"/>
  <c r="Z3453" i="1"/>
  <c r="Z3452" i="1"/>
  <c r="Z3451" i="1"/>
  <c r="Z3450" i="1"/>
  <c r="Z3448" i="1"/>
  <c r="Z3447" i="1"/>
  <c r="Z3446" i="1"/>
  <c r="AA3445" i="1"/>
  <c r="Z3445" i="1"/>
  <c r="Z3444" i="1"/>
  <c r="Z3443" i="1"/>
  <c r="AA3442" i="1"/>
  <c r="AA3443" i="1" s="1"/>
  <c r="Z3442" i="1"/>
  <c r="Z3441" i="1"/>
  <c r="AA3440" i="1"/>
  <c r="AA3446" i="1" s="1"/>
  <c r="AA3447" i="1" s="1"/>
  <c r="Z3440" i="1"/>
  <c r="Z3437" i="1"/>
  <c r="Z3435" i="1"/>
  <c r="Z3434" i="1"/>
  <c r="AA3433" i="1"/>
  <c r="AA3434" i="1" s="1"/>
  <c r="Z3433" i="1"/>
  <c r="Z3432" i="1"/>
  <c r="Z3431" i="1"/>
  <c r="Z3430" i="1"/>
  <c r="Z3429" i="1"/>
  <c r="Z3427" i="1"/>
  <c r="Z3426" i="1"/>
  <c r="Z3425" i="1"/>
  <c r="AA3424" i="1"/>
  <c r="Z3424" i="1"/>
  <c r="Z3423" i="1"/>
  <c r="Z3422" i="1"/>
  <c r="AA3421" i="1"/>
  <c r="AA3422" i="1" s="1"/>
  <c r="Z3421" i="1"/>
  <c r="Z3420" i="1"/>
  <c r="AA3419" i="1"/>
  <c r="AA3425" i="1" s="1"/>
  <c r="AA3426" i="1" s="1"/>
  <c r="Z3419" i="1"/>
  <c r="Z3416" i="1"/>
  <c r="Z3414" i="1"/>
  <c r="Z3413" i="1"/>
  <c r="AA3412" i="1"/>
  <c r="AA3413" i="1" s="1"/>
  <c r="Z3412" i="1"/>
  <c r="Z3411" i="1"/>
  <c r="Z3410" i="1"/>
  <c r="Z3409" i="1"/>
  <c r="Z3408" i="1"/>
  <c r="Z3406" i="1"/>
  <c r="Z3405" i="1"/>
  <c r="Z3404" i="1"/>
  <c r="AA3403" i="1"/>
  <c r="Z3403" i="1"/>
  <c r="Z3402" i="1"/>
  <c r="Z3401" i="1"/>
  <c r="AA3400" i="1"/>
  <c r="AA3401" i="1" s="1"/>
  <c r="Z3400" i="1"/>
  <c r="Z3399" i="1"/>
  <c r="AA3398" i="1"/>
  <c r="AA3404" i="1" s="1"/>
  <c r="AA3405" i="1" s="1"/>
  <c r="Z3398" i="1"/>
  <c r="Z3395" i="1"/>
  <c r="Z3393" i="1"/>
  <c r="Z3392" i="1"/>
  <c r="AA3391" i="1"/>
  <c r="AA3392" i="1" s="1"/>
  <c r="Z3391" i="1"/>
  <c r="Z3390" i="1"/>
  <c r="Z3389" i="1"/>
  <c r="Z3388" i="1"/>
  <c r="Z3387" i="1"/>
  <c r="Z3385" i="1"/>
  <c r="Z3384" i="1"/>
  <c r="Z3383" i="1"/>
  <c r="AA3382" i="1"/>
  <c r="Z3382" i="1"/>
  <c r="Z3381" i="1"/>
  <c r="Z3380" i="1"/>
  <c r="AA3379" i="1"/>
  <c r="AA3380" i="1" s="1"/>
  <c r="Z3379" i="1"/>
  <c r="Z3378" i="1"/>
  <c r="AA3377" i="1"/>
  <c r="AA3383" i="1" s="1"/>
  <c r="AA3384" i="1" s="1"/>
  <c r="Z3377" i="1"/>
  <c r="AA3356" i="1"/>
  <c r="AA3362" i="1" s="1"/>
  <c r="AA3363" i="1" s="1"/>
  <c r="AA3335" i="1"/>
  <c r="AA3341" i="1" s="1"/>
  <c r="AA3342" i="1" s="1"/>
  <c r="AA3314" i="1"/>
  <c r="AA3315" i="1" s="1"/>
  <c r="AA3293" i="1"/>
  <c r="AA3299" i="1" s="1"/>
  <c r="AA3300" i="1" s="1"/>
  <c r="AA3358" i="1"/>
  <c r="AA3359" i="1" s="1"/>
  <c r="AA3337" i="1"/>
  <c r="AA3338" i="1" s="1"/>
  <c r="AA3316" i="1"/>
  <c r="AA3317" i="1" s="1"/>
  <c r="AA3295" i="1"/>
  <c r="AA3296" i="1" s="1"/>
  <c r="AA3274" i="1"/>
  <c r="AA3275" i="1" s="1"/>
  <c r="AA3272" i="1"/>
  <c r="AA3273" i="1" s="1"/>
  <c r="AA3253" i="1"/>
  <c r="AA3254" i="1" s="1"/>
  <c r="AA3251" i="1"/>
  <c r="AA3257" i="1" s="1"/>
  <c r="AA3258" i="1" s="1"/>
  <c r="AA3232" i="1"/>
  <c r="AA3233" i="1" s="1"/>
  <c r="AA3230" i="1"/>
  <c r="AA3236" i="1" s="1"/>
  <c r="AA3237" i="1" s="1"/>
  <c r="AA3211" i="1"/>
  <c r="AA3212" i="1" s="1"/>
  <c r="AA3209" i="1"/>
  <c r="AA3215" i="1" s="1"/>
  <c r="AA3216" i="1" s="1"/>
  <c r="Z3374" i="1"/>
  <c r="Z3372" i="1"/>
  <c r="Z3371" i="1"/>
  <c r="AA3370" i="1"/>
  <c r="AA3371" i="1" s="1"/>
  <c r="Z3370" i="1"/>
  <c r="Z3369" i="1"/>
  <c r="Z3368" i="1"/>
  <c r="Z3367" i="1"/>
  <c r="Z3366" i="1"/>
  <c r="Z3364" i="1"/>
  <c r="Z3363" i="1"/>
  <c r="Z3362" i="1"/>
  <c r="AA3361" i="1"/>
  <c r="Z3361" i="1"/>
  <c r="Z3360" i="1"/>
  <c r="Z3359" i="1"/>
  <c r="Z3358" i="1"/>
  <c r="Z3357" i="1"/>
  <c r="Z3356" i="1"/>
  <c r="Z3353" i="1"/>
  <c r="Z3351" i="1"/>
  <c r="Z3350" i="1"/>
  <c r="AA3349" i="1"/>
  <c r="AA3350" i="1" s="1"/>
  <c r="Z3349" i="1"/>
  <c r="Z3348" i="1"/>
  <c r="Z3347" i="1"/>
  <c r="Z3346" i="1"/>
  <c r="Z3345" i="1"/>
  <c r="Z3343" i="1"/>
  <c r="Z3342" i="1"/>
  <c r="Z3341" i="1"/>
  <c r="AA3340" i="1"/>
  <c r="Z3340" i="1"/>
  <c r="Z3339" i="1"/>
  <c r="Z3338" i="1"/>
  <c r="Z3337" i="1"/>
  <c r="Z3336" i="1"/>
  <c r="Z3335" i="1"/>
  <c r="Z3332" i="1"/>
  <c r="Z3330" i="1"/>
  <c r="Z3329" i="1"/>
  <c r="AA3328" i="1"/>
  <c r="AA3329" i="1" s="1"/>
  <c r="Z3328" i="1"/>
  <c r="Z3327" i="1"/>
  <c r="Z3326" i="1"/>
  <c r="Z3325" i="1"/>
  <c r="Z3324" i="1"/>
  <c r="Z3322" i="1"/>
  <c r="Z3321" i="1"/>
  <c r="Z3320" i="1"/>
  <c r="AA3319" i="1"/>
  <c r="Z3319" i="1"/>
  <c r="Z3318" i="1"/>
  <c r="Z3317" i="1"/>
  <c r="Z3316" i="1"/>
  <c r="Z3315" i="1"/>
  <c r="Z3314" i="1"/>
  <c r="Z3311" i="1"/>
  <c r="Z3309" i="1"/>
  <c r="Z3308" i="1"/>
  <c r="AA3307" i="1"/>
  <c r="AA3308" i="1" s="1"/>
  <c r="Z3307" i="1"/>
  <c r="Z3306" i="1"/>
  <c r="Z3305" i="1"/>
  <c r="Z3304" i="1"/>
  <c r="Z3303" i="1"/>
  <c r="Z3301" i="1"/>
  <c r="Z3300" i="1"/>
  <c r="Z3299" i="1"/>
  <c r="AA3298" i="1"/>
  <c r="Z3298" i="1"/>
  <c r="Z3297" i="1"/>
  <c r="Z3296" i="1"/>
  <c r="Z3295" i="1"/>
  <c r="Z3294" i="1"/>
  <c r="Z3293" i="1"/>
  <c r="Z3290" i="1"/>
  <c r="Z3288" i="1"/>
  <c r="Z3287" i="1"/>
  <c r="AA3286" i="1"/>
  <c r="AA3287" i="1" s="1"/>
  <c r="Z3286" i="1"/>
  <c r="Z3285" i="1"/>
  <c r="Z3284" i="1"/>
  <c r="Z3283" i="1"/>
  <c r="Z3282" i="1"/>
  <c r="Z3280" i="1"/>
  <c r="Z3279" i="1"/>
  <c r="Z3278" i="1"/>
  <c r="AA3277" i="1"/>
  <c r="Z3277" i="1"/>
  <c r="Z3276" i="1"/>
  <c r="Z3275" i="1"/>
  <c r="Z3274" i="1"/>
  <c r="Z3273" i="1"/>
  <c r="Z3272" i="1"/>
  <c r="Z3269" i="1"/>
  <c r="Z3267" i="1"/>
  <c r="Z3266" i="1"/>
  <c r="AA3265" i="1"/>
  <c r="AA3266" i="1" s="1"/>
  <c r="Z3265" i="1"/>
  <c r="Z3264" i="1"/>
  <c r="Z3263" i="1"/>
  <c r="Z3262" i="1"/>
  <c r="Z3261" i="1"/>
  <c r="Z3259" i="1"/>
  <c r="Z3258" i="1"/>
  <c r="Z3257" i="1"/>
  <c r="AA3256" i="1"/>
  <c r="Z3256" i="1"/>
  <c r="Z3255" i="1"/>
  <c r="Z3254" i="1"/>
  <c r="Z3253" i="1"/>
  <c r="Z3252" i="1"/>
  <c r="Z3251" i="1"/>
  <c r="Z3248" i="1"/>
  <c r="Z3246" i="1"/>
  <c r="Z3245" i="1"/>
  <c r="AA3244" i="1"/>
  <c r="AA3245" i="1" s="1"/>
  <c r="Z3244" i="1"/>
  <c r="Z3243" i="1"/>
  <c r="Z3242" i="1"/>
  <c r="Z3241" i="1"/>
  <c r="Z3240" i="1"/>
  <c r="Z3238" i="1"/>
  <c r="Z3237" i="1"/>
  <c r="Z3236" i="1"/>
  <c r="AA3235" i="1"/>
  <c r="Z3235" i="1"/>
  <c r="Z3234" i="1"/>
  <c r="Z3233" i="1"/>
  <c r="Z3232" i="1"/>
  <c r="Z3231" i="1"/>
  <c r="Z3230" i="1"/>
  <c r="Z3227" i="1"/>
  <c r="Z3225" i="1"/>
  <c r="Z3224" i="1"/>
  <c r="AA3223" i="1"/>
  <c r="AA3224" i="1" s="1"/>
  <c r="Z3223" i="1"/>
  <c r="Z3222" i="1"/>
  <c r="Z3221" i="1"/>
  <c r="Z3220" i="1"/>
  <c r="Z3219" i="1"/>
  <c r="Z3217" i="1"/>
  <c r="Z3216" i="1"/>
  <c r="Z3215" i="1"/>
  <c r="AA3214" i="1"/>
  <c r="Z3214" i="1"/>
  <c r="Z3213" i="1"/>
  <c r="Z3212" i="1"/>
  <c r="Z3211" i="1"/>
  <c r="Z3210" i="1"/>
  <c r="Z3209" i="1"/>
  <c r="Z3206" i="1"/>
  <c r="Z3204" i="1"/>
  <c r="Z3203" i="1"/>
  <c r="AA3202" i="1"/>
  <c r="AA3203" i="1" s="1"/>
  <c r="Z3202" i="1"/>
  <c r="Z3201" i="1"/>
  <c r="Z3200" i="1"/>
  <c r="Z3199" i="1"/>
  <c r="Z3198" i="1"/>
  <c r="Z3196" i="1"/>
  <c r="Z3195" i="1"/>
  <c r="Z3194" i="1"/>
  <c r="AA3193" i="1"/>
  <c r="Z3193" i="1"/>
  <c r="Z3192" i="1"/>
  <c r="Z3191" i="1"/>
  <c r="AA3190" i="1"/>
  <c r="AA3191" i="1" s="1"/>
  <c r="Z3190" i="1"/>
  <c r="Z3189" i="1"/>
  <c r="AA3188" i="1"/>
  <c r="AA3194" i="1" s="1"/>
  <c r="AA3195" i="1" s="1"/>
  <c r="Z3188" i="1"/>
  <c r="Z3185" i="1"/>
  <c r="Z3183" i="1"/>
  <c r="Z3182" i="1"/>
  <c r="AA3181" i="1"/>
  <c r="AA3182" i="1" s="1"/>
  <c r="Z3181" i="1"/>
  <c r="Z3180" i="1"/>
  <c r="Z3179" i="1"/>
  <c r="Z3178" i="1"/>
  <c r="Z3177" i="1"/>
  <c r="Z3175" i="1"/>
  <c r="Z3174" i="1"/>
  <c r="Z3173" i="1"/>
  <c r="AA3172" i="1"/>
  <c r="Z3172" i="1"/>
  <c r="Z3171" i="1"/>
  <c r="Z3170" i="1"/>
  <c r="AA3169" i="1"/>
  <c r="AA3170" i="1" s="1"/>
  <c r="Z3169" i="1"/>
  <c r="Z3168" i="1"/>
  <c r="AA3167" i="1"/>
  <c r="AA3173" i="1" s="1"/>
  <c r="AA3174" i="1" s="1"/>
  <c r="Z3167" i="1"/>
  <c r="AA3148" i="1"/>
  <c r="AA3149" i="1" s="1"/>
  <c r="AA3127" i="1"/>
  <c r="AA3128" i="1" s="1"/>
  <c r="AA3106" i="1"/>
  <c r="AA3107" i="1" s="1"/>
  <c r="AA3085" i="1"/>
  <c r="AA3091" i="1" s="1"/>
  <c r="AA3092" i="1" s="1"/>
  <c r="AA3150" i="1"/>
  <c r="AA3151" i="1" s="1"/>
  <c r="Z3155" i="1"/>
  <c r="Z3154" i="1"/>
  <c r="AA3153" i="1"/>
  <c r="Z3153" i="1"/>
  <c r="Z3152" i="1"/>
  <c r="Z3151" i="1"/>
  <c r="Z3150" i="1"/>
  <c r="Z3149" i="1"/>
  <c r="Z3148" i="1"/>
  <c r="AA3129" i="1"/>
  <c r="AA3130" i="1" s="1"/>
  <c r="AA3108" i="1"/>
  <c r="AA3109" i="1" s="1"/>
  <c r="AA3087" i="1"/>
  <c r="AA3088" i="1" s="1"/>
  <c r="Z3145" i="1"/>
  <c r="Z3143" i="1"/>
  <c r="Z3142" i="1"/>
  <c r="AA3141" i="1"/>
  <c r="AA3142" i="1" s="1"/>
  <c r="Z3141" i="1"/>
  <c r="Z3140" i="1"/>
  <c r="Z3139" i="1"/>
  <c r="Z3138" i="1"/>
  <c r="Z3137" i="1"/>
  <c r="Z3135" i="1"/>
  <c r="Z3134" i="1"/>
  <c r="Z3133" i="1"/>
  <c r="AA3132" i="1"/>
  <c r="Z3132" i="1"/>
  <c r="Z3131" i="1"/>
  <c r="Z3130" i="1"/>
  <c r="Z3129" i="1"/>
  <c r="Z3128" i="1"/>
  <c r="Z3127" i="1"/>
  <c r="Z3124" i="1"/>
  <c r="Z3122" i="1"/>
  <c r="Z3121" i="1"/>
  <c r="AA3120" i="1"/>
  <c r="AA3121" i="1" s="1"/>
  <c r="Z3120" i="1"/>
  <c r="Z3119" i="1"/>
  <c r="Z3118" i="1"/>
  <c r="Z3117" i="1"/>
  <c r="Z3116" i="1"/>
  <c r="Z3114" i="1"/>
  <c r="Z3113" i="1"/>
  <c r="Z3112" i="1"/>
  <c r="AA3111" i="1"/>
  <c r="Z3111" i="1"/>
  <c r="Z3110" i="1"/>
  <c r="Z3109" i="1"/>
  <c r="Z3108" i="1"/>
  <c r="Z3107" i="1"/>
  <c r="Z3106" i="1"/>
  <c r="Z3103" i="1"/>
  <c r="Z3101" i="1"/>
  <c r="Z3100" i="1"/>
  <c r="AA3099" i="1"/>
  <c r="AA3100" i="1" s="1"/>
  <c r="Z3099" i="1"/>
  <c r="Z3098" i="1"/>
  <c r="Z3097" i="1"/>
  <c r="Z3096" i="1"/>
  <c r="Z3095" i="1"/>
  <c r="Z3093" i="1"/>
  <c r="Z3092" i="1"/>
  <c r="Z3091" i="1"/>
  <c r="AA3090" i="1"/>
  <c r="Z3090" i="1"/>
  <c r="Z3089" i="1"/>
  <c r="Z3088" i="1"/>
  <c r="Z3087" i="1"/>
  <c r="Z3086" i="1"/>
  <c r="Z3085" i="1"/>
  <c r="AA3066" i="1"/>
  <c r="AA3067" i="1" s="1"/>
  <c r="AA3064" i="1"/>
  <c r="AA3065" i="1" s="1"/>
  <c r="Z3082" i="1"/>
  <c r="Z3080" i="1"/>
  <c r="Z3079" i="1"/>
  <c r="AA3078" i="1"/>
  <c r="AA3079" i="1" s="1"/>
  <c r="Z3078" i="1"/>
  <c r="Z3077" i="1"/>
  <c r="Z3076" i="1"/>
  <c r="Z3075" i="1"/>
  <c r="Z3074" i="1"/>
  <c r="Z3072" i="1"/>
  <c r="Z3071" i="1"/>
  <c r="Z3070" i="1"/>
  <c r="AA3069" i="1"/>
  <c r="Z3069" i="1"/>
  <c r="Z3068" i="1"/>
  <c r="Z3067" i="1"/>
  <c r="Z3066" i="1"/>
  <c r="Z3065" i="1"/>
  <c r="Z3064" i="1"/>
  <c r="AA3045" i="1"/>
  <c r="AA3046" i="1" s="1"/>
  <c r="AA3043" i="1"/>
  <c r="AA3049" i="1" s="1"/>
  <c r="AA3050" i="1" s="1"/>
  <c r="Z3061" i="1"/>
  <c r="Z3059" i="1"/>
  <c r="Z3058" i="1"/>
  <c r="AA3057" i="1"/>
  <c r="AA3058" i="1" s="1"/>
  <c r="Z3057" i="1"/>
  <c r="Z3056" i="1"/>
  <c r="Z3055" i="1"/>
  <c r="Z3054" i="1"/>
  <c r="Z3053" i="1"/>
  <c r="Z3051" i="1"/>
  <c r="Z3050" i="1"/>
  <c r="Z3049" i="1"/>
  <c r="AA3048" i="1"/>
  <c r="Z3048" i="1"/>
  <c r="Z3047" i="1"/>
  <c r="Z3046" i="1"/>
  <c r="Z3045" i="1"/>
  <c r="Z3044" i="1"/>
  <c r="Z3043" i="1"/>
  <c r="AA3024" i="1"/>
  <c r="AA3025" i="1" s="1"/>
  <c r="AA3022" i="1"/>
  <c r="AA3023" i="1" s="1"/>
  <c r="Z3040" i="1"/>
  <c r="Z3038" i="1"/>
  <c r="Z3037" i="1"/>
  <c r="AA3036" i="1"/>
  <c r="AA3037" i="1" s="1"/>
  <c r="Z3036" i="1"/>
  <c r="Z3035" i="1"/>
  <c r="Z3034" i="1"/>
  <c r="Z3033" i="1"/>
  <c r="Z3032" i="1"/>
  <c r="Z3030" i="1"/>
  <c r="Z3029" i="1"/>
  <c r="Z3028" i="1"/>
  <c r="AA3027" i="1"/>
  <c r="Z3027" i="1"/>
  <c r="Z3026" i="1"/>
  <c r="Z3025" i="1"/>
  <c r="Z3024" i="1"/>
  <c r="Z3023" i="1"/>
  <c r="Z3022" i="1"/>
  <c r="AA3003" i="1"/>
  <c r="AA3004" i="1" s="1"/>
  <c r="AA3001" i="1"/>
  <c r="AA3002" i="1" s="1"/>
  <c r="Z3019" i="1"/>
  <c r="Z3017" i="1"/>
  <c r="Z3016" i="1"/>
  <c r="AA3015" i="1"/>
  <c r="AA3016" i="1" s="1"/>
  <c r="Z3015" i="1"/>
  <c r="Z3014" i="1"/>
  <c r="Z3013" i="1"/>
  <c r="Z3012" i="1"/>
  <c r="Z3011" i="1"/>
  <c r="Z3009" i="1"/>
  <c r="Z3008" i="1"/>
  <c r="Z3007" i="1"/>
  <c r="AA3006" i="1"/>
  <c r="Z3006" i="1"/>
  <c r="Z3005" i="1"/>
  <c r="Z3004" i="1"/>
  <c r="Z3003" i="1"/>
  <c r="Z3002" i="1"/>
  <c r="Z3001" i="1"/>
  <c r="Z2998" i="1"/>
  <c r="Z2996" i="1"/>
  <c r="Z2995" i="1"/>
  <c r="AA2994" i="1"/>
  <c r="AA2995" i="1" s="1"/>
  <c r="Z2994" i="1"/>
  <c r="Z2993" i="1"/>
  <c r="Z2992" i="1"/>
  <c r="Z2991" i="1"/>
  <c r="Z2990" i="1"/>
  <c r="Z2988" i="1"/>
  <c r="Z2987" i="1"/>
  <c r="Z2986" i="1"/>
  <c r="AA2985" i="1"/>
  <c r="Z2985" i="1"/>
  <c r="Z2984" i="1"/>
  <c r="Z2983" i="1"/>
  <c r="AA2982" i="1"/>
  <c r="AA2983" i="1" s="1"/>
  <c r="Z2982" i="1"/>
  <c r="Z2981" i="1"/>
  <c r="AA2980" i="1"/>
  <c r="AA2981" i="1" s="1"/>
  <c r="Z2980" i="1"/>
  <c r="Z2977" i="1"/>
  <c r="Z2975" i="1"/>
  <c r="Z2974" i="1"/>
  <c r="AA2973" i="1"/>
  <c r="AA2974" i="1" s="1"/>
  <c r="Z2973" i="1"/>
  <c r="Z2972" i="1"/>
  <c r="Z2971" i="1"/>
  <c r="Z2970" i="1"/>
  <c r="Z2969" i="1"/>
  <c r="Z2967" i="1"/>
  <c r="Z2966" i="1"/>
  <c r="AA2965" i="1"/>
  <c r="Z2965" i="1"/>
  <c r="Z2964" i="1"/>
  <c r="Z2963" i="1"/>
  <c r="AA2962" i="1"/>
  <c r="AA2963" i="1" s="1"/>
  <c r="Z2962" i="1"/>
  <c r="Z2961" i="1"/>
  <c r="AA2960" i="1"/>
  <c r="AA2966" i="1" s="1"/>
  <c r="AA2967" i="1" s="1"/>
  <c r="Z2960" i="1"/>
  <c r="Z2957" i="1"/>
  <c r="Z2955" i="1"/>
  <c r="Z2954" i="1"/>
  <c r="AA2953" i="1"/>
  <c r="AA2954" i="1" s="1"/>
  <c r="Z2953" i="1"/>
  <c r="Z2952" i="1"/>
  <c r="Z2951" i="1"/>
  <c r="Z2950" i="1"/>
  <c r="Z2949" i="1"/>
  <c r="Z2947" i="1"/>
  <c r="Z2946" i="1"/>
  <c r="AA2945" i="1"/>
  <c r="Z2945" i="1"/>
  <c r="Z2944" i="1"/>
  <c r="Z2943" i="1"/>
  <c r="AA2942" i="1"/>
  <c r="AA2943" i="1" s="1"/>
  <c r="Z2942" i="1"/>
  <c r="Z2941" i="1"/>
  <c r="AA2940" i="1"/>
  <c r="AA2946" i="1" s="1"/>
  <c r="AA2947" i="1" s="1"/>
  <c r="Z2940" i="1"/>
  <c r="Z2936" i="1"/>
  <c r="Z2934" i="1"/>
  <c r="Z2933" i="1"/>
  <c r="AA2932" i="1"/>
  <c r="AA2933" i="1" s="1"/>
  <c r="Z2932" i="1"/>
  <c r="Z2931" i="1"/>
  <c r="Z2930" i="1"/>
  <c r="Z2929" i="1"/>
  <c r="Z2928" i="1"/>
  <c r="Z2926" i="1"/>
  <c r="Z2925" i="1"/>
  <c r="Z2924" i="1"/>
  <c r="AA2923" i="1"/>
  <c r="Z2923" i="1"/>
  <c r="Z2922" i="1"/>
  <c r="Z2921" i="1"/>
  <c r="AA2920" i="1"/>
  <c r="AA2921" i="1" s="1"/>
  <c r="Z2920" i="1"/>
  <c r="Z2919" i="1"/>
  <c r="AA2918" i="1"/>
  <c r="AA2924" i="1" s="1"/>
  <c r="AA2925" i="1" s="1"/>
  <c r="Z2918" i="1"/>
  <c r="AA2900" i="1"/>
  <c r="AA2901" i="1" s="1"/>
  <c r="AA2898" i="1"/>
  <c r="AA2904" i="1" s="1"/>
  <c r="AA2905" i="1" s="1"/>
  <c r="Z2915" i="1"/>
  <c r="Z2913" i="1"/>
  <c r="Z2912" i="1"/>
  <c r="AA2911" i="1"/>
  <c r="AA2912" i="1" s="1"/>
  <c r="Z2911" i="1"/>
  <c r="Z2910" i="1"/>
  <c r="Z2909" i="1"/>
  <c r="Z2908" i="1"/>
  <c r="Z2907" i="1"/>
  <c r="Z2905" i="1"/>
  <c r="Z2904" i="1"/>
  <c r="AA2903" i="1"/>
  <c r="Z2903" i="1"/>
  <c r="Z2902" i="1"/>
  <c r="Z2901" i="1"/>
  <c r="Z2900" i="1"/>
  <c r="Z2899" i="1"/>
  <c r="Z2898" i="1"/>
  <c r="Z2895" i="1"/>
  <c r="Z2893" i="1"/>
  <c r="Z2892" i="1"/>
  <c r="AA2891" i="1"/>
  <c r="AA2892" i="1" s="1"/>
  <c r="Z2891" i="1"/>
  <c r="Z2890" i="1"/>
  <c r="Z2889" i="1"/>
  <c r="Z2888" i="1"/>
  <c r="Z2887" i="1"/>
  <c r="Z2885" i="1"/>
  <c r="Z2884" i="1"/>
  <c r="AA2883" i="1"/>
  <c r="Z2883" i="1"/>
  <c r="Z2882" i="1"/>
  <c r="Z2881" i="1"/>
  <c r="AA2880" i="1"/>
  <c r="AA2881" i="1" s="1"/>
  <c r="Z2880" i="1"/>
  <c r="Z2879" i="1"/>
  <c r="AA2878" i="1"/>
  <c r="AA2884" i="1" s="1"/>
  <c r="AA2885" i="1" s="1"/>
  <c r="Z2878" i="1"/>
  <c r="AA7775" i="1"/>
  <c r="AA7754" i="1"/>
  <c r="AA7734" i="1"/>
  <c r="AA7710" i="1"/>
  <c r="AA7690" i="1"/>
  <c r="AA7670" i="1"/>
  <c r="AA7650" i="1"/>
  <c r="AA7630" i="1"/>
  <c r="AA7610" i="1"/>
  <c r="AA7590" i="1"/>
  <c r="AA7570" i="1"/>
  <c r="AA7550" i="1"/>
  <c r="AA7530" i="1"/>
  <c r="AA7510" i="1"/>
  <c r="AA7490" i="1"/>
  <c r="AA7470" i="1"/>
  <c r="AA7450" i="1"/>
  <c r="AA7431" i="1"/>
  <c r="AA7411" i="1"/>
  <c r="AA7391" i="1"/>
  <c r="AA7371" i="1"/>
  <c r="AA7351" i="1"/>
  <c r="AA7331" i="1"/>
  <c r="AA7311" i="1"/>
  <c r="AA7291" i="1"/>
  <c r="AA7271" i="1"/>
  <c r="AA7251" i="1"/>
  <c r="AA7231" i="1"/>
  <c r="AA7211" i="1"/>
  <c r="AA7191" i="1"/>
  <c r="AA7171" i="1"/>
  <c r="AA7151" i="1"/>
  <c r="AA7132" i="1"/>
  <c r="AA7111" i="1"/>
  <c r="AA7090" i="1"/>
  <c r="AA7069" i="1"/>
  <c r="AA7048" i="1"/>
  <c r="AA7027" i="1"/>
  <c r="AA7007" i="1"/>
  <c r="AA6984" i="1"/>
  <c r="AA6964" i="1"/>
  <c r="AA3510" i="1" l="1"/>
  <c r="AA3511" i="1" s="1"/>
  <c r="AA3489" i="1"/>
  <c r="AA3490" i="1" s="1"/>
  <c r="AA3463" i="1"/>
  <c r="AA3441" i="1"/>
  <c r="AA3399" i="1"/>
  <c r="AA3420" i="1"/>
  <c r="AA3378" i="1"/>
  <c r="AA3294" i="1"/>
  <c r="AA3278" i="1"/>
  <c r="AA3279" i="1" s="1"/>
  <c r="AA3336" i="1"/>
  <c r="AA3357" i="1"/>
  <c r="AA3320" i="1"/>
  <c r="AA3321" i="1" s="1"/>
  <c r="AA3252" i="1"/>
  <c r="AA3189" i="1"/>
  <c r="AA3086" i="1"/>
  <c r="AA3231" i="1"/>
  <c r="AA3210" i="1"/>
  <c r="AA3112" i="1"/>
  <c r="AA3113" i="1" s="1"/>
  <c r="AA3154" i="1"/>
  <c r="AA3155" i="1" s="1"/>
  <c r="AA3168" i="1"/>
  <c r="AA3133" i="1"/>
  <c r="AA3134" i="1" s="1"/>
  <c r="AA3044" i="1"/>
  <c r="AA3070" i="1"/>
  <c r="AA3071" i="1" s="1"/>
  <c r="AA3028" i="1"/>
  <c r="AA3029" i="1" s="1"/>
  <c r="AA3007" i="1"/>
  <c r="AA3008" i="1" s="1"/>
  <c r="AA2986" i="1"/>
  <c r="AA2987" i="1" s="1"/>
  <c r="AA2961" i="1"/>
  <c r="AA2919" i="1"/>
  <c r="AA2941" i="1"/>
  <c r="AA2899" i="1"/>
  <c r="AA2879" i="1"/>
  <c r="AA8540" i="1"/>
  <c r="AA8541" i="1" s="1"/>
  <c r="AA8538" i="1"/>
  <c r="AA8544" i="1" s="1"/>
  <c r="AA8545" i="1" s="1"/>
  <c r="AA8547" i="1"/>
  <c r="Z8550" i="1"/>
  <c r="AA8548" i="1"/>
  <c r="Z8548" i="1"/>
  <c r="Z8547" i="1"/>
  <c r="Z8545" i="1"/>
  <c r="Z8544" i="1"/>
  <c r="AA8543" i="1"/>
  <c r="Z8543" i="1"/>
  <c r="Z8542" i="1"/>
  <c r="Z8541" i="1"/>
  <c r="Z8540" i="1"/>
  <c r="Z8539" i="1"/>
  <c r="Z8538" i="1"/>
  <c r="AA8556" i="1"/>
  <c r="AA8557" i="1" s="1"/>
  <c r="AA8554" i="1"/>
  <c r="AA8560" i="1" s="1"/>
  <c r="AA8561" i="1" s="1"/>
  <c r="AA8563" i="1"/>
  <c r="Z8566" i="1"/>
  <c r="AA8564" i="1"/>
  <c r="Z8564" i="1"/>
  <c r="Z8563" i="1"/>
  <c r="Z8561" i="1"/>
  <c r="Z8560" i="1"/>
  <c r="AA8559" i="1"/>
  <c r="Z8559" i="1"/>
  <c r="Z8558" i="1"/>
  <c r="Z8557" i="1"/>
  <c r="Z8556" i="1"/>
  <c r="Z8555" i="1"/>
  <c r="Z8554" i="1"/>
  <c r="AA8580" i="1"/>
  <c r="Z8583" i="1"/>
  <c r="AA8581" i="1"/>
  <c r="Z8581" i="1"/>
  <c r="Z8580" i="1"/>
  <c r="Z8578" i="1"/>
  <c r="Z8577" i="1"/>
  <c r="AA8576" i="1"/>
  <c r="Z8576" i="1"/>
  <c r="Z8575" i="1"/>
  <c r="Z8574" i="1"/>
  <c r="AA8573" i="1"/>
  <c r="AA8574" i="1" s="1"/>
  <c r="Z8573" i="1"/>
  <c r="Z8572" i="1"/>
  <c r="AA8571" i="1"/>
  <c r="AA8572" i="1" s="1"/>
  <c r="Z8571" i="1"/>
  <c r="AA8614" i="1"/>
  <c r="AA8598" i="1"/>
  <c r="Z8617" i="1"/>
  <c r="AA8615" i="1"/>
  <c r="Z8615" i="1"/>
  <c r="Z8614" i="1"/>
  <c r="Z8612" i="1"/>
  <c r="Z8611" i="1"/>
  <c r="Z8610" i="1"/>
  <c r="AA8609" i="1"/>
  <c r="Z8609" i="1"/>
  <c r="Z8608" i="1"/>
  <c r="Z8607" i="1"/>
  <c r="AA8606" i="1"/>
  <c r="AA8607" i="1" s="1"/>
  <c r="Z8606" i="1"/>
  <c r="Z8605" i="1"/>
  <c r="AA8604" i="1"/>
  <c r="AA8610" i="1" s="1"/>
  <c r="AA8611" i="1" s="1"/>
  <c r="Z8604" i="1"/>
  <c r="Z8601" i="1"/>
  <c r="AA8599" i="1"/>
  <c r="Z8599" i="1"/>
  <c r="Z8598" i="1"/>
  <c r="Z8596" i="1"/>
  <c r="Z8595" i="1"/>
  <c r="Z8594" i="1"/>
  <c r="AA8593" i="1"/>
  <c r="Z8593" i="1"/>
  <c r="Z8592" i="1"/>
  <c r="Z8591" i="1"/>
  <c r="AA8590" i="1"/>
  <c r="AA8591" i="1" s="1"/>
  <c r="Z8590" i="1"/>
  <c r="Z8589" i="1"/>
  <c r="AA8588" i="1"/>
  <c r="AA8594" i="1" s="1"/>
  <c r="AA8595" i="1" s="1"/>
  <c r="Z8588" i="1"/>
  <c r="AA8617" i="1" l="1"/>
  <c r="AA8616" i="1"/>
  <c r="AA8601" i="1"/>
  <c r="AA8600" i="1"/>
  <c r="AA8583" i="1"/>
  <c r="AA8582" i="1"/>
  <c r="AA8566" i="1"/>
  <c r="AA8565" i="1"/>
  <c r="AA8550" i="1"/>
  <c r="AA8549" i="1"/>
  <c r="AA8539" i="1"/>
  <c r="AA8555" i="1"/>
  <c r="AA8577" i="1"/>
  <c r="AA8578" i="1" s="1"/>
  <c r="AA8605" i="1"/>
  <c r="AA8589" i="1"/>
  <c r="AA8514" i="1"/>
  <c r="AA8530" i="1"/>
  <c r="Z8517" i="1"/>
  <c r="AA8515" i="1"/>
  <c r="Z8515" i="1"/>
  <c r="Z8514" i="1"/>
  <c r="Z8512" i="1"/>
  <c r="Z8511" i="1"/>
  <c r="Z8510" i="1"/>
  <c r="AA8509" i="1"/>
  <c r="Z8509" i="1"/>
  <c r="Z8508" i="1"/>
  <c r="Z8507" i="1"/>
  <c r="AA8506" i="1"/>
  <c r="AA8507" i="1" s="1"/>
  <c r="Z8506" i="1"/>
  <c r="Z8505" i="1"/>
  <c r="AA8504" i="1"/>
  <c r="AA8510" i="1" s="1"/>
  <c r="AA8511" i="1" s="1"/>
  <c r="Z8504" i="1"/>
  <c r="Z8533" i="1"/>
  <c r="AA8531" i="1"/>
  <c r="Z8531" i="1"/>
  <c r="Z8530" i="1"/>
  <c r="Z8528" i="1"/>
  <c r="Z8527" i="1"/>
  <c r="Z8526" i="1"/>
  <c r="AA8525" i="1"/>
  <c r="Z8525" i="1"/>
  <c r="Z8524" i="1"/>
  <c r="Z8523" i="1"/>
  <c r="AA8522" i="1"/>
  <c r="AA8523" i="1" s="1"/>
  <c r="Z8522" i="1"/>
  <c r="Z8521" i="1"/>
  <c r="AA8520" i="1"/>
  <c r="AA8526" i="1" s="1"/>
  <c r="AA8527" i="1" s="1"/>
  <c r="Z8520" i="1"/>
  <c r="AA8468" i="1"/>
  <c r="AA8469" i="1" s="1"/>
  <c r="AA8466" i="1"/>
  <c r="AA8472" i="1" s="1"/>
  <c r="AA8473" i="1" s="1"/>
  <c r="Z8479" i="1"/>
  <c r="AA8477" i="1"/>
  <c r="Z8477" i="1"/>
  <c r="AA8476" i="1"/>
  <c r="Z8476" i="1"/>
  <c r="Z8474" i="1"/>
  <c r="Z8473" i="1"/>
  <c r="Z8472" i="1"/>
  <c r="AA8471" i="1"/>
  <c r="Z8471" i="1"/>
  <c r="Z8470" i="1"/>
  <c r="Z8469" i="1"/>
  <c r="Z8468" i="1"/>
  <c r="Z8467" i="1"/>
  <c r="Z8466" i="1"/>
  <c r="AA8484" i="1"/>
  <c r="AA8485" i="1" s="1"/>
  <c r="AA8482" i="1"/>
  <c r="AA8488" i="1" s="1"/>
  <c r="AA8489" i="1" s="1"/>
  <c r="AA8492" i="1"/>
  <c r="Z8495" i="1"/>
  <c r="AA8493" i="1"/>
  <c r="Z8493" i="1"/>
  <c r="Z8492" i="1"/>
  <c r="Z8490" i="1"/>
  <c r="Z8489" i="1"/>
  <c r="Z8488" i="1"/>
  <c r="AA8487" i="1"/>
  <c r="Z8487" i="1"/>
  <c r="Z8486" i="1"/>
  <c r="Z8485" i="1"/>
  <c r="Z8484" i="1"/>
  <c r="Z8483" i="1"/>
  <c r="Z8482" i="1"/>
  <c r="AA8370" i="1"/>
  <c r="AA8371" i="1" s="1"/>
  <c r="AA8368" i="1"/>
  <c r="AA8374" i="1" s="1"/>
  <c r="AA8375" i="1" s="1"/>
  <c r="Z8380" i="1"/>
  <c r="AA8378" i="1"/>
  <c r="Z8378" i="1"/>
  <c r="AA8377" i="1"/>
  <c r="Z8377" i="1"/>
  <c r="Z8375" i="1"/>
  <c r="Z8374" i="1"/>
  <c r="AA8373" i="1"/>
  <c r="Z8373" i="1"/>
  <c r="Z8372" i="1"/>
  <c r="Z8371" i="1"/>
  <c r="Z8370" i="1"/>
  <c r="Z8369" i="1"/>
  <c r="Z8368" i="1"/>
  <c r="AA8385" i="1"/>
  <c r="AA8386" i="1" s="1"/>
  <c r="AA8383" i="1"/>
  <c r="AA8389" i="1" s="1"/>
  <c r="AA8390" i="1" s="1"/>
  <c r="Z8395" i="1"/>
  <c r="AA8393" i="1"/>
  <c r="Z8393" i="1"/>
  <c r="AA8392" i="1"/>
  <c r="Z8392" i="1"/>
  <c r="Z8390" i="1"/>
  <c r="Z8389" i="1"/>
  <c r="AA8388" i="1"/>
  <c r="Z8388" i="1"/>
  <c r="Z8387" i="1"/>
  <c r="Z8386" i="1"/>
  <c r="Z8385" i="1"/>
  <c r="Z8384" i="1"/>
  <c r="Z8383" i="1"/>
  <c r="AA8400" i="1"/>
  <c r="AA8401" i="1" s="1"/>
  <c r="AA8398" i="1"/>
  <c r="AA8399" i="1" s="1"/>
  <c r="Z8411" i="1"/>
  <c r="AA8409" i="1"/>
  <c r="Z8409" i="1"/>
  <c r="AA8408" i="1"/>
  <c r="Z8408" i="1"/>
  <c r="Z8406" i="1"/>
  <c r="Z8405" i="1"/>
  <c r="Z8404" i="1"/>
  <c r="AA8403" i="1"/>
  <c r="Z8403" i="1"/>
  <c r="Z8402" i="1"/>
  <c r="Z8401" i="1"/>
  <c r="Z8400" i="1"/>
  <c r="Z8399" i="1"/>
  <c r="Z8398" i="1"/>
  <c r="AA8416" i="1"/>
  <c r="AA8417" i="1" s="1"/>
  <c r="AA8414" i="1"/>
  <c r="AA8420" i="1" s="1"/>
  <c r="AA8421" i="1" s="1"/>
  <c r="Z8427" i="1"/>
  <c r="AA8425" i="1"/>
  <c r="Z8425" i="1"/>
  <c r="AA8424" i="1"/>
  <c r="Z8424" i="1"/>
  <c r="Z8422" i="1"/>
  <c r="Z8421" i="1"/>
  <c r="Z8420" i="1"/>
  <c r="AA8419" i="1"/>
  <c r="Z8419" i="1"/>
  <c r="Z8418" i="1"/>
  <c r="Z8417" i="1"/>
  <c r="Z8416" i="1"/>
  <c r="Z8415" i="1"/>
  <c r="Z8414" i="1"/>
  <c r="AA8432" i="1"/>
  <c r="AA8433" i="1" s="1"/>
  <c r="AA8430" i="1"/>
  <c r="AA8431" i="1" s="1"/>
  <c r="Z8443" i="1"/>
  <c r="AA8441" i="1"/>
  <c r="Z8441" i="1"/>
  <c r="AA8440" i="1"/>
  <c r="Z8440" i="1"/>
  <c r="Z8438" i="1"/>
  <c r="Z8437" i="1"/>
  <c r="Z8436" i="1"/>
  <c r="AA8435" i="1"/>
  <c r="Z8435" i="1"/>
  <c r="Z8434" i="1"/>
  <c r="Z8433" i="1"/>
  <c r="Z8432" i="1"/>
  <c r="Z8431" i="1"/>
  <c r="Z8430" i="1"/>
  <c r="AA8456" i="1"/>
  <c r="Z8459" i="1"/>
  <c r="AA8457" i="1"/>
  <c r="Z8457" i="1"/>
  <c r="Z8456" i="1"/>
  <c r="Z8454" i="1"/>
  <c r="Z8453" i="1"/>
  <c r="Z8452" i="1"/>
  <c r="AA8451" i="1"/>
  <c r="Z8451" i="1"/>
  <c r="Z8450" i="1"/>
  <c r="Z8449" i="1"/>
  <c r="AA8448" i="1"/>
  <c r="AA8449" i="1" s="1"/>
  <c r="Z8448" i="1"/>
  <c r="Z8447" i="1"/>
  <c r="AA8446" i="1"/>
  <c r="AA8452" i="1" s="1"/>
  <c r="AA8453" i="1" s="1"/>
  <c r="Z8446" i="1"/>
  <c r="AA8217" i="1"/>
  <c r="AA8218" i="1" s="1"/>
  <c r="AA8215" i="1"/>
  <c r="AA8216" i="1" s="1"/>
  <c r="Z8227" i="1"/>
  <c r="AA8225" i="1"/>
  <c r="Z8225" i="1"/>
  <c r="AA8224" i="1"/>
  <c r="Z8224" i="1"/>
  <c r="Z8222" i="1"/>
  <c r="Z8221" i="1"/>
  <c r="AA8220" i="1"/>
  <c r="Z8220" i="1"/>
  <c r="Z8219" i="1"/>
  <c r="Z8218" i="1"/>
  <c r="Z8217" i="1"/>
  <c r="Z8216" i="1"/>
  <c r="Z8215" i="1"/>
  <c r="AA8232" i="1"/>
  <c r="AA8233" i="1" s="1"/>
  <c r="AA8230" i="1"/>
  <c r="AA8236" i="1" s="1"/>
  <c r="AA8237" i="1" s="1"/>
  <c r="Z8243" i="1"/>
  <c r="AA8241" i="1"/>
  <c r="Z8241" i="1"/>
  <c r="AA8240" i="1"/>
  <c r="Z8240" i="1"/>
  <c r="Z8238" i="1"/>
  <c r="Z8237" i="1"/>
  <c r="Z8236" i="1"/>
  <c r="AA8235" i="1"/>
  <c r="Z8235" i="1"/>
  <c r="Z8234" i="1"/>
  <c r="Z8233" i="1"/>
  <c r="Z8232" i="1"/>
  <c r="Z8231" i="1"/>
  <c r="Z8230" i="1"/>
  <c r="AA8256" i="1"/>
  <c r="Z8259" i="1"/>
  <c r="AA8257" i="1"/>
  <c r="Z8257" i="1"/>
  <c r="Z8256" i="1"/>
  <c r="Z8254" i="1"/>
  <c r="Z8253" i="1"/>
  <c r="Z8252" i="1"/>
  <c r="AA8251" i="1"/>
  <c r="Z8251" i="1"/>
  <c r="Z8250" i="1"/>
  <c r="Z8249" i="1"/>
  <c r="AA8248" i="1"/>
  <c r="AA8249" i="1" s="1"/>
  <c r="Z8248" i="1"/>
  <c r="Z8247" i="1"/>
  <c r="AA8246" i="1"/>
  <c r="AA8252" i="1" s="1"/>
  <c r="AA8253" i="1" s="1"/>
  <c r="Z8246" i="1"/>
  <c r="AA8267" i="1"/>
  <c r="AA8268" i="1" s="1"/>
  <c r="AA8265" i="1"/>
  <c r="AA8271" i="1" s="1"/>
  <c r="AA8272" i="1" s="1"/>
  <c r="Z8277" i="1"/>
  <c r="AA8275" i="1"/>
  <c r="Z8275" i="1"/>
  <c r="AA8274" i="1"/>
  <c r="Z8274" i="1"/>
  <c r="Z8272" i="1"/>
  <c r="Z8271" i="1"/>
  <c r="AA8270" i="1"/>
  <c r="Z8270" i="1"/>
  <c r="Z8269" i="1"/>
  <c r="Z8268" i="1"/>
  <c r="Z8267" i="1"/>
  <c r="Z8266" i="1"/>
  <c r="Z8265" i="1"/>
  <c r="AA8283" i="1"/>
  <c r="AA8284" i="1" s="1"/>
  <c r="AA8281" i="1"/>
  <c r="AA8287" i="1" s="1"/>
  <c r="AA8288" i="1" s="1"/>
  <c r="Z8294" i="1"/>
  <c r="AA8292" i="1"/>
  <c r="Z8292" i="1"/>
  <c r="AA8291" i="1"/>
  <c r="Z8291" i="1"/>
  <c r="Z8289" i="1"/>
  <c r="Z8288" i="1"/>
  <c r="Z8287" i="1"/>
  <c r="AA8286" i="1"/>
  <c r="Z8286" i="1"/>
  <c r="Z8285" i="1"/>
  <c r="Z8284" i="1"/>
  <c r="Z8283" i="1"/>
  <c r="Z8282" i="1"/>
  <c r="Z8281" i="1"/>
  <c r="AA8299" i="1"/>
  <c r="AA8300" i="1" s="1"/>
  <c r="AA8297" i="1"/>
  <c r="AA8303" i="1" s="1"/>
  <c r="AA8304" i="1" s="1"/>
  <c r="Z8310" i="1"/>
  <c r="AA8308" i="1"/>
  <c r="Z8308" i="1"/>
  <c r="AA8307" i="1"/>
  <c r="Z8307" i="1"/>
  <c r="Z8305" i="1"/>
  <c r="Z8304" i="1"/>
  <c r="Z8303" i="1"/>
  <c r="AA8302" i="1"/>
  <c r="Z8302" i="1"/>
  <c r="Z8301" i="1"/>
  <c r="Z8300" i="1"/>
  <c r="Z8299" i="1"/>
  <c r="Z8298" i="1"/>
  <c r="Z8297" i="1"/>
  <c r="AA8315" i="1"/>
  <c r="AA8316" i="1" s="1"/>
  <c r="AA8313" i="1"/>
  <c r="AA8319" i="1" s="1"/>
  <c r="AA8320" i="1" s="1"/>
  <c r="Z8326" i="1"/>
  <c r="AA8324" i="1"/>
  <c r="Z8324" i="1"/>
  <c r="AA8323" i="1"/>
  <c r="Z8323" i="1"/>
  <c r="Z8321" i="1"/>
  <c r="Z8320" i="1"/>
  <c r="Z8319" i="1"/>
  <c r="AA8318" i="1"/>
  <c r="Z8318" i="1"/>
  <c r="Z8317" i="1"/>
  <c r="Z8316" i="1"/>
  <c r="Z8315" i="1"/>
  <c r="Z8314" i="1"/>
  <c r="Z8313" i="1"/>
  <c r="AA8331" i="1"/>
  <c r="AA8332" i="1" s="1"/>
  <c r="AA8329" i="1"/>
  <c r="AA8335" i="1" s="1"/>
  <c r="AA8336" i="1" s="1"/>
  <c r="AA8339" i="1"/>
  <c r="Z8342" i="1"/>
  <c r="AA8340" i="1"/>
  <c r="Z8340" i="1"/>
  <c r="Z8339" i="1"/>
  <c r="Z8337" i="1"/>
  <c r="Z8336" i="1"/>
  <c r="Z8335" i="1"/>
  <c r="AA8334" i="1"/>
  <c r="Z8334" i="1"/>
  <c r="Z8333" i="1"/>
  <c r="Z8332" i="1"/>
  <c r="Z8331" i="1"/>
  <c r="Z8330" i="1"/>
  <c r="Z8329" i="1"/>
  <c r="AA8360" i="1"/>
  <c r="Z8363" i="1"/>
  <c r="AA8361" i="1"/>
  <c r="Z8361" i="1"/>
  <c r="Z8360" i="1"/>
  <c r="Z8358" i="1"/>
  <c r="Z8357" i="1"/>
  <c r="Z8356" i="1"/>
  <c r="AA8355" i="1"/>
  <c r="Z8355" i="1"/>
  <c r="Z8354" i="1"/>
  <c r="Z8353" i="1"/>
  <c r="AA8352" i="1"/>
  <c r="AA8353" i="1" s="1"/>
  <c r="Z8352" i="1"/>
  <c r="Z8351" i="1"/>
  <c r="AA8350" i="1"/>
  <c r="AA8356" i="1" s="1"/>
  <c r="AA8357" i="1" s="1"/>
  <c r="Z8350" i="1"/>
  <c r="AA8136" i="1"/>
  <c r="AA8137" i="1" s="1"/>
  <c r="AA8134" i="1"/>
  <c r="AA8140" i="1" s="1"/>
  <c r="AA8141" i="1" s="1"/>
  <c r="Z8146" i="1"/>
  <c r="AA8144" i="1"/>
  <c r="Z8144" i="1"/>
  <c r="AA8143" i="1"/>
  <c r="Z8143" i="1"/>
  <c r="Z8141" i="1"/>
  <c r="Z8140" i="1"/>
  <c r="AA8139" i="1"/>
  <c r="Z8139" i="1"/>
  <c r="Z8138" i="1"/>
  <c r="Z8137" i="1"/>
  <c r="Z8136" i="1"/>
  <c r="Z8135" i="1"/>
  <c r="Z8134" i="1"/>
  <c r="AA8151" i="1"/>
  <c r="AA8152" i="1" s="1"/>
  <c r="AA8149" i="1"/>
  <c r="AA8155" i="1" s="1"/>
  <c r="AA8156" i="1" s="1"/>
  <c r="Z8162" i="1"/>
  <c r="AA8160" i="1"/>
  <c r="Z8160" i="1"/>
  <c r="AA8159" i="1"/>
  <c r="Z8159" i="1"/>
  <c r="Z8157" i="1"/>
  <c r="Z8156" i="1"/>
  <c r="Z8155" i="1"/>
  <c r="AA8154" i="1"/>
  <c r="Z8154" i="1"/>
  <c r="Z8153" i="1"/>
  <c r="Z8152" i="1"/>
  <c r="Z8151" i="1"/>
  <c r="Z8150" i="1"/>
  <c r="Z8149" i="1"/>
  <c r="AA8167" i="1"/>
  <c r="AA8168" i="1" s="1"/>
  <c r="AA8165" i="1"/>
  <c r="AA8171" i="1" s="1"/>
  <c r="AA8172" i="1" s="1"/>
  <c r="Z8178" i="1"/>
  <c r="AA8176" i="1"/>
  <c r="Z8176" i="1"/>
  <c r="AA8175" i="1"/>
  <c r="Z8175" i="1"/>
  <c r="Z8173" i="1"/>
  <c r="Z8172" i="1"/>
  <c r="Z8171" i="1"/>
  <c r="AA8170" i="1"/>
  <c r="Z8170" i="1"/>
  <c r="Z8169" i="1"/>
  <c r="Z8168" i="1"/>
  <c r="Z8167" i="1"/>
  <c r="Z8166" i="1"/>
  <c r="Z8165" i="1"/>
  <c r="AA8183" i="1"/>
  <c r="AA8184" i="1" s="1"/>
  <c r="AA8181" i="1"/>
  <c r="AA8187" i="1" s="1"/>
  <c r="AA8188" i="1" s="1"/>
  <c r="Z8194" i="1"/>
  <c r="AA8192" i="1"/>
  <c r="Z8192" i="1"/>
  <c r="AA8191" i="1"/>
  <c r="Z8191" i="1"/>
  <c r="Z8189" i="1"/>
  <c r="Z8188" i="1"/>
  <c r="Z8187" i="1"/>
  <c r="AA8186" i="1"/>
  <c r="Z8186" i="1"/>
  <c r="Z8185" i="1"/>
  <c r="Z8184" i="1"/>
  <c r="Z8183" i="1"/>
  <c r="Z8182" i="1"/>
  <c r="Z8181" i="1"/>
  <c r="AA8199" i="1"/>
  <c r="AA8200" i="1" s="1"/>
  <c r="AA8197" i="1"/>
  <c r="AA8203" i="1" s="1"/>
  <c r="AA8204" i="1" s="1"/>
  <c r="AA8207" i="1"/>
  <c r="Z8210" i="1"/>
  <c r="AA8208" i="1"/>
  <c r="Z8208" i="1"/>
  <c r="Z8207" i="1"/>
  <c r="Z8205" i="1"/>
  <c r="Z8204" i="1"/>
  <c r="Z8203" i="1"/>
  <c r="AA8202" i="1"/>
  <c r="Z8202" i="1"/>
  <c r="Z8201" i="1"/>
  <c r="Z8200" i="1"/>
  <c r="Z8199" i="1"/>
  <c r="Z8198" i="1"/>
  <c r="Z8197" i="1"/>
  <c r="AA8123" i="1"/>
  <c r="Z8126" i="1"/>
  <c r="AA8124" i="1"/>
  <c r="Z8124" i="1"/>
  <c r="Z8123" i="1"/>
  <c r="Z8121" i="1"/>
  <c r="Z8120" i="1"/>
  <c r="Z8119" i="1"/>
  <c r="AA8118" i="1"/>
  <c r="Z8118" i="1"/>
  <c r="Z8117" i="1"/>
  <c r="Z8116" i="1"/>
  <c r="AA8115" i="1"/>
  <c r="AA8116" i="1" s="1"/>
  <c r="Z8115" i="1"/>
  <c r="Z8114" i="1"/>
  <c r="AA8113" i="1"/>
  <c r="AA8119" i="1" s="1"/>
  <c r="AA8120" i="1" s="1"/>
  <c r="Z8113" i="1"/>
  <c r="AA8047" i="1"/>
  <c r="AA8048" i="1" s="1"/>
  <c r="AA8045" i="1"/>
  <c r="AA8046" i="1" s="1"/>
  <c r="Z8057" i="1"/>
  <c r="AA8055" i="1"/>
  <c r="Z8055" i="1"/>
  <c r="AA8054" i="1"/>
  <c r="Z8054" i="1"/>
  <c r="Z8052" i="1"/>
  <c r="Z8051" i="1"/>
  <c r="AA8050" i="1"/>
  <c r="Z8050" i="1"/>
  <c r="Z8049" i="1"/>
  <c r="Z8048" i="1"/>
  <c r="Z8047" i="1"/>
  <c r="Z8046" i="1"/>
  <c r="Z8045" i="1"/>
  <c r="AA8062" i="1"/>
  <c r="AA8063" i="1" s="1"/>
  <c r="AA8060" i="1"/>
  <c r="AA8066" i="1" s="1"/>
  <c r="AA8067" i="1" s="1"/>
  <c r="Z8072" i="1"/>
  <c r="AA8070" i="1"/>
  <c r="Z8070" i="1"/>
  <c r="AA8069" i="1"/>
  <c r="Z8069" i="1"/>
  <c r="Z8067" i="1"/>
  <c r="Z8066" i="1"/>
  <c r="AA8065" i="1"/>
  <c r="Z8065" i="1"/>
  <c r="Z8064" i="1"/>
  <c r="Z8063" i="1"/>
  <c r="Z8062" i="1"/>
  <c r="Z8061" i="1"/>
  <c r="Z8060" i="1"/>
  <c r="AA8077" i="1"/>
  <c r="AA8078" i="1" s="1"/>
  <c r="AA8075" i="1"/>
  <c r="AA8081" i="1" s="1"/>
  <c r="AA8082" i="1" s="1"/>
  <c r="Z8088" i="1"/>
  <c r="AA8086" i="1"/>
  <c r="Z8086" i="1"/>
  <c r="AA8085" i="1"/>
  <c r="Z8085" i="1"/>
  <c r="Z8083" i="1"/>
  <c r="Z8082" i="1"/>
  <c r="Z8081" i="1"/>
  <c r="AA8080" i="1"/>
  <c r="Z8080" i="1"/>
  <c r="Z8079" i="1"/>
  <c r="Z8078" i="1"/>
  <c r="Z8077" i="1"/>
  <c r="Z8076" i="1"/>
  <c r="Z8075" i="1"/>
  <c r="AA8093" i="1"/>
  <c r="AA8094" i="1" s="1"/>
  <c r="AA8091" i="1"/>
  <c r="AA8097" i="1" s="1"/>
  <c r="AA8098" i="1" s="1"/>
  <c r="AA8101" i="1"/>
  <c r="Z8104" i="1"/>
  <c r="AA8102" i="1"/>
  <c r="Z8102" i="1"/>
  <c r="Z8101" i="1"/>
  <c r="Z8099" i="1"/>
  <c r="Z8098" i="1"/>
  <c r="Z8097" i="1"/>
  <c r="AA8096" i="1"/>
  <c r="Z8096" i="1"/>
  <c r="Z8095" i="1"/>
  <c r="Z8094" i="1"/>
  <c r="Z8093" i="1"/>
  <c r="Z8092" i="1"/>
  <c r="Z8091" i="1"/>
  <c r="AA7997" i="1"/>
  <c r="AA7998" i="1" s="1"/>
  <c r="AA7995" i="1"/>
  <c r="AA8001" i="1" s="1"/>
  <c r="AA8002" i="1" s="1"/>
  <c r="Z8007" i="1"/>
  <c r="AA8005" i="1"/>
  <c r="Z8005" i="1"/>
  <c r="AA8004" i="1"/>
  <c r="Z8004" i="1"/>
  <c r="Z8002" i="1"/>
  <c r="Z8001" i="1"/>
  <c r="AA8000" i="1"/>
  <c r="Z8000" i="1"/>
  <c r="Z7999" i="1"/>
  <c r="Z7998" i="1"/>
  <c r="Z7997" i="1"/>
  <c r="Z7996" i="1"/>
  <c r="Z7995" i="1"/>
  <c r="AA8012" i="1"/>
  <c r="AA8013" i="1" s="1"/>
  <c r="AA8010" i="1"/>
  <c r="AA8016" i="1" s="1"/>
  <c r="AA8017" i="1" s="1"/>
  <c r="Z8022" i="1"/>
  <c r="AA8020" i="1"/>
  <c r="Z8020" i="1"/>
  <c r="AA8019" i="1"/>
  <c r="Z8019" i="1"/>
  <c r="Z8017" i="1"/>
  <c r="Z8016" i="1"/>
  <c r="AA8015" i="1"/>
  <c r="Z8015" i="1"/>
  <c r="Z8014" i="1"/>
  <c r="Z8013" i="1"/>
  <c r="Z8012" i="1"/>
  <c r="Z8011" i="1"/>
  <c r="Z8010" i="1"/>
  <c r="AA8027" i="1"/>
  <c r="AA8028" i="1" s="1"/>
  <c r="AA8025" i="1"/>
  <c r="AA8031" i="1" s="1"/>
  <c r="AA8032" i="1" s="1"/>
  <c r="AA8035" i="1"/>
  <c r="Z8038" i="1"/>
  <c r="AA8036" i="1"/>
  <c r="Z8036" i="1"/>
  <c r="Z8035" i="1"/>
  <c r="Z8033" i="1"/>
  <c r="Z8032" i="1"/>
  <c r="Z8031" i="1"/>
  <c r="AA8030" i="1"/>
  <c r="Z8030" i="1"/>
  <c r="Z8029" i="1"/>
  <c r="Z8028" i="1"/>
  <c r="Z8027" i="1"/>
  <c r="Z8026" i="1"/>
  <c r="Z8025" i="1"/>
  <c r="AA7917" i="1"/>
  <c r="AA7918" i="1" s="1"/>
  <c r="AA7915" i="1"/>
  <c r="AA7921" i="1" s="1"/>
  <c r="AA7922" i="1" s="1"/>
  <c r="Z7927" i="1"/>
  <c r="AA7925" i="1"/>
  <c r="Z7925" i="1"/>
  <c r="AA7924" i="1"/>
  <c r="Z7924" i="1"/>
  <c r="Z7922" i="1"/>
  <c r="Z7921" i="1"/>
  <c r="AA7920" i="1"/>
  <c r="Z7920" i="1"/>
  <c r="Z7919" i="1"/>
  <c r="Z7918" i="1"/>
  <c r="Z7917" i="1"/>
  <c r="Z7916" i="1"/>
  <c r="Z7915" i="1"/>
  <c r="AA7932" i="1"/>
  <c r="AA7933" i="1" s="1"/>
  <c r="AA7930" i="1"/>
  <c r="AA7936" i="1" s="1"/>
  <c r="AA7937" i="1" s="1"/>
  <c r="Z7943" i="1"/>
  <c r="AA7941" i="1"/>
  <c r="Z7941" i="1"/>
  <c r="AA7940" i="1"/>
  <c r="Z7940" i="1"/>
  <c r="Z7938" i="1"/>
  <c r="Z7937" i="1"/>
  <c r="Z7936" i="1"/>
  <c r="AA7935" i="1"/>
  <c r="Z7935" i="1"/>
  <c r="Z7934" i="1"/>
  <c r="Z7933" i="1"/>
  <c r="Z7932" i="1"/>
  <c r="Z7931" i="1"/>
  <c r="Z7930" i="1"/>
  <c r="AA7948" i="1"/>
  <c r="AA7949" i="1" s="1"/>
  <c r="AA7946" i="1"/>
  <c r="AA7952" i="1" s="1"/>
  <c r="AA7953" i="1" s="1"/>
  <c r="Z7959" i="1"/>
  <c r="AA7957" i="1"/>
  <c r="Z7957" i="1"/>
  <c r="AA7956" i="1"/>
  <c r="Z7956" i="1"/>
  <c r="Z7954" i="1"/>
  <c r="Z7953" i="1"/>
  <c r="Z7952" i="1"/>
  <c r="AA7951" i="1"/>
  <c r="Z7951" i="1"/>
  <c r="Z7950" i="1"/>
  <c r="Z7949" i="1"/>
  <c r="Z7948" i="1"/>
  <c r="Z7947" i="1"/>
  <c r="Z7946" i="1"/>
  <c r="AA7964" i="1"/>
  <c r="AA7965" i="1" s="1"/>
  <c r="AA7962" i="1"/>
  <c r="AA7968" i="1" s="1"/>
  <c r="AA7969" i="1" s="1"/>
  <c r="Z7975" i="1"/>
  <c r="AA7973" i="1"/>
  <c r="Z7973" i="1"/>
  <c r="AA7972" i="1"/>
  <c r="Z7972" i="1"/>
  <c r="Z7970" i="1"/>
  <c r="Z7969" i="1"/>
  <c r="Z7968" i="1"/>
  <c r="AA7967" i="1"/>
  <c r="Z7967" i="1"/>
  <c r="Z7966" i="1"/>
  <c r="Z7965" i="1"/>
  <c r="Z7964" i="1"/>
  <c r="Z7963" i="1"/>
  <c r="Z7962" i="1"/>
  <c r="AA7980" i="1"/>
  <c r="AA7981" i="1" s="1"/>
  <c r="AA7978" i="1"/>
  <c r="AA7984" i="1" s="1"/>
  <c r="AA7985" i="1" s="1"/>
  <c r="AA7988" i="1"/>
  <c r="Z7991" i="1"/>
  <c r="AA7989" i="1"/>
  <c r="Z7989" i="1"/>
  <c r="Z7988" i="1"/>
  <c r="Z7986" i="1"/>
  <c r="Z7985" i="1"/>
  <c r="Z7984" i="1"/>
  <c r="AA7983" i="1"/>
  <c r="Z7983" i="1"/>
  <c r="Z7982" i="1"/>
  <c r="Z7981" i="1"/>
  <c r="Z7980" i="1"/>
  <c r="Z7979" i="1"/>
  <c r="Z7978" i="1"/>
  <c r="AA7835" i="1"/>
  <c r="AA7836" i="1" s="1"/>
  <c r="AA7833" i="1"/>
  <c r="AA7834" i="1" s="1"/>
  <c r="Z7845" i="1"/>
  <c r="AA7843" i="1"/>
  <c r="Z7843" i="1"/>
  <c r="AA7842" i="1"/>
  <c r="Z7842" i="1"/>
  <c r="Z7840" i="1"/>
  <c r="Z7839" i="1"/>
  <c r="AA7838" i="1"/>
  <c r="Z7838" i="1"/>
  <c r="Z7837" i="1"/>
  <c r="Z7836" i="1"/>
  <c r="Z7835" i="1"/>
  <c r="Z7834" i="1"/>
  <c r="Z7833" i="1"/>
  <c r="AA7850" i="1"/>
  <c r="AA7851" i="1" s="1"/>
  <c r="AA7848" i="1"/>
  <c r="AA7854" i="1" s="1"/>
  <c r="AA7855" i="1" s="1"/>
  <c r="AA7865" i="1"/>
  <c r="AA7866" i="1" s="1"/>
  <c r="AA7863" i="1"/>
  <c r="AA7869" i="1" s="1"/>
  <c r="AA7870" i="1" s="1"/>
  <c r="AA7881" i="1"/>
  <c r="AA7882" i="1" s="1"/>
  <c r="AA7879" i="1"/>
  <c r="AA7885" i="1" s="1"/>
  <c r="AA7886" i="1" s="1"/>
  <c r="AA7897" i="1"/>
  <c r="AA7898" i="1" s="1"/>
  <c r="AA7895" i="1"/>
  <c r="AA7901" i="1" s="1"/>
  <c r="AA7902" i="1" s="1"/>
  <c r="AA7817" i="1"/>
  <c r="AA7818" i="1" s="1"/>
  <c r="AA7815" i="1"/>
  <c r="AA7821" i="1" s="1"/>
  <c r="AA7822" i="1" s="1"/>
  <c r="AA7802" i="1"/>
  <c r="AA7803" i="1" s="1"/>
  <c r="AA7800" i="1"/>
  <c r="AA7806" i="1" s="1"/>
  <c r="AA7807" i="1" s="1"/>
  <c r="AA7787" i="1"/>
  <c r="AA7788" i="1" s="1"/>
  <c r="AA7785" i="1"/>
  <c r="AA7786" i="1" s="1"/>
  <c r="Z7860" i="1"/>
  <c r="AA7858" i="1"/>
  <c r="Z7858" i="1"/>
  <c r="AA7857" i="1"/>
  <c r="Z7857" i="1"/>
  <c r="Z7855" i="1"/>
  <c r="Z7854" i="1"/>
  <c r="AA7853" i="1"/>
  <c r="Z7853" i="1"/>
  <c r="Z7852" i="1"/>
  <c r="Z7851" i="1"/>
  <c r="Z7850" i="1"/>
  <c r="Z7849" i="1"/>
  <c r="Z7848" i="1"/>
  <c r="Z7876" i="1"/>
  <c r="AA7874" i="1"/>
  <c r="Z7874" i="1"/>
  <c r="AA7873" i="1"/>
  <c r="Z7873" i="1"/>
  <c r="Z7871" i="1"/>
  <c r="Z7870" i="1"/>
  <c r="Z7869" i="1"/>
  <c r="AA7868" i="1"/>
  <c r="Z7868" i="1"/>
  <c r="Z7867" i="1"/>
  <c r="Z7866" i="1"/>
  <c r="Z7865" i="1"/>
  <c r="Z7864" i="1"/>
  <c r="Z7863" i="1"/>
  <c r="Z7892" i="1"/>
  <c r="AA7890" i="1"/>
  <c r="Z7890" i="1"/>
  <c r="AA7889" i="1"/>
  <c r="Z7889" i="1"/>
  <c r="Z7887" i="1"/>
  <c r="Z7886" i="1"/>
  <c r="Z7885" i="1"/>
  <c r="AA7884" i="1"/>
  <c r="Z7884" i="1"/>
  <c r="Z7883" i="1"/>
  <c r="Z7882" i="1"/>
  <c r="Z7881" i="1"/>
  <c r="Z7880" i="1"/>
  <c r="Z7879" i="1"/>
  <c r="AA7905" i="1"/>
  <c r="Z7908" i="1"/>
  <c r="AA7906" i="1"/>
  <c r="Z7906" i="1"/>
  <c r="Z7905" i="1"/>
  <c r="Z7903" i="1"/>
  <c r="Z7902" i="1"/>
  <c r="Z7901" i="1"/>
  <c r="AA7900" i="1"/>
  <c r="Z7900" i="1"/>
  <c r="Z7899" i="1"/>
  <c r="Z7898" i="1"/>
  <c r="Z7897" i="1"/>
  <c r="Z7896" i="1"/>
  <c r="Z7895" i="1"/>
  <c r="Z7797" i="1"/>
  <c r="AA7795" i="1"/>
  <c r="AA7796" i="1" s="1"/>
  <c r="Z7795" i="1"/>
  <c r="AA7794" i="1"/>
  <c r="Z7794" i="1"/>
  <c r="Z7792" i="1"/>
  <c r="Z7791" i="1"/>
  <c r="AA7790" i="1"/>
  <c r="Z7790" i="1"/>
  <c r="Z7789" i="1"/>
  <c r="Z7788" i="1"/>
  <c r="Z7787" i="1"/>
  <c r="Z7786" i="1"/>
  <c r="Z7785" i="1"/>
  <c r="Z7812" i="1"/>
  <c r="AA7810" i="1"/>
  <c r="Z7810" i="1"/>
  <c r="AA7809" i="1"/>
  <c r="Z7809" i="1"/>
  <c r="Z7807" i="1"/>
  <c r="Z7806" i="1"/>
  <c r="AA7805" i="1"/>
  <c r="Z7805" i="1"/>
  <c r="Z7804" i="1"/>
  <c r="Z7803" i="1"/>
  <c r="Z7802" i="1"/>
  <c r="Z7801" i="1"/>
  <c r="Z7800" i="1"/>
  <c r="AA7826" i="1"/>
  <c r="AA7825" i="1"/>
  <c r="Z7828" i="1"/>
  <c r="Z7826" i="1"/>
  <c r="Z7825" i="1"/>
  <c r="Z7823" i="1"/>
  <c r="Z7822" i="1"/>
  <c r="Z7821" i="1"/>
  <c r="AA7820" i="1"/>
  <c r="Z7820" i="1"/>
  <c r="Z7819" i="1"/>
  <c r="Z7818" i="1"/>
  <c r="Z7817" i="1"/>
  <c r="Z7816" i="1"/>
  <c r="Z7815" i="1"/>
  <c r="AA7762" i="1"/>
  <c r="AA7768" i="1" s="1"/>
  <c r="AA7769" i="1" s="1"/>
  <c r="AA7776" i="1"/>
  <c r="AA7764" i="1"/>
  <c r="AA7765" i="1" s="1"/>
  <c r="AA7774" i="1"/>
  <c r="Z7779" i="1"/>
  <c r="Z7777" i="1"/>
  <c r="Z7776" i="1"/>
  <c r="Z7775" i="1"/>
  <c r="Z7774" i="1"/>
  <c r="Z7773" i="1"/>
  <c r="Z7772" i="1"/>
  <c r="Z7771" i="1"/>
  <c r="Z7769" i="1"/>
  <c r="Z7768" i="1"/>
  <c r="AA7767" i="1"/>
  <c r="Z7767" i="1"/>
  <c r="Z7766" i="1"/>
  <c r="Z7765" i="1"/>
  <c r="Z7764" i="1"/>
  <c r="Z7763" i="1"/>
  <c r="Z7762" i="1"/>
  <c r="G7782" i="1"/>
  <c r="J7782" i="1"/>
  <c r="K7782" i="1" s="1"/>
  <c r="M7782" i="1" s="1"/>
  <c r="O7782" i="1"/>
  <c r="AA8533" i="1" l="1"/>
  <c r="AA8532" i="1"/>
  <c r="AA8517" i="1"/>
  <c r="AA8516" i="1"/>
  <c r="AA8495" i="1"/>
  <c r="AA8494" i="1"/>
  <c r="AA8479" i="1"/>
  <c r="AA8478" i="1"/>
  <c r="AA8459" i="1"/>
  <c r="AA8458" i="1"/>
  <c r="AA8443" i="1"/>
  <c r="AA8442" i="1"/>
  <c r="AA8427" i="1"/>
  <c r="AA8426" i="1"/>
  <c r="AA8411" i="1"/>
  <c r="AA8410" i="1"/>
  <c r="AA8395" i="1"/>
  <c r="AA8394" i="1"/>
  <c r="AA8380" i="1"/>
  <c r="AA8379" i="1"/>
  <c r="AA8363" i="1"/>
  <c r="AA8362" i="1"/>
  <c r="AA8342" i="1"/>
  <c r="AA8341" i="1"/>
  <c r="AA8326" i="1"/>
  <c r="AA8325" i="1"/>
  <c r="AA8310" i="1"/>
  <c r="AA8309" i="1"/>
  <c r="AA8294" i="1"/>
  <c r="AA8293" i="1"/>
  <c r="AA8277" i="1"/>
  <c r="AA8276" i="1"/>
  <c r="AA8259" i="1"/>
  <c r="AA8258" i="1"/>
  <c r="AA8243" i="1"/>
  <c r="AA8242" i="1"/>
  <c r="AA8227" i="1"/>
  <c r="AA8226" i="1"/>
  <c r="AA8210" i="1"/>
  <c r="AA8209" i="1"/>
  <c r="AA8194" i="1"/>
  <c r="AA8193" i="1"/>
  <c r="AA8178" i="1"/>
  <c r="AA8177" i="1"/>
  <c r="AA8162" i="1"/>
  <c r="AA8161" i="1"/>
  <c r="AA8146" i="1"/>
  <c r="AA8145" i="1"/>
  <c r="AA8126" i="1"/>
  <c r="AA8125" i="1"/>
  <c r="AA8104" i="1"/>
  <c r="AA8103" i="1"/>
  <c r="AA8088" i="1"/>
  <c r="AA8087" i="1"/>
  <c r="AA8072" i="1"/>
  <c r="AA8071" i="1"/>
  <c r="AA8057" i="1"/>
  <c r="AA8056" i="1"/>
  <c r="AA8038" i="1"/>
  <c r="AA8037" i="1"/>
  <c r="AA8022" i="1"/>
  <c r="AA8021" i="1"/>
  <c r="AA8007" i="1"/>
  <c r="AA8006" i="1"/>
  <c r="AA7991" i="1"/>
  <c r="AA7990" i="1"/>
  <c r="AA7975" i="1"/>
  <c r="AA7974" i="1"/>
  <c r="AA7959" i="1"/>
  <c r="AA7958" i="1"/>
  <c r="AA7943" i="1"/>
  <c r="AA7942" i="1"/>
  <c r="AA7927" i="1"/>
  <c r="AA7926" i="1"/>
  <c r="AA7908" i="1"/>
  <c r="AA7907" i="1"/>
  <c r="AA7892" i="1"/>
  <c r="AA7891" i="1"/>
  <c r="AA7876" i="1"/>
  <c r="AA7875" i="1"/>
  <c r="AA7860" i="1"/>
  <c r="AA7859" i="1"/>
  <c r="AA7845" i="1"/>
  <c r="AA7844" i="1"/>
  <c r="AA7828" i="1"/>
  <c r="AA7827" i="1"/>
  <c r="AA7812" i="1"/>
  <c r="AA7811" i="1"/>
  <c r="AA7797" i="1"/>
  <c r="AA8404" i="1"/>
  <c r="AA8405" i="1" s="1"/>
  <c r="AA8505" i="1"/>
  <c r="AA8521" i="1"/>
  <c r="AA8467" i="1"/>
  <c r="AA8483" i="1"/>
  <c r="AA8369" i="1"/>
  <c r="AA8384" i="1"/>
  <c r="AA8436" i="1"/>
  <c r="AA8437" i="1" s="1"/>
  <c r="AA8415" i="1"/>
  <c r="AA8221" i="1"/>
  <c r="AA8222" i="1" s="1"/>
  <c r="AA8447" i="1"/>
  <c r="AA8231" i="1"/>
  <c r="AA8247" i="1"/>
  <c r="AA8266" i="1"/>
  <c r="AA8282" i="1"/>
  <c r="AA8298" i="1"/>
  <c r="AA8314" i="1"/>
  <c r="AA8330" i="1"/>
  <c r="AA8351" i="1"/>
  <c r="AA8135" i="1"/>
  <c r="AA8150" i="1"/>
  <c r="AA8166" i="1"/>
  <c r="AA8051" i="1"/>
  <c r="AA8052" i="1" s="1"/>
  <c r="AA8182" i="1"/>
  <c r="AA8198" i="1"/>
  <c r="AA8114" i="1"/>
  <c r="AA8061" i="1"/>
  <c r="AA8076" i="1"/>
  <c r="AA7996" i="1"/>
  <c r="AA8092" i="1"/>
  <c r="AA7947" i="1"/>
  <c r="AA8011" i="1"/>
  <c r="AA8026" i="1"/>
  <c r="AA7963" i="1"/>
  <c r="AA7916" i="1"/>
  <c r="AA7931" i="1"/>
  <c r="AA7839" i="1"/>
  <c r="AA7840" i="1" s="1"/>
  <c r="AA7979" i="1"/>
  <c r="AA7864" i="1"/>
  <c r="AA7849" i="1"/>
  <c r="AA7791" i="1"/>
  <c r="AA7792" i="1" s="1"/>
  <c r="AA7880" i="1"/>
  <c r="AA7896" i="1"/>
  <c r="AA7801" i="1"/>
  <c r="AA7816" i="1"/>
  <c r="P7782" i="1"/>
  <c r="AA7763" i="1"/>
  <c r="AC7782" i="1"/>
  <c r="AB7782" i="1" s="1"/>
  <c r="H7782" i="1" s="1"/>
  <c r="I7782" i="1" s="1"/>
  <c r="N7782" i="1"/>
  <c r="AA7122" i="1"/>
  <c r="AA7123" i="1" s="1"/>
  <c r="AA7120" i="1"/>
  <c r="AA7126" i="1" s="1"/>
  <c r="AA7127" i="1" s="1"/>
  <c r="Z7136" i="1"/>
  <c r="Z7134" i="1"/>
  <c r="Z7133" i="1"/>
  <c r="AA7133" i="1"/>
  <c r="Z7132" i="1"/>
  <c r="Z7131" i="1"/>
  <c r="Z7130" i="1"/>
  <c r="Z7129" i="1"/>
  <c r="Z7127" i="1"/>
  <c r="Z7126" i="1"/>
  <c r="AA7125" i="1"/>
  <c r="Z7125" i="1"/>
  <c r="Z7124" i="1"/>
  <c r="Z7123" i="1"/>
  <c r="Z7122" i="1"/>
  <c r="Z7121" i="1"/>
  <c r="Z7120" i="1"/>
  <c r="AA7141" i="1"/>
  <c r="AA7142" i="1" s="1"/>
  <c r="AA7139" i="1"/>
  <c r="AA7145" i="1" s="1"/>
  <c r="AA7146" i="1" s="1"/>
  <c r="Z7155" i="1"/>
  <c r="Z7153" i="1"/>
  <c r="Z7152" i="1"/>
  <c r="AA7152" i="1"/>
  <c r="Z7151" i="1"/>
  <c r="Z7150" i="1"/>
  <c r="Z7149" i="1"/>
  <c r="Z7148" i="1"/>
  <c r="Z7146" i="1"/>
  <c r="Z7145" i="1"/>
  <c r="AA7144" i="1"/>
  <c r="Z7144" i="1"/>
  <c r="Z7143" i="1"/>
  <c r="Z7142" i="1"/>
  <c r="Z7141" i="1"/>
  <c r="Z7140" i="1"/>
  <c r="Z7139" i="1"/>
  <c r="AA7160" i="1"/>
  <c r="AA7161" i="1" s="1"/>
  <c r="AA7158" i="1"/>
  <c r="AA7164" i="1" s="1"/>
  <c r="AA7165" i="1" s="1"/>
  <c r="Z7175" i="1"/>
  <c r="Z7173" i="1"/>
  <c r="Z7172" i="1"/>
  <c r="AA7172" i="1"/>
  <c r="Z7171" i="1"/>
  <c r="Z7170" i="1"/>
  <c r="Z7169" i="1"/>
  <c r="Z7168" i="1"/>
  <c r="Z7166" i="1"/>
  <c r="Z7165" i="1"/>
  <c r="Z7164" i="1"/>
  <c r="AA7163" i="1"/>
  <c r="Z7163" i="1"/>
  <c r="Z7162" i="1"/>
  <c r="Z7161" i="1"/>
  <c r="Z7160" i="1"/>
  <c r="Z7159" i="1"/>
  <c r="Z7158" i="1"/>
  <c r="AA7180" i="1"/>
  <c r="AA7181" i="1" s="1"/>
  <c r="AA7178" i="1"/>
  <c r="AA7184" i="1" s="1"/>
  <c r="AA7185" i="1" s="1"/>
  <c r="Z7195" i="1"/>
  <c r="Z7193" i="1"/>
  <c r="Z7192" i="1"/>
  <c r="AA7192" i="1"/>
  <c r="Z7191" i="1"/>
  <c r="Z7190" i="1"/>
  <c r="Z7189" i="1"/>
  <c r="Z7188" i="1"/>
  <c r="Z7186" i="1"/>
  <c r="Z7185" i="1"/>
  <c r="Z7184" i="1"/>
  <c r="AA7183" i="1"/>
  <c r="Z7183" i="1"/>
  <c r="Z7182" i="1"/>
  <c r="Z7181" i="1"/>
  <c r="Z7180" i="1"/>
  <c r="Z7179" i="1"/>
  <c r="Z7178" i="1"/>
  <c r="AA7200" i="1"/>
  <c r="AA7201" i="1" s="1"/>
  <c r="AA7198" i="1"/>
  <c r="AA7204" i="1" s="1"/>
  <c r="AA7205" i="1" s="1"/>
  <c r="Z7215" i="1"/>
  <c r="Z7213" i="1"/>
  <c r="Z7212" i="1"/>
  <c r="AA7212" i="1"/>
  <c r="Z7211" i="1"/>
  <c r="Z7210" i="1"/>
  <c r="Z7209" i="1"/>
  <c r="Z7208" i="1"/>
  <c r="Z7206" i="1"/>
  <c r="Z7205" i="1"/>
  <c r="Z7204" i="1"/>
  <c r="AA7203" i="1"/>
  <c r="Z7203" i="1"/>
  <c r="Z7202" i="1"/>
  <c r="Z7201" i="1"/>
  <c r="Z7200" i="1"/>
  <c r="Z7199" i="1"/>
  <c r="Z7198" i="1"/>
  <c r="AA7220" i="1"/>
  <c r="AA7221" i="1" s="1"/>
  <c r="AA7218" i="1"/>
  <c r="AA7224" i="1" s="1"/>
  <c r="AA7225" i="1" s="1"/>
  <c r="AA7232" i="1"/>
  <c r="Z7235" i="1"/>
  <c r="Z7233" i="1"/>
  <c r="Z7232" i="1"/>
  <c r="Z7231" i="1"/>
  <c r="Z7230" i="1"/>
  <c r="Z7229" i="1"/>
  <c r="Z7228" i="1"/>
  <c r="Z7226" i="1"/>
  <c r="Z7225" i="1"/>
  <c r="Z7224" i="1"/>
  <c r="AA7223" i="1"/>
  <c r="Z7223" i="1"/>
  <c r="Z7222" i="1"/>
  <c r="Z7221" i="1"/>
  <c r="Z7220" i="1"/>
  <c r="Z7219" i="1"/>
  <c r="Z7218" i="1"/>
  <c r="AA7241" i="1"/>
  <c r="AA7242" i="1" s="1"/>
  <c r="AA7239" i="1"/>
  <c r="AA7245" i="1" s="1"/>
  <c r="AA7246" i="1" s="1"/>
  <c r="Z7255" i="1"/>
  <c r="Z7253" i="1"/>
  <c r="Z7252" i="1"/>
  <c r="AA7252" i="1"/>
  <c r="Z7251" i="1"/>
  <c r="Z7250" i="1"/>
  <c r="Z7249" i="1"/>
  <c r="Z7248" i="1"/>
  <c r="Z7246" i="1"/>
  <c r="Z7245" i="1"/>
  <c r="AA7244" i="1"/>
  <c r="Z7244" i="1"/>
  <c r="Z7243" i="1"/>
  <c r="Z7242" i="1"/>
  <c r="Z7241" i="1"/>
  <c r="Z7240" i="1"/>
  <c r="Z7239" i="1"/>
  <c r="AA7260" i="1"/>
  <c r="AA7261" i="1" s="1"/>
  <c r="AA7258" i="1"/>
  <c r="AA7264" i="1" s="1"/>
  <c r="AA7265" i="1" s="1"/>
  <c r="Z7275" i="1"/>
  <c r="Z7273" i="1"/>
  <c r="Z7272" i="1"/>
  <c r="AA7272" i="1"/>
  <c r="Z7271" i="1"/>
  <c r="Z7270" i="1"/>
  <c r="Z7269" i="1"/>
  <c r="Z7268" i="1"/>
  <c r="Z7266" i="1"/>
  <c r="Z7265" i="1"/>
  <c r="Z7264" i="1"/>
  <c r="AA7263" i="1"/>
  <c r="Z7263" i="1"/>
  <c r="Z7262" i="1"/>
  <c r="Z7261" i="1"/>
  <c r="Z7260" i="1"/>
  <c r="Z7259" i="1"/>
  <c r="Z7258" i="1"/>
  <c r="AA7280" i="1"/>
  <c r="AA7281" i="1" s="1"/>
  <c r="AA7278" i="1"/>
  <c r="AA7284" i="1" s="1"/>
  <c r="AA7285" i="1" s="1"/>
  <c r="Z7295" i="1"/>
  <c r="Z7293" i="1"/>
  <c r="Z7292" i="1"/>
  <c r="AA7292" i="1"/>
  <c r="Z7291" i="1"/>
  <c r="Z7290" i="1"/>
  <c r="Z7289" i="1"/>
  <c r="Z7288" i="1"/>
  <c r="Z7286" i="1"/>
  <c r="Z7285" i="1"/>
  <c r="Z7284" i="1"/>
  <c r="AA7283" i="1"/>
  <c r="Z7283" i="1"/>
  <c r="Z7282" i="1"/>
  <c r="Z7281" i="1"/>
  <c r="Z7280" i="1"/>
  <c r="Z7279" i="1"/>
  <c r="Z7278" i="1"/>
  <c r="AA7300" i="1"/>
  <c r="AA7301" i="1" s="1"/>
  <c r="AA7298" i="1"/>
  <c r="AA7299" i="1" s="1"/>
  <c r="Z7315" i="1"/>
  <c r="Z7313" i="1"/>
  <c r="Z7312" i="1"/>
  <c r="AA7312" i="1"/>
  <c r="Z7311" i="1"/>
  <c r="Z7310" i="1"/>
  <c r="Z7309" i="1"/>
  <c r="Z7308" i="1"/>
  <c r="Z7306" i="1"/>
  <c r="Z7305" i="1"/>
  <c r="Z7304" i="1"/>
  <c r="AA7303" i="1"/>
  <c r="Z7303" i="1"/>
  <c r="Z7302" i="1"/>
  <c r="Z7301" i="1"/>
  <c r="Z7300" i="1"/>
  <c r="Z7299" i="1"/>
  <c r="Z7298" i="1"/>
  <c r="AA7320" i="1"/>
  <c r="AA7321" i="1" s="1"/>
  <c r="AA7318" i="1"/>
  <c r="AA7319" i="1" s="1"/>
  <c r="AA7332" i="1"/>
  <c r="Z7335" i="1"/>
  <c r="Z7333" i="1"/>
  <c r="Z7332" i="1"/>
  <c r="Z7331" i="1"/>
  <c r="Z7330" i="1"/>
  <c r="Z7329" i="1"/>
  <c r="Z7328" i="1"/>
  <c r="Z7326" i="1"/>
  <c r="Z7325" i="1"/>
  <c r="Z7324" i="1"/>
  <c r="AA7323" i="1"/>
  <c r="Z7323" i="1"/>
  <c r="Z7322" i="1"/>
  <c r="Z7321" i="1"/>
  <c r="Z7320" i="1"/>
  <c r="Z7319" i="1"/>
  <c r="Z7318" i="1"/>
  <c r="AA7341" i="1"/>
  <c r="AA7342" i="1" s="1"/>
  <c r="AA7339" i="1"/>
  <c r="AA7345" i="1" s="1"/>
  <c r="AA7346" i="1" s="1"/>
  <c r="Z7355" i="1"/>
  <c r="Z7353" i="1"/>
  <c r="Z7352" i="1"/>
  <c r="AA7352" i="1"/>
  <c r="Z7351" i="1"/>
  <c r="Z7350" i="1"/>
  <c r="Z7349" i="1"/>
  <c r="Z7348" i="1"/>
  <c r="Z7346" i="1"/>
  <c r="Z7345" i="1"/>
  <c r="AA7344" i="1"/>
  <c r="Z7344" i="1"/>
  <c r="Z7343" i="1"/>
  <c r="Z7342" i="1"/>
  <c r="Z7341" i="1"/>
  <c r="Z7340" i="1"/>
  <c r="Z7339" i="1"/>
  <c r="AA7360" i="1"/>
  <c r="AA7361" i="1" s="1"/>
  <c r="AA7358" i="1"/>
  <c r="AA7364" i="1" s="1"/>
  <c r="AA7365" i="1" s="1"/>
  <c r="Z7375" i="1"/>
  <c r="Z7373" i="1"/>
  <c r="Z7372" i="1"/>
  <c r="AA7372" i="1"/>
  <c r="Z7371" i="1"/>
  <c r="Z7370" i="1"/>
  <c r="Z7369" i="1"/>
  <c r="Z7368" i="1"/>
  <c r="Z7366" i="1"/>
  <c r="Z7365" i="1"/>
  <c r="Z7364" i="1"/>
  <c r="AA7363" i="1"/>
  <c r="Z7363" i="1"/>
  <c r="Z7362" i="1"/>
  <c r="Z7361" i="1"/>
  <c r="Z7360" i="1"/>
  <c r="Z7359" i="1"/>
  <c r="Z7358" i="1"/>
  <c r="AA7380" i="1"/>
  <c r="AA7381" i="1" s="1"/>
  <c r="AA7378" i="1"/>
  <c r="AA7384" i="1" s="1"/>
  <c r="AA7385" i="1" s="1"/>
  <c r="Z7395" i="1"/>
  <c r="Z7393" i="1"/>
  <c r="Z7392" i="1"/>
  <c r="AA7392" i="1"/>
  <c r="Z7391" i="1"/>
  <c r="Z7390" i="1"/>
  <c r="Z7389" i="1"/>
  <c r="Z7388" i="1"/>
  <c r="Z7386" i="1"/>
  <c r="Z7385" i="1"/>
  <c r="Z7384" i="1"/>
  <c r="AA7383" i="1"/>
  <c r="Z7383" i="1"/>
  <c r="Z7382" i="1"/>
  <c r="Z7381" i="1"/>
  <c r="Z7380" i="1"/>
  <c r="Z7379" i="1"/>
  <c r="Z7378" i="1"/>
  <c r="AA7400" i="1"/>
  <c r="AA7401" i="1" s="1"/>
  <c r="AA7398" i="1"/>
  <c r="AA7404" i="1" s="1"/>
  <c r="AA7405" i="1" s="1"/>
  <c r="AA7412" i="1"/>
  <c r="Z7415" i="1"/>
  <c r="Z7413" i="1"/>
  <c r="Z7412" i="1"/>
  <c r="Z7411" i="1"/>
  <c r="Z7410" i="1"/>
  <c r="Z7409" i="1"/>
  <c r="Z7408" i="1"/>
  <c r="Z7406" i="1"/>
  <c r="Z7405" i="1"/>
  <c r="Z7404" i="1"/>
  <c r="AA7403" i="1"/>
  <c r="Z7403" i="1"/>
  <c r="Z7402" i="1"/>
  <c r="Z7401" i="1"/>
  <c r="Z7400" i="1"/>
  <c r="Z7399" i="1"/>
  <c r="Z7398" i="1"/>
  <c r="AA7421" i="1"/>
  <c r="AA7422" i="1" s="1"/>
  <c r="AA7419" i="1"/>
  <c r="AA7425" i="1" s="1"/>
  <c r="AA7426" i="1" s="1"/>
  <c r="Z7435" i="1"/>
  <c r="Z7433" i="1"/>
  <c r="Z7432" i="1"/>
  <c r="AA7432" i="1"/>
  <c r="Z7431" i="1"/>
  <c r="Z7430" i="1"/>
  <c r="Z7429" i="1"/>
  <c r="Z7428" i="1"/>
  <c r="Z7426" i="1"/>
  <c r="Z7425" i="1"/>
  <c r="AA7424" i="1"/>
  <c r="Z7424" i="1"/>
  <c r="Z7423" i="1"/>
  <c r="Z7422" i="1"/>
  <c r="Z7421" i="1"/>
  <c r="Z7420" i="1"/>
  <c r="Z7419" i="1"/>
  <c r="AA7440" i="1"/>
  <c r="AA7441" i="1" s="1"/>
  <c r="AA7438" i="1"/>
  <c r="AA7444" i="1" s="1"/>
  <c r="AA7445" i="1" s="1"/>
  <c r="Z7454" i="1"/>
  <c r="Z7452" i="1"/>
  <c r="Z7451" i="1"/>
  <c r="AA7451" i="1"/>
  <c r="Z7450" i="1"/>
  <c r="Z7449" i="1"/>
  <c r="Z7448" i="1"/>
  <c r="Z7447" i="1"/>
  <c r="Z7445" i="1"/>
  <c r="Z7444" i="1"/>
  <c r="AA7443" i="1"/>
  <c r="Z7443" i="1"/>
  <c r="Z7442" i="1"/>
  <c r="Z7441" i="1"/>
  <c r="Z7440" i="1"/>
  <c r="Z7439" i="1"/>
  <c r="Z7438" i="1"/>
  <c r="AA7459" i="1"/>
  <c r="AA7460" i="1" s="1"/>
  <c r="AA7457" i="1"/>
  <c r="AA7463" i="1" s="1"/>
  <c r="AA7464" i="1" s="1"/>
  <c r="Z7474" i="1"/>
  <c r="Z7472" i="1"/>
  <c r="Z7471" i="1"/>
  <c r="AA7471" i="1"/>
  <c r="Z7470" i="1"/>
  <c r="Z7469" i="1"/>
  <c r="Z7468" i="1"/>
  <c r="Z7467" i="1"/>
  <c r="Z7465" i="1"/>
  <c r="Z7464" i="1"/>
  <c r="Z7463" i="1"/>
  <c r="AA7462" i="1"/>
  <c r="Z7462" i="1"/>
  <c r="Z7461" i="1"/>
  <c r="Z7460" i="1"/>
  <c r="Z7459" i="1"/>
  <c r="Z7458" i="1"/>
  <c r="Z7457" i="1"/>
  <c r="AA7479" i="1"/>
  <c r="AA7480" i="1" s="1"/>
  <c r="AA7477" i="1"/>
  <c r="AA7483" i="1" s="1"/>
  <c r="AA7484" i="1" s="1"/>
  <c r="Z7494" i="1"/>
  <c r="Z7492" i="1"/>
  <c r="Z7491" i="1"/>
  <c r="AA7491" i="1"/>
  <c r="Z7490" i="1"/>
  <c r="Z7489" i="1"/>
  <c r="Z7488" i="1"/>
  <c r="Z7487" i="1"/>
  <c r="Z7485" i="1"/>
  <c r="Z7484" i="1"/>
  <c r="Z7483" i="1"/>
  <c r="AA7482" i="1"/>
  <c r="Z7482" i="1"/>
  <c r="Z7481" i="1"/>
  <c r="Z7480" i="1"/>
  <c r="Z7479" i="1"/>
  <c r="Z7478" i="1"/>
  <c r="Z7477" i="1"/>
  <c r="AA7499" i="1"/>
  <c r="AA7500" i="1" s="1"/>
  <c r="AA7497" i="1"/>
  <c r="AA7503" i="1" s="1"/>
  <c r="AA7504" i="1" s="1"/>
  <c r="Z7514" i="1"/>
  <c r="Z7512" i="1"/>
  <c r="Z7511" i="1"/>
  <c r="AA7511" i="1"/>
  <c r="Z7510" i="1"/>
  <c r="Z7509" i="1"/>
  <c r="Z7508" i="1"/>
  <c r="Z7507" i="1"/>
  <c r="Z7505" i="1"/>
  <c r="Z7504" i="1"/>
  <c r="Z7503" i="1"/>
  <c r="AA7502" i="1"/>
  <c r="Z7502" i="1"/>
  <c r="Z7501" i="1"/>
  <c r="Z7500" i="1"/>
  <c r="Z7499" i="1"/>
  <c r="Z7498" i="1"/>
  <c r="Z7497" i="1"/>
  <c r="AA7519" i="1"/>
  <c r="AA7520" i="1" s="1"/>
  <c r="AA7517" i="1"/>
  <c r="AA7523" i="1" s="1"/>
  <c r="AA7524" i="1" s="1"/>
  <c r="AA7531" i="1"/>
  <c r="Z7534" i="1"/>
  <c r="Z7532" i="1"/>
  <c r="Z7531" i="1"/>
  <c r="Z7530" i="1"/>
  <c r="Z7529" i="1"/>
  <c r="Z7528" i="1"/>
  <c r="Z7527" i="1"/>
  <c r="Z7525" i="1"/>
  <c r="Z7524" i="1"/>
  <c r="Z7523" i="1"/>
  <c r="AA7522" i="1"/>
  <c r="Z7522" i="1"/>
  <c r="Z7521" i="1"/>
  <c r="Z7520" i="1"/>
  <c r="Z7519" i="1"/>
  <c r="Z7518" i="1"/>
  <c r="Z7517" i="1"/>
  <c r="AA7540" i="1"/>
  <c r="AA7541" i="1" s="1"/>
  <c r="AA7538" i="1"/>
  <c r="AA7544" i="1" s="1"/>
  <c r="AA7545" i="1" s="1"/>
  <c r="Z7554" i="1"/>
  <c r="Z7552" i="1"/>
  <c r="Z7551" i="1"/>
  <c r="AA7551" i="1"/>
  <c r="Z7550" i="1"/>
  <c r="Z7549" i="1"/>
  <c r="Z7548" i="1"/>
  <c r="Z7547" i="1"/>
  <c r="Z7545" i="1"/>
  <c r="Z7544" i="1"/>
  <c r="AA7543" i="1"/>
  <c r="Z7543" i="1"/>
  <c r="Z7542" i="1"/>
  <c r="Z7541" i="1"/>
  <c r="Z7540" i="1"/>
  <c r="Z7539" i="1"/>
  <c r="Z7538" i="1"/>
  <c r="AA7559" i="1"/>
  <c r="AA7560" i="1" s="1"/>
  <c r="AA7557" i="1"/>
  <c r="AA7563" i="1" s="1"/>
  <c r="AA7564" i="1" s="1"/>
  <c r="Z7574" i="1"/>
  <c r="Z7572" i="1"/>
  <c r="Z7571" i="1"/>
  <c r="AA7571" i="1"/>
  <c r="Z7570" i="1"/>
  <c r="Z7569" i="1"/>
  <c r="Z7568" i="1"/>
  <c r="Z7567" i="1"/>
  <c r="Z7565" i="1"/>
  <c r="Z7564" i="1"/>
  <c r="Z7563" i="1"/>
  <c r="AA7562" i="1"/>
  <c r="Z7562" i="1"/>
  <c r="Z7561" i="1"/>
  <c r="Z7560" i="1"/>
  <c r="Z7559" i="1"/>
  <c r="Z7558" i="1"/>
  <c r="Z7557" i="1"/>
  <c r="AA7579" i="1"/>
  <c r="AA7580" i="1" s="1"/>
  <c r="AA7577" i="1"/>
  <c r="AA7583" i="1" s="1"/>
  <c r="AA7584" i="1" s="1"/>
  <c r="Z7594" i="1"/>
  <c r="Z7592" i="1"/>
  <c r="Z7591" i="1"/>
  <c r="AA7591" i="1"/>
  <c r="Z7590" i="1"/>
  <c r="Z7589" i="1"/>
  <c r="Z7588" i="1"/>
  <c r="Z7587" i="1"/>
  <c r="Z7585" i="1"/>
  <c r="Z7584" i="1"/>
  <c r="Z7583" i="1"/>
  <c r="AA7582" i="1"/>
  <c r="Z7582" i="1"/>
  <c r="Z7581" i="1"/>
  <c r="Z7580" i="1"/>
  <c r="Z7579" i="1"/>
  <c r="Z7578" i="1"/>
  <c r="Z7577" i="1"/>
  <c r="AA7599" i="1"/>
  <c r="AA7600" i="1" s="1"/>
  <c r="AA7597" i="1"/>
  <c r="AA7603" i="1" s="1"/>
  <c r="AA7604" i="1" s="1"/>
  <c r="Z7614" i="1"/>
  <c r="Z7612" i="1"/>
  <c r="Z7611" i="1"/>
  <c r="AA7611" i="1"/>
  <c r="Z7610" i="1"/>
  <c r="Z7609" i="1"/>
  <c r="Z7608" i="1"/>
  <c r="Z7607" i="1"/>
  <c r="Z7605" i="1"/>
  <c r="Z7604" i="1"/>
  <c r="Z7603" i="1"/>
  <c r="AA7602" i="1"/>
  <c r="Z7602" i="1"/>
  <c r="Z7601" i="1"/>
  <c r="Z7600" i="1"/>
  <c r="Z7599" i="1"/>
  <c r="Z7598" i="1"/>
  <c r="Z7597" i="1"/>
  <c r="AA7631" i="1"/>
  <c r="AA7619" i="1"/>
  <c r="AA7620" i="1" s="1"/>
  <c r="AA7617" i="1"/>
  <c r="AA7623" i="1" s="1"/>
  <c r="AA7624" i="1" s="1"/>
  <c r="Z7634" i="1"/>
  <c r="Z7632" i="1"/>
  <c r="Z7631" i="1"/>
  <c r="Z7630" i="1"/>
  <c r="Z7629" i="1"/>
  <c r="Z7628" i="1"/>
  <c r="Z7627" i="1"/>
  <c r="Z7625" i="1"/>
  <c r="Z7624" i="1"/>
  <c r="Z7623" i="1"/>
  <c r="AA7622" i="1"/>
  <c r="Z7622" i="1"/>
  <c r="Z7621" i="1"/>
  <c r="Z7620" i="1"/>
  <c r="Z7619" i="1"/>
  <c r="Z7618" i="1"/>
  <c r="Z7617" i="1"/>
  <c r="AA7640" i="1"/>
  <c r="AA7641" i="1" s="1"/>
  <c r="AA7638" i="1"/>
  <c r="AA7644" i="1" s="1"/>
  <c r="AA7645" i="1" s="1"/>
  <c r="Z7654" i="1"/>
  <c r="Z7652" i="1"/>
  <c r="Z7651" i="1"/>
  <c r="AA7651" i="1"/>
  <c r="Z7650" i="1"/>
  <c r="Z7649" i="1"/>
  <c r="Z7648" i="1"/>
  <c r="Z7647" i="1"/>
  <c r="Z7645" i="1"/>
  <c r="Z7644" i="1"/>
  <c r="AA7643" i="1"/>
  <c r="Z7643" i="1"/>
  <c r="Z7642" i="1"/>
  <c r="Z7641" i="1"/>
  <c r="Z7640" i="1"/>
  <c r="Z7639" i="1"/>
  <c r="Z7638" i="1"/>
  <c r="AA7659" i="1"/>
  <c r="AA7660" i="1" s="1"/>
  <c r="AA7657" i="1"/>
  <c r="AA7663" i="1" s="1"/>
  <c r="AA7664" i="1" s="1"/>
  <c r="Z7674" i="1"/>
  <c r="Z7672" i="1"/>
  <c r="Z7671" i="1"/>
  <c r="AA7671" i="1"/>
  <c r="Z7670" i="1"/>
  <c r="Z7669" i="1"/>
  <c r="Z7668" i="1"/>
  <c r="Z7667" i="1"/>
  <c r="Z7665" i="1"/>
  <c r="Z7664" i="1"/>
  <c r="Z7663" i="1"/>
  <c r="AA7662" i="1"/>
  <c r="Z7662" i="1"/>
  <c r="Z7661" i="1"/>
  <c r="Z7660" i="1"/>
  <c r="Z7659" i="1"/>
  <c r="Z7658" i="1"/>
  <c r="Z7657" i="1"/>
  <c r="AA7679" i="1"/>
  <c r="AA7680" i="1" s="1"/>
  <c r="AA7677" i="1"/>
  <c r="AA7683" i="1" s="1"/>
  <c r="AA7684" i="1" s="1"/>
  <c r="Z7694" i="1"/>
  <c r="Z7692" i="1"/>
  <c r="Z7691" i="1"/>
  <c r="AA7691" i="1"/>
  <c r="Z7690" i="1"/>
  <c r="Z7689" i="1"/>
  <c r="Z7688" i="1"/>
  <c r="Z7687" i="1"/>
  <c r="Z7685" i="1"/>
  <c r="Z7684" i="1"/>
  <c r="Z7683" i="1"/>
  <c r="AA7682" i="1"/>
  <c r="Z7682" i="1"/>
  <c r="Z7681" i="1"/>
  <c r="Z7680" i="1"/>
  <c r="Z7679" i="1"/>
  <c r="Z7678" i="1"/>
  <c r="Z7677" i="1"/>
  <c r="AA7711" i="1"/>
  <c r="AA7699" i="1"/>
  <c r="AA7700" i="1" s="1"/>
  <c r="AA7697" i="1"/>
  <c r="AA7703" i="1" s="1"/>
  <c r="AA7704" i="1" s="1"/>
  <c r="AA7723" i="1"/>
  <c r="AA7724" i="1" s="1"/>
  <c r="AA7721" i="1"/>
  <c r="AA7727" i="1" s="1"/>
  <c r="AA7728" i="1" s="1"/>
  <c r="Z7738" i="1"/>
  <c r="Z7736" i="1"/>
  <c r="Z7735" i="1"/>
  <c r="AA7735" i="1"/>
  <c r="Z7734" i="1"/>
  <c r="Z7733" i="1"/>
  <c r="Z7732" i="1"/>
  <c r="Z7731" i="1"/>
  <c r="Z7729" i="1"/>
  <c r="Z7728" i="1"/>
  <c r="Z7727" i="1"/>
  <c r="AA7726" i="1"/>
  <c r="Z7726" i="1"/>
  <c r="Z7725" i="1"/>
  <c r="Z7724" i="1"/>
  <c r="Z7723" i="1"/>
  <c r="Z7722" i="1"/>
  <c r="Z7721" i="1"/>
  <c r="AA7755" i="1"/>
  <c r="AA7743" i="1"/>
  <c r="AA7744" i="1" s="1"/>
  <c r="AA7741" i="1"/>
  <c r="AA7747" i="1" s="1"/>
  <c r="AA7748" i="1" s="1"/>
  <c r="Z7758" i="1"/>
  <c r="Z7756" i="1"/>
  <c r="Z7755" i="1"/>
  <c r="Z7754" i="1"/>
  <c r="Z7753" i="1"/>
  <c r="Z7752" i="1"/>
  <c r="Z7751" i="1"/>
  <c r="Z7749" i="1"/>
  <c r="Z7748" i="1"/>
  <c r="Z7747" i="1"/>
  <c r="AA7746" i="1"/>
  <c r="Z7746" i="1"/>
  <c r="Z7745" i="1"/>
  <c r="Z7744" i="1"/>
  <c r="Z7743" i="1"/>
  <c r="Z7742" i="1"/>
  <c r="Z7741" i="1"/>
  <c r="Z7714" i="1"/>
  <c r="Z7712" i="1"/>
  <c r="Z7711" i="1"/>
  <c r="Z7710" i="1"/>
  <c r="Z7709" i="1"/>
  <c r="Z7708" i="1"/>
  <c r="Z7707" i="1"/>
  <c r="Z7705" i="1"/>
  <c r="Z7704" i="1"/>
  <c r="Z7703" i="1"/>
  <c r="AA7702" i="1"/>
  <c r="Z7702" i="1"/>
  <c r="Z7701" i="1"/>
  <c r="Z7700" i="1"/>
  <c r="Z7699" i="1"/>
  <c r="Z7698" i="1"/>
  <c r="Z7697" i="1"/>
  <c r="G7515" i="1"/>
  <c r="J7515" i="1"/>
  <c r="J7516" i="1" s="1"/>
  <c r="O7515" i="1"/>
  <c r="AA7742" i="1" l="1"/>
  <c r="Q7782" i="1"/>
  <c r="R7782" i="1" s="1"/>
  <c r="T7782" i="1" s="1"/>
  <c r="AA7121" i="1"/>
  <c r="AA7140" i="1"/>
  <c r="AA7159" i="1"/>
  <c r="AA7179" i="1"/>
  <c r="AA7199" i="1"/>
  <c r="AA7219" i="1"/>
  <c r="AA7240" i="1"/>
  <c r="AA7259" i="1"/>
  <c r="AA7279" i="1"/>
  <c r="AA7304" i="1"/>
  <c r="AA7305" i="1" s="1"/>
  <c r="AA7324" i="1"/>
  <c r="AA7325" i="1" s="1"/>
  <c r="AA7340" i="1"/>
  <c r="AA7359" i="1"/>
  <c r="AA7379" i="1"/>
  <c r="AA7399" i="1"/>
  <c r="AA7420" i="1"/>
  <c r="AA7439" i="1"/>
  <c r="AA7458" i="1"/>
  <c r="AA7478" i="1"/>
  <c r="AA7498" i="1"/>
  <c r="J7533" i="1"/>
  <c r="J7526" i="1"/>
  <c r="AA7518" i="1"/>
  <c r="AA7539" i="1"/>
  <c r="AA7558" i="1"/>
  <c r="AA7578" i="1"/>
  <c r="AA7598" i="1"/>
  <c r="AA7618" i="1"/>
  <c r="AA7639" i="1"/>
  <c r="AA7658" i="1"/>
  <c r="AA7678" i="1"/>
  <c r="AA7722" i="1"/>
  <c r="AA7698" i="1"/>
  <c r="K7515" i="1"/>
  <c r="AA7099" i="1"/>
  <c r="AA7100" i="1" s="1"/>
  <c r="AA7097" i="1"/>
  <c r="AA7103" i="1" s="1"/>
  <c r="AA7104" i="1" s="1"/>
  <c r="AA7078" i="1"/>
  <c r="AA7079" i="1" s="1"/>
  <c r="AA7076" i="1"/>
  <c r="AA7082" i="1" s="1"/>
  <c r="AA7083" i="1" s="1"/>
  <c r="Z7115" i="1"/>
  <c r="Z7113" i="1"/>
  <c r="Z7112" i="1"/>
  <c r="AA7112" i="1"/>
  <c r="Z7111" i="1"/>
  <c r="Z7110" i="1"/>
  <c r="Z7109" i="1"/>
  <c r="Z7108" i="1"/>
  <c r="Z7107" i="1"/>
  <c r="Z7105" i="1"/>
  <c r="Z7104" i="1"/>
  <c r="Z7103" i="1"/>
  <c r="AA7102" i="1"/>
  <c r="Z7102" i="1"/>
  <c r="Z7101" i="1"/>
  <c r="Z7100" i="1"/>
  <c r="Z7099" i="1"/>
  <c r="Z7098" i="1"/>
  <c r="Z7097" i="1"/>
  <c r="Z7094" i="1"/>
  <c r="Z7092" i="1"/>
  <c r="Z7091" i="1"/>
  <c r="AA7091" i="1"/>
  <c r="Z7090" i="1"/>
  <c r="Z7089" i="1"/>
  <c r="Z7088" i="1"/>
  <c r="Z7087" i="1"/>
  <c r="Z7086" i="1"/>
  <c r="Z7084" i="1"/>
  <c r="Z7083" i="1"/>
  <c r="Z7082" i="1"/>
  <c r="AA7081" i="1"/>
  <c r="Z7081" i="1"/>
  <c r="Z7080" i="1"/>
  <c r="Z7079" i="1"/>
  <c r="Z7078" i="1"/>
  <c r="Z7077" i="1"/>
  <c r="Z7076" i="1"/>
  <c r="AA7057" i="1"/>
  <c r="AA7058" i="1" s="1"/>
  <c r="AA7055" i="1"/>
  <c r="AA7056" i="1" s="1"/>
  <c r="Z7073" i="1"/>
  <c r="Z7071" i="1"/>
  <c r="Z7070" i="1"/>
  <c r="AA7070" i="1"/>
  <c r="Z7069" i="1"/>
  <c r="Z7068" i="1"/>
  <c r="Z7067" i="1"/>
  <c r="Z7066" i="1"/>
  <c r="Z7065" i="1"/>
  <c r="Z7063" i="1"/>
  <c r="Z7062" i="1"/>
  <c r="Z7061" i="1"/>
  <c r="AA7060" i="1"/>
  <c r="Z7060" i="1"/>
  <c r="Z7059" i="1"/>
  <c r="Z7058" i="1"/>
  <c r="Z7057" i="1"/>
  <c r="Z7056" i="1"/>
  <c r="Z7055" i="1"/>
  <c r="Z7042" i="1"/>
  <c r="AA7036" i="1"/>
  <c r="AA7037" i="1" s="1"/>
  <c r="AA7034" i="1"/>
  <c r="AA7035" i="1" s="1"/>
  <c r="Z7052" i="1"/>
  <c r="Z7050" i="1"/>
  <c r="Z7049" i="1"/>
  <c r="AA7049" i="1"/>
  <c r="Z7048" i="1"/>
  <c r="Z7047" i="1"/>
  <c r="Z7046" i="1"/>
  <c r="Z7045" i="1"/>
  <c r="Z7044" i="1"/>
  <c r="Z7041" i="1"/>
  <c r="Z7040" i="1"/>
  <c r="AA7039" i="1"/>
  <c r="Z7039" i="1"/>
  <c r="Z7038" i="1"/>
  <c r="Z7037" i="1"/>
  <c r="Z7036" i="1"/>
  <c r="Z7035" i="1"/>
  <c r="Z7034" i="1"/>
  <c r="AA7016" i="1"/>
  <c r="AA7017" i="1" s="1"/>
  <c r="AA7014" i="1"/>
  <c r="AA7015" i="1" s="1"/>
  <c r="Z7031" i="1"/>
  <c r="Z7029" i="1"/>
  <c r="Z7028" i="1"/>
  <c r="AA7028" i="1"/>
  <c r="Z7027" i="1"/>
  <c r="Z7026" i="1"/>
  <c r="Z7025" i="1"/>
  <c r="Z7024" i="1"/>
  <c r="Z7023" i="1"/>
  <c r="Z7021" i="1"/>
  <c r="Z7020" i="1"/>
  <c r="AA7019" i="1"/>
  <c r="Z7019" i="1"/>
  <c r="Z7018" i="1"/>
  <c r="Z7017" i="1"/>
  <c r="Z7016" i="1"/>
  <c r="Z7015" i="1"/>
  <c r="Z7014" i="1"/>
  <c r="AA6996" i="1"/>
  <c r="AA6997" i="1" s="1"/>
  <c r="AA6994" i="1"/>
  <c r="AA6995" i="1" s="1"/>
  <c r="Z7011" i="1"/>
  <c r="Z7009" i="1"/>
  <c r="Z7008" i="1"/>
  <c r="AA7008" i="1"/>
  <c r="Z7007" i="1"/>
  <c r="Z7006" i="1"/>
  <c r="Z7005" i="1"/>
  <c r="Z7004" i="1"/>
  <c r="Z7003" i="1"/>
  <c r="Z7001" i="1"/>
  <c r="Z7000" i="1"/>
  <c r="AA6999" i="1"/>
  <c r="Z6999" i="1"/>
  <c r="Z6998" i="1"/>
  <c r="Z6997" i="1"/>
  <c r="Z6996" i="1"/>
  <c r="Z6995" i="1"/>
  <c r="Z6994" i="1"/>
  <c r="AA6973" i="1"/>
  <c r="AA6974" i="1" s="1"/>
  <c r="AA6971" i="1"/>
  <c r="AA6972" i="1" s="1"/>
  <c r="Z6988" i="1"/>
  <c r="Z6986" i="1"/>
  <c r="Z6985" i="1"/>
  <c r="AA6985" i="1"/>
  <c r="Z6984" i="1"/>
  <c r="Z6983" i="1"/>
  <c r="Z6982" i="1"/>
  <c r="Z6981" i="1"/>
  <c r="Z6980" i="1"/>
  <c r="Z6978" i="1"/>
  <c r="Z6977" i="1"/>
  <c r="AA6976" i="1"/>
  <c r="Z6976" i="1"/>
  <c r="Z6975" i="1"/>
  <c r="Z6974" i="1"/>
  <c r="Z6973" i="1"/>
  <c r="Z6972" i="1"/>
  <c r="Z6971" i="1"/>
  <c r="Z6968" i="1"/>
  <c r="Z6966" i="1"/>
  <c r="Z6961" i="1"/>
  <c r="Z6960" i="1"/>
  <c r="Z6963" i="1"/>
  <c r="Z6965" i="1"/>
  <c r="AA6965" i="1"/>
  <c r="Z6962" i="1"/>
  <c r="Z6964" i="1"/>
  <c r="K7533" i="1" l="1"/>
  <c r="M7533" i="1" s="1"/>
  <c r="AC7533" i="1" s="1"/>
  <c r="AC7534" i="1" s="1"/>
  <c r="AD7534" i="1" s="1"/>
  <c r="K7526" i="1"/>
  <c r="M7526" i="1" s="1"/>
  <c r="AC7526" i="1" s="1"/>
  <c r="K7516" i="1"/>
  <c r="M7516" i="1" s="1"/>
  <c r="AC7516" i="1" s="1"/>
  <c r="P7515" i="1"/>
  <c r="M7515" i="1"/>
  <c r="N7515" i="1" s="1"/>
  <c r="AA6977" i="1"/>
  <c r="AA6978" i="1" s="1"/>
  <c r="AA7061" i="1"/>
  <c r="AA7062" i="1" s="1"/>
  <c r="AA7077" i="1"/>
  <c r="AA7098" i="1"/>
  <c r="AA7000" i="1"/>
  <c r="AA7001" i="1" s="1"/>
  <c r="AA7020" i="1"/>
  <c r="AA7021" i="1" s="1"/>
  <c r="AA7040" i="1"/>
  <c r="AA7041" i="1" s="1"/>
  <c r="AC7520" i="1" l="1"/>
  <c r="AD7520" i="1" s="1"/>
  <c r="AB7520" i="1" s="1"/>
  <c r="AC7524" i="1"/>
  <c r="AD7524" i="1" s="1"/>
  <c r="AB7524" i="1" s="1"/>
  <c r="AC7519" i="1"/>
  <c r="AD7519" i="1" s="1"/>
  <c r="AB7519" i="1" s="1"/>
  <c r="AC7521" i="1"/>
  <c r="AD7521" i="1" s="1"/>
  <c r="AB7521" i="1" s="1"/>
  <c r="AC7525" i="1"/>
  <c r="AD7525" i="1" s="1"/>
  <c r="AB7525" i="1" s="1"/>
  <c r="AC7523" i="1"/>
  <c r="AD7523" i="1" s="1"/>
  <c r="AB7523" i="1" s="1"/>
  <c r="AC7518" i="1"/>
  <c r="AD7518" i="1" s="1"/>
  <c r="AB7518" i="1" s="1"/>
  <c r="AC7522" i="1"/>
  <c r="AD7522" i="1" s="1"/>
  <c r="AB7522" i="1" s="1"/>
  <c r="AC7517" i="1"/>
  <c r="AD7517" i="1" s="1"/>
  <c r="AC7530" i="1"/>
  <c r="AD7530" i="1" s="1"/>
  <c r="AB7530" i="1" s="1"/>
  <c r="AC7528" i="1"/>
  <c r="AD7528" i="1" s="1"/>
  <c r="AB7528" i="1" s="1"/>
  <c r="AC7527" i="1"/>
  <c r="AD7527" i="1" s="1"/>
  <c r="AC7532" i="1"/>
  <c r="AD7532" i="1" s="1"/>
  <c r="AB7532" i="1" s="1"/>
  <c r="AC7529" i="1"/>
  <c r="AD7529" i="1" s="1"/>
  <c r="AB7529" i="1" s="1"/>
  <c r="AC7531" i="1"/>
  <c r="AD7531" i="1" s="1"/>
  <c r="AB7531" i="1" s="1"/>
  <c r="AD7533" i="1"/>
  <c r="AB7534" i="1"/>
  <c r="AC7515" i="1"/>
  <c r="AB7527" i="1" l="1"/>
  <c r="AD7526" i="1"/>
  <c r="AB7517" i="1"/>
  <c r="AD7516" i="1"/>
  <c r="Z7533" i="1"/>
  <c r="AB7533" i="1"/>
  <c r="AD7515" i="1" l="1"/>
  <c r="AB7515" i="1" s="1"/>
  <c r="Q7515" i="1" s="1"/>
  <c r="R7515" i="1" s="1"/>
  <c r="T7515" i="1" s="1"/>
  <c r="AB7516" i="1"/>
  <c r="Z7516" i="1"/>
  <c r="AB7526" i="1"/>
  <c r="Z7526" i="1"/>
  <c r="Z6953" i="1"/>
  <c r="AA6953" i="1"/>
  <c r="AA6954" i="1" s="1"/>
  <c r="Z6954" i="1"/>
  <c r="AA6951" i="1"/>
  <c r="Z6958" i="1"/>
  <c r="Z6957" i="1"/>
  <c r="AA6956" i="1"/>
  <c r="Z6956" i="1"/>
  <c r="Z6955" i="1"/>
  <c r="Z6952" i="1"/>
  <c r="Z6951" i="1"/>
  <c r="H7515" i="1" l="1"/>
  <c r="I7515" i="1" s="1"/>
  <c r="AA6952" i="1"/>
  <c r="AA6957" i="1"/>
  <c r="AA6958" i="1" s="1"/>
  <c r="Z120" i="1" l="1"/>
  <c r="Z116" i="1"/>
  <c r="AA112" i="1"/>
  <c r="AA110" i="1"/>
  <c r="Z114" i="1"/>
  <c r="Z113" i="1"/>
  <c r="Z112" i="1"/>
  <c r="Z111" i="1"/>
  <c r="Z110" i="1"/>
  <c r="Z109" i="1"/>
  <c r="Z103" i="1" l="1"/>
  <c r="Z102" i="1"/>
  <c r="AA97" i="1" l="1"/>
  <c r="AA94" i="1"/>
  <c r="AA92" i="1"/>
  <c r="Z94" i="1"/>
  <c r="Z93" i="1"/>
  <c r="Z92" i="1"/>
  <c r="Z97" i="1"/>
  <c r="Z96" i="1"/>
  <c r="AA95" i="1"/>
  <c r="AA96" i="1" s="1"/>
  <c r="Z95" i="1"/>
  <c r="AA89" i="1"/>
  <c r="AA87" i="1"/>
  <c r="AA88" i="1" s="1"/>
  <c r="AA93" i="1" l="1"/>
  <c r="Z89" i="1" l="1"/>
  <c r="Z88" i="1"/>
  <c r="Z87" i="1"/>
  <c r="Z84" i="1"/>
  <c r="Z83" i="1"/>
  <c r="Z79" i="1"/>
  <c r="Z78" i="1"/>
  <c r="AA75" i="1"/>
  <c r="Z75" i="1"/>
  <c r="AA73" i="1"/>
  <c r="AA71" i="1" s="1"/>
  <c r="AA72" i="1" s="1"/>
  <c r="AA70" i="1"/>
  <c r="AA74" i="1" l="1"/>
  <c r="Z74" i="1" l="1"/>
  <c r="Z73" i="1"/>
  <c r="Z72" i="1"/>
  <c r="Z71" i="1"/>
  <c r="Z70" i="1"/>
  <c r="Z69" i="1"/>
  <c r="O2188" i="1" l="1"/>
  <c r="J2188" i="1"/>
  <c r="K2188" i="1" s="1"/>
  <c r="G2188" i="1"/>
  <c r="O2187" i="1"/>
  <c r="J2187" i="1"/>
  <c r="K2187" i="1" s="1"/>
  <c r="G2187" i="1"/>
  <c r="O2186" i="1"/>
  <c r="J2186" i="1"/>
  <c r="K2186" i="1" s="1"/>
  <c r="G2186" i="1"/>
  <c r="O2167" i="1"/>
  <c r="J2167" i="1"/>
  <c r="G2167" i="1"/>
  <c r="O2148" i="1"/>
  <c r="J2148" i="1"/>
  <c r="G2148" i="1"/>
  <c r="O2129" i="1"/>
  <c r="J2129" i="1"/>
  <c r="G2129" i="1"/>
  <c r="O2111" i="1"/>
  <c r="J2111" i="1"/>
  <c r="G2111" i="1"/>
  <c r="K2167" i="1" l="1"/>
  <c r="P2167" i="1" s="1"/>
  <c r="J2178" i="1"/>
  <c r="J2184" i="1"/>
  <c r="J2168" i="1"/>
  <c r="K2148" i="1"/>
  <c r="J2159" i="1"/>
  <c r="J2165" i="1"/>
  <c r="J2149" i="1"/>
  <c r="K2129" i="1"/>
  <c r="M2129" i="1" s="1"/>
  <c r="J2140" i="1"/>
  <c r="J2146" i="1"/>
  <c r="J2130" i="1"/>
  <c r="K2111" i="1"/>
  <c r="J2121" i="1"/>
  <c r="J2127" i="1"/>
  <c r="J2112" i="1"/>
  <c r="P2187" i="1"/>
  <c r="M2188" i="1"/>
  <c r="P2188" i="1"/>
  <c r="P2186" i="1"/>
  <c r="M2186" i="1"/>
  <c r="M2187" i="1"/>
  <c r="M2167" i="1" l="1"/>
  <c r="N2167" i="1" s="1"/>
  <c r="K2178" i="1"/>
  <c r="M2178" i="1" s="1"/>
  <c r="AC2178" i="1" s="1"/>
  <c r="K2184" i="1"/>
  <c r="M2184" i="1" s="1"/>
  <c r="AC2184" i="1" s="1"/>
  <c r="AC2185" i="1" s="1"/>
  <c r="AD2185" i="1" s="1"/>
  <c r="K2168" i="1"/>
  <c r="M2168" i="1" s="1"/>
  <c r="AC2168" i="1" s="1"/>
  <c r="P2129" i="1"/>
  <c r="K2159" i="1"/>
  <c r="M2159" i="1" s="1"/>
  <c r="AC2159" i="1" s="1"/>
  <c r="K2165" i="1"/>
  <c r="M2165" i="1" s="1"/>
  <c r="AC2165" i="1" s="1"/>
  <c r="AC2166" i="1" s="1"/>
  <c r="AD2166" i="1" s="1"/>
  <c r="K2149" i="1"/>
  <c r="M2149" i="1" s="1"/>
  <c r="AC2149" i="1" s="1"/>
  <c r="M2148" i="1"/>
  <c r="N2148" i="1" s="1"/>
  <c r="P2148" i="1"/>
  <c r="K2140" i="1"/>
  <c r="M2140" i="1" s="1"/>
  <c r="AC2140" i="1" s="1"/>
  <c r="K2146" i="1"/>
  <c r="M2146" i="1" s="1"/>
  <c r="AC2146" i="1" s="1"/>
  <c r="AC2147" i="1" s="1"/>
  <c r="AD2147" i="1" s="1"/>
  <c r="K2130" i="1"/>
  <c r="M2130" i="1" s="1"/>
  <c r="AC2130" i="1" s="1"/>
  <c r="K2121" i="1"/>
  <c r="M2121" i="1" s="1"/>
  <c r="AC2121" i="1" s="1"/>
  <c r="K2127" i="1"/>
  <c r="M2127" i="1" s="1"/>
  <c r="AC2127" i="1" s="1"/>
  <c r="AC2128" i="1" s="1"/>
  <c r="AD2128" i="1" s="1"/>
  <c r="K2112" i="1"/>
  <c r="M2112" i="1" s="1"/>
  <c r="AC2112" i="1" s="1"/>
  <c r="P2111" i="1"/>
  <c r="M2111" i="1"/>
  <c r="N2111" i="1" s="1"/>
  <c r="N2187" i="1"/>
  <c r="AC2187" i="1"/>
  <c r="AB2187" i="1" s="1"/>
  <c r="N2186" i="1"/>
  <c r="AC2186" i="1"/>
  <c r="AB2186" i="1" s="1"/>
  <c r="AC2188" i="1"/>
  <c r="AB2188" i="1" s="1"/>
  <c r="N2188" i="1"/>
  <c r="N2129" i="1"/>
  <c r="AC2129" i="1"/>
  <c r="AC2167" i="1" l="1"/>
  <c r="AC2111" i="1"/>
  <c r="AC2183" i="1"/>
  <c r="AD2183" i="1" s="1"/>
  <c r="AB2183" i="1" s="1"/>
  <c r="AC2181" i="1"/>
  <c r="AD2181" i="1" s="1"/>
  <c r="AB2181" i="1" s="1"/>
  <c r="AC2180" i="1"/>
  <c r="AD2180" i="1" s="1"/>
  <c r="AB2180" i="1" s="1"/>
  <c r="AC2182" i="1"/>
  <c r="AD2182" i="1" s="1"/>
  <c r="AB2182" i="1" s="1"/>
  <c r="AC2179" i="1"/>
  <c r="AD2179" i="1" s="1"/>
  <c r="AC2175" i="1"/>
  <c r="AD2175" i="1" s="1"/>
  <c r="AB2175" i="1" s="1"/>
  <c r="AC2170" i="1"/>
  <c r="AD2170" i="1" s="1"/>
  <c r="AB2170" i="1" s="1"/>
  <c r="AC2173" i="1"/>
  <c r="AD2173" i="1" s="1"/>
  <c r="AB2173" i="1" s="1"/>
  <c r="AC2174" i="1"/>
  <c r="AD2174" i="1" s="1"/>
  <c r="AB2174" i="1" s="1"/>
  <c r="AC2169" i="1"/>
  <c r="AD2169" i="1" s="1"/>
  <c r="AC2172" i="1"/>
  <c r="AD2172" i="1" s="1"/>
  <c r="AB2172" i="1" s="1"/>
  <c r="AC2176" i="1"/>
  <c r="AD2176" i="1" s="1"/>
  <c r="AB2176" i="1" s="1"/>
  <c r="AC2171" i="1"/>
  <c r="AD2171" i="1" s="1"/>
  <c r="AB2171" i="1" s="1"/>
  <c r="AC2177" i="1"/>
  <c r="AD2177" i="1" s="1"/>
  <c r="AB2177" i="1" s="1"/>
  <c r="AB2185" i="1"/>
  <c r="AD2184" i="1"/>
  <c r="AC2156" i="1"/>
  <c r="AD2156" i="1" s="1"/>
  <c r="AB2156" i="1" s="1"/>
  <c r="AC2151" i="1"/>
  <c r="AD2151" i="1" s="1"/>
  <c r="AB2151" i="1" s="1"/>
  <c r="AC2153" i="1"/>
  <c r="AD2153" i="1" s="1"/>
  <c r="AB2153" i="1" s="1"/>
  <c r="AC2158" i="1"/>
  <c r="AD2158" i="1" s="1"/>
  <c r="AB2158" i="1" s="1"/>
  <c r="AC2157" i="1"/>
  <c r="AD2157" i="1" s="1"/>
  <c r="AB2157" i="1" s="1"/>
  <c r="AC2152" i="1"/>
  <c r="AD2152" i="1" s="1"/>
  <c r="AB2152" i="1" s="1"/>
  <c r="AC2155" i="1"/>
  <c r="AD2155" i="1" s="1"/>
  <c r="AB2155" i="1" s="1"/>
  <c r="AC2150" i="1"/>
  <c r="AD2150" i="1" s="1"/>
  <c r="AC2154" i="1"/>
  <c r="AD2154" i="1" s="1"/>
  <c r="AB2154" i="1" s="1"/>
  <c r="AC2162" i="1"/>
  <c r="AD2162" i="1" s="1"/>
  <c r="AB2162" i="1" s="1"/>
  <c r="AC2161" i="1"/>
  <c r="AD2161" i="1" s="1"/>
  <c r="AB2161" i="1" s="1"/>
  <c r="AC2160" i="1"/>
  <c r="AD2160" i="1" s="1"/>
  <c r="AC2164" i="1"/>
  <c r="AD2164" i="1" s="1"/>
  <c r="AB2164" i="1" s="1"/>
  <c r="AC2163" i="1"/>
  <c r="AD2163" i="1" s="1"/>
  <c r="AB2163" i="1" s="1"/>
  <c r="AD2165" i="1"/>
  <c r="AB2166" i="1"/>
  <c r="AC2148" i="1"/>
  <c r="AC2137" i="1"/>
  <c r="AD2137" i="1" s="1"/>
  <c r="AB2137" i="1" s="1"/>
  <c r="AC2132" i="1"/>
  <c r="AD2132" i="1" s="1"/>
  <c r="AB2132" i="1" s="1"/>
  <c r="AC2136" i="1"/>
  <c r="AD2136" i="1" s="1"/>
  <c r="AB2136" i="1" s="1"/>
  <c r="AC2131" i="1"/>
  <c r="AD2131" i="1" s="1"/>
  <c r="AC2134" i="1"/>
  <c r="AD2134" i="1" s="1"/>
  <c r="AB2134" i="1" s="1"/>
  <c r="AC2139" i="1"/>
  <c r="AD2139" i="1" s="1"/>
  <c r="AB2139" i="1" s="1"/>
  <c r="AC2138" i="1"/>
  <c r="AD2138" i="1" s="1"/>
  <c r="AB2138" i="1" s="1"/>
  <c r="AC2133" i="1"/>
  <c r="AD2133" i="1" s="1"/>
  <c r="AB2133" i="1" s="1"/>
  <c r="AC2135" i="1"/>
  <c r="AD2135" i="1" s="1"/>
  <c r="AB2135" i="1" s="1"/>
  <c r="AB2147" i="1"/>
  <c r="AD2146" i="1"/>
  <c r="AC2145" i="1"/>
  <c r="AD2145" i="1" s="1"/>
  <c r="AB2145" i="1" s="1"/>
  <c r="AC2143" i="1"/>
  <c r="AD2143" i="1" s="1"/>
  <c r="AB2143" i="1" s="1"/>
  <c r="AC2142" i="1"/>
  <c r="AD2142" i="1" s="1"/>
  <c r="AB2142" i="1" s="1"/>
  <c r="AC2141" i="1"/>
  <c r="AD2141" i="1" s="1"/>
  <c r="AC2144" i="1"/>
  <c r="AD2144" i="1" s="1"/>
  <c r="AB2144" i="1" s="1"/>
  <c r="AC2125" i="1"/>
  <c r="AD2125" i="1" s="1"/>
  <c r="AB2125" i="1" s="1"/>
  <c r="AC2124" i="1"/>
  <c r="AD2124" i="1" s="1"/>
  <c r="AB2124" i="1" s="1"/>
  <c r="AC2126" i="1"/>
  <c r="AD2126" i="1" s="1"/>
  <c r="AB2126" i="1" s="1"/>
  <c r="AC2122" i="1"/>
  <c r="AD2122" i="1" s="1"/>
  <c r="AC2123" i="1"/>
  <c r="AD2123" i="1" s="1"/>
  <c r="AB2123" i="1" s="1"/>
  <c r="AC2119" i="1"/>
  <c r="AD2119" i="1" s="1"/>
  <c r="AB2119" i="1" s="1"/>
  <c r="AC2118" i="1"/>
  <c r="AD2118" i="1" s="1"/>
  <c r="AB2118" i="1" s="1"/>
  <c r="AC2113" i="1"/>
  <c r="AD2113" i="1" s="1"/>
  <c r="AC2120" i="1"/>
  <c r="AD2120" i="1" s="1"/>
  <c r="AB2120" i="1" s="1"/>
  <c r="AC2115" i="1"/>
  <c r="AD2115" i="1" s="1"/>
  <c r="AB2115" i="1" s="1"/>
  <c r="AC2117" i="1"/>
  <c r="AD2117" i="1" s="1"/>
  <c r="AB2117" i="1" s="1"/>
  <c r="AC2114" i="1"/>
  <c r="AD2114" i="1" s="1"/>
  <c r="AB2114" i="1" s="1"/>
  <c r="AC2116" i="1"/>
  <c r="AD2116" i="1" s="1"/>
  <c r="AB2116" i="1" s="1"/>
  <c r="AB2128" i="1"/>
  <c r="AD2127" i="1"/>
  <c r="Q2186" i="1"/>
  <c r="R2186" i="1" s="1"/>
  <c r="T2186" i="1" s="1"/>
  <c r="H2186" i="1"/>
  <c r="I2186" i="1" s="1"/>
  <c r="Q2187" i="1"/>
  <c r="R2187" i="1" s="1"/>
  <c r="T2187" i="1" s="1"/>
  <c r="H2187" i="1"/>
  <c r="I2187" i="1" s="1"/>
  <c r="H2188" i="1"/>
  <c r="I2188" i="1" s="1"/>
  <c r="Q2188" i="1"/>
  <c r="R2188" i="1" s="1"/>
  <c r="T2188" i="1" s="1"/>
  <c r="AD2168" i="1" l="1"/>
  <c r="AB2169" i="1"/>
  <c r="AB2179" i="1"/>
  <c r="AD2178" i="1"/>
  <c r="Z2184" i="1"/>
  <c r="AB2184" i="1"/>
  <c r="Z2165" i="1"/>
  <c r="AB2165" i="1"/>
  <c r="AD2149" i="1"/>
  <c r="AB2150" i="1"/>
  <c r="AB2160" i="1"/>
  <c r="AD2159" i="1"/>
  <c r="AD2130" i="1"/>
  <c r="AB2131" i="1"/>
  <c r="AB2141" i="1"/>
  <c r="AD2140" i="1"/>
  <c r="Z2146" i="1"/>
  <c r="AB2146" i="1"/>
  <c r="AB2122" i="1"/>
  <c r="AD2121" i="1"/>
  <c r="Z2127" i="1"/>
  <c r="AB2127" i="1"/>
  <c r="AB2113" i="1"/>
  <c r="AD2112" i="1"/>
  <c r="O7911" i="1"/>
  <c r="J7911" i="1"/>
  <c r="K7911" i="1" s="1"/>
  <c r="G7911" i="1"/>
  <c r="O7910" i="1"/>
  <c r="J7910" i="1"/>
  <c r="K7910" i="1" s="1"/>
  <c r="G7910" i="1"/>
  <c r="O7909" i="1"/>
  <c r="J7909" i="1"/>
  <c r="K7909" i="1" s="1"/>
  <c r="M7909" i="1" s="1"/>
  <c r="G7909" i="1"/>
  <c r="O7893" i="1"/>
  <c r="J7893" i="1"/>
  <c r="G7893" i="1"/>
  <c r="O7877" i="1"/>
  <c r="J7877" i="1"/>
  <c r="G7877" i="1"/>
  <c r="O7861" i="1"/>
  <c r="J7861" i="1"/>
  <c r="G7861" i="1"/>
  <c r="O7846" i="1"/>
  <c r="J7846" i="1"/>
  <c r="G7846" i="1"/>
  <c r="O7831" i="1"/>
  <c r="J7831" i="1"/>
  <c r="G7831" i="1"/>
  <c r="O7830" i="1"/>
  <c r="J7830" i="1"/>
  <c r="K7830" i="1" s="1"/>
  <c r="G7830" i="1"/>
  <c r="O7829" i="1"/>
  <c r="J7829" i="1"/>
  <c r="K7829" i="1" s="1"/>
  <c r="M7829" i="1" s="1"/>
  <c r="G7829" i="1"/>
  <c r="O7813" i="1"/>
  <c r="J7813" i="1"/>
  <c r="G7813" i="1"/>
  <c r="O7798" i="1"/>
  <c r="J7798" i="1"/>
  <c r="G7798" i="1"/>
  <c r="O7783" i="1"/>
  <c r="J7783" i="1"/>
  <c r="G7783" i="1"/>
  <c r="O7760" i="1"/>
  <c r="J7760" i="1"/>
  <c r="G7760" i="1"/>
  <c r="O7739" i="1"/>
  <c r="J7739" i="1"/>
  <c r="G7739" i="1"/>
  <c r="O7719" i="1"/>
  <c r="J7719" i="1"/>
  <c r="G7719" i="1"/>
  <c r="O7718" i="1"/>
  <c r="J7718" i="1"/>
  <c r="K7718" i="1" s="1"/>
  <c r="G7718" i="1"/>
  <c r="O7717" i="1"/>
  <c r="J7717" i="1"/>
  <c r="K7717" i="1" s="1"/>
  <c r="G7717" i="1"/>
  <c r="O7716" i="1"/>
  <c r="J7716" i="1"/>
  <c r="K7716" i="1" s="1"/>
  <c r="G7716" i="1"/>
  <c r="O7715" i="1"/>
  <c r="J7715" i="1"/>
  <c r="K7715" i="1" s="1"/>
  <c r="M7715" i="1" s="1"/>
  <c r="G7715" i="1"/>
  <c r="O7695" i="1"/>
  <c r="J7695" i="1"/>
  <c r="G7695" i="1"/>
  <c r="O7675" i="1"/>
  <c r="J7675" i="1"/>
  <c r="G7675" i="1"/>
  <c r="O7655" i="1"/>
  <c r="J7655" i="1"/>
  <c r="G7655" i="1"/>
  <c r="O7636" i="1"/>
  <c r="J7636" i="1"/>
  <c r="G7636" i="1"/>
  <c r="O7635" i="1"/>
  <c r="J7635" i="1"/>
  <c r="K7635" i="1" s="1"/>
  <c r="G7635" i="1"/>
  <c r="O7615" i="1"/>
  <c r="J7615" i="1"/>
  <c r="G7615" i="1"/>
  <c r="O7595" i="1"/>
  <c r="J7595" i="1"/>
  <c r="G7595" i="1"/>
  <c r="O7575" i="1"/>
  <c r="J7575" i="1"/>
  <c r="G7575" i="1"/>
  <c r="O7555" i="1"/>
  <c r="J7555" i="1"/>
  <c r="G7555" i="1"/>
  <c r="O7536" i="1"/>
  <c r="J7536" i="1"/>
  <c r="G7536" i="1"/>
  <c r="O7535" i="1"/>
  <c r="J7535" i="1"/>
  <c r="K7535" i="1" s="1"/>
  <c r="M7535" i="1" s="1"/>
  <c r="G7535" i="1"/>
  <c r="O7495" i="1"/>
  <c r="J7495" i="1"/>
  <c r="G7495" i="1"/>
  <c r="O7475" i="1"/>
  <c r="J7475" i="1"/>
  <c r="G7475" i="1"/>
  <c r="O7455" i="1"/>
  <c r="J7455" i="1"/>
  <c r="G7455" i="1"/>
  <c r="O7436" i="1"/>
  <c r="J7436" i="1"/>
  <c r="G7436" i="1"/>
  <c r="O7417" i="1"/>
  <c r="J7417" i="1"/>
  <c r="G7417" i="1"/>
  <c r="O7416" i="1"/>
  <c r="J7416" i="1"/>
  <c r="G7416" i="1"/>
  <c r="O7396" i="1"/>
  <c r="J7396" i="1"/>
  <c r="G7396" i="1"/>
  <c r="O7376" i="1"/>
  <c r="J7376" i="1"/>
  <c r="G7376" i="1"/>
  <c r="O7356" i="1"/>
  <c r="J7356" i="1"/>
  <c r="G7356" i="1"/>
  <c r="O7337" i="1"/>
  <c r="J7337" i="1"/>
  <c r="G7337" i="1"/>
  <c r="O7336" i="1"/>
  <c r="J7336" i="1"/>
  <c r="K7336" i="1" s="1"/>
  <c r="G7336" i="1"/>
  <c r="O7316" i="1"/>
  <c r="J7316" i="1"/>
  <c r="G7316" i="1"/>
  <c r="O7296" i="1"/>
  <c r="J7296" i="1"/>
  <c r="G7296" i="1"/>
  <c r="O7276" i="1"/>
  <c r="J7276" i="1"/>
  <c r="G7276" i="1"/>
  <c r="O7256" i="1"/>
  <c r="J7256" i="1"/>
  <c r="G7256" i="1"/>
  <c r="O7237" i="1"/>
  <c r="J7237" i="1"/>
  <c r="G7237" i="1"/>
  <c r="O7236" i="1"/>
  <c r="J7236" i="1"/>
  <c r="K7236" i="1" s="1"/>
  <c r="G7236" i="1"/>
  <c r="O7216" i="1"/>
  <c r="J7216" i="1"/>
  <c r="G7216" i="1"/>
  <c r="O7196" i="1"/>
  <c r="J7196" i="1"/>
  <c r="G7196" i="1"/>
  <c r="O7176" i="1"/>
  <c r="J7176" i="1"/>
  <c r="G7176" i="1"/>
  <c r="O7156" i="1"/>
  <c r="J7156" i="1"/>
  <c r="G7156" i="1"/>
  <c r="O7137" i="1"/>
  <c r="J7137" i="1"/>
  <c r="G7137" i="1"/>
  <c r="O7118" i="1"/>
  <c r="J7118" i="1"/>
  <c r="G7118" i="1"/>
  <c r="O7095" i="1"/>
  <c r="J7095" i="1"/>
  <c r="G7095" i="1"/>
  <c r="O7074" i="1"/>
  <c r="J7074" i="1"/>
  <c r="G7074" i="1"/>
  <c r="O7053" i="1"/>
  <c r="J7053" i="1"/>
  <c r="G7053" i="1"/>
  <c r="O7032" i="1"/>
  <c r="J7032" i="1"/>
  <c r="G7032" i="1"/>
  <c r="O7012" i="1"/>
  <c r="J7012" i="1"/>
  <c r="G7012" i="1"/>
  <c r="O6992" i="1"/>
  <c r="J6992" i="1"/>
  <c r="G6992" i="1"/>
  <c r="O6991" i="1"/>
  <c r="J6991" i="1"/>
  <c r="K6991" i="1" s="1"/>
  <c r="G6991" i="1"/>
  <c r="O6990" i="1"/>
  <c r="J6990" i="1"/>
  <c r="K6990" i="1" s="1"/>
  <c r="G6990" i="1"/>
  <c r="O6989" i="1"/>
  <c r="J6989" i="1"/>
  <c r="K6989" i="1" s="1"/>
  <c r="G6989" i="1"/>
  <c r="O6969" i="1"/>
  <c r="J6969" i="1"/>
  <c r="G6969" i="1"/>
  <c r="O6949" i="1"/>
  <c r="J6949" i="1"/>
  <c r="G6949" i="1"/>
  <c r="O6927" i="1"/>
  <c r="J6927" i="1"/>
  <c r="G6927" i="1"/>
  <c r="O6926" i="1"/>
  <c r="J6926" i="1"/>
  <c r="K6926" i="1" s="1"/>
  <c r="G6926" i="1"/>
  <c r="O6916" i="1"/>
  <c r="J6916" i="1"/>
  <c r="G6916" i="1"/>
  <c r="O6915" i="1"/>
  <c r="J6915" i="1"/>
  <c r="K6915" i="1" s="1"/>
  <c r="G6915" i="1"/>
  <c r="O6914" i="1"/>
  <c r="J6914" i="1"/>
  <c r="K6914" i="1" s="1"/>
  <c r="G6914" i="1"/>
  <c r="O6901" i="1"/>
  <c r="J6901" i="1"/>
  <c r="G6901" i="1"/>
  <c r="O6888" i="1"/>
  <c r="J6888" i="1"/>
  <c r="G6888" i="1"/>
  <c r="O6887" i="1"/>
  <c r="J6887" i="1"/>
  <c r="K6887" i="1" s="1"/>
  <c r="M6887" i="1" s="1"/>
  <c r="N6887" i="1" s="1"/>
  <c r="G6887" i="1"/>
  <c r="O6886" i="1"/>
  <c r="J6886" i="1"/>
  <c r="K6886" i="1" s="1"/>
  <c r="G6886" i="1"/>
  <c r="O6885" i="1"/>
  <c r="J6885" i="1"/>
  <c r="K6885" i="1" s="1"/>
  <c r="M6885" i="1" s="1"/>
  <c r="N6885" i="1" s="1"/>
  <c r="G6885" i="1"/>
  <c r="O6882" i="1"/>
  <c r="J6882" i="1"/>
  <c r="G6882" i="1"/>
  <c r="O6879" i="1"/>
  <c r="J6879" i="1"/>
  <c r="G6879" i="1"/>
  <c r="O6878" i="1"/>
  <c r="J6878" i="1"/>
  <c r="K6878" i="1" s="1"/>
  <c r="M6878" i="1" s="1"/>
  <c r="G6878" i="1"/>
  <c r="O6853" i="1"/>
  <c r="J6853" i="1"/>
  <c r="G6853" i="1"/>
  <c r="O6828" i="1"/>
  <c r="J6828" i="1"/>
  <c r="G6828" i="1"/>
  <c r="O6803" i="1"/>
  <c r="J6803" i="1"/>
  <c r="G6803" i="1"/>
  <c r="O6802" i="1"/>
  <c r="J6802" i="1"/>
  <c r="K6802" i="1" s="1"/>
  <c r="M6802" i="1" s="1"/>
  <c r="G6802" i="1"/>
  <c r="O6801" i="1"/>
  <c r="J6801" i="1"/>
  <c r="K6801" i="1" s="1"/>
  <c r="M6801" i="1" s="1"/>
  <c r="N6801" i="1" s="1"/>
  <c r="G6801" i="1"/>
  <c r="O6798" i="1"/>
  <c r="J6798" i="1"/>
  <c r="G6798" i="1"/>
  <c r="O6797" i="1"/>
  <c r="J6797" i="1"/>
  <c r="K6797" i="1" s="1"/>
  <c r="G6797" i="1"/>
  <c r="O6796" i="1"/>
  <c r="J6796" i="1"/>
  <c r="K6796" i="1" s="1"/>
  <c r="G6796" i="1"/>
  <c r="O6793" i="1"/>
  <c r="J6793" i="1"/>
  <c r="G6793" i="1"/>
  <c r="O6790" i="1"/>
  <c r="J6790" i="1"/>
  <c r="G6790" i="1"/>
  <c r="O6773" i="1"/>
  <c r="J6773" i="1"/>
  <c r="G6773" i="1"/>
  <c r="O6772" i="1"/>
  <c r="J6772" i="1"/>
  <c r="K6772" i="1" s="1"/>
  <c r="M6772" i="1" s="1"/>
  <c r="G6772" i="1"/>
  <c r="O6771" i="1"/>
  <c r="J6771" i="1"/>
  <c r="K6771" i="1" s="1"/>
  <c r="G6771" i="1"/>
  <c r="O6764" i="1"/>
  <c r="J6764" i="1"/>
  <c r="G6764" i="1"/>
  <c r="O6763" i="1"/>
  <c r="J6763" i="1"/>
  <c r="K6763" i="1" s="1"/>
  <c r="M6763" i="1" s="1"/>
  <c r="G6763" i="1"/>
  <c r="O6760" i="1"/>
  <c r="J6760" i="1"/>
  <c r="G6760" i="1"/>
  <c r="O6759" i="1"/>
  <c r="J6759" i="1"/>
  <c r="K6759" i="1" s="1"/>
  <c r="M6759" i="1" s="1"/>
  <c r="G6759" i="1"/>
  <c r="O6758" i="1"/>
  <c r="J6758" i="1"/>
  <c r="K6758" i="1" s="1"/>
  <c r="G6758" i="1"/>
  <c r="O6757" i="1"/>
  <c r="J6757" i="1"/>
  <c r="K6757" i="1" s="1"/>
  <c r="G6757" i="1"/>
  <c r="O6754" i="1"/>
  <c r="J6754" i="1"/>
  <c r="G6754" i="1"/>
  <c r="O6751" i="1"/>
  <c r="J6751" i="1"/>
  <c r="G6751" i="1"/>
  <c r="O6750" i="1"/>
  <c r="J6750" i="1"/>
  <c r="K6750" i="1" s="1"/>
  <c r="G6750" i="1"/>
  <c r="O6747" i="1"/>
  <c r="J6747" i="1"/>
  <c r="G6747" i="1"/>
  <c r="O6746" i="1"/>
  <c r="J6746" i="1"/>
  <c r="K6746" i="1" s="1"/>
  <c r="G6746" i="1"/>
  <c r="O6745" i="1"/>
  <c r="J6745" i="1"/>
  <c r="K6745" i="1" s="1"/>
  <c r="G6745" i="1"/>
  <c r="O6744" i="1"/>
  <c r="J6744" i="1"/>
  <c r="K6744" i="1" s="1"/>
  <c r="M6744" i="1" s="1"/>
  <c r="G6744" i="1"/>
  <c r="O6741" i="1"/>
  <c r="J6741" i="1"/>
  <c r="G6741" i="1"/>
  <c r="O6740" i="1"/>
  <c r="J6740" i="1"/>
  <c r="K6740" i="1" s="1"/>
  <c r="G6740" i="1"/>
  <c r="O6737" i="1"/>
  <c r="J6737" i="1"/>
  <c r="G6737" i="1"/>
  <c r="O6734" i="1"/>
  <c r="J6734" i="1"/>
  <c r="G6734" i="1"/>
  <c r="O6733" i="1"/>
  <c r="J6733" i="1"/>
  <c r="K6733" i="1" s="1"/>
  <c r="G6733" i="1"/>
  <c r="O6732" i="1"/>
  <c r="J6732" i="1"/>
  <c r="K6732" i="1" s="1"/>
  <c r="G6732" i="1"/>
  <c r="O6729" i="1"/>
  <c r="J6729" i="1"/>
  <c r="G6729" i="1"/>
  <c r="O6726" i="1"/>
  <c r="J6726" i="1"/>
  <c r="G6726" i="1"/>
  <c r="O6723" i="1"/>
  <c r="J6723" i="1"/>
  <c r="G6723" i="1"/>
  <c r="O6722" i="1"/>
  <c r="J6722" i="1"/>
  <c r="K6722" i="1" s="1"/>
  <c r="M6722" i="1" s="1"/>
  <c r="G6722" i="1"/>
  <c r="O6721" i="1"/>
  <c r="J6721" i="1"/>
  <c r="K6721" i="1" s="1"/>
  <c r="G6721" i="1"/>
  <c r="O6718" i="1"/>
  <c r="J6718" i="1"/>
  <c r="G6718" i="1"/>
  <c r="O6717" i="1"/>
  <c r="J6717" i="1"/>
  <c r="K6717" i="1" s="1"/>
  <c r="G6717" i="1"/>
  <c r="O6716" i="1"/>
  <c r="J6716" i="1"/>
  <c r="K6716" i="1" s="1"/>
  <c r="M6716" i="1" s="1"/>
  <c r="G6716" i="1"/>
  <c r="O6697" i="1"/>
  <c r="J6697" i="1"/>
  <c r="G6697" i="1"/>
  <c r="O6696" i="1"/>
  <c r="J6696" i="1"/>
  <c r="K6696" i="1" s="1"/>
  <c r="G6696" i="1"/>
  <c r="O6686" i="1"/>
  <c r="J6686" i="1"/>
  <c r="G6686" i="1"/>
  <c r="O6685" i="1"/>
  <c r="J6685" i="1"/>
  <c r="K6685" i="1" s="1"/>
  <c r="G6685" i="1"/>
  <c r="O6684" i="1"/>
  <c r="J6684" i="1"/>
  <c r="K6684" i="1" s="1"/>
  <c r="G6684" i="1"/>
  <c r="O6671" i="1"/>
  <c r="J6671" i="1"/>
  <c r="G6671" i="1"/>
  <c r="O6658" i="1"/>
  <c r="J6658" i="1"/>
  <c r="G6658" i="1"/>
  <c r="O6657" i="1"/>
  <c r="J6657" i="1"/>
  <c r="K6657" i="1" s="1"/>
  <c r="M6657" i="1" s="1"/>
  <c r="N6657" i="1" s="1"/>
  <c r="G6657" i="1"/>
  <c r="O6656" i="1"/>
  <c r="J6656" i="1"/>
  <c r="K6656" i="1" s="1"/>
  <c r="G6656" i="1"/>
  <c r="O6653" i="1"/>
  <c r="J6653" i="1"/>
  <c r="G6653" i="1"/>
  <c r="O6650" i="1"/>
  <c r="J6650" i="1"/>
  <c r="G6650" i="1"/>
  <c r="O6649" i="1"/>
  <c r="J6649" i="1"/>
  <c r="K6649" i="1" s="1"/>
  <c r="M6649" i="1" s="1"/>
  <c r="G6649" i="1"/>
  <c r="O6624" i="1"/>
  <c r="J6624" i="1"/>
  <c r="G6624" i="1"/>
  <c r="O6599" i="1"/>
  <c r="J6599" i="1"/>
  <c r="G6599" i="1"/>
  <c r="O6574" i="1"/>
  <c r="J6574" i="1"/>
  <c r="G6574" i="1"/>
  <c r="O6573" i="1"/>
  <c r="J6573" i="1"/>
  <c r="K6573" i="1" s="1"/>
  <c r="G6573" i="1"/>
  <c r="O6572" i="1"/>
  <c r="J6572" i="1"/>
  <c r="K6572" i="1" s="1"/>
  <c r="G6572" i="1"/>
  <c r="O6571" i="1"/>
  <c r="J6571" i="1"/>
  <c r="K6571" i="1" s="1"/>
  <c r="G6571" i="1"/>
  <c r="O6568" i="1"/>
  <c r="J6568" i="1"/>
  <c r="G6568" i="1"/>
  <c r="O6567" i="1"/>
  <c r="J6567" i="1"/>
  <c r="K6567" i="1" s="1"/>
  <c r="G6567" i="1"/>
  <c r="O6566" i="1"/>
  <c r="J6566" i="1"/>
  <c r="K6566" i="1" s="1"/>
  <c r="G6566" i="1"/>
  <c r="O6563" i="1"/>
  <c r="J6563" i="1"/>
  <c r="G6563" i="1"/>
  <c r="O6560" i="1"/>
  <c r="J6560" i="1"/>
  <c r="G6560" i="1"/>
  <c r="O6543" i="1"/>
  <c r="J6543" i="1"/>
  <c r="G6543" i="1"/>
  <c r="O6542" i="1"/>
  <c r="J6542" i="1"/>
  <c r="K6542" i="1" s="1"/>
  <c r="M6542" i="1" s="1"/>
  <c r="G6542" i="1"/>
  <c r="O6541" i="1"/>
  <c r="J6541" i="1"/>
  <c r="K6541" i="1" s="1"/>
  <c r="G6541" i="1"/>
  <c r="O6534" i="1"/>
  <c r="J6534" i="1"/>
  <c r="G6534" i="1"/>
  <c r="O6533" i="1"/>
  <c r="J6533" i="1"/>
  <c r="K6533" i="1" s="1"/>
  <c r="M6533" i="1" s="1"/>
  <c r="G6533" i="1"/>
  <c r="O6530" i="1"/>
  <c r="J6530" i="1"/>
  <c r="G6530" i="1"/>
  <c r="O6529" i="1"/>
  <c r="J6529" i="1"/>
  <c r="K6529" i="1" s="1"/>
  <c r="M6529" i="1" s="1"/>
  <c r="G6529" i="1"/>
  <c r="O6528" i="1"/>
  <c r="J6528" i="1"/>
  <c r="K6528" i="1" s="1"/>
  <c r="G6528" i="1"/>
  <c r="O6525" i="1"/>
  <c r="J6525" i="1"/>
  <c r="G6525" i="1"/>
  <c r="O6522" i="1"/>
  <c r="J6522" i="1"/>
  <c r="G6522" i="1"/>
  <c r="O6521" i="1"/>
  <c r="J6521" i="1"/>
  <c r="K6521" i="1" s="1"/>
  <c r="G6521" i="1"/>
  <c r="O6520" i="1"/>
  <c r="J6520" i="1"/>
  <c r="K6520" i="1" s="1"/>
  <c r="G6520" i="1"/>
  <c r="O6514" i="1"/>
  <c r="J6514" i="1"/>
  <c r="G6514" i="1"/>
  <c r="O6511" i="1"/>
  <c r="J6511" i="1"/>
  <c r="G6511" i="1"/>
  <c r="O6510" i="1"/>
  <c r="J6510" i="1"/>
  <c r="K6510" i="1" s="1"/>
  <c r="G6510" i="1"/>
  <c r="O6509" i="1"/>
  <c r="J6509" i="1"/>
  <c r="K6509" i="1" s="1"/>
  <c r="G6509" i="1"/>
  <c r="O6508" i="1"/>
  <c r="J6508" i="1"/>
  <c r="K6508" i="1" s="1"/>
  <c r="G6508" i="1"/>
  <c r="O6505" i="1"/>
  <c r="J6505" i="1"/>
  <c r="G6505" i="1"/>
  <c r="O6504" i="1"/>
  <c r="J6504" i="1"/>
  <c r="K6504" i="1" s="1"/>
  <c r="G6504" i="1"/>
  <c r="O6503" i="1"/>
  <c r="J6503" i="1"/>
  <c r="K6503" i="1" s="1"/>
  <c r="M6503" i="1" s="1"/>
  <c r="N6503" i="1" s="1"/>
  <c r="G6503" i="1"/>
  <c r="O6502" i="1"/>
  <c r="J6502" i="1"/>
  <c r="K6502" i="1" s="1"/>
  <c r="M6502" i="1" s="1"/>
  <c r="N6502" i="1" s="1"/>
  <c r="G6502" i="1"/>
  <c r="O6499" i="1"/>
  <c r="J6499" i="1"/>
  <c r="G6499" i="1"/>
  <c r="O6496" i="1"/>
  <c r="J6496" i="1"/>
  <c r="G6496" i="1"/>
  <c r="O6493" i="1"/>
  <c r="J6493" i="1"/>
  <c r="G6493" i="1"/>
  <c r="O6492" i="1"/>
  <c r="J6492" i="1"/>
  <c r="K6492" i="1" s="1"/>
  <c r="M6492" i="1" s="1"/>
  <c r="G6492" i="1"/>
  <c r="O6491" i="1"/>
  <c r="J6491" i="1"/>
  <c r="K6491" i="1" s="1"/>
  <c r="G6491" i="1"/>
  <c r="O6490" i="1"/>
  <c r="J6490" i="1"/>
  <c r="K6490" i="1" s="1"/>
  <c r="M6490" i="1" s="1"/>
  <c r="G6490" i="1"/>
  <c r="O6489" i="1"/>
  <c r="J6489" i="1"/>
  <c r="K6489" i="1" s="1"/>
  <c r="G6489" i="1"/>
  <c r="O6488" i="1"/>
  <c r="J6488" i="1"/>
  <c r="K6488" i="1" s="1"/>
  <c r="G6488" i="1"/>
  <c r="O6469" i="1"/>
  <c r="J6469" i="1"/>
  <c r="G6469" i="1"/>
  <c r="O6468" i="1"/>
  <c r="J6468" i="1"/>
  <c r="K6468" i="1" s="1"/>
  <c r="G6468" i="1"/>
  <c r="O6458" i="1"/>
  <c r="J6458" i="1"/>
  <c r="G6458" i="1"/>
  <c r="O6457" i="1"/>
  <c r="J6457" i="1"/>
  <c r="K6457" i="1" s="1"/>
  <c r="G6457" i="1"/>
  <c r="O6456" i="1"/>
  <c r="J6456" i="1"/>
  <c r="K6456" i="1" s="1"/>
  <c r="G6456" i="1"/>
  <c r="O6443" i="1"/>
  <c r="J6443" i="1"/>
  <c r="G6443" i="1"/>
  <c r="O6430" i="1"/>
  <c r="J6430" i="1"/>
  <c r="G6430" i="1"/>
  <c r="O6429" i="1"/>
  <c r="J6429" i="1"/>
  <c r="K6429" i="1" s="1"/>
  <c r="G6429" i="1"/>
  <c r="O6428" i="1"/>
  <c r="J6428" i="1"/>
  <c r="K6428" i="1" s="1"/>
  <c r="G6428" i="1"/>
  <c r="O6427" i="1"/>
  <c r="J6427" i="1"/>
  <c r="K6427" i="1" s="1"/>
  <c r="G6427" i="1"/>
  <c r="O6424" i="1"/>
  <c r="J6424" i="1"/>
  <c r="G6424" i="1"/>
  <c r="O6421" i="1"/>
  <c r="J6421" i="1"/>
  <c r="G6421" i="1"/>
  <c r="O6420" i="1"/>
  <c r="J6420" i="1"/>
  <c r="K6420" i="1" s="1"/>
  <c r="G6420" i="1"/>
  <c r="O6395" i="1"/>
  <c r="J6395" i="1"/>
  <c r="G6395" i="1"/>
  <c r="O6370" i="1"/>
  <c r="J6370" i="1"/>
  <c r="G6370" i="1"/>
  <c r="O6345" i="1"/>
  <c r="J6345" i="1"/>
  <c r="G6345" i="1"/>
  <c r="O6344" i="1"/>
  <c r="J6344" i="1"/>
  <c r="K6344" i="1" s="1"/>
  <c r="G6344" i="1"/>
  <c r="O6343" i="1"/>
  <c r="J6343" i="1"/>
  <c r="K6343" i="1" s="1"/>
  <c r="M6343" i="1" s="1"/>
  <c r="N6343" i="1" s="1"/>
  <c r="G6343" i="1"/>
  <c r="O6340" i="1"/>
  <c r="J6340" i="1"/>
  <c r="G6340" i="1"/>
  <c r="O6339" i="1"/>
  <c r="J6339" i="1"/>
  <c r="K6339" i="1" s="1"/>
  <c r="G6339" i="1"/>
  <c r="O6338" i="1"/>
  <c r="J6338" i="1"/>
  <c r="K6338" i="1" s="1"/>
  <c r="G6338" i="1"/>
  <c r="O6335" i="1"/>
  <c r="J6335" i="1"/>
  <c r="G6335" i="1"/>
  <c r="O6332" i="1"/>
  <c r="J6332" i="1"/>
  <c r="G6332" i="1"/>
  <c r="O6315" i="1"/>
  <c r="J6315" i="1"/>
  <c r="G6315" i="1"/>
  <c r="O6314" i="1"/>
  <c r="J6314" i="1"/>
  <c r="K6314" i="1" s="1"/>
  <c r="G6314" i="1"/>
  <c r="O6313" i="1"/>
  <c r="J6313" i="1"/>
  <c r="K6313" i="1" s="1"/>
  <c r="G6313" i="1"/>
  <c r="O6306" i="1"/>
  <c r="J6306" i="1"/>
  <c r="G6306" i="1"/>
  <c r="O6305" i="1"/>
  <c r="J6305" i="1"/>
  <c r="K6305" i="1" s="1"/>
  <c r="G6305" i="1"/>
  <c r="O6302" i="1"/>
  <c r="J6302" i="1"/>
  <c r="G6302" i="1"/>
  <c r="O6301" i="1"/>
  <c r="J6301" i="1"/>
  <c r="K6301" i="1" s="1"/>
  <c r="G6301" i="1"/>
  <c r="O6300" i="1"/>
  <c r="J6300" i="1"/>
  <c r="K6300" i="1" s="1"/>
  <c r="G6300" i="1"/>
  <c r="O6299" i="1"/>
  <c r="J6299" i="1"/>
  <c r="K6299" i="1" s="1"/>
  <c r="M6299" i="1" s="1"/>
  <c r="G6299" i="1"/>
  <c r="O6296" i="1"/>
  <c r="J6296" i="1"/>
  <c r="G6296" i="1"/>
  <c r="O6293" i="1"/>
  <c r="J6293" i="1"/>
  <c r="G6293" i="1"/>
  <c r="O6292" i="1"/>
  <c r="J6292" i="1"/>
  <c r="K6292" i="1" s="1"/>
  <c r="M6292" i="1" s="1"/>
  <c r="N6292" i="1" s="1"/>
  <c r="G6292" i="1"/>
  <c r="O6289" i="1"/>
  <c r="J6289" i="1"/>
  <c r="G6289" i="1"/>
  <c r="O6288" i="1"/>
  <c r="J6288" i="1"/>
  <c r="K6288" i="1" s="1"/>
  <c r="G6288" i="1"/>
  <c r="O6287" i="1"/>
  <c r="J6287" i="1"/>
  <c r="K6287" i="1" s="1"/>
  <c r="G6287" i="1"/>
  <c r="O6286" i="1"/>
  <c r="J6286" i="1"/>
  <c r="K6286" i="1" s="1"/>
  <c r="G6286" i="1"/>
  <c r="O6283" i="1"/>
  <c r="J6283" i="1"/>
  <c r="G6283" i="1"/>
  <c r="O6282" i="1"/>
  <c r="J6282" i="1"/>
  <c r="K6282" i="1" s="1"/>
  <c r="M6282" i="1" s="1"/>
  <c r="G6282" i="1"/>
  <c r="O6281" i="1"/>
  <c r="J6281" i="1"/>
  <c r="K6281" i="1" s="1"/>
  <c r="G6281" i="1"/>
  <c r="O6280" i="1"/>
  <c r="J6280" i="1"/>
  <c r="K6280" i="1" s="1"/>
  <c r="G6280" i="1"/>
  <c r="O6279" i="1"/>
  <c r="J6279" i="1"/>
  <c r="K6279" i="1" s="1"/>
  <c r="M6279" i="1" s="1"/>
  <c r="N6279" i="1" s="1"/>
  <c r="G6279" i="1"/>
  <c r="O6276" i="1"/>
  <c r="J6276" i="1"/>
  <c r="G6276" i="1"/>
  <c r="O6273" i="1"/>
  <c r="J6273" i="1"/>
  <c r="G6273" i="1"/>
  <c r="O6270" i="1"/>
  <c r="J6270" i="1"/>
  <c r="G6270" i="1"/>
  <c r="O6269" i="1"/>
  <c r="J6269" i="1"/>
  <c r="K6269" i="1" s="1"/>
  <c r="G6269" i="1"/>
  <c r="O6268" i="1"/>
  <c r="J6268" i="1"/>
  <c r="K6268" i="1" s="1"/>
  <c r="M6268" i="1" s="1"/>
  <c r="G6268" i="1"/>
  <c r="O6267" i="1"/>
  <c r="J6267" i="1"/>
  <c r="K6267" i="1" s="1"/>
  <c r="G6267" i="1"/>
  <c r="O6266" i="1"/>
  <c r="J6266" i="1"/>
  <c r="K6266" i="1" s="1"/>
  <c r="G6266" i="1"/>
  <c r="O6265" i="1"/>
  <c r="J6265" i="1"/>
  <c r="K6265" i="1" s="1"/>
  <c r="M6265" i="1" s="1"/>
  <c r="G6265" i="1"/>
  <c r="O6264" i="1"/>
  <c r="J6264" i="1"/>
  <c r="K6264" i="1" s="1"/>
  <c r="G6264" i="1"/>
  <c r="O6245" i="1"/>
  <c r="J6245" i="1"/>
  <c r="G6245" i="1"/>
  <c r="O6235" i="1"/>
  <c r="J6235" i="1"/>
  <c r="G6235" i="1"/>
  <c r="O6234" i="1"/>
  <c r="J6234" i="1"/>
  <c r="K6234" i="1" s="1"/>
  <c r="G6234" i="1"/>
  <c r="O6233" i="1"/>
  <c r="J6233" i="1"/>
  <c r="K6233" i="1" s="1"/>
  <c r="G6233" i="1"/>
  <c r="O6220" i="1"/>
  <c r="J6220" i="1"/>
  <c r="G6220" i="1"/>
  <c r="O6207" i="1"/>
  <c r="J6207" i="1"/>
  <c r="J6215" i="1" s="1"/>
  <c r="G6207" i="1"/>
  <c r="O6206" i="1"/>
  <c r="J6206" i="1"/>
  <c r="K6206" i="1" s="1"/>
  <c r="G6206" i="1"/>
  <c r="O6205" i="1"/>
  <c r="J6205" i="1"/>
  <c r="K6205" i="1" s="1"/>
  <c r="G6205" i="1"/>
  <c r="O6202" i="1"/>
  <c r="J6202" i="1"/>
  <c r="G6202" i="1"/>
  <c r="O6199" i="1"/>
  <c r="J6199" i="1"/>
  <c r="G6199" i="1"/>
  <c r="O6198" i="1"/>
  <c r="J6198" i="1"/>
  <c r="K6198" i="1" s="1"/>
  <c r="M6198" i="1" s="1"/>
  <c r="G6198" i="1"/>
  <c r="O6173" i="1"/>
  <c r="J6173" i="1"/>
  <c r="G6173" i="1"/>
  <c r="O6148" i="1"/>
  <c r="J6148" i="1"/>
  <c r="G6148" i="1"/>
  <c r="O6123" i="1"/>
  <c r="J6123" i="1"/>
  <c r="G6123" i="1"/>
  <c r="O6122" i="1"/>
  <c r="J6122" i="1"/>
  <c r="K6122" i="1" s="1"/>
  <c r="G6122" i="1"/>
  <c r="O6121" i="1"/>
  <c r="J6121" i="1"/>
  <c r="K6121" i="1" s="1"/>
  <c r="M6121" i="1" s="1"/>
  <c r="N6121" i="1" s="1"/>
  <c r="G6121" i="1"/>
  <c r="AI6118" i="1"/>
  <c r="O6118" i="1"/>
  <c r="J6118" i="1"/>
  <c r="G6118" i="1"/>
  <c r="O6117" i="1"/>
  <c r="J6117" i="1"/>
  <c r="K6117" i="1" s="1"/>
  <c r="G6117" i="1"/>
  <c r="O6116" i="1"/>
  <c r="J6116" i="1"/>
  <c r="K6116" i="1" s="1"/>
  <c r="M6116" i="1" s="1"/>
  <c r="G6116" i="1"/>
  <c r="O6115" i="1"/>
  <c r="J6115" i="1"/>
  <c r="K6115" i="1" s="1"/>
  <c r="G6115" i="1"/>
  <c r="O6112" i="1"/>
  <c r="J6112" i="1"/>
  <c r="G6112" i="1"/>
  <c r="O6109" i="1"/>
  <c r="J6109" i="1"/>
  <c r="G6109" i="1"/>
  <c r="O6092" i="1"/>
  <c r="J6092" i="1"/>
  <c r="G6092" i="1"/>
  <c r="O6091" i="1"/>
  <c r="J6091" i="1"/>
  <c r="K6091" i="1" s="1"/>
  <c r="G6091" i="1"/>
  <c r="O6090" i="1"/>
  <c r="J6090" i="1"/>
  <c r="K6090" i="1" s="1"/>
  <c r="G6090" i="1"/>
  <c r="O6083" i="1"/>
  <c r="J6083" i="1"/>
  <c r="G6083" i="1"/>
  <c r="O6082" i="1"/>
  <c r="J6082" i="1"/>
  <c r="K6082" i="1" s="1"/>
  <c r="M6082" i="1" s="1"/>
  <c r="N6082" i="1" s="1"/>
  <c r="G6082" i="1"/>
  <c r="O6079" i="1"/>
  <c r="J6079" i="1"/>
  <c r="G6079" i="1"/>
  <c r="O6078" i="1"/>
  <c r="J6078" i="1"/>
  <c r="K6078" i="1" s="1"/>
  <c r="G6078" i="1"/>
  <c r="G6077" i="1"/>
  <c r="O6074" i="1"/>
  <c r="J6074" i="1"/>
  <c r="G6074" i="1"/>
  <c r="O6071" i="1"/>
  <c r="J6071" i="1"/>
  <c r="G6071" i="1"/>
  <c r="O6068" i="1"/>
  <c r="J6068" i="1"/>
  <c r="G6068" i="1"/>
  <c r="O6062" i="1"/>
  <c r="J6062" i="1"/>
  <c r="G6062" i="1"/>
  <c r="O6059" i="1"/>
  <c r="J6059" i="1"/>
  <c r="G6059" i="1"/>
  <c r="O6058" i="1"/>
  <c r="J6058" i="1"/>
  <c r="K6058" i="1" s="1"/>
  <c r="M6058" i="1" s="1"/>
  <c r="N6058" i="1" s="1"/>
  <c r="G6058" i="1"/>
  <c r="O6057" i="1"/>
  <c r="J6057" i="1"/>
  <c r="K6057" i="1" s="1"/>
  <c r="G6057" i="1"/>
  <c r="O6056" i="1"/>
  <c r="J6056" i="1"/>
  <c r="K6056" i="1" s="1"/>
  <c r="G6056" i="1"/>
  <c r="O6053" i="1"/>
  <c r="J6053" i="1"/>
  <c r="G6053" i="1"/>
  <c r="O6052" i="1"/>
  <c r="J6052" i="1"/>
  <c r="K6052" i="1" s="1"/>
  <c r="M6052" i="1" s="1"/>
  <c r="N6052" i="1" s="1"/>
  <c r="G6052" i="1"/>
  <c r="O6049" i="1"/>
  <c r="J6049" i="1"/>
  <c r="G6049" i="1"/>
  <c r="O6048" i="1"/>
  <c r="J6048" i="1"/>
  <c r="K6048" i="1" s="1"/>
  <c r="G6048" i="1"/>
  <c r="O6047" i="1"/>
  <c r="J6047" i="1"/>
  <c r="K6047" i="1" s="1"/>
  <c r="G6047" i="1"/>
  <c r="O6046" i="1"/>
  <c r="J6046" i="1"/>
  <c r="K6046" i="1" s="1"/>
  <c r="G6046" i="1"/>
  <c r="O6043" i="1"/>
  <c r="J6043" i="1"/>
  <c r="G6043" i="1"/>
  <c r="O6040" i="1"/>
  <c r="J6040" i="1"/>
  <c r="G6040" i="1"/>
  <c r="O6037" i="1"/>
  <c r="J6037" i="1"/>
  <c r="G6037" i="1"/>
  <c r="O6034" i="1"/>
  <c r="J6034" i="1"/>
  <c r="G6034" i="1"/>
  <c r="O6033" i="1"/>
  <c r="J6033" i="1"/>
  <c r="K6033" i="1" s="1"/>
  <c r="G6033" i="1"/>
  <c r="O6028" i="1"/>
  <c r="J6028" i="1"/>
  <c r="G6028" i="1"/>
  <c r="O6023" i="1"/>
  <c r="J6023" i="1"/>
  <c r="G6023" i="1"/>
  <c r="O6018" i="1"/>
  <c r="J6018" i="1"/>
  <c r="G6018" i="1"/>
  <c r="O6017" i="1"/>
  <c r="J6017" i="1"/>
  <c r="K6017" i="1" s="1"/>
  <c r="M6017" i="1" s="1"/>
  <c r="G6017" i="1"/>
  <c r="O6016" i="1"/>
  <c r="J6016" i="1"/>
  <c r="K6016" i="1" s="1"/>
  <c r="G6016" i="1"/>
  <c r="O6007" i="1"/>
  <c r="J6007" i="1"/>
  <c r="G6007" i="1"/>
  <c r="O5998" i="1"/>
  <c r="J5998" i="1"/>
  <c r="G5998" i="1"/>
  <c r="O5989" i="1"/>
  <c r="J5989" i="1"/>
  <c r="G5989" i="1"/>
  <c r="O5980" i="1"/>
  <c r="J5980" i="1"/>
  <c r="G5980" i="1"/>
  <c r="O5979" i="1"/>
  <c r="J5979" i="1"/>
  <c r="K5979" i="1" s="1"/>
  <c r="G5979" i="1"/>
  <c r="O5970" i="1"/>
  <c r="J5970" i="1"/>
  <c r="G5970" i="1"/>
  <c r="O5961" i="1"/>
  <c r="J5961" i="1"/>
  <c r="G5961" i="1"/>
  <c r="O5952" i="1"/>
  <c r="J5952" i="1"/>
  <c r="G5952" i="1"/>
  <c r="O5943" i="1"/>
  <c r="J5943" i="1"/>
  <c r="J5944" i="1" s="1"/>
  <c r="G5943" i="1"/>
  <c r="O5942" i="1"/>
  <c r="J5942" i="1"/>
  <c r="K5942" i="1" s="1"/>
  <c r="G5942" i="1"/>
  <c r="O5941" i="1"/>
  <c r="J5941" i="1"/>
  <c r="K5941" i="1" s="1"/>
  <c r="M5941" i="1" s="1"/>
  <c r="G5941" i="1"/>
  <c r="O5940" i="1"/>
  <c r="J5940" i="1"/>
  <c r="K5940" i="1" s="1"/>
  <c r="G5940" i="1"/>
  <c r="O5939" i="1"/>
  <c r="J5939" i="1"/>
  <c r="K5939" i="1" s="1"/>
  <c r="M5939" i="1" s="1"/>
  <c r="G5939" i="1"/>
  <c r="O5938" i="1"/>
  <c r="J5938" i="1"/>
  <c r="K5938" i="1" s="1"/>
  <c r="G5938" i="1"/>
  <c r="O5937" i="1"/>
  <c r="J5937" i="1"/>
  <c r="K5937" i="1" s="1"/>
  <c r="G5937" i="1"/>
  <c r="O5936" i="1"/>
  <c r="J5936" i="1"/>
  <c r="K5936" i="1" s="1"/>
  <c r="G5936" i="1"/>
  <c r="O5920" i="1"/>
  <c r="J5920" i="1"/>
  <c r="G5920" i="1"/>
  <c r="O5889" i="1"/>
  <c r="J5889" i="1"/>
  <c r="G5889" i="1"/>
  <c r="O5888" i="1"/>
  <c r="J5888" i="1"/>
  <c r="K5888" i="1" s="1"/>
  <c r="M5888" i="1" s="1"/>
  <c r="G5888" i="1"/>
  <c r="O5887" i="1"/>
  <c r="J5887" i="1"/>
  <c r="K5887" i="1" s="1"/>
  <c r="G5887" i="1"/>
  <c r="O5886" i="1"/>
  <c r="J5886" i="1"/>
  <c r="K5886" i="1" s="1"/>
  <c r="M5886" i="1" s="1"/>
  <c r="G5886" i="1"/>
  <c r="O5885" i="1"/>
  <c r="J5885" i="1"/>
  <c r="K5885" i="1" s="1"/>
  <c r="M5885" i="1" s="1"/>
  <c r="N5885" i="1" s="1"/>
  <c r="G5885" i="1"/>
  <c r="O5884" i="1"/>
  <c r="J5884" i="1"/>
  <c r="K5884" i="1" s="1"/>
  <c r="M5884" i="1" s="1"/>
  <c r="N5884" i="1" s="1"/>
  <c r="G5884" i="1"/>
  <c r="O5868" i="1"/>
  <c r="J5868" i="1"/>
  <c r="J5874" i="1" s="1"/>
  <c r="G5868" i="1"/>
  <c r="O5838" i="1"/>
  <c r="J5838" i="1"/>
  <c r="G5838" i="1"/>
  <c r="O5808" i="1"/>
  <c r="J5808" i="1"/>
  <c r="G5808" i="1"/>
  <c r="O5807" i="1"/>
  <c r="J5807" i="1"/>
  <c r="K5807" i="1" s="1"/>
  <c r="G5807" i="1"/>
  <c r="O5806" i="1"/>
  <c r="J5806" i="1"/>
  <c r="K5806" i="1" s="1"/>
  <c r="G5806" i="1"/>
  <c r="O5805" i="1"/>
  <c r="J5805" i="1"/>
  <c r="K5805" i="1" s="1"/>
  <c r="G5805" i="1"/>
  <c r="O5774" i="1"/>
  <c r="J5774" i="1"/>
  <c r="G5774" i="1"/>
  <c r="O5773" i="1"/>
  <c r="J5773" i="1"/>
  <c r="K5773" i="1" s="1"/>
  <c r="M5773" i="1" s="1"/>
  <c r="G5773" i="1"/>
  <c r="O5772" i="1"/>
  <c r="J5772" i="1"/>
  <c r="K5772" i="1" s="1"/>
  <c r="G5772" i="1"/>
  <c r="O5771" i="1"/>
  <c r="J5771" i="1"/>
  <c r="K5771" i="1" s="1"/>
  <c r="G5771" i="1"/>
  <c r="O5770" i="1"/>
  <c r="J5770" i="1"/>
  <c r="K5770" i="1" s="1"/>
  <c r="G5770" i="1"/>
  <c r="O5769" i="1"/>
  <c r="J5769" i="1"/>
  <c r="K5769" i="1" s="1"/>
  <c r="M5769" i="1" s="1"/>
  <c r="AC5769" i="1" s="1"/>
  <c r="G5769" i="1"/>
  <c r="O5768" i="1"/>
  <c r="J5768" i="1"/>
  <c r="K5768" i="1" s="1"/>
  <c r="G5768" i="1"/>
  <c r="O5767" i="1"/>
  <c r="J5767" i="1"/>
  <c r="K5767" i="1" s="1"/>
  <c r="M5767" i="1" s="1"/>
  <c r="G5767" i="1"/>
  <c r="O5766" i="1"/>
  <c r="J5766" i="1"/>
  <c r="K5766" i="1" s="1"/>
  <c r="G5766" i="1"/>
  <c r="O5765" i="1"/>
  <c r="J5765" i="1"/>
  <c r="K5765" i="1" s="1"/>
  <c r="G5765" i="1"/>
  <c r="O5764" i="1"/>
  <c r="J5764" i="1"/>
  <c r="K5764" i="1" s="1"/>
  <c r="G5764" i="1"/>
  <c r="O5763" i="1"/>
  <c r="J5763" i="1"/>
  <c r="K5763" i="1" s="1"/>
  <c r="G5763" i="1"/>
  <c r="O5762" i="1"/>
  <c r="J5762" i="1"/>
  <c r="K5762" i="1" s="1"/>
  <c r="G5762" i="1"/>
  <c r="O5732" i="1"/>
  <c r="J5732" i="1"/>
  <c r="G5732" i="1"/>
  <c r="O5702" i="1"/>
  <c r="J5702" i="1"/>
  <c r="G5702" i="1"/>
  <c r="O5672" i="1"/>
  <c r="J5672" i="1"/>
  <c r="G5672" i="1"/>
  <c r="O5642" i="1"/>
  <c r="J5642" i="1"/>
  <c r="G5642" i="1"/>
  <c r="O5612" i="1"/>
  <c r="J5612" i="1"/>
  <c r="G5612" i="1"/>
  <c r="O9866" i="1"/>
  <c r="J9866" i="1"/>
  <c r="G9866" i="1"/>
  <c r="O9859" i="1"/>
  <c r="J9859" i="1"/>
  <c r="G9859" i="1"/>
  <c r="O9858" i="1"/>
  <c r="J9858" i="1"/>
  <c r="K9858" i="1" s="1"/>
  <c r="G9858" i="1"/>
  <c r="O9857" i="1"/>
  <c r="J9857" i="1"/>
  <c r="K9857" i="1" s="1"/>
  <c r="G9857" i="1"/>
  <c r="O9856" i="1"/>
  <c r="J9856" i="1"/>
  <c r="K9856" i="1" s="1"/>
  <c r="G9856" i="1"/>
  <c r="O9855" i="1"/>
  <c r="J9855" i="1"/>
  <c r="K9855" i="1" s="1"/>
  <c r="M9855" i="1" s="1"/>
  <c r="N9855" i="1" s="1"/>
  <c r="G9855" i="1"/>
  <c r="O9854" i="1"/>
  <c r="J9854" i="1"/>
  <c r="K9854" i="1" s="1"/>
  <c r="G9854" i="1"/>
  <c r="O9853" i="1"/>
  <c r="J9853" i="1"/>
  <c r="K9853" i="1" s="1"/>
  <c r="G9853" i="1"/>
  <c r="O9852" i="1"/>
  <c r="J9852" i="1"/>
  <c r="K9852" i="1" s="1"/>
  <c r="G9852" i="1"/>
  <c r="O9851" i="1"/>
  <c r="J9851" i="1"/>
  <c r="K9851" i="1" s="1"/>
  <c r="M9851" i="1" s="1"/>
  <c r="G9851" i="1"/>
  <c r="O9850" i="1"/>
  <c r="J9850" i="1"/>
  <c r="G9850" i="1"/>
  <c r="O9849" i="1"/>
  <c r="J9849" i="1"/>
  <c r="K9849" i="1" s="1"/>
  <c r="G9849" i="1"/>
  <c r="O9848" i="1"/>
  <c r="J9848" i="1"/>
  <c r="K9848" i="1" s="1"/>
  <c r="G9848" i="1"/>
  <c r="O9847" i="1"/>
  <c r="J9847" i="1"/>
  <c r="K9847" i="1" s="1"/>
  <c r="M9847" i="1" s="1"/>
  <c r="G9847" i="1"/>
  <c r="O9846" i="1"/>
  <c r="J9846" i="1"/>
  <c r="K9846" i="1" s="1"/>
  <c r="G9846" i="1"/>
  <c r="O9845" i="1"/>
  <c r="J9845" i="1"/>
  <c r="K9845" i="1" s="1"/>
  <c r="G9845" i="1"/>
  <c r="O9844" i="1"/>
  <c r="J9844" i="1"/>
  <c r="K9844" i="1" s="1"/>
  <c r="G9844" i="1"/>
  <c r="O9843" i="1"/>
  <c r="J9843" i="1"/>
  <c r="K9843" i="1" s="1"/>
  <c r="G9843" i="1"/>
  <c r="O9842" i="1"/>
  <c r="J9842" i="1"/>
  <c r="K9842" i="1" s="1"/>
  <c r="M9842" i="1" s="1"/>
  <c r="G9842" i="1"/>
  <c r="O9841" i="1"/>
  <c r="J9841" i="1"/>
  <c r="K9841" i="1" s="1"/>
  <c r="G9841" i="1"/>
  <c r="O9840" i="1"/>
  <c r="J9840" i="1"/>
  <c r="K9840" i="1" s="1"/>
  <c r="G9840" i="1"/>
  <c r="O9839" i="1"/>
  <c r="J9839" i="1"/>
  <c r="K9839" i="1" s="1"/>
  <c r="G9839" i="1"/>
  <c r="O9838" i="1"/>
  <c r="J9838" i="1"/>
  <c r="K9838" i="1" s="1"/>
  <c r="G9838" i="1"/>
  <c r="O9837" i="1"/>
  <c r="J9837" i="1"/>
  <c r="K9837" i="1" s="1"/>
  <c r="G9837" i="1"/>
  <c r="O9836" i="1"/>
  <c r="J9836" i="1"/>
  <c r="K9836" i="1" s="1"/>
  <c r="M9836" i="1" s="1"/>
  <c r="N9836" i="1" s="1"/>
  <c r="G9836" i="1"/>
  <c r="O9835" i="1"/>
  <c r="J9835" i="1"/>
  <c r="K9835" i="1" s="1"/>
  <c r="G9835" i="1"/>
  <c r="O9834" i="1"/>
  <c r="J9834" i="1"/>
  <c r="K9834" i="1" s="1"/>
  <c r="G9834" i="1"/>
  <c r="O9833" i="1"/>
  <c r="J9833" i="1"/>
  <c r="K9833" i="1" s="1"/>
  <c r="G9833" i="1"/>
  <c r="O9832" i="1"/>
  <c r="J9832" i="1"/>
  <c r="K9832" i="1" s="1"/>
  <c r="G9832" i="1"/>
  <c r="O9831" i="1"/>
  <c r="J9831" i="1"/>
  <c r="K9831" i="1" s="1"/>
  <c r="G9831" i="1"/>
  <c r="O9830" i="1"/>
  <c r="J9830" i="1"/>
  <c r="K9830" i="1" s="1"/>
  <c r="G9830" i="1"/>
  <c r="O9829" i="1"/>
  <c r="J9829" i="1"/>
  <c r="K9829" i="1" s="1"/>
  <c r="G9829" i="1"/>
  <c r="O9828" i="1"/>
  <c r="J9828" i="1"/>
  <c r="K9828" i="1" s="1"/>
  <c r="M9828" i="1" s="1"/>
  <c r="G9828" i="1"/>
  <c r="O9827" i="1"/>
  <c r="J9827" i="1"/>
  <c r="K9827" i="1" s="1"/>
  <c r="G9827" i="1"/>
  <c r="O9826" i="1"/>
  <c r="J9826" i="1"/>
  <c r="K9826" i="1" s="1"/>
  <c r="M9826" i="1" s="1"/>
  <c r="AC9826" i="1" s="1"/>
  <c r="G9826" i="1"/>
  <c r="O9825" i="1"/>
  <c r="J9825" i="1"/>
  <c r="K9825" i="1" s="1"/>
  <c r="G9825" i="1"/>
  <c r="O9824" i="1"/>
  <c r="J9824" i="1"/>
  <c r="K9824" i="1" s="1"/>
  <c r="M9824" i="1" s="1"/>
  <c r="G9824" i="1"/>
  <c r="O9823" i="1"/>
  <c r="J9823" i="1"/>
  <c r="K9823" i="1" s="1"/>
  <c r="M9823" i="1" s="1"/>
  <c r="G9823" i="1"/>
  <c r="O9822" i="1"/>
  <c r="J9822" i="1"/>
  <c r="K9822" i="1" s="1"/>
  <c r="G9822" i="1"/>
  <c r="O9821" i="1"/>
  <c r="J9821" i="1"/>
  <c r="K9821" i="1" s="1"/>
  <c r="G9821" i="1"/>
  <c r="O9820" i="1"/>
  <c r="J9820" i="1"/>
  <c r="K9820" i="1" s="1"/>
  <c r="G9820" i="1"/>
  <c r="O9819" i="1"/>
  <c r="J9819" i="1"/>
  <c r="K9819" i="1" s="1"/>
  <c r="G9819" i="1"/>
  <c r="O9818" i="1"/>
  <c r="J9818" i="1"/>
  <c r="K9818" i="1" s="1"/>
  <c r="G9818" i="1"/>
  <c r="O9817" i="1"/>
  <c r="J9817" i="1"/>
  <c r="K9817" i="1" s="1"/>
  <c r="M9817" i="1" s="1"/>
  <c r="G9817" i="1"/>
  <c r="O9816" i="1"/>
  <c r="J9816" i="1"/>
  <c r="K9816" i="1" s="1"/>
  <c r="G9816" i="1"/>
  <c r="O9815" i="1"/>
  <c r="J9815" i="1"/>
  <c r="K9815" i="1" s="1"/>
  <c r="G9815" i="1"/>
  <c r="O9814" i="1"/>
  <c r="J9814" i="1"/>
  <c r="K9814" i="1" s="1"/>
  <c r="G9814" i="1"/>
  <c r="O9813" i="1"/>
  <c r="J9813" i="1"/>
  <c r="K9813" i="1" s="1"/>
  <c r="M9813" i="1" s="1"/>
  <c r="N9813" i="1" s="1"/>
  <c r="G9813" i="1"/>
  <c r="O9812" i="1"/>
  <c r="J9812" i="1"/>
  <c r="K9812" i="1" s="1"/>
  <c r="G9812" i="1"/>
  <c r="O9811" i="1"/>
  <c r="J9811" i="1"/>
  <c r="K9811" i="1" s="1"/>
  <c r="G9811" i="1"/>
  <c r="O9810" i="1"/>
  <c r="J9810" i="1"/>
  <c r="K9810" i="1" s="1"/>
  <c r="M9810" i="1" s="1"/>
  <c r="G9810" i="1"/>
  <c r="O9809" i="1"/>
  <c r="J9809" i="1"/>
  <c r="K9809" i="1" s="1"/>
  <c r="M9809" i="1" s="1"/>
  <c r="G9809" i="1"/>
  <c r="O9808" i="1"/>
  <c r="J9808" i="1"/>
  <c r="K9808" i="1" s="1"/>
  <c r="G9808" i="1"/>
  <c r="O9807" i="1"/>
  <c r="J9807" i="1"/>
  <c r="K9807" i="1" s="1"/>
  <c r="M9807" i="1" s="1"/>
  <c r="G9807" i="1"/>
  <c r="O9806" i="1"/>
  <c r="J9806" i="1"/>
  <c r="K9806" i="1" s="1"/>
  <c r="G9806" i="1"/>
  <c r="O9805" i="1"/>
  <c r="J9805" i="1"/>
  <c r="K9805" i="1" s="1"/>
  <c r="G9805" i="1"/>
  <c r="O9804" i="1"/>
  <c r="J9804" i="1"/>
  <c r="K9804" i="1" s="1"/>
  <c r="M9804" i="1" s="1"/>
  <c r="G9804" i="1"/>
  <c r="O9803" i="1"/>
  <c r="J9803" i="1"/>
  <c r="K9803" i="1" s="1"/>
  <c r="M9803" i="1" s="1"/>
  <c r="G9803" i="1"/>
  <c r="O9802" i="1"/>
  <c r="J9802" i="1"/>
  <c r="K9802" i="1" s="1"/>
  <c r="G9802" i="1"/>
  <c r="O9801" i="1"/>
  <c r="J9801" i="1"/>
  <c r="K9801" i="1" s="1"/>
  <c r="G9801" i="1"/>
  <c r="O9800" i="1"/>
  <c r="J9800" i="1"/>
  <c r="K9800" i="1" s="1"/>
  <c r="G9800" i="1"/>
  <c r="O9799" i="1"/>
  <c r="J9799" i="1"/>
  <c r="K9799" i="1" s="1"/>
  <c r="M9799" i="1" s="1"/>
  <c r="N9799" i="1" s="1"/>
  <c r="G9799" i="1"/>
  <c r="O9798" i="1"/>
  <c r="J9798" i="1"/>
  <c r="K9798" i="1" s="1"/>
  <c r="M9798" i="1" s="1"/>
  <c r="AC9798" i="1" s="1"/>
  <c r="G9798" i="1"/>
  <c r="O9797" i="1"/>
  <c r="J9797" i="1"/>
  <c r="K9797" i="1" s="1"/>
  <c r="G9797" i="1"/>
  <c r="O9796" i="1"/>
  <c r="J9796" i="1"/>
  <c r="K9796" i="1" s="1"/>
  <c r="G9796" i="1"/>
  <c r="O9795" i="1"/>
  <c r="J9795" i="1"/>
  <c r="K9795" i="1" s="1"/>
  <c r="G9795" i="1"/>
  <c r="O9794" i="1"/>
  <c r="J9794" i="1"/>
  <c r="K9794" i="1" s="1"/>
  <c r="G9794" i="1"/>
  <c r="O9793" i="1"/>
  <c r="J9793" i="1"/>
  <c r="K9793" i="1" s="1"/>
  <c r="G9793" i="1"/>
  <c r="O9792" i="1"/>
  <c r="J9792" i="1"/>
  <c r="K9792" i="1" s="1"/>
  <c r="G9792" i="1"/>
  <c r="O9791" i="1"/>
  <c r="J9791" i="1"/>
  <c r="K9791" i="1" s="1"/>
  <c r="G9791" i="1"/>
  <c r="O9790" i="1"/>
  <c r="J9790" i="1"/>
  <c r="K9790" i="1" s="1"/>
  <c r="G9790" i="1"/>
  <c r="O9789" i="1"/>
  <c r="J9789" i="1"/>
  <c r="K9789" i="1" s="1"/>
  <c r="G9789" i="1"/>
  <c r="O9788" i="1"/>
  <c r="J9788" i="1"/>
  <c r="K9788" i="1" s="1"/>
  <c r="G9788" i="1"/>
  <c r="O9787" i="1"/>
  <c r="J9787" i="1"/>
  <c r="K9787" i="1" s="1"/>
  <c r="M9787" i="1" s="1"/>
  <c r="G9787" i="1"/>
  <c r="O9786" i="1"/>
  <c r="J9786" i="1"/>
  <c r="K9786" i="1" s="1"/>
  <c r="G9786" i="1"/>
  <c r="O9785" i="1"/>
  <c r="J9785" i="1"/>
  <c r="K9785" i="1" s="1"/>
  <c r="G9785" i="1"/>
  <c r="O9784" i="1"/>
  <c r="J9784" i="1"/>
  <c r="K9784" i="1" s="1"/>
  <c r="G9784" i="1"/>
  <c r="O9783" i="1"/>
  <c r="J9783" i="1"/>
  <c r="K9783" i="1" s="1"/>
  <c r="G9783" i="1"/>
  <c r="O9782" i="1"/>
  <c r="J9782" i="1"/>
  <c r="K9782" i="1" s="1"/>
  <c r="G9782" i="1"/>
  <c r="O9781" i="1"/>
  <c r="J9781" i="1"/>
  <c r="K9781" i="1" s="1"/>
  <c r="G9781" i="1"/>
  <c r="O9780" i="1"/>
  <c r="J9780" i="1"/>
  <c r="K9780" i="1" s="1"/>
  <c r="G9780" i="1"/>
  <c r="O9779" i="1"/>
  <c r="J9779" i="1"/>
  <c r="K9779" i="1" s="1"/>
  <c r="G9779" i="1"/>
  <c r="O9778" i="1"/>
  <c r="J9778" i="1"/>
  <c r="K9778" i="1" s="1"/>
  <c r="G9778" i="1"/>
  <c r="O9777" i="1"/>
  <c r="J9777" i="1"/>
  <c r="K9777" i="1" s="1"/>
  <c r="G9777" i="1"/>
  <c r="O9776" i="1"/>
  <c r="J9776" i="1"/>
  <c r="K9776" i="1" s="1"/>
  <c r="G9776" i="1"/>
  <c r="O9775" i="1"/>
  <c r="J9775" i="1"/>
  <c r="K9775" i="1" s="1"/>
  <c r="G9775" i="1"/>
  <c r="O9774" i="1"/>
  <c r="J9774" i="1"/>
  <c r="K9774" i="1" s="1"/>
  <c r="G9774" i="1"/>
  <c r="O9773" i="1"/>
  <c r="J9773" i="1"/>
  <c r="K9773" i="1" s="1"/>
  <c r="G9773" i="1"/>
  <c r="O9772" i="1"/>
  <c r="J9772" i="1"/>
  <c r="K9772" i="1" s="1"/>
  <c r="G9772" i="1"/>
  <c r="O9771" i="1"/>
  <c r="J9771" i="1"/>
  <c r="K9771" i="1" s="1"/>
  <c r="M9771" i="1" s="1"/>
  <c r="G9771" i="1"/>
  <c r="O9770" i="1"/>
  <c r="J9770" i="1"/>
  <c r="K9770" i="1" s="1"/>
  <c r="M9770" i="1" s="1"/>
  <c r="G9770" i="1"/>
  <c r="O9769" i="1"/>
  <c r="J9769" i="1"/>
  <c r="K9769" i="1" s="1"/>
  <c r="G9769" i="1"/>
  <c r="O9768" i="1"/>
  <c r="J9768" i="1"/>
  <c r="K9768" i="1" s="1"/>
  <c r="M9768" i="1" s="1"/>
  <c r="G9768" i="1"/>
  <c r="O9767" i="1"/>
  <c r="J9767" i="1"/>
  <c r="K9767" i="1" s="1"/>
  <c r="M9767" i="1" s="1"/>
  <c r="N9767" i="1" s="1"/>
  <c r="G9767" i="1"/>
  <c r="O9766" i="1"/>
  <c r="J9766" i="1"/>
  <c r="K9766" i="1" s="1"/>
  <c r="G9766" i="1"/>
  <c r="O9765" i="1"/>
  <c r="J9765" i="1"/>
  <c r="K9765" i="1" s="1"/>
  <c r="G9765" i="1"/>
  <c r="O9764" i="1"/>
  <c r="J9764" i="1"/>
  <c r="K9764" i="1" s="1"/>
  <c r="G9764" i="1"/>
  <c r="O9763" i="1"/>
  <c r="J9763" i="1"/>
  <c r="K9763" i="1" s="1"/>
  <c r="M9763" i="1" s="1"/>
  <c r="G9763" i="1"/>
  <c r="O9762" i="1"/>
  <c r="J9762" i="1"/>
  <c r="K9762" i="1" s="1"/>
  <c r="M9762" i="1" s="1"/>
  <c r="G9762" i="1"/>
  <c r="O9761" i="1"/>
  <c r="J9761" i="1"/>
  <c r="K9761" i="1" s="1"/>
  <c r="G9761" i="1"/>
  <c r="O9760" i="1"/>
  <c r="J9760" i="1"/>
  <c r="K9760" i="1" s="1"/>
  <c r="G9760" i="1"/>
  <c r="O9759" i="1"/>
  <c r="J9759" i="1"/>
  <c r="K9759" i="1" s="1"/>
  <c r="M9759" i="1" s="1"/>
  <c r="G9759" i="1"/>
  <c r="O9758" i="1"/>
  <c r="J9758" i="1"/>
  <c r="K9758" i="1" s="1"/>
  <c r="G9758" i="1"/>
  <c r="O9757" i="1"/>
  <c r="J9757" i="1"/>
  <c r="K9757" i="1" s="1"/>
  <c r="M9757" i="1" s="1"/>
  <c r="G9757" i="1"/>
  <c r="O9756" i="1"/>
  <c r="J9756" i="1"/>
  <c r="K9756" i="1" s="1"/>
  <c r="G9756" i="1"/>
  <c r="O9755" i="1"/>
  <c r="J9755" i="1"/>
  <c r="K9755" i="1" s="1"/>
  <c r="G9755" i="1"/>
  <c r="O9754" i="1"/>
  <c r="J9754" i="1"/>
  <c r="K9754" i="1" s="1"/>
  <c r="G9754" i="1"/>
  <c r="O9753" i="1"/>
  <c r="J9753" i="1"/>
  <c r="K9753" i="1" s="1"/>
  <c r="M9753" i="1" s="1"/>
  <c r="G9753" i="1"/>
  <c r="O9752" i="1"/>
  <c r="J9752" i="1"/>
  <c r="K9752" i="1" s="1"/>
  <c r="G9752" i="1"/>
  <c r="O9751" i="1"/>
  <c r="J9751" i="1"/>
  <c r="K9751" i="1" s="1"/>
  <c r="G9751" i="1"/>
  <c r="O9750" i="1"/>
  <c r="J9750" i="1"/>
  <c r="K9750" i="1" s="1"/>
  <c r="G9750" i="1"/>
  <c r="O9749" i="1"/>
  <c r="J9749" i="1"/>
  <c r="K9749" i="1" s="1"/>
  <c r="G9749" i="1"/>
  <c r="O9748" i="1"/>
  <c r="J9748" i="1"/>
  <c r="K9748" i="1" s="1"/>
  <c r="M9748" i="1" s="1"/>
  <c r="AC9748" i="1" s="1"/>
  <c r="G9748" i="1"/>
  <c r="O9739" i="1"/>
  <c r="J9739" i="1"/>
  <c r="G9739" i="1"/>
  <c r="O9738" i="1"/>
  <c r="J9738" i="1"/>
  <c r="K9738" i="1" s="1"/>
  <c r="G9738" i="1"/>
  <c r="O9729" i="1"/>
  <c r="J9729" i="1"/>
  <c r="G9729" i="1"/>
  <c r="O9728" i="1"/>
  <c r="J9728" i="1"/>
  <c r="G9728" i="1"/>
  <c r="O9719" i="1"/>
  <c r="J9719" i="1"/>
  <c r="G9719" i="1"/>
  <c r="O9710" i="1"/>
  <c r="J9710" i="1"/>
  <c r="G9710" i="1"/>
  <c r="O9709" i="1"/>
  <c r="J9709" i="1"/>
  <c r="K9709" i="1" s="1"/>
  <c r="G9709" i="1"/>
  <c r="O9708" i="1"/>
  <c r="J9708" i="1"/>
  <c r="K9708" i="1" s="1"/>
  <c r="G9708" i="1"/>
  <c r="O9707" i="1"/>
  <c r="J9707" i="1"/>
  <c r="K9707" i="1" s="1"/>
  <c r="G9707" i="1"/>
  <c r="O9676" i="1"/>
  <c r="J9676" i="1"/>
  <c r="G9676" i="1"/>
  <c r="O9675" i="1"/>
  <c r="J9675" i="1"/>
  <c r="K9675" i="1" s="1"/>
  <c r="G9675" i="1"/>
  <c r="O9674" i="1"/>
  <c r="J9674" i="1"/>
  <c r="K9674" i="1" s="1"/>
  <c r="G9674" i="1"/>
  <c r="O9643" i="1"/>
  <c r="J9643" i="1"/>
  <c r="G9643" i="1"/>
  <c r="O9642" i="1"/>
  <c r="J9642" i="1"/>
  <c r="K9642" i="1" s="1"/>
  <c r="G9642" i="1"/>
  <c r="O9641" i="1"/>
  <c r="J9641" i="1"/>
  <c r="K9641" i="1" s="1"/>
  <c r="M9641" i="1" s="1"/>
  <c r="G9641" i="1"/>
  <c r="O9610" i="1"/>
  <c r="J9610" i="1"/>
  <c r="G9610" i="1"/>
  <c r="O9581" i="1"/>
  <c r="J9581" i="1"/>
  <c r="G9581" i="1"/>
  <c r="O9578" i="1"/>
  <c r="J9578" i="1"/>
  <c r="K9578" i="1" s="1"/>
  <c r="G9578" i="1"/>
  <c r="O9549" i="1"/>
  <c r="J9549" i="1"/>
  <c r="G9549" i="1"/>
  <c r="O9520" i="1"/>
  <c r="J9520" i="1"/>
  <c r="G9520" i="1"/>
  <c r="O9491" i="1"/>
  <c r="J9491" i="1"/>
  <c r="G9491" i="1"/>
  <c r="O9462" i="1"/>
  <c r="J9462" i="1"/>
  <c r="G9462" i="1"/>
  <c r="O9433" i="1"/>
  <c r="J9433" i="1"/>
  <c r="G9433" i="1"/>
  <c r="O9404" i="1"/>
  <c r="J9404" i="1"/>
  <c r="G9404" i="1"/>
  <c r="O9374" i="1"/>
  <c r="J9374" i="1"/>
  <c r="G9374" i="1"/>
  <c r="O9345" i="1"/>
  <c r="J9345" i="1"/>
  <c r="G9345" i="1"/>
  <c r="O9316" i="1"/>
  <c r="J9316" i="1"/>
  <c r="G9316" i="1"/>
  <c r="O9287" i="1"/>
  <c r="J9287" i="1"/>
  <c r="G9287" i="1"/>
  <c r="O9258" i="1"/>
  <c r="J9258" i="1"/>
  <c r="G9258" i="1"/>
  <c r="O9229" i="1"/>
  <c r="J9229" i="1"/>
  <c r="G9229" i="1"/>
  <c r="O9200" i="1"/>
  <c r="J9200" i="1"/>
  <c r="G9200" i="1"/>
  <c r="O9198" i="1"/>
  <c r="J9198" i="1"/>
  <c r="K9198" i="1" s="1"/>
  <c r="G9198" i="1"/>
  <c r="O9197" i="1"/>
  <c r="J9197" i="1"/>
  <c r="K9197" i="1" s="1"/>
  <c r="M9197" i="1" s="1"/>
  <c r="N9197" i="1" s="1"/>
  <c r="G9197" i="1"/>
  <c r="O9196" i="1"/>
  <c r="J9196" i="1"/>
  <c r="K9196" i="1" s="1"/>
  <c r="G9196" i="1"/>
  <c r="O9195" i="1"/>
  <c r="J9195" i="1"/>
  <c r="K9195" i="1" s="1"/>
  <c r="G9195" i="1"/>
  <c r="O9194" i="1"/>
  <c r="J9194" i="1"/>
  <c r="K9194" i="1" s="1"/>
  <c r="G9194" i="1"/>
  <c r="O9193" i="1"/>
  <c r="J9193" i="1"/>
  <c r="K9193" i="1" s="1"/>
  <c r="G9193" i="1"/>
  <c r="O9192" i="1"/>
  <c r="J9192" i="1"/>
  <c r="K9192" i="1" s="1"/>
  <c r="M9192" i="1" s="1"/>
  <c r="G9192" i="1"/>
  <c r="O9191" i="1"/>
  <c r="J9191" i="1"/>
  <c r="K9191" i="1" s="1"/>
  <c r="G9191" i="1"/>
  <c r="O9190" i="1"/>
  <c r="J9190" i="1"/>
  <c r="K9190" i="1" s="1"/>
  <c r="G9190" i="1"/>
  <c r="O9189" i="1"/>
  <c r="J9189" i="1"/>
  <c r="K9189" i="1" s="1"/>
  <c r="G9189" i="1"/>
  <c r="O9188" i="1"/>
  <c r="J9188" i="1"/>
  <c r="K9188" i="1" s="1"/>
  <c r="G9188" i="1"/>
  <c r="O9187" i="1"/>
  <c r="J9187" i="1"/>
  <c r="K9187" i="1" s="1"/>
  <c r="G9187" i="1"/>
  <c r="O9186" i="1"/>
  <c r="J9186" i="1"/>
  <c r="K9186" i="1" s="1"/>
  <c r="M9186" i="1" s="1"/>
  <c r="G9186" i="1"/>
  <c r="O9185" i="1"/>
  <c r="J9185" i="1"/>
  <c r="K9185" i="1" s="1"/>
  <c r="G9185" i="1"/>
  <c r="O9184" i="1"/>
  <c r="J9184" i="1"/>
  <c r="K9184" i="1" s="1"/>
  <c r="G9184" i="1"/>
  <c r="O9182" i="1"/>
  <c r="J9182" i="1"/>
  <c r="K9182" i="1" s="1"/>
  <c r="G9182" i="1"/>
  <c r="O9152" i="1"/>
  <c r="J9152" i="1"/>
  <c r="G9152" i="1"/>
  <c r="O9122" i="1"/>
  <c r="J9122" i="1"/>
  <c r="G9122" i="1"/>
  <c r="O9092" i="1"/>
  <c r="J9092" i="1"/>
  <c r="G9092" i="1"/>
  <c r="O9062" i="1"/>
  <c r="J9062" i="1"/>
  <c r="G9062" i="1"/>
  <c r="O9061" i="1"/>
  <c r="J9061" i="1"/>
  <c r="K9061" i="1" s="1"/>
  <c r="M9061" i="1" s="1"/>
  <c r="N9061" i="1" s="1"/>
  <c r="G9061" i="1"/>
  <c r="O9059" i="1"/>
  <c r="J9059" i="1"/>
  <c r="K9059" i="1" s="1"/>
  <c r="G9059" i="1"/>
  <c r="O9058" i="1"/>
  <c r="J9058" i="1"/>
  <c r="K9058" i="1" s="1"/>
  <c r="G9058" i="1"/>
  <c r="O9057" i="1"/>
  <c r="J9057" i="1"/>
  <c r="K9057" i="1" s="1"/>
  <c r="M9057" i="1" s="1"/>
  <c r="G9057" i="1"/>
  <c r="O9056" i="1"/>
  <c r="J9056" i="1"/>
  <c r="K9056" i="1" s="1"/>
  <c r="G9056" i="1"/>
  <c r="O9055" i="1"/>
  <c r="J9055" i="1"/>
  <c r="K9055" i="1" s="1"/>
  <c r="G9055" i="1"/>
  <c r="O9054" i="1"/>
  <c r="J9054" i="1"/>
  <c r="K9054" i="1" s="1"/>
  <c r="M9054" i="1" s="1"/>
  <c r="N9054" i="1" s="1"/>
  <c r="G9054" i="1"/>
  <c r="O9024" i="1"/>
  <c r="J9024" i="1"/>
  <c r="G9024" i="1"/>
  <c r="O8994" i="1"/>
  <c r="J8994" i="1"/>
  <c r="G8994" i="1"/>
  <c r="O8964" i="1"/>
  <c r="J8964" i="1"/>
  <c r="G8964" i="1"/>
  <c r="O8934" i="1"/>
  <c r="J8934" i="1"/>
  <c r="G8934" i="1"/>
  <c r="O8904" i="1"/>
  <c r="J8904" i="1"/>
  <c r="G8904" i="1"/>
  <c r="O8874" i="1"/>
  <c r="J8874" i="1"/>
  <c r="G8874" i="1"/>
  <c r="O8872" i="1"/>
  <c r="J8872" i="1"/>
  <c r="K8872" i="1" s="1"/>
  <c r="G8872" i="1"/>
  <c r="O8871" i="1"/>
  <c r="J8871" i="1"/>
  <c r="K8871" i="1" s="1"/>
  <c r="G8871" i="1"/>
  <c r="O8870" i="1"/>
  <c r="J8870" i="1"/>
  <c r="K8870" i="1" s="1"/>
  <c r="G8870" i="1"/>
  <c r="O8869" i="1"/>
  <c r="J8869" i="1"/>
  <c r="K8869" i="1" s="1"/>
  <c r="G8869" i="1"/>
  <c r="O8868" i="1"/>
  <c r="J8868" i="1"/>
  <c r="K8868" i="1" s="1"/>
  <c r="G8868" i="1"/>
  <c r="O8867" i="1"/>
  <c r="J8867" i="1"/>
  <c r="K8867" i="1" s="1"/>
  <c r="G8867" i="1"/>
  <c r="O8837" i="1"/>
  <c r="J8837" i="1"/>
  <c r="G8837" i="1"/>
  <c r="O8807" i="1"/>
  <c r="J8807" i="1"/>
  <c r="G8807" i="1"/>
  <c r="O8777" i="1"/>
  <c r="J8777" i="1"/>
  <c r="G8777" i="1"/>
  <c r="O8747" i="1"/>
  <c r="J8747" i="1"/>
  <c r="G8747" i="1"/>
  <c r="O8717" i="1"/>
  <c r="J8717" i="1"/>
  <c r="G8717" i="1"/>
  <c r="O8687" i="1"/>
  <c r="J8687" i="1"/>
  <c r="G8687" i="1"/>
  <c r="O8682" i="1"/>
  <c r="J8682" i="1"/>
  <c r="K8682" i="1" s="1"/>
  <c r="G8682" i="1"/>
  <c r="O8666" i="1"/>
  <c r="J8666" i="1"/>
  <c r="G8666" i="1"/>
  <c r="O8665" i="1"/>
  <c r="J8665" i="1"/>
  <c r="K8665" i="1" s="1"/>
  <c r="M8665" i="1" s="1"/>
  <c r="N8665" i="1" s="1"/>
  <c r="G8665" i="1"/>
  <c r="O8662" i="1"/>
  <c r="J8662" i="1"/>
  <c r="K8662" i="1" s="1"/>
  <c r="G8662" i="1"/>
  <c r="O8661" i="1"/>
  <c r="J8661" i="1"/>
  <c r="K8661" i="1" s="1"/>
  <c r="M8661" i="1" s="1"/>
  <c r="N8661" i="1" s="1"/>
  <c r="G8661" i="1"/>
  <c r="O8633" i="1"/>
  <c r="J8633" i="1"/>
  <c r="G8633" i="1"/>
  <c r="O8630" i="1"/>
  <c r="J8630" i="1"/>
  <c r="K8630" i="1" s="1"/>
  <c r="M8630" i="1" s="1"/>
  <c r="G8630" i="1"/>
  <c r="O8629" i="1"/>
  <c r="J8629" i="1"/>
  <c r="K8629" i="1" s="1"/>
  <c r="G8629" i="1"/>
  <c r="O8628" i="1"/>
  <c r="J8628" i="1"/>
  <c r="K8628" i="1" s="1"/>
  <c r="G8628" i="1"/>
  <c r="O8627" i="1"/>
  <c r="J8627" i="1"/>
  <c r="K8627" i="1" s="1"/>
  <c r="M8627" i="1" s="1"/>
  <c r="N8627" i="1" s="1"/>
  <c r="G8627" i="1"/>
  <c r="O8626" i="1"/>
  <c r="J8626" i="1"/>
  <c r="K8626" i="1" s="1"/>
  <c r="G8626" i="1"/>
  <c r="O8625" i="1"/>
  <c r="J8625" i="1"/>
  <c r="K8625" i="1" s="1"/>
  <c r="G8625" i="1"/>
  <c r="O8624" i="1"/>
  <c r="J8624" i="1"/>
  <c r="K8624" i="1" s="1"/>
  <c r="M8624" i="1" s="1"/>
  <c r="G8624" i="1"/>
  <c r="O8623" i="1"/>
  <c r="J8623" i="1"/>
  <c r="K8623" i="1" s="1"/>
  <c r="G8623" i="1"/>
  <c r="O8622" i="1"/>
  <c r="J8622" i="1"/>
  <c r="K8622" i="1" s="1"/>
  <c r="G8622" i="1"/>
  <c r="O8621" i="1"/>
  <c r="J8621" i="1"/>
  <c r="K8621" i="1" s="1"/>
  <c r="M8621" i="1" s="1"/>
  <c r="G8621" i="1"/>
  <c r="O8620" i="1"/>
  <c r="J8620" i="1"/>
  <c r="K8620" i="1" s="1"/>
  <c r="G8620" i="1"/>
  <c r="O8619" i="1"/>
  <c r="J8619" i="1"/>
  <c r="K8619" i="1" s="1"/>
  <c r="G8619" i="1"/>
  <c r="O8618" i="1"/>
  <c r="J8618" i="1"/>
  <c r="K8618" i="1" s="1"/>
  <c r="M8618" i="1" s="1"/>
  <c r="G8618" i="1"/>
  <c r="O8602" i="1"/>
  <c r="J8602" i="1"/>
  <c r="G8602" i="1"/>
  <c r="O8586" i="1"/>
  <c r="J8586" i="1"/>
  <c r="G8586" i="1"/>
  <c r="O8585" i="1"/>
  <c r="J8585" i="1"/>
  <c r="K8585" i="1" s="1"/>
  <c r="M8585" i="1" s="1"/>
  <c r="G8585" i="1"/>
  <c r="O8584" i="1"/>
  <c r="J8584" i="1"/>
  <c r="K8584" i="1" s="1"/>
  <c r="G8584" i="1"/>
  <c r="O8569" i="1"/>
  <c r="J8569" i="1"/>
  <c r="G8569" i="1"/>
  <c r="O8568" i="1"/>
  <c r="J8568" i="1"/>
  <c r="K8568" i="1" s="1"/>
  <c r="M8568" i="1" s="1"/>
  <c r="N8568" i="1" s="1"/>
  <c r="G8568" i="1"/>
  <c r="O8567" i="1"/>
  <c r="J8567" i="1"/>
  <c r="K8567" i="1" s="1"/>
  <c r="G8567" i="1"/>
  <c r="O8552" i="1"/>
  <c r="J8552" i="1"/>
  <c r="G8552" i="1"/>
  <c r="O8551" i="1"/>
  <c r="J8551" i="1"/>
  <c r="K8551" i="1" s="1"/>
  <c r="M8551" i="1" s="1"/>
  <c r="G8551" i="1"/>
  <c r="O8536" i="1"/>
  <c r="J8536" i="1"/>
  <c r="G8536" i="1"/>
  <c r="O8535" i="1"/>
  <c r="J8535" i="1"/>
  <c r="K8535" i="1" s="1"/>
  <c r="G8535" i="1"/>
  <c r="O8534" i="1"/>
  <c r="J8534" i="1"/>
  <c r="K8534" i="1" s="1"/>
  <c r="M8534" i="1" s="1"/>
  <c r="N8534" i="1" s="1"/>
  <c r="G8534" i="1"/>
  <c r="O8518" i="1"/>
  <c r="J8518" i="1"/>
  <c r="G8518" i="1"/>
  <c r="O8502" i="1"/>
  <c r="J8502" i="1"/>
  <c r="G8502" i="1"/>
  <c r="O8501" i="1"/>
  <c r="J8501" i="1"/>
  <c r="K8501" i="1" s="1"/>
  <c r="M8501" i="1" s="1"/>
  <c r="G8501" i="1"/>
  <c r="O8500" i="1"/>
  <c r="J8500" i="1"/>
  <c r="K8500" i="1" s="1"/>
  <c r="G8500" i="1"/>
  <c r="O8499" i="1"/>
  <c r="J8499" i="1"/>
  <c r="K8499" i="1" s="1"/>
  <c r="M8499" i="1" s="1"/>
  <c r="G8499" i="1"/>
  <c r="O8498" i="1"/>
  <c r="J8498" i="1"/>
  <c r="K8498" i="1" s="1"/>
  <c r="M8498" i="1" s="1"/>
  <c r="N8498" i="1" s="1"/>
  <c r="G8498" i="1"/>
  <c r="O8496" i="1"/>
  <c r="J8496" i="1"/>
  <c r="K8496" i="1" s="1"/>
  <c r="G8496" i="1"/>
  <c r="O8480" i="1"/>
  <c r="J8480" i="1"/>
  <c r="G8480" i="1"/>
  <c r="O8464" i="1"/>
  <c r="J8464" i="1"/>
  <c r="G8464" i="1"/>
  <c r="O8463" i="1"/>
  <c r="J8463" i="1"/>
  <c r="K8463" i="1" s="1"/>
  <c r="G8463" i="1"/>
  <c r="O8462" i="1"/>
  <c r="J8462" i="1"/>
  <c r="K8462" i="1" s="1"/>
  <c r="M8462" i="1" s="1"/>
  <c r="N8462" i="1" s="1"/>
  <c r="G8462" i="1"/>
  <c r="O8461" i="1"/>
  <c r="J8461" i="1"/>
  <c r="K8461" i="1" s="1"/>
  <c r="G8461" i="1"/>
  <c r="O8460" i="1"/>
  <c r="J8460" i="1"/>
  <c r="K8460" i="1" s="1"/>
  <c r="G8460" i="1"/>
  <c r="O8444" i="1"/>
  <c r="J8444" i="1"/>
  <c r="G8444" i="1"/>
  <c r="O8428" i="1"/>
  <c r="J8428" i="1"/>
  <c r="G8428" i="1"/>
  <c r="O8412" i="1"/>
  <c r="J8412" i="1"/>
  <c r="G8412" i="1"/>
  <c r="O8396" i="1"/>
  <c r="J8396" i="1"/>
  <c r="G8396" i="1"/>
  <c r="O8381" i="1"/>
  <c r="J8381" i="1"/>
  <c r="G8381" i="1"/>
  <c r="O8366" i="1"/>
  <c r="J8366" i="1"/>
  <c r="G8366" i="1"/>
  <c r="O8365" i="1"/>
  <c r="J8365" i="1"/>
  <c r="K8365" i="1" s="1"/>
  <c r="M8365" i="1" s="1"/>
  <c r="N8365" i="1" s="1"/>
  <c r="G8365" i="1"/>
  <c r="O8364" i="1"/>
  <c r="J8364" i="1"/>
  <c r="K8364" i="1" s="1"/>
  <c r="M8364" i="1" s="1"/>
  <c r="G8364" i="1"/>
  <c r="O8348" i="1"/>
  <c r="J8348" i="1"/>
  <c r="G8348" i="1"/>
  <c r="O8347" i="1"/>
  <c r="J8347" i="1"/>
  <c r="K8347" i="1" s="1"/>
  <c r="G8347" i="1"/>
  <c r="O8346" i="1"/>
  <c r="J8346" i="1"/>
  <c r="K8346" i="1" s="1"/>
  <c r="G8346" i="1"/>
  <c r="O8345" i="1"/>
  <c r="J8345" i="1"/>
  <c r="K8345" i="1" s="1"/>
  <c r="G8345" i="1"/>
  <c r="O8344" i="1"/>
  <c r="J8344" i="1"/>
  <c r="K8344" i="1" s="1"/>
  <c r="M8344" i="1" s="1"/>
  <c r="G8344" i="1"/>
  <c r="O8343" i="1"/>
  <c r="J8343" i="1"/>
  <c r="K8343" i="1" s="1"/>
  <c r="M8343" i="1" s="1"/>
  <c r="G8343" i="1"/>
  <c r="O8327" i="1"/>
  <c r="J8327" i="1"/>
  <c r="G8327" i="1"/>
  <c r="O8311" i="1"/>
  <c r="J8311" i="1"/>
  <c r="G8311" i="1"/>
  <c r="O8295" i="1"/>
  <c r="J8295" i="1"/>
  <c r="G8295" i="1"/>
  <c r="O8279" i="1"/>
  <c r="J8279" i="1"/>
  <c r="G8279" i="1"/>
  <c r="O8278" i="1"/>
  <c r="J8278" i="1"/>
  <c r="K8278" i="1" s="1"/>
  <c r="G8278" i="1"/>
  <c r="O8263" i="1"/>
  <c r="J8263" i="1"/>
  <c r="G8263" i="1"/>
  <c r="O8262" i="1"/>
  <c r="J8262" i="1"/>
  <c r="K8262" i="1" s="1"/>
  <c r="M8262" i="1" s="1"/>
  <c r="N8262" i="1" s="1"/>
  <c r="G8262" i="1"/>
  <c r="O8261" i="1"/>
  <c r="J8261" i="1"/>
  <c r="K8261" i="1" s="1"/>
  <c r="G8261" i="1"/>
  <c r="O8260" i="1"/>
  <c r="J8260" i="1"/>
  <c r="K8260" i="1" s="1"/>
  <c r="G8260" i="1"/>
  <c r="O8244" i="1"/>
  <c r="J8244" i="1"/>
  <c r="G8244" i="1"/>
  <c r="O8228" i="1"/>
  <c r="J8228" i="1"/>
  <c r="G8228" i="1"/>
  <c r="O8213" i="1"/>
  <c r="J8213" i="1"/>
  <c r="G8213" i="1"/>
  <c r="O8212" i="1"/>
  <c r="J8212" i="1"/>
  <c r="K8212" i="1" s="1"/>
  <c r="M8212" i="1" s="1"/>
  <c r="N8212" i="1" s="1"/>
  <c r="G8212" i="1"/>
  <c r="O8211" i="1"/>
  <c r="J8211" i="1"/>
  <c r="K8211" i="1" s="1"/>
  <c r="G8211" i="1"/>
  <c r="O8195" i="1"/>
  <c r="J8195" i="1"/>
  <c r="G8195" i="1"/>
  <c r="O8179" i="1"/>
  <c r="J8179" i="1"/>
  <c r="G8179" i="1"/>
  <c r="O8163" i="1"/>
  <c r="J8163" i="1"/>
  <c r="G8163" i="1"/>
  <c r="O8147" i="1"/>
  <c r="J8147" i="1"/>
  <c r="G8147" i="1"/>
  <c r="O8132" i="1"/>
  <c r="J8132" i="1"/>
  <c r="G8132" i="1"/>
  <c r="O8131" i="1"/>
  <c r="J8131" i="1"/>
  <c r="K8131" i="1" s="1"/>
  <c r="G8131" i="1"/>
  <c r="O8130" i="1"/>
  <c r="J8130" i="1"/>
  <c r="K8130" i="1" s="1"/>
  <c r="G8130" i="1"/>
  <c r="O8129" i="1"/>
  <c r="J8129" i="1"/>
  <c r="K8129" i="1" s="1"/>
  <c r="M8129" i="1" s="1"/>
  <c r="N8129" i="1" s="1"/>
  <c r="G8129" i="1"/>
  <c r="O8128" i="1"/>
  <c r="J8128" i="1"/>
  <c r="K8128" i="1" s="1"/>
  <c r="G8128" i="1"/>
  <c r="O8127" i="1"/>
  <c r="J8127" i="1"/>
  <c r="K8127" i="1" s="1"/>
  <c r="G8127" i="1"/>
  <c r="O8111" i="1"/>
  <c r="J8111" i="1"/>
  <c r="G8111" i="1"/>
  <c r="O8110" i="1"/>
  <c r="J8110" i="1"/>
  <c r="K8110" i="1" s="1"/>
  <c r="G8110" i="1"/>
  <c r="O8109" i="1"/>
  <c r="J8109" i="1"/>
  <c r="K8109" i="1" s="1"/>
  <c r="G8109" i="1"/>
  <c r="O8108" i="1"/>
  <c r="J8108" i="1"/>
  <c r="K8108" i="1" s="1"/>
  <c r="M8108" i="1" s="1"/>
  <c r="N8108" i="1" s="1"/>
  <c r="G8108" i="1"/>
  <c r="O8107" i="1"/>
  <c r="J8107" i="1"/>
  <c r="K8107" i="1" s="1"/>
  <c r="G8107" i="1"/>
  <c r="O8106" i="1"/>
  <c r="J8106" i="1"/>
  <c r="K8106" i="1" s="1"/>
  <c r="G8106" i="1"/>
  <c r="O8105" i="1"/>
  <c r="J8105" i="1"/>
  <c r="K8105" i="1" s="1"/>
  <c r="M8105" i="1" s="1"/>
  <c r="N8105" i="1" s="1"/>
  <c r="G8105" i="1"/>
  <c r="O8089" i="1"/>
  <c r="J8089" i="1"/>
  <c r="G8089" i="1"/>
  <c r="O8073" i="1"/>
  <c r="J8073" i="1"/>
  <c r="G8073" i="1"/>
  <c r="O8058" i="1"/>
  <c r="J8058" i="1"/>
  <c r="G8058" i="1"/>
  <c r="O8043" i="1"/>
  <c r="J8043" i="1"/>
  <c r="G8043" i="1"/>
  <c r="O8042" i="1"/>
  <c r="J8042" i="1"/>
  <c r="K8042" i="1" s="1"/>
  <c r="G8042" i="1"/>
  <c r="O8041" i="1"/>
  <c r="J8041" i="1"/>
  <c r="K8041" i="1" s="1"/>
  <c r="M8041" i="1" s="1"/>
  <c r="N8041" i="1" s="1"/>
  <c r="G8041" i="1"/>
  <c r="O8040" i="1"/>
  <c r="J8040" i="1"/>
  <c r="K8040" i="1" s="1"/>
  <c r="G8040" i="1"/>
  <c r="O8039" i="1"/>
  <c r="J8039" i="1"/>
  <c r="K8039" i="1" s="1"/>
  <c r="G8039" i="1"/>
  <c r="O8023" i="1"/>
  <c r="J8023" i="1"/>
  <c r="G8023" i="1"/>
  <c r="O8008" i="1"/>
  <c r="J8008" i="1"/>
  <c r="G8008" i="1"/>
  <c r="O7993" i="1"/>
  <c r="J7993" i="1"/>
  <c r="G7993" i="1"/>
  <c r="O7992" i="1"/>
  <c r="J7992" i="1"/>
  <c r="K7992" i="1" s="1"/>
  <c r="M7992" i="1" s="1"/>
  <c r="N7992" i="1" s="1"/>
  <c r="G7992" i="1"/>
  <c r="O7976" i="1"/>
  <c r="J7976" i="1"/>
  <c r="G7976" i="1"/>
  <c r="O7960" i="1"/>
  <c r="J7960" i="1"/>
  <c r="G7960" i="1"/>
  <c r="AI10510" i="1"/>
  <c r="O10510" i="1"/>
  <c r="J10510" i="1"/>
  <c r="G10510" i="1"/>
  <c r="O10509" i="1"/>
  <c r="J10509" i="1"/>
  <c r="K10509" i="1" s="1"/>
  <c r="G10509" i="1"/>
  <c r="AI10506" i="1"/>
  <c r="O10506" i="1"/>
  <c r="J10506" i="1"/>
  <c r="G10506" i="1"/>
  <c r="O10505" i="1"/>
  <c r="J10505" i="1"/>
  <c r="K10505" i="1" s="1"/>
  <c r="M10505" i="1" s="1"/>
  <c r="G10505" i="1"/>
  <c r="O10504" i="1"/>
  <c r="J10504" i="1"/>
  <c r="K10504" i="1" s="1"/>
  <c r="G10504" i="1"/>
  <c r="AI10501" i="1"/>
  <c r="O10501" i="1"/>
  <c r="J10501" i="1"/>
  <c r="G10501" i="1"/>
  <c r="O10500" i="1"/>
  <c r="J10500" i="1"/>
  <c r="K10500" i="1" s="1"/>
  <c r="G10500" i="1"/>
  <c r="AI10497" i="1"/>
  <c r="O10497" i="1"/>
  <c r="J10497" i="1"/>
  <c r="G10497" i="1"/>
  <c r="AI10494" i="1"/>
  <c r="O10494" i="1"/>
  <c r="J10494" i="1"/>
  <c r="G10494" i="1"/>
  <c r="O10493" i="1"/>
  <c r="J10493" i="1"/>
  <c r="K10493" i="1" s="1"/>
  <c r="G10493" i="1"/>
  <c r="AI10490" i="1"/>
  <c r="O10490" i="1"/>
  <c r="J10490" i="1"/>
  <c r="G10490" i="1"/>
  <c r="AI10487" i="1"/>
  <c r="O10487" i="1"/>
  <c r="J10487" i="1"/>
  <c r="G10487" i="1"/>
  <c r="O10486" i="1"/>
  <c r="J10486" i="1"/>
  <c r="K10486" i="1" s="1"/>
  <c r="G10486" i="1"/>
  <c r="AI10483" i="1"/>
  <c r="O10483" i="1"/>
  <c r="J10483" i="1"/>
  <c r="G10483" i="1"/>
  <c r="O10482" i="1"/>
  <c r="J10482" i="1"/>
  <c r="K10482" i="1" s="1"/>
  <c r="M10482" i="1" s="1"/>
  <c r="G10482" i="1"/>
  <c r="AI10479" i="1"/>
  <c r="O10479" i="1"/>
  <c r="J10479" i="1"/>
  <c r="G10479" i="1"/>
  <c r="O10478" i="1"/>
  <c r="J10478" i="1"/>
  <c r="K10478" i="1" s="1"/>
  <c r="M10478" i="1" s="1"/>
  <c r="G10478" i="1"/>
  <c r="AI10475" i="1"/>
  <c r="O10475" i="1"/>
  <c r="J10475" i="1"/>
  <c r="G10475" i="1"/>
  <c r="O10474" i="1"/>
  <c r="J10474" i="1"/>
  <c r="K10474" i="1" s="1"/>
  <c r="M10474" i="1" s="1"/>
  <c r="G10474" i="1"/>
  <c r="AI10471" i="1"/>
  <c r="O10471" i="1"/>
  <c r="J10471" i="1"/>
  <c r="G10471" i="1"/>
  <c r="O10470" i="1"/>
  <c r="J10470" i="1"/>
  <c r="K10470" i="1" s="1"/>
  <c r="G10470" i="1"/>
  <c r="AI10467" i="1"/>
  <c r="O10467" i="1"/>
  <c r="J10467" i="1"/>
  <c r="G10467" i="1"/>
  <c r="O10447" i="1"/>
  <c r="J10447" i="1"/>
  <c r="G10447" i="1"/>
  <c r="O10428" i="1"/>
  <c r="J10428" i="1"/>
  <c r="G10428" i="1"/>
  <c r="O10427" i="1"/>
  <c r="J10427" i="1"/>
  <c r="K10427" i="1" s="1"/>
  <c r="G10427" i="1"/>
  <c r="O10407" i="1"/>
  <c r="J10407" i="1"/>
  <c r="G10407" i="1"/>
  <c r="O10387" i="1"/>
  <c r="J10387" i="1"/>
  <c r="G10387" i="1"/>
  <c r="O10367" i="1"/>
  <c r="J10367" i="1"/>
  <c r="G10367" i="1"/>
  <c r="O10347" i="1"/>
  <c r="J10347" i="1"/>
  <c r="G10347" i="1"/>
  <c r="O10346" i="1"/>
  <c r="J10346" i="1"/>
  <c r="K10346" i="1" s="1"/>
  <c r="G10346" i="1"/>
  <c r="O10345" i="1"/>
  <c r="J10345" i="1"/>
  <c r="K10345" i="1" s="1"/>
  <c r="G10345" i="1"/>
  <c r="O10344" i="1"/>
  <c r="J10344" i="1"/>
  <c r="K10344" i="1" s="1"/>
  <c r="G10344" i="1"/>
  <c r="O10343" i="1"/>
  <c r="J10343" i="1"/>
  <c r="K10343" i="1" s="1"/>
  <c r="M10343" i="1" s="1"/>
  <c r="AC10343" i="1" s="1"/>
  <c r="G10343" i="1"/>
  <c r="O10342" i="1"/>
  <c r="J10342" i="1"/>
  <c r="K10342" i="1" s="1"/>
  <c r="G10342" i="1"/>
  <c r="O10341" i="1"/>
  <c r="J10341" i="1"/>
  <c r="K10341" i="1" s="1"/>
  <c r="M10341" i="1" s="1"/>
  <c r="AC10341" i="1" s="1"/>
  <c r="G10341" i="1"/>
  <c r="O10340" i="1"/>
  <c r="J10340" i="1"/>
  <c r="K10340" i="1" s="1"/>
  <c r="M10340" i="1" s="1"/>
  <c r="G10340" i="1"/>
  <c r="O10339" i="1"/>
  <c r="J10339" i="1"/>
  <c r="K10339" i="1" s="1"/>
  <c r="G10339" i="1"/>
  <c r="O10338" i="1"/>
  <c r="J10338" i="1"/>
  <c r="K10338" i="1" s="1"/>
  <c r="G10338" i="1"/>
  <c r="O10337" i="1"/>
  <c r="J10337" i="1"/>
  <c r="K10337" i="1" s="1"/>
  <c r="M10337" i="1" s="1"/>
  <c r="G10337" i="1"/>
  <c r="O10336" i="1"/>
  <c r="J10336" i="1"/>
  <c r="K10336" i="1" s="1"/>
  <c r="M10336" i="1" s="1"/>
  <c r="G10336" i="1"/>
  <c r="O10317" i="1"/>
  <c r="J10317" i="1"/>
  <c r="G10317" i="1"/>
  <c r="O10312" i="1"/>
  <c r="J10312" i="1"/>
  <c r="G10312" i="1"/>
  <c r="O10307" i="1"/>
  <c r="J10307" i="1"/>
  <c r="G10307" i="1"/>
  <c r="O10302" i="1"/>
  <c r="J10302" i="1"/>
  <c r="G10302" i="1"/>
  <c r="O10297" i="1"/>
  <c r="J10297" i="1"/>
  <c r="G10297" i="1"/>
  <c r="O10292" i="1"/>
  <c r="J10292" i="1"/>
  <c r="G10292" i="1"/>
  <c r="O10287" i="1"/>
  <c r="J10287" i="1"/>
  <c r="G10287" i="1"/>
  <c r="O10282" i="1"/>
  <c r="J10282" i="1"/>
  <c r="G10282" i="1"/>
  <c r="O10277" i="1"/>
  <c r="J10277" i="1"/>
  <c r="G10277" i="1"/>
  <c r="O10258" i="1"/>
  <c r="J10258" i="1"/>
  <c r="G10258" i="1"/>
  <c r="O10239" i="1"/>
  <c r="J10239" i="1"/>
  <c r="G10239" i="1"/>
  <c r="O10233" i="1"/>
  <c r="J10233" i="1"/>
  <c r="J10236" i="1" s="1"/>
  <c r="G10233" i="1"/>
  <c r="O10230" i="1"/>
  <c r="J10230" i="1"/>
  <c r="G10230" i="1"/>
  <c r="O10226" i="1"/>
  <c r="J10226" i="1"/>
  <c r="G10226" i="1"/>
  <c r="O10222" i="1"/>
  <c r="J10222" i="1"/>
  <c r="G10222" i="1"/>
  <c r="O10218" i="1"/>
  <c r="J10218" i="1"/>
  <c r="G10218" i="1"/>
  <c r="O10214" i="1"/>
  <c r="J10214" i="1"/>
  <c r="G10214" i="1"/>
  <c r="O10210" i="1"/>
  <c r="J10210" i="1"/>
  <c r="G10210" i="1"/>
  <c r="O10206" i="1"/>
  <c r="J10206" i="1"/>
  <c r="G10206" i="1"/>
  <c r="O10202" i="1"/>
  <c r="J10202" i="1"/>
  <c r="G10202" i="1"/>
  <c r="O10198" i="1"/>
  <c r="J10198" i="1"/>
  <c r="G10198" i="1"/>
  <c r="AI10179" i="1"/>
  <c r="O10179" i="1"/>
  <c r="J10179" i="1"/>
  <c r="G10179" i="1"/>
  <c r="AI10153" i="1"/>
  <c r="O10153" i="1"/>
  <c r="J10153" i="1"/>
  <c r="G10153" i="1"/>
  <c r="AI10146" i="1"/>
  <c r="O10146" i="1"/>
  <c r="J10146" i="1"/>
  <c r="G10146" i="1"/>
  <c r="O10127" i="1"/>
  <c r="J10127" i="1"/>
  <c r="G10127" i="1"/>
  <c r="O10108" i="1"/>
  <c r="J10108" i="1"/>
  <c r="G10108" i="1"/>
  <c r="O10089" i="1"/>
  <c r="J10089" i="1"/>
  <c r="G10089" i="1"/>
  <c r="O10070" i="1"/>
  <c r="J10070" i="1"/>
  <c r="G10070" i="1"/>
  <c r="AI10067" i="1"/>
  <c r="O10067" i="1"/>
  <c r="J10067" i="1"/>
  <c r="G10067" i="1"/>
  <c r="O10038" i="1"/>
  <c r="J10038" i="1"/>
  <c r="G10038" i="1"/>
  <c r="O10010" i="1"/>
  <c r="J10010" i="1"/>
  <c r="G10010" i="1"/>
  <c r="AI9990" i="1"/>
  <c r="O9990" i="1"/>
  <c r="J9990" i="1"/>
  <c r="G9990" i="1"/>
  <c r="AI9987" i="1"/>
  <c r="O9987" i="1"/>
  <c r="J9987" i="1"/>
  <c r="G9987" i="1"/>
  <c r="AI9984" i="1"/>
  <c r="O9984" i="1"/>
  <c r="J9984" i="1"/>
  <c r="G9984" i="1"/>
  <c r="AI9965" i="1"/>
  <c r="O9965" i="1"/>
  <c r="J9965" i="1"/>
  <c r="G9965" i="1"/>
  <c r="AI9939" i="1"/>
  <c r="O9939" i="1"/>
  <c r="J9939" i="1"/>
  <c r="G9939" i="1"/>
  <c r="AI9932" i="1"/>
  <c r="O9932" i="1"/>
  <c r="J9932" i="1"/>
  <c r="G9932" i="1"/>
  <c r="AI9926" i="1"/>
  <c r="O9926" i="1"/>
  <c r="J9926" i="1"/>
  <c r="G9926" i="1"/>
  <c r="AI9917" i="1"/>
  <c r="O9917" i="1"/>
  <c r="J9917" i="1"/>
  <c r="G9917" i="1"/>
  <c r="O9885" i="1"/>
  <c r="J9885" i="1"/>
  <c r="G9885" i="1"/>
  <c r="O9882" i="1"/>
  <c r="J9882" i="1"/>
  <c r="G9882" i="1"/>
  <c r="O9873" i="1"/>
  <c r="J9873" i="1"/>
  <c r="G9873" i="1"/>
  <c r="O7944" i="1"/>
  <c r="J7944" i="1"/>
  <c r="G7944" i="1"/>
  <c r="O7928" i="1"/>
  <c r="J7928" i="1"/>
  <c r="G7928" i="1"/>
  <c r="O7913" i="1"/>
  <c r="J7913" i="1"/>
  <c r="G7913" i="1"/>
  <c r="O7912" i="1"/>
  <c r="J7912" i="1"/>
  <c r="K7912" i="1" s="1"/>
  <c r="G7912" i="1"/>
  <c r="O5611" i="1"/>
  <c r="J5611" i="1"/>
  <c r="K5611" i="1" s="1"/>
  <c r="G5611" i="1"/>
  <c r="O5581" i="1"/>
  <c r="J5581" i="1"/>
  <c r="G5581" i="1"/>
  <c r="O5551" i="1"/>
  <c r="J5551" i="1"/>
  <c r="G5551" i="1"/>
  <c r="O5550" i="1"/>
  <c r="J5550" i="1"/>
  <c r="K5550" i="1" s="1"/>
  <c r="M5550" i="1" s="1"/>
  <c r="G5550" i="1"/>
  <c r="O5549" i="1"/>
  <c r="J5549" i="1"/>
  <c r="K5549" i="1" s="1"/>
  <c r="G5549" i="1"/>
  <c r="O5548" i="1"/>
  <c r="J5548" i="1"/>
  <c r="K5548" i="1" s="1"/>
  <c r="G5548" i="1"/>
  <c r="O5547" i="1"/>
  <c r="J5547" i="1"/>
  <c r="K5547" i="1" s="1"/>
  <c r="G5547" i="1"/>
  <c r="O5546" i="1"/>
  <c r="J5546" i="1"/>
  <c r="K5546" i="1" s="1"/>
  <c r="G5546" i="1"/>
  <c r="O5545" i="1"/>
  <c r="J5545" i="1"/>
  <c r="K5545" i="1" s="1"/>
  <c r="M5545" i="1" s="1"/>
  <c r="AC5545" i="1" s="1"/>
  <c r="G5545" i="1"/>
  <c r="O5544" i="1"/>
  <c r="J5544" i="1"/>
  <c r="K5544" i="1" s="1"/>
  <c r="G5544" i="1"/>
  <c r="O5543" i="1"/>
  <c r="J5543" i="1"/>
  <c r="K5543" i="1" s="1"/>
  <c r="G5543" i="1"/>
  <c r="O5542" i="1"/>
  <c r="J5542" i="1"/>
  <c r="K5542" i="1" s="1"/>
  <c r="G5542" i="1"/>
  <c r="O5511" i="1"/>
  <c r="J5511" i="1"/>
  <c r="G5511" i="1"/>
  <c r="O5480" i="1"/>
  <c r="J5480" i="1"/>
  <c r="G5480" i="1"/>
  <c r="O5449" i="1"/>
  <c r="J5449" i="1"/>
  <c r="G5449" i="1"/>
  <c r="O5448" i="1"/>
  <c r="J5448" i="1"/>
  <c r="K5448" i="1" s="1"/>
  <c r="G5448" i="1"/>
  <c r="O5447" i="1"/>
  <c r="J5447" i="1"/>
  <c r="K5447" i="1" s="1"/>
  <c r="M5447" i="1" s="1"/>
  <c r="N5447" i="1" s="1"/>
  <c r="G5447" i="1"/>
  <c r="O5446" i="1"/>
  <c r="J5446" i="1"/>
  <c r="K5446" i="1" s="1"/>
  <c r="G5446" i="1"/>
  <c r="O5445" i="1"/>
  <c r="J5445" i="1"/>
  <c r="K5445" i="1" s="1"/>
  <c r="M5445" i="1" s="1"/>
  <c r="G5445" i="1"/>
  <c r="O5444" i="1"/>
  <c r="J5444" i="1"/>
  <c r="K5444" i="1" s="1"/>
  <c r="G5444" i="1"/>
  <c r="O5414" i="1"/>
  <c r="J5414" i="1"/>
  <c r="G5414" i="1"/>
  <c r="O5384" i="1"/>
  <c r="J5384" i="1"/>
  <c r="G5384" i="1"/>
  <c r="O5354" i="1"/>
  <c r="J5354" i="1"/>
  <c r="G5354" i="1"/>
  <c r="O5324" i="1"/>
  <c r="J5324" i="1"/>
  <c r="G5324" i="1"/>
  <c r="O5294" i="1"/>
  <c r="J5294" i="1"/>
  <c r="G5294" i="1"/>
  <c r="O5264" i="1"/>
  <c r="J5264" i="1"/>
  <c r="G5264" i="1"/>
  <c r="O5234" i="1"/>
  <c r="J5234" i="1"/>
  <c r="G5234" i="1"/>
  <c r="O5204" i="1"/>
  <c r="J5204" i="1"/>
  <c r="G5204" i="1"/>
  <c r="O5174" i="1"/>
  <c r="J5174" i="1"/>
  <c r="G5174" i="1"/>
  <c r="O5144" i="1"/>
  <c r="J5144" i="1"/>
  <c r="G5144" i="1"/>
  <c r="O5114" i="1"/>
  <c r="J5114" i="1"/>
  <c r="G5114" i="1"/>
  <c r="O5113" i="1"/>
  <c r="J5113" i="1"/>
  <c r="K5113" i="1" s="1"/>
  <c r="G5113" i="1"/>
  <c r="O5112" i="1"/>
  <c r="J5112" i="1"/>
  <c r="K5112" i="1" s="1"/>
  <c r="G5112" i="1"/>
  <c r="O5111" i="1"/>
  <c r="J5111" i="1"/>
  <c r="K5111" i="1" s="1"/>
  <c r="G5111" i="1"/>
  <c r="O5110" i="1"/>
  <c r="J5110" i="1"/>
  <c r="K5110" i="1" s="1"/>
  <c r="G5110" i="1"/>
  <c r="O5109" i="1"/>
  <c r="J5109" i="1"/>
  <c r="K5109" i="1" s="1"/>
  <c r="M5109" i="1" s="1"/>
  <c r="N5109" i="1" s="1"/>
  <c r="G5109" i="1"/>
  <c r="O5078" i="1"/>
  <c r="J5078" i="1"/>
  <c r="G5078" i="1"/>
  <c r="O5047" i="1"/>
  <c r="J5047" i="1"/>
  <c r="G5047" i="1"/>
  <c r="O5016" i="1"/>
  <c r="J5016" i="1"/>
  <c r="G5016" i="1"/>
  <c r="O4985" i="1"/>
  <c r="J4985" i="1"/>
  <c r="G4985" i="1"/>
  <c r="O4984" i="1"/>
  <c r="J4984" i="1"/>
  <c r="K4984" i="1" s="1"/>
  <c r="G4984" i="1"/>
  <c r="O4983" i="1"/>
  <c r="J4983" i="1"/>
  <c r="K4983" i="1" s="1"/>
  <c r="G4983" i="1"/>
  <c r="O4982" i="1"/>
  <c r="J4982" i="1"/>
  <c r="K4982" i="1" s="1"/>
  <c r="G4982" i="1"/>
  <c r="O4981" i="1"/>
  <c r="J4981" i="1"/>
  <c r="K4981" i="1" s="1"/>
  <c r="G4981" i="1"/>
  <c r="O4980" i="1"/>
  <c r="J4980" i="1"/>
  <c r="K4980" i="1" s="1"/>
  <c r="G4980" i="1"/>
  <c r="O4979" i="1"/>
  <c r="J4979" i="1"/>
  <c r="K4979" i="1" s="1"/>
  <c r="G4979" i="1"/>
  <c r="O4978" i="1"/>
  <c r="J4978" i="1"/>
  <c r="K4978" i="1" s="1"/>
  <c r="G4978" i="1"/>
  <c r="O4977" i="1"/>
  <c r="J4977" i="1"/>
  <c r="K4977" i="1" s="1"/>
  <c r="M4977" i="1" s="1"/>
  <c r="N4977" i="1" s="1"/>
  <c r="G4977" i="1"/>
  <c r="O4976" i="1"/>
  <c r="J4976" i="1"/>
  <c r="K4976" i="1" s="1"/>
  <c r="G4976" i="1"/>
  <c r="O4975" i="1"/>
  <c r="J4975" i="1"/>
  <c r="K4975" i="1" s="1"/>
  <c r="M4975" i="1" s="1"/>
  <c r="G4975" i="1"/>
  <c r="O4974" i="1"/>
  <c r="J4974" i="1"/>
  <c r="K4974" i="1" s="1"/>
  <c r="M4974" i="1" s="1"/>
  <c r="G4974" i="1"/>
  <c r="O4973" i="1"/>
  <c r="J4973" i="1"/>
  <c r="K4973" i="1" s="1"/>
  <c r="G4973" i="1"/>
  <c r="O4972" i="1"/>
  <c r="J4972" i="1"/>
  <c r="K4972" i="1" s="1"/>
  <c r="M4972" i="1" s="1"/>
  <c r="G4972" i="1"/>
  <c r="O4971" i="1"/>
  <c r="J4971" i="1"/>
  <c r="K4971" i="1" s="1"/>
  <c r="G4971" i="1"/>
  <c r="O4941" i="1"/>
  <c r="J4941" i="1"/>
  <c r="G4941" i="1"/>
  <c r="O4911" i="1"/>
  <c r="J4911" i="1"/>
  <c r="G4911" i="1"/>
  <c r="O4881" i="1"/>
  <c r="J4881" i="1"/>
  <c r="G4881" i="1"/>
  <c r="O4851" i="1"/>
  <c r="J4851" i="1"/>
  <c r="G4851" i="1"/>
  <c r="O4821" i="1"/>
  <c r="J4821" i="1"/>
  <c r="G4821" i="1"/>
  <c r="O4791" i="1"/>
  <c r="J4791" i="1"/>
  <c r="G4791" i="1"/>
  <c r="O4761" i="1"/>
  <c r="J4761" i="1"/>
  <c r="G4761" i="1"/>
  <c r="O4731" i="1"/>
  <c r="J4731" i="1"/>
  <c r="G4731" i="1"/>
  <c r="O4701" i="1"/>
  <c r="J4701" i="1"/>
  <c r="G4701" i="1"/>
  <c r="O4671" i="1"/>
  <c r="J4671" i="1"/>
  <c r="G4671" i="1"/>
  <c r="O4670" i="1"/>
  <c r="J4670" i="1"/>
  <c r="K4670" i="1" s="1"/>
  <c r="M4670" i="1" s="1"/>
  <c r="G4670" i="1"/>
  <c r="O4669" i="1"/>
  <c r="J4669" i="1"/>
  <c r="K4669" i="1" s="1"/>
  <c r="G4669" i="1"/>
  <c r="O4668" i="1"/>
  <c r="J4668" i="1"/>
  <c r="K4668" i="1" s="1"/>
  <c r="G4668" i="1"/>
  <c r="O4667" i="1"/>
  <c r="J4667" i="1"/>
  <c r="K4667" i="1" s="1"/>
  <c r="G4667" i="1"/>
  <c r="O4666" i="1"/>
  <c r="J4666" i="1"/>
  <c r="K4666" i="1" s="1"/>
  <c r="G4666" i="1"/>
  <c r="O4665" i="1"/>
  <c r="J4665" i="1"/>
  <c r="K4665" i="1" s="1"/>
  <c r="M4665" i="1" s="1"/>
  <c r="G4665" i="1"/>
  <c r="O4664" i="1"/>
  <c r="J4664" i="1"/>
  <c r="K4664" i="1" s="1"/>
  <c r="G4664" i="1"/>
  <c r="O4663" i="1"/>
  <c r="J4663" i="1"/>
  <c r="K4663" i="1" s="1"/>
  <c r="G4663" i="1"/>
  <c r="O4662" i="1"/>
  <c r="J4662" i="1"/>
  <c r="K4662" i="1" s="1"/>
  <c r="M4662" i="1" s="1"/>
  <c r="N4662" i="1" s="1"/>
  <c r="G4662" i="1"/>
  <c r="O4661" i="1"/>
  <c r="J4661" i="1"/>
  <c r="K4661" i="1" s="1"/>
  <c r="G4661" i="1"/>
  <c r="O4660" i="1"/>
  <c r="J4660" i="1"/>
  <c r="K4660" i="1" s="1"/>
  <c r="G4660" i="1"/>
  <c r="O4659" i="1"/>
  <c r="J4659" i="1"/>
  <c r="K4659" i="1" s="1"/>
  <c r="M4659" i="1" s="1"/>
  <c r="N4659" i="1" s="1"/>
  <c r="G4659" i="1"/>
  <c r="O4658" i="1"/>
  <c r="J4658" i="1"/>
  <c r="K4658" i="1" s="1"/>
  <c r="G4658" i="1"/>
  <c r="O4657" i="1"/>
  <c r="J4657" i="1"/>
  <c r="K4657" i="1" s="1"/>
  <c r="G4657" i="1"/>
  <c r="O4626" i="1"/>
  <c r="J4626" i="1"/>
  <c r="G4626" i="1"/>
  <c r="O4625" i="1"/>
  <c r="J4625" i="1"/>
  <c r="K4625" i="1" s="1"/>
  <c r="G4625" i="1"/>
  <c r="O4624" i="1"/>
  <c r="J4624" i="1"/>
  <c r="K4624" i="1" s="1"/>
  <c r="M4624" i="1" s="1"/>
  <c r="G4624" i="1"/>
  <c r="O4623" i="1"/>
  <c r="J4623" i="1"/>
  <c r="K4623" i="1" s="1"/>
  <c r="G4623" i="1"/>
  <c r="O4622" i="1"/>
  <c r="J4622" i="1"/>
  <c r="K4622" i="1" s="1"/>
  <c r="G4622" i="1"/>
  <c r="O4591" i="1"/>
  <c r="J4591" i="1"/>
  <c r="G4591" i="1"/>
  <c r="O4590" i="1"/>
  <c r="J4590" i="1"/>
  <c r="K4590" i="1" s="1"/>
  <c r="G4590" i="1"/>
  <c r="O4589" i="1"/>
  <c r="J4589" i="1"/>
  <c r="K4589" i="1" s="1"/>
  <c r="M4589" i="1" s="1"/>
  <c r="G4589" i="1"/>
  <c r="O4588" i="1"/>
  <c r="J4588" i="1"/>
  <c r="K4588" i="1" s="1"/>
  <c r="G4588" i="1"/>
  <c r="O4557" i="1"/>
  <c r="J4557" i="1"/>
  <c r="G4557" i="1"/>
  <c r="O4526" i="1"/>
  <c r="J4526" i="1"/>
  <c r="G4526" i="1"/>
  <c r="O4495" i="1"/>
  <c r="J4495" i="1"/>
  <c r="G4495" i="1"/>
  <c r="O4494" i="1"/>
  <c r="J4494" i="1"/>
  <c r="K4494" i="1" s="1"/>
  <c r="G4494" i="1"/>
  <c r="O4493" i="1"/>
  <c r="J4493" i="1"/>
  <c r="K4493" i="1" s="1"/>
  <c r="M4493" i="1" s="1"/>
  <c r="G4493" i="1"/>
  <c r="O4492" i="1"/>
  <c r="J4492" i="1"/>
  <c r="K4492" i="1" s="1"/>
  <c r="M4492" i="1" s="1"/>
  <c r="G4492" i="1"/>
  <c r="O4491" i="1"/>
  <c r="J4491" i="1"/>
  <c r="K4491" i="1" s="1"/>
  <c r="G4491" i="1"/>
  <c r="O4486" i="1"/>
  <c r="J4486" i="1"/>
  <c r="G4486" i="1"/>
  <c r="O4485" i="1"/>
  <c r="J4485" i="1"/>
  <c r="K4485" i="1" s="1"/>
  <c r="G4485" i="1"/>
  <c r="O4480" i="1"/>
  <c r="J4480" i="1"/>
  <c r="G4480" i="1"/>
  <c r="O4475" i="1"/>
  <c r="J4475" i="1"/>
  <c r="G4475" i="1"/>
  <c r="O4470" i="1"/>
  <c r="J4470" i="1"/>
  <c r="G4470" i="1"/>
  <c r="O4465" i="1"/>
  <c r="J4465" i="1"/>
  <c r="G4465" i="1"/>
  <c r="O4464" i="1"/>
  <c r="J4464" i="1"/>
  <c r="K4464" i="1" s="1"/>
  <c r="G4464" i="1"/>
  <c r="O4459" i="1"/>
  <c r="J4459" i="1"/>
  <c r="G4459" i="1"/>
  <c r="O4458" i="1"/>
  <c r="J4458" i="1"/>
  <c r="K4458" i="1" s="1"/>
  <c r="M4458" i="1" s="1"/>
  <c r="G4458" i="1"/>
  <c r="O4453" i="1"/>
  <c r="J4453" i="1"/>
  <c r="G4453" i="1"/>
  <c r="O4448" i="1"/>
  <c r="J4448" i="1"/>
  <c r="G4448" i="1"/>
  <c r="O4443" i="1"/>
  <c r="J4443" i="1"/>
  <c r="G4443" i="1"/>
  <c r="O4438" i="1"/>
  <c r="J4438" i="1"/>
  <c r="G4438" i="1"/>
  <c r="O4437" i="1"/>
  <c r="J4437" i="1"/>
  <c r="K4437" i="1" s="1"/>
  <c r="G4437" i="1"/>
  <c r="O4436" i="1"/>
  <c r="J4436" i="1"/>
  <c r="K4436" i="1" s="1"/>
  <c r="M4436" i="1" s="1"/>
  <c r="G4436" i="1"/>
  <c r="O4431" i="1"/>
  <c r="J4431" i="1"/>
  <c r="G4431" i="1"/>
  <c r="O4426" i="1"/>
  <c r="J4426" i="1"/>
  <c r="G4426" i="1"/>
  <c r="O4421" i="1"/>
  <c r="J4421" i="1"/>
  <c r="G4421" i="1"/>
  <c r="O4416" i="1"/>
  <c r="J4416" i="1"/>
  <c r="G4416" i="1"/>
  <c r="O4415" i="1"/>
  <c r="J4415" i="1"/>
  <c r="K4415" i="1" s="1"/>
  <c r="G4415" i="1"/>
  <c r="O4414" i="1"/>
  <c r="J4414" i="1"/>
  <c r="K4414" i="1" s="1"/>
  <c r="G4414" i="1"/>
  <c r="O4409" i="1"/>
  <c r="J4409" i="1"/>
  <c r="G4409" i="1"/>
  <c r="O4404" i="1"/>
  <c r="J4404" i="1"/>
  <c r="G4404" i="1"/>
  <c r="O4399" i="1"/>
  <c r="J4399" i="1"/>
  <c r="G4399" i="1"/>
  <c r="O4398" i="1"/>
  <c r="J4398" i="1"/>
  <c r="K4398" i="1" s="1"/>
  <c r="G4398" i="1"/>
  <c r="O4397" i="1"/>
  <c r="J4397" i="1"/>
  <c r="K4397" i="1" s="1"/>
  <c r="M4397" i="1" s="1"/>
  <c r="G4397" i="1"/>
  <c r="O4396" i="1"/>
  <c r="J4396" i="1"/>
  <c r="K4396" i="1" s="1"/>
  <c r="G4396" i="1"/>
  <c r="O4391" i="1"/>
  <c r="J4391" i="1"/>
  <c r="G4391" i="1"/>
  <c r="O4390" i="1"/>
  <c r="J4390" i="1"/>
  <c r="K4390" i="1" s="1"/>
  <c r="G4390" i="1"/>
  <c r="O4385" i="1"/>
  <c r="J4385" i="1"/>
  <c r="G4385" i="1"/>
  <c r="O4380" i="1"/>
  <c r="J4380" i="1"/>
  <c r="G4380" i="1"/>
  <c r="O4375" i="1"/>
  <c r="J4375" i="1"/>
  <c r="G4375" i="1"/>
  <c r="O4374" i="1"/>
  <c r="J4374" i="1"/>
  <c r="K4374" i="1" s="1"/>
  <c r="G4374" i="1"/>
  <c r="O4373" i="1"/>
  <c r="J4373" i="1"/>
  <c r="K4373" i="1" s="1"/>
  <c r="G4373" i="1"/>
  <c r="O4372" i="1"/>
  <c r="J4372" i="1"/>
  <c r="K4372" i="1" s="1"/>
  <c r="M4372" i="1" s="1"/>
  <c r="G4372" i="1"/>
  <c r="O4367" i="1"/>
  <c r="J4367" i="1"/>
  <c r="G4367" i="1"/>
  <c r="O4366" i="1"/>
  <c r="J4366" i="1"/>
  <c r="K4366" i="1" s="1"/>
  <c r="G4366" i="1"/>
  <c r="O4365" i="1"/>
  <c r="J4365" i="1"/>
  <c r="K4365" i="1" s="1"/>
  <c r="M4365" i="1" s="1"/>
  <c r="G4365" i="1"/>
  <c r="O4360" i="1"/>
  <c r="J4360" i="1"/>
  <c r="G4360" i="1"/>
  <c r="O4359" i="1"/>
  <c r="J4359" i="1"/>
  <c r="K4359" i="1" s="1"/>
  <c r="M4359" i="1" s="1"/>
  <c r="AC4359" i="1" s="1"/>
  <c r="G4359" i="1"/>
  <c r="O4358" i="1"/>
  <c r="J4358" i="1"/>
  <c r="K4358" i="1" s="1"/>
  <c r="G4358" i="1"/>
  <c r="O4357" i="1"/>
  <c r="J4357" i="1"/>
  <c r="K4357" i="1" s="1"/>
  <c r="G4357" i="1"/>
  <c r="O4338" i="1"/>
  <c r="J4338" i="1"/>
  <c r="G4338" i="1"/>
  <c r="O4319" i="1"/>
  <c r="J4319" i="1"/>
  <c r="G4319" i="1"/>
  <c r="O4300" i="1"/>
  <c r="J4300" i="1"/>
  <c r="G4300" i="1"/>
  <c r="O4281" i="1"/>
  <c r="J4281" i="1"/>
  <c r="G4281" i="1"/>
  <c r="O4263" i="1"/>
  <c r="J4263" i="1"/>
  <c r="G4263" i="1"/>
  <c r="O4262" i="1"/>
  <c r="J4262" i="1"/>
  <c r="K4262" i="1" s="1"/>
  <c r="G4262" i="1"/>
  <c r="O4261" i="1"/>
  <c r="J4261" i="1"/>
  <c r="K4261" i="1" s="1"/>
  <c r="M4261" i="1" s="1"/>
  <c r="G4261" i="1"/>
  <c r="O4242" i="1"/>
  <c r="J4242" i="1"/>
  <c r="G4242" i="1"/>
  <c r="O4223" i="1"/>
  <c r="J4223" i="1"/>
  <c r="G4223" i="1"/>
  <c r="O4205" i="1"/>
  <c r="J4205" i="1"/>
  <c r="G4205" i="1"/>
  <c r="O4204" i="1"/>
  <c r="J4204" i="1"/>
  <c r="K4204" i="1" s="1"/>
  <c r="G4204" i="1"/>
  <c r="O4203" i="1"/>
  <c r="J4203" i="1"/>
  <c r="K4203" i="1" s="1"/>
  <c r="G4203" i="1"/>
  <c r="O4202" i="1"/>
  <c r="J4202" i="1"/>
  <c r="K4202" i="1" s="1"/>
  <c r="G4202" i="1"/>
  <c r="O4201" i="1"/>
  <c r="J4201" i="1"/>
  <c r="K4201" i="1" s="1"/>
  <c r="G4201" i="1"/>
  <c r="O4200" i="1"/>
  <c r="J4200" i="1"/>
  <c r="K4200" i="1" s="1"/>
  <c r="M4200" i="1" s="1"/>
  <c r="AC4200" i="1" s="1"/>
  <c r="G4200" i="1"/>
  <c r="O4181" i="1"/>
  <c r="J4181" i="1"/>
  <c r="G4181" i="1"/>
  <c r="O4180" i="1"/>
  <c r="J4180" i="1"/>
  <c r="K4180" i="1" s="1"/>
  <c r="G4180" i="1"/>
  <c r="O4170" i="1"/>
  <c r="J4170" i="1"/>
  <c r="G4170" i="1"/>
  <c r="O4160" i="1"/>
  <c r="J4160" i="1"/>
  <c r="G4160" i="1"/>
  <c r="O4141" i="1"/>
  <c r="J4141" i="1"/>
  <c r="G4141" i="1"/>
  <c r="O4122" i="1"/>
  <c r="J4122" i="1"/>
  <c r="G4122" i="1"/>
  <c r="O4121" i="1"/>
  <c r="J4121" i="1"/>
  <c r="K4121" i="1" s="1"/>
  <c r="G4121" i="1"/>
  <c r="O4120" i="1"/>
  <c r="J4120" i="1"/>
  <c r="G4120" i="1"/>
  <c r="O4102" i="1"/>
  <c r="J4102" i="1"/>
  <c r="G4102" i="1"/>
  <c r="O4081" i="1"/>
  <c r="J4081" i="1"/>
  <c r="G4081" i="1"/>
  <c r="O4061" i="1"/>
  <c r="J4061" i="1"/>
  <c r="G4061" i="1"/>
  <c r="O4041" i="1"/>
  <c r="J4041" i="1"/>
  <c r="G4041" i="1"/>
  <c r="O4021" i="1"/>
  <c r="J4021" i="1"/>
  <c r="G4021" i="1"/>
  <c r="O4001" i="1"/>
  <c r="J4001" i="1"/>
  <c r="G4001" i="1"/>
  <c r="O3981" i="1"/>
  <c r="J3981" i="1"/>
  <c r="G3981" i="1"/>
  <c r="O3961" i="1"/>
  <c r="J3961" i="1"/>
  <c r="G3961" i="1"/>
  <c r="O3960" i="1"/>
  <c r="J3960" i="1"/>
  <c r="K3960" i="1" s="1"/>
  <c r="G3960" i="1"/>
  <c r="O3940" i="1"/>
  <c r="J3940" i="1"/>
  <c r="G3940" i="1"/>
  <c r="O3920" i="1"/>
  <c r="J3920" i="1"/>
  <c r="G3920" i="1"/>
  <c r="O3901" i="1"/>
  <c r="J3901" i="1"/>
  <c r="G3901" i="1"/>
  <c r="O3900" i="1"/>
  <c r="J3900" i="1"/>
  <c r="K3900" i="1" s="1"/>
  <c r="G3900" i="1"/>
  <c r="O3880" i="1"/>
  <c r="J3880" i="1"/>
  <c r="G3880" i="1"/>
  <c r="O3879" i="1"/>
  <c r="J3879" i="1"/>
  <c r="K3879" i="1" s="1"/>
  <c r="G3879" i="1"/>
  <c r="O3878" i="1"/>
  <c r="J3878" i="1"/>
  <c r="K3878" i="1" s="1"/>
  <c r="M3878" i="1" s="1"/>
  <c r="G3878" i="1"/>
  <c r="O3858" i="1"/>
  <c r="J3858" i="1"/>
  <c r="G3858" i="1"/>
  <c r="O3838" i="1"/>
  <c r="J3838" i="1"/>
  <c r="G3838" i="1"/>
  <c r="O3818" i="1"/>
  <c r="J3818" i="1"/>
  <c r="G3818" i="1"/>
  <c r="O3798" i="1"/>
  <c r="J3798" i="1"/>
  <c r="G3798" i="1"/>
  <c r="O3778" i="1"/>
  <c r="J3778" i="1"/>
  <c r="G3778" i="1"/>
  <c r="O3777" i="1"/>
  <c r="J3777" i="1"/>
  <c r="K3777" i="1" s="1"/>
  <c r="M3777" i="1" s="1"/>
  <c r="N3777" i="1" s="1"/>
  <c r="G3777" i="1"/>
  <c r="O3776" i="1"/>
  <c r="J3776" i="1"/>
  <c r="K3776" i="1" s="1"/>
  <c r="G3776" i="1"/>
  <c r="O3756" i="1"/>
  <c r="J3756" i="1"/>
  <c r="G3756" i="1"/>
  <c r="O3737" i="1"/>
  <c r="J3737" i="1"/>
  <c r="G3737" i="1"/>
  <c r="O3736" i="1"/>
  <c r="J3736" i="1"/>
  <c r="K3736" i="1" s="1"/>
  <c r="G3736" i="1"/>
  <c r="O3735" i="1"/>
  <c r="J3735" i="1"/>
  <c r="K3735" i="1" s="1"/>
  <c r="M3735" i="1" s="1"/>
  <c r="AC3735" i="1" s="1"/>
  <c r="G3735" i="1"/>
  <c r="O3734" i="1"/>
  <c r="J3734" i="1"/>
  <c r="K3734" i="1" s="1"/>
  <c r="M3734" i="1" s="1"/>
  <c r="G3734" i="1"/>
  <c r="O3733" i="1"/>
  <c r="J3733" i="1"/>
  <c r="K3733" i="1" s="1"/>
  <c r="G3733" i="1"/>
  <c r="O3732" i="1"/>
  <c r="J3732" i="1"/>
  <c r="K3732" i="1" s="1"/>
  <c r="M3732" i="1" s="1"/>
  <c r="G3732" i="1"/>
  <c r="O3712" i="1"/>
  <c r="J3712" i="1"/>
  <c r="G3712" i="1"/>
  <c r="O3692" i="1"/>
  <c r="J3692" i="1"/>
  <c r="G3692" i="1"/>
  <c r="O3691" i="1"/>
  <c r="J3691" i="1"/>
  <c r="K3691" i="1" s="1"/>
  <c r="G3691" i="1"/>
  <c r="O3690" i="1"/>
  <c r="J3690" i="1"/>
  <c r="K3690" i="1" s="1"/>
  <c r="G3690" i="1"/>
  <c r="O3689" i="1"/>
  <c r="J3689" i="1"/>
  <c r="K3689" i="1" s="1"/>
  <c r="G3689" i="1"/>
  <c r="O3688" i="1"/>
  <c r="J3688" i="1"/>
  <c r="K3688" i="1" s="1"/>
  <c r="G3688" i="1"/>
  <c r="O3687" i="1"/>
  <c r="J3687" i="1"/>
  <c r="K3687" i="1" s="1"/>
  <c r="G3687" i="1"/>
  <c r="O3668" i="1"/>
  <c r="J3668" i="1"/>
  <c r="G3668" i="1"/>
  <c r="O3667" i="1"/>
  <c r="J3667" i="1"/>
  <c r="K3667" i="1" s="1"/>
  <c r="G3667" i="1"/>
  <c r="O3666" i="1"/>
  <c r="J3666" i="1"/>
  <c r="K3666" i="1" s="1"/>
  <c r="M3666" i="1" s="1"/>
  <c r="N3666" i="1" s="1"/>
  <c r="G3666" i="1"/>
  <c r="O3646" i="1"/>
  <c r="J3646" i="1"/>
  <c r="G3646" i="1"/>
  <c r="O3645" i="1"/>
  <c r="J3645" i="1"/>
  <c r="K3645" i="1" s="1"/>
  <c r="M3645" i="1" s="1"/>
  <c r="G3645" i="1"/>
  <c r="O3644" i="1"/>
  <c r="J3644" i="1"/>
  <c r="K3644" i="1" s="1"/>
  <c r="M3644" i="1" s="1"/>
  <c r="G3644" i="1"/>
  <c r="O3624" i="1"/>
  <c r="J3624" i="1"/>
  <c r="G3624" i="1"/>
  <c r="O3604" i="1"/>
  <c r="J3604" i="1"/>
  <c r="G3604" i="1"/>
  <c r="O3584" i="1"/>
  <c r="J3584" i="1"/>
  <c r="G3584" i="1"/>
  <c r="O3564" i="1"/>
  <c r="J3564" i="1"/>
  <c r="G3564" i="1"/>
  <c r="O3544" i="1"/>
  <c r="J3544" i="1"/>
  <c r="G3544" i="1"/>
  <c r="O3525" i="1"/>
  <c r="J3525" i="1"/>
  <c r="G3525" i="1"/>
  <c r="O3524" i="1"/>
  <c r="J3524" i="1"/>
  <c r="K3524" i="1" s="1"/>
  <c r="G3524" i="1"/>
  <c r="O3502" i="1"/>
  <c r="J3502" i="1"/>
  <c r="G3502" i="1"/>
  <c r="O3481" i="1"/>
  <c r="J3481" i="1"/>
  <c r="G3481" i="1"/>
  <c r="O3460" i="1"/>
  <c r="J3460" i="1"/>
  <c r="G3460" i="1"/>
  <c r="O3459" i="1"/>
  <c r="J3459" i="1"/>
  <c r="K3459" i="1" s="1"/>
  <c r="G3459" i="1"/>
  <c r="O3438" i="1"/>
  <c r="J3438" i="1"/>
  <c r="G3438" i="1"/>
  <c r="O3417" i="1"/>
  <c r="J3417" i="1"/>
  <c r="G3417" i="1"/>
  <c r="O3396" i="1"/>
  <c r="J3396" i="1"/>
  <c r="G3396" i="1"/>
  <c r="O3375" i="1"/>
  <c r="J3375" i="1"/>
  <c r="G3375" i="1"/>
  <c r="O3354" i="1"/>
  <c r="J3354" i="1"/>
  <c r="G3354" i="1"/>
  <c r="O3333" i="1"/>
  <c r="J3333" i="1"/>
  <c r="G3333" i="1"/>
  <c r="O3312" i="1"/>
  <c r="J3312" i="1"/>
  <c r="G3312" i="1"/>
  <c r="O3291" i="1"/>
  <c r="J3291" i="1"/>
  <c r="G3291" i="1"/>
  <c r="O3270" i="1"/>
  <c r="J3270" i="1"/>
  <c r="G3270" i="1"/>
  <c r="O3249" i="1"/>
  <c r="J3249" i="1"/>
  <c r="G3249" i="1"/>
  <c r="O3228" i="1"/>
  <c r="J3228" i="1"/>
  <c r="G3228" i="1"/>
  <c r="O3207" i="1"/>
  <c r="J3207" i="1"/>
  <c r="G3207" i="1"/>
  <c r="O3186" i="1"/>
  <c r="J3186" i="1"/>
  <c r="G3186" i="1"/>
  <c r="O3165" i="1"/>
  <c r="J3165" i="1"/>
  <c r="G3165" i="1"/>
  <c r="O3164" i="1"/>
  <c r="J3164" i="1"/>
  <c r="K3164" i="1" s="1"/>
  <c r="M3164" i="1" s="1"/>
  <c r="G3164" i="1"/>
  <c r="O3163" i="1"/>
  <c r="J3163" i="1"/>
  <c r="K3163" i="1" s="1"/>
  <c r="G3163" i="1"/>
  <c r="O3162" i="1"/>
  <c r="J3162" i="1"/>
  <c r="K3162" i="1" s="1"/>
  <c r="G3162" i="1"/>
  <c r="O3161" i="1"/>
  <c r="J3161" i="1"/>
  <c r="K3161" i="1" s="1"/>
  <c r="G3161" i="1"/>
  <c r="O3160" i="1"/>
  <c r="J3160" i="1"/>
  <c r="K3160" i="1" s="1"/>
  <c r="M3160" i="1" s="1"/>
  <c r="AC3160" i="1" s="1"/>
  <c r="G3160" i="1"/>
  <c r="O3159" i="1"/>
  <c r="J3159" i="1"/>
  <c r="K3159" i="1" s="1"/>
  <c r="G3159" i="1"/>
  <c r="O3158" i="1"/>
  <c r="J3158" i="1"/>
  <c r="K3158" i="1" s="1"/>
  <c r="G3158" i="1"/>
  <c r="O3157" i="1"/>
  <c r="J3157" i="1"/>
  <c r="K3157" i="1" s="1"/>
  <c r="G3157" i="1"/>
  <c r="O3156" i="1"/>
  <c r="J3156" i="1"/>
  <c r="K3156" i="1" s="1"/>
  <c r="M3156" i="1" s="1"/>
  <c r="G3156" i="1"/>
  <c r="O3146" i="1"/>
  <c r="J3146" i="1"/>
  <c r="G3146" i="1"/>
  <c r="O3125" i="1"/>
  <c r="J3125" i="1"/>
  <c r="G3125" i="1"/>
  <c r="O3104" i="1"/>
  <c r="J3104" i="1"/>
  <c r="G3104" i="1"/>
  <c r="O3083" i="1"/>
  <c r="J3083" i="1"/>
  <c r="G3083" i="1"/>
  <c r="O3062" i="1"/>
  <c r="J3062" i="1"/>
  <c r="G3062" i="1"/>
  <c r="O3041" i="1"/>
  <c r="J3041" i="1"/>
  <c r="G3041" i="1"/>
  <c r="O3020" i="1"/>
  <c r="J3020" i="1"/>
  <c r="G3020" i="1"/>
  <c r="O2999" i="1"/>
  <c r="J2999" i="1"/>
  <c r="G2999" i="1"/>
  <c r="O2978" i="1"/>
  <c r="J2978" i="1"/>
  <c r="G2978" i="1"/>
  <c r="O2958" i="1"/>
  <c r="J2958" i="1"/>
  <c r="G2958" i="1"/>
  <c r="O2938" i="1"/>
  <c r="J2938" i="1"/>
  <c r="G2938" i="1"/>
  <c r="O2937" i="1"/>
  <c r="J2937" i="1"/>
  <c r="K2937" i="1" s="1"/>
  <c r="G2937" i="1"/>
  <c r="O2916" i="1"/>
  <c r="J2916" i="1"/>
  <c r="G2916" i="1"/>
  <c r="O2896" i="1"/>
  <c r="J2896" i="1"/>
  <c r="G2896" i="1"/>
  <c r="O2876" i="1"/>
  <c r="J2876" i="1"/>
  <c r="G2876" i="1"/>
  <c r="O2856" i="1"/>
  <c r="J2856" i="1"/>
  <c r="G2856" i="1"/>
  <c r="O2851" i="1"/>
  <c r="J2851" i="1"/>
  <c r="G2851" i="1"/>
  <c r="O2846" i="1"/>
  <c r="J2846" i="1"/>
  <c r="G2846" i="1"/>
  <c r="O2841" i="1"/>
  <c r="J2841" i="1"/>
  <c r="G2841" i="1"/>
  <c r="O2836" i="1"/>
  <c r="J2836" i="1"/>
  <c r="G2836" i="1"/>
  <c r="O2824" i="1"/>
  <c r="J2824" i="1"/>
  <c r="G2824" i="1"/>
  <c r="O2812" i="1"/>
  <c r="J2812" i="1"/>
  <c r="G2812" i="1"/>
  <c r="O2800" i="1"/>
  <c r="J2800" i="1"/>
  <c r="G2800" i="1"/>
  <c r="O2788" i="1"/>
  <c r="J2788" i="1"/>
  <c r="G2788" i="1"/>
  <c r="O2776" i="1"/>
  <c r="J2776" i="1"/>
  <c r="G2776" i="1"/>
  <c r="O2775" i="1"/>
  <c r="J2775" i="1"/>
  <c r="K2775" i="1" s="1"/>
  <c r="M2775" i="1" s="1"/>
  <c r="N2775" i="1" s="1"/>
  <c r="G2775" i="1"/>
  <c r="O2773" i="1"/>
  <c r="J2773" i="1"/>
  <c r="K2773" i="1" s="1"/>
  <c r="G2773" i="1"/>
  <c r="O2772" i="1"/>
  <c r="J2772" i="1"/>
  <c r="K2772" i="1" s="1"/>
  <c r="M2772" i="1" s="1"/>
  <c r="G2772" i="1"/>
  <c r="O2771" i="1"/>
  <c r="J2771" i="1"/>
  <c r="K2771" i="1" s="1"/>
  <c r="G2771" i="1"/>
  <c r="O2770" i="1"/>
  <c r="J2770" i="1"/>
  <c r="K2770" i="1" s="1"/>
  <c r="G2770" i="1"/>
  <c r="O2769" i="1"/>
  <c r="J2769" i="1"/>
  <c r="K2769" i="1" s="1"/>
  <c r="M2769" i="1" s="1"/>
  <c r="G2769" i="1"/>
  <c r="O2768" i="1"/>
  <c r="J2768" i="1"/>
  <c r="K2768" i="1" s="1"/>
  <c r="G2768" i="1"/>
  <c r="O2735" i="1"/>
  <c r="J2735" i="1"/>
  <c r="G2735" i="1"/>
  <c r="O2703" i="1"/>
  <c r="J2703" i="1"/>
  <c r="G2703" i="1"/>
  <c r="O2671" i="1"/>
  <c r="J2671" i="1"/>
  <c r="G2671" i="1"/>
  <c r="O2670" i="1"/>
  <c r="J2670" i="1"/>
  <c r="K2670" i="1" s="1"/>
  <c r="G2670" i="1"/>
  <c r="O2639" i="1"/>
  <c r="J2639" i="1"/>
  <c r="G2639" i="1"/>
  <c r="O2608" i="1"/>
  <c r="J2608" i="1"/>
  <c r="G2608" i="1"/>
  <c r="O2577" i="1"/>
  <c r="J2577" i="1"/>
  <c r="G2577" i="1"/>
  <c r="O2576" i="1"/>
  <c r="J2576" i="1"/>
  <c r="K2576" i="1" s="1"/>
  <c r="M2576" i="1" s="1"/>
  <c r="G2576" i="1"/>
  <c r="O2575" i="1"/>
  <c r="J2575" i="1"/>
  <c r="K2575" i="1" s="1"/>
  <c r="G2575" i="1"/>
  <c r="O2574" i="1"/>
  <c r="J2574" i="1"/>
  <c r="K2574" i="1" s="1"/>
  <c r="G2574" i="1"/>
  <c r="O2543" i="1"/>
  <c r="J2543" i="1"/>
  <c r="G2543" i="1"/>
  <c r="O2512" i="1"/>
  <c r="J2512" i="1"/>
  <c r="G2512" i="1"/>
  <c r="O2481" i="1"/>
  <c r="J2481" i="1"/>
  <c r="G2481" i="1"/>
  <c r="O2480" i="1"/>
  <c r="J2480" i="1"/>
  <c r="K2480" i="1" s="1"/>
  <c r="G2480" i="1"/>
  <c r="O2479" i="1"/>
  <c r="J2479" i="1"/>
  <c r="K2479" i="1" s="1"/>
  <c r="G2479" i="1"/>
  <c r="O2478" i="1"/>
  <c r="J2478" i="1"/>
  <c r="K2478" i="1" s="1"/>
  <c r="M2478" i="1" s="1"/>
  <c r="G2478" i="1"/>
  <c r="O2447" i="1"/>
  <c r="J2447" i="1"/>
  <c r="G2447" i="1"/>
  <c r="O2416" i="1"/>
  <c r="J2416" i="1"/>
  <c r="G2416" i="1"/>
  <c r="O2415" i="1"/>
  <c r="J2415" i="1"/>
  <c r="K2415" i="1" s="1"/>
  <c r="G2415" i="1"/>
  <c r="O2414" i="1"/>
  <c r="J2414" i="1"/>
  <c r="K2414" i="1" s="1"/>
  <c r="G2414" i="1"/>
  <c r="O2413" i="1"/>
  <c r="J2413" i="1"/>
  <c r="K2413" i="1" s="1"/>
  <c r="M2413" i="1" s="1"/>
  <c r="G2413" i="1"/>
  <c r="O2412" i="1"/>
  <c r="J2412" i="1"/>
  <c r="K2412" i="1" s="1"/>
  <c r="G2412" i="1"/>
  <c r="O1741" i="1"/>
  <c r="J1741" i="1"/>
  <c r="G1741" i="1"/>
  <c r="O1709" i="1"/>
  <c r="J1709" i="1"/>
  <c r="G1709" i="1"/>
  <c r="O1677" i="1"/>
  <c r="J1677" i="1"/>
  <c r="G1677" i="1"/>
  <c r="O1676" i="1"/>
  <c r="J1676" i="1"/>
  <c r="K1676" i="1" s="1"/>
  <c r="G1676" i="1"/>
  <c r="O1675" i="1"/>
  <c r="J1675" i="1"/>
  <c r="K1675" i="1" s="1"/>
  <c r="M1675" i="1" s="1"/>
  <c r="G1675" i="1"/>
  <c r="O1674" i="1"/>
  <c r="J1674" i="1"/>
  <c r="K1674" i="1" s="1"/>
  <c r="M1674" i="1" s="1"/>
  <c r="G1674" i="1"/>
  <c r="O1673" i="1"/>
  <c r="J1673" i="1"/>
  <c r="K1673" i="1" s="1"/>
  <c r="G1673" i="1"/>
  <c r="O1672" i="1"/>
  <c r="J1672" i="1"/>
  <c r="K1672" i="1" s="1"/>
  <c r="G1672" i="1"/>
  <c r="O1641" i="1"/>
  <c r="J1641" i="1"/>
  <c r="G1641" i="1"/>
  <c r="O1610" i="1"/>
  <c r="J1610" i="1"/>
  <c r="G1610" i="1"/>
  <c r="O1584" i="1"/>
  <c r="J1584" i="1"/>
  <c r="G1584" i="1"/>
  <c r="O1553" i="1"/>
  <c r="J1553" i="1"/>
  <c r="G1553" i="1"/>
  <c r="O1552" i="1"/>
  <c r="J1552" i="1"/>
  <c r="K1552" i="1" s="1"/>
  <c r="G1552" i="1"/>
  <c r="O1551" i="1"/>
  <c r="J1551" i="1"/>
  <c r="K1551" i="1" s="1"/>
  <c r="G1551" i="1"/>
  <c r="O1520" i="1"/>
  <c r="J1520" i="1"/>
  <c r="G1520" i="1"/>
  <c r="O1519" i="1"/>
  <c r="J1519" i="1"/>
  <c r="K1519" i="1" s="1"/>
  <c r="G1519" i="1"/>
  <c r="O1518" i="1"/>
  <c r="J1518" i="1"/>
  <c r="K1518" i="1" s="1"/>
  <c r="G1518" i="1"/>
  <c r="O1517" i="1"/>
  <c r="J1517" i="1"/>
  <c r="K1517" i="1" s="1"/>
  <c r="G1517" i="1"/>
  <c r="O1491" i="1"/>
  <c r="J1491" i="1"/>
  <c r="G1491" i="1"/>
  <c r="O1465" i="1"/>
  <c r="J1465" i="1"/>
  <c r="G1465" i="1"/>
  <c r="O1464" i="1"/>
  <c r="J1464" i="1"/>
  <c r="K1464" i="1" s="1"/>
  <c r="G1464" i="1"/>
  <c r="O1433" i="1"/>
  <c r="J1433" i="1"/>
  <c r="G1433" i="1"/>
  <c r="O1432" i="1"/>
  <c r="J1432" i="1"/>
  <c r="K1432" i="1" s="1"/>
  <c r="G1432" i="1"/>
  <c r="O1406" i="1"/>
  <c r="J1406" i="1"/>
  <c r="G1406" i="1"/>
  <c r="O1405" i="1"/>
  <c r="J1405" i="1"/>
  <c r="K1405" i="1" s="1"/>
  <c r="G1405" i="1"/>
  <c r="O1404" i="1"/>
  <c r="J1404" i="1"/>
  <c r="K1404" i="1" s="1"/>
  <c r="M1404" i="1" s="1"/>
  <c r="G1404" i="1"/>
  <c r="O1373" i="1"/>
  <c r="J1373" i="1"/>
  <c r="G1373" i="1"/>
  <c r="O1372" i="1"/>
  <c r="J1372" i="1"/>
  <c r="K1372" i="1" s="1"/>
  <c r="G1372" i="1"/>
  <c r="O1346" i="1"/>
  <c r="J1346" i="1"/>
  <c r="G1346" i="1"/>
  <c r="O1320" i="1"/>
  <c r="J1320" i="1"/>
  <c r="G1320" i="1"/>
  <c r="O1289" i="1"/>
  <c r="J1289" i="1"/>
  <c r="G1289" i="1"/>
  <c r="O1288" i="1"/>
  <c r="J1288" i="1"/>
  <c r="K1288" i="1" s="1"/>
  <c r="G1288" i="1"/>
  <c r="O1287" i="1"/>
  <c r="J1287" i="1"/>
  <c r="K1287" i="1" s="1"/>
  <c r="G1287" i="1"/>
  <c r="O1286" i="1"/>
  <c r="J1286" i="1"/>
  <c r="K1286" i="1" s="1"/>
  <c r="G1286" i="1"/>
  <c r="O1285" i="1"/>
  <c r="J1285" i="1"/>
  <c r="K1285" i="1" s="1"/>
  <c r="G1285" i="1"/>
  <c r="O1284" i="1"/>
  <c r="J1284" i="1"/>
  <c r="K1284" i="1" s="1"/>
  <c r="G1284" i="1"/>
  <c r="O1258" i="1"/>
  <c r="J1258" i="1"/>
  <c r="G1258" i="1"/>
  <c r="O1232" i="1"/>
  <c r="J1232" i="1"/>
  <c r="G1232" i="1"/>
  <c r="O1206" i="1"/>
  <c r="J1206" i="1"/>
  <c r="G1206" i="1"/>
  <c r="O1180" i="1"/>
  <c r="J1180" i="1"/>
  <c r="G1180" i="1"/>
  <c r="O1154" i="1"/>
  <c r="J1154" i="1"/>
  <c r="G1154" i="1"/>
  <c r="O1123" i="1"/>
  <c r="J1123" i="1"/>
  <c r="G1123" i="1"/>
  <c r="O1097" i="1"/>
  <c r="J1097" i="1"/>
  <c r="G1097" i="1"/>
  <c r="O1071" i="1"/>
  <c r="J1071" i="1"/>
  <c r="G1071" i="1"/>
  <c r="O1045" i="1"/>
  <c r="J1045" i="1"/>
  <c r="G1045" i="1"/>
  <c r="O1019" i="1"/>
  <c r="J1019" i="1"/>
  <c r="G1019" i="1"/>
  <c r="O993" i="1"/>
  <c r="J993" i="1"/>
  <c r="G993" i="1"/>
  <c r="O967" i="1"/>
  <c r="J967" i="1"/>
  <c r="G967" i="1"/>
  <c r="O936" i="1"/>
  <c r="J936" i="1"/>
  <c r="G936" i="1"/>
  <c r="O935" i="1"/>
  <c r="J935" i="1"/>
  <c r="K935" i="1" s="1"/>
  <c r="G935" i="1"/>
  <c r="O909" i="1"/>
  <c r="J909" i="1"/>
  <c r="G909" i="1"/>
  <c r="O883" i="1"/>
  <c r="J883" i="1"/>
  <c r="G883" i="1"/>
  <c r="O857" i="1"/>
  <c r="J857" i="1"/>
  <c r="G857" i="1"/>
  <c r="O831" i="1"/>
  <c r="J831" i="1"/>
  <c r="G831" i="1"/>
  <c r="O805" i="1"/>
  <c r="J805" i="1"/>
  <c r="G805" i="1"/>
  <c r="O774" i="1"/>
  <c r="J774" i="1"/>
  <c r="J795" i="1" s="1"/>
  <c r="G774" i="1"/>
  <c r="O772" i="1"/>
  <c r="J772" i="1"/>
  <c r="K772" i="1" s="1"/>
  <c r="G772" i="1"/>
  <c r="O771" i="1"/>
  <c r="J771" i="1"/>
  <c r="K771" i="1" s="1"/>
  <c r="M771" i="1" s="1"/>
  <c r="G771" i="1"/>
  <c r="O770" i="1"/>
  <c r="J770" i="1"/>
  <c r="K770" i="1" s="1"/>
  <c r="G770" i="1"/>
  <c r="O769" i="1"/>
  <c r="J769" i="1"/>
  <c r="K769" i="1" s="1"/>
  <c r="G769" i="1"/>
  <c r="O766" i="1"/>
  <c r="J766" i="1"/>
  <c r="G766" i="1"/>
  <c r="O765" i="1"/>
  <c r="J765" i="1"/>
  <c r="K765" i="1" s="1"/>
  <c r="G765" i="1"/>
  <c r="O764" i="1"/>
  <c r="J764" i="1"/>
  <c r="K764" i="1" s="1"/>
  <c r="M764" i="1" s="1"/>
  <c r="G764" i="1"/>
  <c r="O763" i="1"/>
  <c r="J763" i="1"/>
  <c r="K763" i="1" s="1"/>
  <c r="G763" i="1"/>
  <c r="O762" i="1"/>
  <c r="J762" i="1"/>
  <c r="K762" i="1" s="1"/>
  <c r="G762" i="1"/>
  <c r="O761" i="1"/>
  <c r="J761" i="1"/>
  <c r="K761" i="1" s="1"/>
  <c r="G761" i="1"/>
  <c r="O760" i="1"/>
  <c r="J760" i="1"/>
  <c r="K760" i="1" s="1"/>
  <c r="G760" i="1"/>
  <c r="O759" i="1"/>
  <c r="J759" i="1"/>
  <c r="K759" i="1" s="1"/>
  <c r="G759" i="1"/>
  <c r="O758" i="1"/>
  <c r="J758" i="1"/>
  <c r="K758" i="1" s="1"/>
  <c r="G758" i="1"/>
  <c r="O757" i="1"/>
  <c r="J757" i="1"/>
  <c r="K757" i="1" s="1"/>
  <c r="G757" i="1"/>
  <c r="O756" i="1"/>
  <c r="J756" i="1"/>
  <c r="K756" i="1" s="1"/>
  <c r="G756" i="1"/>
  <c r="O755" i="1"/>
  <c r="J755" i="1"/>
  <c r="K755" i="1" s="1"/>
  <c r="G755" i="1"/>
  <c r="O754" i="1"/>
  <c r="J754" i="1"/>
  <c r="K754" i="1" s="1"/>
  <c r="G754" i="1"/>
  <c r="O753" i="1"/>
  <c r="J753" i="1"/>
  <c r="K753" i="1" s="1"/>
  <c r="M753" i="1" s="1"/>
  <c r="G753" i="1"/>
  <c r="O752" i="1"/>
  <c r="J752" i="1"/>
  <c r="K752" i="1" s="1"/>
  <c r="G752" i="1"/>
  <c r="O751" i="1"/>
  <c r="J751" i="1"/>
  <c r="K751" i="1" s="1"/>
  <c r="G751" i="1"/>
  <c r="O746" i="1"/>
  <c r="J746" i="1"/>
  <c r="G746" i="1"/>
  <c r="O741" i="1"/>
  <c r="J741" i="1"/>
  <c r="G741" i="1"/>
  <c r="O736" i="1"/>
  <c r="J736" i="1"/>
  <c r="G736" i="1"/>
  <c r="O735" i="1"/>
  <c r="J735" i="1"/>
  <c r="K735" i="1" s="1"/>
  <c r="G735" i="1"/>
  <c r="O730" i="1"/>
  <c r="J730" i="1"/>
  <c r="G730" i="1"/>
  <c r="O725" i="1"/>
  <c r="J725" i="1"/>
  <c r="G725" i="1"/>
  <c r="O720" i="1"/>
  <c r="J720" i="1"/>
  <c r="G720" i="1"/>
  <c r="O719" i="1"/>
  <c r="J719" i="1"/>
  <c r="K719" i="1" s="1"/>
  <c r="M719" i="1" s="1"/>
  <c r="G719" i="1"/>
  <c r="O718" i="1"/>
  <c r="J718" i="1"/>
  <c r="K718" i="1" s="1"/>
  <c r="G718" i="1"/>
  <c r="O717" i="1"/>
  <c r="J717" i="1"/>
  <c r="K717" i="1" s="1"/>
  <c r="G717" i="1"/>
  <c r="O716" i="1"/>
  <c r="J716" i="1"/>
  <c r="K716" i="1" s="1"/>
  <c r="G716" i="1"/>
  <c r="O715" i="1"/>
  <c r="J715" i="1"/>
  <c r="K715" i="1" s="1"/>
  <c r="G715" i="1"/>
  <c r="O714" i="1"/>
  <c r="J714" i="1"/>
  <c r="K714" i="1" s="1"/>
  <c r="G714" i="1"/>
  <c r="O713" i="1"/>
  <c r="J713" i="1"/>
  <c r="K713" i="1" s="1"/>
  <c r="M713" i="1" s="1"/>
  <c r="N713" i="1" s="1"/>
  <c r="G713" i="1"/>
  <c r="O712" i="1"/>
  <c r="J712" i="1"/>
  <c r="K712" i="1" s="1"/>
  <c r="M712" i="1" s="1"/>
  <c r="N712" i="1" s="1"/>
  <c r="G712" i="1"/>
  <c r="O711" i="1"/>
  <c r="J711" i="1"/>
  <c r="K711" i="1" s="1"/>
  <c r="M711" i="1" s="1"/>
  <c r="G711" i="1"/>
  <c r="O710" i="1"/>
  <c r="J710" i="1"/>
  <c r="K710" i="1" s="1"/>
  <c r="G710" i="1"/>
  <c r="O709" i="1"/>
  <c r="J709" i="1"/>
  <c r="K709" i="1" s="1"/>
  <c r="M709" i="1" s="1"/>
  <c r="G709" i="1"/>
  <c r="O708" i="1"/>
  <c r="J708" i="1"/>
  <c r="K708" i="1" s="1"/>
  <c r="G708" i="1"/>
  <c r="O707" i="1"/>
  <c r="J707" i="1"/>
  <c r="K707" i="1" s="1"/>
  <c r="G707" i="1"/>
  <c r="O706" i="1"/>
  <c r="J706" i="1"/>
  <c r="K706" i="1" s="1"/>
  <c r="G706" i="1"/>
  <c r="O1775" i="1"/>
  <c r="J1775" i="1"/>
  <c r="K1775" i="1" s="1"/>
  <c r="G1775" i="1"/>
  <c r="O1774" i="1"/>
  <c r="J1774" i="1"/>
  <c r="K1774" i="1" s="1"/>
  <c r="G1774" i="1"/>
  <c r="O1773" i="1"/>
  <c r="J1773" i="1"/>
  <c r="K1773" i="1" s="1"/>
  <c r="G1773" i="1"/>
  <c r="O2411" i="1"/>
  <c r="J2411" i="1"/>
  <c r="K2411" i="1" s="1"/>
  <c r="M2411" i="1" s="1"/>
  <c r="AC2411" i="1" s="1"/>
  <c r="G2411" i="1"/>
  <c r="O2410" i="1"/>
  <c r="J2410" i="1"/>
  <c r="K2410" i="1" s="1"/>
  <c r="M2410" i="1" s="1"/>
  <c r="N2410" i="1" s="1"/>
  <c r="G2410" i="1"/>
  <c r="O2409" i="1"/>
  <c r="J2409" i="1"/>
  <c r="K2409" i="1" s="1"/>
  <c r="G2409" i="1"/>
  <c r="O2408" i="1"/>
  <c r="J2408" i="1"/>
  <c r="K2408" i="1" s="1"/>
  <c r="G2408" i="1"/>
  <c r="O2407" i="1"/>
  <c r="J2407" i="1"/>
  <c r="K2407" i="1" s="1"/>
  <c r="G2407" i="1"/>
  <c r="O2406" i="1"/>
  <c r="J2406" i="1"/>
  <c r="K2406" i="1" s="1"/>
  <c r="G2406" i="1"/>
  <c r="O2405" i="1"/>
  <c r="J2405" i="1"/>
  <c r="K2405" i="1" s="1"/>
  <c r="M2405" i="1" s="1"/>
  <c r="N2405" i="1" s="1"/>
  <c r="G2405" i="1"/>
  <c r="O2404" i="1"/>
  <c r="J2404" i="1"/>
  <c r="K2404" i="1" s="1"/>
  <c r="G2404" i="1"/>
  <c r="O2403" i="1"/>
  <c r="J2403" i="1"/>
  <c r="K2403" i="1" s="1"/>
  <c r="G2403" i="1"/>
  <c r="O2402" i="1"/>
  <c r="J2402" i="1"/>
  <c r="K2402" i="1" s="1"/>
  <c r="G2402" i="1"/>
  <c r="O2401" i="1"/>
  <c r="J2401" i="1"/>
  <c r="K2401" i="1" s="1"/>
  <c r="G2401" i="1"/>
  <c r="O2396" i="1"/>
  <c r="J2396" i="1"/>
  <c r="G2396" i="1"/>
  <c r="O2391" i="1"/>
  <c r="J2391" i="1"/>
  <c r="G2391" i="1"/>
  <c r="O2385" i="1"/>
  <c r="J2385" i="1"/>
  <c r="G2385" i="1"/>
  <c r="O2380" i="1"/>
  <c r="J2380" i="1"/>
  <c r="G2380" i="1"/>
  <c r="O2375" i="1"/>
  <c r="J2375" i="1"/>
  <c r="G2375" i="1"/>
  <c r="O2374" i="1"/>
  <c r="J2374" i="1"/>
  <c r="K2374" i="1" s="1"/>
  <c r="G2374" i="1"/>
  <c r="O2373" i="1"/>
  <c r="J2373" i="1"/>
  <c r="K2373" i="1" s="1"/>
  <c r="G2373" i="1"/>
  <c r="O2368" i="1"/>
  <c r="J2368" i="1"/>
  <c r="G2368" i="1"/>
  <c r="O2363" i="1"/>
  <c r="J2363" i="1"/>
  <c r="G2363" i="1"/>
  <c r="O2358" i="1"/>
  <c r="J2358" i="1"/>
  <c r="G2358" i="1"/>
  <c r="O2353" i="1"/>
  <c r="J2353" i="1"/>
  <c r="G2353" i="1"/>
  <c r="O2348" i="1"/>
  <c r="J2348" i="1"/>
  <c r="G2348" i="1"/>
  <c r="O2347" i="1"/>
  <c r="J2347" i="1"/>
  <c r="K2347" i="1" s="1"/>
  <c r="G2347" i="1"/>
  <c r="O2342" i="1"/>
  <c r="J2342" i="1"/>
  <c r="G2342" i="1"/>
  <c r="O2337" i="1"/>
  <c r="J2337" i="1"/>
  <c r="G2337" i="1"/>
  <c r="O2332" i="1"/>
  <c r="J2332" i="1"/>
  <c r="G2332" i="1"/>
  <c r="O2327" i="1"/>
  <c r="J2327" i="1"/>
  <c r="G2327" i="1"/>
  <c r="O2322" i="1"/>
  <c r="J2322" i="1"/>
  <c r="G2322" i="1"/>
  <c r="O2317" i="1"/>
  <c r="J2317" i="1"/>
  <c r="G2317" i="1"/>
  <c r="O2312" i="1"/>
  <c r="J2312" i="1"/>
  <c r="G2312" i="1"/>
  <c r="O2307" i="1"/>
  <c r="J2307" i="1"/>
  <c r="G2307" i="1"/>
  <c r="O2302" i="1"/>
  <c r="J2302" i="1"/>
  <c r="G2302" i="1"/>
  <c r="O2297" i="1"/>
  <c r="J2297" i="1"/>
  <c r="G2297" i="1"/>
  <c r="O2292" i="1"/>
  <c r="J2292" i="1"/>
  <c r="G2292" i="1"/>
  <c r="O2287" i="1"/>
  <c r="J2287" i="1"/>
  <c r="G2287" i="1"/>
  <c r="O2282" i="1"/>
  <c r="J2282" i="1"/>
  <c r="G2282" i="1"/>
  <c r="O2277" i="1"/>
  <c r="J2277" i="1"/>
  <c r="G2277" i="1"/>
  <c r="O2272" i="1"/>
  <c r="J2272" i="1"/>
  <c r="G2272" i="1"/>
  <c r="O2271" i="1"/>
  <c r="J2271" i="1"/>
  <c r="K2271" i="1" s="1"/>
  <c r="G2271" i="1"/>
  <c r="O2266" i="1"/>
  <c r="J2266" i="1"/>
  <c r="G2266" i="1"/>
  <c r="O2261" i="1"/>
  <c r="J2261" i="1"/>
  <c r="G2261" i="1"/>
  <c r="O2260" i="1"/>
  <c r="J2260" i="1"/>
  <c r="G2260" i="1"/>
  <c r="O2255" i="1"/>
  <c r="J2255" i="1"/>
  <c r="G2255" i="1"/>
  <c r="O2250" i="1"/>
  <c r="J2250" i="1"/>
  <c r="G2250" i="1"/>
  <c r="O2245" i="1"/>
  <c r="J2245" i="1"/>
  <c r="G2245" i="1"/>
  <c r="O2240" i="1"/>
  <c r="J2240" i="1"/>
  <c r="G2240" i="1"/>
  <c r="O2235" i="1"/>
  <c r="J2235" i="1"/>
  <c r="G2235" i="1"/>
  <c r="O2230" i="1"/>
  <c r="J2230" i="1"/>
  <c r="G2230" i="1"/>
  <c r="O2225" i="1"/>
  <c r="J2225" i="1"/>
  <c r="G2225" i="1"/>
  <c r="O2220" i="1"/>
  <c r="J2220" i="1"/>
  <c r="G2220" i="1"/>
  <c r="O2215" i="1"/>
  <c r="J2215" i="1"/>
  <c r="G2215" i="1"/>
  <c r="O2213" i="1"/>
  <c r="J2213" i="1"/>
  <c r="K2213" i="1" s="1"/>
  <c r="G2213" i="1"/>
  <c r="O2212" i="1"/>
  <c r="J2212" i="1"/>
  <c r="K2212" i="1" s="1"/>
  <c r="M2212" i="1" s="1"/>
  <c r="G2212" i="1"/>
  <c r="O2211" i="1"/>
  <c r="J2211" i="1"/>
  <c r="K2211" i="1" s="1"/>
  <c r="G2211" i="1"/>
  <c r="O2192" i="1"/>
  <c r="J2192" i="1"/>
  <c r="G2192" i="1"/>
  <c r="O2191" i="1"/>
  <c r="J2191" i="1"/>
  <c r="K2191" i="1" s="1"/>
  <c r="M2191" i="1" s="1"/>
  <c r="N2191" i="1" s="1"/>
  <c r="G2191" i="1"/>
  <c r="O2190" i="1"/>
  <c r="J2190" i="1"/>
  <c r="K2190" i="1" s="1"/>
  <c r="M2190" i="1" s="1"/>
  <c r="G2190" i="1"/>
  <c r="O2189" i="1"/>
  <c r="J2189" i="1"/>
  <c r="K2189" i="1" s="1"/>
  <c r="M2189" i="1" s="1"/>
  <c r="G2189" i="1"/>
  <c r="O2092" i="1"/>
  <c r="J2092" i="1"/>
  <c r="G2092" i="1"/>
  <c r="O2074" i="1"/>
  <c r="J2074" i="1"/>
  <c r="G2074" i="1"/>
  <c r="O2056" i="1"/>
  <c r="J2056" i="1"/>
  <c r="G2056" i="1"/>
  <c r="O2055" i="1"/>
  <c r="J2055" i="1"/>
  <c r="K2055" i="1" s="1"/>
  <c r="G2055" i="1"/>
  <c r="O2037" i="1"/>
  <c r="J2037" i="1"/>
  <c r="G2037" i="1"/>
  <c r="O2019" i="1"/>
  <c r="J2019" i="1"/>
  <c r="G2019" i="1"/>
  <c r="O2000" i="1"/>
  <c r="J2000" i="1"/>
  <c r="G2000" i="1"/>
  <c r="O1982" i="1"/>
  <c r="J1982" i="1"/>
  <c r="G1982" i="1"/>
  <c r="O1964" i="1"/>
  <c r="J1964" i="1"/>
  <c r="G1964" i="1"/>
  <c r="O1963" i="1"/>
  <c r="J1963" i="1"/>
  <c r="K1963" i="1" s="1"/>
  <c r="M1963" i="1" s="1"/>
  <c r="AC1963" i="1" s="1"/>
  <c r="G1963" i="1"/>
  <c r="O1961" i="1"/>
  <c r="J1961" i="1"/>
  <c r="K1961" i="1" s="1"/>
  <c r="G1961" i="1"/>
  <c r="O1960" i="1"/>
  <c r="J1960" i="1"/>
  <c r="K1960" i="1" s="1"/>
  <c r="M1960" i="1" s="1"/>
  <c r="G1960" i="1"/>
  <c r="O1937" i="1"/>
  <c r="J1937" i="1"/>
  <c r="J1945" i="1" s="1"/>
  <c r="G1937" i="1"/>
  <c r="O1934" i="1"/>
  <c r="J1934" i="1"/>
  <c r="G1934" i="1"/>
  <c r="O1931" i="1"/>
  <c r="J1931" i="1"/>
  <c r="G1931" i="1"/>
  <c r="O1928" i="1"/>
  <c r="J1928" i="1"/>
  <c r="G1928" i="1"/>
  <c r="O1927" i="1"/>
  <c r="J1927" i="1"/>
  <c r="K1927" i="1" s="1"/>
  <c r="M1927" i="1" s="1"/>
  <c r="N1927" i="1" s="1"/>
  <c r="G1927" i="1"/>
  <c r="O1926" i="1"/>
  <c r="J1926" i="1"/>
  <c r="K1926" i="1" s="1"/>
  <c r="M1926" i="1" s="1"/>
  <c r="AC1926" i="1" s="1"/>
  <c r="G1926" i="1"/>
  <c r="O1921" i="1"/>
  <c r="J1921" i="1"/>
  <c r="J1922" i="1" s="1"/>
  <c r="G1921" i="1"/>
  <c r="O1889" i="1"/>
  <c r="J1889" i="1"/>
  <c r="G1889" i="1"/>
  <c r="O1886" i="1"/>
  <c r="J1886" i="1"/>
  <c r="G1886" i="1"/>
  <c r="O1883" i="1"/>
  <c r="J1883" i="1"/>
  <c r="G1883" i="1"/>
  <c r="O1880" i="1"/>
  <c r="J1880" i="1"/>
  <c r="G1880" i="1"/>
  <c r="O1877" i="1"/>
  <c r="J1877" i="1"/>
  <c r="G1877" i="1"/>
  <c r="O1874" i="1"/>
  <c r="J1874" i="1"/>
  <c r="G1874" i="1"/>
  <c r="O1871" i="1"/>
  <c r="J1871" i="1"/>
  <c r="G1871" i="1"/>
  <c r="O1870" i="1"/>
  <c r="J1870" i="1"/>
  <c r="K1870" i="1" s="1"/>
  <c r="M1870" i="1" s="1"/>
  <c r="G1870" i="1"/>
  <c r="O1851" i="1"/>
  <c r="J1851" i="1"/>
  <c r="J1859" i="1" s="1"/>
  <c r="G1851" i="1"/>
  <c r="O1850" i="1"/>
  <c r="J1850" i="1"/>
  <c r="K1850" i="1" s="1"/>
  <c r="G1850" i="1"/>
  <c r="O1845" i="1"/>
  <c r="J1845" i="1"/>
  <c r="G1845" i="1"/>
  <c r="O1840" i="1"/>
  <c r="J1840" i="1"/>
  <c r="G1840" i="1"/>
  <c r="O1835" i="1"/>
  <c r="J1835" i="1"/>
  <c r="G1835" i="1"/>
  <c r="O1830" i="1"/>
  <c r="J1830" i="1"/>
  <c r="G1830" i="1"/>
  <c r="O1825" i="1"/>
  <c r="J1825" i="1"/>
  <c r="G1825" i="1"/>
  <c r="O1824" i="1"/>
  <c r="J1824" i="1"/>
  <c r="K1824" i="1" s="1"/>
  <c r="G1824" i="1"/>
  <c r="O1823" i="1"/>
  <c r="J1823" i="1"/>
  <c r="K1823" i="1" s="1"/>
  <c r="M1823" i="1" s="1"/>
  <c r="N1823" i="1" s="1"/>
  <c r="G1823" i="1"/>
  <c r="O1822" i="1"/>
  <c r="J1822" i="1"/>
  <c r="K1822" i="1" s="1"/>
  <c r="M1822" i="1" s="1"/>
  <c r="G1822" i="1"/>
  <c r="O1821" i="1"/>
  <c r="J1821" i="1"/>
  <c r="K1821" i="1" s="1"/>
  <c r="G1821" i="1"/>
  <c r="O1809" i="1"/>
  <c r="J1809" i="1"/>
  <c r="G1809" i="1"/>
  <c r="O1797" i="1"/>
  <c r="J1797" i="1"/>
  <c r="G1797" i="1"/>
  <c r="O1785" i="1"/>
  <c r="J1785" i="1"/>
  <c r="G1785" i="1"/>
  <c r="O1784" i="1"/>
  <c r="J1784" i="1"/>
  <c r="K1784" i="1" s="1"/>
  <c r="M1784" i="1" s="1"/>
  <c r="N1784" i="1" s="1"/>
  <c r="G1784" i="1"/>
  <c r="O1783" i="1"/>
  <c r="J1783" i="1"/>
  <c r="K1783" i="1" s="1"/>
  <c r="G1783" i="1"/>
  <c r="O1782" i="1"/>
  <c r="J1782" i="1"/>
  <c r="K1782" i="1" s="1"/>
  <c r="M1782" i="1" s="1"/>
  <c r="N1782" i="1" s="1"/>
  <c r="G1782" i="1"/>
  <c r="O1781" i="1"/>
  <c r="J1781" i="1"/>
  <c r="K1781" i="1" s="1"/>
  <c r="G1781" i="1"/>
  <c r="O1780" i="1"/>
  <c r="J1780" i="1"/>
  <c r="K1780" i="1" s="1"/>
  <c r="G1780" i="1"/>
  <c r="O1779" i="1"/>
  <c r="J1779" i="1"/>
  <c r="K1779" i="1" s="1"/>
  <c r="M1779" i="1" s="1"/>
  <c r="G1779" i="1"/>
  <c r="O1778" i="1"/>
  <c r="J1778" i="1"/>
  <c r="K1778" i="1" s="1"/>
  <c r="G1778" i="1"/>
  <c r="O1777" i="1"/>
  <c r="J1777" i="1"/>
  <c r="K1777" i="1" s="1"/>
  <c r="G1777" i="1"/>
  <c r="O1776" i="1"/>
  <c r="J1776" i="1"/>
  <c r="K1776" i="1" s="1"/>
  <c r="M1776" i="1" s="1"/>
  <c r="G1776" i="1"/>
  <c r="O705" i="1"/>
  <c r="J705" i="1"/>
  <c r="K705" i="1" s="1"/>
  <c r="G705" i="1"/>
  <c r="O700" i="1"/>
  <c r="J700" i="1"/>
  <c r="G700" i="1"/>
  <c r="O695" i="1"/>
  <c r="J695" i="1"/>
  <c r="G695" i="1"/>
  <c r="O690" i="1"/>
  <c r="J690" i="1"/>
  <c r="G690" i="1"/>
  <c r="O685" i="1"/>
  <c r="J685" i="1"/>
  <c r="G685" i="1"/>
  <c r="O680" i="1"/>
  <c r="J680" i="1"/>
  <c r="G680" i="1"/>
  <c r="O679" i="1"/>
  <c r="J679" i="1"/>
  <c r="K679" i="1" s="1"/>
  <c r="M679" i="1" s="1"/>
  <c r="G679" i="1"/>
  <c r="O678" i="1"/>
  <c r="J678" i="1"/>
  <c r="K678" i="1" s="1"/>
  <c r="G678" i="1"/>
  <c r="O677" i="1"/>
  <c r="J677" i="1"/>
  <c r="K677" i="1" s="1"/>
  <c r="M677" i="1" s="1"/>
  <c r="G677" i="1"/>
  <c r="O676" i="1"/>
  <c r="J676" i="1"/>
  <c r="K676" i="1" s="1"/>
  <c r="G676" i="1"/>
  <c r="O675" i="1"/>
  <c r="J675" i="1"/>
  <c r="K675" i="1" s="1"/>
  <c r="G675" i="1"/>
  <c r="O674" i="1"/>
  <c r="J674" i="1"/>
  <c r="K674" i="1" s="1"/>
  <c r="M674" i="1" s="1"/>
  <c r="G674" i="1"/>
  <c r="O673" i="1"/>
  <c r="J673" i="1"/>
  <c r="K673" i="1" s="1"/>
  <c r="G673" i="1"/>
  <c r="O672" i="1"/>
  <c r="J672" i="1"/>
  <c r="K672" i="1" s="1"/>
  <c r="G672" i="1"/>
  <c r="O671" i="1"/>
  <c r="J671" i="1"/>
  <c r="K671" i="1" s="1"/>
  <c r="M671" i="1" s="1"/>
  <c r="G671" i="1"/>
  <c r="O666" i="1"/>
  <c r="J666" i="1"/>
  <c r="G666" i="1"/>
  <c r="O661" i="1"/>
  <c r="J661" i="1"/>
  <c r="G661" i="1"/>
  <c r="O656" i="1"/>
  <c r="J656" i="1"/>
  <c r="G656" i="1"/>
  <c r="O651" i="1"/>
  <c r="J651" i="1"/>
  <c r="G651" i="1"/>
  <c r="O650" i="1"/>
  <c r="J650" i="1"/>
  <c r="G650" i="1"/>
  <c r="O645" i="1"/>
  <c r="J645" i="1"/>
  <c r="G645" i="1"/>
  <c r="O640" i="1"/>
  <c r="J640" i="1"/>
  <c r="G640" i="1"/>
  <c r="O635" i="1"/>
  <c r="J635" i="1"/>
  <c r="G635" i="1"/>
  <c r="O630" i="1"/>
  <c r="J630" i="1"/>
  <c r="G630" i="1"/>
  <c r="O625" i="1"/>
  <c r="J625" i="1"/>
  <c r="G625" i="1"/>
  <c r="O620" i="1"/>
  <c r="J620" i="1"/>
  <c r="G620" i="1"/>
  <c r="O615" i="1"/>
  <c r="J615" i="1"/>
  <c r="G615" i="1"/>
  <c r="O610" i="1"/>
  <c r="J610" i="1"/>
  <c r="G610" i="1"/>
  <c r="O605" i="1"/>
  <c r="J605" i="1"/>
  <c r="G605" i="1"/>
  <c r="O600" i="1"/>
  <c r="J600" i="1"/>
  <c r="G600" i="1"/>
  <c r="O595" i="1"/>
  <c r="J595" i="1"/>
  <c r="G595" i="1"/>
  <c r="O590" i="1"/>
  <c r="J590" i="1"/>
  <c r="G590" i="1"/>
  <c r="O585" i="1"/>
  <c r="J585" i="1"/>
  <c r="G585" i="1"/>
  <c r="O580" i="1"/>
  <c r="J580" i="1"/>
  <c r="G580" i="1"/>
  <c r="O579" i="1"/>
  <c r="J579" i="1"/>
  <c r="K579" i="1" s="1"/>
  <c r="G579" i="1"/>
  <c r="O574" i="1"/>
  <c r="J574" i="1"/>
  <c r="G574" i="1"/>
  <c r="O569" i="1"/>
  <c r="J569" i="1"/>
  <c r="G569" i="1"/>
  <c r="O564" i="1"/>
  <c r="J564" i="1"/>
  <c r="G564" i="1"/>
  <c r="O559" i="1"/>
  <c r="J559" i="1"/>
  <c r="G559" i="1"/>
  <c r="O554" i="1"/>
  <c r="J554" i="1"/>
  <c r="G554" i="1"/>
  <c r="O549" i="1"/>
  <c r="J549" i="1"/>
  <c r="G549" i="1"/>
  <c r="O544" i="1"/>
  <c r="J544" i="1"/>
  <c r="G544" i="1"/>
  <c r="O539" i="1"/>
  <c r="J539" i="1"/>
  <c r="G539" i="1"/>
  <c r="O534" i="1"/>
  <c r="J534" i="1"/>
  <c r="G534" i="1"/>
  <c r="O529" i="1"/>
  <c r="J529" i="1"/>
  <c r="G529" i="1"/>
  <c r="O528" i="1"/>
  <c r="J528" i="1"/>
  <c r="K528" i="1" s="1"/>
  <c r="G528" i="1"/>
  <c r="O527" i="1"/>
  <c r="J527" i="1"/>
  <c r="K527" i="1" s="1"/>
  <c r="G527" i="1"/>
  <c r="O526" i="1"/>
  <c r="J526" i="1"/>
  <c r="K526" i="1" s="1"/>
  <c r="G526" i="1"/>
  <c r="O525" i="1"/>
  <c r="J525" i="1"/>
  <c r="K525" i="1" s="1"/>
  <c r="G525" i="1"/>
  <c r="O524" i="1"/>
  <c r="J524" i="1"/>
  <c r="K524" i="1" s="1"/>
  <c r="G524" i="1"/>
  <c r="O523" i="1"/>
  <c r="J523" i="1"/>
  <c r="K523" i="1" s="1"/>
  <c r="M523" i="1" s="1"/>
  <c r="G523" i="1"/>
  <c r="O522" i="1"/>
  <c r="J522" i="1"/>
  <c r="K522" i="1" s="1"/>
  <c r="G522" i="1"/>
  <c r="O521" i="1"/>
  <c r="J521" i="1"/>
  <c r="K521" i="1" s="1"/>
  <c r="G521" i="1"/>
  <c r="O502" i="1"/>
  <c r="J502" i="1"/>
  <c r="G502" i="1"/>
  <c r="O483" i="1"/>
  <c r="J483" i="1"/>
  <c r="G483" i="1"/>
  <c r="O464" i="1"/>
  <c r="J464" i="1"/>
  <c r="G464" i="1"/>
  <c r="O463" i="1"/>
  <c r="J463" i="1"/>
  <c r="K463" i="1" s="1"/>
  <c r="M463" i="1" s="1"/>
  <c r="G463" i="1"/>
  <c r="O462" i="1"/>
  <c r="J462" i="1"/>
  <c r="K462" i="1" s="1"/>
  <c r="G462" i="1"/>
  <c r="O461" i="1"/>
  <c r="J461" i="1"/>
  <c r="K461" i="1" s="1"/>
  <c r="G461" i="1"/>
  <c r="O460" i="1"/>
  <c r="J460" i="1"/>
  <c r="K460" i="1" s="1"/>
  <c r="M460" i="1" s="1"/>
  <c r="G460" i="1"/>
  <c r="O459" i="1"/>
  <c r="J459" i="1"/>
  <c r="K459" i="1" s="1"/>
  <c r="G459" i="1"/>
  <c r="O440" i="1"/>
  <c r="J440" i="1"/>
  <c r="G440" i="1"/>
  <c r="O421" i="1"/>
  <c r="J421" i="1"/>
  <c r="G421" i="1"/>
  <c r="O403" i="1"/>
  <c r="J403" i="1"/>
  <c r="G403" i="1"/>
  <c r="O402" i="1"/>
  <c r="J402" i="1"/>
  <c r="K402" i="1" s="1"/>
  <c r="G402" i="1"/>
  <c r="O401" i="1"/>
  <c r="J401" i="1"/>
  <c r="K401" i="1" s="1"/>
  <c r="M401" i="1" s="1"/>
  <c r="G401" i="1"/>
  <c r="O400" i="1"/>
  <c r="J400" i="1"/>
  <c r="K400" i="1" s="1"/>
  <c r="G400" i="1"/>
  <c r="O399" i="1"/>
  <c r="J399" i="1"/>
  <c r="K399" i="1" s="1"/>
  <c r="G399" i="1"/>
  <c r="O398" i="1"/>
  <c r="J398" i="1"/>
  <c r="K398" i="1" s="1"/>
  <c r="M398" i="1" s="1"/>
  <c r="G398" i="1"/>
  <c r="O397" i="1"/>
  <c r="J397" i="1"/>
  <c r="K397" i="1" s="1"/>
  <c r="G397" i="1"/>
  <c r="O396" i="1"/>
  <c r="J396" i="1"/>
  <c r="K396" i="1" s="1"/>
  <c r="G396" i="1"/>
  <c r="O377" i="1"/>
  <c r="J377" i="1"/>
  <c r="G377" i="1"/>
  <c r="O358" i="1"/>
  <c r="J358" i="1"/>
  <c r="G358" i="1"/>
  <c r="O340" i="1"/>
  <c r="J340" i="1"/>
  <c r="G340" i="1"/>
  <c r="O321" i="1"/>
  <c r="J321" i="1"/>
  <c r="G321" i="1"/>
  <c r="O303" i="1"/>
  <c r="J303" i="1"/>
  <c r="G303" i="1"/>
  <c r="O285" i="1"/>
  <c r="J285" i="1"/>
  <c r="G285" i="1"/>
  <c r="O284" i="1"/>
  <c r="J284" i="1"/>
  <c r="K284" i="1" s="1"/>
  <c r="G284" i="1"/>
  <c r="O266" i="1"/>
  <c r="J266" i="1"/>
  <c r="G266" i="1"/>
  <c r="O248" i="1"/>
  <c r="J248" i="1"/>
  <c r="G248" i="1"/>
  <c r="O229" i="1"/>
  <c r="J229" i="1"/>
  <c r="G229" i="1"/>
  <c r="O211" i="1"/>
  <c r="J211" i="1"/>
  <c r="G211" i="1"/>
  <c r="O193" i="1"/>
  <c r="J193" i="1"/>
  <c r="G193" i="1"/>
  <c r="O192" i="1"/>
  <c r="J192" i="1"/>
  <c r="K192" i="1" s="1"/>
  <c r="G192" i="1"/>
  <c r="O191" i="1"/>
  <c r="J191" i="1"/>
  <c r="K191" i="1" s="1"/>
  <c r="G191" i="1"/>
  <c r="O163" i="1"/>
  <c r="J163" i="1"/>
  <c r="J179" i="1" s="1"/>
  <c r="G163" i="1"/>
  <c r="O162" i="1"/>
  <c r="J162" i="1"/>
  <c r="K162" i="1" s="1"/>
  <c r="G162" i="1"/>
  <c r="O161" i="1"/>
  <c r="J161" i="1"/>
  <c r="K161" i="1" s="1"/>
  <c r="G161" i="1"/>
  <c r="O160" i="1"/>
  <c r="J160" i="1"/>
  <c r="K160" i="1" s="1"/>
  <c r="G160" i="1"/>
  <c r="O132" i="1"/>
  <c r="J132" i="1"/>
  <c r="G132" i="1"/>
  <c r="O107" i="1"/>
  <c r="J107" i="1"/>
  <c r="G107" i="1"/>
  <c r="K10510" i="1" l="1"/>
  <c r="J10511" i="1"/>
  <c r="K10506" i="1"/>
  <c r="J10507" i="1"/>
  <c r="K10501" i="1"/>
  <c r="K10502" i="1" s="1"/>
  <c r="M10502" i="1" s="1"/>
  <c r="AC10502" i="1" s="1"/>
  <c r="AC10503" i="1" s="1"/>
  <c r="AD10503" i="1" s="1"/>
  <c r="J10502" i="1"/>
  <c r="K10497" i="1"/>
  <c r="K10498" i="1" s="1"/>
  <c r="M10498" i="1" s="1"/>
  <c r="AC10498" i="1" s="1"/>
  <c r="AC10499" i="1" s="1"/>
  <c r="AD10499" i="1" s="1"/>
  <c r="J10498" i="1"/>
  <c r="K10494" i="1"/>
  <c r="P10494" i="1" s="1"/>
  <c r="J10495" i="1"/>
  <c r="K10490" i="1"/>
  <c r="K10491" i="1" s="1"/>
  <c r="M10491" i="1" s="1"/>
  <c r="AC10491" i="1" s="1"/>
  <c r="AC10492" i="1" s="1"/>
  <c r="AD10492" i="1" s="1"/>
  <c r="J10491" i="1"/>
  <c r="K10487" i="1"/>
  <c r="K10488" i="1" s="1"/>
  <c r="M10488" i="1" s="1"/>
  <c r="AC10488" i="1" s="1"/>
  <c r="AC10489" i="1" s="1"/>
  <c r="AD10489" i="1" s="1"/>
  <c r="J10488" i="1"/>
  <c r="K10483" i="1"/>
  <c r="K10484" i="1" s="1"/>
  <c r="M10484" i="1" s="1"/>
  <c r="AC10484" i="1" s="1"/>
  <c r="AC10485" i="1" s="1"/>
  <c r="AD10485" i="1" s="1"/>
  <c r="J10484" i="1"/>
  <c r="K10479" i="1"/>
  <c r="K10480" i="1" s="1"/>
  <c r="M10480" i="1" s="1"/>
  <c r="AC10480" i="1" s="1"/>
  <c r="AC10481" i="1" s="1"/>
  <c r="AD10481" i="1" s="1"/>
  <c r="J10480" i="1"/>
  <c r="K10475" i="1"/>
  <c r="P10475" i="1" s="1"/>
  <c r="J10476" i="1"/>
  <c r="K10471" i="1"/>
  <c r="K10472" i="1" s="1"/>
  <c r="M10472" i="1" s="1"/>
  <c r="AC10472" i="1" s="1"/>
  <c r="AC10473" i="1" s="1"/>
  <c r="AD10473" i="1" s="1"/>
  <c r="J10472" i="1"/>
  <c r="K10467" i="1"/>
  <c r="P10467" i="1" s="1"/>
  <c r="J10468" i="1"/>
  <c r="K10447" i="1"/>
  <c r="P10447" i="1" s="1"/>
  <c r="J10464" i="1"/>
  <c r="J10457" i="1"/>
  <c r="J10448" i="1"/>
  <c r="K10428" i="1"/>
  <c r="M10428" i="1" s="1"/>
  <c r="J10445" i="1"/>
  <c r="J10438" i="1"/>
  <c r="J10429" i="1"/>
  <c r="K10407" i="1"/>
  <c r="M10407" i="1" s="1"/>
  <c r="J10408" i="1"/>
  <c r="J10425" i="1"/>
  <c r="J10417" i="1"/>
  <c r="K10387" i="1"/>
  <c r="P10387" i="1" s="1"/>
  <c r="J10388" i="1"/>
  <c r="J10405" i="1"/>
  <c r="J10397" i="1"/>
  <c r="K10367" i="1"/>
  <c r="M10367" i="1" s="1"/>
  <c r="J10385" i="1"/>
  <c r="J10368" i="1"/>
  <c r="J10377" i="1"/>
  <c r="K10347" i="1"/>
  <c r="P10347" i="1" s="1"/>
  <c r="J10348" i="1"/>
  <c r="J10365" i="1"/>
  <c r="J10357" i="1"/>
  <c r="K10312" i="1"/>
  <c r="P10312" i="1" s="1"/>
  <c r="J10313" i="1"/>
  <c r="K10307" i="1"/>
  <c r="K10308" i="1" s="1"/>
  <c r="M10308" i="1" s="1"/>
  <c r="AC10308" i="1" s="1"/>
  <c r="J10308" i="1"/>
  <c r="K10302" i="1"/>
  <c r="K10303" i="1" s="1"/>
  <c r="M10303" i="1" s="1"/>
  <c r="AC10303" i="1" s="1"/>
  <c r="J10303" i="1"/>
  <c r="K10297" i="1"/>
  <c r="P10297" i="1" s="1"/>
  <c r="J10298" i="1"/>
  <c r="K10292" i="1"/>
  <c r="K10293" i="1" s="1"/>
  <c r="M10293" i="1" s="1"/>
  <c r="AC10293" i="1" s="1"/>
  <c r="J10293" i="1"/>
  <c r="K10287" i="1"/>
  <c r="K10288" i="1" s="1"/>
  <c r="M10288" i="1" s="1"/>
  <c r="AC10288" i="1" s="1"/>
  <c r="J10288" i="1"/>
  <c r="K10282" i="1"/>
  <c r="K10283" i="1" s="1"/>
  <c r="M10283" i="1" s="1"/>
  <c r="AC10283" i="1" s="1"/>
  <c r="J10283" i="1"/>
  <c r="K10277" i="1"/>
  <c r="K10278" i="1" s="1"/>
  <c r="M10278" i="1" s="1"/>
  <c r="AC10278" i="1" s="1"/>
  <c r="J10278" i="1"/>
  <c r="J10251" i="1"/>
  <c r="J10247" i="1"/>
  <c r="J10244" i="1"/>
  <c r="J10254" i="1"/>
  <c r="K10258" i="1"/>
  <c r="P10258" i="1" s="1"/>
  <c r="J10263" i="1"/>
  <c r="J10259" i="1"/>
  <c r="J10266" i="1"/>
  <c r="J10273" i="1"/>
  <c r="J10270" i="1"/>
  <c r="K10239" i="1"/>
  <c r="J10240" i="1"/>
  <c r="K10233" i="1"/>
  <c r="K10236" i="1" s="1"/>
  <c r="M10236" i="1" s="1"/>
  <c r="AC10236" i="1" s="1"/>
  <c r="J10234" i="1"/>
  <c r="K10230" i="1"/>
  <c r="P10230" i="1" s="1"/>
  <c r="J10231" i="1"/>
  <c r="K10226" i="1"/>
  <c r="P10226" i="1" s="1"/>
  <c r="J10227" i="1"/>
  <c r="K10222" i="1"/>
  <c r="K10223" i="1" s="1"/>
  <c r="M10223" i="1" s="1"/>
  <c r="AC10223" i="1" s="1"/>
  <c r="J10223" i="1"/>
  <c r="K10218" i="1"/>
  <c r="K10219" i="1" s="1"/>
  <c r="M10219" i="1" s="1"/>
  <c r="AC10219" i="1" s="1"/>
  <c r="J10219" i="1"/>
  <c r="K10214" i="1"/>
  <c r="P10214" i="1" s="1"/>
  <c r="J10215" i="1"/>
  <c r="K10210" i="1"/>
  <c r="K10211" i="1" s="1"/>
  <c r="M10211" i="1" s="1"/>
  <c r="AC10211" i="1" s="1"/>
  <c r="J10211" i="1"/>
  <c r="K10206" i="1"/>
  <c r="K10207" i="1" s="1"/>
  <c r="M10207" i="1" s="1"/>
  <c r="AC10207" i="1" s="1"/>
  <c r="J10207" i="1"/>
  <c r="K10202" i="1"/>
  <c r="K10203" i="1" s="1"/>
  <c r="M10203" i="1" s="1"/>
  <c r="AC10203" i="1" s="1"/>
  <c r="J10203" i="1"/>
  <c r="K10198" i="1"/>
  <c r="K10199" i="1" s="1"/>
  <c r="M10199" i="1" s="1"/>
  <c r="AC10199" i="1" s="1"/>
  <c r="J10199" i="1"/>
  <c r="K10146" i="1"/>
  <c r="P10146" i="1" s="1"/>
  <c r="J10147" i="1"/>
  <c r="K10153" i="1"/>
  <c r="P10153" i="1" s="1"/>
  <c r="J10169" i="1"/>
  <c r="J10172" i="1"/>
  <c r="J10154" i="1"/>
  <c r="J10163" i="1"/>
  <c r="K10179" i="1"/>
  <c r="P10179" i="1" s="1"/>
  <c r="J10188" i="1"/>
  <c r="J10182" i="1"/>
  <c r="J10180" i="1"/>
  <c r="J10191" i="1"/>
  <c r="K10127" i="1"/>
  <c r="P10127" i="1" s="1"/>
  <c r="J10128" i="1"/>
  <c r="J10135" i="1"/>
  <c r="K10108" i="1"/>
  <c r="P10108" i="1" s="1"/>
  <c r="J10109" i="1"/>
  <c r="J10116" i="1"/>
  <c r="K10089" i="1"/>
  <c r="P10089" i="1" s="1"/>
  <c r="J10090" i="1"/>
  <c r="J10097" i="1"/>
  <c r="K10070" i="1"/>
  <c r="P10070" i="1" s="1"/>
  <c r="J10071" i="1"/>
  <c r="J10078" i="1"/>
  <c r="K10067" i="1"/>
  <c r="P10067" i="1" s="1"/>
  <c r="J10068" i="1"/>
  <c r="J10025" i="1"/>
  <c r="J10033" i="1"/>
  <c r="J10028" i="1"/>
  <c r="K10038" i="1"/>
  <c r="P10038" i="1" s="1"/>
  <c r="J10049" i="1"/>
  <c r="J10044" i="1"/>
  <c r="J10061" i="1"/>
  <c r="J10039" i="1"/>
  <c r="J10052" i="1"/>
  <c r="J10058" i="1"/>
  <c r="J10016" i="1"/>
  <c r="J10019" i="1"/>
  <c r="K10010" i="1"/>
  <c r="J10011" i="1"/>
  <c r="K9990" i="1"/>
  <c r="P9990" i="1" s="1"/>
  <c r="J10000" i="1"/>
  <c r="J9993" i="1"/>
  <c r="J9991" i="1"/>
  <c r="J10003" i="1"/>
  <c r="K9987" i="1"/>
  <c r="P9987" i="1" s="1"/>
  <c r="J9988" i="1"/>
  <c r="K9984" i="1"/>
  <c r="K9985" i="1" s="1"/>
  <c r="M9985" i="1" s="1"/>
  <c r="AC9985" i="1" s="1"/>
  <c r="AC9986" i="1" s="1"/>
  <c r="AD9986" i="1" s="1"/>
  <c r="J9985" i="1"/>
  <c r="K9965" i="1"/>
  <c r="P9965" i="1" s="1"/>
  <c r="J9966" i="1"/>
  <c r="J9968" i="1"/>
  <c r="J9974" i="1"/>
  <c r="J9977" i="1"/>
  <c r="K9932" i="1"/>
  <c r="K9933" i="1" s="1"/>
  <c r="M9933" i="1" s="1"/>
  <c r="AC9933" i="1" s="1"/>
  <c r="J9933" i="1"/>
  <c r="K9939" i="1"/>
  <c r="P9939" i="1" s="1"/>
  <c r="J9955" i="1"/>
  <c r="J9940" i="1"/>
  <c r="J9949" i="1"/>
  <c r="J9958" i="1"/>
  <c r="K9926" i="1"/>
  <c r="K9927" i="1" s="1"/>
  <c r="M9927" i="1" s="1"/>
  <c r="AC9927" i="1" s="1"/>
  <c r="J9927" i="1"/>
  <c r="K9917" i="1"/>
  <c r="K9918" i="1" s="1"/>
  <c r="M9918" i="1" s="1"/>
  <c r="AC9918" i="1" s="1"/>
  <c r="J9918" i="1"/>
  <c r="K9885" i="1"/>
  <c r="P9885" i="1" s="1"/>
  <c r="J9903" i="1"/>
  <c r="J9886" i="1"/>
  <c r="J9906" i="1"/>
  <c r="J9891" i="1"/>
  <c r="K9882" i="1"/>
  <c r="K9883" i="1" s="1"/>
  <c r="M9883" i="1" s="1"/>
  <c r="AC9883" i="1" s="1"/>
  <c r="AC9884" i="1" s="1"/>
  <c r="AD9884" i="1" s="1"/>
  <c r="AD9883" i="1" s="1"/>
  <c r="AD9882" i="1" s="1"/>
  <c r="J9883" i="1"/>
  <c r="K9873" i="1"/>
  <c r="P9873" i="1" s="1"/>
  <c r="J9874" i="1"/>
  <c r="K9859" i="1"/>
  <c r="K9860" i="1" s="1"/>
  <c r="J9860" i="1"/>
  <c r="K9866" i="1"/>
  <c r="P9866" i="1" s="1"/>
  <c r="J9867" i="1"/>
  <c r="K9850" i="1"/>
  <c r="P9850" i="1" s="1"/>
  <c r="K9739" i="1"/>
  <c r="K9740" i="1" s="1"/>
  <c r="M9740" i="1" s="1"/>
  <c r="AC9740" i="1" s="1"/>
  <c r="J9740" i="1"/>
  <c r="K9729" i="1"/>
  <c r="K9730" i="1" s="1"/>
  <c r="M9730" i="1" s="1"/>
  <c r="AC9730" i="1" s="1"/>
  <c r="J9730" i="1"/>
  <c r="K9728" i="1"/>
  <c r="P9728" i="1" s="1"/>
  <c r="K9719" i="1"/>
  <c r="K9720" i="1" s="1"/>
  <c r="M9720" i="1" s="1"/>
  <c r="AC9720" i="1" s="1"/>
  <c r="J9720" i="1"/>
  <c r="K9710" i="1"/>
  <c r="K9711" i="1" s="1"/>
  <c r="M9711" i="1" s="1"/>
  <c r="AC9711" i="1" s="1"/>
  <c r="J9711" i="1"/>
  <c r="K9676" i="1"/>
  <c r="M9676" i="1" s="1"/>
  <c r="J9677" i="1"/>
  <c r="J9682" i="1"/>
  <c r="J9697" i="1"/>
  <c r="J9694" i="1"/>
  <c r="K9643" i="1"/>
  <c r="P9643" i="1" s="1"/>
  <c r="J9664" i="1"/>
  <c r="J9661" i="1"/>
  <c r="J9644" i="1"/>
  <c r="J9649" i="1"/>
  <c r="K9610" i="1"/>
  <c r="P9610" i="1" s="1"/>
  <c r="J9628" i="1"/>
  <c r="J9631" i="1"/>
  <c r="J9611" i="1"/>
  <c r="J9616" i="1"/>
  <c r="K9581" i="1"/>
  <c r="M9581" i="1" s="1"/>
  <c r="J9597" i="1"/>
  <c r="J9582" i="1"/>
  <c r="J9600" i="1"/>
  <c r="J9587" i="1"/>
  <c r="K9549" i="1"/>
  <c r="P9549" i="1" s="1"/>
  <c r="J9565" i="1"/>
  <c r="J9555" i="1"/>
  <c r="J9550" i="1"/>
  <c r="J9568" i="1"/>
  <c r="K9520" i="1"/>
  <c r="P9520" i="1" s="1"/>
  <c r="J9536" i="1"/>
  <c r="J9526" i="1"/>
  <c r="J9521" i="1"/>
  <c r="J9539" i="1"/>
  <c r="K9491" i="1"/>
  <c r="M9491" i="1" s="1"/>
  <c r="J9510" i="1"/>
  <c r="J9507" i="1"/>
  <c r="J9497" i="1"/>
  <c r="J9492" i="1"/>
  <c r="K9462" i="1"/>
  <c r="P9462" i="1" s="1"/>
  <c r="J9478" i="1"/>
  <c r="J9481" i="1"/>
  <c r="J9463" i="1"/>
  <c r="J9468" i="1"/>
  <c r="K9433" i="1"/>
  <c r="P9433" i="1" s="1"/>
  <c r="J9434" i="1"/>
  <c r="J9452" i="1"/>
  <c r="J9439" i="1"/>
  <c r="J9449" i="1"/>
  <c r="K9404" i="1"/>
  <c r="M9404" i="1" s="1"/>
  <c r="J9420" i="1"/>
  <c r="J9410" i="1"/>
  <c r="J9405" i="1"/>
  <c r="J9423" i="1"/>
  <c r="K9374" i="1"/>
  <c r="M9374" i="1" s="1"/>
  <c r="J9393" i="1"/>
  <c r="J9380" i="1"/>
  <c r="J9390" i="1"/>
  <c r="J9375" i="1"/>
  <c r="K9345" i="1"/>
  <c r="P9345" i="1" s="1"/>
  <c r="J9361" i="1"/>
  <c r="J9351" i="1"/>
  <c r="J9364" i="1"/>
  <c r="J9346" i="1"/>
  <c r="K9316" i="1"/>
  <c r="P9316" i="1" s="1"/>
  <c r="J9332" i="1"/>
  <c r="J9317" i="1"/>
  <c r="J9322" i="1"/>
  <c r="J9335" i="1"/>
  <c r="K9287" i="1"/>
  <c r="P9287" i="1" s="1"/>
  <c r="J9303" i="1"/>
  <c r="J9306" i="1"/>
  <c r="J9288" i="1"/>
  <c r="J9293" i="1"/>
  <c r="K9258" i="1"/>
  <c r="M9258" i="1" s="1"/>
  <c r="N9258" i="1" s="1"/>
  <c r="J9274" i="1"/>
  <c r="J9277" i="1"/>
  <c r="J9264" i="1"/>
  <c r="J9259" i="1"/>
  <c r="K9229" i="1"/>
  <c r="P9229" i="1" s="1"/>
  <c r="J9245" i="1"/>
  <c r="J9248" i="1"/>
  <c r="J9230" i="1"/>
  <c r="J9235" i="1"/>
  <c r="K9200" i="1"/>
  <c r="P9200" i="1" s="1"/>
  <c r="J9216" i="1"/>
  <c r="J9201" i="1"/>
  <c r="J9219" i="1"/>
  <c r="J9206" i="1"/>
  <c r="K6927" i="1"/>
  <c r="P6927" i="1" s="1"/>
  <c r="J6928" i="1"/>
  <c r="J6935" i="1"/>
  <c r="K6723" i="1"/>
  <c r="K6724" i="1" s="1"/>
  <c r="M6724" i="1" s="1"/>
  <c r="AC6724" i="1" s="1"/>
  <c r="AC6725" i="1" s="1"/>
  <c r="AD6725" i="1" s="1"/>
  <c r="J6724" i="1"/>
  <c r="K6718" i="1"/>
  <c r="K6719" i="1" s="1"/>
  <c r="M6719" i="1" s="1"/>
  <c r="AC6719" i="1" s="1"/>
  <c r="AC6720" i="1" s="1"/>
  <c r="AD6720" i="1" s="1"/>
  <c r="J6719" i="1"/>
  <c r="K6697" i="1"/>
  <c r="P6697" i="1" s="1"/>
  <c r="J6698" i="1"/>
  <c r="J6705" i="1"/>
  <c r="K6493" i="1"/>
  <c r="K6494" i="1" s="1"/>
  <c r="M6494" i="1" s="1"/>
  <c r="AC6494" i="1" s="1"/>
  <c r="AC6495" i="1" s="1"/>
  <c r="AD6495" i="1" s="1"/>
  <c r="J6494" i="1"/>
  <c r="K6469" i="1"/>
  <c r="P6469" i="1" s="1"/>
  <c r="J6470" i="1"/>
  <c r="J6477" i="1"/>
  <c r="K10317" i="1"/>
  <c r="M10317" i="1" s="1"/>
  <c r="J10318" i="1"/>
  <c r="J10325" i="1"/>
  <c r="K6458" i="1"/>
  <c r="P6458" i="1" s="1"/>
  <c r="J6459" i="1"/>
  <c r="J6462" i="1"/>
  <c r="J6464" i="1"/>
  <c r="K6686" i="1"/>
  <c r="P6686" i="1" s="1"/>
  <c r="J6690" i="1"/>
  <c r="J6687" i="1"/>
  <c r="J6692" i="1"/>
  <c r="K6916" i="1"/>
  <c r="K6917" i="1" s="1"/>
  <c r="M6917" i="1" s="1"/>
  <c r="AC6917" i="1" s="1"/>
  <c r="J6920" i="1"/>
  <c r="J6917" i="1"/>
  <c r="J6922" i="1"/>
  <c r="K6424" i="1"/>
  <c r="K6425" i="1" s="1"/>
  <c r="M6425" i="1" s="1"/>
  <c r="AC6425" i="1" s="1"/>
  <c r="AC6426" i="1" s="1"/>
  <c r="AD6426" i="1" s="1"/>
  <c r="J6425" i="1"/>
  <c r="K6653" i="1"/>
  <c r="K6654" i="1" s="1"/>
  <c r="M6654" i="1" s="1"/>
  <c r="AC6654" i="1" s="1"/>
  <c r="AC6655" i="1" s="1"/>
  <c r="AD6655" i="1" s="1"/>
  <c r="J6654" i="1"/>
  <c r="K6882" i="1"/>
  <c r="K6883" i="1" s="1"/>
  <c r="M6883" i="1" s="1"/>
  <c r="AC6883" i="1" s="1"/>
  <c r="AC6884" i="1" s="1"/>
  <c r="AD6884" i="1" s="1"/>
  <c r="J6883" i="1"/>
  <c r="K6421" i="1"/>
  <c r="K6422" i="1" s="1"/>
  <c r="M6422" i="1" s="1"/>
  <c r="AC6422" i="1" s="1"/>
  <c r="AC6423" i="1" s="1"/>
  <c r="AD6423" i="1" s="1"/>
  <c r="J6422" i="1"/>
  <c r="K6650" i="1"/>
  <c r="P6650" i="1" s="1"/>
  <c r="J6651" i="1"/>
  <c r="K6879" i="1"/>
  <c r="K6880" i="1" s="1"/>
  <c r="M6880" i="1" s="1"/>
  <c r="AC6880" i="1" s="1"/>
  <c r="AC6881" i="1" s="1"/>
  <c r="AD6881" i="1" s="1"/>
  <c r="J6880" i="1"/>
  <c r="K6747" i="1"/>
  <c r="K6748" i="1" s="1"/>
  <c r="M6748" i="1" s="1"/>
  <c r="AC6748" i="1" s="1"/>
  <c r="AC6749" i="1" s="1"/>
  <c r="AD6749" i="1" s="1"/>
  <c r="J6748" i="1"/>
  <c r="K6511" i="1"/>
  <c r="P6511" i="1" s="1"/>
  <c r="J6512" i="1"/>
  <c r="K6741" i="1"/>
  <c r="K6742" i="1" s="1"/>
  <c r="M6742" i="1" s="1"/>
  <c r="AC6742" i="1" s="1"/>
  <c r="AC6743" i="1" s="1"/>
  <c r="AD6743" i="1" s="1"/>
  <c r="J6742" i="1"/>
  <c r="K6395" i="1"/>
  <c r="P6395" i="1" s="1"/>
  <c r="J6409" i="1"/>
  <c r="J6403" i="1"/>
  <c r="J6396" i="1"/>
  <c r="K6624" i="1"/>
  <c r="M6624" i="1" s="1"/>
  <c r="J6638" i="1"/>
  <c r="J6632" i="1"/>
  <c r="J6625" i="1"/>
  <c r="K6853" i="1"/>
  <c r="P6853" i="1" s="1"/>
  <c r="J6867" i="1"/>
  <c r="J6861" i="1"/>
  <c r="J6854" i="1"/>
  <c r="K6370" i="1"/>
  <c r="P6370" i="1" s="1"/>
  <c r="J6384" i="1"/>
  <c r="J6378" i="1"/>
  <c r="J6371" i="1"/>
  <c r="K6599" i="1"/>
  <c r="M6599" i="1" s="1"/>
  <c r="J6613" i="1"/>
  <c r="J6607" i="1"/>
  <c r="J6600" i="1"/>
  <c r="K6828" i="1"/>
  <c r="P6828" i="1" s="1"/>
  <c r="J6842" i="1"/>
  <c r="J6836" i="1"/>
  <c r="J6829" i="1"/>
  <c r="K6345" i="1"/>
  <c r="P6345" i="1" s="1"/>
  <c r="J6359" i="1"/>
  <c r="J6353" i="1"/>
  <c r="J6346" i="1"/>
  <c r="K6574" i="1"/>
  <c r="P6574" i="1" s="1"/>
  <c r="J6588" i="1"/>
  <c r="J6582" i="1"/>
  <c r="J6575" i="1"/>
  <c r="K6803" i="1"/>
  <c r="M6803" i="1" s="1"/>
  <c r="J6817" i="1"/>
  <c r="J6811" i="1"/>
  <c r="J6804" i="1"/>
  <c r="K6340" i="1"/>
  <c r="K6341" i="1" s="1"/>
  <c r="M6341" i="1" s="1"/>
  <c r="AC6341" i="1" s="1"/>
  <c r="AC6342" i="1" s="1"/>
  <c r="AD6342" i="1" s="1"/>
  <c r="J6341" i="1"/>
  <c r="K6798" i="1"/>
  <c r="K6799" i="1" s="1"/>
  <c r="M6799" i="1" s="1"/>
  <c r="AC6799" i="1" s="1"/>
  <c r="AC6800" i="1" s="1"/>
  <c r="AD6800" i="1" s="1"/>
  <c r="J6799" i="1"/>
  <c r="K6568" i="1"/>
  <c r="P6568" i="1" s="1"/>
  <c r="J6569" i="1"/>
  <c r="K6793" i="1"/>
  <c r="K6794" i="1" s="1"/>
  <c r="M6794" i="1" s="1"/>
  <c r="AC6794" i="1" s="1"/>
  <c r="AC6795" i="1" s="1"/>
  <c r="AD6795" i="1" s="1"/>
  <c r="J6794" i="1"/>
  <c r="K6563" i="1"/>
  <c r="K6564" i="1" s="1"/>
  <c r="M6564" i="1" s="1"/>
  <c r="AC6564" i="1" s="1"/>
  <c r="AC6565" i="1" s="1"/>
  <c r="AD6565" i="1" s="1"/>
  <c r="J6564" i="1"/>
  <c r="K6335" i="1"/>
  <c r="K6336" i="1" s="1"/>
  <c r="M6336" i="1" s="1"/>
  <c r="AC6336" i="1" s="1"/>
  <c r="AC6337" i="1" s="1"/>
  <c r="AD6337" i="1" s="1"/>
  <c r="J6336" i="1"/>
  <c r="K6790" i="1"/>
  <c r="K6791" i="1" s="1"/>
  <c r="M6791" i="1" s="1"/>
  <c r="AC6791" i="1" s="1"/>
  <c r="AC6792" i="1" s="1"/>
  <c r="AD6792" i="1" s="1"/>
  <c r="J6791" i="1"/>
  <c r="K6560" i="1"/>
  <c r="K6561" i="1" s="1"/>
  <c r="M6561" i="1" s="1"/>
  <c r="AC6561" i="1" s="1"/>
  <c r="AC6562" i="1" s="1"/>
  <c r="AD6562" i="1" s="1"/>
  <c r="J6561" i="1"/>
  <c r="K6332" i="1"/>
  <c r="P6332" i="1" s="1"/>
  <c r="J6333" i="1"/>
  <c r="K6315" i="1"/>
  <c r="P6315" i="1" s="1"/>
  <c r="J6316" i="1"/>
  <c r="J6321" i="1"/>
  <c r="J6328" i="1"/>
  <c r="K6543" i="1"/>
  <c r="M6543" i="1" s="1"/>
  <c r="J6544" i="1"/>
  <c r="J6556" i="1"/>
  <c r="J6549" i="1"/>
  <c r="K6773" i="1"/>
  <c r="P6773" i="1" s="1"/>
  <c r="J6774" i="1"/>
  <c r="J6779" i="1"/>
  <c r="J6786" i="1"/>
  <c r="K6764" i="1"/>
  <c r="K6765" i="1" s="1"/>
  <c r="M6765" i="1" s="1"/>
  <c r="AC6765" i="1" s="1"/>
  <c r="J6765" i="1"/>
  <c r="K6534" i="1"/>
  <c r="K6535" i="1" s="1"/>
  <c r="M6535" i="1" s="1"/>
  <c r="AC6535" i="1" s="1"/>
  <c r="J6535" i="1"/>
  <c r="K6306" i="1"/>
  <c r="P6306" i="1" s="1"/>
  <c r="J6307" i="1"/>
  <c r="K6760" i="1"/>
  <c r="P6760" i="1" s="1"/>
  <c r="J6761" i="1"/>
  <c r="K6302" i="1"/>
  <c r="K6303" i="1" s="1"/>
  <c r="M6303" i="1" s="1"/>
  <c r="AC6303" i="1" s="1"/>
  <c r="AC6304" i="1" s="1"/>
  <c r="AD6304" i="1" s="1"/>
  <c r="J6303" i="1"/>
  <c r="K6530" i="1"/>
  <c r="K6531" i="1" s="1"/>
  <c r="M6531" i="1" s="1"/>
  <c r="AC6531" i="1" s="1"/>
  <c r="AC6532" i="1" s="1"/>
  <c r="AD6532" i="1" s="1"/>
  <c r="J6531" i="1"/>
  <c r="K6754" i="1"/>
  <c r="K6755" i="1" s="1"/>
  <c r="M6755" i="1" s="1"/>
  <c r="AC6755" i="1" s="1"/>
  <c r="AC6756" i="1" s="1"/>
  <c r="AD6756" i="1" s="1"/>
  <c r="J6755" i="1"/>
  <c r="K6525" i="1"/>
  <c r="P6525" i="1" s="1"/>
  <c r="J6526" i="1"/>
  <c r="K6296" i="1"/>
  <c r="P6296" i="1" s="1"/>
  <c r="J6297" i="1"/>
  <c r="K6514" i="1"/>
  <c r="K6515" i="1" s="1"/>
  <c r="M6515" i="1" s="1"/>
  <c r="AC6515" i="1" s="1"/>
  <c r="J6515" i="1"/>
  <c r="K6734" i="1"/>
  <c r="K6735" i="1" s="1"/>
  <c r="M6735" i="1" s="1"/>
  <c r="AC6735" i="1" s="1"/>
  <c r="AC6736" i="1" s="1"/>
  <c r="AD6736" i="1" s="1"/>
  <c r="J6735" i="1"/>
  <c r="K6505" i="1"/>
  <c r="P6505" i="1" s="1"/>
  <c r="J6506" i="1"/>
  <c r="K6729" i="1"/>
  <c r="K6730" i="1" s="1"/>
  <c r="M6730" i="1" s="1"/>
  <c r="AC6730" i="1" s="1"/>
  <c r="AC6731" i="1" s="1"/>
  <c r="AD6731" i="1" s="1"/>
  <c r="J6730" i="1"/>
  <c r="K6499" i="1"/>
  <c r="K6500" i="1" s="1"/>
  <c r="M6500" i="1" s="1"/>
  <c r="AC6500" i="1" s="1"/>
  <c r="AC6501" i="1" s="1"/>
  <c r="AD6501" i="1" s="1"/>
  <c r="J6500" i="1"/>
  <c r="K6496" i="1"/>
  <c r="K6497" i="1" s="1"/>
  <c r="M6497" i="1" s="1"/>
  <c r="AC6497" i="1" s="1"/>
  <c r="AC6498" i="1" s="1"/>
  <c r="AD6498" i="1" s="1"/>
  <c r="J6497" i="1"/>
  <c r="K6726" i="1"/>
  <c r="K6727" i="1" s="1"/>
  <c r="M6727" i="1" s="1"/>
  <c r="AC6727" i="1" s="1"/>
  <c r="AC6728" i="1" s="1"/>
  <c r="AD6728" i="1" s="1"/>
  <c r="J6727" i="1"/>
  <c r="K6737" i="1"/>
  <c r="K6738" i="1" s="1"/>
  <c r="M6738" i="1" s="1"/>
  <c r="AC6738" i="1" s="1"/>
  <c r="AC6739" i="1" s="1"/>
  <c r="AD6739" i="1" s="1"/>
  <c r="J6738" i="1"/>
  <c r="K6751" i="1"/>
  <c r="K6752" i="1" s="1"/>
  <c r="M6752" i="1" s="1"/>
  <c r="AC6752" i="1" s="1"/>
  <c r="AC6753" i="1" s="1"/>
  <c r="AD6753" i="1" s="1"/>
  <c r="J6752" i="1"/>
  <c r="K6522" i="1"/>
  <c r="K6523" i="1" s="1"/>
  <c r="M6523" i="1" s="1"/>
  <c r="AC6523" i="1" s="1"/>
  <c r="AC6524" i="1" s="1"/>
  <c r="AD6524" i="1" s="1"/>
  <c r="J6523" i="1"/>
  <c r="K6293" i="1"/>
  <c r="K6294" i="1" s="1"/>
  <c r="M6294" i="1" s="1"/>
  <c r="AC6294" i="1" s="1"/>
  <c r="AC6295" i="1" s="1"/>
  <c r="AD6295" i="1" s="1"/>
  <c r="J6294" i="1"/>
  <c r="K6289" i="1"/>
  <c r="K6290" i="1" s="1"/>
  <c r="M6290" i="1" s="1"/>
  <c r="AC6290" i="1" s="1"/>
  <c r="AC6291" i="1" s="1"/>
  <c r="AD6291" i="1" s="1"/>
  <c r="J6290" i="1"/>
  <c r="K6283" i="1"/>
  <c r="K6284" i="1" s="1"/>
  <c r="M6284" i="1" s="1"/>
  <c r="AC6284" i="1" s="1"/>
  <c r="AC6285" i="1" s="1"/>
  <c r="AD6285" i="1" s="1"/>
  <c r="J6284" i="1"/>
  <c r="K6276" i="1"/>
  <c r="K6277" i="1" s="1"/>
  <c r="M6277" i="1" s="1"/>
  <c r="AC6277" i="1" s="1"/>
  <c r="AC6278" i="1" s="1"/>
  <c r="AD6278" i="1" s="1"/>
  <c r="J6277" i="1"/>
  <c r="K6273" i="1"/>
  <c r="K6274" i="1" s="1"/>
  <c r="M6274" i="1" s="1"/>
  <c r="AC6274" i="1" s="1"/>
  <c r="AC6275" i="1" s="1"/>
  <c r="AD6275" i="1" s="1"/>
  <c r="J6274" i="1"/>
  <c r="K6270" i="1"/>
  <c r="K6271" i="1" s="1"/>
  <c r="M6271" i="1" s="1"/>
  <c r="AC6271" i="1" s="1"/>
  <c r="AC6272" i="1" s="1"/>
  <c r="AD6272" i="1" s="1"/>
  <c r="J6271" i="1"/>
  <c r="J6236" i="1"/>
  <c r="J6241" i="1"/>
  <c r="J6239" i="1"/>
  <c r="K6235" i="1"/>
  <c r="K6236" i="1" s="1"/>
  <c r="M6236" i="1" s="1"/>
  <c r="AC6236" i="1" s="1"/>
  <c r="AC6237" i="1" s="1"/>
  <c r="AD6237" i="1" s="1"/>
  <c r="AB6237" i="1" s="1"/>
  <c r="K6901" i="1"/>
  <c r="P6901" i="1" s="1"/>
  <c r="J6902" i="1"/>
  <c r="J6909" i="1"/>
  <c r="K6888" i="1"/>
  <c r="P6888" i="1" s="1"/>
  <c r="J6896" i="1"/>
  <c r="J6889" i="1"/>
  <c r="K6671" i="1"/>
  <c r="P6671" i="1" s="1"/>
  <c r="J6679" i="1"/>
  <c r="J6672" i="1"/>
  <c r="K6658" i="1"/>
  <c r="P6658" i="1" s="1"/>
  <c r="J6659" i="1"/>
  <c r="J6666" i="1"/>
  <c r="K6443" i="1"/>
  <c r="P6443" i="1" s="1"/>
  <c r="J6444" i="1"/>
  <c r="J6451" i="1"/>
  <c r="K6430" i="1"/>
  <c r="M6430" i="1" s="1"/>
  <c r="J6431" i="1"/>
  <c r="J6438" i="1"/>
  <c r="K6220" i="1"/>
  <c r="M6220" i="1" s="1"/>
  <c r="J6221" i="1"/>
  <c r="J6228" i="1"/>
  <c r="K6207" i="1"/>
  <c r="M6207" i="1" s="1"/>
  <c r="J6208" i="1"/>
  <c r="K6173" i="1"/>
  <c r="P6173" i="1" s="1"/>
  <c r="J6187" i="1"/>
  <c r="J6181" i="1"/>
  <c r="J6174" i="1"/>
  <c r="K6148" i="1"/>
  <c r="P6148" i="1" s="1"/>
  <c r="J6162" i="1"/>
  <c r="J6156" i="1"/>
  <c r="J6149" i="1"/>
  <c r="K6123" i="1"/>
  <c r="M6123" i="1" s="1"/>
  <c r="AC6123" i="1" s="1"/>
  <c r="J6137" i="1"/>
  <c r="J6131" i="1"/>
  <c r="J6124" i="1"/>
  <c r="K6245" i="1"/>
  <c r="P6245" i="1" s="1"/>
  <c r="J6246" i="1"/>
  <c r="J6253" i="1"/>
  <c r="K6202" i="1"/>
  <c r="K6203" i="1" s="1"/>
  <c r="M6203" i="1" s="1"/>
  <c r="AC6203" i="1" s="1"/>
  <c r="AC6204" i="1" s="1"/>
  <c r="AD6204" i="1" s="1"/>
  <c r="J6203" i="1"/>
  <c r="K6199" i="1"/>
  <c r="P6199" i="1" s="1"/>
  <c r="J6200" i="1"/>
  <c r="K6118" i="1"/>
  <c r="K6119" i="1" s="1"/>
  <c r="M6119" i="1" s="1"/>
  <c r="AC6119" i="1" s="1"/>
  <c r="AC6120" i="1" s="1"/>
  <c r="AD6120" i="1" s="1"/>
  <c r="J6119" i="1"/>
  <c r="K6112" i="1"/>
  <c r="K6113" i="1" s="1"/>
  <c r="M6113" i="1" s="1"/>
  <c r="AC6113" i="1" s="1"/>
  <c r="AC6114" i="1" s="1"/>
  <c r="AD6114" i="1" s="1"/>
  <c r="J6113" i="1"/>
  <c r="K6109" i="1"/>
  <c r="K6110" i="1" s="1"/>
  <c r="M6110" i="1" s="1"/>
  <c r="AC6110" i="1" s="1"/>
  <c r="AC6111" i="1" s="1"/>
  <c r="AD6111" i="1" s="1"/>
  <c r="J6110" i="1"/>
  <c r="K6092" i="1"/>
  <c r="M6092" i="1" s="1"/>
  <c r="N6092" i="1" s="1"/>
  <c r="J6105" i="1"/>
  <c r="J6093" i="1"/>
  <c r="J6098" i="1"/>
  <c r="K6083" i="1"/>
  <c r="K6084" i="1" s="1"/>
  <c r="M6084" i="1" s="1"/>
  <c r="AC6084" i="1" s="1"/>
  <c r="AC6087" i="1" s="1"/>
  <c r="J6084" i="1"/>
  <c r="K6079" i="1"/>
  <c r="P6079" i="1" s="1"/>
  <c r="J6080" i="1"/>
  <c r="K6074" i="1"/>
  <c r="P6074" i="1" s="1"/>
  <c r="J6075" i="1"/>
  <c r="K6071" i="1"/>
  <c r="K6072" i="1" s="1"/>
  <c r="M6072" i="1" s="1"/>
  <c r="AC6072" i="1" s="1"/>
  <c r="AC6073" i="1" s="1"/>
  <c r="AD6073" i="1" s="1"/>
  <c r="J6072" i="1"/>
  <c r="K6068" i="1"/>
  <c r="K6069" i="1" s="1"/>
  <c r="M6069" i="1" s="1"/>
  <c r="AC6069" i="1" s="1"/>
  <c r="AC6070" i="1" s="1"/>
  <c r="AD6070" i="1" s="1"/>
  <c r="J6069" i="1"/>
  <c r="K6062" i="1"/>
  <c r="K6063" i="1" s="1"/>
  <c r="M6063" i="1" s="1"/>
  <c r="AC6063" i="1" s="1"/>
  <c r="J6063" i="1"/>
  <c r="K6059" i="1"/>
  <c r="K6060" i="1" s="1"/>
  <c r="M6060" i="1" s="1"/>
  <c r="AC6060" i="1" s="1"/>
  <c r="AC6061" i="1" s="1"/>
  <c r="AD6061" i="1" s="1"/>
  <c r="J6060" i="1"/>
  <c r="K6053" i="1"/>
  <c r="P6053" i="1" s="1"/>
  <c r="J6054" i="1"/>
  <c r="K6049" i="1"/>
  <c r="P6049" i="1" s="1"/>
  <c r="J6050" i="1"/>
  <c r="K6043" i="1"/>
  <c r="P6043" i="1" s="1"/>
  <c r="J6044" i="1"/>
  <c r="K6040" i="1"/>
  <c r="K6041" i="1" s="1"/>
  <c r="M6041" i="1" s="1"/>
  <c r="AC6041" i="1" s="1"/>
  <c r="AC6042" i="1" s="1"/>
  <c r="AD6042" i="1" s="1"/>
  <c r="J6041" i="1"/>
  <c r="K6037" i="1"/>
  <c r="P6037" i="1" s="1"/>
  <c r="J6038" i="1"/>
  <c r="K6034" i="1"/>
  <c r="K6035" i="1" s="1"/>
  <c r="M6035" i="1" s="1"/>
  <c r="AC6035" i="1" s="1"/>
  <c r="AC6036" i="1" s="1"/>
  <c r="AD6036" i="1" s="1"/>
  <c r="AD6035" i="1" s="1"/>
  <c r="AD6034" i="1" s="1"/>
  <c r="J6035" i="1"/>
  <c r="K6028" i="1"/>
  <c r="P6028" i="1" s="1"/>
  <c r="J6029" i="1"/>
  <c r="K6023" i="1"/>
  <c r="K6024" i="1" s="1"/>
  <c r="M6024" i="1" s="1"/>
  <c r="AC6024" i="1" s="1"/>
  <c r="J6024" i="1"/>
  <c r="K6018" i="1"/>
  <c r="K6019" i="1" s="1"/>
  <c r="M6019" i="1" s="1"/>
  <c r="AC6019" i="1" s="1"/>
  <c r="J6019" i="1"/>
  <c r="K6007" i="1"/>
  <c r="K6008" i="1" s="1"/>
  <c r="M6008" i="1" s="1"/>
  <c r="AC6008" i="1" s="1"/>
  <c r="J6008" i="1"/>
  <c r="K5998" i="1"/>
  <c r="K5999" i="1" s="1"/>
  <c r="M5999" i="1" s="1"/>
  <c r="AC5999" i="1" s="1"/>
  <c r="J5999" i="1"/>
  <c r="K5989" i="1"/>
  <c r="K5990" i="1" s="1"/>
  <c r="M5990" i="1" s="1"/>
  <c r="AC5990" i="1" s="1"/>
  <c r="J5990" i="1"/>
  <c r="K5980" i="1"/>
  <c r="K5981" i="1" s="1"/>
  <c r="M5981" i="1" s="1"/>
  <c r="AC5981" i="1" s="1"/>
  <c r="J5981" i="1"/>
  <c r="K5970" i="1"/>
  <c r="K5971" i="1" s="1"/>
  <c r="M5971" i="1" s="1"/>
  <c r="AC5971" i="1" s="1"/>
  <c r="J5971" i="1"/>
  <c r="K5961" i="1"/>
  <c r="K5962" i="1" s="1"/>
  <c r="M5962" i="1" s="1"/>
  <c r="AC5962" i="1" s="1"/>
  <c r="J5962" i="1"/>
  <c r="K5952" i="1"/>
  <c r="K5953" i="1" s="1"/>
  <c r="M5953" i="1" s="1"/>
  <c r="AC5953" i="1" s="1"/>
  <c r="J5953" i="1"/>
  <c r="K5943" i="1"/>
  <c r="K5944" i="1" s="1"/>
  <c r="M5944" i="1" s="1"/>
  <c r="AC5944" i="1" s="1"/>
  <c r="AC5945" i="1" s="1"/>
  <c r="AD5945" i="1" s="1"/>
  <c r="K5889" i="1"/>
  <c r="M5889" i="1" s="1"/>
  <c r="N5889" i="1" s="1"/>
  <c r="J5902" i="1"/>
  <c r="J5895" i="1"/>
  <c r="J5890" i="1"/>
  <c r="J5910" i="1"/>
  <c r="K5920" i="1"/>
  <c r="P5920" i="1" s="1"/>
  <c r="J5926" i="1"/>
  <c r="J5921" i="1"/>
  <c r="K5868" i="1"/>
  <c r="P5868" i="1" s="1"/>
  <c r="J5869" i="1"/>
  <c r="K5838" i="1"/>
  <c r="M5838" i="1" s="1"/>
  <c r="J5851" i="1"/>
  <c r="J5844" i="1"/>
  <c r="J5839" i="1"/>
  <c r="J5858" i="1"/>
  <c r="K5808" i="1"/>
  <c r="P5808" i="1" s="1"/>
  <c r="J5821" i="1"/>
  <c r="J5814" i="1"/>
  <c r="J5828" i="1"/>
  <c r="J5809" i="1"/>
  <c r="K5774" i="1"/>
  <c r="P5774" i="1" s="1"/>
  <c r="J5787" i="1"/>
  <c r="J5795" i="1"/>
  <c r="J5775" i="1"/>
  <c r="J5780" i="1"/>
  <c r="K5732" i="1"/>
  <c r="P5732" i="1" s="1"/>
  <c r="J5745" i="1"/>
  <c r="J5738" i="1"/>
  <c r="J5752" i="1"/>
  <c r="J5733" i="1"/>
  <c r="K5702" i="1"/>
  <c r="P5702" i="1" s="1"/>
  <c r="J5715" i="1"/>
  <c r="J5708" i="1"/>
  <c r="J5722" i="1"/>
  <c r="J5703" i="1"/>
  <c r="K5672" i="1"/>
  <c r="P5672" i="1" s="1"/>
  <c r="J5685" i="1"/>
  <c r="J5673" i="1"/>
  <c r="J5678" i="1"/>
  <c r="J5692" i="1"/>
  <c r="K5642" i="1"/>
  <c r="P5642" i="1" s="1"/>
  <c r="J5655" i="1"/>
  <c r="J5648" i="1"/>
  <c r="J5643" i="1"/>
  <c r="J5662" i="1"/>
  <c r="K5612" i="1"/>
  <c r="P5612" i="1" s="1"/>
  <c r="J5625" i="1"/>
  <c r="J5613" i="1"/>
  <c r="J5618" i="1"/>
  <c r="J5632" i="1"/>
  <c r="K5581" i="1"/>
  <c r="P5581" i="1" s="1"/>
  <c r="J5594" i="1"/>
  <c r="J5587" i="1"/>
  <c r="J5601" i="1"/>
  <c r="J5582" i="1"/>
  <c r="K5551" i="1"/>
  <c r="P5551" i="1" s="1"/>
  <c r="J5564" i="1"/>
  <c r="J5571" i="1"/>
  <c r="J5557" i="1"/>
  <c r="J5552" i="1"/>
  <c r="K5511" i="1"/>
  <c r="P5511" i="1" s="1"/>
  <c r="J5524" i="1"/>
  <c r="J5517" i="1"/>
  <c r="J5512" i="1"/>
  <c r="J5532" i="1"/>
  <c r="K5480" i="1"/>
  <c r="P5480" i="1" s="1"/>
  <c r="J5493" i="1"/>
  <c r="J5501" i="1"/>
  <c r="J5481" i="1"/>
  <c r="J5486" i="1"/>
  <c r="K5449" i="1"/>
  <c r="P5449" i="1" s="1"/>
  <c r="J5462" i="1"/>
  <c r="J5455" i="1"/>
  <c r="J5470" i="1"/>
  <c r="J5450" i="1"/>
  <c r="K5414" i="1"/>
  <c r="P5414" i="1" s="1"/>
  <c r="J5427" i="1"/>
  <c r="J5434" i="1"/>
  <c r="J5415" i="1"/>
  <c r="J5420" i="1"/>
  <c r="K5384" i="1"/>
  <c r="P5384" i="1" s="1"/>
  <c r="J5397" i="1"/>
  <c r="J5404" i="1"/>
  <c r="J5385" i="1"/>
  <c r="J5390" i="1"/>
  <c r="K5354" i="1"/>
  <c r="P5354" i="1" s="1"/>
  <c r="J5367" i="1"/>
  <c r="J5360" i="1"/>
  <c r="J5355" i="1"/>
  <c r="J5374" i="1"/>
  <c r="K5324" i="1"/>
  <c r="P5324" i="1" s="1"/>
  <c r="J5337" i="1"/>
  <c r="J5325" i="1"/>
  <c r="J5344" i="1"/>
  <c r="J5330" i="1"/>
  <c r="K5294" i="1"/>
  <c r="P5294" i="1" s="1"/>
  <c r="J5307" i="1"/>
  <c r="J5300" i="1"/>
  <c r="J5314" i="1"/>
  <c r="J5295" i="1"/>
  <c r="K5264" i="1"/>
  <c r="P5264" i="1" s="1"/>
  <c r="J5277" i="1"/>
  <c r="J5265" i="1"/>
  <c r="J5270" i="1"/>
  <c r="J5284" i="1"/>
  <c r="K5234" i="1"/>
  <c r="P5234" i="1" s="1"/>
  <c r="J5247" i="1"/>
  <c r="J5254" i="1"/>
  <c r="J5235" i="1"/>
  <c r="J5240" i="1"/>
  <c r="K5204" i="1"/>
  <c r="M5204" i="1" s="1"/>
  <c r="J5217" i="1"/>
  <c r="J5205" i="1"/>
  <c r="J5210" i="1"/>
  <c r="J5224" i="1"/>
  <c r="K5174" i="1"/>
  <c r="M5174" i="1" s="1"/>
  <c r="J5187" i="1"/>
  <c r="J5175" i="1"/>
  <c r="J5194" i="1"/>
  <c r="J5180" i="1"/>
  <c r="K5144" i="1"/>
  <c r="P5144" i="1" s="1"/>
  <c r="J5145" i="1"/>
  <c r="J5150" i="1"/>
  <c r="J5164" i="1"/>
  <c r="J5157" i="1"/>
  <c r="K5114" i="1"/>
  <c r="P5114" i="1" s="1"/>
  <c r="J5127" i="1"/>
  <c r="J5134" i="1"/>
  <c r="J5115" i="1"/>
  <c r="J5120" i="1"/>
  <c r="K5078" i="1"/>
  <c r="P5078" i="1" s="1"/>
  <c r="J5091" i="1"/>
  <c r="J5084" i="1"/>
  <c r="J5079" i="1"/>
  <c r="J5099" i="1"/>
  <c r="K5047" i="1"/>
  <c r="M5047" i="1" s="1"/>
  <c r="J5060" i="1"/>
  <c r="J5053" i="1"/>
  <c r="J5068" i="1"/>
  <c r="J5048" i="1"/>
  <c r="K5016" i="1"/>
  <c r="P5016" i="1" s="1"/>
  <c r="J5029" i="1"/>
  <c r="J5022" i="1"/>
  <c r="J5017" i="1"/>
  <c r="J5037" i="1"/>
  <c r="K4985" i="1"/>
  <c r="P4985" i="1" s="1"/>
  <c r="J4998" i="1"/>
  <c r="J4991" i="1"/>
  <c r="J5006" i="1"/>
  <c r="J4986" i="1"/>
  <c r="K4941" i="1"/>
  <c r="M4941" i="1" s="1"/>
  <c r="J4954" i="1"/>
  <c r="J4942" i="1"/>
  <c r="J4961" i="1"/>
  <c r="J4947" i="1"/>
  <c r="K4911" i="1"/>
  <c r="P4911" i="1" s="1"/>
  <c r="J4924" i="1"/>
  <c r="J4931" i="1"/>
  <c r="J4912" i="1"/>
  <c r="J4917" i="1"/>
  <c r="K4881" i="1"/>
  <c r="P4881" i="1" s="1"/>
  <c r="J4894" i="1"/>
  <c r="J4882" i="1"/>
  <c r="J4887" i="1"/>
  <c r="J4901" i="1"/>
  <c r="K4851" i="1"/>
  <c r="P4851" i="1" s="1"/>
  <c r="J4864" i="1"/>
  <c r="J4871" i="1"/>
  <c r="J4852" i="1"/>
  <c r="J4857" i="1"/>
  <c r="K4821" i="1"/>
  <c r="P4821" i="1" s="1"/>
  <c r="J4822" i="1"/>
  <c r="J4827" i="1"/>
  <c r="J4841" i="1"/>
  <c r="J4834" i="1"/>
  <c r="K4791" i="1"/>
  <c r="M4791" i="1" s="1"/>
  <c r="J4804" i="1"/>
  <c r="J4792" i="1"/>
  <c r="J4811" i="1"/>
  <c r="J4797" i="1"/>
  <c r="K4761" i="1"/>
  <c r="P4761" i="1" s="1"/>
  <c r="J4774" i="1"/>
  <c r="J4762" i="1"/>
  <c r="J4767" i="1"/>
  <c r="J4781" i="1"/>
  <c r="K4731" i="1"/>
  <c r="P4731" i="1" s="1"/>
  <c r="J4732" i="1"/>
  <c r="J4737" i="1"/>
  <c r="J4751" i="1"/>
  <c r="J4744" i="1"/>
  <c r="K4701" i="1"/>
  <c r="P4701" i="1" s="1"/>
  <c r="J4714" i="1"/>
  <c r="J4702" i="1"/>
  <c r="J4707" i="1"/>
  <c r="J4721" i="1"/>
  <c r="K4671" i="1"/>
  <c r="P4671" i="1" s="1"/>
  <c r="J4684" i="1"/>
  <c r="J4672" i="1"/>
  <c r="J4677" i="1"/>
  <c r="J4691" i="1"/>
  <c r="K9152" i="1"/>
  <c r="P9152" i="1" s="1"/>
  <c r="J9165" i="1"/>
  <c r="J9158" i="1"/>
  <c r="J9153" i="1"/>
  <c r="J9172" i="1"/>
  <c r="K9122" i="1"/>
  <c r="P9122" i="1" s="1"/>
  <c r="J9135" i="1"/>
  <c r="J9123" i="1"/>
  <c r="J9128" i="1"/>
  <c r="J9142" i="1"/>
  <c r="K9092" i="1"/>
  <c r="P9092" i="1" s="1"/>
  <c r="J9105" i="1"/>
  <c r="J9093" i="1"/>
  <c r="J9098" i="1"/>
  <c r="J9112" i="1"/>
  <c r="K9062" i="1"/>
  <c r="J9063" i="1"/>
  <c r="J9082" i="1"/>
  <c r="J9075" i="1"/>
  <c r="J9068" i="1"/>
  <c r="K9024" i="1"/>
  <c r="P9024" i="1" s="1"/>
  <c r="J9037" i="1"/>
  <c r="J9025" i="1"/>
  <c r="J9030" i="1"/>
  <c r="J9044" i="1"/>
  <c r="K8994" i="1"/>
  <c r="P8994" i="1" s="1"/>
  <c r="J9007" i="1"/>
  <c r="J8995" i="1"/>
  <c r="J9000" i="1"/>
  <c r="J9014" i="1"/>
  <c r="K8964" i="1"/>
  <c r="M8964" i="1" s="1"/>
  <c r="J8977" i="1"/>
  <c r="J8970" i="1"/>
  <c r="J8965" i="1"/>
  <c r="J8984" i="1"/>
  <c r="K8934" i="1"/>
  <c r="P8934" i="1" s="1"/>
  <c r="J8947" i="1"/>
  <c r="J8935" i="1"/>
  <c r="J8940" i="1"/>
  <c r="J8954" i="1"/>
  <c r="K8904" i="1"/>
  <c r="M8904" i="1" s="1"/>
  <c r="J8917" i="1"/>
  <c r="J8905" i="1"/>
  <c r="J8910" i="1"/>
  <c r="J8924" i="1"/>
  <c r="K8874" i="1"/>
  <c r="P8874" i="1" s="1"/>
  <c r="J8887" i="1"/>
  <c r="J8880" i="1"/>
  <c r="J8894" i="1"/>
  <c r="J8875" i="1"/>
  <c r="K8837" i="1"/>
  <c r="M8837" i="1" s="1"/>
  <c r="J8850" i="1"/>
  <c r="J8843" i="1"/>
  <c r="J8838" i="1"/>
  <c r="J8857" i="1"/>
  <c r="K8807" i="1"/>
  <c r="P8807" i="1" s="1"/>
  <c r="J8820" i="1"/>
  <c r="J8808" i="1"/>
  <c r="J8813" i="1"/>
  <c r="J8827" i="1"/>
  <c r="K8777" i="1"/>
  <c r="P8777" i="1" s="1"/>
  <c r="J8790" i="1"/>
  <c r="J8778" i="1"/>
  <c r="J8783" i="1"/>
  <c r="J8797" i="1"/>
  <c r="K8747" i="1"/>
  <c r="M8747" i="1" s="1"/>
  <c r="J8760" i="1"/>
  <c r="J8753" i="1"/>
  <c r="J8748" i="1"/>
  <c r="J8767" i="1"/>
  <c r="K8717" i="1"/>
  <c r="M8717" i="1" s="1"/>
  <c r="J8730" i="1"/>
  <c r="J8718" i="1"/>
  <c r="J8723" i="1"/>
  <c r="J8737" i="1"/>
  <c r="K8687" i="1"/>
  <c r="P8687" i="1" s="1"/>
  <c r="J8693" i="1"/>
  <c r="J8688" i="1"/>
  <c r="J8707" i="1"/>
  <c r="J8700" i="1"/>
  <c r="K8633" i="1"/>
  <c r="P8633" i="1" s="1"/>
  <c r="J8648" i="1"/>
  <c r="J8634" i="1"/>
  <c r="J8650" i="1"/>
  <c r="J8639" i="1"/>
  <c r="K8666" i="1"/>
  <c r="M8666" i="1" s="1"/>
  <c r="J8667" i="1"/>
  <c r="J8677" i="1"/>
  <c r="K4626" i="1"/>
  <c r="P4626" i="1" s="1"/>
  <c r="J4644" i="1"/>
  <c r="J4627" i="1"/>
  <c r="J4647" i="1"/>
  <c r="J4632" i="1"/>
  <c r="K4591" i="1"/>
  <c r="P4591" i="1" s="1"/>
  <c r="J4612" i="1"/>
  <c r="J4597" i="1"/>
  <c r="J4609" i="1"/>
  <c r="J4592" i="1"/>
  <c r="K4557" i="1"/>
  <c r="P4557" i="1" s="1"/>
  <c r="J4575" i="1"/>
  <c r="J4558" i="1"/>
  <c r="J4578" i="1"/>
  <c r="J4563" i="1"/>
  <c r="K4526" i="1"/>
  <c r="M4526" i="1" s="1"/>
  <c r="N4526" i="1" s="1"/>
  <c r="J4547" i="1"/>
  <c r="J4544" i="1"/>
  <c r="J4527" i="1"/>
  <c r="J4532" i="1"/>
  <c r="K4495" i="1"/>
  <c r="M4495" i="1" s="1"/>
  <c r="J4501" i="1"/>
  <c r="J4513" i="1"/>
  <c r="J4496" i="1"/>
  <c r="J4516" i="1"/>
  <c r="K4486" i="1"/>
  <c r="P4486" i="1" s="1"/>
  <c r="J4487" i="1"/>
  <c r="K4480" i="1"/>
  <c r="K4481" i="1" s="1"/>
  <c r="M4481" i="1" s="1"/>
  <c r="AC4481" i="1" s="1"/>
  <c r="J4481" i="1"/>
  <c r="K4475" i="1"/>
  <c r="K4476" i="1" s="1"/>
  <c r="M4476" i="1" s="1"/>
  <c r="AC4476" i="1" s="1"/>
  <c r="J4476" i="1"/>
  <c r="K4470" i="1"/>
  <c r="K4471" i="1" s="1"/>
  <c r="M4471" i="1" s="1"/>
  <c r="AC4471" i="1" s="1"/>
  <c r="J4471" i="1"/>
  <c r="K4465" i="1"/>
  <c r="K4466" i="1" s="1"/>
  <c r="M4466" i="1" s="1"/>
  <c r="AC4466" i="1" s="1"/>
  <c r="J4466" i="1"/>
  <c r="K4459" i="1"/>
  <c r="K4460" i="1" s="1"/>
  <c r="M4460" i="1" s="1"/>
  <c r="AC4460" i="1" s="1"/>
  <c r="J4460" i="1"/>
  <c r="K4453" i="1"/>
  <c r="K4454" i="1" s="1"/>
  <c r="M4454" i="1" s="1"/>
  <c r="AC4454" i="1" s="1"/>
  <c r="J4454" i="1"/>
  <c r="K4448" i="1"/>
  <c r="K4449" i="1" s="1"/>
  <c r="M4449" i="1" s="1"/>
  <c r="AC4449" i="1" s="1"/>
  <c r="J4449" i="1"/>
  <c r="K4443" i="1"/>
  <c r="K4444" i="1" s="1"/>
  <c r="M4444" i="1" s="1"/>
  <c r="AC4444" i="1" s="1"/>
  <c r="J4444" i="1"/>
  <c r="K4438" i="1"/>
  <c r="K4439" i="1" s="1"/>
  <c r="M4439" i="1" s="1"/>
  <c r="AC4439" i="1" s="1"/>
  <c r="J4439" i="1"/>
  <c r="K4431" i="1"/>
  <c r="K4432" i="1" s="1"/>
  <c r="M4432" i="1" s="1"/>
  <c r="AC4432" i="1" s="1"/>
  <c r="J4432" i="1"/>
  <c r="K4426" i="1"/>
  <c r="K4427" i="1" s="1"/>
  <c r="M4427" i="1" s="1"/>
  <c r="AC4427" i="1" s="1"/>
  <c r="J4427" i="1"/>
  <c r="K4421" i="1"/>
  <c r="K4422" i="1" s="1"/>
  <c r="M4422" i="1" s="1"/>
  <c r="AC4422" i="1" s="1"/>
  <c r="J4422" i="1"/>
  <c r="K4416" i="1"/>
  <c r="K4417" i="1" s="1"/>
  <c r="M4417" i="1" s="1"/>
  <c r="AC4417" i="1" s="1"/>
  <c r="J4417" i="1"/>
  <c r="K4409" i="1"/>
  <c r="K4410" i="1" s="1"/>
  <c r="M4410" i="1" s="1"/>
  <c r="AC4410" i="1" s="1"/>
  <c r="J4410" i="1"/>
  <c r="K4404" i="1"/>
  <c r="K4405" i="1" s="1"/>
  <c r="M4405" i="1" s="1"/>
  <c r="AC4405" i="1" s="1"/>
  <c r="J4405" i="1"/>
  <c r="K4399" i="1"/>
  <c r="K4400" i="1" s="1"/>
  <c r="M4400" i="1" s="1"/>
  <c r="AC4400" i="1" s="1"/>
  <c r="J4400" i="1"/>
  <c r="K4391" i="1"/>
  <c r="P4391" i="1" s="1"/>
  <c r="J4392" i="1"/>
  <c r="K4385" i="1"/>
  <c r="K4386" i="1" s="1"/>
  <c r="M4386" i="1" s="1"/>
  <c r="AC4386" i="1" s="1"/>
  <c r="J4386" i="1"/>
  <c r="K4380" i="1"/>
  <c r="K4381" i="1" s="1"/>
  <c r="M4381" i="1" s="1"/>
  <c r="AC4381" i="1" s="1"/>
  <c r="J4381" i="1"/>
  <c r="K4375" i="1"/>
  <c r="P4375" i="1" s="1"/>
  <c r="J4376" i="1"/>
  <c r="K4367" i="1"/>
  <c r="K4368" i="1" s="1"/>
  <c r="M4368" i="1" s="1"/>
  <c r="AC4368" i="1" s="1"/>
  <c r="J4368" i="1"/>
  <c r="K4360" i="1"/>
  <c r="K4361" i="1" s="1"/>
  <c r="M4361" i="1" s="1"/>
  <c r="AC4361" i="1" s="1"/>
  <c r="J4361" i="1"/>
  <c r="K2856" i="1"/>
  <c r="P2856" i="1" s="1"/>
  <c r="J2857" i="1"/>
  <c r="J2864" i="1"/>
  <c r="K2851" i="1"/>
  <c r="P2851" i="1" s="1"/>
  <c r="J2852" i="1"/>
  <c r="K2846" i="1"/>
  <c r="K2847" i="1" s="1"/>
  <c r="M2847" i="1" s="1"/>
  <c r="AC2847" i="1" s="1"/>
  <c r="J2847" i="1"/>
  <c r="K2841" i="1"/>
  <c r="K2842" i="1" s="1"/>
  <c r="M2842" i="1" s="1"/>
  <c r="AC2842" i="1" s="1"/>
  <c r="J2842" i="1"/>
  <c r="K2836" i="1"/>
  <c r="P2836" i="1" s="1"/>
  <c r="J2837" i="1"/>
  <c r="K2824" i="1"/>
  <c r="K2825" i="1" s="1"/>
  <c r="M2825" i="1" s="1"/>
  <c r="AC2825" i="1" s="1"/>
  <c r="J2825" i="1"/>
  <c r="K2812" i="1"/>
  <c r="K2813" i="1" s="1"/>
  <c r="M2813" i="1" s="1"/>
  <c r="AC2813" i="1" s="1"/>
  <c r="J2813" i="1"/>
  <c r="K2800" i="1"/>
  <c r="P2800" i="1" s="1"/>
  <c r="J2801" i="1"/>
  <c r="K2788" i="1"/>
  <c r="K2789" i="1" s="1"/>
  <c r="M2789" i="1" s="1"/>
  <c r="AC2789" i="1" s="1"/>
  <c r="J2789" i="1"/>
  <c r="K2776" i="1"/>
  <c r="K2777" i="1" s="1"/>
  <c r="M2777" i="1" s="1"/>
  <c r="AC2777" i="1" s="1"/>
  <c r="J2777" i="1"/>
  <c r="K2735" i="1"/>
  <c r="P2735" i="1" s="1"/>
  <c r="J2754" i="1"/>
  <c r="J2757" i="1"/>
  <c r="J2741" i="1"/>
  <c r="J2736" i="1"/>
  <c r="K2703" i="1"/>
  <c r="P2703" i="1" s="1"/>
  <c r="J2725" i="1"/>
  <c r="J2709" i="1"/>
  <c r="J2722" i="1"/>
  <c r="J2704" i="1"/>
  <c r="K2671" i="1"/>
  <c r="P2671" i="1" s="1"/>
  <c r="J2693" i="1"/>
  <c r="J2672" i="1"/>
  <c r="J2677" i="1"/>
  <c r="J2690" i="1"/>
  <c r="K2639" i="1"/>
  <c r="P2639" i="1" s="1"/>
  <c r="J2660" i="1"/>
  <c r="J2645" i="1"/>
  <c r="J2657" i="1"/>
  <c r="J2640" i="1"/>
  <c r="K2608" i="1"/>
  <c r="M2608" i="1" s="1"/>
  <c r="J2626" i="1"/>
  <c r="J2609" i="1"/>
  <c r="J2629" i="1"/>
  <c r="J2614" i="1"/>
  <c r="K2577" i="1"/>
  <c r="M2577" i="1" s="1"/>
  <c r="J2598" i="1"/>
  <c r="J2595" i="1"/>
  <c r="J2578" i="1"/>
  <c r="J2583" i="1"/>
  <c r="K2543" i="1"/>
  <c r="M2543" i="1" s="1"/>
  <c r="J2549" i="1"/>
  <c r="J2561" i="1"/>
  <c r="J2544" i="1"/>
  <c r="J2564" i="1"/>
  <c r="K2512" i="1"/>
  <c r="M2512" i="1" s="1"/>
  <c r="J2533" i="1"/>
  <c r="J2530" i="1"/>
  <c r="J2513" i="1"/>
  <c r="J2518" i="1"/>
  <c r="K2481" i="1"/>
  <c r="P2481" i="1" s="1"/>
  <c r="J2487" i="1"/>
  <c r="J2502" i="1"/>
  <c r="J2499" i="1"/>
  <c r="J2482" i="1"/>
  <c r="K2447" i="1"/>
  <c r="M2447" i="1" s="1"/>
  <c r="J2465" i="1"/>
  <c r="J2448" i="1"/>
  <c r="J2468" i="1"/>
  <c r="J2453" i="1"/>
  <c r="K2416" i="1"/>
  <c r="P2416" i="1" s="1"/>
  <c r="J2422" i="1"/>
  <c r="J2437" i="1"/>
  <c r="J2434" i="1"/>
  <c r="J2417" i="1"/>
  <c r="K2396" i="1"/>
  <c r="K2397" i="1" s="1"/>
  <c r="M2397" i="1" s="1"/>
  <c r="AC2397" i="1" s="1"/>
  <c r="J2397" i="1"/>
  <c r="K2391" i="1"/>
  <c r="K2392" i="1" s="1"/>
  <c r="M2392" i="1" s="1"/>
  <c r="AC2392" i="1" s="1"/>
  <c r="J2392" i="1"/>
  <c r="K2385" i="1"/>
  <c r="P2385" i="1" s="1"/>
  <c r="J2386" i="1"/>
  <c r="K2380" i="1"/>
  <c r="K2381" i="1" s="1"/>
  <c r="M2381" i="1" s="1"/>
  <c r="AC2381" i="1" s="1"/>
  <c r="J2381" i="1"/>
  <c r="K2375" i="1"/>
  <c r="K2376" i="1" s="1"/>
  <c r="M2376" i="1" s="1"/>
  <c r="AC2376" i="1" s="1"/>
  <c r="J2376" i="1"/>
  <c r="K2368" i="1"/>
  <c r="P2368" i="1" s="1"/>
  <c r="J2369" i="1"/>
  <c r="K2363" i="1"/>
  <c r="K2364" i="1" s="1"/>
  <c r="M2364" i="1" s="1"/>
  <c r="AC2364" i="1" s="1"/>
  <c r="J2364" i="1"/>
  <c r="K2358" i="1"/>
  <c r="K2359" i="1" s="1"/>
  <c r="M2359" i="1" s="1"/>
  <c r="AC2359" i="1" s="1"/>
  <c r="J2359" i="1"/>
  <c r="K2353" i="1"/>
  <c r="K2354" i="1" s="1"/>
  <c r="M2354" i="1" s="1"/>
  <c r="AC2354" i="1" s="1"/>
  <c r="J2354" i="1"/>
  <c r="K2348" i="1"/>
  <c r="K2349" i="1" s="1"/>
  <c r="M2349" i="1" s="1"/>
  <c r="AC2349" i="1" s="1"/>
  <c r="J2349" i="1"/>
  <c r="K2342" i="1"/>
  <c r="P2342" i="1" s="1"/>
  <c r="J2343" i="1"/>
  <c r="K2337" i="1"/>
  <c r="K2338" i="1" s="1"/>
  <c r="M2338" i="1" s="1"/>
  <c r="AC2338" i="1" s="1"/>
  <c r="J2338" i="1"/>
  <c r="K2332" i="1"/>
  <c r="K2333" i="1" s="1"/>
  <c r="M2333" i="1" s="1"/>
  <c r="AC2333" i="1" s="1"/>
  <c r="J2333" i="1"/>
  <c r="K2327" i="1"/>
  <c r="K2328" i="1" s="1"/>
  <c r="M2328" i="1" s="1"/>
  <c r="AC2328" i="1" s="1"/>
  <c r="J2328" i="1"/>
  <c r="K2322" i="1"/>
  <c r="P2322" i="1" s="1"/>
  <c r="J2323" i="1"/>
  <c r="K2317" i="1"/>
  <c r="K2318" i="1" s="1"/>
  <c r="M2318" i="1" s="1"/>
  <c r="AC2318" i="1" s="1"/>
  <c r="J2318" i="1"/>
  <c r="K2312" i="1"/>
  <c r="P2312" i="1" s="1"/>
  <c r="J2313" i="1"/>
  <c r="K2307" i="1"/>
  <c r="K2308" i="1" s="1"/>
  <c r="M2308" i="1" s="1"/>
  <c r="AC2308" i="1" s="1"/>
  <c r="J2308" i="1"/>
  <c r="K2302" i="1"/>
  <c r="K2303" i="1" s="1"/>
  <c r="M2303" i="1" s="1"/>
  <c r="AC2303" i="1" s="1"/>
  <c r="J2303" i="1"/>
  <c r="K2297" i="1"/>
  <c r="K2298" i="1" s="1"/>
  <c r="M2298" i="1" s="1"/>
  <c r="AC2298" i="1" s="1"/>
  <c r="J2298" i="1"/>
  <c r="K2292" i="1"/>
  <c r="K2293" i="1" s="1"/>
  <c r="M2293" i="1" s="1"/>
  <c r="AC2293" i="1" s="1"/>
  <c r="J2293" i="1"/>
  <c r="K2287" i="1"/>
  <c r="K2288" i="1" s="1"/>
  <c r="M2288" i="1" s="1"/>
  <c r="AC2288" i="1" s="1"/>
  <c r="J2288" i="1"/>
  <c r="K2282" i="1"/>
  <c r="P2282" i="1" s="1"/>
  <c r="J2283" i="1"/>
  <c r="K2277" i="1"/>
  <c r="K2278" i="1" s="1"/>
  <c r="M2278" i="1" s="1"/>
  <c r="AC2278" i="1" s="1"/>
  <c r="J2278" i="1"/>
  <c r="K2272" i="1"/>
  <c r="K2273" i="1" s="1"/>
  <c r="M2273" i="1" s="1"/>
  <c r="AC2273" i="1" s="1"/>
  <c r="J2273" i="1"/>
  <c r="K2266" i="1"/>
  <c r="K2267" i="1" s="1"/>
  <c r="M2267" i="1" s="1"/>
  <c r="AC2267" i="1" s="1"/>
  <c r="J2267" i="1"/>
  <c r="K2261" i="1"/>
  <c r="K2262" i="1" s="1"/>
  <c r="M2262" i="1" s="1"/>
  <c r="AC2262" i="1" s="1"/>
  <c r="J2262" i="1"/>
  <c r="K2260" i="1"/>
  <c r="P2260" i="1" s="1"/>
  <c r="K2255" i="1"/>
  <c r="P2255" i="1" s="1"/>
  <c r="J2256" i="1"/>
  <c r="K2250" i="1"/>
  <c r="P2250" i="1" s="1"/>
  <c r="J2251" i="1"/>
  <c r="K2245" i="1"/>
  <c r="K2246" i="1" s="1"/>
  <c r="M2246" i="1" s="1"/>
  <c r="AC2246" i="1" s="1"/>
  <c r="J2246" i="1"/>
  <c r="K2240" i="1"/>
  <c r="K2241" i="1" s="1"/>
  <c r="M2241" i="1" s="1"/>
  <c r="AC2241" i="1" s="1"/>
  <c r="J2241" i="1"/>
  <c r="K2235" i="1"/>
  <c r="K2236" i="1" s="1"/>
  <c r="M2236" i="1" s="1"/>
  <c r="AC2236" i="1" s="1"/>
  <c r="J2236" i="1"/>
  <c r="K2230" i="1"/>
  <c r="P2230" i="1" s="1"/>
  <c r="J2231" i="1"/>
  <c r="K2225" i="1"/>
  <c r="K2226" i="1" s="1"/>
  <c r="M2226" i="1" s="1"/>
  <c r="AC2226" i="1" s="1"/>
  <c r="J2226" i="1"/>
  <c r="K2220" i="1"/>
  <c r="K2221" i="1" s="1"/>
  <c r="M2221" i="1" s="1"/>
  <c r="AC2221" i="1" s="1"/>
  <c r="J2221" i="1"/>
  <c r="K2215" i="1"/>
  <c r="K2216" i="1" s="1"/>
  <c r="M2216" i="1" s="1"/>
  <c r="AC2216" i="1" s="1"/>
  <c r="J2216" i="1"/>
  <c r="J1938" i="1"/>
  <c r="J1949" i="1"/>
  <c r="K1937" i="1"/>
  <c r="K1945" i="1" s="1"/>
  <c r="M1945" i="1" s="1"/>
  <c r="AC1945" i="1" s="1"/>
  <c r="K1934" i="1"/>
  <c r="K1935" i="1" s="1"/>
  <c r="M1935" i="1" s="1"/>
  <c r="AC1935" i="1" s="1"/>
  <c r="AC1936" i="1" s="1"/>
  <c r="AD1936" i="1" s="1"/>
  <c r="J1935" i="1"/>
  <c r="K1931" i="1"/>
  <c r="P1931" i="1" s="1"/>
  <c r="J1932" i="1"/>
  <c r="K1928" i="1"/>
  <c r="P1928" i="1" s="1"/>
  <c r="J1929" i="1"/>
  <c r="K1921" i="1"/>
  <c r="M1921" i="1" s="1"/>
  <c r="K1889" i="1"/>
  <c r="P1889" i="1" s="1"/>
  <c r="J1895" i="1"/>
  <c r="J1890" i="1"/>
  <c r="J1908" i="1"/>
  <c r="J1911" i="1"/>
  <c r="K1886" i="1"/>
  <c r="K1887" i="1" s="1"/>
  <c r="M1887" i="1" s="1"/>
  <c r="AC1887" i="1" s="1"/>
  <c r="AC1888" i="1" s="1"/>
  <c r="AD1888" i="1" s="1"/>
  <c r="J1887" i="1"/>
  <c r="K1883" i="1"/>
  <c r="K1884" i="1" s="1"/>
  <c r="M1884" i="1" s="1"/>
  <c r="AC1884" i="1" s="1"/>
  <c r="AC1885" i="1" s="1"/>
  <c r="AD1885" i="1" s="1"/>
  <c r="J1884" i="1"/>
  <c r="K1880" i="1"/>
  <c r="K1881" i="1" s="1"/>
  <c r="M1881" i="1" s="1"/>
  <c r="AC1881" i="1" s="1"/>
  <c r="AC1882" i="1" s="1"/>
  <c r="AD1882" i="1" s="1"/>
  <c r="J1881" i="1"/>
  <c r="K1877" i="1"/>
  <c r="K1878" i="1" s="1"/>
  <c r="M1878" i="1" s="1"/>
  <c r="AC1878" i="1" s="1"/>
  <c r="AC1879" i="1" s="1"/>
  <c r="AD1879" i="1" s="1"/>
  <c r="J1878" i="1"/>
  <c r="K1874" i="1"/>
  <c r="P1874" i="1" s="1"/>
  <c r="J1875" i="1"/>
  <c r="K1871" i="1"/>
  <c r="K1872" i="1" s="1"/>
  <c r="M1872" i="1" s="1"/>
  <c r="AC1872" i="1" s="1"/>
  <c r="J1872" i="1"/>
  <c r="K1851" i="1"/>
  <c r="M1851" i="1" s="1"/>
  <c r="AC1851" i="1" s="1"/>
  <c r="J1852" i="1"/>
  <c r="K1845" i="1"/>
  <c r="K1846" i="1" s="1"/>
  <c r="M1846" i="1" s="1"/>
  <c r="AC1846" i="1" s="1"/>
  <c r="J1846" i="1"/>
  <c r="K1840" i="1"/>
  <c r="P1840" i="1" s="1"/>
  <c r="J1841" i="1"/>
  <c r="K1835" i="1"/>
  <c r="K1836" i="1" s="1"/>
  <c r="M1836" i="1" s="1"/>
  <c r="AC1836" i="1" s="1"/>
  <c r="J1836" i="1"/>
  <c r="K1830" i="1"/>
  <c r="K1831" i="1" s="1"/>
  <c r="M1831" i="1" s="1"/>
  <c r="AC1831" i="1" s="1"/>
  <c r="J1831" i="1"/>
  <c r="K1825" i="1"/>
  <c r="P1825" i="1" s="1"/>
  <c r="J1826" i="1"/>
  <c r="K1809" i="1"/>
  <c r="P1809" i="1" s="1"/>
  <c r="J1810" i="1"/>
  <c r="K1797" i="1"/>
  <c r="K1798" i="1" s="1"/>
  <c r="M1798" i="1" s="1"/>
  <c r="AC1798" i="1" s="1"/>
  <c r="J1798" i="1"/>
  <c r="K1785" i="1"/>
  <c r="K1786" i="1" s="1"/>
  <c r="M1786" i="1" s="1"/>
  <c r="AC1786" i="1" s="1"/>
  <c r="J1786" i="1"/>
  <c r="K1741" i="1"/>
  <c r="P1741" i="1" s="1"/>
  <c r="J1760" i="1"/>
  <c r="J1747" i="1"/>
  <c r="J1763" i="1"/>
  <c r="J1742" i="1"/>
  <c r="K1709" i="1"/>
  <c r="P1709" i="1" s="1"/>
  <c r="J1715" i="1"/>
  <c r="J1728" i="1"/>
  <c r="J1731" i="1"/>
  <c r="J1710" i="1"/>
  <c r="K1677" i="1"/>
  <c r="M1677" i="1" s="1"/>
  <c r="J1699" i="1"/>
  <c r="J1683" i="1"/>
  <c r="J1696" i="1"/>
  <c r="J1678" i="1"/>
  <c r="J1590" i="1"/>
  <c r="J1597" i="1"/>
  <c r="J1585" i="1"/>
  <c r="J1600" i="1"/>
  <c r="K1641" i="1"/>
  <c r="M1641" i="1" s="1"/>
  <c r="J1659" i="1"/>
  <c r="J1642" i="1"/>
  <c r="J1662" i="1"/>
  <c r="J1647" i="1"/>
  <c r="K1610" i="1"/>
  <c r="P1610" i="1" s="1"/>
  <c r="J1631" i="1"/>
  <c r="J1628" i="1"/>
  <c r="J1611" i="1"/>
  <c r="J1616" i="1"/>
  <c r="K1584" i="1"/>
  <c r="K1553" i="1"/>
  <c r="P1553" i="1" s="1"/>
  <c r="J1574" i="1"/>
  <c r="J1554" i="1"/>
  <c r="J1571" i="1"/>
  <c r="J1559" i="1"/>
  <c r="K1520" i="1"/>
  <c r="M1520" i="1" s="1"/>
  <c r="AC1520" i="1" s="1"/>
  <c r="J1541" i="1"/>
  <c r="J1538" i="1"/>
  <c r="J1521" i="1"/>
  <c r="J1526" i="1"/>
  <c r="K1491" i="1"/>
  <c r="M1491" i="1" s="1"/>
  <c r="J1507" i="1"/>
  <c r="J1497" i="1"/>
  <c r="J1504" i="1"/>
  <c r="J1492" i="1"/>
  <c r="K1465" i="1"/>
  <c r="P1465" i="1" s="1"/>
  <c r="J1478" i="1"/>
  <c r="J1466" i="1"/>
  <c r="J1481" i="1"/>
  <c r="J1471" i="1"/>
  <c r="K1406" i="1"/>
  <c r="P1406" i="1" s="1"/>
  <c r="J1419" i="1"/>
  <c r="J1422" i="1"/>
  <c r="J1412" i="1"/>
  <c r="J1407" i="1"/>
  <c r="K1346" i="1"/>
  <c r="P1346" i="1" s="1"/>
  <c r="J1362" i="1"/>
  <c r="J1359" i="1"/>
  <c r="J1347" i="1"/>
  <c r="J1352" i="1"/>
  <c r="K1320" i="1"/>
  <c r="P1320" i="1" s="1"/>
  <c r="J1333" i="1"/>
  <c r="J1321" i="1"/>
  <c r="J1336" i="1"/>
  <c r="J1326" i="1"/>
  <c r="K1433" i="1"/>
  <c r="P1433" i="1" s="1"/>
  <c r="J1434" i="1"/>
  <c r="J1451" i="1"/>
  <c r="J1454" i="1"/>
  <c r="J1439" i="1"/>
  <c r="K1373" i="1"/>
  <c r="M1373" i="1" s="1"/>
  <c r="J1394" i="1"/>
  <c r="J1391" i="1"/>
  <c r="J1374" i="1"/>
  <c r="J1379" i="1"/>
  <c r="K1289" i="1"/>
  <c r="P1289" i="1" s="1"/>
  <c r="J1295" i="1"/>
  <c r="J1307" i="1"/>
  <c r="J1290" i="1"/>
  <c r="J1310" i="1"/>
  <c r="K1258" i="1"/>
  <c r="M1258" i="1" s="1"/>
  <c r="J1271" i="1"/>
  <c r="J1259" i="1"/>
  <c r="J1274" i="1"/>
  <c r="J1264" i="1"/>
  <c r="K1097" i="1"/>
  <c r="P1097" i="1" s="1"/>
  <c r="J1113" i="1"/>
  <c r="J1098" i="1"/>
  <c r="J1103" i="1"/>
  <c r="J1110" i="1"/>
  <c r="K1071" i="1"/>
  <c r="P1071" i="1" s="1"/>
  <c r="J1072" i="1"/>
  <c r="J1084" i="1"/>
  <c r="J1087" i="1"/>
  <c r="J1077" i="1"/>
  <c r="K1232" i="1"/>
  <c r="P1232" i="1" s="1"/>
  <c r="J1245" i="1"/>
  <c r="J1233" i="1"/>
  <c r="J1238" i="1"/>
  <c r="J1248" i="1"/>
  <c r="K1045" i="1"/>
  <c r="P1045" i="1" s="1"/>
  <c r="J1058" i="1"/>
  <c r="J1051" i="1"/>
  <c r="J1046" i="1"/>
  <c r="J1061" i="1"/>
  <c r="J1167" i="1"/>
  <c r="J1155" i="1"/>
  <c r="J1170" i="1"/>
  <c r="J1160" i="1"/>
  <c r="K1206" i="1"/>
  <c r="P1206" i="1" s="1"/>
  <c r="J1207" i="1"/>
  <c r="J1222" i="1"/>
  <c r="J1212" i="1"/>
  <c r="J1219" i="1"/>
  <c r="K1019" i="1"/>
  <c r="P1019" i="1" s="1"/>
  <c r="J1035" i="1"/>
  <c r="J1025" i="1"/>
  <c r="J1032" i="1"/>
  <c r="J1020" i="1"/>
  <c r="K1123" i="1"/>
  <c r="M1123" i="1" s="1"/>
  <c r="J1141" i="1"/>
  <c r="J1124" i="1"/>
  <c r="J1129" i="1"/>
  <c r="J1144" i="1"/>
  <c r="K1154" i="1"/>
  <c r="K1180" i="1"/>
  <c r="P1180" i="1" s="1"/>
  <c r="J1196" i="1"/>
  <c r="J1186" i="1"/>
  <c r="J1193" i="1"/>
  <c r="J1181" i="1"/>
  <c r="K993" i="1"/>
  <c r="P993" i="1" s="1"/>
  <c r="J1009" i="1"/>
  <c r="J999" i="1"/>
  <c r="J1006" i="1"/>
  <c r="J994" i="1"/>
  <c r="K967" i="1"/>
  <c r="M967" i="1" s="1"/>
  <c r="AC967" i="1" s="1"/>
  <c r="J973" i="1"/>
  <c r="J983" i="1"/>
  <c r="J980" i="1"/>
  <c r="J968" i="1"/>
  <c r="K936" i="1"/>
  <c r="P936" i="1" s="1"/>
  <c r="J937" i="1"/>
  <c r="J954" i="1"/>
  <c r="J957" i="1"/>
  <c r="J942" i="1"/>
  <c r="K909" i="1"/>
  <c r="P909" i="1" s="1"/>
  <c r="J922" i="1"/>
  <c r="J915" i="1"/>
  <c r="J910" i="1"/>
  <c r="J925" i="1"/>
  <c r="K883" i="1"/>
  <c r="M883" i="1" s="1"/>
  <c r="AC883" i="1" s="1"/>
  <c r="J889" i="1"/>
  <c r="J896" i="1"/>
  <c r="J884" i="1"/>
  <c r="J899" i="1"/>
  <c r="K857" i="1"/>
  <c r="P857" i="1" s="1"/>
  <c r="J870" i="1"/>
  <c r="J873" i="1"/>
  <c r="J863" i="1"/>
  <c r="J858" i="1"/>
  <c r="K831" i="1"/>
  <c r="P831" i="1" s="1"/>
  <c r="J844" i="1"/>
  <c r="J832" i="1"/>
  <c r="J847" i="1"/>
  <c r="J837" i="1"/>
  <c r="K805" i="1"/>
  <c r="P805" i="1" s="1"/>
  <c r="J811" i="1"/>
  <c r="J818" i="1"/>
  <c r="J806" i="1"/>
  <c r="J821" i="1"/>
  <c r="J780" i="1"/>
  <c r="J792" i="1"/>
  <c r="K774" i="1"/>
  <c r="K795" i="1" s="1"/>
  <c r="M795" i="1" s="1"/>
  <c r="AC795" i="1" s="1"/>
  <c r="J775" i="1"/>
  <c r="K766" i="1"/>
  <c r="K767" i="1" s="1"/>
  <c r="M767" i="1" s="1"/>
  <c r="AC767" i="1" s="1"/>
  <c r="AC768" i="1" s="1"/>
  <c r="AD768" i="1" s="1"/>
  <c r="AD767" i="1" s="1"/>
  <c r="AD766" i="1" s="1"/>
  <c r="J767" i="1"/>
  <c r="K746" i="1"/>
  <c r="K747" i="1" s="1"/>
  <c r="M747" i="1" s="1"/>
  <c r="AC747" i="1" s="1"/>
  <c r="J747" i="1"/>
  <c r="K741" i="1"/>
  <c r="P741" i="1" s="1"/>
  <c r="J742" i="1"/>
  <c r="K736" i="1"/>
  <c r="K737" i="1" s="1"/>
  <c r="M737" i="1" s="1"/>
  <c r="AC737" i="1" s="1"/>
  <c r="J737" i="1"/>
  <c r="K730" i="1"/>
  <c r="K731" i="1" s="1"/>
  <c r="M731" i="1" s="1"/>
  <c r="AC731" i="1" s="1"/>
  <c r="J731" i="1"/>
  <c r="K725" i="1"/>
  <c r="K726" i="1" s="1"/>
  <c r="M726" i="1" s="1"/>
  <c r="AC726" i="1" s="1"/>
  <c r="J726" i="1"/>
  <c r="K720" i="1"/>
  <c r="K721" i="1" s="1"/>
  <c r="M721" i="1" s="1"/>
  <c r="AC721" i="1" s="1"/>
  <c r="J721" i="1"/>
  <c r="K700" i="1"/>
  <c r="K701" i="1" s="1"/>
  <c r="M701" i="1" s="1"/>
  <c r="AC701" i="1" s="1"/>
  <c r="J701" i="1"/>
  <c r="K695" i="1"/>
  <c r="K696" i="1" s="1"/>
  <c r="M696" i="1" s="1"/>
  <c r="AC696" i="1" s="1"/>
  <c r="J696" i="1"/>
  <c r="K690" i="1"/>
  <c r="K691" i="1" s="1"/>
  <c r="M691" i="1" s="1"/>
  <c r="AC691" i="1" s="1"/>
  <c r="J691" i="1"/>
  <c r="K685" i="1"/>
  <c r="K686" i="1" s="1"/>
  <c r="M686" i="1" s="1"/>
  <c r="AC686" i="1" s="1"/>
  <c r="J686" i="1"/>
  <c r="K680" i="1"/>
  <c r="K681" i="1" s="1"/>
  <c r="M681" i="1" s="1"/>
  <c r="AC681" i="1" s="1"/>
  <c r="J681" i="1"/>
  <c r="K661" i="1"/>
  <c r="K662" i="1" s="1"/>
  <c r="M662" i="1" s="1"/>
  <c r="AC662" i="1" s="1"/>
  <c r="J662" i="1"/>
  <c r="K666" i="1"/>
  <c r="K667" i="1" s="1"/>
  <c r="M667" i="1" s="1"/>
  <c r="AC667" i="1" s="1"/>
  <c r="J667" i="1"/>
  <c r="K656" i="1"/>
  <c r="K657" i="1" s="1"/>
  <c r="M657" i="1" s="1"/>
  <c r="AC657" i="1" s="1"/>
  <c r="J657" i="1"/>
  <c r="K651" i="1"/>
  <c r="K652" i="1" s="1"/>
  <c r="M652" i="1" s="1"/>
  <c r="AC652" i="1" s="1"/>
  <c r="J652" i="1"/>
  <c r="K650" i="1"/>
  <c r="P650" i="1" s="1"/>
  <c r="K645" i="1"/>
  <c r="P645" i="1" s="1"/>
  <c r="J646" i="1"/>
  <c r="K640" i="1"/>
  <c r="K641" i="1" s="1"/>
  <c r="M641" i="1" s="1"/>
  <c r="AC641" i="1" s="1"/>
  <c r="J641" i="1"/>
  <c r="K635" i="1"/>
  <c r="K636" i="1" s="1"/>
  <c r="M636" i="1" s="1"/>
  <c r="AC636" i="1" s="1"/>
  <c r="J636" i="1"/>
  <c r="K630" i="1"/>
  <c r="P630" i="1" s="1"/>
  <c r="J631" i="1"/>
  <c r="K625" i="1"/>
  <c r="K626" i="1" s="1"/>
  <c r="M626" i="1" s="1"/>
  <c r="AC626" i="1" s="1"/>
  <c r="J626" i="1"/>
  <c r="K620" i="1"/>
  <c r="K621" i="1" s="1"/>
  <c r="M621" i="1" s="1"/>
  <c r="AC621" i="1" s="1"/>
  <c r="J621" i="1"/>
  <c r="K615" i="1"/>
  <c r="P615" i="1" s="1"/>
  <c r="J616" i="1"/>
  <c r="K610" i="1"/>
  <c r="K611" i="1" s="1"/>
  <c r="M611" i="1" s="1"/>
  <c r="AC611" i="1" s="1"/>
  <c r="J611" i="1"/>
  <c r="K605" i="1"/>
  <c r="K606" i="1" s="1"/>
  <c r="M606" i="1" s="1"/>
  <c r="AC606" i="1" s="1"/>
  <c r="J606" i="1"/>
  <c r="K600" i="1"/>
  <c r="K601" i="1" s="1"/>
  <c r="M601" i="1" s="1"/>
  <c r="AC601" i="1" s="1"/>
  <c r="J601" i="1"/>
  <c r="K595" i="1"/>
  <c r="K596" i="1" s="1"/>
  <c r="M596" i="1" s="1"/>
  <c r="AC596" i="1" s="1"/>
  <c r="J596" i="1"/>
  <c r="K590" i="1"/>
  <c r="K591" i="1" s="1"/>
  <c r="M591" i="1" s="1"/>
  <c r="AC591" i="1" s="1"/>
  <c r="J591" i="1"/>
  <c r="K585" i="1"/>
  <c r="K586" i="1" s="1"/>
  <c r="M586" i="1" s="1"/>
  <c r="AC586" i="1" s="1"/>
  <c r="J586" i="1"/>
  <c r="K580" i="1"/>
  <c r="K581" i="1" s="1"/>
  <c r="M581" i="1" s="1"/>
  <c r="AC581" i="1" s="1"/>
  <c r="J581" i="1"/>
  <c r="K574" i="1"/>
  <c r="P574" i="1" s="1"/>
  <c r="J575" i="1"/>
  <c r="K569" i="1"/>
  <c r="K570" i="1" s="1"/>
  <c r="M570" i="1" s="1"/>
  <c r="AC570" i="1" s="1"/>
  <c r="J570" i="1"/>
  <c r="K564" i="1"/>
  <c r="K565" i="1" s="1"/>
  <c r="M565" i="1" s="1"/>
  <c r="AC565" i="1" s="1"/>
  <c r="J565" i="1"/>
  <c r="K559" i="1"/>
  <c r="K560" i="1" s="1"/>
  <c r="M560" i="1" s="1"/>
  <c r="AC560" i="1" s="1"/>
  <c r="J560" i="1"/>
  <c r="K554" i="1"/>
  <c r="K555" i="1" s="1"/>
  <c r="M555" i="1" s="1"/>
  <c r="AC555" i="1" s="1"/>
  <c r="J555" i="1"/>
  <c r="K549" i="1"/>
  <c r="K550" i="1" s="1"/>
  <c r="M550" i="1" s="1"/>
  <c r="AC550" i="1" s="1"/>
  <c r="J550" i="1"/>
  <c r="K544" i="1"/>
  <c r="K545" i="1" s="1"/>
  <c r="M545" i="1" s="1"/>
  <c r="AC545" i="1" s="1"/>
  <c r="J545" i="1"/>
  <c r="K539" i="1"/>
  <c r="K540" i="1" s="1"/>
  <c r="M540" i="1" s="1"/>
  <c r="AC540" i="1" s="1"/>
  <c r="J540" i="1"/>
  <c r="K534" i="1"/>
  <c r="K535" i="1" s="1"/>
  <c r="M535" i="1" s="1"/>
  <c r="AC535" i="1" s="1"/>
  <c r="J535" i="1"/>
  <c r="K529" i="1"/>
  <c r="P529" i="1" s="1"/>
  <c r="J530" i="1"/>
  <c r="AD2148" i="1"/>
  <c r="AB2148" i="1" s="1"/>
  <c r="H2148" i="1" s="1"/>
  <c r="I2148" i="1" s="1"/>
  <c r="K2192" i="1"/>
  <c r="P2192" i="1" s="1"/>
  <c r="J2203" i="1"/>
  <c r="J2209" i="1"/>
  <c r="J2193" i="1"/>
  <c r="AD2167" i="1"/>
  <c r="AB2167" i="1" s="1"/>
  <c r="Z2178" i="1"/>
  <c r="AB2178" i="1"/>
  <c r="Z2168" i="1"/>
  <c r="AB2168" i="1"/>
  <c r="AD2129" i="1"/>
  <c r="AB2129" i="1" s="1"/>
  <c r="AD2111" i="1"/>
  <c r="AB2111" i="1" s="1"/>
  <c r="Z2159" i="1"/>
  <c r="AB2159" i="1"/>
  <c r="AB2149" i="1"/>
  <c r="Z2149" i="1"/>
  <c r="Z2140" i="1"/>
  <c r="AB2140" i="1"/>
  <c r="AB2130" i="1"/>
  <c r="Z2130" i="1"/>
  <c r="AB2112" i="1"/>
  <c r="Z2112" i="1"/>
  <c r="AB2121" i="1"/>
  <c r="Z2121" i="1"/>
  <c r="K2092" i="1"/>
  <c r="P2092" i="1" s="1"/>
  <c r="J2103" i="1"/>
  <c r="J2093" i="1"/>
  <c r="J2109" i="1"/>
  <c r="K2074" i="1"/>
  <c r="P2074" i="1" s="1"/>
  <c r="J2084" i="1"/>
  <c r="J2090" i="1"/>
  <c r="J2075" i="1"/>
  <c r="K2056" i="1"/>
  <c r="P2056" i="1" s="1"/>
  <c r="J2066" i="1"/>
  <c r="J2072" i="1"/>
  <c r="J2057" i="1"/>
  <c r="K2037" i="1"/>
  <c r="M2037" i="1" s="1"/>
  <c r="J2047" i="1"/>
  <c r="J2053" i="1"/>
  <c r="J2038" i="1"/>
  <c r="K2019" i="1"/>
  <c r="P2019" i="1" s="1"/>
  <c r="J2029" i="1"/>
  <c r="J2020" i="1"/>
  <c r="J2035" i="1"/>
  <c r="K2000" i="1"/>
  <c r="P2000" i="1" s="1"/>
  <c r="J2011" i="1"/>
  <c r="J2017" i="1"/>
  <c r="J2001" i="1"/>
  <c r="K1982" i="1"/>
  <c r="P1982" i="1" s="1"/>
  <c r="J1992" i="1"/>
  <c r="J1998" i="1"/>
  <c r="J1983" i="1"/>
  <c r="K1964" i="1"/>
  <c r="M1964" i="1" s="1"/>
  <c r="J1980" i="1"/>
  <c r="J1974" i="1"/>
  <c r="J1965" i="1"/>
  <c r="K502" i="1"/>
  <c r="P502" i="1" s="1"/>
  <c r="J513" i="1"/>
  <c r="J519" i="1"/>
  <c r="J503" i="1"/>
  <c r="K483" i="1"/>
  <c r="P483" i="1" s="1"/>
  <c r="J494" i="1"/>
  <c r="J500" i="1"/>
  <c r="J484" i="1"/>
  <c r="K464" i="1"/>
  <c r="M464" i="1" s="1"/>
  <c r="J465" i="1"/>
  <c r="J475" i="1"/>
  <c r="J481" i="1"/>
  <c r="K440" i="1"/>
  <c r="P440" i="1" s="1"/>
  <c r="J451" i="1"/>
  <c r="J457" i="1"/>
  <c r="J441" i="1"/>
  <c r="K421" i="1"/>
  <c r="P421" i="1" s="1"/>
  <c r="J432" i="1"/>
  <c r="J438" i="1"/>
  <c r="J422" i="1"/>
  <c r="K403" i="1"/>
  <c r="P403" i="1" s="1"/>
  <c r="J413" i="1"/>
  <c r="J419" i="1"/>
  <c r="J404" i="1"/>
  <c r="K340" i="1"/>
  <c r="P340" i="1" s="1"/>
  <c r="J350" i="1"/>
  <c r="J356" i="1"/>
  <c r="J341" i="1"/>
  <c r="K358" i="1"/>
  <c r="M358" i="1" s="1"/>
  <c r="J369" i="1"/>
  <c r="J375" i="1"/>
  <c r="J359" i="1"/>
  <c r="K321" i="1"/>
  <c r="P321" i="1" s="1"/>
  <c r="J332" i="1"/>
  <c r="J322" i="1"/>
  <c r="J338" i="1"/>
  <c r="K303" i="1"/>
  <c r="M303" i="1" s="1"/>
  <c r="J313" i="1"/>
  <c r="J319" i="1"/>
  <c r="J304" i="1"/>
  <c r="K285" i="1"/>
  <c r="P285" i="1" s="1"/>
  <c r="J295" i="1"/>
  <c r="J301" i="1"/>
  <c r="J286" i="1"/>
  <c r="K266" i="1"/>
  <c r="P266" i="1" s="1"/>
  <c r="J276" i="1"/>
  <c r="J282" i="1"/>
  <c r="J267" i="1"/>
  <c r="K248" i="1"/>
  <c r="M248" i="1" s="1"/>
  <c r="J258" i="1"/>
  <c r="J264" i="1"/>
  <c r="J249" i="1"/>
  <c r="K193" i="1"/>
  <c r="P193" i="1" s="1"/>
  <c r="J209" i="1"/>
  <c r="J194" i="1"/>
  <c r="J203" i="1"/>
  <c r="K377" i="1"/>
  <c r="P377" i="1" s="1"/>
  <c r="J388" i="1"/>
  <c r="J394" i="1"/>
  <c r="J378" i="1"/>
  <c r="K229" i="1"/>
  <c r="M229" i="1" s="1"/>
  <c r="J240" i="1"/>
  <c r="J246" i="1"/>
  <c r="J230" i="1"/>
  <c r="K211" i="1"/>
  <c r="P211" i="1" s="1"/>
  <c r="J221" i="1"/>
  <c r="J212" i="1"/>
  <c r="J227" i="1"/>
  <c r="J173" i="1"/>
  <c r="J176" i="1"/>
  <c r="K163" i="1"/>
  <c r="K179" i="1" s="1"/>
  <c r="J164" i="1"/>
  <c r="K132" i="1"/>
  <c r="P132" i="1" s="1"/>
  <c r="J140" i="1"/>
  <c r="J133" i="1"/>
  <c r="J147" i="1"/>
  <c r="J115" i="1"/>
  <c r="J121" i="1"/>
  <c r="K4338" i="1"/>
  <c r="M4338" i="1" s="1"/>
  <c r="J4349" i="1"/>
  <c r="J4339" i="1"/>
  <c r="J4355" i="1"/>
  <c r="K4319" i="1"/>
  <c r="P4319" i="1" s="1"/>
  <c r="J4320" i="1"/>
  <c r="J4330" i="1"/>
  <c r="J4336" i="1"/>
  <c r="K4281" i="1"/>
  <c r="P4281" i="1" s="1"/>
  <c r="J4292" i="1"/>
  <c r="J4282" i="1"/>
  <c r="J4298" i="1"/>
  <c r="K4300" i="1"/>
  <c r="P4300" i="1" s="1"/>
  <c r="J4311" i="1"/>
  <c r="J4317" i="1"/>
  <c r="J4301" i="1"/>
  <c r="K4263" i="1"/>
  <c r="P4263" i="1" s="1"/>
  <c r="J4279" i="1"/>
  <c r="J4273" i="1"/>
  <c r="J4264" i="1"/>
  <c r="K4242" i="1"/>
  <c r="P4242" i="1" s="1"/>
  <c r="J4253" i="1"/>
  <c r="J4259" i="1"/>
  <c r="J4243" i="1"/>
  <c r="K4205" i="1"/>
  <c r="M4205" i="1" s="1"/>
  <c r="J4215" i="1"/>
  <c r="J4221" i="1"/>
  <c r="J4206" i="1"/>
  <c r="K4223" i="1"/>
  <c r="P4223" i="1" s="1"/>
  <c r="J4234" i="1"/>
  <c r="J4240" i="1"/>
  <c r="J4224" i="1"/>
  <c r="K4181" i="1"/>
  <c r="M4181" i="1" s="1"/>
  <c r="J4182" i="1"/>
  <c r="J4192" i="1"/>
  <c r="J4198" i="1"/>
  <c r="K4170" i="1"/>
  <c r="K4171" i="1" s="1"/>
  <c r="M4171" i="1" s="1"/>
  <c r="AC4171" i="1" s="1"/>
  <c r="J4171" i="1"/>
  <c r="K4160" i="1"/>
  <c r="P4160" i="1" s="1"/>
  <c r="J4161" i="1"/>
  <c r="K4141" i="1"/>
  <c r="M4141" i="1" s="1"/>
  <c r="N4141" i="1" s="1"/>
  <c r="J4152" i="1"/>
  <c r="J4158" i="1"/>
  <c r="J4142" i="1"/>
  <c r="K4122" i="1"/>
  <c r="P4122" i="1" s="1"/>
  <c r="J4133" i="1"/>
  <c r="J4139" i="1"/>
  <c r="J4123" i="1"/>
  <c r="K4120" i="1"/>
  <c r="P4120" i="1" s="1"/>
  <c r="K4102" i="1"/>
  <c r="M4102" i="1" s="1"/>
  <c r="J4112" i="1"/>
  <c r="J4103" i="1"/>
  <c r="J4118" i="1"/>
  <c r="K4081" i="1"/>
  <c r="M4081" i="1" s="1"/>
  <c r="J4082" i="1"/>
  <c r="J4099" i="1"/>
  <c r="J4092" i="1"/>
  <c r="K4061" i="1"/>
  <c r="P4061" i="1" s="1"/>
  <c r="J4062" i="1"/>
  <c r="J4079" i="1"/>
  <c r="J4072" i="1"/>
  <c r="K4041" i="1"/>
  <c r="P4041" i="1" s="1"/>
  <c r="J4042" i="1"/>
  <c r="J4059" i="1"/>
  <c r="J4052" i="1"/>
  <c r="K4021" i="1"/>
  <c r="P4021" i="1" s="1"/>
  <c r="J4022" i="1"/>
  <c r="J4039" i="1"/>
  <c r="J4032" i="1"/>
  <c r="K4001" i="1"/>
  <c r="M4001" i="1" s="1"/>
  <c r="J4002" i="1"/>
  <c r="J4019" i="1"/>
  <c r="J4012" i="1"/>
  <c r="K3981" i="1"/>
  <c r="P3981" i="1" s="1"/>
  <c r="J3982" i="1"/>
  <c r="J3999" i="1"/>
  <c r="J3992" i="1"/>
  <c r="K3961" i="1"/>
  <c r="M3961" i="1" s="1"/>
  <c r="AC3961" i="1" s="1"/>
  <c r="J3962" i="1"/>
  <c r="J3979" i="1"/>
  <c r="J3972" i="1"/>
  <c r="K3940" i="1"/>
  <c r="M3940" i="1" s="1"/>
  <c r="J3941" i="1"/>
  <c r="J3958" i="1"/>
  <c r="J3951" i="1"/>
  <c r="K3920" i="1"/>
  <c r="M3920" i="1" s="1"/>
  <c r="J3921" i="1"/>
  <c r="J3938" i="1"/>
  <c r="J3931" i="1"/>
  <c r="K3901" i="1"/>
  <c r="M3901" i="1" s="1"/>
  <c r="J3902" i="1"/>
  <c r="J3918" i="1"/>
  <c r="J3911" i="1"/>
  <c r="K3880" i="1"/>
  <c r="P3880" i="1" s="1"/>
  <c r="J3881" i="1"/>
  <c r="J3898" i="1"/>
  <c r="J3891" i="1"/>
  <c r="K3858" i="1"/>
  <c r="M3858" i="1" s="1"/>
  <c r="J3859" i="1"/>
  <c r="J3876" i="1"/>
  <c r="J3869" i="1"/>
  <c r="K3838" i="1"/>
  <c r="P3838" i="1" s="1"/>
  <c r="J3839" i="1"/>
  <c r="J3856" i="1"/>
  <c r="J3849" i="1"/>
  <c r="K3818" i="1"/>
  <c r="P3818" i="1" s="1"/>
  <c r="J3819" i="1"/>
  <c r="J3836" i="1"/>
  <c r="J3829" i="1"/>
  <c r="K3798" i="1"/>
  <c r="P3798" i="1" s="1"/>
  <c r="J3799" i="1"/>
  <c r="J3809" i="1"/>
  <c r="J3816" i="1"/>
  <c r="K3778" i="1"/>
  <c r="P3778" i="1" s="1"/>
  <c r="J3779" i="1"/>
  <c r="J3789" i="1"/>
  <c r="J3796" i="1"/>
  <c r="K3756" i="1"/>
  <c r="P3756" i="1" s="1"/>
  <c r="J3757" i="1"/>
  <c r="J3774" i="1"/>
  <c r="J3767" i="1"/>
  <c r="K3737" i="1"/>
  <c r="P3737" i="1" s="1"/>
  <c r="J3754" i="1"/>
  <c r="J3747" i="1"/>
  <c r="J3738" i="1"/>
  <c r="K3712" i="1"/>
  <c r="M3712" i="1" s="1"/>
  <c r="J3713" i="1"/>
  <c r="J3723" i="1"/>
  <c r="J3730" i="1"/>
  <c r="K3692" i="1"/>
  <c r="M3692" i="1" s="1"/>
  <c r="J3693" i="1"/>
  <c r="J3710" i="1"/>
  <c r="J3703" i="1"/>
  <c r="K3668" i="1"/>
  <c r="P3668" i="1" s="1"/>
  <c r="J3678" i="1"/>
  <c r="J3685" i="1"/>
  <c r="J3669" i="1"/>
  <c r="K3646" i="1"/>
  <c r="P3646" i="1" s="1"/>
  <c r="J3647" i="1"/>
  <c r="J3664" i="1"/>
  <c r="J3657" i="1"/>
  <c r="K3624" i="1"/>
  <c r="M3624" i="1" s="1"/>
  <c r="J3625" i="1"/>
  <c r="J3642" i="1"/>
  <c r="J3635" i="1"/>
  <c r="K3604" i="1"/>
  <c r="P3604" i="1" s="1"/>
  <c r="J3605" i="1"/>
  <c r="J3622" i="1"/>
  <c r="J3615" i="1"/>
  <c r="K3584" i="1"/>
  <c r="P3584" i="1" s="1"/>
  <c r="J3585" i="1"/>
  <c r="J3602" i="1"/>
  <c r="J3595" i="1"/>
  <c r="K3564" i="1"/>
  <c r="M3564" i="1" s="1"/>
  <c r="J3565" i="1"/>
  <c r="J3575" i="1"/>
  <c r="J3582" i="1"/>
  <c r="K3544" i="1"/>
  <c r="P3544" i="1" s="1"/>
  <c r="J3545" i="1"/>
  <c r="J3562" i="1"/>
  <c r="J3555" i="1"/>
  <c r="K3525" i="1"/>
  <c r="P3525" i="1" s="1"/>
  <c r="J3526" i="1"/>
  <c r="J3535" i="1"/>
  <c r="J3542" i="1"/>
  <c r="K3502" i="1"/>
  <c r="P3502" i="1" s="1"/>
  <c r="J3521" i="1"/>
  <c r="J3503" i="1"/>
  <c r="J3513" i="1"/>
  <c r="K3481" i="1"/>
  <c r="M3481" i="1" s="1"/>
  <c r="J3492" i="1"/>
  <c r="J3500" i="1"/>
  <c r="J3482" i="1"/>
  <c r="K3460" i="1"/>
  <c r="P3460" i="1" s="1"/>
  <c r="J3479" i="1"/>
  <c r="J3461" i="1"/>
  <c r="J3471" i="1"/>
  <c r="K3438" i="1"/>
  <c r="P3438" i="1" s="1"/>
  <c r="J3457" i="1"/>
  <c r="J3439" i="1"/>
  <c r="J3449" i="1"/>
  <c r="K3417" i="1"/>
  <c r="P3417" i="1" s="1"/>
  <c r="J3428" i="1"/>
  <c r="J3436" i="1"/>
  <c r="J3418" i="1"/>
  <c r="K3396" i="1"/>
  <c r="P3396" i="1" s="1"/>
  <c r="J3415" i="1"/>
  <c r="J3397" i="1"/>
  <c r="J3407" i="1"/>
  <c r="K3375" i="1"/>
  <c r="P3375" i="1" s="1"/>
  <c r="J3376" i="1"/>
  <c r="J3394" i="1"/>
  <c r="J3386" i="1"/>
  <c r="K3354" i="1"/>
  <c r="P3354" i="1" s="1"/>
  <c r="J3365" i="1"/>
  <c r="J3355" i="1"/>
  <c r="J3373" i="1"/>
  <c r="K3333" i="1"/>
  <c r="P3333" i="1" s="1"/>
  <c r="J3344" i="1"/>
  <c r="J3334" i="1"/>
  <c r="J3352" i="1"/>
  <c r="K3312" i="1"/>
  <c r="P3312" i="1" s="1"/>
  <c r="J3323" i="1"/>
  <c r="J3331" i="1"/>
  <c r="J3313" i="1"/>
  <c r="K3291" i="1"/>
  <c r="P3291" i="1" s="1"/>
  <c r="J3310" i="1"/>
  <c r="J3292" i="1"/>
  <c r="J3302" i="1"/>
  <c r="K3270" i="1"/>
  <c r="M3270" i="1" s="1"/>
  <c r="J3281" i="1"/>
  <c r="J3289" i="1"/>
  <c r="J3271" i="1"/>
  <c r="K3249" i="1"/>
  <c r="P3249" i="1" s="1"/>
  <c r="J3268" i="1"/>
  <c r="J3250" i="1"/>
  <c r="J3260" i="1"/>
  <c r="K3228" i="1"/>
  <c r="P3228" i="1" s="1"/>
  <c r="J3239" i="1"/>
  <c r="J3247" i="1"/>
  <c r="J3229" i="1"/>
  <c r="K3207" i="1"/>
  <c r="P3207" i="1" s="1"/>
  <c r="J3218" i="1"/>
  <c r="J3226" i="1"/>
  <c r="J3208" i="1"/>
  <c r="K3186" i="1"/>
  <c r="M3186" i="1" s="1"/>
  <c r="J3205" i="1"/>
  <c r="J3187" i="1"/>
  <c r="J3197" i="1"/>
  <c r="K3165" i="1"/>
  <c r="P3165" i="1" s="1"/>
  <c r="J3184" i="1"/>
  <c r="J3166" i="1"/>
  <c r="J3176" i="1"/>
  <c r="K3146" i="1"/>
  <c r="K3147" i="1" s="1"/>
  <c r="M3147" i="1" s="1"/>
  <c r="AC3147" i="1" s="1"/>
  <c r="J3147" i="1"/>
  <c r="K3125" i="1"/>
  <c r="P3125" i="1" s="1"/>
  <c r="J3144" i="1"/>
  <c r="J3126" i="1"/>
  <c r="J3136" i="1"/>
  <c r="K3104" i="1"/>
  <c r="P3104" i="1" s="1"/>
  <c r="J3115" i="1"/>
  <c r="J3123" i="1"/>
  <c r="J3105" i="1"/>
  <c r="K3083" i="1"/>
  <c r="P3083" i="1" s="1"/>
  <c r="J3102" i="1"/>
  <c r="J3084" i="1"/>
  <c r="J3094" i="1"/>
  <c r="K3062" i="1"/>
  <c r="P3062" i="1" s="1"/>
  <c r="J3081" i="1"/>
  <c r="J3063" i="1"/>
  <c r="J3073" i="1"/>
  <c r="K3041" i="1"/>
  <c r="M3041" i="1" s="1"/>
  <c r="J3042" i="1"/>
  <c r="J3052" i="1"/>
  <c r="J3060" i="1"/>
  <c r="K3020" i="1"/>
  <c r="P3020" i="1" s="1"/>
  <c r="J3039" i="1"/>
  <c r="J3021" i="1"/>
  <c r="J3031" i="1"/>
  <c r="K2999" i="1"/>
  <c r="P2999" i="1" s="1"/>
  <c r="J3018" i="1"/>
  <c r="J3000" i="1"/>
  <c r="J3010" i="1"/>
  <c r="K2978" i="1"/>
  <c r="P2978" i="1" s="1"/>
  <c r="J2989" i="1"/>
  <c r="J2997" i="1"/>
  <c r="J2979" i="1"/>
  <c r="K2958" i="1"/>
  <c r="M2958" i="1" s="1"/>
  <c r="J2959" i="1"/>
  <c r="J2976" i="1"/>
  <c r="J2968" i="1"/>
  <c r="K2938" i="1"/>
  <c r="P2938" i="1" s="1"/>
  <c r="J2939" i="1"/>
  <c r="J2948" i="1"/>
  <c r="J2956" i="1"/>
  <c r="K2916" i="1"/>
  <c r="M2916" i="1" s="1"/>
  <c r="J2927" i="1"/>
  <c r="J2935" i="1"/>
  <c r="J2917" i="1"/>
  <c r="K2896" i="1"/>
  <c r="P2896" i="1" s="1"/>
  <c r="J2897" i="1"/>
  <c r="J2914" i="1"/>
  <c r="J2906" i="1"/>
  <c r="K2876" i="1"/>
  <c r="M2876" i="1" s="1"/>
  <c r="N2876" i="1" s="1"/>
  <c r="J2877" i="1"/>
  <c r="J2886" i="1"/>
  <c r="J2894" i="1"/>
  <c r="K8536" i="1"/>
  <c r="M8536" i="1" s="1"/>
  <c r="J8537" i="1"/>
  <c r="J8546" i="1"/>
  <c r="K8552" i="1"/>
  <c r="M8552" i="1" s="1"/>
  <c r="J8562" i="1"/>
  <c r="J8553" i="1"/>
  <c r="K8569" i="1"/>
  <c r="M8569" i="1" s="1"/>
  <c r="J8579" i="1"/>
  <c r="J8570" i="1"/>
  <c r="K8602" i="1"/>
  <c r="P8602" i="1" s="1"/>
  <c r="J8613" i="1"/>
  <c r="J8603" i="1"/>
  <c r="K8586" i="1"/>
  <c r="P8586" i="1" s="1"/>
  <c r="J8597" i="1"/>
  <c r="J8587" i="1"/>
  <c r="K8502" i="1"/>
  <c r="M8502" i="1" s="1"/>
  <c r="J8503" i="1"/>
  <c r="J8513" i="1"/>
  <c r="K8518" i="1"/>
  <c r="P8518" i="1" s="1"/>
  <c r="J8529" i="1"/>
  <c r="J8519" i="1"/>
  <c r="K8464" i="1"/>
  <c r="M8464" i="1" s="1"/>
  <c r="J8465" i="1"/>
  <c r="J8475" i="1"/>
  <c r="K8480" i="1"/>
  <c r="P8480" i="1" s="1"/>
  <c r="J8481" i="1"/>
  <c r="J8491" i="1"/>
  <c r="K8366" i="1"/>
  <c r="P8366" i="1" s="1"/>
  <c r="J8376" i="1"/>
  <c r="J8367" i="1"/>
  <c r="K8381" i="1"/>
  <c r="P8381" i="1" s="1"/>
  <c r="J8391" i="1"/>
  <c r="J8382" i="1"/>
  <c r="K8396" i="1"/>
  <c r="P8396" i="1" s="1"/>
  <c r="J8407" i="1"/>
  <c r="J8397" i="1"/>
  <c r="K8412" i="1"/>
  <c r="P8412" i="1" s="1"/>
  <c r="J8423" i="1"/>
  <c r="J8413" i="1"/>
  <c r="K8428" i="1"/>
  <c r="M8428" i="1" s="1"/>
  <c r="J8439" i="1"/>
  <c r="J8429" i="1"/>
  <c r="K8444" i="1"/>
  <c r="P8444" i="1" s="1"/>
  <c r="J8455" i="1"/>
  <c r="J8445" i="1"/>
  <c r="K8213" i="1"/>
  <c r="P8213" i="1" s="1"/>
  <c r="J8223" i="1"/>
  <c r="J8214" i="1"/>
  <c r="K8228" i="1"/>
  <c r="P8228" i="1" s="1"/>
  <c r="J8239" i="1"/>
  <c r="J8229" i="1"/>
  <c r="K8244" i="1"/>
  <c r="M8244" i="1" s="1"/>
  <c r="J8245" i="1"/>
  <c r="J8255" i="1"/>
  <c r="K8263" i="1"/>
  <c r="P8263" i="1" s="1"/>
  <c r="J8273" i="1"/>
  <c r="J8264" i="1"/>
  <c r="K8279" i="1"/>
  <c r="M8279" i="1" s="1"/>
  <c r="J8280" i="1"/>
  <c r="J8290" i="1"/>
  <c r="K8295" i="1"/>
  <c r="P8295" i="1" s="1"/>
  <c r="J8306" i="1"/>
  <c r="J8296" i="1"/>
  <c r="K8311" i="1"/>
  <c r="M8311" i="1" s="1"/>
  <c r="J8322" i="1"/>
  <c r="J8312" i="1"/>
  <c r="K8327" i="1"/>
  <c r="P8327" i="1" s="1"/>
  <c r="J8338" i="1"/>
  <c r="J8328" i="1"/>
  <c r="K8348" i="1"/>
  <c r="P8348" i="1" s="1"/>
  <c r="J8359" i="1"/>
  <c r="J8349" i="1"/>
  <c r="K8132" i="1"/>
  <c r="P8132" i="1" s="1"/>
  <c r="J8142" i="1"/>
  <c r="J8133" i="1"/>
  <c r="K8147" i="1"/>
  <c r="M8147" i="1" s="1"/>
  <c r="J8158" i="1"/>
  <c r="J8148" i="1"/>
  <c r="K8163" i="1"/>
  <c r="P8163" i="1" s="1"/>
  <c r="J8174" i="1"/>
  <c r="J8164" i="1"/>
  <c r="K8179" i="1"/>
  <c r="P8179" i="1" s="1"/>
  <c r="J8190" i="1"/>
  <c r="J8180" i="1"/>
  <c r="K8195" i="1"/>
  <c r="P8195" i="1" s="1"/>
  <c r="J8196" i="1"/>
  <c r="J8206" i="1"/>
  <c r="K8111" i="1"/>
  <c r="P8111" i="1" s="1"/>
  <c r="J8122" i="1"/>
  <c r="J8112" i="1"/>
  <c r="K8043" i="1"/>
  <c r="P8043" i="1" s="1"/>
  <c r="J8053" i="1"/>
  <c r="J8044" i="1"/>
  <c r="K8058" i="1"/>
  <c r="P8058" i="1" s="1"/>
  <c r="J8068" i="1"/>
  <c r="J8059" i="1"/>
  <c r="K8073" i="1"/>
  <c r="P8073" i="1" s="1"/>
  <c r="J8084" i="1"/>
  <c r="J8074" i="1"/>
  <c r="K8089" i="1"/>
  <c r="P8089" i="1" s="1"/>
  <c r="J8090" i="1"/>
  <c r="J8100" i="1"/>
  <c r="K7993" i="1"/>
  <c r="P7993" i="1" s="1"/>
  <c r="J8003" i="1"/>
  <c r="J7994" i="1"/>
  <c r="K8008" i="1"/>
  <c r="M8008" i="1" s="1"/>
  <c r="J8018" i="1"/>
  <c r="J8009" i="1"/>
  <c r="K8023" i="1"/>
  <c r="P8023" i="1" s="1"/>
  <c r="J8034" i="1"/>
  <c r="J8024" i="1"/>
  <c r="K7913" i="1"/>
  <c r="M7913" i="1" s="1"/>
  <c r="J7923" i="1"/>
  <c r="J7914" i="1"/>
  <c r="K7928" i="1"/>
  <c r="P7928" i="1" s="1"/>
  <c r="J7939" i="1"/>
  <c r="J7929" i="1"/>
  <c r="K7944" i="1"/>
  <c r="P7944" i="1" s="1"/>
  <c r="J7955" i="1"/>
  <c r="J7945" i="1"/>
  <c r="K7960" i="1"/>
  <c r="P7960" i="1" s="1"/>
  <c r="J7971" i="1"/>
  <c r="J7961" i="1"/>
  <c r="K7976" i="1"/>
  <c r="P7976" i="1" s="1"/>
  <c r="J7977" i="1"/>
  <c r="J7987" i="1"/>
  <c r="K7831" i="1"/>
  <c r="P7831" i="1" s="1"/>
  <c r="J7841" i="1"/>
  <c r="J7832" i="1"/>
  <c r="K7846" i="1"/>
  <c r="P7846" i="1" s="1"/>
  <c r="J7856" i="1"/>
  <c r="J7847" i="1"/>
  <c r="K7861" i="1"/>
  <c r="M7861" i="1" s="1"/>
  <c r="J7872" i="1"/>
  <c r="J7862" i="1"/>
  <c r="K7877" i="1"/>
  <c r="M7877" i="1" s="1"/>
  <c r="AC7877" i="1" s="1"/>
  <c r="J7888" i="1"/>
  <c r="J7878" i="1"/>
  <c r="K7893" i="1"/>
  <c r="M7893" i="1" s="1"/>
  <c r="N7893" i="1" s="1"/>
  <c r="J7904" i="1"/>
  <c r="J7894" i="1"/>
  <c r="K7783" i="1"/>
  <c r="P7783" i="1" s="1"/>
  <c r="J7784" i="1"/>
  <c r="J7793" i="1"/>
  <c r="K7798" i="1"/>
  <c r="P7798" i="1" s="1"/>
  <c r="J7808" i="1"/>
  <c r="J7799" i="1"/>
  <c r="K7813" i="1"/>
  <c r="P7813" i="1" s="1"/>
  <c r="J7824" i="1"/>
  <c r="J7814" i="1"/>
  <c r="K7760" i="1"/>
  <c r="M7760" i="1" s="1"/>
  <c r="J7761" i="1"/>
  <c r="J7778" i="1"/>
  <c r="J7770" i="1"/>
  <c r="J7128" i="1"/>
  <c r="J7119" i="1"/>
  <c r="J7135" i="1"/>
  <c r="J7138" i="1"/>
  <c r="J7154" i="1"/>
  <c r="J7147" i="1"/>
  <c r="J7157" i="1"/>
  <c r="J7167" i="1"/>
  <c r="J7174" i="1"/>
  <c r="J7177" i="1"/>
  <c r="J7187" i="1"/>
  <c r="J7194" i="1"/>
  <c r="J7197" i="1"/>
  <c r="J7214" i="1"/>
  <c r="J7207" i="1"/>
  <c r="J7217" i="1"/>
  <c r="J7227" i="1"/>
  <c r="J7234" i="1"/>
  <c r="J7238" i="1"/>
  <c r="J7247" i="1"/>
  <c r="J7254" i="1"/>
  <c r="J7257" i="1"/>
  <c r="J7267" i="1"/>
  <c r="J7274" i="1"/>
  <c r="J7277" i="1"/>
  <c r="J7294" i="1"/>
  <c r="J7287" i="1"/>
  <c r="J7297" i="1"/>
  <c r="J7314" i="1"/>
  <c r="J7307" i="1"/>
  <c r="J7317" i="1"/>
  <c r="J7327" i="1"/>
  <c r="J7334" i="1"/>
  <c r="J7338" i="1"/>
  <c r="J7347" i="1"/>
  <c r="J7354" i="1"/>
  <c r="J7357" i="1"/>
  <c r="J7367" i="1"/>
  <c r="J7374" i="1"/>
  <c r="J7377" i="1"/>
  <c r="J7387" i="1"/>
  <c r="J7394" i="1"/>
  <c r="J7397" i="1"/>
  <c r="J7414" i="1"/>
  <c r="J7407" i="1"/>
  <c r="J7427" i="1"/>
  <c r="J7418" i="1"/>
  <c r="J7434" i="1"/>
  <c r="J7437" i="1"/>
  <c r="J7453" i="1"/>
  <c r="J7446" i="1"/>
  <c r="J7456" i="1"/>
  <c r="J7473" i="1"/>
  <c r="J7466" i="1"/>
  <c r="J7476" i="1"/>
  <c r="J7493" i="1"/>
  <c r="J7486" i="1"/>
  <c r="J7496" i="1"/>
  <c r="J7506" i="1"/>
  <c r="J7513" i="1"/>
  <c r="J7537" i="1"/>
  <c r="J7546" i="1"/>
  <c r="J7553" i="1"/>
  <c r="J7556" i="1"/>
  <c r="J7566" i="1"/>
  <c r="J7573" i="1"/>
  <c r="J7576" i="1"/>
  <c r="J7593" i="1"/>
  <c r="J7586" i="1"/>
  <c r="J7596" i="1"/>
  <c r="J7613" i="1"/>
  <c r="J7606" i="1"/>
  <c r="J7616" i="1"/>
  <c r="J7633" i="1"/>
  <c r="J7626" i="1"/>
  <c r="J7637" i="1"/>
  <c r="J7653" i="1"/>
  <c r="J7646" i="1"/>
  <c r="J7656" i="1"/>
  <c r="J7666" i="1"/>
  <c r="J7673" i="1"/>
  <c r="J7676" i="1"/>
  <c r="J7686" i="1"/>
  <c r="J7693" i="1"/>
  <c r="J7720" i="1"/>
  <c r="J7730" i="1"/>
  <c r="J7737" i="1"/>
  <c r="K7739" i="1"/>
  <c r="P7739" i="1" s="1"/>
  <c r="J7757" i="1"/>
  <c r="J7740" i="1"/>
  <c r="J7750" i="1"/>
  <c r="K7719" i="1"/>
  <c r="K7695" i="1"/>
  <c r="M7695" i="1" s="1"/>
  <c r="J7706" i="1"/>
  <c r="J7713" i="1"/>
  <c r="J7696" i="1"/>
  <c r="K7675" i="1"/>
  <c r="M7675" i="1" s="1"/>
  <c r="K7655" i="1"/>
  <c r="K7636" i="1"/>
  <c r="K7615" i="1"/>
  <c r="K7595" i="1"/>
  <c r="K7575" i="1"/>
  <c r="K7555" i="1"/>
  <c r="K7536" i="1"/>
  <c r="K7495" i="1"/>
  <c r="K7475" i="1"/>
  <c r="K7455" i="1"/>
  <c r="K7436" i="1"/>
  <c r="K7417" i="1"/>
  <c r="K7416" i="1"/>
  <c r="P7416" i="1" s="1"/>
  <c r="K7396" i="1"/>
  <c r="K7376" i="1"/>
  <c r="K7356" i="1"/>
  <c r="K7337" i="1"/>
  <c r="K7316" i="1"/>
  <c r="K7296" i="1"/>
  <c r="K7276" i="1"/>
  <c r="K7256" i="1"/>
  <c r="K7237" i="1"/>
  <c r="K7216" i="1"/>
  <c r="K7196" i="1"/>
  <c r="K7176" i="1"/>
  <c r="K7156" i="1"/>
  <c r="K7137" i="1"/>
  <c r="K7118" i="1"/>
  <c r="K7095" i="1"/>
  <c r="P7095" i="1" s="1"/>
  <c r="J7114" i="1"/>
  <c r="J7096" i="1"/>
  <c r="J7106" i="1"/>
  <c r="K7074" i="1"/>
  <c r="M7074" i="1" s="1"/>
  <c r="J7085" i="1"/>
  <c r="J7093" i="1"/>
  <c r="J7075" i="1"/>
  <c r="K7053" i="1"/>
  <c r="M7053" i="1" s="1"/>
  <c r="J7064" i="1"/>
  <c r="J7072" i="1"/>
  <c r="J7054" i="1"/>
  <c r="K7032" i="1"/>
  <c r="P7032" i="1" s="1"/>
  <c r="J7051" i="1"/>
  <c r="J7043" i="1"/>
  <c r="J7033" i="1"/>
  <c r="K7012" i="1"/>
  <c r="M7012" i="1" s="1"/>
  <c r="J7013" i="1"/>
  <c r="J7030" i="1"/>
  <c r="J7022" i="1"/>
  <c r="K6992" i="1"/>
  <c r="P6992" i="1" s="1"/>
  <c r="J6993" i="1"/>
  <c r="J7010" i="1"/>
  <c r="J7002" i="1"/>
  <c r="K6969" i="1"/>
  <c r="M6969" i="1" s="1"/>
  <c r="J6987" i="1"/>
  <c r="J6970" i="1"/>
  <c r="J6979" i="1"/>
  <c r="J6959" i="1"/>
  <c r="J6967" i="1"/>
  <c r="P1672" i="1"/>
  <c r="K6949" i="1"/>
  <c r="K6967" i="1" s="1"/>
  <c r="M6967" i="1" s="1"/>
  <c r="AC6967" i="1" s="1"/>
  <c r="AC6968" i="1" s="1"/>
  <c r="AD6968" i="1" s="1"/>
  <c r="J6950" i="1"/>
  <c r="K107" i="1"/>
  <c r="J108" i="1"/>
  <c r="P1774" i="1"/>
  <c r="P751" i="1"/>
  <c r="H6722" i="1"/>
  <c r="I6722" i="1" s="1"/>
  <c r="P6758" i="1"/>
  <c r="Q6763" i="1"/>
  <c r="R6763" i="1" s="1"/>
  <c r="T6763" i="1" s="1"/>
  <c r="P6305" i="1"/>
  <c r="P756" i="1"/>
  <c r="P8130" i="1"/>
  <c r="P9188" i="1"/>
  <c r="P9675" i="1"/>
  <c r="P9754" i="1"/>
  <c r="P8625" i="1"/>
  <c r="P6508" i="1"/>
  <c r="P6528" i="1"/>
  <c r="AC5885" i="1"/>
  <c r="AB5885" i="1" s="1"/>
  <c r="AB9798" i="1"/>
  <c r="Q9798" i="1" s="1"/>
  <c r="R9798" i="1" s="1"/>
  <c r="T9798" i="1" s="1"/>
  <c r="Q6017" i="1"/>
  <c r="R6017" i="1" s="1"/>
  <c r="T6017" i="1" s="1"/>
  <c r="P6684" i="1"/>
  <c r="P6801" i="1"/>
  <c r="H6759" i="1"/>
  <c r="I6759" i="1" s="1"/>
  <c r="P9830" i="1"/>
  <c r="AB10341" i="1"/>
  <c r="H10341" i="1" s="1"/>
  <c r="I10341" i="1" s="1"/>
  <c r="P9778" i="1"/>
  <c r="P9781" i="1"/>
  <c r="P9856" i="1"/>
  <c r="P6048" i="1"/>
  <c r="N6716" i="1"/>
  <c r="AB5769" i="1"/>
  <c r="Q5769" i="1" s="1"/>
  <c r="R5769" i="1" s="1"/>
  <c r="T5769" i="1" s="1"/>
  <c r="P6502" i="1"/>
  <c r="P6885" i="1"/>
  <c r="P8105" i="1"/>
  <c r="P10427" i="1"/>
  <c r="P7715" i="1"/>
  <c r="P8461" i="1"/>
  <c r="N7829" i="1"/>
  <c r="AC7829" i="1"/>
  <c r="AB7829" i="1" s="1"/>
  <c r="H7829" i="1" s="1"/>
  <c r="I7829" i="1" s="1"/>
  <c r="P8212" i="1"/>
  <c r="H6121" i="1"/>
  <c r="I6121" i="1" s="1"/>
  <c r="N9192" i="1"/>
  <c r="AC9192" i="1"/>
  <c r="AB9192" i="1" s="1"/>
  <c r="P9804" i="1"/>
  <c r="N5939" i="1"/>
  <c r="M6264" i="1"/>
  <c r="P6264" i="1"/>
  <c r="N8621" i="1"/>
  <c r="AC8621" i="1"/>
  <c r="AB8621" i="1" s="1"/>
  <c r="P5939" i="1"/>
  <c r="P8344" i="1"/>
  <c r="M6528" i="1"/>
  <c r="P6722" i="1"/>
  <c r="M6206" i="1"/>
  <c r="P6206" i="1"/>
  <c r="M6033" i="1"/>
  <c r="AC6033" i="1" s="1"/>
  <c r="AB6033" i="1" s="1"/>
  <c r="P6033" i="1"/>
  <c r="P8619" i="1"/>
  <c r="P6733" i="1"/>
  <c r="P6887" i="1"/>
  <c r="AB9748" i="1"/>
  <c r="H9748" i="1" s="1"/>
  <c r="I9748" i="1" s="1"/>
  <c r="H6052" i="1"/>
  <c r="I6052" i="1" s="1"/>
  <c r="AC8627" i="1"/>
  <c r="AB8627" i="1" s="1"/>
  <c r="Q8627" i="1" s="1"/>
  <c r="R8627" i="1" s="1"/>
  <c r="T8627" i="1" s="1"/>
  <c r="P5942" i="1"/>
  <c r="N6490" i="1"/>
  <c r="AC6490" i="1"/>
  <c r="AB6490" i="1" s="1"/>
  <c r="H6490" i="1" s="1"/>
  <c r="I6490" i="1" s="1"/>
  <c r="P6991" i="1"/>
  <c r="AB10343" i="1"/>
  <c r="Q10343" i="1" s="1"/>
  <c r="R10343" i="1" s="1"/>
  <c r="T10343" i="1" s="1"/>
  <c r="P5766" i="1"/>
  <c r="Q6268" i="1"/>
  <c r="R6268" i="1" s="1"/>
  <c r="T6268" i="1" s="1"/>
  <c r="P6490" i="1"/>
  <c r="P6763" i="1"/>
  <c r="P6802" i="1"/>
  <c r="P7829" i="1"/>
  <c r="P8628" i="1"/>
  <c r="AB9826" i="1"/>
  <c r="Q9826" i="1" s="1"/>
  <c r="R9826" i="1" s="1"/>
  <c r="T9826" i="1" s="1"/>
  <c r="AB5545" i="1"/>
  <c r="H5545" i="1" s="1"/>
  <c r="I5545" i="1" s="1"/>
  <c r="P9798" i="1"/>
  <c r="P6046" i="1"/>
  <c r="P6058" i="1"/>
  <c r="P6116" i="1"/>
  <c r="P6456" i="1"/>
  <c r="P6542" i="1"/>
  <c r="P6716" i="1"/>
  <c r="P6746" i="1"/>
  <c r="H6885" i="1"/>
  <c r="I6885" i="1" s="1"/>
  <c r="M5887" i="1"/>
  <c r="P5887" i="1"/>
  <c r="P6750" i="1"/>
  <c r="M6750" i="1"/>
  <c r="AC6750" i="1" s="1"/>
  <c r="AB6750" i="1" s="1"/>
  <c r="Q6750" i="1" s="1"/>
  <c r="P6520" i="1"/>
  <c r="M6520" i="1"/>
  <c r="N6299" i="1"/>
  <c r="H6299" i="1"/>
  <c r="I6299" i="1" s="1"/>
  <c r="AC9809" i="1"/>
  <c r="AB9809" i="1" s="1"/>
  <c r="N9809" i="1"/>
  <c r="P6572" i="1"/>
  <c r="M6572" i="1"/>
  <c r="P6287" i="1"/>
  <c r="M6287" i="1"/>
  <c r="N6287" i="1" s="1"/>
  <c r="M7911" i="1"/>
  <c r="P7911" i="1"/>
  <c r="P8129" i="1"/>
  <c r="P6313" i="1"/>
  <c r="M6313" i="1"/>
  <c r="AC8498" i="1"/>
  <c r="AB8498" i="1" s="1"/>
  <c r="Q8498" i="1" s="1"/>
  <c r="R8498" i="1" s="1"/>
  <c r="T8498" i="1" s="1"/>
  <c r="P6657" i="1"/>
  <c r="M5771" i="1"/>
  <c r="P5771" i="1"/>
  <c r="P5884" i="1"/>
  <c r="M6684" i="1"/>
  <c r="N6684" i="1" s="1"/>
  <c r="P7336" i="1"/>
  <c r="M7336" i="1"/>
  <c r="N7336" i="1" s="1"/>
  <c r="P8041" i="1"/>
  <c r="AC8041" i="1"/>
  <c r="AB8041" i="1" s="1"/>
  <c r="Q8041" i="1" s="1"/>
  <c r="R8041" i="1" s="1"/>
  <c r="T8041" i="1" s="1"/>
  <c r="N9186" i="1"/>
  <c r="AC9186" i="1"/>
  <c r="AB9186" i="1" s="1"/>
  <c r="H9186" i="1" s="1"/>
  <c r="I9186" i="1" s="1"/>
  <c r="P6233" i="1"/>
  <c r="M6233" i="1"/>
  <c r="N6233" i="1" s="1"/>
  <c r="P6300" i="1"/>
  <c r="M6300" i="1"/>
  <c r="N6300" i="1" s="1"/>
  <c r="P9186" i="1"/>
  <c r="M6115" i="1"/>
  <c r="P6115" i="1"/>
  <c r="P6267" i="1"/>
  <c r="M6267" i="1"/>
  <c r="N6267" i="1" s="1"/>
  <c r="AC6502" i="1"/>
  <c r="AB6502" i="1" s="1"/>
  <c r="Q6502" i="1" s="1"/>
  <c r="R6502" i="1" s="1"/>
  <c r="T6502" i="1" s="1"/>
  <c r="M6508" i="1"/>
  <c r="N6508" i="1" s="1"/>
  <c r="P6567" i="1"/>
  <c r="M6567" i="1"/>
  <c r="N6759" i="1"/>
  <c r="M5805" i="1"/>
  <c r="P5805" i="1"/>
  <c r="P6338" i="1"/>
  <c r="M6338" i="1"/>
  <c r="M6457" i="1"/>
  <c r="P6457" i="1"/>
  <c r="P5979" i="1"/>
  <c r="P7910" i="1"/>
  <c r="M7910" i="1"/>
  <c r="N7910" i="1" s="1"/>
  <c r="N6282" i="1"/>
  <c r="P6314" i="1"/>
  <c r="M6314" i="1"/>
  <c r="P6428" i="1"/>
  <c r="P6744" i="1"/>
  <c r="N7715" i="1"/>
  <c r="AC7715" i="1"/>
  <c r="AB7715" i="1" s="1"/>
  <c r="AC8129" i="1"/>
  <c r="AB8129" i="1" s="1"/>
  <c r="Q8129" i="1" s="1"/>
  <c r="R8129" i="1" s="1"/>
  <c r="T8129" i="1" s="1"/>
  <c r="M5942" i="1"/>
  <c r="P9803" i="1"/>
  <c r="P9809" i="1"/>
  <c r="N6878" i="1"/>
  <c r="P9061" i="1"/>
  <c r="M6048" i="1"/>
  <c r="N6048" i="1" s="1"/>
  <c r="M9764" i="1"/>
  <c r="N9764" i="1" s="1"/>
  <c r="P9764" i="1"/>
  <c r="M6428" i="1"/>
  <c r="P6685" i="1"/>
  <c r="M6685" i="1"/>
  <c r="M6991" i="1"/>
  <c r="P6529" i="1"/>
  <c r="P1674" i="1"/>
  <c r="P6017" i="1"/>
  <c r="Q6801" i="1"/>
  <c r="R6801" i="1" s="1"/>
  <c r="T6801" i="1" s="1"/>
  <c r="P9835" i="1"/>
  <c r="M9835" i="1"/>
  <c r="AC9835" i="1" s="1"/>
  <c r="AB9835" i="1" s="1"/>
  <c r="Q9835" i="1" s="1"/>
  <c r="M6046" i="1"/>
  <c r="P5941" i="1"/>
  <c r="P6279" i="1"/>
  <c r="P6721" i="1"/>
  <c r="M6721" i="1"/>
  <c r="N6721" i="1" s="1"/>
  <c r="P6878" i="1"/>
  <c r="AC8365" i="1"/>
  <c r="AB8365" i="1" s="1"/>
  <c r="Q8365" i="1" s="1"/>
  <c r="R8365" i="1" s="1"/>
  <c r="T8365" i="1" s="1"/>
  <c r="N8585" i="1"/>
  <c r="AC8585" i="1"/>
  <c r="AB8585" i="1" s="1"/>
  <c r="Q8585" i="1" s="1"/>
  <c r="R8585" i="1" s="1"/>
  <c r="T8585" i="1" s="1"/>
  <c r="P9738" i="1"/>
  <c r="P6082" i="1"/>
  <c r="P6198" i="1"/>
  <c r="H6503" i="1"/>
  <c r="I6503" i="1" s="1"/>
  <c r="P6649" i="1"/>
  <c r="P9767" i="1"/>
  <c r="P9641" i="1"/>
  <c r="P6299" i="1"/>
  <c r="M7717" i="1"/>
  <c r="AC7717" i="1" s="1"/>
  <c r="AB7717" i="1" s="1"/>
  <c r="P7717" i="1"/>
  <c r="M5765" i="1"/>
  <c r="P5765" i="1"/>
  <c r="P10493" i="1"/>
  <c r="AC7992" i="1"/>
  <c r="AB7992" i="1" s="1"/>
  <c r="P8042" i="1"/>
  <c r="AC8108" i="1"/>
  <c r="AB8108" i="1" s="1"/>
  <c r="AC8262" i="1"/>
  <c r="AB8262" i="1" s="1"/>
  <c r="H9197" i="1"/>
  <c r="I9197" i="1" s="1"/>
  <c r="M9738" i="1"/>
  <c r="AC9738" i="1" s="1"/>
  <c r="AB9738" i="1" s="1"/>
  <c r="P9759" i="1"/>
  <c r="AC9804" i="1"/>
  <c r="AB9804" i="1" s="1"/>
  <c r="H9804" i="1" s="1"/>
  <c r="I9804" i="1" s="1"/>
  <c r="N9804" i="1"/>
  <c r="P5773" i="1"/>
  <c r="AC6082" i="1"/>
  <c r="AB6082" i="1" s="1"/>
  <c r="Q6082" i="1" s="1"/>
  <c r="R6082" i="1" s="1"/>
  <c r="T6082" i="1" s="1"/>
  <c r="P6343" i="1"/>
  <c r="P6420" i="1"/>
  <c r="N6533" i="1"/>
  <c r="P8620" i="1"/>
  <c r="P9182" i="1"/>
  <c r="P9777" i="1"/>
  <c r="P5767" i="1"/>
  <c r="P6016" i="1"/>
  <c r="P6265" i="1"/>
  <c r="P6282" i="1"/>
  <c r="M7718" i="1"/>
  <c r="P7718" i="1"/>
  <c r="P6886" i="1"/>
  <c r="P763" i="1"/>
  <c r="P770" i="1"/>
  <c r="P7992" i="1"/>
  <c r="P8262" i="1"/>
  <c r="P8343" i="1"/>
  <c r="AC8534" i="1"/>
  <c r="AB8534" i="1" s="1"/>
  <c r="P5888" i="1"/>
  <c r="P6292" i="1"/>
  <c r="P6503" i="1"/>
  <c r="N6763" i="1"/>
  <c r="M6886" i="1"/>
  <c r="P8131" i="1"/>
  <c r="P9774" i="1"/>
  <c r="P5770" i="1"/>
  <c r="P6052" i="1"/>
  <c r="P6268" i="1"/>
  <c r="P6759" i="1"/>
  <c r="P3157" i="1"/>
  <c r="AC8212" i="1"/>
  <c r="AB8212" i="1" s="1"/>
  <c r="Q8212" i="1" s="1"/>
  <c r="R8212" i="1" s="1"/>
  <c r="T8212" i="1" s="1"/>
  <c r="AC8661" i="1"/>
  <c r="AB8661" i="1" s="1"/>
  <c r="Q8661" i="1" s="1"/>
  <c r="R8661" i="1" s="1"/>
  <c r="T8661" i="1" s="1"/>
  <c r="P5885" i="1"/>
  <c r="P5937" i="1"/>
  <c r="P5764" i="1"/>
  <c r="M5764" i="1"/>
  <c r="P9058" i="1"/>
  <c r="M9058" i="1"/>
  <c r="N9058" i="1" s="1"/>
  <c r="AC6198" i="1"/>
  <c r="AB6198" i="1" s="1"/>
  <c r="P8623" i="1"/>
  <c r="M8623" i="1"/>
  <c r="AC8623" i="1" s="1"/>
  <c r="AB8623" i="1" s="1"/>
  <c r="M8619" i="1"/>
  <c r="AC8619" i="1" s="1"/>
  <c r="AB8619" i="1" s="1"/>
  <c r="AC9057" i="1"/>
  <c r="AB9057" i="1" s="1"/>
  <c r="H9057" i="1" s="1"/>
  <c r="I9057" i="1" s="1"/>
  <c r="N9057" i="1"/>
  <c r="M9849" i="1"/>
  <c r="AC9849" i="1" s="1"/>
  <c r="AB9849" i="1" s="1"/>
  <c r="P9849" i="1"/>
  <c r="N8551" i="1"/>
  <c r="N8630" i="1"/>
  <c r="AC8630" i="1"/>
  <c r="AB8630" i="1" s="1"/>
  <c r="P9824" i="1"/>
  <c r="P5938" i="1"/>
  <c r="M5938" i="1"/>
  <c r="M5763" i="1"/>
  <c r="P5763" i="1"/>
  <c r="M5937" i="1"/>
  <c r="M6989" i="1"/>
  <c r="P6989" i="1"/>
  <c r="M5762" i="1"/>
  <c r="P5762" i="1"/>
  <c r="P6339" i="1"/>
  <c r="M6339" i="1"/>
  <c r="AC8551" i="1"/>
  <c r="AB8551" i="1" s="1"/>
  <c r="M9189" i="1"/>
  <c r="AC9189" i="1" s="1"/>
  <c r="AB9189" i="1" s="1"/>
  <c r="P9189" i="1"/>
  <c r="M9797" i="1"/>
  <c r="AC9797" i="1" s="1"/>
  <c r="AB9797" i="1" s="1"/>
  <c r="P9797" i="1"/>
  <c r="P6301" i="1"/>
  <c r="M6301" i="1"/>
  <c r="N6529" i="1"/>
  <c r="P9799" i="1"/>
  <c r="N6198" i="1"/>
  <c r="M5770" i="1"/>
  <c r="P5940" i="1"/>
  <c r="M5940" i="1"/>
  <c r="M9059" i="1"/>
  <c r="N9059" i="1" s="1"/>
  <c r="P9059" i="1"/>
  <c r="M9820" i="1"/>
  <c r="AC9820" i="1" s="1"/>
  <c r="AB9820" i="1" s="1"/>
  <c r="P9820" i="1"/>
  <c r="M6281" i="1"/>
  <c r="P6281" i="1"/>
  <c r="P6926" i="1"/>
  <c r="M6926" i="1"/>
  <c r="AC3644" i="1"/>
  <c r="AB3644" i="1" s="1"/>
  <c r="N3644" i="1"/>
  <c r="N4624" i="1"/>
  <c r="AC4624" i="1"/>
  <c r="AB4624" i="1" s="1"/>
  <c r="M9788" i="1"/>
  <c r="AC9788" i="1" s="1"/>
  <c r="AB9788" i="1" s="1"/>
  <c r="P9788" i="1"/>
  <c r="P6056" i="1"/>
  <c r="M6056" i="1"/>
  <c r="P6488" i="1"/>
  <c r="M6488" i="1"/>
  <c r="M9195" i="1"/>
  <c r="P9195" i="1"/>
  <c r="P3777" i="1"/>
  <c r="AC3777" i="1"/>
  <c r="AB3777" i="1" s="1"/>
  <c r="Q3777" i="1" s="1"/>
  <c r="R3777" i="1" s="1"/>
  <c r="T3777" i="1" s="1"/>
  <c r="P6468" i="1"/>
  <c r="M6468" i="1"/>
  <c r="P400" i="1"/>
  <c r="P459" i="1"/>
  <c r="P462" i="1"/>
  <c r="P525" i="1"/>
  <c r="P1518" i="1"/>
  <c r="AC8105" i="1"/>
  <c r="AB8105" i="1" s="1"/>
  <c r="M9815" i="1"/>
  <c r="P9815" i="1"/>
  <c r="M9840" i="1"/>
  <c r="AC9840" i="1" s="1"/>
  <c r="AB9840" i="1" s="1"/>
  <c r="P9840" i="1"/>
  <c r="P6047" i="1"/>
  <c r="M6047" i="1"/>
  <c r="P9184" i="1"/>
  <c r="M9184" i="1"/>
  <c r="N9184" i="1" s="1"/>
  <c r="M9792" i="1"/>
  <c r="P9792" i="1"/>
  <c r="N8501" i="1"/>
  <c r="AC8501" i="1"/>
  <c r="AB8501" i="1" s="1"/>
  <c r="P9198" i="1"/>
  <c r="M9198" i="1"/>
  <c r="AC9198" i="1" s="1"/>
  <c r="AB9198" i="1" s="1"/>
  <c r="M5768" i="1"/>
  <c r="P5768" i="1"/>
  <c r="P5772" i="1"/>
  <c r="M5772" i="1"/>
  <c r="M6016" i="1"/>
  <c r="AC6265" i="1"/>
  <c r="AB6265" i="1" s="1"/>
  <c r="P6280" i="1"/>
  <c r="M6280" i="1"/>
  <c r="P3645" i="1"/>
  <c r="P4977" i="1"/>
  <c r="AC5447" i="1"/>
  <c r="AB5447" i="1" s="1"/>
  <c r="Q5447" i="1" s="1"/>
  <c r="R5447" i="1" s="1"/>
  <c r="T5447" i="1" s="1"/>
  <c r="P9054" i="1"/>
  <c r="N9787" i="1"/>
  <c r="AC9787" i="1"/>
  <c r="AB9787" i="1" s="1"/>
  <c r="Q9787" i="1" s="1"/>
  <c r="R9787" i="1" s="1"/>
  <c r="T9787" i="1" s="1"/>
  <c r="M5806" i="1"/>
  <c r="P5806" i="1"/>
  <c r="AC5886" i="1"/>
  <c r="AB5886" i="1" s="1"/>
  <c r="P6090" i="1"/>
  <c r="M6090" i="1"/>
  <c r="N6265" i="1"/>
  <c r="P6491" i="1"/>
  <c r="M6491" i="1"/>
  <c r="M6541" i="1"/>
  <c r="P6541" i="1"/>
  <c r="AC7909" i="1"/>
  <c r="AB7909" i="1" s="1"/>
  <c r="N7909" i="1"/>
  <c r="P3160" i="1"/>
  <c r="N8624" i="1"/>
  <c r="AC8624" i="1"/>
  <c r="AB8624" i="1" s="1"/>
  <c r="P9757" i="1"/>
  <c r="M9822" i="1"/>
  <c r="AC9822" i="1" s="1"/>
  <c r="AB9822" i="1" s="1"/>
  <c r="P9822" i="1"/>
  <c r="M5766" i="1"/>
  <c r="N5886" i="1"/>
  <c r="N6116" i="1"/>
  <c r="M6758" i="1"/>
  <c r="AC9054" i="1"/>
  <c r="AB9054" i="1" s="1"/>
  <c r="M9182" i="1"/>
  <c r="P9771" i="1"/>
  <c r="M5807" i="1"/>
  <c r="P5807" i="1"/>
  <c r="P6489" i="1"/>
  <c r="M6489" i="1"/>
  <c r="P5886" i="1"/>
  <c r="P6429" i="1"/>
  <c r="M6429" i="1"/>
  <c r="P6117" i="1"/>
  <c r="M6117" i="1"/>
  <c r="P6266" i="1"/>
  <c r="M6266" i="1"/>
  <c r="P6566" i="1"/>
  <c r="M6566" i="1"/>
  <c r="M6990" i="1"/>
  <c r="P6990" i="1"/>
  <c r="P1285" i="1"/>
  <c r="P4458" i="1"/>
  <c r="N8618" i="1"/>
  <c r="AC8618" i="1"/>
  <c r="AB8618" i="1" s="1"/>
  <c r="H8618" i="1" s="1"/>
  <c r="I8618" i="1" s="1"/>
  <c r="AC5767" i="1"/>
  <c r="AB5767" i="1" s="1"/>
  <c r="N5767" i="1"/>
  <c r="N6017" i="1"/>
  <c r="P6571" i="1"/>
  <c r="M6571" i="1"/>
  <c r="P6573" i="1"/>
  <c r="M6573" i="1"/>
  <c r="P3644" i="1"/>
  <c r="P4365" i="1"/>
  <c r="P4624" i="1"/>
  <c r="P10510" i="1"/>
  <c r="P9057" i="1"/>
  <c r="P9770" i="1"/>
  <c r="P9812" i="1"/>
  <c r="M9812" i="1"/>
  <c r="AC9812" i="1" s="1"/>
  <c r="AB9812" i="1" s="1"/>
  <c r="P9842" i="1"/>
  <c r="N5769" i="1"/>
  <c r="AC5773" i="1"/>
  <c r="AB5773" i="1" s="1"/>
  <c r="N5773" i="1"/>
  <c r="M6746" i="1"/>
  <c r="P10342" i="1"/>
  <c r="P8108" i="1"/>
  <c r="AC8343" i="1"/>
  <c r="AB8343" i="1" s="1"/>
  <c r="N8343" i="1"/>
  <c r="M9674" i="1"/>
  <c r="P9674" i="1"/>
  <c r="P9762" i="1"/>
  <c r="M9839" i="1"/>
  <c r="P9839" i="1"/>
  <c r="P9844" i="1"/>
  <c r="AC5884" i="1"/>
  <c r="AB5884" i="1" s="1"/>
  <c r="M5936" i="1"/>
  <c r="P5936" i="1"/>
  <c r="P6122" i="1"/>
  <c r="M6122" i="1"/>
  <c r="N5941" i="1"/>
  <c r="M6286" i="1"/>
  <c r="P6286" i="1"/>
  <c r="P6510" i="1"/>
  <c r="M6510" i="1"/>
  <c r="M6757" i="1"/>
  <c r="P6757" i="1"/>
  <c r="AC8462" i="1"/>
  <c r="AB8462" i="1" s="1"/>
  <c r="Q8462" i="1" s="1"/>
  <c r="R8462" i="1" s="1"/>
  <c r="T8462" i="1" s="1"/>
  <c r="M9811" i="1"/>
  <c r="P9811" i="1"/>
  <c r="P9836" i="1"/>
  <c r="P5769" i="1"/>
  <c r="P6344" i="1"/>
  <c r="M6344" i="1"/>
  <c r="P6504" i="1"/>
  <c r="M6504" i="1"/>
  <c r="M6696" i="1"/>
  <c r="P6696" i="1"/>
  <c r="M6745" i="1"/>
  <c r="P6745" i="1"/>
  <c r="P9855" i="1"/>
  <c r="P3666" i="1"/>
  <c r="P8867" i="1"/>
  <c r="AC9768" i="1"/>
  <c r="AB9768" i="1" s="1"/>
  <c r="N9768" i="1"/>
  <c r="P9828" i="1"/>
  <c r="P9851" i="1"/>
  <c r="AC5888" i="1"/>
  <c r="AB5888" i="1" s="1"/>
  <c r="N5888" i="1"/>
  <c r="M6427" i="1"/>
  <c r="P6427" i="1"/>
  <c r="M6509" i="1"/>
  <c r="P6509" i="1"/>
  <c r="P6288" i="1"/>
  <c r="M6288" i="1"/>
  <c r="AC6492" i="1"/>
  <c r="AB6492" i="1" s="1"/>
  <c r="N6744" i="1"/>
  <c r="P10343" i="1"/>
  <c r="M8628" i="1"/>
  <c r="AC8628" i="1" s="1"/>
  <c r="AB8628" i="1" s="1"/>
  <c r="P9748" i="1"/>
  <c r="P9813" i="1"/>
  <c r="P9817" i="1"/>
  <c r="P6057" i="1"/>
  <c r="M6057" i="1"/>
  <c r="N6268" i="1"/>
  <c r="P6269" i="1"/>
  <c r="M6269" i="1"/>
  <c r="N6492" i="1"/>
  <c r="N6802" i="1"/>
  <c r="P6914" i="1"/>
  <c r="M6914" i="1"/>
  <c r="P8460" i="1"/>
  <c r="P8499" i="1"/>
  <c r="AC8568" i="1"/>
  <c r="AB8568" i="1" s="1"/>
  <c r="P9192" i="1"/>
  <c r="M5979" i="1"/>
  <c r="M6091" i="1"/>
  <c r="P6091" i="1"/>
  <c r="P7236" i="1"/>
  <c r="M7236" i="1"/>
  <c r="AC7535" i="1"/>
  <c r="N7535" i="1"/>
  <c r="P9197" i="1"/>
  <c r="P9768" i="1"/>
  <c r="P6078" i="1"/>
  <c r="M6078" i="1"/>
  <c r="AC6292" i="1"/>
  <c r="AB6292" i="1" s="1"/>
  <c r="P6521" i="1"/>
  <c r="M6521" i="1"/>
  <c r="P6717" i="1"/>
  <c r="M6717" i="1"/>
  <c r="M6456" i="1"/>
  <c r="M6733" i="1"/>
  <c r="P6796" i="1"/>
  <c r="M6796" i="1"/>
  <c r="P6205" i="1"/>
  <c r="M6205" i="1"/>
  <c r="P6234" i="1"/>
  <c r="M6234" i="1"/>
  <c r="N6722" i="1"/>
  <c r="M6740" i="1"/>
  <c r="P6740" i="1"/>
  <c r="P7635" i="1"/>
  <c r="M7635" i="1"/>
  <c r="P6121" i="1"/>
  <c r="M6305" i="1"/>
  <c r="M6420" i="1"/>
  <c r="P6492" i="1"/>
  <c r="N6649" i="1"/>
  <c r="N6542" i="1"/>
  <c r="M6797" i="1"/>
  <c r="P6797" i="1"/>
  <c r="P6656" i="1"/>
  <c r="M6656" i="1"/>
  <c r="P6771" i="1"/>
  <c r="M6771" i="1"/>
  <c r="P6533" i="1"/>
  <c r="P6732" i="1"/>
  <c r="M6732" i="1"/>
  <c r="N6772" i="1"/>
  <c r="P7716" i="1"/>
  <c r="M7716" i="1"/>
  <c r="M6915" i="1"/>
  <c r="P6915" i="1"/>
  <c r="P7830" i="1"/>
  <c r="M7830" i="1"/>
  <c r="P6772" i="1"/>
  <c r="P7535" i="1"/>
  <c r="P7909" i="1"/>
  <c r="P8128" i="1"/>
  <c r="M8128" i="1"/>
  <c r="P8107" i="1"/>
  <c r="M8107" i="1"/>
  <c r="P8127" i="1"/>
  <c r="M8127" i="1"/>
  <c r="P8535" i="1"/>
  <c r="M8535" i="1"/>
  <c r="AC8364" i="1"/>
  <c r="AB8364" i="1" s="1"/>
  <c r="N8364" i="1"/>
  <c r="P9752" i="1"/>
  <c r="M9752" i="1"/>
  <c r="P8261" i="1"/>
  <c r="M8261" i="1"/>
  <c r="P5109" i="1"/>
  <c r="M8042" i="1"/>
  <c r="M8131" i="1"/>
  <c r="M8620" i="1"/>
  <c r="M8869" i="1"/>
  <c r="P8869" i="1"/>
  <c r="N9757" i="1"/>
  <c r="AC9757" i="1"/>
  <c r="AB9757" i="1" s="1"/>
  <c r="P10336" i="1"/>
  <c r="P10339" i="1"/>
  <c r="P8039" i="1"/>
  <c r="M8039" i="1"/>
  <c r="P8110" i="1"/>
  <c r="M8110" i="1"/>
  <c r="M8130" i="1"/>
  <c r="N8344" i="1"/>
  <c r="AC8344" i="1"/>
  <c r="AB8344" i="1" s="1"/>
  <c r="P8629" i="1"/>
  <c r="P9193" i="1"/>
  <c r="M9193" i="1"/>
  <c r="M9816" i="1"/>
  <c r="P9816" i="1"/>
  <c r="P2271" i="1"/>
  <c r="P2347" i="1"/>
  <c r="P2406" i="1"/>
  <c r="P4589" i="1"/>
  <c r="M4622" i="1"/>
  <c r="N4622" i="1" s="1"/>
  <c r="P4622" i="1"/>
  <c r="M10339" i="1"/>
  <c r="AC10339" i="1" s="1"/>
  <c r="AB10339" i="1" s="1"/>
  <c r="P8463" i="1"/>
  <c r="M8463" i="1"/>
  <c r="M8629" i="1"/>
  <c r="M9800" i="1"/>
  <c r="P9800" i="1"/>
  <c r="P8622" i="1"/>
  <c r="M8622" i="1"/>
  <c r="P8109" i="1"/>
  <c r="M8109" i="1"/>
  <c r="P9190" i="1"/>
  <c r="M9190" i="1"/>
  <c r="P8260" i="1"/>
  <c r="M8260" i="1"/>
  <c r="M8461" i="1"/>
  <c r="M8867" i="1"/>
  <c r="M8871" i="1"/>
  <c r="P8871" i="1"/>
  <c r="N9641" i="1"/>
  <c r="M9188" i="1"/>
  <c r="M9578" i="1"/>
  <c r="P9578" i="1"/>
  <c r="P4665" i="1"/>
  <c r="N10341" i="1"/>
  <c r="N10478" i="1"/>
  <c r="M8460" i="1"/>
  <c r="M9857" i="1"/>
  <c r="P9857" i="1"/>
  <c r="P8211" i="1"/>
  <c r="M8211" i="1"/>
  <c r="AC8499" i="1"/>
  <c r="AB8499" i="1" s="1"/>
  <c r="N8499" i="1"/>
  <c r="P8662" i="1"/>
  <c r="M8662" i="1"/>
  <c r="P8868" i="1"/>
  <c r="M8868" i="1"/>
  <c r="P718" i="1"/>
  <c r="P760" i="1"/>
  <c r="P1287" i="1"/>
  <c r="P1517" i="1"/>
  <c r="P1519" i="1"/>
  <c r="P8364" i="1"/>
  <c r="P8496" i="1"/>
  <c r="M8496" i="1"/>
  <c r="AC9759" i="1"/>
  <c r="AB9759" i="1" s="1"/>
  <c r="N9759" i="1"/>
  <c r="P8278" i="1"/>
  <c r="M8278" i="1"/>
  <c r="P8345" i="1"/>
  <c r="M8345" i="1"/>
  <c r="P9191" i="1"/>
  <c r="M9191" i="1"/>
  <c r="N4492" i="1"/>
  <c r="AC4492" i="1"/>
  <c r="AB4492" i="1" s="1"/>
  <c r="Q4492" i="1" s="1"/>
  <c r="R4492" i="1" s="1"/>
  <c r="T4492" i="1" s="1"/>
  <c r="P9791" i="1"/>
  <c r="M9791" i="1"/>
  <c r="P9796" i="1"/>
  <c r="M9796" i="1"/>
  <c r="P4659" i="1"/>
  <c r="P9055" i="1"/>
  <c r="M9055" i="1"/>
  <c r="P8346" i="1"/>
  <c r="M8346" i="1"/>
  <c r="P8584" i="1"/>
  <c r="M8584" i="1"/>
  <c r="AC9855" i="1"/>
  <c r="AB9855" i="1" s="1"/>
  <c r="M9856" i="1"/>
  <c r="P9756" i="1"/>
  <c r="M9756" i="1"/>
  <c r="P9187" i="1"/>
  <c r="M9187" i="1"/>
  <c r="P1404" i="1"/>
  <c r="AC4659" i="1"/>
  <c r="AB4659" i="1" s="1"/>
  <c r="N4665" i="1"/>
  <c r="AC4665" i="1"/>
  <c r="AB4665" i="1" s="1"/>
  <c r="Q4665" i="1" s="1"/>
  <c r="R4665" i="1" s="1"/>
  <c r="T4665" i="1" s="1"/>
  <c r="M10342" i="1"/>
  <c r="AC10342" i="1" s="1"/>
  <c r="AB10342" i="1" s="1"/>
  <c r="M9185" i="1"/>
  <c r="P9185" i="1"/>
  <c r="P9642" i="1"/>
  <c r="M9642" i="1"/>
  <c r="M1676" i="1"/>
  <c r="N1676" i="1" s="1"/>
  <c r="P1676" i="1"/>
  <c r="M3690" i="1"/>
  <c r="N3690" i="1" s="1"/>
  <c r="P3690" i="1"/>
  <c r="P8106" i="1"/>
  <c r="M8106" i="1"/>
  <c r="P8682" i="1"/>
  <c r="M8682" i="1"/>
  <c r="P9780" i="1"/>
  <c r="M9780" i="1"/>
  <c r="P8626" i="1"/>
  <c r="M8626" i="1"/>
  <c r="P9790" i="1"/>
  <c r="M9790" i="1"/>
  <c r="M9805" i="1"/>
  <c r="P9805" i="1"/>
  <c r="P3691" i="1"/>
  <c r="P4493" i="1"/>
  <c r="Q10478" i="1"/>
  <c r="R10478" i="1" s="1"/>
  <c r="T10478" i="1" s="1"/>
  <c r="M9794" i="1"/>
  <c r="P9794" i="1"/>
  <c r="M9795" i="1"/>
  <c r="P9795" i="1"/>
  <c r="P8040" i="1"/>
  <c r="P8500" i="1"/>
  <c r="M8500" i="1"/>
  <c r="M9793" i="1"/>
  <c r="P9793" i="1"/>
  <c r="M8040" i="1"/>
  <c r="P10474" i="1"/>
  <c r="AC8665" i="1"/>
  <c r="AB8665" i="1" s="1"/>
  <c r="P9194" i="1"/>
  <c r="M9194" i="1"/>
  <c r="P9750" i="1"/>
  <c r="M9750" i="1"/>
  <c r="M8872" i="1"/>
  <c r="P8872" i="1"/>
  <c r="M9772" i="1"/>
  <c r="P9772" i="1"/>
  <c r="P4357" i="1"/>
  <c r="P9196" i="1"/>
  <c r="M9196" i="1"/>
  <c r="M9777" i="1"/>
  <c r="M9818" i="1"/>
  <c r="P9818" i="1"/>
  <c r="M9830" i="1"/>
  <c r="M8347" i="1"/>
  <c r="P8347" i="1"/>
  <c r="P8567" i="1"/>
  <c r="M8870" i="1"/>
  <c r="P8870" i="1"/>
  <c r="M9056" i="1"/>
  <c r="P9056" i="1"/>
  <c r="AC9828" i="1"/>
  <c r="AB9828" i="1" s="1"/>
  <c r="M9834" i="1"/>
  <c r="P9834" i="1"/>
  <c r="P753" i="1"/>
  <c r="P1673" i="1"/>
  <c r="P5447" i="1"/>
  <c r="P10506" i="1"/>
  <c r="M8567" i="1"/>
  <c r="M8625" i="1"/>
  <c r="AC9061" i="1"/>
  <c r="AB9061" i="1" s="1"/>
  <c r="M9760" i="1"/>
  <c r="P9760" i="1"/>
  <c r="AC9762" i="1"/>
  <c r="AB9762" i="1" s="1"/>
  <c r="M9774" i="1"/>
  <c r="M9781" i="1"/>
  <c r="N9828" i="1"/>
  <c r="P4670" i="1"/>
  <c r="P10344" i="1"/>
  <c r="P8665" i="1"/>
  <c r="P9707" i="1"/>
  <c r="M9707" i="1"/>
  <c r="N9762" i="1"/>
  <c r="AC9767" i="1"/>
  <c r="AB9767" i="1" s="1"/>
  <c r="P9708" i="1"/>
  <c r="M9708" i="1"/>
  <c r="N9753" i="1"/>
  <c r="AC9753" i="1"/>
  <c r="AB9753" i="1" s="1"/>
  <c r="P9758" i="1"/>
  <c r="M9758" i="1"/>
  <c r="M9755" i="1"/>
  <c r="P9755" i="1"/>
  <c r="P9785" i="1"/>
  <c r="M9785" i="1"/>
  <c r="N9807" i="1"/>
  <c r="AC9807" i="1"/>
  <c r="AB9807" i="1" s="1"/>
  <c r="P9819" i="1"/>
  <c r="M9819" i="1"/>
  <c r="P8365" i="1"/>
  <c r="P8462" i="1"/>
  <c r="P8498" i="1"/>
  <c r="P8501" i="1"/>
  <c r="P8534" i="1"/>
  <c r="P8551" i="1"/>
  <c r="P8568" i="1"/>
  <c r="P8585" i="1"/>
  <c r="P8618" i="1"/>
  <c r="P8621" i="1"/>
  <c r="P8624" i="1"/>
  <c r="P8627" i="1"/>
  <c r="P8630" i="1"/>
  <c r="P8661" i="1"/>
  <c r="P9753" i="1"/>
  <c r="M9754" i="1"/>
  <c r="M9779" i="1"/>
  <c r="P9779" i="1"/>
  <c r="M9846" i="1"/>
  <c r="P9846" i="1"/>
  <c r="M9783" i="1"/>
  <c r="P9783" i="1"/>
  <c r="AC9799" i="1"/>
  <c r="AB9799" i="1" s="1"/>
  <c r="M9806" i="1"/>
  <c r="P9806" i="1"/>
  <c r="P9807" i="1"/>
  <c r="AC9836" i="1"/>
  <c r="AB9836" i="1" s="1"/>
  <c r="AC9763" i="1"/>
  <c r="AB9763" i="1" s="1"/>
  <c r="M9765" i="1"/>
  <c r="P9765" i="1"/>
  <c r="M9773" i="1"/>
  <c r="P9773" i="1"/>
  <c r="M9852" i="1"/>
  <c r="P9852" i="1"/>
  <c r="N9763" i="1"/>
  <c r="M9769" i="1"/>
  <c r="P9769" i="1"/>
  <c r="M9778" i="1"/>
  <c r="P9782" i="1"/>
  <c r="M9782" i="1"/>
  <c r="M9709" i="1"/>
  <c r="P9709" i="1"/>
  <c r="P9749" i="1"/>
  <c r="M9749" i="1"/>
  <c r="AC9770" i="1"/>
  <c r="AB9770" i="1" s="1"/>
  <c r="AC9771" i="1"/>
  <c r="AB9771" i="1" s="1"/>
  <c r="P9763" i="1"/>
  <c r="N9770" i="1"/>
  <c r="N9771" i="1"/>
  <c r="M9801" i="1"/>
  <c r="P9801" i="1"/>
  <c r="N9817" i="1"/>
  <c r="AC9817" i="1"/>
  <c r="AB9817" i="1" s="1"/>
  <c r="P9837" i="1"/>
  <c r="P9838" i="1"/>
  <c r="M9838" i="1"/>
  <c r="M9844" i="1"/>
  <c r="P9751" i="1"/>
  <c r="M9751" i="1"/>
  <c r="N9823" i="1"/>
  <c r="M9841" i="1"/>
  <c r="P9841" i="1"/>
  <c r="M9675" i="1"/>
  <c r="M9766" i="1"/>
  <c r="P9766" i="1"/>
  <c r="P9808" i="1"/>
  <c r="M9808" i="1"/>
  <c r="AC9824" i="1"/>
  <c r="AB9824" i="1" s="1"/>
  <c r="N9824" i="1"/>
  <c r="M9825" i="1"/>
  <c r="P9825" i="1"/>
  <c r="N9826" i="1"/>
  <c r="M9832" i="1"/>
  <c r="P9832" i="1"/>
  <c r="M9843" i="1"/>
  <c r="P9843" i="1"/>
  <c r="P9761" i="1"/>
  <c r="M9761" i="1"/>
  <c r="M9775" i="1"/>
  <c r="P9775" i="1"/>
  <c r="P9786" i="1"/>
  <c r="M9786" i="1"/>
  <c r="P9821" i="1"/>
  <c r="M9821" i="1"/>
  <c r="P9823" i="1"/>
  <c r="N9748" i="1"/>
  <c r="P9776" i="1"/>
  <c r="M9776" i="1"/>
  <c r="M9789" i="1"/>
  <c r="P9789" i="1"/>
  <c r="AC9813" i="1"/>
  <c r="AB9813" i="1" s="1"/>
  <c r="M9814" i="1"/>
  <c r="P9814" i="1"/>
  <c r="AC9823" i="1"/>
  <c r="AB9823" i="1" s="1"/>
  <c r="P9826" i="1"/>
  <c r="M9827" i="1"/>
  <c r="P9827" i="1"/>
  <c r="M9831" i="1"/>
  <c r="P9831" i="1"/>
  <c r="M9833" i="1"/>
  <c r="P9833" i="1"/>
  <c r="M9802" i="1"/>
  <c r="P9802" i="1"/>
  <c r="AC9803" i="1"/>
  <c r="AB9803" i="1" s="1"/>
  <c r="N9803" i="1"/>
  <c r="AC9810" i="1"/>
  <c r="AB9810" i="1" s="1"/>
  <c r="N9810" i="1"/>
  <c r="N9847" i="1"/>
  <c r="AC9847" i="1"/>
  <c r="AB9847" i="1" s="1"/>
  <c r="P9784" i="1"/>
  <c r="P9848" i="1"/>
  <c r="M9848" i="1"/>
  <c r="P9787" i="1"/>
  <c r="N9798" i="1"/>
  <c r="P9810" i="1"/>
  <c r="P9847" i="1"/>
  <c r="AC9851" i="1"/>
  <c r="AB9851" i="1" s="1"/>
  <c r="N9851" i="1"/>
  <c r="P9853" i="1"/>
  <c r="M9853" i="1"/>
  <c r="P9858" i="1"/>
  <c r="M9858" i="1"/>
  <c r="P9829" i="1"/>
  <c r="M9784" i="1"/>
  <c r="M9829" i="1"/>
  <c r="M9837" i="1"/>
  <c r="M9845" i="1"/>
  <c r="P9845" i="1"/>
  <c r="AC9842" i="1"/>
  <c r="AB9842" i="1" s="1"/>
  <c r="N9842" i="1"/>
  <c r="M9854" i="1"/>
  <c r="P9854" i="1"/>
  <c r="P4374" i="1"/>
  <c r="M4374" i="1"/>
  <c r="AC4374" i="1" s="1"/>
  <c r="AB4374" i="1" s="1"/>
  <c r="Q4374" i="1" s="1"/>
  <c r="R4374" i="1" s="1"/>
  <c r="T4374" i="1" s="1"/>
  <c r="P10500" i="1"/>
  <c r="M10500" i="1"/>
  <c r="P4437" i="1"/>
  <c r="M4437" i="1"/>
  <c r="AC4437" i="1" s="1"/>
  <c r="AB4437" i="1" s="1"/>
  <c r="N4972" i="1"/>
  <c r="AC4972" i="1"/>
  <c r="AB4972" i="1" s="1"/>
  <c r="H4972" i="1" s="1"/>
  <c r="I4972" i="1" s="1"/>
  <c r="M717" i="1"/>
  <c r="P717" i="1"/>
  <c r="AC5445" i="1"/>
  <c r="AB5445" i="1" s="1"/>
  <c r="Q5445" i="1" s="1"/>
  <c r="R5445" i="1" s="1"/>
  <c r="T5445" i="1" s="1"/>
  <c r="N5445" i="1"/>
  <c r="P10504" i="1"/>
  <c r="M10504" i="1"/>
  <c r="M4668" i="1"/>
  <c r="P4668" i="1"/>
  <c r="P4971" i="1"/>
  <c r="M4971" i="1"/>
  <c r="AC4971" i="1" s="1"/>
  <c r="AB4971" i="1" s="1"/>
  <c r="P10345" i="1"/>
  <c r="M10345" i="1"/>
  <c r="M10486" i="1"/>
  <c r="P10486" i="1"/>
  <c r="P10338" i="1"/>
  <c r="M10338" i="1"/>
  <c r="N4359" i="1"/>
  <c r="P4372" i="1"/>
  <c r="N4589" i="1"/>
  <c r="AC4589" i="1"/>
  <c r="AB4589" i="1" s="1"/>
  <c r="N5550" i="1"/>
  <c r="AC5550" i="1"/>
  <c r="AB5550" i="1" s="1"/>
  <c r="Q5550" i="1" s="1"/>
  <c r="R5550" i="1" s="1"/>
  <c r="T5550" i="1" s="1"/>
  <c r="P10340" i="1"/>
  <c r="P10482" i="1"/>
  <c r="M10493" i="1"/>
  <c r="AB3160" i="1"/>
  <c r="H3160" i="1" s="1"/>
  <c r="I3160" i="1" s="1"/>
  <c r="P4359" i="1"/>
  <c r="P4200" i="1"/>
  <c r="P10509" i="1"/>
  <c r="M10509" i="1"/>
  <c r="N10340" i="1"/>
  <c r="AC10340" i="1"/>
  <c r="AB10340" i="1" s="1"/>
  <c r="P2576" i="1"/>
  <c r="P3734" i="1"/>
  <c r="P5545" i="1"/>
  <c r="M5448" i="1"/>
  <c r="AC5448" i="1" s="1"/>
  <c r="AB5448" i="1" s="1"/>
  <c r="P5448" i="1"/>
  <c r="M3691" i="1"/>
  <c r="N3691" i="1" s="1"/>
  <c r="P4662" i="1"/>
  <c r="M10346" i="1"/>
  <c r="P10346" i="1"/>
  <c r="N10505" i="1"/>
  <c r="P4972" i="1"/>
  <c r="M10344" i="1"/>
  <c r="M10470" i="1"/>
  <c r="P10470" i="1"/>
  <c r="P2775" i="1"/>
  <c r="M3162" i="1"/>
  <c r="N3162" i="1" s="1"/>
  <c r="P3162" i="1"/>
  <c r="AB3735" i="1"/>
  <c r="AC4662" i="1"/>
  <c r="AB4662" i="1" s="1"/>
  <c r="P3161" i="1"/>
  <c r="M3161" i="1"/>
  <c r="AC3161" i="1" s="1"/>
  <c r="AB3161" i="1" s="1"/>
  <c r="P4201" i="1"/>
  <c r="M4201" i="1"/>
  <c r="AC4201" i="1" s="1"/>
  <c r="AB4201" i="1" s="1"/>
  <c r="Q4201" i="1" s="1"/>
  <c r="R4201" i="1" s="1"/>
  <c r="T4201" i="1" s="1"/>
  <c r="N10337" i="1"/>
  <c r="AC10337" i="1"/>
  <c r="AB10337" i="1" s="1"/>
  <c r="N5545" i="1"/>
  <c r="P10337" i="1"/>
  <c r="N10482" i="1"/>
  <c r="M1775" i="1"/>
  <c r="N1775" i="1" s="1"/>
  <c r="P1775" i="1"/>
  <c r="M1464" i="1"/>
  <c r="N1464" i="1" s="1"/>
  <c r="P1464" i="1"/>
  <c r="N3732" i="1"/>
  <c r="AC3732" i="1"/>
  <c r="AB3732" i="1" s="1"/>
  <c r="P5444" i="1"/>
  <c r="P772" i="1"/>
  <c r="P1405" i="1"/>
  <c r="N3735" i="1"/>
  <c r="M4491" i="1"/>
  <c r="N4491" i="1" s="1"/>
  <c r="P4491" i="1"/>
  <c r="M5444" i="1"/>
  <c r="AC10336" i="1"/>
  <c r="AB10336" i="1" s="1"/>
  <c r="N10336" i="1"/>
  <c r="M10427" i="1"/>
  <c r="P10505" i="1"/>
  <c r="P3735" i="1"/>
  <c r="AB4359" i="1"/>
  <c r="H4359" i="1" s="1"/>
  <c r="I4359" i="1" s="1"/>
  <c r="M4366" i="1"/>
  <c r="P4366" i="1"/>
  <c r="P4396" i="1"/>
  <c r="M1288" i="1"/>
  <c r="N1288" i="1" s="1"/>
  <c r="P1288" i="1"/>
  <c r="P2769" i="1"/>
  <c r="P3687" i="1"/>
  <c r="AB4200" i="1"/>
  <c r="Q4200" i="1" s="1"/>
  <c r="R4200" i="1" s="1"/>
  <c r="T4200" i="1" s="1"/>
  <c r="P4414" i="1"/>
  <c r="M4414" i="1"/>
  <c r="P2478" i="1"/>
  <c r="P2772" i="1"/>
  <c r="P757" i="1"/>
  <c r="P3733" i="1"/>
  <c r="P4261" i="1"/>
  <c r="P4973" i="1"/>
  <c r="N10343" i="1"/>
  <c r="N10474" i="1"/>
  <c r="P707" i="1"/>
  <c r="P710" i="1"/>
  <c r="P754" i="1"/>
  <c r="P765" i="1"/>
  <c r="P4436" i="1"/>
  <c r="P2413" i="1"/>
  <c r="P4397" i="1"/>
  <c r="P4979" i="1"/>
  <c r="P10341" i="1"/>
  <c r="P10478" i="1"/>
  <c r="P1432" i="1"/>
  <c r="AC764" i="1"/>
  <c r="AB764" i="1" s="1"/>
  <c r="N764" i="1"/>
  <c r="P2937" i="1"/>
  <c r="M2937" i="1"/>
  <c r="P4623" i="1"/>
  <c r="M4623" i="1"/>
  <c r="AC2191" i="1"/>
  <c r="AB2191" i="1" s="1"/>
  <c r="M706" i="1"/>
  <c r="N706" i="1" s="1"/>
  <c r="P706" i="1"/>
  <c r="AC2576" i="1"/>
  <c r="AB2576" i="1" s="1"/>
  <c r="AC2769" i="1"/>
  <c r="AB2769" i="1" s="1"/>
  <c r="M2414" i="1"/>
  <c r="P2414" i="1"/>
  <c r="M3159" i="1"/>
  <c r="P3159" i="1"/>
  <c r="P4666" i="1"/>
  <c r="M4666" i="1"/>
  <c r="M735" i="1"/>
  <c r="N735" i="1" s="1"/>
  <c r="P735" i="1"/>
  <c r="AC3734" i="1"/>
  <c r="AB3734" i="1" s="1"/>
  <c r="N3734" i="1"/>
  <c r="P3879" i="1"/>
  <c r="M3879" i="1"/>
  <c r="P2480" i="1"/>
  <c r="M2480" i="1"/>
  <c r="M3688" i="1"/>
  <c r="P3688" i="1"/>
  <c r="P4660" i="1"/>
  <c r="M4660" i="1"/>
  <c r="P3459" i="1"/>
  <c r="M3459" i="1"/>
  <c r="AC2478" i="1"/>
  <c r="AB2478" i="1" s="1"/>
  <c r="AC2772" i="1"/>
  <c r="AB2772" i="1" s="1"/>
  <c r="N3878" i="1"/>
  <c r="AC3878" i="1"/>
  <c r="AB3878" i="1" s="1"/>
  <c r="N2772" i="1"/>
  <c r="P3156" i="1"/>
  <c r="M4396" i="1"/>
  <c r="P771" i="1"/>
  <c r="M2479" i="1"/>
  <c r="P2479" i="1"/>
  <c r="P3878" i="1"/>
  <c r="P2415" i="1"/>
  <c r="M2415" i="1"/>
  <c r="P2575" i="1"/>
  <c r="M2575" i="1"/>
  <c r="N2576" i="1"/>
  <c r="P2768" i="1"/>
  <c r="M2768" i="1"/>
  <c r="N2769" i="1"/>
  <c r="M4357" i="1"/>
  <c r="M2770" i="1"/>
  <c r="P2770" i="1"/>
  <c r="M3163" i="1"/>
  <c r="P3163" i="1"/>
  <c r="P4204" i="1"/>
  <c r="M4204" i="1"/>
  <c r="P4984" i="1"/>
  <c r="M4984" i="1"/>
  <c r="P2191" i="1"/>
  <c r="AC2775" i="1"/>
  <c r="AB2775" i="1" s="1"/>
  <c r="AC4397" i="1"/>
  <c r="AB4397" i="1" s="1"/>
  <c r="N4397" i="1"/>
  <c r="M772" i="1"/>
  <c r="AC3156" i="1"/>
  <c r="AB3156" i="1" s="1"/>
  <c r="N3156" i="1"/>
  <c r="M3733" i="1"/>
  <c r="P3736" i="1"/>
  <c r="M3736" i="1"/>
  <c r="P5546" i="1"/>
  <c r="M5546" i="1"/>
  <c r="P3158" i="1"/>
  <c r="M3158" i="1"/>
  <c r="M755" i="1"/>
  <c r="AC755" i="1" s="1"/>
  <c r="AB755" i="1" s="1"/>
  <c r="P755" i="1"/>
  <c r="M3157" i="1"/>
  <c r="M3687" i="1"/>
  <c r="M2773" i="1"/>
  <c r="P2773" i="1"/>
  <c r="P4390" i="1"/>
  <c r="M4390" i="1"/>
  <c r="M765" i="1"/>
  <c r="N765" i="1" s="1"/>
  <c r="P1372" i="1"/>
  <c r="M1372" i="1"/>
  <c r="N1372" i="1" s="1"/>
  <c r="AC2413" i="1"/>
  <c r="AB2413" i="1" s="1"/>
  <c r="M4398" i="1"/>
  <c r="P4398" i="1"/>
  <c r="M2574" i="1"/>
  <c r="P2574" i="1"/>
  <c r="P4202" i="1"/>
  <c r="M4202" i="1"/>
  <c r="P2670" i="1"/>
  <c r="M2670" i="1"/>
  <c r="P4588" i="1"/>
  <c r="M4588" i="1"/>
  <c r="P4625" i="1"/>
  <c r="M4625" i="1"/>
  <c r="N2478" i="1"/>
  <c r="P2771" i="1"/>
  <c r="M2771" i="1"/>
  <c r="P4358" i="1"/>
  <c r="M4358" i="1"/>
  <c r="M762" i="1"/>
  <c r="AC762" i="1" s="1"/>
  <c r="AB762" i="1" s="1"/>
  <c r="P762" i="1"/>
  <c r="P769" i="1"/>
  <c r="M769" i="1"/>
  <c r="P2412" i="1"/>
  <c r="M2412" i="1"/>
  <c r="N2413" i="1"/>
  <c r="AC3666" i="1"/>
  <c r="AB3666" i="1" s="1"/>
  <c r="P3667" i="1"/>
  <c r="M3667" i="1"/>
  <c r="P4121" i="1"/>
  <c r="M4121" i="1"/>
  <c r="AC4372" i="1"/>
  <c r="AB4372" i="1" s="1"/>
  <c r="P4658" i="1"/>
  <c r="M4658" i="1"/>
  <c r="M1517" i="1"/>
  <c r="N1517" i="1" s="1"/>
  <c r="P1675" i="1"/>
  <c r="N3160" i="1"/>
  <c r="P3164" i="1"/>
  <c r="P2404" i="1"/>
  <c r="M4262" i="1"/>
  <c r="P4262" i="1"/>
  <c r="M5548" i="1"/>
  <c r="P5548" i="1"/>
  <c r="P2190" i="1"/>
  <c r="P764" i="1"/>
  <c r="P5549" i="1"/>
  <c r="M5549" i="1"/>
  <c r="P2405" i="1"/>
  <c r="P4669" i="1"/>
  <c r="M4669" i="1"/>
  <c r="P7912" i="1"/>
  <c r="M7912" i="1"/>
  <c r="M760" i="1"/>
  <c r="N760" i="1" s="1"/>
  <c r="P161" i="1"/>
  <c r="P191" i="1"/>
  <c r="P708" i="1"/>
  <c r="M708" i="1"/>
  <c r="AC708" i="1" s="1"/>
  <c r="AB708" i="1" s="1"/>
  <c r="P759" i="1"/>
  <c r="M4373" i="1"/>
  <c r="P4373" i="1"/>
  <c r="M4415" i="1"/>
  <c r="P4415" i="1"/>
  <c r="M1285" i="1"/>
  <c r="AC1285" i="1" s="1"/>
  <c r="AB1285" i="1" s="1"/>
  <c r="AC2405" i="1"/>
  <c r="AB2405" i="1" s="1"/>
  <c r="AB1963" i="1"/>
  <c r="Q1963" i="1" s="1"/>
  <c r="R1963" i="1" s="1"/>
  <c r="T1963" i="1" s="1"/>
  <c r="AC3645" i="1"/>
  <c r="AB3645" i="1" s="1"/>
  <c r="P4464" i="1"/>
  <c r="M4464" i="1"/>
  <c r="P4661" i="1"/>
  <c r="M4661" i="1"/>
  <c r="P5112" i="1"/>
  <c r="M5112" i="1"/>
  <c r="N4436" i="1"/>
  <c r="AC4436" i="1"/>
  <c r="AB4436" i="1" s="1"/>
  <c r="N3164" i="1"/>
  <c r="N4372" i="1"/>
  <c r="P3689" i="1"/>
  <c r="M3689" i="1"/>
  <c r="P1552" i="1"/>
  <c r="AC3164" i="1"/>
  <c r="AB3164" i="1" s="1"/>
  <c r="M3524" i="1"/>
  <c r="P3524" i="1"/>
  <c r="N3645" i="1"/>
  <c r="M5547" i="1"/>
  <c r="P5547" i="1"/>
  <c r="P713" i="1"/>
  <c r="M3900" i="1"/>
  <c r="P3900" i="1"/>
  <c r="P4180" i="1"/>
  <c r="M4180" i="1"/>
  <c r="M4203" i="1"/>
  <c r="P4203" i="1"/>
  <c r="P4590" i="1"/>
  <c r="M4590" i="1"/>
  <c r="P4664" i="1"/>
  <c r="M4664" i="1"/>
  <c r="P4980" i="1"/>
  <c r="M4980" i="1"/>
  <c r="P5110" i="1"/>
  <c r="M5110" i="1"/>
  <c r="AC4261" i="1"/>
  <c r="AB4261" i="1" s="1"/>
  <c r="N4261" i="1"/>
  <c r="P3732" i="1"/>
  <c r="P3776" i="1"/>
  <c r="P4982" i="1"/>
  <c r="M4982" i="1"/>
  <c r="N4458" i="1"/>
  <c r="AC4458" i="1"/>
  <c r="AB4458" i="1" s="1"/>
  <c r="M3776" i="1"/>
  <c r="P4657" i="1"/>
  <c r="M4657" i="1"/>
  <c r="P4663" i="1"/>
  <c r="M4663" i="1"/>
  <c r="M4973" i="1"/>
  <c r="P3960" i="1"/>
  <c r="M3960" i="1"/>
  <c r="N4493" i="1"/>
  <c r="AC4493" i="1"/>
  <c r="AB4493" i="1" s="1"/>
  <c r="AC4975" i="1"/>
  <c r="AB4975" i="1" s="1"/>
  <c r="AC4365" i="1"/>
  <c r="AB4365" i="1" s="1"/>
  <c r="N4365" i="1"/>
  <c r="P4494" i="1"/>
  <c r="M4494" i="1"/>
  <c r="AC4974" i="1"/>
  <c r="AB4974" i="1" s="1"/>
  <c r="N4974" i="1"/>
  <c r="N4975" i="1"/>
  <c r="M4979" i="1"/>
  <c r="AC5109" i="1"/>
  <c r="AB5109" i="1" s="1"/>
  <c r="M5543" i="1"/>
  <c r="P5543" i="1"/>
  <c r="P4667" i="1"/>
  <c r="M4667" i="1"/>
  <c r="M4978" i="1"/>
  <c r="P4978" i="1"/>
  <c r="N4200" i="1"/>
  <c r="P4974" i="1"/>
  <c r="P4975" i="1"/>
  <c r="P4981" i="1"/>
  <c r="M4981" i="1"/>
  <c r="P4485" i="1"/>
  <c r="M4485" i="1"/>
  <c r="P4492" i="1"/>
  <c r="M5113" i="1"/>
  <c r="P5113" i="1"/>
  <c r="AC4670" i="1"/>
  <c r="AB4670" i="1" s="1"/>
  <c r="N4670" i="1"/>
  <c r="P4976" i="1"/>
  <c r="M4976" i="1"/>
  <c r="AC4977" i="1"/>
  <c r="AB4977" i="1" s="1"/>
  <c r="M4983" i="1"/>
  <c r="P4983" i="1"/>
  <c r="P5542" i="1"/>
  <c r="M5542" i="1"/>
  <c r="P5446" i="1"/>
  <c r="M5446" i="1"/>
  <c r="P5111" i="1"/>
  <c r="P5544" i="1"/>
  <c r="M5544" i="1"/>
  <c r="M5111" i="1"/>
  <c r="M5611" i="1"/>
  <c r="P5611" i="1"/>
  <c r="P5445" i="1"/>
  <c r="P5550" i="1"/>
  <c r="P758" i="1"/>
  <c r="M758" i="1"/>
  <c r="AC711" i="1"/>
  <c r="AB711" i="1" s="1"/>
  <c r="N711" i="1"/>
  <c r="M715" i="1"/>
  <c r="P715" i="1"/>
  <c r="P711" i="1"/>
  <c r="P761" i="1"/>
  <c r="M761" i="1"/>
  <c r="N709" i="1"/>
  <c r="AC709" i="1"/>
  <c r="AB709" i="1" s="1"/>
  <c r="P752" i="1"/>
  <c r="M752" i="1"/>
  <c r="M756" i="1"/>
  <c r="AC713" i="1"/>
  <c r="AB713" i="1" s="1"/>
  <c r="P716" i="1"/>
  <c r="M716" i="1"/>
  <c r="P709" i="1"/>
  <c r="P714" i="1"/>
  <c r="M714" i="1"/>
  <c r="AC719" i="1"/>
  <c r="AB719" i="1" s="1"/>
  <c r="N719" i="1"/>
  <c r="P1286" i="1"/>
  <c r="M1286" i="1"/>
  <c r="M1673" i="1"/>
  <c r="M718" i="1"/>
  <c r="N753" i="1"/>
  <c r="M770" i="1"/>
  <c r="N1675" i="1"/>
  <c r="M707" i="1"/>
  <c r="AC771" i="1"/>
  <c r="AB771" i="1" s="1"/>
  <c r="M1519" i="1"/>
  <c r="N771" i="1"/>
  <c r="AC1675" i="1"/>
  <c r="AB1675" i="1" s="1"/>
  <c r="M754" i="1"/>
  <c r="M763" i="1"/>
  <c r="P1284" i="1"/>
  <c r="M1284" i="1"/>
  <c r="M710" i="1"/>
  <c r="P719" i="1"/>
  <c r="AC753" i="1"/>
  <c r="AB753" i="1" s="1"/>
  <c r="N1404" i="1"/>
  <c r="AC1404" i="1"/>
  <c r="AB1404" i="1" s="1"/>
  <c r="N1674" i="1"/>
  <c r="AC1674" i="1"/>
  <c r="AB1674" i="1" s="1"/>
  <c r="P1551" i="1"/>
  <c r="M1551" i="1"/>
  <c r="M1287" i="1"/>
  <c r="P712" i="1"/>
  <c r="AC712" i="1"/>
  <c r="AB712" i="1" s="1"/>
  <c r="P935" i="1"/>
  <c r="M935" i="1"/>
  <c r="M1405" i="1"/>
  <c r="M1432" i="1"/>
  <c r="M751" i="1"/>
  <c r="M757" i="1"/>
  <c r="M759" i="1"/>
  <c r="M1518" i="1"/>
  <c r="M1552" i="1"/>
  <c r="M1672" i="1"/>
  <c r="AC2212" i="1"/>
  <c r="AB2212" i="1" s="1"/>
  <c r="N2212" i="1"/>
  <c r="AB1926" i="1"/>
  <c r="H1926" i="1" s="1"/>
  <c r="I1926" i="1" s="1"/>
  <c r="N2189" i="1"/>
  <c r="AC2189" i="1"/>
  <c r="AB2189" i="1" s="1"/>
  <c r="Q2189" i="1" s="1"/>
  <c r="R2189" i="1" s="1"/>
  <c r="T2189" i="1" s="1"/>
  <c r="M1773" i="1"/>
  <c r="P1773" i="1"/>
  <c r="M526" i="1"/>
  <c r="N526" i="1" s="1"/>
  <c r="P526" i="1"/>
  <c r="P1823" i="1"/>
  <c r="P1782" i="1"/>
  <c r="P2189" i="1"/>
  <c r="P2212" i="1"/>
  <c r="P1961" i="1"/>
  <c r="M1961" i="1"/>
  <c r="AC2410" i="1"/>
  <c r="AB2410" i="1" s="1"/>
  <c r="P1776" i="1"/>
  <c r="P1960" i="1"/>
  <c r="P1784" i="1"/>
  <c r="P1963" i="1"/>
  <c r="P398" i="1"/>
  <c r="P673" i="1"/>
  <c r="P2401" i="1"/>
  <c r="M1774" i="1"/>
  <c r="P1926" i="1"/>
  <c r="P528" i="1"/>
  <c r="M528" i="1"/>
  <c r="AC528" i="1" s="1"/>
  <c r="AB528" i="1" s="1"/>
  <c r="M2406" i="1"/>
  <c r="P1778" i="1"/>
  <c r="M1778" i="1"/>
  <c r="N1778" i="1" s="1"/>
  <c r="M2407" i="1"/>
  <c r="P2407" i="1"/>
  <c r="AC1822" i="1"/>
  <c r="AB1822" i="1" s="1"/>
  <c r="N1822" i="1"/>
  <c r="M705" i="1"/>
  <c r="N705" i="1" s="1"/>
  <c r="P705" i="1"/>
  <c r="P1783" i="1"/>
  <c r="M1783" i="1"/>
  <c r="AC1927" i="1"/>
  <c r="AB1927" i="1" s="1"/>
  <c r="P1781" i="1"/>
  <c r="M1781" i="1"/>
  <c r="P1927" i="1"/>
  <c r="P2408" i="1"/>
  <c r="M2408" i="1"/>
  <c r="M676" i="1"/>
  <c r="AC676" i="1" s="1"/>
  <c r="AB676" i="1" s="1"/>
  <c r="P676" i="1"/>
  <c r="P2055" i="1"/>
  <c r="M2055" i="1"/>
  <c r="M2373" i="1"/>
  <c r="P2373" i="1"/>
  <c r="P1780" i="1"/>
  <c r="M1780" i="1"/>
  <c r="M2271" i="1"/>
  <c r="N2190" i="1"/>
  <c r="AC2190" i="1"/>
  <c r="AB2190" i="1" s="1"/>
  <c r="N1870" i="1"/>
  <c r="AC1870" i="1"/>
  <c r="AB1870" i="1" s="1"/>
  <c r="N2411" i="1"/>
  <c r="P1821" i="1"/>
  <c r="M1821" i="1"/>
  <c r="P1822" i="1"/>
  <c r="P1870" i="1"/>
  <c r="M2347" i="1"/>
  <c r="P2409" i="1"/>
  <c r="M2409" i="1"/>
  <c r="P2411" i="1"/>
  <c r="P2403" i="1"/>
  <c r="M2403" i="1"/>
  <c r="M459" i="1"/>
  <c r="N459" i="1" s="1"/>
  <c r="M2402" i="1"/>
  <c r="P2402" i="1"/>
  <c r="P677" i="1"/>
  <c r="P1824" i="1"/>
  <c r="P2213" i="1"/>
  <c r="M2213" i="1"/>
  <c r="M2401" i="1"/>
  <c r="M1824" i="1"/>
  <c r="N1960" i="1"/>
  <c r="M1850" i="1"/>
  <c r="P1850" i="1"/>
  <c r="P2211" i="1"/>
  <c r="M2211" i="1"/>
  <c r="P2374" i="1"/>
  <c r="P460" i="1"/>
  <c r="AC1782" i="1"/>
  <c r="AB1782" i="1" s="1"/>
  <c r="AC1784" i="1"/>
  <c r="AB1784" i="1" s="1"/>
  <c r="AC1823" i="1"/>
  <c r="AB1823" i="1" s="1"/>
  <c r="N1926" i="1"/>
  <c r="N1963" i="1"/>
  <c r="M2374" i="1"/>
  <c r="AB2411" i="1"/>
  <c r="M2404" i="1"/>
  <c r="P2410" i="1"/>
  <c r="P524" i="1"/>
  <c r="M524" i="1"/>
  <c r="P678" i="1"/>
  <c r="M678" i="1"/>
  <c r="N679" i="1"/>
  <c r="AC679" i="1"/>
  <c r="AB679" i="1" s="1"/>
  <c r="M525" i="1"/>
  <c r="N1779" i="1"/>
  <c r="AC1779" i="1"/>
  <c r="AB1779" i="1" s="1"/>
  <c r="P679" i="1"/>
  <c r="N1776" i="1"/>
  <c r="AC1776" i="1"/>
  <c r="AB1776" i="1" s="1"/>
  <c r="P527" i="1"/>
  <c r="M527" i="1"/>
  <c r="P579" i="1"/>
  <c r="M579" i="1"/>
  <c r="P1779" i="1"/>
  <c r="P1777" i="1"/>
  <c r="M1777" i="1"/>
  <c r="P671" i="1"/>
  <c r="P672" i="1"/>
  <c r="M672" i="1"/>
  <c r="N674" i="1"/>
  <c r="AC674" i="1"/>
  <c r="AB674" i="1" s="1"/>
  <c r="M284" i="1"/>
  <c r="N284" i="1" s="1"/>
  <c r="P284" i="1"/>
  <c r="P397" i="1"/>
  <c r="M397" i="1"/>
  <c r="N397" i="1" s="1"/>
  <c r="N671" i="1"/>
  <c r="AC671" i="1"/>
  <c r="AB671" i="1" s="1"/>
  <c r="M673" i="1"/>
  <c r="P674" i="1"/>
  <c r="P675" i="1"/>
  <c r="M675" i="1"/>
  <c r="N677" i="1"/>
  <c r="AC677" i="1"/>
  <c r="AB677" i="1" s="1"/>
  <c r="AC523" i="1"/>
  <c r="AB523" i="1" s="1"/>
  <c r="N523" i="1"/>
  <c r="P523" i="1"/>
  <c r="P401" i="1"/>
  <c r="P463" i="1"/>
  <c r="M522" i="1"/>
  <c r="P522" i="1"/>
  <c r="M399" i="1"/>
  <c r="P399" i="1"/>
  <c r="M400" i="1"/>
  <c r="M461" i="1"/>
  <c r="P461" i="1"/>
  <c r="M462" i="1"/>
  <c r="N401" i="1"/>
  <c r="AC401" i="1"/>
  <c r="AB401" i="1" s="1"/>
  <c r="N463" i="1"/>
  <c r="AC463" i="1"/>
  <c r="AB463" i="1" s="1"/>
  <c r="AC460" i="1"/>
  <c r="AB460" i="1" s="1"/>
  <c r="N460" i="1"/>
  <c r="M396" i="1"/>
  <c r="P396" i="1"/>
  <c r="M402" i="1"/>
  <c r="P402" i="1"/>
  <c r="AC398" i="1"/>
  <c r="AB398" i="1" s="1"/>
  <c r="N398" i="1"/>
  <c r="M521" i="1"/>
  <c r="P521" i="1"/>
  <c r="M192" i="1"/>
  <c r="P192" i="1"/>
  <c r="P160" i="1"/>
  <c r="M160" i="1"/>
  <c r="M162" i="1"/>
  <c r="P162" i="1"/>
  <c r="M191" i="1"/>
  <c r="M161" i="1"/>
  <c r="M10501" i="1" l="1"/>
  <c r="M10497" i="1"/>
  <c r="P10501" i="1"/>
  <c r="P10367" i="1"/>
  <c r="P10497" i="1"/>
  <c r="M10510" i="1"/>
  <c r="K10511" i="1"/>
  <c r="M10511" i="1" s="1"/>
  <c r="AC10511" i="1" s="1"/>
  <c r="AC10512" i="1" s="1"/>
  <c r="AD10512" i="1" s="1"/>
  <c r="P10487" i="1"/>
  <c r="M10487" i="1"/>
  <c r="N10487" i="1" s="1"/>
  <c r="M10506" i="1"/>
  <c r="K10507" i="1"/>
  <c r="M10507" i="1" s="1"/>
  <c r="AC10507" i="1" s="1"/>
  <c r="AC10508" i="1" s="1"/>
  <c r="AD10508" i="1" s="1"/>
  <c r="M10490" i="1"/>
  <c r="N10490" i="1" s="1"/>
  <c r="P10490" i="1"/>
  <c r="P10407" i="1"/>
  <c r="AB10503" i="1"/>
  <c r="AD10502" i="1"/>
  <c r="AD10501" i="1" s="1"/>
  <c r="M10479" i="1"/>
  <c r="N10479" i="1" s="1"/>
  <c r="P10483" i="1"/>
  <c r="P10479" i="1"/>
  <c r="AB10499" i="1"/>
  <c r="AD10498" i="1"/>
  <c r="AD10497" i="1" s="1"/>
  <c r="M10483" i="1"/>
  <c r="AC10483" i="1" s="1"/>
  <c r="M10494" i="1"/>
  <c r="K10495" i="1"/>
  <c r="M10495" i="1" s="1"/>
  <c r="AC10495" i="1" s="1"/>
  <c r="AC10496" i="1" s="1"/>
  <c r="AD10496" i="1" s="1"/>
  <c r="AB10492" i="1"/>
  <c r="AD10491" i="1"/>
  <c r="AD10490" i="1" s="1"/>
  <c r="AB10489" i="1"/>
  <c r="AD10488" i="1"/>
  <c r="AD10487" i="1" s="1"/>
  <c r="M10471" i="1"/>
  <c r="AC10471" i="1" s="1"/>
  <c r="M10447" i="1"/>
  <c r="AC10447" i="1" s="1"/>
  <c r="P10471" i="1"/>
  <c r="AB10485" i="1"/>
  <c r="AD10484" i="1"/>
  <c r="AD10483" i="1" s="1"/>
  <c r="AB10481" i="1"/>
  <c r="AD10480" i="1"/>
  <c r="AD10479" i="1" s="1"/>
  <c r="M10475" i="1"/>
  <c r="K10476" i="1"/>
  <c r="M10476" i="1" s="1"/>
  <c r="AC10476" i="1" s="1"/>
  <c r="AC10477" i="1" s="1"/>
  <c r="AD10477" i="1" s="1"/>
  <c r="AB10473" i="1"/>
  <c r="AD10472" i="1"/>
  <c r="AD10471" i="1" s="1"/>
  <c r="M10347" i="1"/>
  <c r="N10347" i="1" s="1"/>
  <c r="P10428" i="1"/>
  <c r="M10467" i="1"/>
  <c r="K10468" i="1"/>
  <c r="M10468" i="1" s="1"/>
  <c r="AC10468" i="1" s="1"/>
  <c r="AC10469" i="1" s="1"/>
  <c r="AD10469" i="1" s="1"/>
  <c r="K10448" i="1"/>
  <c r="M10448" i="1" s="1"/>
  <c r="AC10448" i="1" s="1"/>
  <c r="K10464" i="1"/>
  <c r="M10464" i="1" s="1"/>
  <c r="AC10464" i="1" s="1"/>
  <c r="AC10465" i="1" s="1"/>
  <c r="AD10465" i="1" s="1"/>
  <c r="K10457" i="1"/>
  <c r="M10457" i="1" s="1"/>
  <c r="AC10457" i="1" s="1"/>
  <c r="K10445" i="1"/>
  <c r="M10445" i="1" s="1"/>
  <c r="AC10445" i="1" s="1"/>
  <c r="AC10446" i="1" s="1"/>
  <c r="AD10446" i="1" s="1"/>
  <c r="K10438" i="1"/>
  <c r="M10438" i="1" s="1"/>
  <c r="AC10438" i="1" s="1"/>
  <c r="K10429" i="1"/>
  <c r="M10429" i="1" s="1"/>
  <c r="AC10429" i="1" s="1"/>
  <c r="M10307" i="1"/>
  <c r="N10307" i="1" s="1"/>
  <c r="K10425" i="1"/>
  <c r="M10425" i="1" s="1"/>
  <c r="AC10425" i="1" s="1"/>
  <c r="AC10426" i="1" s="1"/>
  <c r="AD10426" i="1" s="1"/>
  <c r="K10417" i="1"/>
  <c r="M10417" i="1" s="1"/>
  <c r="AC10417" i="1" s="1"/>
  <c r="K10408" i="1"/>
  <c r="M10408" i="1" s="1"/>
  <c r="AC10408" i="1" s="1"/>
  <c r="M10387" i="1"/>
  <c r="K10405" i="1"/>
  <c r="M10405" i="1" s="1"/>
  <c r="AC10405" i="1" s="1"/>
  <c r="AC10406" i="1" s="1"/>
  <c r="AD10406" i="1" s="1"/>
  <c r="K10388" i="1"/>
  <c r="M10388" i="1" s="1"/>
  <c r="AC10388" i="1" s="1"/>
  <c r="K10397" i="1"/>
  <c r="M10397" i="1" s="1"/>
  <c r="AC10397" i="1" s="1"/>
  <c r="P10307" i="1"/>
  <c r="P10277" i="1"/>
  <c r="K10385" i="1"/>
  <c r="M10385" i="1" s="1"/>
  <c r="AC10385" i="1" s="1"/>
  <c r="AC10386" i="1" s="1"/>
  <c r="AD10386" i="1" s="1"/>
  <c r="K10368" i="1"/>
  <c r="M10368" i="1" s="1"/>
  <c r="AC10368" i="1" s="1"/>
  <c r="K10377" i="1"/>
  <c r="M10377" i="1" s="1"/>
  <c r="AC10377" i="1" s="1"/>
  <c r="M10302" i="1"/>
  <c r="N10302" i="1" s="1"/>
  <c r="P10302" i="1"/>
  <c r="K10357" i="1"/>
  <c r="M10357" i="1" s="1"/>
  <c r="AC10357" i="1" s="1"/>
  <c r="K10348" i="1"/>
  <c r="M10348" i="1" s="1"/>
  <c r="AC10348" i="1" s="1"/>
  <c r="K10365" i="1"/>
  <c r="M10365" i="1" s="1"/>
  <c r="AC10365" i="1" s="1"/>
  <c r="AC10366" i="1" s="1"/>
  <c r="AD10366" i="1" s="1"/>
  <c r="M10292" i="1"/>
  <c r="AC10292" i="1" s="1"/>
  <c r="P10292" i="1"/>
  <c r="M10312" i="1"/>
  <c r="K10313" i="1"/>
  <c r="M10313" i="1" s="1"/>
  <c r="AC10313" i="1" s="1"/>
  <c r="M10287" i="1"/>
  <c r="N10287" i="1" s="1"/>
  <c r="AC10311" i="1"/>
  <c r="AD10311" i="1" s="1"/>
  <c r="AB10311" i="1" s="1"/>
  <c r="AC10310" i="1"/>
  <c r="AD10310" i="1" s="1"/>
  <c r="AB10310" i="1" s="1"/>
  <c r="AC10309" i="1"/>
  <c r="AD10309" i="1" s="1"/>
  <c r="P10287" i="1"/>
  <c r="AC10306" i="1"/>
  <c r="AD10306" i="1" s="1"/>
  <c r="AB10306" i="1" s="1"/>
  <c r="AC10305" i="1"/>
  <c r="AD10305" i="1" s="1"/>
  <c r="AB10305" i="1" s="1"/>
  <c r="AC10304" i="1"/>
  <c r="AD10304" i="1" s="1"/>
  <c r="P10282" i="1"/>
  <c r="M10282" i="1"/>
  <c r="N10282" i="1" s="1"/>
  <c r="M10277" i="1"/>
  <c r="AC10277" i="1" s="1"/>
  <c r="M10297" i="1"/>
  <c r="K10298" i="1"/>
  <c r="M10298" i="1" s="1"/>
  <c r="AC10298" i="1" s="1"/>
  <c r="P10233" i="1"/>
  <c r="AC10295" i="1"/>
  <c r="AD10295" i="1" s="1"/>
  <c r="AB10295" i="1" s="1"/>
  <c r="AC10296" i="1"/>
  <c r="AD10296" i="1" s="1"/>
  <c r="AB10296" i="1" s="1"/>
  <c r="AC10294" i="1"/>
  <c r="AD10294" i="1" s="1"/>
  <c r="AC10291" i="1"/>
  <c r="AD10291" i="1" s="1"/>
  <c r="AB10291" i="1" s="1"/>
  <c r="AC10290" i="1"/>
  <c r="AD10290" i="1" s="1"/>
  <c r="AB10290" i="1" s="1"/>
  <c r="AC10289" i="1"/>
  <c r="AD10289" i="1" s="1"/>
  <c r="AC10286" i="1"/>
  <c r="AD10286" i="1" s="1"/>
  <c r="AB10286" i="1" s="1"/>
  <c r="AC10285" i="1"/>
  <c r="AD10285" i="1" s="1"/>
  <c r="AB10285" i="1" s="1"/>
  <c r="AC10284" i="1"/>
  <c r="AD10284" i="1" s="1"/>
  <c r="AC10281" i="1"/>
  <c r="AD10281" i="1" s="1"/>
  <c r="AB10281" i="1" s="1"/>
  <c r="AC10280" i="1"/>
  <c r="AD10280" i="1" s="1"/>
  <c r="AB10280" i="1" s="1"/>
  <c r="AC10279" i="1"/>
  <c r="AD10279" i="1" s="1"/>
  <c r="K10251" i="1"/>
  <c r="M10251" i="1" s="1"/>
  <c r="AC10251" i="1" s="1"/>
  <c r="K10244" i="1"/>
  <c r="M10244" i="1" s="1"/>
  <c r="AC10244" i="1" s="1"/>
  <c r="K10254" i="1"/>
  <c r="M10254" i="1" s="1"/>
  <c r="AC10254" i="1" s="1"/>
  <c r="K10247" i="1"/>
  <c r="M10247" i="1" s="1"/>
  <c r="AC10247" i="1" s="1"/>
  <c r="K10240" i="1"/>
  <c r="M10240" i="1" s="1"/>
  <c r="AC10240" i="1" s="1"/>
  <c r="P10239" i="1"/>
  <c r="M10258" i="1"/>
  <c r="K10273" i="1"/>
  <c r="M10273" i="1" s="1"/>
  <c r="AC10273" i="1" s="1"/>
  <c r="K10263" i="1"/>
  <c r="M10263" i="1" s="1"/>
  <c r="AC10263" i="1" s="1"/>
  <c r="K10270" i="1"/>
  <c r="M10270" i="1" s="1"/>
  <c r="AC10270" i="1" s="1"/>
  <c r="K10266" i="1"/>
  <c r="M10266" i="1" s="1"/>
  <c r="AC10266" i="1" s="1"/>
  <c r="K10259" i="1"/>
  <c r="M10259" i="1" s="1"/>
  <c r="AC10259" i="1" s="1"/>
  <c r="P10218" i="1"/>
  <c r="AC10238" i="1"/>
  <c r="AD10238" i="1" s="1"/>
  <c r="AB10238" i="1" s="1"/>
  <c r="AC10237" i="1"/>
  <c r="AD10237" i="1" s="1"/>
  <c r="M10239" i="1"/>
  <c r="M10222" i="1"/>
  <c r="AC10222" i="1" s="1"/>
  <c r="M10233" i="1"/>
  <c r="K10234" i="1"/>
  <c r="M10234" i="1" s="1"/>
  <c r="AC10234" i="1" s="1"/>
  <c r="AC10235" i="1" s="1"/>
  <c r="AD10235" i="1" s="1"/>
  <c r="P10222" i="1"/>
  <c r="M10218" i="1"/>
  <c r="N10218" i="1" s="1"/>
  <c r="M10230" i="1"/>
  <c r="K10231" i="1"/>
  <c r="M10231" i="1" s="1"/>
  <c r="AC10231" i="1" s="1"/>
  <c r="M10226" i="1"/>
  <c r="K10227" i="1"/>
  <c r="M10227" i="1" s="1"/>
  <c r="AC10227" i="1" s="1"/>
  <c r="P10206" i="1"/>
  <c r="P10210" i="1"/>
  <c r="M10210" i="1"/>
  <c r="AC10210" i="1" s="1"/>
  <c r="AC10225" i="1"/>
  <c r="AD10225" i="1" s="1"/>
  <c r="AB10225" i="1" s="1"/>
  <c r="AC10224" i="1"/>
  <c r="AD10224" i="1" s="1"/>
  <c r="M10206" i="1"/>
  <c r="AC10206" i="1" s="1"/>
  <c r="AC10221" i="1"/>
  <c r="AD10221" i="1" s="1"/>
  <c r="AB10221" i="1" s="1"/>
  <c r="AC10220" i="1"/>
  <c r="AD10220" i="1" s="1"/>
  <c r="M10202" i="1"/>
  <c r="N10202" i="1" s="1"/>
  <c r="P10198" i="1"/>
  <c r="M10214" i="1"/>
  <c r="K10215" i="1"/>
  <c r="M10215" i="1" s="1"/>
  <c r="AC10215" i="1" s="1"/>
  <c r="P10202" i="1"/>
  <c r="AC10213" i="1"/>
  <c r="AD10213" i="1" s="1"/>
  <c r="AB10213" i="1" s="1"/>
  <c r="AC10212" i="1"/>
  <c r="AD10212" i="1" s="1"/>
  <c r="AC10204" i="1"/>
  <c r="AD10204" i="1" s="1"/>
  <c r="AC10205" i="1"/>
  <c r="AD10205" i="1" s="1"/>
  <c r="AB10205" i="1" s="1"/>
  <c r="M10198" i="1"/>
  <c r="AC10198" i="1" s="1"/>
  <c r="AC10209" i="1"/>
  <c r="AD10209" i="1" s="1"/>
  <c r="AB10209" i="1" s="1"/>
  <c r="AC10208" i="1"/>
  <c r="AD10208" i="1" s="1"/>
  <c r="AC10200" i="1"/>
  <c r="AD10200" i="1" s="1"/>
  <c r="AC10201" i="1"/>
  <c r="AD10201" i="1" s="1"/>
  <c r="AB10201" i="1" s="1"/>
  <c r="M10146" i="1"/>
  <c r="K10147" i="1"/>
  <c r="M10147" i="1" s="1"/>
  <c r="AC10147" i="1" s="1"/>
  <c r="M10153" i="1"/>
  <c r="K10169" i="1"/>
  <c r="M10169" i="1" s="1"/>
  <c r="AC10169" i="1" s="1"/>
  <c r="K10172" i="1"/>
  <c r="M10172" i="1" s="1"/>
  <c r="AC10172" i="1" s="1"/>
  <c r="K10154" i="1"/>
  <c r="M10154" i="1" s="1"/>
  <c r="AC10154" i="1" s="1"/>
  <c r="K10163" i="1"/>
  <c r="M10163" i="1" s="1"/>
  <c r="AC10163" i="1" s="1"/>
  <c r="M10089" i="1"/>
  <c r="AC10089" i="1" s="1"/>
  <c r="M10179" i="1"/>
  <c r="K10188" i="1"/>
  <c r="M10188" i="1" s="1"/>
  <c r="AC10188" i="1" s="1"/>
  <c r="K10191" i="1"/>
  <c r="M10191" i="1" s="1"/>
  <c r="AC10191" i="1" s="1"/>
  <c r="K10182" i="1"/>
  <c r="M10182" i="1" s="1"/>
  <c r="AC10182" i="1" s="1"/>
  <c r="K10180" i="1"/>
  <c r="M10180" i="1" s="1"/>
  <c r="AC10180" i="1" s="1"/>
  <c r="AC10181" i="1" s="1"/>
  <c r="AD10181" i="1" s="1"/>
  <c r="M10127" i="1"/>
  <c r="K10128" i="1"/>
  <c r="M10128" i="1" s="1"/>
  <c r="AC10128" i="1" s="1"/>
  <c r="K10135" i="1"/>
  <c r="M10135" i="1" s="1"/>
  <c r="AC10135" i="1" s="1"/>
  <c r="M10108" i="1"/>
  <c r="K10109" i="1"/>
  <c r="M10109" i="1" s="1"/>
  <c r="AC10109" i="1" s="1"/>
  <c r="K10116" i="1"/>
  <c r="M10116" i="1" s="1"/>
  <c r="AC10116" i="1" s="1"/>
  <c r="K10097" i="1"/>
  <c r="M10097" i="1" s="1"/>
  <c r="AC10097" i="1" s="1"/>
  <c r="K10090" i="1"/>
  <c r="M10090" i="1" s="1"/>
  <c r="AC10090" i="1" s="1"/>
  <c r="M10070" i="1"/>
  <c r="K10071" i="1"/>
  <c r="M10071" i="1" s="1"/>
  <c r="AC10071" i="1" s="1"/>
  <c r="K10078" i="1"/>
  <c r="M10078" i="1" s="1"/>
  <c r="AC10078" i="1" s="1"/>
  <c r="M10067" i="1"/>
  <c r="K10068" i="1"/>
  <c r="M10068" i="1" s="1"/>
  <c r="AC10068" i="1" s="1"/>
  <c r="AC10069" i="1" s="1"/>
  <c r="AD10069" i="1" s="1"/>
  <c r="M10038" i="1"/>
  <c r="K10044" i="1"/>
  <c r="M10044" i="1" s="1"/>
  <c r="AC10044" i="1" s="1"/>
  <c r="K10049" i="1"/>
  <c r="M10049" i="1" s="1"/>
  <c r="AC10049" i="1" s="1"/>
  <c r="K10061" i="1"/>
  <c r="M10061" i="1" s="1"/>
  <c r="AC10061" i="1" s="1"/>
  <c r="AC10062" i="1" s="1"/>
  <c r="AD10062" i="1" s="1"/>
  <c r="K10039" i="1"/>
  <c r="M10039" i="1" s="1"/>
  <c r="AC10039" i="1" s="1"/>
  <c r="K10058" i="1"/>
  <c r="M10058" i="1" s="1"/>
  <c r="AC10058" i="1" s="1"/>
  <c r="K10052" i="1"/>
  <c r="M10052" i="1" s="1"/>
  <c r="AC10052" i="1" s="1"/>
  <c r="K10028" i="1"/>
  <c r="K10033" i="1"/>
  <c r="K10019" i="1"/>
  <c r="M10019" i="1" s="1"/>
  <c r="AC10019" i="1" s="1"/>
  <c r="AC10023" i="1" s="1"/>
  <c r="AD10023" i="1" s="1"/>
  <c r="AB10023" i="1" s="1"/>
  <c r="K10025" i="1"/>
  <c r="M10025" i="1" s="1"/>
  <c r="AC10025" i="1" s="1"/>
  <c r="P10010" i="1"/>
  <c r="M10010" i="1"/>
  <c r="AC10010" i="1" s="1"/>
  <c r="M9990" i="1"/>
  <c r="N9990" i="1" s="1"/>
  <c r="K10011" i="1"/>
  <c r="M10011" i="1" s="1"/>
  <c r="AC10011" i="1" s="1"/>
  <c r="AC10015" i="1" s="1"/>
  <c r="AD10015" i="1" s="1"/>
  <c r="AB10015" i="1" s="1"/>
  <c r="K10016" i="1"/>
  <c r="M10016" i="1" s="1"/>
  <c r="AC10016" i="1" s="1"/>
  <c r="P9926" i="1"/>
  <c r="M9984" i="1"/>
  <c r="N9984" i="1" s="1"/>
  <c r="P9984" i="1"/>
  <c r="K10000" i="1"/>
  <c r="M10000" i="1" s="1"/>
  <c r="AC10000" i="1" s="1"/>
  <c r="K9991" i="1"/>
  <c r="M9991" i="1" s="1"/>
  <c r="AC9991" i="1" s="1"/>
  <c r="AC9992" i="1" s="1"/>
  <c r="K9993" i="1"/>
  <c r="M9993" i="1" s="1"/>
  <c r="AC9993" i="1" s="1"/>
  <c r="K10003" i="1"/>
  <c r="M10003" i="1" s="1"/>
  <c r="AC10003" i="1" s="1"/>
  <c r="P9917" i="1"/>
  <c r="M9987" i="1"/>
  <c r="K9988" i="1"/>
  <c r="M9988" i="1" s="1"/>
  <c r="AC9988" i="1" s="1"/>
  <c r="AC9989" i="1" s="1"/>
  <c r="AD9989" i="1" s="1"/>
  <c r="AB9986" i="1"/>
  <c r="AD9985" i="1"/>
  <c r="AD9984" i="1" s="1"/>
  <c r="P9932" i="1"/>
  <c r="M9932" i="1"/>
  <c r="AC9932" i="1" s="1"/>
  <c r="M9965" i="1"/>
  <c r="K9974" i="1"/>
  <c r="M9974" i="1" s="1"/>
  <c r="AC9974" i="1" s="1"/>
  <c r="K9968" i="1"/>
  <c r="M9968" i="1" s="1"/>
  <c r="AC9968" i="1" s="1"/>
  <c r="K9966" i="1"/>
  <c r="M9966" i="1" s="1"/>
  <c r="AC9966" i="1" s="1"/>
  <c r="K9977" i="1"/>
  <c r="M9977" i="1" s="1"/>
  <c r="AC9977" i="1" s="1"/>
  <c r="M9939" i="1"/>
  <c r="K9940" i="1"/>
  <c r="M9940" i="1" s="1"/>
  <c r="AC9940" i="1" s="1"/>
  <c r="K9955" i="1"/>
  <c r="M9955" i="1" s="1"/>
  <c r="AC9955" i="1" s="1"/>
  <c r="K9949" i="1"/>
  <c r="M9949" i="1" s="1"/>
  <c r="AC9949" i="1" s="1"/>
  <c r="K9958" i="1"/>
  <c r="M9958" i="1" s="1"/>
  <c r="AC9958" i="1" s="1"/>
  <c r="M9926" i="1"/>
  <c r="AC9926" i="1" s="1"/>
  <c r="M9917" i="1"/>
  <c r="N9917" i="1" s="1"/>
  <c r="AC9937" i="1"/>
  <c r="AD9937" i="1" s="1"/>
  <c r="AB9937" i="1" s="1"/>
  <c r="AC9936" i="1"/>
  <c r="AD9936" i="1" s="1"/>
  <c r="AB9936" i="1" s="1"/>
  <c r="AC9934" i="1"/>
  <c r="AD9934" i="1" s="1"/>
  <c r="AC9935" i="1"/>
  <c r="AD9935" i="1" s="1"/>
  <c r="AB9935" i="1" s="1"/>
  <c r="AC9938" i="1"/>
  <c r="AD9938" i="1" s="1"/>
  <c r="AB9938" i="1" s="1"/>
  <c r="AC9930" i="1"/>
  <c r="AD9930" i="1" s="1"/>
  <c r="AB9930" i="1" s="1"/>
  <c r="AC9928" i="1"/>
  <c r="AD9928" i="1" s="1"/>
  <c r="AC9931" i="1"/>
  <c r="AD9931" i="1" s="1"/>
  <c r="AB9931" i="1" s="1"/>
  <c r="AC9929" i="1"/>
  <c r="AD9929" i="1" s="1"/>
  <c r="AB9929" i="1" s="1"/>
  <c r="P9859" i="1"/>
  <c r="AC9925" i="1"/>
  <c r="AD9925" i="1" s="1"/>
  <c r="AB9925" i="1" s="1"/>
  <c r="AC9923" i="1"/>
  <c r="AD9923" i="1" s="1"/>
  <c r="AB9923" i="1" s="1"/>
  <c r="AC9921" i="1"/>
  <c r="AD9921" i="1" s="1"/>
  <c r="AB9921" i="1" s="1"/>
  <c r="AC9919" i="1"/>
  <c r="AD9919" i="1" s="1"/>
  <c r="AC9924" i="1"/>
  <c r="AD9924" i="1" s="1"/>
  <c r="AB9924" i="1" s="1"/>
  <c r="AC9922" i="1"/>
  <c r="AD9922" i="1" s="1"/>
  <c r="AB9922" i="1" s="1"/>
  <c r="AC9920" i="1"/>
  <c r="AD9920" i="1" s="1"/>
  <c r="AB9920" i="1" s="1"/>
  <c r="M9859" i="1"/>
  <c r="N9859" i="1" s="1"/>
  <c r="P9882" i="1"/>
  <c r="M9882" i="1"/>
  <c r="AC9882" i="1" s="1"/>
  <c r="AB9882" i="1" s="1"/>
  <c r="M9885" i="1"/>
  <c r="K9906" i="1"/>
  <c r="M9906" i="1" s="1"/>
  <c r="AC9906" i="1" s="1"/>
  <c r="K9891" i="1"/>
  <c r="M9891" i="1" s="1"/>
  <c r="AC9891" i="1" s="1"/>
  <c r="K9903" i="1"/>
  <c r="M9903" i="1" s="1"/>
  <c r="AC9903" i="1" s="1"/>
  <c r="K9886" i="1"/>
  <c r="M9886" i="1" s="1"/>
  <c r="AC9886" i="1" s="1"/>
  <c r="M9729" i="1"/>
  <c r="AC9729" i="1" s="1"/>
  <c r="P9729" i="1"/>
  <c r="AB9884" i="1"/>
  <c r="M9728" i="1"/>
  <c r="AC9728" i="1" s="1"/>
  <c r="AB9728" i="1" s="1"/>
  <c r="M9873" i="1"/>
  <c r="K9874" i="1"/>
  <c r="M9874" i="1" s="1"/>
  <c r="AC9874" i="1" s="1"/>
  <c r="M9866" i="1"/>
  <c r="K9867" i="1"/>
  <c r="M9867" i="1" s="1"/>
  <c r="AC9867" i="1" s="1"/>
  <c r="M9739" i="1"/>
  <c r="N9739" i="1" s="1"/>
  <c r="P9739" i="1"/>
  <c r="P9719" i="1"/>
  <c r="M9719" i="1"/>
  <c r="AC9719" i="1" s="1"/>
  <c r="M9850" i="1"/>
  <c r="M9860" i="1"/>
  <c r="AC9860" i="1" s="1"/>
  <c r="AC9741" i="1"/>
  <c r="AD9741" i="1" s="1"/>
  <c r="AC9747" i="1"/>
  <c r="AD9747" i="1" s="1"/>
  <c r="AB9747" i="1" s="1"/>
  <c r="AC9745" i="1"/>
  <c r="AD9745" i="1" s="1"/>
  <c r="AB9745" i="1" s="1"/>
  <c r="AC9742" i="1"/>
  <c r="AD9742" i="1" s="1"/>
  <c r="AB9742" i="1" s="1"/>
  <c r="AC9746" i="1"/>
  <c r="AD9746" i="1" s="1"/>
  <c r="AB9746" i="1" s="1"/>
  <c r="AC9744" i="1"/>
  <c r="AD9744" i="1" s="1"/>
  <c r="AB9744" i="1" s="1"/>
  <c r="AC9743" i="1"/>
  <c r="AD9743" i="1" s="1"/>
  <c r="AB9743" i="1" s="1"/>
  <c r="M9710" i="1"/>
  <c r="N9710" i="1" s="1"/>
  <c r="P9676" i="1"/>
  <c r="P9710" i="1"/>
  <c r="AC9734" i="1"/>
  <c r="AD9734" i="1" s="1"/>
  <c r="AB9734" i="1" s="1"/>
  <c r="AC9737" i="1"/>
  <c r="AD9737" i="1" s="1"/>
  <c r="AB9737" i="1" s="1"/>
  <c r="AC9732" i="1"/>
  <c r="AD9732" i="1" s="1"/>
  <c r="AB9732" i="1" s="1"/>
  <c r="AC9736" i="1"/>
  <c r="AD9736" i="1" s="1"/>
  <c r="AB9736" i="1" s="1"/>
  <c r="AC9731" i="1"/>
  <c r="AD9731" i="1" s="1"/>
  <c r="AC9733" i="1"/>
  <c r="AD9733" i="1" s="1"/>
  <c r="AB9733" i="1" s="1"/>
  <c r="AC9735" i="1"/>
  <c r="AD9735" i="1" s="1"/>
  <c r="AB9735" i="1" s="1"/>
  <c r="AC9721" i="1"/>
  <c r="AD9721" i="1" s="1"/>
  <c r="AC9727" i="1"/>
  <c r="AD9727" i="1" s="1"/>
  <c r="AB9727" i="1" s="1"/>
  <c r="AC9726" i="1"/>
  <c r="AD9726" i="1" s="1"/>
  <c r="AB9726" i="1" s="1"/>
  <c r="AC9722" i="1"/>
  <c r="AD9722" i="1" s="1"/>
  <c r="AB9722" i="1" s="1"/>
  <c r="AC9724" i="1"/>
  <c r="AD9724" i="1" s="1"/>
  <c r="AB9724" i="1" s="1"/>
  <c r="AC9725" i="1"/>
  <c r="AD9725" i="1" s="1"/>
  <c r="AB9725" i="1" s="1"/>
  <c r="AC9723" i="1"/>
  <c r="AD9723" i="1" s="1"/>
  <c r="AB9723" i="1" s="1"/>
  <c r="M9643" i="1"/>
  <c r="N9643" i="1" s="1"/>
  <c r="AC9718" i="1"/>
  <c r="AD9718" i="1" s="1"/>
  <c r="AB9718" i="1" s="1"/>
  <c r="AC9713" i="1"/>
  <c r="AD9713" i="1" s="1"/>
  <c r="AB9713" i="1" s="1"/>
  <c r="AC9715" i="1"/>
  <c r="AD9715" i="1" s="1"/>
  <c r="AB9715" i="1" s="1"/>
  <c r="AC9717" i="1"/>
  <c r="AD9717" i="1" s="1"/>
  <c r="AB9717" i="1" s="1"/>
  <c r="AC9712" i="1"/>
  <c r="AD9712" i="1" s="1"/>
  <c r="AC9714" i="1"/>
  <c r="AD9714" i="1" s="1"/>
  <c r="AB9714" i="1" s="1"/>
  <c r="AC9716" i="1"/>
  <c r="AD9716" i="1" s="1"/>
  <c r="AB9716" i="1" s="1"/>
  <c r="M9610" i="1"/>
  <c r="AC9610" i="1" s="1"/>
  <c r="K9697" i="1"/>
  <c r="M9697" i="1" s="1"/>
  <c r="AC9697" i="1" s="1"/>
  <c r="K9682" i="1"/>
  <c r="M9682" i="1" s="1"/>
  <c r="AC9682" i="1" s="1"/>
  <c r="K9694" i="1"/>
  <c r="M9694" i="1" s="1"/>
  <c r="AC9694" i="1" s="1"/>
  <c r="K9677" i="1"/>
  <c r="M9677" i="1" s="1"/>
  <c r="AC9677" i="1" s="1"/>
  <c r="K9644" i="1"/>
  <c r="M9644" i="1" s="1"/>
  <c r="AC9644" i="1" s="1"/>
  <c r="K9649" i="1"/>
  <c r="M9649" i="1" s="1"/>
  <c r="AC9649" i="1" s="1"/>
  <c r="K9661" i="1"/>
  <c r="M9661" i="1" s="1"/>
  <c r="AC9661" i="1" s="1"/>
  <c r="K9664" i="1"/>
  <c r="M9664" i="1" s="1"/>
  <c r="AC9664" i="1" s="1"/>
  <c r="P9581" i="1"/>
  <c r="K9611" i="1"/>
  <c r="M9611" i="1" s="1"/>
  <c r="AC9611" i="1" s="1"/>
  <c r="K9628" i="1"/>
  <c r="M9628" i="1" s="1"/>
  <c r="AC9628" i="1" s="1"/>
  <c r="K9631" i="1"/>
  <c r="M9631" i="1" s="1"/>
  <c r="AC9631" i="1" s="1"/>
  <c r="K9616" i="1"/>
  <c r="M9616" i="1" s="1"/>
  <c r="AC9616" i="1" s="1"/>
  <c r="M9520" i="1"/>
  <c r="AC9520" i="1" s="1"/>
  <c r="K9582" i="1"/>
  <c r="M9582" i="1" s="1"/>
  <c r="AC9582" i="1" s="1"/>
  <c r="K9597" i="1"/>
  <c r="M9597" i="1" s="1"/>
  <c r="AC9597" i="1" s="1"/>
  <c r="K9600" i="1"/>
  <c r="M9600" i="1" s="1"/>
  <c r="AC9600" i="1" s="1"/>
  <c r="K9587" i="1"/>
  <c r="M9587" i="1" s="1"/>
  <c r="AC9587" i="1" s="1"/>
  <c r="P9491" i="1"/>
  <c r="M9549" i="1"/>
  <c r="K9565" i="1"/>
  <c r="M9565" i="1" s="1"/>
  <c r="AC9565" i="1" s="1"/>
  <c r="K9568" i="1"/>
  <c r="M9568" i="1" s="1"/>
  <c r="AC9568" i="1" s="1"/>
  <c r="K9550" i="1"/>
  <c r="M9550" i="1" s="1"/>
  <c r="AC9550" i="1" s="1"/>
  <c r="K9555" i="1"/>
  <c r="M9555" i="1" s="1"/>
  <c r="AC9555" i="1" s="1"/>
  <c r="K9521" i="1"/>
  <c r="M9521" i="1" s="1"/>
  <c r="AC9521" i="1" s="1"/>
  <c r="K9536" i="1"/>
  <c r="M9536" i="1" s="1"/>
  <c r="AC9536" i="1" s="1"/>
  <c r="K9539" i="1"/>
  <c r="M9539" i="1" s="1"/>
  <c r="AC9539" i="1" s="1"/>
  <c r="K9526" i="1"/>
  <c r="M9526" i="1" s="1"/>
  <c r="AC9526" i="1" s="1"/>
  <c r="K9510" i="1"/>
  <c r="M9510" i="1" s="1"/>
  <c r="AC9510" i="1" s="1"/>
  <c r="K9497" i="1"/>
  <c r="M9497" i="1" s="1"/>
  <c r="AC9497" i="1" s="1"/>
  <c r="K9492" i="1"/>
  <c r="M9492" i="1" s="1"/>
  <c r="AC9492" i="1" s="1"/>
  <c r="K9507" i="1"/>
  <c r="M9507" i="1" s="1"/>
  <c r="AC9507" i="1" s="1"/>
  <c r="M9462" i="1"/>
  <c r="K9478" i="1"/>
  <c r="M9478" i="1" s="1"/>
  <c r="AC9478" i="1" s="1"/>
  <c r="K9481" i="1"/>
  <c r="M9481" i="1" s="1"/>
  <c r="AC9481" i="1" s="1"/>
  <c r="K9463" i="1"/>
  <c r="M9463" i="1" s="1"/>
  <c r="AC9463" i="1" s="1"/>
  <c r="K9468" i="1"/>
  <c r="M9468" i="1" s="1"/>
  <c r="AC9468" i="1" s="1"/>
  <c r="P9374" i="1"/>
  <c r="P9404" i="1"/>
  <c r="M9433" i="1"/>
  <c r="K9452" i="1"/>
  <c r="M9452" i="1" s="1"/>
  <c r="AC9452" i="1" s="1"/>
  <c r="K9434" i="1"/>
  <c r="M9434" i="1" s="1"/>
  <c r="AC9434" i="1" s="1"/>
  <c r="K9449" i="1"/>
  <c r="M9449" i="1" s="1"/>
  <c r="AC9449" i="1" s="1"/>
  <c r="K9439" i="1"/>
  <c r="M9439" i="1" s="1"/>
  <c r="AC9439" i="1" s="1"/>
  <c r="M9345" i="1"/>
  <c r="N9345" i="1" s="1"/>
  <c r="K9420" i="1"/>
  <c r="M9420" i="1" s="1"/>
  <c r="AC9420" i="1" s="1"/>
  <c r="K9423" i="1"/>
  <c r="M9423" i="1" s="1"/>
  <c r="AC9423" i="1" s="1"/>
  <c r="K9410" i="1"/>
  <c r="M9410" i="1" s="1"/>
  <c r="AC9410" i="1" s="1"/>
  <c r="K9405" i="1"/>
  <c r="M9405" i="1" s="1"/>
  <c r="AC9405" i="1" s="1"/>
  <c r="M9316" i="1"/>
  <c r="N9316" i="1" s="1"/>
  <c r="K9393" i="1"/>
  <c r="M9393" i="1" s="1"/>
  <c r="AC9393" i="1" s="1"/>
  <c r="K9390" i="1"/>
  <c r="M9390" i="1" s="1"/>
  <c r="AC9390" i="1" s="1"/>
  <c r="K9375" i="1"/>
  <c r="M9375" i="1" s="1"/>
  <c r="AC9375" i="1" s="1"/>
  <c r="K9380" i="1"/>
  <c r="M9380" i="1" s="1"/>
  <c r="AC9380" i="1" s="1"/>
  <c r="K9346" i="1"/>
  <c r="M9346" i="1" s="1"/>
  <c r="AC9346" i="1" s="1"/>
  <c r="K9351" i="1"/>
  <c r="M9351" i="1" s="1"/>
  <c r="AC9351" i="1" s="1"/>
  <c r="K9361" i="1"/>
  <c r="M9361" i="1" s="1"/>
  <c r="AC9361" i="1" s="1"/>
  <c r="K9364" i="1"/>
  <c r="M9364" i="1" s="1"/>
  <c r="AC9364" i="1" s="1"/>
  <c r="K9332" i="1"/>
  <c r="M9332" i="1" s="1"/>
  <c r="AC9332" i="1" s="1"/>
  <c r="K9335" i="1"/>
  <c r="M9335" i="1" s="1"/>
  <c r="AC9335" i="1" s="1"/>
  <c r="K9317" i="1"/>
  <c r="M9317" i="1" s="1"/>
  <c r="AC9317" i="1" s="1"/>
  <c r="K9322" i="1"/>
  <c r="M9322" i="1" s="1"/>
  <c r="AC9322" i="1" s="1"/>
  <c r="P9258" i="1"/>
  <c r="M9287" i="1"/>
  <c r="K9306" i="1"/>
  <c r="M9306" i="1" s="1"/>
  <c r="AC9306" i="1" s="1"/>
  <c r="K9303" i="1"/>
  <c r="M9303" i="1" s="1"/>
  <c r="AC9303" i="1" s="1"/>
  <c r="K9293" i="1"/>
  <c r="M9293" i="1" s="1"/>
  <c r="AC9293" i="1" s="1"/>
  <c r="K9288" i="1"/>
  <c r="M9288" i="1" s="1"/>
  <c r="AC9288" i="1" s="1"/>
  <c r="M9229" i="1"/>
  <c r="AC9229" i="1" s="1"/>
  <c r="M6697" i="1"/>
  <c r="N6697" i="1" s="1"/>
  <c r="K9274" i="1"/>
  <c r="M9274" i="1" s="1"/>
  <c r="AC9274" i="1" s="1"/>
  <c r="K9277" i="1"/>
  <c r="M9277" i="1" s="1"/>
  <c r="AC9277" i="1" s="1"/>
  <c r="K9259" i="1"/>
  <c r="M9259" i="1" s="1"/>
  <c r="AC9259" i="1" s="1"/>
  <c r="K9264" i="1"/>
  <c r="M9264" i="1" s="1"/>
  <c r="AC9264" i="1" s="1"/>
  <c r="K9245" i="1"/>
  <c r="M9245" i="1" s="1"/>
  <c r="AC9245" i="1" s="1"/>
  <c r="K9248" i="1"/>
  <c r="M9248" i="1" s="1"/>
  <c r="AC9248" i="1" s="1"/>
  <c r="K9230" i="1"/>
  <c r="M9230" i="1" s="1"/>
  <c r="AC9230" i="1" s="1"/>
  <c r="K9235" i="1"/>
  <c r="M9235" i="1" s="1"/>
  <c r="AC9235" i="1" s="1"/>
  <c r="P6718" i="1"/>
  <c r="M6718" i="1"/>
  <c r="AC6718" i="1" s="1"/>
  <c r="M9200" i="1"/>
  <c r="K9216" i="1"/>
  <c r="M9216" i="1" s="1"/>
  <c r="AC9216" i="1" s="1"/>
  <c r="K9201" i="1"/>
  <c r="M9201" i="1" s="1"/>
  <c r="AC9201" i="1" s="1"/>
  <c r="K9219" i="1"/>
  <c r="M9219" i="1" s="1"/>
  <c r="AC9219" i="1" s="1"/>
  <c r="K9206" i="1"/>
  <c r="M9206" i="1" s="1"/>
  <c r="AC9206" i="1" s="1"/>
  <c r="P6493" i="1"/>
  <c r="P6723" i="1"/>
  <c r="M6723" i="1"/>
  <c r="N6723" i="1" s="1"/>
  <c r="M6927" i="1"/>
  <c r="K6928" i="1"/>
  <c r="M6928" i="1" s="1"/>
  <c r="AC6928" i="1" s="1"/>
  <c r="K6935" i="1"/>
  <c r="M6935" i="1" s="1"/>
  <c r="AC6935" i="1" s="1"/>
  <c r="M6493" i="1"/>
  <c r="AC6493" i="1" s="1"/>
  <c r="AB6725" i="1"/>
  <c r="AD6724" i="1"/>
  <c r="AD6723" i="1" s="1"/>
  <c r="P10317" i="1"/>
  <c r="M6469" i="1"/>
  <c r="AC6469" i="1" s="1"/>
  <c r="AB6720" i="1"/>
  <c r="AD6719" i="1"/>
  <c r="AD6718" i="1" s="1"/>
  <c r="K6698" i="1"/>
  <c r="M6698" i="1" s="1"/>
  <c r="AC6698" i="1" s="1"/>
  <c r="K6705" i="1"/>
  <c r="M6705" i="1" s="1"/>
  <c r="AC6705" i="1" s="1"/>
  <c r="AB6495" i="1"/>
  <c r="AD6494" i="1"/>
  <c r="AD6493" i="1" s="1"/>
  <c r="M6424" i="1"/>
  <c r="AC6424" i="1" s="1"/>
  <c r="P6424" i="1"/>
  <c r="K6470" i="1"/>
  <c r="M6470" i="1" s="1"/>
  <c r="AC6470" i="1" s="1"/>
  <c r="K6477" i="1"/>
  <c r="M6477" i="1" s="1"/>
  <c r="AC6477" i="1" s="1"/>
  <c r="P6653" i="1"/>
  <c r="K10318" i="1"/>
  <c r="M10318" i="1" s="1"/>
  <c r="AC10318" i="1" s="1"/>
  <c r="K10325" i="1"/>
  <c r="M10325" i="1" s="1"/>
  <c r="AC10325" i="1" s="1"/>
  <c r="P6882" i="1"/>
  <c r="M6458" i="1"/>
  <c r="K6459" i="1"/>
  <c r="M6459" i="1" s="1"/>
  <c r="AC6459" i="1" s="1"/>
  <c r="M6916" i="1"/>
  <c r="N6916" i="1" s="1"/>
  <c r="P6916" i="1"/>
  <c r="M6879" i="1"/>
  <c r="AC6879" i="1" s="1"/>
  <c r="M6686" i="1"/>
  <c r="K6687" i="1"/>
  <c r="M6687" i="1" s="1"/>
  <c r="AC6687" i="1" s="1"/>
  <c r="M6653" i="1"/>
  <c r="AC6653" i="1" s="1"/>
  <c r="M6882" i="1"/>
  <c r="AC6882" i="1" s="1"/>
  <c r="P6747" i="1"/>
  <c r="AC6919" i="1"/>
  <c r="AD6919" i="1" s="1"/>
  <c r="AB6919" i="1" s="1"/>
  <c r="AC6918" i="1"/>
  <c r="AD6918" i="1" s="1"/>
  <c r="P6879" i="1"/>
  <c r="P6421" i="1"/>
  <c r="AB6426" i="1"/>
  <c r="AD6425" i="1"/>
  <c r="AD6424" i="1" s="1"/>
  <c r="M6421" i="1"/>
  <c r="AC6421" i="1" s="1"/>
  <c r="AB6655" i="1"/>
  <c r="AD6654" i="1"/>
  <c r="AD6653" i="1" s="1"/>
  <c r="AB6884" i="1"/>
  <c r="AD6883" i="1"/>
  <c r="AD6882" i="1" s="1"/>
  <c r="AD6422" i="1"/>
  <c r="AD6421" i="1" s="1"/>
  <c r="AB6423" i="1"/>
  <c r="M6747" i="1"/>
  <c r="AC6747" i="1" s="1"/>
  <c r="M6650" i="1"/>
  <c r="K6651" i="1"/>
  <c r="M6651" i="1" s="1"/>
  <c r="AC6651" i="1" s="1"/>
  <c r="AC6652" i="1" s="1"/>
  <c r="AD6652" i="1" s="1"/>
  <c r="M6853" i="1"/>
  <c r="AC6853" i="1" s="1"/>
  <c r="M6741" i="1"/>
  <c r="N6741" i="1" s="1"/>
  <c r="P6741" i="1"/>
  <c r="AD6880" i="1"/>
  <c r="AD6879" i="1" s="1"/>
  <c r="AB6881" i="1"/>
  <c r="AD6748" i="1"/>
  <c r="AD6747" i="1" s="1"/>
  <c r="AB6749" i="1"/>
  <c r="M6395" i="1"/>
  <c r="N6395" i="1" s="1"/>
  <c r="M6511" i="1"/>
  <c r="K6512" i="1"/>
  <c r="M6512" i="1" s="1"/>
  <c r="AC6512" i="1" s="1"/>
  <c r="AC6513" i="1" s="1"/>
  <c r="AD6513" i="1" s="1"/>
  <c r="P6624" i="1"/>
  <c r="P6563" i="1"/>
  <c r="AD6742" i="1"/>
  <c r="AD6741" i="1" s="1"/>
  <c r="AB6743" i="1"/>
  <c r="M6828" i="1"/>
  <c r="N6828" i="1" s="1"/>
  <c r="K6409" i="1"/>
  <c r="M6409" i="1" s="1"/>
  <c r="AC6409" i="1" s="1"/>
  <c r="K6403" i="1"/>
  <c r="M6403" i="1" s="1"/>
  <c r="AC6403" i="1" s="1"/>
  <c r="K6396" i="1"/>
  <c r="M6396" i="1" s="1"/>
  <c r="AC6396" i="1" s="1"/>
  <c r="K6625" i="1"/>
  <c r="M6625" i="1" s="1"/>
  <c r="AC6625" i="1" s="1"/>
  <c r="K6638" i="1"/>
  <c r="M6638" i="1" s="1"/>
  <c r="AC6638" i="1" s="1"/>
  <c r="K6632" i="1"/>
  <c r="M6632" i="1" s="1"/>
  <c r="AC6632" i="1" s="1"/>
  <c r="P6599" i="1"/>
  <c r="M6574" i="1"/>
  <c r="AC6574" i="1" s="1"/>
  <c r="K6867" i="1"/>
  <c r="M6867" i="1" s="1"/>
  <c r="AC6867" i="1" s="1"/>
  <c r="K6861" i="1"/>
  <c r="M6861" i="1" s="1"/>
  <c r="AC6861" i="1" s="1"/>
  <c r="K6854" i="1"/>
  <c r="M6854" i="1" s="1"/>
  <c r="AC6854" i="1" s="1"/>
  <c r="M6370" i="1"/>
  <c r="K6371" i="1"/>
  <c r="M6371" i="1" s="1"/>
  <c r="AC6371" i="1" s="1"/>
  <c r="K6384" i="1"/>
  <c r="M6384" i="1" s="1"/>
  <c r="AC6384" i="1" s="1"/>
  <c r="K6378" i="1"/>
  <c r="M6378" i="1" s="1"/>
  <c r="AC6378" i="1" s="1"/>
  <c r="M6345" i="1"/>
  <c r="N6345" i="1" s="1"/>
  <c r="K6600" i="1"/>
  <c r="M6600" i="1" s="1"/>
  <c r="AC6600" i="1" s="1"/>
  <c r="K6613" i="1"/>
  <c r="M6613" i="1" s="1"/>
  <c r="AC6613" i="1" s="1"/>
  <c r="K6607" i="1"/>
  <c r="M6607" i="1" s="1"/>
  <c r="AC6607" i="1" s="1"/>
  <c r="P6793" i="1"/>
  <c r="P6798" i="1"/>
  <c r="M6798" i="1"/>
  <c r="AC6798" i="1" s="1"/>
  <c r="K6829" i="1"/>
  <c r="M6829" i="1" s="1"/>
  <c r="AC6829" i="1" s="1"/>
  <c r="K6836" i="1"/>
  <c r="M6836" i="1" s="1"/>
  <c r="AC6836" i="1" s="1"/>
  <c r="K6842" i="1"/>
  <c r="M6842" i="1" s="1"/>
  <c r="AC6842" i="1" s="1"/>
  <c r="P6803" i="1"/>
  <c r="K6359" i="1"/>
  <c r="M6359" i="1" s="1"/>
  <c r="AC6359" i="1" s="1"/>
  <c r="K6353" i="1"/>
  <c r="M6353" i="1" s="1"/>
  <c r="AC6353" i="1" s="1"/>
  <c r="K6346" i="1"/>
  <c r="M6346" i="1" s="1"/>
  <c r="AC6346" i="1" s="1"/>
  <c r="K6575" i="1"/>
  <c r="M6575" i="1" s="1"/>
  <c r="AC6575" i="1" s="1"/>
  <c r="K6588" i="1"/>
  <c r="M6588" i="1" s="1"/>
  <c r="AC6588" i="1" s="1"/>
  <c r="K6582" i="1"/>
  <c r="M6582" i="1" s="1"/>
  <c r="AC6582" i="1" s="1"/>
  <c r="M6340" i="1"/>
  <c r="AC6340" i="1" s="1"/>
  <c r="P6340" i="1"/>
  <c r="K6804" i="1"/>
  <c r="M6804" i="1" s="1"/>
  <c r="AC6804" i="1" s="1"/>
  <c r="K6817" i="1"/>
  <c r="M6817" i="1" s="1"/>
  <c r="AC6817" i="1" s="1"/>
  <c r="K6811" i="1"/>
  <c r="M6811" i="1" s="1"/>
  <c r="AC6811" i="1" s="1"/>
  <c r="AB6342" i="1"/>
  <c r="AD6341" i="1"/>
  <c r="AD6340" i="1" s="1"/>
  <c r="P6543" i="1"/>
  <c r="M6793" i="1"/>
  <c r="AC6793" i="1" s="1"/>
  <c r="AB6800" i="1"/>
  <c r="AD6799" i="1"/>
  <c r="AD6798" i="1" s="1"/>
  <c r="M6563" i="1"/>
  <c r="AC6563" i="1" s="1"/>
  <c r="P6560" i="1"/>
  <c r="M6568" i="1"/>
  <c r="K6569" i="1"/>
  <c r="M6569" i="1" s="1"/>
  <c r="AC6569" i="1" s="1"/>
  <c r="AC6570" i="1" s="1"/>
  <c r="AD6570" i="1" s="1"/>
  <c r="P6335" i="1"/>
  <c r="M6335" i="1"/>
  <c r="AC6335" i="1" s="1"/>
  <c r="M6560" i="1"/>
  <c r="AC6560" i="1" s="1"/>
  <c r="AB6795" i="1"/>
  <c r="AD6794" i="1"/>
  <c r="AD6793" i="1" s="1"/>
  <c r="M6790" i="1"/>
  <c r="AC6790" i="1" s="1"/>
  <c r="P6790" i="1"/>
  <c r="AB6565" i="1"/>
  <c r="AD6564" i="1"/>
  <c r="AD6563" i="1" s="1"/>
  <c r="AB6337" i="1"/>
  <c r="AD6336" i="1"/>
  <c r="AD6335" i="1" s="1"/>
  <c r="M6315" i="1"/>
  <c r="AC6315" i="1" s="1"/>
  <c r="AD6791" i="1"/>
  <c r="AD6790" i="1" s="1"/>
  <c r="AB6792" i="1"/>
  <c r="P6764" i="1"/>
  <c r="M6764" i="1"/>
  <c r="AC6764" i="1" s="1"/>
  <c r="AD6561" i="1"/>
  <c r="AD6560" i="1" s="1"/>
  <c r="AB6562" i="1"/>
  <c r="M6332" i="1"/>
  <c r="K6333" i="1"/>
  <c r="M6333" i="1" s="1"/>
  <c r="AC6333" i="1" s="1"/>
  <c r="AC6334" i="1" s="1"/>
  <c r="AD6334" i="1" s="1"/>
  <c r="K6316" i="1"/>
  <c r="M6316" i="1" s="1"/>
  <c r="AC6316" i="1" s="1"/>
  <c r="K6321" i="1"/>
  <c r="M6321" i="1" s="1"/>
  <c r="AC6321" i="1" s="1"/>
  <c r="AC6327" i="1" s="1"/>
  <c r="AD6327" i="1" s="1"/>
  <c r="AB6327" i="1" s="1"/>
  <c r="K6328" i="1"/>
  <c r="M6328" i="1" s="1"/>
  <c r="AC6328" i="1" s="1"/>
  <c r="P6534" i="1"/>
  <c r="K6544" i="1"/>
  <c r="M6544" i="1" s="1"/>
  <c r="AC6544" i="1" s="1"/>
  <c r="K6549" i="1"/>
  <c r="M6549" i="1" s="1"/>
  <c r="AC6549" i="1" s="1"/>
  <c r="AC6555" i="1" s="1"/>
  <c r="AD6555" i="1" s="1"/>
  <c r="AB6555" i="1" s="1"/>
  <c r="K6556" i="1"/>
  <c r="M6556" i="1" s="1"/>
  <c r="AC6556" i="1" s="1"/>
  <c r="M6534" i="1"/>
  <c r="N6534" i="1" s="1"/>
  <c r="M6773" i="1"/>
  <c r="K6774" i="1"/>
  <c r="M6774" i="1" s="1"/>
  <c r="AC6774" i="1" s="1"/>
  <c r="K6779" i="1"/>
  <c r="M6779" i="1" s="1"/>
  <c r="AC6779" i="1" s="1"/>
  <c r="AC6785" i="1" s="1"/>
  <c r="AD6785" i="1" s="1"/>
  <c r="AB6785" i="1" s="1"/>
  <c r="K6786" i="1"/>
  <c r="M6786" i="1" s="1"/>
  <c r="AC6786" i="1" s="1"/>
  <c r="M6514" i="1"/>
  <c r="AC6514" i="1" s="1"/>
  <c r="M6302" i="1"/>
  <c r="N6302" i="1" s="1"/>
  <c r="P6302" i="1"/>
  <c r="AC6770" i="1"/>
  <c r="AD6770" i="1" s="1"/>
  <c r="AB6770" i="1" s="1"/>
  <c r="AC6767" i="1"/>
  <c r="AD6767" i="1" s="1"/>
  <c r="AB6767" i="1" s="1"/>
  <c r="AC6769" i="1"/>
  <c r="AD6769" i="1" s="1"/>
  <c r="AB6769" i="1" s="1"/>
  <c r="AC6766" i="1"/>
  <c r="AD6766" i="1" s="1"/>
  <c r="AC6768" i="1"/>
  <c r="AD6768" i="1" s="1"/>
  <c r="AB6768" i="1" s="1"/>
  <c r="AC6539" i="1"/>
  <c r="AD6539" i="1" s="1"/>
  <c r="AB6539" i="1" s="1"/>
  <c r="AC6538" i="1"/>
  <c r="AD6538" i="1" s="1"/>
  <c r="AB6538" i="1" s="1"/>
  <c r="AC6537" i="1"/>
  <c r="AD6537" i="1" s="1"/>
  <c r="AB6537" i="1" s="1"/>
  <c r="AC6536" i="1"/>
  <c r="AD6536" i="1" s="1"/>
  <c r="AC6540" i="1"/>
  <c r="AD6540" i="1" s="1"/>
  <c r="AB6540" i="1" s="1"/>
  <c r="P6754" i="1"/>
  <c r="M6754" i="1"/>
  <c r="AC6754" i="1" s="1"/>
  <c r="M6306" i="1"/>
  <c r="K6307" i="1"/>
  <c r="M6307" i="1" s="1"/>
  <c r="AC6307" i="1" s="1"/>
  <c r="P6530" i="1"/>
  <c r="M6530" i="1"/>
  <c r="AC6530" i="1" s="1"/>
  <c r="M6760" i="1"/>
  <c r="K6761" i="1"/>
  <c r="M6761" i="1" s="1"/>
  <c r="AC6761" i="1" s="1"/>
  <c r="AC6762" i="1" s="1"/>
  <c r="AD6762" i="1" s="1"/>
  <c r="AB6304" i="1"/>
  <c r="AD6303" i="1"/>
  <c r="AD6302" i="1" s="1"/>
  <c r="AD6531" i="1"/>
  <c r="AD6530" i="1" s="1"/>
  <c r="AB6532" i="1"/>
  <c r="M6726" i="1"/>
  <c r="N6726" i="1" s="1"/>
  <c r="P6514" i="1"/>
  <c r="M6734" i="1"/>
  <c r="N6734" i="1" s="1"/>
  <c r="AB6756" i="1"/>
  <c r="AD6755" i="1"/>
  <c r="AD6754" i="1" s="1"/>
  <c r="M6525" i="1"/>
  <c r="K6526" i="1"/>
  <c r="M6526" i="1" s="1"/>
  <c r="AC6526" i="1" s="1"/>
  <c r="AC6527" i="1" s="1"/>
  <c r="AD6527" i="1" s="1"/>
  <c r="P6734" i="1"/>
  <c r="P6499" i="1"/>
  <c r="M6296" i="1"/>
  <c r="K6297" i="1"/>
  <c r="M6297" i="1" s="1"/>
  <c r="AC6297" i="1" s="1"/>
  <c r="AC6298" i="1" s="1"/>
  <c r="AD6298" i="1" s="1"/>
  <c r="M6729" i="1"/>
  <c r="N6729" i="1" s="1"/>
  <c r="AC6516" i="1"/>
  <c r="AD6516" i="1" s="1"/>
  <c r="AC6518" i="1"/>
  <c r="AD6518" i="1" s="1"/>
  <c r="AB6518" i="1" s="1"/>
  <c r="AC6517" i="1"/>
  <c r="AD6517" i="1" s="1"/>
  <c r="AB6517" i="1" s="1"/>
  <c r="AC6519" i="1"/>
  <c r="AD6519" i="1" s="1"/>
  <c r="AB6519" i="1" s="1"/>
  <c r="P6729" i="1"/>
  <c r="M6499" i="1"/>
  <c r="AC6499" i="1" s="1"/>
  <c r="AB6736" i="1"/>
  <c r="AD6735" i="1"/>
  <c r="AD6734" i="1" s="1"/>
  <c r="M6505" i="1"/>
  <c r="K6506" i="1"/>
  <c r="M6506" i="1" s="1"/>
  <c r="AC6506" i="1" s="1"/>
  <c r="AC6507" i="1" s="1"/>
  <c r="AD6507" i="1" s="1"/>
  <c r="M6496" i="1"/>
  <c r="AC6496" i="1" s="1"/>
  <c r="P6726" i="1"/>
  <c r="P6496" i="1"/>
  <c r="P6751" i="1"/>
  <c r="AD6730" i="1"/>
  <c r="AD6729" i="1" s="1"/>
  <c r="AB6731" i="1"/>
  <c r="P6737" i="1"/>
  <c r="M6737" i="1"/>
  <c r="N6737" i="1" s="1"/>
  <c r="AD6500" i="1"/>
  <c r="AD6499" i="1" s="1"/>
  <c r="AB6501" i="1"/>
  <c r="M6751" i="1"/>
  <c r="AC6751" i="1" s="1"/>
  <c r="M6273" i="1"/>
  <c r="N6273" i="1" s="1"/>
  <c r="AD6497" i="1"/>
  <c r="AD6496" i="1" s="1"/>
  <c r="AB6498" i="1"/>
  <c r="AD6727" i="1"/>
  <c r="AD6726" i="1" s="1"/>
  <c r="AB6728" i="1"/>
  <c r="P6522" i="1"/>
  <c r="AB6739" i="1"/>
  <c r="AD6738" i="1"/>
  <c r="AD6737" i="1" s="1"/>
  <c r="M6293" i="1"/>
  <c r="N6293" i="1" s="1"/>
  <c r="P6293" i="1"/>
  <c r="M6522" i="1"/>
  <c r="AC6522" i="1" s="1"/>
  <c r="AB6753" i="1"/>
  <c r="AD6752" i="1"/>
  <c r="AD6751" i="1" s="1"/>
  <c r="M6289" i="1"/>
  <c r="AC6289" i="1" s="1"/>
  <c r="P6289" i="1"/>
  <c r="AD6523" i="1"/>
  <c r="AD6522" i="1" s="1"/>
  <c r="AB6524" i="1"/>
  <c r="P6273" i="1"/>
  <c r="M6283" i="1"/>
  <c r="AC6283" i="1" s="1"/>
  <c r="P6283" i="1"/>
  <c r="P6276" i="1"/>
  <c r="AD6294" i="1"/>
  <c r="AD6293" i="1" s="1"/>
  <c r="AB6295" i="1"/>
  <c r="M6276" i="1"/>
  <c r="AC6276" i="1" s="1"/>
  <c r="P6270" i="1"/>
  <c r="AD6290" i="1"/>
  <c r="AD6289" i="1" s="1"/>
  <c r="AB6291" i="1"/>
  <c r="M6270" i="1"/>
  <c r="AC6270" i="1" s="1"/>
  <c r="AD6284" i="1"/>
  <c r="AD6283" i="1" s="1"/>
  <c r="AB6285" i="1"/>
  <c r="M6901" i="1"/>
  <c r="N6901" i="1" s="1"/>
  <c r="AB6278" i="1"/>
  <c r="AD6277" i="1"/>
  <c r="AD6276" i="1" s="1"/>
  <c r="AB6275" i="1"/>
  <c r="AD6274" i="1"/>
  <c r="AD6273" i="1" s="1"/>
  <c r="AD6271" i="1"/>
  <c r="AD6270" i="1" s="1"/>
  <c r="AB6272" i="1"/>
  <c r="P6235" i="1"/>
  <c r="M6235" i="1"/>
  <c r="AC6235" i="1" s="1"/>
  <c r="M6888" i="1"/>
  <c r="N6888" i="1" s="1"/>
  <c r="P6220" i="1"/>
  <c r="K6909" i="1"/>
  <c r="M6909" i="1" s="1"/>
  <c r="AC6909" i="1" s="1"/>
  <c r="K6902" i="1"/>
  <c r="M6902" i="1" s="1"/>
  <c r="AC6902" i="1" s="1"/>
  <c r="M6658" i="1"/>
  <c r="N6658" i="1" s="1"/>
  <c r="M6671" i="1"/>
  <c r="AC6671" i="1" s="1"/>
  <c r="K6889" i="1"/>
  <c r="M6889" i="1" s="1"/>
  <c r="AC6889" i="1" s="1"/>
  <c r="K6896" i="1"/>
  <c r="M6896" i="1" s="1"/>
  <c r="AC6896" i="1" s="1"/>
  <c r="M6173" i="1"/>
  <c r="N6173" i="1" s="1"/>
  <c r="P6207" i="1"/>
  <c r="K6679" i="1"/>
  <c r="M6679" i="1" s="1"/>
  <c r="AC6679" i="1" s="1"/>
  <c r="K6672" i="1"/>
  <c r="M6672" i="1" s="1"/>
  <c r="AC6672" i="1" s="1"/>
  <c r="P6430" i="1"/>
  <c r="K6659" i="1"/>
  <c r="M6659" i="1" s="1"/>
  <c r="AC6659" i="1" s="1"/>
  <c r="K6666" i="1"/>
  <c r="M6666" i="1" s="1"/>
  <c r="AC6666" i="1" s="1"/>
  <c r="M6443" i="1"/>
  <c r="K6444" i="1"/>
  <c r="M6444" i="1" s="1"/>
  <c r="AC6444" i="1" s="1"/>
  <c r="K6451" i="1"/>
  <c r="M6451" i="1" s="1"/>
  <c r="AC6451" i="1" s="1"/>
  <c r="K6431" i="1"/>
  <c r="M6431" i="1" s="1"/>
  <c r="AC6431" i="1" s="1"/>
  <c r="K6438" i="1"/>
  <c r="M6438" i="1" s="1"/>
  <c r="AC6438" i="1" s="1"/>
  <c r="K6221" i="1"/>
  <c r="M6221" i="1" s="1"/>
  <c r="AC6221" i="1" s="1"/>
  <c r="K6228" i="1"/>
  <c r="K6208" i="1"/>
  <c r="M6208" i="1" s="1"/>
  <c r="AC6208" i="1" s="1"/>
  <c r="AC6211" i="1" s="1"/>
  <c r="AD6211" i="1" s="1"/>
  <c r="AB6211" i="1" s="1"/>
  <c r="K6215" i="1"/>
  <c r="M6215" i="1" s="1"/>
  <c r="AC6215" i="1" s="1"/>
  <c r="P6123" i="1"/>
  <c r="M6148" i="1"/>
  <c r="AC6148" i="1" s="1"/>
  <c r="K6181" i="1"/>
  <c r="M6181" i="1" s="1"/>
  <c r="AC6181" i="1" s="1"/>
  <c r="K6174" i="1"/>
  <c r="M6174" i="1" s="1"/>
  <c r="AC6174" i="1" s="1"/>
  <c r="K6187" i="1"/>
  <c r="M6187" i="1" s="1"/>
  <c r="AC6187" i="1" s="1"/>
  <c r="K6149" i="1"/>
  <c r="M6149" i="1" s="1"/>
  <c r="AC6149" i="1" s="1"/>
  <c r="K6162" i="1"/>
  <c r="M6162" i="1" s="1"/>
  <c r="AC6162" i="1" s="1"/>
  <c r="K6156" i="1"/>
  <c r="M6156" i="1" s="1"/>
  <c r="AC6156" i="1" s="1"/>
  <c r="M6202" i="1"/>
  <c r="AC6202" i="1" s="1"/>
  <c r="P6202" i="1"/>
  <c r="K6124" i="1"/>
  <c r="M6124" i="1" s="1"/>
  <c r="AC6124" i="1" s="1"/>
  <c r="K6137" i="1"/>
  <c r="M6137" i="1" s="1"/>
  <c r="AC6137" i="1" s="1"/>
  <c r="K6131" i="1"/>
  <c r="M6131" i="1" s="1"/>
  <c r="AC6131" i="1" s="1"/>
  <c r="M6109" i="1"/>
  <c r="AC6109" i="1" s="1"/>
  <c r="M6245" i="1"/>
  <c r="K6253" i="1"/>
  <c r="M6253" i="1" s="1"/>
  <c r="AC6253" i="1" s="1"/>
  <c r="K6246" i="1"/>
  <c r="M6246" i="1" s="1"/>
  <c r="AC6246" i="1" s="1"/>
  <c r="P6112" i="1"/>
  <c r="M6112" i="1"/>
  <c r="N6112" i="1" s="1"/>
  <c r="M6118" i="1"/>
  <c r="AC6118" i="1" s="1"/>
  <c r="P6118" i="1"/>
  <c r="AB6204" i="1"/>
  <c r="AD6203" i="1"/>
  <c r="AD6202" i="1" s="1"/>
  <c r="P6092" i="1"/>
  <c r="P6109" i="1"/>
  <c r="M6199" i="1"/>
  <c r="K6200" i="1"/>
  <c r="M6200" i="1" s="1"/>
  <c r="AC6200" i="1" s="1"/>
  <c r="AC6201" i="1" s="1"/>
  <c r="AD6201" i="1" s="1"/>
  <c r="AB6120" i="1"/>
  <c r="AD6119" i="1"/>
  <c r="AD6118" i="1" s="1"/>
  <c r="AB6114" i="1"/>
  <c r="AD6113" i="1"/>
  <c r="AD6112" i="1" s="1"/>
  <c r="P6083" i="1"/>
  <c r="M6083" i="1"/>
  <c r="N6083" i="1" s="1"/>
  <c r="AB6111" i="1"/>
  <c r="AD6110" i="1"/>
  <c r="AD6109" i="1" s="1"/>
  <c r="K6098" i="1"/>
  <c r="M6098" i="1" s="1"/>
  <c r="AC6098" i="1" s="1"/>
  <c r="AC6104" i="1" s="1"/>
  <c r="AD6104" i="1" s="1"/>
  <c r="AB6104" i="1" s="1"/>
  <c r="K6105" i="1"/>
  <c r="M6105" i="1" s="1"/>
  <c r="AC6105" i="1" s="1"/>
  <c r="K6093" i="1"/>
  <c r="M6093" i="1" s="1"/>
  <c r="AC6093" i="1" s="1"/>
  <c r="M6071" i="1"/>
  <c r="N6071" i="1" s="1"/>
  <c r="P6071" i="1"/>
  <c r="AC6089" i="1"/>
  <c r="AD6089" i="1" s="1"/>
  <c r="AB6089" i="1" s="1"/>
  <c r="AC6085" i="1"/>
  <c r="AD6085" i="1" s="1"/>
  <c r="AC6086" i="1"/>
  <c r="AC6088" i="1"/>
  <c r="AD6088" i="1" s="1"/>
  <c r="AB6088" i="1" s="1"/>
  <c r="P6068" i="1"/>
  <c r="AC6064" i="1"/>
  <c r="AD6064" i="1" s="1"/>
  <c r="AC6067" i="1"/>
  <c r="AC6065" i="1"/>
  <c r="AC6066" i="1"/>
  <c r="M6079" i="1"/>
  <c r="K6080" i="1"/>
  <c r="M6080" i="1" s="1"/>
  <c r="AC6080" i="1" s="1"/>
  <c r="AC6081" i="1" s="1"/>
  <c r="AD6081" i="1" s="1"/>
  <c r="P6062" i="1"/>
  <c r="M6068" i="1"/>
  <c r="N6068" i="1" s="1"/>
  <c r="M6074" i="1"/>
  <c r="K6075" i="1"/>
  <c r="M6075" i="1" s="1"/>
  <c r="AC6075" i="1" s="1"/>
  <c r="AC6076" i="1" s="1"/>
  <c r="AD6076" i="1" s="1"/>
  <c r="M6062" i="1"/>
  <c r="N6062" i="1" s="1"/>
  <c r="P6059" i="1"/>
  <c r="AB6073" i="1"/>
  <c r="AD6072" i="1"/>
  <c r="AD6071" i="1" s="1"/>
  <c r="M6059" i="1"/>
  <c r="N6059" i="1" s="1"/>
  <c r="AB6070" i="1"/>
  <c r="AD6069" i="1"/>
  <c r="AD6068" i="1" s="1"/>
  <c r="AD6060" i="1"/>
  <c r="AD6059" i="1" s="1"/>
  <c r="AB6061" i="1"/>
  <c r="M6040" i="1"/>
  <c r="AC6040" i="1" s="1"/>
  <c r="M6053" i="1"/>
  <c r="K6054" i="1"/>
  <c r="M6054" i="1" s="1"/>
  <c r="AC6054" i="1" s="1"/>
  <c r="AC6055" i="1" s="1"/>
  <c r="AD6055" i="1" s="1"/>
  <c r="P6040" i="1"/>
  <c r="P6034" i="1"/>
  <c r="M6049" i="1"/>
  <c r="K6050" i="1"/>
  <c r="M6050" i="1" s="1"/>
  <c r="AC6050" i="1" s="1"/>
  <c r="AC6051" i="1" s="1"/>
  <c r="AD6051" i="1" s="1"/>
  <c r="M6034" i="1"/>
  <c r="AC6034" i="1" s="1"/>
  <c r="AB6034" i="1" s="1"/>
  <c r="M5998" i="1"/>
  <c r="AC5998" i="1" s="1"/>
  <c r="M6043" i="1"/>
  <c r="K6044" i="1"/>
  <c r="M6044" i="1" s="1"/>
  <c r="AC6044" i="1" s="1"/>
  <c r="AC6045" i="1" s="1"/>
  <c r="AD6045" i="1" s="1"/>
  <c r="AB6042" i="1"/>
  <c r="AD6041" i="1"/>
  <c r="AD6040" i="1" s="1"/>
  <c r="P6023" i="1"/>
  <c r="P6007" i="1"/>
  <c r="M6037" i="1"/>
  <c r="K6038" i="1"/>
  <c r="M6038" i="1" s="1"/>
  <c r="AC6038" i="1" s="1"/>
  <c r="AC6039" i="1" s="1"/>
  <c r="AD6039" i="1" s="1"/>
  <c r="M5672" i="1"/>
  <c r="AC5672" i="1" s="1"/>
  <c r="M5970" i="1"/>
  <c r="AC5970" i="1" s="1"/>
  <c r="P6018" i="1"/>
  <c r="M6023" i="1"/>
  <c r="AC6023" i="1" s="1"/>
  <c r="P5970" i="1"/>
  <c r="AB6036" i="1"/>
  <c r="M6007" i="1"/>
  <c r="N6007" i="1" s="1"/>
  <c r="M6018" i="1"/>
  <c r="AC6018" i="1" s="1"/>
  <c r="M6028" i="1"/>
  <c r="K6029" i="1"/>
  <c r="M6029" i="1" s="1"/>
  <c r="AC6029" i="1" s="1"/>
  <c r="AC6027" i="1"/>
  <c r="AD6027" i="1" s="1"/>
  <c r="AB6027" i="1" s="1"/>
  <c r="AC6026" i="1"/>
  <c r="AD6026" i="1" s="1"/>
  <c r="AB6026" i="1" s="1"/>
  <c r="AC6025" i="1"/>
  <c r="AD6025" i="1" s="1"/>
  <c r="P5980" i="1"/>
  <c r="P5998" i="1"/>
  <c r="AC6022" i="1"/>
  <c r="AD6022" i="1" s="1"/>
  <c r="AB6022" i="1" s="1"/>
  <c r="AC6021" i="1"/>
  <c r="AD6021" i="1" s="1"/>
  <c r="AB6021" i="1" s="1"/>
  <c r="AC6020" i="1"/>
  <c r="AD6020" i="1" s="1"/>
  <c r="M5989" i="1"/>
  <c r="N5989" i="1" s="1"/>
  <c r="M5961" i="1"/>
  <c r="N5961" i="1" s="1"/>
  <c r="P5989" i="1"/>
  <c r="P5961" i="1"/>
  <c r="M5980" i="1"/>
  <c r="N5980" i="1" s="1"/>
  <c r="AC6010" i="1"/>
  <c r="AD6010" i="1" s="1"/>
  <c r="AB6010" i="1" s="1"/>
  <c r="AC6012" i="1"/>
  <c r="AD6012" i="1" s="1"/>
  <c r="AB6012" i="1" s="1"/>
  <c r="AC6011" i="1"/>
  <c r="AD6011" i="1" s="1"/>
  <c r="AB6011" i="1" s="1"/>
  <c r="AC6014" i="1"/>
  <c r="AD6014" i="1" s="1"/>
  <c r="AB6014" i="1" s="1"/>
  <c r="AC6009" i="1"/>
  <c r="AD6009" i="1" s="1"/>
  <c r="AC6013" i="1"/>
  <c r="AD6013" i="1" s="1"/>
  <c r="AB6013" i="1" s="1"/>
  <c r="AC6015" i="1"/>
  <c r="AD6015" i="1" s="1"/>
  <c r="AB6015" i="1" s="1"/>
  <c r="AC6006" i="1"/>
  <c r="AD6006" i="1" s="1"/>
  <c r="AB6006" i="1" s="1"/>
  <c r="AC6001" i="1"/>
  <c r="AD6001" i="1" s="1"/>
  <c r="AB6001" i="1" s="1"/>
  <c r="AC6003" i="1"/>
  <c r="AD6003" i="1" s="1"/>
  <c r="AB6003" i="1" s="1"/>
  <c r="AC6005" i="1"/>
  <c r="AD6005" i="1" s="1"/>
  <c r="AB6005" i="1" s="1"/>
  <c r="AC6000" i="1"/>
  <c r="AD6000" i="1" s="1"/>
  <c r="AC6002" i="1"/>
  <c r="AD6002" i="1" s="1"/>
  <c r="AB6002" i="1" s="1"/>
  <c r="AC6004" i="1"/>
  <c r="AD6004" i="1" s="1"/>
  <c r="AB6004" i="1" s="1"/>
  <c r="P5889" i="1"/>
  <c r="AC5994" i="1"/>
  <c r="AD5994" i="1" s="1"/>
  <c r="AB5994" i="1" s="1"/>
  <c r="AC5997" i="1"/>
  <c r="AD5997" i="1" s="1"/>
  <c r="AB5997" i="1" s="1"/>
  <c r="AC5996" i="1"/>
  <c r="AD5996" i="1" s="1"/>
  <c r="AB5996" i="1" s="1"/>
  <c r="AC5993" i="1"/>
  <c r="AD5993" i="1" s="1"/>
  <c r="AB5993" i="1" s="1"/>
  <c r="AC5992" i="1"/>
  <c r="AD5992" i="1" s="1"/>
  <c r="AB5992" i="1" s="1"/>
  <c r="AC5991" i="1"/>
  <c r="AD5991" i="1" s="1"/>
  <c r="AC5995" i="1"/>
  <c r="AD5995" i="1" s="1"/>
  <c r="AB5995" i="1" s="1"/>
  <c r="P5952" i="1"/>
  <c r="M5952" i="1"/>
  <c r="N5952" i="1" s="1"/>
  <c r="AC5988" i="1"/>
  <c r="AD5988" i="1" s="1"/>
  <c r="AB5988" i="1" s="1"/>
  <c r="AC5983" i="1"/>
  <c r="AD5983" i="1" s="1"/>
  <c r="AB5983" i="1" s="1"/>
  <c r="AC5985" i="1"/>
  <c r="AD5985" i="1" s="1"/>
  <c r="AB5985" i="1" s="1"/>
  <c r="AC5987" i="1"/>
  <c r="AD5987" i="1" s="1"/>
  <c r="AB5987" i="1" s="1"/>
  <c r="AC5982" i="1"/>
  <c r="AD5982" i="1" s="1"/>
  <c r="AC5984" i="1"/>
  <c r="AD5984" i="1" s="1"/>
  <c r="AB5984" i="1" s="1"/>
  <c r="AC5986" i="1"/>
  <c r="AD5986" i="1" s="1"/>
  <c r="AB5986" i="1" s="1"/>
  <c r="AC5973" i="1"/>
  <c r="AD5973" i="1" s="1"/>
  <c r="AB5973" i="1" s="1"/>
  <c r="AC5972" i="1"/>
  <c r="AD5972" i="1" s="1"/>
  <c r="AC5978" i="1"/>
  <c r="AD5978" i="1" s="1"/>
  <c r="AB5978" i="1" s="1"/>
  <c r="AC5975" i="1"/>
  <c r="AD5975" i="1" s="1"/>
  <c r="AB5975" i="1" s="1"/>
  <c r="AC5977" i="1"/>
  <c r="AD5977" i="1" s="1"/>
  <c r="AB5977" i="1" s="1"/>
  <c r="AC5974" i="1"/>
  <c r="AD5974" i="1" s="1"/>
  <c r="AB5974" i="1" s="1"/>
  <c r="AC5976" i="1"/>
  <c r="AD5976" i="1" s="1"/>
  <c r="AB5976" i="1" s="1"/>
  <c r="M5943" i="1"/>
  <c r="AC5943" i="1" s="1"/>
  <c r="P5943" i="1"/>
  <c r="AC5966" i="1"/>
  <c r="AD5966" i="1" s="1"/>
  <c r="AB5966" i="1" s="1"/>
  <c r="AC5968" i="1"/>
  <c r="AD5968" i="1" s="1"/>
  <c r="AB5968" i="1" s="1"/>
  <c r="AC5965" i="1"/>
  <c r="AD5965" i="1" s="1"/>
  <c r="AB5965" i="1" s="1"/>
  <c r="AC5969" i="1"/>
  <c r="AD5969" i="1" s="1"/>
  <c r="AB5969" i="1" s="1"/>
  <c r="AC5964" i="1"/>
  <c r="AD5964" i="1" s="1"/>
  <c r="AB5964" i="1" s="1"/>
  <c r="AC5963" i="1"/>
  <c r="AD5963" i="1" s="1"/>
  <c r="AC5967" i="1"/>
  <c r="AD5967" i="1" s="1"/>
  <c r="AB5967" i="1" s="1"/>
  <c r="AC5960" i="1"/>
  <c r="AD5960" i="1" s="1"/>
  <c r="AB5960" i="1" s="1"/>
  <c r="AC5955" i="1"/>
  <c r="AD5955" i="1" s="1"/>
  <c r="AB5955" i="1" s="1"/>
  <c r="AC5957" i="1"/>
  <c r="AD5957" i="1" s="1"/>
  <c r="AB5957" i="1" s="1"/>
  <c r="AC5959" i="1"/>
  <c r="AD5959" i="1" s="1"/>
  <c r="AB5959" i="1" s="1"/>
  <c r="AC5954" i="1"/>
  <c r="AD5954" i="1" s="1"/>
  <c r="AC5956" i="1"/>
  <c r="AD5956" i="1" s="1"/>
  <c r="AB5956" i="1" s="1"/>
  <c r="AC5958" i="1"/>
  <c r="AD5958" i="1" s="1"/>
  <c r="AB5958" i="1" s="1"/>
  <c r="AB5945" i="1"/>
  <c r="AC5950" i="1"/>
  <c r="AD5950" i="1" s="1"/>
  <c r="AB5950" i="1" s="1"/>
  <c r="AC5947" i="1"/>
  <c r="AD5947" i="1" s="1"/>
  <c r="AB5947" i="1" s="1"/>
  <c r="AC5951" i="1"/>
  <c r="AD5951" i="1" s="1"/>
  <c r="AB5951" i="1" s="1"/>
  <c r="AC5946" i="1"/>
  <c r="AD5946" i="1" s="1"/>
  <c r="AC5949" i="1"/>
  <c r="AD5949" i="1" s="1"/>
  <c r="AB5949" i="1" s="1"/>
  <c r="AC5948" i="1"/>
  <c r="AD5948" i="1" s="1"/>
  <c r="AB5948" i="1" s="1"/>
  <c r="M5868" i="1"/>
  <c r="N5868" i="1" s="1"/>
  <c r="P5838" i="1"/>
  <c r="M5920" i="1"/>
  <c r="AC5920" i="1" s="1"/>
  <c r="K5890" i="1"/>
  <c r="M5890" i="1" s="1"/>
  <c r="AC5890" i="1" s="1"/>
  <c r="K5895" i="1"/>
  <c r="M5895" i="1" s="1"/>
  <c r="AC5895" i="1" s="1"/>
  <c r="AC5901" i="1" s="1"/>
  <c r="AD5901" i="1" s="1"/>
  <c r="AB5901" i="1" s="1"/>
  <c r="K5910" i="1"/>
  <c r="M5910" i="1" s="1"/>
  <c r="AC5910" i="1" s="1"/>
  <c r="K5902" i="1"/>
  <c r="M5902" i="1" s="1"/>
  <c r="AC5902" i="1" s="1"/>
  <c r="AC5904" i="1" s="1"/>
  <c r="AD5904" i="1" s="1"/>
  <c r="AB5904" i="1" s="1"/>
  <c r="K5869" i="1"/>
  <c r="M5869" i="1" s="1"/>
  <c r="AC5869" i="1" s="1"/>
  <c r="AC5871" i="1" s="1"/>
  <c r="AD5871" i="1" s="1"/>
  <c r="AB5871" i="1" s="1"/>
  <c r="K5874" i="1"/>
  <c r="M5874" i="1" s="1"/>
  <c r="AC5874" i="1" s="1"/>
  <c r="K5926" i="1"/>
  <c r="M5926" i="1" s="1"/>
  <c r="AC5926" i="1" s="1"/>
  <c r="K5921" i="1"/>
  <c r="M5921" i="1" s="1"/>
  <c r="AC5921" i="1" s="1"/>
  <c r="M5774" i="1"/>
  <c r="AC5774" i="1" s="1"/>
  <c r="K5839" i="1"/>
  <c r="M5839" i="1" s="1"/>
  <c r="AC5839" i="1" s="1"/>
  <c r="K5844" i="1"/>
  <c r="M5844" i="1" s="1"/>
  <c r="AC5844" i="1" s="1"/>
  <c r="AC5850" i="1" s="1"/>
  <c r="AD5850" i="1" s="1"/>
  <c r="AB5850" i="1" s="1"/>
  <c r="K5858" i="1"/>
  <c r="M5858" i="1" s="1"/>
  <c r="AC5858" i="1" s="1"/>
  <c r="K5851" i="1"/>
  <c r="M5851" i="1" s="1"/>
  <c r="AC5851" i="1" s="1"/>
  <c r="M5808" i="1"/>
  <c r="K5809" i="1"/>
  <c r="M5809" i="1" s="1"/>
  <c r="AC5809" i="1" s="1"/>
  <c r="K5828" i="1"/>
  <c r="M5828" i="1" s="1"/>
  <c r="AC5828" i="1" s="1"/>
  <c r="K5814" i="1"/>
  <c r="M5814" i="1" s="1"/>
  <c r="AC5814" i="1" s="1"/>
  <c r="AC5820" i="1" s="1"/>
  <c r="AD5820" i="1" s="1"/>
  <c r="AB5820" i="1" s="1"/>
  <c r="K5821" i="1"/>
  <c r="M5821" i="1" s="1"/>
  <c r="AC5821" i="1" s="1"/>
  <c r="K5775" i="1"/>
  <c r="M5775" i="1" s="1"/>
  <c r="AC5775" i="1" s="1"/>
  <c r="K5780" i="1"/>
  <c r="M5780" i="1" s="1"/>
  <c r="AC5780" i="1" s="1"/>
  <c r="AC5786" i="1" s="1"/>
  <c r="AD5786" i="1" s="1"/>
  <c r="AB5786" i="1" s="1"/>
  <c r="K5787" i="1"/>
  <c r="M5787" i="1" s="1"/>
  <c r="AC5787" i="1" s="1"/>
  <c r="AC5789" i="1" s="1"/>
  <c r="AD5789" i="1" s="1"/>
  <c r="AB5789" i="1" s="1"/>
  <c r="K5795" i="1"/>
  <c r="M5795" i="1" s="1"/>
  <c r="AC5795" i="1" s="1"/>
  <c r="M5612" i="1"/>
  <c r="AC5612" i="1" s="1"/>
  <c r="M5642" i="1"/>
  <c r="N5642" i="1" s="1"/>
  <c r="M5732" i="1"/>
  <c r="K5733" i="1"/>
  <c r="M5733" i="1" s="1"/>
  <c r="AC5733" i="1" s="1"/>
  <c r="K5738" i="1"/>
  <c r="M5738" i="1" s="1"/>
  <c r="AC5738" i="1" s="1"/>
  <c r="AC5744" i="1" s="1"/>
  <c r="AD5744" i="1" s="1"/>
  <c r="AB5744" i="1" s="1"/>
  <c r="K5752" i="1"/>
  <c r="M5752" i="1" s="1"/>
  <c r="AC5752" i="1" s="1"/>
  <c r="K5745" i="1"/>
  <c r="M5745" i="1" s="1"/>
  <c r="AC5745" i="1" s="1"/>
  <c r="M5702" i="1"/>
  <c r="K5703" i="1"/>
  <c r="M5703" i="1" s="1"/>
  <c r="AC5703" i="1" s="1"/>
  <c r="K5722" i="1"/>
  <c r="M5722" i="1" s="1"/>
  <c r="AC5722" i="1" s="1"/>
  <c r="K5708" i="1"/>
  <c r="M5708" i="1" s="1"/>
  <c r="AC5708" i="1" s="1"/>
  <c r="AC5714" i="1" s="1"/>
  <c r="AD5714" i="1" s="1"/>
  <c r="AB5714" i="1" s="1"/>
  <c r="K5715" i="1"/>
  <c r="M5715" i="1" s="1"/>
  <c r="AC5715" i="1" s="1"/>
  <c r="K5673" i="1"/>
  <c r="M5673" i="1" s="1"/>
  <c r="AC5673" i="1" s="1"/>
  <c r="K5678" i="1"/>
  <c r="M5678" i="1" s="1"/>
  <c r="AC5678" i="1" s="1"/>
  <c r="AC5684" i="1" s="1"/>
  <c r="AD5684" i="1" s="1"/>
  <c r="AB5684" i="1" s="1"/>
  <c r="K5685" i="1"/>
  <c r="M5685" i="1" s="1"/>
  <c r="AC5685" i="1" s="1"/>
  <c r="K5692" i="1"/>
  <c r="M5692" i="1" s="1"/>
  <c r="AC5692" i="1" s="1"/>
  <c r="M5449" i="1"/>
  <c r="N5449" i="1" s="1"/>
  <c r="M5581" i="1"/>
  <c r="N5581" i="1" s="1"/>
  <c r="K5662" i="1"/>
  <c r="M5662" i="1" s="1"/>
  <c r="AC5662" i="1" s="1"/>
  <c r="K5643" i="1"/>
  <c r="M5643" i="1" s="1"/>
  <c r="AC5643" i="1" s="1"/>
  <c r="K5648" i="1"/>
  <c r="M5648" i="1" s="1"/>
  <c r="AC5648" i="1" s="1"/>
  <c r="AC5654" i="1" s="1"/>
  <c r="AD5654" i="1" s="1"/>
  <c r="AB5654" i="1" s="1"/>
  <c r="K5655" i="1"/>
  <c r="M5655" i="1" s="1"/>
  <c r="AC5655" i="1" s="1"/>
  <c r="M5551" i="1"/>
  <c r="AC5551" i="1" s="1"/>
  <c r="K5613" i="1"/>
  <c r="M5613" i="1" s="1"/>
  <c r="AC5613" i="1" s="1"/>
  <c r="K5618" i="1"/>
  <c r="M5618" i="1" s="1"/>
  <c r="AC5618" i="1" s="1"/>
  <c r="AC5624" i="1" s="1"/>
  <c r="AD5624" i="1" s="1"/>
  <c r="AB5624" i="1" s="1"/>
  <c r="K5625" i="1"/>
  <c r="M5625" i="1" s="1"/>
  <c r="AC5625" i="1" s="1"/>
  <c r="K5632" i="1"/>
  <c r="M5632" i="1" s="1"/>
  <c r="AC5632" i="1" s="1"/>
  <c r="M5511" i="1"/>
  <c r="AC5511" i="1" s="1"/>
  <c r="K5601" i="1"/>
  <c r="M5601" i="1" s="1"/>
  <c r="AC5601" i="1" s="1"/>
  <c r="K5582" i="1"/>
  <c r="M5582" i="1" s="1"/>
  <c r="AC5582" i="1" s="1"/>
  <c r="K5587" i="1"/>
  <c r="M5587" i="1" s="1"/>
  <c r="AC5587" i="1" s="1"/>
  <c r="AC5593" i="1" s="1"/>
  <c r="AD5593" i="1" s="1"/>
  <c r="AB5593" i="1" s="1"/>
  <c r="K5594" i="1"/>
  <c r="M5594" i="1" s="1"/>
  <c r="AC5594" i="1" s="1"/>
  <c r="K5552" i="1"/>
  <c r="M5552" i="1" s="1"/>
  <c r="AC5552" i="1" s="1"/>
  <c r="K5571" i="1"/>
  <c r="M5571" i="1" s="1"/>
  <c r="AC5571" i="1" s="1"/>
  <c r="K5557" i="1"/>
  <c r="M5557" i="1" s="1"/>
  <c r="AC5557" i="1" s="1"/>
  <c r="AC5563" i="1" s="1"/>
  <c r="AD5563" i="1" s="1"/>
  <c r="AB5563" i="1" s="1"/>
  <c r="K5564" i="1"/>
  <c r="M5564" i="1" s="1"/>
  <c r="AC5564" i="1" s="1"/>
  <c r="K5512" i="1"/>
  <c r="M5512" i="1" s="1"/>
  <c r="AC5512" i="1" s="1"/>
  <c r="K5517" i="1"/>
  <c r="M5517" i="1" s="1"/>
  <c r="AC5517" i="1" s="1"/>
  <c r="AC5523" i="1" s="1"/>
  <c r="AD5523" i="1" s="1"/>
  <c r="AB5523" i="1" s="1"/>
  <c r="K5524" i="1"/>
  <c r="M5524" i="1" s="1"/>
  <c r="AC5524" i="1" s="1"/>
  <c r="AC5526" i="1" s="1"/>
  <c r="AD5526" i="1" s="1"/>
  <c r="AB5526" i="1" s="1"/>
  <c r="K5532" i="1"/>
  <c r="M5532" i="1" s="1"/>
  <c r="AC5532" i="1" s="1"/>
  <c r="M5480" i="1"/>
  <c r="K5493" i="1"/>
  <c r="M5493" i="1" s="1"/>
  <c r="AC5493" i="1" s="1"/>
  <c r="AC5495" i="1" s="1"/>
  <c r="AD5495" i="1" s="1"/>
  <c r="AB5495" i="1" s="1"/>
  <c r="K5481" i="1"/>
  <c r="M5481" i="1" s="1"/>
  <c r="AC5481" i="1" s="1"/>
  <c r="K5501" i="1"/>
  <c r="M5501" i="1" s="1"/>
  <c r="AC5501" i="1" s="1"/>
  <c r="K5486" i="1"/>
  <c r="M5486" i="1" s="1"/>
  <c r="AC5486" i="1" s="1"/>
  <c r="AC5492" i="1" s="1"/>
  <c r="AD5492" i="1" s="1"/>
  <c r="AB5492" i="1" s="1"/>
  <c r="M5384" i="1"/>
  <c r="AC5384" i="1" s="1"/>
  <c r="K5470" i="1"/>
  <c r="M5470" i="1" s="1"/>
  <c r="AC5470" i="1" s="1"/>
  <c r="K5462" i="1"/>
  <c r="M5462" i="1" s="1"/>
  <c r="AC5462" i="1" s="1"/>
  <c r="AC5464" i="1" s="1"/>
  <c r="AD5464" i="1" s="1"/>
  <c r="AB5464" i="1" s="1"/>
  <c r="K5450" i="1"/>
  <c r="M5450" i="1" s="1"/>
  <c r="AC5450" i="1" s="1"/>
  <c r="K5455" i="1"/>
  <c r="M5455" i="1" s="1"/>
  <c r="AC5455" i="1" s="1"/>
  <c r="AC5461" i="1" s="1"/>
  <c r="AD5461" i="1" s="1"/>
  <c r="AB5461" i="1" s="1"/>
  <c r="M5414" i="1"/>
  <c r="K5415" i="1"/>
  <c r="M5415" i="1" s="1"/>
  <c r="AC5415" i="1" s="1"/>
  <c r="K5420" i="1"/>
  <c r="M5420" i="1" s="1"/>
  <c r="AC5420" i="1" s="1"/>
  <c r="AC5426" i="1" s="1"/>
  <c r="AD5426" i="1" s="1"/>
  <c r="AB5426" i="1" s="1"/>
  <c r="K5434" i="1"/>
  <c r="M5434" i="1" s="1"/>
  <c r="AC5434" i="1" s="1"/>
  <c r="K5427" i="1"/>
  <c r="M5427" i="1" s="1"/>
  <c r="AC5427" i="1" s="1"/>
  <c r="M5354" i="1"/>
  <c r="AC5354" i="1" s="1"/>
  <c r="K5390" i="1"/>
  <c r="M5390" i="1" s="1"/>
  <c r="AC5390" i="1" s="1"/>
  <c r="AC5396" i="1" s="1"/>
  <c r="AD5396" i="1" s="1"/>
  <c r="AB5396" i="1" s="1"/>
  <c r="K5404" i="1"/>
  <c r="M5404" i="1" s="1"/>
  <c r="AC5404" i="1" s="1"/>
  <c r="K5385" i="1"/>
  <c r="M5385" i="1" s="1"/>
  <c r="AC5385" i="1" s="1"/>
  <c r="K5397" i="1"/>
  <c r="M5397" i="1" s="1"/>
  <c r="AC5397" i="1" s="1"/>
  <c r="M5234" i="1"/>
  <c r="AC5234" i="1" s="1"/>
  <c r="K5355" i="1"/>
  <c r="M5355" i="1" s="1"/>
  <c r="AC5355" i="1" s="1"/>
  <c r="K5360" i="1"/>
  <c r="M5360" i="1" s="1"/>
  <c r="AC5360" i="1" s="1"/>
  <c r="AC5366" i="1" s="1"/>
  <c r="AD5366" i="1" s="1"/>
  <c r="AB5366" i="1" s="1"/>
  <c r="K5374" i="1"/>
  <c r="M5374" i="1" s="1"/>
  <c r="AC5374" i="1" s="1"/>
  <c r="K5367" i="1"/>
  <c r="M5367" i="1" s="1"/>
  <c r="AC5367" i="1" s="1"/>
  <c r="M5324" i="1"/>
  <c r="K5325" i="1"/>
  <c r="M5325" i="1" s="1"/>
  <c r="AC5325" i="1" s="1"/>
  <c r="K5330" i="1"/>
  <c r="M5330" i="1" s="1"/>
  <c r="AC5330" i="1" s="1"/>
  <c r="AC5336" i="1" s="1"/>
  <c r="AD5336" i="1" s="1"/>
  <c r="AB5336" i="1" s="1"/>
  <c r="K5344" i="1"/>
  <c r="M5344" i="1" s="1"/>
  <c r="AC5344" i="1" s="1"/>
  <c r="K5337" i="1"/>
  <c r="M5337" i="1" s="1"/>
  <c r="AC5337" i="1" s="1"/>
  <c r="P5174" i="1"/>
  <c r="M5294" i="1"/>
  <c r="K5295" i="1"/>
  <c r="M5295" i="1" s="1"/>
  <c r="AC5295" i="1" s="1"/>
  <c r="K5300" i="1"/>
  <c r="M5300" i="1" s="1"/>
  <c r="AC5300" i="1" s="1"/>
  <c r="AC5306" i="1" s="1"/>
  <c r="AD5306" i="1" s="1"/>
  <c r="AB5306" i="1" s="1"/>
  <c r="K5314" i="1"/>
  <c r="M5314" i="1" s="1"/>
  <c r="AC5314" i="1" s="1"/>
  <c r="K5307" i="1"/>
  <c r="M5307" i="1" s="1"/>
  <c r="AC5307" i="1" s="1"/>
  <c r="P5204" i="1"/>
  <c r="M5264" i="1"/>
  <c r="K5284" i="1"/>
  <c r="M5284" i="1" s="1"/>
  <c r="AC5284" i="1" s="1"/>
  <c r="K5265" i="1"/>
  <c r="M5265" i="1" s="1"/>
  <c r="AC5265" i="1" s="1"/>
  <c r="K5270" i="1"/>
  <c r="M5270" i="1" s="1"/>
  <c r="AC5270" i="1" s="1"/>
  <c r="AC5276" i="1" s="1"/>
  <c r="AD5276" i="1" s="1"/>
  <c r="AB5276" i="1" s="1"/>
  <c r="K5277" i="1"/>
  <c r="M5277" i="1" s="1"/>
  <c r="AC5277" i="1" s="1"/>
  <c r="K5240" i="1"/>
  <c r="M5240" i="1" s="1"/>
  <c r="AC5240" i="1" s="1"/>
  <c r="AC5246" i="1" s="1"/>
  <c r="AD5246" i="1" s="1"/>
  <c r="AB5246" i="1" s="1"/>
  <c r="K5254" i="1"/>
  <c r="M5254" i="1" s="1"/>
  <c r="AC5254" i="1" s="1"/>
  <c r="K5235" i="1"/>
  <c r="M5235" i="1" s="1"/>
  <c r="AC5235" i="1" s="1"/>
  <c r="K5247" i="1"/>
  <c r="M5247" i="1" s="1"/>
  <c r="AC5247" i="1" s="1"/>
  <c r="M5144" i="1"/>
  <c r="AC5144" i="1" s="1"/>
  <c r="K5205" i="1"/>
  <c r="M5205" i="1" s="1"/>
  <c r="AC5205" i="1" s="1"/>
  <c r="K5210" i="1"/>
  <c r="M5210" i="1" s="1"/>
  <c r="AC5210" i="1" s="1"/>
  <c r="AC5216" i="1" s="1"/>
  <c r="AD5216" i="1" s="1"/>
  <c r="AB5216" i="1" s="1"/>
  <c r="K5224" i="1"/>
  <c r="M5224" i="1" s="1"/>
  <c r="AC5224" i="1" s="1"/>
  <c r="K5217" i="1"/>
  <c r="M5217" i="1" s="1"/>
  <c r="AC5217" i="1" s="1"/>
  <c r="M5078" i="1"/>
  <c r="AC5078" i="1" s="1"/>
  <c r="K5175" i="1"/>
  <c r="M5175" i="1" s="1"/>
  <c r="AC5175" i="1" s="1"/>
  <c r="K5180" i="1"/>
  <c r="M5180" i="1" s="1"/>
  <c r="AC5180" i="1" s="1"/>
  <c r="AC5186" i="1" s="1"/>
  <c r="AD5186" i="1" s="1"/>
  <c r="AB5186" i="1" s="1"/>
  <c r="K5194" i="1"/>
  <c r="M5194" i="1" s="1"/>
  <c r="AC5194" i="1" s="1"/>
  <c r="K5187" i="1"/>
  <c r="M5187" i="1" s="1"/>
  <c r="AC5187" i="1" s="1"/>
  <c r="P5047" i="1"/>
  <c r="K5150" i="1"/>
  <c r="M5150" i="1" s="1"/>
  <c r="AC5150" i="1" s="1"/>
  <c r="AC5156" i="1" s="1"/>
  <c r="AD5156" i="1" s="1"/>
  <c r="AB5156" i="1" s="1"/>
  <c r="K5164" i="1"/>
  <c r="M5164" i="1" s="1"/>
  <c r="AC5164" i="1" s="1"/>
  <c r="K5157" i="1"/>
  <c r="M5157" i="1" s="1"/>
  <c r="AC5157" i="1" s="1"/>
  <c r="K5145" i="1"/>
  <c r="M5145" i="1" s="1"/>
  <c r="AC5145" i="1" s="1"/>
  <c r="M4881" i="1"/>
  <c r="AC4881" i="1" s="1"/>
  <c r="M5114" i="1"/>
  <c r="K5115" i="1"/>
  <c r="M5115" i="1" s="1"/>
  <c r="AC5115" i="1" s="1"/>
  <c r="K5120" i="1"/>
  <c r="M5120" i="1" s="1"/>
  <c r="AC5120" i="1" s="1"/>
  <c r="AC5126" i="1" s="1"/>
  <c r="AD5126" i="1" s="1"/>
  <c r="AB5126" i="1" s="1"/>
  <c r="K5134" i="1"/>
  <c r="M5134" i="1" s="1"/>
  <c r="AC5134" i="1" s="1"/>
  <c r="K5127" i="1"/>
  <c r="M5127" i="1" s="1"/>
  <c r="AC5127" i="1" s="1"/>
  <c r="K5079" i="1"/>
  <c r="M5079" i="1" s="1"/>
  <c r="AC5079" i="1" s="1"/>
  <c r="K5084" i="1"/>
  <c r="M5084" i="1" s="1"/>
  <c r="AC5084" i="1" s="1"/>
  <c r="AC5090" i="1" s="1"/>
  <c r="AD5090" i="1" s="1"/>
  <c r="AB5090" i="1" s="1"/>
  <c r="K5091" i="1"/>
  <c r="M5091" i="1" s="1"/>
  <c r="AC5091" i="1" s="1"/>
  <c r="AC5093" i="1" s="1"/>
  <c r="AD5093" i="1" s="1"/>
  <c r="AB5093" i="1" s="1"/>
  <c r="K5099" i="1"/>
  <c r="M5099" i="1" s="1"/>
  <c r="AC5099" i="1" s="1"/>
  <c r="M4985" i="1"/>
  <c r="AC4985" i="1" s="1"/>
  <c r="K5053" i="1"/>
  <c r="M5053" i="1" s="1"/>
  <c r="AC5053" i="1" s="1"/>
  <c r="AC5059" i="1" s="1"/>
  <c r="AD5059" i="1" s="1"/>
  <c r="AB5059" i="1" s="1"/>
  <c r="K5048" i="1"/>
  <c r="M5048" i="1" s="1"/>
  <c r="AC5048" i="1" s="1"/>
  <c r="K5068" i="1"/>
  <c r="M5068" i="1" s="1"/>
  <c r="AC5068" i="1" s="1"/>
  <c r="K5060" i="1"/>
  <c r="M5060" i="1" s="1"/>
  <c r="AC5060" i="1" s="1"/>
  <c r="AC5062" i="1" s="1"/>
  <c r="AD5062" i="1" s="1"/>
  <c r="AB5062" i="1" s="1"/>
  <c r="M5016" i="1"/>
  <c r="K5022" i="1"/>
  <c r="M5022" i="1" s="1"/>
  <c r="AC5022" i="1" s="1"/>
  <c r="AC5028" i="1" s="1"/>
  <c r="AD5028" i="1" s="1"/>
  <c r="AB5028" i="1" s="1"/>
  <c r="K5037" i="1"/>
  <c r="M5037" i="1" s="1"/>
  <c r="AC5037" i="1" s="1"/>
  <c r="K5017" i="1"/>
  <c r="M5017" i="1" s="1"/>
  <c r="AC5017" i="1" s="1"/>
  <c r="K5029" i="1"/>
  <c r="M5029" i="1" s="1"/>
  <c r="AC5029" i="1" s="1"/>
  <c r="AC5031" i="1" s="1"/>
  <c r="AD5031" i="1" s="1"/>
  <c r="AB5031" i="1" s="1"/>
  <c r="M4911" i="1"/>
  <c r="N4911" i="1" s="1"/>
  <c r="P4941" i="1"/>
  <c r="K4986" i="1"/>
  <c r="M4986" i="1" s="1"/>
  <c r="AC4986" i="1" s="1"/>
  <c r="K4998" i="1"/>
  <c r="M4998" i="1" s="1"/>
  <c r="AC4998" i="1" s="1"/>
  <c r="AC5000" i="1" s="1"/>
  <c r="K4991" i="1"/>
  <c r="M4991" i="1" s="1"/>
  <c r="AC4991" i="1" s="1"/>
  <c r="AC4997" i="1" s="1"/>
  <c r="AD4997" i="1" s="1"/>
  <c r="AB4997" i="1" s="1"/>
  <c r="K5006" i="1"/>
  <c r="M5006" i="1" s="1"/>
  <c r="AC5006" i="1" s="1"/>
  <c r="K4942" i="1"/>
  <c r="M4942" i="1" s="1"/>
  <c r="AC4942" i="1" s="1"/>
  <c r="K4947" i="1"/>
  <c r="M4947" i="1" s="1"/>
  <c r="AC4947" i="1" s="1"/>
  <c r="AC4953" i="1" s="1"/>
  <c r="AD4953" i="1" s="1"/>
  <c r="AB4953" i="1" s="1"/>
  <c r="K4961" i="1"/>
  <c r="M4961" i="1" s="1"/>
  <c r="AC4961" i="1" s="1"/>
  <c r="K4954" i="1"/>
  <c r="M4954" i="1" s="1"/>
  <c r="AC4954" i="1" s="1"/>
  <c r="M4851" i="1"/>
  <c r="AC4851" i="1" s="1"/>
  <c r="K4912" i="1"/>
  <c r="M4912" i="1" s="1"/>
  <c r="AC4912" i="1" s="1"/>
  <c r="K4917" i="1"/>
  <c r="M4917" i="1" s="1"/>
  <c r="AC4917" i="1" s="1"/>
  <c r="AC4923" i="1" s="1"/>
  <c r="AD4923" i="1" s="1"/>
  <c r="AB4923" i="1" s="1"/>
  <c r="K4931" i="1"/>
  <c r="M4931" i="1" s="1"/>
  <c r="AC4931" i="1" s="1"/>
  <c r="K4924" i="1"/>
  <c r="M4924" i="1" s="1"/>
  <c r="AC4924" i="1" s="1"/>
  <c r="K4882" i="1"/>
  <c r="M4882" i="1" s="1"/>
  <c r="AC4882" i="1" s="1"/>
  <c r="K4901" i="1"/>
  <c r="M4901" i="1" s="1"/>
  <c r="AC4901" i="1" s="1"/>
  <c r="K4894" i="1"/>
  <c r="M4894" i="1" s="1"/>
  <c r="AC4894" i="1" s="1"/>
  <c r="K4887" i="1"/>
  <c r="M4887" i="1" s="1"/>
  <c r="AC4887" i="1" s="1"/>
  <c r="AC4893" i="1" s="1"/>
  <c r="AD4893" i="1" s="1"/>
  <c r="AB4893" i="1" s="1"/>
  <c r="P4791" i="1"/>
  <c r="K4864" i="1"/>
  <c r="M4864" i="1" s="1"/>
  <c r="AC4864" i="1" s="1"/>
  <c r="K4852" i="1"/>
  <c r="M4852" i="1" s="1"/>
  <c r="AC4852" i="1" s="1"/>
  <c r="K4857" i="1"/>
  <c r="M4857" i="1" s="1"/>
  <c r="AC4857" i="1" s="1"/>
  <c r="AC4863" i="1" s="1"/>
  <c r="AD4863" i="1" s="1"/>
  <c r="AB4863" i="1" s="1"/>
  <c r="K4871" i="1"/>
  <c r="M4871" i="1" s="1"/>
  <c r="AC4871" i="1" s="1"/>
  <c r="M4821" i="1"/>
  <c r="K4822" i="1"/>
  <c r="M4822" i="1" s="1"/>
  <c r="AC4822" i="1" s="1"/>
  <c r="K4827" i="1"/>
  <c r="M4827" i="1" s="1"/>
  <c r="AC4827" i="1" s="1"/>
  <c r="AC4833" i="1" s="1"/>
  <c r="AD4833" i="1" s="1"/>
  <c r="AB4833" i="1" s="1"/>
  <c r="K4841" i="1"/>
  <c r="M4841" i="1" s="1"/>
  <c r="AC4841" i="1" s="1"/>
  <c r="K4834" i="1"/>
  <c r="M4834" i="1" s="1"/>
  <c r="AC4834" i="1" s="1"/>
  <c r="M4671" i="1"/>
  <c r="N4671" i="1" s="1"/>
  <c r="M4761" i="1"/>
  <c r="AC4761" i="1" s="1"/>
  <c r="K4804" i="1"/>
  <c r="M4804" i="1" s="1"/>
  <c r="AC4804" i="1" s="1"/>
  <c r="K4792" i="1"/>
  <c r="M4792" i="1" s="1"/>
  <c r="AC4792" i="1" s="1"/>
  <c r="K4797" i="1"/>
  <c r="M4797" i="1" s="1"/>
  <c r="AC4797" i="1" s="1"/>
  <c r="AC4803" i="1" s="1"/>
  <c r="AD4803" i="1" s="1"/>
  <c r="AB4803" i="1" s="1"/>
  <c r="K4811" i="1"/>
  <c r="M4811" i="1" s="1"/>
  <c r="AC4811" i="1" s="1"/>
  <c r="K4762" i="1"/>
  <c r="M4762" i="1" s="1"/>
  <c r="AC4762" i="1" s="1"/>
  <c r="K4767" i="1"/>
  <c r="M4767" i="1" s="1"/>
  <c r="AC4767" i="1" s="1"/>
  <c r="AC4773" i="1" s="1"/>
  <c r="AD4773" i="1" s="1"/>
  <c r="AB4773" i="1" s="1"/>
  <c r="K4781" i="1"/>
  <c r="M4781" i="1" s="1"/>
  <c r="AC4781" i="1" s="1"/>
  <c r="K4774" i="1"/>
  <c r="M4774" i="1" s="1"/>
  <c r="AC4774" i="1" s="1"/>
  <c r="M4731" i="1"/>
  <c r="K4737" i="1"/>
  <c r="M4737" i="1" s="1"/>
  <c r="AC4737" i="1" s="1"/>
  <c r="AC4743" i="1" s="1"/>
  <c r="AD4743" i="1" s="1"/>
  <c r="AB4743" i="1" s="1"/>
  <c r="K4751" i="1"/>
  <c r="M4751" i="1" s="1"/>
  <c r="AC4751" i="1" s="1"/>
  <c r="K4732" i="1"/>
  <c r="M4732" i="1" s="1"/>
  <c r="AC4732" i="1" s="1"/>
  <c r="K4744" i="1"/>
  <c r="M4744" i="1" s="1"/>
  <c r="AC4744" i="1" s="1"/>
  <c r="M4701" i="1"/>
  <c r="K4707" i="1"/>
  <c r="M4707" i="1" s="1"/>
  <c r="AC4707" i="1" s="1"/>
  <c r="AC4713" i="1" s="1"/>
  <c r="AD4713" i="1" s="1"/>
  <c r="AB4713" i="1" s="1"/>
  <c r="K4721" i="1"/>
  <c r="M4721" i="1" s="1"/>
  <c r="AC4721" i="1" s="1"/>
  <c r="K4702" i="1"/>
  <c r="M4702" i="1" s="1"/>
  <c r="AC4702" i="1" s="1"/>
  <c r="K4714" i="1"/>
  <c r="M4714" i="1" s="1"/>
  <c r="AC4714" i="1" s="1"/>
  <c r="M9152" i="1"/>
  <c r="AC9152" i="1" s="1"/>
  <c r="P8837" i="1"/>
  <c r="K4672" i="1"/>
  <c r="M4672" i="1" s="1"/>
  <c r="AC4672" i="1" s="1"/>
  <c r="K4677" i="1"/>
  <c r="M4677" i="1" s="1"/>
  <c r="AC4677" i="1" s="1"/>
  <c r="AC4683" i="1" s="1"/>
  <c r="AD4683" i="1" s="1"/>
  <c r="AB4683" i="1" s="1"/>
  <c r="K4684" i="1"/>
  <c r="M4684" i="1" s="1"/>
  <c r="AC4684" i="1" s="1"/>
  <c r="K4691" i="1"/>
  <c r="M4691" i="1" s="1"/>
  <c r="AC4691" i="1" s="1"/>
  <c r="M9092" i="1"/>
  <c r="AC9092" i="1" s="1"/>
  <c r="K9153" i="1"/>
  <c r="M9153" i="1" s="1"/>
  <c r="AC9153" i="1" s="1"/>
  <c r="K9158" i="1"/>
  <c r="M9158" i="1" s="1"/>
  <c r="AC9158" i="1" s="1"/>
  <c r="AC9164" i="1" s="1"/>
  <c r="AD9164" i="1" s="1"/>
  <c r="AB9164" i="1" s="1"/>
  <c r="K9172" i="1"/>
  <c r="M9172" i="1" s="1"/>
  <c r="AC9172" i="1" s="1"/>
  <c r="K9165" i="1"/>
  <c r="M9165" i="1" s="1"/>
  <c r="AC9165" i="1" s="1"/>
  <c r="M9122" i="1"/>
  <c r="K9135" i="1"/>
  <c r="M9135" i="1" s="1"/>
  <c r="AC9135" i="1" s="1"/>
  <c r="K9123" i="1"/>
  <c r="M9123" i="1" s="1"/>
  <c r="AC9123" i="1" s="1"/>
  <c r="K9128" i="1"/>
  <c r="M9128" i="1" s="1"/>
  <c r="AC9128" i="1" s="1"/>
  <c r="AC9134" i="1" s="1"/>
  <c r="AD9134" i="1" s="1"/>
  <c r="AB9134" i="1" s="1"/>
  <c r="K9142" i="1"/>
  <c r="M9142" i="1" s="1"/>
  <c r="AC9142" i="1" s="1"/>
  <c r="K9093" i="1"/>
  <c r="M9093" i="1" s="1"/>
  <c r="AC9093" i="1" s="1"/>
  <c r="K9098" i="1"/>
  <c r="M9098" i="1" s="1"/>
  <c r="AC9098" i="1" s="1"/>
  <c r="AC9104" i="1" s="1"/>
  <c r="AD9104" i="1" s="1"/>
  <c r="AB9104" i="1" s="1"/>
  <c r="K9105" i="1"/>
  <c r="M9105" i="1" s="1"/>
  <c r="AC9105" i="1" s="1"/>
  <c r="K9112" i="1"/>
  <c r="M9112" i="1" s="1"/>
  <c r="AC9112" i="1" s="1"/>
  <c r="K9068" i="1"/>
  <c r="M9068" i="1" s="1"/>
  <c r="AC9068" i="1" s="1"/>
  <c r="AC9074" i="1" s="1"/>
  <c r="AD9074" i="1" s="1"/>
  <c r="AB9074" i="1" s="1"/>
  <c r="K9082" i="1"/>
  <c r="M9082" i="1" s="1"/>
  <c r="AC9082" i="1" s="1"/>
  <c r="K9063" i="1"/>
  <c r="M9063" i="1" s="1"/>
  <c r="AC9063" i="1" s="1"/>
  <c r="K9075" i="1"/>
  <c r="M9075" i="1" s="1"/>
  <c r="AC9075" i="1" s="1"/>
  <c r="M9024" i="1"/>
  <c r="AC9024" i="1" s="1"/>
  <c r="P9062" i="1"/>
  <c r="M9062" i="1"/>
  <c r="N9062" i="1" s="1"/>
  <c r="P8904" i="1"/>
  <c r="K9025" i="1"/>
  <c r="M9025" i="1" s="1"/>
  <c r="AC9025" i="1" s="1"/>
  <c r="K9037" i="1"/>
  <c r="M9037" i="1" s="1"/>
  <c r="AC9037" i="1" s="1"/>
  <c r="K9030" i="1"/>
  <c r="M9030" i="1" s="1"/>
  <c r="AC9030" i="1" s="1"/>
  <c r="AC9036" i="1" s="1"/>
  <c r="AD9036" i="1" s="1"/>
  <c r="AB9036" i="1" s="1"/>
  <c r="K9044" i="1"/>
  <c r="M9044" i="1" s="1"/>
  <c r="AC9044" i="1" s="1"/>
  <c r="P8964" i="1"/>
  <c r="M8994" i="1"/>
  <c r="K9007" i="1"/>
  <c r="M9007" i="1" s="1"/>
  <c r="AC9007" i="1" s="1"/>
  <c r="K8995" i="1"/>
  <c r="M8995" i="1" s="1"/>
  <c r="AC8995" i="1" s="1"/>
  <c r="K9014" i="1"/>
  <c r="M9014" i="1" s="1"/>
  <c r="AC9014" i="1" s="1"/>
  <c r="K9000" i="1"/>
  <c r="M9000" i="1" s="1"/>
  <c r="AC9000" i="1" s="1"/>
  <c r="AC9006" i="1" s="1"/>
  <c r="AD9006" i="1" s="1"/>
  <c r="AB9006" i="1" s="1"/>
  <c r="M8934" i="1"/>
  <c r="AC8934" i="1" s="1"/>
  <c r="K8977" i="1"/>
  <c r="M8977" i="1" s="1"/>
  <c r="AC8977" i="1" s="1"/>
  <c r="K8965" i="1"/>
  <c r="M8965" i="1" s="1"/>
  <c r="AC8965" i="1" s="1"/>
  <c r="K8970" i="1"/>
  <c r="M8970" i="1" s="1"/>
  <c r="AC8970" i="1" s="1"/>
  <c r="AC8976" i="1" s="1"/>
  <c r="AD8976" i="1" s="1"/>
  <c r="AB8976" i="1" s="1"/>
  <c r="K8984" i="1"/>
  <c r="M8984" i="1" s="1"/>
  <c r="AC8984" i="1" s="1"/>
  <c r="K8947" i="1"/>
  <c r="M8947" i="1" s="1"/>
  <c r="AC8947" i="1" s="1"/>
  <c r="K8935" i="1"/>
  <c r="M8935" i="1" s="1"/>
  <c r="AC8935" i="1" s="1"/>
  <c r="K8940" i="1"/>
  <c r="M8940" i="1" s="1"/>
  <c r="AC8940" i="1" s="1"/>
  <c r="AC8946" i="1" s="1"/>
  <c r="AD8946" i="1" s="1"/>
  <c r="AB8946" i="1" s="1"/>
  <c r="K8954" i="1"/>
  <c r="M8954" i="1" s="1"/>
  <c r="AC8954" i="1" s="1"/>
  <c r="K8905" i="1"/>
  <c r="M8905" i="1" s="1"/>
  <c r="AC8905" i="1" s="1"/>
  <c r="K8910" i="1"/>
  <c r="M8910" i="1" s="1"/>
  <c r="AC8910" i="1" s="1"/>
  <c r="AC8916" i="1" s="1"/>
  <c r="AD8916" i="1" s="1"/>
  <c r="AB8916" i="1" s="1"/>
  <c r="K8924" i="1"/>
  <c r="M8924" i="1" s="1"/>
  <c r="AC8924" i="1" s="1"/>
  <c r="K8917" i="1"/>
  <c r="M8917" i="1" s="1"/>
  <c r="AC8917" i="1" s="1"/>
  <c r="M8874" i="1"/>
  <c r="K8875" i="1"/>
  <c r="M8875" i="1" s="1"/>
  <c r="AC8875" i="1" s="1"/>
  <c r="K8880" i="1"/>
  <c r="M8880" i="1" s="1"/>
  <c r="AC8880" i="1" s="1"/>
  <c r="AC8886" i="1" s="1"/>
  <c r="AD8886" i="1" s="1"/>
  <c r="AB8886" i="1" s="1"/>
  <c r="K8894" i="1"/>
  <c r="M8894" i="1" s="1"/>
  <c r="AC8894" i="1" s="1"/>
  <c r="K8887" i="1"/>
  <c r="M8887" i="1" s="1"/>
  <c r="AC8887" i="1" s="1"/>
  <c r="M8777" i="1"/>
  <c r="AC8777" i="1" s="1"/>
  <c r="K8850" i="1"/>
  <c r="M8850" i="1" s="1"/>
  <c r="AC8850" i="1" s="1"/>
  <c r="K8843" i="1"/>
  <c r="M8843" i="1" s="1"/>
  <c r="AC8843" i="1" s="1"/>
  <c r="AC8849" i="1" s="1"/>
  <c r="AD8849" i="1" s="1"/>
  <c r="AB8849" i="1" s="1"/>
  <c r="K8838" i="1"/>
  <c r="M8838" i="1" s="1"/>
  <c r="AC8838" i="1" s="1"/>
  <c r="K8857" i="1"/>
  <c r="M8857" i="1" s="1"/>
  <c r="AC8857" i="1" s="1"/>
  <c r="P8747" i="1"/>
  <c r="M8807" i="1"/>
  <c r="K8808" i="1"/>
  <c r="M8808" i="1" s="1"/>
  <c r="AC8808" i="1" s="1"/>
  <c r="K8813" i="1"/>
  <c r="M8813" i="1" s="1"/>
  <c r="AC8813" i="1" s="1"/>
  <c r="AC8819" i="1" s="1"/>
  <c r="AD8819" i="1" s="1"/>
  <c r="AB8819" i="1" s="1"/>
  <c r="K8827" i="1"/>
  <c r="M8827" i="1" s="1"/>
  <c r="AC8827" i="1" s="1"/>
  <c r="K8820" i="1"/>
  <c r="M8820" i="1" s="1"/>
  <c r="AC8820" i="1" s="1"/>
  <c r="K8778" i="1"/>
  <c r="M8778" i="1" s="1"/>
  <c r="AC8778" i="1" s="1"/>
  <c r="K8783" i="1"/>
  <c r="M8783" i="1" s="1"/>
  <c r="AC8783" i="1" s="1"/>
  <c r="AC8789" i="1" s="1"/>
  <c r="AD8789" i="1" s="1"/>
  <c r="AB8789" i="1" s="1"/>
  <c r="K8797" i="1"/>
  <c r="M8797" i="1" s="1"/>
  <c r="AC8797" i="1" s="1"/>
  <c r="K8790" i="1"/>
  <c r="M8790" i="1" s="1"/>
  <c r="AC8790" i="1" s="1"/>
  <c r="P8717" i="1"/>
  <c r="M8687" i="1"/>
  <c r="AC8687" i="1" s="1"/>
  <c r="K8760" i="1"/>
  <c r="M8760" i="1" s="1"/>
  <c r="AC8760" i="1" s="1"/>
  <c r="K8748" i="1"/>
  <c r="M8748" i="1" s="1"/>
  <c r="AC8748" i="1" s="1"/>
  <c r="K8753" i="1"/>
  <c r="M8753" i="1" s="1"/>
  <c r="AC8753" i="1" s="1"/>
  <c r="AC8759" i="1" s="1"/>
  <c r="AD8759" i="1" s="1"/>
  <c r="AB8759" i="1" s="1"/>
  <c r="K8767" i="1"/>
  <c r="M8767" i="1" s="1"/>
  <c r="AC8767" i="1" s="1"/>
  <c r="K8718" i="1"/>
  <c r="M8718" i="1" s="1"/>
  <c r="AC8718" i="1" s="1"/>
  <c r="K8723" i="1"/>
  <c r="M8723" i="1" s="1"/>
  <c r="AC8723" i="1" s="1"/>
  <c r="AC8729" i="1" s="1"/>
  <c r="AD8729" i="1" s="1"/>
  <c r="AB8729" i="1" s="1"/>
  <c r="K8737" i="1"/>
  <c r="M8737" i="1" s="1"/>
  <c r="AC8737" i="1" s="1"/>
  <c r="K8730" i="1"/>
  <c r="M8730" i="1" s="1"/>
  <c r="AC8730" i="1" s="1"/>
  <c r="K8693" i="1"/>
  <c r="M8693" i="1" s="1"/>
  <c r="AC8693" i="1" s="1"/>
  <c r="K8688" i="1"/>
  <c r="M8688" i="1" s="1"/>
  <c r="AC8688" i="1" s="1"/>
  <c r="K8700" i="1"/>
  <c r="M8700" i="1" s="1"/>
  <c r="AC8700" i="1" s="1"/>
  <c r="K8707" i="1"/>
  <c r="M8707" i="1" s="1"/>
  <c r="AC8707" i="1" s="1"/>
  <c r="P8666" i="1"/>
  <c r="M4626" i="1"/>
  <c r="AC4626" i="1" s="1"/>
  <c r="M8633" i="1"/>
  <c r="K8648" i="1"/>
  <c r="M8648" i="1" s="1"/>
  <c r="AC8648" i="1" s="1"/>
  <c r="K8634" i="1"/>
  <c r="M8634" i="1" s="1"/>
  <c r="AC8634" i="1" s="1"/>
  <c r="K8650" i="1"/>
  <c r="M8650" i="1" s="1"/>
  <c r="AC8650" i="1" s="1"/>
  <c r="K8639" i="1"/>
  <c r="M8639" i="1" s="1"/>
  <c r="AC8639" i="1" s="1"/>
  <c r="M4591" i="1"/>
  <c r="AC4591" i="1" s="1"/>
  <c r="K8667" i="1"/>
  <c r="M8667" i="1" s="1"/>
  <c r="AC8667" i="1" s="1"/>
  <c r="K8677" i="1"/>
  <c r="M8677" i="1" s="1"/>
  <c r="AC8677" i="1" s="1"/>
  <c r="K4632" i="1"/>
  <c r="M4632" i="1" s="1"/>
  <c r="AC4632" i="1" s="1"/>
  <c r="K4644" i="1"/>
  <c r="M4644" i="1" s="1"/>
  <c r="AC4644" i="1" s="1"/>
  <c r="K4627" i="1"/>
  <c r="M4627" i="1" s="1"/>
  <c r="AC4627" i="1" s="1"/>
  <c r="K4647" i="1"/>
  <c r="M4647" i="1" s="1"/>
  <c r="AC4647" i="1" s="1"/>
  <c r="P4526" i="1"/>
  <c r="M4557" i="1"/>
  <c r="AC4557" i="1" s="1"/>
  <c r="K4612" i="1"/>
  <c r="M4612" i="1" s="1"/>
  <c r="AC4612" i="1" s="1"/>
  <c r="K4597" i="1"/>
  <c r="M4597" i="1" s="1"/>
  <c r="AC4597" i="1" s="1"/>
  <c r="K4609" i="1"/>
  <c r="M4609" i="1" s="1"/>
  <c r="AC4609" i="1" s="1"/>
  <c r="K4592" i="1"/>
  <c r="M4592" i="1" s="1"/>
  <c r="AC4592" i="1" s="1"/>
  <c r="P4495" i="1"/>
  <c r="P4443" i="1"/>
  <c r="P4475" i="1"/>
  <c r="K4563" i="1"/>
  <c r="M4563" i="1" s="1"/>
  <c r="AC4563" i="1" s="1"/>
  <c r="K4578" i="1"/>
  <c r="M4578" i="1" s="1"/>
  <c r="AC4578" i="1" s="1"/>
  <c r="K4575" i="1"/>
  <c r="M4575" i="1" s="1"/>
  <c r="AC4575" i="1" s="1"/>
  <c r="K4558" i="1"/>
  <c r="M4558" i="1" s="1"/>
  <c r="AC4558" i="1" s="1"/>
  <c r="K4527" i="1"/>
  <c r="M4527" i="1" s="1"/>
  <c r="AC4527" i="1" s="1"/>
  <c r="K4547" i="1"/>
  <c r="M4547" i="1" s="1"/>
  <c r="AC4547" i="1" s="1"/>
  <c r="K4532" i="1"/>
  <c r="M4532" i="1" s="1"/>
  <c r="AC4532" i="1" s="1"/>
  <c r="K4544" i="1"/>
  <c r="M4544" i="1" s="1"/>
  <c r="AC4544" i="1" s="1"/>
  <c r="M4475" i="1"/>
  <c r="AC4475" i="1" s="1"/>
  <c r="P4480" i="1"/>
  <c r="M4480" i="1"/>
  <c r="N4480" i="1" s="1"/>
  <c r="M4443" i="1"/>
  <c r="N4443" i="1" s="1"/>
  <c r="M4470" i="1"/>
  <c r="N4470" i="1" s="1"/>
  <c r="K4501" i="1"/>
  <c r="M4501" i="1" s="1"/>
  <c r="AC4501" i="1" s="1"/>
  <c r="K4513" i="1"/>
  <c r="M4513" i="1" s="1"/>
  <c r="AC4513" i="1" s="1"/>
  <c r="K4496" i="1"/>
  <c r="M4496" i="1" s="1"/>
  <c r="AC4496" i="1" s="1"/>
  <c r="K4516" i="1"/>
  <c r="M4516" i="1" s="1"/>
  <c r="AC4516" i="1" s="1"/>
  <c r="M4486" i="1"/>
  <c r="K4487" i="1"/>
  <c r="M4487" i="1" s="1"/>
  <c r="AC4487" i="1" s="1"/>
  <c r="P4470" i="1"/>
  <c r="M4399" i="1"/>
  <c r="N4399" i="1" s="1"/>
  <c r="P4465" i="1"/>
  <c r="M4465" i="1"/>
  <c r="AC4465" i="1" s="1"/>
  <c r="AC4484" i="1"/>
  <c r="AD4484" i="1" s="1"/>
  <c r="AB4484" i="1" s="1"/>
  <c r="AC4483" i="1"/>
  <c r="AD4483" i="1" s="1"/>
  <c r="AB4483" i="1" s="1"/>
  <c r="AC4482" i="1"/>
  <c r="AD4482" i="1" s="1"/>
  <c r="M4459" i="1"/>
  <c r="N4459" i="1" s="1"/>
  <c r="P4459" i="1"/>
  <c r="AC4479" i="1"/>
  <c r="AD4479" i="1" s="1"/>
  <c r="AB4479" i="1" s="1"/>
  <c r="AC4477" i="1"/>
  <c r="AD4477" i="1" s="1"/>
  <c r="AC4478" i="1"/>
  <c r="AD4478" i="1" s="1"/>
  <c r="AB4478" i="1" s="1"/>
  <c r="P4453" i="1"/>
  <c r="M4453" i="1"/>
  <c r="N4453" i="1" s="1"/>
  <c r="P4448" i="1"/>
  <c r="AC4474" i="1"/>
  <c r="AD4474" i="1" s="1"/>
  <c r="AB4474" i="1" s="1"/>
  <c r="AC4473" i="1"/>
  <c r="AD4473" i="1" s="1"/>
  <c r="AB4473" i="1" s="1"/>
  <c r="AC4472" i="1"/>
  <c r="AD4472" i="1" s="1"/>
  <c r="AC4468" i="1"/>
  <c r="AD4468" i="1" s="1"/>
  <c r="AB4468" i="1" s="1"/>
  <c r="AC4469" i="1"/>
  <c r="AD4469" i="1" s="1"/>
  <c r="AB4469" i="1" s="1"/>
  <c r="AC4467" i="1"/>
  <c r="AD4467" i="1" s="1"/>
  <c r="M4448" i="1"/>
  <c r="AC4448" i="1" s="1"/>
  <c r="P4438" i="1"/>
  <c r="M4431" i="1"/>
  <c r="AC4431" i="1" s="1"/>
  <c r="AC4463" i="1"/>
  <c r="AD4463" i="1" s="1"/>
  <c r="AB4463" i="1" s="1"/>
  <c r="AC4462" i="1"/>
  <c r="AD4462" i="1" s="1"/>
  <c r="AB4462" i="1" s="1"/>
  <c r="AC4461" i="1"/>
  <c r="AD4461" i="1" s="1"/>
  <c r="M4438" i="1"/>
  <c r="N4438" i="1" s="1"/>
  <c r="AC4456" i="1"/>
  <c r="AD4456" i="1" s="1"/>
  <c r="AB4456" i="1" s="1"/>
  <c r="AC4457" i="1"/>
  <c r="AD4457" i="1" s="1"/>
  <c r="AB4457" i="1" s="1"/>
  <c r="AC4455" i="1"/>
  <c r="AD4455" i="1" s="1"/>
  <c r="P4426" i="1"/>
  <c r="M4426" i="1"/>
  <c r="AC4426" i="1" s="1"/>
  <c r="AC4451" i="1"/>
  <c r="AD4451" i="1" s="1"/>
  <c r="AB4451" i="1" s="1"/>
  <c r="AC4452" i="1"/>
  <c r="AD4452" i="1" s="1"/>
  <c r="AB4452" i="1" s="1"/>
  <c r="AC4450" i="1"/>
  <c r="AD4450" i="1" s="1"/>
  <c r="P4431" i="1"/>
  <c r="AC4447" i="1"/>
  <c r="AD4447" i="1" s="1"/>
  <c r="AB4447" i="1" s="1"/>
  <c r="AC4446" i="1"/>
  <c r="AD4446" i="1" s="1"/>
  <c r="AB4446" i="1" s="1"/>
  <c r="AC4445" i="1"/>
  <c r="AD4445" i="1" s="1"/>
  <c r="P4421" i="1"/>
  <c r="M4421" i="1"/>
  <c r="N4421" i="1" s="1"/>
  <c r="AC4441" i="1"/>
  <c r="AD4441" i="1" s="1"/>
  <c r="AB4441" i="1" s="1"/>
  <c r="AC4442" i="1"/>
  <c r="AD4442" i="1" s="1"/>
  <c r="AB4442" i="1" s="1"/>
  <c r="AC4440" i="1"/>
  <c r="AD4440" i="1" s="1"/>
  <c r="AC4433" i="1"/>
  <c r="AD4433" i="1" s="1"/>
  <c r="AC4435" i="1"/>
  <c r="AD4435" i="1" s="1"/>
  <c r="AB4435" i="1" s="1"/>
  <c r="AC4434" i="1"/>
  <c r="AD4434" i="1" s="1"/>
  <c r="AB4434" i="1" s="1"/>
  <c r="M4416" i="1"/>
  <c r="N4416" i="1" s="1"/>
  <c r="P4416" i="1"/>
  <c r="AC4430" i="1"/>
  <c r="AD4430" i="1" s="1"/>
  <c r="AB4430" i="1" s="1"/>
  <c r="AC4429" i="1"/>
  <c r="AD4429" i="1" s="1"/>
  <c r="AB4429" i="1" s="1"/>
  <c r="AC4428" i="1"/>
  <c r="AD4428" i="1" s="1"/>
  <c r="P4409" i="1"/>
  <c r="M4409" i="1"/>
  <c r="AC4409" i="1" s="1"/>
  <c r="AC4425" i="1"/>
  <c r="AD4425" i="1" s="1"/>
  <c r="AB4425" i="1" s="1"/>
  <c r="AC4424" i="1"/>
  <c r="AD4424" i="1" s="1"/>
  <c r="AB4424" i="1" s="1"/>
  <c r="AC4423" i="1"/>
  <c r="AD4423" i="1" s="1"/>
  <c r="P4399" i="1"/>
  <c r="M4404" i="1"/>
  <c r="N4404" i="1" s="1"/>
  <c r="P4404" i="1"/>
  <c r="AC4420" i="1"/>
  <c r="AD4420" i="1" s="1"/>
  <c r="AB4420" i="1" s="1"/>
  <c r="AC4419" i="1"/>
  <c r="AD4419" i="1" s="1"/>
  <c r="AB4419" i="1" s="1"/>
  <c r="AC4418" i="1"/>
  <c r="AD4418" i="1" s="1"/>
  <c r="AC4412" i="1"/>
  <c r="AD4412" i="1" s="1"/>
  <c r="AB4412" i="1" s="1"/>
  <c r="AC4413" i="1"/>
  <c r="AD4413" i="1" s="1"/>
  <c r="AB4413" i="1" s="1"/>
  <c r="AC4411" i="1"/>
  <c r="AD4411" i="1" s="1"/>
  <c r="M4385" i="1"/>
  <c r="N4385" i="1" s="1"/>
  <c r="P4385" i="1"/>
  <c r="AC4408" i="1"/>
  <c r="AD4408" i="1" s="1"/>
  <c r="AB4408" i="1" s="1"/>
  <c r="AC4406" i="1"/>
  <c r="AD4406" i="1" s="1"/>
  <c r="AC4407" i="1"/>
  <c r="AD4407" i="1" s="1"/>
  <c r="AB4407" i="1" s="1"/>
  <c r="P4380" i="1"/>
  <c r="M4380" i="1"/>
  <c r="N4380" i="1" s="1"/>
  <c r="AC4401" i="1"/>
  <c r="AD4401" i="1" s="1"/>
  <c r="AC4403" i="1"/>
  <c r="AD4403" i="1" s="1"/>
  <c r="AB4403" i="1" s="1"/>
  <c r="AC4402" i="1"/>
  <c r="AD4402" i="1" s="1"/>
  <c r="AB4402" i="1" s="1"/>
  <c r="M4391" i="1"/>
  <c r="K4392" i="1"/>
  <c r="M4392" i="1" s="1"/>
  <c r="AC4392" i="1" s="1"/>
  <c r="M2856" i="1"/>
  <c r="AC2856" i="1" s="1"/>
  <c r="P2846" i="1"/>
  <c r="AC4389" i="1"/>
  <c r="AD4389" i="1" s="1"/>
  <c r="AB4389" i="1" s="1"/>
  <c r="AC4387" i="1"/>
  <c r="AD4387" i="1" s="1"/>
  <c r="AC4388" i="1"/>
  <c r="AD4388" i="1" s="1"/>
  <c r="AB4388" i="1" s="1"/>
  <c r="M4367" i="1"/>
  <c r="AC4367" i="1" s="1"/>
  <c r="P4367" i="1"/>
  <c r="M4360" i="1"/>
  <c r="AC4360" i="1" s="1"/>
  <c r="P4360" i="1"/>
  <c r="AC4383" i="1"/>
  <c r="AD4383" i="1" s="1"/>
  <c r="AB4383" i="1" s="1"/>
  <c r="AC4384" i="1"/>
  <c r="AD4384" i="1" s="1"/>
  <c r="AB4384" i="1" s="1"/>
  <c r="AC4382" i="1"/>
  <c r="AD4382" i="1" s="1"/>
  <c r="M4375" i="1"/>
  <c r="K4376" i="1"/>
  <c r="M4376" i="1" s="1"/>
  <c r="AC4376" i="1" s="1"/>
  <c r="M2846" i="1"/>
  <c r="AC2846" i="1" s="1"/>
  <c r="AC4369" i="1"/>
  <c r="AD4369" i="1" s="1"/>
  <c r="AC4371" i="1"/>
  <c r="AD4371" i="1" s="1"/>
  <c r="AB4371" i="1" s="1"/>
  <c r="AC4370" i="1"/>
  <c r="AD4370" i="1" s="1"/>
  <c r="AB4370" i="1" s="1"/>
  <c r="AC4363" i="1"/>
  <c r="AD4363" i="1" s="1"/>
  <c r="AB4363" i="1" s="1"/>
  <c r="AC4362" i="1"/>
  <c r="AD4362" i="1" s="1"/>
  <c r="AC4364" i="1"/>
  <c r="AD4364" i="1" s="1"/>
  <c r="AB4364" i="1" s="1"/>
  <c r="K2857" i="1"/>
  <c r="M2857" i="1" s="1"/>
  <c r="AC2857" i="1" s="1"/>
  <c r="K2864" i="1"/>
  <c r="M2864" i="1" s="1"/>
  <c r="AC2864" i="1" s="1"/>
  <c r="M2841" i="1"/>
  <c r="N2841" i="1" s="1"/>
  <c r="P2841" i="1"/>
  <c r="M2851" i="1"/>
  <c r="K2852" i="1"/>
  <c r="M2852" i="1" s="1"/>
  <c r="AC2852" i="1" s="1"/>
  <c r="AC2850" i="1"/>
  <c r="AD2850" i="1" s="1"/>
  <c r="AB2850" i="1" s="1"/>
  <c r="AC2849" i="1"/>
  <c r="AD2849" i="1" s="1"/>
  <c r="AB2849" i="1" s="1"/>
  <c r="AC2848" i="1"/>
  <c r="AD2848" i="1" s="1"/>
  <c r="M2824" i="1"/>
  <c r="N2824" i="1" s="1"/>
  <c r="M2812" i="1"/>
  <c r="AC2812" i="1" s="1"/>
  <c r="P2824" i="1"/>
  <c r="P2812" i="1"/>
  <c r="AC2845" i="1"/>
  <c r="AD2845" i="1" s="1"/>
  <c r="AB2845" i="1" s="1"/>
  <c r="AC2844" i="1"/>
  <c r="AD2844" i="1" s="1"/>
  <c r="AB2844" i="1" s="1"/>
  <c r="AC2843" i="1"/>
  <c r="AD2843" i="1" s="1"/>
  <c r="P2776" i="1"/>
  <c r="M2836" i="1"/>
  <c r="K2837" i="1"/>
  <c r="M2837" i="1" s="1"/>
  <c r="AC2837" i="1" s="1"/>
  <c r="M2788" i="1"/>
  <c r="AC2788" i="1" s="1"/>
  <c r="P2788" i="1"/>
  <c r="AC2829" i="1"/>
  <c r="AD2829" i="1" s="1"/>
  <c r="AB2829" i="1" s="1"/>
  <c r="AC2831" i="1"/>
  <c r="AD2831" i="1" s="1"/>
  <c r="AB2831" i="1" s="1"/>
  <c r="AC2826" i="1"/>
  <c r="AD2826" i="1" s="1"/>
  <c r="AC2835" i="1"/>
  <c r="AD2835" i="1" s="1"/>
  <c r="AB2835" i="1" s="1"/>
  <c r="AC2830" i="1"/>
  <c r="AD2830" i="1" s="1"/>
  <c r="AB2830" i="1" s="1"/>
  <c r="AC2834" i="1"/>
  <c r="AD2834" i="1" s="1"/>
  <c r="AB2834" i="1" s="1"/>
  <c r="AC2828" i="1"/>
  <c r="AD2828" i="1" s="1"/>
  <c r="AB2828" i="1" s="1"/>
  <c r="AC2832" i="1"/>
  <c r="AD2832" i="1" s="1"/>
  <c r="AB2832" i="1" s="1"/>
  <c r="AC2827" i="1"/>
  <c r="AD2827" i="1" s="1"/>
  <c r="AB2827" i="1" s="1"/>
  <c r="AC2833" i="1"/>
  <c r="AD2833" i="1" s="1"/>
  <c r="AB2833" i="1" s="1"/>
  <c r="P2608" i="1"/>
  <c r="AC2816" i="1"/>
  <c r="AD2816" i="1" s="1"/>
  <c r="AB2816" i="1" s="1"/>
  <c r="AC2823" i="1"/>
  <c r="AD2823" i="1" s="1"/>
  <c r="AB2823" i="1" s="1"/>
  <c r="AC2818" i="1"/>
  <c r="AD2818" i="1" s="1"/>
  <c r="AB2818" i="1" s="1"/>
  <c r="AC2820" i="1"/>
  <c r="AD2820" i="1" s="1"/>
  <c r="AB2820" i="1" s="1"/>
  <c r="AC2822" i="1"/>
  <c r="AD2822" i="1" s="1"/>
  <c r="AB2822" i="1" s="1"/>
  <c r="AC2815" i="1"/>
  <c r="AD2815" i="1" s="1"/>
  <c r="AB2815" i="1" s="1"/>
  <c r="AC2817" i="1"/>
  <c r="AD2817" i="1" s="1"/>
  <c r="AB2817" i="1" s="1"/>
  <c r="AC2819" i="1"/>
  <c r="AD2819" i="1" s="1"/>
  <c r="AB2819" i="1" s="1"/>
  <c r="AC2814" i="1"/>
  <c r="AD2814" i="1" s="1"/>
  <c r="AC2821" i="1"/>
  <c r="AD2821" i="1" s="1"/>
  <c r="AB2821" i="1" s="1"/>
  <c r="M2776" i="1"/>
  <c r="N2776" i="1" s="1"/>
  <c r="M2671" i="1"/>
  <c r="N2671" i="1" s="1"/>
  <c r="M2800" i="1"/>
  <c r="K2801" i="1"/>
  <c r="M2801" i="1" s="1"/>
  <c r="AC2801" i="1" s="1"/>
  <c r="AC2799" i="1"/>
  <c r="AD2799" i="1" s="1"/>
  <c r="AB2799" i="1" s="1"/>
  <c r="AC2794" i="1"/>
  <c r="AD2794" i="1" s="1"/>
  <c r="AB2794" i="1" s="1"/>
  <c r="AC2792" i="1"/>
  <c r="AD2792" i="1" s="1"/>
  <c r="AB2792" i="1" s="1"/>
  <c r="AC2798" i="1"/>
  <c r="AD2798" i="1" s="1"/>
  <c r="AB2798" i="1" s="1"/>
  <c r="AC2793" i="1"/>
  <c r="AD2793" i="1" s="1"/>
  <c r="AB2793" i="1" s="1"/>
  <c r="AC2797" i="1"/>
  <c r="AD2797" i="1" s="1"/>
  <c r="AB2797" i="1" s="1"/>
  <c r="AC2796" i="1"/>
  <c r="AD2796" i="1" s="1"/>
  <c r="AB2796" i="1" s="1"/>
  <c r="AC2791" i="1"/>
  <c r="AD2791" i="1" s="1"/>
  <c r="AB2791" i="1" s="1"/>
  <c r="AC2795" i="1"/>
  <c r="AD2795" i="1" s="1"/>
  <c r="AB2795" i="1" s="1"/>
  <c r="AC2790" i="1"/>
  <c r="AD2790" i="1" s="1"/>
  <c r="AC2787" i="1"/>
  <c r="AD2787" i="1" s="1"/>
  <c r="AB2787" i="1" s="1"/>
  <c r="AC2782" i="1"/>
  <c r="AD2782" i="1" s="1"/>
  <c r="AB2782" i="1" s="1"/>
  <c r="AC2784" i="1"/>
  <c r="AD2784" i="1" s="1"/>
  <c r="AB2784" i="1" s="1"/>
  <c r="AC2779" i="1"/>
  <c r="AD2779" i="1" s="1"/>
  <c r="AB2779" i="1" s="1"/>
  <c r="AC2786" i="1"/>
  <c r="AD2786" i="1" s="1"/>
  <c r="AB2786" i="1" s="1"/>
  <c r="AC2781" i="1"/>
  <c r="AD2781" i="1" s="1"/>
  <c r="AB2781" i="1" s="1"/>
  <c r="AC2783" i="1"/>
  <c r="AD2783" i="1" s="1"/>
  <c r="AB2783" i="1" s="1"/>
  <c r="AC2778" i="1"/>
  <c r="AD2778" i="1" s="1"/>
  <c r="AC2780" i="1"/>
  <c r="AD2780" i="1" s="1"/>
  <c r="AB2780" i="1" s="1"/>
  <c r="AC2785" i="1"/>
  <c r="AD2785" i="1" s="1"/>
  <c r="AB2785" i="1" s="1"/>
  <c r="M2703" i="1"/>
  <c r="N2703" i="1" s="1"/>
  <c r="M2735" i="1"/>
  <c r="K2741" i="1"/>
  <c r="M2741" i="1" s="1"/>
  <c r="AC2741" i="1" s="1"/>
  <c r="K2757" i="1"/>
  <c r="M2757" i="1" s="1"/>
  <c r="AC2757" i="1" s="1"/>
  <c r="K2754" i="1"/>
  <c r="M2754" i="1" s="1"/>
  <c r="AC2754" i="1" s="1"/>
  <c r="K2736" i="1"/>
  <c r="M2736" i="1" s="1"/>
  <c r="AC2736" i="1" s="1"/>
  <c r="K2709" i="1"/>
  <c r="M2709" i="1" s="1"/>
  <c r="AC2709" i="1" s="1"/>
  <c r="K2722" i="1"/>
  <c r="M2722" i="1" s="1"/>
  <c r="AC2722" i="1" s="1"/>
  <c r="K2725" i="1"/>
  <c r="M2725" i="1" s="1"/>
  <c r="AC2725" i="1" s="1"/>
  <c r="K2704" i="1"/>
  <c r="M2704" i="1" s="1"/>
  <c r="AC2704" i="1" s="1"/>
  <c r="K2677" i="1"/>
  <c r="M2677" i="1" s="1"/>
  <c r="AC2677" i="1" s="1"/>
  <c r="K2672" i="1"/>
  <c r="M2672" i="1" s="1"/>
  <c r="AC2672" i="1" s="1"/>
  <c r="K2690" i="1"/>
  <c r="M2690" i="1" s="1"/>
  <c r="AC2690" i="1" s="1"/>
  <c r="K2693" i="1"/>
  <c r="M2693" i="1" s="1"/>
  <c r="AC2693" i="1" s="1"/>
  <c r="P2512" i="1"/>
  <c r="P2577" i="1"/>
  <c r="M2639" i="1"/>
  <c r="K2640" i="1"/>
  <c r="M2640" i="1" s="1"/>
  <c r="AC2640" i="1" s="1"/>
  <c r="K2660" i="1"/>
  <c r="M2660" i="1" s="1"/>
  <c r="AC2660" i="1" s="1"/>
  <c r="K2645" i="1"/>
  <c r="M2645" i="1" s="1"/>
  <c r="AC2645" i="1" s="1"/>
  <c r="K2657" i="1"/>
  <c r="M2657" i="1" s="1"/>
  <c r="AC2657" i="1" s="1"/>
  <c r="P2543" i="1"/>
  <c r="K2626" i="1"/>
  <c r="M2626" i="1" s="1"/>
  <c r="AC2626" i="1" s="1"/>
  <c r="K2609" i="1"/>
  <c r="M2609" i="1" s="1"/>
  <c r="AC2609" i="1" s="1"/>
  <c r="K2629" i="1"/>
  <c r="M2629" i="1" s="1"/>
  <c r="AC2629" i="1" s="1"/>
  <c r="K2614" i="1"/>
  <c r="M2614" i="1" s="1"/>
  <c r="AC2614" i="1" s="1"/>
  <c r="K2598" i="1"/>
  <c r="M2598" i="1" s="1"/>
  <c r="AC2598" i="1" s="1"/>
  <c r="K2595" i="1"/>
  <c r="M2595" i="1" s="1"/>
  <c r="AC2595" i="1" s="1"/>
  <c r="K2578" i="1"/>
  <c r="M2578" i="1" s="1"/>
  <c r="AC2578" i="1" s="1"/>
  <c r="K2583" i="1"/>
  <c r="M2583" i="1" s="1"/>
  <c r="AC2583" i="1" s="1"/>
  <c r="K2564" i="1"/>
  <c r="M2564" i="1" s="1"/>
  <c r="AC2564" i="1" s="1"/>
  <c r="K2561" i="1"/>
  <c r="M2561" i="1" s="1"/>
  <c r="AC2561" i="1" s="1"/>
  <c r="K2544" i="1"/>
  <c r="M2544" i="1" s="1"/>
  <c r="AC2544" i="1" s="1"/>
  <c r="K2549" i="1"/>
  <c r="M2549" i="1" s="1"/>
  <c r="AC2549" i="1" s="1"/>
  <c r="P2447" i="1"/>
  <c r="P2396" i="1"/>
  <c r="M2396" i="1"/>
  <c r="N2396" i="1" s="1"/>
  <c r="K2533" i="1"/>
  <c r="M2533" i="1" s="1"/>
  <c r="AC2533" i="1" s="1"/>
  <c r="K2530" i="1"/>
  <c r="M2530" i="1" s="1"/>
  <c r="AC2530" i="1" s="1"/>
  <c r="K2513" i="1"/>
  <c r="M2513" i="1" s="1"/>
  <c r="AC2513" i="1" s="1"/>
  <c r="K2518" i="1"/>
  <c r="M2518" i="1" s="1"/>
  <c r="AC2518" i="1" s="1"/>
  <c r="M2481" i="1"/>
  <c r="K2502" i="1"/>
  <c r="M2502" i="1" s="1"/>
  <c r="AC2502" i="1" s="1"/>
  <c r="K2499" i="1"/>
  <c r="M2499" i="1" s="1"/>
  <c r="AC2499" i="1" s="1"/>
  <c r="K2482" i="1"/>
  <c r="M2482" i="1" s="1"/>
  <c r="AC2482" i="1" s="1"/>
  <c r="K2487" i="1"/>
  <c r="M2487" i="1" s="1"/>
  <c r="AC2487" i="1" s="1"/>
  <c r="M2363" i="1"/>
  <c r="N2363" i="1" s="1"/>
  <c r="K2448" i="1"/>
  <c r="M2448" i="1" s="1"/>
  <c r="AC2448" i="1" s="1"/>
  <c r="K2465" i="1"/>
  <c r="M2465" i="1" s="1"/>
  <c r="AC2465" i="1" s="1"/>
  <c r="K2468" i="1"/>
  <c r="M2468" i="1" s="1"/>
  <c r="AC2468" i="1" s="1"/>
  <c r="K2453" i="1"/>
  <c r="M2453" i="1" s="1"/>
  <c r="AC2453" i="1" s="1"/>
  <c r="M2391" i="1"/>
  <c r="N2391" i="1" s="1"/>
  <c r="P2391" i="1"/>
  <c r="P2380" i="1"/>
  <c r="M2416" i="1"/>
  <c r="K2422" i="1"/>
  <c r="M2422" i="1" s="1"/>
  <c r="AC2422" i="1" s="1"/>
  <c r="K2437" i="1"/>
  <c r="M2437" i="1" s="1"/>
  <c r="AC2437" i="1" s="1"/>
  <c r="K2434" i="1"/>
  <c r="M2434" i="1" s="1"/>
  <c r="AC2434" i="1" s="1"/>
  <c r="K2417" i="1"/>
  <c r="M2417" i="1" s="1"/>
  <c r="AC2417" i="1" s="1"/>
  <c r="M2375" i="1"/>
  <c r="AC2375" i="1" s="1"/>
  <c r="M2380" i="1"/>
  <c r="N2380" i="1" s="1"/>
  <c r="AC2400" i="1"/>
  <c r="AD2400" i="1" s="1"/>
  <c r="AB2400" i="1" s="1"/>
  <c r="AC2399" i="1"/>
  <c r="AD2399" i="1" s="1"/>
  <c r="AB2399" i="1" s="1"/>
  <c r="AC2398" i="1"/>
  <c r="AD2398" i="1" s="1"/>
  <c r="P2375" i="1"/>
  <c r="P2363" i="1"/>
  <c r="AC2393" i="1"/>
  <c r="AD2393" i="1" s="1"/>
  <c r="AC2395" i="1"/>
  <c r="AD2395" i="1" s="1"/>
  <c r="AB2395" i="1" s="1"/>
  <c r="AC2394" i="1"/>
  <c r="AD2394" i="1" s="1"/>
  <c r="AB2394" i="1" s="1"/>
  <c r="M2385" i="1"/>
  <c r="K2386" i="1"/>
  <c r="M2386" i="1" s="1"/>
  <c r="AC2386" i="1" s="1"/>
  <c r="AC2384" i="1"/>
  <c r="AD2384" i="1" s="1"/>
  <c r="AB2384" i="1" s="1"/>
  <c r="AC2383" i="1"/>
  <c r="AD2383" i="1" s="1"/>
  <c r="AB2383" i="1" s="1"/>
  <c r="AC2382" i="1"/>
  <c r="AD2382" i="1" s="1"/>
  <c r="AC2379" i="1"/>
  <c r="AD2379" i="1" s="1"/>
  <c r="AB2379" i="1" s="1"/>
  <c r="AC2377" i="1"/>
  <c r="AD2377" i="1" s="1"/>
  <c r="AC2378" i="1"/>
  <c r="AD2378" i="1" s="1"/>
  <c r="AB2378" i="1" s="1"/>
  <c r="M2358" i="1"/>
  <c r="AC2358" i="1" s="1"/>
  <c r="P2358" i="1"/>
  <c r="P2327" i="1"/>
  <c r="M2327" i="1"/>
  <c r="N2327" i="1" s="1"/>
  <c r="M2368" i="1"/>
  <c r="K2369" i="1"/>
  <c r="M2369" i="1" s="1"/>
  <c r="AC2369" i="1" s="1"/>
  <c r="M2353" i="1"/>
  <c r="AC2353" i="1" s="1"/>
  <c r="P2353" i="1"/>
  <c r="AC2367" i="1"/>
  <c r="AD2367" i="1" s="1"/>
  <c r="AB2367" i="1" s="1"/>
  <c r="AC2366" i="1"/>
  <c r="AD2366" i="1" s="1"/>
  <c r="AB2366" i="1" s="1"/>
  <c r="AC2365" i="1"/>
  <c r="AD2365" i="1" s="1"/>
  <c r="P2348" i="1"/>
  <c r="M2348" i="1"/>
  <c r="N2348" i="1" s="1"/>
  <c r="AC2362" i="1"/>
  <c r="AD2362" i="1" s="1"/>
  <c r="AB2362" i="1" s="1"/>
  <c r="AC2361" i="1"/>
  <c r="AD2361" i="1" s="1"/>
  <c r="AB2361" i="1" s="1"/>
  <c r="AC2360" i="1"/>
  <c r="AD2360" i="1" s="1"/>
  <c r="M2337" i="1"/>
  <c r="N2337" i="1" s="1"/>
  <c r="P2337" i="1"/>
  <c r="AC2356" i="1"/>
  <c r="AD2356" i="1" s="1"/>
  <c r="AB2356" i="1" s="1"/>
  <c r="AC2357" i="1"/>
  <c r="AD2357" i="1" s="1"/>
  <c r="AB2357" i="1" s="1"/>
  <c r="AC2355" i="1"/>
  <c r="AD2355" i="1" s="1"/>
  <c r="M2332" i="1"/>
  <c r="N2332" i="1" s="1"/>
  <c r="P2332" i="1"/>
  <c r="M2302" i="1"/>
  <c r="AC2302" i="1" s="1"/>
  <c r="AC2352" i="1"/>
  <c r="AD2352" i="1" s="1"/>
  <c r="AB2352" i="1" s="1"/>
  <c r="AC2351" i="1"/>
  <c r="AD2351" i="1" s="1"/>
  <c r="AB2351" i="1" s="1"/>
  <c r="AC2350" i="1"/>
  <c r="AD2350" i="1" s="1"/>
  <c r="M2342" i="1"/>
  <c r="K2343" i="1"/>
  <c r="M2343" i="1" s="1"/>
  <c r="AC2343" i="1" s="1"/>
  <c r="AC2341" i="1"/>
  <c r="AD2341" i="1" s="1"/>
  <c r="AB2341" i="1" s="1"/>
  <c r="AC2339" i="1"/>
  <c r="AD2339" i="1" s="1"/>
  <c r="AC2340" i="1"/>
  <c r="AD2340" i="1" s="1"/>
  <c r="AB2340" i="1" s="1"/>
  <c r="M2317" i="1"/>
  <c r="AC2317" i="1" s="1"/>
  <c r="AC2336" i="1"/>
  <c r="AD2336" i="1" s="1"/>
  <c r="AB2336" i="1" s="1"/>
  <c r="AC2335" i="1"/>
  <c r="AD2335" i="1" s="1"/>
  <c r="AB2335" i="1" s="1"/>
  <c r="AC2334" i="1"/>
  <c r="AD2334" i="1" s="1"/>
  <c r="P2302" i="1"/>
  <c r="P2317" i="1"/>
  <c r="M2307" i="1"/>
  <c r="AC2307" i="1" s="1"/>
  <c r="AC2331" i="1"/>
  <c r="AD2331" i="1" s="1"/>
  <c r="AB2331" i="1" s="1"/>
  <c r="AC2330" i="1"/>
  <c r="AD2330" i="1" s="1"/>
  <c r="AB2330" i="1" s="1"/>
  <c r="AC2329" i="1"/>
  <c r="AD2329" i="1" s="1"/>
  <c r="P2307" i="1"/>
  <c r="M2322" i="1"/>
  <c r="K2323" i="1"/>
  <c r="M2323" i="1" s="1"/>
  <c r="AC2323" i="1" s="1"/>
  <c r="P2292" i="1"/>
  <c r="AC2321" i="1"/>
  <c r="AD2321" i="1" s="1"/>
  <c r="AB2321" i="1" s="1"/>
  <c r="AC2320" i="1"/>
  <c r="AD2320" i="1" s="1"/>
  <c r="AB2320" i="1" s="1"/>
  <c r="AC2319" i="1"/>
  <c r="AD2319" i="1" s="1"/>
  <c r="M2287" i="1"/>
  <c r="N2287" i="1" s="1"/>
  <c r="M2312" i="1"/>
  <c r="K2313" i="1"/>
  <c r="M2313" i="1" s="1"/>
  <c r="AC2313" i="1" s="1"/>
  <c r="M2292" i="1"/>
  <c r="AC2292" i="1" s="1"/>
  <c r="P2261" i="1"/>
  <c r="M2261" i="1"/>
  <c r="N2261" i="1" s="1"/>
  <c r="P2266" i="1"/>
  <c r="M2297" i="1"/>
  <c r="AC2297" i="1" s="1"/>
  <c r="P2297" i="1"/>
  <c r="AC2310" i="1"/>
  <c r="AD2310" i="1" s="1"/>
  <c r="AB2310" i="1" s="1"/>
  <c r="AC2311" i="1"/>
  <c r="AD2311" i="1" s="1"/>
  <c r="AB2311" i="1" s="1"/>
  <c r="AC2309" i="1"/>
  <c r="AD2309" i="1" s="1"/>
  <c r="P2287" i="1"/>
  <c r="AC2306" i="1"/>
  <c r="AD2306" i="1" s="1"/>
  <c r="AB2306" i="1" s="1"/>
  <c r="AC2304" i="1"/>
  <c r="AD2304" i="1" s="1"/>
  <c r="AC2305" i="1"/>
  <c r="AD2305" i="1" s="1"/>
  <c r="AB2305" i="1" s="1"/>
  <c r="P2277" i="1"/>
  <c r="AC2301" i="1"/>
  <c r="AD2301" i="1" s="1"/>
  <c r="AB2301" i="1" s="1"/>
  <c r="AC2300" i="1"/>
  <c r="AD2300" i="1" s="1"/>
  <c r="AB2300" i="1" s="1"/>
  <c r="AC2299" i="1"/>
  <c r="AD2299" i="1" s="1"/>
  <c r="M2272" i="1"/>
  <c r="AC2272" i="1" s="1"/>
  <c r="AC2295" i="1"/>
  <c r="AD2295" i="1" s="1"/>
  <c r="AB2295" i="1" s="1"/>
  <c r="AC2296" i="1"/>
  <c r="AD2296" i="1" s="1"/>
  <c r="AB2296" i="1" s="1"/>
  <c r="AC2294" i="1"/>
  <c r="AD2294" i="1" s="1"/>
  <c r="M2240" i="1"/>
  <c r="N2240" i="1" s="1"/>
  <c r="P2272" i="1"/>
  <c r="M2277" i="1"/>
  <c r="N2277" i="1" s="1"/>
  <c r="AC2290" i="1"/>
  <c r="AD2290" i="1" s="1"/>
  <c r="AB2290" i="1" s="1"/>
  <c r="AC2291" i="1"/>
  <c r="AD2291" i="1" s="1"/>
  <c r="AB2291" i="1" s="1"/>
  <c r="AC2289" i="1"/>
  <c r="AD2289" i="1" s="1"/>
  <c r="P2240" i="1"/>
  <c r="M2266" i="1"/>
  <c r="N2266" i="1" s="1"/>
  <c r="M2282" i="1"/>
  <c r="K2283" i="1"/>
  <c r="M2283" i="1" s="1"/>
  <c r="AC2283" i="1" s="1"/>
  <c r="AC2281" i="1"/>
  <c r="AD2281" i="1" s="1"/>
  <c r="AB2281" i="1" s="1"/>
  <c r="AC2280" i="1"/>
  <c r="AD2280" i="1" s="1"/>
  <c r="AB2280" i="1" s="1"/>
  <c r="AC2279" i="1"/>
  <c r="AD2279" i="1" s="1"/>
  <c r="AC2248" i="1"/>
  <c r="AD2248" i="1" s="1"/>
  <c r="AB2248" i="1" s="1"/>
  <c r="AC2249" i="1"/>
  <c r="AD2249" i="1" s="1"/>
  <c r="AB2249" i="1" s="1"/>
  <c r="AC2247" i="1"/>
  <c r="AD2247" i="1" s="1"/>
  <c r="AC2274" i="1"/>
  <c r="AD2274" i="1" s="1"/>
  <c r="AC2276" i="1"/>
  <c r="AD2276" i="1" s="1"/>
  <c r="AB2276" i="1" s="1"/>
  <c r="AC2275" i="1"/>
  <c r="AD2275" i="1" s="1"/>
  <c r="AB2275" i="1" s="1"/>
  <c r="AC2270" i="1"/>
  <c r="AD2270" i="1" s="1"/>
  <c r="AB2270" i="1" s="1"/>
  <c r="AC2269" i="1"/>
  <c r="AD2269" i="1" s="1"/>
  <c r="AB2269" i="1" s="1"/>
  <c r="AC2268" i="1"/>
  <c r="AD2268" i="1" s="1"/>
  <c r="AC2264" i="1"/>
  <c r="AD2264" i="1" s="1"/>
  <c r="AB2264" i="1" s="1"/>
  <c r="AC2263" i="1"/>
  <c r="AD2263" i="1" s="1"/>
  <c r="AC2265" i="1"/>
  <c r="AD2265" i="1" s="1"/>
  <c r="AB2265" i="1" s="1"/>
  <c r="P2245" i="1"/>
  <c r="P2220" i="1"/>
  <c r="M2220" i="1"/>
  <c r="N2220" i="1" s="1"/>
  <c r="M2245" i="1"/>
  <c r="AC2245" i="1" s="1"/>
  <c r="M2260" i="1"/>
  <c r="M2255" i="1"/>
  <c r="K2256" i="1"/>
  <c r="M2256" i="1" s="1"/>
  <c r="AC2256" i="1" s="1"/>
  <c r="M2225" i="1"/>
  <c r="N2225" i="1" s="1"/>
  <c r="M2250" i="1"/>
  <c r="K2251" i="1"/>
  <c r="M2251" i="1" s="1"/>
  <c r="AC2251" i="1" s="1"/>
  <c r="M2235" i="1"/>
  <c r="AC2235" i="1" s="1"/>
  <c r="P2235" i="1"/>
  <c r="M1886" i="1"/>
  <c r="N1886" i="1" s="1"/>
  <c r="P2225" i="1"/>
  <c r="AC2242" i="1"/>
  <c r="AD2242" i="1" s="1"/>
  <c r="AC2244" i="1"/>
  <c r="AD2244" i="1" s="1"/>
  <c r="AB2244" i="1" s="1"/>
  <c r="AC2243" i="1"/>
  <c r="AD2243" i="1" s="1"/>
  <c r="AB2243" i="1" s="1"/>
  <c r="M2215" i="1"/>
  <c r="AC2215" i="1" s="1"/>
  <c r="AC2239" i="1"/>
  <c r="AD2239" i="1" s="1"/>
  <c r="AB2239" i="1" s="1"/>
  <c r="AC2237" i="1"/>
  <c r="AD2237" i="1" s="1"/>
  <c r="AC2238" i="1"/>
  <c r="AD2238" i="1" s="1"/>
  <c r="AB2238" i="1" s="1"/>
  <c r="P2215" i="1"/>
  <c r="M1889" i="1"/>
  <c r="N1889" i="1" s="1"/>
  <c r="M2230" i="1"/>
  <c r="K2231" i="1"/>
  <c r="M2231" i="1" s="1"/>
  <c r="AC2231" i="1" s="1"/>
  <c r="AC2229" i="1"/>
  <c r="AD2229" i="1" s="1"/>
  <c r="AB2229" i="1" s="1"/>
  <c r="AC2227" i="1"/>
  <c r="AD2227" i="1" s="1"/>
  <c r="AC2228" i="1"/>
  <c r="AD2228" i="1" s="1"/>
  <c r="AB2228" i="1" s="1"/>
  <c r="P1937" i="1"/>
  <c r="AC2224" i="1"/>
  <c r="AD2224" i="1" s="1"/>
  <c r="AB2224" i="1" s="1"/>
  <c r="AC2223" i="1"/>
  <c r="AD2223" i="1" s="1"/>
  <c r="AB2223" i="1" s="1"/>
  <c r="AC2222" i="1"/>
  <c r="AD2222" i="1" s="1"/>
  <c r="P1921" i="1"/>
  <c r="AC2219" i="1"/>
  <c r="AD2219" i="1" s="1"/>
  <c r="AB2219" i="1" s="1"/>
  <c r="AC2217" i="1"/>
  <c r="AD2217" i="1" s="1"/>
  <c r="AC2218" i="1"/>
  <c r="AD2218" i="1" s="1"/>
  <c r="AB2218" i="1" s="1"/>
  <c r="P1934" i="1"/>
  <c r="AC1948" i="1"/>
  <c r="AD1948" i="1" s="1"/>
  <c r="AB1948" i="1" s="1"/>
  <c r="AC1947" i="1"/>
  <c r="AD1947" i="1" s="1"/>
  <c r="AB1947" i="1" s="1"/>
  <c r="AC1946" i="1"/>
  <c r="AD1946" i="1" s="1"/>
  <c r="M1934" i="1"/>
  <c r="N1934" i="1" s="1"/>
  <c r="K1938" i="1"/>
  <c r="M1938" i="1" s="1"/>
  <c r="AC1938" i="1" s="1"/>
  <c r="K1949" i="1"/>
  <c r="M1949" i="1" s="1"/>
  <c r="AC1949" i="1" s="1"/>
  <c r="M1937" i="1"/>
  <c r="AB1936" i="1"/>
  <c r="AD1935" i="1"/>
  <c r="AD1934" i="1" s="1"/>
  <c r="M1931" i="1"/>
  <c r="K1932" i="1"/>
  <c r="M1932" i="1" s="1"/>
  <c r="AC1932" i="1" s="1"/>
  <c r="AC1933" i="1" s="1"/>
  <c r="AD1933" i="1" s="1"/>
  <c r="K1922" i="1"/>
  <c r="M1922" i="1" s="1"/>
  <c r="AC1922" i="1" s="1"/>
  <c r="P1886" i="1"/>
  <c r="M1928" i="1"/>
  <c r="K1929" i="1"/>
  <c r="M1929" i="1" s="1"/>
  <c r="AC1929" i="1" s="1"/>
  <c r="AC1930" i="1" s="1"/>
  <c r="AD1930" i="1" s="1"/>
  <c r="P1877" i="1"/>
  <c r="P1883" i="1"/>
  <c r="M1883" i="1"/>
  <c r="N1883" i="1" s="1"/>
  <c r="K1895" i="1"/>
  <c r="M1895" i="1" s="1"/>
  <c r="AC1895" i="1" s="1"/>
  <c r="K1908" i="1"/>
  <c r="M1908" i="1" s="1"/>
  <c r="AC1908" i="1" s="1"/>
  <c r="K1911" i="1"/>
  <c r="M1911" i="1" s="1"/>
  <c r="AC1911" i="1" s="1"/>
  <c r="K1890" i="1"/>
  <c r="M1890" i="1" s="1"/>
  <c r="AC1890" i="1" s="1"/>
  <c r="P1880" i="1"/>
  <c r="M1877" i="1"/>
  <c r="N1877" i="1" s="1"/>
  <c r="M1880" i="1"/>
  <c r="AC1880" i="1" s="1"/>
  <c r="AB1888" i="1"/>
  <c r="AD1887" i="1"/>
  <c r="AD1886" i="1" s="1"/>
  <c r="AB1885" i="1"/>
  <c r="AD1884" i="1"/>
  <c r="AD1883" i="1" s="1"/>
  <c r="P1851" i="1"/>
  <c r="M1871" i="1"/>
  <c r="AC1871" i="1" s="1"/>
  <c r="AD1881" i="1"/>
  <c r="AD1880" i="1" s="1"/>
  <c r="AB1882" i="1"/>
  <c r="P1871" i="1"/>
  <c r="AB1879" i="1"/>
  <c r="AD1878" i="1"/>
  <c r="AD1877" i="1" s="1"/>
  <c r="M1845" i="1"/>
  <c r="AC1845" i="1" s="1"/>
  <c r="P1845" i="1"/>
  <c r="M1874" i="1"/>
  <c r="K1875" i="1"/>
  <c r="M1875" i="1" s="1"/>
  <c r="AC1875" i="1" s="1"/>
  <c r="AC1876" i="1" s="1"/>
  <c r="AD1876" i="1" s="1"/>
  <c r="K1852" i="1"/>
  <c r="M1852" i="1" s="1"/>
  <c r="AC1852" i="1" s="1"/>
  <c r="AC1858" i="1" s="1"/>
  <c r="AD1858" i="1" s="1"/>
  <c r="AB1858" i="1" s="1"/>
  <c r="K1859" i="1"/>
  <c r="M1859" i="1" s="1"/>
  <c r="AC1859" i="1" s="1"/>
  <c r="M1835" i="1"/>
  <c r="AC1835" i="1" s="1"/>
  <c r="AC1873" i="1"/>
  <c r="AD1873" i="1" s="1"/>
  <c r="P1835" i="1"/>
  <c r="M1830" i="1"/>
  <c r="N1830" i="1" s="1"/>
  <c r="P1830" i="1"/>
  <c r="AC1847" i="1"/>
  <c r="AD1847" i="1" s="1"/>
  <c r="AC1849" i="1"/>
  <c r="AD1849" i="1" s="1"/>
  <c r="AB1849" i="1" s="1"/>
  <c r="AC1848" i="1"/>
  <c r="AD1848" i="1" s="1"/>
  <c r="AB1848" i="1" s="1"/>
  <c r="M1840" i="1"/>
  <c r="K1841" i="1"/>
  <c r="M1841" i="1" s="1"/>
  <c r="AC1841" i="1" s="1"/>
  <c r="M1785" i="1"/>
  <c r="N1785" i="1" s="1"/>
  <c r="P1785" i="1"/>
  <c r="AC1839" i="1"/>
  <c r="AD1839" i="1" s="1"/>
  <c r="AB1839" i="1" s="1"/>
  <c r="AC1838" i="1"/>
  <c r="AD1838" i="1" s="1"/>
  <c r="AB1838" i="1" s="1"/>
  <c r="AC1837" i="1"/>
  <c r="AD1837" i="1" s="1"/>
  <c r="AC1834" i="1"/>
  <c r="AD1834" i="1" s="1"/>
  <c r="AB1834" i="1" s="1"/>
  <c r="AC1833" i="1"/>
  <c r="AD1833" i="1" s="1"/>
  <c r="AB1833" i="1" s="1"/>
  <c r="AC1832" i="1"/>
  <c r="AD1832" i="1" s="1"/>
  <c r="M1797" i="1"/>
  <c r="AC1797" i="1" s="1"/>
  <c r="P1797" i="1"/>
  <c r="M1825" i="1"/>
  <c r="K1826" i="1"/>
  <c r="M1826" i="1" s="1"/>
  <c r="AC1826" i="1" s="1"/>
  <c r="M1741" i="1"/>
  <c r="N1741" i="1" s="1"/>
  <c r="M1809" i="1"/>
  <c r="K1810" i="1"/>
  <c r="M1810" i="1" s="1"/>
  <c r="AC1810" i="1" s="1"/>
  <c r="AC1794" i="1"/>
  <c r="AC1793" i="1"/>
  <c r="AC1808" i="1"/>
  <c r="AD1808" i="1" s="1"/>
  <c r="AB1808" i="1" s="1"/>
  <c r="AC1803" i="1"/>
  <c r="AD1803" i="1" s="1"/>
  <c r="AB1803" i="1" s="1"/>
  <c r="AC1805" i="1"/>
  <c r="AD1805" i="1" s="1"/>
  <c r="AB1805" i="1" s="1"/>
  <c r="AC1802" i="1"/>
  <c r="AD1802" i="1" s="1"/>
  <c r="AB1802" i="1" s="1"/>
  <c r="AC1799" i="1"/>
  <c r="AD1799" i="1" s="1"/>
  <c r="AC1800" i="1"/>
  <c r="AD1800" i="1" s="1"/>
  <c r="AB1800" i="1" s="1"/>
  <c r="AC1807" i="1"/>
  <c r="AD1807" i="1" s="1"/>
  <c r="AB1807" i="1" s="1"/>
  <c r="AC1804" i="1"/>
  <c r="AD1804" i="1" s="1"/>
  <c r="AB1804" i="1" s="1"/>
  <c r="AC1806" i="1"/>
  <c r="AD1806" i="1" s="1"/>
  <c r="AB1806" i="1" s="1"/>
  <c r="AC1801" i="1"/>
  <c r="AD1801" i="1" s="1"/>
  <c r="AB1801" i="1" s="1"/>
  <c r="AC1789" i="1"/>
  <c r="AD1789" i="1" s="1"/>
  <c r="AB1789" i="1" s="1"/>
  <c r="AC1791" i="1"/>
  <c r="AD1791" i="1" s="1"/>
  <c r="AB1791" i="1" s="1"/>
  <c r="AC1788" i="1"/>
  <c r="AD1788" i="1" s="1"/>
  <c r="AB1788" i="1" s="1"/>
  <c r="AC1795" i="1"/>
  <c r="AD1795" i="1" s="1"/>
  <c r="AB1795" i="1" s="1"/>
  <c r="AC1790" i="1"/>
  <c r="AD1790" i="1" s="1"/>
  <c r="AB1790" i="1" s="1"/>
  <c r="AC1792" i="1"/>
  <c r="AD1792" i="1" s="1"/>
  <c r="AB1792" i="1" s="1"/>
  <c r="AC1787" i="1"/>
  <c r="AD1787" i="1" s="1"/>
  <c r="AC1796" i="1"/>
  <c r="AD1796" i="1" s="1"/>
  <c r="AB1796" i="1" s="1"/>
  <c r="P1491" i="1"/>
  <c r="P1641" i="1"/>
  <c r="K1747" i="1"/>
  <c r="M1747" i="1" s="1"/>
  <c r="AC1747" i="1" s="1"/>
  <c r="K1760" i="1"/>
  <c r="M1760" i="1" s="1"/>
  <c r="AC1760" i="1" s="1"/>
  <c r="K1763" i="1"/>
  <c r="M1763" i="1" s="1"/>
  <c r="AC1763" i="1" s="1"/>
  <c r="K1742" i="1"/>
  <c r="M1742" i="1" s="1"/>
  <c r="AC1742" i="1" s="1"/>
  <c r="P1677" i="1"/>
  <c r="M1709" i="1"/>
  <c r="K1715" i="1"/>
  <c r="M1715" i="1" s="1"/>
  <c r="AC1715" i="1" s="1"/>
  <c r="K1710" i="1"/>
  <c r="M1710" i="1" s="1"/>
  <c r="AC1710" i="1" s="1"/>
  <c r="K1728" i="1"/>
  <c r="M1728" i="1" s="1"/>
  <c r="AC1728" i="1" s="1"/>
  <c r="K1731" i="1"/>
  <c r="M1731" i="1" s="1"/>
  <c r="AC1731" i="1" s="1"/>
  <c r="K1683" i="1"/>
  <c r="M1683" i="1" s="1"/>
  <c r="AC1683" i="1" s="1"/>
  <c r="AC1690" i="1" s="1"/>
  <c r="K1696" i="1"/>
  <c r="M1696" i="1" s="1"/>
  <c r="AC1696" i="1" s="1"/>
  <c r="K1678" i="1"/>
  <c r="M1678" i="1" s="1"/>
  <c r="AC1678" i="1" s="1"/>
  <c r="K1699" i="1"/>
  <c r="M1699" i="1" s="1"/>
  <c r="AC1699" i="1" s="1"/>
  <c r="P1584" i="1"/>
  <c r="K1585" i="1"/>
  <c r="M1585" i="1" s="1"/>
  <c r="AC1585" i="1" s="1"/>
  <c r="K1597" i="1"/>
  <c r="M1597" i="1" s="1"/>
  <c r="AC1597" i="1" s="1"/>
  <c r="K1600" i="1"/>
  <c r="M1600" i="1" s="1"/>
  <c r="AC1600" i="1" s="1"/>
  <c r="K1590" i="1"/>
  <c r="M1590" i="1" s="1"/>
  <c r="AC1590" i="1" s="1"/>
  <c r="M1610" i="1"/>
  <c r="AC1610" i="1" s="1"/>
  <c r="M1346" i="1"/>
  <c r="N1346" i="1" s="1"/>
  <c r="K1642" i="1"/>
  <c r="M1642" i="1" s="1"/>
  <c r="AC1642" i="1" s="1"/>
  <c r="K1659" i="1"/>
  <c r="M1659" i="1" s="1"/>
  <c r="AC1659" i="1" s="1"/>
  <c r="K1662" i="1"/>
  <c r="M1662" i="1" s="1"/>
  <c r="AC1662" i="1" s="1"/>
  <c r="K1647" i="1"/>
  <c r="M1647" i="1" s="1"/>
  <c r="AC1647" i="1" s="1"/>
  <c r="M1584" i="1"/>
  <c r="N1584" i="1" s="1"/>
  <c r="K1628" i="1"/>
  <c r="M1628" i="1" s="1"/>
  <c r="AC1628" i="1" s="1"/>
  <c r="K1611" i="1"/>
  <c r="M1611" i="1" s="1"/>
  <c r="AC1611" i="1" s="1"/>
  <c r="K1631" i="1"/>
  <c r="M1631" i="1" s="1"/>
  <c r="AC1631" i="1" s="1"/>
  <c r="K1616" i="1"/>
  <c r="M1616" i="1" s="1"/>
  <c r="AC1616" i="1" s="1"/>
  <c r="P1520" i="1"/>
  <c r="M1553" i="1"/>
  <c r="K1571" i="1"/>
  <c r="M1571" i="1" s="1"/>
  <c r="AC1571" i="1" s="1"/>
  <c r="K1554" i="1"/>
  <c r="M1554" i="1" s="1"/>
  <c r="AC1554" i="1" s="1"/>
  <c r="K1574" i="1"/>
  <c r="M1574" i="1" s="1"/>
  <c r="AC1574" i="1" s="1"/>
  <c r="K1559" i="1"/>
  <c r="M1559" i="1" s="1"/>
  <c r="AC1559" i="1" s="1"/>
  <c r="K1541" i="1"/>
  <c r="M1541" i="1" s="1"/>
  <c r="AC1541" i="1" s="1"/>
  <c r="K1538" i="1"/>
  <c r="M1538" i="1" s="1"/>
  <c r="AC1538" i="1" s="1"/>
  <c r="K1521" i="1"/>
  <c r="M1521" i="1" s="1"/>
  <c r="AC1521" i="1" s="1"/>
  <c r="K1526" i="1"/>
  <c r="M1526" i="1" s="1"/>
  <c r="AC1526" i="1" s="1"/>
  <c r="K1507" i="1"/>
  <c r="M1507" i="1" s="1"/>
  <c r="AC1507" i="1" s="1"/>
  <c r="K1497" i="1"/>
  <c r="M1497" i="1" s="1"/>
  <c r="AC1497" i="1" s="1"/>
  <c r="K1504" i="1"/>
  <c r="M1504" i="1" s="1"/>
  <c r="AC1504" i="1" s="1"/>
  <c r="K1492" i="1"/>
  <c r="M1492" i="1" s="1"/>
  <c r="AC1492" i="1" s="1"/>
  <c r="M1320" i="1"/>
  <c r="N1320" i="1" s="1"/>
  <c r="M1406" i="1"/>
  <c r="N1406" i="1" s="1"/>
  <c r="M1465" i="1"/>
  <c r="K1478" i="1"/>
  <c r="M1478" i="1" s="1"/>
  <c r="AC1478" i="1" s="1"/>
  <c r="K1466" i="1"/>
  <c r="M1466" i="1" s="1"/>
  <c r="AC1466" i="1" s="1"/>
  <c r="K1481" i="1"/>
  <c r="M1481" i="1" s="1"/>
  <c r="AC1481" i="1" s="1"/>
  <c r="K1471" i="1"/>
  <c r="M1471" i="1" s="1"/>
  <c r="AC1471" i="1" s="1"/>
  <c r="K1419" i="1"/>
  <c r="M1419" i="1" s="1"/>
  <c r="AC1419" i="1" s="1"/>
  <c r="K1422" i="1"/>
  <c r="M1422" i="1" s="1"/>
  <c r="AC1422" i="1" s="1"/>
  <c r="K1407" i="1"/>
  <c r="M1407" i="1" s="1"/>
  <c r="AC1407" i="1" s="1"/>
  <c r="K1412" i="1"/>
  <c r="M1412" i="1" s="1"/>
  <c r="AC1412" i="1" s="1"/>
  <c r="K1362" i="1"/>
  <c r="M1362" i="1" s="1"/>
  <c r="AC1362" i="1" s="1"/>
  <c r="K1352" i="1"/>
  <c r="M1352" i="1" s="1"/>
  <c r="AC1352" i="1" s="1"/>
  <c r="K1359" i="1"/>
  <c r="M1359" i="1" s="1"/>
  <c r="AC1359" i="1" s="1"/>
  <c r="K1347" i="1"/>
  <c r="M1347" i="1" s="1"/>
  <c r="AC1347" i="1" s="1"/>
  <c r="P1373" i="1"/>
  <c r="M1433" i="1"/>
  <c r="AC1433" i="1" s="1"/>
  <c r="K1333" i="1"/>
  <c r="M1333" i="1" s="1"/>
  <c r="AC1333" i="1" s="1"/>
  <c r="K1326" i="1"/>
  <c r="M1326" i="1" s="1"/>
  <c r="AC1326" i="1" s="1"/>
  <c r="K1336" i="1"/>
  <c r="M1336" i="1" s="1"/>
  <c r="AC1336" i="1" s="1"/>
  <c r="K1321" i="1"/>
  <c r="M1321" i="1" s="1"/>
  <c r="AC1321" i="1" s="1"/>
  <c r="M1289" i="1"/>
  <c r="N1289" i="1" s="1"/>
  <c r="K1454" i="1"/>
  <c r="M1454" i="1" s="1"/>
  <c r="AC1454" i="1" s="1"/>
  <c r="K1451" i="1"/>
  <c r="M1451" i="1" s="1"/>
  <c r="AC1451" i="1" s="1"/>
  <c r="K1434" i="1"/>
  <c r="M1434" i="1" s="1"/>
  <c r="AC1434" i="1" s="1"/>
  <c r="K1439" i="1"/>
  <c r="M1439" i="1" s="1"/>
  <c r="AC1439" i="1" s="1"/>
  <c r="M1071" i="1"/>
  <c r="N1071" i="1" s="1"/>
  <c r="P1258" i="1"/>
  <c r="K1391" i="1"/>
  <c r="M1391" i="1" s="1"/>
  <c r="AC1391" i="1" s="1"/>
  <c r="K1374" i="1"/>
  <c r="M1374" i="1" s="1"/>
  <c r="AC1374" i="1" s="1"/>
  <c r="K1394" i="1"/>
  <c r="M1394" i="1" s="1"/>
  <c r="AC1394" i="1" s="1"/>
  <c r="K1379" i="1"/>
  <c r="M1379" i="1" s="1"/>
  <c r="AC1379" i="1" s="1"/>
  <c r="K1307" i="1"/>
  <c r="M1307" i="1" s="1"/>
  <c r="AC1307" i="1" s="1"/>
  <c r="K1290" i="1"/>
  <c r="M1290" i="1" s="1"/>
  <c r="AC1290" i="1" s="1"/>
  <c r="K1310" i="1"/>
  <c r="M1310" i="1" s="1"/>
  <c r="AC1310" i="1" s="1"/>
  <c r="K1295" i="1"/>
  <c r="M1295" i="1" s="1"/>
  <c r="AC1295" i="1" s="1"/>
  <c r="K1271" i="1"/>
  <c r="M1271" i="1" s="1"/>
  <c r="AC1271" i="1" s="1"/>
  <c r="K1259" i="1"/>
  <c r="M1259" i="1" s="1"/>
  <c r="AC1259" i="1" s="1"/>
  <c r="K1274" i="1"/>
  <c r="M1274" i="1" s="1"/>
  <c r="AC1274" i="1" s="1"/>
  <c r="K1264" i="1"/>
  <c r="M1264" i="1" s="1"/>
  <c r="AC1264" i="1" s="1"/>
  <c r="M1232" i="1"/>
  <c r="AC1232" i="1" s="1"/>
  <c r="M1097" i="1"/>
  <c r="K1113" i="1"/>
  <c r="M1113" i="1" s="1"/>
  <c r="AC1113" i="1" s="1"/>
  <c r="K1103" i="1"/>
  <c r="M1103" i="1" s="1"/>
  <c r="AC1103" i="1" s="1"/>
  <c r="K1110" i="1"/>
  <c r="M1110" i="1" s="1"/>
  <c r="AC1110" i="1" s="1"/>
  <c r="K1098" i="1"/>
  <c r="M1098" i="1" s="1"/>
  <c r="AC1098" i="1" s="1"/>
  <c r="K1087" i="1"/>
  <c r="M1087" i="1" s="1"/>
  <c r="AC1087" i="1" s="1"/>
  <c r="K1072" i="1"/>
  <c r="M1072" i="1" s="1"/>
  <c r="AC1072" i="1" s="1"/>
  <c r="K1084" i="1"/>
  <c r="M1084" i="1" s="1"/>
  <c r="AC1084" i="1" s="1"/>
  <c r="K1077" i="1"/>
  <c r="M1077" i="1" s="1"/>
  <c r="AC1077" i="1" s="1"/>
  <c r="M1045" i="1"/>
  <c r="N1045" i="1" s="1"/>
  <c r="K1238" i="1"/>
  <c r="M1238" i="1" s="1"/>
  <c r="AC1238" i="1" s="1"/>
  <c r="K1245" i="1"/>
  <c r="M1245" i="1" s="1"/>
  <c r="AC1245" i="1" s="1"/>
  <c r="K1233" i="1"/>
  <c r="M1233" i="1" s="1"/>
  <c r="AC1233" i="1" s="1"/>
  <c r="K1248" i="1"/>
  <c r="M1248" i="1" s="1"/>
  <c r="AC1248" i="1" s="1"/>
  <c r="M1019" i="1"/>
  <c r="AC1019" i="1" s="1"/>
  <c r="K1051" i="1"/>
  <c r="M1051" i="1" s="1"/>
  <c r="AC1051" i="1" s="1"/>
  <c r="K1058" i="1"/>
  <c r="M1058" i="1" s="1"/>
  <c r="AC1058" i="1" s="1"/>
  <c r="K1046" i="1"/>
  <c r="M1046" i="1" s="1"/>
  <c r="AC1046" i="1" s="1"/>
  <c r="K1061" i="1"/>
  <c r="M1061" i="1" s="1"/>
  <c r="AC1061" i="1" s="1"/>
  <c r="P1154" i="1"/>
  <c r="K1167" i="1"/>
  <c r="M1167" i="1" s="1"/>
  <c r="AC1167" i="1" s="1"/>
  <c r="K1170" i="1"/>
  <c r="M1170" i="1" s="1"/>
  <c r="AC1170" i="1" s="1"/>
  <c r="K1155" i="1"/>
  <c r="M1155" i="1" s="1"/>
  <c r="AC1155" i="1" s="1"/>
  <c r="K1160" i="1"/>
  <c r="M1160" i="1" s="1"/>
  <c r="AC1160" i="1" s="1"/>
  <c r="M1206" i="1"/>
  <c r="K1219" i="1"/>
  <c r="M1219" i="1" s="1"/>
  <c r="AC1219" i="1" s="1"/>
  <c r="K1207" i="1"/>
  <c r="M1207" i="1" s="1"/>
  <c r="AC1207" i="1" s="1"/>
  <c r="K1222" i="1"/>
  <c r="M1222" i="1" s="1"/>
  <c r="AC1222" i="1" s="1"/>
  <c r="K1212" i="1"/>
  <c r="M1212" i="1" s="1"/>
  <c r="AC1212" i="1" s="1"/>
  <c r="P1123" i="1"/>
  <c r="M1154" i="1"/>
  <c r="AC1154" i="1" s="1"/>
  <c r="K1032" i="1"/>
  <c r="M1032" i="1" s="1"/>
  <c r="AC1032" i="1" s="1"/>
  <c r="K1020" i="1"/>
  <c r="M1020" i="1" s="1"/>
  <c r="AC1020" i="1" s="1"/>
  <c r="K1035" i="1"/>
  <c r="M1035" i="1" s="1"/>
  <c r="AC1035" i="1" s="1"/>
  <c r="K1025" i="1"/>
  <c r="M1025" i="1" s="1"/>
  <c r="AC1025" i="1" s="1"/>
  <c r="M993" i="1"/>
  <c r="AC993" i="1" s="1"/>
  <c r="K1141" i="1"/>
  <c r="M1141" i="1" s="1"/>
  <c r="AC1141" i="1" s="1"/>
  <c r="K1124" i="1"/>
  <c r="M1124" i="1" s="1"/>
  <c r="AC1124" i="1" s="1"/>
  <c r="K1144" i="1"/>
  <c r="M1144" i="1" s="1"/>
  <c r="AC1144" i="1" s="1"/>
  <c r="K1129" i="1"/>
  <c r="M1129" i="1" s="1"/>
  <c r="AC1129" i="1" s="1"/>
  <c r="M1180" i="1"/>
  <c r="N1180" i="1" s="1"/>
  <c r="P967" i="1"/>
  <c r="K1193" i="1"/>
  <c r="M1193" i="1" s="1"/>
  <c r="AC1193" i="1" s="1"/>
  <c r="K1181" i="1"/>
  <c r="M1181" i="1" s="1"/>
  <c r="AC1181" i="1" s="1"/>
  <c r="K1196" i="1"/>
  <c r="M1196" i="1" s="1"/>
  <c r="AC1196" i="1" s="1"/>
  <c r="K1186" i="1"/>
  <c r="M1186" i="1" s="1"/>
  <c r="AC1186" i="1" s="1"/>
  <c r="P883" i="1"/>
  <c r="K1009" i="1"/>
  <c r="M1009" i="1" s="1"/>
  <c r="AC1009" i="1" s="1"/>
  <c r="K994" i="1"/>
  <c r="M994" i="1" s="1"/>
  <c r="AC994" i="1" s="1"/>
  <c r="K1006" i="1"/>
  <c r="M1006" i="1" s="1"/>
  <c r="AC1006" i="1" s="1"/>
  <c r="K999" i="1"/>
  <c r="M999" i="1" s="1"/>
  <c r="AC999" i="1" s="1"/>
  <c r="K980" i="1"/>
  <c r="M980" i="1" s="1"/>
  <c r="AC980" i="1" s="1"/>
  <c r="K973" i="1"/>
  <c r="M973" i="1" s="1"/>
  <c r="AC973" i="1" s="1"/>
  <c r="K968" i="1"/>
  <c r="M968" i="1" s="1"/>
  <c r="AC968" i="1" s="1"/>
  <c r="K983" i="1"/>
  <c r="M983" i="1" s="1"/>
  <c r="AC983" i="1" s="1"/>
  <c r="M766" i="1"/>
  <c r="AC766" i="1" s="1"/>
  <c r="AB766" i="1" s="1"/>
  <c r="M936" i="1"/>
  <c r="K954" i="1"/>
  <c r="M954" i="1" s="1"/>
  <c r="AC954" i="1" s="1"/>
  <c r="K937" i="1"/>
  <c r="M937" i="1" s="1"/>
  <c r="AC937" i="1" s="1"/>
  <c r="K957" i="1"/>
  <c r="M957" i="1" s="1"/>
  <c r="AC957" i="1" s="1"/>
  <c r="K942" i="1"/>
  <c r="M942" i="1" s="1"/>
  <c r="AC942" i="1" s="1"/>
  <c r="M909" i="1"/>
  <c r="K922" i="1"/>
  <c r="M922" i="1" s="1"/>
  <c r="AC922" i="1" s="1"/>
  <c r="K910" i="1"/>
  <c r="M910" i="1" s="1"/>
  <c r="AC910" i="1" s="1"/>
  <c r="K925" i="1"/>
  <c r="M925" i="1" s="1"/>
  <c r="AC925" i="1" s="1"/>
  <c r="K915" i="1"/>
  <c r="M915" i="1" s="1"/>
  <c r="AC915" i="1" s="1"/>
  <c r="M857" i="1"/>
  <c r="AC857" i="1" s="1"/>
  <c r="K899" i="1"/>
  <c r="M899" i="1" s="1"/>
  <c r="AC899" i="1" s="1"/>
  <c r="K896" i="1"/>
  <c r="M896" i="1" s="1"/>
  <c r="AC896" i="1" s="1"/>
  <c r="K884" i="1"/>
  <c r="M884" i="1" s="1"/>
  <c r="AC884" i="1" s="1"/>
  <c r="K889" i="1"/>
  <c r="M889" i="1" s="1"/>
  <c r="AC889" i="1" s="1"/>
  <c r="M805" i="1"/>
  <c r="N805" i="1" s="1"/>
  <c r="K870" i="1"/>
  <c r="M870" i="1" s="1"/>
  <c r="AC870" i="1" s="1"/>
  <c r="K873" i="1"/>
  <c r="M873" i="1" s="1"/>
  <c r="AC873" i="1" s="1"/>
  <c r="K863" i="1"/>
  <c r="M863" i="1" s="1"/>
  <c r="AC863" i="1" s="1"/>
  <c r="K858" i="1"/>
  <c r="M858" i="1" s="1"/>
  <c r="AC858" i="1" s="1"/>
  <c r="M831" i="1"/>
  <c r="K832" i="1"/>
  <c r="M832" i="1" s="1"/>
  <c r="AC832" i="1" s="1"/>
  <c r="K844" i="1"/>
  <c r="M844" i="1" s="1"/>
  <c r="AC844" i="1" s="1"/>
  <c r="K847" i="1"/>
  <c r="M847" i="1" s="1"/>
  <c r="AC847" i="1" s="1"/>
  <c r="K837" i="1"/>
  <c r="M837" i="1" s="1"/>
  <c r="AC837" i="1" s="1"/>
  <c r="P766" i="1"/>
  <c r="P774" i="1"/>
  <c r="K821" i="1"/>
  <c r="M821" i="1" s="1"/>
  <c r="AC821" i="1" s="1"/>
  <c r="K818" i="1"/>
  <c r="M818" i="1" s="1"/>
  <c r="AC818" i="1" s="1"/>
  <c r="K806" i="1"/>
  <c r="M806" i="1" s="1"/>
  <c r="AC806" i="1" s="1"/>
  <c r="K811" i="1"/>
  <c r="M811" i="1" s="1"/>
  <c r="AC811" i="1" s="1"/>
  <c r="AC800" i="1"/>
  <c r="AD800" i="1" s="1"/>
  <c r="AB800" i="1" s="1"/>
  <c r="AC802" i="1"/>
  <c r="AD802" i="1" s="1"/>
  <c r="AB802" i="1" s="1"/>
  <c r="AC799" i="1"/>
  <c r="AD799" i="1" s="1"/>
  <c r="AB799" i="1" s="1"/>
  <c r="AC796" i="1"/>
  <c r="AD796" i="1" s="1"/>
  <c r="AC804" i="1"/>
  <c r="AD804" i="1" s="1"/>
  <c r="AB804" i="1" s="1"/>
  <c r="AC798" i="1"/>
  <c r="AD798" i="1" s="1"/>
  <c r="AB798" i="1" s="1"/>
  <c r="AC803" i="1"/>
  <c r="AD803" i="1" s="1"/>
  <c r="AB803" i="1" s="1"/>
  <c r="AC797" i="1"/>
  <c r="AD797" i="1" s="1"/>
  <c r="AB797" i="1" s="1"/>
  <c r="AC801" i="1"/>
  <c r="AD801" i="1" s="1"/>
  <c r="AB801" i="1" s="1"/>
  <c r="K780" i="1"/>
  <c r="M780" i="1" s="1"/>
  <c r="AC780" i="1" s="1"/>
  <c r="AC790" i="1" s="1"/>
  <c r="K792" i="1"/>
  <c r="M792" i="1" s="1"/>
  <c r="AC792" i="1" s="1"/>
  <c r="M746" i="1"/>
  <c r="AC746" i="1" s="1"/>
  <c r="P736" i="1"/>
  <c r="P746" i="1"/>
  <c r="P730" i="1"/>
  <c r="M774" i="1"/>
  <c r="K775" i="1"/>
  <c r="M775" i="1" s="1"/>
  <c r="AC775" i="1" s="1"/>
  <c r="M730" i="1"/>
  <c r="AC730" i="1" s="1"/>
  <c r="M736" i="1"/>
  <c r="N736" i="1" s="1"/>
  <c r="AB768" i="1"/>
  <c r="AC750" i="1"/>
  <c r="AD750" i="1" s="1"/>
  <c r="AB750" i="1" s="1"/>
  <c r="AC749" i="1"/>
  <c r="AD749" i="1" s="1"/>
  <c r="AB749" i="1" s="1"/>
  <c r="AC748" i="1"/>
  <c r="AD748" i="1" s="1"/>
  <c r="P720" i="1"/>
  <c r="M720" i="1"/>
  <c r="N720" i="1" s="1"/>
  <c r="M700" i="1"/>
  <c r="AC700" i="1" s="1"/>
  <c r="M741" i="1"/>
  <c r="K742" i="1"/>
  <c r="M742" i="1" s="1"/>
  <c r="AC742" i="1" s="1"/>
  <c r="P695" i="1"/>
  <c r="M725" i="1"/>
  <c r="N725" i="1" s="1"/>
  <c r="P725" i="1"/>
  <c r="AC740" i="1"/>
  <c r="AD740" i="1" s="1"/>
  <c r="AB740" i="1" s="1"/>
  <c r="AC739" i="1"/>
  <c r="AD739" i="1" s="1"/>
  <c r="AB739" i="1" s="1"/>
  <c r="AC738" i="1"/>
  <c r="AD738" i="1" s="1"/>
  <c r="P700" i="1"/>
  <c r="AC734" i="1"/>
  <c r="AD734" i="1" s="1"/>
  <c r="AB734" i="1" s="1"/>
  <c r="AC733" i="1"/>
  <c r="AD733" i="1" s="1"/>
  <c r="AB733" i="1" s="1"/>
  <c r="AC732" i="1"/>
  <c r="AD732" i="1" s="1"/>
  <c r="AC729" i="1"/>
  <c r="AD729" i="1" s="1"/>
  <c r="AB729" i="1" s="1"/>
  <c r="AC728" i="1"/>
  <c r="AD728" i="1" s="1"/>
  <c r="AB728" i="1" s="1"/>
  <c r="AC727" i="1"/>
  <c r="AD727" i="1" s="1"/>
  <c r="M695" i="1"/>
  <c r="AC695" i="1" s="1"/>
  <c r="P690" i="1"/>
  <c r="M690" i="1"/>
  <c r="N690" i="1" s="1"/>
  <c r="P685" i="1"/>
  <c r="M685" i="1"/>
  <c r="N685" i="1" s="1"/>
  <c r="AC722" i="1"/>
  <c r="AD722" i="1" s="1"/>
  <c r="AC724" i="1"/>
  <c r="AD724" i="1" s="1"/>
  <c r="AB724" i="1" s="1"/>
  <c r="AC723" i="1"/>
  <c r="AD723" i="1" s="1"/>
  <c r="AB723" i="1" s="1"/>
  <c r="AC704" i="1"/>
  <c r="AD704" i="1" s="1"/>
  <c r="AB704" i="1" s="1"/>
  <c r="AC703" i="1"/>
  <c r="AD703" i="1" s="1"/>
  <c r="AB703" i="1" s="1"/>
  <c r="AC702" i="1"/>
  <c r="AD702" i="1" s="1"/>
  <c r="M680" i="1"/>
  <c r="AC680" i="1" s="1"/>
  <c r="P680" i="1"/>
  <c r="M661" i="1"/>
  <c r="AC661" i="1" s="1"/>
  <c r="AC699" i="1"/>
  <c r="AD699" i="1" s="1"/>
  <c r="AB699" i="1" s="1"/>
  <c r="AC697" i="1"/>
  <c r="AD697" i="1" s="1"/>
  <c r="AC698" i="1"/>
  <c r="AD698" i="1" s="1"/>
  <c r="AB698" i="1" s="1"/>
  <c r="P661" i="1"/>
  <c r="AC694" i="1"/>
  <c r="AD694" i="1" s="1"/>
  <c r="AB694" i="1" s="1"/>
  <c r="AC692" i="1"/>
  <c r="AD692" i="1" s="1"/>
  <c r="AC693" i="1"/>
  <c r="AD693" i="1" s="1"/>
  <c r="AB693" i="1" s="1"/>
  <c r="M656" i="1"/>
  <c r="N656" i="1" s="1"/>
  <c r="AC688" i="1"/>
  <c r="AD688" i="1" s="1"/>
  <c r="AB688" i="1" s="1"/>
  <c r="AC687" i="1"/>
  <c r="AD687" i="1" s="1"/>
  <c r="AC689" i="1"/>
  <c r="AD689" i="1" s="1"/>
  <c r="AB689" i="1" s="1"/>
  <c r="P666" i="1"/>
  <c r="M666" i="1"/>
  <c r="AC666" i="1" s="1"/>
  <c r="AC684" i="1"/>
  <c r="AD684" i="1" s="1"/>
  <c r="AB684" i="1" s="1"/>
  <c r="AC683" i="1"/>
  <c r="AD683" i="1" s="1"/>
  <c r="AB683" i="1" s="1"/>
  <c r="AC682" i="1"/>
  <c r="AD682" i="1" s="1"/>
  <c r="M651" i="1"/>
  <c r="N651" i="1" s="1"/>
  <c r="P656" i="1"/>
  <c r="AC665" i="1"/>
  <c r="AD665" i="1" s="1"/>
  <c r="AB665" i="1" s="1"/>
  <c r="AC663" i="1"/>
  <c r="AD663" i="1" s="1"/>
  <c r="AC664" i="1"/>
  <c r="AD664" i="1" s="1"/>
  <c r="AB664" i="1" s="1"/>
  <c r="P651" i="1"/>
  <c r="AC670" i="1"/>
  <c r="AD670" i="1" s="1"/>
  <c r="AB670" i="1" s="1"/>
  <c r="AC668" i="1"/>
  <c r="AD668" i="1" s="1"/>
  <c r="AC669" i="1"/>
  <c r="AD669" i="1" s="1"/>
  <c r="AB669" i="1" s="1"/>
  <c r="M650" i="1"/>
  <c r="AC650" i="1" s="1"/>
  <c r="AB650" i="1" s="1"/>
  <c r="M640" i="1"/>
  <c r="AC640" i="1" s="1"/>
  <c r="P640" i="1"/>
  <c r="AC660" i="1"/>
  <c r="AD660" i="1" s="1"/>
  <c r="AB660" i="1" s="1"/>
  <c r="AC659" i="1"/>
  <c r="AD659" i="1" s="1"/>
  <c r="AB659" i="1" s="1"/>
  <c r="AC658" i="1"/>
  <c r="AD658" i="1" s="1"/>
  <c r="M635" i="1"/>
  <c r="N635" i="1" s="1"/>
  <c r="AC653" i="1"/>
  <c r="AD653" i="1" s="1"/>
  <c r="AC655" i="1"/>
  <c r="AD655" i="1" s="1"/>
  <c r="AB655" i="1" s="1"/>
  <c r="AC654" i="1"/>
  <c r="AD654" i="1" s="1"/>
  <c r="AB654" i="1" s="1"/>
  <c r="P635" i="1"/>
  <c r="M645" i="1"/>
  <c r="K646" i="1"/>
  <c r="M646" i="1" s="1"/>
  <c r="AC646" i="1" s="1"/>
  <c r="P625" i="1"/>
  <c r="M620" i="1"/>
  <c r="AC620" i="1" s="1"/>
  <c r="M625" i="1"/>
  <c r="AC625" i="1" s="1"/>
  <c r="AC644" i="1"/>
  <c r="AD644" i="1" s="1"/>
  <c r="AB644" i="1" s="1"/>
  <c r="AC643" i="1"/>
  <c r="AD643" i="1" s="1"/>
  <c r="AB643" i="1" s="1"/>
  <c r="AC642" i="1"/>
  <c r="AD642" i="1" s="1"/>
  <c r="P620" i="1"/>
  <c r="AC639" i="1"/>
  <c r="AD639" i="1" s="1"/>
  <c r="AB639" i="1" s="1"/>
  <c r="AC638" i="1"/>
  <c r="AD638" i="1" s="1"/>
  <c r="AB638" i="1" s="1"/>
  <c r="AC637" i="1"/>
  <c r="AD637" i="1" s="1"/>
  <c r="M630" i="1"/>
  <c r="K631" i="1"/>
  <c r="M631" i="1" s="1"/>
  <c r="AC631" i="1" s="1"/>
  <c r="M605" i="1"/>
  <c r="AC605" i="1" s="1"/>
  <c r="P605" i="1"/>
  <c r="P610" i="1"/>
  <c r="AC627" i="1"/>
  <c r="AD627" i="1" s="1"/>
  <c r="AC629" i="1"/>
  <c r="AD629" i="1" s="1"/>
  <c r="AB629" i="1" s="1"/>
  <c r="AC628" i="1"/>
  <c r="AD628" i="1" s="1"/>
  <c r="AB628" i="1" s="1"/>
  <c r="P600" i="1"/>
  <c r="M600" i="1"/>
  <c r="N600" i="1" s="1"/>
  <c r="M610" i="1"/>
  <c r="N610" i="1" s="1"/>
  <c r="AC624" i="1"/>
  <c r="AD624" i="1" s="1"/>
  <c r="AB624" i="1" s="1"/>
  <c r="AC623" i="1"/>
  <c r="AD623" i="1" s="1"/>
  <c r="AB623" i="1" s="1"/>
  <c r="AC622" i="1"/>
  <c r="AD622" i="1" s="1"/>
  <c r="M615" i="1"/>
  <c r="K616" i="1"/>
  <c r="M616" i="1" s="1"/>
  <c r="AC616" i="1" s="1"/>
  <c r="AC612" i="1"/>
  <c r="AD612" i="1" s="1"/>
  <c r="AC614" i="1"/>
  <c r="AD614" i="1" s="1"/>
  <c r="AB614" i="1" s="1"/>
  <c r="AC613" i="1"/>
  <c r="AD613" i="1" s="1"/>
  <c r="AB613" i="1" s="1"/>
  <c r="P590" i="1"/>
  <c r="M595" i="1"/>
  <c r="AC595" i="1" s="1"/>
  <c r="P595" i="1"/>
  <c r="P585" i="1"/>
  <c r="M590" i="1"/>
  <c r="AC590" i="1" s="1"/>
  <c r="AC609" i="1"/>
  <c r="AD609" i="1" s="1"/>
  <c r="AB609" i="1" s="1"/>
  <c r="AC608" i="1"/>
  <c r="AD608" i="1" s="1"/>
  <c r="AB608" i="1" s="1"/>
  <c r="AC607" i="1"/>
  <c r="AD607" i="1" s="1"/>
  <c r="AC604" i="1"/>
  <c r="AD604" i="1" s="1"/>
  <c r="AB604" i="1" s="1"/>
  <c r="AC603" i="1"/>
  <c r="AD603" i="1" s="1"/>
  <c r="AB603" i="1" s="1"/>
  <c r="AC602" i="1"/>
  <c r="AD602" i="1" s="1"/>
  <c r="M580" i="1"/>
  <c r="AC580" i="1" s="1"/>
  <c r="M569" i="1"/>
  <c r="AC569" i="1" s="1"/>
  <c r="P580" i="1"/>
  <c r="M585" i="1"/>
  <c r="AC585" i="1" s="1"/>
  <c r="P569" i="1"/>
  <c r="AC599" i="1"/>
  <c r="AD599" i="1" s="1"/>
  <c r="AB599" i="1" s="1"/>
  <c r="AC597" i="1"/>
  <c r="AD597" i="1" s="1"/>
  <c r="AC598" i="1"/>
  <c r="AD598" i="1" s="1"/>
  <c r="AB598" i="1" s="1"/>
  <c r="AC594" i="1"/>
  <c r="AD594" i="1" s="1"/>
  <c r="AB594" i="1" s="1"/>
  <c r="AC593" i="1"/>
  <c r="AD593" i="1" s="1"/>
  <c r="AB593" i="1" s="1"/>
  <c r="AC592" i="1"/>
  <c r="AD592" i="1" s="1"/>
  <c r="M564" i="1"/>
  <c r="AC564" i="1" s="1"/>
  <c r="AC589" i="1"/>
  <c r="AD589" i="1" s="1"/>
  <c r="AB589" i="1" s="1"/>
  <c r="AC587" i="1"/>
  <c r="AD587" i="1" s="1"/>
  <c r="AC588" i="1"/>
  <c r="AD588" i="1" s="1"/>
  <c r="AB588" i="1" s="1"/>
  <c r="P564" i="1"/>
  <c r="AC584" i="1"/>
  <c r="AD584" i="1" s="1"/>
  <c r="AB584" i="1" s="1"/>
  <c r="AC583" i="1"/>
  <c r="AD583" i="1" s="1"/>
  <c r="AB583" i="1" s="1"/>
  <c r="AC582" i="1"/>
  <c r="AD582" i="1" s="1"/>
  <c r="P559" i="1"/>
  <c r="M559" i="1"/>
  <c r="N559" i="1" s="1"/>
  <c r="M574" i="1"/>
  <c r="K575" i="1"/>
  <c r="M575" i="1" s="1"/>
  <c r="AC575" i="1" s="1"/>
  <c r="P554" i="1"/>
  <c r="M554" i="1"/>
  <c r="AC554" i="1" s="1"/>
  <c r="AC573" i="1"/>
  <c r="AD573" i="1" s="1"/>
  <c r="AB573" i="1" s="1"/>
  <c r="AC572" i="1"/>
  <c r="AD572" i="1" s="1"/>
  <c r="AB572" i="1" s="1"/>
  <c r="AC571" i="1"/>
  <c r="AD571" i="1" s="1"/>
  <c r="M539" i="1"/>
  <c r="N539" i="1" s="1"/>
  <c r="P539" i="1"/>
  <c r="AC568" i="1"/>
  <c r="AD568" i="1" s="1"/>
  <c r="AB568" i="1" s="1"/>
  <c r="AC566" i="1"/>
  <c r="AD566" i="1" s="1"/>
  <c r="AC567" i="1"/>
  <c r="AD567" i="1" s="1"/>
  <c r="AB567" i="1" s="1"/>
  <c r="M544" i="1"/>
  <c r="N544" i="1" s="1"/>
  <c r="P549" i="1"/>
  <c r="M549" i="1"/>
  <c r="N549" i="1" s="1"/>
  <c r="P544" i="1"/>
  <c r="AC562" i="1"/>
  <c r="AD562" i="1" s="1"/>
  <c r="AB562" i="1" s="1"/>
  <c r="AC563" i="1"/>
  <c r="AD563" i="1" s="1"/>
  <c r="AB563" i="1" s="1"/>
  <c r="AC561" i="1"/>
  <c r="AD561" i="1" s="1"/>
  <c r="AC558" i="1"/>
  <c r="AD558" i="1" s="1"/>
  <c r="AB558" i="1" s="1"/>
  <c r="AC557" i="1"/>
  <c r="AD557" i="1" s="1"/>
  <c r="AB557" i="1" s="1"/>
  <c r="AC556" i="1"/>
  <c r="AD556" i="1" s="1"/>
  <c r="M534" i="1"/>
  <c r="N534" i="1" s="1"/>
  <c r="P534" i="1"/>
  <c r="AC553" i="1"/>
  <c r="AD553" i="1" s="1"/>
  <c r="AB553" i="1" s="1"/>
  <c r="AC552" i="1"/>
  <c r="AD552" i="1" s="1"/>
  <c r="AB552" i="1" s="1"/>
  <c r="AC551" i="1"/>
  <c r="AD551" i="1" s="1"/>
  <c r="AC548" i="1"/>
  <c r="AD548" i="1" s="1"/>
  <c r="AB548" i="1" s="1"/>
  <c r="AC547" i="1"/>
  <c r="AD547" i="1" s="1"/>
  <c r="AB547" i="1" s="1"/>
  <c r="AC546" i="1"/>
  <c r="AD546" i="1" s="1"/>
  <c r="AC542" i="1"/>
  <c r="AD542" i="1" s="1"/>
  <c r="AB542" i="1" s="1"/>
  <c r="AC543" i="1"/>
  <c r="AD543" i="1" s="1"/>
  <c r="AB543" i="1" s="1"/>
  <c r="AC541" i="1"/>
  <c r="AD541" i="1" s="1"/>
  <c r="AC537" i="1"/>
  <c r="AD537" i="1" s="1"/>
  <c r="AB537" i="1" s="1"/>
  <c r="AC538" i="1"/>
  <c r="AD538" i="1" s="1"/>
  <c r="AB538" i="1" s="1"/>
  <c r="AC536" i="1"/>
  <c r="AD536" i="1" s="1"/>
  <c r="Q2148" i="1"/>
  <c r="R2148" i="1" s="1"/>
  <c r="T2148" i="1" s="1"/>
  <c r="M483" i="1"/>
  <c r="AC483" i="1" s="1"/>
  <c r="M2019" i="1"/>
  <c r="N2019" i="1" s="1"/>
  <c r="M529" i="1"/>
  <c r="K530" i="1"/>
  <c r="M530" i="1" s="1"/>
  <c r="AC530" i="1" s="1"/>
  <c r="H2167" i="1"/>
  <c r="I2167" i="1" s="1"/>
  <c r="Q2167" i="1"/>
  <c r="R2167" i="1" s="1"/>
  <c r="T2167" i="1" s="1"/>
  <c r="P1964" i="1"/>
  <c r="M2192" i="1"/>
  <c r="K2203" i="1"/>
  <c r="M2203" i="1" s="1"/>
  <c r="AC2203" i="1" s="1"/>
  <c r="K2209" i="1"/>
  <c r="M2209" i="1" s="1"/>
  <c r="AC2209" i="1" s="1"/>
  <c r="AC2210" i="1" s="1"/>
  <c r="AD2210" i="1" s="1"/>
  <c r="K2193" i="1"/>
  <c r="M2193" i="1" s="1"/>
  <c r="AC2193" i="1" s="1"/>
  <c r="M2074" i="1"/>
  <c r="N2074" i="1" s="1"/>
  <c r="M2000" i="1"/>
  <c r="N2000" i="1" s="1"/>
  <c r="M440" i="1"/>
  <c r="N440" i="1" s="1"/>
  <c r="H2111" i="1"/>
  <c r="I2111" i="1" s="1"/>
  <c r="Q2111" i="1"/>
  <c r="R2111" i="1" s="1"/>
  <c r="T2111" i="1" s="1"/>
  <c r="H2129" i="1"/>
  <c r="I2129" i="1" s="1"/>
  <c r="Q2129" i="1"/>
  <c r="R2129" i="1" s="1"/>
  <c r="T2129" i="1" s="1"/>
  <c r="P303" i="1"/>
  <c r="M2092" i="1"/>
  <c r="K2103" i="1"/>
  <c r="M2103" i="1" s="1"/>
  <c r="AC2103" i="1" s="1"/>
  <c r="K2109" i="1"/>
  <c r="M2109" i="1" s="1"/>
  <c r="AC2109" i="1" s="1"/>
  <c r="AC2110" i="1" s="1"/>
  <c r="AD2110" i="1" s="1"/>
  <c r="K2093" i="1"/>
  <c r="M2093" i="1" s="1"/>
  <c r="AC2093" i="1" s="1"/>
  <c r="M1982" i="1"/>
  <c r="AC1982" i="1" s="1"/>
  <c r="K2084" i="1"/>
  <c r="M2084" i="1" s="1"/>
  <c r="AC2084" i="1" s="1"/>
  <c r="K2090" i="1"/>
  <c r="M2090" i="1" s="1"/>
  <c r="AC2090" i="1" s="1"/>
  <c r="AC2091" i="1" s="1"/>
  <c r="AD2091" i="1" s="1"/>
  <c r="K2075" i="1"/>
  <c r="M2075" i="1" s="1"/>
  <c r="AC2075" i="1" s="1"/>
  <c r="M2056" i="1"/>
  <c r="K2066" i="1"/>
  <c r="M2066" i="1" s="1"/>
  <c r="AC2066" i="1" s="1"/>
  <c r="K2072" i="1"/>
  <c r="M2072" i="1" s="1"/>
  <c r="AC2072" i="1" s="1"/>
  <c r="AC2073" i="1" s="1"/>
  <c r="AD2073" i="1" s="1"/>
  <c r="K2057" i="1"/>
  <c r="M2057" i="1" s="1"/>
  <c r="AC2057" i="1" s="1"/>
  <c r="P2037" i="1"/>
  <c r="K2047" i="1"/>
  <c r="M2047" i="1" s="1"/>
  <c r="AC2047" i="1" s="1"/>
  <c r="K2053" i="1"/>
  <c r="M2053" i="1" s="1"/>
  <c r="AC2053" i="1" s="1"/>
  <c r="AC2054" i="1" s="1"/>
  <c r="AD2054" i="1" s="1"/>
  <c r="K2038" i="1"/>
  <c r="M2038" i="1" s="1"/>
  <c r="AC2038" i="1" s="1"/>
  <c r="K2029" i="1"/>
  <c r="M2029" i="1" s="1"/>
  <c r="AC2029" i="1" s="1"/>
  <c r="K2035" i="1"/>
  <c r="M2035" i="1" s="1"/>
  <c r="AC2035" i="1" s="1"/>
  <c r="AC2036" i="1" s="1"/>
  <c r="AD2036" i="1" s="1"/>
  <c r="K2020" i="1"/>
  <c r="M2020" i="1" s="1"/>
  <c r="AC2020" i="1" s="1"/>
  <c r="K2011" i="1"/>
  <c r="M2011" i="1" s="1"/>
  <c r="AC2011" i="1" s="1"/>
  <c r="K2001" i="1"/>
  <c r="M2001" i="1" s="1"/>
  <c r="AC2001" i="1" s="1"/>
  <c r="K2017" i="1"/>
  <c r="M2017" i="1" s="1"/>
  <c r="AC2017" i="1" s="1"/>
  <c r="AC2018" i="1" s="1"/>
  <c r="AD2018" i="1" s="1"/>
  <c r="K1992" i="1"/>
  <c r="M1992" i="1" s="1"/>
  <c r="AC1992" i="1" s="1"/>
  <c r="K1998" i="1"/>
  <c r="M1998" i="1" s="1"/>
  <c r="AC1998" i="1" s="1"/>
  <c r="AC1999" i="1" s="1"/>
  <c r="AD1999" i="1" s="1"/>
  <c r="K1983" i="1"/>
  <c r="M1983" i="1" s="1"/>
  <c r="AC1983" i="1" s="1"/>
  <c r="K1974" i="1"/>
  <c r="M1974" i="1" s="1"/>
  <c r="AC1974" i="1" s="1"/>
  <c r="K1965" i="1"/>
  <c r="M1965" i="1" s="1"/>
  <c r="AC1965" i="1" s="1"/>
  <c r="K1980" i="1"/>
  <c r="M1980" i="1" s="1"/>
  <c r="AC1980" i="1" s="1"/>
  <c r="AC1981" i="1" s="1"/>
  <c r="AD1981" i="1" s="1"/>
  <c r="M403" i="1"/>
  <c r="AC403" i="1" s="1"/>
  <c r="P464" i="1"/>
  <c r="M502" i="1"/>
  <c r="K513" i="1"/>
  <c r="M513" i="1" s="1"/>
  <c r="AC513" i="1" s="1"/>
  <c r="K519" i="1"/>
  <c r="M519" i="1" s="1"/>
  <c r="AC519" i="1" s="1"/>
  <c r="AC520" i="1" s="1"/>
  <c r="AD520" i="1" s="1"/>
  <c r="K503" i="1"/>
  <c r="M503" i="1" s="1"/>
  <c r="AC503" i="1" s="1"/>
  <c r="K494" i="1"/>
  <c r="M494" i="1" s="1"/>
  <c r="AC494" i="1" s="1"/>
  <c r="K484" i="1"/>
  <c r="M484" i="1" s="1"/>
  <c r="AC484" i="1" s="1"/>
  <c r="K500" i="1"/>
  <c r="M500" i="1" s="1"/>
  <c r="AC500" i="1" s="1"/>
  <c r="AC501" i="1" s="1"/>
  <c r="AD501" i="1" s="1"/>
  <c r="M285" i="1"/>
  <c r="AC285" i="1" s="1"/>
  <c r="P358" i="1"/>
  <c r="K475" i="1"/>
  <c r="M475" i="1" s="1"/>
  <c r="AC475" i="1" s="1"/>
  <c r="K465" i="1"/>
  <c r="M465" i="1" s="1"/>
  <c r="AC465" i="1" s="1"/>
  <c r="K481" i="1"/>
  <c r="M481" i="1" s="1"/>
  <c r="AC481" i="1" s="1"/>
  <c r="AC482" i="1" s="1"/>
  <c r="AD482" i="1" s="1"/>
  <c r="K451" i="1"/>
  <c r="M451" i="1" s="1"/>
  <c r="AC451" i="1" s="1"/>
  <c r="K441" i="1"/>
  <c r="M441" i="1" s="1"/>
  <c r="AC441" i="1" s="1"/>
  <c r="K457" i="1"/>
  <c r="M457" i="1" s="1"/>
  <c r="AC457" i="1" s="1"/>
  <c r="AC458" i="1" s="1"/>
  <c r="AD458" i="1" s="1"/>
  <c r="M340" i="1"/>
  <c r="N340" i="1" s="1"/>
  <c r="M421" i="1"/>
  <c r="K432" i="1"/>
  <c r="M432" i="1" s="1"/>
  <c r="AC432" i="1" s="1"/>
  <c r="K438" i="1"/>
  <c r="M438" i="1" s="1"/>
  <c r="AC438" i="1" s="1"/>
  <c r="AC439" i="1" s="1"/>
  <c r="AD439" i="1" s="1"/>
  <c r="K422" i="1"/>
  <c r="M422" i="1" s="1"/>
  <c r="AC422" i="1" s="1"/>
  <c r="K413" i="1"/>
  <c r="M413" i="1" s="1"/>
  <c r="AC413" i="1" s="1"/>
  <c r="K419" i="1"/>
  <c r="M419" i="1" s="1"/>
  <c r="AC419" i="1" s="1"/>
  <c r="AC420" i="1" s="1"/>
  <c r="AD420" i="1" s="1"/>
  <c r="K404" i="1"/>
  <c r="M404" i="1" s="1"/>
  <c r="AC404" i="1" s="1"/>
  <c r="K350" i="1"/>
  <c r="M350" i="1" s="1"/>
  <c r="AC350" i="1" s="1"/>
  <c r="K356" i="1"/>
  <c r="M356" i="1" s="1"/>
  <c r="AC356" i="1" s="1"/>
  <c r="AC357" i="1" s="1"/>
  <c r="AD357" i="1" s="1"/>
  <c r="K341" i="1"/>
  <c r="M341" i="1" s="1"/>
  <c r="AC341" i="1" s="1"/>
  <c r="K369" i="1"/>
  <c r="M369" i="1" s="1"/>
  <c r="AC369" i="1" s="1"/>
  <c r="K359" i="1"/>
  <c r="M359" i="1" s="1"/>
  <c r="AC359" i="1" s="1"/>
  <c r="K375" i="1"/>
  <c r="M375" i="1" s="1"/>
  <c r="AC375" i="1" s="1"/>
  <c r="AC376" i="1" s="1"/>
  <c r="AD376" i="1" s="1"/>
  <c r="P248" i="1"/>
  <c r="M321" i="1"/>
  <c r="K332" i="1"/>
  <c r="M332" i="1" s="1"/>
  <c r="AC332" i="1" s="1"/>
  <c r="K322" i="1"/>
  <c r="M322" i="1" s="1"/>
  <c r="AC322" i="1" s="1"/>
  <c r="K338" i="1"/>
  <c r="M338" i="1" s="1"/>
  <c r="AC338" i="1" s="1"/>
  <c r="AC339" i="1" s="1"/>
  <c r="AD339" i="1" s="1"/>
  <c r="M266" i="1"/>
  <c r="AC266" i="1" s="1"/>
  <c r="M193" i="1"/>
  <c r="N193" i="1" s="1"/>
  <c r="K313" i="1"/>
  <c r="M313" i="1" s="1"/>
  <c r="AC313" i="1" s="1"/>
  <c r="K319" i="1"/>
  <c r="M319" i="1" s="1"/>
  <c r="AC319" i="1" s="1"/>
  <c r="AC320" i="1" s="1"/>
  <c r="AD320" i="1" s="1"/>
  <c r="K304" i="1"/>
  <c r="M304" i="1" s="1"/>
  <c r="AC304" i="1" s="1"/>
  <c r="K295" i="1"/>
  <c r="M295" i="1" s="1"/>
  <c r="AC295" i="1" s="1"/>
  <c r="K286" i="1"/>
  <c r="M286" i="1" s="1"/>
  <c r="AC286" i="1" s="1"/>
  <c r="K301" i="1"/>
  <c r="M301" i="1" s="1"/>
  <c r="AC301" i="1" s="1"/>
  <c r="AC302" i="1" s="1"/>
  <c r="AD302" i="1" s="1"/>
  <c r="K276" i="1"/>
  <c r="M276" i="1" s="1"/>
  <c r="AC276" i="1" s="1"/>
  <c r="K282" i="1"/>
  <c r="M282" i="1" s="1"/>
  <c r="AC282" i="1" s="1"/>
  <c r="AC283" i="1" s="1"/>
  <c r="AD283" i="1" s="1"/>
  <c r="K267" i="1"/>
  <c r="M267" i="1" s="1"/>
  <c r="AC267" i="1" s="1"/>
  <c r="K258" i="1"/>
  <c r="M258" i="1" s="1"/>
  <c r="AC258" i="1" s="1"/>
  <c r="K264" i="1"/>
  <c r="M264" i="1" s="1"/>
  <c r="AC264" i="1" s="1"/>
  <c r="AC265" i="1" s="1"/>
  <c r="AD265" i="1" s="1"/>
  <c r="K249" i="1"/>
  <c r="M249" i="1" s="1"/>
  <c r="AC249" i="1" s="1"/>
  <c r="P229" i="1"/>
  <c r="K203" i="1"/>
  <c r="M203" i="1" s="1"/>
  <c r="AC203" i="1" s="1"/>
  <c r="K194" i="1"/>
  <c r="M194" i="1" s="1"/>
  <c r="AC194" i="1" s="1"/>
  <c r="K209" i="1"/>
  <c r="M209" i="1" s="1"/>
  <c r="AC209" i="1" s="1"/>
  <c r="AC210" i="1" s="1"/>
  <c r="AD210" i="1" s="1"/>
  <c r="M211" i="1"/>
  <c r="AC211" i="1" s="1"/>
  <c r="M377" i="1"/>
  <c r="K388" i="1"/>
  <c r="M388" i="1" s="1"/>
  <c r="AC388" i="1" s="1"/>
  <c r="K394" i="1"/>
  <c r="M394" i="1" s="1"/>
  <c r="AC394" i="1" s="1"/>
  <c r="AC395" i="1" s="1"/>
  <c r="AD395" i="1" s="1"/>
  <c r="K378" i="1"/>
  <c r="M378" i="1" s="1"/>
  <c r="AC378" i="1" s="1"/>
  <c r="M163" i="1"/>
  <c r="AC163" i="1" s="1"/>
  <c r="P163" i="1"/>
  <c r="K240" i="1"/>
  <c r="M240" i="1" s="1"/>
  <c r="AC240" i="1" s="1"/>
  <c r="K230" i="1"/>
  <c r="M230" i="1" s="1"/>
  <c r="AC230" i="1" s="1"/>
  <c r="K246" i="1"/>
  <c r="M246" i="1" s="1"/>
  <c r="AC246" i="1" s="1"/>
  <c r="AC247" i="1" s="1"/>
  <c r="AD247" i="1" s="1"/>
  <c r="K221" i="1"/>
  <c r="M221" i="1" s="1"/>
  <c r="AC221" i="1" s="1"/>
  <c r="K227" i="1"/>
  <c r="M227" i="1" s="1"/>
  <c r="AC227" i="1" s="1"/>
  <c r="AC228" i="1" s="1"/>
  <c r="AD228" i="1" s="1"/>
  <c r="K212" i="1"/>
  <c r="M212" i="1" s="1"/>
  <c r="AC212" i="1" s="1"/>
  <c r="K176" i="1"/>
  <c r="M176" i="1" s="1"/>
  <c r="AC176" i="1" s="1"/>
  <c r="M179" i="1"/>
  <c r="AC179" i="1" s="1"/>
  <c r="M132" i="1"/>
  <c r="AC132" i="1" s="1"/>
  <c r="K164" i="1"/>
  <c r="M164" i="1" s="1"/>
  <c r="AC164" i="1" s="1"/>
  <c r="AC166" i="1" s="1"/>
  <c r="AD166" i="1" s="1"/>
  <c r="AB166" i="1" s="1"/>
  <c r="K173" i="1"/>
  <c r="M173" i="1" s="1"/>
  <c r="AC173" i="1" s="1"/>
  <c r="M4300" i="1"/>
  <c r="AC4300" i="1" s="1"/>
  <c r="P4338" i="1"/>
  <c r="K140" i="1"/>
  <c r="M140" i="1" s="1"/>
  <c r="AC140" i="1" s="1"/>
  <c r="AC142" i="1" s="1"/>
  <c r="K133" i="1"/>
  <c r="M133" i="1" s="1"/>
  <c r="AC133" i="1" s="1"/>
  <c r="K147" i="1"/>
  <c r="M147" i="1" s="1"/>
  <c r="AC147" i="1" s="1"/>
  <c r="P107" i="1"/>
  <c r="K121" i="1"/>
  <c r="M121" i="1" s="1"/>
  <c r="AC121" i="1" s="1"/>
  <c r="M4319" i="1"/>
  <c r="N4319" i="1" s="1"/>
  <c r="K4349" i="1"/>
  <c r="M4349" i="1" s="1"/>
  <c r="AC4349" i="1" s="1"/>
  <c r="K4339" i="1"/>
  <c r="M4339" i="1" s="1"/>
  <c r="AC4339" i="1" s="1"/>
  <c r="K4355" i="1"/>
  <c r="M4355" i="1" s="1"/>
  <c r="AC4355" i="1" s="1"/>
  <c r="AC4356" i="1" s="1"/>
  <c r="AD4356" i="1" s="1"/>
  <c r="K4330" i="1"/>
  <c r="M4330" i="1" s="1"/>
  <c r="AC4330" i="1" s="1"/>
  <c r="K4336" i="1"/>
  <c r="M4336" i="1" s="1"/>
  <c r="AC4336" i="1" s="1"/>
  <c r="AC4337" i="1" s="1"/>
  <c r="AD4337" i="1" s="1"/>
  <c r="K4320" i="1"/>
  <c r="M4320" i="1" s="1"/>
  <c r="AC4320" i="1" s="1"/>
  <c r="M4263" i="1"/>
  <c r="AC4263" i="1" s="1"/>
  <c r="M4281" i="1"/>
  <c r="K4292" i="1"/>
  <c r="M4292" i="1" s="1"/>
  <c r="AC4292" i="1" s="1"/>
  <c r="K4298" i="1"/>
  <c r="M4298" i="1" s="1"/>
  <c r="AC4298" i="1" s="1"/>
  <c r="AC4299" i="1" s="1"/>
  <c r="AD4299" i="1" s="1"/>
  <c r="K4282" i="1"/>
  <c r="M4282" i="1" s="1"/>
  <c r="AC4282" i="1" s="1"/>
  <c r="K4311" i="1"/>
  <c r="M4311" i="1" s="1"/>
  <c r="AC4311" i="1" s="1"/>
  <c r="K4301" i="1"/>
  <c r="M4301" i="1" s="1"/>
  <c r="AC4301" i="1" s="1"/>
  <c r="K4317" i="1"/>
  <c r="M4317" i="1" s="1"/>
  <c r="AC4317" i="1" s="1"/>
  <c r="AC4318" i="1" s="1"/>
  <c r="AD4318" i="1" s="1"/>
  <c r="M4242" i="1"/>
  <c r="AC4242" i="1" s="1"/>
  <c r="K4264" i="1"/>
  <c r="M4264" i="1" s="1"/>
  <c r="AC4264" i="1" s="1"/>
  <c r="K4273" i="1"/>
  <c r="M4273" i="1" s="1"/>
  <c r="AC4273" i="1" s="1"/>
  <c r="K4279" i="1"/>
  <c r="M4279" i="1" s="1"/>
  <c r="AC4279" i="1" s="1"/>
  <c r="AC4280" i="1" s="1"/>
  <c r="AD4280" i="1" s="1"/>
  <c r="P4170" i="1"/>
  <c r="P4205" i="1"/>
  <c r="K4253" i="1"/>
  <c r="M4253" i="1" s="1"/>
  <c r="AC4253" i="1" s="1"/>
  <c r="K4259" i="1"/>
  <c r="M4259" i="1" s="1"/>
  <c r="AC4259" i="1" s="1"/>
  <c r="AC4260" i="1" s="1"/>
  <c r="AD4260" i="1" s="1"/>
  <c r="K4243" i="1"/>
  <c r="M4243" i="1" s="1"/>
  <c r="AC4243" i="1" s="1"/>
  <c r="P4181" i="1"/>
  <c r="K4215" i="1"/>
  <c r="M4215" i="1" s="1"/>
  <c r="AC4215" i="1" s="1"/>
  <c r="K4221" i="1"/>
  <c r="M4221" i="1" s="1"/>
  <c r="AC4221" i="1" s="1"/>
  <c r="AC4222" i="1" s="1"/>
  <c r="AD4222" i="1" s="1"/>
  <c r="K4206" i="1"/>
  <c r="M4206" i="1" s="1"/>
  <c r="AC4206" i="1" s="1"/>
  <c r="M4170" i="1"/>
  <c r="N4170" i="1" s="1"/>
  <c r="M4223" i="1"/>
  <c r="K4234" i="1"/>
  <c r="M4234" i="1" s="1"/>
  <c r="AC4234" i="1" s="1"/>
  <c r="K4240" i="1"/>
  <c r="M4240" i="1" s="1"/>
  <c r="AC4240" i="1" s="1"/>
  <c r="AC4241" i="1" s="1"/>
  <c r="AD4241" i="1" s="1"/>
  <c r="K4224" i="1"/>
  <c r="M4224" i="1" s="1"/>
  <c r="AC4224" i="1" s="1"/>
  <c r="P4141" i="1"/>
  <c r="K4192" i="1"/>
  <c r="M4192" i="1" s="1"/>
  <c r="AC4192" i="1" s="1"/>
  <c r="K4182" i="1"/>
  <c r="M4182" i="1" s="1"/>
  <c r="AC4182" i="1" s="1"/>
  <c r="K4198" i="1"/>
  <c r="M4198" i="1" s="1"/>
  <c r="AC4198" i="1" s="1"/>
  <c r="AC4199" i="1" s="1"/>
  <c r="AD4199" i="1" s="1"/>
  <c r="P4081" i="1"/>
  <c r="AC4179" i="1"/>
  <c r="AD4179" i="1" s="1"/>
  <c r="AB4179" i="1" s="1"/>
  <c r="AC4174" i="1"/>
  <c r="AD4174" i="1" s="1"/>
  <c r="AB4174" i="1" s="1"/>
  <c r="AC4177" i="1"/>
  <c r="AD4177" i="1" s="1"/>
  <c r="AB4177" i="1" s="1"/>
  <c r="AC4172" i="1"/>
  <c r="AD4172" i="1" s="1"/>
  <c r="AC4176" i="1"/>
  <c r="AD4176" i="1" s="1"/>
  <c r="AB4176" i="1" s="1"/>
  <c r="AC4175" i="1"/>
  <c r="AD4175" i="1" s="1"/>
  <c r="AB4175" i="1" s="1"/>
  <c r="AC4178" i="1"/>
  <c r="AD4178" i="1" s="1"/>
  <c r="AB4178" i="1" s="1"/>
  <c r="AC4173" i="1"/>
  <c r="AD4173" i="1" s="1"/>
  <c r="AB4173" i="1" s="1"/>
  <c r="M4120" i="1"/>
  <c r="AC4120" i="1" s="1"/>
  <c r="AB4120" i="1" s="1"/>
  <c r="P4102" i="1"/>
  <c r="M4160" i="1"/>
  <c r="K4161" i="1"/>
  <c r="M4161" i="1" s="1"/>
  <c r="AC4161" i="1" s="1"/>
  <c r="K4152" i="1"/>
  <c r="M4152" i="1" s="1"/>
  <c r="AC4152" i="1" s="1"/>
  <c r="K4158" i="1"/>
  <c r="M4158" i="1" s="1"/>
  <c r="AC4158" i="1" s="1"/>
  <c r="AC4159" i="1" s="1"/>
  <c r="AD4159" i="1" s="1"/>
  <c r="K4142" i="1"/>
  <c r="M4142" i="1" s="1"/>
  <c r="AC4142" i="1" s="1"/>
  <c r="P3901" i="1"/>
  <c r="M4122" i="1"/>
  <c r="K4133" i="1"/>
  <c r="M4133" i="1" s="1"/>
  <c r="AC4133" i="1" s="1"/>
  <c r="K4139" i="1"/>
  <c r="M4139" i="1" s="1"/>
  <c r="AC4139" i="1" s="1"/>
  <c r="AC4140" i="1" s="1"/>
  <c r="AD4140" i="1" s="1"/>
  <c r="K4123" i="1"/>
  <c r="M4123" i="1" s="1"/>
  <c r="AC4123" i="1" s="1"/>
  <c r="K4118" i="1"/>
  <c r="M4118" i="1" s="1"/>
  <c r="AC4118" i="1" s="1"/>
  <c r="AC4119" i="1" s="1"/>
  <c r="AD4119" i="1" s="1"/>
  <c r="K4103" i="1"/>
  <c r="M4103" i="1" s="1"/>
  <c r="AC4103" i="1" s="1"/>
  <c r="K4112" i="1"/>
  <c r="M4112" i="1" s="1"/>
  <c r="AC4112" i="1" s="1"/>
  <c r="P4001" i="1"/>
  <c r="P3940" i="1"/>
  <c r="M3818" i="1"/>
  <c r="AC3818" i="1" s="1"/>
  <c r="P3624" i="1"/>
  <c r="P3692" i="1"/>
  <c r="M4061" i="1"/>
  <c r="N4061" i="1" s="1"/>
  <c r="M3880" i="1"/>
  <c r="AC3880" i="1" s="1"/>
  <c r="K4099" i="1"/>
  <c r="M4099" i="1" s="1"/>
  <c r="AC4099" i="1" s="1"/>
  <c r="AC4100" i="1" s="1"/>
  <c r="AD4100" i="1" s="1"/>
  <c r="K4082" i="1"/>
  <c r="M4082" i="1" s="1"/>
  <c r="AC4082" i="1" s="1"/>
  <c r="K4092" i="1"/>
  <c r="M4092" i="1" s="1"/>
  <c r="AC4092" i="1" s="1"/>
  <c r="K4079" i="1"/>
  <c r="M4079" i="1" s="1"/>
  <c r="AC4079" i="1" s="1"/>
  <c r="AC4080" i="1" s="1"/>
  <c r="AD4080" i="1" s="1"/>
  <c r="K4072" i="1"/>
  <c r="M4072" i="1" s="1"/>
  <c r="AC4072" i="1" s="1"/>
  <c r="K4062" i="1"/>
  <c r="M4062" i="1" s="1"/>
  <c r="AC4062" i="1" s="1"/>
  <c r="M4021" i="1"/>
  <c r="AC4021" i="1" s="1"/>
  <c r="M4041" i="1"/>
  <c r="K4059" i="1"/>
  <c r="M4059" i="1" s="1"/>
  <c r="AC4059" i="1" s="1"/>
  <c r="AC4060" i="1" s="1"/>
  <c r="AD4060" i="1" s="1"/>
  <c r="K4042" i="1"/>
  <c r="M4042" i="1" s="1"/>
  <c r="AC4042" i="1" s="1"/>
  <c r="K4052" i="1"/>
  <c r="M4052" i="1" s="1"/>
  <c r="AC4052" i="1" s="1"/>
  <c r="K4039" i="1"/>
  <c r="M4039" i="1" s="1"/>
  <c r="AC4039" i="1" s="1"/>
  <c r="AC4040" i="1" s="1"/>
  <c r="AD4040" i="1" s="1"/>
  <c r="K4032" i="1"/>
  <c r="M4032" i="1" s="1"/>
  <c r="AC4032" i="1" s="1"/>
  <c r="K4022" i="1"/>
  <c r="M4022" i="1" s="1"/>
  <c r="AC4022" i="1" s="1"/>
  <c r="K4019" i="1"/>
  <c r="M4019" i="1" s="1"/>
  <c r="AC4019" i="1" s="1"/>
  <c r="AC4020" i="1" s="1"/>
  <c r="AD4020" i="1" s="1"/>
  <c r="K4002" i="1"/>
  <c r="M4002" i="1" s="1"/>
  <c r="AC4002" i="1" s="1"/>
  <c r="K4012" i="1"/>
  <c r="M4012" i="1" s="1"/>
  <c r="AC4012" i="1" s="1"/>
  <c r="P3961" i="1"/>
  <c r="M3396" i="1"/>
  <c r="N3396" i="1" s="1"/>
  <c r="M3981" i="1"/>
  <c r="K3999" i="1"/>
  <c r="M3999" i="1" s="1"/>
  <c r="AC3999" i="1" s="1"/>
  <c r="AC4000" i="1" s="1"/>
  <c r="AD4000" i="1" s="1"/>
  <c r="K3992" i="1"/>
  <c r="M3992" i="1" s="1"/>
  <c r="AC3992" i="1" s="1"/>
  <c r="K3982" i="1"/>
  <c r="M3982" i="1" s="1"/>
  <c r="AC3982" i="1" s="1"/>
  <c r="P3858" i="1"/>
  <c r="P3920" i="1"/>
  <c r="K3979" i="1"/>
  <c r="M3979" i="1" s="1"/>
  <c r="AC3979" i="1" s="1"/>
  <c r="AC3980" i="1" s="1"/>
  <c r="AD3980" i="1" s="1"/>
  <c r="K3962" i="1"/>
  <c r="M3962" i="1" s="1"/>
  <c r="AC3962" i="1" s="1"/>
  <c r="K3972" i="1"/>
  <c r="M3972" i="1" s="1"/>
  <c r="AC3972" i="1" s="1"/>
  <c r="K3958" i="1"/>
  <c r="M3958" i="1" s="1"/>
  <c r="AC3958" i="1" s="1"/>
  <c r="AC3959" i="1" s="1"/>
  <c r="AD3959" i="1" s="1"/>
  <c r="K3951" i="1"/>
  <c r="M3951" i="1" s="1"/>
  <c r="AC3951" i="1" s="1"/>
  <c r="K3941" i="1"/>
  <c r="M3941" i="1" s="1"/>
  <c r="AC3941" i="1" s="1"/>
  <c r="K3938" i="1"/>
  <c r="M3938" i="1" s="1"/>
  <c r="AC3938" i="1" s="1"/>
  <c r="AC3939" i="1" s="1"/>
  <c r="AD3939" i="1" s="1"/>
  <c r="K3921" i="1"/>
  <c r="M3921" i="1" s="1"/>
  <c r="AC3921" i="1" s="1"/>
  <c r="K3931" i="1"/>
  <c r="M3931" i="1" s="1"/>
  <c r="AC3931" i="1" s="1"/>
  <c r="K3902" i="1"/>
  <c r="M3902" i="1" s="1"/>
  <c r="AC3902" i="1" s="1"/>
  <c r="K3918" i="1"/>
  <c r="M3918" i="1" s="1"/>
  <c r="AC3918" i="1" s="1"/>
  <c r="AC3919" i="1" s="1"/>
  <c r="AD3919" i="1" s="1"/>
  <c r="K3911" i="1"/>
  <c r="M3911" i="1" s="1"/>
  <c r="AC3911" i="1" s="1"/>
  <c r="K3898" i="1"/>
  <c r="M3898" i="1" s="1"/>
  <c r="AC3898" i="1" s="1"/>
  <c r="AC3899" i="1" s="1"/>
  <c r="AD3899" i="1" s="1"/>
  <c r="K3881" i="1"/>
  <c r="M3881" i="1" s="1"/>
  <c r="AC3881" i="1" s="1"/>
  <c r="K3891" i="1"/>
  <c r="M3891" i="1" s="1"/>
  <c r="AC3891" i="1" s="1"/>
  <c r="K3876" i="1"/>
  <c r="M3876" i="1" s="1"/>
  <c r="AC3876" i="1" s="1"/>
  <c r="AC3877" i="1" s="1"/>
  <c r="AD3877" i="1" s="1"/>
  <c r="K3859" i="1"/>
  <c r="M3859" i="1" s="1"/>
  <c r="AC3859" i="1" s="1"/>
  <c r="K3869" i="1"/>
  <c r="M3869" i="1" s="1"/>
  <c r="AC3869" i="1" s="1"/>
  <c r="M3838" i="1"/>
  <c r="K3856" i="1"/>
  <c r="M3856" i="1" s="1"/>
  <c r="AC3856" i="1" s="1"/>
  <c r="AC3857" i="1" s="1"/>
  <c r="AD3857" i="1" s="1"/>
  <c r="K3849" i="1"/>
  <c r="M3849" i="1" s="1"/>
  <c r="AC3849" i="1" s="1"/>
  <c r="K3839" i="1"/>
  <c r="M3839" i="1" s="1"/>
  <c r="AC3839" i="1" s="1"/>
  <c r="M3737" i="1"/>
  <c r="N3737" i="1" s="1"/>
  <c r="K3819" i="1"/>
  <c r="M3819" i="1" s="1"/>
  <c r="AC3819" i="1" s="1"/>
  <c r="K3836" i="1"/>
  <c r="M3836" i="1" s="1"/>
  <c r="AC3836" i="1" s="1"/>
  <c r="AC3837" i="1" s="1"/>
  <c r="AD3837" i="1" s="1"/>
  <c r="K3829" i="1"/>
  <c r="M3829" i="1" s="1"/>
  <c r="AC3829" i="1" s="1"/>
  <c r="M3756" i="1"/>
  <c r="N3756" i="1" s="1"/>
  <c r="M3798" i="1"/>
  <c r="K3816" i="1"/>
  <c r="M3816" i="1" s="1"/>
  <c r="AC3816" i="1" s="1"/>
  <c r="AC3817" i="1" s="1"/>
  <c r="AD3817" i="1" s="1"/>
  <c r="K3809" i="1"/>
  <c r="M3809" i="1" s="1"/>
  <c r="AC3809" i="1" s="1"/>
  <c r="K3799" i="1"/>
  <c r="M3799" i="1" s="1"/>
  <c r="AC3799" i="1" s="1"/>
  <c r="P3712" i="1"/>
  <c r="M3778" i="1"/>
  <c r="AC3778" i="1" s="1"/>
  <c r="K3796" i="1"/>
  <c r="M3796" i="1" s="1"/>
  <c r="AC3796" i="1" s="1"/>
  <c r="AC3797" i="1" s="1"/>
  <c r="AD3797" i="1" s="1"/>
  <c r="K3789" i="1"/>
  <c r="M3789" i="1" s="1"/>
  <c r="AC3789" i="1" s="1"/>
  <c r="K3779" i="1"/>
  <c r="M3779" i="1" s="1"/>
  <c r="AC3779" i="1" s="1"/>
  <c r="K3774" i="1"/>
  <c r="M3774" i="1" s="1"/>
  <c r="AC3774" i="1" s="1"/>
  <c r="AC3775" i="1" s="1"/>
  <c r="AD3775" i="1" s="1"/>
  <c r="K3767" i="1"/>
  <c r="M3767" i="1" s="1"/>
  <c r="AC3767" i="1" s="1"/>
  <c r="K3757" i="1"/>
  <c r="M3757" i="1" s="1"/>
  <c r="AC3757" i="1" s="1"/>
  <c r="K3754" i="1"/>
  <c r="M3754" i="1" s="1"/>
  <c r="AC3754" i="1" s="1"/>
  <c r="AC3755" i="1" s="1"/>
  <c r="AD3755" i="1" s="1"/>
  <c r="K3747" i="1"/>
  <c r="M3747" i="1" s="1"/>
  <c r="AC3747" i="1" s="1"/>
  <c r="K3738" i="1"/>
  <c r="M3738" i="1" s="1"/>
  <c r="AC3738" i="1" s="1"/>
  <c r="P3564" i="1"/>
  <c r="M3502" i="1"/>
  <c r="N3502" i="1" s="1"/>
  <c r="K3723" i="1"/>
  <c r="M3723" i="1" s="1"/>
  <c r="AC3723" i="1" s="1"/>
  <c r="K3730" i="1"/>
  <c r="M3730" i="1" s="1"/>
  <c r="AC3730" i="1" s="1"/>
  <c r="AC3731" i="1" s="1"/>
  <c r="AD3731" i="1" s="1"/>
  <c r="K3713" i="1"/>
  <c r="M3713" i="1" s="1"/>
  <c r="AC3713" i="1" s="1"/>
  <c r="M3668" i="1"/>
  <c r="N3668" i="1" s="1"/>
  <c r="M3604" i="1"/>
  <c r="AC3604" i="1" s="1"/>
  <c r="K3710" i="1"/>
  <c r="M3710" i="1" s="1"/>
  <c r="AC3710" i="1" s="1"/>
  <c r="AC3711" i="1" s="1"/>
  <c r="AD3711" i="1" s="1"/>
  <c r="K3703" i="1"/>
  <c r="M3703" i="1" s="1"/>
  <c r="AC3703" i="1" s="1"/>
  <c r="K3693" i="1"/>
  <c r="M3693" i="1" s="1"/>
  <c r="AC3693" i="1" s="1"/>
  <c r="K3685" i="1"/>
  <c r="M3685" i="1" s="1"/>
  <c r="AC3685" i="1" s="1"/>
  <c r="AC3686" i="1" s="1"/>
  <c r="AD3686" i="1" s="1"/>
  <c r="K3678" i="1"/>
  <c r="M3678" i="1" s="1"/>
  <c r="AC3678" i="1" s="1"/>
  <c r="K3669" i="1"/>
  <c r="M3669" i="1" s="1"/>
  <c r="AC3669" i="1" s="1"/>
  <c r="M3646" i="1"/>
  <c r="K3647" i="1"/>
  <c r="M3647" i="1" s="1"/>
  <c r="AC3647" i="1" s="1"/>
  <c r="K3657" i="1"/>
  <c r="M3657" i="1" s="1"/>
  <c r="AC3657" i="1" s="1"/>
  <c r="K3664" i="1"/>
  <c r="M3664" i="1" s="1"/>
  <c r="AC3664" i="1" s="1"/>
  <c r="AC3665" i="1" s="1"/>
  <c r="AD3665" i="1" s="1"/>
  <c r="P3481" i="1"/>
  <c r="K3642" i="1"/>
  <c r="M3642" i="1" s="1"/>
  <c r="AC3642" i="1" s="1"/>
  <c r="AC3643" i="1" s="1"/>
  <c r="AD3643" i="1" s="1"/>
  <c r="K3635" i="1"/>
  <c r="M3635" i="1" s="1"/>
  <c r="AC3635" i="1" s="1"/>
  <c r="K3625" i="1"/>
  <c r="M3625" i="1" s="1"/>
  <c r="AC3625" i="1" s="1"/>
  <c r="K3615" i="1"/>
  <c r="M3615" i="1" s="1"/>
  <c r="AC3615" i="1" s="1"/>
  <c r="K3622" i="1"/>
  <c r="M3622" i="1" s="1"/>
  <c r="AC3622" i="1" s="1"/>
  <c r="AC3623" i="1" s="1"/>
  <c r="AD3623" i="1" s="1"/>
  <c r="K3605" i="1"/>
  <c r="M3605" i="1" s="1"/>
  <c r="AC3605" i="1" s="1"/>
  <c r="M3584" i="1"/>
  <c r="K3585" i="1"/>
  <c r="M3585" i="1" s="1"/>
  <c r="AC3585" i="1" s="1"/>
  <c r="K3602" i="1"/>
  <c r="M3602" i="1" s="1"/>
  <c r="AC3602" i="1" s="1"/>
  <c r="AC3603" i="1" s="1"/>
  <c r="AD3603" i="1" s="1"/>
  <c r="K3595" i="1"/>
  <c r="M3595" i="1" s="1"/>
  <c r="AC3595" i="1" s="1"/>
  <c r="M3544" i="1"/>
  <c r="N3544" i="1" s="1"/>
  <c r="K3582" i="1"/>
  <c r="M3582" i="1" s="1"/>
  <c r="AC3582" i="1" s="1"/>
  <c r="AC3583" i="1" s="1"/>
  <c r="AD3583" i="1" s="1"/>
  <c r="K3575" i="1"/>
  <c r="M3575" i="1" s="1"/>
  <c r="AC3575" i="1" s="1"/>
  <c r="K3565" i="1"/>
  <c r="M3565" i="1" s="1"/>
  <c r="AC3565" i="1" s="1"/>
  <c r="K3555" i="1"/>
  <c r="M3555" i="1" s="1"/>
  <c r="AC3555" i="1" s="1"/>
  <c r="K3562" i="1"/>
  <c r="M3562" i="1" s="1"/>
  <c r="AC3562" i="1" s="1"/>
  <c r="AC3563" i="1" s="1"/>
  <c r="AD3563" i="1" s="1"/>
  <c r="K3545" i="1"/>
  <c r="M3545" i="1" s="1"/>
  <c r="AC3545" i="1" s="1"/>
  <c r="M3228" i="1"/>
  <c r="AC3228" i="1" s="1"/>
  <c r="M3525" i="1"/>
  <c r="K3542" i="1"/>
  <c r="M3542" i="1" s="1"/>
  <c r="AC3542" i="1" s="1"/>
  <c r="AC3543" i="1" s="1"/>
  <c r="AD3543" i="1" s="1"/>
  <c r="K3535" i="1"/>
  <c r="M3535" i="1" s="1"/>
  <c r="AC3535" i="1" s="1"/>
  <c r="K3526" i="1"/>
  <c r="M3526" i="1" s="1"/>
  <c r="AC3526" i="1" s="1"/>
  <c r="P3270" i="1"/>
  <c r="M3333" i="1"/>
  <c r="AC3333" i="1" s="1"/>
  <c r="K3521" i="1"/>
  <c r="M3521" i="1" s="1"/>
  <c r="AC3521" i="1" s="1"/>
  <c r="AC3522" i="1" s="1"/>
  <c r="AD3522" i="1" s="1"/>
  <c r="K3503" i="1"/>
  <c r="M3503" i="1" s="1"/>
  <c r="AC3503" i="1" s="1"/>
  <c r="K3513" i="1"/>
  <c r="M3513" i="1" s="1"/>
  <c r="AC3513" i="1" s="1"/>
  <c r="K3492" i="1"/>
  <c r="M3492" i="1" s="1"/>
  <c r="AC3492" i="1" s="1"/>
  <c r="K3500" i="1"/>
  <c r="M3500" i="1" s="1"/>
  <c r="AC3500" i="1" s="1"/>
  <c r="AC3501" i="1" s="1"/>
  <c r="AD3501" i="1" s="1"/>
  <c r="K3482" i="1"/>
  <c r="M3482" i="1" s="1"/>
  <c r="AC3482" i="1" s="1"/>
  <c r="M3460" i="1"/>
  <c r="K3479" i="1"/>
  <c r="M3479" i="1" s="1"/>
  <c r="AC3479" i="1" s="1"/>
  <c r="AC3480" i="1" s="1"/>
  <c r="AD3480" i="1" s="1"/>
  <c r="K3461" i="1"/>
  <c r="M3461" i="1" s="1"/>
  <c r="AC3461" i="1" s="1"/>
  <c r="K3471" i="1"/>
  <c r="M3471" i="1" s="1"/>
  <c r="AC3471" i="1" s="1"/>
  <c r="M3438" i="1"/>
  <c r="K3457" i="1"/>
  <c r="M3457" i="1" s="1"/>
  <c r="AC3457" i="1" s="1"/>
  <c r="AC3458" i="1" s="1"/>
  <c r="AD3458" i="1" s="1"/>
  <c r="K3439" i="1"/>
  <c r="M3439" i="1" s="1"/>
  <c r="AC3439" i="1" s="1"/>
  <c r="K3449" i="1"/>
  <c r="M3449" i="1" s="1"/>
  <c r="AC3449" i="1" s="1"/>
  <c r="M3417" i="1"/>
  <c r="K3436" i="1"/>
  <c r="M3436" i="1" s="1"/>
  <c r="AC3436" i="1" s="1"/>
  <c r="AC3437" i="1" s="1"/>
  <c r="AD3437" i="1" s="1"/>
  <c r="K3418" i="1"/>
  <c r="M3418" i="1" s="1"/>
  <c r="AC3418" i="1" s="1"/>
  <c r="K3428" i="1"/>
  <c r="M3428" i="1" s="1"/>
  <c r="AC3428" i="1" s="1"/>
  <c r="K3415" i="1"/>
  <c r="M3415" i="1" s="1"/>
  <c r="AC3415" i="1" s="1"/>
  <c r="AC3416" i="1" s="1"/>
  <c r="AD3416" i="1" s="1"/>
  <c r="K3407" i="1"/>
  <c r="M3407" i="1" s="1"/>
  <c r="AC3407" i="1" s="1"/>
  <c r="K3397" i="1"/>
  <c r="M3397" i="1" s="1"/>
  <c r="AC3397" i="1" s="1"/>
  <c r="M3375" i="1"/>
  <c r="K3394" i="1"/>
  <c r="M3394" i="1" s="1"/>
  <c r="AC3394" i="1" s="1"/>
  <c r="AC3395" i="1" s="1"/>
  <c r="AD3395" i="1" s="1"/>
  <c r="K3376" i="1"/>
  <c r="M3376" i="1" s="1"/>
  <c r="AC3376" i="1" s="1"/>
  <c r="K3386" i="1"/>
  <c r="M3386" i="1" s="1"/>
  <c r="AC3386" i="1" s="1"/>
  <c r="M3354" i="1"/>
  <c r="K3373" i="1"/>
  <c r="M3373" i="1" s="1"/>
  <c r="AC3373" i="1" s="1"/>
  <c r="AC3374" i="1" s="1"/>
  <c r="AD3374" i="1" s="1"/>
  <c r="K3355" i="1"/>
  <c r="M3355" i="1" s="1"/>
  <c r="AC3355" i="1" s="1"/>
  <c r="K3365" i="1"/>
  <c r="M3365" i="1" s="1"/>
  <c r="AC3365" i="1" s="1"/>
  <c r="M3312" i="1"/>
  <c r="N3312" i="1" s="1"/>
  <c r="K3352" i="1"/>
  <c r="M3352" i="1" s="1"/>
  <c r="AC3352" i="1" s="1"/>
  <c r="AC3353" i="1" s="1"/>
  <c r="AD3353" i="1" s="1"/>
  <c r="K3334" i="1"/>
  <c r="M3334" i="1" s="1"/>
  <c r="AC3334" i="1" s="1"/>
  <c r="K3344" i="1"/>
  <c r="M3344" i="1" s="1"/>
  <c r="AC3344" i="1" s="1"/>
  <c r="K3323" i="1"/>
  <c r="M3323" i="1" s="1"/>
  <c r="AC3323" i="1" s="1"/>
  <c r="K3331" i="1"/>
  <c r="M3331" i="1" s="1"/>
  <c r="AC3331" i="1" s="1"/>
  <c r="AC3332" i="1" s="1"/>
  <c r="AD3332" i="1" s="1"/>
  <c r="K3313" i="1"/>
  <c r="M3313" i="1" s="1"/>
  <c r="AC3313" i="1" s="1"/>
  <c r="P3186" i="1"/>
  <c r="M3291" i="1"/>
  <c r="K3310" i="1"/>
  <c r="M3310" i="1" s="1"/>
  <c r="AC3310" i="1" s="1"/>
  <c r="AC3311" i="1" s="1"/>
  <c r="AD3311" i="1" s="1"/>
  <c r="K3292" i="1"/>
  <c r="M3292" i="1" s="1"/>
  <c r="AC3292" i="1" s="1"/>
  <c r="K3302" i="1"/>
  <c r="M3302" i="1" s="1"/>
  <c r="AC3302" i="1" s="1"/>
  <c r="K3289" i="1"/>
  <c r="M3289" i="1" s="1"/>
  <c r="AC3289" i="1" s="1"/>
  <c r="AC3290" i="1" s="1"/>
  <c r="AD3290" i="1" s="1"/>
  <c r="K3271" i="1"/>
  <c r="M3271" i="1" s="1"/>
  <c r="AC3271" i="1" s="1"/>
  <c r="K3281" i="1"/>
  <c r="M3281" i="1" s="1"/>
  <c r="AC3281" i="1" s="1"/>
  <c r="M3146" i="1"/>
  <c r="AC3146" i="1" s="1"/>
  <c r="P3146" i="1"/>
  <c r="M3207" i="1"/>
  <c r="N3207" i="1" s="1"/>
  <c r="M3249" i="1"/>
  <c r="K3260" i="1"/>
  <c r="M3260" i="1" s="1"/>
  <c r="AC3260" i="1" s="1"/>
  <c r="K3268" i="1"/>
  <c r="M3268" i="1" s="1"/>
  <c r="AC3268" i="1" s="1"/>
  <c r="AC3269" i="1" s="1"/>
  <c r="AD3269" i="1" s="1"/>
  <c r="K3250" i="1"/>
  <c r="M3250" i="1" s="1"/>
  <c r="AC3250" i="1" s="1"/>
  <c r="K3247" i="1"/>
  <c r="M3247" i="1" s="1"/>
  <c r="AC3247" i="1" s="1"/>
  <c r="AC3248" i="1" s="1"/>
  <c r="AD3248" i="1" s="1"/>
  <c r="K3239" i="1"/>
  <c r="M3239" i="1" s="1"/>
  <c r="AC3239" i="1" s="1"/>
  <c r="K3229" i="1"/>
  <c r="M3229" i="1" s="1"/>
  <c r="AC3229" i="1" s="1"/>
  <c r="P3041" i="1"/>
  <c r="K3226" i="1"/>
  <c r="M3226" i="1" s="1"/>
  <c r="AC3226" i="1" s="1"/>
  <c r="AC3227" i="1" s="1"/>
  <c r="AD3227" i="1" s="1"/>
  <c r="K3208" i="1"/>
  <c r="M3208" i="1" s="1"/>
  <c r="AC3208" i="1" s="1"/>
  <c r="K3218" i="1"/>
  <c r="M3218" i="1" s="1"/>
  <c r="AC3218" i="1" s="1"/>
  <c r="M2938" i="1"/>
  <c r="N2938" i="1" s="1"/>
  <c r="K3205" i="1"/>
  <c r="M3205" i="1" s="1"/>
  <c r="AC3205" i="1" s="1"/>
  <c r="AC3206" i="1" s="1"/>
  <c r="AD3206" i="1" s="1"/>
  <c r="K3187" i="1"/>
  <c r="M3187" i="1" s="1"/>
  <c r="AC3187" i="1" s="1"/>
  <c r="K3197" i="1"/>
  <c r="M3197" i="1" s="1"/>
  <c r="AC3197" i="1" s="1"/>
  <c r="M3165" i="1"/>
  <c r="K3166" i="1"/>
  <c r="M3166" i="1" s="1"/>
  <c r="AC3166" i="1" s="1"/>
  <c r="K3184" i="1"/>
  <c r="M3184" i="1" s="1"/>
  <c r="AC3184" i="1" s="1"/>
  <c r="AC3185" i="1" s="1"/>
  <c r="AD3185" i="1" s="1"/>
  <c r="K3176" i="1"/>
  <c r="M3176" i="1" s="1"/>
  <c r="AC3176" i="1" s="1"/>
  <c r="AC3151" i="1"/>
  <c r="AD3151" i="1" s="1"/>
  <c r="AB3151" i="1" s="1"/>
  <c r="AC3153" i="1"/>
  <c r="AD3153" i="1" s="1"/>
  <c r="AB3153" i="1" s="1"/>
  <c r="AC3148" i="1"/>
  <c r="AD3148" i="1" s="1"/>
  <c r="AC3155" i="1"/>
  <c r="AD3155" i="1" s="1"/>
  <c r="AB3155" i="1" s="1"/>
  <c r="AC3150" i="1"/>
  <c r="AD3150" i="1" s="1"/>
  <c r="AB3150" i="1" s="1"/>
  <c r="AC3152" i="1"/>
  <c r="AD3152" i="1" s="1"/>
  <c r="AB3152" i="1" s="1"/>
  <c r="AC3149" i="1"/>
  <c r="AD3149" i="1" s="1"/>
  <c r="AB3149" i="1" s="1"/>
  <c r="AC3154" i="1"/>
  <c r="AD3154" i="1" s="1"/>
  <c r="AB3154" i="1" s="1"/>
  <c r="P2916" i="1"/>
  <c r="M3104" i="1"/>
  <c r="N3104" i="1" s="1"/>
  <c r="M3125" i="1"/>
  <c r="K3144" i="1"/>
  <c r="M3144" i="1" s="1"/>
  <c r="AC3144" i="1" s="1"/>
  <c r="AC3145" i="1" s="1"/>
  <c r="AD3145" i="1" s="1"/>
  <c r="K3126" i="1"/>
  <c r="M3126" i="1" s="1"/>
  <c r="AC3126" i="1" s="1"/>
  <c r="K3136" i="1"/>
  <c r="M3136" i="1" s="1"/>
  <c r="AC3136" i="1" s="1"/>
  <c r="M3083" i="1"/>
  <c r="N3083" i="1" s="1"/>
  <c r="K3123" i="1"/>
  <c r="M3123" i="1" s="1"/>
  <c r="AC3123" i="1" s="1"/>
  <c r="AC3124" i="1" s="1"/>
  <c r="AD3124" i="1" s="1"/>
  <c r="K3105" i="1"/>
  <c r="M3105" i="1" s="1"/>
  <c r="AC3105" i="1" s="1"/>
  <c r="K3115" i="1"/>
  <c r="M3115" i="1" s="1"/>
  <c r="AC3115" i="1" s="1"/>
  <c r="M3062" i="1"/>
  <c r="N3062" i="1" s="1"/>
  <c r="K3084" i="1"/>
  <c r="M3084" i="1" s="1"/>
  <c r="AC3084" i="1" s="1"/>
  <c r="K3102" i="1"/>
  <c r="M3102" i="1" s="1"/>
  <c r="AC3102" i="1" s="1"/>
  <c r="AC3103" i="1" s="1"/>
  <c r="AD3103" i="1" s="1"/>
  <c r="K3094" i="1"/>
  <c r="M3094" i="1" s="1"/>
  <c r="AC3094" i="1" s="1"/>
  <c r="K3081" i="1"/>
  <c r="M3081" i="1" s="1"/>
  <c r="AC3081" i="1" s="1"/>
  <c r="AC3082" i="1" s="1"/>
  <c r="AD3082" i="1" s="1"/>
  <c r="K3063" i="1"/>
  <c r="M3063" i="1" s="1"/>
  <c r="AC3063" i="1" s="1"/>
  <c r="K3073" i="1"/>
  <c r="M3073" i="1" s="1"/>
  <c r="AC3073" i="1" s="1"/>
  <c r="K3060" i="1"/>
  <c r="M3060" i="1" s="1"/>
  <c r="AC3060" i="1" s="1"/>
  <c r="AC3061" i="1" s="1"/>
  <c r="AD3061" i="1" s="1"/>
  <c r="K3042" i="1"/>
  <c r="M3042" i="1" s="1"/>
  <c r="AC3042" i="1" s="1"/>
  <c r="K3052" i="1"/>
  <c r="M3052" i="1" s="1"/>
  <c r="AC3052" i="1" s="1"/>
  <c r="M3020" i="1"/>
  <c r="K3039" i="1"/>
  <c r="M3039" i="1" s="1"/>
  <c r="AC3039" i="1" s="1"/>
  <c r="AC3040" i="1" s="1"/>
  <c r="AD3040" i="1" s="1"/>
  <c r="K3021" i="1"/>
  <c r="M3021" i="1" s="1"/>
  <c r="AC3021" i="1" s="1"/>
  <c r="K3031" i="1"/>
  <c r="M3031" i="1" s="1"/>
  <c r="AC3031" i="1" s="1"/>
  <c r="M2999" i="1"/>
  <c r="K3000" i="1"/>
  <c r="M3000" i="1" s="1"/>
  <c r="AC3000" i="1" s="1"/>
  <c r="K3018" i="1"/>
  <c r="M3018" i="1" s="1"/>
  <c r="AC3018" i="1" s="1"/>
  <c r="AC3019" i="1" s="1"/>
  <c r="AD3019" i="1" s="1"/>
  <c r="K3010" i="1"/>
  <c r="M3010" i="1" s="1"/>
  <c r="AC3010" i="1" s="1"/>
  <c r="P2958" i="1"/>
  <c r="M2896" i="1"/>
  <c r="N2896" i="1" s="1"/>
  <c r="M2978" i="1"/>
  <c r="K2997" i="1"/>
  <c r="M2997" i="1" s="1"/>
  <c r="AC2997" i="1" s="1"/>
  <c r="AC2998" i="1" s="1"/>
  <c r="AD2998" i="1" s="1"/>
  <c r="K2979" i="1"/>
  <c r="M2979" i="1" s="1"/>
  <c r="AC2979" i="1" s="1"/>
  <c r="K2989" i="1"/>
  <c r="M2989" i="1" s="1"/>
  <c r="AC2989" i="1" s="1"/>
  <c r="K2976" i="1"/>
  <c r="M2976" i="1" s="1"/>
  <c r="AC2976" i="1" s="1"/>
  <c r="AC2977" i="1" s="1"/>
  <c r="AD2977" i="1" s="1"/>
  <c r="K2968" i="1"/>
  <c r="M2968" i="1" s="1"/>
  <c r="AC2968" i="1" s="1"/>
  <c r="K2959" i="1"/>
  <c r="M2959" i="1" s="1"/>
  <c r="AC2959" i="1" s="1"/>
  <c r="K2956" i="1"/>
  <c r="M2956" i="1" s="1"/>
  <c r="AC2956" i="1" s="1"/>
  <c r="AC2957" i="1" s="1"/>
  <c r="AD2957" i="1" s="1"/>
  <c r="K2939" i="1"/>
  <c r="M2939" i="1" s="1"/>
  <c r="AC2939" i="1" s="1"/>
  <c r="K2948" i="1"/>
  <c r="M2948" i="1" s="1"/>
  <c r="AC2948" i="1" s="1"/>
  <c r="P2876" i="1"/>
  <c r="K2935" i="1"/>
  <c r="M2935" i="1" s="1"/>
  <c r="AC2935" i="1" s="1"/>
  <c r="AC2936" i="1" s="1"/>
  <c r="AD2936" i="1" s="1"/>
  <c r="K2917" i="1"/>
  <c r="M2917" i="1" s="1"/>
  <c r="AC2917" i="1" s="1"/>
  <c r="K2927" i="1"/>
  <c r="M2927" i="1" s="1"/>
  <c r="AC2927" i="1" s="1"/>
  <c r="P8536" i="1"/>
  <c r="K2906" i="1"/>
  <c r="M2906" i="1" s="1"/>
  <c r="AC2906" i="1" s="1"/>
  <c r="K2914" i="1"/>
  <c r="M2914" i="1" s="1"/>
  <c r="AC2914" i="1" s="1"/>
  <c r="AC2915" i="1" s="1"/>
  <c r="AD2915" i="1" s="1"/>
  <c r="K2897" i="1"/>
  <c r="M2897" i="1" s="1"/>
  <c r="AC2897" i="1" s="1"/>
  <c r="K2886" i="1"/>
  <c r="M2886" i="1" s="1"/>
  <c r="AC2886" i="1" s="1"/>
  <c r="K2877" i="1"/>
  <c r="M2877" i="1" s="1"/>
  <c r="AC2877" i="1" s="1"/>
  <c r="K2894" i="1"/>
  <c r="M2894" i="1" s="1"/>
  <c r="AC2894" i="1" s="1"/>
  <c r="AC2895" i="1" s="1"/>
  <c r="AD2895" i="1" s="1"/>
  <c r="M8366" i="1"/>
  <c r="N8366" i="1" s="1"/>
  <c r="P8552" i="1"/>
  <c r="P8569" i="1"/>
  <c r="K8546" i="1"/>
  <c r="M8546" i="1" s="1"/>
  <c r="AC8546" i="1" s="1"/>
  <c r="AC8549" i="1" s="1"/>
  <c r="AD8549" i="1" s="1"/>
  <c r="AB8549" i="1" s="1"/>
  <c r="K8537" i="1"/>
  <c r="M8537" i="1" s="1"/>
  <c r="AC8537" i="1" s="1"/>
  <c r="P8464" i="1"/>
  <c r="M8602" i="1"/>
  <c r="N8602" i="1" s="1"/>
  <c r="K8562" i="1"/>
  <c r="M8562" i="1" s="1"/>
  <c r="AC8562" i="1" s="1"/>
  <c r="AC8565" i="1" s="1"/>
  <c r="AD8565" i="1" s="1"/>
  <c r="AB8565" i="1" s="1"/>
  <c r="K8553" i="1"/>
  <c r="M8553" i="1" s="1"/>
  <c r="AC8553" i="1" s="1"/>
  <c r="M8586" i="1"/>
  <c r="AC8586" i="1" s="1"/>
  <c r="P8502" i="1"/>
  <c r="K8579" i="1"/>
  <c r="M8579" i="1" s="1"/>
  <c r="AC8579" i="1" s="1"/>
  <c r="AC8582" i="1" s="1"/>
  <c r="AD8582" i="1" s="1"/>
  <c r="AB8582" i="1" s="1"/>
  <c r="K8570" i="1"/>
  <c r="M8570" i="1" s="1"/>
  <c r="AC8570" i="1" s="1"/>
  <c r="K8613" i="1"/>
  <c r="M8613" i="1" s="1"/>
  <c r="AC8613" i="1" s="1"/>
  <c r="AC8616" i="1" s="1"/>
  <c r="AD8616" i="1" s="1"/>
  <c r="AB8616" i="1" s="1"/>
  <c r="K8603" i="1"/>
  <c r="M8603" i="1" s="1"/>
  <c r="AC8603" i="1" s="1"/>
  <c r="K8587" i="1"/>
  <c r="M8587" i="1" s="1"/>
  <c r="AC8587" i="1" s="1"/>
  <c r="K8597" i="1"/>
  <c r="M8597" i="1" s="1"/>
  <c r="AC8597" i="1" s="1"/>
  <c r="AC8600" i="1" s="1"/>
  <c r="AD8600" i="1" s="1"/>
  <c r="AB8600" i="1" s="1"/>
  <c r="K8513" i="1"/>
  <c r="M8513" i="1" s="1"/>
  <c r="AC8513" i="1" s="1"/>
  <c r="AC8516" i="1" s="1"/>
  <c r="AD8516" i="1" s="1"/>
  <c r="AB8516" i="1" s="1"/>
  <c r="K8503" i="1"/>
  <c r="M8503" i="1" s="1"/>
  <c r="AC8503" i="1" s="1"/>
  <c r="M8518" i="1"/>
  <c r="K8529" i="1"/>
  <c r="M8529" i="1" s="1"/>
  <c r="AC8529" i="1" s="1"/>
  <c r="AC8532" i="1" s="1"/>
  <c r="AD8532" i="1" s="1"/>
  <c r="AB8532" i="1" s="1"/>
  <c r="K8519" i="1"/>
  <c r="M8519" i="1" s="1"/>
  <c r="AC8519" i="1" s="1"/>
  <c r="K8465" i="1"/>
  <c r="M8465" i="1" s="1"/>
  <c r="AC8465" i="1" s="1"/>
  <c r="K8475" i="1"/>
  <c r="M8475" i="1" s="1"/>
  <c r="AC8475" i="1" s="1"/>
  <c r="AC8478" i="1" s="1"/>
  <c r="AD8478" i="1" s="1"/>
  <c r="AB8478" i="1" s="1"/>
  <c r="P8428" i="1"/>
  <c r="M8381" i="1"/>
  <c r="AC8381" i="1" s="1"/>
  <c r="M8480" i="1"/>
  <c r="K8481" i="1"/>
  <c r="M8481" i="1" s="1"/>
  <c r="AC8481" i="1" s="1"/>
  <c r="K8491" i="1"/>
  <c r="M8491" i="1" s="1"/>
  <c r="AC8491" i="1" s="1"/>
  <c r="AC8494" i="1" s="1"/>
  <c r="AD8494" i="1" s="1"/>
  <c r="AB8494" i="1" s="1"/>
  <c r="M8348" i="1"/>
  <c r="AC8348" i="1" s="1"/>
  <c r="P8279" i="1"/>
  <c r="M8213" i="1"/>
  <c r="AC8213" i="1" s="1"/>
  <c r="K8376" i="1"/>
  <c r="M8376" i="1" s="1"/>
  <c r="AC8376" i="1" s="1"/>
  <c r="AC8379" i="1" s="1"/>
  <c r="AD8379" i="1" s="1"/>
  <c r="AB8379" i="1" s="1"/>
  <c r="K8367" i="1"/>
  <c r="M8367" i="1" s="1"/>
  <c r="AC8367" i="1" s="1"/>
  <c r="M8412" i="1"/>
  <c r="N8412" i="1" s="1"/>
  <c r="K8391" i="1"/>
  <c r="M8391" i="1" s="1"/>
  <c r="AC8391" i="1" s="1"/>
  <c r="AC8394" i="1" s="1"/>
  <c r="AD8394" i="1" s="1"/>
  <c r="AB8394" i="1" s="1"/>
  <c r="K8382" i="1"/>
  <c r="M8382" i="1" s="1"/>
  <c r="AC8382" i="1" s="1"/>
  <c r="M8396" i="1"/>
  <c r="K8407" i="1"/>
  <c r="M8407" i="1" s="1"/>
  <c r="AC8407" i="1" s="1"/>
  <c r="AC8410" i="1" s="1"/>
  <c r="AD8410" i="1" s="1"/>
  <c r="AB8410" i="1" s="1"/>
  <c r="K8397" i="1"/>
  <c r="M8397" i="1" s="1"/>
  <c r="AC8397" i="1" s="1"/>
  <c r="K8423" i="1"/>
  <c r="M8423" i="1" s="1"/>
  <c r="AC8423" i="1" s="1"/>
  <c r="AC8426" i="1" s="1"/>
  <c r="AD8426" i="1" s="1"/>
  <c r="AB8426" i="1" s="1"/>
  <c r="K8413" i="1"/>
  <c r="M8413" i="1" s="1"/>
  <c r="AC8413" i="1" s="1"/>
  <c r="K8439" i="1"/>
  <c r="M8439" i="1" s="1"/>
  <c r="AC8439" i="1" s="1"/>
  <c r="AC8442" i="1" s="1"/>
  <c r="AD8442" i="1" s="1"/>
  <c r="AB8442" i="1" s="1"/>
  <c r="K8429" i="1"/>
  <c r="M8429" i="1" s="1"/>
  <c r="AC8429" i="1" s="1"/>
  <c r="M8228" i="1"/>
  <c r="AC8228" i="1" s="1"/>
  <c r="M8444" i="1"/>
  <c r="K8455" i="1"/>
  <c r="M8455" i="1" s="1"/>
  <c r="AC8455" i="1" s="1"/>
  <c r="AC8458" i="1" s="1"/>
  <c r="AD8458" i="1" s="1"/>
  <c r="AB8458" i="1" s="1"/>
  <c r="K8445" i="1"/>
  <c r="M8445" i="1" s="1"/>
  <c r="AC8445" i="1" s="1"/>
  <c r="P8244" i="1"/>
  <c r="P8311" i="1"/>
  <c r="K8223" i="1"/>
  <c r="M8223" i="1" s="1"/>
  <c r="AC8223" i="1" s="1"/>
  <c r="AC8226" i="1" s="1"/>
  <c r="AD8226" i="1" s="1"/>
  <c r="AB8226" i="1" s="1"/>
  <c r="K8214" i="1"/>
  <c r="M8214" i="1" s="1"/>
  <c r="AC8214" i="1" s="1"/>
  <c r="M8263" i="1"/>
  <c r="N8263" i="1" s="1"/>
  <c r="K8239" i="1"/>
  <c r="M8239" i="1" s="1"/>
  <c r="AC8239" i="1" s="1"/>
  <c r="AC8242" i="1" s="1"/>
  <c r="AD8242" i="1" s="1"/>
  <c r="AB8242" i="1" s="1"/>
  <c r="K8229" i="1"/>
  <c r="M8229" i="1" s="1"/>
  <c r="AC8229" i="1" s="1"/>
  <c r="K8255" i="1"/>
  <c r="M8255" i="1" s="1"/>
  <c r="AC8255" i="1" s="1"/>
  <c r="AC8258" i="1" s="1"/>
  <c r="AD8258" i="1" s="1"/>
  <c r="AB8258" i="1" s="1"/>
  <c r="K8245" i="1"/>
  <c r="M8245" i="1" s="1"/>
  <c r="AC8245" i="1" s="1"/>
  <c r="M8295" i="1"/>
  <c r="AC8295" i="1" s="1"/>
  <c r="K8273" i="1"/>
  <c r="M8273" i="1" s="1"/>
  <c r="AC8273" i="1" s="1"/>
  <c r="AC8276" i="1" s="1"/>
  <c r="AD8276" i="1" s="1"/>
  <c r="AB8276" i="1" s="1"/>
  <c r="K8264" i="1"/>
  <c r="M8264" i="1" s="1"/>
  <c r="AC8264" i="1" s="1"/>
  <c r="K8290" i="1"/>
  <c r="M8290" i="1" s="1"/>
  <c r="AC8290" i="1" s="1"/>
  <c r="AC8293" i="1" s="1"/>
  <c r="AD8293" i="1" s="1"/>
  <c r="AB8293" i="1" s="1"/>
  <c r="K8280" i="1"/>
  <c r="M8280" i="1" s="1"/>
  <c r="AC8280" i="1" s="1"/>
  <c r="M8327" i="1"/>
  <c r="N8327" i="1" s="1"/>
  <c r="K8306" i="1"/>
  <c r="M8306" i="1" s="1"/>
  <c r="AC8306" i="1" s="1"/>
  <c r="AC8309" i="1" s="1"/>
  <c r="AD8309" i="1" s="1"/>
  <c r="AB8309" i="1" s="1"/>
  <c r="K8296" i="1"/>
  <c r="M8296" i="1" s="1"/>
  <c r="AC8296" i="1" s="1"/>
  <c r="M8163" i="1"/>
  <c r="AC8163" i="1" s="1"/>
  <c r="K8322" i="1"/>
  <c r="M8322" i="1" s="1"/>
  <c r="AC8322" i="1" s="1"/>
  <c r="AC8325" i="1" s="1"/>
  <c r="AD8325" i="1" s="1"/>
  <c r="AB8325" i="1" s="1"/>
  <c r="K8312" i="1"/>
  <c r="M8312" i="1" s="1"/>
  <c r="AC8312" i="1" s="1"/>
  <c r="K8338" i="1"/>
  <c r="M8338" i="1" s="1"/>
  <c r="AC8338" i="1" s="1"/>
  <c r="AC8341" i="1" s="1"/>
  <c r="AD8341" i="1" s="1"/>
  <c r="AB8341" i="1" s="1"/>
  <c r="K8328" i="1"/>
  <c r="M8328" i="1" s="1"/>
  <c r="AC8328" i="1" s="1"/>
  <c r="P8147" i="1"/>
  <c r="K8359" i="1"/>
  <c r="M8359" i="1" s="1"/>
  <c r="AC8359" i="1" s="1"/>
  <c r="AC8362" i="1" s="1"/>
  <c r="AD8362" i="1" s="1"/>
  <c r="AB8362" i="1" s="1"/>
  <c r="K8349" i="1"/>
  <c r="M8349" i="1" s="1"/>
  <c r="AC8349" i="1" s="1"/>
  <c r="M8132" i="1"/>
  <c r="K8142" i="1"/>
  <c r="M8142" i="1" s="1"/>
  <c r="AC8142" i="1" s="1"/>
  <c r="AC8145" i="1" s="1"/>
  <c r="AD8145" i="1" s="1"/>
  <c r="AB8145" i="1" s="1"/>
  <c r="K8133" i="1"/>
  <c r="M8133" i="1" s="1"/>
  <c r="AC8133" i="1" s="1"/>
  <c r="K8158" i="1"/>
  <c r="M8158" i="1" s="1"/>
  <c r="AC8158" i="1" s="1"/>
  <c r="AC8161" i="1" s="1"/>
  <c r="AD8161" i="1" s="1"/>
  <c r="AB8161" i="1" s="1"/>
  <c r="K8148" i="1"/>
  <c r="M8148" i="1" s="1"/>
  <c r="AC8148" i="1" s="1"/>
  <c r="K8174" i="1"/>
  <c r="M8174" i="1" s="1"/>
  <c r="AC8174" i="1" s="1"/>
  <c r="AC8177" i="1" s="1"/>
  <c r="AD8177" i="1" s="1"/>
  <c r="AB8177" i="1" s="1"/>
  <c r="K8164" i="1"/>
  <c r="M8164" i="1" s="1"/>
  <c r="AC8164" i="1" s="1"/>
  <c r="M8195" i="1"/>
  <c r="AC8195" i="1" s="1"/>
  <c r="M8179" i="1"/>
  <c r="K8190" i="1"/>
  <c r="M8190" i="1" s="1"/>
  <c r="AC8190" i="1" s="1"/>
  <c r="AC8193" i="1" s="1"/>
  <c r="AD8193" i="1" s="1"/>
  <c r="AB8193" i="1" s="1"/>
  <c r="K8180" i="1"/>
  <c r="M8180" i="1" s="1"/>
  <c r="AC8180" i="1" s="1"/>
  <c r="K8206" i="1"/>
  <c r="M8206" i="1" s="1"/>
  <c r="AC8206" i="1" s="1"/>
  <c r="AC8209" i="1" s="1"/>
  <c r="AD8209" i="1" s="1"/>
  <c r="AB8209" i="1" s="1"/>
  <c r="K8196" i="1"/>
  <c r="M8196" i="1" s="1"/>
  <c r="AC8196" i="1" s="1"/>
  <c r="M8111" i="1"/>
  <c r="K8122" i="1"/>
  <c r="M8122" i="1" s="1"/>
  <c r="AC8122" i="1" s="1"/>
  <c r="AC8125" i="1" s="1"/>
  <c r="AD8125" i="1" s="1"/>
  <c r="AB8125" i="1" s="1"/>
  <c r="K8112" i="1"/>
  <c r="M8112" i="1" s="1"/>
  <c r="AC8112" i="1" s="1"/>
  <c r="M8073" i="1"/>
  <c r="N8073" i="1" s="1"/>
  <c r="M8043" i="1"/>
  <c r="K8053" i="1"/>
  <c r="M8053" i="1" s="1"/>
  <c r="AC8053" i="1" s="1"/>
  <c r="AC8056" i="1" s="1"/>
  <c r="AD8056" i="1" s="1"/>
  <c r="AB8056" i="1" s="1"/>
  <c r="K8044" i="1"/>
  <c r="M8044" i="1" s="1"/>
  <c r="AC8044" i="1" s="1"/>
  <c r="M8089" i="1"/>
  <c r="N8089" i="1" s="1"/>
  <c r="M8058" i="1"/>
  <c r="K8068" i="1"/>
  <c r="M8068" i="1" s="1"/>
  <c r="AC8068" i="1" s="1"/>
  <c r="AC8071" i="1" s="1"/>
  <c r="AD8071" i="1" s="1"/>
  <c r="AB8071" i="1" s="1"/>
  <c r="K8059" i="1"/>
  <c r="M8059" i="1" s="1"/>
  <c r="AC8059" i="1" s="1"/>
  <c r="M7993" i="1"/>
  <c r="AC7993" i="1" s="1"/>
  <c r="K8084" i="1"/>
  <c r="M8084" i="1" s="1"/>
  <c r="AC8084" i="1" s="1"/>
  <c r="AC8087" i="1" s="1"/>
  <c r="AD8087" i="1" s="1"/>
  <c r="AB8087" i="1" s="1"/>
  <c r="K8074" i="1"/>
  <c r="M8074" i="1" s="1"/>
  <c r="AC8074" i="1" s="1"/>
  <c r="P8008" i="1"/>
  <c r="K8100" i="1"/>
  <c r="M8100" i="1" s="1"/>
  <c r="AC8100" i="1" s="1"/>
  <c r="AC8103" i="1" s="1"/>
  <c r="AD8103" i="1" s="1"/>
  <c r="AB8103" i="1" s="1"/>
  <c r="K8090" i="1"/>
  <c r="M8090" i="1" s="1"/>
  <c r="AC8090" i="1" s="1"/>
  <c r="K8003" i="1"/>
  <c r="M8003" i="1" s="1"/>
  <c r="AC8003" i="1" s="1"/>
  <c r="AC8006" i="1" s="1"/>
  <c r="AD8006" i="1" s="1"/>
  <c r="AB8006" i="1" s="1"/>
  <c r="K7994" i="1"/>
  <c r="M7994" i="1" s="1"/>
  <c r="AC7994" i="1" s="1"/>
  <c r="P7913" i="1"/>
  <c r="M7976" i="1"/>
  <c r="AC7976" i="1" s="1"/>
  <c r="M7960" i="1"/>
  <c r="AC7960" i="1" s="1"/>
  <c r="K8018" i="1"/>
  <c r="M8018" i="1" s="1"/>
  <c r="AC8018" i="1" s="1"/>
  <c r="AC8021" i="1" s="1"/>
  <c r="AD8021" i="1" s="1"/>
  <c r="AB8021" i="1" s="1"/>
  <c r="K8009" i="1"/>
  <c r="M8009" i="1" s="1"/>
  <c r="AC8009" i="1" s="1"/>
  <c r="M8023" i="1"/>
  <c r="K8034" i="1"/>
  <c r="M8034" i="1" s="1"/>
  <c r="AC8034" i="1" s="1"/>
  <c r="AC8037" i="1" s="1"/>
  <c r="AD8037" i="1" s="1"/>
  <c r="AB8037" i="1" s="1"/>
  <c r="K8024" i="1"/>
  <c r="M8024" i="1" s="1"/>
  <c r="AC8024" i="1" s="1"/>
  <c r="M7944" i="1"/>
  <c r="AC7944" i="1" s="1"/>
  <c r="K7923" i="1"/>
  <c r="M7923" i="1" s="1"/>
  <c r="AC7923" i="1" s="1"/>
  <c r="AC7926" i="1" s="1"/>
  <c r="AD7926" i="1" s="1"/>
  <c r="AB7926" i="1" s="1"/>
  <c r="K7914" i="1"/>
  <c r="M7914" i="1" s="1"/>
  <c r="AC7914" i="1" s="1"/>
  <c r="M7928" i="1"/>
  <c r="K7939" i="1"/>
  <c r="M7939" i="1" s="1"/>
  <c r="AC7939" i="1" s="1"/>
  <c r="AC7942" i="1" s="1"/>
  <c r="AD7942" i="1" s="1"/>
  <c r="AB7942" i="1" s="1"/>
  <c r="K7929" i="1"/>
  <c r="M7929" i="1" s="1"/>
  <c r="AC7929" i="1" s="1"/>
  <c r="K7955" i="1"/>
  <c r="M7955" i="1" s="1"/>
  <c r="AC7955" i="1" s="1"/>
  <c r="AC7958" i="1" s="1"/>
  <c r="AD7958" i="1" s="1"/>
  <c r="AB7958" i="1" s="1"/>
  <c r="K7945" i="1"/>
  <c r="M7945" i="1" s="1"/>
  <c r="AC7945" i="1" s="1"/>
  <c r="K7971" i="1"/>
  <c r="M7971" i="1" s="1"/>
  <c r="AC7971" i="1" s="1"/>
  <c r="AC7974" i="1" s="1"/>
  <c r="AD7974" i="1" s="1"/>
  <c r="AB7974" i="1" s="1"/>
  <c r="K7961" i="1"/>
  <c r="M7961" i="1" s="1"/>
  <c r="AC7961" i="1" s="1"/>
  <c r="P7861" i="1"/>
  <c r="K7987" i="1"/>
  <c r="M7987" i="1" s="1"/>
  <c r="AC7987" i="1" s="1"/>
  <c r="AC7990" i="1" s="1"/>
  <c r="AD7990" i="1" s="1"/>
  <c r="AB7990" i="1" s="1"/>
  <c r="K7977" i="1"/>
  <c r="M7977" i="1" s="1"/>
  <c r="AC7977" i="1" s="1"/>
  <c r="M7831" i="1"/>
  <c r="K7832" i="1"/>
  <c r="M7832" i="1" s="1"/>
  <c r="AC7832" i="1" s="1"/>
  <c r="K7841" i="1"/>
  <c r="M7841" i="1" s="1"/>
  <c r="AC7841" i="1" s="1"/>
  <c r="AC7844" i="1" s="1"/>
  <c r="AD7844" i="1" s="1"/>
  <c r="AB7844" i="1" s="1"/>
  <c r="P7877" i="1"/>
  <c r="P7893" i="1"/>
  <c r="M7846" i="1"/>
  <c r="K7856" i="1"/>
  <c r="M7856" i="1" s="1"/>
  <c r="AC7856" i="1" s="1"/>
  <c r="AC7859" i="1" s="1"/>
  <c r="AD7859" i="1" s="1"/>
  <c r="AB7859" i="1" s="1"/>
  <c r="K7847" i="1"/>
  <c r="M7847" i="1" s="1"/>
  <c r="AC7847" i="1" s="1"/>
  <c r="K7872" i="1"/>
  <c r="M7872" i="1" s="1"/>
  <c r="AC7872" i="1" s="1"/>
  <c r="AC7875" i="1" s="1"/>
  <c r="AD7875" i="1" s="1"/>
  <c r="AB7875" i="1" s="1"/>
  <c r="K7862" i="1"/>
  <c r="M7862" i="1" s="1"/>
  <c r="AC7862" i="1" s="1"/>
  <c r="K7878" i="1"/>
  <c r="M7878" i="1" s="1"/>
  <c r="AC7878" i="1" s="1"/>
  <c r="K7888" i="1"/>
  <c r="M7888" i="1" s="1"/>
  <c r="AC7888" i="1" s="1"/>
  <c r="AC7891" i="1" s="1"/>
  <c r="AD7891" i="1" s="1"/>
  <c r="AB7891" i="1" s="1"/>
  <c r="M7798" i="1"/>
  <c r="AC7798" i="1" s="1"/>
  <c r="K7904" i="1"/>
  <c r="M7904" i="1" s="1"/>
  <c r="AC7904" i="1" s="1"/>
  <c r="AC7907" i="1" s="1"/>
  <c r="AD7907" i="1" s="1"/>
  <c r="AB7907" i="1" s="1"/>
  <c r="K7894" i="1"/>
  <c r="M7894" i="1" s="1"/>
  <c r="AC7894" i="1" s="1"/>
  <c r="P7760" i="1"/>
  <c r="M7813" i="1"/>
  <c r="AC7813" i="1" s="1"/>
  <c r="M7783" i="1"/>
  <c r="K7793" i="1"/>
  <c r="M7793" i="1" s="1"/>
  <c r="AC7793" i="1" s="1"/>
  <c r="AC7796" i="1" s="1"/>
  <c r="K7784" i="1"/>
  <c r="M7784" i="1" s="1"/>
  <c r="AC7784" i="1" s="1"/>
  <c r="K7808" i="1"/>
  <c r="M7808" i="1" s="1"/>
  <c r="AC7808" i="1" s="1"/>
  <c r="AC7811" i="1" s="1"/>
  <c r="AD7811" i="1" s="1"/>
  <c r="AB7811" i="1" s="1"/>
  <c r="K7799" i="1"/>
  <c r="M7799" i="1" s="1"/>
  <c r="AC7799" i="1" s="1"/>
  <c r="K7824" i="1"/>
  <c r="M7824" i="1" s="1"/>
  <c r="AC7824" i="1" s="1"/>
  <c r="AC7827" i="1" s="1"/>
  <c r="AD7827" i="1" s="1"/>
  <c r="AB7827" i="1" s="1"/>
  <c r="K7814" i="1"/>
  <c r="M7814" i="1" s="1"/>
  <c r="AC7814" i="1" s="1"/>
  <c r="K7778" i="1"/>
  <c r="M7778" i="1" s="1"/>
  <c r="AC7778" i="1" s="1"/>
  <c r="AC7779" i="1" s="1"/>
  <c r="AD7779" i="1" s="1"/>
  <c r="K7770" i="1"/>
  <c r="M7770" i="1" s="1"/>
  <c r="AC7770" i="1" s="1"/>
  <c r="K7761" i="1"/>
  <c r="M7761" i="1" s="1"/>
  <c r="AC7761" i="1" s="1"/>
  <c r="P7118" i="1"/>
  <c r="K7119" i="1"/>
  <c r="M7119" i="1" s="1"/>
  <c r="AC7119" i="1" s="1"/>
  <c r="K7135" i="1"/>
  <c r="M7135" i="1" s="1"/>
  <c r="AC7135" i="1" s="1"/>
  <c r="AC7136" i="1" s="1"/>
  <c r="AD7136" i="1" s="1"/>
  <c r="K7128" i="1"/>
  <c r="M7128" i="1" s="1"/>
  <c r="AC7128" i="1" s="1"/>
  <c r="M7137" i="1"/>
  <c r="AC7137" i="1" s="1"/>
  <c r="K7138" i="1"/>
  <c r="M7138" i="1" s="1"/>
  <c r="AC7138" i="1" s="1"/>
  <c r="K7154" i="1"/>
  <c r="M7154" i="1" s="1"/>
  <c r="AC7154" i="1" s="1"/>
  <c r="AC7155" i="1" s="1"/>
  <c r="AD7155" i="1" s="1"/>
  <c r="K7147" i="1"/>
  <c r="M7147" i="1" s="1"/>
  <c r="AC7147" i="1" s="1"/>
  <c r="P7156" i="1"/>
  <c r="K7174" i="1"/>
  <c r="M7174" i="1" s="1"/>
  <c r="AC7174" i="1" s="1"/>
  <c r="AC7175" i="1" s="1"/>
  <c r="AD7175" i="1" s="1"/>
  <c r="K7167" i="1"/>
  <c r="M7167" i="1" s="1"/>
  <c r="AC7167" i="1" s="1"/>
  <c r="K7157" i="1"/>
  <c r="M7157" i="1" s="1"/>
  <c r="AC7157" i="1" s="1"/>
  <c r="M7176" i="1"/>
  <c r="AC7176" i="1" s="1"/>
  <c r="K7194" i="1"/>
  <c r="M7194" i="1" s="1"/>
  <c r="AC7194" i="1" s="1"/>
  <c r="AC7195" i="1" s="1"/>
  <c r="AD7195" i="1" s="1"/>
  <c r="K7187" i="1"/>
  <c r="M7187" i="1" s="1"/>
  <c r="AC7187" i="1" s="1"/>
  <c r="K7177" i="1"/>
  <c r="M7177" i="1" s="1"/>
  <c r="AC7177" i="1" s="1"/>
  <c r="M7196" i="1"/>
  <c r="N7196" i="1" s="1"/>
  <c r="K7197" i="1"/>
  <c r="M7197" i="1" s="1"/>
  <c r="AC7197" i="1" s="1"/>
  <c r="K7214" i="1"/>
  <c r="M7214" i="1" s="1"/>
  <c r="AC7214" i="1" s="1"/>
  <c r="AC7215" i="1" s="1"/>
  <c r="AD7215" i="1" s="1"/>
  <c r="K7207" i="1"/>
  <c r="M7207" i="1" s="1"/>
  <c r="AC7207" i="1" s="1"/>
  <c r="M7216" i="1"/>
  <c r="N7216" i="1" s="1"/>
  <c r="K7217" i="1"/>
  <c r="M7217" i="1" s="1"/>
  <c r="AC7217" i="1" s="1"/>
  <c r="K7234" i="1"/>
  <c r="M7234" i="1" s="1"/>
  <c r="AC7234" i="1" s="1"/>
  <c r="AC7235" i="1" s="1"/>
  <c r="AD7235" i="1" s="1"/>
  <c r="K7227" i="1"/>
  <c r="M7227" i="1" s="1"/>
  <c r="AC7227" i="1" s="1"/>
  <c r="M7237" i="1"/>
  <c r="AC7237" i="1" s="1"/>
  <c r="K7254" i="1"/>
  <c r="M7254" i="1" s="1"/>
  <c r="AC7254" i="1" s="1"/>
  <c r="AC7255" i="1" s="1"/>
  <c r="AD7255" i="1" s="1"/>
  <c r="K7247" i="1"/>
  <c r="M7247" i="1" s="1"/>
  <c r="AC7247" i="1" s="1"/>
  <c r="K7238" i="1"/>
  <c r="M7238" i="1" s="1"/>
  <c r="AC7238" i="1" s="1"/>
  <c r="P7256" i="1"/>
  <c r="K7274" i="1"/>
  <c r="M7274" i="1" s="1"/>
  <c r="AC7274" i="1" s="1"/>
  <c r="AC7275" i="1" s="1"/>
  <c r="AD7275" i="1" s="1"/>
  <c r="K7257" i="1"/>
  <c r="M7257" i="1" s="1"/>
  <c r="AC7257" i="1" s="1"/>
  <c r="K7267" i="1"/>
  <c r="M7267" i="1" s="1"/>
  <c r="AC7267" i="1" s="1"/>
  <c r="M7276" i="1"/>
  <c r="AC7276" i="1" s="1"/>
  <c r="K7294" i="1"/>
  <c r="M7294" i="1" s="1"/>
  <c r="AC7294" i="1" s="1"/>
  <c r="AC7295" i="1" s="1"/>
  <c r="AD7295" i="1" s="1"/>
  <c r="K7287" i="1"/>
  <c r="M7287" i="1" s="1"/>
  <c r="AC7287" i="1" s="1"/>
  <c r="K7277" i="1"/>
  <c r="M7277" i="1" s="1"/>
  <c r="AC7277" i="1" s="1"/>
  <c r="P7296" i="1"/>
  <c r="K7314" i="1"/>
  <c r="M7314" i="1" s="1"/>
  <c r="AC7314" i="1" s="1"/>
  <c r="AC7315" i="1" s="1"/>
  <c r="AD7315" i="1" s="1"/>
  <c r="K7307" i="1"/>
  <c r="M7307" i="1" s="1"/>
  <c r="AC7307" i="1" s="1"/>
  <c r="K7297" i="1"/>
  <c r="M7297" i="1" s="1"/>
  <c r="AC7297" i="1" s="1"/>
  <c r="P7316" i="1"/>
  <c r="K7317" i="1"/>
  <c r="M7317" i="1" s="1"/>
  <c r="AC7317" i="1" s="1"/>
  <c r="K7334" i="1"/>
  <c r="M7334" i="1" s="1"/>
  <c r="AC7334" i="1" s="1"/>
  <c r="AC7335" i="1" s="1"/>
  <c r="AD7335" i="1" s="1"/>
  <c r="K7327" i="1"/>
  <c r="M7327" i="1" s="1"/>
  <c r="AC7327" i="1" s="1"/>
  <c r="M7337" i="1"/>
  <c r="AC7337" i="1" s="1"/>
  <c r="K7347" i="1"/>
  <c r="M7347" i="1" s="1"/>
  <c r="AC7347" i="1" s="1"/>
  <c r="K7354" i="1"/>
  <c r="M7354" i="1" s="1"/>
  <c r="AC7354" i="1" s="1"/>
  <c r="AC7355" i="1" s="1"/>
  <c r="AD7355" i="1" s="1"/>
  <c r="K7338" i="1"/>
  <c r="M7338" i="1" s="1"/>
  <c r="AC7338" i="1" s="1"/>
  <c r="P7356" i="1"/>
  <c r="K7374" i="1"/>
  <c r="M7374" i="1" s="1"/>
  <c r="AC7374" i="1" s="1"/>
  <c r="AC7375" i="1" s="1"/>
  <c r="AD7375" i="1" s="1"/>
  <c r="K7357" i="1"/>
  <c r="M7357" i="1" s="1"/>
  <c r="AC7357" i="1" s="1"/>
  <c r="K7367" i="1"/>
  <c r="M7367" i="1" s="1"/>
  <c r="AC7367" i="1" s="1"/>
  <c r="M7376" i="1"/>
  <c r="AC7376" i="1" s="1"/>
  <c r="K7394" i="1"/>
  <c r="M7394" i="1" s="1"/>
  <c r="AC7394" i="1" s="1"/>
  <c r="AC7395" i="1" s="1"/>
  <c r="AD7395" i="1" s="1"/>
  <c r="K7377" i="1"/>
  <c r="M7377" i="1" s="1"/>
  <c r="AC7377" i="1" s="1"/>
  <c r="K7387" i="1"/>
  <c r="M7387" i="1" s="1"/>
  <c r="AC7387" i="1" s="1"/>
  <c r="M7396" i="1"/>
  <c r="N7396" i="1" s="1"/>
  <c r="K7414" i="1"/>
  <c r="M7414" i="1" s="1"/>
  <c r="AC7414" i="1" s="1"/>
  <c r="AC7415" i="1" s="1"/>
  <c r="AD7415" i="1" s="1"/>
  <c r="K7397" i="1"/>
  <c r="M7397" i="1" s="1"/>
  <c r="AC7397" i="1" s="1"/>
  <c r="K7407" i="1"/>
  <c r="M7407" i="1" s="1"/>
  <c r="AC7407" i="1" s="1"/>
  <c r="P7417" i="1"/>
  <c r="K7434" i="1"/>
  <c r="M7434" i="1" s="1"/>
  <c r="AC7434" i="1" s="1"/>
  <c r="AC7435" i="1" s="1"/>
  <c r="AD7435" i="1" s="1"/>
  <c r="K7418" i="1"/>
  <c r="M7418" i="1" s="1"/>
  <c r="AC7418" i="1" s="1"/>
  <c r="K7427" i="1"/>
  <c r="M7427" i="1" s="1"/>
  <c r="AC7427" i="1" s="1"/>
  <c r="M7436" i="1"/>
  <c r="AC7436" i="1" s="1"/>
  <c r="K7437" i="1"/>
  <c r="M7437" i="1" s="1"/>
  <c r="AC7437" i="1" s="1"/>
  <c r="K7453" i="1"/>
  <c r="M7453" i="1" s="1"/>
  <c r="AC7453" i="1" s="1"/>
  <c r="AC7454" i="1" s="1"/>
  <c r="AD7454" i="1" s="1"/>
  <c r="K7446" i="1"/>
  <c r="M7446" i="1" s="1"/>
  <c r="AC7446" i="1" s="1"/>
  <c r="M7455" i="1"/>
  <c r="N7455" i="1" s="1"/>
  <c r="K7456" i="1"/>
  <c r="M7456" i="1" s="1"/>
  <c r="AC7456" i="1" s="1"/>
  <c r="K7473" i="1"/>
  <c r="M7473" i="1" s="1"/>
  <c r="AC7473" i="1" s="1"/>
  <c r="AC7474" i="1" s="1"/>
  <c r="AD7474" i="1" s="1"/>
  <c r="K7466" i="1"/>
  <c r="M7466" i="1" s="1"/>
  <c r="AC7466" i="1" s="1"/>
  <c r="P7475" i="1"/>
  <c r="K7493" i="1"/>
  <c r="M7493" i="1" s="1"/>
  <c r="AC7493" i="1" s="1"/>
  <c r="AC7494" i="1" s="1"/>
  <c r="AD7494" i="1" s="1"/>
  <c r="K7486" i="1"/>
  <c r="M7486" i="1" s="1"/>
  <c r="AC7486" i="1" s="1"/>
  <c r="K7476" i="1"/>
  <c r="M7476" i="1" s="1"/>
  <c r="AC7476" i="1" s="1"/>
  <c r="M7495" i="1"/>
  <c r="N7495" i="1" s="1"/>
  <c r="K7513" i="1"/>
  <c r="M7513" i="1" s="1"/>
  <c r="AC7513" i="1" s="1"/>
  <c r="AC7514" i="1" s="1"/>
  <c r="AD7514" i="1" s="1"/>
  <c r="K7506" i="1"/>
  <c r="M7506" i="1" s="1"/>
  <c r="AC7506" i="1" s="1"/>
  <c r="K7496" i="1"/>
  <c r="M7496" i="1" s="1"/>
  <c r="AC7496" i="1" s="1"/>
  <c r="P7536" i="1"/>
  <c r="K7553" i="1"/>
  <c r="M7553" i="1" s="1"/>
  <c r="AC7553" i="1" s="1"/>
  <c r="AC7554" i="1" s="1"/>
  <c r="AD7554" i="1" s="1"/>
  <c r="K7537" i="1"/>
  <c r="M7537" i="1" s="1"/>
  <c r="AC7537" i="1" s="1"/>
  <c r="K7546" i="1"/>
  <c r="M7546" i="1" s="1"/>
  <c r="AC7546" i="1" s="1"/>
  <c r="P7555" i="1"/>
  <c r="K7556" i="1"/>
  <c r="M7556" i="1" s="1"/>
  <c r="AC7556" i="1" s="1"/>
  <c r="K7573" i="1"/>
  <c r="M7573" i="1" s="1"/>
  <c r="AC7573" i="1" s="1"/>
  <c r="AC7574" i="1" s="1"/>
  <c r="AD7574" i="1" s="1"/>
  <c r="K7566" i="1"/>
  <c r="M7566" i="1" s="1"/>
  <c r="AC7566" i="1" s="1"/>
  <c r="P7575" i="1"/>
  <c r="K7593" i="1"/>
  <c r="M7593" i="1" s="1"/>
  <c r="AC7593" i="1" s="1"/>
  <c r="AC7594" i="1" s="1"/>
  <c r="AD7594" i="1" s="1"/>
  <c r="K7586" i="1"/>
  <c r="M7586" i="1" s="1"/>
  <c r="AC7586" i="1" s="1"/>
  <c r="K7576" i="1"/>
  <c r="M7576" i="1" s="1"/>
  <c r="AC7576" i="1" s="1"/>
  <c r="M7595" i="1"/>
  <c r="N7595" i="1" s="1"/>
  <c r="K7613" i="1"/>
  <c r="M7613" i="1" s="1"/>
  <c r="AC7613" i="1" s="1"/>
  <c r="AC7614" i="1" s="1"/>
  <c r="AD7614" i="1" s="1"/>
  <c r="K7596" i="1"/>
  <c r="M7596" i="1" s="1"/>
  <c r="AC7596" i="1" s="1"/>
  <c r="K7606" i="1"/>
  <c r="M7606" i="1" s="1"/>
  <c r="AC7606" i="1" s="1"/>
  <c r="M7615" i="1"/>
  <c r="N7615" i="1" s="1"/>
  <c r="K7633" i="1"/>
  <c r="M7633" i="1" s="1"/>
  <c r="AC7633" i="1" s="1"/>
  <c r="AC7634" i="1" s="1"/>
  <c r="AD7634" i="1" s="1"/>
  <c r="K7616" i="1"/>
  <c r="M7616" i="1" s="1"/>
  <c r="AC7616" i="1" s="1"/>
  <c r="K7626" i="1"/>
  <c r="M7626" i="1" s="1"/>
  <c r="AC7626" i="1" s="1"/>
  <c r="P7675" i="1"/>
  <c r="P7636" i="1"/>
  <c r="K7653" i="1"/>
  <c r="M7653" i="1" s="1"/>
  <c r="AC7653" i="1" s="1"/>
  <c r="AC7654" i="1" s="1"/>
  <c r="AD7654" i="1" s="1"/>
  <c r="K7646" i="1"/>
  <c r="M7646" i="1" s="1"/>
  <c r="AC7646" i="1" s="1"/>
  <c r="K7637" i="1"/>
  <c r="M7637" i="1" s="1"/>
  <c r="AC7637" i="1" s="1"/>
  <c r="P7595" i="1"/>
  <c r="M7655" i="1"/>
  <c r="N7655" i="1" s="1"/>
  <c r="K7673" i="1"/>
  <c r="M7673" i="1" s="1"/>
  <c r="AC7673" i="1" s="1"/>
  <c r="AC7674" i="1" s="1"/>
  <c r="AD7674" i="1" s="1"/>
  <c r="K7666" i="1"/>
  <c r="M7666" i="1" s="1"/>
  <c r="AC7666" i="1" s="1"/>
  <c r="K7656" i="1"/>
  <c r="M7656" i="1" s="1"/>
  <c r="AC7656" i="1" s="1"/>
  <c r="M7739" i="1"/>
  <c r="N7739" i="1" s="1"/>
  <c r="P7695" i="1"/>
  <c r="K7693" i="1"/>
  <c r="M7693" i="1" s="1"/>
  <c r="AC7693" i="1" s="1"/>
  <c r="AC7694" i="1" s="1"/>
  <c r="AD7694" i="1" s="1"/>
  <c r="K7686" i="1"/>
  <c r="M7686" i="1" s="1"/>
  <c r="AC7686" i="1" s="1"/>
  <c r="K7676" i="1"/>
  <c r="M7676" i="1" s="1"/>
  <c r="AC7676" i="1" s="1"/>
  <c r="K7737" i="1"/>
  <c r="M7737" i="1" s="1"/>
  <c r="AC7737" i="1" s="1"/>
  <c r="AC7738" i="1" s="1"/>
  <c r="AD7738" i="1" s="1"/>
  <c r="K7730" i="1"/>
  <c r="M7730" i="1" s="1"/>
  <c r="AC7730" i="1" s="1"/>
  <c r="K7720" i="1"/>
  <c r="M7720" i="1" s="1"/>
  <c r="AC7720" i="1" s="1"/>
  <c r="P7719" i="1"/>
  <c r="K7757" i="1"/>
  <c r="M7757" i="1" s="1"/>
  <c r="AC7757" i="1" s="1"/>
  <c r="AC7758" i="1" s="1"/>
  <c r="AD7758" i="1" s="1"/>
  <c r="K7740" i="1"/>
  <c r="M7740" i="1" s="1"/>
  <c r="AC7740" i="1" s="1"/>
  <c r="K7750" i="1"/>
  <c r="M7750" i="1" s="1"/>
  <c r="AC7750" i="1" s="1"/>
  <c r="M7719" i="1"/>
  <c r="P7655" i="1"/>
  <c r="K7713" i="1"/>
  <c r="M7713" i="1" s="1"/>
  <c r="AC7713" i="1" s="1"/>
  <c r="AC7714" i="1" s="1"/>
  <c r="AD7714" i="1" s="1"/>
  <c r="K7706" i="1"/>
  <c r="M7706" i="1" s="1"/>
  <c r="AC7706" i="1" s="1"/>
  <c r="K7696" i="1"/>
  <c r="M7696" i="1" s="1"/>
  <c r="AC7696" i="1" s="1"/>
  <c r="M7636" i="1"/>
  <c r="N7636" i="1" s="1"/>
  <c r="P7615" i="1"/>
  <c r="P7495" i="1"/>
  <c r="M7575" i="1"/>
  <c r="M7555" i="1"/>
  <c r="P7376" i="1"/>
  <c r="M7536" i="1"/>
  <c r="M7475" i="1"/>
  <c r="AC7475" i="1" s="1"/>
  <c r="P7455" i="1"/>
  <c r="P7337" i="1"/>
  <c r="P7276" i="1"/>
  <c r="P7436" i="1"/>
  <c r="P7396" i="1"/>
  <c r="M7417" i="1"/>
  <c r="AC7417" i="1" s="1"/>
  <c r="P7196" i="1"/>
  <c r="M7416" i="1"/>
  <c r="P7216" i="1"/>
  <c r="M7356" i="1"/>
  <c r="M7296" i="1"/>
  <c r="AC7296" i="1" s="1"/>
  <c r="M7316" i="1"/>
  <c r="P7176" i="1"/>
  <c r="P7237" i="1"/>
  <c r="M7256" i="1"/>
  <c r="M6992" i="1"/>
  <c r="N6992" i="1" s="1"/>
  <c r="P7053" i="1"/>
  <c r="P7137" i="1"/>
  <c r="M7118" i="1"/>
  <c r="N7118" i="1" s="1"/>
  <c r="M7156" i="1"/>
  <c r="P7074" i="1"/>
  <c r="M7095" i="1"/>
  <c r="K7114" i="1"/>
  <c r="M7114" i="1" s="1"/>
  <c r="AC7114" i="1" s="1"/>
  <c r="AC7115" i="1" s="1"/>
  <c r="AD7115" i="1" s="1"/>
  <c r="K7096" i="1"/>
  <c r="M7096" i="1" s="1"/>
  <c r="AC7096" i="1" s="1"/>
  <c r="K7106" i="1"/>
  <c r="M7106" i="1" s="1"/>
  <c r="AC7106" i="1" s="1"/>
  <c r="M7032" i="1"/>
  <c r="AC7032" i="1" s="1"/>
  <c r="P6969" i="1"/>
  <c r="K7085" i="1"/>
  <c r="M7085" i="1" s="1"/>
  <c r="AC7085" i="1" s="1"/>
  <c r="K7093" i="1"/>
  <c r="M7093" i="1" s="1"/>
  <c r="AC7093" i="1" s="1"/>
  <c r="AC7094" i="1" s="1"/>
  <c r="AD7094" i="1" s="1"/>
  <c r="K7075" i="1"/>
  <c r="M7075" i="1" s="1"/>
  <c r="AC7075" i="1" s="1"/>
  <c r="K7072" i="1"/>
  <c r="M7072" i="1" s="1"/>
  <c r="AC7072" i="1" s="1"/>
  <c r="AC7073" i="1" s="1"/>
  <c r="AD7073" i="1" s="1"/>
  <c r="K7054" i="1"/>
  <c r="M7054" i="1" s="1"/>
  <c r="AC7054" i="1" s="1"/>
  <c r="K7064" i="1"/>
  <c r="M7064" i="1" s="1"/>
  <c r="AC7064" i="1" s="1"/>
  <c r="P7012" i="1"/>
  <c r="K7051" i="1"/>
  <c r="M7051" i="1" s="1"/>
  <c r="AC7051" i="1" s="1"/>
  <c r="AC7052" i="1" s="1"/>
  <c r="AD7052" i="1" s="1"/>
  <c r="AD7051" i="1" s="1"/>
  <c r="K7033" i="1"/>
  <c r="M7033" i="1" s="1"/>
  <c r="AC7033" i="1" s="1"/>
  <c r="AC7042" i="1" s="1"/>
  <c r="K7043" i="1"/>
  <c r="M7043" i="1" s="1"/>
  <c r="AC7043" i="1" s="1"/>
  <c r="M107" i="1"/>
  <c r="N107" i="1" s="1"/>
  <c r="K7013" i="1"/>
  <c r="M7013" i="1" s="1"/>
  <c r="AC7013" i="1" s="1"/>
  <c r="K7030" i="1"/>
  <c r="M7030" i="1" s="1"/>
  <c r="AC7030" i="1" s="1"/>
  <c r="AC7031" i="1" s="1"/>
  <c r="AD7031" i="1" s="1"/>
  <c r="K7022" i="1"/>
  <c r="M7022" i="1" s="1"/>
  <c r="AC7022" i="1" s="1"/>
  <c r="K7010" i="1"/>
  <c r="M7010" i="1" s="1"/>
  <c r="AC7010" i="1" s="1"/>
  <c r="AC7011" i="1" s="1"/>
  <c r="AD7011" i="1" s="1"/>
  <c r="K6993" i="1"/>
  <c r="M6993" i="1" s="1"/>
  <c r="AC6993" i="1" s="1"/>
  <c r="K7002" i="1"/>
  <c r="M7002" i="1" s="1"/>
  <c r="AC7002" i="1" s="1"/>
  <c r="AD6967" i="1"/>
  <c r="AB6968" i="1"/>
  <c r="K6987" i="1"/>
  <c r="M6987" i="1" s="1"/>
  <c r="AC6987" i="1" s="1"/>
  <c r="AC6988" i="1" s="1"/>
  <c r="AD6988" i="1" s="1"/>
  <c r="K6970" i="1"/>
  <c r="M6970" i="1" s="1"/>
  <c r="AC6970" i="1" s="1"/>
  <c r="K6979" i="1"/>
  <c r="M6979" i="1" s="1"/>
  <c r="AC6979" i="1" s="1"/>
  <c r="P6949" i="1"/>
  <c r="K6959" i="1"/>
  <c r="M6959" i="1" s="1"/>
  <c r="AC6959" i="1" s="1"/>
  <c r="M6949" i="1"/>
  <c r="K6950" i="1"/>
  <c r="M6950" i="1" s="1"/>
  <c r="AC6950" i="1" s="1"/>
  <c r="K108" i="1"/>
  <c r="M108" i="1" s="1"/>
  <c r="AC108" i="1" s="1"/>
  <c r="AC114" i="1" s="1"/>
  <c r="K115" i="1"/>
  <c r="M115" i="1" s="1"/>
  <c r="AC115" i="1" s="1"/>
  <c r="Q6722" i="1"/>
  <c r="R6722" i="1" s="1"/>
  <c r="T6722" i="1" s="1"/>
  <c r="H6763" i="1"/>
  <c r="I6763" i="1" s="1"/>
  <c r="Q9197" i="1"/>
  <c r="R9197" i="1" s="1"/>
  <c r="T9197" i="1" s="1"/>
  <c r="N9797" i="1"/>
  <c r="H4492" i="1"/>
  <c r="I4492" i="1" s="1"/>
  <c r="Q9748" i="1"/>
  <c r="R9748" i="1" s="1"/>
  <c r="T9748" i="1" s="1"/>
  <c r="N6123" i="1"/>
  <c r="Q10341" i="1"/>
  <c r="R10341" i="1" s="1"/>
  <c r="T10341" i="1" s="1"/>
  <c r="Q6121" i="1"/>
  <c r="R6121" i="1" s="1"/>
  <c r="T6121" i="1" s="1"/>
  <c r="Q6299" i="1"/>
  <c r="R6299" i="1" s="1"/>
  <c r="T6299" i="1" s="1"/>
  <c r="N6528" i="1"/>
  <c r="H5769" i="1"/>
  <c r="I5769" i="1" s="1"/>
  <c r="H6233" i="1"/>
  <c r="I6233" i="1" s="1"/>
  <c r="Q5545" i="1"/>
  <c r="R5545" i="1" s="1"/>
  <c r="T5545" i="1" s="1"/>
  <c r="N7717" i="1"/>
  <c r="H6017" i="1"/>
  <c r="I6017" i="1" s="1"/>
  <c r="N1285" i="1"/>
  <c r="H9798" i="1"/>
  <c r="I9798" i="1" s="1"/>
  <c r="AC7893" i="1"/>
  <c r="N1851" i="1"/>
  <c r="N9189" i="1"/>
  <c r="H10343" i="1"/>
  <c r="I10343" i="1" s="1"/>
  <c r="Q9186" i="1"/>
  <c r="R9186" i="1" s="1"/>
  <c r="T9186" i="1" s="1"/>
  <c r="Q6759" i="1"/>
  <c r="R6759" i="1" s="1"/>
  <c r="T6759" i="1" s="1"/>
  <c r="H6684" i="1"/>
  <c r="I6684" i="1" s="1"/>
  <c r="H1963" i="1"/>
  <c r="I1963" i="1" s="1"/>
  <c r="H6716" i="1"/>
  <c r="I6716" i="1" s="1"/>
  <c r="Q6716" i="1"/>
  <c r="R6716" i="1" s="1"/>
  <c r="T6716" i="1" s="1"/>
  <c r="AC1464" i="1"/>
  <c r="AB1464" i="1" s="1"/>
  <c r="Q1464" i="1" s="1"/>
  <c r="R1464" i="1" s="1"/>
  <c r="T1464" i="1" s="1"/>
  <c r="N9820" i="1"/>
  <c r="N6457" i="1"/>
  <c r="Q6503" i="1"/>
  <c r="R6503" i="1" s="1"/>
  <c r="T6503" i="1" s="1"/>
  <c r="Q6052" i="1"/>
  <c r="R6052" i="1" s="1"/>
  <c r="T6052" i="1" s="1"/>
  <c r="AC4491" i="1"/>
  <c r="AB4491" i="1" s="1"/>
  <c r="H4491" i="1" s="1"/>
  <c r="I4491" i="1" s="1"/>
  <c r="N9822" i="1"/>
  <c r="N9738" i="1"/>
  <c r="H6268" i="1"/>
  <c r="I6268" i="1" s="1"/>
  <c r="AC6267" i="1"/>
  <c r="AB6267" i="1" s="1"/>
  <c r="Q6267" i="1" s="1"/>
  <c r="R6267" i="1" s="1"/>
  <c r="T6267" i="1" s="1"/>
  <c r="H9192" i="1"/>
  <c r="I9192" i="1" s="1"/>
  <c r="Q9192" i="1"/>
  <c r="R9192" i="1" s="1"/>
  <c r="T9192" i="1" s="1"/>
  <c r="Q8621" i="1"/>
  <c r="R8621" i="1" s="1"/>
  <c r="T8621" i="1" s="1"/>
  <c r="H8621" i="1"/>
  <c r="I8621" i="1" s="1"/>
  <c r="N6572" i="1"/>
  <c r="H9826" i="1"/>
  <c r="I9826" i="1" s="1"/>
  <c r="N4437" i="1"/>
  <c r="N9849" i="1"/>
  <c r="N9198" i="1"/>
  <c r="Q9057" i="1"/>
  <c r="R9057" i="1" s="1"/>
  <c r="T9057" i="1" s="1"/>
  <c r="Q8618" i="1"/>
  <c r="R8618" i="1" s="1"/>
  <c r="T8618" i="1" s="1"/>
  <c r="Q6885" i="1"/>
  <c r="R6885" i="1" s="1"/>
  <c r="T6885" i="1" s="1"/>
  <c r="AC5889" i="1"/>
  <c r="Q6490" i="1"/>
  <c r="R6490" i="1" s="1"/>
  <c r="T6490" i="1" s="1"/>
  <c r="H8365" i="1"/>
  <c r="I8365" i="1" s="1"/>
  <c r="N6033" i="1"/>
  <c r="N6206" i="1"/>
  <c r="AC6206" i="1"/>
  <c r="AB6206" i="1" s="1"/>
  <c r="AC1288" i="1"/>
  <c r="AB1288" i="1" s="1"/>
  <c r="H1288" i="1" s="1"/>
  <c r="I1288" i="1" s="1"/>
  <c r="AC6264" i="1"/>
  <c r="AB6264" i="1" s="1"/>
  <c r="N6264" i="1"/>
  <c r="H6721" i="1"/>
  <c r="I6721" i="1" s="1"/>
  <c r="N9835" i="1"/>
  <c r="H9835" i="1"/>
  <c r="I9835" i="1" s="1"/>
  <c r="N9788" i="1"/>
  <c r="Q6300" i="1"/>
  <c r="R6300" i="1" s="1"/>
  <c r="T6300" i="1" s="1"/>
  <c r="H6801" i="1"/>
  <c r="I6801" i="1" s="1"/>
  <c r="H8585" i="1"/>
  <c r="I8585" i="1" s="1"/>
  <c r="N6338" i="1"/>
  <c r="AC4622" i="1"/>
  <c r="AB4622" i="1" s="1"/>
  <c r="Q4622" i="1" s="1"/>
  <c r="R4622" i="1" s="1"/>
  <c r="T4622" i="1" s="1"/>
  <c r="R9835" i="1"/>
  <c r="T9835" i="1" s="1"/>
  <c r="N9812" i="1"/>
  <c r="AC9258" i="1"/>
  <c r="Q8534" i="1"/>
  <c r="R8534" i="1" s="1"/>
  <c r="T8534" i="1" s="1"/>
  <c r="H8534" i="1"/>
  <c r="I8534" i="1" s="1"/>
  <c r="Q8262" i="1"/>
  <c r="R8262" i="1" s="1"/>
  <c r="T8262" i="1" s="1"/>
  <c r="H8262" i="1"/>
  <c r="I8262" i="1" s="1"/>
  <c r="Q7715" i="1"/>
  <c r="R7715" i="1" s="1"/>
  <c r="T7715" i="1" s="1"/>
  <c r="H7715" i="1"/>
  <c r="I7715" i="1" s="1"/>
  <c r="Q7992" i="1"/>
  <c r="R7992" i="1" s="1"/>
  <c r="T7992" i="1" s="1"/>
  <c r="H7992" i="1"/>
  <c r="I7992" i="1" s="1"/>
  <c r="H9809" i="1"/>
  <c r="I9809" i="1" s="1"/>
  <c r="Q9809" i="1"/>
  <c r="R9809" i="1" s="1"/>
  <c r="T9809" i="1" s="1"/>
  <c r="AC9764" i="1"/>
  <c r="AB9764" i="1" s="1"/>
  <c r="Q9764" i="1" s="1"/>
  <c r="R9764" i="1" s="1"/>
  <c r="T9764" i="1" s="1"/>
  <c r="N6314" i="1"/>
  <c r="N5942" i="1"/>
  <c r="N6685" i="1"/>
  <c r="Q6685" i="1"/>
  <c r="R6685" i="1" s="1"/>
  <c r="T6685" i="1" s="1"/>
  <c r="N7074" i="1"/>
  <c r="AC7074" i="1"/>
  <c r="N7877" i="1"/>
  <c r="N6886" i="1"/>
  <c r="N6428" i="1"/>
  <c r="Q4972" i="1"/>
  <c r="R4972" i="1" s="1"/>
  <c r="T4972" i="1" s="1"/>
  <c r="AC3690" i="1"/>
  <c r="AB3690" i="1" s="1"/>
  <c r="H3690" i="1" s="1"/>
  <c r="I3690" i="1" s="1"/>
  <c r="AC6092" i="1"/>
  <c r="H6533" i="1"/>
  <c r="I6533" i="1" s="1"/>
  <c r="Q6533" i="1"/>
  <c r="R6533" i="1" s="1"/>
  <c r="T6533" i="1" s="1"/>
  <c r="AC7910" i="1"/>
  <c r="AB7910" i="1" s="1"/>
  <c r="H7910" i="1" s="1"/>
  <c r="I7910" i="1" s="1"/>
  <c r="N5765" i="1"/>
  <c r="AC5765" i="1"/>
  <c r="AB5765" i="1" s="1"/>
  <c r="H5765" i="1" s="1"/>
  <c r="I5765" i="1" s="1"/>
  <c r="H6046" i="1"/>
  <c r="I6046" i="1" s="1"/>
  <c r="N6046" i="1"/>
  <c r="N7911" i="1"/>
  <c r="AC7911" i="1"/>
  <c r="AB7911" i="1" s="1"/>
  <c r="AC9059" i="1"/>
  <c r="AB9059" i="1" s="1"/>
  <c r="H9059" i="1" s="1"/>
  <c r="I9059" i="1" s="1"/>
  <c r="N8619" i="1"/>
  <c r="N6115" i="1"/>
  <c r="AC6048" i="1"/>
  <c r="AB6048" i="1" s="1"/>
  <c r="H6048" i="1" s="1"/>
  <c r="I6048" i="1" s="1"/>
  <c r="H6502" i="1"/>
  <c r="I6502" i="1" s="1"/>
  <c r="AC6508" i="1"/>
  <c r="AB6508" i="1" s="1"/>
  <c r="H6508" i="1" s="1"/>
  <c r="I6508" i="1" s="1"/>
  <c r="Q9804" i="1"/>
  <c r="R9804" i="1" s="1"/>
  <c r="T9804" i="1" s="1"/>
  <c r="Q6878" i="1"/>
  <c r="R6878" i="1" s="1"/>
  <c r="T6878" i="1" s="1"/>
  <c r="H6878" i="1"/>
  <c r="I6878" i="1" s="1"/>
  <c r="N5805" i="1"/>
  <c r="AC5805" i="1"/>
  <c r="AB5805" i="1" s="1"/>
  <c r="N5771" i="1"/>
  <c r="AC5771" i="1"/>
  <c r="AB5771" i="1" s="1"/>
  <c r="N6991" i="1"/>
  <c r="AC6991" i="1"/>
  <c r="AB6991" i="1" s="1"/>
  <c r="H8212" i="1"/>
  <c r="I8212" i="1" s="1"/>
  <c r="H8627" i="1"/>
  <c r="I8627" i="1" s="1"/>
  <c r="H6082" i="1"/>
  <c r="I6082" i="1" s="1"/>
  <c r="H6282" i="1"/>
  <c r="I6282" i="1" s="1"/>
  <c r="Q6282" i="1"/>
  <c r="R6282" i="1" s="1"/>
  <c r="T6282" i="1" s="1"/>
  <c r="H8498" i="1"/>
  <c r="I8498" i="1" s="1"/>
  <c r="R6750" i="1"/>
  <c r="T6750" i="1" s="1"/>
  <c r="Q7829" i="1"/>
  <c r="R7829" i="1" s="1"/>
  <c r="T7829" i="1" s="1"/>
  <c r="N7718" i="1"/>
  <c r="AC7718" i="1"/>
  <c r="AB7718" i="1" s="1"/>
  <c r="H5939" i="1"/>
  <c r="I5939" i="1" s="1"/>
  <c r="Q5939" i="1"/>
  <c r="R5939" i="1" s="1"/>
  <c r="T5939" i="1" s="1"/>
  <c r="AC9184" i="1"/>
  <c r="AB9184" i="1" s="1"/>
  <c r="Q9184" i="1" s="1"/>
  <c r="R9184" i="1" s="1"/>
  <c r="T9184" i="1" s="1"/>
  <c r="H8041" i="1"/>
  <c r="I8041" i="1" s="1"/>
  <c r="H6750" i="1"/>
  <c r="I6750" i="1" s="1"/>
  <c r="N6313" i="1"/>
  <c r="N6520" i="1"/>
  <c r="N8628" i="1"/>
  <c r="N10339" i="1"/>
  <c r="N6750" i="1"/>
  <c r="N6567" i="1"/>
  <c r="N5887" i="1"/>
  <c r="AC5887" i="1"/>
  <c r="AB5887" i="1" s="1"/>
  <c r="AC7336" i="1"/>
  <c r="AB7336" i="1" s="1"/>
  <c r="H7336" i="1" s="1"/>
  <c r="I7336" i="1" s="1"/>
  <c r="AC4526" i="1"/>
  <c r="H3777" i="1"/>
  <c r="I3777" i="1" s="1"/>
  <c r="Q8624" i="1"/>
  <c r="R8624" i="1" s="1"/>
  <c r="T8624" i="1" s="1"/>
  <c r="H8624" i="1"/>
  <c r="I8624" i="1" s="1"/>
  <c r="Q7909" i="1"/>
  <c r="R7909" i="1" s="1"/>
  <c r="T7909" i="1" s="1"/>
  <c r="H7909" i="1"/>
  <c r="I7909" i="1" s="1"/>
  <c r="H6887" i="1"/>
  <c r="I6887" i="1" s="1"/>
  <c r="Q6887" i="1"/>
  <c r="R6887" i="1" s="1"/>
  <c r="T6887" i="1" s="1"/>
  <c r="H6649" i="1"/>
  <c r="I6649" i="1" s="1"/>
  <c r="Q6649" i="1"/>
  <c r="R6649" i="1" s="1"/>
  <c r="T6649" i="1" s="1"/>
  <c r="Q6198" i="1"/>
  <c r="R6198" i="1" s="1"/>
  <c r="T6198" i="1" s="1"/>
  <c r="H6198" i="1"/>
  <c r="I6198" i="1" s="1"/>
  <c r="H8105" i="1"/>
  <c r="I8105" i="1" s="1"/>
  <c r="Q8105" i="1"/>
  <c r="R8105" i="1" s="1"/>
  <c r="T8105" i="1" s="1"/>
  <c r="H6492" i="1"/>
  <c r="I6492" i="1" s="1"/>
  <c r="Q6492" i="1"/>
  <c r="R6492" i="1" s="1"/>
  <c r="T6492" i="1" s="1"/>
  <c r="Q8568" i="1"/>
  <c r="R8568" i="1" s="1"/>
  <c r="T8568" i="1" s="1"/>
  <c r="H8568" i="1"/>
  <c r="I8568" i="1" s="1"/>
  <c r="Q3644" i="1"/>
  <c r="R3644" i="1" s="1"/>
  <c r="T3644" i="1" s="1"/>
  <c r="H3644" i="1"/>
  <c r="I3644" i="1" s="1"/>
  <c r="H7717" i="1"/>
  <c r="I7717" i="1" s="1"/>
  <c r="Q7717" i="1"/>
  <c r="R7717" i="1" s="1"/>
  <c r="T7717" i="1" s="1"/>
  <c r="Q8630" i="1"/>
  <c r="R8630" i="1" s="1"/>
  <c r="T8630" i="1" s="1"/>
  <c r="H8630" i="1"/>
  <c r="I8630" i="1" s="1"/>
  <c r="AC6717" i="1"/>
  <c r="AB6717" i="1" s="1"/>
  <c r="N6717" i="1"/>
  <c r="AC6989" i="1"/>
  <c r="AB6989" i="1" s="1"/>
  <c r="N6989" i="1"/>
  <c r="N10342" i="1"/>
  <c r="N6091" i="1"/>
  <c r="N6510" i="1"/>
  <c r="H6077" i="1"/>
  <c r="H6343" i="1"/>
  <c r="I6343" i="1" s="1"/>
  <c r="Q6343" i="1"/>
  <c r="R6343" i="1" s="1"/>
  <c r="T6343" i="1" s="1"/>
  <c r="H6033" i="1"/>
  <c r="I6033" i="1" s="1"/>
  <c r="Q6033" i="1"/>
  <c r="R6033" i="1" s="1"/>
  <c r="T6033" i="1" s="1"/>
  <c r="N9182" i="1"/>
  <c r="AC9182" i="1"/>
  <c r="AB9182" i="1" s="1"/>
  <c r="AC5766" i="1"/>
  <c r="AB5766" i="1" s="1"/>
  <c r="N5766" i="1"/>
  <c r="AC5768" i="1"/>
  <c r="AB5768" i="1" s="1"/>
  <c r="N5768" i="1"/>
  <c r="Q5885" i="1"/>
  <c r="R5885" i="1" s="1"/>
  <c r="T5885" i="1" s="1"/>
  <c r="H5885" i="1"/>
  <c r="I5885" i="1" s="1"/>
  <c r="N883" i="1"/>
  <c r="AC1517" i="1"/>
  <c r="AB1517" i="1" s="1"/>
  <c r="Q1517" i="1" s="1"/>
  <c r="R1517" i="1" s="1"/>
  <c r="T1517" i="1" s="1"/>
  <c r="AC7716" i="1"/>
  <c r="AB7716" i="1" s="1"/>
  <c r="N7716" i="1"/>
  <c r="N6732" i="1"/>
  <c r="H6772" i="1"/>
  <c r="I6772" i="1" s="1"/>
  <c r="Q6772" i="1"/>
  <c r="R6772" i="1" s="1"/>
  <c r="T6772" i="1" s="1"/>
  <c r="AC7635" i="1"/>
  <c r="AB7635" i="1" s="1"/>
  <c r="N7635" i="1"/>
  <c r="N6969" i="1"/>
  <c r="AC6969" i="1"/>
  <c r="N6521" i="1"/>
  <c r="AC6521" i="1"/>
  <c r="AB6521" i="1" s="1"/>
  <c r="H6292" i="1"/>
  <c r="I6292" i="1" s="1"/>
  <c r="Q6292" i="1"/>
  <c r="R6292" i="1" s="1"/>
  <c r="T6292" i="1" s="1"/>
  <c r="N6427" i="1"/>
  <c r="H9054" i="1"/>
  <c r="I9054" i="1" s="1"/>
  <c r="Q9054" i="1"/>
  <c r="R9054" i="1" s="1"/>
  <c r="T9054" i="1" s="1"/>
  <c r="N9811" i="1"/>
  <c r="AC9811" i="1"/>
  <c r="AB9811" i="1" s="1"/>
  <c r="Q6116" i="1"/>
  <c r="R6116" i="1" s="1"/>
  <c r="T6116" i="1" s="1"/>
  <c r="H6116" i="1"/>
  <c r="I6116" i="1" s="1"/>
  <c r="N6090" i="1"/>
  <c r="N6047" i="1"/>
  <c r="N9195" i="1"/>
  <c r="AC9195" i="1"/>
  <c r="AB9195" i="1" s="1"/>
  <c r="N6056" i="1"/>
  <c r="N6281" i="1"/>
  <c r="AC1775" i="1"/>
  <c r="AB1775" i="1" s="1"/>
  <c r="H1775" i="1" s="1"/>
  <c r="I1775" i="1" s="1"/>
  <c r="N8623" i="1"/>
  <c r="N6771" i="1"/>
  <c r="AC6420" i="1"/>
  <c r="AB6420" i="1" s="1"/>
  <c r="N6420" i="1"/>
  <c r="N5979" i="1"/>
  <c r="AC5979" i="1"/>
  <c r="AB5979" i="1" s="1"/>
  <c r="H6314" i="1"/>
  <c r="I6314" i="1" s="1"/>
  <c r="Q6314" i="1"/>
  <c r="R6314" i="1" s="1"/>
  <c r="T6314" i="1" s="1"/>
  <c r="N6122" i="1"/>
  <c r="N6566" i="1"/>
  <c r="H6265" i="1"/>
  <c r="I6265" i="1" s="1"/>
  <c r="Q6265" i="1"/>
  <c r="R6265" i="1" s="1"/>
  <c r="T6265" i="1" s="1"/>
  <c r="AC5770" i="1"/>
  <c r="AB5770" i="1" s="1"/>
  <c r="N5770" i="1"/>
  <c r="N6339" i="1"/>
  <c r="AC7830" i="1"/>
  <c r="AB7830" i="1" s="1"/>
  <c r="N7830" i="1"/>
  <c r="N6456" i="1"/>
  <c r="N9674" i="1"/>
  <c r="AC7675" i="1"/>
  <c r="N7675" i="1"/>
  <c r="AC6430" i="1"/>
  <c r="N6430" i="1"/>
  <c r="N6488" i="1"/>
  <c r="AC6488" i="1"/>
  <c r="AB6488" i="1" s="1"/>
  <c r="H6529" i="1"/>
  <c r="I6529" i="1" s="1"/>
  <c r="Q6529" i="1"/>
  <c r="R6529" i="1" s="1"/>
  <c r="T6529" i="1" s="1"/>
  <c r="N6696" i="1"/>
  <c r="N5938" i="1"/>
  <c r="N6797" i="1"/>
  <c r="N6344" i="1"/>
  <c r="N6117" i="1"/>
  <c r="N7012" i="1"/>
  <c r="AC7012" i="1"/>
  <c r="N6468" i="1"/>
  <c r="AC6468" i="1"/>
  <c r="AB6468" i="1" s="1"/>
  <c r="Q5884" i="1"/>
  <c r="R5884" i="1" s="1"/>
  <c r="T5884" i="1" s="1"/>
  <c r="H5884" i="1"/>
  <c r="I5884" i="1" s="1"/>
  <c r="H4201" i="1"/>
  <c r="I4201" i="1" s="1"/>
  <c r="H8661" i="1"/>
  <c r="I8661" i="1" s="1"/>
  <c r="N6915" i="1"/>
  <c r="H6657" i="1"/>
  <c r="I6657" i="1" s="1"/>
  <c r="Q6657" i="1"/>
  <c r="R6657" i="1" s="1"/>
  <c r="T6657" i="1" s="1"/>
  <c r="AC7053" i="1"/>
  <c r="N7053" i="1"/>
  <c r="AC7760" i="1"/>
  <c r="N7760" i="1"/>
  <c r="N6740" i="1"/>
  <c r="N6733" i="1"/>
  <c r="H6802" i="1"/>
  <c r="I6802" i="1" s="1"/>
  <c r="Q6802" i="1"/>
  <c r="R6802" i="1" s="1"/>
  <c r="T6802" i="1" s="1"/>
  <c r="N6057" i="1"/>
  <c r="Q8108" i="1"/>
  <c r="R8108" i="1" s="1"/>
  <c r="T8108" i="1" s="1"/>
  <c r="H8108" i="1"/>
  <c r="I8108" i="1" s="1"/>
  <c r="N9839" i="1"/>
  <c r="AC9839" i="1"/>
  <c r="AB9839" i="1" s="1"/>
  <c r="AC5807" i="1"/>
  <c r="AB5807" i="1" s="1"/>
  <c r="N5807" i="1"/>
  <c r="AC9815" i="1"/>
  <c r="AB9815" i="1" s="1"/>
  <c r="N9815" i="1"/>
  <c r="N6301" i="1"/>
  <c r="N5937" i="1"/>
  <c r="AC5764" i="1"/>
  <c r="AB5764" i="1" s="1"/>
  <c r="N5764" i="1"/>
  <c r="AC6220" i="1"/>
  <c r="N6220" i="1"/>
  <c r="N6305" i="1"/>
  <c r="N6269" i="1"/>
  <c r="N6266" i="1"/>
  <c r="AC6266" i="1"/>
  <c r="AB6266" i="1" s="1"/>
  <c r="N6926" i="1"/>
  <c r="Q5941" i="1"/>
  <c r="R5941" i="1" s="1"/>
  <c r="T5941" i="1" s="1"/>
  <c r="H5941" i="1"/>
  <c r="I5941" i="1" s="1"/>
  <c r="AC5838" i="1"/>
  <c r="N5838" i="1"/>
  <c r="N6746" i="1"/>
  <c r="N6571" i="1"/>
  <c r="N9374" i="1"/>
  <c r="AC9374" i="1"/>
  <c r="N9792" i="1"/>
  <c r="AC9792" i="1"/>
  <c r="AB9792" i="1" s="1"/>
  <c r="N9840" i="1"/>
  <c r="H9787" i="1"/>
  <c r="I9787" i="1" s="1"/>
  <c r="H8462" i="1"/>
  <c r="I8462" i="1" s="1"/>
  <c r="AC9058" i="1"/>
  <c r="AB9058" i="1" s="1"/>
  <c r="Q9058" i="1" s="1"/>
  <c r="R9058" i="1" s="1"/>
  <c r="T9058" i="1" s="1"/>
  <c r="H8129" i="1"/>
  <c r="I8129" i="1" s="1"/>
  <c r="AC7861" i="1"/>
  <c r="N7861" i="1"/>
  <c r="H6542" i="1"/>
  <c r="I6542" i="1" s="1"/>
  <c r="Q6542" i="1"/>
  <c r="R6542" i="1" s="1"/>
  <c r="T6542" i="1" s="1"/>
  <c r="N6205" i="1"/>
  <c r="AC6205" i="1"/>
  <c r="AB6205" i="1" s="1"/>
  <c r="N6078" i="1"/>
  <c r="N6509" i="1"/>
  <c r="N6990" i="1"/>
  <c r="AC6990" i="1"/>
  <c r="AB6990" i="1" s="1"/>
  <c r="N6541" i="1"/>
  <c r="AC5806" i="1"/>
  <c r="AB5806" i="1" s="1"/>
  <c r="N5806" i="1"/>
  <c r="N6016" i="1"/>
  <c r="AC6599" i="1"/>
  <c r="N6599" i="1"/>
  <c r="Q8551" i="1"/>
  <c r="R8551" i="1" s="1"/>
  <c r="T8551" i="1" s="1"/>
  <c r="H8551" i="1"/>
  <c r="I8551" i="1" s="1"/>
  <c r="N8244" i="1"/>
  <c r="AC8244" i="1"/>
  <c r="AC5762" i="1"/>
  <c r="AB5762" i="1" s="1"/>
  <c r="N5762" i="1"/>
  <c r="N5936" i="1"/>
  <c r="AC5936" i="1"/>
  <c r="AB5936" i="1" s="1"/>
  <c r="N6758" i="1"/>
  <c r="N6796" i="1"/>
  <c r="N6914" i="1"/>
  <c r="N8279" i="1"/>
  <c r="AC8279" i="1"/>
  <c r="H5445" i="1"/>
  <c r="I5445" i="1" s="1"/>
  <c r="N3961" i="1"/>
  <c r="Q4359" i="1"/>
  <c r="R4359" i="1" s="1"/>
  <c r="T4359" i="1" s="1"/>
  <c r="N6624" i="1"/>
  <c r="AC6624" i="1"/>
  <c r="N6543" i="1"/>
  <c r="AC6543" i="1"/>
  <c r="H9768" i="1"/>
  <c r="I9768" i="1" s="1"/>
  <c r="Q9768" i="1"/>
  <c r="R9768" i="1" s="1"/>
  <c r="T9768" i="1" s="1"/>
  <c r="N6757" i="1"/>
  <c r="H5773" i="1"/>
  <c r="I5773" i="1" s="1"/>
  <c r="Q5773" i="1"/>
  <c r="R5773" i="1" s="1"/>
  <c r="T5773" i="1" s="1"/>
  <c r="H6279" i="1"/>
  <c r="I6279" i="1" s="1"/>
  <c r="Q6279" i="1"/>
  <c r="R6279" i="1" s="1"/>
  <c r="T6279" i="1" s="1"/>
  <c r="N6491" i="1"/>
  <c r="AC6491" i="1"/>
  <c r="AB6491" i="1" s="1"/>
  <c r="N5772" i="1"/>
  <c r="AC5772" i="1"/>
  <c r="AB5772" i="1" s="1"/>
  <c r="AC5763" i="1"/>
  <c r="AB5763" i="1" s="1"/>
  <c r="N5763" i="1"/>
  <c r="Q6528" i="1"/>
  <c r="R6528" i="1" s="1"/>
  <c r="T6528" i="1" s="1"/>
  <c r="H6528" i="1"/>
  <c r="I6528" i="1" s="1"/>
  <c r="N6280" i="1"/>
  <c r="AC6280" i="1"/>
  <c r="AB6280" i="1" s="1"/>
  <c r="Q6338" i="1"/>
  <c r="R6338" i="1" s="1"/>
  <c r="T6338" i="1" s="1"/>
  <c r="H6338" i="1"/>
  <c r="I6338" i="1" s="1"/>
  <c r="N6288" i="1"/>
  <c r="N6573" i="1"/>
  <c r="N6504" i="1"/>
  <c r="H5767" i="1"/>
  <c r="I5767" i="1" s="1"/>
  <c r="Q5767" i="1"/>
  <c r="R5767" i="1" s="1"/>
  <c r="T5767" i="1" s="1"/>
  <c r="N8717" i="1"/>
  <c r="AC8717" i="1"/>
  <c r="AC7236" i="1"/>
  <c r="AB7236" i="1" s="1"/>
  <c r="N7236" i="1"/>
  <c r="Q6115" i="1"/>
  <c r="R6115" i="1" s="1"/>
  <c r="T6115" i="1" s="1"/>
  <c r="H6115" i="1"/>
  <c r="I6115" i="1" s="1"/>
  <c r="H5886" i="1"/>
  <c r="I5886" i="1" s="1"/>
  <c r="Q5886" i="1"/>
  <c r="R5886" i="1" s="1"/>
  <c r="T5886" i="1" s="1"/>
  <c r="N6429" i="1"/>
  <c r="H6572" i="1"/>
  <c r="I6572" i="1" s="1"/>
  <c r="Q6572" i="1"/>
  <c r="R6572" i="1" s="1"/>
  <c r="T6572" i="1" s="1"/>
  <c r="H6744" i="1"/>
  <c r="I6744" i="1" s="1"/>
  <c r="Q6744" i="1"/>
  <c r="R6744" i="1" s="1"/>
  <c r="T6744" i="1" s="1"/>
  <c r="AC7695" i="1"/>
  <c r="N7695" i="1"/>
  <c r="N6234" i="1"/>
  <c r="AC6286" i="1"/>
  <c r="AB6286" i="1" s="1"/>
  <c r="N6286" i="1"/>
  <c r="N6489" i="1"/>
  <c r="AC6489" i="1"/>
  <c r="AB6489" i="1" s="1"/>
  <c r="N708" i="1"/>
  <c r="N6656" i="1"/>
  <c r="H6457" i="1"/>
  <c r="I6457" i="1" s="1"/>
  <c r="Q6457" i="1"/>
  <c r="R6457" i="1" s="1"/>
  <c r="T6457" i="1" s="1"/>
  <c r="H5888" i="1"/>
  <c r="I5888" i="1" s="1"/>
  <c r="Q5888" i="1"/>
  <c r="R5888" i="1" s="1"/>
  <c r="T5888" i="1" s="1"/>
  <c r="N6745" i="1"/>
  <c r="N6207" i="1"/>
  <c r="AC6207" i="1"/>
  <c r="H6058" i="1"/>
  <c r="I6058" i="1" s="1"/>
  <c r="Q6058" i="1"/>
  <c r="R6058" i="1" s="1"/>
  <c r="T6058" i="1" s="1"/>
  <c r="AC5940" i="1"/>
  <c r="AB5940" i="1" s="1"/>
  <c r="N5940" i="1"/>
  <c r="AC6803" i="1"/>
  <c r="N6803" i="1"/>
  <c r="Q9817" i="1"/>
  <c r="R9817" i="1" s="1"/>
  <c r="T9817" i="1" s="1"/>
  <c r="H9817" i="1"/>
  <c r="I9817" i="1" s="1"/>
  <c r="Q8344" i="1"/>
  <c r="R8344" i="1" s="1"/>
  <c r="T8344" i="1" s="1"/>
  <c r="H8344" i="1"/>
  <c r="I8344" i="1" s="1"/>
  <c r="H8364" i="1"/>
  <c r="I8364" i="1" s="1"/>
  <c r="Q8364" i="1"/>
  <c r="R8364" i="1" s="1"/>
  <c r="T8364" i="1" s="1"/>
  <c r="H9820" i="1"/>
  <c r="I9820" i="1" s="1"/>
  <c r="Q9820" i="1"/>
  <c r="R9820" i="1" s="1"/>
  <c r="T9820" i="1" s="1"/>
  <c r="Q9198" i="1"/>
  <c r="R9198" i="1" s="1"/>
  <c r="T9198" i="1" s="1"/>
  <c r="H9198" i="1"/>
  <c r="I9198" i="1" s="1"/>
  <c r="N8964" i="1"/>
  <c r="AC8964" i="1"/>
  <c r="N9784" i="1"/>
  <c r="AC9784" i="1"/>
  <c r="AB9784" i="1" s="1"/>
  <c r="N9843" i="1"/>
  <c r="AC9843" i="1"/>
  <c r="AB9843" i="1" s="1"/>
  <c r="H9824" i="1"/>
  <c r="I9824" i="1" s="1"/>
  <c r="Q9824" i="1"/>
  <c r="R9824" i="1" s="1"/>
  <c r="T9824" i="1" s="1"/>
  <c r="N9841" i="1"/>
  <c r="AC9841" i="1"/>
  <c r="AB9841" i="1" s="1"/>
  <c r="AC9773" i="1"/>
  <c r="AB9773" i="1" s="1"/>
  <c r="N9773" i="1"/>
  <c r="N9779" i="1"/>
  <c r="AC9779" i="1"/>
  <c r="AB9779" i="1" s="1"/>
  <c r="N8870" i="1"/>
  <c r="AC8870" i="1"/>
  <c r="AB8870" i="1" s="1"/>
  <c r="H10474" i="1"/>
  <c r="I10474" i="1" s="1"/>
  <c r="Q10474" i="1"/>
  <c r="R10474" i="1" s="1"/>
  <c r="T10474" i="1" s="1"/>
  <c r="AC8500" i="1"/>
  <c r="AB8500" i="1" s="1"/>
  <c r="N8500" i="1"/>
  <c r="AC8502" i="1"/>
  <c r="N8502" i="1"/>
  <c r="AC8463" i="1"/>
  <c r="AB8463" i="1" s="1"/>
  <c r="N8463" i="1"/>
  <c r="H4665" i="1"/>
  <c r="I4665" i="1" s="1"/>
  <c r="N9814" i="1"/>
  <c r="AC9814" i="1"/>
  <c r="AB9814" i="1" s="1"/>
  <c r="AC9808" i="1"/>
  <c r="AB9808" i="1" s="1"/>
  <c r="N9808" i="1"/>
  <c r="H9770" i="1"/>
  <c r="I9770" i="1" s="1"/>
  <c r="Q9770" i="1"/>
  <c r="R9770" i="1" s="1"/>
  <c r="T9770" i="1" s="1"/>
  <c r="AC9781" i="1"/>
  <c r="AB9781" i="1" s="1"/>
  <c r="N9781" i="1"/>
  <c r="H9061" i="1"/>
  <c r="I9061" i="1" s="1"/>
  <c r="Q9061" i="1"/>
  <c r="R9061" i="1" s="1"/>
  <c r="T9061" i="1" s="1"/>
  <c r="N9834" i="1"/>
  <c r="AC9834" i="1"/>
  <c r="AB9834" i="1" s="1"/>
  <c r="AC9196" i="1"/>
  <c r="AB9196" i="1" s="1"/>
  <c r="N9196" i="1"/>
  <c r="N9642" i="1"/>
  <c r="AC8536" i="1"/>
  <c r="N8536" i="1"/>
  <c r="AC8211" i="1"/>
  <c r="AB8211" i="1" s="1"/>
  <c r="N8211" i="1"/>
  <c r="N9578" i="1"/>
  <c r="AC9578" i="1"/>
  <c r="AB9578" i="1" s="1"/>
  <c r="AC8871" i="1"/>
  <c r="AB8871" i="1" s="1"/>
  <c r="N8871" i="1"/>
  <c r="Q8619" i="1"/>
  <c r="R8619" i="1" s="1"/>
  <c r="T8619" i="1" s="1"/>
  <c r="H8619" i="1"/>
  <c r="I8619" i="1" s="1"/>
  <c r="AC8039" i="1"/>
  <c r="AB8039" i="1" s="1"/>
  <c r="N8039" i="1"/>
  <c r="AC8107" i="1"/>
  <c r="AB8107" i="1" s="1"/>
  <c r="N8107" i="1"/>
  <c r="H10478" i="1"/>
  <c r="I10478" i="1" s="1"/>
  <c r="H9822" i="1"/>
  <c r="I9822" i="1" s="1"/>
  <c r="Q9822" i="1"/>
  <c r="R9822" i="1" s="1"/>
  <c r="T9822" i="1" s="1"/>
  <c r="H9803" i="1"/>
  <c r="I9803" i="1" s="1"/>
  <c r="Q9803" i="1"/>
  <c r="R9803" i="1" s="1"/>
  <c r="T9803" i="1" s="1"/>
  <c r="AC9786" i="1"/>
  <c r="AB9786" i="1" s="1"/>
  <c r="N9786" i="1"/>
  <c r="N9749" i="1"/>
  <c r="AC9749" i="1"/>
  <c r="AB9749" i="1" s="1"/>
  <c r="N9491" i="1"/>
  <c r="AC9491" i="1"/>
  <c r="AC9765" i="1"/>
  <c r="AB9765" i="1" s="1"/>
  <c r="N9765" i="1"/>
  <c r="AC9806" i="1"/>
  <c r="AB9806" i="1" s="1"/>
  <c r="N9806" i="1"/>
  <c r="AC9754" i="1"/>
  <c r="AB9754" i="1" s="1"/>
  <c r="N9754" i="1"/>
  <c r="N9755" i="1"/>
  <c r="AC9755" i="1"/>
  <c r="AB9755" i="1" s="1"/>
  <c r="N9774" i="1"/>
  <c r="AC9774" i="1"/>
  <c r="AB9774" i="1" s="1"/>
  <c r="Q9828" i="1"/>
  <c r="R9828" i="1" s="1"/>
  <c r="T9828" i="1" s="1"/>
  <c r="H9828" i="1"/>
  <c r="I9828" i="1" s="1"/>
  <c r="N9795" i="1"/>
  <c r="AC9795" i="1"/>
  <c r="AB9795" i="1" s="1"/>
  <c r="Q9738" i="1"/>
  <c r="R9738" i="1" s="1"/>
  <c r="T9738" i="1" s="1"/>
  <c r="H9738" i="1"/>
  <c r="I9738" i="1" s="1"/>
  <c r="N8682" i="1"/>
  <c r="AC9856" i="1"/>
  <c r="AB9856" i="1" s="1"/>
  <c r="N9856" i="1"/>
  <c r="AC8346" i="1"/>
  <c r="AB8346" i="1" s="1"/>
  <c r="N8346" i="1"/>
  <c r="AC8868" i="1"/>
  <c r="AB8868" i="1" s="1"/>
  <c r="N8868" i="1"/>
  <c r="AC9188" i="1"/>
  <c r="AB9188" i="1" s="1"/>
  <c r="N9188" i="1"/>
  <c r="AC8867" i="1"/>
  <c r="AB8867" i="1" s="1"/>
  <c r="N8867" i="1"/>
  <c r="N9193" i="1"/>
  <c r="AC9193" i="1"/>
  <c r="AB9193" i="1" s="1"/>
  <c r="AC8869" i="1"/>
  <c r="AB8869" i="1" s="1"/>
  <c r="N8869" i="1"/>
  <c r="Q9753" i="1"/>
  <c r="R9753" i="1" s="1"/>
  <c r="T9753" i="1" s="1"/>
  <c r="H9753" i="1"/>
  <c r="I9753" i="1" s="1"/>
  <c r="AC8008" i="1"/>
  <c r="N8008" i="1"/>
  <c r="Q9855" i="1"/>
  <c r="R9855" i="1" s="1"/>
  <c r="T9855" i="1" s="1"/>
  <c r="H9855" i="1"/>
  <c r="I9855" i="1" s="1"/>
  <c r="Q9823" i="1"/>
  <c r="R9823" i="1" s="1"/>
  <c r="T9823" i="1" s="1"/>
  <c r="H9823" i="1"/>
  <c r="I9823" i="1" s="1"/>
  <c r="N9802" i="1"/>
  <c r="AC9802" i="1"/>
  <c r="AB9802" i="1" s="1"/>
  <c r="H8623" i="1"/>
  <c r="I8623" i="1" s="1"/>
  <c r="Q8623" i="1"/>
  <c r="R8623" i="1" s="1"/>
  <c r="T8623" i="1" s="1"/>
  <c r="H9762" i="1"/>
  <c r="I9762" i="1" s="1"/>
  <c r="Q9762" i="1"/>
  <c r="R9762" i="1" s="1"/>
  <c r="T9762" i="1" s="1"/>
  <c r="AC9830" i="1"/>
  <c r="AB9830" i="1" s="1"/>
  <c r="N9830" i="1"/>
  <c r="AC8106" i="1"/>
  <c r="AB8106" i="1" s="1"/>
  <c r="N8106" i="1"/>
  <c r="AC8461" i="1"/>
  <c r="AB8461" i="1" s="1"/>
  <c r="N8461" i="1"/>
  <c r="N9845" i="1"/>
  <c r="AC9845" i="1"/>
  <c r="AB9845" i="1" s="1"/>
  <c r="N9789" i="1"/>
  <c r="AC9789" i="1"/>
  <c r="AB9789" i="1" s="1"/>
  <c r="N9709" i="1"/>
  <c r="AC9709" i="1"/>
  <c r="AB9709" i="1" s="1"/>
  <c r="N9852" i="1"/>
  <c r="AC9852" i="1"/>
  <c r="AB9852" i="1" s="1"/>
  <c r="AC8345" i="1"/>
  <c r="AB8345" i="1" s="1"/>
  <c r="N8345" i="1"/>
  <c r="AC8128" i="1"/>
  <c r="AB8128" i="1" s="1"/>
  <c r="N8128" i="1"/>
  <c r="N5448" i="1"/>
  <c r="N4971" i="1"/>
  <c r="H9797" i="1"/>
  <c r="I9797" i="1" s="1"/>
  <c r="Q9797" i="1"/>
  <c r="R9797" i="1" s="1"/>
  <c r="T9797" i="1" s="1"/>
  <c r="N9776" i="1"/>
  <c r="AC9776" i="1"/>
  <c r="AB9776" i="1" s="1"/>
  <c r="N9761" i="1"/>
  <c r="AC9761" i="1"/>
  <c r="AB9761" i="1" s="1"/>
  <c r="N9832" i="1"/>
  <c r="AC9832" i="1"/>
  <c r="AB9832" i="1" s="1"/>
  <c r="N9782" i="1"/>
  <c r="AC9782" i="1"/>
  <c r="AB9782" i="1" s="1"/>
  <c r="Q9763" i="1"/>
  <c r="R9763" i="1" s="1"/>
  <c r="T9763" i="1" s="1"/>
  <c r="H9763" i="1"/>
  <c r="I9763" i="1" s="1"/>
  <c r="H9799" i="1"/>
  <c r="I9799" i="1" s="1"/>
  <c r="Q9799" i="1"/>
  <c r="R9799" i="1" s="1"/>
  <c r="T9799" i="1" s="1"/>
  <c r="N9581" i="1"/>
  <c r="AC9581" i="1"/>
  <c r="AC9760" i="1"/>
  <c r="AB9760" i="1" s="1"/>
  <c r="N9760" i="1"/>
  <c r="N9818" i="1"/>
  <c r="AC9818" i="1"/>
  <c r="AB9818" i="1" s="1"/>
  <c r="AC9805" i="1"/>
  <c r="AB9805" i="1" s="1"/>
  <c r="N9805" i="1"/>
  <c r="N9187" i="1"/>
  <c r="AC9187" i="1"/>
  <c r="AB9187" i="1" s="1"/>
  <c r="AC9756" i="1"/>
  <c r="AB9756" i="1" s="1"/>
  <c r="N9756" i="1"/>
  <c r="AC9791" i="1"/>
  <c r="AB9791" i="1" s="1"/>
  <c r="N9791" i="1"/>
  <c r="AC8496" i="1"/>
  <c r="AB8496" i="1" s="1"/>
  <c r="N8496" i="1"/>
  <c r="H4624" i="1"/>
  <c r="I4624" i="1" s="1"/>
  <c r="Q4624" i="1"/>
  <c r="R4624" i="1" s="1"/>
  <c r="T4624" i="1" s="1"/>
  <c r="AC8260" i="1"/>
  <c r="AB8260" i="1" s="1"/>
  <c r="N8260" i="1"/>
  <c r="AC8569" i="1"/>
  <c r="N8569" i="1"/>
  <c r="AC8261" i="1"/>
  <c r="AB8261" i="1" s="1"/>
  <c r="N8261" i="1"/>
  <c r="N9752" i="1"/>
  <c r="AC9752" i="1"/>
  <c r="AB9752" i="1" s="1"/>
  <c r="AC9838" i="1"/>
  <c r="AB9838" i="1" s="1"/>
  <c r="N9838" i="1"/>
  <c r="H9836" i="1"/>
  <c r="I9836" i="1" s="1"/>
  <c r="Q9836" i="1"/>
  <c r="R9836" i="1" s="1"/>
  <c r="T9836" i="1" s="1"/>
  <c r="AC9676" i="1"/>
  <c r="N9676" i="1"/>
  <c r="H9840" i="1"/>
  <c r="I9840" i="1" s="1"/>
  <c r="Q9840" i="1"/>
  <c r="R9840" i="1" s="1"/>
  <c r="T9840" i="1" s="1"/>
  <c r="H10339" i="1"/>
  <c r="I10339" i="1" s="1"/>
  <c r="Q10339" i="1"/>
  <c r="R10339" i="1" s="1"/>
  <c r="T10339" i="1" s="1"/>
  <c r="H5447" i="1"/>
  <c r="I5447" i="1" s="1"/>
  <c r="N9854" i="1"/>
  <c r="AC9854" i="1"/>
  <c r="AB9854" i="1" s="1"/>
  <c r="N9837" i="1"/>
  <c r="AC9837" i="1"/>
  <c r="AB9837" i="1" s="1"/>
  <c r="N9853" i="1"/>
  <c r="AC9853" i="1"/>
  <c r="AB9853" i="1" s="1"/>
  <c r="H9849" i="1"/>
  <c r="I9849" i="1" s="1"/>
  <c r="Q9849" i="1"/>
  <c r="R9849" i="1" s="1"/>
  <c r="T9849" i="1" s="1"/>
  <c r="N9827" i="1"/>
  <c r="AC9827" i="1"/>
  <c r="AB9827" i="1" s="1"/>
  <c r="N8837" i="1"/>
  <c r="AC8837" i="1"/>
  <c r="H9788" i="1"/>
  <c r="I9788" i="1" s="1"/>
  <c r="Q9788" i="1"/>
  <c r="R9788" i="1" s="1"/>
  <c r="T9788" i="1" s="1"/>
  <c r="N8747" i="1"/>
  <c r="AC8747" i="1"/>
  <c r="N8347" i="1"/>
  <c r="AC8347" i="1"/>
  <c r="AB8347" i="1" s="1"/>
  <c r="H8665" i="1"/>
  <c r="I8665" i="1" s="1"/>
  <c r="Q8665" i="1"/>
  <c r="R8665" i="1" s="1"/>
  <c r="T8665" i="1" s="1"/>
  <c r="AC8552" i="1"/>
  <c r="N8552" i="1"/>
  <c r="N9790" i="1"/>
  <c r="AC9790" i="1"/>
  <c r="AB9790" i="1" s="1"/>
  <c r="N9404" i="1"/>
  <c r="AC9404" i="1"/>
  <c r="N9055" i="1"/>
  <c r="AC9055" i="1"/>
  <c r="AB9055" i="1" s="1"/>
  <c r="AC8278" i="1"/>
  <c r="AB8278" i="1" s="1"/>
  <c r="N8278" i="1"/>
  <c r="H9759" i="1"/>
  <c r="I9759" i="1" s="1"/>
  <c r="Q9759" i="1"/>
  <c r="R9759" i="1" s="1"/>
  <c r="T9759" i="1" s="1"/>
  <c r="N9800" i="1"/>
  <c r="AC9800" i="1"/>
  <c r="AB9800" i="1" s="1"/>
  <c r="AC8535" i="1"/>
  <c r="AB8535" i="1" s="1"/>
  <c r="N8535" i="1"/>
  <c r="AC9821" i="1"/>
  <c r="AB9821" i="1" s="1"/>
  <c r="N9821" i="1"/>
  <c r="H9771" i="1"/>
  <c r="I9771" i="1" s="1"/>
  <c r="Q9771" i="1"/>
  <c r="R9771" i="1" s="1"/>
  <c r="T9771" i="1" s="1"/>
  <c r="AC9191" i="1"/>
  <c r="AB9191" i="1" s="1"/>
  <c r="N9191" i="1"/>
  <c r="H9767" i="1"/>
  <c r="I9767" i="1" s="1"/>
  <c r="Q9767" i="1"/>
  <c r="R9767" i="1" s="1"/>
  <c r="T9767" i="1" s="1"/>
  <c r="N9708" i="1"/>
  <c r="AC8464" i="1"/>
  <c r="N8464" i="1"/>
  <c r="AC8662" i="1"/>
  <c r="AB8662" i="1" s="1"/>
  <c r="N8662" i="1"/>
  <c r="AC9831" i="1"/>
  <c r="AB9831" i="1" s="1"/>
  <c r="N9831" i="1"/>
  <c r="AC1676" i="1"/>
  <c r="AB1676" i="1" s="1"/>
  <c r="Q1676" i="1" s="1"/>
  <c r="R1676" i="1" s="1"/>
  <c r="T1676" i="1" s="1"/>
  <c r="H5550" i="1"/>
  <c r="I5550" i="1" s="1"/>
  <c r="N9766" i="1"/>
  <c r="AC9766" i="1"/>
  <c r="AB9766" i="1" s="1"/>
  <c r="N9751" i="1"/>
  <c r="AC9751" i="1"/>
  <c r="AB9751" i="1" s="1"/>
  <c r="AC9801" i="1"/>
  <c r="AB9801" i="1" s="1"/>
  <c r="N9801" i="1"/>
  <c r="N9778" i="1"/>
  <c r="AC9778" i="1"/>
  <c r="AB9778" i="1" s="1"/>
  <c r="AC9783" i="1"/>
  <c r="AB9783" i="1" s="1"/>
  <c r="N9783" i="1"/>
  <c r="AC9846" i="1"/>
  <c r="AB9846" i="1" s="1"/>
  <c r="N9846" i="1"/>
  <c r="H8343" i="1"/>
  <c r="I8343" i="1" s="1"/>
  <c r="Q8343" i="1"/>
  <c r="R8343" i="1" s="1"/>
  <c r="T8343" i="1" s="1"/>
  <c r="Q8501" i="1"/>
  <c r="R8501" i="1" s="1"/>
  <c r="T8501" i="1" s="1"/>
  <c r="H8501" i="1"/>
  <c r="I8501" i="1" s="1"/>
  <c r="AC9185" i="1"/>
  <c r="AB9185" i="1" s="1"/>
  <c r="N9185" i="1"/>
  <c r="Q8628" i="1"/>
  <c r="R8628" i="1" s="1"/>
  <c r="T8628" i="1" s="1"/>
  <c r="H8628" i="1"/>
  <c r="I8628" i="1" s="1"/>
  <c r="AC8584" i="1"/>
  <c r="AB8584" i="1" s="1"/>
  <c r="N8584" i="1"/>
  <c r="N9857" i="1"/>
  <c r="AC9857" i="1"/>
  <c r="AB9857" i="1" s="1"/>
  <c r="AC8109" i="1"/>
  <c r="AB8109" i="1" s="1"/>
  <c r="N8109" i="1"/>
  <c r="AC8130" i="1"/>
  <c r="AB8130" i="1" s="1"/>
  <c r="N8130" i="1"/>
  <c r="H9757" i="1"/>
  <c r="I9757" i="1" s="1"/>
  <c r="Q9757" i="1"/>
  <c r="R9757" i="1" s="1"/>
  <c r="T9757" i="1" s="1"/>
  <c r="AC8311" i="1"/>
  <c r="N8311" i="1"/>
  <c r="Q9812" i="1"/>
  <c r="R9812" i="1" s="1"/>
  <c r="T9812" i="1" s="1"/>
  <c r="H9812" i="1"/>
  <c r="I9812" i="1" s="1"/>
  <c r="AC8127" i="1"/>
  <c r="AB8127" i="1" s="1"/>
  <c r="N8127" i="1"/>
  <c r="AC9194" i="1"/>
  <c r="AB9194" i="1" s="1"/>
  <c r="N9194" i="1"/>
  <c r="AC9819" i="1"/>
  <c r="AB9819" i="1" s="1"/>
  <c r="N9819" i="1"/>
  <c r="AC8625" i="1"/>
  <c r="AB8625" i="1" s="1"/>
  <c r="N8625" i="1"/>
  <c r="N9190" i="1"/>
  <c r="AC9190" i="1"/>
  <c r="AB9190" i="1" s="1"/>
  <c r="AC9858" i="1"/>
  <c r="AB9858" i="1" s="1"/>
  <c r="N9858" i="1"/>
  <c r="AC9775" i="1"/>
  <c r="AB9775" i="1" s="1"/>
  <c r="N9775" i="1"/>
  <c r="AC8567" i="1"/>
  <c r="AB8567" i="1" s="1"/>
  <c r="N8567" i="1"/>
  <c r="N8872" i="1"/>
  <c r="AC8872" i="1"/>
  <c r="AB8872" i="1" s="1"/>
  <c r="Q9189" i="1"/>
  <c r="R9189" i="1" s="1"/>
  <c r="T9189" i="1" s="1"/>
  <c r="H9189" i="1"/>
  <c r="I9189" i="1" s="1"/>
  <c r="AC8620" i="1"/>
  <c r="AB8620" i="1" s="1"/>
  <c r="N8620" i="1"/>
  <c r="N762" i="1"/>
  <c r="N4201" i="1"/>
  <c r="N9825" i="1"/>
  <c r="AC9825" i="1"/>
  <c r="AB9825" i="1" s="1"/>
  <c r="N9675" i="1"/>
  <c r="H9810" i="1"/>
  <c r="I9810" i="1" s="1"/>
  <c r="Q9810" i="1"/>
  <c r="R9810" i="1" s="1"/>
  <c r="T9810" i="1" s="1"/>
  <c r="H9847" i="1"/>
  <c r="I9847" i="1" s="1"/>
  <c r="Q9847" i="1"/>
  <c r="R9847" i="1" s="1"/>
  <c r="T9847" i="1" s="1"/>
  <c r="N9758" i="1"/>
  <c r="AC9758" i="1"/>
  <c r="AB9758" i="1" s="1"/>
  <c r="AC9777" i="1"/>
  <c r="AB9777" i="1" s="1"/>
  <c r="N9777" i="1"/>
  <c r="N9772" i="1"/>
  <c r="AC9772" i="1"/>
  <c r="AB9772" i="1" s="1"/>
  <c r="AC8428" i="1"/>
  <c r="N8428" i="1"/>
  <c r="AC8040" i="1"/>
  <c r="AB8040" i="1" s="1"/>
  <c r="N8040" i="1"/>
  <c r="AC8626" i="1"/>
  <c r="AB8626" i="1" s="1"/>
  <c r="N8626" i="1"/>
  <c r="N8904" i="1"/>
  <c r="AC8904" i="1"/>
  <c r="Q8499" i="1"/>
  <c r="R8499" i="1" s="1"/>
  <c r="T8499" i="1" s="1"/>
  <c r="H8499" i="1"/>
  <c r="I8499" i="1" s="1"/>
  <c r="H9641" i="1"/>
  <c r="I9641" i="1" s="1"/>
  <c r="Q9641" i="1"/>
  <c r="R9641" i="1" s="1"/>
  <c r="T9641" i="1" s="1"/>
  <c r="AC8622" i="1"/>
  <c r="AB8622" i="1" s="1"/>
  <c r="N8622" i="1"/>
  <c r="AC8110" i="1"/>
  <c r="AB8110" i="1" s="1"/>
  <c r="N8110" i="1"/>
  <c r="AC8131" i="1"/>
  <c r="AB8131" i="1" s="1"/>
  <c r="N8131" i="1"/>
  <c r="AC9848" i="1"/>
  <c r="AB9848" i="1" s="1"/>
  <c r="N9848" i="1"/>
  <c r="Q9807" i="1"/>
  <c r="R9807" i="1" s="1"/>
  <c r="T9807" i="1" s="1"/>
  <c r="H9807" i="1"/>
  <c r="I9807" i="1" s="1"/>
  <c r="AC9816" i="1"/>
  <c r="AB9816" i="1" s="1"/>
  <c r="N9816" i="1"/>
  <c r="H9813" i="1"/>
  <c r="I9813" i="1" s="1"/>
  <c r="Q9813" i="1"/>
  <c r="R9813" i="1" s="1"/>
  <c r="T9813" i="1" s="1"/>
  <c r="AC9793" i="1"/>
  <c r="AB9793" i="1" s="1"/>
  <c r="N9793" i="1"/>
  <c r="AC9794" i="1"/>
  <c r="AB9794" i="1" s="1"/>
  <c r="N9794" i="1"/>
  <c r="AC9796" i="1"/>
  <c r="AB9796" i="1" s="1"/>
  <c r="N9796" i="1"/>
  <c r="N9707" i="1"/>
  <c r="AC8147" i="1"/>
  <c r="N8147" i="1"/>
  <c r="N967" i="1"/>
  <c r="H9842" i="1"/>
  <c r="I9842" i="1" s="1"/>
  <c r="Q9842" i="1"/>
  <c r="R9842" i="1" s="1"/>
  <c r="T9842" i="1" s="1"/>
  <c r="AC9829" i="1"/>
  <c r="AB9829" i="1" s="1"/>
  <c r="N9829" i="1"/>
  <c r="H9851" i="1"/>
  <c r="I9851" i="1" s="1"/>
  <c r="Q9851" i="1"/>
  <c r="R9851" i="1" s="1"/>
  <c r="T9851" i="1" s="1"/>
  <c r="N9833" i="1"/>
  <c r="AC9833" i="1"/>
  <c r="AB9833" i="1" s="1"/>
  <c r="AC9844" i="1"/>
  <c r="AB9844" i="1" s="1"/>
  <c r="N9844" i="1"/>
  <c r="N9769" i="1"/>
  <c r="AC9769" i="1"/>
  <c r="AB9769" i="1" s="1"/>
  <c r="N9785" i="1"/>
  <c r="AC9785" i="1"/>
  <c r="AB9785" i="1" s="1"/>
  <c r="N8666" i="1"/>
  <c r="AC8666" i="1"/>
  <c r="AC9056" i="1"/>
  <c r="AB9056" i="1" s="1"/>
  <c r="N9056" i="1"/>
  <c r="AC9750" i="1"/>
  <c r="AB9750" i="1" s="1"/>
  <c r="N9750" i="1"/>
  <c r="N9780" i="1"/>
  <c r="AC9780" i="1"/>
  <c r="AB9780" i="1" s="1"/>
  <c r="AC8460" i="1"/>
  <c r="AB8460" i="1" s="1"/>
  <c r="N8460" i="1"/>
  <c r="AC8629" i="1"/>
  <c r="AB8629" i="1" s="1"/>
  <c r="N8629" i="1"/>
  <c r="AC8042" i="1"/>
  <c r="AB8042" i="1" s="1"/>
  <c r="N8042" i="1"/>
  <c r="H10505" i="1"/>
  <c r="I10505" i="1" s="1"/>
  <c r="Q10505" i="1"/>
  <c r="R10505" i="1" s="1"/>
  <c r="T10505" i="1" s="1"/>
  <c r="H3732" i="1"/>
  <c r="I3732" i="1" s="1"/>
  <c r="Q3732" i="1"/>
  <c r="R3732" i="1" s="1"/>
  <c r="T3732" i="1" s="1"/>
  <c r="H10340" i="1"/>
  <c r="I10340" i="1" s="1"/>
  <c r="Q10340" i="1"/>
  <c r="R10340" i="1" s="1"/>
  <c r="T10340" i="1" s="1"/>
  <c r="Q4662" i="1"/>
  <c r="R4662" i="1" s="1"/>
  <c r="T4662" i="1" s="1"/>
  <c r="H4662" i="1"/>
  <c r="I4662" i="1" s="1"/>
  <c r="N4414" i="1"/>
  <c r="AC4414" i="1"/>
  <c r="AB4414" i="1" s="1"/>
  <c r="Q4589" i="1"/>
  <c r="R4589" i="1" s="1"/>
  <c r="T4589" i="1" s="1"/>
  <c r="H4589" i="1"/>
  <c r="I4589" i="1" s="1"/>
  <c r="N676" i="1"/>
  <c r="N4374" i="1"/>
  <c r="H4200" i="1"/>
  <c r="I4200" i="1" s="1"/>
  <c r="N10501" i="1"/>
  <c r="AC10501" i="1"/>
  <c r="N10317" i="1"/>
  <c r="AC10317" i="1"/>
  <c r="N10346" i="1"/>
  <c r="AC10346" i="1"/>
  <c r="AB10346" i="1" s="1"/>
  <c r="AC4366" i="1"/>
  <c r="AB4366" i="1" s="1"/>
  <c r="N4366" i="1"/>
  <c r="N10504" i="1"/>
  <c r="AC10427" i="1"/>
  <c r="AB10427" i="1" s="1"/>
  <c r="N10427" i="1"/>
  <c r="AC10345" i="1"/>
  <c r="AB10345" i="1" s="1"/>
  <c r="N10345" i="1"/>
  <c r="AC5444" i="1"/>
  <c r="AB5444" i="1" s="1"/>
  <c r="H5444" i="1" s="1"/>
  <c r="I5444" i="1" s="1"/>
  <c r="N5444" i="1"/>
  <c r="N10509" i="1"/>
  <c r="AC10509" i="1"/>
  <c r="AB10509" i="1" s="1"/>
  <c r="AC4141" i="1"/>
  <c r="N755" i="1"/>
  <c r="Q3160" i="1"/>
  <c r="R3160" i="1" s="1"/>
  <c r="T3160" i="1" s="1"/>
  <c r="AC3920" i="1"/>
  <c r="N3920" i="1"/>
  <c r="H4659" i="1"/>
  <c r="I4659" i="1" s="1"/>
  <c r="Q4659" i="1"/>
  <c r="R4659" i="1" s="1"/>
  <c r="T4659" i="1" s="1"/>
  <c r="N10470" i="1"/>
  <c r="AC10500" i="1"/>
  <c r="AB10500" i="1" s="1"/>
  <c r="N10500" i="1"/>
  <c r="AC10344" i="1"/>
  <c r="AB10344" i="1" s="1"/>
  <c r="N10344" i="1"/>
  <c r="AC3162" i="1"/>
  <c r="AB3162" i="1" s="1"/>
  <c r="Q3162" i="1" s="1"/>
  <c r="R3162" i="1" s="1"/>
  <c r="T3162" i="1" s="1"/>
  <c r="AC10367" i="1"/>
  <c r="N10367" i="1"/>
  <c r="AC2876" i="1"/>
  <c r="N3161" i="1"/>
  <c r="H10342" i="1"/>
  <c r="I10342" i="1" s="1"/>
  <c r="Q10342" i="1"/>
  <c r="R10342" i="1" s="1"/>
  <c r="T10342" i="1" s="1"/>
  <c r="AC10407" i="1"/>
  <c r="N10407" i="1"/>
  <c r="N10486" i="1"/>
  <c r="AC3691" i="1"/>
  <c r="AB3691" i="1" s="1"/>
  <c r="H3691" i="1" s="1"/>
  <c r="I3691" i="1" s="1"/>
  <c r="H4374" i="1"/>
  <c r="I4374" i="1" s="1"/>
  <c r="H3735" i="1"/>
  <c r="I3735" i="1" s="1"/>
  <c r="Q3735" i="1"/>
  <c r="R3735" i="1" s="1"/>
  <c r="T3735" i="1" s="1"/>
  <c r="AC735" i="1"/>
  <c r="AB735" i="1" s="1"/>
  <c r="Q735" i="1" s="1"/>
  <c r="R735" i="1" s="1"/>
  <c r="T735" i="1" s="1"/>
  <c r="H10336" i="1"/>
  <c r="I10336" i="1" s="1"/>
  <c r="Q10336" i="1"/>
  <c r="R10336" i="1" s="1"/>
  <c r="T10336" i="1" s="1"/>
  <c r="N4791" i="1"/>
  <c r="AC4791" i="1"/>
  <c r="N717" i="1"/>
  <c r="AC717" i="1"/>
  <c r="AB717" i="1" s="1"/>
  <c r="H717" i="1" s="1"/>
  <c r="I717" i="1" s="1"/>
  <c r="N4668" i="1"/>
  <c r="AC4668" i="1"/>
  <c r="AB4668" i="1" s="1"/>
  <c r="AC10497" i="1"/>
  <c r="N10497" i="1"/>
  <c r="Q10482" i="1"/>
  <c r="R10482" i="1" s="1"/>
  <c r="T10482" i="1" s="1"/>
  <c r="H10482" i="1"/>
  <c r="I10482" i="1" s="1"/>
  <c r="Q10337" i="1"/>
  <c r="R10337" i="1" s="1"/>
  <c r="T10337" i="1" s="1"/>
  <c r="H10337" i="1"/>
  <c r="I10337" i="1" s="1"/>
  <c r="N10428" i="1"/>
  <c r="AC10428" i="1"/>
  <c r="AC10493" i="1"/>
  <c r="AB10493" i="1" s="1"/>
  <c r="N10493" i="1"/>
  <c r="N10338" i="1"/>
  <c r="AC10338" i="1"/>
  <c r="AB10338" i="1" s="1"/>
  <c r="H4372" i="1"/>
  <c r="I4372" i="1" s="1"/>
  <c r="Q4372" i="1"/>
  <c r="R4372" i="1" s="1"/>
  <c r="T4372" i="1" s="1"/>
  <c r="H4397" i="1"/>
  <c r="I4397" i="1" s="1"/>
  <c r="Q4397" i="1"/>
  <c r="R4397" i="1" s="1"/>
  <c r="T4397" i="1" s="1"/>
  <c r="H5109" i="1"/>
  <c r="I5109" i="1" s="1"/>
  <c r="Q5109" i="1"/>
  <c r="R5109" i="1" s="1"/>
  <c r="T5109" i="1" s="1"/>
  <c r="Q4437" i="1"/>
  <c r="R4437" i="1" s="1"/>
  <c r="T4437" i="1" s="1"/>
  <c r="H4437" i="1"/>
  <c r="I4437" i="1" s="1"/>
  <c r="H4365" i="1"/>
  <c r="I4365" i="1" s="1"/>
  <c r="Q4365" i="1"/>
  <c r="R4365" i="1" s="1"/>
  <c r="T4365" i="1" s="1"/>
  <c r="H4493" i="1"/>
  <c r="I4493" i="1" s="1"/>
  <c r="Q4493" i="1"/>
  <c r="R4493" i="1" s="1"/>
  <c r="T4493" i="1" s="1"/>
  <c r="H2772" i="1"/>
  <c r="I2772" i="1" s="1"/>
  <c r="Q2772" i="1"/>
  <c r="R2772" i="1" s="1"/>
  <c r="T2772" i="1" s="1"/>
  <c r="H2576" i="1"/>
  <c r="I2576" i="1" s="1"/>
  <c r="Q2576" i="1"/>
  <c r="R2576" i="1" s="1"/>
  <c r="T2576" i="1" s="1"/>
  <c r="N2577" i="1"/>
  <c r="AC2577" i="1"/>
  <c r="AC526" i="1"/>
  <c r="AB526" i="1" s="1"/>
  <c r="Q526" i="1" s="1"/>
  <c r="R526" i="1" s="1"/>
  <c r="T526" i="1" s="1"/>
  <c r="N5611" i="1"/>
  <c r="AC5611" i="1"/>
  <c r="AB5611" i="1" s="1"/>
  <c r="N5542" i="1"/>
  <c r="AC5542" i="1"/>
  <c r="AB5542" i="1" s="1"/>
  <c r="H4436" i="1"/>
  <c r="I4436" i="1" s="1"/>
  <c r="Q4436" i="1"/>
  <c r="R4436" i="1" s="1"/>
  <c r="T4436" i="1" s="1"/>
  <c r="AC4262" i="1"/>
  <c r="AB4262" i="1" s="1"/>
  <c r="N4262" i="1"/>
  <c r="N3736" i="1"/>
  <c r="AC3736" i="1"/>
  <c r="AB3736" i="1" s="1"/>
  <c r="AC3041" i="1"/>
  <c r="N3041" i="1"/>
  <c r="N2916" i="1"/>
  <c r="AC2916" i="1"/>
  <c r="AC4081" i="1"/>
  <c r="N4081" i="1"/>
  <c r="N2447" i="1"/>
  <c r="AC2447" i="1"/>
  <c r="AC4664" i="1"/>
  <c r="AB4664" i="1" s="1"/>
  <c r="N4664" i="1"/>
  <c r="AC5547" i="1"/>
  <c r="AB5547" i="1" s="1"/>
  <c r="N5547" i="1"/>
  <c r="N3157" i="1"/>
  <c r="AC3157" i="1"/>
  <c r="AB3157" i="1" s="1"/>
  <c r="N3733" i="1"/>
  <c r="AC3733" i="1"/>
  <c r="AB3733" i="1" s="1"/>
  <c r="N4973" i="1"/>
  <c r="AC4973" i="1"/>
  <c r="AB4973" i="1" s="1"/>
  <c r="N2771" i="1"/>
  <c r="AC2771" i="1"/>
  <c r="AB2771" i="1" s="1"/>
  <c r="H3156" i="1"/>
  <c r="I3156" i="1" s="1"/>
  <c r="Q3156" i="1"/>
  <c r="R3156" i="1" s="1"/>
  <c r="T3156" i="1" s="1"/>
  <c r="N2575" i="1"/>
  <c r="AC2575" i="1"/>
  <c r="AB2575" i="1" s="1"/>
  <c r="H2189" i="1"/>
  <c r="I2189" i="1" s="1"/>
  <c r="AC5446" i="1"/>
  <c r="AB5446" i="1" s="1"/>
  <c r="N5446" i="1"/>
  <c r="N3186" i="1"/>
  <c r="AC3186" i="1"/>
  <c r="AC5112" i="1"/>
  <c r="AB5112" i="1" s="1"/>
  <c r="N5112" i="1"/>
  <c r="H3645" i="1"/>
  <c r="I3645" i="1" s="1"/>
  <c r="Q3645" i="1"/>
  <c r="R3645" i="1" s="1"/>
  <c r="T3645" i="1" s="1"/>
  <c r="AC5047" i="1"/>
  <c r="N5047" i="1"/>
  <c r="AC7912" i="1"/>
  <c r="AB7912" i="1" s="1"/>
  <c r="N7912" i="1"/>
  <c r="N2412" i="1"/>
  <c r="AC2412" i="1"/>
  <c r="AB2412" i="1" s="1"/>
  <c r="AC4398" i="1"/>
  <c r="AB4398" i="1" s="1"/>
  <c r="N4398" i="1"/>
  <c r="AC4660" i="1"/>
  <c r="AB4660" i="1" s="1"/>
  <c r="N4660" i="1"/>
  <c r="AC4666" i="1"/>
  <c r="AB4666" i="1" s="1"/>
  <c r="N4666" i="1"/>
  <c r="N2414" i="1"/>
  <c r="AC2414" i="1"/>
  <c r="AB2414" i="1" s="1"/>
  <c r="AC2937" i="1"/>
  <c r="AB2937" i="1" s="1"/>
  <c r="N2937" i="1"/>
  <c r="AC4495" i="1"/>
  <c r="N4495" i="1"/>
  <c r="N3159" i="1"/>
  <c r="AC3159" i="1"/>
  <c r="AB3159" i="1" s="1"/>
  <c r="N4494" i="1"/>
  <c r="AC4494" i="1"/>
  <c r="AB4494" i="1" s="1"/>
  <c r="AC1372" i="1"/>
  <c r="AB1372" i="1" s="1"/>
  <c r="Q1372" i="1" s="1"/>
  <c r="R1372" i="1" s="1"/>
  <c r="T1372" i="1" s="1"/>
  <c r="AC7913" i="1"/>
  <c r="N7913" i="1"/>
  <c r="AC4978" i="1"/>
  <c r="AB4978" i="1" s="1"/>
  <c r="N4978" i="1"/>
  <c r="N4979" i="1"/>
  <c r="AC4979" i="1"/>
  <c r="AB4979" i="1" s="1"/>
  <c r="AC4663" i="1"/>
  <c r="AB4663" i="1" s="1"/>
  <c r="N4663" i="1"/>
  <c r="AC3776" i="1"/>
  <c r="AB3776" i="1" s="1"/>
  <c r="N3776" i="1"/>
  <c r="AC5110" i="1"/>
  <c r="AB5110" i="1" s="1"/>
  <c r="N5110" i="1"/>
  <c r="N3689" i="1"/>
  <c r="AC3689" i="1"/>
  <c r="AB3689" i="1" s="1"/>
  <c r="AC3858" i="1"/>
  <c r="N3858" i="1"/>
  <c r="N3624" i="1"/>
  <c r="AC3624" i="1"/>
  <c r="N2670" i="1"/>
  <c r="AC2670" i="1"/>
  <c r="AB2670" i="1" s="1"/>
  <c r="N3692" i="1"/>
  <c r="AC3692" i="1"/>
  <c r="H3734" i="1"/>
  <c r="I3734" i="1" s="1"/>
  <c r="Q3734" i="1"/>
  <c r="R3734" i="1" s="1"/>
  <c r="T3734" i="1" s="1"/>
  <c r="AC4983" i="1"/>
  <c r="AB4983" i="1" s="1"/>
  <c r="N4983" i="1"/>
  <c r="AC4981" i="1"/>
  <c r="AB4981" i="1" s="1"/>
  <c r="N4981" i="1"/>
  <c r="H4974" i="1"/>
  <c r="I4974" i="1" s="1"/>
  <c r="Q4974" i="1"/>
  <c r="R4974" i="1" s="1"/>
  <c r="T4974" i="1" s="1"/>
  <c r="H4975" i="1"/>
  <c r="I4975" i="1" s="1"/>
  <c r="Q4975" i="1"/>
  <c r="R4975" i="1" s="1"/>
  <c r="T4975" i="1" s="1"/>
  <c r="N1258" i="1"/>
  <c r="AC1258" i="1"/>
  <c r="H4458" i="1"/>
  <c r="I4458" i="1" s="1"/>
  <c r="Q4458" i="1"/>
  <c r="R4458" i="1" s="1"/>
  <c r="T4458" i="1" s="1"/>
  <c r="Q3878" i="1"/>
  <c r="R3878" i="1" s="1"/>
  <c r="T3878" i="1" s="1"/>
  <c r="H3878" i="1"/>
  <c r="I3878" i="1" s="1"/>
  <c r="H4977" i="1"/>
  <c r="I4977" i="1" s="1"/>
  <c r="Q4977" i="1"/>
  <c r="R4977" i="1" s="1"/>
  <c r="T4977" i="1" s="1"/>
  <c r="AC4625" i="1"/>
  <c r="AB4625" i="1" s="1"/>
  <c r="N4625" i="1"/>
  <c r="AC4202" i="1"/>
  <c r="AB4202" i="1" s="1"/>
  <c r="N4202" i="1"/>
  <c r="Q3164" i="1"/>
  <c r="R3164" i="1" s="1"/>
  <c r="T3164" i="1" s="1"/>
  <c r="H3164" i="1"/>
  <c r="I3164" i="1" s="1"/>
  <c r="AC3687" i="1"/>
  <c r="AB3687" i="1" s="1"/>
  <c r="N3687" i="1"/>
  <c r="AC4204" i="1"/>
  <c r="AB4204" i="1" s="1"/>
  <c r="N4204" i="1"/>
  <c r="N4485" i="1"/>
  <c r="AC4485" i="1"/>
  <c r="AB4485" i="1" s="1"/>
  <c r="AC4373" i="1"/>
  <c r="AB4373" i="1" s="1"/>
  <c r="N4373" i="1"/>
  <c r="AC4121" i="1"/>
  <c r="AB4121" i="1" s="1"/>
  <c r="N4121" i="1"/>
  <c r="AC4980" i="1"/>
  <c r="AB4980" i="1" s="1"/>
  <c r="N4980" i="1"/>
  <c r="N3524" i="1"/>
  <c r="AC3524" i="1"/>
  <c r="AB3524" i="1" s="1"/>
  <c r="N2574" i="1"/>
  <c r="AC2574" i="1"/>
  <c r="AB2574" i="1" s="1"/>
  <c r="N2773" i="1"/>
  <c r="AC2773" i="1"/>
  <c r="AB2773" i="1" s="1"/>
  <c r="AC3163" i="1"/>
  <c r="AB3163" i="1" s="1"/>
  <c r="N3163" i="1"/>
  <c r="N2768" i="1"/>
  <c r="AC2768" i="1"/>
  <c r="AB2768" i="1" s="1"/>
  <c r="AC4590" i="1"/>
  <c r="AB4590" i="1" s="1"/>
  <c r="N4590" i="1"/>
  <c r="AC760" i="1"/>
  <c r="AB760" i="1" s="1"/>
  <c r="H760" i="1" s="1"/>
  <c r="I760" i="1" s="1"/>
  <c r="AC706" i="1"/>
  <c r="AB706" i="1" s="1"/>
  <c r="H706" i="1" s="1"/>
  <c r="I706" i="1" s="1"/>
  <c r="AC4205" i="1"/>
  <c r="N4205" i="1"/>
  <c r="AC3900" i="1"/>
  <c r="AB3900" i="1" s="1"/>
  <c r="N3900" i="1"/>
  <c r="AC4661" i="1"/>
  <c r="AB4661" i="1" s="1"/>
  <c r="N4661" i="1"/>
  <c r="N4001" i="1"/>
  <c r="AC4001" i="1"/>
  <c r="N4415" i="1"/>
  <c r="AC4415" i="1"/>
  <c r="AB4415" i="1" s="1"/>
  <c r="AC5549" i="1"/>
  <c r="AB5549" i="1" s="1"/>
  <c r="N5549" i="1"/>
  <c r="N4658" i="1"/>
  <c r="N772" i="1"/>
  <c r="AC772" i="1"/>
  <c r="AB772" i="1" s="1"/>
  <c r="N2415" i="1"/>
  <c r="AC2415" i="1"/>
  <c r="AB2415" i="1" s="1"/>
  <c r="AC5111" i="1"/>
  <c r="AB5111" i="1" s="1"/>
  <c r="N5111" i="1"/>
  <c r="N4976" i="1"/>
  <c r="AC4976" i="1"/>
  <c r="AB4976" i="1" s="1"/>
  <c r="AC4181" i="1"/>
  <c r="N4181" i="1"/>
  <c r="AC3667" i="1"/>
  <c r="AB3667" i="1" s="1"/>
  <c r="N3667" i="1"/>
  <c r="AC4984" i="1"/>
  <c r="AB4984" i="1" s="1"/>
  <c r="N4984" i="1"/>
  <c r="AC4982" i="1"/>
  <c r="AB4982" i="1" s="1"/>
  <c r="N4982" i="1"/>
  <c r="AC5174" i="1"/>
  <c r="N5174" i="1"/>
  <c r="N4203" i="1"/>
  <c r="AC4203" i="1"/>
  <c r="AB4203" i="1" s="1"/>
  <c r="AC4464" i="1"/>
  <c r="AB4464" i="1" s="1"/>
  <c r="N4464" i="1"/>
  <c r="H4971" i="1"/>
  <c r="I4971" i="1" s="1"/>
  <c r="Q4971" i="1"/>
  <c r="R4971" i="1" s="1"/>
  <c r="T4971" i="1" s="1"/>
  <c r="H2478" i="1"/>
  <c r="I2478" i="1" s="1"/>
  <c r="Q2478" i="1"/>
  <c r="R2478" i="1" s="1"/>
  <c r="T2478" i="1" s="1"/>
  <c r="AC5113" i="1"/>
  <c r="AB5113" i="1" s="1"/>
  <c r="N5113" i="1"/>
  <c r="H3666" i="1"/>
  <c r="I3666" i="1" s="1"/>
  <c r="Q3666" i="1"/>
  <c r="R3666" i="1" s="1"/>
  <c r="T3666" i="1" s="1"/>
  <c r="N3158" i="1"/>
  <c r="AC3158" i="1"/>
  <c r="AB3158" i="1" s="1"/>
  <c r="N4396" i="1"/>
  <c r="AC4396" i="1"/>
  <c r="AB4396" i="1" s="1"/>
  <c r="N3459" i="1"/>
  <c r="AC3459" i="1"/>
  <c r="AB3459" i="1" s="1"/>
  <c r="AC4623" i="1"/>
  <c r="AB4623" i="1" s="1"/>
  <c r="N4623" i="1"/>
  <c r="AC5543" i="1"/>
  <c r="AB5543" i="1" s="1"/>
  <c r="N5543" i="1"/>
  <c r="N4180" i="1"/>
  <c r="AC4180" i="1"/>
  <c r="AB4180" i="1" s="1"/>
  <c r="N4941" i="1"/>
  <c r="AC4941" i="1"/>
  <c r="N2543" i="1"/>
  <c r="AC2543" i="1"/>
  <c r="AC4358" i="1"/>
  <c r="AB4358" i="1" s="1"/>
  <c r="N4358" i="1"/>
  <c r="AC3879" i="1"/>
  <c r="AB3879" i="1" s="1"/>
  <c r="N3879" i="1"/>
  <c r="AC4390" i="1"/>
  <c r="AB4390" i="1" s="1"/>
  <c r="N4390" i="1"/>
  <c r="AC5204" i="1"/>
  <c r="N5204" i="1"/>
  <c r="N3901" i="1"/>
  <c r="AC3901" i="1"/>
  <c r="AC3940" i="1"/>
  <c r="N3940" i="1"/>
  <c r="AC4588" i="1"/>
  <c r="AB4588" i="1" s="1"/>
  <c r="N4588" i="1"/>
  <c r="N2608" i="1"/>
  <c r="AC2608" i="1"/>
  <c r="N2958" i="1"/>
  <c r="AC2958" i="1"/>
  <c r="N2512" i="1"/>
  <c r="AC2512" i="1"/>
  <c r="AC397" i="1"/>
  <c r="AB397" i="1" s="1"/>
  <c r="H397" i="1" s="1"/>
  <c r="I397" i="1" s="1"/>
  <c r="AC765" i="1"/>
  <c r="AB765" i="1" s="1"/>
  <c r="Q765" i="1" s="1"/>
  <c r="R765" i="1" s="1"/>
  <c r="T765" i="1" s="1"/>
  <c r="H4261" i="1"/>
  <c r="I4261" i="1" s="1"/>
  <c r="Q4261" i="1"/>
  <c r="R4261" i="1" s="1"/>
  <c r="T4261" i="1" s="1"/>
  <c r="N3960" i="1"/>
  <c r="AC3960" i="1"/>
  <c r="AB3960" i="1" s="1"/>
  <c r="N4657" i="1"/>
  <c r="N3270" i="1"/>
  <c r="AC3270" i="1"/>
  <c r="AC4338" i="1"/>
  <c r="N4338" i="1"/>
  <c r="N769" i="1"/>
  <c r="AC769" i="1"/>
  <c r="AB769" i="1" s="1"/>
  <c r="N3564" i="1"/>
  <c r="AC3564" i="1"/>
  <c r="AC4357" i="1"/>
  <c r="AB4357" i="1" s="1"/>
  <c r="N4357" i="1"/>
  <c r="AC3688" i="1"/>
  <c r="AB3688" i="1" s="1"/>
  <c r="N3688" i="1"/>
  <c r="H2769" i="1"/>
  <c r="I2769" i="1" s="1"/>
  <c r="Q2769" i="1"/>
  <c r="R2769" i="1" s="1"/>
  <c r="T2769" i="1" s="1"/>
  <c r="N2479" i="1"/>
  <c r="AC2479" i="1"/>
  <c r="AB2479" i="1" s="1"/>
  <c r="AC4667" i="1"/>
  <c r="AB4667" i="1" s="1"/>
  <c r="N4667" i="1"/>
  <c r="AC3712" i="1"/>
  <c r="N3712" i="1"/>
  <c r="N4102" i="1"/>
  <c r="AC4102" i="1"/>
  <c r="AC3481" i="1"/>
  <c r="N3481" i="1"/>
  <c r="H5448" i="1"/>
  <c r="I5448" i="1" s="1"/>
  <c r="Q5448" i="1"/>
  <c r="R5448" i="1" s="1"/>
  <c r="T5448" i="1" s="1"/>
  <c r="AC459" i="1"/>
  <c r="AB459" i="1" s="1"/>
  <c r="H459" i="1" s="1"/>
  <c r="I459" i="1" s="1"/>
  <c r="N1520" i="1"/>
  <c r="AC5544" i="1"/>
  <c r="AB5544" i="1" s="1"/>
  <c r="N5544" i="1"/>
  <c r="H4670" i="1"/>
  <c r="I4670" i="1" s="1"/>
  <c r="Q4670" i="1"/>
  <c r="R4670" i="1" s="1"/>
  <c r="T4670" i="1" s="1"/>
  <c r="Q3161" i="1"/>
  <c r="R3161" i="1" s="1"/>
  <c r="T3161" i="1" s="1"/>
  <c r="H3161" i="1"/>
  <c r="I3161" i="1" s="1"/>
  <c r="N4669" i="1"/>
  <c r="AC4669" i="1"/>
  <c r="AB4669" i="1" s="1"/>
  <c r="AC5548" i="1"/>
  <c r="AB5548" i="1" s="1"/>
  <c r="N5548" i="1"/>
  <c r="H2413" i="1"/>
  <c r="I2413" i="1" s="1"/>
  <c r="Q2413" i="1"/>
  <c r="R2413" i="1" s="1"/>
  <c r="T2413" i="1" s="1"/>
  <c r="N5546" i="1"/>
  <c r="AC5546" i="1"/>
  <c r="AB5546" i="1" s="1"/>
  <c r="H2775" i="1"/>
  <c r="I2775" i="1" s="1"/>
  <c r="Q2775" i="1"/>
  <c r="R2775" i="1" s="1"/>
  <c r="T2775" i="1" s="1"/>
  <c r="N2770" i="1"/>
  <c r="AC2770" i="1"/>
  <c r="AB2770" i="1" s="1"/>
  <c r="N2480" i="1"/>
  <c r="AC2480" i="1"/>
  <c r="AB2480" i="1" s="1"/>
  <c r="H762" i="1"/>
  <c r="I762" i="1" s="1"/>
  <c r="Q762" i="1"/>
  <c r="R762" i="1" s="1"/>
  <c r="T762" i="1" s="1"/>
  <c r="Q1674" i="1"/>
  <c r="R1674" i="1" s="1"/>
  <c r="T1674" i="1" s="1"/>
  <c r="H1674" i="1"/>
  <c r="I1674" i="1" s="1"/>
  <c r="N1551" i="1"/>
  <c r="AC1551" i="1"/>
  <c r="AB1551" i="1" s="1"/>
  <c r="N1491" i="1"/>
  <c r="AC1491" i="1"/>
  <c r="H711" i="1"/>
  <c r="I711" i="1" s="1"/>
  <c r="Q711" i="1"/>
  <c r="R711" i="1" s="1"/>
  <c r="T711" i="1" s="1"/>
  <c r="N1518" i="1"/>
  <c r="AC1518" i="1"/>
  <c r="AB1518" i="1" s="1"/>
  <c r="N1373" i="1"/>
  <c r="AC1373" i="1"/>
  <c r="N758" i="1"/>
  <c r="AC758" i="1"/>
  <c r="AB758" i="1" s="1"/>
  <c r="N1677" i="1"/>
  <c r="AC1677" i="1"/>
  <c r="AC714" i="1"/>
  <c r="AB714" i="1" s="1"/>
  <c r="N714" i="1"/>
  <c r="H755" i="1"/>
  <c r="I755" i="1" s="1"/>
  <c r="Q755" i="1"/>
  <c r="R755" i="1" s="1"/>
  <c r="T755" i="1" s="1"/>
  <c r="H719" i="1"/>
  <c r="I719" i="1" s="1"/>
  <c r="Q719" i="1"/>
  <c r="R719" i="1" s="1"/>
  <c r="T719" i="1" s="1"/>
  <c r="N935" i="1"/>
  <c r="AC935" i="1"/>
  <c r="AB935" i="1" s="1"/>
  <c r="Q713" i="1"/>
  <c r="R713" i="1" s="1"/>
  <c r="T713" i="1" s="1"/>
  <c r="H713" i="1"/>
  <c r="I713" i="1" s="1"/>
  <c r="N1123" i="1"/>
  <c r="AC1123" i="1"/>
  <c r="N1432" i="1"/>
  <c r="AC1432" i="1"/>
  <c r="AB1432" i="1" s="1"/>
  <c r="H1404" i="1"/>
  <c r="I1404" i="1" s="1"/>
  <c r="Q1404" i="1"/>
  <c r="R1404" i="1" s="1"/>
  <c r="T1404" i="1" s="1"/>
  <c r="H753" i="1"/>
  <c r="I753" i="1" s="1"/>
  <c r="Q753" i="1"/>
  <c r="R753" i="1" s="1"/>
  <c r="T753" i="1" s="1"/>
  <c r="N707" i="1"/>
  <c r="AC707" i="1"/>
  <c r="AB707" i="1" s="1"/>
  <c r="N716" i="1"/>
  <c r="AC716" i="1"/>
  <c r="AB716" i="1" s="1"/>
  <c r="H709" i="1"/>
  <c r="I709" i="1" s="1"/>
  <c r="Q709" i="1"/>
  <c r="R709" i="1" s="1"/>
  <c r="T709" i="1" s="1"/>
  <c r="H1285" i="1"/>
  <c r="I1285" i="1" s="1"/>
  <c r="Q1285" i="1"/>
  <c r="R1285" i="1" s="1"/>
  <c r="T1285" i="1" s="1"/>
  <c r="N710" i="1"/>
  <c r="AC710" i="1"/>
  <c r="AB710" i="1" s="1"/>
  <c r="N1284" i="1"/>
  <c r="AC1284" i="1"/>
  <c r="AB1284" i="1" s="1"/>
  <c r="N756" i="1"/>
  <c r="AC756" i="1"/>
  <c r="AB756" i="1" s="1"/>
  <c r="N1672" i="1"/>
  <c r="AC1672" i="1"/>
  <c r="AB1672" i="1" s="1"/>
  <c r="AC759" i="1"/>
  <c r="AB759" i="1" s="1"/>
  <c r="N759" i="1"/>
  <c r="AC1405" i="1"/>
  <c r="AB1405" i="1" s="1"/>
  <c r="N1405" i="1"/>
  <c r="Q712" i="1"/>
  <c r="R712" i="1" s="1"/>
  <c r="T712" i="1" s="1"/>
  <c r="H712" i="1"/>
  <c r="I712" i="1" s="1"/>
  <c r="N1519" i="1"/>
  <c r="AC1519" i="1"/>
  <c r="AB1519" i="1" s="1"/>
  <c r="AC1673" i="1"/>
  <c r="AB1673" i="1" s="1"/>
  <c r="N1673" i="1"/>
  <c r="H1675" i="1"/>
  <c r="I1675" i="1" s="1"/>
  <c r="Q1675" i="1"/>
  <c r="R1675" i="1" s="1"/>
  <c r="T1675" i="1" s="1"/>
  <c r="AC770" i="1"/>
  <c r="AB770" i="1" s="1"/>
  <c r="N770" i="1"/>
  <c r="AC1287" i="1"/>
  <c r="AB1287" i="1" s="1"/>
  <c r="N1287" i="1"/>
  <c r="N1552" i="1"/>
  <c r="AC1552" i="1"/>
  <c r="AB1552" i="1" s="1"/>
  <c r="AC757" i="1"/>
  <c r="AB757" i="1" s="1"/>
  <c r="N757" i="1"/>
  <c r="N763" i="1"/>
  <c r="AC763" i="1"/>
  <c r="AB763" i="1" s="1"/>
  <c r="AC718" i="1"/>
  <c r="AB718" i="1" s="1"/>
  <c r="N718" i="1"/>
  <c r="AC761" i="1"/>
  <c r="AB761" i="1" s="1"/>
  <c r="N761" i="1"/>
  <c r="Q771" i="1"/>
  <c r="R771" i="1" s="1"/>
  <c r="T771" i="1" s="1"/>
  <c r="H771" i="1"/>
  <c r="I771" i="1" s="1"/>
  <c r="Q764" i="1"/>
  <c r="R764" i="1" s="1"/>
  <c r="T764" i="1" s="1"/>
  <c r="H764" i="1"/>
  <c r="I764" i="1" s="1"/>
  <c r="H708" i="1"/>
  <c r="I708" i="1" s="1"/>
  <c r="Q708" i="1"/>
  <c r="R708" i="1" s="1"/>
  <c r="T708" i="1" s="1"/>
  <c r="AC752" i="1"/>
  <c r="AB752" i="1" s="1"/>
  <c r="N752" i="1"/>
  <c r="AC751" i="1"/>
  <c r="AB751" i="1" s="1"/>
  <c r="N751" i="1"/>
  <c r="AC1286" i="1"/>
  <c r="AB1286" i="1" s="1"/>
  <c r="N1286" i="1"/>
  <c r="N754" i="1"/>
  <c r="AC754" i="1"/>
  <c r="AB754" i="1" s="1"/>
  <c r="AC1641" i="1"/>
  <c r="N1641" i="1"/>
  <c r="N715" i="1"/>
  <c r="AC715" i="1"/>
  <c r="AB715" i="1" s="1"/>
  <c r="AC1774" i="1"/>
  <c r="AB1774" i="1" s="1"/>
  <c r="N1774" i="1"/>
  <c r="Q1926" i="1"/>
  <c r="R1926" i="1" s="1"/>
  <c r="T1926" i="1" s="1"/>
  <c r="AC1778" i="1"/>
  <c r="AB1778" i="1" s="1"/>
  <c r="H1778" i="1" s="1"/>
  <c r="I1778" i="1" s="1"/>
  <c r="AC705" i="1"/>
  <c r="AB705" i="1" s="1"/>
  <c r="H705" i="1" s="1"/>
  <c r="I705" i="1" s="1"/>
  <c r="N1961" i="1"/>
  <c r="AC1961" i="1"/>
  <c r="AB1961" i="1" s="1"/>
  <c r="AC284" i="1"/>
  <c r="AB284" i="1" s="1"/>
  <c r="Q284" i="1" s="1"/>
  <c r="R284" i="1" s="1"/>
  <c r="T284" i="1" s="1"/>
  <c r="N1773" i="1"/>
  <c r="AC1773" i="1"/>
  <c r="AB1773" i="1" s="1"/>
  <c r="H1870" i="1"/>
  <c r="I1870" i="1" s="1"/>
  <c r="Q1870" i="1"/>
  <c r="R1870" i="1" s="1"/>
  <c r="T1870" i="1" s="1"/>
  <c r="H1822" i="1"/>
  <c r="I1822" i="1" s="1"/>
  <c r="Q1822" i="1"/>
  <c r="R1822" i="1" s="1"/>
  <c r="T1822" i="1" s="1"/>
  <c r="AC2404" i="1"/>
  <c r="AB2404" i="1" s="1"/>
  <c r="N2404" i="1"/>
  <c r="N1850" i="1"/>
  <c r="AC1850" i="1"/>
  <c r="H2410" i="1"/>
  <c r="I2410" i="1" s="1"/>
  <c r="Q2410" i="1"/>
  <c r="R2410" i="1" s="1"/>
  <c r="T2410" i="1" s="1"/>
  <c r="AC2401" i="1"/>
  <c r="AB2401" i="1" s="1"/>
  <c r="N2401" i="1"/>
  <c r="AC1821" i="1"/>
  <c r="AB1821" i="1" s="1"/>
  <c r="N1821" i="1"/>
  <c r="N2373" i="1"/>
  <c r="AC2373" i="1"/>
  <c r="AB2373" i="1" s="1"/>
  <c r="N2037" i="1"/>
  <c r="AC2037" i="1"/>
  <c r="N2271" i="1"/>
  <c r="AC2271" i="1"/>
  <c r="AB2271" i="1" s="1"/>
  <c r="AC2406" i="1"/>
  <c r="AB2406" i="1" s="1"/>
  <c r="N2406" i="1"/>
  <c r="N528" i="1"/>
  <c r="H2411" i="1"/>
  <c r="I2411" i="1" s="1"/>
  <c r="Q2411" i="1"/>
  <c r="R2411" i="1" s="1"/>
  <c r="T2411" i="1" s="1"/>
  <c r="N1964" i="1"/>
  <c r="AC1964" i="1"/>
  <c r="Q2190" i="1"/>
  <c r="R2190" i="1" s="1"/>
  <c r="T2190" i="1" s="1"/>
  <c r="H2190" i="1"/>
  <c r="I2190" i="1" s="1"/>
  <c r="Q1960" i="1"/>
  <c r="R1960" i="1" s="1"/>
  <c r="T1960" i="1" s="1"/>
  <c r="H1960" i="1"/>
  <c r="I1960" i="1" s="1"/>
  <c r="N2402" i="1"/>
  <c r="AC2402" i="1"/>
  <c r="AB2402" i="1" s="1"/>
  <c r="H2212" i="1"/>
  <c r="I2212" i="1" s="1"/>
  <c r="Q2212" i="1"/>
  <c r="R2212" i="1" s="1"/>
  <c r="T2212" i="1" s="1"/>
  <c r="AC1781" i="1"/>
  <c r="AB1781" i="1" s="1"/>
  <c r="N1781" i="1"/>
  <c r="Q1784" i="1"/>
  <c r="R1784" i="1" s="1"/>
  <c r="T1784" i="1" s="1"/>
  <c r="H1784" i="1"/>
  <c r="I1784" i="1" s="1"/>
  <c r="N2211" i="1"/>
  <c r="AC2211" i="1"/>
  <c r="AB2211" i="1" s="1"/>
  <c r="H1782" i="1"/>
  <c r="I1782" i="1" s="1"/>
  <c r="Q1782" i="1"/>
  <c r="R1782" i="1" s="1"/>
  <c r="T1782" i="1" s="1"/>
  <c r="N1921" i="1"/>
  <c r="AC1921" i="1"/>
  <c r="H1927" i="1"/>
  <c r="I1927" i="1" s="1"/>
  <c r="Q1927" i="1"/>
  <c r="R1927" i="1" s="1"/>
  <c r="T1927" i="1" s="1"/>
  <c r="AC1824" i="1"/>
  <c r="AB1824" i="1" s="1"/>
  <c r="N1824" i="1"/>
  <c r="AC2055" i="1"/>
  <c r="AB2055" i="1" s="1"/>
  <c r="N2055" i="1"/>
  <c r="Q2191" i="1"/>
  <c r="R2191" i="1" s="1"/>
  <c r="T2191" i="1" s="1"/>
  <c r="H2191" i="1"/>
  <c r="I2191" i="1" s="1"/>
  <c r="AC2403" i="1"/>
  <c r="AB2403" i="1" s="1"/>
  <c r="N2403" i="1"/>
  <c r="AC2409" i="1"/>
  <c r="AB2409" i="1" s="1"/>
  <c r="N2409" i="1"/>
  <c r="N2407" i="1"/>
  <c r="AC2407" i="1"/>
  <c r="AB2407" i="1" s="1"/>
  <c r="AC2347" i="1"/>
  <c r="AB2347" i="1" s="1"/>
  <c r="N2347" i="1"/>
  <c r="H2405" i="1"/>
  <c r="I2405" i="1" s="1"/>
  <c r="Q2405" i="1"/>
  <c r="R2405" i="1" s="1"/>
  <c r="T2405" i="1" s="1"/>
  <c r="AC2213" i="1"/>
  <c r="AB2213" i="1" s="1"/>
  <c r="N2213" i="1"/>
  <c r="Q1823" i="1"/>
  <c r="R1823" i="1" s="1"/>
  <c r="T1823" i="1" s="1"/>
  <c r="H1823" i="1"/>
  <c r="I1823" i="1" s="1"/>
  <c r="AC1780" i="1"/>
  <c r="AB1780" i="1" s="1"/>
  <c r="N1780" i="1"/>
  <c r="AC2374" i="1"/>
  <c r="AB2374" i="1" s="1"/>
  <c r="N2374" i="1"/>
  <c r="AC2408" i="1"/>
  <c r="AB2408" i="1" s="1"/>
  <c r="N2408" i="1"/>
  <c r="AC1783" i="1"/>
  <c r="AB1783" i="1" s="1"/>
  <c r="N1783" i="1"/>
  <c r="AC525" i="1"/>
  <c r="AB525" i="1" s="1"/>
  <c r="N525" i="1"/>
  <c r="H1776" i="1"/>
  <c r="I1776" i="1" s="1"/>
  <c r="Q1776" i="1"/>
  <c r="R1776" i="1" s="1"/>
  <c r="T1776" i="1" s="1"/>
  <c r="N1777" i="1"/>
  <c r="AC1777" i="1"/>
  <c r="AB1777" i="1" s="1"/>
  <c r="H1779" i="1"/>
  <c r="I1779" i="1" s="1"/>
  <c r="Q1779" i="1"/>
  <c r="R1779" i="1" s="1"/>
  <c r="T1779" i="1" s="1"/>
  <c r="AC524" i="1"/>
  <c r="AB524" i="1" s="1"/>
  <c r="N524" i="1"/>
  <c r="H679" i="1"/>
  <c r="I679" i="1" s="1"/>
  <c r="Q679" i="1"/>
  <c r="R679" i="1" s="1"/>
  <c r="T679" i="1" s="1"/>
  <c r="H528" i="1"/>
  <c r="I528" i="1" s="1"/>
  <c r="Q528" i="1"/>
  <c r="R528" i="1" s="1"/>
  <c r="T528" i="1" s="1"/>
  <c r="H674" i="1"/>
  <c r="I674" i="1" s="1"/>
  <c r="Q674" i="1"/>
  <c r="R674" i="1" s="1"/>
  <c r="T674" i="1" s="1"/>
  <c r="H676" i="1"/>
  <c r="I676" i="1" s="1"/>
  <c r="Q676" i="1"/>
  <c r="R676" i="1" s="1"/>
  <c r="T676" i="1" s="1"/>
  <c r="AC527" i="1"/>
  <c r="AB527" i="1" s="1"/>
  <c r="N527" i="1"/>
  <c r="AC678" i="1"/>
  <c r="AB678" i="1" s="1"/>
  <c r="N678" i="1"/>
  <c r="AC579" i="1"/>
  <c r="AB579" i="1" s="1"/>
  <c r="N579" i="1"/>
  <c r="N672" i="1"/>
  <c r="AC672" i="1"/>
  <c r="AB672" i="1" s="1"/>
  <c r="AC673" i="1"/>
  <c r="AB673" i="1" s="1"/>
  <c r="N673" i="1"/>
  <c r="H677" i="1"/>
  <c r="I677" i="1" s="1"/>
  <c r="Q677" i="1"/>
  <c r="R677" i="1" s="1"/>
  <c r="T677" i="1" s="1"/>
  <c r="N675" i="1"/>
  <c r="AC675" i="1"/>
  <c r="AB675" i="1" s="1"/>
  <c r="H671" i="1"/>
  <c r="I671" i="1" s="1"/>
  <c r="Q671" i="1"/>
  <c r="R671" i="1" s="1"/>
  <c r="T671" i="1" s="1"/>
  <c r="H398" i="1"/>
  <c r="I398" i="1" s="1"/>
  <c r="Q398" i="1"/>
  <c r="R398" i="1" s="1"/>
  <c r="T398" i="1" s="1"/>
  <c r="H523" i="1"/>
  <c r="I523" i="1" s="1"/>
  <c r="Q523" i="1"/>
  <c r="R523" i="1" s="1"/>
  <c r="T523" i="1" s="1"/>
  <c r="N396" i="1"/>
  <c r="AC396" i="1"/>
  <c r="AB396" i="1" s="1"/>
  <c r="N402" i="1"/>
  <c r="AC402" i="1"/>
  <c r="AB402" i="1" s="1"/>
  <c r="N248" i="1"/>
  <c r="AC248" i="1"/>
  <c r="N303" i="1"/>
  <c r="AC303" i="1"/>
  <c r="H460" i="1"/>
  <c r="I460" i="1" s="1"/>
  <c r="Q460" i="1"/>
  <c r="R460" i="1" s="1"/>
  <c r="T460" i="1" s="1"/>
  <c r="AC522" i="1"/>
  <c r="AB522" i="1" s="1"/>
  <c r="N522" i="1"/>
  <c r="N461" i="1"/>
  <c r="AC461" i="1"/>
  <c r="AB461" i="1" s="1"/>
  <c r="N464" i="1"/>
  <c r="AC464" i="1"/>
  <c r="N521" i="1"/>
  <c r="AC521" i="1"/>
  <c r="AB521" i="1" s="1"/>
  <c r="AC358" i="1"/>
  <c r="N358" i="1"/>
  <c r="AC462" i="1"/>
  <c r="AB462" i="1" s="1"/>
  <c r="N462" i="1"/>
  <c r="H463" i="1"/>
  <c r="I463" i="1" s="1"/>
  <c r="Q463" i="1"/>
  <c r="R463" i="1" s="1"/>
  <c r="T463" i="1" s="1"/>
  <c r="AC400" i="1"/>
  <c r="AB400" i="1" s="1"/>
  <c r="N400" i="1"/>
  <c r="H401" i="1"/>
  <c r="I401" i="1" s="1"/>
  <c r="Q401" i="1"/>
  <c r="R401" i="1" s="1"/>
  <c r="T401" i="1" s="1"/>
  <c r="N399" i="1"/>
  <c r="AC399" i="1"/>
  <c r="AB399" i="1" s="1"/>
  <c r="N162" i="1"/>
  <c r="AC162" i="1"/>
  <c r="AB162" i="1" s="1"/>
  <c r="AC161" i="1"/>
  <c r="AB161" i="1" s="1"/>
  <c r="N161" i="1"/>
  <c r="N192" i="1"/>
  <c r="AC192" i="1"/>
  <c r="AB192" i="1" s="1"/>
  <c r="N229" i="1"/>
  <c r="AC229" i="1"/>
  <c r="AC160" i="1"/>
  <c r="AB160" i="1" s="1"/>
  <c r="N160" i="1"/>
  <c r="AC191" i="1"/>
  <c r="AB191" i="1" s="1"/>
  <c r="N191" i="1"/>
  <c r="D128" i="6"/>
  <c r="AC10479" i="1" l="1"/>
  <c r="AB10471" i="1"/>
  <c r="AC10487" i="1"/>
  <c r="AB10487" i="1" s="1"/>
  <c r="AB10497" i="1"/>
  <c r="AC10490" i="1"/>
  <c r="AB10490" i="1" s="1"/>
  <c r="N10471" i="1"/>
  <c r="AB10501" i="1"/>
  <c r="AD10511" i="1"/>
  <c r="AD10510" i="1" s="1"/>
  <c r="AB10512" i="1"/>
  <c r="AC10510" i="1"/>
  <c r="N10510" i="1"/>
  <c r="AB10508" i="1"/>
  <c r="AD10507" i="1"/>
  <c r="AD10506" i="1" s="1"/>
  <c r="N10506" i="1"/>
  <c r="AC10506" i="1"/>
  <c r="N10447" i="1"/>
  <c r="N10483" i="1"/>
  <c r="AB10479" i="1"/>
  <c r="H10479" i="1" s="1"/>
  <c r="I10479" i="1" s="1"/>
  <c r="AB10483" i="1"/>
  <c r="H10483" i="1" s="1"/>
  <c r="I10483" i="1" s="1"/>
  <c r="Z10502" i="1"/>
  <c r="AB10502" i="1"/>
  <c r="AC10307" i="1"/>
  <c r="AC10347" i="1"/>
  <c r="Z10498" i="1"/>
  <c r="AB10498" i="1"/>
  <c r="AB10496" i="1"/>
  <c r="AD10495" i="1"/>
  <c r="AD10494" i="1" s="1"/>
  <c r="N10494" i="1"/>
  <c r="AC10494" i="1"/>
  <c r="Z10491" i="1"/>
  <c r="AB10491" i="1"/>
  <c r="Z10488" i="1"/>
  <c r="AB10488" i="1"/>
  <c r="Z10484" i="1"/>
  <c r="AB10484" i="1"/>
  <c r="AC10287" i="1"/>
  <c r="N10292" i="1"/>
  <c r="Z10480" i="1"/>
  <c r="AB10480" i="1"/>
  <c r="AD10476" i="1"/>
  <c r="AD10475" i="1" s="1"/>
  <c r="AB10477" i="1"/>
  <c r="N10475" i="1"/>
  <c r="AC10475" i="1"/>
  <c r="Z10472" i="1"/>
  <c r="AB10472" i="1"/>
  <c r="AC10302" i="1"/>
  <c r="AD10468" i="1"/>
  <c r="AD10467" i="1" s="1"/>
  <c r="AB10469" i="1"/>
  <c r="AC10467" i="1"/>
  <c r="N10467" i="1"/>
  <c r="N10277" i="1"/>
  <c r="AC10461" i="1"/>
  <c r="AD10461" i="1" s="1"/>
  <c r="AB10461" i="1" s="1"/>
  <c r="AC10458" i="1"/>
  <c r="AD10458" i="1" s="1"/>
  <c r="AC10463" i="1"/>
  <c r="AD10463" i="1" s="1"/>
  <c r="AB10463" i="1" s="1"/>
  <c r="AC10462" i="1"/>
  <c r="AD10462" i="1" s="1"/>
  <c r="AB10462" i="1" s="1"/>
  <c r="AC10459" i="1"/>
  <c r="AD10459" i="1" s="1"/>
  <c r="AB10459" i="1" s="1"/>
  <c r="AC10460" i="1"/>
  <c r="AD10460" i="1" s="1"/>
  <c r="AB10460" i="1" s="1"/>
  <c r="AB10465" i="1"/>
  <c r="AD10464" i="1"/>
  <c r="AC10455" i="1"/>
  <c r="AD10455" i="1" s="1"/>
  <c r="AB10455" i="1" s="1"/>
  <c r="AC10450" i="1"/>
  <c r="AD10450" i="1" s="1"/>
  <c r="AB10450" i="1" s="1"/>
  <c r="AC10456" i="1"/>
  <c r="AD10456" i="1" s="1"/>
  <c r="AB10456" i="1" s="1"/>
  <c r="AC10451" i="1"/>
  <c r="AD10451" i="1" s="1"/>
  <c r="AB10451" i="1" s="1"/>
  <c r="AC10452" i="1"/>
  <c r="AD10452" i="1" s="1"/>
  <c r="AB10452" i="1" s="1"/>
  <c r="AC10454" i="1"/>
  <c r="AD10454" i="1" s="1"/>
  <c r="AB10454" i="1" s="1"/>
  <c r="AC10449" i="1"/>
  <c r="AD10449" i="1" s="1"/>
  <c r="AC10453" i="1"/>
  <c r="AD10453" i="1" s="1"/>
  <c r="AB10453" i="1" s="1"/>
  <c r="AC10436" i="1"/>
  <c r="AD10436" i="1" s="1"/>
  <c r="AB10436" i="1" s="1"/>
  <c r="AC10431" i="1"/>
  <c r="AD10431" i="1" s="1"/>
  <c r="AB10431" i="1" s="1"/>
  <c r="AC10433" i="1"/>
  <c r="AD10433" i="1" s="1"/>
  <c r="AB10433" i="1" s="1"/>
  <c r="AC10435" i="1"/>
  <c r="AD10435" i="1" s="1"/>
  <c r="AB10435" i="1" s="1"/>
  <c r="AC10430" i="1"/>
  <c r="AD10430" i="1" s="1"/>
  <c r="AC10437" i="1"/>
  <c r="AD10437" i="1" s="1"/>
  <c r="AB10437" i="1" s="1"/>
  <c r="AC10432" i="1"/>
  <c r="AD10432" i="1" s="1"/>
  <c r="AB10432" i="1" s="1"/>
  <c r="AC10434" i="1"/>
  <c r="AD10434" i="1" s="1"/>
  <c r="AB10434" i="1" s="1"/>
  <c r="AC10442" i="1"/>
  <c r="AD10442" i="1" s="1"/>
  <c r="AB10442" i="1" s="1"/>
  <c r="AC10439" i="1"/>
  <c r="AD10439" i="1" s="1"/>
  <c r="AC10444" i="1"/>
  <c r="AD10444" i="1" s="1"/>
  <c r="AB10444" i="1" s="1"/>
  <c r="AC10441" i="1"/>
  <c r="AD10441" i="1" s="1"/>
  <c r="AB10441" i="1" s="1"/>
  <c r="AC10443" i="1"/>
  <c r="AD10443" i="1" s="1"/>
  <c r="AB10443" i="1" s="1"/>
  <c r="AC10440" i="1"/>
  <c r="AD10440" i="1" s="1"/>
  <c r="AB10440" i="1" s="1"/>
  <c r="AD10445" i="1"/>
  <c r="AB10446" i="1"/>
  <c r="AC10413" i="1"/>
  <c r="AD10413" i="1" s="1"/>
  <c r="AB10413" i="1" s="1"/>
  <c r="AC10415" i="1"/>
  <c r="AD10415" i="1" s="1"/>
  <c r="AB10415" i="1" s="1"/>
  <c r="AC10410" i="1"/>
  <c r="AD10410" i="1" s="1"/>
  <c r="AB10410" i="1" s="1"/>
  <c r="AC10412" i="1"/>
  <c r="AD10412" i="1" s="1"/>
  <c r="AB10412" i="1" s="1"/>
  <c r="AC10414" i="1"/>
  <c r="AD10414" i="1" s="1"/>
  <c r="AB10414" i="1" s="1"/>
  <c r="AC10409" i="1"/>
  <c r="AD10409" i="1" s="1"/>
  <c r="AC10411" i="1"/>
  <c r="AD10411" i="1" s="1"/>
  <c r="AB10411" i="1" s="1"/>
  <c r="AC10416" i="1"/>
  <c r="AD10416" i="1" s="1"/>
  <c r="AB10416" i="1" s="1"/>
  <c r="AC10422" i="1"/>
  <c r="AD10422" i="1" s="1"/>
  <c r="AB10422" i="1" s="1"/>
  <c r="AC10419" i="1"/>
  <c r="AD10419" i="1" s="1"/>
  <c r="AB10419" i="1" s="1"/>
  <c r="AC10424" i="1"/>
  <c r="AD10424" i="1" s="1"/>
  <c r="AB10424" i="1" s="1"/>
  <c r="AC10421" i="1"/>
  <c r="AD10421" i="1" s="1"/>
  <c r="AB10421" i="1" s="1"/>
  <c r="AC10418" i="1"/>
  <c r="AD10418" i="1" s="1"/>
  <c r="AC10423" i="1"/>
  <c r="AD10423" i="1" s="1"/>
  <c r="AB10423" i="1" s="1"/>
  <c r="AC10420" i="1"/>
  <c r="AD10420" i="1" s="1"/>
  <c r="AB10420" i="1" s="1"/>
  <c r="AB10426" i="1"/>
  <c r="AD10425" i="1"/>
  <c r="AC10401" i="1"/>
  <c r="AD10401" i="1" s="1"/>
  <c r="AB10401" i="1" s="1"/>
  <c r="AC10398" i="1"/>
  <c r="AD10398" i="1" s="1"/>
  <c r="AC10402" i="1"/>
  <c r="AD10402" i="1" s="1"/>
  <c r="AB10402" i="1" s="1"/>
  <c r="AC10399" i="1"/>
  <c r="AD10399" i="1" s="1"/>
  <c r="AB10399" i="1" s="1"/>
  <c r="AC10400" i="1"/>
  <c r="AD10400" i="1" s="1"/>
  <c r="AB10400" i="1" s="1"/>
  <c r="AC10404" i="1"/>
  <c r="AD10404" i="1" s="1"/>
  <c r="AB10404" i="1" s="1"/>
  <c r="AC10403" i="1"/>
  <c r="AD10403" i="1" s="1"/>
  <c r="AB10403" i="1" s="1"/>
  <c r="AC10393" i="1"/>
  <c r="AD10393" i="1" s="1"/>
  <c r="AB10393" i="1" s="1"/>
  <c r="AC10394" i="1"/>
  <c r="AD10394" i="1" s="1"/>
  <c r="AB10394" i="1" s="1"/>
  <c r="AC10389" i="1"/>
  <c r="AD10389" i="1" s="1"/>
  <c r="AC10395" i="1"/>
  <c r="AD10395" i="1" s="1"/>
  <c r="AB10395" i="1" s="1"/>
  <c r="AC10390" i="1"/>
  <c r="AD10390" i="1" s="1"/>
  <c r="AB10390" i="1" s="1"/>
  <c r="AC10392" i="1"/>
  <c r="AD10392" i="1" s="1"/>
  <c r="AB10392" i="1" s="1"/>
  <c r="AC10396" i="1"/>
  <c r="AD10396" i="1" s="1"/>
  <c r="AB10396" i="1" s="1"/>
  <c r="AC10391" i="1"/>
  <c r="AD10391" i="1" s="1"/>
  <c r="AB10391" i="1" s="1"/>
  <c r="AB10406" i="1"/>
  <c r="AD10405" i="1"/>
  <c r="N10387" i="1"/>
  <c r="AC10387" i="1"/>
  <c r="AC10382" i="1"/>
  <c r="AD10382" i="1" s="1"/>
  <c r="AB10382" i="1" s="1"/>
  <c r="AC10379" i="1"/>
  <c r="AD10379" i="1" s="1"/>
  <c r="AB10379" i="1" s="1"/>
  <c r="AC10383" i="1"/>
  <c r="AD10383" i="1" s="1"/>
  <c r="AB10383" i="1" s="1"/>
  <c r="AC10381" i="1"/>
  <c r="AD10381" i="1" s="1"/>
  <c r="AB10381" i="1" s="1"/>
  <c r="AC10378" i="1"/>
  <c r="AD10378" i="1" s="1"/>
  <c r="AC10384" i="1"/>
  <c r="AD10384" i="1" s="1"/>
  <c r="AB10384" i="1" s="1"/>
  <c r="AC10380" i="1"/>
  <c r="AD10380" i="1" s="1"/>
  <c r="AB10380" i="1" s="1"/>
  <c r="AC10373" i="1"/>
  <c r="AD10373" i="1" s="1"/>
  <c r="AB10373" i="1" s="1"/>
  <c r="AC10375" i="1"/>
  <c r="AD10375" i="1" s="1"/>
  <c r="AB10375" i="1" s="1"/>
  <c r="AC10370" i="1"/>
  <c r="AD10370" i="1" s="1"/>
  <c r="AB10370" i="1" s="1"/>
  <c r="AC10372" i="1"/>
  <c r="AD10372" i="1" s="1"/>
  <c r="AB10372" i="1" s="1"/>
  <c r="AC10374" i="1"/>
  <c r="AD10374" i="1" s="1"/>
  <c r="AB10374" i="1" s="1"/>
  <c r="AC10369" i="1"/>
  <c r="AD10369" i="1" s="1"/>
  <c r="AC10376" i="1"/>
  <c r="AD10376" i="1" s="1"/>
  <c r="AB10376" i="1" s="1"/>
  <c r="AC10371" i="1"/>
  <c r="AD10371" i="1" s="1"/>
  <c r="AB10371" i="1" s="1"/>
  <c r="AB10386" i="1"/>
  <c r="AD10385" i="1"/>
  <c r="AC10282" i="1"/>
  <c r="AB10366" i="1"/>
  <c r="AD10365" i="1"/>
  <c r="AC10355" i="1"/>
  <c r="AD10355" i="1" s="1"/>
  <c r="AB10355" i="1" s="1"/>
  <c r="AC10350" i="1"/>
  <c r="AD10350" i="1" s="1"/>
  <c r="AB10350" i="1" s="1"/>
  <c r="AC10349" i="1"/>
  <c r="AD10349" i="1" s="1"/>
  <c r="AC10356" i="1"/>
  <c r="AD10356" i="1" s="1"/>
  <c r="AB10356" i="1" s="1"/>
  <c r="AC10351" i="1"/>
  <c r="AD10351" i="1" s="1"/>
  <c r="AB10351" i="1" s="1"/>
  <c r="AC10353" i="1"/>
  <c r="AD10353" i="1" s="1"/>
  <c r="AB10353" i="1" s="1"/>
  <c r="AC10352" i="1"/>
  <c r="AD10352" i="1" s="1"/>
  <c r="AB10352" i="1" s="1"/>
  <c r="AC10354" i="1"/>
  <c r="AD10354" i="1" s="1"/>
  <c r="AB10354" i="1" s="1"/>
  <c r="AC10363" i="1"/>
  <c r="AD10363" i="1" s="1"/>
  <c r="AB10363" i="1" s="1"/>
  <c r="AC10361" i="1"/>
  <c r="AD10361" i="1" s="1"/>
  <c r="AB10361" i="1" s="1"/>
  <c r="AC10358" i="1"/>
  <c r="AD10358" i="1" s="1"/>
  <c r="AC10362" i="1"/>
  <c r="AD10362" i="1" s="1"/>
  <c r="AB10362" i="1" s="1"/>
  <c r="AC10359" i="1"/>
  <c r="AD10359" i="1" s="1"/>
  <c r="AB10359" i="1" s="1"/>
  <c r="AC10364" i="1"/>
  <c r="AD10364" i="1" s="1"/>
  <c r="AB10364" i="1" s="1"/>
  <c r="AC10360" i="1"/>
  <c r="AD10360" i="1" s="1"/>
  <c r="AB10360" i="1" s="1"/>
  <c r="AC10315" i="1"/>
  <c r="AD10315" i="1" s="1"/>
  <c r="AB10315" i="1" s="1"/>
  <c r="AC10316" i="1"/>
  <c r="AD10316" i="1" s="1"/>
  <c r="AB10316" i="1" s="1"/>
  <c r="AC10314" i="1"/>
  <c r="AD10314" i="1" s="1"/>
  <c r="AC10312" i="1"/>
  <c r="N10312" i="1"/>
  <c r="AD10308" i="1"/>
  <c r="AD10307" i="1" s="1"/>
  <c r="AB10309" i="1"/>
  <c r="AD10303" i="1"/>
  <c r="AD10302" i="1" s="1"/>
  <c r="AB10304" i="1"/>
  <c r="AC10301" i="1"/>
  <c r="AD10301" i="1" s="1"/>
  <c r="AB10301" i="1" s="1"/>
  <c r="AC10300" i="1"/>
  <c r="AD10300" i="1" s="1"/>
  <c r="AB10300" i="1" s="1"/>
  <c r="AC10299" i="1"/>
  <c r="AD10299" i="1" s="1"/>
  <c r="N10297" i="1"/>
  <c r="AC10297" i="1"/>
  <c r="AB10294" i="1"/>
  <c r="AD10293" i="1"/>
  <c r="AD10292" i="1" s="1"/>
  <c r="AB10292" i="1" s="1"/>
  <c r="AD10288" i="1"/>
  <c r="AD10287" i="1" s="1"/>
  <c r="AB10289" i="1"/>
  <c r="AD10283" i="1"/>
  <c r="AD10282" i="1" s="1"/>
  <c r="AB10284" i="1"/>
  <c r="AD10278" i="1"/>
  <c r="AD10277" i="1" s="1"/>
  <c r="AB10277" i="1" s="1"/>
  <c r="AB10279" i="1"/>
  <c r="N10222" i="1"/>
  <c r="AC10260" i="1"/>
  <c r="AD10260" i="1" s="1"/>
  <c r="AC10262" i="1"/>
  <c r="AD10262" i="1" s="1"/>
  <c r="AB10262" i="1" s="1"/>
  <c r="AC10261" i="1"/>
  <c r="AD10261" i="1" s="1"/>
  <c r="AB10261" i="1" s="1"/>
  <c r="AC10268" i="1"/>
  <c r="AD10268" i="1" s="1"/>
  <c r="AB10268" i="1" s="1"/>
  <c r="AC10267" i="1"/>
  <c r="AD10267" i="1" s="1"/>
  <c r="AC10269" i="1"/>
  <c r="AD10269" i="1" s="1"/>
  <c r="AB10269" i="1" s="1"/>
  <c r="AC10272" i="1"/>
  <c r="AD10272" i="1" s="1"/>
  <c r="AB10272" i="1" s="1"/>
  <c r="AC10271" i="1"/>
  <c r="AD10271" i="1" s="1"/>
  <c r="AC10264" i="1"/>
  <c r="AD10264" i="1" s="1"/>
  <c r="AC10265" i="1"/>
  <c r="AD10265" i="1" s="1"/>
  <c r="AB10265" i="1" s="1"/>
  <c r="AC10275" i="1"/>
  <c r="AD10275" i="1" s="1"/>
  <c r="AB10275" i="1" s="1"/>
  <c r="AC10274" i="1"/>
  <c r="AD10274" i="1" s="1"/>
  <c r="AC10276" i="1"/>
  <c r="AD10276" i="1" s="1"/>
  <c r="AB10276" i="1" s="1"/>
  <c r="N10258" i="1"/>
  <c r="AC10258" i="1"/>
  <c r="AC10250" i="1"/>
  <c r="AD10250" i="1" s="1"/>
  <c r="AB10250" i="1" s="1"/>
  <c r="AC10249" i="1"/>
  <c r="AD10249" i="1" s="1"/>
  <c r="AB10249" i="1" s="1"/>
  <c r="AC10248" i="1"/>
  <c r="AD10248" i="1" s="1"/>
  <c r="AC10257" i="1"/>
  <c r="AD10257" i="1" s="1"/>
  <c r="AB10257" i="1" s="1"/>
  <c r="AC10256" i="1"/>
  <c r="AD10256" i="1" s="1"/>
  <c r="AB10256" i="1" s="1"/>
  <c r="AC10255" i="1"/>
  <c r="AD10255" i="1" s="1"/>
  <c r="AC10246" i="1"/>
  <c r="AD10246" i="1" s="1"/>
  <c r="AB10246" i="1" s="1"/>
  <c r="AC10245" i="1"/>
  <c r="AD10245" i="1" s="1"/>
  <c r="AC10253" i="1"/>
  <c r="AD10253" i="1" s="1"/>
  <c r="AB10253" i="1" s="1"/>
  <c r="AC10252" i="1"/>
  <c r="AD10252" i="1" s="1"/>
  <c r="AC10241" i="1"/>
  <c r="AD10241" i="1" s="1"/>
  <c r="AB10241" i="1" s="1"/>
  <c r="AC10243" i="1"/>
  <c r="AD10243" i="1" s="1"/>
  <c r="AB10243" i="1" s="1"/>
  <c r="AC10242" i="1"/>
  <c r="AD10242" i="1" s="1"/>
  <c r="N10206" i="1"/>
  <c r="AC10239" i="1"/>
  <c r="N10239" i="1"/>
  <c r="AD10236" i="1"/>
  <c r="AB10237" i="1"/>
  <c r="AC10218" i="1"/>
  <c r="N10210" i="1"/>
  <c r="AB10235" i="1"/>
  <c r="AD10234" i="1"/>
  <c r="N10233" i="1"/>
  <c r="AC10233" i="1"/>
  <c r="AC10232" i="1"/>
  <c r="AD10232" i="1" s="1"/>
  <c r="AC10230" i="1"/>
  <c r="N10230" i="1"/>
  <c r="AC10229" i="1"/>
  <c r="AD10229" i="1" s="1"/>
  <c r="AB10229" i="1" s="1"/>
  <c r="AC10228" i="1"/>
  <c r="AD10228" i="1" s="1"/>
  <c r="AC10202" i="1"/>
  <c r="N10226" i="1"/>
  <c r="AC10226" i="1"/>
  <c r="AB10224" i="1"/>
  <c r="AD10223" i="1"/>
  <c r="AD10222" i="1" s="1"/>
  <c r="AB10222" i="1" s="1"/>
  <c r="AD10219" i="1"/>
  <c r="AD10218" i="1" s="1"/>
  <c r="AB10220" i="1"/>
  <c r="AC10217" i="1"/>
  <c r="AD10217" i="1" s="1"/>
  <c r="AB10217" i="1" s="1"/>
  <c r="AC10216" i="1"/>
  <c r="AD10216" i="1" s="1"/>
  <c r="N10214" i="1"/>
  <c r="AC10214" i="1"/>
  <c r="N10198" i="1"/>
  <c r="AD10211" i="1"/>
  <c r="AD10210" i="1" s="1"/>
  <c r="AB10210" i="1" s="1"/>
  <c r="AB10212" i="1"/>
  <c r="AD10207" i="1"/>
  <c r="AD10206" i="1" s="1"/>
  <c r="AB10206" i="1" s="1"/>
  <c r="AB10208" i="1"/>
  <c r="AB10204" i="1"/>
  <c r="AD10203" i="1"/>
  <c r="AB10200" i="1"/>
  <c r="AD10199" i="1"/>
  <c r="N10089" i="1"/>
  <c r="AC10152" i="1"/>
  <c r="AD10152" i="1" s="1"/>
  <c r="AB10152" i="1" s="1"/>
  <c r="AC10150" i="1"/>
  <c r="AD10150" i="1" s="1"/>
  <c r="AB10150" i="1" s="1"/>
  <c r="AC10148" i="1"/>
  <c r="AD10148" i="1" s="1"/>
  <c r="AC10151" i="1"/>
  <c r="AD10151" i="1" s="1"/>
  <c r="AB10151" i="1" s="1"/>
  <c r="AC10149" i="1"/>
  <c r="AD10149" i="1" s="1"/>
  <c r="AB10149" i="1" s="1"/>
  <c r="AC10146" i="1"/>
  <c r="N10146" i="1"/>
  <c r="AC10167" i="1"/>
  <c r="AD10167" i="1" s="1"/>
  <c r="AB10167" i="1" s="1"/>
  <c r="AC10165" i="1"/>
  <c r="AD10165" i="1" s="1"/>
  <c r="AB10165" i="1" s="1"/>
  <c r="AC10168" i="1"/>
  <c r="AD10168" i="1" s="1"/>
  <c r="AB10168" i="1" s="1"/>
  <c r="AC10166" i="1"/>
  <c r="AD10166" i="1" s="1"/>
  <c r="AB10166" i="1" s="1"/>
  <c r="AC10164" i="1"/>
  <c r="AD10164" i="1" s="1"/>
  <c r="AC10155" i="1"/>
  <c r="AD10155" i="1" s="1"/>
  <c r="AC10156" i="1"/>
  <c r="AD10156" i="1" s="1"/>
  <c r="AB10156" i="1" s="1"/>
  <c r="AC10162" i="1"/>
  <c r="AD10162" i="1" s="1"/>
  <c r="AB10162" i="1" s="1"/>
  <c r="AC10160" i="1"/>
  <c r="AD10160" i="1" s="1"/>
  <c r="AB10160" i="1" s="1"/>
  <c r="AC10157" i="1"/>
  <c r="AD10157" i="1" s="1"/>
  <c r="AB10157" i="1" s="1"/>
  <c r="AC10159" i="1"/>
  <c r="AD10159" i="1" s="1"/>
  <c r="AB10159" i="1" s="1"/>
  <c r="AC10161" i="1"/>
  <c r="AD10161" i="1" s="1"/>
  <c r="AB10161" i="1" s="1"/>
  <c r="AC10158" i="1"/>
  <c r="AD10158" i="1" s="1"/>
  <c r="AB10158" i="1" s="1"/>
  <c r="AC10176" i="1"/>
  <c r="AD10176" i="1" s="1"/>
  <c r="AB10176" i="1" s="1"/>
  <c r="AC10174" i="1"/>
  <c r="AD10174" i="1" s="1"/>
  <c r="AB10174" i="1" s="1"/>
  <c r="AC10178" i="1"/>
  <c r="AD10178" i="1" s="1"/>
  <c r="AB10178" i="1" s="1"/>
  <c r="AC10175" i="1"/>
  <c r="AD10175" i="1" s="1"/>
  <c r="AB10175" i="1" s="1"/>
  <c r="AC10173" i="1"/>
  <c r="AD10173" i="1" s="1"/>
  <c r="AC10177" i="1"/>
  <c r="AD10177" i="1" s="1"/>
  <c r="AB10177" i="1" s="1"/>
  <c r="AC10171" i="1"/>
  <c r="AD10171" i="1" s="1"/>
  <c r="AB10171" i="1" s="1"/>
  <c r="AC10170" i="1"/>
  <c r="AD10170" i="1" s="1"/>
  <c r="AC10153" i="1"/>
  <c r="N10153" i="1"/>
  <c r="AB10181" i="1"/>
  <c r="AD10180" i="1"/>
  <c r="AC10186" i="1"/>
  <c r="AD10186" i="1" s="1"/>
  <c r="AB10186" i="1" s="1"/>
  <c r="AC10184" i="1"/>
  <c r="AD10184" i="1" s="1"/>
  <c r="AB10184" i="1" s="1"/>
  <c r="AC10187" i="1"/>
  <c r="AD10187" i="1" s="1"/>
  <c r="AB10187" i="1" s="1"/>
  <c r="AC10185" i="1"/>
  <c r="AD10185" i="1" s="1"/>
  <c r="AB10185" i="1" s="1"/>
  <c r="AC10183" i="1"/>
  <c r="AD10183" i="1" s="1"/>
  <c r="AC10195" i="1"/>
  <c r="AD10195" i="1" s="1"/>
  <c r="AB10195" i="1" s="1"/>
  <c r="AC10193" i="1"/>
  <c r="AD10193" i="1" s="1"/>
  <c r="AB10193" i="1" s="1"/>
  <c r="AC10196" i="1"/>
  <c r="AD10196" i="1" s="1"/>
  <c r="AB10196" i="1" s="1"/>
  <c r="AC10197" i="1"/>
  <c r="AD10197" i="1" s="1"/>
  <c r="AB10197" i="1" s="1"/>
  <c r="AC10194" i="1"/>
  <c r="AD10194" i="1" s="1"/>
  <c r="AB10194" i="1" s="1"/>
  <c r="AC10192" i="1"/>
  <c r="AD10192" i="1" s="1"/>
  <c r="AC10190" i="1"/>
  <c r="AD10190" i="1" s="1"/>
  <c r="AB10190" i="1" s="1"/>
  <c r="AC10189" i="1"/>
  <c r="AD10189" i="1" s="1"/>
  <c r="N10179" i="1"/>
  <c r="AC10179" i="1"/>
  <c r="AC10142" i="1"/>
  <c r="AD10142" i="1" s="1"/>
  <c r="AB10142" i="1" s="1"/>
  <c r="AC10137" i="1"/>
  <c r="AD10137" i="1" s="1"/>
  <c r="AB10137" i="1" s="1"/>
  <c r="AC10139" i="1"/>
  <c r="AD10139" i="1" s="1"/>
  <c r="AB10139" i="1" s="1"/>
  <c r="AC10144" i="1"/>
  <c r="AD10144" i="1" s="1"/>
  <c r="AB10144" i="1" s="1"/>
  <c r="AC10141" i="1"/>
  <c r="AD10141" i="1" s="1"/>
  <c r="AB10141" i="1" s="1"/>
  <c r="AC10136" i="1"/>
  <c r="AD10136" i="1" s="1"/>
  <c r="AC10143" i="1"/>
  <c r="AD10143" i="1" s="1"/>
  <c r="AB10143" i="1" s="1"/>
  <c r="AC10138" i="1"/>
  <c r="AD10138" i="1" s="1"/>
  <c r="AB10138" i="1" s="1"/>
  <c r="AC10140" i="1"/>
  <c r="AD10140" i="1" s="1"/>
  <c r="AB10140" i="1" s="1"/>
  <c r="AC10145" i="1"/>
  <c r="AD10145" i="1" s="1"/>
  <c r="AB10145" i="1" s="1"/>
  <c r="AC10131" i="1"/>
  <c r="AD10131" i="1" s="1"/>
  <c r="AB10131" i="1" s="1"/>
  <c r="AC10133" i="1"/>
  <c r="AD10133" i="1" s="1"/>
  <c r="AB10133" i="1" s="1"/>
  <c r="AC10130" i="1"/>
  <c r="AD10130" i="1" s="1"/>
  <c r="AB10130" i="1" s="1"/>
  <c r="AC10132" i="1"/>
  <c r="AD10132" i="1" s="1"/>
  <c r="AB10132" i="1" s="1"/>
  <c r="AC10134" i="1"/>
  <c r="AD10134" i="1" s="1"/>
  <c r="AB10134" i="1" s="1"/>
  <c r="AC10129" i="1"/>
  <c r="AD10129" i="1" s="1"/>
  <c r="N10127" i="1"/>
  <c r="AC10127" i="1"/>
  <c r="AC10121" i="1"/>
  <c r="AD10121" i="1" s="1"/>
  <c r="AB10121" i="1" s="1"/>
  <c r="AC10123" i="1"/>
  <c r="AD10123" i="1" s="1"/>
  <c r="AB10123" i="1" s="1"/>
  <c r="AC10118" i="1"/>
  <c r="AD10118" i="1" s="1"/>
  <c r="AB10118" i="1" s="1"/>
  <c r="AC10120" i="1"/>
  <c r="AD10120" i="1" s="1"/>
  <c r="AB10120" i="1" s="1"/>
  <c r="AC10125" i="1"/>
  <c r="AD10125" i="1" s="1"/>
  <c r="AB10125" i="1" s="1"/>
  <c r="AC10117" i="1"/>
  <c r="AD10117" i="1" s="1"/>
  <c r="AC10124" i="1"/>
  <c r="AD10124" i="1" s="1"/>
  <c r="AB10124" i="1" s="1"/>
  <c r="AC10119" i="1"/>
  <c r="AD10119" i="1" s="1"/>
  <c r="AB10119" i="1" s="1"/>
  <c r="AC10126" i="1"/>
  <c r="AD10126" i="1" s="1"/>
  <c r="AB10126" i="1" s="1"/>
  <c r="AC10122" i="1"/>
  <c r="AD10122" i="1" s="1"/>
  <c r="AB10122" i="1" s="1"/>
  <c r="AC10115" i="1"/>
  <c r="AD10115" i="1" s="1"/>
  <c r="AB10115" i="1" s="1"/>
  <c r="AC10110" i="1"/>
  <c r="AD10110" i="1" s="1"/>
  <c r="AC10112" i="1"/>
  <c r="AD10112" i="1" s="1"/>
  <c r="AB10112" i="1" s="1"/>
  <c r="AC10114" i="1"/>
  <c r="AD10114" i="1" s="1"/>
  <c r="AB10114" i="1" s="1"/>
  <c r="AC10111" i="1"/>
  <c r="AD10111" i="1" s="1"/>
  <c r="AB10111" i="1" s="1"/>
  <c r="AC10113" i="1"/>
  <c r="AD10113" i="1" s="1"/>
  <c r="AB10113" i="1" s="1"/>
  <c r="AC10108" i="1"/>
  <c r="N10108" i="1"/>
  <c r="AC10096" i="1"/>
  <c r="AD10096" i="1" s="1"/>
  <c r="AB10096" i="1" s="1"/>
  <c r="AC10091" i="1"/>
  <c r="AD10091" i="1" s="1"/>
  <c r="AC10093" i="1"/>
  <c r="AD10093" i="1" s="1"/>
  <c r="AB10093" i="1" s="1"/>
  <c r="AC10095" i="1"/>
  <c r="AD10095" i="1" s="1"/>
  <c r="AB10095" i="1" s="1"/>
  <c r="AC10092" i="1"/>
  <c r="AD10092" i="1" s="1"/>
  <c r="AB10092" i="1" s="1"/>
  <c r="AC10094" i="1"/>
  <c r="AD10094" i="1" s="1"/>
  <c r="AB10094" i="1" s="1"/>
  <c r="AC10102" i="1"/>
  <c r="AD10102" i="1" s="1"/>
  <c r="AB10102" i="1" s="1"/>
  <c r="AC10104" i="1"/>
  <c r="AD10104" i="1" s="1"/>
  <c r="AB10104" i="1" s="1"/>
  <c r="AC10101" i="1"/>
  <c r="AD10101" i="1" s="1"/>
  <c r="AB10101" i="1" s="1"/>
  <c r="AC10106" i="1"/>
  <c r="AD10106" i="1" s="1"/>
  <c r="AB10106" i="1" s="1"/>
  <c r="AC10105" i="1"/>
  <c r="AD10105" i="1" s="1"/>
  <c r="AB10105" i="1" s="1"/>
  <c r="AC10100" i="1"/>
  <c r="AD10100" i="1" s="1"/>
  <c r="AB10100" i="1" s="1"/>
  <c r="AC10107" i="1"/>
  <c r="AD10107" i="1" s="1"/>
  <c r="AB10107" i="1" s="1"/>
  <c r="AC10099" i="1"/>
  <c r="AD10099" i="1" s="1"/>
  <c r="AB10099" i="1" s="1"/>
  <c r="AC10103" i="1"/>
  <c r="AD10103" i="1" s="1"/>
  <c r="AB10103" i="1" s="1"/>
  <c r="AC10098" i="1"/>
  <c r="AD10098" i="1" s="1"/>
  <c r="AC10083" i="1"/>
  <c r="AD10083" i="1" s="1"/>
  <c r="AB10083" i="1" s="1"/>
  <c r="AC10088" i="1"/>
  <c r="AD10088" i="1" s="1"/>
  <c r="AB10088" i="1" s="1"/>
  <c r="AC10085" i="1"/>
  <c r="AD10085" i="1" s="1"/>
  <c r="AB10085" i="1" s="1"/>
  <c r="AC10080" i="1"/>
  <c r="AD10080" i="1" s="1"/>
  <c r="AB10080" i="1" s="1"/>
  <c r="AC10082" i="1"/>
  <c r="AD10082" i="1" s="1"/>
  <c r="AB10082" i="1" s="1"/>
  <c r="AC10087" i="1"/>
  <c r="AD10087" i="1" s="1"/>
  <c r="AB10087" i="1" s="1"/>
  <c r="AC10084" i="1"/>
  <c r="AD10084" i="1" s="1"/>
  <c r="AB10084" i="1" s="1"/>
  <c r="AC10079" i="1"/>
  <c r="AD10079" i="1" s="1"/>
  <c r="AC10086" i="1"/>
  <c r="AD10086" i="1" s="1"/>
  <c r="AB10086" i="1" s="1"/>
  <c r="AC10081" i="1"/>
  <c r="AD10081" i="1" s="1"/>
  <c r="AB10081" i="1" s="1"/>
  <c r="N10010" i="1"/>
  <c r="AC10077" i="1"/>
  <c r="AD10077" i="1" s="1"/>
  <c r="AB10077" i="1" s="1"/>
  <c r="AC10072" i="1"/>
  <c r="AD10072" i="1" s="1"/>
  <c r="AC10074" i="1"/>
  <c r="AD10074" i="1" s="1"/>
  <c r="AB10074" i="1" s="1"/>
  <c r="AC10076" i="1"/>
  <c r="AD10076" i="1" s="1"/>
  <c r="AB10076" i="1" s="1"/>
  <c r="AC10073" i="1"/>
  <c r="AD10073" i="1" s="1"/>
  <c r="AB10073" i="1" s="1"/>
  <c r="AC10075" i="1"/>
  <c r="AD10075" i="1" s="1"/>
  <c r="AB10075" i="1" s="1"/>
  <c r="AC9990" i="1"/>
  <c r="AC10070" i="1"/>
  <c r="N10070" i="1"/>
  <c r="AB10069" i="1"/>
  <c r="AD10068" i="1"/>
  <c r="AD10067" i="1" s="1"/>
  <c r="AC10067" i="1"/>
  <c r="N10067" i="1"/>
  <c r="AB10062" i="1"/>
  <c r="AC10057" i="1"/>
  <c r="AD10057" i="1" s="1"/>
  <c r="AB10057" i="1" s="1"/>
  <c r="AC10053" i="1"/>
  <c r="AD10053" i="1" s="1"/>
  <c r="AC10054" i="1"/>
  <c r="AD10054" i="1" s="1"/>
  <c r="AB10054" i="1" s="1"/>
  <c r="AC10056" i="1"/>
  <c r="AD10056" i="1" s="1"/>
  <c r="AB10056" i="1" s="1"/>
  <c r="AC10055" i="1"/>
  <c r="AD10055" i="1" s="1"/>
  <c r="AB10055" i="1" s="1"/>
  <c r="AC10059" i="1"/>
  <c r="AD10059" i="1" s="1"/>
  <c r="AC10060" i="1"/>
  <c r="AD10060" i="1" s="1"/>
  <c r="AB10060" i="1" s="1"/>
  <c r="AC10041" i="1"/>
  <c r="AD10041" i="1" s="1"/>
  <c r="AB10041" i="1" s="1"/>
  <c r="AC10042" i="1"/>
  <c r="AD10042" i="1" s="1"/>
  <c r="AB10042" i="1" s="1"/>
  <c r="AC10043" i="1"/>
  <c r="AD10043" i="1" s="1"/>
  <c r="AB10043" i="1" s="1"/>
  <c r="AC10040" i="1"/>
  <c r="AD10040" i="1" s="1"/>
  <c r="AC10065" i="1"/>
  <c r="AD10065" i="1" s="1"/>
  <c r="AB10065" i="1" s="1"/>
  <c r="AC10066" i="1"/>
  <c r="AD10066" i="1" s="1"/>
  <c r="AB10066" i="1" s="1"/>
  <c r="AC10064" i="1"/>
  <c r="AD10064" i="1" s="1"/>
  <c r="AB10064" i="1" s="1"/>
  <c r="AC10063" i="1"/>
  <c r="AD10063" i="1" s="1"/>
  <c r="AC10050" i="1"/>
  <c r="AD10050" i="1" s="1"/>
  <c r="AC10051" i="1"/>
  <c r="AD10051" i="1" s="1"/>
  <c r="AB10051" i="1" s="1"/>
  <c r="AC10048" i="1"/>
  <c r="AD10048" i="1" s="1"/>
  <c r="AB10048" i="1" s="1"/>
  <c r="AC10046" i="1"/>
  <c r="AD10046" i="1" s="1"/>
  <c r="AB10046" i="1" s="1"/>
  <c r="AC10047" i="1"/>
  <c r="AD10047" i="1" s="1"/>
  <c r="AB10047" i="1" s="1"/>
  <c r="AC10045" i="1"/>
  <c r="AD10045" i="1" s="1"/>
  <c r="AC10038" i="1"/>
  <c r="N10038" i="1"/>
  <c r="AC10024" i="1"/>
  <c r="AD10024" i="1" s="1"/>
  <c r="AB10024" i="1" s="1"/>
  <c r="AC10020" i="1"/>
  <c r="AD10020" i="1" s="1"/>
  <c r="AB10020" i="1" s="1"/>
  <c r="AC10022" i="1"/>
  <c r="AD10022" i="1" s="1"/>
  <c r="AB10022" i="1" s="1"/>
  <c r="AC10021" i="1"/>
  <c r="AD10021" i="1" s="1"/>
  <c r="AB10021" i="1" s="1"/>
  <c r="M10033" i="1"/>
  <c r="AC10033" i="1" s="1"/>
  <c r="M10028" i="1"/>
  <c r="AC10028" i="1" s="1"/>
  <c r="AC10027" i="1"/>
  <c r="AD10027" i="1" s="1"/>
  <c r="AB10027" i="1" s="1"/>
  <c r="AC10026" i="1"/>
  <c r="AD10026" i="1" s="1"/>
  <c r="AC9984" i="1"/>
  <c r="AB9984" i="1" s="1"/>
  <c r="AC10013" i="1"/>
  <c r="AD10013" i="1" s="1"/>
  <c r="AB10013" i="1" s="1"/>
  <c r="AC10014" i="1"/>
  <c r="AD10014" i="1" s="1"/>
  <c r="AB10014" i="1" s="1"/>
  <c r="AC10012" i="1"/>
  <c r="AD10012" i="1" s="1"/>
  <c r="AC10017" i="1"/>
  <c r="AD10017" i="1" s="1"/>
  <c r="AC10018" i="1"/>
  <c r="AD10018" i="1" s="1"/>
  <c r="AB10018" i="1" s="1"/>
  <c r="AC9994" i="1"/>
  <c r="AC9997" i="1"/>
  <c r="AC9998" i="1"/>
  <c r="AC9996" i="1"/>
  <c r="AC9995" i="1"/>
  <c r="AC9999" i="1"/>
  <c r="N9932" i="1"/>
  <c r="AD9992" i="1"/>
  <c r="AC10007" i="1"/>
  <c r="AD10007" i="1" s="1"/>
  <c r="AB10007" i="1" s="1"/>
  <c r="AC10005" i="1"/>
  <c r="AD10005" i="1" s="1"/>
  <c r="AB10005" i="1" s="1"/>
  <c r="AC10009" i="1"/>
  <c r="AD10009" i="1" s="1"/>
  <c r="AB10009" i="1" s="1"/>
  <c r="AC10008" i="1"/>
  <c r="AD10008" i="1" s="1"/>
  <c r="AB10008" i="1" s="1"/>
  <c r="AC10006" i="1"/>
  <c r="AD10006" i="1" s="1"/>
  <c r="AB10006" i="1" s="1"/>
  <c r="AC10004" i="1"/>
  <c r="AD10004" i="1" s="1"/>
  <c r="AC9917" i="1"/>
  <c r="AC10002" i="1"/>
  <c r="AD10002" i="1" s="1"/>
  <c r="AB10002" i="1" s="1"/>
  <c r="AC10001" i="1"/>
  <c r="AD10001" i="1" s="1"/>
  <c r="AB9989" i="1"/>
  <c r="AD9988" i="1"/>
  <c r="AD9987" i="1" s="1"/>
  <c r="N9987" i="1"/>
  <c r="AC9987" i="1"/>
  <c r="AB9985" i="1"/>
  <c r="Z9985" i="1"/>
  <c r="AC9739" i="1"/>
  <c r="AC9981" i="1"/>
  <c r="AD9981" i="1" s="1"/>
  <c r="AB9981" i="1" s="1"/>
  <c r="AC9979" i="1"/>
  <c r="AD9979" i="1" s="1"/>
  <c r="AB9979" i="1" s="1"/>
  <c r="AC9980" i="1"/>
  <c r="AD9980" i="1" s="1"/>
  <c r="AB9980" i="1" s="1"/>
  <c r="AC9983" i="1"/>
  <c r="AD9983" i="1" s="1"/>
  <c r="AB9983" i="1" s="1"/>
  <c r="AC9978" i="1"/>
  <c r="AD9978" i="1" s="1"/>
  <c r="AC9982" i="1"/>
  <c r="AD9982" i="1" s="1"/>
  <c r="AB9982" i="1" s="1"/>
  <c r="AC9967" i="1"/>
  <c r="AD9967" i="1" s="1"/>
  <c r="AB9967" i="1" s="1"/>
  <c r="AC9859" i="1"/>
  <c r="AC9971" i="1"/>
  <c r="AD9971" i="1" s="1"/>
  <c r="AB9971" i="1" s="1"/>
  <c r="AC9972" i="1"/>
  <c r="AD9972" i="1" s="1"/>
  <c r="AB9972" i="1" s="1"/>
  <c r="AC9970" i="1"/>
  <c r="AD9970" i="1" s="1"/>
  <c r="AB9970" i="1" s="1"/>
  <c r="AC9973" i="1"/>
  <c r="AD9973" i="1" s="1"/>
  <c r="AB9973" i="1" s="1"/>
  <c r="AC9969" i="1"/>
  <c r="AD9969" i="1" s="1"/>
  <c r="N9926" i="1"/>
  <c r="AC9976" i="1"/>
  <c r="AD9976" i="1" s="1"/>
  <c r="AB9976" i="1" s="1"/>
  <c r="AC9975" i="1"/>
  <c r="AD9975" i="1" s="1"/>
  <c r="N9965" i="1"/>
  <c r="AC9965" i="1"/>
  <c r="AB9934" i="1"/>
  <c r="AD9933" i="1"/>
  <c r="AC9964" i="1"/>
  <c r="AD9964" i="1" s="1"/>
  <c r="AB9964" i="1" s="1"/>
  <c r="AC9961" i="1"/>
  <c r="AD9961" i="1" s="1"/>
  <c r="AB9961" i="1" s="1"/>
  <c r="AC9959" i="1"/>
  <c r="AD9959" i="1" s="1"/>
  <c r="AC9963" i="1"/>
  <c r="AD9963" i="1" s="1"/>
  <c r="AB9963" i="1" s="1"/>
  <c r="AC9962" i="1"/>
  <c r="AD9962" i="1" s="1"/>
  <c r="AB9962" i="1" s="1"/>
  <c r="AC9960" i="1"/>
  <c r="AD9960" i="1" s="1"/>
  <c r="AB9960" i="1" s="1"/>
  <c r="AC9954" i="1"/>
  <c r="AD9954" i="1" s="1"/>
  <c r="AB9954" i="1" s="1"/>
  <c r="AC9952" i="1"/>
  <c r="AD9952" i="1" s="1"/>
  <c r="AB9952" i="1" s="1"/>
  <c r="AC9950" i="1"/>
  <c r="AD9950" i="1" s="1"/>
  <c r="AC9951" i="1"/>
  <c r="AD9951" i="1" s="1"/>
  <c r="AB9951" i="1" s="1"/>
  <c r="AC9953" i="1"/>
  <c r="AD9953" i="1" s="1"/>
  <c r="AB9953" i="1" s="1"/>
  <c r="AC9957" i="1"/>
  <c r="AD9957" i="1" s="1"/>
  <c r="AB9957" i="1" s="1"/>
  <c r="AC9956" i="1"/>
  <c r="AD9956" i="1" s="1"/>
  <c r="AC9941" i="1"/>
  <c r="AD9941" i="1" s="1"/>
  <c r="AC9943" i="1"/>
  <c r="AD9943" i="1" s="1"/>
  <c r="AB9943" i="1" s="1"/>
  <c r="AC9945" i="1"/>
  <c r="AD9945" i="1" s="1"/>
  <c r="AB9945" i="1" s="1"/>
  <c r="AC9947" i="1"/>
  <c r="AD9947" i="1" s="1"/>
  <c r="AB9947" i="1" s="1"/>
  <c r="AC9944" i="1"/>
  <c r="AD9944" i="1" s="1"/>
  <c r="AB9944" i="1" s="1"/>
  <c r="AC9942" i="1"/>
  <c r="AD9942" i="1" s="1"/>
  <c r="AB9942" i="1" s="1"/>
  <c r="AC9946" i="1"/>
  <c r="AD9946" i="1" s="1"/>
  <c r="AB9946" i="1" s="1"/>
  <c r="AC9948" i="1"/>
  <c r="AD9948" i="1" s="1"/>
  <c r="AB9948" i="1" s="1"/>
  <c r="AC9939" i="1"/>
  <c r="N9939" i="1"/>
  <c r="AB9928" i="1"/>
  <c r="AD9927" i="1"/>
  <c r="AD9926" i="1" s="1"/>
  <c r="AB9926" i="1" s="1"/>
  <c r="N9882" i="1"/>
  <c r="AB9919" i="1"/>
  <c r="AD9918" i="1"/>
  <c r="AD9917" i="1" s="1"/>
  <c r="N9728" i="1"/>
  <c r="AC9888" i="1"/>
  <c r="AD9888" i="1" s="1"/>
  <c r="AB9888" i="1" s="1"/>
  <c r="AC9890" i="1"/>
  <c r="AD9890" i="1" s="1"/>
  <c r="AB9890" i="1" s="1"/>
  <c r="AC9887" i="1"/>
  <c r="AD9887" i="1" s="1"/>
  <c r="AC9889" i="1"/>
  <c r="AD9889" i="1" s="1"/>
  <c r="AB9889" i="1" s="1"/>
  <c r="AC9905" i="1"/>
  <c r="AD9905" i="1" s="1"/>
  <c r="AB9905" i="1" s="1"/>
  <c r="AC9904" i="1"/>
  <c r="AD9904" i="1" s="1"/>
  <c r="AC9901" i="1"/>
  <c r="AD9901" i="1" s="1"/>
  <c r="AB9901" i="1" s="1"/>
  <c r="AC9893" i="1"/>
  <c r="AD9893" i="1" s="1"/>
  <c r="AB9893" i="1" s="1"/>
  <c r="AC9897" i="1"/>
  <c r="AD9897" i="1" s="1"/>
  <c r="AB9897" i="1" s="1"/>
  <c r="AC9894" i="1"/>
  <c r="AD9894" i="1" s="1"/>
  <c r="AB9894" i="1" s="1"/>
  <c r="AC9898" i="1"/>
  <c r="AD9898" i="1" s="1"/>
  <c r="AB9898" i="1" s="1"/>
  <c r="AC9895" i="1"/>
  <c r="AD9895" i="1" s="1"/>
  <c r="AB9895" i="1" s="1"/>
  <c r="AC9900" i="1"/>
  <c r="AD9900" i="1" s="1"/>
  <c r="AB9900" i="1" s="1"/>
  <c r="AC9892" i="1"/>
  <c r="AD9892" i="1" s="1"/>
  <c r="AC9902" i="1"/>
  <c r="AD9902" i="1" s="1"/>
  <c r="AB9902" i="1" s="1"/>
  <c r="AC9899" i="1"/>
  <c r="AD9899" i="1" s="1"/>
  <c r="AB9899" i="1" s="1"/>
  <c r="AC9896" i="1"/>
  <c r="AD9896" i="1" s="1"/>
  <c r="AB9896" i="1" s="1"/>
  <c r="AC9915" i="1"/>
  <c r="AD9915" i="1" s="1"/>
  <c r="AB9915" i="1" s="1"/>
  <c r="AC9910" i="1"/>
  <c r="AD9910" i="1" s="1"/>
  <c r="AB9910" i="1" s="1"/>
  <c r="AC9914" i="1"/>
  <c r="AD9914" i="1" s="1"/>
  <c r="AB9914" i="1" s="1"/>
  <c r="AC9909" i="1"/>
  <c r="AD9909" i="1" s="1"/>
  <c r="AB9909" i="1" s="1"/>
  <c r="AC9912" i="1"/>
  <c r="AD9912" i="1" s="1"/>
  <c r="AB9912" i="1" s="1"/>
  <c r="AC9907" i="1"/>
  <c r="AD9907" i="1" s="1"/>
  <c r="AC9911" i="1"/>
  <c r="AD9911" i="1" s="1"/>
  <c r="AB9911" i="1" s="1"/>
  <c r="AC9913" i="1"/>
  <c r="AD9913" i="1" s="1"/>
  <c r="AB9913" i="1" s="1"/>
  <c r="AC9908" i="1"/>
  <c r="AD9908" i="1" s="1"/>
  <c r="AB9908" i="1" s="1"/>
  <c r="N9885" i="1"/>
  <c r="AC9885" i="1"/>
  <c r="N9719" i="1"/>
  <c r="N9729" i="1"/>
  <c r="N9610" i="1"/>
  <c r="AC9710" i="1"/>
  <c r="AB9883" i="1"/>
  <c r="Z9883" i="1"/>
  <c r="AC9881" i="1"/>
  <c r="AD9881" i="1" s="1"/>
  <c r="AB9881" i="1" s="1"/>
  <c r="AC9876" i="1"/>
  <c r="AD9876" i="1" s="1"/>
  <c r="AB9876" i="1" s="1"/>
  <c r="AC9878" i="1"/>
  <c r="AD9878" i="1" s="1"/>
  <c r="AB9878" i="1" s="1"/>
  <c r="AC9880" i="1"/>
  <c r="AD9880" i="1" s="1"/>
  <c r="AB9880" i="1" s="1"/>
  <c r="AC9875" i="1"/>
  <c r="AD9875" i="1" s="1"/>
  <c r="AC9877" i="1"/>
  <c r="AD9877" i="1" s="1"/>
  <c r="AB9877" i="1" s="1"/>
  <c r="AC9879" i="1"/>
  <c r="AD9879" i="1" s="1"/>
  <c r="AB9879" i="1" s="1"/>
  <c r="N9873" i="1"/>
  <c r="AC9873" i="1"/>
  <c r="AC9872" i="1"/>
  <c r="AD9872" i="1" s="1"/>
  <c r="AB9872" i="1" s="1"/>
  <c r="AC9869" i="1"/>
  <c r="AD9869" i="1" s="1"/>
  <c r="AB9869" i="1" s="1"/>
  <c r="AC9871" i="1"/>
  <c r="AD9871" i="1" s="1"/>
  <c r="AB9871" i="1" s="1"/>
  <c r="AC9868" i="1"/>
  <c r="AD9868" i="1" s="1"/>
  <c r="AC9870" i="1"/>
  <c r="AD9870" i="1" s="1"/>
  <c r="AB9870" i="1" s="1"/>
  <c r="N9866" i="1"/>
  <c r="AC9866" i="1"/>
  <c r="AC9862" i="1"/>
  <c r="AD9862" i="1" s="1"/>
  <c r="AB9862" i="1" s="1"/>
  <c r="AC9864" i="1"/>
  <c r="AD9864" i="1" s="1"/>
  <c r="AB9864" i="1" s="1"/>
  <c r="AC9861" i="1"/>
  <c r="AD9861" i="1" s="1"/>
  <c r="AC9863" i="1"/>
  <c r="AD9863" i="1" s="1"/>
  <c r="AB9863" i="1" s="1"/>
  <c r="AC9865" i="1"/>
  <c r="AD9865" i="1" s="1"/>
  <c r="AB9865" i="1" s="1"/>
  <c r="AC9850" i="1"/>
  <c r="AB9850" i="1" s="1"/>
  <c r="N9850" i="1"/>
  <c r="N9520" i="1"/>
  <c r="AB9741" i="1"/>
  <c r="AD9740" i="1"/>
  <c r="AD9739" i="1" s="1"/>
  <c r="AD9730" i="1"/>
  <c r="AD9729" i="1" s="1"/>
  <c r="AB9729" i="1" s="1"/>
  <c r="AB9731" i="1"/>
  <c r="AC9643" i="1"/>
  <c r="AD9720" i="1"/>
  <c r="AB9721" i="1"/>
  <c r="AD9711" i="1"/>
  <c r="AD9710" i="1" s="1"/>
  <c r="AB9712" i="1"/>
  <c r="AC9679" i="1"/>
  <c r="AD9679" i="1" s="1"/>
  <c r="AB9679" i="1" s="1"/>
  <c r="AC9681" i="1"/>
  <c r="AD9681" i="1" s="1"/>
  <c r="AB9681" i="1" s="1"/>
  <c r="AC9678" i="1"/>
  <c r="AD9678" i="1" s="1"/>
  <c r="AC9680" i="1"/>
  <c r="AD9680" i="1" s="1"/>
  <c r="AB9680" i="1" s="1"/>
  <c r="AC9696" i="1"/>
  <c r="AD9696" i="1" s="1"/>
  <c r="AB9696" i="1" s="1"/>
  <c r="AC9695" i="1"/>
  <c r="AD9695" i="1" s="1"/>
  <c r="AC9692" i="1"/>
  <c r="AD9692" i="1" s="1"/>
  <c r="AB9692" i="1" s="1"/>
  <c r="AC9683" i="1"/>
  <c r="AD9683" i="1" s="1"/>
  <c r="AC9684" i="1"/>
  <c r="AD9684" i="1" s="1"/>
  <c r="AB9684" i="1" s="1"/>
  <c r="AC9685" i="1"/>
  <c r="AD9685" i="1" s="1"/>
  <c r="AB9685" i="1" s="1"/>
  <c r="AC9689" i="1"/>
  <c r="AD9689" i="1" s="1"/>
  <c r="AB9689" i="1" s="1"/>
  <c r="AC9686" i="1"/>
  <c r="AD9686" i="1" s="1"/>
  <c r="AB9686" i="1" s="1"/>
  <c r="AC9691" i="1"/>
  <c r="AD9691" i="1" s="1"/>
  <c r="AB9691" i="1" s="1"/>
  <c r="AC9688" i="1"/>
  <c r="AD9688" i="1" s="1"/>
  <c r="AB9688" i="1" s="1"/>
  <c r="AC9693" i="1"/>
  <c r="AD9693" i="1" s="1"/>
  <c r="AB9693" i="1" s="1"/>
  <c r="AC9690" i="1"/>
  <c r="AD9690" i="1" s="1"/>
  <c r="AB9690" i="1" s="1"/>
  <c r="AC9687" i="1"/>
  <c r="AD9687" i="1" s="1"/>
  <c r="AB9687" i="1" s="1"/>
  <c r="AC9705" i="1"/>
  <c r="AD9705" i="1" s="1"/>
  <c r="AB9705" i="1" s="1"/>
  <c r="AC9700" i="1"/>
  <c r="AD9700" i="1" s="1"/>
  <c r="AB9700" i="1" s="1"/>
  <c r="AC9706" i="1"/>
  <c r="AD9706" i="1" s="1"/>
  <c r="AB9706" i="1" s="1"/>
  <c r="AC9701" i="1"/>
  <c r="AD9701" i="1" s="1"/>
  <c r="AB9701" i="1" s="1"/>
  <c r="AC9703" i="1"/>
  <c r="AD9703" i="1" s="1"/>
  <c r="AB9703" i="1" s="1"/>
  <c r="AC9698" i="1"/>
  <c r="AD9698" i="1" s="1"/>
  <c r="AC9702" i="1"/>
  <c r="AD9702" i="1" s="1"/>
  <c r="AB9702" i="1" s="1"/>
  <c r="AC9704" i="1"/>
  <c r="AD9704" i="1" s="1"/>
  <c r="AB9704" i="1" s="1"/>
  <c r="AC9699" i="1"/>
  <c r="AD9699" i="1" s="1"/>
  <c r="AB9699" i="1" s="1"/>
  <c r="AC9650" i="1"/>
  <c r="AD9650" i="1" s="1"/>
  <c r="AC9653" i="1"/>
  <c r="AD9653" i="1" s="1"/>
  <c r="AB9653" i="1" s="1"/>
  <c r="AC9618" i="1"/>
  <c r="AC9620" i="1"/>
  <c r="AC9669" i="1"/>
  <c r="AD9669" i="1" s="1"/>
  <c r="AB9669" i="1" s="1"/>
  <c r="AC9673" i="1"/>
  <c r="AD9673" i="1" s="1"/>
  <c r="AB9673" i="1" s="1"/>
  <c r="AC9668" i="1"/>
  <c r="AD9668" i="1" s="1"/>
  <c r="AB9668" i="1" s="1"/>
  <c r="AC9666" i="1"/>
  <c r="AD9666" i="1" s="1"/>
  <c r="AB9666" i="1" s="1"/>
  <c r="AC9670" i="1"/>
  <c r="AD9670" i="1" s="1"/>
  <c r="AB9670" i="1" s="1"/>
  <c r="AC9665" i="1"/>
  <c r="AD9665" i="1" s="1"/>
  <c r="AC9672" i="1"/>
  <c r="AD9672" i="1" s="1"/>
  <c r="AB9672" i="1" s="1"/>
  <c r="AC9667" i="1"/>
  <c r="AD9667" i="1" s="1"/>
  <c r="AB9667" i="1" s="1"/>
  <c r="AC9671" i="1"/>
  <c r="AD9671" i="1" s="1"/>
  <c r="AB9671" i="1" s="1"/>
  <c r="AC9662" i="1"/>
  <c r="AD9662" i="1" s="1"/>
  <c r="AC9663" i="1"/>
  <c r="AD9663" i="1" s="1"/>
  <c r="AB9663" i="1" s="1"/>
  <c r="AC9659" i="1"/>
  <c r="AD9659" i="1" s="1"/>
  <c r="AB9659" i="1" s="1"/>
  <c r="AC9658" i="1"/>
  <c r="AD9658" i="1" s="1"/>
  <c r="AB9658" i="1" s="1"/>
  <c r="AC9651" i="1"/>
  <c r="AD9651" i="1" s="1"/>
  <c r="AC9656" i="1"/>
  <c r="AD9656" i="1" s="1"/>
  <c r="AB9656" i="1" s="1"/>
  <c r="AC9660" i="1"/>
  <c r="AD9660" i="1" s="1"/>
  <c r="AB9660" i="1" s="1"/>
  <c r="AC9654" i="1"/>
  <c r="AD9654" i="1" s="1"/>
  <c r="AB9654" i="1" s="1"/>
  <c r="AC9652" i="1"/>
  <c r="AD9652" i="1" s="1"/>
  <c r="AB9652" i="1" s="1"/>
  <c r="AC9655" i="1"/>
  <c r="AD9655" i="1" s="1"/>
  <c r="AB9655" i="1" s="1"/>
  <c r="AC9657" i="1"/>
  <c r="AD9657" i="1" s="1"/>
  <c r="AB9657" i="1" s="1"/>
  <c r="AC9648" i="1"/>
  <c r="AD9648" i="1" s="1"/>
  <c r="AB9648" i="1" s="1"/>
  <c r="AC9647" i="1"/>
  <c r="AD9647" i="1" s="1"/>
  <c r="AB9647" i="1" s="1"/>
  <c r="AC9645" i="1"/>
  <c r="AD9645" i="1" s="1"/>
  <c r="AC9646" i="1"/>
  <c r="AD9646" i="1" s="1"/>
  <c r="AB9646" i="1" s="1"/>
  <c r="AC9626" i="1"/>
  <c r="AD9626" i="1" s="1"/>
  <c r="AB9626" i="1" s="1"/>
  <c r="AC9623" i="1"/>
  <c r="AD9623" i="1" s="1"/>
  <c r="AB9623" i="1" s="1"/>
  <c r="AC9627" i="1"/>
  <c r="AD9627" i="1" s="1"/>
  <c r="AB9627" i="1" s="1"/>
  <c r="AC9619" i="1"/>
  <c r="AD9619" i="1" s="1"/>
  <c r="AB9619" i="1" s="1"/>
  <c r="AC9625" i="1"/>
  <c r="AD9625" i="1" s="1"/>
  <c r="AB9625" i="1" s="1"/>
  <c r="AC9622" i="1"/>
  <c r="AD9622" i="1" s="1"/>
  <c r="AB9622" i="1" s="1"/>
  <c r="AC9617" i="1"/>
  <c r="AC9624" i="1"/>
  <c r="AD9624" i="1" s="1"/>
  <c r="AB9624" i="1" s="1"/>
  <c r="AC9621" i="1"/>
  <c r="AD9621" i="1" s="1"/>
  <c r="AB9621" i="1" s="1"/>
  <c r="AC9640" i="1"/>
  <c r="AD9640" i="1" s="1"/>
  <c r="AB9640" i="1" s="1"/>
  <c r="AC9635" i="1"/>
  <c r="AD9635" i="1" s="1"/>
  <c r="AB9635" i="1" s="1"/>
  <c r="AC9637" i="1"/>
  <c r="AD9637" i="1" s="1"/>
  <c r="AB9637" i="1" s="1"/>
  <c r="AC9632" i="1"/>
  <c r="AD9632" i="1" s="1"/>
  <c r="AC9639" i="1"/>
  <c r="AD9639" i="1" s="1"/>
  <c r="AB9639" i="1" s="1"/>
  <c r="AC9634" i="1"/>
  <c r="AD9634" i="1" s="1"/>
  <c r="AB9634" i="1" s="1"/>
  <c r="AC9633" i="1"/>
  <c r="AD9633" i="1" s="1"/>
  <c r="AB9633" i="1" s="1"/>
  <c r="AC9636" i="1"/>
  <c r="AD9636" i="1" s="1"/>
  <c r="AB9636" i="1" s="1"/>
  <c r="AC9638" i="1"/>
  <c r="AD9638" i="1" s="1"/>
  <c r="AB9638" i="1" s="1"/>
  <c r="AC9629" i="1"/>
  <c r="AD9629" i="1" s="1"/>
  <c r="AC9630" i="1"/>
  <c r="AD9630" i="1" s="1"/>
  <c r="AB9630" i="1" s="1"/>
  <c r="AC9615" i="1"/>
  <c r="AC9614" i="1"/>
  <c r="AD9614" i="1" s="1"/>
  <c r="AB9614" i="1" s="1"/>
  <c r="AC9612" i="1"/>
  <c r="AD9612" i="1" s="1"/>
  <c r="AC9613" i="1"/>
  <c r="AD9613" i="1" s="1"/>
  <c r="AB9613" i="1" s="1"/>
  <c r="AC9595" i="1"/>
  <c r="AD9595" i="1" s="1"/>
  <c r="AB9595" i="1" s="1"/>
  <c r="AC9594" i="1"/>
  <c r="AD9594" i="1" s="1"/>
  <c r="AB9594" i="1" s="1"/>
  <c r="AC9588" i="1"/>
  <c r="AD9588" i="1" s="1"/>
  <c r="AC9592" i="1"/>
  <c r="AD9592" i="1" s="1"/>
  <c r="AB9592" i="1" s="1"/>
  <c r="AC9589" i="1"/>
  <c r="AD9589" i="1" s="1"/>
  <c r="AB9589" i="1" s="1"/>
  <c r="AC9591" i="1"/>
  <c r="AD9591" i="1" s="1"/>
  <c r="AB9591" i="1" s="1"/>
  <c r="AC9596" i="1"/>
  <c r="AD9596" i="1" s="1"/>
  <c r="AB9596" i="1" s="1"/>
  <c r="AC9593" i="1"/>
  <c r="AD9593" i="1" s="1"/>
  <c r="AB9593" i="1" s="1"/>
  <c r="AC9590" i="1"/>
  <c r="AD9590" i="1" s="1"/>
  <c r="AB9590" i="1" s="1"/>
  <c r="AC9605" i="1"/>
  <c r="AD9605" i="1" s="1"/>
  <c r="AB9605" i="1" s="1"/>
  <c r="AC9609" i="1"/>
  <c r="AD9609" i="1" s="1"/>
  <c r="AB9609" i="1" s="1"/>
  <c r="AC9604" i="1"/>
  <c r="AD9604" i="1" s="1"/>
  <c r="AB9604" i="1" s="1"/>
  <c r="AC9601" i="1"/>
  <c r="AD9601" i="1" s="1"/>
  <c r="AC9607" i="1"/>
  <c r="AD9607" i="1" s="1"/>
  <c r="AB9607" i="1" s="1"/>
  <c r="AC9606" i="1"/>
  <c r="AD9606" i="1" s="1"/>
  <c r="AB9606" i="1" s="1"/>
  <c r="AC9608" i="1"/>
  <c r="AD9608" i="1" s="1"/>
  <c r="AB9608" i="1" s="1"/>
  <c r="AC9603" i="1"/>
  <c r="AD9603" i="1" s="1"/>
  <c r="AB9603" i="1" s="1"/>
  <c r="AC9602" i="1"/>
  <c r="AD9602" i="1" s="1"/>
  <c r="AB9602" i="1" s="1"/>
  <c r="AC9598" i="1"/>
  <c r="AD9598" i="1" s="1"/>
  <c r="AC9599" i="1"/>
  <c r="AD9599" i="1" s="1"/>
  <c r="AB9599" i="1" s="1"/>
  <c r="AC9585" i="1"/>
  <c r="AD9585" i="1" s="1"/>
  <c r="AB9585" i="1" s="1"/>
  <c r="AC9586" i="1"/>
  <c r="AD9586" i="1" s="1"/>
  <c r="AB9586" i="1" s="1"/>
  <c r="AC9583" i="1"/>
  <c r="AD9583" i="1" s="1"/>
  <c r="AC9584" i="1"/>
  <c r="AD9584" i="1" s="1"/>
  <c r="AB9584" i="1" s="1"/>
  <c r="AC9563" i="1"/>
  <c r="AD9563" i="1" s="1"/>
  <c r="AB9563" i="1" s="1"/>
  <c r="AC9559" i="1"/>
  <c r="AD9559" i="1" s="1"/>
  <c r="AB9559" i="1" s="1"/>
  <c r="AC9557" i="1"/>
  <c r="AD9557" i="1" s="1"/>
  <c r="AB9557" i="1" s="1"/>
  <c r="AC9562" i="1"/>
  <c r="AD9562" i="1" s="1"/>
  <c r="AB9562" i="1" s="1"/>
  <c r="AC9556" i="1"/>
  <c r="AD9556" i="1" s="1"/>
  <c r="AC9558" i="1"/>
  <c r="AD9558" i="1" s="1"/>
  <c r="AB9558" i="1" s="1"/>
  <c r="AC9560" i="1"/>
  <c r="AD9560" i="1" s="1"/>
  <c r="AB9560" i="1" s="1"/>
  <c r="AC9564" i="1"/>
  <c r="AD9564" i="1" s="1"/>
  <c r="AB9564" i="1" s="1"/>
  <c r="AC9561" i="1"/>
  <c r="AD9561" i="1" s="1"/>
  <c r="AB9561" i="1" s="1"/>
  <c r="AC9554" i="1"/>
  <c r="AD9554" i="1" s="1"/>
  <c r="AB9554" i="1" s="1"/>
  <c r="AC9551" i="1"/>
  <c r="AD9551" i="1" s="1"/>
  <c r="AC9553" i="1"/>
  <c r="AD9553" i="1" s="1"/>
  <c r="AB9553" i="1" s="1"/>
  <c r="AC9552" i="1"/>
  <c r="AD9552" i="1" s="1"/>
  <c r="AB9552" i="1" s="1"/>
  <c r="AC9576" i="1"/>
  <c r="AD9576" i="1" s="1"/>
  <c r="AB9576" i="1" s="1"/>
  <c r="AC9571" i="1"/>
  <c r="AD9571" i="1" s="1"/>
  <c r="AB9571" i="1" s="1"/>
  <c r="AC9577" i="1"/>
  <c r="AD9577" i="1" s="1"/>
  <c r="AB9577" i="1" s="1"/>
  <c r="AC9572" i="1"/>
  <c r="AD9572" i="1" s="1"/>
  <c r="AB9572" i="1" s="1"/>
  <c r="AC9575" i="1"/>
  <c r="AD9575" i="1" s="1"/>
  <c r="AB9575" i="1" s="1"/>
  <c r="AC9570" i="1"/>
  <c r="AD9570" i="1" s="1"/>
  <c r="AB9570" i="1" s="1"/>
  <c r="AC9574" i="1"/>
  <c r="AD9574" i="1" s="1"/>
  <c r="AB9574" i="1" s="1"/>
  <c r="AC9569" i="1"/>
  <c r="AD9569" i="1" s="1"/>
  <c r="AC9573" i="1"/>
  <c r="AD9573" i="1" s="1"/>
  <c r="AB9573" i="1" s="1"/>
  <c r="AC9566" i="1"/>
  <c r="AD9566" i="1" s="1"/>
  <c r="AC9567" i="1"/>
  <c r="AD9567" i="1" s="1"/>
  <c r="AB9567" i="1" s="1"/>
  <c r="AC9549" i="1"/>
  <c r="N9549" i="1"/>
  <c r="AC9534" i="1"/>
  <c r="AD9534" i="1" s="1"/>
  <c r="AB9534" i="1" s="1"/>
  <c r="AC9532" i="1"/>
  <c r="AD9532" i="1" s="1"/>
  <c r="AB9532" i="1" s="1"/>
  <c r="AC9533" i="1"/>
  <c r="AD9533" i="1" s="1"/>
  <c r="AB9533" i="1" s="1"/>
  <c r="AC9531" i="1"/>
  <c r="AD9531" i="1" s="1"/>
  <c r="AB9531" i="1" s="1"/>
  <c r="AC9530" i="1"/>
  <c r="AD9530" i="1" s="1"/>
  <c r="AB9530" i="1" s="1"/>
  <c r="AC9527" i="1"/>
  <c r="AD9527" i="1" s="1"/>
  <c r="AC9529" i="1"/>
  <c r="AD9529" i="1" s="1"/>
  <c r="AB9529" i="1" s="1"/>
  <c r="AC9528" i="1"/>
  <c r="AD9528" i="1" s="1"/>
  <c r="AB9528" i="1" s="1"/>
  <c r="AC9535" i="1"/>
  <c r="AD9535" i="1" s="1"/>
  <c r="AB9535" i="1" s="1"/>
  <c r="AC9548" i="1"/>
  <c r="AD9548" i="1" s="1"/>
  <c r="AB9548" i="1" s="1"/>
  <c r="AC9543" i="1"/>
  <c r="AD9543" i="1" s="1"/>
  <c r="AB9543" i="1" s="1"/>
  <c r="AC9540" i="1"/>
  <c r="AD9540" i="1" s="1"/>
  <c r="AC9547" i="1"/>
  <c r="AD9547" i="1" s="1"/>
  <c r="AB9547" i="1" s="1"/>
  <c r="AC9542" i="1"/>
  <c r="AD9542" i="1" s="1"/>
  <c r="AB9542" i="1" s="1"/>
  <c r="AC9544" i="1"/>
  <c r="AD9544" i="1" s="1"/>
  <c r="AB9544" i="1" s="1"/>
  <c r="AC9546" i="1"/>
  <c r="AD9546" i="1" s="1"/>
  <c r="AB9546" i="1" s="1"/>
  <c r="AC9545" i="1"/>
  <c r="AD9545" i="1" s="1"/>
  <c r="AB9545" i="1" s="1"/>
  <c r="AC9541" i="1"/>
  <c r="AD9541" i="1" s="1"/>
  <c r="AB9541" i="1" s="1"/>
  <c r="AC9538" i="1"/>
  <c r="AD9538" i="1" s="1"/>
  <c r="AB9538" i="1" s="1"/>
  <c r="AC9537" i="1"/>
  <c r="AD9537" i="1" s="1"/>
  <c r="AC9525" i="1"/>
  <c r="AD9525" i="1" s="1"/>
  <c r="AB9525" i="1" s="1"/>
  <c r="AC9524" i="1"/>
  <c r="AD9524" i="1" s="1"/>
  <c r="AB9524" i="1" s="1"/>
  <c r="AC9523" i="1"/>
  <c r="AD9523" i="1" s="1"/>
  <c r="AB9523" i="1" s="1"/>
  <c r="AC9522" i="1"/>
  <c r="AD9522" i="1" s="1"/>
  <c r="AC9316" i="1"/>
  <c r="AC9508" i="1"/>
  <c r="AD9508" i="1" s="1"/>
  <c r="AC9509" i="1"/>
  <c r="AD9509" i="1" s="1"/>
  <c r="AB9509" i="1" s="1"/>
  <c r="AC9496" i="1"/>
  <c r="AD9496" i="1" s="1"/>
  <c r="AB9496" i="1" s="1"/>
  <c r="AC9494" i="1"/>
  <c r="AD9494" i="1" s="1"/>
  <c r="AB9494" i="1" s="1"/>
  <c r="AC9495" i="1"/>
  <c r="AD9495" i="1" s="1"/>
  <c r="AB9495" i="1" s="1"/>
  <c r="AC9493" i="1"/>
  <c r="AD9493" i="1" s="1"/>
  <c r="AC9505" i="1"/>
  <c r="AD9505" i="1" s="1"/>
  <c r="AB9505" i="1" s="1"/>
  <c r="AC9506" i="1"/>
  <c r="AD9506" i="1" s="1"/>
  <c r="AB9506" i="1" s="1"/>
  <c r="AC9498" i="1"/>
  <c r="AD9498" i="1" s="1"/>
  <c r="AC9502" i="1"/>
  <c r="AD9502" i="1" s="1"/>
  <c r="AB9502" i="1" s="1"/>
  <c r="AC9501" i="1"/>
  <c r="AD9501" i="1" s="1"/>
  <c r="AB9501" i="1" s="1"/>
  <c r="AC9500" i="1"/>
  <c r="AD9500" i="1" s="1"/>
  <c r="AB9500" i="1" s="1"/>
  <c r="AC9499" i="1"/>
  <c r="AD9499" i="1" s="1"/>
  <c r="AB9499" i="1" s="1"/>
  <c r="AC9504" i="1"/>
  <c r="AD9504" i="1" s="1"/>
  <c r="AB9504" i="1" s="1"/>
  <c r="AC9503" i="1"/>
  <c r="AD9503" i="1" s="1"/>
  <c r="AB9503" i="1" s="1"/>
  <c r="AC9519" i="1"/>
  <c r="AD9519" i="1" s="1"/>
  <c r="AB9519" i="1" s="1"/>
  <c r="AC9514" i="1"/>
  <c r="AD9514" i="1" s="1"/>
  <c r="AB9514" i="1" s="1"/>
  <c r="AC9515" i="1"/>
  <c r="AD9515" i="1" s="1"/>
  <c r="AB9515" i="1" s="1"/>
  <c r="AC9512" i="1"/>
  <c r="AD9512" i="1" s="1"/>
  <c r="AB9512" i="1" s="1"/>
  <c r="AC9518" i="1"/>
  <c r="AD9518" i="1" s="1"/>
  <c r="AB9518" i="1" s="1"/>
  <c r="AC9513" i="1"/>
  <c r="AD9513" i="1" s="1"/>
  <c r="AB9513" i="1" s="1"/>
  <c r="AC9517" i="1"/>
  <c r="AD9517" i="1" s="1"/>
  <c r="AB9517" i="1" s="1"/>
  <c r="AC9516" i="1"/>
  <c r="AD9516" i="1" s="1"/>
  <c r="AB9516" i="1" s="1"/>
  <c r="AC9511" i="1"/>
  <c r="AD9511" i="1" s="1"/>
  <c r="AC9473" i="1"/>
  <c r="AD9473" i="1" s="1"/>
  <c r="AB9473" i="1" s="1"/>
  <c r="AC9470" i="1"/>
  <c r="AD9470" i="1" s="1"/>
  <c r="AB9470" i="1" s="1"/>
  <c r="AC9475" i="1"/>
  <c r="AD9475" i="1" s="1"/>
  <c r="AB9475" i="1" s="1"/>
  <c r="AC9472" i="1"/>
  <c r="AD9472" i="1" s="1"/>
  <c r="AB9472" i="1" s="1"/>
  <c r="AC9477" i="1"/>
  <c r="AD9477" i="1" s="1"/>
  <c r="AB9477" i="1" s="1"/>
  <c r="AC9469" i="1"/>
  <c r="AD9469" i="1" s="1"/>
  <c r="AC9471" i="1"/>
  <c r="AD9471" i="1" s="1"/>
  <c r="AB9471" i="1" s="1"/>
  <c r="AC9476" i="1"/>
  <c r="AD9476" i="1" s="1"/>
  <c r="AB9476" i="1" s="1"/>
  <c r="AC9474" i="1"/>
  <c r="AD9474" i="1" s="1"/>
  <c r="AB9474" i="1" s="1"/>
  <c r="AC9467" i="1"/>
  <c r="AD9467" i="1" s="1"/>
  <c r="AB9467" i="1" s="1"/>
  <c r="AC9464" i="1"/>
  <c r="AD9464" i="1" s="1"/>
  <c r="AC9466" i="1"/>
  <c r="AD9466" i="1" s="1"/>
  <c r="AB9466" i="1" s="1"/>
  <c r="AC9465" i="1"/>
  <c r="AD9465" i="1" s="1"/>
  <c r="AB9465" i="1" s="1"/>
  <c r="AC9490" i="1"/>
  <c r="AD9490" i="1" s="1"/>
  <c r="AB9490" i="1" s="1"/>
  <c r="AC9485" i="1"/>
  <c r="AD9485" i="1" s="1"/>
  <c r="AB9485" i="1" s="1"/>
  <c r="AC9487" i="1"/>
  <c r="AD9487" i="1" s="1"/>
  <c r="AB9487" i="1" s="1"/>
  <c r="AC9482" i="1"/>
  <c r="AD9482" i="1" s="1"/>
  <c r="AC9489" i="1"/>
  <c r="AD9489" i="1" s="1"/>
  <c r="AB9489" i="1" s="1"/>
  <c r="AC9484" i="1"/>
  <c r="AD9484" i="1" s="1"/>
  <c r="AB9484" i="1" s="1"/>
  <c r="AC9486" i="1"/>
  <c r="AD9486" i="1" s="1"/>
  <c r="AB9486" i="1" s="1"/>
  <c r="AC9488" i="1"/>
  <c r="AD9488" i="1" s="1"/>
  <c r="AB9488" i="1" s="1"/>
  <c r="AC9483" i="1"/>
  <c r="AD9483" i="1" s="1"/>
  <c r="AB9483" i="1" s="1"/>
  <c r="AC9479" i="1"/>
  <c r="AD9479" i="1" s="1"/>
  <c r="AC9480" i="1"/>
  <c r="AD9480" i="1" s="1"/>
  <c r="AB9480" i="1" s="1"/>
  <c r="N9462" i="1"/>
  <c r="AC9462" i="1"/>
  <c r="AC9447" i="1"/>
  <c r="AD9447" i="1" s="1"/>
  <c r="AB9447" i="1" s="1"/>
  <c r="AC9444" i="1"/>
  <c r="AD9444" i="1" s="1"/>
  <c r="AB9444" i="1" s="1"/>
  <c r="AC9443" i="1"/>
  <c r="AD9443" i="1" s="1"/>
  <c r="AB9443" i="1" s="1"/>
  <c r="AC9448" i="1"/>
  <c r="AD9448" i="1" s="1"/>
  <c r="AB9448" i="1" s="1"/>
  <c r="AC9442" i="1"/>
  <c r="AD9442" i="1" s="1"/>
  <c r="AB9442" i="1" s="1"/>
  <c r="AC9441" i="1"/>
  <c r="AD9441" i="1" s="1"/>
  <c r="AB9441" i="1" s="1"/>
  <c r="AC9446" i="1"/>
  <c r="AD9446" i="1" s="1"/>
  <c r="AB9446" i="1" s="1"/>
  <c r="AC9440" i="1"/>
  <c r="AD9440" i="1" s="1"/>
  <c r="AC9445" i="1"/>
  <c r="AD9445" i="1" s="1"/>
  <c r="AB9445" i="1" s="1"/>
  <c r="AC9450" i="1"/>
  <c r="AD9450" i="1" s="1"/>
  <c r="AC9451" i="1"/>
  <c r="AD9451" i="1" s="1"/>
  <c r="AB9451" i="1" s="1"/>
  <c r="AC9345" i="1"/>
  <c r="AC9438" i="1"/>
  <c r="AD9438" i="1" s="1"/>
  <c r="AB9438" i="1" s="1"/>
  <c r="AC9435" i="1"/>
  <c r="AD9435" i="1" s="1"/>
  <c r="AC9436" i="1"/>
  <c r="AD9436" i="1" s="1"/>
  <c r="AB9436" i="1" s="1"/>
  <c r="AC9437" i="1"/>
  <c r="AD9437" i="1" s="1"/>
  <c r="AB9437" i="1" s="1"/>
  <c r="AC9457" i="1"/>
  <c r="AD9457" i="1" s="1"/>
  <c r="AB9457" i="1" s="1"/>
  <c r="AC9461" i="1"/>
  <c r="AD9461" i="1" s="1"/>
  <c r="AB9461" i="1" s="1"/>
  <c r="AC9456" i="1"/>
  <c r="AD9456" i="1" s="1"/>
  <c r="AB9456" i="1" s="1"/>
  <c r="AC9453" i="1"/>
  <c r="AD9453" i="1" s="1"/>
  <c r="AC9460" i="1"/>
  <c r="AD9460" i="1" s="1"/>
  <c r="AB9460" i="1" s="1"/>
  <c r="AC9455" i="1"/>
  <c r="AD9455" i="1" s="1"/>
  <c r="AB9455" i="1" s="1"/>
  <c r="AC9459" i="1"/>
  <c r="AD9459" i="1" s="1"/>
  <c r="AB9459" i="1" s="1"/>
  <c r="AC9454" i="1"/>
  <c r="AD9454" i="1" s="1"/>
  <c r="AB9454" i="1" s="1"/>
  <c r="AC9458" i="1"/>
  <c r="AD9458" i="1" s="1"/>
  <c r="AB9458" i="1" s="1"/>
  <c r="N9433" i="1"/>
  <c r="AC9433" i="1"/>
  <c r="AC9409" i="1"/>
  <c r="AD9409" i="1" s="1"/>
  <c r="AB9409" i="1" s="1"/>
  <c r="AC9406" i="1"/>
  <c r="AD9406" i="1" s="1"/>
  <c r="AC9408" i="1"/>
  <c r="AD9408" i="1" s="1"/>
  <c r="AB9408" i="1" s="1"/>
  <c r="AC9407" i="1"/>
  <c r="AD9407" i="1" s="1"/>
  <c r="AB9407" i="1" s="1"/>
  <c r="AC9418" i="1"/>
  <c r="AD9418" i="1" s="1"/>
  <c r="AB9418" i="1" s="1"/>
  <c r="AC9415" i="1"/>
  <c r="AD9415" i="1" s="1"/>
  <c r="AB9415" i="1" s="1"/>
  <c r="AC9412" i="1"/>
  <c r="AD9412" i="1" s="1"/>
  <c r="AB9412" i="1" s="1"/>
  <c r="AC9417" i="1"/>
  <c r="AD9417" i="1" s="1"/>
  <c r="AB9417" i="1" s="1"/>
  <c r="AC9414" i="1"/>
  <c r="AD9414" i="1" s="1"/>
  <c r="AB9414" i="1" s="1"/>
  <c r="AC9413" i="1"/>
  <c r="AD9413" i="1" s="1"/>
  <c r="AB9413" i="1" s="1"/>
  <c r="AC9416" i="1"/>
  <c r="AD9416" i="1" s="1"/>
  <c r="AB9416" i="1" s="1"/>
  <c r="AC9419" i="1"/>
  <c r="AD9419" i="1" s="1"/>
  <c r="AB9419" i="1" s="1"/>
  <c r="AC9411" i="1"/>
  <c r="AD9411" i="1" s="1"/>
  <c r="AC9432" i="1"/>
  <c r="AD9432" i="1" s="1"/>
  <c r="AB9432" i="1" s="1"/>
  <c r="AC9427" i="1"/>
  <c r="AD9427" i="1" s="1"/>
  <c r="AB9427" i="1" s="1"/>
  <c r="AC9429" i="1"/>
  <c r="AD9429" i="1" s="1"/>
  <c r="AB9429" i="1" s="1"/>
  <c r="AC9424" i="1"/>
  <c r="AD9424" i="1" s="1"/>
  <c r="AC9431" i="1"/>
  <c r="AD9431" i="1" s="1"/>
  <c r="AB9431" i="1" s="1"/>
  <c r="AC9426" i="1"/>
  <c r="AD9426" i="1" s="1"/>
  <c r="AB9426" i="1" s="1"/>
  <c r="AC9430" i="1"/>
  <c r="AD9430" i="1" s="1"/>
  <c r="AB9430" i="1" s="1"/>
  <c r="AC9425" i="1"/>
  <c r="AD9425" i="1" s="1"/>
  <c r="AB9425" i="1" s="1"/>
  <c r="AC9428" i="1"/>
  <c r="AD9428" i="1" s="1"/>
  <c r="AB9428" i="1" s="1"/>
  <c r="AC9421" i="1"/>
  <c r="AD9421" i="1" s="1"/>
  <c r="AC9422" i="1"/>
  <c r="AD9422" i="1" s="1"/>
  <c r="AB9422" i="1" s="1"/>
  <c r="AC9388" i="1"/>
  <c r="AD9388" i="1" s="1"/>
  <c r="AB9388" i="1" s="1"/>
  <c r="AC9384" i="1"/>
  <c r="AD9384" i="1" s="1"/>
  <c r="AB9384" i="1" s="1"/>
  <c r="AC9389" i="1"/>
  <c r="AD9389" i="1" s="1"/>
  <c r="AB9389" i="1" s="1"/>
  <c r="AC9386" i="1"/>
  <c r="AD9386" i="1" s="1"/>
  <c r="AB9386" i="1" s="1"/>
  <c r="AC9383" i="1"/>
  <c r="AD9383" i="1" s="1"/>
  <c r="AB9383" i="1" s="1"/>
  <c r="AC9381" i="1"/>
  <c r="AD9381" i="1" s="1"/>
  <c r="AC9385" i="1"/>
  <c r="AD9385" i="1" s="1"/>
  <c r="AB9385" i="1" s="1"/>
  <c r="AC9382" i="1"/>
  <c r="AD9382" i="1" s="1"/>
  <c r="AB9382" i="1" s="1"/>
  <c r="AC9387" i="1"/>
  <c r="AD9387" i="1" s="1"/>
  <c r="AB9387" i="1" s="1"/>
  <c r="N9229" i="1"/>
  <c r="AC9377" i="1"/>
  <c r="AD9377" i="1" s="1"/>
  <c r="AB9377" i="1" s="1"/>
  <c r="AC9379" i="1"/>
  <c r="AD9379" i="1" s="1"/>
  <c r="AB9379" i="1" s="1"/>
  <c r="AC9376" i="1"/>
  <c r="AD9376" i="1" s="1"/>
  <c r="AC9378" i="1"/>
  <c r="AD9378" i="1" s="1"/>
  <c r="AB9378" i="1" s="1"/>
  <c r="AC9392" i="1"/>
  <c r="AD9392" i="1" s="1"/>
  <c r="AB9392" i="1" s="1"/>
  <c r="AC9391" i="1"/>
  <c r="AD9391" i="1" s="1"/>
  <c r="AC9394" i="1"/>
  <c r="AD9394" i="1" s="1"/>
  <c r="AC9401" i="1"/>
  <c r="AD9401" i="1" s="1"/>
  <c r="AB9401" i="1" s="1"/>
  <c r="AC9398" i="1"/>
  <c r="AD9398" i="1" s="1"/>
  <c r="AB9398" i="1" s="1"/>
  <c r="AC9395" i="1"/>
  <c r="AD9395" i="1" s="1"/>
  <c r="AB9395" i="1" s="1"/>
  <c r="AC9402" i="1"/>
  <c r="AD9402" i="1" s="1"/>
  <c r="AB9402" i="1" s="1"/>
  <c r="AC9397" i="1"/>
  <c r="AD9397" i="1" s="1"/>
  <c r="AB9397" i="1" s="1"/>
  <c r="AC9396" i="1"/>
  <c r="AD9396" i="1" s="1"/>
  <c r="AB9396" i="1" s="1"/>
  <c r="AC9400" i="1"/>
  <c r="AD9400" i="1" s="1"/>
  <c r="AB9400" i="1" s="1"/>
  <c r="AC9399" i="1"/>
  <c r="AD9399" i="1" s="1"/>
  <c r="AB9399" i="1" s="1"/>
  <c r="AC9370" i="1"/>
  <c r="AD9370" i="1" s="1"/>
  <c r="AB9370" i="1" s="1"/>
  <c r="AC9365" i="1"/>
  <c r="AD9365" i="1" s="1"/>
  <c r="AC9369" i="1"/>
  <c r="AD9369" i="1" s="1"/>
  <c r="AB9369" i="1" s="1"/>
  <c r="AC9371" i="1"/>
  <c r="AD9371" i="1" s="1"/>
  <c r="AB9371" i="1" s="1"/>
  <c r="AC9373" i="1"/>
  <c r="AD9373" i="1" s="1"/>
  <c r="AB9373" i="1" s="1"/>
  <c r="AC9368" i="1"/>
  <c r="AD9368" i="1" s="1"/>
  <c r="AB9368" i="1" s="1"/>
  <c r="AC9372" i="1"/>
  <c r="AD9372" i="1" s="1"/>
  <c r="AB9372" i="1" s="1"/>
  <c r="AC9367" i="1"/>
  <c r="AD9367" i="1" s="1"/>
  <c r="AB9367" i="1" s="1"/>
  <c r="AC9366" i="1"/>
  <c r="AD9366" i="1" s="1"/>
  <c r="AB9366" i="1" s="1"/>
  <c r="AC9362" i="1"/>
  <c r="AD9362" i="1" s="1"/>
  <c r="AC9363" i="1"/>
  <c r="AD9363" i="1" s="1"/>
  <c r="AB9363" i="1" s="1"/>
  <c r="AC9359" i="1"/>
  <c r="AD9359" i="1" s="1"/>
  <c r="AB9359" i="1" s="1"/>
  <c r="AC9353" i="1"/>
  <c r="AD9353" i="1" s="1"/>
  <c r="AB9353" i="1" s="1"/>
  <c r="AC9358" i="1"/>
  <c r="AD9358" i="1" s="1"/>
  <c r="AB9358" i="1" s="1"/>
  <c r="AC9360" i="1"/>
  <c r="AD9360" i="1" s="1"/>
  <c r="AB9360" i="1" s="1"/>
  <c r="AC9354" i="1"/>
  <c r="AD9354" i="1" s="1"/>
  <c r="AB9354" i="1" s="1"/>
  <c r="AC9356" i="1"/>
  <c r="AD9356" i="1" s="1"/>
  <c r="AB9356" i="1" s="1"/>
  <c r="AC9355" i="1"/>
  <c r="AD9355" i="1" s="1"/>
  <c r="AB9355" i="1" s="1"/>
  <c r="AC9352" i="1"/>
  <c r="AD9352" i="1" s="1"/>
  <c r="AC9357" i="1"/>
  <c r="AD9357" i="1" s="1"/>
  <c r="AB9357" i="1" s="1"/>
  <c r="AC9348" i="1"/>
  <c r="AD9348" i="1" s="1"/>
  <c r="AB9348" i="1" s="1"/>
  <c r="AC9350" i="1"/>
  <c r="AD9350" i="1" s="1"/>
  <c r="AB9350" i="1" s="1"/>
  <c r="AC9347" i="1"/>
  <c r="AD9347" i="1" s="1"/>
  <c r="AC9349" i="1"/>
  <c r="AD9349" i="1" s="1"/>
  <c r="AB9349" i="1" s="1"/>
  <c r="AC9330" i="1"/>
  <c r="AD9330" i="1" s="1"/>
  <c r="AB9330" i="1" s="1"/>
  <c r="AC9324" i="1"/>
  <c r="AD9324" i="1" s="1"/>
  <c r="AB9324" i="1" s="1"/>
  <c r="AC9329" i="1"/>
  <c r="AD9329" i="1" s="1"/>
  <c r="AB9329" i="1" s="1"/>
  <c r="AC9326" i="1"/>
  <c r="AD9326" i="1" s="1"/>
  <c r="AB9326" i="1" s="1"/>
  <c r="AC9331" i="1"/>
  <c r="AD9331" i="1" s="1"/>
  <c r="AB9331" i="1" s="1"/>
  <c r="AC9323" i="1"/>
  <c r="AD9323" i="1" s="1"/>
  <c r="AC9328" i="1"/>
  <c r="AD9328" i="1" s="1"/>
  <c r="AB9328" i="1" s="1"/>
  <c r="AC9327" i="1"/>
  <c r="AD9327" i="1" s="1"/>
  <c r="AB9327" i="1" s="1"/>
  <c r="AC9325" i="1"/>
  <c r="AD9325" i="1" s="1"/>
  <c r="AB9325" i="1" s="1"/>
  <c r="AC9319" i="1"/>
  <c r="AD9319" i="1" s="1"/>
  <c r="AB9319" i="1" s="1"/>
  <c r="AC9321" i="1"/>
  <c r="AD9321" i="1" s="1"/>
  <c r="AB9321" i="1" s="1"/>
  <c r="AC9318" i="1"/>
  <c r="AD9318" i="1" s="1"/>
  <c r="AC9320" i="1"/>
  <c r="AD9320" i="1" s="1"/>
  <c r="AB9320" i="1" s="1"/>
  <c r="AC9341" i="1"/>
  <c r="AD9341" i="1" s="1"/>
  <c r="AB9341" i="1" s="1"/>
  <c r="AC9336" i="1"/>
  <c r="AD9336" i="1" s="1"/>
  <c r="AC9344" i="1"/>
  <c r="AD9344" i="1" s="1"/>
  <c r="AB9344" i="1" s="1"/>
  <c r="AC9339" i="1"/>
  <c r="AD9339" i="1" s="1"/>
  <c r="AB9339" i="1" s="1"/>
  <c r="AC9343" i="1"/>
  <c r="AD9343" i="1" s="1"/>
  <c r="AB9343" i="1" s="1"/>
  <c r="AC9338" i="1"/>
  <c r="AD9338" i="1" s="1"/>
  <c r="AB9338" i="1" s="1"/>
  <c r="AC9340" i="1"/>
  <c r="AD9340" i="1" s="1"/>
  <c r="AB9340" i="1" s="1"/>
  <c r="AC9342" i="1"/>
  <c r="AD9342" i="1" s="1"/>
  <c r="AB9342" i="1" s="1"/>
  <c r="AC9337" i="1"/>
  <c r="AD9337" i="1" s="1"/>
  <c r="AB9337" i="1" s="1"/>
  <c r="N6421" i="1"/>
  <c r="AC9334" i="1"/>
  <c r="AD9334" i="1" s="1"/>
  <c r="AB9334" i="1" s="1"/>
  <c r="AC9333" i="1"/>
  <c r="AD9333" i="1" s="1"/>
  <c r="AC9292" i="1"/>
  <c r="AD9292" i="1" s="1"/>
  <c r="AB9292" i="1" s="1"/>
  <c r="AC9290" i="1"/>
  <c r="AD9290" i="1" s="1"/>
  <c r="AB9290" i="1" s="1"/>
  <c r="AC9289" i="1"/>
  <c r="AD9289" i="1" s="1"/>
  <c r="AC9291" i="1"/>
  <c r="AD9291" i="1" s="1"/>
  <c r="AB9291" i="1" s="1"/>
  <c r="N6469" i="1"/>
  <c r="AC9301" i="1"/>
  <c r="AD9301" i="1" s="1"/>
  <c r="AB9301" i="1" s="1"/>
  <c r="AC9297" i="1"/>
  <c r="AD9297" i="1" s="1"/>
  <c r="AB9297" i="1" s="1"/>
  <c r="AC9299" i="1"/>
  <c r="AD9299" i="1" s="1"/>
  <c r="AB9299" i="1" s="1"/>
  <c r="AC9295" i="1"/>
  <c r="AD9295" i="1" s="1"/>
  <c r="AB9295" i="1" s="1"/>
  <c r="AC9300" i="1"/>
  <c r="AD9300" i="1" s="1"/>
  <c r="AB9300" i="1" s="1"/>
  <c r="AC9296" i="1"/>
  <c r="AD9296" i="1" s="1"/>
  <c r="AB9296" i="1" s="1"/>
  <c r="AC9298" i="1"/>
  <c r="AD9298" i="1" s="1"/>
  <c r="AB9298" i="1" s="1"/>
  <c r="AC9302" i="1"/>
  <c r="AD9302" i="1" s="1"/>
  <c r="AB9302" i="1" s="1"/>
  <c r="AC9294" i="1"/>
  <c r="AD9294" i="1" s="1"/>
  <c r="AC9305" i="1"/>
  <c r="AD9305" i="1" s="1"/>
  <c r="AB9305" i="1" s="1"/>
  <c r="AC9304" i="1"/>
  <c r="AD9304" i="1" s="1"/>
  <c r="AC9314" i="1"/>
  <c r="AD9314" i="1" s="1"/>
  <c r="AB9314" i="1" s="1"/>
  <c r="AC9309" i="1"/>
  <c r="AD9309" i="1" s="1"/>
  <c r="AB9309" i="1" s="1"/>
  <c r="AC9311" i="1"/>
  <c r="AD9311" i="1" s="1"/>
  <c r="AB9311" i="1" s="1"/>
  <c r="AC9308" i="1"/>
  <c r="AD9308" i="1" s="1"/>
  <c r="AB9308" i="1" s="1"/>
  <c r="AC9315" i="1"/>
  <c r="AD9315" i="1" s="1"/>
  <c r="AB9315" i="1" s="1"/>
  <c r="AC9310" i="1"/>
  <c r="AD9310" i="1" s="1"/>
  <c r="AB9310" i="1" s="1"/>
  <c r="AC9307" i="1"/>
  <c r="AD9307" i="1" s="1"/>
  <c r="AC9312" i="1"/>
  <c r="AD9312" i="1" s="1"/>
  <c r="AB9312" i="1" s="1"/>
  <c r="AC9313" i="1"/>
  <c r="AD9313" i="1" s="1"/>
  <c r="AB9313" i="1" s="1"/>
  <c r="AC9287" i="1"/>
  <c r="N9287" i="1"/>
  <c r="AC6697" i="1"/>
  <c r="AC9272" i="1"/>
  <c r="AD9272" i="1" s="1"/>
  <c r="AB9272" i="1" s="1"/>
  <c r="AC9269" i="1"/>
  <c r="AD9269" i="1" s="1"/>
  <c r="AB9269" i="1" s="1"/>
  <c r="AC9266" i="1"/>
  <c r="AD9266" i="1" s="1"/>
  <c r="AB9266" i="1" s="1"/>
  <c r="AC9271" i="1"/>
  <c r="AD9271" i="1" s="1"/>
  <c r="AB9271" i="1" s="1"/>
  <c r="AC9268" i="1"/>
  <c r="AD9268" i="1" s="1"/>
  <c r="AB9268" i="1" s="1"/>
  <c r="AC9273" i="1"/>
  <c r="AD9273" i="1" s="1"/>
  <c r="AB9273" i="1" s="1"/>
  <c r="AC9267" i="1"/>
  <c r="AD9267" i="1" s="1"/>
  <c r="AB9267" i="1" s="1"/>
  <c r="AC9270" i="1"/>
  <c r="AD9270" i="1" s="1"/>
  <c r="AB9270" i="1" s="1"/>
  <c r="AC9265" i="1"/>
  <c r="AD9265" i="1" s="1"/>
  <c r="AC9263" i="1"/>
  <c r="AD9263" i="1" s="1"/>
  <c r="AB9263" i="1" s="1"/>
  <c r="AC9260" i="1"/>
  <c r="AD9260" i="1" s="1"/>
  <c r="AC9262" i="1"/>
  <c r="AD9262" i="1" s="1"/>
  <c r="AB9262" i="1" s="1"/>
  <c r="AC9261" i="1"/>
  <c r="AD9261" i="1" s="1"/>
  <c r="AB9261" i="1" s="1"/>
  <c r="AC9286" i="1"/>
  <c r="AD9286" i="1" s="1"/>
  <c r="AB9286" i="1" s="1"/>
  <c r="AC9281" i="1"/>
  <c r="AD9281" i="1" s="1"/>
  <c r="AB9281" i="1" s="1"/>
  <c r="AC9283" i="1"/>
  <c r="AD9283" i="1" s="1"/>
  <c r="AB9283" i="1" s="1"/>
  <c r="AC9278" i="1"/>
  <c r="AD9278" i="1" s="1"/>
  <c r="AC9285" i="1"/>
  <c r="AD9285" i="1" s="1"/>
  <c r="AB9285" i="1" s="1"/>
  <c r="AC9280" i="1"/>
  <c r="AD9280" i="1" s="1"/>
  <c r="AB9280" i="1" s="1"/>
  <c r="AC9284" i="1"/>
  <c r="AD9284" i="1" s="1"/>
  <c r="AB9284" i="1" s="1"/>
  <c r="AC9279" i="1"/>
  <c r="AD9279" i="1" s="1"/>
  <c r="AB9279" i="1" s="1"/>
  <c r="AC9282" i="1"/>
  <c r="AD9282" i="1" s="1"/>
  <c r="AB9282" i="1" s="1"/>
  <c r="N6493" i="1"/>
  <c r="AC9275" i="1"/>
  <c r="AD9275" i="1" s="1"/>
  <c r="AC9276" i="1"/>
  <c r="AD9276" i="1" s="1"/>
  <c r="AB9276" i="1" s="1"/>
  <c r="AB6718" i="1"/>
  <c r="Q6718" i="1" s="1"/>
  <c r="R6718" i="1" s="1"/>
  <c r="T6718" i="1" s="1"/>
  <c r="N6718" i="1"/>
  <c r="AC9240" i="1"/>
  <c r="AD9240" i="1" s="1"/>
  <c r="AB9240" i="1" s="1"/>
  <c r="AC9237" i="1"/>
  <c r="AD9237" i="1" s="1"/>
  <c r="AB9237" i="1" s="1"/>
  <c r="AC9242" i="1"/>
  <c r="AD9242" i="1" s="1"/>
  <c r="AB9242" i="1" s="1"/>
  <c r="AC9239" i="1"/>
  <c r="AD9239" i="1" s="1"/>
  <c r="AB9239" i="1" s="1"/>
  <c r="AC9244" i="1"/>
  <c r="AD9244" i="1" s="1"/>
  <c r="AB9244" i="1" s="1"/>
  <c r="AC9236" i="1"/>
  <c r="AD9236" i="1" s="1"/>
  <c r="AC9241" i="1"/>
  <c r="AD9241" i="1" s="1"/>
  <c r="AB9241" i="1" s="1"/>
  <c r="AC9238" i="1"/>
  <c r="AD9238" i="1" s="1"/>
  <c r="AB9238" i="1" s="1"/>
  <c r="AC9243" i="1"/>
  <c r="AD9243" i="1" s="1"/>
  <c r="AB9243" i="1" s="1"/>
  <c r="AC9231" i="1"/>
  <c r="AD9231" i="1" s="1"/>
  <c r="AC9233" i="1"/>
  <c r="AD9233" i="1" s="1"/>
  <c r="AB9233" i="1" s="1"/>
  <c r="AC9234" i="1"/>
  <c r="AD9234" i="1" s="1"/>
  <c r="AB9234" i="1" s="1"/>
  <c r="AC9232" i="1"/>
  <c r="AD9232" i="1" s="1"/>
  <c r="AB9232" i="1" s="1"/>
  <c r="AC9254" i="1"/>
  <c r="AD9254" i="1" s="1"/>
  <c r="AB9254" i="1" s="1"/>
  <c r="AC9249" i="1"/>
  <c r="AD9249" i="1" s="1"/>
  <c r="AC9256" i="1"/>
  <c r="AD9256" i="1" s="1"/>
  <c r="AB9256" i="1" s="1"/>
  <c r="AC9251" i="1"/>
  <c r="AD9251" i="1" s="1"/>
  <c r="AB9251" i="1" s="1"/>
  <c r="AC9253" i="1"/>
  <c r="AD9253" i="1" s="1"/>
  <c r="AB9253" i="1" s="1"/>
  <c r="AC9257" i="1"/>
  <c r="AD9257" i="1" s="1"/>
  <c r="AB9257" i="1" s="1"/>
  <c r="AC9252" i="1"/>
  <c r="AD9252" i="1" s="1"/>
  <c r="AB9252" i="1" s="1"/>
  <c r="AC9255" i="1"/>
  <c r="AD9255" i="1" s="1"/>
  <c r="AB9255" i="1" s="1"/>
  <c r="AC9250" i="1"/>
  <c r="AD9250" i="1" s="1"/>
  <c r="AB9250" i="1" s="1"/>
  <c r="AC9246" i="1"/>
  <c r="AD9246" i="1" s="1"/>
  <c r="AC9247" i="1"/>
  <c r="AD9247" i="1" s="1"/>
  <c r="AB9247" i="1" s="1"/>
  <c r="AC6723" i="1"/>
  <c r="AB6723" i="1" s="1"/>
  <c r="H6723" i="1" s="1"/>
  <c r="I6723" i="1" s="1"/>
  <c r="AC9211" i="1"/>
  <c r="AD9211" i="1" s="1"/>
  <c r="AB9211" i="1" s="1"/>
  <c r="AC9213" i="1"/>
  <c r="AD9213" i="1" s="1"/>
  <c r="AB9213" i="1" s="1"/>
  <c r="AC9210" i="1"/>
  <c r="AD9210" i="1" s="1"/>
  <c r="AB9210" i="1" s="1"/>
  <c r="AC9215" i="1"/>
  <c r="AD9215" i="1" s="1"/>
  <c r="AB9215" i="1" s="1"/>
  <c r="AC9208" i="1"/>
  <c r="AD9208" i="1" s="1"/>
  <c r="AB9208" i="1" s="1"/>
  <c r="AC9212" i="1"/>
  <c r="AD9212" i="1" s="1"/>
  <c r="AB9212" i="1" s="1"/>
  <c r="AC9207" i="1"/>
  <c r="AD9207" i="1" s="1"/>
  <c r="AB9207" i="1" s="1"/>
  <c r="AC9209" i="1"/>
  <c r="AD9209" i="1" s="1"/>
  <c r="AB9209" i="1" s="1"/>
  <c r="AC9214" i="1"/>
  <c r="AD9214" i="1" s="1"/>
  <c r="AB9214" i="1" s="1"/>
  <c r="AC9225" i="1"/>
  <c r="AD9225" i="1" s="1"/>
  <c r="AB9225" i="1" s="1"/>
  <c r="AC9220" i="1"/>
  <c r="AD9220" i="1" s="1"/>
  <c r="AC9227" i="1"/>
  <c r="AD9227" i="1" s="1"/>
  <c r="AB9227" i="1" s="1"/>
  <c r="AC9222" i="1"/>
  <c r="AD9222" i="1" s="1"/>
  <c r="AB9222" i="1" s="1"/>
  <c r="AC9224" i="1"/>
  <c r="AD9224" i="1" s="1"/>
  <c r="AB9224" i="1" s="1"/>
  <c r="AC9228" i="1"/>
  <c r="AD9228" i="1" s="1"/>
  <c r="AB9228" i="1" s="1"/>
  <c r="AC9223" i="1"/>
  <c r="AD9223" i="1" s="1"/>
  <c r="AB9223" i="1" s="1"/>
  <c r="AC9226" i="1"/>
  <c r="AD9226" i="1" s="1"/>
  <c r="AB9226" i="1" s="1"/>
  <c r="AC9221" i="1"/>
  <c r="AD9221" i="1" s="1"/>
  <c r="AB9221" i="1" s="1"/>
  <c r="AC9202" i="1"/>
  <c r="AD9202" i="1" s="1"/>
  <c r="AC9204" i="1"/>
  <c r="AD9204" i="1" s="1"/>
  <c r="AB9204" i="1" s="1"/>
  <c r="AC9203" i="1"/>
  <c r="AD9203" i="1" s="1"/>
  <c r="AB9203" i="1" s="1"/>
  <c r="AC9205" i="1"/>
  <c r="AD9205" i="1" s="1"/>
  <c r="AB9205" i="1" s="1"/>
  <c r="AC9217" i="1"/>
  <c r="AD9217" i="1" s="1"/>
  <c r="AC9218" i="1"/>
  <c r="AD9218" i="1" s="1"/>
  <c r="AB9218" i="1" s="1"/>
  <c r="AC9200" i="1"/>
  <c r="N9200" i="1"/>
  <c r="AC6940" i="1"/>
  <c r="AD6940" i="1" s="1"/>
  <c r="AB6940" i="1" s="1"/>
  <c r="AC6945" i="1"/>
  <c r="AD6945" i="1" s="1"/>
  <c r="AB6945" i="1" s="1"/>
  <c r="AC6943" i="1"/>
  <c r="AD6943" i="1" s="1"/>
  <c r="AB6943" i="1" s="1"/>
  <c r="AC6938" i="1"/>
  <c r="AD6938" i="1" s="1"/>
  <c r="AB6938" i="1" s="1"/>
  <c r="AC6942" i="1"/>
  <c r="AD6942" i="1" s="1"/>
  <c r="AB6942" i="1" s="1"/>
  <c r="AC6937" i="1"/>
  <c r="AD6937" i="1" s="1"/>
  <c r="AB6937" i="1" s="1"/>
  <c r="AC6939" i="1"/>
  <c r="AD6939" i="1" s="1"/>
  <c r="AB6939" i="1" s="1"/>
  <c r="AC6944" i="1"/>
  <c r="AD6944" i="1" s="1"/>
  <c r="AB6944" i="1" s="1"/>
  <c r="AC6941" i="1"/>
  <c r="AD6941" i="1" s="1"/>
  <c r="AB6941" i="1" s="1"/>
  <c r="AC6936" i="1"/>
  <c r="AD6936" i="1" s="1"/>
  <c r="AC6934" i="1"/>
  <c r="AD6934" i="1" s="1"/>
  <c r="AB6934" i="1" s="1"/>
  <c r="AC6929" i="1"/>
  <c r="AD6929" i="1" s="1"/>
  <c r="AC6931" i="1"/>
  <c r="AD6931" i="1" s="1"/>
  <c r="AB6931" i="1" s="1"/>
  <c r="AC6933" i="1"/>
  <c r="AD6933" i="1" s="1"/>
  <c r="AB6933" i="1" s="1"/>
  <c r="AC6930" i="1"/>
  <c r="AD6930" i="1" s="1"/>
  <c r="AB6930" i="1" s="1"/>
  <c r="AC6932" i="1"/>
  <c r="AD6932" i="1" s="1"/>
  <c r="AB6932" i="1" s="1"/>
  <c r="N6927" i="1"/>
  <c r="AC6927" i="1"/>
  <c r="N6424" i="1"/>
  <c r="N6879" i="1"/>
  <c r="Z6724" i="1"/>
  <c r="AB6724" i="1"/>
  <c r="AB6493" i="1"/>
  <c r="Q6493" i="1" s="1"/>
  <c r="R6493" i="1" s="1"/>
  <c r="T6493" i="1" s="1"/>
  <c r="Z6719" i="1"/>
  <c r="AB6719" i="1"/>
  <c r="N6653" i="1"/>
  <c r="AC6710" i="1"/>
  <c r="AD6710" i="1" s="1"/>
  <c r="AB6710" i="1" s="1"/>
  <c r="AC6715" i="1"/>
  <c r="AD6715" i="1" s="1"/>
  <c r="AB6715" i="1" s="1"/>
  <c r="AC6707" i="1"/>
  <c r="AD6707" i="1" s="1"/>
  <c r="AB6707" i="1" s="1"/>
  <c r="AC6709" i="1"/>
  <c r="AD6709" i="1" s="1"/>
  <c r="AB6709" i="1" s="1"/>
  <c r="AC6714" i="1"/>
  <c r="AD6714" i="1" s="1"/>
  <c r="AB6714" i="1" s="1"/>
  <c r="AC6711" i="1"/>
  <c r="AD6711" i="1" s="1"/>
  <c r="AB6711" i="1" s="1"/>
  <c r="AC6706" i="1"/>
  <c r="AD6706" i="1" s="1"/>
  <c r="AC6712" i="1"/>
  <c r="AD6712" i="1" s="1"/>
  <c r="AB6712" i="1" s="1"/>
  <c r="AC6713" i="1"/>
  <c r="AD6713" i="1" s="1"/>
  <c r="AB6713" i="1" s="1"/>
  <c r="AC6708" i="1"/>
  <c r="AD6708" i="1" s="1"/>
  <c r="AB6708" i="1" s="1"/>
  <c r="AC6704" i="1"/>
  <c r="AD6704" i="1" s="1"/>
  <c r="AB6704" i="1" s="1"/>
  <c r="AC6699" i="1"/>
  <c r="AD6699" i="1" s="1"/>
  <c r="AC6703" i="1"/>
  <c r="AD6703" i="1" s="1"/>
  <c r="AB6703" i="1" s="1"/>
  <c r="AC6700" i="1"/>
  <c r="AD6700" i="1" s="1"/>
  <c r="AB6700" i="1" s="1"/>
  <c r="AC6702" i="1"/>
  <c r="AD6702" i="1" s="1"/>
  <c r="AB6702" i="1" s="1"/>
  <c r="AC6701" i="1"/>
  <c r="AD6701" i="1" s="1"/>
  <c r="AB6701" i="1" s="1"/>
  <c r="N6882" i="1"/>
  <c r="Z6494" i="1"/>
  <c r="AB6494" i="1"/>
  <c r="AC6482" i="1"/>
  <c r="AD6482" i="1" s="1"/>
  <c r="AB6482" i="1" s="1"/>
  <c r="AC6483" i="1"/>
  <c r="AD6483" i="1" s="1"/>
  <c r="AB6483" i="1" s="1"/>
  <c r="AC6485" i="1"/>
  <c r="AD6485" i="1" s="1"/>
  <c r="AB6485" i="1" s="1"/>
  <c r="AC6487" i="1"/>
  <c r="AD6487" i="1" s="1"/>
  <c r="AB6487" i="1" s="1"/>
  <c r="AC6481" i="1"/>
  <c r="AD6481" i="1" s="1"/>
  <c r="AB6481" i="1" s="1"/>
  <c r="AC6484" i="1"/>
  <c r="AD6484" i="1" s="1"/>
  <c r="AB6484" i="1" s="1"/>
  <c r="AC6479" i="1"/>
  <c r="AD6479" i="1" s="1"/>
  <c r="AB6479" i="1" s="1"/>
  <c r="AC6486" i="1"/>
  <c r="AD6486" i="1" s="1"/>
  <c r="AB6486" i="1" s="1"/>
  <c r="AC6478" i="1"/>
  <c r="AD6478" i="1" s="1"/>
  <c r="AC6480" i="1"/>
  <c r="AD6480" i="1" s="1"/>
  <c r="AB6480" i="1" s="1"/>
  <c r="AC6476" i="1"/>
  <c r="AD6476" i="1" s="1"/>
  <c r="AB6476" i="1" s="1"/>
  <c r="AC6471" i="1"/>
  <c r="AD6471" i="1" s="1"/>
  <c r="AC6474" i="1"/>
  <c r="AD6474" i="1" s="1"/>
  <c r="AB6474" i="1" s="1"/>
  <c r="AC6473" i="1"/>
  <c r="AD6473" i="1" s="1"/>
  <c r="AB6473" i="1" s="1"/>
  <c r="AC6475" i="1"/>
  <c r="AD6475" i="1" s="1"/>
  <c r="AB6475" i="1" s="1"/>
  <c r="AC6472" i="1"/>
  <c r="AD6472" i="1" s="1"/>
  <c r="AB6472" i="1" s="1"/>
  <c r="AC6916" i="1"/>
  <c r="AC10330" i="1"/>
  <c r="AD10330" i="1" s="1"/>
  <c r="AB10330" i="1" s="1"/>
  <c r="AC10335" i="1"/>
  <c r="AD10335" i="1" s="1"/>
  <c r="AB10335" i="1" s="1"/>
  <c r="AC10334" i="1"/>
  <c r="AD10334" i="1" s="1"/>
  <c r="AB10334" i="1" s="1"/>
  <c r="AC10331" i="1"/>
  <c r="AD10331" i="1" s="1"/>
  <c r="AB10331" i="1" s="1"/>
  <c r="AC10326" i="1"/>
  <c r="AD10326" i="1" s="1"/>
  <c r="AC10332" i="1"/>
  <c r="AD10332" i="1" s="1"/>
  <c r="AB10332" i="1" s="1"/>
  <c r="AC10327" i="1"/>
  <c r="AD10327" i="1" s="1"/>
  <c r="AB10327" i="1" s="1"/>
  <c r="AC10329" i="1"/>
  <c r="AD10329" i="1" s="1"/>
  <c r="AB10329" i="1" s="1"/>
  <c r="AC10333" i="1"/>
  <c r="AD10333" i="1" s="1"/>
  <c r="AB10333" i="1" s="1"/>
  <c r="AC10328" i="1"/>
  <c r="AD10328" i="1" s="1"/>
  <c r="AB10328" i="1" s="1"/>
  <c r="AC10324" i="1"/>
  <c r="AD10324" i="1" s="1"/>
  <c r="AB10324" i="1" s="1"/>
  <c r="AC10319" i="1"/>
  <c r="AD10319" i="1" s="1"/>
  <c r="AC10323" i="1"/>
  <c r="AD10323" i="1" s="1"/>
  <c r="AB10323" i="1" s="1"/>
  <c r="AC10320" i="1"/>
  <c r="AD10320" i="1" s="1"/>
  <c r="AB10320" i="1" s="1"/>
  <c r="AC10321" i="1"/>
  <c r="AD10321" i="1" s="1"/>
  <c r="AB10321" i="1" s="1"/>
  <c r="AC10322" i="1"/>
  <c r="AD10322" i="1" s="1"/>
  <c r="AB10322" i="1" s="1"/>
  <c r="AB6653" i="1"/>
  <c r="H6653" i="1" s="1"/>
  <c r="I6653" i="1" s="1"/>
  <c r="AB6879" i="1"/>
  <c r="Q6879" i="1" s="1"/>
  <c r="R6879" i="1" s="1"/>
  <c r="T6879" i="1" s="1"/>
  <c r="AC6460" i="1"/>
  <c r="AD6460" i="1" s="1"/>
  <c r="AC6461" i="1"/>
  <c r="AD6461" i="1" s="1"/>
  <c r="AB6461" i="1" s="1"/>
  <c r="AC6458" i="1"/>
  <c r="N6458" i="1"/>
  <c r="AC6688" i="1"/>
  <c r="AD6688" i="1" s="1"/>
  <c r="AC6689" i="1"/>
  <c r="AD6689" i="1" s="1"/>
  <c r="AB6689" i="1" s="1"/>
  <c r="AB6882" i="1"/>
  <c r="Q6882" i="1" s="1"/>
  <c r="R6882" i="1" s="1"/>
  <c r="T6882" i="1" s="1"/>
  <c r="N6686" i="1"/>
  <c r="AC6686" i="1"/>
  <c r="AB6918" i="1"/>
  <c r="AD6917" i="1"/>
  <c r="AD6916" i="1" s="1"/>
  <c r="N6747" i="1"/>
  <c r="AB6424" i="1"/>
  <c r="Q6424" i="1" s="1"/>
  <c r="R6424" i="1" s="1"/>
  <c r="T6424" i="1" s="1"/>
  <c r="AB6421" i="1"/>
  <c r="Z6425" i="1"/>
  <c r="AB6425" i="1"/>
  <c r="AC6741" i="1"/>
  <c r="AB6741" i="1" s="1"/>
  <c r="N6853" i="1"/>
  <c r="Z6654" i="1"/>
  <c r="AB6654" i="1"/>
  <c r="Z6883" i="1"/>
  <c r="AB6883" i="1"/>
  <c r="AB6422" i="1"/>
  <c r="Z6422" i="1"/>
  <c r="AC6395" i="1"/>
  <c r="AB6652" i="1"/>
  <c r="AD6651" i="1"/>
  <c r="AD6650" i="1" s="1"/>
  <c r="AC6828" i="1"/>
  <c r="AC6650" i="1"/>
  <c r="N6650" i="1"/>
  <c r="Z6880" i="1"/>
  <c r="AB6880" i="1"/>
  <c r="AB6747" i="1"/>
  <c r="Q6747" i="1" s="1"/>
  <c r="R6747" i="1" s="1"/>
  <c r="T6747" i="1" s="1"/>
  <c r="Z6748" i="1"/>
  <c r="AB6748" i="1"/>
  <c r="AB6513" i="1"/>
  <c r="AD6512" i="1"/>
  <c r="AD6511" i="1" s="1"/>
  <c r="N6511" i="1"/>
  <c r="AC6511" i="1"/>
  <c r="AC6345" i="1"/>
  <c r="Z6742" i="1"/>
  <c r="AB6742" i="1"/>
  <c r="AC6400" i="1"/>
  <c r="AD6400" i="1" s="1"/>
  <c r="AB6400" i="1" s="1"/>
  <c r="AC6402" i="1"/>
  <c r="AD6402" i="1" s="1"/>
  <c r="AB6402" i="1" s="1"/>
  <c r="AC6401" i="1"/>
  <c r="AD6401" i="1" s="1"/>
  <c r="AB6401" i="1" s="1"/>
  <c r="AC6398" i="1"/>
  <c r="AD6398" i="1" s="1"/>
  <c r="AB6398" i="1" s="1"/>
  <c r="AC6397" i="1"/>
  <c r="AD6397" i="1" s="1"/>
  <c r="AC6399" i="1"/>
  <c r="AD6399" i="1" s="1"/>
  <c r="AB6399" i="1" s="1"/>
  <c r="AC6407" i="1"/>
  <c r="AD6407" i="1" s="1"/>
  <c r="AB6407" i="1" s="1"/>
  <c r="AC6406" i="1"/>
  <c r="AD6406" i="1" s="1"/>
  <c r="AB6406" i="1" s="1"/>
  <c r="AC6408" i="1"/>
  <c r="AD6408" i="1" s="1"/>
  <c r="AB6408" i="1" s="1"/>
  <c r="AC6404" i="1"/>
  <c r="AD6404" i="1" s="1"/>
  <c r="AC6405" i="1"/>
  <c r="AD6405" i="1" s="1"/>
  <c r="AB6405" i="1" s="1"/>
  <c r="AC6416" i="1"/>
  <c r="AD6416" i="1" s="1"/>
  <c r="AB6416" i="1" s="1"/>
  <c r="AC6413" i="1"/>
  <c r="AD6413" i="1" s="1"/>
  <c r="AB6413" i="1" s="1"/>
  <c r="AC6415" i="1"/>
  <c r="AD6415" i="1" s="1"/>
  <c r="AB6415" i="1" s="1"/>
  <c r="AC6410" i="1"/>
  <c r="AD6410" i="1" s="1"/>
  <c r="AC6412" i="1"/>
  <c r="AD6412" i="1" s="1"/>
  <c r="AB6412" i="1" s="1"/>
  <c r="AC6419" i="1"/>
  <c r="AD6419" i="1" s="1"/>
  <c r="AB6419" i="1" s="1"/>
  <c r="AC6414" i="1"/>
  <c r="AD6414" i="1" s="1"/>
  <c r="AB6414" i="1" s="1"/>
  <c r="AC6411" i="1"/>
  <c r="AD6411" i="1" s="1"/>
  <c r="AB6411" i="1" s="1"/>
  <c r="AC6418" i="1"/>
  <c r="AD6418" i="1" s="1"/>
  <c r="AB6418" i="1" s="1"/>
  <c r="AC6417" i="1"/>
  <c r="AD6417" i="1" s="1"/>
  <c r="AB6417" i="1" s="1"/>
  <c r="N6340" i="1"/>
  <c r="AC6637" i="1"/>
  <c r="AD6637" i="1" s="1"/>
  <c r="AB6637" i="1" s="1"/>
  <c r="AC6634" i="1"/>
  <c r="AD6634" i="1" s="1"/>
  <c r="AB6634" i="1" s="1"/>
  <c r="AC6635" i="1"/>
  <c r="AD6635" i="1" s="1"/>
  <c r="AB6635" i="1" s="1"/>
  <c r="AC6636" i="1"/>
  <c r="AD6636" i="1" s="1"/>
  <c r="AB6636" i="1" s="1"/>
  <c r="AC6633" i="1"/>
  <c r="AD6633" i="1" s="1"/>
  <c r="N6798" i="1"/>
  <c r="N6574" i="1"/>
  <c r="AC6648" i="1"/>
  <c r="AD6648" i="1" s="1"/>
  <c r="AB6648" i="1" s="1"/>
  <c r="AC6643" i="1"/>
  <c r="AD6643" i="1" s="1"/>
  <c r="AB6643" i="1" s="1"/>
  <c r="AC6644" i="1"/>
  <c r="AD6644" i="1" s="1"/>
  <c r="AB6644" i="1" s="1"/>
  <c r="AC6639" i="1"/>
  <c r="AD6639" i="1" s="1"/>
  <c r="AC6641" i="1"/>
  <c r="AD6641" i="1" s="1"/>
  <c r="AB6641" i="1" s="1"/>
  <c r="AC6645" i="1"/>
  <c r="AD6645" i="1" s="1"/>
  <c r="AB6645" i="1" s="1"/>
  <c r="AC6640" i="1"/>
  <c r="AD6640" i="1" s="1"/>
  <c r="AB6640" i="1" s="1"/>
  <c r="AC6647" i="1"/>
  <c r="AD6647" i="1" s="1"/>
  <c r="AB6647" i="1" s="1"/>
  <c r="AC6642" i="1"/>
  <c r="AD6642" i="1" s="1"/>
  <c r="AB6642" i="1" s="1"/>
  <c r="AC6646" i="1"/>
  <c r="AD6646" i="1" s="1"/>
  <c r="AB6646" i="1" s="1"/>
  <c r="AC6629" i="1"/>
  <c r="AD6629" i="1" s="1"/>
  <c r="AB6629" i="1" s="1"/>
  <c r="AC6626" i="1"/>
  <c r="AD6626" i="1" s="1"/>
  <c r="AC6628" i="1"/>
  <c r="AD6628" i="1" s="1"/>
  <c r="AB6628" i="1" s="1"/>
  <c r="AC6631" i="1"/>
  <c r="AD6631" i="1" s="1"/>
  <c r="AB6631" i="1" s="1"/>
  <c r="AC6630" i="1"/>
  <c r="AD6630" i="1" s="1"/>
  <c r="AB6630" i="1" s="1"/>
  <c r="AC6627" i="1"/>
  <c r="AD6627" i="1" s="1"/>
  <c r="AB6627" i="1" s="1"/>
  <c r="AC6858" i="1"/>
  <c r="AD6858" i="1" s="1"/>
  <c r="AB6858" i="1" s="1"/>
  <c r="AC6860" i="1"/>
  <c r="AD6860" i="1" s="1"/>
  <c r="AB6860" i="1" s="1"/>
  <c r="AC6855" i="1"/>
  <c r="AD6855" i="1" s="1"/>
  <c r="AC6857" i="1"/>
  <c r="AD6857" i="1" s="1"/>
  <c r="AB6857" i="1" s="1"/>
  <c r="AC6859" i="1"/>
  <c r="AD6859" i="1" s="1"/>
  <c r="AB6859" i="1" s="1"/>
  <c r="AC6856" i="1"/>
  <c r="AD6856" i="1" s="1"/>
  <c r="AB6856" i="1" s="1"/>
  <c r="AC6866" i="1"/>
  <c r="AD6866" i="1" s="1"/>
  <c r="AB6866" i="1" s="1"/>
  <c r="AC6862" i="1"/>
  <c r="AD6862" i="1" s="1"/>
  <c r="AC6864" i="1"/>
  <c r="AD6864" i="1" s="1"/>
  <c r="AB6864" i="1" s="1"/>
  <c r="AC6863" i="1"/>
  <c r="AD6863" i="1" s="1"/>
  <c r="AB6863" i="1" s="1"/>
  <c r="AC6865" i="1"/>
  <c r="AD6865" i="1" s="1"/>
  <c r="AB6865" i="1" s="1"/>
  <c r="AC6877" i="1"/>
  <c r="AD6877" i="1" s="1"/>
  <c r="AB6877" i="1" s="1"/>
  <c r="AC6872" i="1"/>
  <c r="AD6872" i="1" s="1"/>
  <c r="AB6872" i="1" s="1"/>
  <c r="AC6870" i="1"/>
  <c r="AD6870" i="1" s="1"/>
  <c r="AB6870" i="1" s="1"/>
  <c r="AC6874" i="1"/>
  <c r="AD6874" i="1" s="1"/>
  <c r="AB6874" i="1" s="1"/>
  <c r="AC6869" i="1"/>
  <c r="AD6869" i="1" s="1"/>
  <c r="AB6869" i="1" s="1"/>
  <c r="AC6876" i="1"/>
  <c r="AD6876" i="1" s="1"/>
  <c r="AB6876" i="1" s="1"/>
  <c r="AC6871" i="1"/>
  <c r="AD6871" i="1" s="1"/>
  <c r="AB6871" i="1" s="1"/>
  <c r="AC6873" i="1"/>
  <c r="AD6873" i="1" s="1"/>
  <c r="AB6873" i="1" s="1"/>
  <c r="AC6868" i="1"/>
  <c r="AD6868" i="1" s="1"/>
  <c r="AC6875" i="1"/>
  <c r="AD6875" i="1" s="1"/>
  <c r="AB6875" i="1" s="1"/>
  <c r="AC6379" i="1"/>
  <c r="AD6379" i="1" s="1"/>
  <c r="AC6383" i="1"/>
  <c r="AD6383" i="1" s="1"/>
  <c r="AB6383" i="1" s="1"/>
  <c r="AC6382" i="1"/>
  <c r="AD6382" i="1" s="1"/>
  <c r="AB6382" i="1" s="1"/>
  <c r="AC6380" i="1"/>
  <c r="AD6380" i="1" s="1"/>
  <c r="AB6380" i="1" s="1"/>
  <c r="AC6381" i="1"/>
  <c r="AD6381" i="1" s="1"/>
  <c r="AB6381" i="1" s="1"/>
  <c r="AC6388" i="1"/>
  <c r="AD6388" i="1" s="1"/>
  <c r="AB6388" i="1" s="1"/>
  <c r="AC6394" i="1"/>
  <c r="AD6394" i="1" s="1"/>
  <c r="AB6394" i="1" s="1"/>
  <c r="AC6389" i="1"/>
  <c r="AD6389" i="1" s="1"/>
  <c r="AB6389" i="1" s="1"/>
  <c r="AC6391" i="1"/>
  <c r="AD6391" i="1" s="1"/>
  <c r="AB6391" i="1" s="1"/>
  <c r="AC6392" i="1"/>
  <c r="AD6392" i="1" s="1"/>
  <c r="AB6392" i="1" s="1"/>
  <c r="AC6386" i="1"/>
  <c r="AD6386" i="1" s="1"/>
  <c r="AB6386" i="1" s="1"/>
  <c r="AC6393" i="1"/>
  <c r="AD6393" i="1" s="1"/>
  <c r="AB6393" i="1" s="1"/>
  <c r="AC6385" i="1"/>
  <c r="AD6385" i="1" s="1"/>
  <c r="AC6387" i="1"/>
  <c r="AD6387" i="1" s="1"/>
  <c r="AB6387" i="1" s="1"/>
  <c r="AC6390" i="1"/>
  <c r="AD6390" i="1" s="1"/>
  <c r="AB6390" i="1" s="1"/>
  <c r="AB6335" i="1"/>
  <c r="Q6335" i="1" s="1"/>
  <c r="R6335" i="1" s="1"/>
  <c r="T6335" i="1" s="1"/>
  <c r="AC6375" i="1"/>
  <c r="AD6375" i="1" s="1"/>
  <c r="AB6375" i="1" s="1"/>
  <c r="AC6374" i="1"/>
  <c r="AD6374" i="1" s="1"/>
  <c r="AB6374" i="1" s="1"/>
  <c r="AC6377" i="1"/>
  <c r="AD6377" i="1" s="1"/>
  <c r="AB6377" i="1" s="1"/>
  <c r="AC6372" i="1"/>
  <c r="AD6372" i="1" s="1"/>
  <c r="AC6373" i="1"/>
  <c r="AD6373" i="1" s="1"/>
  <c r="AB6373" i="1" s="1"/>
  <c r="AC6376" i="1"/>
  <c r="AD6376" i="1" s="1"/>
  <c r="AB6376" i="1" s="1"/>
  <c r="AC6370" i="1"/>
  <c r="N6370" i="1"/>
  <c r="AC6608" i="1"/>
  <c r="AD6608" i="1" s="1"/>
  <c r="AC6610" i="1"/>
  <c r="AD6610" i="1" s="1"/>
  <c r="AB6610" i="1" s="1"/>
  <c r="AC6612" i="1"/>
  <c r="AD6612" i="1" s="1"/>
  <c r="AB6612" i="1" s="1"/>
  <c r="AC6609" i="1"/>
  <c r="AD6609" i="1" s="1"/>
  <c r="AB6609" i="1" s="1"/>
  <c r="AC6611" i="1"/>
  <c r="AD6611" i="1" s="1"/>
  <c r="AB6611" i="1" s="1"/>
  <c r="AC6623" i="1"/>
  <c r="AD6623" i="1" s="1"/>
  <c r="AB6623" i="1" s="1"/>
  <c r="AC6618" i="1"/>
  <c r="AD6618" i="1" s="1"/>
  <c r="AB6618" i="1" s="1"/>
  <c r="AC6620" i="1"/>
  <c r="AD6620" i="1" s="1"/>
  <c r="AB6620" i="1" s="1"/>
  <c r="AC6614" i="1"/>
  <c r="AD6614" i="1" s="1"/>
  <c r="AC6616" i="1"/>
  <c r="AD6616" i="1" s="1"/>
  <c r="AB6616" i="1" s="1"/>
  <c r="AC6615" i="1"/>
  <c r="AD6615" i="1" s="1"/>
  <c r="AB6615" i="1" s="1"/>
  <c r="AC6622" i="1"/>
  <c r="AD6622" i="1" s="1"/>
  <c r="AB6622" i="1" s="1"/>
  <c r="AC6617" i="1"/>
  <c r="AD6617" i="1" s="1"/>
  <c r="AB6617" i="1" s="1"/>
  <c r="AC6619" i="1"/>
  <c r="AD6619" i="1" s="1"/>
  <c r="AB6619" i="1" s="1"/>
  <c r="AC6621" i="1"/>
  <c r="AD6621" i="1" s="1"/>
  <c r="AB6621" i="1" s="1"/>
  <c r="AC6604" i="1"/>
  <c r="AD6604" i="1" s="1"/>
  <c r="AB6604" i="1" s="1"/>
  <c r="AC6601" i="1"/>
  <c r="AD6601" i="1" s="1"/>
  <c r="AC6603" i="1"/>
  <c r="AD6603" i="1" s="1"/>
  <c r="AB6603" i="1" s="1"/>
  <c r="AC6606" i="1"/>
  <c r="AD6606" i="1" s="1"/>
  <c r="AB6606" i="1" s="1"/>
  <c r="AC6605" i="1"/>
  <c r="AD6605" i="1" s="1"/>
  <c r="AB6605" i="1" s="1"/>
  <c r="AC6602" i="1"/>
  <c r="AD6602" i="1" s="1"/>
  <c r="AB6602" i="1" s="1"/>
  <c r="AB6793" i="1"/>
  <c r="H6793" i="1" s="1"/>
  <c r="I6793" i="1" s="1"/>
  <c r="AC6850" i="1"/>
  <c r="AD6850" i="1" s="1"/>
  <c r="AB6850" i="1" s="1"/>
  <c r="AC6852" i="1"/>
  <c r="AD6852" i="1" s="1"/>
  <c r="AB6852" i="1" s="1"/>
  <c r="AC6847" i="1"/>
  <c r="AD6847" i="1" s="1"/>
  <c r="AB6847" i="1" s="1"/>
  <c r="AC6846" i="1"/>
  <c r="AD6846" i="1" s="1"/>
  <c r="AB6846" i="1" s="1"/>
  <c r="AC6845" i="1"/>
  <c r="AD6845" i="1" s="1"/>
  <c r="AB6845" i="1" s="1"/>
  <c r="AC6849" i="1"/>
  <c r="AD6849" i="1" s="1"/>
  <c r="AB6849" i="1" s="1"/>
  <c r="AC6844" i="1"/>
  <c r="AD6844" i="1" s="1"/>
  <c r="AB6844" i="1" s="1"/>
  <c r="AC6851" i="1"/>
  <c r="AD6851" i="1" s="1"/>
  <c r="AB6851" i="1" s="1"/>
  <c r="AC6848" i="1"/>
  <c r="AD6848" i="1" s="1"/>
  <c r="AB6848" i="1" s="1"/>
  <c r="AC6843" i="1"/>
  <c r="AD6843" i="1" s="1"/>
  <c r="AC6841" i="1"/>
  <c r="AD6841" i="1" s="1"/>
  <c r="AB6841" i="1" s="1"/>
  <c r="AC6838" i="1"/>
  <c r="AD6838" i="1" s="1"/>
  <c r="AB6838" i="1" s="1"/>
  <c r="AC6840" i="1"/>
  <c r="AD6840" i="1" s="1"/>
  <c r="AB6840" i="1" s="1"/>
  <c r="AC6839" i="1"/>
  <c r="AD6839" i="1" s="1"/>
  <c r="AB6839" i="1" s="1"/>
  <c r="AC6837" i="1"/>
  <c r="AD6837" i="1" s="1"/>
  <c r="AC6833" i="1"/>
  <c r="AD6833" i="1" s="1"/>
  <c r="AB6833" i="1" s="1"/>
  <c r="AC6835" i="1"/>
  <c r="AD6835" i="1" s="1"/>
  <c r="AB6835" i="1" s="1"/>
  <c r="AC6834" i="1"/>
  <c r="AD6834" i="1" s="1"/>
  <c r="AB6834" i="1" s="1"/>
  <c r="AC6830" i="1"/>
  <c r="AD6830" i="1" s="1"/>
  <c r="AC6832" i="1"/>
  <c r="AD6832" i="1" s="1"/>
  <c r="AB6832" i="1" s="1"/>
  <c r="AC6831" i="1"/>
  <c r="AD6831" i="1" s="1"/>
  <c r="AB6831" i="1" s="1"/>
  <c r="AB6790" i="1"/>
  <c r="H6790" i="1" s="1"/>
  <c r="I6790" i="1" s="1"/>
  <c r="AC6350" i="1"/>
  <c r="AD6350" i="1" s="1"/>
  <c r="AB6350" i="1" s="1"/>
  <c r="AC6352" i="1"/>
  <c r="AD6352" i="1" s="1"/>
  <c r="AB6352" i="1" s="1"/>
  <c r="AC6349" i="1"/>
  <c r="AD6349" i="1" s="1"/>
  <c r="AB6349" i="1" s="1"/>
  <c r="AC6351" i="1"/>
  <c r="AD6351" i="1" s="1"/>
  <c r="AB6351" i="1" s="1"/>
  <c r="AC6347" i="1"/>
  <c r="AD6347" i="1" s="1"/>
  <c r="AC6348" i="1"/>
  <c r="AD6348" i="1" s="1"/>
  <c r="AB6348" i="1" s="1"/>
  <c r="AB6522" i="1"/>
  <c r="H6522" i="1" s="1"/>
  <c r="I6522" i="1" s="1"/>
  <c r="AC6358" i="1"/>
  <c r="AD6358" i="1" s="1"/>
  <c r="AB6358" i="1" s="1"/>
  <c r="AC6355" i="1"/>
  <c r="AD6355" i="1" s="1"/>
  <c r="AB6355" i="1" s="1"/>
  <c r="AC6357" i="1"/>
  <c r="AD6357" i="1" s="1"/>
  <c r="AB6357" i="1" s="1"/>
  <c r="AC6356" i="1"/>
  <c r="AD6356" i="1" s="1"/>
  <c r="AB6356" i="1" s="1"/>
  <c r="AC6354" i="1"/>
  <c r="AD6354" i="1" s="1"/>
  <c r="AC6369" i="1"/>
  <c r="AD6369" i="1" s="1"/>
  <c r="AB6369" i="1" s="1"/>
  <c r="AC6364" i="1"/>
  <c r="AD6364" i="1" s="1"/>
  <c r="AB6364" i="1" s="1"/>
  <c r="AC6366" i="1"/>
  <c r="AD6366" i="1" s="1"/>
  <c r="AB6366" i="1" s="1"/>
  <c r="AC6361" i="1"/>
  <c r="AD6361" i="1" s="1"/>
  <c r="AB6361" i="1" s="1"/>
  <c r="AC6368" i="1"/>
  <c r="AD6368" i="1" s="1"/>
  <c r="AB6368" i="1" s="1"/>
  <c r="AC6363" i="1"/>
  <c r="AD6363" i="1" s="1"/>
  <c r="AB6363" i="1" s="1"/>
  <c r="AC6362" i="1"/>
  <c r="AD6362" i="1" s="1"/>
  <c r="AB6362" i="1" s="1"/>
  <c r="AC6365" i="1"/>
  <c r="AD6365" i="1" s="1"/>
  <c r="AB6365" i="1" s="1"/>
  <c r="AC6360" i="1"/>
  <c r="AD6360" i="1" s="1"/>
  <c r="AC6367" i="1"/>
  <c r="AD6367" i="1" s="1"/>
  <c r="AB6367" i="1" s="1"/>
  <c r="N6560" i="1"/>
  <c r="AC6587" i="1"/>
  <c r="AD6587" i="1" s="1"/>
  <c r="AB6587" i="1" s="1"/>
  <c r="AC6586" i="1"/>
  <c r="AD6586" i="1" s="1"/>
  <c r="AB6586" i="1" s="1"/>
  <c r="AC6584" i="1"/>
  <c r="AD6584" i="1" s="1"/>
  <c r="AB6584" i="1" s="1"/>
  <c r="AC6583" i="1"/>
  <c r="AD6583" i="1" s="1"/>
  <c r="AC6585" i="1"/>
  <c r="AD6585" i="1" s="1"/>
  <c r="AB6585" i="1" s="1"/>
  <c r="AC6598" i="1"/>
  <c r="AD6598" i="1" s="1"/>
  <c r="AB6598" i="1" s="1"/>
  <c r="AC6593" i="1"/>
  <c r="AD6593" i="1" s="1"/>
  <c r="AB6593" i="1" s="1"/>
  <c r="AC6595" i="1"/>
  <c r="AD6595" i="1" s="1"/>
  <c r="AB6595" i="1" s="1"/>
  <c r="AC6597" i="1"/>
  <c r="AD6597" i="1" s="1"/>
  <c r="AB6597" i="1" s="1"/>
  <c r="AC6592" i="1"/>
  <c r="AD6592" i="1" s="1"/>
  <c r="AB6592" i="1" s="1"/>
  <c r="AC6594" i="1"/>
  <c r="AD6594" i="1" s="1"/>
  <c r="AB6594" i="1" s="1"/>
  <c r="AC6589" i="1"/>
  <c r="AD6589" i="1" s="1"/>
  <c r="AC6596" i="1"/>
  <c r="AD6596" i="1" s="1"/>
  <c r="AB6596" i="1" s="1"/>
  <c r="AC6590" i="1"/>
  <c r="AD6590" i="1" s="1"/>
  <c r="AB6590" i="1" s="1"/>
  <c r="AC6591" i="1"/>
  <c r="AD6591" i="1" s="1"/>
  <c r="AB6591" i="1" s="1"/>
  <c r="AC6579" i="1"/>
  <c r="AD6579" i="1" s="1"/>
  <c r="AB6579" i="1" s="1"/>
  <c r="AC6581" i="1"/>
  <c r="AD6581" i="1" s="1"/>
  <c r="AB6581" i="1" s="1"/>
  <c r="AC6576" i="1"/>
  <c r="AD6576" i="1" s="1"/>
  <c r="AC6578" i="1"/>
  <c r="AD6578" i="1" s="1"/>
  <c r="AB6578" i="1" s="1"/>
  <c r="AC6580" i="1"/>
  <c r="AD6580" i="1" s="1"/>
  <c r="AB6580" i="1" s="1"/>
  <c r="AC6577" i="1"/>
  <c r="AD6577" i="1" s="1"/>
  <c r="AB6577" i="1" s="1"/>
  <c r="AB6563" i="1"/>
  <c r="H6563" i="1" s="1"/>
  <c r="I6563" i="1" s="1"/>
  <c r="AC6816" i="1"/>
  <c r="AD6816" i="1" s="1"/>
  <c r="AB6816" i="1" s="1"/>
  <c r="AC6813" i="1"/>
  <c r="AD6813" i="1" s="1"/>
  <c r="AB6813" i="1" s="1"/>
  <c r="AC6815" i="1"/>
  <c r="AD6815" i="1" s="1"/>
  <c r="AB6815" i="1" s="1"/>
  <c r="AC6812" i="1"/>
  <c r="AD6812" i="1" s="1"/>
  <c r="AC6814" i="1"/>
  <c r="AD6814" i="1" s="1"/>
  <c r="AB6814" i="1" s="1"/>
  <c r="AC6827" i="1"/>
  <c r="AD6827" i="1" s="1"/>
  <c r="AB6827" i="1" s="1"/>
  <c r="AC6822" i="1"/>
  <c r="AD6822" i="1" s="1"/>
  <c r="AB6822" i="1" s="1"/>
  <c r="AC6819" i="1"/>
  <c r="AD6819" i="1" s="1"/>
  <c r="AB6819" i="1" s="1"/>
  <c r="AC6826" i="1"/>
  <c r="AD6826" i="1" s="1"/>
  <c r="AB6826" i="1" s="1"/>
  <c r="AC6821" i="1"/>
  <c r="AD6821" i="1" s="1"/>
  <c r="AB6821" i="1" s="1"/>
  <c r="AC6824" i="1"/>
  <c r="AD6824" i="1" s="1"/>
  <c r="AB6824" i="1" s="1"/>
  <c r="AC6823" i="1"/>
  <c r="AD6823" i="1" s="1"/>
  <c r="AB6823" i="1" s="1"/>
  <c r="AC6818" i="1"/>
  <c r="AD6818" i="1" s="1"/>
  <c r="AC6825" i="1"/>
  <c r="AD6825" i="1" s="1"/>
  <c r="AB6825" i="1" s="1"/>
  <c r="AC6820" i="1"/>
  <c r="AD6820" i="1" s="1"/>
  <c r="AB6820" i="1" s="1"/>
  <c r="AB6751" i="1"/>
  <c r="Q6751" i="1" s="1"/>
  <c r="R6751" i="1" s="1"/>
  <c r="T6751" i="1" s="1"/>
  <c r="AB6530" i="1"/>
  <c r="Q6530" i="1" s="1"/>
  <c r="R6530" i="1" s="1"/>
  <c r="T6530" i="1" s="1"/>
  <c r="AB6340" i="1"/>
  <c r="H6340" i="1" s="1"/>
  <c r="I6340" i="1" s="1"/>
  <c r="N6790" i="1"/>
  <c r="AC6808" i="1"/>
  <c r="AD6808" i="1" s="1"/>
  <c r="AB6808" i="1" s="1"/>
  <c r="AC6810" i="1"/>
  <c r="AD6810" i="1" s="1"/>
  <c r="AB6810" i="1" s="1"/>
  <c r="AC6805" i="1"/>
  <c r="AD6805" i="1" s="1"/>
  <c r="AC6807" i="1"/>
  <c r="AD6807" i="1" s="1"/>
  <c r="AB6807" i="1" s="1"/>
  <c r="AC6809" i="1"/>
  <c r="AD6809" i="1" s="1"/>
  <c r="AB6809" i="1" s="1"/>
  <c r="AC6806" i="1"/>
  <c r="AD6806" i="1" s="1"/>
  <c r="AB6806" i="1" s="1"/>
  <c r="AB6798" i="1"/>
  <c r="Q6798" i="1" s="1"/>
  <c r="R6798" i="1" s="1"/>
  <c r="T6798" i="1" s="1"/>
  <c r="N6793" i="1"/>
  <c r="AB6754" i="1"/>
  <c r="Q6754" i="1" s="1"/>
  <c r="R6754" i="1" s="1"/>
  <c r="T6754" i="1" s="1"/>
  <c r="AB6560" i="1"/>
  <c r="Q6560" i="1" s="1"/>
  <c r="R6560" i="1" s="1"/>
  <c r="T6560" i="1" s="1"/>
  <c r="AB6496" i="1"/>
  <c r="Q6496" i="1" s="1"/>
  <c r="R6496" i="1" s="1"/>
  <c r="T6496" i="1" s="1"/>
  <c r="AB6499" i="1"/>
  <c r="H6499" i="1" s="1"/>
  <c r="I6499" i="1" s="1"/>
  <c r="Z6341" i="1"/>
  <c r="AB6341" i="1"/>
  <c r="N6315" i="1"/>
  <c r="Z6799" i="1"/>
  <c r="AB6799" i="1"/>
  <c r="N6335" i="1"/>
  <c r="N6563" i="1"/>
  <c r="AB6570" i="1"/>
  <c r="AD6569" i="1"/>
  <c r="AD6568" i="1" s="1"/>
  <c r="N6568" i="1"/>
  <c r="AC6568" i="1"/>
  <c r="Z6794" i="1"/>
  <c r="AB6794" i="1"/>
  <c r="Z6564" i="1"/>
  <c r="AB6564" i="1"/>
  <c r="N6764" i="1"/>
  <c r="Z6336" i="1"/>
  <c r="AB6336" i="1"/>
  <c r="Z6791" i="1"/>
  <c r="AB6791" i="1"/>
  <c r="N6514" i="1"/>
  <c r="Z6561" i="1"/>
  <c r="AB6561" i="1"/>
  <c r="AB6334" i="1"/>
  <c r="AD6333" i="1"/>
  <c r="AD6332" i="1" s="1"/>
  <c r="N6332" i="1"/>
  <c r="AC6332" i="1"/>
  <c r="AC6534" i="1"/>
  <c r="AC6322" i="1"/>
  <c r="AD6322" i="1" s="1"/>
  <c r="AC6331" i="1"/>
  <c r="AD6331" i="1" s="1"/>
  <c r="AB6331" i="1" s="1"/>
  <c r="AC6330" i="1"/>
  <c r="AD6330" i="1" s="1"/>
  <c r="AB6330" i="1" s="1"/>
  <c r="AC6324" i="1"/>
  <c r="AD6324" i="1" s="1"/>
  <c r="AB6324" i="1" s="1"/>
  <c r="AC6329" i="1"/>
  <c r="AD6329" i="1" s="1"/>
  <c r="AC6323" i="1"/>
  <c r="AD6323" i="1" s="1"/>
  <c r="AB6323" i="1" s="1"/>
  <c r="AC6326" i="1"/>
  <c r="AD6326" i="1" s="1"/>
  <c r="AB6326" i="1" s="1"/>
  <c r="AC6325" i="1"/>
  <c r="AD6325" i="1" s="1"/>
  <c r="AB6325" i="1" s="1"/>
  <c r="AC6319" i="1"/>
  <c r="AD6319" i="1" s="1"/>
  <c r="AB6319" i="1" s="1"/>
  <c r="AC6320" i="1"/>
  <c r="AD6320" i="1" s="1"/>
  <c r="AB6320" i="1" s="1"/>
  <c r="AC6318" i="1"/>
  <c r="AD6318" i="1" s="1"/>
  <c r="AB6318" i="1" s="1"/>
  <c r="AC6317" i="1"/>
  <c r="AD6317" i="1" s="1"/>
  <c r="AC6726" i="1"/>
  <c r="AB6726" i="1" s="1"/>
  <c r="H6726" i="1" s="1"/>
  <c r="I6726" i="1" s="1"/>
  <c r="AC6550" i="1"/>
  <c r="AD6550" i="1" s="1"/>
  <c r="AC6553" i="1"/>
  <c r="AD6553" i="1" s="1"/>
  <c r="AB6553" i="1" s="1"/>
  <c r="AC6559" i="1"/>
  <c r="AD6559" i="1" s="1"/>
  <c r="AB6559" i="1" s="1"/>
  <c r="AC6558" i="1"/>
  <c r="AD6558" i="1" s="1"/>
  <c r="AB6558" i="1" s="1"/>
  <c r="AC6552" i="1"/>
  <c r="AD6552" i="1" s="1"/>
  <c r="AB6552" i="1" s="1"/>
  <c r="AC6554" i="1"/>
  <c r="AD6554" i="1" s="1"/>
  <c r="AB6554" i="1" s="1"/>
  <c r="AC6557" i="1"/>
  <c r="AD6557" i="1" s="1"/>
  <c r="AC6551" i="1"/>
  <c r="AD6551" i="1" s="1"/>
  <c r="AB6551" i="1" s="1"/>
  <c r="AC6547" i="1"/>
  <c r="AD6547" i="1" s="1"/>
  <c r="AB6547" i="1" s="1"/>
  <c r="AC6545" i="1"/>
  <c r="AD6545" i="1" s="1"/>
  <c r="AC6548" i="1"/>
  <c r="AD6548" i="1" s="1"/>
  <c r="AB6548" i="1" s="1"/>
  <c r="AC6546" i="1"/>
  <c r="AD6546" i="1" s="1"/>
  <c r="AB6546" i="1" s="1"/>
  <c r="N6754" i="1"/>
  <c r="AC6302" i="1"/>
  <c r="AB6302" i="1" s="1"/>
  <c r="H6302" i="1" s="1"/>
  <c r="I6302" i="1" s="1"/>
  <c r="AC6782" i="1"/>
  <c r="AD6782" i="1" s="1"/>
  <c r="AB6782" i="1" s="1"/>
  <c r="AC6788" i="1"/>
  <c r="AD6788" i="1" s="1"/>
  <c r="AB6788" i="1" s="1"/>
  <c r="AC6789" i="1"/>
  <c r="AD6789" i="1" s="1"/>
  <c r="AB6789" i="1" s="1"/>
  <c r="AC6780" i="1"/>
  <c r="AD6780" i="1" s="1"/>
  <c r="AC6784" i="1"/>
  <c r="AD6784" i="1" s="1"/>
  <c r="AB6784" i="1" s="1"/>
  <c r="AC6787" i="1"/>
  <c r="AD6787" i="1" s="1"/>
  <c r="AC6781" i="1"/>
  <c r="AD6781" i="1" s="1"/>
  <c r="AB6781" i="1" s="1"/>
  <c r="AC6783" i="1"/>
  <c r="AD6783" i="1" s="1"/>
  <c r="AB6783" i="1" s="1"/>
  <c r="AC6777" i="1"/>
  <c r="AD6777" i="1" s="1"/>
  <c r="AB6777" i="1" s="1"/>
  <c r="AC6776" i="1"/>
  <c r="AD6776" i="1" s="1"/>
  <c r="AB6776" i="1" s="1"/>
  <c r="AC6778" i="1"/>
  <c r="AD6778" i="1" s="1"/>
  <c r="AB6778" i="1" s="1"/>
  <c r="AC6775" i="1"/>
  <c r="AD6775" i="1" s="1"/>
  <c r="N6773" i="1"/>
  <c r="AC6773" i="1"/>
  <c r="N6530" i="1"/>
  <c r="AD6765" i="1"/>
  <c r="AD6764" i="1" s="1"/>
  <c r="AB6764" i="1" s="1"/>
  <c r="AB6766" i="1"/>
  <c r="AD6535" i="1"/>
  <c r="AD6534" i="1" s="1"/>
  <c r="AB6536" i="1"/>
  <c r="AC6737" i="1"/>
  <c r="AB6737" i="1" s="1"/>
  <c r="H6737" i="1" s="1"/>
  <c r="I6737" i="1" s="1"/>
  <c r="AC6311" i="1"/>
  <c r="AD6311" i="1" s="1"/>
  <c r="AB6311" i="1" s="1"/>
  <c r="AC6308" i="1"/>
  <c r="AD6308" i="1" s="1"/>
  <c r="AC6312" i="1"/>
  <c r="AD6312" i="1" s="1"/>
  <c r="AB6312" i="1" s="1"/>
  <c r="AC6309" i="1"/>
  <c r="AD6309" i="1" s="1"/>
  <c r="AB6309" i="1" s="1"/>
  <c r="AC6310" i="1"/>
  <c r="AD6310" i="1" s="1"/>
  <c r="AB6310" i="1" s="1"/>
  <c r="N6306" i="1"/>
  <c r="AC6306" i="1"/>
  <c r="AB6762" i="1"/>
  <c r="AD6761" i="1"/>
  <c r="AD6760" i="1" s="1"/>
  <c r="AC6734" i="1"/>
  <c r="AB6734" i="1" s="1"/>
  <c r="Q6734" i="1" s="1"/>
  <c r="R6734" i="1" s="1"/>
  <c r="T6734" i="1" s="1"/>
  <c r="AC6760" i="1"/>
  <c r="N6760" i="1"/>
  <c r="AC6729" i="1"/>
  <c r="AB6729" i="1" s="1"/>
  <c r="Q6729" i="1" s="1"/>
  <c r="R6729" i="1" s="1"/>
  <c r="T6729" i="1" s="1"/>
  <c r="AB6303" i="1"/>
  <c r="Z6303" i="1"/>
  <c r="Z6531" i="1"/>
  <c r="AB6531" i="1"/>
  <c r="AB6755" i="1"/>
  <c r="Z6755" i="1"/>
  <c r="AB6527" i="1"/>
  <c r="AD6526" i="1"/>
  <c r="AD6525" i="1" s="1"/>
  <c r="N6525" i="1"/>
  <c r="AC6525" i="1"/>
  <c r="AB6298" i="1"/>
  <c r="AD6297" i="1"/>
  <c r="AD6296" i="1" s="1"/>
  <c r="AC6296" i="1"/>
  <c r="N6296" i="1"/>
  <c r="N6499" i="1"/>
  <c r="AB6516" i="1"/>
  <c r="AD6515" i="1"/>
  <c r="AD6514" i="1" s="1"/>
  <c r="AB6514" i="1" s="1"/>
  <c r="N6496" i="1"/>
  <c r="Z6735" i="1"/>
  <c r="AB6735" i="1"/>
  <c r="N6751" i="1"/>
  <c r="AB6507" i="1"/>
  <c r="AD6506" i="1"/>
  <c r="AD6505" i="1" s="1"/>
  <c r="AC6505" i="1"/>
  <c r="N6505" i="1"/>
  <c r="Z6730" i="1"/>
  <c r="AB6730" i="1"/>
  <c r="AC6273" i="1"/>
  <c r="AB6273" i="1" s="1"/>
  <c r="Q6273" i="1" s="1"/>
  <c r="R6273" i="1" s="1"/>
  <c r="T6273" i="1" s="1"/>
  <c r="N6289" i="1"/>
  <c r="Z6500" i="1"/>
  <c r="AB6500" i="1"/>
  <c r="Z6497" i="1"/>
  <c r="AB6497" i="1"/>
  <c r="Z6727" i="1"/>
  <c r="AB6727" i="1"/>
  <c r="AC6293" i="1"/>
  <c r="AB6293" i="1" s="1"/>
  <c r="H6293" i="1" s="1"/>
  <c r="I6293" i="1" s="1"/>
  <c r="N6283" i="1"/>
  <c r="N6522" i="1"/>
  <c r="Z6738" i="1"/>
  <c r="AB6738" i="1"/>
  <c r="N6235" i="1"/>
  <c r="Z6752" i="1"/>
  <c r="AB6752" i="1"/>
  <c r="N6276" i="1"/>
  <c r="AC6658" i="1"/>
  <c r="AB6283" i="1"/>
  <c r="H6283" i="1" s="1"/>
  <c r="I6283" i="1" s="1"/>
  <c r="Z6523" i="1"/>
  <c r="AB6523" i="1"/>
  <c r="AB6289" i="1"/>
  <c r="H6289" i="1" s="1"/>
  <c r="I6289" i="1" s="1"/>
  <c r="Z6294" i="1"/>
  <c r="AB6294" i="1"/>
  <c r="AB6276" i="1"/>
  <c r="H6276" i="1" s="1"/>
  <c r="I6276" i="1" s="1"/>
  <c r="AC6901" i="1"/>
  <c r="Z6290" i="1"/>
  <c r="AB6290" i="1"/>
  <c r="N6270" i="1"/>
  <c r="AB6270" i="1"/>
  <c r="H6270" i="1" s="1"/>
  <c r="I6270" i="1" s="1"/>
  <c r="Z6284" i="1"/>
  <c r="AB6284" i="1"/>
  <c r="AC6173" i="1"/>
  <c r="Z6277" i="1"/>
  <c r="AB6277" i="1"/>
  <c r="AC6888" i="1"/>
  <c r="Z6274" i="1"/>
  <c r="AB6274" i="1"/>
  <c r="Z6271" i="1"/>
  <c r="AB6271" i="1"/>
  <c r="N6671" i="1"/>
  <c r="M6228" i="1"/>
  <c r="AC6228" i="1" s="1"/>
  <c r="AC6232" i="1" s="1"/>
  <c r="AD6232" i="1" s="1"/>
  <c r="AB6232" i="1" s="1"/>
  <c r="AC6905" i="1"/>
  <c r="AD6905" i="1" s="1"/>
  <c r="AB6905" i="1" s="1"/>
  <c r="AC6907" i="1"/>
  <c r="AD6907" i="1" s="1"/>
  <c r="AB6907" i="1" s="1"/>
  <c r="AC6904" i="1"/>
  <c r="AD6904" i="1" s="1"/>
  <c r="AB6904" i="1" s="1"/>
  <c r="AC6906" i="1"/>
  <c r="AD6906" i="1" s="1"/>
  <c r="AB6906" i="1" s="1"/>
  <c r="AC6908" i="1"/>
  <c r="AD6908" i="1" s="1"/>
  <c r="AB6908" i="1" s="1"/>
  <c r="AC6903" i="1"/>
  <c r="AD6903" i="1" s="1"/>
  <c r="AC6913" i="1"/>
  <c r="AD6913" i="1" s="1"/>
  <c r="AB6913" i="1" s="1"/>
  <c r="AC6910" i="1"/>
  <c r="AD6910" i="1" s="1"/>
  <c r="AC6912" i="1"/>
  <c r="AD6912" i="1" s="1"/>
  <c r="AB6912" i="1" s="1"/>
  <c r="AC6911" i="1"/>
  <c r="AD6911" i="1" s="1"/>
  <c r="AB6911" i="1" s="1"/>
  <c r="AC6900" i="1"/>
  <c r="AD6900" i="1" s="1"/>
  <c r="AB6900" i="1" s="1"/>
  <c r="AC6897" i="1"/>
  <c r="AD6897" i="1" s="1"/>
  <c r="AC6899" i="1"/>
  <c r="AD6899" i="1" s="1"/>
  <c r="AB6899" i="1" s="1"/>
  <c r="AC6898" i="1"/>
  <c r="AD6898" i="1" s="1"/>
  <c r="AB6898" i="1" s="1"/>
  <c r="N6148" i="1"/>
  <c r="AC6895" i="1"/>
  <c r="AD6895" i="1" s="1"/>
  <c r="AB6895" i="1" s="1"/>
  <c r="AC6893" i="1"/>
  <c r="AD6893" i="1" s="1"/>
  <c r="AB6893" i="1" s="1"/>
  <c r="AC6890" i="1"/>
  <c r="AD6890" i="1" s="1"/>
  <c r="AC6892" i="1"/>
  <c r="AD6892" i="1" s="1"/>
  <c r="AB6892" i="1" s="1"/>
  <c r="AC6894" i="1"/>
  <c r="AD6894" i="1" s="1"/>
  <c r="AB6894" i="1" s="1"/>
  <c r="AC6891" i="1"/>
  <c r="AD6891" i="1" s="1"/>
  <c r="AB6891" i="1" s="1"/>
  <c r="AC6677" i="1"/>
  <c r="AD6677" i="1" s="1"/>
  <c r="AB6677" i="1" s="1"/>
  <c r="AC6676" i="1"/>
  <c r="AD6676" i="1" s="1"/>
  <c r="AB6676" i="1" s="1"/>
  <c r="AC6673" i="1"/>
  <c r="AD6673" i="1" s="1"/>
  <c r="AC6678" i="1"/>
  <c r="AD6678" i="1" s="1"/>
  <c r="AB6678" i="1" s="1"/>
  <c r="AC6675" i="1"/>
  <c r="AD6675" i="1" s="1"/>
  <c r="AB6675" i="1" s="1"/>
  <c r="AC6674" i="1"/>
  <c r="AD6674" i="1" s="1"/>
  <c r="AB6674" i="1" s="1"/>
  <c r="AC6682" i="1"/>
  <c r="AD6682" i="1" s="1"/>
  <c r="AB6682" i="1" s="1"/>
  <c r="AC6683" i="1"/>
  <c r="AD6683" i="1" s="1"/>
  <c r="AB6683" i="1" s="1"/>
  <c r="AC6680" i="1"/>
  <c r="AD6680" i="1" s="1"/>
  <c r="AC6681" i="1"/>
  <c r="AD6681" i="1" s="1"/>
  <c r="AB6681" i="1" s="1"/>
  <c r="AC6670" i="1"/>
  <c r="AD6670" i="1" s="1"/>
  <c r="AB6670" i="1" s="1"/>
  <c r="AC6667" i="1"/>
  <c r="AD6667" i="1" s="1"/>
  <c r="AC6668" i="1"/>
  <c r="AD6668" i="1" s="1"/>
  <c r="AB6668" i="1" s="1"/>
  <c r="AC6669" i="1"/>
  <c r="AD6669" i="1" s="1"/>
  <c r="AB6669" i="1" s="1"/>
  <c r="AC6665" i="1"/>
  <c r="AD6665" i="1" s="1"/>
  <c r="AB6665" i="1" s="1"/>
  <c r="AC6662" i="1"/>
  <c r="AD6662" i="1" s="1"/>
  <c r="AB6662" i="1" s="1"/>
  <c r="AC6661" i="1"/>
  <c r="AD6661" i="1" s="1"/>
  <c r="AB6661" i="1" s="1"/>
  <c r="AC6663" i="1"/>
  <c r="AD6663" i="1" s="1"/>
  <c r="AB6663" i="1" s="1"/>
  <c r="AC6660" i="1"/>
  <c r="AD6660" i="1" s="1"/>
  <c r="AC6664" i="1"/>
  <c r="AD6664" i="1" s="1"/>
  <c r="AB6664" i="1" s="1"/>
  <c r="AC6083" i="1"/>
  <c r="AC6455" i="1"/>
  <c r="AD6455" i="1" s="1"/>
  <c r="AB6455" i="1" s="1"/>
  <c r="AC6452" i="1"/>
  <c r="AD6452" i="1" s="1"/>
  <c r="AC6454" i="1"/>
  <c r="AD6454" i="1" s="1"/>
  <c r="AB6454" i="1" s="1"/>
  <c r="AC6453" i="1"/>
  <c r="AD6453" i="1" s="1"/>
  <c r="AB6453" i="1" s="1"/>
  <c r="AC6450" i="1"/>
  <c r="AD6450" i="1" s="1"/>
  <c r="AB6450" i="1" s="1"/>
  <c r="AC6448" i="1"/>
  <c r="AD6448" i="1" s="1"/>
  <c r="AB6448" i="1" s="1"/>
  <c r="AC6447" i="1"/>
  <c r="AD6447" i="1" s="1"/>
  <c r="AB6447" i="1" s="1"/>
  <c r="AC6445" i="1"/>
  <c r="AD6445" i="1" s="1"/>
  <c r="AC6449" i="1"/>
  <c r="AD6449" i="1" s="1"/>
  <c r="AB6449" i="1" s="1"/>
  <c r="AC6446" i="1"/>
  <c r="AD6446" i="1" s="1"/>
  <c r="AB6446" i="1" s="1"/>
  <c r="N6443" i="1"/>
  <c r="AC6443" i="1"/>
  <c r="AC6214" i="1"/>
  <c r="AD6214" i="1" s="1"/>
  <c r="AB6214" i="1" s="1"/>
  <c r="AC6210" i="1"/>
  <c r="AD6210" i="1" s="1"/>
  <c r="AB6210" i="1" s="1"/>
  <c r="N6202" i="1"/>
  <c r="AC6440" i="1"/>
  <c r="AD6440" i="1" s="1"/>
  <c r="AB6440" i="1" s="1"/>
  <c r="AC6442" i="1"/>
  <c r="AD6442" i="1" s="1"/>
  <c r="AB6442" i="1" s="1"/>
  <c r="AC6439" i="1"/>
  <c r="AD6439" i="1" s="1"/>
  <c r="AC6441" i="1"/>
  <c r="AD6441" i="1" s="1"/>
  <c r="AB6441" i="1" s="1"/>
  <c r="AC6432" i="1"/>
  <c r="AD6432" i="1" s="1"/>
  <c r="AC6437" i="1"/>
  <c r="AD6437" i="1" s="1"/>
  <c r="AB6437" i="1" s="1"/>
  <c r="AC6433" i="1"/>
  <c r="AD6433" i="1" s="1"/>
  <c r="AB6433" i="1" s="1"/>
  <c r="AC6435" i="1"/>
  <c r="AD6435" i="1" s="1"/>
  <c r="AB6435" i="1" s="1"/>
  <c r="AC6434" i="1"/>
  <c r="AD6434" i="1" s="1"/>
  <c r="AB6434" i="1" s="1"/>
  <c r="AC6436" i="1"/>
  <c r="AD6436" i="1" s="1"/>
  <c r="AB6436" i="1" s="1"/>
  <c r="AC6227" i="1"/>
  <c r="AD6227" i="1" s="1"/>
  <c r="AB6227" i="1" s="1"/>
  <c r="AC6223" i="1"/>
  <c r="AD6223" i="1" s="1"/>
  <c r="AB6223" i="1" s="1"/>
  <c r="AC6226" i="1"/>
  <c r="AD6226" i="1" s="1"/>
  <c r="AB6226" i="1" s="1"/>
  <c r="AC6225" i="1"/>
  <c r="AD6225" i="1" s="1"/>
  <c r="AB6225" i="1" s="1"/>
  <c r="AC6222" i="1"/>
  <c r="AD6222" i="1" s="1"/>
  <c r="AC6224" i="1"/>
  <c r="AD6224" i="1" s="1"/>
  <c r="AB6224" i="1" s="1"/>
  <c r="AC6209" i="1"/>
  <c r="AD6209" i="1" s="1"/>
  <c r="AB6209" i="1" s="1"/>
  <c r="AC6212" i="1"/>
  <c r="AD6212" i="1" s="1"/>
  <c r="AB6212" i="1" s="1"/>
  <c r="AC6213" i="1"/>
  <c r="AD6213" i="1" s="1"/>
  <c r="AB6213" i="1" s="1"/>
  <c r="AC6219" i="1"/>
  <c r="AD6219" i="1" s="1"/>
  <c r="AB6219" i="1" s="1"/>
  <c r="AC6216" i="1"/>
  <c r="AD6216" i="1" s="1"/>
  <c r="AC6218" i="1"/>
  <c r="AD6218" i="1" s="1"/>
  <c r="AB6218" i="1" s="1"/>
  <c r="AC6217" i="1"/>
  <c r="AD6217" i="1" s="1"/>
  <c r="AB6217" i="1" s="1"/>
  <c r="N6109" i="1"/>
  <c r="AB6202" i="1"/>
  <c r="H6202" i="1" s="1"/>
  <c r="I6202" i="1" s="1"/>
  <c r="AC6112" i="1"/>
  <c r="AB6112" i="1" s="1"/>
  <c r="Q6112" i="1" s="1"/>
  <c r="R6112" i="1" s="1"/>
  <c r="T6112" i="1" s="1"/>
  <c r="AC6191" i="1"/>
  <c r="AD6191" i="1" s="1"/>
  <c r="AB6191" i="1" s="1"/>
  <c r="AC6188" i="1"/>
  <c r="AD6188" i="1" s="1"/>
  <c r="AC6197" i="1"/>
  <c r="AD6197" i="1" s="1"/>
  <c r="AB6197" i="1" s="1"/>
  <c r="AC6192" i="1"/>
  <c r="AD6192" i="1" s="1"/>
  <c r="AB6192" i="1" s="1"/>
  <c r="AC6189" i="1"/>
  <c r="AD6189" i="1" s="1"/>
  <c r="AB6189" i="1" s="1"/>
  <c r="AC6195" i="1"/>
  <c r="AD6195" i="1" s="1"/>
  <c r="AB6195" i="1" s="1"/>
  <c r="AC6190" i="1"/>
  <c r="AD6190" i="1" s="1"/>
  <c r="AB6190" i="1" s="1"/>
  <c r="AC6193" i="1"/>
  <c r="AD6193" i="1" s="1"/>
  <c r="AB6193" i="1" s="1"/>
  <c r="AC6194" i="1"/>
  <c r="AD6194" i="1" s="1"/>
  <c r="AB6194" i="1" s="1"/>
  <c r="AC6196" i="1"/>
  <c r="AD6196" i="1" s="1"/>
  <c r="AB6196" i="1" s="1"/>
  <c r="AC6178" i="1"/>
  <c r="AD6178" i="1" s="1"/>
  <c r="AB6178" i="1" s="1"/>
  <c r="AC6180" i="1"/>
  <c r="AD6180" i="1" s="1"/>
  <c r="AB6180" i="1" s="1"/>
  <c r="AC6175" i="1"/>
  <c r="AD6175" i="1" s="1"/>
  <c r="AC6177" i="1"/>
  <c r="AD6177" i="1" s="1"/>
  <c r="AB6177" i="1" s="1"/>
  <c r="AC6179" i="1"/>
  <c r="AD6179" i="1" s="1"/>
  <c r="AB6179" i="1" s="1"/>
  <c r="AC6176" i="1"/>
  <c r="AD6176" i="1" s="1"/>
  <c r="AB6176" i="1" s="1"/>
  <c r="AC6185" i="1"/>
  <c r="AD6185" i="1" s="1"/>
  <c r="AB6185" i="1" s="1"/>
  <c r="AC6182" i="1"/>
  <c r="AD6182" i="1" s="1"/>
  <c r="AC6186" i="1"/>
  <c r="AD6186" i="1" s="1"/>
  <c r="AB6186" i="1" s="1"/>
  <c r="AC6184" i="1"/>
  <c r="AD6184" i="1" s="1"/>
  <c r="AB6184" i="1" s="1"/>
  <c r="AC6183" i="1"/>
  <c r="AD6183" i="1" s="1"/>
  <c r="AB6183" i="1" s="1"/>
  <c r="AB6118" i="1"/>
  <c r="Q6118" i="1" s="1"/>
  <c r="R6118" i="1" s="1"/>
  <c r="T6118" i="1" s="1"/>
  <c r="AC6161" i="1"/>
  <c r="AD6161" i="1" s="1"/>
  <c r="AB6161" i="1" s="1"/>
  <c r="AC6157" i="1"/>
  <c r="AD6157" i="1" s="1"/>
  <c r="AC6158" i="1"/>
  <c r="AD6158" i="1" s="1"/>
  <c r="AB6158" i="1" s="1"/>
  <c r="AC6160" i="1"/>
  <c r="AD6160" i="1" s="1"/>
  <c r="AB6160" i="1" s="1"/>
  <c r="AC6159" i="1"/>
  <c r="AD6159" i="1" s="1"/>
  <c r="AB6159" i="1" s="1"/>
  <c r="AC6164" i="1"/>
  <c r="AD6164" i="1" s="1"/>
  <c r="AB6164" i="1" s="1"/>
  <c r="AC6171" i="1"/>
  <c r="AD6171" i="1" s="1"/>
  <c r="AB6171" i="1" s="1"/>
  <c r="AC6172" i="1"/>
  <c r="AD6172" i="1" s="1"/>
  <c r="AB6172" i="1" s="1"/>
  <c r="AC6167" i="1"/>
  <c r="AD6167" i="1" s="1"/>
  <c r="AB6167" i="1" s="1"/>
  <c r="AC6169" i="1"/>
  <c r="AD6169" i="1" s="1"/>
  <c r="AB6169" i="1" s="1"/>
  <c r="AC6166" i="1"/>
  <c r="AD6166" i="1" s="1"/>
  <c r="AB6166" i="1" s="1"/>
  <c r="AC6170" i="1"/>
  <c r="AD6170" i="1" s="1"/>
  <c r="AB6170" i="1" s="1"/>
  <c r="AC6168" i="1"/>
  <c r="AD6168" i="1" s="1"/>
  <c r="AB6168" i="1" s="1"/>
  <c r="AC6163" i="1"/>
  <c r="AD6163" i="1" s="1"/>
  <c r="AC6165" i="1"/>
  <c r="AD6165" i="1" s="1"/>
  <c r="AB6165" i="1" s="1"/>
  <c r="AC6153" i="1"/>
  <c r="AD6153" i="1" s="1"/>
  <c r="AB6153" i="1" s="1"/>
  <c r="AC6154" i="1"/>
  <c r="AD6154" i="1" s="1"/>
  <c r="AB6154" i="1" s="1"/>
  <c r="AC6155" i="1"/>
  <c r="AD6155" i="1" s="1"/>
  <c r="AB6155" i="1" s="1"/>
  <c r="AC6150" i="1"/>
  <c r="AD6150" i="1" s="1"/>
  <c r="AC6152" i="1"/>
  <c r="AD6152" i="1" s="1"/>
  <c r="AB6152" i="1" s="1"/>
  <c r="AC6151" i="1"/>
  <c r="AD6151" i="1" s="1"/>
  <c r="AB6151" i="1" s="1"/>
  <c r="AC6133" i="1"/>
  <c r="AD6133" i="1" s="1"/>
  <c r="AB6133" i="1" s="1"/>
  <c r="AC6136" i="1"/>
  <c r="AD6136" i="1" s="1"/>
  <c r="AB6136" i="1" s="1"/>
  <c r="AC6132" i="1"/>
  <c r="AD6132" i="1" s="1"/>
  <c r="AC6134" i="1"/>
  <c r="AD6134" i="1" s="1"/>
  <c r="AB6134" i="1" s="1"/>
  <c r="AC6135" i="1"/>
  <c r="AD6135" i="1" s="1"/>
  <c r="AB6135" i="1" s="1"/>
  <c r="AC6142" i="1"/>
  <c r="AD6142" i="1" s="1"/>
  <c r="AB6142" i="1" s="1"/>
  <c r="AC6139" i="1"/>
  <c r="AD6139" i="1" s="1"/>
  <c r="AB6139" i="1" s="1"/>
  <c r="AC6147" i="1"/>
  <c r="AD6147" i="1" s="1"/>
  <c r="AB6147" i="1" s="1"/>
  <c r="AC6144" i="1"/>
  <c r="AD6144" i="1" s="1"/>
  <c r="AB6144" i="1" s="1"/>
  <c r="AC6146" i="1"/>
  <c r="AD6146" i="1" s="1"/>
  <c r="AB6146" i="1" s="1"/>
  <c r="AC6143" i="1"/>
  <c r="AD6143" i="1" s="1"/>
  <c r="AB6143" i="1" s="1"/>
  <c r="AC6138" i="1"/>
  <c r="AD6138" i="1" s="1"/>
  <c r="AC6145" i="1"/>
  <c r="AD6145" i="1" s="1"/>
  <c r="AB6145" i="1" s="1"/>
  <c r="AC6140" i="1"/>
  <c r="AD6140" i="1" s="1"/>
  <c r="AB6140" i="1" s="1"/>
  <c r="AC6141" i="1"/>
  <c r="AD6141" i="1" s="1"/>
  <c r="AB6141" i="1" s="1"/>
  <c r="AC6128" i="1"/>
  <c r="AD6128" i="1" s="1"/>
  <c r="AB6128" i="1" s="1"/>
  <c r="AC6130" i="1"/>
  <c r="AD6130" i="1" s="1"/>
  <c r="AB6130" i="1" s="1"/>
  <c r="AC6125" i="1"/>
  <c r="AD6125" i="1" s="1"/>
  <c r="AC6129" i="1"/>
  <c r="AD6129" i="1" s="1"/>
  <c r="AB6129" i="1" s="1"/>
  <c r="AC6126" i="1"/>
  <c r="AD6126" i="1" s="1"/>
  <c r="AB6126" i="1" s="1"/>
  <c r="AC6127" i="1"/>
  <c r="AD6127" i="1" s="1"/>
  <c r="AB6127" i="1" s="1"/>
  <c r="N6118" i="1"/>
  <c r="AB6109" i="1"/>
  <c r="Q6109" i="1" s="1"/>
  <c r="R6109" i="1" s="1"/>
  <c r="T6109" i="1" s="1"/>
  <c r="AC6252" i="1"/>
  <c r="AD6252" i="1" s="1"/>
  <c r="AB6252" i="1" s="1"/>
  <c r="AC6247" i="1"/>
  <c r="AD6247" i="1" s="1"/>
  <c r="AC6249" i="1"/>
  <c r="AD6249" i="1" s="1"/>
  <c r="AB6249" i="1" s="1"/>
  <c r="AC6251" i="1"/>
  <c r="AD6251" i="1" s="1"/>
  <c r="AB6251" i="1" s="1"/>
  <c r="AC6248" i="1"/>
  <c r="AD6248" i="1" s="1"/>
  <c r="AB6248" i="1" s="1"/>
  <c r="AC6250" i="1"/>
  <c r="AD6250" i="1" s="1"/>
  <c r="AB6250" i="1" s="1"/>
  <c r="AC6258" i="1"/>
  <c r="AD6258" i="1" s="1"/>
  <c r="AB6258" i="1" s="1"/>
  <c r="AC6262" i="1"/>
  <c r="AD6262" i="1" s="1"/>
  <c r="AB6262" i="1" s="1"/>
  <c r="AC6263" i="1"/>
  <c r="AD6263" i="1" s="1"/>
  <c r="AB6263" i="1" s="1"/>
  <c r="AC6257" i="1"/>
  <c r="AD6257" i="1" s="1"/>
  <c r="AB6257" i="1" s="1"/>
  <c r="AC6254" i="1"/>
  <c r="AD6254" i="1" s="1"/>
  <c r="AC6259" i="1"/>
  <c r="AD6259" i="1" s="1"/>
  <c r="AB6259" i="1" s="1"/>
  <c r="AC6261" i="1"/>
  <c r="AD6261" i="1" s="1"/>
  <c r="AB6261" i="1" s="1"/>
  <c r="AC6256" i="1"/>
  <c r="AD6256" i="1" s="1"/>
  <c r="AB6256" i="1" s="1"/>
  <c r="AC6260" i="1"/>
  <c r="AD6260" i="1" s="1"/>
  <c r="AB6260" i="1" s="1"/>
  <c r="AC6255" i="1"/>
  <c r="AD6255" i="1" s="1"/>
  <c r="AB6255" i="1" s="1"/>
  <c r="N6245" i="1"/>
  <c r="AC6245" i="1"/>
  <c r="Z6203" i="1"/>
  <c r="AB6203" i="1"/>
  <c r="AD6200" i="1"/>
  <c r="AD6199" i="1" s="1"/>
  <c r="AB6201" i="1"/>
  <c r="N6199" i="1"/>
  <c r="AC6199" i="1"/>
  <c r="AC6071" i="1"/>
  <c r="AB6071" i="1" s="1"/>
  <c r="Q6071" i="1" s="1"/>
  <c r="R6071" i="1" s="1"/>
  <c r="T6071" i="1" s="1"/>
  <c r="Z6119" i="1"/>
  <c r="AB6119" i="1"/>
  <c r="Z6113" i="1"/>
  <c r="AB6113" i="1"/>
  <c r="AC6068" i="1"/>
  <c r="AB6068" i="1" s="1"/>
  <c r="H6068" i="1" s="1"/>
  <c r="I6068" i="1" s="1"/>
  <c r="AB6110" i="1"/>
  <c r="Z6110" i="1"/>
  <c r="AC6094" i="1"/>
  <c r="AD6094" i="1" s="1"/>
  <c r="AC6097" i="1"/>
  <c r="AD6097" i="1" s="1"/>
  <c r="AB6097" i="1" s="1"/>
  <c r="AC6096" i="1"/>
  <c r="AD6096" i="1" s="1"/>
  <c r="AB6096" i="1" s="1"/>
  <c r="AC6095" i="1"/>
  <c r="AD6095" i="1" s="1"/>
  <c r="AB6095" i="1" s="1"/>
  <c r="AC6101" i="1"/>
  <c r="AD6101" i="1" s="1"/>
  <c r="AB6101" i="1" s="1"/>
  <c r="AC6106" i="1"/>
  <c r="AD6106" i="1" s="1"/>
  <c r="AC6100" i="1"/>
  <c r="AD6100" i="1" s="1"/>
  <c r="AB6100" i="1" s="1"/>
  <c r="AC6108" i="1"/>
  <c r="AD6108" i="1" s="1"/>
  <c r="AB6108" i="1" s="1"/>
  <c r="AC6102" i="1"/>
  <c r="AD6102" i="1" s="1"/>
  <c r="AB6102" i="1" s="1"/>
  <c r="AC6099" i="1"/>
  <c r="AD6099" i="1" s="1"/>
  <c r="AC6107" i="1"/>
  <c r="AD6107" i="1" s="1"/>
  <c r="AB6107" i="1" s="1"/>
  <c r="AC6103" i="1"/>
  <c r="AD6103" i="1" s="1"/>
  <c r="AB6103" i="1" s="1"/>
  <c r="AD6086" i="1"/>
  <c r="AB6086" i="1" s="1"/>
  <c r="AD6087" i="1"/>
  <c r="AB6087" i="1" s="1"/>
  <c r="AB6085" i="1"/>
  <c r="AB6081" i="1"/>
  <c r="AD6080" i="1"/>
  <c r="AD6079" i="1" s="1"/>
  <c r="AC6079" i="1"/>
  <c r="N6079" i="1"/>
  <c r="AC6059" i="1"/>
  <c r="AB6059" i="1" s="1"/>
  <c r="H6059" i="1" s="1"/>
  <c r="I6059" i="1" s="1"/>
  <c r="N5672" i="1"/>
  <c r="N6034" i="1"/>
  <c r="AD6065" i="1"/>
  <c r="AB6065" i="1" s="1"/>
  <c r="AB6064" i="1"/>
  <c r="AB6076" i="1"/>
  <c r="AD6075" i="1"/>
  <c r="AD6074" i="1" s="1"/>
  <c r="AC6062" i="1"/>
  <c r="N6074" i="1"/>
  <c r="AC6074" i="1"/>
  <c r="Z6072" i="1"/>
  <c r="AB6072" i="1"/>
  <c r="AC6007" i="1"/>
  <c r="Z6069" i="1"/>
  <c r="AB6069" i="1"/>
  <c r="N6040" i="1"/>
  <c r="Z6060" i="1"/>
  <c r="AB6060" i="1"/>
  <c r="N5998" i="1"/>
  <c r="AB6055" i="1"/>
  <c r="AD6054" i="1"/>
  <c r="AD6053" i="1" s="1"/>
  <c r="N6053" i="1"/>
  <c r="AC6053" i="1"/>
  <c r="AB6051" i="1"/>
  <c r="AD6050" i="1"/>
  <c r="AD6049" i="1" s="1"/>
  <c r="N6023" i="1"/>
  <c r="N6049" i="1"/>
  <c r="AC6049" i="1"/>
  <c r="AB6040" i="1"/>
  <c r="Q6040" i="1" s="1"/>
  <c r="R6040" i="1" s="1"/>
  <c r="T6040" i="1" s="1"/>
  <c r="N6018" i="1"/>
  <c r="AB6045" i="1"/>
  <c r="AD6044" i="1"/>
  <c r="AD6043" i="1" s="1"/>
  <c r="N6043" i="1"/>
  <c r="AC6043" i="1"/>
  <c r="AC5980" i="1"/>
  <c r="Z6041" i="1"/>
  <c r="AB6041" i="1"/>
  <c r="AB6039" i="1"/>
  <c r="AD6038" i="1"/>
  <c r="AD6037" i="1" s="1"/>
  <c r="N5970" i="1"/>
  <c r="AC6037" i="1"/>
  <c r="N6037" i="1"/>
  <c r="AB6035" i="1"/>
  <c r="Z6035" i="1"/>
  <c r="N5144" i="1"/>
  <c r="AC6032" i="1"/>
  <c r="AD6032" i="1" s="1"/>
  <c r="AB6032" i="1" s="1"/>
  <c r="AC6031" i="1"/>
  <c r="AD6031" i="1" s="1"/>
  <c r="AB6031" i="1" s="1"/>
  <c r="AC6030" i="1"/>
  <c r="AD6030" i="1" s="1"/>
  <c r="AC6028" i="1"/>
  <c r="N6028" i="1"/>
  <c r="AC5961" i="1"/>
  <c r="AB6025" i="1"/>
  <c r="AD6024" i="1"/>
  <c r="AD6023" i="1" s="1"/>
  <c r="AB6023" i="1" s="1"/>
  <c r="AB6020" i="1"/>
  <c r="AD6019" i="1"/>
  <c r="AD6018" i="1" s="1"/>
  <c r="AB6018" i="1" s="1"/>
  <c r="AC5989" i="1"/>
  <c r="AC5952" i="1"/>
  <c r="AD6008" i="1"/>
  <c r="AD6007" i="1" s="1"/>
  <c r="AB6009" i="1"/>
  <c r="AD5999" i="1"/>
  <c r="AD5998" i="1" s="1"/>
  <c r="AB5998" i="1" s="1"/>
  <c r="AB6000" i="1"/>
  <c r="AD5990" i="1"/>
  <c r="AD5989" i="1" s="1"/>
  <c r="AB5991" i="1"/>
  <c r="AD5981" i="1"/>
  <c r="AD5980" i="1" s="1"/>
  <c r="AB5982" i="1"/>
  <c r="AC5868" i="1"/>
  <c r="AD5971" i="1"/>
  <c r="AD5970" i="1" s="1"/>
  <c r="AB5970" i="1" s="1"/>
  <c r="AB5972" i="1"/>
  <c r="N5943" i="1"/>
  <c r="AD5962" i="1"/>
  <c r="AD5961" i="1" s="1"/>
  <c r="AB5963" i="1"/>
  <c r="AD5953" i="1"/>
  <c r="AD5952" i="1" s="1"/>
  <c r="AB5954" i="1"/>
  <c r="N5920" i="1"/>
  <c r="AD5944" i="1"/>
  <c r="AD5943" i="1" s="1"/>
  <c r="AB5943" i="1" s="1"/>
  <c r="AB5946" i="1"/>
  <c r="N5774" i="1"/>
  <c r="AC5870" i="1"/>
  <c r="AD5870" i="1" s="1"/>
  <c r="AC5873" i="1"/>
  <c r="AD5873" i="1" s="1"/>
  <c r="AB5873" i="1" s="1"/>
  <c r="AC5872" i="1"/>
  <c r="AD5872" i="1" s="1"/>
  <c r="AB5872" i="1" s="1"/>
  <c r="AC5906" i="1"/>
  <c r="AD5906" i="1" s="1"/>
  <c r="AB5906" i="1" s="1"/>
  <c r="AC5899" i="1"/>
  <c r="AD5899" i="1" s="1"/>
  <c r="AB5899" i="1" s="1"/>
  <c r="AC5909" i="1"/>
  <c r="AD5909" i="1" s="1"/>
  <c r="AB5909" i="1" s="1"/>
  <c r="AC5907" i="1"/>
  <c r="AD5907" i="1" s="1"/>
  <c r="AB5907" i="1" s="1"/>
  <c r="AC5908" i="1"/>
  <c r="AD5908" i="1" s="1"/>
  <c r="AB5908" i="1" s="1"/>
  <c r="AC5896" i="1"/>
  <c r="AD5896" i="1" s="1"/>
  <c r="AC5905" i="1"/>
  <c r="AD5905" i="1" s="1"/>
  <c r="AB5905" i="1" s="1"/>
  <c r="AC5898" i="1"/>
  <c r="AD5898" i="1" s="1"/>
  <c r="AB5898" i="1" s="1"/>
  <c r="AC5900" i="1"/>
  <c r="AD5900" i="1" s="1"/>
  <c r="AB5900" i="1" s="1"/>
  <c r="AC5903" i="1"/>
  <c r="AD5903" i="1" s="1"/>
  <c r="AC5897" i="1"/>
  <c r="AD5897" i="1" s="1"/>
  <c r="AB5897" i="1" s="1"/>
  <c r="AC5912" i="1"/>
  <c r="AD5912" i="1" s="1"/>
  <c r="AB5912" i="1" s="1"/>
  <c r="AC5915" i="1"/>
  <c r="AD5915" i="1" s="1"/>
  <c r="AB5915" i="1" s="1"/>
  <c r="AC5919" i="1"/>
  <c r="AD5919" i="1" s="1"/>
  <c r="AB5919" i="1" s="1"/>
  <c r="AC5914" i="1"/>
  <c r="AD5914" i="1" s="1"/>
  <c r="AB5914" i="1" s="1"/>
  <c r="AC5916" i="1"/>
  <c r="AD5916" i="1" s="1"/>
  <c r="AB5916" i="1" s="1"/>
  <c r="AC5911" i="1"/>
  <c r="AD5911" i="1" s="1"/>
  <c r="AC5918" i="1"/>
  <c r="AD5918" i="1" s="1"/>
  <c r="AB5918" i="1" s="1"/>
  <c r="AC5913" i="1"/>
  <c r="AD5913" i="1" s="1"/>
  <c r="AB5913" i="1" s="1"/>
  <c r="AC5917" i="1"/>
  <c r="AD5917" i="1" s="1"/>
  <c r="AB5917" i="1" s="1"/>
  <c r="AC5893" i="1"/>
  <c r="AD5893" i="1" s="1"/>
  <c r="AB5893" i="1" s="1"/>
  <c r="AC5892" i="1"/>
  <c r="AD5892" i="1" s="1"/>
  <c r="AB5892" i="1" s="1"/>
  <c r="AC5891" i="1"/>
  <c r="AD5891" i="1" s="1"/>
  <c r="AC5894" i="1"/>
  <c r="AD5894" i="1" s="1"/>
  <c r="AB5894" i="1" s="1"/>
  <c r="AC5923" i="1"/>
  <c r="AD5923" i="1" s="1"/>
  <c r="AB5923" i="1" s="1"/>
  <c r="AC5925" i="1"/>
  <c r="AD5925" i="1" s="1"/>
  <c r="AB5925" i="1" s="1"/>
  <c r="AC5922" i="1"/>
  <c r="AD5922" i="1" s="1"/>
  <c r="AC5924" i="1"/>
  <c r="AD5924" i="1" s="1"/>
  <c r="AB5924" i="1" s="1"/>
  <c r="AC5928" i="1"/>
  <c r="AD5928" i="1" s="1"/>
  <c r="AB5928" i="1" s="1"/>
  <c r="AC5935" i="1"/>
  <c r="AD5935" i="1" s="1"/>
  <c r="AB5935" i="1" s="1"/>
  <c r="AC5934" i="1"/>
  <c r="AD5934" i="1" s="1"/>
  <c r="AB5934" i="1" s="1"/>
  <c r="AC5929" i="1"/>
  <c r="AD5929" i="1" s="1"/>
  <c r="AB5929" i="1" s="1"/>
  <c r="AC5931" i="1"/>
  <c r="AD5931" i="1" s="1"/>
  <c r="AB5931" i="1" s="1"/>
  <c r="AC5930" i="1"/>
  <c r="AD5930" i="1" s="1"/>
  <c r="AB5930" i="1" s="1"/>
  <c r="AC5927" i="1"/>
  <c r="AD5927" i="1" s="1"/>
  <c r="AC5932" i="1"/>
  <c r="AD5932" i="1" s="1"/>
  <c r="AB5932" i="1" s="1"/>
  <c r="AC5933" i="1"/>
  <c r="AD5933" i="1" s="1"/>
  <c r="AB5933" i="1" s="1"/>
  <c r="AC5876" i="1"/>
  <c r="AD5876" i="1" s="1"/>
  <c r="AB5876" i="1" s="1"/>
  <c r="AC5883" i="1"/>
  <c r="AD5883" i="1" s="1"/>
  <c r="AB5883" i="1" s="1"/>
  <c r="AC5875" i="1"/>
  <c r="AD5875" i="1" s="1"/>
  <c r="AC5877" i="1"/>
  <c r="AD5877" i="1" s="1"/>
  <c r="AB5877" i="1" s="1"/>
  <c r="AC5879" i="1"/>
  <c r="AD5879" i="1" s="1"/>
  <c r="AB5879" i="1" s="1"/>
  <c r="AC5878" i="1"/>
  <c r="AD5878" i="1" s="1"/>
  <c r="AB5878" i="1" s="1"/>
  <c r="AC5882" i="1"/>
  <c r="AD5882" i="1" s="1"/>
  <c r="AB5882" i="1" s="1"/>
  <c r="AC5881" i="1"/>
  <c r="AD5881" i="1" s="1"/>
  <c r="AB5881" i="1" s="1"/>
  <c r="AC5880" i="1"/>
  <c r="AD5880" i="1" s="1"/>
  <c r="AB5880" i="1" s="1"/>
  <c r="AC5854" i="1"/>
  <c r="AD5854" i="1" s="1"/>
  <c r="AB5854" i="1" s="1"/>
  <c r="AC5848" i="1"/>
  <c r="AD5848" i="1" s="1"/>
  <c r="AB5848" i="1" s="1"/>
  <c r="AC5857" i="1"/>
  <c r="AD5857" i="1" s="1"/>
  <c r="AB5857" i="1" s="1"/>
  <c r="AC5856" i="1"/>
  <c r="AD5856" i="1" s="1"/>
  <c r="AB5856" i="1" s="1"/>
  <c r="AC5845" i="1"/>
  <c r="AD5845" i="1" s="1"/>
  <c r="AC5853" i="1"/>
  <c r="AD5853" i="1" s="1"/>
  <c r="AB5853" i="1" s="1"/>
  <c r="AC5847" i="1"/>
  <c r="AD5847" i="1" s="1"/>
  <c r="AB5847" i="1" s="1"/>
  <c r="AC5849" i="1"/>
  <c r="AD5849" i="1" s="1"/>
  <c r="AB5849" i="1" s="1"/>
  <c r="AC5846" i="1"/>
  <c r="AD5846" i="1" s="1"/>
  <c r="AB5846" i="1" s="1"/>
  <c r="AC5852" i="1"/>
  <c r="AD5852" i="1" s="1"/>
  <c r="AC5855" i="1"/>
  <c r="AD5855" i="1" s="1"/>
  <c r="AB5855" i="1" s="1"/>
  <c r="AC5860" i="1"/>
  <c r="AD5860" i="1" s="1"/>
  <c r="AB5860" i="1" s="1"/>
  <c r="AC5867" i="1"/>
  <c r="AD5867" i="1" s="1"/>
  <c r="AB5867" i="1" s="1"/>
  <c r="AC5864" i="1"/>
  <c r="AD5864" i="1" s="1"/>
  <c r="AB5864" i="1" s="1"/>
  <c r="AC5859" i="1"/>
  <c r="AD5859" i="1" s="1"/>
  <c r="AC5866" i="1"/>
  <c r="AD5866" i="1" s="1"/>
  <c r="AB5866" i="1" s="1"/>
  <c r="AC5861" i="1"/>
  <c r="AD5861" i="1" s="1"/>
  <c r="AB5861" i="1" s="1"/>
  <c r="AC5862" i="1"/>
  <c r="AD5862" i="1" s="1"/>
  <c r="AB5862" i="1" s="1"/>
  <c r="AC5863" i="1"/>
  <c r="AD5863" i="1" s="1"/>
  <c r="AB5863" i="1" s="1"/>
  <c r="AC5865" i="1"/>
  <c r="AD5865" i="1" s="1"/>
  <c r="AB5865" i="1" s="1"/>
  <c r="N5511" i="1"/>
  <c r="AC5841" i="1"/>
  <c r="AD5841" i="1" s="1"/>
  <c r="AB5841" i="1" s="1"/>
  <c r="AC5842" i="1"/>
  <c r="AD5842" i="1" s="1"/>
  <c r="AB5842" i="1" s="1"/>
  <c r="AC5840" i="1"/>
  <c r="AD5840" i="1" s="1"/>
  <c r="AC5843" i="1"/>
  <c r="AD5843" i="1" s="1"/>
  <c r="AB5843" i="1" s="1"/>
  <c r="N5612" i="1"/>
  <c r="AC5824" i="1"/>
  <c r="AD5824" i="1" s="1"/>
  <c r="AB5824" i="1" s="1"/>
  <c r="AC5818" i="1"/>
  <c r="AD5818" i="1" s="1"/>
  <c r="AB5818" i="1" s="1"/>
  <c r="AC5822" i="1"/>
  <c r="AD5822" i="1" s="1"/>
  <c r="AC5823" i="1"/>
  <c r="AD5823" i="1" s="1"/>
  <c r="AB5823" i="1" s="1"/>
  <c r="AC5819" i="1"/>
  <c r="AD5819" i="1" s="1"/>
  <c r="AB5819" i="1" s="1"/>
  <c r="AC5825" i="1"/>
  <c r="AD5825" i="1" s="1"/>
  <c r="AB5825" i="1" s="1"/>
  <c r="AC5827" i="1"/>
  <c r="AD5827" i="1" s="1"/>
  <c r="AB5827" i="1" s="1"/>
  <c r="AC5826" i="1"/>
  <c r="AD5826" i="1" s="1"/>
  <c r="AB5826" i="1" s="1"/>
  <c r="AC5815" i="1"/>
  <c r="AD5815" i="1" s="1"/>
  <c r="AC5817" i="1"/>
  <c r="AD5817" i="1" s="1"/>
  <c r="AB5817" i="1" s="1"/>
  <c r="AC5816" i="1"/>
  <c r="AD5816" i="1" s="1"/>
  <c r="AB5816" i="1" s="1"/>
  <c r="AC5642" i="1"/>
  <c r="AC5830" i="1"/>
  <c r="AD5830" i="1" s="1"/>
  <c r="AB5830" i="1" s="1"/>
  <c r="AC5837" i="1"/>
  <c r="AD5837" i="1" s="1"/>
  <c r="AB5837" i="1" s="1"/>
  <c r="AC5829" i="1"/>
  <c r="AD5829" i="1" s="1"/>
  <c r="AC5836" i="1"/>
  <c r="AD5836" i="1" s="1"/>
  <c r="AB5836" i="1" s="1"/>
  <c r="AC5831" i="1"/>
  <c r="AD5831" i="1" s="1"/>
  <c r="AB5831" i="1" s="1"/>
  <c r="AC5832" i="1"/>
  <c r="AD5832" i="1" s="1"/>
  <c r="AB5832" i="1" s="1"/>
  <c r="AC5834" i="1"/>
  <c r="AD5834" i="1" s="1"/>
  <c r="AB5834" i="1" s="1"/>
  <c r="AC5833" i="1"/>
  <c r="AD5833" i="1" s="1"/>
  <c r="AB5833" i="1" s="1"/>
  <c r="AC5835" i="1"/>
  <c r="AD5835" i="1" s="1"/>
  <c r="AB5835" i="1" s="1"/>
  <c r="AC5812" i="1"/>
  <c r="AD5812" i="1" s="1"/>
  <c r="AB5812" i="1" s="1"/>
  <c r="AC5813" i="1"/>
  <c r="AD5813" i="1" s="1"/>
  <c r="AB5813" i="1" s="1"/>
  <c r="AC5811" i="1"/>
  <c r="AD5811" i="1" s="1"/>
  <c r="AB5811" i="1" s="1"/>
  <c r="AC5810" i="1"/>
  <c r="AD5810" i="1" s="1"/>
  <c r="N5808" i="1"/>
  <c r="AC5808" i="1"/>
  <c r="AC5797" i="1"/>
  <c r="AD5797" i="1" s="1"/>
  <c r="AB5797" i="1" s="1"/>
  <c r="AC5800" i="1"/>
  <c r="AD5800" i="1" s="1"/>
  <c r="AB5800" i="1" s="1"/>
  <c r="AC5804" i="1"/>
  <c r="AD5804" i="1" s="1"/>
  <c r="AB5804" i="1" s="1"/>
  <c r="AC5799" i="1"/>
  <c r="AD5799" i="1" s="1"/>
  <c r="AB5799" i="1" s="1"/>
  <c r="AC5796" i="1"/>
  <c r="AD5796" i="1" s="1"/>
  <c r="AC5801" i="1"/>
  <c r="AD5801" i="1" s="1"/>
  <c r="AB5801" i="1" s="1"/>
  <c r="AC5803" i="1"/>
  <c r="AD5803" i="1" s="1"/>
  <c r="AB5803" i="1" s="1"/>
  <c r="AC5798" i="1"/>
  <c r="AD5798" i="1" s="1"/>
  <c r="AB5798" i="1" s="1"/>
  <c r="AC5802" i="1"/>
  <c r="AD5802" i="1" s="1"/>
  <c r="AB5802" i="1" s="1"/>
  <c r="AC5791" i="1"/>
  <c r="AD5791" i="1" s="1"/>
  <c r="AB5791" i="1" s="1"/>
  <c r="AC5784" i="1"/>
  <c r="AD5784" i="1" s="1"/>
  <c r="AB5784" i="1" s="1"/>
  <c r="AC5788" i="1"/>
  <c r="AD5788" i="1" s="1"/>
  <c r="AC5782" i="1"/>
  <c r="AD5782" i="1" s="1"/>
  <c r="AB5782" i="1" s="1"/>
  <c r="AC5790" i="1"/>
  <c r="AD5790" i="1" s="1"/>
  <c r="AB5790" i="1" s="1"/>
  <c r="AC5794" i="1"/>
  <c r="AD5794" i="1" s="1"/>
  <c r="AB5794" i="1" s="1"/>
  <c r="AC5793" i="1"/>
  <c r="AD5793" i="1" s="1"/>
  <c r="AB5793" i="1" s="1"/>
  <c r="AC5781" i="1"/>
  <c r="AD5781" i="1" s="1"/>
  <c r="AC5783" i="1"/>
  <c r="AD5783" i="1" s="1"/>
  <c r="AB5783" i="1" s="1"/>
  <c r="AC5785" i="1"/>
  <c r="AD5785" i="1" s="1"/>
  <c r="AB5785" i="1" s="1"/>
  <c r="AC5792" i="1"/>
  <c r="AD5792" i="1" s="1"/>
  <c r="AB5792" i="1" s="1"/>
  <c r="AC5779" i="1"/>
  <c r="AD5779" i="1" s="1"/>
  <c r="AB5779" i="1" s="1"/>
  <c r="AC5778" i="1"/>
  <c r="AD5778" i="1" s="1"/>
  <c r="AB5778" i="1" s="1"/>
  <c r="AC5777" i="1"/>
  <c r="AD5777" i="1" s="1"/>
  <c r="AB5777" i="1" s="1"/>
  <c r="AC5776" i="1"/>
  <c r="AD5776" i="1" s="1"/>
  <c r="AC5748" i="1"/>
  <c r="AD5748" i="1" s="1"/>
  <c r="AB5748" i="1" s="1"/>
  <c r="AC5742" i="1"/>
  <c r="AD5742" i="1" s="1"/>
  <c r="AB5742" i="1" s="1"/>
  <c r="AC5750" i="1"/>
  <c r="AD5750" i="1" s="1"/>
  <c r="AB5750" i="1" s="1"/>
  <c r="AC5741" i="1"/>
  <c r="AD5741" i="1" s="1"/>
  <c r="AB5741" i="1" s="1"/>
  <c r="AC5743" i="1"/>
  <c r="AD5743" i="1" s="1"/>
  <c r="AB5743" i="1" s="1"/>
  <c r="AC5749" i="1"/>
  <c r="AD5749" i="1" s="1"/>
  <c r="AB5749" i="1" s="1"/>
  <c r="AC5746" i="1"/>
  <c r="AD5746" i="1" s="1"/>
  <c r="AC5740" i="1"/>
  <c r="AD5740" i="1" s="1"/>
  <c r="AB5740" i="1" s="1"/>
  <c r="AC5751" i="1"/>
  <c r="AD5751" i="1" s="1"/>
  <c r="AB5751" i="1" s="1"/>
  <c r="AC5739" i="1"/>
  <c r="AD5739" i="1" s="1"/>
  <c r="AC5747" i="1"/>
  <c r="AD5747" i="1" s="1"/>
  <c r="AB5747" i="1" s="1"/>
  <c r="AC5754" i="1"/>
  <c r="AD5754" i="1" s="1"/>
  <c r="AB5754" i="1" s="1"/>
  <c r="AC5761" i="1"/>
  <c r="AD5761" i="1" s="1"/>
  <c r="AB5761" i="1" s="1"/>
  <c r="AC5755" i="1"/>
  <c r="AD5755" i="1" s="1"/>
  <c r="AB5755" i="1" s="1"/>
  <c r="AC5757" i="1"/>
  <c r="AD5757" i="1" s="1"/>
  <c r="AB5757" i="1" s="1"/>
  <c r="AC5756" i="1"/>
  <c r="AD5756" i="1" s="1"/>
  <c r="AB5756" i="1" s="1"/>
  <c r="AC5758" i="1"/>
  <c r="AD5758" i="1" s="1"/>
  <c r="AB5758" i="1" s="1"/>
  <c r="AC5753" i="1"/>
  <c r="AD5753" i="1" s="1"/>
  <c r="AC5760" i="1"/>
  <c r="AD5760" i="1" s="1"/>
  <c r="AB5760" i="1" s="1"/>
  <c r="AC5759" i="1"/>
  <c r="AD5759" i="1" s="1"/>
  <c r="AB5759" i="1" s="1"/>
  <c r="N5551" i="1"/>
  <c r="AC5736" i="1"/>
  <c r="AD5736" i="1" s="1"/>
  <c r="AB5736" i="1" s="1"/>
  <c r="AC5735" i="1"/>
  <c r="AD5735" i="1" s="1"/>
  <c r="AB5735" i="1" s="1"/>
  <c r="AC5737" i="1"/>
  <c r="AD5737" i="1" s="1"/>
  <c r="AB5737" i="1" s="1"/>
  <c r="AC5734" i="1"/>
  <c r="AD5734" i="1" s="1"/>
  <c r="N5732" i="1"/>
  <c r="AC5732" i="1"/>
  <c r="AC5581" i="1"/>
  <c r="AC5718" i="1"/>
  <c r="AD5718" i="1" s="1"/>
  <c r="AB5718" i="1" s="1"/>
  <c r="AC5712" i="1"/>
  <c r="AD5712" i="1" s="1"/>
  <c r="AB5712" i="1" s="1"/>
  <c r="AC5719" i="1"/>
  <c r="AD5719" i="1" s="1"/>
  <c r="AB5719" i="1" s="1"/>
  <c r="AC5717" i="1"/>
  <c r="AD5717" i="1" s="1"/>
  <c r="AB5717" i="1" s="1"/>
  <c r="AC5713" i="1"/>
  <c r="AD5713" i="1" s="1"/>
  <c r="AB5713" i="1" s="1"/>
  <c r="AC5716" i="1"/>
  <c r="AD5716" i="1" s="1"/>
  <c r="AC5720" i="1"/>
  <c r="AD5720" i="1" s="1"/>
  <c r="AB5720" i="1" s="1"/>
  <c r="AC5709" i="1"/>
  <c r="AD5709" i="1" s="1"/>
  <c r="AC5711" i="1"/>
  <c r="AD5711" i="1" s="1"/>
  <c r="AB5711" i="1" s="1"/>
  <c r="AC5721" i="1"/>
  <c r="AD5721" i="1" s="1"/>
  <c r="AB5721" i="1" s="1"/>
  <c r="AC5710" i="1"/>
  <c r="AD5710" i="1" s="1"/>
  <c r="AB5710" i="1" s="1"/>
  <c r="AC5449" i="1"/>
  <c r="AC5724" i="1"/>
  <c r="AD5724" i="1" s="1"/>
  <c r="AB5724" i="1" s="1"/>
  <c r="AC5728" i="1"/>
  <c r="AD5728" i="1" s="1"/>
  <c r="AB5728" i="1" s="1"/>
  <c r="AC5731" i="1"/>
  <c r="AD5731" i="1" s="1"/>
  <c r="AB5731" i="1" s="1"/>
  <c r="AC5727" i="1"/>
  <c r="AD5727" i="1" s="1"/>
  <c r="AB5727" i="1" s="1"/>
  <c r="AC5726" i="1"/>
  <c r="AD5726" i="1" s="1"/>
  <c r="AB5726" i="1" s="1"/>
  <c r="AC5730" i="1"/>
  <c r="AD5730" i="1" s="1"/>
  <c r="AB5730" i="1" s="1"/>
  <c r="AC5725" i="1"/>
  <c r="AD5725" i="1" s="1"/>
  <c r="AB5725" i="1" s="1"/>
  <c r="AC5729" i="1"/>
  <c r="AD5729" i="1" s="1"/>
  <c r="AB5729" i="1" s="1"/>
  <c r="AC5723" i="1"/>
  <c r="AD5723" i="1" s="1"/>
  <c r="AC5705" i="1"/>
  <c r="AD5705" i="1" s="1"/>
  <c r="AB5705" i="1" s="1"/>
  <c r="AC5706" i="1"/>
  <c r="AD5706" i="1" s="1"/>
  <c r="AB5706" i="1" s="1"/>
  <c r="AC5707" i="1"/>
  <c r="AD5707" i="1" s="1"/>
  <c r="AB5707" i="1" s="1"/>
  <c r="AC5704" i="1"/>
  <c r="AD5704" i="1" s="1"/>
  <c r="AC5702" i="1"/>
  <c r="N5702" i="1"/>
  <c r="AC5694" i="1"/>
  <c r="AD5694" i="1" s="1"/>
  <c r="AB5694" i="1" s="1"/>
  <c r="AC5701" i="1"/>
  <c r="AD5701" i="1" s="1"/>
  <c r="AB5701" i="1" s="1"/>
  <c r="AC5696" i="1"/>
  <c r="AD5696" i="1" s="1"/>
  <c r="AB5696" i="1" s="1"/>
  <c r="AC5693" i="1"/>
  <c r="AD5693" i="1" s="1"/>
  <c r="AC5697" i="1"/>
  <c r="AD5697" i="1" s="1"/>
  <c r="AB5697" i="1" s="1"/>
  <c r="AC5698" i="1"/>
  <c r="AD5698" i="1" s="1"/>
  <c r="AB5698" i="1" s="1"/>
  <c r="AC5700" i="1"/>
  <c r="AD5700" i="1" s="1"/>
  <c r="AB5700" i="1" s="1"/>
  <c r="AC5695" i="1"/>
  <c r="AD5695" i="1" s="1"/>
  <c r="AB5695" i="1" s="1"/>
  <c r="AC5699" i="1"/>
  <c r="AD5699" i="1" s="1"/>
  <c r="AB5699" i="1" s="1"/>
  <c r="AC5688" i="1"/>
  <c r="AD5688" i="1" s="1"/>
  <c r="AB5688" i="1" s="1"/>
  <c r="AC5682" i="1"/>
  <c r="AD5682" i="1" s="1"/>
  <c r="AB5682" i="1" s="1"/>
  <c r="AC5681" i="1"/>
  <c r="AD5681" i="1" s="1"/>
  <c r="AB5681" i="1" s="1"/>
  <c r="AC5689" i="1"/>
  <c r="AD5689" i="1" s="1"/>
  <c r="AB5689" i="1" s="1"/>
  <c r="AC5691" i="1"/>
  <c r="AD5691" i="1" s="1"/>
  <c r="AB5691" i="1" s="1"/>
  <c r="AC5686" i="1"/>
  <c r="AD5686" i="1" s="1"/>
  <c r="AC5680" i="1"/>
  <c r="AD5680" i="1" s="1"/>
  <c r="AB5680" i="1" s="1"/>
  <c r="AC5690" i="1"/>
  <c r="AD5690" i="1" s="1"/>
  <c r="AB5690" i="1" s="1"/>
  <c r="AC5679" i="1"/>
  <c r="AD5679" i="1" s="1"/>
  <c r="AC5687" i="1"/>
  <c r="AD5687" i="1" s="1"/>
  <c r="AB5687" i="1" s="1"/>
  <c r="AC5683" i="1"/>
  <c r="AD5683" i="1" s="1"/>
  <c r="AB5683" i="1" s="1"/>
  <c r="AC5676" i="1"/>
  <c r="AD5676" i="1" s="1"/>
  <c r="AB5676" i="1" s="1"/>
  <c r="AC5674" i="1"/>
  <c r="AD5674" i="1" s="1"/>
  <c r="AC5675" i="1"/>
  <c r="AD5675" i="1" s="1"/>
  <c r="AB5675" i="1" s="1"/>
  <c r="AC5677" i="1"/>
  <c r="AD5677" i="1" s="1"/>
  <c r="AB5677" i="1" s="1"/>
  <c r="AC5658" i="1"/>
  <c r="AD5658" i="1" s="1"/>
  <c r="AB5658" i="1" s="1"/>
  <c r="AC5652" i="1"/>
  <c r="AD5652" i="1" s="1"/>
  <c r="AB5652" i="1" s="1"/>
  <c r="AC5653" i="1"/>
  <c r="AD5653" i="1" s="1"/>
  <c r="AB5653" i="1" s="1"/>
  <c r="AC5656" i="1"/>
  <c r="AD5656" i="1" s="1"/>
  <c r="AC5650" i="1"/>
  <c r="AD5650" i="1" s="1"/>
  <c r="AB5650" i="1" s="1"/>
  <c r="AC5660" i="1"/>
  <c r="AD5660" i="1" s="1"/>
  <c r="AB5660" i="1" s="1"/>
  <c r="AC5649" i="1"/>
  <c r="AD5649" i="1" s="1"/>
  <c r="AC5651" i="1"/>
  <c r="AD5651" i="1" s="1"/>
  <c r="AB5651" i="1" s="1"/>
  <c r="AC5657" i="1"/>
  <c r="AD5657" i="1" s="1"/>
  <c r="AB5657" i="1" s="1"/>
  <c r="AC5661" i="1"/>
  <c r="AD5661" i="1" s="1"/>
  <c r="AB5661" i="1" s="1"/>
  <c r="AC5659" i="1"/>
  <c r="AD5659" i="1" s="1"/>
  <c r="AB5659" i="1" s="1"/>
  <c r="AC5646" i="1"/>
  <c r="AD5646" i="1" s="1"/>
  <c r="AB5646" i="1" s="1"/>
  <c r="AC5645" i="1"/>
  <c r="AD5645" i="1" s="1"/>
  <c r="AB5645" i="1" s="1"/>
  <c r="AC5647" i="1"/>
  <c r="AD5647" i="1" s="1"/>
  <c r="AB5647" i="1" s="1"/>
  <c r="AC5644" i="1"/>
  <c r="AD5644" i="1" s="1"/>
  <c r="AC5664" i="1"/>
  <c r="AD5664" i="1" s="1"/>
  <c r="AB5664" i="1" s="1"/>
  <c r="AC5670" i="1"/>
  <c r="AD5670" i="1" s="1"/>
  <c r="AB5670" i="1" s="1"/>
  <c r="AC5665" i="1"/>
  <c r="AD5665" i="1" s="1"/>
  <c r="AB5665" i="1" s="1"/>
  <c r="AC5671" i="1"/>
  <c r="AD5671" i="1" s="1"/>
  <c r="AB5671" i="1" s="1"/>
  <c r="AC5666" i="1"/>
  <c r="AD5666" i="1" s="1"/>
  <c r="AB5666" i="1" s="1"/>
  <c r="AC5668" i="1"/>
  <c r="AD5668" i="1" s="1"/>
  <c r="AB5668" i="1" s="1"/>
  <c r="AC5663" i="1"/>
  <c r="AD5663" i="1" s="1"/>
  <c r="AC5669" i="1"/>
  <c r="AD5669" i="1" s="1"/>
  <c r="AB5669" i="1" s="1"/>
  <c r="AC5667" i="1"/>
  <c r="AD5667" i="1" s="1"/>
  <c r="AB5667" i="1" s="1"/>
  <c r="AC5634" i="1"/>
  <c r="AD5634" i="1" s="1"/>
  <c r="AB5634" i="1" s="1"/>
  <c r="AC5641" i="1"/>
  <c r="AD5641" i="1" s="1"/>
  <c r="AB5641" i="1" s="1"/>
  <c r="AC5636" i="1"/>
  <c r="AD5636" i="1" s="1"/>
  <c r="AB5636" i="1" s="1"/>
  <c r="AC5638" i="1"/>
  <c r="AD5638" i="1" s="1"/>
  <c r="AB5638" i="1" s="1"/>
  <c r="AC5633" i="1"/>
  <c r="AD5633" i="1" s="1"/>
  <c r="AC5639" i="1"/>
  <c r="AD5639" i="1" s="1"/>
  <c r="AB5639" i="1" s="1"/>
  <c r="AC5640" i="1"/>
  <c r="AD5640" i="1" s="1"/>
  <c r="AB5640" i="1" s="1"/>
  <c r="AC5635" i="1"/>
  <c r="AD5635" i="1" s="1"/>
  <c r="AB5635" i="1" s="1"/>
  <c r="AC5637" i="1"/>
  <c r="AD5637" i="1" s="1"/>
  <c r="AB5637" i="1" s="1"/>
  <c r="AC5628" i="1"/>
  <c r="AD5628" i="1" s="1"/>
  <c r="AB5628" i="1" s="1"/>
  <c r="AC5622" i="1"/>
  <c r="AD5622" i="1" s="1"/>
  <c r="AB5622" i="1" s="1"/>
  <c r="AC5621" i="1"/>
  <c r="AD5621" i="1" s="1"/>
  <c r="AB5621" i="1" s="1"/>
  <c r="AC5630" i="1"/>
  <c r="AD5630" i="1" s="1"/>
  <c r="AB5630" i="1" s="1"/>
  <c r="AC5619" i="1"/>
  <c r="AD5619" i="1" s="1"/>
  <c r="AC5627" i="1"/>
  <c r="AD5627" i="1" s="1"/>
  <c r="AB5627" i="1" s="1"/>
  <c r="AC5620" i="1"/>
  <c r="AD5620" i="1" s="1"/>
  <c r="AB5620" i="1" s="1"/>
  <c r="AC5623" i="1"/>
  <c r="AD5623" i="1" s="1"/>
  <c r="AB5623" i="1" s="1"/>
  <c r="AC5631" i="1"/>
  <c r="AD5631" i="1" s="1"/>
  <c r="AB5631" i="1" s="1"/>
  <c r="AC5629" i="1"/>
  <c r="AD5629" i="1" s="1"/>
  <c r="AB5629" i="1" s="1"/>
  <c r="AC5626" i="1"/>
  <c r="AD5626" i="1" s="1"/>
  <c r="N5384" i="1"/>
  <c r="AC5616" i="1"/>
  <c r="AD5616" i="1" s="1"/>
  <c r="AB5616" i="1" s="1"/>
  <c r="AC5615" i="1"/>
  <c r="AD5615" i="1" s="1"/>
  <c r="AB5615" i="1" s="1"/>
  <c r="AC5614" i="1"/>
  <c r="AD5614" i="1" s="1"/>
  <c r="AC5617" i="1"/>
  <c r="AD5617" i="1" s="1"/>
  <c r="AB5617" i="1" s="1"/>
  <c r="AC5597" i="1"/>
  <c r="AD5597" i="1" s="1"/>
  <c r="AB5597" i="1" s="1"/>
  <c r="AC5591" i="1"/>
  <c r="AD5591" i="1" s="1"/>
  <c r="AB5591" i="1" s="1"/>
  <c r="AC5596" i="1"/>
  <c r="AD5596" i="1" s="1"/>
  <c r="AB5596" i="1" s="1"/>
  <c r="AC5592" i="1"/>
  <c r="AD5592" i="1" s="1"/>
  <c r="AB5592" i="1" s="1"/>
  <c r="AC5598" i="1"/>
  <c r="AD5598" i="1" s="1"/>
  <c r="AB5598" i="1" s="1"/>
  <c r="AC5600" i="1"/>
  <c r="AD5600" i="1" s="1"/>
  <c r="AB5600" i="1" s="1"/>
  <c r="AC5595" i="1"/>
  <c r="AD5595" i="1" s="1"/>
  <c r="AC5589" i="1"/>
  <c r="AD5589" i="1" s="1"/>
  <c r="AB5589" i="1" s="1"/>
  <c r="AC5599" i="1"/>
  <c r="AD5599" i="1" s="1"/>
  <c r="AB5599" i="1" s="1"/>
  <c r="AC5588" i="1"/>
  <c r="AD5588" i="1" s="1"/>
  <c r="AC5590" i="1"/>
  <c r="AD5590" i="1" s="1"/>
  <c r="AB5590" i="1" s="1"/>
  <c r="AC5584" i="1"/>
  <c r="AD5584" i="1" s="1"/>
  <c r="AB5584" i="1" s="1"/>
  <c r="AC5586" i="1"/>
  <c r="AD5586" i="1" s="1"/>
  <c r="AB5586" i="1" s="1"/>
  <c r="AC5585" i="1"/>
  <c r="AD5585" i="1" s="1"/>
  <c r="AB5585" i="1" s="1"/>
  <c r="AC5583" i="1"/>
  <c r="AD5583" i="1" s="1"/>
  <c r="AC5603" i="1"/>
  <c r="AD5603" i="1" s="1"/>
  <c r="AB5603" i="1" s="1"/>
  <c r="AC5609" i="1"/>
  <c r="AD5609" i="1" s="1"/>
  <c r="AB5609" i="1" s="1"/>
  <c r="AC5610" i="1"/>
  <c r="AD5610" i="1" s="1"/>
  <c r="AB5610" i="1" s="1"/>
  <c r="AC5605" i="1"/>
  <c r="AD5605" i="1" s="1"/>
  <c r="AB5605" i="1" s="1"/>
  <c r="AC5607" i="1"/>
  <c r="AD5607" i="1" s="1"/>
  <c r="AB5607" i="1" s="1"/>
  <c r="AC5602" i="1"/>
  <c r="AD5602" i="1" s="1"/>
  <c r="AC5604" i="1"/>
  <c r="AD5604" i="1" s="1"/>
  <c r="AB5604" i="1" s="1"/>
  <c r="AC5606" i="1"/>
  <c r="AD5606" i="1" s="1"/>
  <c r="AB5606" i="1" s="1"/>
  <c r="AC5608" i="1"/>
  <c r="AD5608" i="1" s="1"/>
  <c r="AB5608" i="1" s="1"/>
  <c r="AC5567" i="1"/>
  <c r="AD5567" i="1" s="1"/>
  <c r="AB5567" i="1" s="1"/>
  <c r="AC5561" i="1"/>
  <c r="AD5561" i="1" s="1"/>
  <c r="AB5561" i="1" s="1"/>
  <c r="AC5558" i="1"/>
  <c r="AD5558" i="1" s="1"/>
  <c r="AC5568" i="1"/>
  <c r="AD5568" i="1" s="1"/>
  <c r="AB5568" i="1" s="1"/>
  <c r="AC5560" i="1"/>
  <c r="AD5560" i="1" s="1"/>
  <c r="AB5560" i="1" s="1"/>
  <c r="AC5562" i="1"/>
  <c r="AD5562" i="1" s="1"/>
  <c r="AB5562" i="1" s="1"/>
  <c r="AC5570" i="1"/>
  <c r="AD5570" i="1" s="1"/>
  <c r="AB5570" i="1" s="1"/>
  <c r="AC5569" i="1"/>
  <c r="AD5569" i="1" s="1"/>
  <c r="AB5569" i="1" s="1"/>
  <c r="AC5566" i="1"/>
  <c r="AD5566" i="1" s="1"/>
  <c r="AB5566" i="1" s="1"/>
  <c r="AC5565" i="1"/>
  <c r="AD5565" i="1" s="1"/>
  <c r="AC5559" i="1"/>
  <c r="AD5559" i="1" s="1"/>
  <c r="AB5559" i="1" s="1"/>
  <c r="AC5573" i="1"/>
  <c r="AD5573" i="1" s="1"/>
  <c r="AB5573" i="1" s="1"/>
  <c r="AC5577" i="1"/>
  <c r="AD5577" i="1" s="1"/>
  <c r="AB5577" i="1" s="1"/>
  <c r="AC5579" i="1"/>
  <c r="AD5579" i="1" s="1"/>
  <c r="AB5579" i="1" s="1"/>
  <c r="AC5576" i="1"/>
  <c r="AD5576" i="1" s="1"/>
  <c r="AB5576" i="1" s="1"/>
  <c r="AC5580" i="1"/>
  <c r="AD5580" i="1" s="1"/>
  <c r="AB5580" i="1" s="1"/>
  <c r="AC5574" i="1"/>
  <c r="AD5574" i="1" s="1"/>
  <c r="AB5574" i="1" s="1"/>
  <c r="AC5575" i="1"/>
  <c r="AD5575" i="1" s="1"/>
  <c r="AB5575" i="1" s="1"/>
  <c r="AC5572" i="1"/>
  <c r="AD5572" i="1" s="1"/>
  <c r="AC5578" i="1"/>
  <c r="AD5578" i="1" s="1"/>
  <c r="AB5578" i="1" s="1"/>
  <c r="AC5555" i="1"/>
  <c r="AD5555" i="1" s="1"/>
  <c r="AB5555" i="1" s="1"/>
  <c r="AC5554" i="1"/>
  <c r="AD5554" i="1" s="1"/>
  <c r="AB5554" i="1" s="1"/>
  <c r="AC5556" i="1"/>
  <c r="AD5556" i="1" s="1"/>
  <c r="AB5556" i="1" s="1"/>
  <c r="AC5553" i="1"/>
  <c r="AD5553" i="1" s="1"/>
  <c r="AC5534" i="1"/>
  <c r="AD5534" i="1" s="1"/>
  <c r="AB5534" i="1" s="1"/>
  <c r="AC5541" i="1"/>
  <c r="AD5541" i="1" s="1"/>
  <c r="AB5541" i="1" s="1"/>
  <c r="AC5533" i="1"/>
  <c r="AD5533" i="1" s="1"/>
  <c r="AC5536" i="1"/>
  <c r="AD5536" i="1" s="1"/>
  <c r="AB5536" i="1" s="1"/>
  <c r="AC5538" i="1"/>
  <c r="AD5538" i="1" s="1"/>
  <c r="AB5538" i="1" s="1"/>
  <c r="AC5540" i="1"/>
  <c r="AD5540" i="1" s="1"/>
  <c r="AB5540" i="1" s="1"/>
  <c r="AC5535" i="1"/>
  <c r="AD5535" i="1" s="1"/>
  <c r="AB5535" i="1" s="1"/>
  <c r="AC5537" i="1"/>
  <c r="AD5537" i="1" s="1"/>
  <c r="AB5537" i="1" s="1"/>
  <c r="AC5539" i="1"/>
  <c r="AD5539" i="1" s="1"/>
  <c r="AB5539" i="1" s="1"/>
  <c r="N5354" i="1"/>
  <c r="AC5528" i="1"/>
  <c r="AD5528" i="1" s="1"/>
  <c r="AB5528" i="1" s="1"/>
  <c r="AC5521" i="1"/>
  <c r="AD5521" i="1" s="1"/>
  <c r="AB5521" i="1" s="1"/>
  <c r="AC5525" i="1"/>
  <c r="AD5525" i="1" s="1"/>
  <c r="AC5519" i="1"/>
  <c r="AD5519" i="1" s="1"/>
  <c r="AB5519" i="1" s="1"/>
  <c r="AC5530" i="1"/>
  <c r="AD5530" i="1" s="1"/>
  <c r="AB5530" i="1" s="1"/>
  <c r="AC5527" i="1"/>
  <c r="AD5527" i="1" s="1"/>
  <c r="AB5527" i="1" s="1"/>
  <c r="AC5520" i="1"/>
  <c r="AD5520" i="1" s="1"/>
  <c r="AB5520" i="1" s="1"/>
  <c r="AC5518" i="1"/>
  <c r="AD5518" i="1" s="1"/>
  <c r="AC5522" i="1"/>
  <c r="AD5522" i="1" s="1"/>
  <c r="AB5522" i="1" s="1"/>
  <c r="AC5529" i="1"/>
  <c r="AD5529" i="1" s="1"/>
  <c r="AB5529" i="1" s="1"/>
  <c r="AC5531" i="1"/>
  <c r="AD5531" i="1" s="1"/>
  <c r="AB5531" i="1" s="1"/>
  <c r="AC5514" i="1"/>
  <c r="AD5514" i="1" s="1"/>
  <c r="AB5514" i="1" s="1"/>
  <c r="AC5515" i="1"/>
  <c r="AD5515" i="1" s="1"/>
  <c r="AB5515" i="1" s="1"/>
  <c r="AC5513" i="1"/>
  <c r="AD5513" i="1" s="1"/>
  <c r="AC5516" i="1"/>
  <c r="AD5516" i="1" s="1"/>
  <c r="AB5516" i="1" s="1"/>
  <c r="AC5503" i="1"/>
  <c r="AD5503" i="1" s="1"/>
  <c r="AB5503" i="1" s="1"/>
  <c r="AC5506" i="1"/>
  <c r="AD5506" i="1" s="1"/>
  <c r="AB5506" i="1" s="1"/>
  <c r="AC5510" i="1"/>
  <c r="AD5510" i="1" s="1"/>
  <c r="AB5510" i="1" s="1"/>
  <c r="AC5504" i="1"/>
  <c r="AD5504" i="1" s="1"/>
  <c r="AB5504" i="1" s="1"/>
  <c r="AC5505" i="1"/>
  <c r="AD5505" i="1" s="1"/>
  <c r="AB5505" i="1" s="1"/>
  <c r="AC5507" i="1"/>
  <c r="AD5507" i="1" s="1"/>
  <c r="AB5507" i="1" s="1"/>
  <c r="AC5502" i="1"/>
  <c r="AD5502" i="1" s="1"/>
  <c r="AC5509" i="1"/>
  <c r="AD5509" i="1" s="1"/>
  <c r="AB5509" i="1" s="1"/>
  <c r="AC5508" i="1"/>
  <c r="AD5508" i="1" s="1"/>
  <c r="AB5508" i="1" s="1"/>
  <c r="AC5482" i="1"/>
  <c r="AD5482" i="1" s="1"/>
  <c r="AC5484" i="1"/>
  <c r="AD5484" i="1" s="1"/>
  <c r="AB5484" i="1" s="1"/>
  <c r="AC5485" i="1"/>
  <c r="AD5485" i="1" s="1"/>
  <c r="AB5485" i="1" s="1"/>
  <c r="AC5483" i="1"/>
  <c r="AD5483" i="1" s="1"/>
  <c r="AB5483" i="1" s="1"/>
  <c r="AC5497" i="1"/>
  <c r="AD5497" i="1" s="1"/>
  <c r="AB5497" i="1" s="1"/>
  <c r="AC5490" i="1"/>
  <c r="AD5490" i="1" s="1"/>
  <c r="AB5490" i="1" s="1"/>
  <c r="AC5500" i="1"/>
  <c r="AD5500" i="1" s="1"/>
  <c r="AB5500" i="1" s="1"/>
  <c r="AC5494" i="1"/>
  <c r="AD5494" i="1" s="1"/>
  <c r="AC5488" i="1"/>
  <c r="AD5488" i="1" s="1"/>
  <c r="AB5488" i="1" s="1"/>
  <c r="AC5491" i="1"/>
  <c r="AD5491" i="1" s="1"/>
  <c r="AB5491" i="1" s="1"/>
  <c r="AC5498" i="1"/>
  <c r="AD5498" i="1" s="1"/>
  <c r="AB5498" i="1" s="1"/>
  <c r="AC5499" i="1"/>
  <c r="AD5499" i="1" s="1"/>
  <c r="AB5499" i="1" s="1"/>
  <c r="AC5487" i="1"/>
  <c r="AD5487" i="1" s="1"/>
  <c r="AC5496" i="1"/>
  <c r="AD5496" i="1" s="1"/>
  <c r="AB5496" i="1" s="1"/>
  <c r="AC5489" i="1"/>
  <c r="AD5489" i="1" s="1"/>
  <c r="AB5489" i="1" s="1"/>
  <c r="AC5480" i="1"/>
  <c r="N5480" i="1"/>
  <c r="AC5452" i="1"/>
  <c r="AD5452" i="1" s="1"/>
  <c r="AB5452" i="1" s="1"/>
  <c r="AC5454" i="1"/>
  <c r="AD5454" i="1" s="1"/>
  <c r="AB5454" i="1" s="1"/>
  <c r="AC5453" i="1"/>
  <c r="AD5453" i="1" s="1"/>
  <c r="AB5453" i="1" s="1"/>
  <c r="AC5451" i="1"/>
  <c r="AD5451" i="1" s="1"/>
  <c r="AC5466" i="1"/>
  <c r="AD5466" i="1" s="1"/>
  <c r="AB5466" i="1" s="1"/>
  <c r="AC5459" i="1"/>
  <c r="AD5459" i="1" s="1"/>
  <c r="AB5459" i="1" s="1"/>
  <c r="AC5456" i="1"/>
  <c r="AD5456" i="1" s="1"/>
  <c r="AC5458" i="1"/>
  <c r="AD5458" i="1" s="1"/>
  <c r="AB5458" i="1" s="1"/>
  <c r="AC5460" i="1"/>
  <c r="AD5460" i="1" s="1"/>
  <c r="AB5460" i="1" s="1"/>
  <c r="AC5467" i="1"/>
  <c r="AD5467" i="1" s="1"/>
  <c r="AB5467" i="1" s="1"/>
  <c r="AC5468" i="1"/>
  <c r="AD5468" i="1" s="1"/>
  <c r="AB5468" i="1" s="1"/>
  <c r="AC5465" i="1"/>
  <c r="AD5465" i="1" s="1"/>
  <c r="AB5465" i="1" s="1"/>
  <c r="AC5469" i="1"/>
  <c r="AD5469" i="1" s="1"/>
  <c r="AB5469" i="1" s="1"/>
  <c r="AC5463" i="1"/>
  <c r="AD5463" i="1" s="1"/>
  <c r="AC5457" i="1"/>
  <c r="AD5457" i="1" s="1"/>
  <c r="AB5457" i="1" s="1"/>
  <c r="AC5472" i="1"/>
  <c r="AD5472" i="1" s="1"/>
  <c r="AB5472" i="1" s="1"/>
  <c r="AC5476" i="1"/>
  <c r="AD5476" i="1" s="1"/>
  <c r="AB5476" i="1" s="1"/>
  <c r="AC5478" i="1"/>
  <c r="AD5478" i="1" s="1"/>
  <c r="AB5478" i="1" s="1"/>
  <c r="AC5473" i="1"/>
  <c r="AD5473" i="1" s="1"/>
  <c r="AB5473" i="1" s="1"/>
  <c r="AC5475" i="1"/>
  <c r="AD5475" i="1" s="1"/>
  <c r="AB5475" i="1" s="1"/>
  <c r="AC5479" i="1"/>
  <c r="AD5479" i="1" s="1"/>
  <c r="AB5479" i="1" s="1"/>
  <c r="AC5474" i="1"/>
  <c r="AD5474" i="1" s="1"/>
  <c r="AB5474" i="1" s="1"/>
  <c r="AC5471" i="1"/>
  <c r="AD5471" i="1" s="1"/>
  <c r="AC5477" i="1"/>
  <c r="AD5477" i="1" s="1"/>
  <c r="AB5477" i="1" s="1"/>
  <c r="AC5430" i="1"/>
  <c r="AD5430" i="1" s="1"/>
  <c r="AB5430" i="1" s="1"/>
  <c r="AC5424" i="1"/>
  <c r="AD5424" i="1" s="1"/>
  <c r="AB5424" i="1" s="1"/>
  <c r="AC5431" i="1"/>
  <c r="AD5431" i="1" s="1"/>
  <c r="AB5431" i="1" s="1"/>
  <c r="AC5433" i="1"/>
  <c r="AD5433" i="1" s="1"/>
  <c r="AB5433" i="1" s="1"/>
  <c r="AC5432" i="1"/>
  <c r="AD5432" i="1" s="1"/>
  <c r="AB5432" i="1" s="1"/>
  <c r="AC5421" i="1"/>
  <c r="AD5421" i="1" s="1"/>
  <c r="AC5429" i="1"/>
  <c r="AD5429" i="1" s="1"/>
  <c r="AB5429" i="1" s="1"/>
  <c r="AC5423" i="1"/>
  <c r="AD5423" i="1" s="1"/>
  <c r="AB5423" i="1" s="1"/>
  <c r="AC5425" i="1"/>
  <c r="AD5425" i="1" s="1"/>
  <c r="AB5425" i="1" s="1"/>
  <c r="AC5428" i="1"/>
  <c r="AD5428" i="1" s="1"/>
  <c r="AC5422" i="1"/>
  <c r="AD5422" i="1" s="1"/>
  <c r="AB5422" i="1" s="1"/>
  <c r="AC5436" i="1"/>
  <c r="AD5436" i="1" s="1"/>
  <c r="AB5436" i="1" s="1"/>
  <c r="AC5443" i="1"/>
  <c r="AD5443" i="1" s="1"/>
  <c r="AB5443" i="1" s="1"/>
  <c r="AC5442" i="1"/>
  <c r="AD5442" i="1" s="1"/>
  <c r="AB5442" i="1" s="1"/>
  <c r="AC5441" i="1"/>
  <c r="AD5441" i="1" s="1"/>
  <c r="AB5441" i="1" s="1"/>
  <c r="AC5438" i="1"/>
  <c r="AD5438" i="1" s="1"/>
  <c r="AB5438" i="1" s="1"/>
  <c r="AC5439" i="1"/>
  <c r="AD5439" i="1" s="1"/>
  <c r="AB5439" i="1" s="1"/>
  <c r="AC5435" i="1"/>
  <c r="AD5435" i="1" s="1"/>
  <c r="AC5437" i="1"/>
  <c r="AD5437" i="1" s="1"/>
  <c r="AB5437" i="1" s="1"/>
  <c r="AC5440" i="1"/>
  <c r="AD5440" i="1" s="1"/>
  <c r="AB5440" i="1" s="1"/>
  <c r="AC5419" i="1"/>
  <c r="AD5419" i="1" s="1"/>
  <c r="AB5419" i="1" s="1"/>
  <c r="AC5416" i="1"/>
  <c r="AD5416" i="1" s="1"/>
  <c r="AC5418" i="1"/>
  <c r="AD5418" i="1" s="1"/>
  <c r="AB5418" i="1" s="1"/>
  <c r="AC5417" i="1"/>
  <c r="AD5417" i="1" s="1"/>
  <c r="AB5417" i="1" s="1"/>
  <c r="AC5414" i="1"/>
  <c r="N5414" i="1"/>
  <c r="AC5400" i="1"/>
  <c r="AD5400" i="1" s="1"/>
  <c r="AB5400" i="1" s="1"/>
  <c r="AC5394" i="1"/>
  <c r="AD5394" i="1" s="1"/>
  <c r="AB5394" i="1" s="1"/>
  <c r="AC5402" i="1"/>
  <c r="AD5402" i="1" s="1"/>
  <c r="AB5402" i="1" s="1"/>
  <c r="AC5391" i="1"/>
  <c r="AD5391" i="1" s="1"/>
  <c r="AC5393" i="1"/>
  <c r="AD5393" i="1" s="1"/>
  <c r="AB5393" i="1" s="1"/>
  <c r="AC5395" i="1"/>
  <c r="AD5395" i="1" s="1"/>
  <c r="AB5395" i="1" s="1"/>
  <c r="AC5401" i="1"/>
  <c r="AD5401" i="1" s="1"/>
  <c r="AB5401" i="1" s="1"/>
  <c r="AC5403" i="1"/>
  <c r="AD5403" i="1" s="1"/>
  <c r="AB5403" i="1" s="1"/>
  <c r="AC5398" i="1"/>
  <c r="AD5398" i="1" s="1"/>
  <c r="AC5392" i="1"/>
  <c r="AD5392" i="1" s="1"/>
  <c r="AB5392" i="1" s="1"/>
  <c r="AC5399" i="1"/>
  <c r="AD5399" i="1" s="1"/>
  <c r="AB5399" i="1" s="1"/>
  <c r="N5234" i="1"/>
  <c r="AC5389" i="1"/>
  <c r="AD5389" i="1" s="1"/>
  <c r="AB5389" i="1" s="1"/>
  <c r="AC5388" i="1"/>
  <c r="AD5388" i="1" s="1"/>
  <c r="AB5388" i="1" s="1"/>
  <c r="AC5387" i="1"/>
  <c r="AD5387" i="1" s="1"/>
  <c r="AB5387" i="1" s="1"/>
  <c r="AC5386" i="1"/>
  <c r="AD5386" i="1" s="1"/>
  <c r="AC5406" i="1"/>
  <c r="AD5406" i="1" s="1"/>
  <c r="AB5406" i="1" s="1"/>
  <c r="AC5408" i="1"/>
  <c r="AD5408" i="1" s="1"/>
  <c r="AB5408" i="1" s="1"/>
  <c r="AC5410" i="1"/>
  <c r="AD5410" i="1" s="1"/>
  <c r="AB5410" i="1" s="1"/>
  <c r="AC5407" i="1"/>
  <c r="AD5407" i="1" s="1"/>
  <c r="AB5407" i="1" s="1"/>
  <c r="AC5413" i="1"/>
  <c r="AD5413" i="1" s="1"/>
  <c r="AB5413" i="1" s="1"/>
  <c r="AC5405" i="1"/>
  <c r="AD5405" i="1" s="1"/>
  <c r="AC5412" i="1"/>
  <c r="AD5412" i="1" s="1"/>
  <c r="AB5412" i="1" s="1"/>
  <c r="AC5409" i="1"/>
  <c r="AD5409" i="1" s="1"/>
  <c r="AB5409" i="1" s="1"/>
  <c r="AC5411" i="1"/>
  <c r="AD5411" i="1" s="1"/>
  <c r="AB5411" i="1" s="1"/>
  <c r="AC5370" i="1"/>
  <c r="AD5370" i="1" s="1"/>
  <c r="AB5370" i="1" s="1"/>
  <c r="AC5364" i="1"/>
  <c r="AD5364" i="1" s="1"/>
  <c r="AB5364" i="1" s="1"/>
  <c r="AC5369" i="1"/>
  <c r="AD5369" i="1" s="1"/>
  <c r="AB5369" i="1" s="1"/>
  <c r="AC5373" i="1"/>
  <c r="AD5373" i="1" s="1"/>
  <c r="AB5373" i="1" s="1"/>
  <c r="AC5372" i="1"/>
  <c r="AD5372" i="1" s="1"/>
  <c r="AB5372" i="1" s="1"/>
  <c r="AC5361" i="1"/>
  <c r="AD5361" i="1" s="1"/>
  <c r="AC5363" i="1"/>
  <c r="AD5363" i="1" s="1"/>
  <c r="AB5363" i="1" s="1"/>
  <c r="AC5365" i="1"/>
  <c r="AD5365" i="1" s="1"/>
  <c r="AB5365" i="1" s="1"/>
  <c r="AC5371" i="1"/>
  <c r="AD5371" i="1" s="1"/>
  <c r="AB5371" i="1" s="1"/>
  <c r="AC5368" i="1"/>
  <c r="AD5368" i="1" s="1"/>
  <c r="AC5362" i="1"/>
  <c r="AD5362" i="1" s="1"/>
  <c r="AB5362" i="1" s="1"/>
  <c r="AC5376" i="1"/>
  <c r="AD5376" i="1" s="1"/>
  <c r="AB5376" i="1" s="1"/>
  <c r="AC5383" i="1"/>
  <c r="AD5383" i="1" s="1"/>
  <c r="AB5383" i="1" s="1"/>
  <c r="AC5375" i="1"/>
  <c r="AD5375" i="1" s="1"/>
  <c r="AC5382" i="1"/>
  <c r="AD5382" i="1" s="1"/>
  <c r="AB5382" i="1" s="1"/>
  <c r="AC5379" i="1"/>
  <c r="AD5379" i="1" s="1"/>
  <c r="AB5379" i="1" s="1"/>
  <c r="AC5381" i="1"/>
  <c r="AD5381" i="1" s="1"/>
  <c r="AB5381" i="1" s="1"/>
  <c r="AC5378" i="1"/>
  <c r="AD5378" i="1" s="1"/>
  <c r="AB5378" i="1" s="1"/>
  <c r="AC5380" i="1"/>
  <c r="AD5380" i="1" s="1"/>
  <c r="AB5380" i="1" s="1"/>
  <c r="AC5377" i="1"/>
  <c r="AD5377" i="1" s="1"/>
  <c r="AB5377" i="1" s="1"/>
  <c r="AC5358" i="1"/>
  <c r="AD5358" i="1" s="1"/>
  <c r="AB5358" i="1" s="1"/>
  <c r="AC5357" i="1"/>
  <c r="AD5357" i="1" s="1"/>
  <c r="AB5357" i="1" s="1"/>
  <c r="AC5359" i="1"/>
  <c r="AD5359" i="1" s="1"/>
  <c r="AB5359" i="1" s="1"/>
  <c r="AC5356" i="1"/>
  <c r="AD5356" i="1" s="1"/>
  <c r="AC5340" i="1"/>
  <c r="AD5340" i="1" s="1"/>
  <c r="AB5340" i="1" s="1"/>
  <c r="AC5334" i="1"/>
  <c r="AD5334" i="1" s="1"/>
  <c r="AB5334" i="1" s="1"/>
  <c r="AC5343" i="1"/>
  <c r="AD5343" i="1" s="1"/>
  <c r="AB5343" i="1" s="1"/>
  <c r="AC5332" i="1"/>
  <c r="AD5332" i="1" s="1"/>
  <c r="AB5332" i="1" s="1"/>
  <c r="AC5333" i="1"/>
  <c r="AD5333" i="1" s="1"/>
  <c r="AB5333" i="1" s="1"/>
  <c r="AC5339" i="1"/>
  <c r="AD5339" i="1" s="1"/>
  <c r="AB5339" i="1" s="1"/>
  <c r="AC5335" i="1"/>
  <c r="AD5335" i="1" s="1"/>
  <c r="AB5335" i="1" s="1"/>
  <c r="AC5341" i="1"/>
  <c r="AD5341" i="1" s="1"/>
  <c r="AB5341" i="1" s="1"/>
  <c r="AC5338" i="1"/>
  <c r="AD5338" i="1" s="1"/>
  <c r="AC5342" i="1"/>
  <c r="AD5342" i="1" s="1"/>
  <c r="AB5342" i="1" s="1"/>
  <c r="AC5331" i="1"/>
  <c r="AD5331" i="1" s="1"/>
  <c r="AC5346" i="1"/>
  <c r="AD5346" i="1" s="1"/>
  <c r="AB5346" i="1" s="1"/>
  <c r="AC5347" i="1"/>
  <c r="AD5347" i="1" s="1"/>
  <c r="AB5347" i="1" s="1"/>
  <c r="AC5351" i="1"/>
  <c r="AD5351" i="1" s="1"/>
  <c r="AB5351" i="1" s="1"/>
  <c r="AC5353" i="1"/>
  <c r="AD5353" i="1" s="1"/>
  <c r="AB5353" i="1" s="1"/>
  <c r="AC5348" i="1"/>
  <c r="AD5348" i="1" s="1"/>
  <c r="AB5348" i="1" s="1"/>
  <c r="AC5345" i="1"/>
  <c r="AD5345" i="1" s="1"/>
  <c r="AC5352" i="1"/>
  <c r="AD5352" i="1" s="1"/>
  <c r="AB5352" i="1" s="1"/>
  <c r="AC5350" i="1"/>
  <c r="AD5350" i="1" s="1"/>
  <c r="AB5350" i="1" s="1"/>
  <c r="AC5349" i="1"/>
  <c r="AD5349" i="1" s="1"/>
  <c r="AB5349" i="1" s="1"/>
  <c r="AC5328" i="1"/>
  <c r="AD5328" i="1" s="1"/>
  <c r="AB5328" i="1" s="1"/>
  <c r="AC5327" i="1"/>
  <c r="AD5327" i="1" s="1"/>
  <c r="AB5327" i="1" s="1"/>
  <c r="AC5329" i="1"/>
  <c r="AD5329" i="1" s="1"/>
  <c r="AB5329" i="1" s="1"/>
  <c r="AC5326" i="1"/>
  <c r="AD5326" i="1" s="1"/>
  <c r="N5324" i="1"/>
  <c r="AC5324" i="1"/>
  <c r="AC5310" i="1"/>
  <c r="AD5310" i="1" s="1"/>
  <c r="AB5310" i="1" s="1"/>
  <c r="AC5304" i="1"/>
  <c r="AD5304" i="1" s="1"/>
  <c r="AB5304" i="1" s="1"/>
  <c r="AC5312" i="1"/>
  <c r="AD5312" i="1" s="1"/>
  <c r="AB5312" i="1" s="1"/>
  <c r="AC5308" i="1"/>
  <c r="AD5308" i="1" s="1"/>
  <c r="AC5302" i="1"/>
  <c r="AD5302" i="1" s="1"/>
  <c r="AB5302" i="1" s="1"/>
  <c r="AC5301" i="1"/>
  <c r="AD5301" i="1" s="1"/>
  <c r="AC5309" i="1"/>
  <c r="AD5309" i="1" s="1"/>
  <c r="AB5309" i="1" s="1"/>
  <c r="AC5303" i="1"/>
  <c r="AD5303" i="1" s="1"/>
  <c r="AB5303" i="1" s="1"/>
  <c r="AC5305" i="1"/>
  <c r="AD5305" i="1" s="1"/>
  <c r="AB5305" i="1" s="1"/>
  <c r="AC5311" i="1"/>
  <c r="AD5311" i="1" s="1"/>
  <c r="AB5311" i="1" s="1"/>
  <c r="AC5313" i="1"/>
  <c r="AD5313" i="1" s="1"/>
  <c r="AB5313" i="1" s="1"/>
  <c r="AC5316" i="1"/>
  <c r="AD5316" i="1" s="1"/>
  <c r="AB5316" i="1" s="1"/>
  <c r="AC5319" i="1"/>
  <c r="AD5319" i="1" s="1"/>
  <c r="AB5319" i="1" s="1"/>
  <c r="AC5323" i="1"/>
  <c r="AD5323" i="1" s="1"/>
  <c r="AB5323" i="1" s="1"/>
  <c r="AC5321" i="1"/>
  <c r="AD5321" i="1" s="1"/>
  <c r="AB5321" i="1" s="1"/>
  <c r="AC5318" i="1"/>
  <c r="AD5318" i="1" s="1"/>
  <c r="AB5318" i="1" s="1"/>
  <c r="AC5320" i="1"/>
  <c r="AD5320" i="1" s="1"/>
  <c r="AB5320" i="1" s="1"/>
  <c r="AC5315" i="1"/>
  <c r="AD5315" i="1" s="1"/>
  <c r="AC5322" i="1"/>
  <c r="AD5322" i="1" s="1"/>
  <c r="AB5322" i="1" s="1"/>
  <c r="AC5317" i="1"/>
  <c r="AD5317" i="1" s="1"/>
  <c r="AB5317" i="1" s="1"/>
  <c r="AC5298" i="1"/>
  <c r="AD5298" i="1" s="1"/>
  <c r="AB5298" i="1" s="1"/>
  <c r="AC5297" i="1"/>
  <c r="AD5297" i="1" s="1"/>
  <c r="AB5297" i="1" s="1"/>
  <c r="AC5296" i="1"/>
  <c r="AD5296" i="1" s="1"/>
  <c r="AC5299" i="1"/>
  <c r="AD5299" i="1" s="1"/>
  <c r="AB5299" i="1" s="1"/>
  <c r="AC5294" i="1"/>
  <c r="N5294" i="1"/>
  <c r="AC5280" i="1"/>
  <c r="AD5280" i="1" s="1"/>
  <c r="AB5280" i="1" s="1"/>
  <c r="AC5274" i="1"/>
  <c r="AD5274" i="1" s="1"/>
  <c r="AB5274" i="1" s="1"/>
  <c r="AC5275" i="1"/>
  <c r="AD5275" i="1" s="1"/>
  <c r="AB5275" i="1" s="1"/>
  <c r="AC5272" i="1"/>
  <c r="AD5272" i="1" s="1"/>
  <c r="AB5272" i="1" s="1"/>
  <c r="AC5282" i="1"/>
  <c r="AD5282" i="1" s="1"/>
  <c r="AB5282" i="1" s="1"/>
  <c r="AC5271" i="1"/>
  <c r="AD5271" i="1" s="1"/>
  <c r="AC5279" i="1"/>
  <c r="AD5279" i="1" s="1"/>
  <c r="AB5279" i="1" s="1"/>
  <c r="AC5273" i="1"/>
  <c r="AD5273" i="1" s="1"/>
  <c r="AB5273" i="1" s="1"/>
  <c r="AC5278" i="1"/>
  <c r="AD5278" i="1" s="1"/>
  <c r="AC5281" i="1"/>
  <c r="AD5281" i="1" s="1"/>
  <c r="AB5281" i="1" s="1"/>
  <c r="AC5283" i="1"/>
  <c r="AD5283" i="1" s="1"/>
  <c r="AB5283" i="1" s="1"/>
  <c r="AC5268" i="1"/>
  <c r="AD5268" i="1" s="1"/>
  <c r="AB5268" i="1" s="1"/>
  <c r="AC5266" i="1"/>
  <c r="AD5266" i="1" s="1"/>
  <c r="AC5267" i="1"/>
  <c r="AD5267" i="1" s="1"/>
  <c r="AB5267" i="1" s="1"/>
  <c r="AC5269" i="1"/>
  <c r="AD5269" i="1" s="1"/>
  <c r="AB5269" i="1" s="1"/>
  <c r="AC5286" i="1"/>
  <c r="AD5286" i="1" s="1"/>
  <c r="AB5286" i="1" s="1"/>
  <c r="AC5287" i="1"/>
  <c r="AD5287" i="1" s="1"/>
  <c r="AB5287" i="1" s="1"/>
  <c r="AC5291" i="1"/>
  <c r="AD5291" i="1" s="1"/>
  <c r="AB5291" i="1" s="1"/>
  <c r="AC5293" i="1"/>
  <c r="AD5293" i="1" s="1"/>
  <c r="AB5293" i="1" s="1"/>
  <c r="AC5288" i="1"/>
  <c r="AD5288" i="1" s="1"/>
  <c r="AB5288" i="1" s="1"/>
  <c r="AC5290" i="1"/>
  <c r="AD5290" i="1" s="1"/>
  <c r="AB5290" i="1" s="1"/>
  <c r="AC5285" i="1"/>
  <c r="AD5285" i="1" s="1"/>
  <c r="AC5292" i="1"/>
  <c r="AD5292" i="1" s="1"/>
  <c r="AB5292" i="1" s="1"/>
  <c r="AC5289" i="1"/>
  <c r="AD5289" i="1" s="1"/>
  <c r="AB5289" i="1" s="1"/>
  <c r="N5264" i="1"/>
  <c r="AC5264" i="1"/>
  <c r="N4881" i="1"/>
  <c r="AC5250" i="1"/>
  <c r="AD5250" i="1" s="1"/>
  <c r="AB5250" i="1" s="1"/>
  <c r="AC5244" i="1"/>
  <c r="AD5244" i="1" s="1"/>
  <c r="AB5244" i="1" s="1"/>
  <c r="AC5252" i="1"/>
  <c r="AD5252" i="1" s="1"/>
  <c r="AB5252" i="1" s="1"/>
  <c r="AC5249" i="1"/>
  <c r="AD5249" i="1" s="1"/>
  <c r="AB5249" i="1" s="1"/>
  <c r="AC5245" i="1"/>
  <c r="AD5245" i="1" s="1"/>
  <c r="AB5245" i="1" s="1"/>
  <c r="AC5251" i="1"/>
  <c r="AD5251" i="1" s="1"/>
  <c r="AB5251" i="1" s="1"/>
  <c r="AC5248" i="1"/>
  <c r="AD5248" i="1" s="1"/>
  <c r="AC5242" i="1"/>
  <c r="AD5242" i="1" s="1"/>
  <c r="AB5242" i="1" s="1"/>
  <c r="AC5241" i="1"/>
  <c r="AD5241" i="1" s="1"/>
  <c r="AC5243" i="1"/>
  <c r="AD5243" i="1" s="1"/>
  <c r="AB5243" i="1" s="1"/>
  <c r="AC5253" i="1"/>
  <c r="AD5253" i="1" s="1"/>
  <c r="AB5253" i="1" s="1"/>
  <c r="AC5239" i="1"/>
  <c r="AD5239" i="1" s="1"/>
  <c r="AB5239" i="1" s="1"/>
  <c r="AC5238" i="1"/>
  <c r="AD5238" i="1" s="1"/>
  <c r="AB5238" i="1" s="1"/>
  <c r="AC5237" i="1"/>
  <c r="AD5237" i="1" s="1"/>
  <c r="AB5237" i="1" s="1"/>
  <c r="AC5236" i="1"/>
  <c r="AD5236" i="1" s="1"/>
  <c r="AC5256" i="1"/>
  <c r="AD5256" i="1" s="1"/>
  <c r="AB5256" i="1" s="1"/>
  <c r="AC5258" i="1"/>
  <c r="AD5258" i="1" s="1"/>
  <c r="AB5258" i="1" s="1"/>
  <c r="AC5260" i="1"/>
  <c r="AD5260" i="1" s="1"/>
  <c r="AB5260" i="1" s="1"/>
  <c r="AC5255" i="1"/>
  <c r="AD5255" i="1" s="1"/>
  <c r="AC5257" i="1"/>
  <c r="AD5257" i="1" s="1"/>
  <c r="AB5257" i="1" s="1"/>
  <c r="AC5259" i="1"/>
  <c r="AD5259" i="1" s="1"/>
  <c r="AB5259" i="1" s="1"/>
  <c r="AC5263" i="1"/>
  <c r="AD5263" i="1" s="1"/>
  <c r="AB5263" i="1" s="1"/>
  <c r="AC5262" i="1"/>
  <c r="AD5262" i="1" s="1"/>
  <c r="AB5262" i="1" s="1"/>
  <c r="AC5261" i="1"/>
  <c r="AD5261" i="1" s="1"/>
  <c r="AB5261" i="1" s="1"/>
  <c r="N4985" i="1"/>
  <c r="AC5220" i="1"/>
  <c r="AD5220" i="1" s="1"/>
  <c r="AB5220" i="1" s="1"/>
  <c r="AC5214" i="1"/>
  <c r="AD5214" i="1" s="1"/>
  <c r="AB5214" i="1" s="1"/>
  <c r="AC5222" i="1"/>
  <c r="AD5222" i="1" s="1"/>
  <c r="AB5222" i="1" s="1"/>
  <c r="AC5211" i="1"/>
  <c r="AD5211" i="1" s="1"/>
  <c r="AC5219" i="1"/>
  <c r="AD5219" i="1" s="1"/>
  <c r="AB5219" i="1" s="1"/>
  <c r="AC5213" i="1"/>
  <c r="AD5213" i="1" s="1"/>
  <c r="AB5213" i="1" s="1"/>
  <c r="AC5215" i="1"/>
  <c r="AD5215" i="1" s="1"/>
  <c r="AB5215" i="1" s="1"/>
  <c r="AC5221" i="1"/>
  <c r="AD5221" i="1" s="1"/>
  <c r="AB5221" i="1" s="1"/>
  <c r="AC5223" i="1"/>
  <c r="AD5223" i="1" s="1"/>
  <c r="AB5223" i="1" s="1"/>
  <c r="AC5218" i="1"/>
  <c r="AD5218" i="1" s="1"/>
  <c r="AC5212" i="1"/>
  <c r="AD5212" i="1" s="1"/>
  <c r="AB5212" i="1" s="1"/>
  <c r="N5078" i="1"/>
  <c r="AC5226" i="1"/>
  <c r="AD5226" i="1" s="1"/>
  <c r="AB5226" i="1" s="1"/>
  <c r="AC5230" i="1"/>
  <c r="AD5230" i="1" s="1"/>
  <c r="AB5230" i="1" s="1"/>
  <c r="AC5233" i="1"/>
  <c r="AD5233" i="1" s="1"/>
  <c r="AB5233" i="1" s="1"/>
  <c r="AC5228" i="1"/>
  <c r="AD5228" i="1" s="1"/>
  <c r="AB5228" i="1" s="1"/>
  <c r="AC5225" i="1"/>
  <c r="AD5225" i="1" s="1"/>
  <c r="AC5232" i="1"/>
  <c r="AD5232" i="1" s="1"/>
  <c r="AB5232" i="1" s="1"/>
  <c r="AC5227" i="1"/>
  <c r="AD5227" i="1" s="1"/>
  <c r="AB5227" i="1" s="1"/>
  <c r="AC5229" i="1"/>
  <c r="AD5229" i="1" s="1"/>
  <c r="AB5229" i="1" s="1"/>
  <c r="AC5231" i="1"/>
  <c r="AD5231" i="1" s="1"/>
  <c r="AB5231" i="1" s="1"/>
  <c r="AC5208" i="1"/>
  <c r="AD5208" i="1" s="1"/>
  <c r="AB5208" i="1" s="1"/>
  <c r="AC5207" i="1"/>
  <c r="AD5207" i="1" s="1"/>
  <c r="AB5207" i="1" s="1"/>
  <c r="AC5209" i="1"/>
  <c r="AD5209" i="1" s="1"/>
  <c r="AB5209" i="1" s="1"/>
  <c r="AC5206" i="1"/>
  <c r="AD5206" i="1" s="1"/>
  <c r="AC5190" i="1"/>
  <c r="AD5190" i="1" s="1"/>
  <c r="AB5190" i="1" s="1"/>
  <c r="AC5184" i="1"/>
  <c r="AD5184" i="1" s="1"/>
  <c r="AB5184" i="1" s="1"/>
  <c r="AC5191" i="1"/>
  <c r="AD5191" i="1" s="1"/>
  <c r="AB5191" i="1" s="1"/>
  <c r="AC5193" i="1"/>
  <c r="AD5193" i="1" s="1"/>
  <c r="AB5193" i="1" s="1"/>
  <c r="AC5192" i="1"/>
  <c r="AD5192" i="1" s="1"/>
  <c r="AB5192" i="1" s="1"/>
  <c r="AC5181" i="1"/>
  <c r="AD5181" i="1" s="1"/>
  <c r="AC5189" i="1"/>
  <c r="AD5189" i="1" s="1"/>
  <c r="AB5189" i="1" s="1"/>
  <c r="AC5183" i="1"/>
  <c r="AD5183" i="1" s="1"/>
  <c r="AB5183" i="1" s="1"/>
  <c r="AC5185" i="1"/>
  <c r="AD5185" i="1" s="1"/>
  <c r="AB5185" i="1" s="1"/>
  <c r="AC5188" i="1"/>
  <c r="AD5188" i="1" s="1"/>
  <c r="AC5182" i="1"/>
  <c r="AD5182" i="1" s="1"/>
  <c r="AB5182" i="1" s="1"/>
  <c r="AC5196" i="1"/>
  <c r="AD5196" i="1" s="1"/>
  <c r="AB5196" i="1" s="1"/>
  <c r="AC5198" i="1"/>
  <c r="AD5198" i="1" s="1"/>
  <c r="AB5198" i="1" s="1"/>
  <c r="AC5203" i="1"/>
  <c r="AD5203" i="1" s="1"/>
  <c r="AB5203" i="1" s="1"/>
  <c r="AC5200" i="1"/>
  <c r="AD5200" i="1" s="1"/>
  <c r="AB5200" i="1" s="1"/>
  <c r="AC5195" i="1"/>
  <c r="AD5195" i="1" s="1"/>
  <c r="AC5202" i="1"/>
  <c r="AD5202" i="1" s="1"/>
  <c r="AB5202" i="1" s="1"/>
  <c r="AC5197" i="1"/>
  <c r="AD5197" i="1" s="1"/>
  <c r="AB5197" i="1" s="1"/>
  <c r="AC5199" i="1"/>
  <c r="AD5199" i="1" s="1"/>
  <c r="AB5199" i="1" s="1"/>
  <c r="AC5201" i="1"/>
  <c r="AD5201" i="1" s="1"/>
  <c r="AB5201" i="1" s="1"/>
  <c r="AC5179" i="1"/>
  <c r="AD5179" i="1" s="1"/>
  <c r="AB5179" i="1" s="1"/>
  <c r="AC5178" i="1"/>
  <c r="AD5178" i="1" s="1"/>
  <c r="AB5178" i="1" s="1"/>
  <c r="AC5177" i="1"/>
  <c r="AD5177" i="1" s="1"/>
  <c r="AB5177" i="1" s="1"/>
  <c r="AC5176" i="1"/>
  <c r="AD5176" i="1" s="1"/>
  <c r="AC4911" i="1"/>
  <c r="AC5147" i="1"/>
  <c r="AD5147" i="1" s="1"/>
  <c r="AB5147" i="1" s="1"/>
  <c r="AC5149" i="1"/>
  <c r="AD5149" i="1" s="1"/>
  <c r="AB5149" i="1" s="1"/>
  <c r="AC5148" i="1"/>
  <c r="AD5148" i="1" s="1"/>
  <c r="AB5148" i="1" s="1"/>
  <c r="AC5146" i="1"/>
  <c r="AD5146" i="1" s="1"/>
  <c r="AC5162" i="1"/>
  <c r="AD5162" i="1" s="1"/>
  <c r="AB5162" i="1" s="1"/>
  <c r="AC5151" i="1"/>
  <c r="AD5151" i="1" s="1"/>
  <c r="AC5159" i="1"/>
  <c r="AD5159" i="1" s="1"/>
  <c r="AB5159" i="1" s="1"/>
  <c r="AC5153" i="1"/>
  <c r="AD5153" i="1" s="1"/>
  <c r="AB5153" i="1" s="1"/>
  <c r="AC5155" i="1"/>
  <c r="AD5155" i="1" s="1"/>
  <c r="AB5155" i="1" s="1"/>
  <c r="AC5161" i="1"/>
  <c r="AD5161" i="1" s="1"/>
  <c r="AB5161" i="1" s="1"/>
  <c r="AC5154" i="1"/>
  <c r="AD5154" i="1" s="1"/>
  <c r="AB5154" i="1" s="1"/>
  <c r="AC5160" i="1"/>
  <c r="AD5160" i="1" s="1"/>
  <c r="AB5160" i="1" s="1"/>
  <c r="AC5152" i="1"/>
  <c r="AD5152" i="1" s="1"/>
  <c r="AB5152" i="1" s="1"/>
  <c r="AC5163" i="1"/>
  <c r="AD5163" i="1" s="1"/>
  <c r="AB5163" i="1" s="1"/>
  <c r="AC5158" i="1"/>
  <c r="AD5158" i="1" s="1"/>
  <c r="AC5168" i="1"/>
  <c r="AD5168" i="1" s="1"/>
  <c r="AB5168" i="1" s="1"/>
  <c r="AC5170" i="1"/>
  <c r="AD5170" i="1" s="1"/>
  <c r="AB5170" i="1" s="1"/>
  <c r="AC5165" i="1"/>
  <c r="AD5165" i="1" s="1"/>
  <c r="AC5172" i="1"/>
  <c r="AD5172" i="1" s="1"/>
  <c r="AB5172" i="1" s="1"/>
  <c r="AC5167" i="1"/>
  <c r="AD5167" i="1" s="1"/>
  <c r="AB5167" i="1" s="1"/>
  <c r="AC5169" i="1"/>
  <c r="AD5169" i="1" s="1"/>
  <c r="AB5169" i="1" s="1"/>
  <c r="AC5171" i="1"/>
  <c r="AD5171" i="1" s="1"/>
  <c r="AB5171" i="1" s="1"/>
  <c r="AC5166" i="1"/>
  <c r="AD5166" i="1" s="1"/>
  <c r="AB5166" i="1" s="1"/>
  <c r="AC5173" i="1"/>
  <c r="AD5173" i="1" s="1"/>
  <c r="AB5173" i="1" s="1"/>
  <c r="AC5130" i="1"/>
  <c r="AD5130" i="1" s="1"/>
  <c r="AB5130" i="1" s="1"/>
  <c r="AC5124" i="1"/>
  <c r="AD5124" i="1" s="1"/>
  <c r="AB5124" i="1" s="1"/>
  <c r="AC5132" i="1"/>
  <c r="AD5132" i="1" s="1"/>
  <c r="AB5132" i="1" s="1"/>
  <c r="AC5131" i="1"/>
  <c r="AD5131" i="1" s="1"/>
  <c r="AB5131" i="1" s="1"/>
  <c r="AC5128" i="1"/>
  <c r="AD5128" i="1" s="1"/>
  <c r="AC5122" i="1"/>
  <c r="AD5122" i="1" s="1"/>
  <c r="AB5122" i="1" s="1"/>
  <c r="AC5121" i="1"/>
  <c r="AD5121" i="1" s="1"/>
  <c r="AC5129" i="1"/>
  <c r="AD5129" i="1" s="1"/>
  <c r="AB5129" i="1" s="1"/>
  <c r="AC5123" i="1"/>
  <c r="AD5123" i="1" s="1"/>
  <c r="AB5123" i="1" s="1"/>
  <c r="AC5125" i="1"/>
  <c r="AD5125" i="1" s="1"/>
  <c r="AB5125" i="1" s="1"/>
  <c r="AC5133" i="1"/>
  <c r="AD5133" i="1" s="1"/>
  <c r="AB5133" i="1" s="1"/>
  <c r="AC5136" i="1"/>
  <c r="AD5136" i="1" s="1"/>
  <c r="AB5136" i="1" s="1"/>
  <c r="AC5138" i="1"/>
  <c r="AD5138" i="1" s="1"/>
  <c r="AB5138" i="1" s="1"/>
  <c r="AC5139" i="1"/>
  <c r="AD5139" i="1" s="1"/>
  <c r="AB5139" i="1" s="1"/>
  <c r="AC5141" i="1"/>
  <c r="AD5141" i="1" s="1"/>
  <c r="AB5141" i="1" s="1"/>
  <c r="AC5143" i="1"/>
  <c r="AD5143" i="1" s="1"/>
  <c r="AB5143" i="1" s="1"/>
  <c r="AC5140" i="1"/>
  <c r="AD5140" i="1" s="1"/>
  <c r="AB5140" i="1" s="1"/>
  <c r="AC5135" i="1"/>
  <c r="AD5135" i="1" s="1"/>
  <c r="AC5142" i="1"/>
  <c r="AD5142" i="1" s="1"/>
  <c r="AB5142" i="1" s="1"/>
  <c r="AC5137" i="1"/>
  <c r="AD5137" i="1" s="1"/>
  <c r="AB5137" i="1" s="1"/>
  <c r="AC5119" i="1"/>
  <c r="AD5119" i="1" s="1"/>
  <c r="AB5119" i="1" s="1"/>
  <c r="AC5118" i="1"/>
  <c r="AD5118" i="1" s="1"/>
  <c r="AB5118" i="1" s="1"/>
  <c r="AC5117" i="1"/>
  <c r="AD5117" i="1" s="1"/>
  <c r="AB5117" i="1" s="1"/>
  <c r="AC5116" i="1"/>
  <c r="AD5116" i="1" s="1"/>
  <c r="AC5114" i="1"/>
  <c r="N5114" i="1"/>
  <c r="AC5101" i="1"/>
  <c r="AD5101" i="1" s="1"/>
  <c r="AB5101" i="1" s="1"/>
  <c r="AC5102" i="1"/>
  <c r="AD5102" i="1" s="1"/>
  <c r="AB5102" i="1" s="1"/>
  <c r="AC5106" i="1"/>
  <c r="AD5106" i="1" s="1"/>
  <c r="AB5106" i="1" s="1"/>
  <c r="AC5108" i="1"/>
  <c r="AD5108" i="1" s="1"/>
  <c r="AB5108" i="1" s="1"/>
  <c r="AC5100" i="1"/>
  <c r="AD5100" i="1" s="1"/>
  <c r="AC5107" i="1"/>
  <c r="AD5107" i="1" s="1"/>
  <c r="AB5107" i="1" s="1"/>
  <c r="AC5104" i="1"/>
  <c r="AD5104" i="1" s="1"/>
  <c r="AB5104" i="1" s="1"/>
  <c r="AC5103" i="1"/>
  <c r="AD5103" i="1" s="1"/>
  <c r="AB5103" i="1" s="1"/>
  <c r="AC5105" i="1"/>
  <c r="AD5105" i="1" s="1"/>
  <c r="AB5105" i="1" s="1"/>
  <c r="AC5095" i="1"/>
  <c r="AD5095" i="1" s="1"/>
  <c r="AB5095" i="1" s="1"/>
  <c r="AC5088" i="1"/>
  <c r="AD5088" i="1" s="1"/>
  <c r="AB5088" i="1" s="1"/>
  <c r="AC5092" i="1"/>
  <c r="AD5092" i="1" s="1"/>
  <c r="AC5086" i="1"/>
  <c r="AD5086" i="1" s="1"/>
  <c r="AB5086" i="1" s="1"/>
  <c r="AC5097" i="1"/>
  <c r="AD5097" i="1" s="1"/>
  <c r="AB5097" i="1" s="1"/>
  <c r="AC5085" i="1"/>
  <c r="AD5085" i="1" s="1"/>
  <c r="AC5094" i="1"/>
  <c r="AD5094" i="1" s="1"/>
  <c r="AB5094" i="1" s="1"/>
  <c r="AC5098" i="1"/>
  <c r="AD5098" i="1" s="1"/>
  <c r="AB5098" i="1" s="1"/>
  <c r="AC5087" i="1"/>
  <c r="AD5087" i="1" s="1"/>
  <c r="AB5087" i="1" s="1"/>
  <c r="AC5089" i="1"/>
  <c r="AD5089" i="1" s="1"/>
  <c r="AB5089" i="1" s="1"/>
  <c r="AC5096" i="1"/>
  <c r="AD5096" i="1" s="1"/>
  <c r="AB5096" i="1" s="1"/>
  <c r="AC5081" i="1"/>
  <c r="AD5081" i="1" s="1"/>
  <c r="AB5081" i="1" s="1"/>
  <c r="AC5082" i="1"/>
  <c r="AD5082" i="1" s="1"/>
  <c r="AB5082" i="1" s="1"/>
  <c r="AC5080" i="1"/>
  <c r="AD5080" i="1" s="1"/>
  <c r="AC5083" i="1"/>
  <c r="AD5083" i="1" s="1"/>
  <c r="AB5083" i="1" s="1"/>
  <c r="AC5064" i="1"/>
  <c r="AD5064" i="1" s="1"/>
  <c r="AB5064" i="1" s="1"/>
  <c r="AC5057" i="1"/>
  <c r="AD5057" i="1" s="1"/>
  <c r="AB5057" i="1" s="1"/>
  <c r="AC5063" i="1"/>
  <c r="AD5063" i="1" s="1"/>
  <c r="AB5063" i="1" s="1"/>
  <c r="AC5056" i="1"/>
  <c r="AD5056" i="1" s="1"/>
  <c r="AB5056" i="1" s="1"/>
  <c r="AC5067" i="1"/>
  <c r="AD5067" i="1" s="1"/>
  <c r="AB5067" i="1" s="1"/>
  <c r="AC5058" i="1"/>
  <c r="AD5058" i="1" s="1"/>
  <c r="AB5058" i="1" s="1"/>
  <c r="AC5065" i="1"/>
  <c r="AD5065" i="1" s="1"/>
  <c r="AB5065" i="1" s="1"/>
  <c r="AC5061" i="1"/>
  <c r="AD5061" i="1" s="1"/>
  <c r="AC5055" i="1"/>
  <c r="AD5055" i="1" s="1"/>
  <c r="AB5055" i="1" s="1"/>
  <c r="AC5066" i="1"/>
  <c r="AD5066" i="1" s="1"/>
  <c r="AB5066" i="1" s="1"/>
  <c r="AC5054" i="1"/>
  <c r="AD5054" i="1" s="1"/>
  <c r="AC5070" i="1"/>
  <c r="AD5070" i="1" s="1"/>
  <c r="AB5070" i="1" s="1"/>
  <c r="AC5069" i="1"/>
  <c r="AD5069" i="1" s="1"/>
  <c r="AC5077" i="1"/>
  <c r="AD5077" i="1" s="1"/>
  <c r="AB5077" i="1" s="1"/>
  <c r="AC5076" i="1"/>
  <c r="AD5076" i="1" s="1"/>
  <c r="AB5076" i="1" s="1"/>
  <c r="AC5072" i="1"/>
  <c r="AD5072" i="1" s="1"/>
  <c r="AB5072" i="1" s="1"/>
  <c r="AC5071" i="1"/>
  <c r="AD5071" i="1" s="1"/>
  <c r="AB5071" i="1" s="1"/>
  <c r="AC5074" i="1"/>
  <c r="AD5074" i="1" s="1"/>
  <c r="AB5074" i="1" s="1"/>
  <c r="AC5073" i="1"/>
  <c r="AD5073" i="1" s="1"/>
  <c r="AB5073" i="1" s="1"/>
  <c r="AC5075" i="1"/>
  <c r="AD5075" i="1" s="1"/>
  <c r="AB5075" i="1" s="1"/>
  <c r="N4851" i="1"/>
  <c r="AC5051" i="1"/>
  <c r="AD5051" i="1" s="1"/>
  <c r="AB5051" i="1" s="1"/>
  <c r="AC5050" i="1"/>
  <c r="AD5050" i="1" s="1"/>
  <c r="AB5050" i="1" s="1"/>
  <c r="AC5052" i="1"/>
  <c r="AD5052" i="1" s="1"/>
  <c r="AB5052" i="1" s="1"/>
  <c r="AC5049" i="1"/>
  <c r="AD5049" i="1" s="1"/>
  <c r="AC5033" i="1"/>
  <c r="AD5033" i="1" s="1"/>
  <c r="AB5033" i="1" s="1"/>
  <c r="AC5026" i="1"/>
  <c r="AD5026" i="1" s="1"/>
  <c r="AB5026" i="1" s="1"/>
  <c r="AC5032" i="1"/>
  <c r="AD5032" i="1" s="1"/>
  <c r="AB5032" i="1" s="1"/>
  <c r="AC5025" i="1"/>
  <c r="AD5025" i="1" s="1"/>
  <c r="AB5025" i="1" s="1"/>
  <c r="AC5036" i="1"/>
  <c r="AD5036" i="1" s="1"/>
  <c r="AB5036" i="1" s="1"/>
  <c r="AC5027" i="1"/>
  <c r="AD5027" i="1" s="1"/>
  <c r="AB5027" i="1" s="1"/>
  <c r="AC5035" i="1"/>
  <c r="AD5035" i="1" s="1"/>
  <c r="AB5035" i="1" s="1"/>
  <c r="AC5023" i="1"/>
  <c r="AD5023" i="1" s="1"/>
  <c r="AC5034" i="1"/>
  <c r="AD5034" i="1" s="1"/>
  <c r="AB5034" i="1" s="1"/>
  <c r="AC5030" i="1"/>
  <c r="AD5030" i="1" s="1"/>
  <c r="AC5024" i="1"/>
  <c r="AD5024" i="1" s="1"/>
  <c r="AB5024" i="1" s="1"/>
  <c r="AC5019" i="1"/>
  <c r="AD5019" i="1" s="1"/>
  <c r="AB5019" i="1" s="1"/>
  <c r="AC5018" i="1"/>
  <c r="AD5018" i="1" s="1"/>
  <c r="AC5020" i="1"/>
  <c r="AD5020" i="1" s="1"/>
  <c r="AB5020" i="1" s="1"/>
  <c r="AC5021" i="1"/>
  <c r="AD5021" i="1" s="1"/>
  <c r="AB5021" i="1" s="1"/>
  <c r="AC5039" i="1"/>
  <c r="AD5039" i="1" s="1"/>
  <c r="AB5039" i="1" s="1"/>
  <c r="AC5043" i="1"/>
  <c r="AD5043" i="1" s="1"/>
  <c r="AB5043" i="1" s="1"/>
  <c r="AC5038" i="1"/>
  <c r="AD5038" i="1" s="1"/>
  <c r="AC5042" i="1"/>
  <c r="AD5042" i="1" s="1"/>
  <c r="AB5042" i="1" s="1"/>
  <c r="AC5044" i="1"/>
  <c r="AD5044" i="1" s="1"/>
  <c r="AB5044" i="1" s="1"/>
  <c r="AC5046" i="1"/>
  <c r="AD5046" i="1" s="1"/>
  <c r="AB5046" i="1" s="1"/>
  <c r="AC5040" i="1"/>
  <c r="AD5040" i="1" s="1"/>
  <c r="AB5040" i="1" s="1"/>
  <c r="AC5041" i="1"/>
  <c r="AD5041" i="1" s="1"/>
  <c r="AB5041" i="1" s="1"/>
  <c r="AC5045" i="1"/>
  <c r="AD5045" i="1" s="1"/>
  <c r="AB5045" i="1" s="1"/>
  <c r="N5016" i="1"/>
  <c r="AC5016" i="1"/>
  <c r="N4761" i="1"/>
  <c r="AC5008" i="1"/>
  <c r="AD5008" i="1" s="1"/>
  <c r="AB5008" i="1" s="1"/>
  <c r="AC5014" i="1"/>
  <c r="AD5014" i="1" s="1"/>
  <c r="AB5014" i="1" s="1"/>
  <c r="AC5015" i="1"/>
  <c r="AD5015" i="1" s="1"/>
  <c r="AB5015" i="1" s="1"/>
  <c r="AC5012" i="1"/>
  <c r="AD5012" i="1" s="1"/>
  <c r="AB5012" i="1" s="1"/>
  <c r="AC5007" i="1"/>
  <c r="AD5007" i="1" s="1"/>
  <c r="AC5011" i="1"/>
  <c r="AD5011" i="1" s="1"/>
  <c r="AB5011" i="1" s="1"/>
  <c r="AC5013" i="1"/>
  <c r="AD5013" i="1" s="1"/>
  <c r="AB5013" i="1" s="1"/>
  <c r="AC5010" i="1"/>
  <c r="AD5010" i="1" s="1"/>
  <c r="AB5010" i="1" s="1"/>
  <c r="AC5009" i="1"/>
  <c r="AD5009" i="1" s="1"/>
  <c r="AB5009" i="1" s="1"/>
  <c r="AC5002" i="1"/>
  <c r="AD5002" i="1" s="1"/>
  <c r="AB5002" i="1" s="1"/>
  <c r="AC4995" i="1"/>
  <c r="AD4995" i="1" s="1"/>
  <c r="AB4995" i="1" s="1"/>
  <c r="AC4994" i="1"/>
  <c r="AD4994" i="1" s="1"/>
  <c r="AB4994" i="1" s="1"/>
  <c r="AC5005" i="1"/>
  <c r="AD5005" i="1" s="1"/>
  <c r="AB5005" i="1" s="1"/>
  <c r="AC5001" i="1"/>
  <c r="AD5001" i="1" s="1"/>
  <c r="AB5001" i="1" s="1"/>
  <c r="AC5003" i="1"/>
  <c r="AD5003" i="1" s="1"/>
  <c r="AB5003" i="1" s="1"/>
  <c r="AC4999" i="1"/>
  <c r="AC4993" i="1"/>
  <c r="AD4993" i="1" s="1"/>
  <c r="AB4993" i="1" s="1"/>
  <c r="AC5004" i="1"/>
  <c r="AD5004" i="1" s="1"/>
  <c r="AB5004" i="1" s="1"/>
  <c r="AC4992" i="1"/>
  <c r="AD4992" i="1" s="1"/>
  <c r="AC4996" i="1"/>
  <c r="AD4996" i="1" s="1"/>
  <c r="AB4996" i="1" s="1"/>
  <c r="AC4988" i="1"/>
  <c r="AD4988" i="1" s="1"/>
  <c r="AB4988" i="1" s="1"/>
  <c r="AC4989" i="1"/>
  <c r="AD4989" i="1" s="1"/>
  <c r="AB4989" i="1" s="1"/>
  <c r="AC4990" i="1"/>
  <c r="AD4990" i="1" s="1"/>
  <c r="AB4990" i="1" s="1"/>
  <c r="AC4987" i="1"/>
  <c r="AD4987" i="1" s="1"/>
  <c r="AC4957" i="1"/>
  <c r="AD4957" i="1" s="1"/>
  <c r="AB4957" i="1" s="1"/>
  <c r="AC4951" i="1"/>
  <c r="AD4951" i="1" s="1"/>
  <c r="AB4951" i="1" s="1"/>
  <c r="AC4948" i="1"/>
  <c r="AD4948" i="1" s="1"/>
  <c r="AC4950" i="1"/>
  <c r="AD4950" i="1" s="1"/>
  <c r="AB4950" i="1" s="1"/>
  <c r="AC4959" i="1"/>
  <c r="AD4959" i="1" s="1"/>
  <c r="AB4959" i="1" s="1"/>
  <c r="AC4956" i="1"/>
  <c r="AD4956" i="1" s="1"/>
  <c r="AB4956" i="1" s="1"/>
  <c r="AC4958" i="1"/>
  <c r="AD4958" i="1" s="1"/>
  <c r="AB4958" i="1" s="1"/>
  <c r="AC4952" i="1"/>
  <c r="AD4952" i="1" s="1"/>
  <c r="AB4952" i="1" s="1"/>
  <c r="AC4960" i="1"/>
  <c r="AD4960" i="1" s="1"/>
  <c r="AB4960" i="1" s="1"/>
  <c r="AC4955" i="1"/>
  <c r="AD4955" i="1" s="1"/>
  <c r="AC4949" i="1"/>
  <c r="AD4949" i="1" s="1"/>
  <c r="AB4949" i="1" s="1"/>
  <c r="AC4963" i="1"/>
  <c r="AD4963" i="1" s="1"/>
  <c r="AB4963" i="1" s="1"/>
  <c r="AC4969" i="1"/>
  <c r="AD4969" i="1" s="1"/>
  <c r="AB4969" i="1" s="1"/>
  <c r="AC4970" i="1"/>
  <c r="AD4970" i="1" s="1"/>
  <c r="AB4970" i="1" s="1"/>
  <c r="AC4965" i="1"/>
  <c r="AD4965" i="1" s="1"/>
  <c r="AB4965" i="1" s="1"/>
  <c r="AC4967" i="1"/>
  <c r="AD4967" i="1" s="1"/>
  <c r="AB4967" i="1" s="1"/>
  <c r="AC4962" i="1"/>
  <c r="AD4962" i="1" s="1"/>
  <c r="AC4964" i="1"/>
  <c r="AD4964" i="1" s="1"/>
  <c r="AB4964" i="1" s="1"/>
  <c r="AC4966" i="1"/>
  <c r="AD4966" i="1" s="1"/>
  <c r="AB4966" i="1" s="1"/>
  <c r="AC4968" i="1"/>
  <c r="AD4968" i="1" s="1"/>
  <c r="AB4968" i="1" s="1"/>
  <c r="AC4945" i="1"/>
  <c r="AD4945" i="1" s="1"/>
  <c r="AB4945" i="1" s="1"/>
  <c r="AC4946" i="1"/>
  <c r="AD4946" i="1" s="1"/>
  <c r="AB4946" i="1" s="1"/>
  <c r="AC4943" i="1"/>
  <c r="AD4943" i="1" s="1"/>
  <c r="AC4944" i="1"/>
  <c r="AD4944" i="1" s="1"/>
  <c r="AB4944" i="1" s="1"/>
  <c r="AC4927" i="1"/>
  <c r="AD4927" i="1" s="1"/>
  <c r="AB4927" i="1" s="1"/>
  <c r="AC4921" i="1"/>
  <c r="AD4921" i="1" s="1"/>
  <c r="AB4921" i="1" s="1"/>
  <c r="AC4930" i="1"/>
  <c r="AD4930" i="1" s="1"/>
  <c r="AB4930" i="1" s="1"/>
  <c r="AC4926" i="1"/>
  <c r="AD4926" i="1" s="1"/>
  <c r="AB4926" i="1" s="1"/>
  <c r="AC4920" i="1"/>
  <c r="AD4920" i="1" s="1"/>
  <c r="AB4920" i="1" s="1"/>
  <c r="AC4928" i="1"/>
  <c r="AD4928" i="1" s="1"/>
  <c r="AB4928" i="1" s="1"/>
  <c r="AC4925" i="1"/>
  <c r="AD4925" i="1" s="1"/>
  <c r="AC4929" i="1"/>
  <c r="AD4929" i="1" s="1"/>
  <c r="AB4929" i="1" s="1"/>
  <c r="AC4918" i="1"/>
  <c r="AD4918" i="1" s="1"/>
  <c r="AC4922" i="1"/>
  <c r="AD4922" i="1" s="1"/>
  <c r="AB4922" i="1" s="1"/>
  <c r="AC4919" i="1"/>
  <c r="AD4919" i="1" s="1"/>
  <c r="AB4919" i="1" s="1"/>
  <c r="AC4933" i="1"/>
  <c r="AD4933" i="1" s="1"/>
  <c r="AB4933" i="1" s="1"/>
  <c r="AC4940" i="1"/>
  <c r="AD4940" i="1" s="1"/>
  <c r="AB4940" i="1" s="1"/>
  <c r="AC4932" i="1"/>
  <c r="AD4932" i="1" s="1"/>
  <c r="AC4935" i="1"/>
  <c r="AD4935" i="1" s="1"/>
  <c r="AB4935" i="1" s="1"/>
  <c r="AC4937" i="1"/>
  <c r="AD4937" i="1" s="1"/>
  <c r="AB4937" i="1" s="1"/>
  <c r="AC4934" i="1"/>
  <c r="AD4934" i="1" s="1"/>
  <c r="AB4934" i="1" s="1"/>
  <c r="AC4936" i="1"/>
  <c r="AD4936" i="1" s="1"/>
  <c r="AB4936" i="1" s="1"/>
  <c r="AC4939" i="1"/>
  <c r="AD4939" i="1" s="1"/>
  <c r="AB4939" i="1" s="1"/>
  <c r="AC4938" i="1"/>
  <c r="AD4938" i="1" s="1"/>
  <c r="AB4938" i="1" s="1"/>
  <c r="AC4671" i="1"/>
  <c r="AC4915" i="1"/>
  <c r="AD4915" i="1" s="1"/>
  <c r="AB4915" i="1" s="1"/>
  <c r="AC4916" i="1"/>
  <c r="AD4916" i="1" s="1"/>
  <c r="AB4916" i="1" s="1"/>
  <c r="AC4913" i="1"/>
  <c r="AD4913" i="1" s="1"/>
  <c r="AC4914" i="1"/>
  <c r="AD4914" i="1" s="1"/>
  <c r="AB4914" i="1" s="1"/>
  <c r="AC4897" i="1"/>
  <c r="AD4897" i="1" s="1"/>
  <c r="AB4897" i="1" s="1"/>
  <c r="AC4891" i="1"/>
  <c r="AD4891" i="1" s="1"/>
  <c r="AB4891" i="1" s="1"/>
  <c r="AC4892" i="1"/>
  <c r="AD4892" i="1" s="1"/>
  <c r="AB4892" i="1" s="1"/>
  <c r="AC4889" i="1"/>
  <c r="AD4889" i="1" s="1"/>
  <c r="AB4889" i="1" s="1"/>
  <c r="AC4895" i="1"/>
  <c r="AD4895" i="1" s="1"/>
  <c r="AC4899" i="1"/>
  <c r="AD4899" i="1" s="1"/>
  <c r="AB4899" i="1" s="1"/>
  <c r="AC4888" i="1"/>
  <c r="AD4888" i="1" s="1"/>
  <c r="AC4896" i="1"/>
  <c r="AD4896" i="1" s="1"/>
  <c r="AB4896" i="1" s="1"/>
  <c r="AC4890" i="1"/>
  <c r="AD4890" i="1" s="1"/>
  <c r="AB4890" i="1" s="1"/>
  <c r="AC4898" i="1"/>
  <c r="AD4898" i="1" s="1"/>
  <c r="AB4898" i="1" s="1"/>
  <c r="AC4900" i="1"/>
  <c r="AD4900" i="1" s="1"/>
  <c r="AB4900" i="1" s="1"/>
  <c r="AC4903" i="1"/>
  <c r="AD4903" i="1" s="1"/>
  <c r="AB4903" i="1" s="1"/>
  <c r="AC4910" i="1"/>
  <c r="AD4910" i="1" s="1"/>
  <c r="AB4910" i="1" s="1"/>
  <c r="AC4904" i="1"/>
  <c r="AD4904" i="1" s="1"/>
  <c r="AB4904" i="1" s="1"/>
  <c r="AC4906" i="1"/>
  <c r="AD4906" i="1" s="1"/>
  <c r="AB4906" i="1" s="1"/>
  <c r="AC4908" i="1"/>
  <c r="AD4908" i="1" s="1"/>
  <c r="AB4908" i="1" s="1"/>
  <c r="AC4905" i="1"/>
  <c r="AD4905" i="1" s="1"/>
  <c r="AB4905" i="1" s="1"/>
  <c r="AC4909" i="1"/>
  <c r="AD4909" i="1" s="1"/>
  <c r="AB4909" i="1" s="1"/>
  <c r="AC4907" i="1"/>
  <c r="AD4907" i="1" s="1"/>
  <c r="AB4907" i="1" s="1"/>
  <c r="AC4902" i="1"/>
  <c r="AD4902" i="1" s="1"/>
  <c r="AC4885" i="1"/>
  <c r="AD4885" i="1" s="1"/>
  <c r="AB4885" i="1" s="1"/>
  <c r="AC4884" i="1"/>
  <c r="AD4884" i="1" s="1"/>
  <c r="AB4884" i="1" s="1"/>
  <c r="AC4883" i="1"/>
  <c r="AD4883" i="1" s="1"/>
  <c r="AC4886" i="1"/>
  <c r="AD4886" i="1" s="1"/>
  <c r="AB4886" i="1" s="1"/>
  <c r="AC4873" i="1"/>
  <c r="AD4873" i="1" s="1"/>
  <c r="AB4873" i="1" s="1"/>
  <c r="AC4876" i="1"/>
  <c r="AD4876" i="1" s="1"/>
  <c r="AB4876" i="1" s="1"/>
  <c r="AC4878" i="1"/>
  <c r="AD4878" i="1" s="1"/>
  <c r="AB4878" i="1" s="1"/>
  <c r="AC4880" i="1"/>
  <c r="AD4880" i="1" s="1"/>
  <c r="AB4880" i="1" s="1"/>
  <c r="AC4872" i="1"/>
  <c r="AD4872" i="1" s="1"/>
  <c r="AC4875" i="1"/>
  <c r="AD4875" i="1" s="1"/>
  <c r="AB4875" i="1" s="1"/>
  <c r="AC4877" i="1"/>
  <c r="AD4877" i="1" s="1"/>
  <c r="AB4877" i="1" s="1"/>
  <c r="AC4879" i="1"/>
  <c r="AD4879" i="1" s="1"/>
  <c r="AB4879" i="1" s="1"/>
  <c r="AC4874" i="1"/>
  <c r="AD4874" i="1" s="1"/>
  <c r="AB4874" i="1" s="1"/>
  <c r="AC4855" i="1"/>
  <c r="AD4855" i="1" s="1"/>
  <c r="AB4855" i="1" s="1"/>
  <c r="AC4856" i="1"/>
  <c r="AD4856" i="1" s="1"/>
  <c r="AB4856" i="1" s="1"/>
  <c r="AC4853" i="1"/>
  <c r="AD4853" i="1" s="1"/>
  <c r="AC4854" i="1"/>
  <c r="AD4854" i="1" s="1"/>
  <c r="AB4854" i="1" s="1"/>
  <c r="AC4867" i="1"/>
  <c r="AD4867" i="1" s="1"/>
  <c r="AB4867" i="1" s="1"/>
  <c r="AC4861" i="1"/>
  <c r="AD4861" i="1" s="1"/>
  <c r="AB4861" i="1" s="1"/>
  <c r="AC4860" i="1"/>
  <c r="AD4860" i="1" s="1"/>
  <c r="AB4860" i="1" s="1"/>
  <c r="AC4868" i="1"/>
  <c r="AD4868" i="1" s="1"/>
  <c r="AB4868" i="1" s="1"/>
  <c r="AC4859" i="1"/>
  <c r="AD4859" i="1" s="1"/>
  <c r="AB4859" i="1" s="1"/>
  <c r="AC4866" i="1"/>
  <c r="AD4866" i="1" s="1"/>
  <c r="AB4866" i="1" s="1"/>
  <c r="AC4870" i="1"/>
  <c r="AD4870" i="1" s="1"/>
  <c r="AB4870" i="1" s="1"/>
  <c r="AC4865" i="1"/>
  <c r="AD4865" i="1" s="1"/>
  <c r="AC4869" i="1"/>
  <c r="AD4869" i="1" s="1"/>
  <c r="AB4869" i="1" s="1"/>
  <c r="AC4858" i="1"/>
  <c r="AD4858" i="1" s="1"/>
  <c r="AC4862" i="1"/>
  <c r="AD4862" i="1" s="1"/>
  <c r="AB4862" i="1" s="1"/>
  <c r="AC4836" i="1"/>
  <c r="AD4836" i="1" s="1"/>
  <c r="AB4836" i="1" s="1"/>
  <c r="AC4830" i="1"/>
  <c r="AD4830" i="1" s="1"/>
  <c r="AB4830" i="1" s="1"/>
  <c r="AC4832" i="1"/>
  <c r="AD4832" i="1" s="1"/>
  <c r="AB4832" i="1" s="1"/>
  <c r="AC4840" i="1"/>
  <c r="AD4840" i="1" s="1"/>
  <c r="AB4840" i="1" s="1"/>
  <c r="AC4835" i="1"/>
  <c r="AD4835" i="1" s="1"/>
  <c r="AC4829" i="1"/>
  <c r="AD4829" i="1" s="1"/>
  <c r="AB4829" i="1" s="1"/>
  <c r="AC4839" i="1"/>
  <c r="AD4839" i="1" s="1"/>
  <c r="AB4839" i="1" s="1"/>
  <c r="AC4828" i="1"/>
  <c r="AD4828" i="1" s="1"/>
  <c r="AC4838" i="1"/>
  <c r="AD4838" i="1" s="1"/>
  <c r="AB4838" i="1" s="1"/>
  <c r="AC4837" i="1"/>
  <c r="AD4837" i="1" s="1"/>
  <c r="AB4837" i="1" s="1"/>
  <c r="AC4831" i="1"/>
  <c r="AD4831" i="1" s="1"/>
  <c r="AB4831" i="1" s="1"/>
  <c r="AC4847" i="1"/>
  <c r="AD4847" i="1" s="1"/>
  <c r="AB4847" i="1" s="1"/>
  <c r="AC4849" i="1"/>
  <c r="AD4849" i="1" s="1"/>
  <c r="AB4849" i="1" s="1"/>
  <c r="AC4842" i="1"/>
  <c r="AD4842" i="1" s="1"/>
  <c r="AC4844" i="1"/>
  <c r="AD4844" i="1" s="1"/>
  <c r="AB4844" i="1" s="1"/>
  <c r="AC4848" i="1"/>
  <c r="AD4848" i="1" s="1"/>
  <c r="AB4848" i="1" s="1"/>
  <c r="AC4850" i="1"/>
  <c r="AD4850" i="1" s="1"/>
  <c r="AB4850" i="1" s="1"/>
  <c r="AC4843" i="1"/>
  <c r="AD4843" i="1" s="1"/>
  <c r="AB4843" i="1" s="1"/>
  <c r="AC4845" i="1"/>
  <c r="AD4845" i="1" s="1"/>
  <c r="AB4845" i="1" s="1"/>
  <c r="AC4846" i="1"/>
  <c r="AD4846" i="1" s="1"/>
  <c r="AB4846" i="1" s="1"/>
  <c r="AC4825" i="1"/>
  <c r="AD4825" i="1" s="1"/>
  <c r="AB4825" i="1" s="1"/>
  <c r="AC4826" i="1"/>
  <c r="AD4826" i="1" s="1"/>
  <c r="AB4826" i="1" s="1"/>
  <c r="AC4823" i="1"/>
  <c r="AD4823" i="1" s="1"/>
  <c r="AC4824" i="1"/>
  <c r="AD4824" i="1" s="1"/>
  <c r="AB4824" i="1" s="1"/>
  <c r="AC4821" i="1"/>
  <c r="N4821" i="1"/>
  <c r="AC4818" i="1"/>
  <c r="AD4818" i="1" s="1"/>
  <c r="AB4818" i="1" s="1"/>
  <c r="AC4820" i="1"/>
  <c r="AD4820" i="1" s="1"/>
  <c r="AB4820" i="1" s="1"/>
  <c r="AC4813" i="1"/>
  <c r="AD4813" i="1" s="1"/>
  <c r="AB4813" i="1" s="1"/>
  <c r="AC4815" i="1"/>
  <c r="AD4815" i="1" s="1"/>
  <c r="AB4815" i="1" s="1"/>
  <c r="AC4817" i="1"/>
  <c r="AD4817" i="1" s="1"/>
  <c r="AB4817" i="1" s="1"/>
  <c r="AC4819" i="1"/>
  <c r="AD4819" i="1" s="1"/>
  <c r="AB4819" i="1" s="1"/>
  <c r="AC4812" i="1"/>
  <c r="AD4812" i="1" s="1"/>
  <c r="AC4814" i="1"/>
  <c r="AD4814" i="1" s="1"/>
  <c r="AB4814" i="1" s="1"/>
  <c r="AC4816" i="1"/>
  <c r="AD4816" i="1" s="1"/>
  <c r="AB4816" i="1" s="1"/>
  <c r="AC4793" i="1"/>
  <c r="AD4793" i="1" s="1"/>
  <c r="AC4795" i="1"/>
  <c r="AD4795" i="1" s="1"/>
  <c r="AB4795" i="1" s="1"/>
  <c r="AC4796" i="1"/>
  <c r="AD4796" i="1" s="1"/>
  <c r="AB4796" i="1" s="1"/>
  <c r="AC4794" i="1"/>
  <c r="AD4794" i="1" s="1"/>
  <c r="AB4794" i="1" s="1"/>
  <c r="AC4807" i="1"/>
  <c r="AD4807" i="1" s="1"/>
  <c r="AB4807" i="1" s="1"/>
  <c r="AC4801" i="1"/>
  <c r="AD4801" i="1" s="1"/>
  <c r="AB4801" i="1" s="1"/>
  <c r="AC4809" i="1"/>
  <c r="AD4809" i="1" s="1"/>
  <c r="AB4809" i="1" s="1"/>
  <c r="AC4798" i="1"/>
  <c r="AD4798" i="1" s="1"/>
  <c r="AC4806" i="1"/>
  <c r="AD4806" i="1" s="1"/>
  <c r="AB4806" i="1" s="1"/>
  <c r="AC4800" i="1"/>
  <c r="AD4800" i="1" s="1"/>
  <c r="AB4800" i="1" s="1"/>
  <c r="AC4799" i="1"/>
  <c r="AD4799" i="1" s="1"/>
  <c r="AB4799" i="1" s="1"/>
  <c r="AC4802" i="1"/>
  <c r="AD4802" i="1" s="1"/>
  <c r="AB4802" i="1" s="1"/>
  <c r="AC4810" i="1"/>
  <c r="AD4810" i="1" s="1"/>
  <c r="AB4810" i="1" s="1"/>
  <c r="AC4805" i="1"/>
  <c r="AD4805" i="1" s="1"/>
  <c r="AC4808" i="1"/>
  <c r="AD4808" i="1" s="1"/>
  <c r="AB4808" i="1" s="1"/>
  <c r="AC4777" i="1"/>
  <c r="AD4777" i="1" s="1"/>
  <c r="AB4777" i="1" s="1"/>
  <c r="AC4771" i="1"/>
  <c r="AD4771" i="1" s="1"/>
  <c r="AB4771" i="1" s="1"/>
  <c r="AC4779" i="1"/>
  <c r="AD4779" i="1" s="1"/>
  <c r="AB4779" i="1" s="1"/>
  <c r="AC4768" i="1"/>
  <c r="AD4768" i="1" s="1"/>
  <c r="AC4776" i="1"/>
  <c r="AD4776" i="1" s="1"/>
  <c r="AB4776" i="1" s="1"/>
  <c r="AC4770" i="1"/>
  <c r="AD4770" i="1" s="1"/>
  <c r="AB4770" i="1" s="1"/>
  <c r="AC4772" i="1"/>
  <c r="AD4772" i="1" s="1"/>
  <c r="AB4772" i="1" s="1"/>
  <c r="AC4780" i="1"/>
  <c r="AD4780" i="1" s="1"/>
  <c r="AB4780" i="1" s="1"/>
  <c r="AC4775" i="1"/>
  <c r="AD4775" i="1" s="1"/>
  <c r="AC4778" i="1"/>
  <c r="AD4778" i="1" s="1"/>
  <c r="AB4778" i="1" s="1"/>
  <c r="AC4769" i="1"/>
  <c r="AD4769" i="1" s="1"/>
  <c r="AB4769" i="1" s="1"/>
  <c r="AC4783" i="1"/>
  <c r="AD4783" i="1" s="1"/>
  <c r="AB4783" i="1" s="1"/>
  <c r="AC4785" i="1"/>
  <c r="AD4785" i="1" s="1"/>
  <c r="AB4785" i="1" s="1"/>
  <c r="AC4787" i="1"/>
  <c r="AD4787" i="1" s="1"/>
  <c r="AB4787" i="1" s="1"/>
  <c r="AC4782" i="1"/>
  <c r="AD4782" i="1" s="1"/>
  <c r="AC4789" i="1"/>
  <c r="AD4789" i="1" s="1"/>
  <c r="AB4789" i="1" s="1"/>
  <c r="AC4784" i="1"/>
  <c r="AD4784" i="1" s="1"/>
  <c r="AB4784" i="1" s="1"/>
  <c r="AC4790" i="1"/>
  <c r="AD4790" i="1" s="1"/>
  <c r="AB4790" i="1" s="1"/>
  <c r="AC4788" i="1"/>
  <c r="AD4788" i="1" s="1"/>
  <c r="AB4788" i="1" s="1"/>
  <c r="AC4786" i="1"/>
  <c r="AD4786" i="1" s="1"/>
  <c r="AB4786" i="1" s="1"/>
  <c r="AC4765" i="1"/>
  <c r="AD4765" i="1" s="1"/>
  <c r="AB4765" i="1" s="1"/>
  <c r="AC4764" i="1"/>
  <c r="AD4764" i="1" s="1"/>
  <c r="AB4764" i="1" s="1"/>
  <c r="AC4763" i="1"/>
  <c r="AD4763" i="1" s="1"/>
  <c r="AC4766" i="1"/>
  <c r="AD4766" i="1" s="1"/>
  <c r="AB4766" i="1" s="1"/>
  <c r="AC4749" i="1"/>
  <c r="AD4749" i="1" s="1"/>
  <c r="AB4749" i="1" s="1"/>
  <c r="AC4738" i="1"/>
  <c r="AD4738" i="1" s="1"/>
  <c r="AC4746" i="1"/>
  <c r="AD4746" i="1" s="1"/>
  <c r="AB4746" i="1" s="1"/>
  <c r="AC4740" i="1"/>
  <c r="AD4740" i="1" s="1"/>
  <c r="AB4740" i="1" s="1"/>
  <c r="AC4742" i="1"/>
  <c r="AD4742" i="1" s="1"/>
  <c r="AB4742" i="1" s="1"/>
  <c r="AC4748" i="1"/>
  <c r="AD4748" i="1" s="1"/>
  <c r="AB4748" i="1" s="1"/>
  <c r="AC4750" i="1"/>
  <c r="AD4750" i="1" s="1"/>
  <c r="AB4750" i="1" s="1"/>
  <c r="AC4745" i="1"/>
  <c r="AD4745" i="1" s="1"/>
  <c r="AC4741" i="1"/>
  <c r="AD4741" i="1" s="1"/>
  <c r="AB4741" i="1" s="1"/>
  <c r="AC4747" i="1"/>
  <c r="AD4747" i="1" s="1"/>
  <c r="AB4747" i="1" s="1"/>
  <c r="AC4739" i="1"/>
  <c r="AD4739" i="1" s="1"/>
  <c r="AB4739" i="1" s="1"/>
  <c r="AC4734" i="1"/>
  <c r="AD4734" i="1" s="1"/>
  <c r="AB4734" i="1" s="1"/>
  <c r="AC4736" i="1"/>
  <c r="AD4736" i="1" s="1"/>
  <c r="AB4736" i="1" s="1"/>
  <c r="AC4735" i="1"/>
  <c r="AD4735" i="1" s="1"/>
  <c r="AB4735" i="1" s="1"/>
  <c r="AC4733" i="1"/>
  <c r="AD4733" i="1" s="1"/>
  <c r="AC4755" i="1"/>
  <c r="AD4755" i="1" s="1"/>
  <c r="AB4755" i="1" s="1"/>
  <c r="AC4757" i="1"/>
  <c r="AD4757" i="1" s="1"/>
  <c r="AB4757" i="1" s="1"/>
  <c r="AC4752" i="1"/>
  <c r="AD4752" i="1" s="1"/>
  <c r="AC4759" i="1"/>
  <c r="AD4759" i="1" s="1"/>
  <c r="AB4759" i="1" s="1"/>
  <c r="AC4754" i="1"/>
  <c r="AD4754" i="1" s="1"/>
  <c r="AB4754" i="1" s="1"/>
  <c r="AC4756" i="1"/>
  <c r="AD4756" i="1" s="1"/>
  <c r="AB4756" i="1" s="1"/>
  <c r="AC4760" i="1"/>
  <c r="AD4760" i="1" s="1"/>
  <c r="AB4760" i="1" s="1"/>
  <c r="AC4753" i="1"/>
  <c r="AD4753" i="1" s="1"/>
  <c r="AB4753" i="1" s="1"/>
  <c r="AC4758" i="1"/>
  <c r="AD4758" i="1" s="1"/>
  <c r="AB4758" i="1" s="1"/>
  <c r="N4731" i="1"/>
  <c r="AC4731" i="1"/>
  <c r="AC4717" i="1"/>
  <c r="AD4717" i="1" s="1"/>
  <c r="AB4717" i="1" s="1"/>
  <c r="AC4711" i="1"/>
  <c r="AD4711" i="1" s="1"/>
  <c r="AB4711" i="1" s="1"/>
  <c r="AC4710" i="1"/>
  <c r="AD4710" i="1" s="1"/>
  <c r="AB4710" i="1" s="1"/>
  <c r="AC4712" i="1"/>
  <c r="AD4712" i="1" s="1"/>
  <c r="AB4712" i="1" s="1"/>
  <c r="AC4720" i="1"/>
  <c r="AD4720" i="1" s="1"/>
  <c r="AB4720" i="1" s="1"/>
  <c r="AC4719" i="1"/>
  <c r="AD4719" i="1" s="1"/>
  <c r="AB4719" i="1" s="1"/>
  <c r="AC4708" i="1"/>
  <c r="AD4708" i="1" s="1"/>
  <c r="AC4716" i="1"/>
  <c r="AD4716" i="1" s="1"/>
  <c r="AB4716" i="1" s="1"/>
  <c r="AC4718" i="1"/>
  <c r="AD4718" i="1" s="1"/>
  <c r="AB4718" i="1" s="1"/>
  <c r="AC4715" i="1"/>
  <c r="AD4715" i="1" s="1"/>
  <c r="AC4709" i="1"/>
  <c r="AD4709" i="1" s="1"/>
  <c r="AB4709" i="1" s="1"/>
  <c r="N9152" i="1"/>
  <c r="AC4705" i="1"/>
  <c r="AD4705" i="1" s="1"/>
  <c r="AB4705" i="1" s="1"/>
  <c r="AC4704" i="1"/>
  <c r="AD4704" i="1" s="1"/>
  <c r="AB4704" i="1" s="1"/>
  <c r="AC4706" i="1"/>
  <c r="AD4706" i="1" s="1"/>
  <c r="AB4706" i="1" s="1"/>
  <c r="AC4703" i="1"/>
  <c r="AD4703" i="1" s="1"/>
  <c r="AC4723" i="1"/>
  <c r="AD4723" i="1" s="1"/>
  <c r="AB4723" i="1" s="1"/>
  <c r="AC4727" i="1"/>
  <c r="AD4727" i="1" s="1"/>
  <c r="AB4727" i="1" s="1"/>
  <c r="AC4724" i="1"/>
  <c r="AD4724" i="1" s="1"/>
  <c r="AB4724" i="1" s="1"/>
  <c r="AC4728" i="1"/>
  <c r="AD4728" i="1" s="1"/>
  <c r="AB4728" i="1" s="1"/>
  <c r="AC4730" i="1"/>
  <c r="AD4730" i="1" s="1"/>
  <c r="AB4730" i="1" s="1"/>
  <c r="AC4725" i="1"/>
  <c r="AD4725" i="1" s="1"/>
  <c r="AB4725" i="1" s="1"/>
  <c r="AC4722" i="1"/>
  <c r="AD4722" i="1" s="1"/>
  <c r="AC4729" i="1"/>
  <c r="AD4729" i="1" s="1"/>
  <c r="AB4729" i="1" s="1"/>
  <c r="AC4726" i="1"/>
  <c r="AD4726" i="1" s="1"/>
  <c r="AB4726" i="1" s="1"/>
  <c r="AC4701" i="1"/>
  <c r="N4701" i="1"/>
  <c r="AC4693" i="1"/>
  <c r="AD4693" i="1" s="1"/>
  <c r="AB4693" i="1" s="1"/>
  <c r="AC4700" i="1"/>
  <c r="AD4700" i="1" s="1"/>
  <c r="AB4700" i="1" s="1"/>
  <c r="AC4692" i="1"/>
  <c r="AD4692" i="1" s="1"/>
  <c r="AC4699" i="1"/>
  <c r="AD4699" i="1" s="1"/>
  <c r="AB4699" i="1" s="1"/>
  <c r="AC4698" i="1"/>
  <c r="AD4698" i="1" s="1"/>
  <c r="AB4698" i="1" s="1"/>
  <c r="AC4695" i="1"/>
  <c r="AD4695" i="1" s="1"/>
  <c r="AB4695" i="1" s="1"/>
  <c r="AC4697" i="1"/>
  <c r="AD4697" i="1" s="1"/>
  <c r="AB4697" i="1" s="1"/>
  <c r="AC4694" i="1"/>
  <c r="AD4694" i="1" s="1"/>
  <c r="AB4694" i="1" s="1"/>
  <c r="AC4696" i="1"/>
  <c r="AD4696" i="1" s="1"/>
  <c r="AB4696" i="1" s="1"/>
  <c r="AC4687" i="1"/>
  <c r="AD4687" i="1" s="1"/>
  <c r="AB4687" i="1" s="1"/>
  <c r="AC4681" i="1"/>
  <c r="AD4681" i="1" s="1"/>
  <c r="AB4681" i="1" s="1"/>
  <c r="AC4685" i="1"/>
  <c r="AD4685" i="1" s="1"/>
  <c r="AC4678" i="1"/>
  <c r="AD4678" i="1" s="1"/>
  <c r="AC4686" i="1"/>
  <c r="AD4686" i="1" s="1"/>
  <c r="AB4686" i="1" s="1"/>
  <c r="AC4680" i="1"/>
  <c r="AD4680" i="1" s="1"/>
  <c r="AB4680" i="1" s="1"/>
  <c r="AC4679" i="1"/>
  <c r="AD4679" i="1" s="1"/>
  <c r="AB4679" i="1" s="1"/>
  <c r="AC4689" i="1"/>
  <c r="AD4689" i="1" s="1"/>
  <c r="AB4689" i="1" s="1"/>
  <c r="AC4682" i="1"/>
  <c r="AD4682" i="1" s="1"/>
  <c r="AB4682" i="1" s="1"/>
  <c r="AC4688" i="1"/>
  <c r="AD4688" i="1" s="1"/>
  <c r="AB4688" i="1" s="1"/>
  <c r="AC4690" i="1"/>
  <c r="AD4690" i="1" s="1"/>
  <c r="AB4690" i="1" s="1"/>
  <c r="N9092" i="1"/>
  <c r="AC4675" i="1"/>
  <c r="AD4675" i="1" s="1"/>
  <c r="AB4675" i="1" s="1"/>
  <c r="AC4674" i="1"/>
  <c r="AD4674" i="1" s="1"/>
  <c r="AB4674" i="1" s="1"/>
  <c r="AC4676" i="1"/>
  <c r="AD4676" i="1" s="1"/>
  <c r="AB4676" i="1" s="1"/>
  <c r="AC4673" i="1"/>
  <c r="AD4673" i="1" s="1"/>
  <c r="AC128" i="1"/>
  <c r="AD128" i="1" s="1"/>
  <c r="AB128" i="1" s="1"/>
  <c r="AC129" i="1"/>
  <c r="AD129" i="1" s="1"/>
  <c r="AB129" i="1" s="1"/>
  <c r="AC9168" i="1"/>
  <c r="AD9168" i="1" s="1"/>
  <c r="AB9168" i="1" s="1"/>
  <c r="AC9162" i="1"/>
  <c r="AD9162" i="1" s="1"/>
  <c r="AB9162" i="1" s="1"/>
  <c r="AC9171" i="1"/>
  <c r="AD9171" i="1" s="1"/>
  <c r="AB9171" i="1" s="1"/>
  <c r="AC9170" i="1"/>
  <c r="AD9170" i="1" s="1"/>
  <c r="AB9170" i="1" s="1"/>
  <c r="AC9159" i="1"/>
  <c r="AD9159" i="1" s="1"/>
  <c r="AC9167" i="1"/>
  <c r="AD9167" i="1" s="1"/>
  <c r="AB9167" i="1" s="1"/>
  <c r="AC9161" i="1"/>
  <c r="AD9161" i="1" s="1"/>
  <c r="AB9161" i="1" s="1"/>
  <c r="AC9163" i="1"/>
  <c r="AD9163" i="1" s="1"/>
  <c r="AB9163" i="1" s="1"/>
  <c r="AC9169" i="1"/>
  <c r="AD9169" i="1" s="1"/>
  <c r="AB9169" i="1" s="1"/>
  <c r="AC9166" i="1"/>
  <c r="AD9166" i="1" s="1"/>
  <c r="AC9160" i="1"/>
  <c r="AD9160" i="1" s="1"/>
  <c r="AB9160" i="1" s="1"/>
  <c r="N9024" i="1"/>
  <c r="AC9174" i="1"/>
  <c r="AD9174" i="1" s="1"/>
  <c r="AB9174" i="1" s="1"/>
  <c r="AC9181" i="1"/>
  <c r="AD9181" i="1" s="1"/>
  <c r="AB9181" i="1" s="1"/>
  <c r="AC9180" i="1"/>
  <c r="AD9180" i="1" s="1"/>
  <c r="AB9180" i="1" s="1"/>
  <c r="AC9177" i="1"/>
  <c r="AD9177" i="1" s="1"/>
  <c r="AB9177" i="1" s="1"/>
  <c r="AC9179" i="1"/>
  <c r="AD9179" i="1" s="1"/>
  <c r="AB9179" i="1" s="1"/>
  <c r="AC9176" i="1"/>
  <c r="AD9176" i="1" s="1"/>
  <c r="AB9176" i="1" s="1"/>
  <c r="AC9178" i="1"/>
  <c r="AD9178" i="1" s="1"/>
  <c r="AB9178" i="1" s="1"/>
  <c r="AC9173" i="1"/>
  <c r="AD9173" i="1" s="1"/>
  <c r="AC9175" i="1"/>
  <c r="AD9175" i="1" s="1"/>
  <c r="AB9175" i="1" s="1"/>
  <c r="AC9062" i="1"/>
  <c r="AC9156" i="1"/>
  <c r="AD9156" i="1" s="1"/>
  <c r="AB9156" i="1" s="1"/>
  <c r="AC9157" i="1"/>
  <c r="AD9157" i="1" s="1"/>
  <c r="AB9157" i="1" s="1"/>
  <c r="AC9155" i="1"/>
  <c r="AD9155" i="1" s="1"/>
  <c r="AB9155" i="1" s="1"/>
  <c r="AC9154" i="1"/>
  <c r="AD9154" i="1" s="1"/>
  <c r="N8934" i="1"/>
  <c r="AC9144" i="1"/>
  <c r="AD9144" i="1" s="1"/>
  <c r="AB9144" i="1" s="1"/>
  <c r="AC9151" i="1"/>
  <c r="AD9151" i="1" s="1"/>
  <c r="AB9151" i="1" s="1"/>
  <c r="AC9146" i="1"/>
  <c r="AD9146" i="1" s="1"/>
  <c r="AB9146" i="1" s="1"/>
  <c r="AC9148" i="1"/>
  <c r="AD9148" i="1" s="1"/>
  <c r="AB9148" i="1" s="1"/>
  <c r="AC9143" i="1"/>
  <c r="AD9143" i="1" s="1"/>
  <c r="AC9150" i="1"/>
  <c r="AD9150" i="1" s="1"/>
  <c r="AB9150" i="1" s="1"/>
  <c r="AC9145" i="1"/>
  <c r="AD9145" i="1" s="1"/>
  <c r="AB9145" i="1" s="1"/>
  <c r="AC9147" i="1"/>
  <c r="AD9147" i="1" s="1"/>
  <c r="AB9147" i="1" s="1"/>
  <c r="AC9149" i="1"/>
  <c r="AD9149" i="1" s="1"/>
  <c r="AB9149" i="1" s="1"/>
  <c r="AC9126" i="1"/>
  <c r="AD9126" i="1" s="1"/>
  <c r="AB9126" i="1" s="1"/>
  <c r="AC9125" i="1"/>
  <c r="AD9125" i="1" s="1"/>
  <c r="AB9125" i="1" s="1"/>
  <c r="AC9127" i="1"/>
  <c r="AD9127" i="1" s="1"/>
  <c r="AB9127" i="1" s="1"/>
  <c r="AC9124" i="1"/>
  <c r="AD9124" i="1" s="1"/>
  <c r="AC9138" i="1"/>
  <c r="AD9138" i="1" s="1"/>
  <c r="AB9138" i="1" s="1"/>
  <c r="AC9132" i="1"/>
  <c r="AD9132" i="1" s="1"/>
  <c r="AB9132" i="1" s="1"/>
  <c r="AC9131" i="1"/>
  <c r="AD9131" i="1" s="1"/>
  <c r="AB9131" i="1" s="1"/>
  <c r="AC9136" i="1"/>
  <c r="AD9136" i="1" s="1"/>
  <c r="AC9130" i="1"/>
  <c r="AD9130" i="1" s="1"/>
  <c r="AB9130" i="1" s="1"/>
  <c r="AC9140" i="1"/>
  <c r="AD9140" i="1" s="1"/>
  <c r="AB9140" i="1" s="1"/>
  <c r="AC9129" i="1"/>
  <c r="AD9129" i="1" s="1"/>
  <c r="AC9137" i="1"/>
  <c r="AD9137" i="1" s="1"/>
  <c r="AB9137" i="1" s="1"/>
  <c r="AC9133" i="1"/>
  <c r="AD9133" i="1" s="1"/>
  <c r="AB9133" i="1" s="1"/>
  <c r="AC9139" i="1"/>
  <c r="AD9139" i="1" s="1"/>
  <c r="AB9139" i="1" s="1"/>
  <c r="AC9141" i="1"/>
  <c r="AD9141" i="1" s="1"/>
  <c r="AB9141" i="1" s="1"/>
  <c r="N9122" i="1"/>
  <c r="AC9122" i="1"/>
  <c r="AC9114" i="1"/>
  <c r="AD9114" i="1" s="1"/>
  <c r="AB9114" i="1" s="1"/>
  <c r="AC9118" i="1"/>
  <c r="AD9118" i="1" s="1"/>
  <c r="AB9118" i="1" s="1"/>
  <c r="AC9121" i="1"/>
  <c r="AD9121" i="1" s="1"/>
  <c r="AB9121" i="1" s="1"/>
  <c r="AC9116" i="1"/>
  <c r="AD9116" i="1" s="1"/>
  <c r="AB9116" i="1" s="1"/>
  <c r="AC9113" i="1"/>
  <c r="AD9113" i="1" s="1"/>
  <c r="AC9120" i="1"/>
  <c r="AD9120" i="1" s="1"/>
  <c r="AB9120" i="1" s="1"/>
  <c r="AC9117" i="1"/>
  <c r="AD9117" i="1" s="1"/>
  <c r="AB9117" i="1" s="1"/>
  <c r="AC9119" i="1"/>
  <c r="AD9119" i="1" s="1"/>
  <c r="AB9119" i="1" s="1"/>
  <c r="AC9115" i="1"/>
  <c r="AD9115" i="1" s="1"/>
  <c r="AB9115" i="1" s="1"/>
  <c r="AC9108" i="1"/>
  <c r="AD9108" i="1" s="1"/>
  <c r="AB9108" i="1" s="1"/>
  <c r="AC9102" i="1"/>
  <c r="AD9102" i="1" s="1"/>
  <c r="AB9102" i="1" s="1"/>
  <c r="AC9110" i="1"/>
  <c r="AD9110" i="1" s="1"/>
  <c r="AB9110" i="1" s="1"/>
  <c r="AC9099" i="1"/>
  <c r="AD9099" i="1" s="1"/>
  <c r="AC9107" i="1"/>
  <c r="AD9107" i="1" s="1"/>
  <c r="AB9107" i="1" s="1"/>
  <c r="AC9101" i="1"/>
  <c r="AD9101" i="1" s="1"/>
  <c r="AB9101" i="1" s="1"/>
  <c r="AC9100" i="1"/>
  <c r="AD9100" i="1" s="1"/>
  <c r="AB9100" i="1" s="1"/>
  <c r="AC9106" i="1"/>
  <c r="AD9106" i="1" s="1"/>
  <c r="AC9103" i="1"/>
  <c r="AD9103" i="1" s="1"/>
  <c r="AB9103" i="1" s="1"/>
  <c r="AC9109" i="1"/>
  <c r="AD9109" i="1" s="1"/>
  <c r="AB9109" i="1" s="1"/>
  <c r="AC9111" i="1"/>
  <c r="AD9111" i="1" s="1"/>
  <c r="AB9111" i="1" s="1"/>
  <c r="AC9096" i="1"/>
  <c r="AD9096" i="1" s="1"/>
  <c r="AB9096" i="1" s="1"/>
  <c r="AC9095" i="1"/>
  <c r="AD9095" i="1" s="1"/>
  <c r="AB9095" i="1" s="1"/>
  <c r="AC9094" i="1"/>
  <c r="AD9094" i="1" s="1"/>
  <c r="AC9097" i="1"/>
  <c r="AD9097" i="1" s="1"/>
  <c r="AB9097" i="1" s="1"/>
  <c r="AC9080" i="1"/>
  <c r="AD9080" i="1" s="1"/>
  <c r="AB9080" i="1" s="1"/>
  <c r="AC9069" i="1"/>
  <c r="AD9069" i="1" s="1"/>
  <c r="AC9071" i="1"/>
  <c r="AD9071" i="1" s="1"/>
  <c r="AB9071" i="1" s="1"/>
  <c r="AC9073" i="1"/>
  <c r="AD9073" i="1" s="1"/>
  <c r="AB9073" i="1" s="1"/>
  <c r="AC9079" i="1"/>
  <c r="AD9079" i="1" s="1"/>
  <c r="AB9079" i="1" s="1"/>
  <c r="AC9070" i="1"/>
  <c r="AD9070" i="1" s="1"/>
  <c r="AB9070" i="1" s="1"/>
  <c r="AC9072" i="1"/>
  <c r="AD9072" i="1" s="1"/>
  <c r="AB9072" i="1" s="1"/>
  <c r="AC9076" i="1"/>
  <c r="AD9076" i="1" s="1"/>
  <c r="AC9077" i="1"/>
  <c r="AD9077" i="1" s="1"/>
  <c r="AB9077" i="1" s="1"/>
  <c r="AC9081" i="1"/>
  <c r="AD9081" i="1" s="1"/>
  <c r="AB9081" i="1" s="1"/>
  <c r="AC9078" i="1"/>
  <c r="AD9078" i="1" s="1"/>
  <c r="AB9078" i="1" s="1"/>
  <c r="AC9066" i="1"/>
  <c r="AD9066" i="1" s="1"/>
  <c r="AB9066" i="1" s="1"/>
  <c r="AC9067" i="1"/>
  <c r="AD9067" i="1" s="1"/>
  <c r="AB9067" i="1" s="1"/>
  <c r="AC9064" i="1"/>
  <c r="AD9064" i="1" s="1"/>
  <c r="AC9065" i="1"/>
  <c r="AD9065" i="1" s="1"/>
  <c r="AB9065" i="1" s="1"/>
  <c r="AC9084" i="1"/>
  <c r="AD9084" i="1" s="1"/>
  <c r="AB9084" i="1" s="1"/>
  <c r="AC9091" i="1"/>
  <c r="AD9091" i="1" s="1"/>
  <c r="AB9091" i="1" s="1"/>
  <c r="AC9086" i="1"/>
  <c r="AD9086" i="1" s="1"/>
  <c r="AB9086" i="1" s="1"/>
  <c r="AC9088" i="1"/>
  <c r="AD9088" i="1" s="1"/>
  <c r="AB9088" i="1" s="1"/>
  <c r="AC9085" i="1"/>
  <c r="AD9085" i="1" s="1"/>
  <c r="AB9085" i="1" s="1"/>
  <c r="AC9087" i="1"/>
  <c r="AD9087" i="1" s="1"/>
  <c r="AB9087" i="1" s="1"/>
  <c r="AC9083" i="1"/>
  <c r="AD9083" i="1" s="1"/>
  <c r="AC9089" i="1"/>
  <c r="AD9089" i="1" s="1"/>
  <c r="AB9089" i="1" s="1"/>
  <c r="AC9090" i="1"/>
  <c r="AD9090" i="1" s="1"/>
  <c r="AB9090" i="1" s="1"/>
  <c r="AC9046" i="1"/>
  <c r="AD9046" i="1" s="1"/>
  <c r="AB9046" i="1" s="1"/>
  <c r="AC9053" i="1"/>
  <c r="AD9053" i="1" s="1"/>
  <c r="AB9053" i="1" s="1"/>
  <c r="AC9048" i="1"/>
  <c r="AD9048" i="1" s="1"/>
  <c r="AB9048" i="1" s="1"/>
  <c r="AC9045" i="1"/>
  <c r="AD9045" i="1" s="1"/>
  <c r="AC9050" i="1"/>
  <c r="AD9050" i="1" s="1"/>
  <c r="AB9050" i="1" s="1"/>
  <c r="AC9052" i="1"/>
  <c r="AD9052" i="1" s="1"/>
  <c r="AB9052" i="1" s="1"/>
  <c r="AC9047" i="1"/>
  <c r="AD9047" i="1" s="1"/>
  <c r="AB9047" i="1" s="1"/>
  <c r="AC9049" i="1"/>
  <c r="AD9049" i="1" s="1"/>
  <c r="AB9049" i="1" s="1"/>
  <c r="AC9051" i="1"/>
  <c r="AD9051" i="1" s="1"/>
  <c r="AB9051" i="1" s="1"/>
  <c r="AC9040" i="1"/>
  <c r="AD9040" i="1" s="1"/>
  <c r="AB9040" i="1" s="1"/>
  <c r="AC9034" i="1"/>
  <c r="AD9034" i="1" s="1"/>
  <c r="AB9034" i="1" s="1"/>
  <c r="AC9038" i="1"/>
  <c r="AD9038" i="1" s="1"/>
  <c r="AC9039" i="1"/>
  <c r="AD9039" i="1" s="1"/>
  <c r="AB9039" i="1" s="1"/>
  <c r="AC9042" i="1"/>
  <c r="AD9042" i="1" s="1"/>
  <c r="AB9042" i="1" s="1"/>
  <c r="AC9031" i="1"/>
  <c r="AD9031" i="1" s="1"/>
  <c r="AC9033" i="1"/>
  <c r="AD9033" i="1" s="1"/>
  <c r="AB9033" i="1" s="1"/>
  <c r="AC9035" i="1"/>
  <c r="AD9035" i="1" s="1"/>
  <c r="AB9035" i="1" s="1"/>
  <c r="AC9041" i="1"/>
  <c r="AD9041" i="1" s="1"/>
  <c r="AB9041" i="1" s="1"/>
  <c r="AC9043" i="1"/>
  <c r="AD9043" i="1" s="1"/>
  <c r="AB9043" i="1" s="1"/>
  <c r="AC9032" i="1"/>
  <c r="AD9032" i="1" s="1"/>
  <c r="AB9032" i="1" s="1"/>
  <c r="AC9028" i="1"/>
  <c r="AD9028" i="1" s="1"/>
  <c r="AB9028" i="1" s="1"/>
  <c r="AC9027" i="1"/>
  <c r="AD9027" i="1" s="1"/>
  <c r="AB9027" i="1" s="1"/>
  <c r="AC9029" i="1"/>
  <c r="AD9029" i="1" s="1"/>
  <c r="AB9029" i="1" s="1"/>
  <c r="AC9026" i="1"/>
  <c r="AD9026" i="1" s="1"/>
  <c r="AC9016" i="1"/>
  <c r="AD9016" i="1" s="1"/>
  <c r="AB9016" i="1" s="1"/>
  <c r="AC9023" i="1"/>
  <c r="AD9023" i="1" s="1"/>
  <c r="AB9023" i="1" s="1"/>
  <c r="AC9019" i="1"/>
  <c r="AD9019" i="1" s="1"/>
  <c r="AB9019" i="1" s="1"/>
  <c r="AC9018" i="1"/>
  <c r="AD9018" i="1" s="1"/>
  <c r="AB9018" i="1" s="1"/>
  <c r="AC9020" i="1"/>
  <c r="AD9020" i="1" s="1"/>
  <c r="AB9020" i="1" s="1"/>
  <c r="AC9015" i="1"/>
  <c r="AD9015" i="1" s="1"/>
  <c r="AC9017" i="1"/>
  <c r="AD9017" i="1" s="1"/>
  <c r="AB9017" i="1" s="1"/>
  <c r="AC9021" i="1"/>
  <c r="AD9021" i="1" s="1"/>
  <c r="AB9021" i="1" s="1"/>
  <c r="AC9022" i="1"/>
  <c r="AD9022" i="1" s="1"/>
  <c r="AB9022" i="1" s="1"/>
  <c r="AC8996" i="1"/>
  <c r="AD8996" i="1" s="1"/>
  <c r="AC8998" i="1"/>
  <c r="AD8998" i="1" s="1"/>
  <c r="AB8998" i="1" s="1"/>
  <c r="AC8997" i="1"/>
  <c r="AD8997" i="1" s="1"/>
  <c r="AB8997" i="1" s="1"/>
  <c r="AC8999" i="1"/>
  <c r="AD8999" i="1" s="1"/>
  <c r="AB8999" i="1" s="1"/>
  <c r="AC9010" i="1"/>
  <c r="AD9010" i="1" s="1"/>
  <c r="AB9010" i="1" s="1"/>
  <c r="AC9004" i="1"/>
  <c r="AD9004" i="1" s="1"/>
  <c r="AB9004" i="1" s="1"/>
  <c r="AC9002" i="1"/>
  <c r="AD9002" i="1" s="1"/>
  <c r="AB9002" i="1" s="1"/>
  <c r="AC9008" i="1"/>
  <c r="AD9008" i="1" s="1"/>
  <c r="AC9009" i="1"/>
  <c r="AD9009" i="1" s="1"/>
  <c r="AB9009" i="1" s="1"/>
  <c r="AC9012" i="1"/>
  <c r="AD9012" i="1" s="1"/>
  <c r="AB9012" i="1" s="1"/>
  <c r="AC9001" i="1"/>
  <c r="AD9001" i="1" s="1"/>
  <c r="AC9003" i="1"/>
  <c r="AD9003" i="1" s="1"/>
  <c r="AB9003" i="1" s="1"/>
  <c r="AC9005" i="1"/>
  <c r="AD9005" i="1" s="1"/>
  <c r="AB9005" i="1" s="1"/>
  <c r="AC9011" i="1"/>
  <c r="AD9011" i="1" s="1"/>
  <c r="AB9011" i="1" s="1"/>
  <c r="AC9013" i="1"/>
  <c r="AD9013" i="1" s="1"/>
  <c r="AB9013" i="1" s="1"/>
  <c r="AC8994" i="1"/>
  <c r="N8994" i="1"/>
  <c r="AC8986" i="1"/>
  <c r="AD8986" i="1" s="1"/>
  <c r="AB8986" i="1" s="1"/>
  <c r="AC8993" i="1"/>
  <c r="AD8993" i="1" s="1"/>
  <c r="AB8993" i="1" s="1"/>
  <c r="AC8992" i="1"/>
  <c r="AD8992" i="1" s="1"/>
  <c r="AB8992" i="1" s="1"/>
  <c r="AC8987" i="1"/>
  <c r="AD8987" i="1" s="1"/>
  <c r="AB8987" i="1" s="1"/>
  <c r="AC8989" i="1"/>
  <c r="AD8989" i="1" s="1"/>
  <c r="AB8989" i="1" s="1"/>
  <c r="AC8988" i="1"/>
  <c r="AD8988" i="1" s="1"/>
  <c r="AB8988" i="1" s="1"/>
  <c r="AC8990" i="1"/>
  <c r="AD8990" i="1" s="1"/>
  <c r="AB8990" i="1" s="1"/>
  <c r="AC8985" i="1"/>
  <c r="AD8985" i="1" s="1"/>
  <c r="AC8991" i="1"/>
  <c r="AD8991" i="1" s="1"/>
  <c r="AB8991" i="1" s="1"/>
  <c r="AC8966" i="1"/>
  <c r="AD8966" i="1" s="1"/>
  <c r="AC8968" i="1"/>
  <c r="AD8968" i="1" s="1"/>
  <c r="AB8968" i="1" s="1"/>
  <c r="AC8967" i="1"/>
  <c r="AD8967" i="1" s="1"/>
  <c r="AB8967" i="1" s="1"/>
  <c r="AC8969" i="1"/>
  <c r="AD8969" i="1" s="1"/>
  <c r="AB8969" i="1" s="1"/>
  <c r="AC8980" i="1"/>
  <c r="AD8980" i="1" s="1"/>
  <c r="AB8980" i="1" s="1"/>
  <c r="AC8974" i="1"/>
  <c r="AD8974" i="1" s="1"/>
  <c r="AB8974" i="1" s="1"/>
  <c r="AC8972" i="1"/>
  <c r="AD8972" i="1" s="1"/>
  <c r="AB8972" i="1" s="1"/>
  <c r="AC8983" i="1"/>
  <c r="AD8983" i="1" s="1"/>
  <c r="AB8983" i="1" s="1"/>
  <c r="AC8982" i="1"/>
  <c r="AD8982" i="1" s="1"/>
  <c r="AB8982" i="1" s="1"/>
  <c r="AC8971" i="1"/>
  <c r="AD8971" i="1" s="1"/>
  <c r="AC8979" i="1"/>
  <c r="AD8979" i="1" s="1"/>
  <c r="AB8979" i="1" s="1"/>
  <c r="AC8973" i="1"/>
  <c r="AD8973" i="1" s="1"/>
  <c r="AB8973" i="1" s="1"/>
  <c r="AC8975" i="1"/>
  <c r="AD8975" i="1" s="1"/>
  <c r="AB8975" i="1" s="1"/>
  <c r="AC8981" i="1"/>
  <c r="AD8981" i="1" s="1"/>
  <c r="AB8981" i="1" s="1"/>
  <c r="AC8978" i="1"/>
  <c r="AD8978" i="1" s="1"/>
  <c r="N8687" i="1"/>
  <c r="AC8956" i="1"/>
  <c r="AD8956" i="1" s="1"/>
  <c r="AB8956" i="1" s="1"/>
  <c r="AC8960" i="1"/>
  <c r="AD8960" i="1" s="1"/>
  <c r="AB8960" i="1" s="1"/>
  <c r="AC8961" i="1"/>
  <c r="AD8961" i="1" s="1"/>
  <c r="AB8961" i="1" s="1"/>
  <c r="AC8963" i="1"/>
  <c r="AD8963" i="1" s="1"/>
  <c r="AB8963" i="1" s="1"/>
  <c r="AC8955" i="1"/>
  <c r="AD8955" i="1" s="1"/>
  <c r="AC8958" i="1"/>
  <c r="AD8958" i="1" s="1"/>
  <c r="AB8958" i="1" s="1"/>
  <c r="AC8962" i="1"/>
  <c r="AD8962" i="1" s="1"/>
  <c r="AB8962" i="1" s="1"/>
  <c r="AC8957" i="1"/>
  <c r="AD8957" i="1" s="1"/>
  <c r="AB8957" i="1" s="1"/>
  <c r="AC8959" i="1"/>
  <c r="AD8959" i="1" s="1"/>
  <c r="AB8959" i="1" s="1"/>
  <c r="AC8936" i="1"/>
  <c r="AD8936" i="1" s="1"/>
  <c r="AC8938" i="1"/>
  <c r="AD8938" i="1" s="1"/>
  <c r="AB8938" i="1" s="1"/>
  <c r="AC8937" i="1"/>
  <c r="AD8937" i="1" s="1"/>
  <c r="AB8937" i="1" s="1"/>
  <c r="AC8939" i="1"/>
  <c r="AD8939" i="1" s="1"/>
  <c r="AB8939" i="1" s="1"/>
  <c r="AC8950" i="1"/>
  <c r="AD8950" i="1" s="1"/>
  <c r="AB8950" i="1" s="1"/>
  <c r="AC8944" i="1"/>
  <c r="AD8944" i="1" s="1"/>
  <c r="AB8944" i="1" s="1"/>
  <c r="AC8941" i="1"/>
  <c r="AD8941" i="1" s="1"/>
  <c r="AC8949" i="1"/>
  <c r="AD8949" i="1" s="1"/>
  <c r="AB8949" i="1" s="1"/>
  <c r="AC8943" i="1"/>
  <c r="AD8943" i="1" s="1"/>
  <c r="AB8943" i="1" s="1"/>
  <c r="AC8952" i="1"/>
  <c r="AD8952" i="1" s="1"/>
  <c r="AB8952" i="1" s="1"/>
  <c r="AC8953" i="1"/>
  <c r="AD8953" i="1" s="1"/>
  <c r="AB8953" i="1" s="1"/>
  <c r="AC8948" i="1"/>
  <c r="AD8948" i="1" s="1"/>
  <c r="AC8945" i="1"/>
  <c r="AD8945" i="1" s="1"/>
  <c r="AB8945" i="1" s="1"/>
  <c r="AC8951" i="1"/>
  <c r="AD8951" i="1" s="1"/>
  <c r="AB8951" i="1" s="1"/>
  <c r="AC8942" i="1"/>
  <c r="AD8942" i="1" s="1"/>
  <c r="AB8942" i="1" s="1"/>
  <c r="AC8920" i="1"/>
  <c r="AD8920" i="1" s="1"/>
  <c r="AB8920" i="1" s="1"/>
  <c r="AC8914" i="1"/>
  <c r="AD8914" i="1" s="1"/>
  <c r="AB8914" i="1" s="1"/>
  <c r="AC8919" i="1"/>
  <c r="AD8919" i="1" s="1"/>
  <c r="AB8919" i="1" s="1"/>
  <c r="AC8922" i="1"/>
  <c r="AD8922" i="1" s="1"/>
  <c r="AB8922" i="1" s="1"/>
  <c r="AC8911" i="1"/>
  <c r="AD8911" i="1" s="1"/>
  <c r="AC8913" i="1"/>
  <c r="AD8913" i="1" s="1"/>
  <c r="AB8913" i="1" s="1"/>
  <c r="AC8915" i="1"/>
  <c r="AD8915" i="1" s="1"/>
  <c r="AB8915" i="1" s="1"/>
  <c r="AC8921" i="1"/>
  <c r="AD8921" i="1" s="1"/>
  <c r="AB8921" i="1" s="1"/>
  <c r="AC8918" i="1"/>
  <c r="AD8918" i="1" s="1"/>
  <c r="AC8912" i="1"/>
  <c r="AD8912" i="1" s="1"/>
  <c r="AB8912" i="1" s="1"/>
  <c r="AC8923" i="1"/>
  <c r="AD8923" i="1" s="1"/>
  <c r="AB8923" i="1" s="1"/>
  <c r="AC8926" i="1"/>
  <c r="AD8926" i="1" s="1"/>
  <c r="AB8926" i="1" s="1"/>
  <c r="AC8933" i="1"/>
  <c r="AD8933" i="1" s="1"/>
  <c r="AB8933" i="1" s="1"/>
  <c r="AC8928" i="1"/>
  <c r="AD8928" i="1" s="1"/>
  <c r="AB8928" i="1" s="1"/>
  <c r="AC8925" i="1"/>
  <c r="AD8925" i="1" s="1"/>
  <c r="AC8932" i="1"/>
  <c r="AD8932" i="1" s="1"/>
  <c r="AB8932" i="1" s="1"/>
  <c r="AC8930" i="1"/>
  <c r="AD8930" i="1" s="1"/>
  <c r="AB8930" i="1" s="1"/>
  <c r="AC8927" i="1"/>
  <c r="AD8927" i="1" s="1"/>
  <c r="AB8927" i="1" s="1"/>
  <c r="AC8929" i="1"/>
  <c r="AD8929" i="1" s="1"/>
  <c r="AB8929" i="1" s="1"/>
  <c r="AC8931" i="1"/>
  <c r="AD8931" i="1" s="1"/>
  <c r="AB8931" i="1" s="1"/>
  <c r="AC8908" i="1"/>
  <c r="AD8908" i="1" s="1"/>
  <c r="AB8908" i="1" s="1"/>
  <c r="AC8907" i="1"/>
  <c r="AD8907" i="1" s="1"/>
  <c r="AB8907" i="1" s="1"/>
  <c r="AC8906" i="1"/>
  <c r="AD8906" i="1" s="1"/>
  <c r="AC8909" i="1"/>
  <c r="AD8909" i="1" s="1"/>
  <c r="AB8909" i="1" s="1"/>
  <c r="AC8890" i="1"/>
  <c r="AD8890" i="1" s="1"/>
  <c r="AB8890" i="1" s="1"/>
  <c r="AC8884" i="1"/>
  <c r="AD8884" i="1" s="1"/>
  <c r="AB8884" i="1" s="1"/>
  <c r="AC8891" i="1"/>
  <c r="AD8891" i="1" s="1"/>
  <c r="AB8891" i="1" s="1"/>
  <c r="AC8893" i="1"/>
  <c r="AD8893" i="1" s="1"/>
  <c r="AB8893" i="1" s="1"/>
  <c r="AC8889" i="1"/>
  <c r="AD8889" i="1" s="1"/>
  <c r="AB8889" i="1" s="1"/>
  <c r="AC8883" i="1"/>
  <c r="AD8883" i="1" s="1"/>
  <c r="AB8883" i="1" s="1"/>
  <c r="AC8888" i="1"/>
  <c r="AD8888" i="1" s="1"/>
  <c r="AC8882" i="1"/>
  <c r="AD8882" i="1" s="1"/>
  <c r="AB8882" i="1" s="1"/>
  <c r="AC8892" i="1"/>
  <c r="AD8892" i="1" s="1"/>
  <c r="AB8892" i="1" s="1"/>
  <c r="AC8881" i="1"/>
  <c r="AD8881" i="1" s="1"/>
  <c r="AC8885" i="1"/>
  <c r="AD8885" i="1" s="1"/>
  <c r="AB8885" i="1" s="1"/>
  <c r="AC8896" i="1"/>
  <c r="AD8896" i="1" s="1"/>
  <c r="AB8896" i="1" s="1"/>
  <c r="AC8902" i="1"/>
  <c r="AD8902" i="1" s="1"/>
  <c r="AB8902" i="1" s="1"/>
  <c r="AC8901" i="1"/>
  <c r="AD8901" i="1" s="1"/>
  <c r="AB8901" i="1" s="1"/>
  <c r="AC8903" i="1"/>
  <c r="AD8903" i="1" s="1"/>
  <c r="AB8903" i="1" s="1"/>
  <c r="AC8900" i="1"/>
  <c r="AD8900" i="1" s="1"/>
  <c r="AB8900" i="1" s="1"/>
  <c r="AC8899" i="1"/>
  <c r="AD8899" i="1" s="1"/>
  <c r="AB8899" i="1" s="1"/>
  <c r="AC8898" i="1"/>
  <c r="AD8898" i="1" s="1"/>
  <c r="AB8898" i="1" s="1"/>
  <c r="AC8895" i="1"/>
  <c r="AD8895" i="1" s="1"/>
  <c r="AC8897" i="1"/>
  <c r="AD8897" i="1" s="1"/>
  <c r="AB8897" i="1" s="1"/>
  <c r="N4626" i="1"/>
  <c r="N8777" i="1"/>
  <c r="AC8877" i="1"/>
  <c r="AD8877" i="1" s="1"/>
  <c r="AB8877" i="1" s="1"/>
  <c r="AC8878" i="1"/>
  <c r="AD8878" i="1" s="1"/>
  <c r="AB8878" i="1" s="1"/>
  <c r="AC8879" i="1"/>
  <c r="AD8879" i="1" s="1"/>
  <c r="AB8879" i="1" s="1"/>
  <c r="AC8876" i="1"/>
  <c r="AD8876" i="1" s="1"/>
  <c r="N8874" i="1"/>
  <c r="AC8874" i="1"/>
  <c r="AC8864" i="1"/>
  <c r="AD8864" i="1" s="1"/>
  <c r="AB8864" i="1" s="1"/>
  <c r="AC8858" i="1"/>
  <c r="AD8858" i="1" s="1"/>
  <c r="AC8866" i="1"/>
  <c r="AD8866" i="1" s="1"/>
  <c r="AB8866" i="1" s="1"/>
  <c r="AC8859" i="1"/>
  <c r="AD8859" i="1" s="1"/>
  <c r="AB8859" i="1" s="1"/>
  <c r="AC8865" i="1"/>
  <c r="AD8865" i="1" s="1"/>
  <c r="AB8865" i="1" s="1"/>
  <c r="V8865" i="1" s="1"/>
  <c r="AC8863" i="1"/>
  <c r="AD8863" i="1" s="1"/>
  <c r="AB8863" i="1" s="1"/>
  <c r="AC8861" i="1"/>
  <c r="AD8861" i="1" s="1"/>
  <c r="AB8861" i="1" s="1"/>
  <c r="AC8860" i="1"/>
  <c r="AD8860" i="1" s="1"/>
  <c r="AB8860" i="1" s="1"/>
  <c r="AC8862" i="1"/>
  <c r="AD8862" i="1" s="1"/>
  <c r="AB8862" i="1" s="1"/>
  <c r="AC8839" i="1"/>
  <c r="AD8839" i="1" s="1"/>
  <c r="AC8841" i="1"/>
  <c r="AD8841" i="1" s="1"/>
  <c r="AB8841" i="1" s="1"/>
  <c r="AC8840" i="1"/>
  <c r="AD8840" i="1" s="1"/>
  <c r="AB8840" i="1" s="1"/>
  <c r="AC8842" i="1"/>
  <c r="AD8842" i="1" s="1"/>
  <c r="AB8842" i="1" s="1"/>
  <c r="AC8855" i="1"/>
  <c r="AD8855" i="1" s="1"/>
  <c r="AB8855" i="1" s="1"/>
  <c r="AC8852" i="1"/>
  <c r="AD8852" i="1" s="1"/>
  <c r="AB8852" i="1" s="1"/>
  <c r="AC8846" i="1"/>
  <c r="AD8846" i="1" s="1"/>
  <c r="AB8846" i="1" s="1"/>
  <c r="AC8845" i="1"/>
  <c r="AD8845" i="1" s="1"/>
  <c r="AB8845" i="1" s="1"/>
  <c r="AC8853" i="1"/>
  <c r="AD8853" i="1" s="1"/>
  <c r="AB8853" i="1" s="1"/>
  <c r="AC8847" i="1"/>
  <c r="AD8847" i="1" s="1"/>
  <c r="AB8847" i="1" s="1"/>
  <c r="AC8844" i="1"/>
  <c r="AD8844" i="1" s="1"/>
  <c r="AC8856" i="1"/>
  <c r="AD8856" i="1" s="1"/>
  <c r="AB8856" i="1" s="1"/>
  <c r="AC8851" i="1"/>
  <c r="AD8851" i="1" s="1"/>
  <c r="AC8848" i="1"/>
  <c r="AD8848" i="1" s="1"/>
  <c r="AB8848" i="1" s="1"/>
  <c r="AC8854" i="1"/>
  <c r="AD8854" i="1" s="1"/>
  <c r="AB8854" i="1" s="1"/>
  <c r="AC8823" i="1"/>
  <c r="AD8823" i="1" s="1"/>
  <c r="AB8823" i="1" s="1"/>
  <c r="AC8817" i="1"/>
  <c r="AD8817" i="1" s="1"/>
  <c r="AB8817" i="1" s="1"/>
  <c r="AC8821" i="1"/>
  <c r="AD8821" i="1" s="1"/>
  <c r="AC8815" i="1"/>
  <c r="AD8815" i="1" s="1"/>
  <c r="AB8815" i="1" s="1"/>
  <c r="AC8825" i="1"/>
  <c r="AD8825" i="1" s="1"/>
  <c r="AB8825" i="1" s="1"/>
  <c r="AC8814" i="1"/>
  <c r="AD8814" i="1" s="1"/>
  <c r="AC8822" i="1"/>
  <c r="AD8822" i="1" s="1"/>
  <c r="AB8822" i="1" s="1"/>
  <c r="AC8816" i="1"/>
  <c r="AD8816" i="1" s="1"/>
  <c r="AB8816" i="1" s="1"/>
  <c r="AC8818" i="1"/>
  <c r="AD8818" i="1" s="1"/>
  <c r="AB8818" i="1" s="1"/>
  <c r="AC8826" i="1"/>
  <c r="AD8826" i="1" s="1"/>
  <c r="AB8826" i="1" s="1"/>
  <c r="AC8824" i="1"/>
  <c r="AD8824" i="1" s="1"/>
  <c r="AB8824" i="1" s="1"/>
  <c r="AC8829" i="1"/>
  <c r="AD8829" i="1" s="1"/>
  <c r="AB8829" i="1" s="1"/>
  <c r="AC8836" i="1"/>
  <c r="AD8836" i="1" s="1"/>
  <c r="AB8836" i="1" s="1"/>
  <c r="AC8831" i="1"/>
  <c r="AD8831" i="1" s="1"/>
  <c r="AB8831" i="1" s="1"/>
  <c r="AC8833" i="1"/>
  <c r="AD8833" i="1" s="1"/>
  <c r="AB8833" i="1" s="1"/>
  <c r="AC8828" i="1"/>
  <c r="AD8828" i="1" s="1"/>
  <c r="AC8835" i="1"/>
  <c r="AD8835" i="1" s="1"/>
  <c r="AB8835" i="1" s="1"/>
  <c r="V8835" i="1" s="1"/>
  <c r="AC8830" i="1"/>
  <c r="AD8830" i="1" s="1"/>
  <c r="AB8830" i="1" s="1"/>
  <c r="AC8832" i="1"/>
  <c r="AD8832" i="1" s="1"/>
  <c r="AB8832" i="1" s="1"/>
  <c r="AC8834" i="1"/>
  <c r="AD8834" i="1" s="1"/>
  <c r="AB8834" i="1" s="1"/>
  <c r="AC8811" i="1"/>
  <c r="AD8811" i="1" s="1"/>
  <c r="AB8811" i="1" s="1"/>
  <c r="AC8810" i="1"/>
  <c r="AD8810" i="1" s="1"/>
  <c r="AB8810" i="1" s="1"/>
  <c r="AC8809" i="1"/>
  <c r="AD8809" i="1" s="1"/>
  <c r="AC8812" i="1"/>
  <c r="AD8812" i="1" s="1"/>
  <c r="AB8812" i="1" s="1"/>
  <c r="AC8807" i="1"/>
  <c r="N8807" i="1"/>
  <c r="AC8793" i="1"/>
  <c r="AD8793" i="1" s="1"/>
  <c r="AB8793" i="1" s="1"/>
  <c r="AC8787" i="1"/>
  <c r="AD8787" i="1" s="1"/>
  <c r="AB8787" i="1" s="1"/>
  <c r="AC8792" i="1"/>
  <c r="AD8792" i="1" s="1"/>
  <c r="AB8792" i="1" s="1"/>
  <c r="AC8795" i="1"/>
  <c r="AD8795" i="1" s="1"/>
  <c r="AB8795" i="1" s="1"/>
  <c r="AC8784" i="1"/>
  <c r="AD8784" i="1" s="1"/>
  <c r="AC8785" i="1"/>
  <c r="AD8785" i="1" s="1"/>
  <c r="AB8785" i="1" s="1"/>
  <c r="AC8786" i="1"/>
  <c r="AD8786" i="1" s="1"/>
  <c r="AB8786" i="1" s="1"/>
  <c r="AC8788" i="1"/>
  <c r="AD8788" i="1" s="1"/>
  <c r="AB8788" i="1" s="1"/>
  <c r="AC8796" i="1"/>
  <c r="AD8796" i="1" s="1"/>
  <c r="AB8796" i="1" s="1"/>
  <c r="AC8791" i="1"/>
  <c r="AD8791" i="1" s="1"/>
  <c r="AC8794" i="1"/>
  <c r="AD8794" i="1" s="1"/>
  <c r="AB8794" i="1" s="1"/>
  <c r="AC8799" i="1"/>
  <c r="AD8799" i="1" s="1"/>
  <c r="AB8799" i="1" s="1"/>
  <c r="AC8806" i="1"/>
  <c r="AD8806" i="1" s="1"/>
  <c r="AB8806" i="1" s="1"/>
  <c r="AC8801" i="1"/>
  <c r="AD8801" i="1" s="1"/>
  <c r="AB8801" i="1" s="1"/>
  <c r="AC8798" i="1"/>
  <c r="AD8798" i="1" s="1"/>
  <c r="AC8803" i="1"/>
  <c r="AD8803" i="1" s="1"/>
  <c r="AB8803" i="1" s="1"/>
  <c r="AC8805" i="1"/>
  <c r="AD8805" i="1" s="1"/>
  <c r="AB8805" i="1" s="1"/>
  <c r="AC8800" i="1"/>
  <c r="AD8800" i="1" s="1"/>
  <c r="AB8800" i="1" s="1"/>
  <c r="AC8804" i="1"/>
  <c r="AD8804" i="1" s="1"/>
  <c r="AB8804" i="1" s="1"/>
  <c r="AC8802" i="1"/>
  <c r="AD8802" i="1" s="1"/>
  <c r="AB8802" i="1" s="1"/>
  <c r="AC8781" i="1"/>
  <c r="AD8781" i="1" s="1"/>
  <c r="AB8781" i="1" s="1"/>
  <c r="AC8780" i="1"/>
  <c r="AD8780" i="1" s="1"/>
  <c r="AB8780" i="1" s="1"/>
  <c r="AC8779" i="1"/>
  <c r="AD8779" i="1" s="1"/>
  <c r="AC8782" i="1"/>
  <c r="AD8782" i="1" s="1"/>
  <c r="AB8782" i="1" s="1"/>
  <c r="AC8769" i="1"/>
  <c r="AD8769" i="1" s="1"/>
  <c r="AB8769" i="1" s="1"/>
  <c r="AC8776" i="1"/>
  <c r="AD8776" i="1" s="1"/>
  <c r="AB8776" i="1" s="1"/>
  <c r="AC8771" i="1"/>
  <c r="AD8771" i="1" s="1"/>
  <c r="AB8771" i="1" s="1"/>
  <c r="AC8768" i="1"/>
  <c r="AD8768" i="1" s="1"/>
  <c r="AC8774" i="1"/>
  <c r="AD8774" i="1" s="1"/>
  <c r="AB8774" i="1" s="1"/>
  <c r="AC8773" i="1"/>
  <c r="AD8773" i="1" s="1"/>
  <c r="AB8773" i="1" s="1"/>
  <c r="AC8775" i="1"/>
  <c r="AD8775" i="1" s="1"/>
  <c r="AB8775" i="1" s="1"/>
  <c r="AC8770" i="1"/>
  <c r="AD8770" i="1" s="1"/>
  <c r="AB8770" i="1" s="1"/>
  <c r="AC8772" i="1"/>
  <c r="AD8772" i="1" s="1"/>
  <c r="AB8772" i="1" s="1"/>
  <c r="AC8752" i="1"/>
  <c r="AD8752" i="1" s="1"/>
  <c r="AB8752" i="1" s="1"/>
  <c r="AC8751" i="1"/>
  <c r="AD8751" i="1" s="1"/>
  <c r="AB8751" i="1" s="1"/>
  <c r="AC8750" i="1"/>
  <c r="AD8750" i="1" s="1"/>
  <c r="AB8750" i="1" s="1"/>
  <c r="AC8749" i="1"/>
  <c r="AD8749" i="1" s="1"/>
  <c r="AC8763" i="1"/>
  <c r="AD8763" i="1" s="1"/>
  <c r="AB8763" i="1" s="1"/>
  <c r="AC8757" i="1"/>
  <c r="AD8757" i="1" s="1"/>
  <c r="AB8757" i="1" s="1"/>
  <c r="AC8755" i="1"/>
  <c r="AD8755" i="1" s="1"/>
  <c r="AB8755" i="1" s="1"/>
  <c r="AC8762" i="1"/>
  <c r="AD8762" i="1" s="1"/>
  <c r="AB8762" i="1" s="1"/>
  <c r="AC8761" i="1"/>
  <c r="AD8761" i="1" s="1"/>
  <c r="AC8765" i="1"/>
  <c r="AD8765" i="1" s="1"/>
  <c r="AB8765" i="1" s="1"/>
  <c r="AC8754" i="1"/>
  <c r="AD8754" i="1" s="1"/>
  <c r="AC8756" i="1"/>
  <c r="AD8756" i="1" s="1"/>
  <c r="AB8756" i="1" s="1"/>
  <c r="AC8758" i="1"/>
  <c r="AD8758" i="1" s="1"/>
  <c r="AB8758" i="1" s="1"/>
  <c r="AC8764" i="1"/>
  <c r="AD8764" i="1" s="1"/>
  <c r="AB8764" i="1" s="1"/>
  <c r="AC8766" i="1"/>
  <c r="AD8766" i="1" s="1"/>
  <c r="AB8766" i="1" s="1"/>
  <c r="AC8733" i="1"/>
  <c r="AD8733" i="1" s="1"/>
  <c r="AB8733" i="1" s="1"/>
  <c r="AC8727" i="1"/>
  <c r="AD8727" i="1" s="1"/>
  <c r="AB8727" i="1" s="1"/>
  <c r="AC8725" i="1"/>
  <c r="AD8725" i="1" s="1"/>
  <c r="AB8725" i="1" s="1"/>
  <c r="AC8735" i="1"/>
  <c r="AD8735" i="1" s="1"/>
  <c r="AB8735" i="1" s="1"/>
  <c r="AC8724" i="1"/>
  <c r="AD8724" i="1" s="1"/>
  <c r="AC8726" i="1"/>
  <c r="AD8726" i="1" s="1"/>
  <c r="AB8726" i="1" s="1"/>
  <c r="AC8732" i="1"/>
  <c r="AD8732" i="1" s="1"/>
  <c r="AB8732" i="1" s="1"/>
  <c r="AC8728" i="1"/>
  <c r="AD8728" i="1" s="1"/>
  <c r="AB8728" i="1" s="1"/>
  <c r="AC8734" i="1"/>
  <c r="AD8734" i="1" s="1"/>
  <c r="AB8734" i="1" s="1"/>
  <c r="AC8731" i="1"/>
  <c r="AD8731" i="1" s="1"/>
  <c r="AC8736" i="1"/>
  <c r="AD8736" i="1" s="1"/>
  <c r="AB8736" i="1" s="1"/>
  <c r="AC8739" i="1"/>
  <c r="AD8739" i="1" s="1"/>
  <c r="AB8739" i="1" s="1"/>
  <c r="AC8746" i="1"/>
  <c r="AD8746" i="1" s="1"/>
  <c r="AB8746" i="1" s="1"/>
  <c r="AC8741" i="1"/>
  <c r="AD8741" i="1" s="1"/>
  <c r="AB8741" i="1" s="1"/>
  <c r="AC8745" i="1"/>
  <c r="AD8745" i="1" s="1"/>
  <c r="AB8745" i="1" s="1"/>
  <c r="AC8738" i="1"/>
  <c r="AD8738" i="1" s="1"/>
  <c r="AC8743" i="1"/>
  <c r="AD8743" i="1" s="1"/>
  <c r="AB8743" i="1" s="1"/>
  <c r="AC8740" i="1"/>
  <c r="AD8740" i="1" s="1"/>
  <c r="AB8740" i="1" s="1"/>
  <c r="AC8742" i="1"/>
  <c r="AD8742" i="1" s="1"/>
  <c r="AB8742" i="1" s="1"/>
  <c r="AC8744" i="1"/>
  <c r="AD8744" i="1" s="1"/>
  <c r="AB8744" i="1" s="1"/>
  <c r="AC8721" i="1"/>
  <c r="AD8721" i="1" s="1"/>
  <c r="AB8721" i="1" s="1"/>
  <c r="AC8720" i="1"/>
  <c r="AD8720" i="1" s="1"/>
  <c r="AB8720" i="1" s="1"/>
  <c r="AC8722" i="1"/>
  <c r="AD8722" i="1" s="1"/>
  <c r="AB8722" i="1" s="1"/>
  <c r="AC8719" i="1"/>
  <c r="AD8719" i="1" s="1"/>
  <c r="AC8716" i="1"/>
  <c r="AD8716" i="1" s="1"/>
  <c r="AB8716" i="1" s="1"/>
  <c r="AC8711" i="1"/>
  <c r="AD8711" i="1" s="1"/>
  <c r="AB8711" i="1" s="1"/>
  <c r="AC8713" i="1"/>
  <c r="AD8713" i="1" s="1"/>
  <c r="AB8713" i="1" s="1"/>
  <c r="AC8708" i="1"/>
  <c r="AD8708" i="1" s="1"/>
  <c r="AC8712" i="1"/>
  <c r="AD8712" i="1" s="1"/>
  <c r="AB8712" i="1" s="1"/>
  <c r="AC8710" i="1"/>
  <c r="AD8710" i="1" s="1"/>
  <c r="AB8710" i="1" s="1"/>
  <c r="AC8715" i="1"/>
  <c r="AD8715" i="1" s="1"/>
  <c r="AB8715" i="1" s="1"/>
  <c r="AC8714" i="1"/>
  <c r="AD8714" i="1" s="1"/>
  <c r="AB8714" i="1" s="1"/>
  <c r="AC8709" i="1"/>
  <c r="AD8709" i="1" s="1"/>
  <c r="AB8709" i="1" s="1"/>
  <c r="AC8695" i="1"/>
  <c r="AD8695" i="1" s="1"/>
  <c r="AB8695" i="1" s="1"/>
  <c r="AC8702" i="1"/>
  <c r="AD8702" i="1" s="1"/>
  <c r="AC8697" i="1"/>
  <c r="AD8697" i="1" s="1"/>
  <c r="AB8697" i="1" s="1"/>
  <c r="AC8698" i="1"/>
  <c r="AD8698" i="1" s="1"/>
  <c r="AB8698" i="1" s="1"/>
  <c r="AC8705" i="1"/>
  <c r="AD8705" i="1" s="1"/>
  <c r="AB8705" i="1" s="1"/>
  <c r="AC8696" i="1"/>
  <c r="AD8696" i="1" s="1"/>
  <c r="AB8696" i="1" s="1"/>
  <c r="AC8704" i="1"/>
  <c r="AD8704" i="1" s="1"/>
  <c r="AB8704" i="1" s="1"/>
  <c r="AC8701" i="1"/>
  <c r="AD8701" i="1" s="1"/>
  <c r="AC8694" i="1"/>
  <c r="AD8694" i="1" s="1"/>
  <c r="AC8706" i="1"/>
  <c r="AD8706" i="1" s="1"/>
  <c r="AB8706" i="1" s="1"/>
  <c r="AC8703" i="1"/>
  <c r="AD8703" i="1" s="1"/>
  <c r="AB8703" i="1" s="1"/>
  <c r="AC8691" i="1"/>
  <c r="AD8691" i="1" s="1"/>
  <c r="AB8691" i="1" s="1"/>
  <c r="AC8692" i="1"/>
  <c r="AD8692" i="1" s="1"/>
  <c r="AB8692" i="1" s="1"/>
  <c r="AC8690" i="1"/>
  <c r="AD8690" i="1" s="1"/>
  <c r="AB8690" i="1" s="1"/>
  <c r="AC8689" i="1"/>
  <c r="AD8689" i="1" s="1"/>
  <c r="AC8699" i="1"/>
  <c r="AD8699" i="1" s="1"/>
  <c r="AC8646" i="1"/>
  <c r="AD8646" i="1" s="1"/>
  <c r="AB8646" i="1" s="1"/>
  <c r="AC8645" i="1"/>
  <c r="AD8645" i="1" s="1"/>
  <c r="AB8645" i="1" s="1"/>
  <c r="AC8640" i="1"/>
  <c r="AD8640" i="1" s="1"/>
  <c r="AC8647" i="1"/>
  <c r="AD8647" i="1" s="1"/>
  <c r="AB8647" i="1" s="1"/>
  <c r="AC8641" i="1"/>
  <c r="AD8641" i="1" s="1"/>
  <c r="AB8641" i="1" s="1"/>
  <c r="AC8644" i="1"/>
  <c r="AD8644" i="1" s="1"/>
  <c r="AC8643" i="1"/>
  <c r="AD8643" i="1" s="1"/>
  <c r="AB8643" i="1" s="1"/>
  <c r="AC8642" i="1"/>
  <c r="AD8642" i="1" s="1"/>
  <c r="AB8642" i="1" s="1"/>
  <c r="AC8658" i="1"/>
  <c r="AD8658" i="1" s="1"/>
  <c r="AB8658" i="1" s="1"/>
  <c r="AC8653" i="1"/>
  <c r="AD8653" i="1" s="1"/>
  <c r="AB8653" i="1" s="1"/>
  <c r="AC8655" i="1"/>
  <c r="AD8655" i="1" s="1"/>
  <c r="AB8655" i="1" s="1"/>
  <c r="AC8654" i="1"/>
  <c r="AD8654" i="1" s="1"/>
  <c r="AB8654" i="1" s="1"/>
  <c r="AC8656" i="1"/>
  <c r="AD8656" i="1" s="1"/>
  <c r="AB8656" i="1" s="1"/>
  <c r="AC8657" i="1"/>
  <c r="AD8657" i="1" s="1"/>
  <c r="AB8657" i="1" s="1"/>
  <c r="AC8652" i="1"/>
  <c r="AD8652" i="1" s="1"/>
  <c r="AB8652" i="1" s="1"/>
  <c r="AC8651" i="1"/>
  <c r="AD8651" i="1" s="1"/>
  <c r="AB8651" i="1" s="1"/>
  <c r="N4475" i="1"/>
  <c r="AC8637" i="1"/>
  <c r="AD8637" i="1" s="1"/>
  <c r="AB8637" i="1" s="1"/>
  <c r="AC8635" i="1"/>
  <c r="AD8635" i="1" s="1"/>
  <c r="AC8636" i="1"/>
  <c r="AD8636" i="1" s="1"/>
  <c r="AB8636" i="1" s="1"/>
  <c r="AC8638" i="1"/>
  <c r="AD8638" i="1" s="1"/>
  <c r="AB8638" i="1" s="1"/>
  <c r="AC8649" i="1"/>
  <c r="AD8649" i="1" s="1"/>
  <c r="AC4443" i="1"/>
  <c r="N4591" i="1"/>
  <c r="N8633" i="1"/>
  <c r="AC8633" i="1"/>
  <c r="AC8681" i="1"/>
  <c r="AD8681" i="1" s="1"/>
  <c r="AB8681" i="1" s="1"/>
  <c r="AC8679" i="1"/>
  <c r="AD8679" i="1" s="1"/>
  <c r="AB8679" i="1" s="1"/>
  <c r="AC8678" i="1"/>
  <c r="AD8678" i="1" s="1"/>
  <c r="AC8680" i="1"/>
  <c r="AD8680" i="1" s="1"/>
  <c r="AB8680" i="1" s="1"/>
  <c r="AC8675" i="1"/>
  <c r="AD8675" i="1" s="1"/>
  <c r="AB8675" i="1" s="1"/>
  <c r="AC8670" i="1"/>
  <c r="AD8670" i="1" s="1"/>
  <c r="AB8670" i="1" s="1"/>
  <c r="AC8672" i="1"/>
  <c r="AD8672" i="1" s="1"/>
  <c r="AB8672" i="1" s="1"/>
  <c r="AC8669" i="1"/>
  <c r="AD8669" i="1" s="1"/>
  <c r="AB8669" i="1" s="1"/>
  <c r="AC8673" i="1"/>
  <c r="AD8673" i="1" s="1"/>
  <c r="AB8673" i="1" s="1"/>
  <c r="AC8671" i="1"/>
  <c r="AD8671" i="1" s="1"/>
  <c r="AB8671" i="1" s="1"/>
  <c r="AC8674" i="1"/>
  <c r="AD8674" i="1" s="1"/>
  <c r="AB8674" i="1" s="1"/>
  <c r="AC8676" i="1"/>
  <c r="AD8676" i="1" s="1"/>
  <c r="AB8676" i="1" s="1"/>
  <c r="AC8668" i="1"/>
  <c r="AD8668" i="1" s="1"/>
  <c r="AC4656" i="1"/>
  <c r="AD4656" i="1" s="1"/>
  <c r="AB4656" i="1" s="1"/>
  <c r="AC4651" i="1"/>
  <c r="AD4651" i="1" s="1"/>
  <c r="AB4651" i="1" s="1"/>
  <c r="AC4653" i="1"/>
  <c r="AD4653" i="1" s="1"/>
  <c r="AB4653" i="1" s="1"/>
  <c r="AC4648" i="1"/>
  <c r="AD4648" i="1" s="1"/>
  <c r="AC4655" i="1"/>
  <c r="AD4655" i="1" s="1"/>
  <c r="AB4655" i="1" s="1"/>
  <c r="AC4650" i="1"/>
  <c r="AD4650" i="1" s="1"/>
  <c r="AB4650" i="1" s="1"/>
  <c r="AC4652" i="1"/>
  <c r="AD4652" i="1" s="1"/>
  <c r="AB4652" i="1" s="1"/>
  <c r="AC4654" i="1"/>
  <c r="AD4654" i="1" s="1"/>
  <c r="AB4654" i="1" s="1"/>
  <c r="AC4649" i="1"/>
  <c r="AD4649" i="1" s="1"/>
  <c r="AB4649" i="1" s="1"/>
  <c r="AC4628" i="1"/>
  <c r="AD4628" i="1" s="1"/>
  <c r="AC4630" i="1"/>
  <c r="AD4630" i="1" s="1"/>
  <c r="AB4630" i="1" s="1"/>
  <c r="AC4631" i="1"/>
  <c r="AD4631" i="1" s="1"/>
  <c r="AB4631" i="1" s="1"/>
  <c r="AC4629" i="1"/>
  <c r="AD4629" i="1" s="1"/>
  <c r="AB4629" i="1" s="1"/>
  <c r="AC4645" i="1"/>
  <c r="AD4645" i="1" s="1"/>
  <c r="AC4646" i="1"/>
  <c r="AD4646" i="1" s="1"/>
  <c r="AB4646" i="1" s="1"/>
  <c r="N4557" i="1"/>
  <c r="N4465" i="1"/>
  <c r="AC4642" i="1"/>
  <c r="AD4642" i="1" s="1"/>
  <c r="AB4642" i="1" s="1"/>
  <c r="AC4633" i="1"/>
  <c r="AD4633" i="1" s="1"/>
  <c r="AC4635" i="1"/>
  <c r="AD4635" i="1" s="1"/>
  <c r="AB4635" i="1" s="1"/>
  <c r="AC4637" i="1"/>
  <c r="AD4637" i="1" s="1"/>
  <c r="AB4637" i="1" s="1"/>
  <c r="AC4634" i="1"/>
  <c r="AD4634" i="1" s="1"/>
  <c r="AB4634" i="1" s="1"/>
  <c r="AC4639" i="1"/>
  <c r="AD4639" i="1" s="1"/>
  <c r="AB4639" i="1" s="1"/>
  <c r="AC4636" i="1"/>
  <c r="AD4636" i="1" s="1"/>
  <c r="AB4636" i="1" s="1"/>
  <c r="AC4641" i="1"/>
  <c r="AD4641" i="1" s="1"/>
  <c r="AB4641" i="1" s="1"/>
  <c r="AC4638" i="1"/>
  <c r="AD4638" i="1" s="1"/>
  <c r="AB4638" i="1" s="1"/>
  <c r="AC4643" i="1"/>
  <c r="AD4643" i="1" s="1"/>
  <c r="AB4643" i="1" s="1"/>
  <c r="AC4640" i="1"/>
  <c r="AD4640" i="1" s="1"/>
  <c r="AB4640" i="1" s="1"/>
  <c r="AC4594" i="1"/>
  <c r="AD4594" i="1" s="1"/>
  <c r="AB4594" i="1" s="1"/>
  <c r="AC4596" i="1"/>
  <c r="AD4596" i="1" s="1"/>
  <c r="AB4596" i="1" s="1"/>
  <c r="AC4593" i="1"/>
  <c r="AD4593" i="1" s="1"/>
  <c r="AC4595" i="1"/>
  <c r="AD4595" i="1" s="1"/>
  <c r="AB4595" i="1" s="1"/>
  <c r="AC4610" i="1"/>
  <c r="AD4610" i="1" s="1"/>
  <c r="AC4611" i="1"/>
  <c r="AD4611" i="1" s="1"/>
  <c r="AB4611" i="1" s="1"/>
  <c r="AC4607" i="1"/>
  <c r="AD4607" i="1" s="1"/>
  <c r="AB4607" i="1" s="1"/>
  <c r="AC4600" i="1"/>
  <c r="AD4600" i="1" s="1"/>
  <c r="AB4600" i="1" s="1"/>
  <c r="AC4599" i="1"/>
  <c r="AD4599" i="1" s="1"/>
  <c r="AB4599" i="1" s="1"/>
  <c r="AC4603" i="1"/>
  <c r="AD4603" i="1" s="1"/>
  <c r="AB4603" i="1" s="1"/>
  <c r="AC4608" i="1"/>
  <c r="AD4608" i="1" s="1"/>
  <c r="AB4608" i="1" s="1"/>
  <c r="AC4604" i="1"/>
  <c r="AD4604" i="1" s="1"/>
  <c r="AB4604" i="1" s="1"/>
  <c r="AC4601" i="1"/>
  <c r="AD4601" i="1" s="1"/>
  <c r="AB4601" i="1" s="1"/>
  <c r="AC4606" i="1"/>
  <c r="AD4606" i="1" s="1"/>
  <c r="AB4606" i="1" s="1"/>
  <c r="AC4598" i="1"/>
  <c r="AD4598" i="1" s="1"/>
  <c r="AC4605" i="1"/>
  <c r="AD4605" i="1" s="1"/>
  <c r="AB4605" i="1" s="1"/>
  <c r="AC4602" i="1"/>
  <c r="AD4602" i="1" s="1"/>
  <c r="AB4602" i="1" s="1"/>
  <c r="AC4480" i="1"/>
  <c r="AC4470" i="1"/>
  <c r="AC4614" i="1"/>
  <c r="AD4614" i="1" s="1"/>
  <c r="AB4614" i="1" s="1"/>
  <c r="AC4621" i="1"/>
  <c r="AD4621" i="1" s="1"/>
  <c r="AB4621" i="1" s="1"/>
  <c r="AC4616" i="1"/>
  <c r="AD4616" i="1" s="1"/>
  <c r="AB4616" i="1" s="1"/>
  <c r="AC4620" i="1"/>
  <c r="AD4620" i="1" s="1"/>
  <c r="AB4620" i="1" s="1"/>
  <c r="AC4615" i="1"/>
  <c r="AD4615" i="1" s="1"/>
  <c r="AB4615" i="1" s="1"/>
  <c r="AC4617" i="1"/>
  <c r="AD4617" i="1" s="1"/>
  <c r="AB4617" i="1" s="1"/>
  <c r="AC4618" i="1"/>
  <c r="AD4618" i="1" s="1"/>
  <c r="AB4618" i="1" s="1"/>
  <c r="AC4613" i="1"/>
  <c r="AD4613" i="1" s="1"/>
  <c r="AC4619" i="1"/>
  <c r="AD4619" i="1" s="1"/>
  <c r="AB4619" i="1" s="1"/>
  <c r="AC4560" i="1"/>
  <c r="AD4560" i="1" s="1"/>
  <c r="AB4560" i="1" s="1"/>
  <c r="AC4562" i="1"/>
  <c r="AD4562" i="1" s="1"/>
  <c r="AB4562" i="1" s="1"/>
  <c r="AC4559" i="1"/>
  <c r="AD4559" i="1" s="1"/>
  <c r="AC4561" i="1"/>
  <c r="AD4561" i="1" s="1"/>
  <c r="AB4561" i="1" s="1"/>
  <c r="AC4577" i="1"/>
  <c r="AD4577" i="1" s="1"/>
  <c r="AB4577" i="1" s="1"/>
  <c r="AC4576" i="1"/>
  <c r="AD4576" i="1" s="1"/>
  <c r="AC4586" i="1"/>
  <c r="AD4586" i="1" s="1"/>
  <c r="AB4586" i="1" s="1"/>
  <c r="AC4581" i="1"/>
  <c r="AD4581" i="1" s="1"/>
  <c r="AB4581" i="1" s="1"/>
  <c r="AC4587" i="1"/>
  <c r="AD4587" i="1" s="1"/>
  <c r="AB4587" i="1" s="1"/>
  <c r="AC4582" i="1"/>
  <c r="AD4582" i="1" s="1"/>
  <c r="AB4582" i="1" s="1"/>
  <c r="AC4580" i="1"/>
  <c r="AD4580" i="1" s="1"/>
  <c r="AB4580" i="1" s="1"/>
  <c r="AC4584" i="1"/>
  <c r="AD4584" i="1" s="1"/>
  <c r="AB4584" i="1" s="1"/>
  <c r="AC4585" i="1"/>
  <c r="AD4585" i="1" s="1"/>
  <c r="AB4585" i="1" s="1"/>
  <c r="AC4579" i="1"/>
  <c r="AD4579" i="1" s="1"/>
  <c r="AC4583" i="1"/>
  <c r="AD4583" i="1" s="1"/>
  <c r="AB4583" i="1" s="1"/>
  <c r="AC4573" i="1"/>
  <c r="AD4573" i="1" s="1"/>
  <c r="AB4573" i="1" s="1"/>
  <c r="AC4569" i="1"/>
  <c r="AD4569" i="1" s="1"/>
  <c r="AB4569" i="1" s="1"/>
  <c r="AC4564" i="1"/>
  <c r="AD4564" i="1" s="1"/>
  <c r="AC4571" i="1"/>
  <c r="AD4571" i="1" s="1"/>
  <c r="AB4571" i="1" s="1"/>
  <c r="AC4565" i="1"/>
  <c r="AD4565" i="1" s="1"/>
  <c r="AB4565" i="1" s="1"/>
  <c r="AC4566" i="1"/>
  <c r="AD4566" i="1" s="1"/>
  <c r="AB4566" i="1" s="1"/>
  <c r="AC4570" i="1"/>
  <c r="AD4570" i="1" s="1"/>
  <c r="AB4570" i="1" s="1"/>
  <c r="AC4567" i="1"/>
  <c r="AD4567" i="1" s="1"/>
  <c r="AB4567" i="1" s="1"/>
  <c r="AC4572" i="1"/>
  <c r="AD4572" i="1" s="1"/>
  <c r="AB4572" i="1" s="1"/>
  <c r="AC4574" i="1"/>
  <c r="AD4574" i="1" s="1"/>
  <c r="AB4574" i="1" s="1"/>
  <c r="AC4568" i="1"/>
  <c r="AD4568" i="1" s="1"/>
  <c r="AB4568" i="1" s="1"/>
  <c r="AC4399" i="1"/>
  <c r="AC4545" i="1"/>
  <c r="AD4545" i="1" s="1"/>
  <c r="AC4546" i="1"/>
  <c r="AD4546" i="1" s="1"/>
  <c r="AB4546" i="1" s="1"/>
  <c r="AC4542" i="1"/>
  <c r="AD4542" i="1" s="1"/>
  <c r="AB4542" i="1" s="1"/>
  <c r="AC4534" i="1"/>
  <c r="AD4534" i="1" s="1"/>
  <c r="AB4534" i="1" s="1"/>
  <c r="AC4538" i="1"/>
  <c r="AD4538" i="1" s="1"/>
  <c r="AB4538" i="1" s="1"/>
  <c r="AC4543" i="1"/>
  <c r="AD4543" i="1" s="1"/>
  <c r="AB4543" i="1" s="1"/>
  <c r="AC4535" i="1"/>
  <c r="AD4535" i="1" s="1"/>
  <c r="AB4535" i="1" s="1"/>
  <c r="AC4539" i="1"/>
  <c r="AD4539" i="1" s="1"/>
  <c r="AB4539" i="1" s="1"/>
  <c r="AC4536" i="1"/>
  <c r="AD4536" i="1" s="1"/>
  <c r="AB4536" i="1" s="1"/>
  <c r="AC4541" i="1"/>
  <c r="AD4541" i="1" s="1"/>
  <c r="AB4541" i="1" s="1"/>
  <c r="AC4533" i="1"/>
  <c r="AD4533" i="1" s="1"/>
  <c r="AC4540" i="1"/>
  <c r="AD4540" i="1" s="1"/>
  <c r="AB4540" i="1" s="1"/>
  <c r="AC4537" i="1"/>
  <c r="AD4537" i="1" s="1"/>
  <c r="AB4537" i="1" s="1"/>
  <c r="AC4554" i="1"/>
  <c r="AD4554" i="1" s="1"/>
  <c r="AB4554" i="1" s="1"/>
  <c r="AC4549" i="1"/>
  <c r="AD4549" i="1" s="1"/>
  <c r="AB4549" i="1" s="1"/>
  <c r="AC4556" i="1"/>
  <c r="AD4556" i="1" s="1"/>
  <c r="AB4556" i="1" s="1"/>
  <c r="AC4551" i="1"/>
  <c r="AD4551" i="1" s="1"/>
  <c r="AB4551" i="1" s="1"/>
  <c r="AC4550" i="1"/>
  <c r="AD4550" i="1" s="1"/>
  <c r="AB4550" i="1" s="1"/>
  <c r="AC4552" i="1"/>
  <c r="AD4552" i="1" s="1"/>
  <c r="AB4552" i="1" s="1"/>
  <c r="AC4553" i="1"/>
  <c r="AD4553" i="1" s="1"/>
  <c r="AB4553" i="1" s="1"/>
  <c r="AC4548" i="1"/>
  <c r="AD4548" i="1" s="1"/>
  <c r="AC4555" i="1"/>
  <c r="AD4555" i="1" s="1"/>
  <c r="AB4555" i="1" s="1"/>
  <c r="AC4530" i="1"/>
  <c r="AD4530" i="1" s="1"/>
  <c r="AB4530" i="1" s="1"/>
  <c r="AC4531" i="1"/>
  <c r="AD4531" i="1" s="1"/>
  <c r="AB4531" i="1" s="1"/>
  <c r="AC4528" i="1"/>
  <c r="AD4528" i="1" s="1"/>
  <c r="AC4529" i="1"/>
  <c r="AD4529" i="1" s="1"/>
  <c r="AB4529" i="1" s="1"/>
  <c r="AC4519" i="1"/>
  <c r="AD4519" i="1" s="1"/>
  <c r="AB4519" i="1" s="1"/>
  <c r="AC4523" i="1"/>
  <c r="AD4523" i="1" s="1"/>
  <c r="AB4523" i="1" s="1"/>
  <c r="AC4525" i="1"/>
  <c r="AD4525" i="1" s="1"/>
  <c r="AB4525" i="1" s="1"/>
  <c r="AC4520" i="1"/>
  <c r="AD4520" i="1" s="1"/>
  <c r="AB4520" i="1" s="1"/>
  <c r="AC4522" i="1"/>
  <c r="AD4522" i="1" s="1"/>
  <c r="AB4522" i="1" s="1"/>
  <c r="AC4517" i="1"/>
  <c r="AD4517" i="1" s="1"/>
  <c r="AC4524" i="1"/>
  <c r="AD4524" i="1" s="1"/>
  <c r="AB4524" i="1" s="1"/>
  <c r="AC4521" i="1"/>
  <c r="AD4521" i="1" s="1"/>
  <c r="AB4521" i="1" s="1"/>
  <c r="AC4518" i="1"/>
  <c r="AD4518" i="1" s="1"/>
  <c r="AB4518" i="1" s="1"/>
  <c r="AC4498" i="1"/>
  <c r="AD4498" i="1" s="1"/>
  <c r="AB4498" i="1" s="1"/>
  <c r="AC4500" i="1"/>
  <c r="AD4500" i="1" s="1"/>
  <c r="AB4500" i="1" s="1"/>
  <c r="AC4497" i="1"/>
  <c r="AD4497" i="1" s="1"/>
  <c r="AC4499" i="1"/>
  <c r="AD4499" i="1" s="1"/>
  <c r="AB4499" i="1" s="1"/>
  <c r="AC4515" i="1"/>
  <c r="AD4515" i="1" s="1"/>
  <c r="AB4515" i="1" s="1"/>
  <c r="AC4514" i="1"/>
  <c r="AD4514" i="1" s="1"/>
  <c r="AC4511" i="1"/>
  <c r="AD4511" i="1" s="1"/>
  <c r="AB4511" i="1" s="1"/>
  <c r="AC4507" i="1"/>
  <c r="AD4507" i="1" s="1"/>
  <c r="AB4507" i="1" s="1"/>
  <c r="AC4502" i="1"/>
  <c r="AD4502" i="1" s="1"/>
  <c r="AC4504" i="1"/>
  <c r="AD4504" i="1" s="1"/>
  <c r="AB4504" i="1" s="1"/>
  <c r="AC4506" i="1"/>
  <c r="AD4506" i="1" s="1"/>
  <c r="AB4506" i="1" s="1"/>
  <c r="AC4503" i="1"/>
  <c r="AD4503" i="1" s="1"/>
  <c r="AB4503" i="1" s="1"/>
  <c r="AC4508" i="1"/>
  <c r="AD4508" i="1" s="1"/>
  <c r="AB4508" i="1" s="1"/>
  <c r="AC4505" i="1"/>
  <c r="AD4505" i="1" s="1"/>
  <c r="AB4505" i="1" s="1"/>
  <c r="AC4510" i="1"/>
  <c r="AD4510" i="1" s="1"/>
  <c r="AB4510" i="1" s="1"/>
  <c r="AC4512" i="1"/>
  <c r="AD4512" i="1" s="1"/>
  <c r="AB4512" i="1" s="1"/>
  <c r="AC4509" i="1"/>
  <c r="AD4509" i="1" s="1"/>
  <c r="AB4509" i="1" s="1"/>
  <c r="AC4459" i="1"/>
  <c r="AC4416" i="1"/>
  <c r="AC4490" i="1"/>
  <c r="AD4490" i="1" s="1"/>
  <c r="AB4490" i="1" s="1"/>
  <c r="AC4488" i="1"/>
  <c r="AD4488" i="1" s="1"/>
  <c r="AC4489" i="1"/>
  <c r="AD4489" i="1" s="1"/>
  <c r="AB4489" i="1" s="1"/>
  <c r="AC4486" i="1"/>
  <c r="N4486" i="1"/>
  <c r="AD4481" i="1"/>
  <c r="AD4480" i="1" s="1"/>
  <c r="AB4482" i="1"/>
  <c r="N4448" i="1"/>
  <c r="AB4477" i="1"/>
  <c r="AD4476" i="1"/>
  <c r="AD4475" i="1" s="1"/>
  <c r="AB4475" i="1" s="1"/>
  <c r="AC4453" i="1"/>
  <c r="AB4472" i="1"/>
  <c r="AD4471" i="1"/>
  <c r="AD4470" i="1" s="1"/>
  <c r="N4431" i="1"/>
  <c r="N4426" i="1"/>
  <c r="AD4466" i="1"/>
  <c r="AD4465" i="1" s="1"/>
  <c r="AB4465" i="1" s="1"/>
  <c r="AB4467" i="1"/>
  <c r="AD4460" i="1"/>
  <c r="AD4459" i="1" s="1"/>
  <c r="AB4461" i="1"/>
  <c r="AC4421" i="1"/>
  <c r="AC4438" i="1"/>
  <c r="AD4454" i="1"/>
  <c r="AD4453" i="1" s="1"/>
  <c r="AB4455" i="1"/>
  <c r="AB4450" i="1"/>
  <c r="AD4449" i="1"/>
  <c r="AD4448" i="1" s="1"/>
  <c r="AB4448" i="1" s="1"/>
  <c r="AC4385" i="1"/>
  <c r="AB4445" i="1"/>
  <c r="AD4444" i="1"/>
  <c r="AD4443" i="1" s="1"/>
  <c r="AC4404" i="1"/>
  <c r="AB4440" i="1"/>
  <c r="AD4439" i="1"/>
  <c r="AD4438" i="1" s="1"/>
  <c r="AB4433" i="1"/>
  <c r="AD4432" i="1"/>
  <c r="AD4431" i="1" s="1"/>
  <c r="AB4431" i="1" s="1"/>
  <c r="AD4427" i="1"/>
  <c r="AD4426" i="1" s="1"/>
  <c r="AB4426" i="1" s="1"/>
  <c r="AB4428" i="1"/>
  <c r="N2856" i="1"/>
  <c r="N4409" i="1"/>
  <c r="AD4422" i="1"/>
  <c r="AD4421" i="1" s="1"/>
  <c r="AB4423" i="1"/>
  <c r="N4367" i="1"/>
  <c r="AD4417" i="1"/>
  <c r="AD4416" i="1" s="1"/>
  <c r="AB4418" i="1"/>
  <c r="N4360" i="1"/>
  <c r="AD4410" i="1"/>
  <c r="AD4409" i="1" s="1"/>
  <c r="AB4409" i="1" s="1"/>
  <c r="AB4411" i="1"/>
  <c r="AC4380" i="1"/>
  <c r="AD4405" i="1"/>
  <c r="AD4404" i="1" s="1"/>
  <c r="AB4406" i="1"/>
  <c r="N2846" i="1"/>
  <c r="AD4400" i="1"/>
  <c r="AD4399" i="1" s="1"/>
  <c r="AB4401" i="1"/>
  <c r="AC4395" i="1"/>
  <c r="AD4395" i="1" s="1"/>
  <c r="AB4395" i="1" s="1"/>
  <c r="AC4394" i="1"/>
  <c r="AD4394" i="1" s="1"/>
  <c r="AB4394" i="1" s="1"/>
  <c r="AC4393" i="1"/>
  <c r="AD4393" i="1" s="1"/>
  <c r="AC4391" i="1"/>
  <c r="N4391" i="1"/>
  <c r="N2812" i="1"/>
  <c r="AB4387" i="1"/>
  <c r="AD4386" i="1"/>
  <c r="AD4385" i="1" s="1"/>
  <c r="AD4381" i="1"/>
  <c r="AD4380" i="1" s="1"/>
  <c r="AB4382" i="1"/>
  <c r="AC2671" i="1"/>
  <c r="AC2824" i="1"/>
  <c r="AC4379" i="1"/>
  <c r="AD4379" i="1" s="1"/>
  <c r="AB4379" i="1" s="1"/>
  <c r="AC4378" i="1"/>
  <c r="AD4378" i="1" s="1"/>
  <c r="AB4378" i="1" s="1"/>
  <c r="AC4377" i="1"/>
  <c r="AD4377" i="1" s="1"/>
  <c r="AC2841" i="1"/>
  <c r="AC4375" i="1"/>
  <c r="N4375" i="1"/>
  <c r="AB4369" i="1"/>
  <c r="AD4368" i="1"/>
  <c r="AD4367" i="1" s="1"/>
  <c r="AB4367" i="1" s="1"/>
  <c r="N2788" i="1"/>
  <c r="AD4361" i="1"/>
  <c r="AD4360" i="1" s="1"/>
  <c r="AB4360" i="1" s="1"/>
  <c r="AB4362" i="1"/>
  <c r="AC2869" i="1"/>
  <c r="AD2869" i="1" s="1"/>
  <c r="AB2869" i="1" s="1"/>
  <c r="AC2874" i="1"/>
  <c r="AD2874" i="1" s="1"/>
  <c r="AB2874" i="1" s="1"/>
  <c r="AC2871" i="1"/>
  <c r="AD2871" i="1" s="1"/>
  <c r="AB2871" i="1" s="1"/>
  <c r="AC2866" i="1"/>
  <c r="AD2866" i="1" s="1"/>
  <c r="AB2866" i="1" s="1"/>
  <c r="AC2868" i="1"/>
  <c r="AD2868" i="1" s="1"/>
  <c r="AB2868" i="1" s="1"/>
  <c r="AC2873" i="1"/>
  <c r="AD2873" i="1" s="1"/>
  <c r="AB2873" i="1" s="1"/>
  <c r="AC2870" i="1"/>
  <c r="AD2870" i="1" s="1"/>
  <c r="AB2870" i="1" s="1"/>
  <c r="AC2865" i="1"/>
  <c r="AD2865" i="1" s="1"/>
  <c r="AC2872" i="1"/>
  <c r="AD2872" i="1" s="1"/>
  <c r="AB2872" i="1" s="1"/>
  <c r="AC2867" i="1"/>
  <c r="AD2867" i="1" s="1"/>
  <c r="AB2867" i="1" s="1"/>
  <c r="AC2863" i="1"/>
  <c r="AD2863" i="1" s="1"/>
  <c r="AB2863" i="1" s="1"/>
  <c r="AC2858" i="1"/>
  <c r="AD2858" i="1" s="1"/>
  <c r="AC2860" i="1"/>
  <c r="AD2860" i="1" s="1"/>
  <c r="AB2860" i="1" s="1"/>
  <c r="AC2862" i="1"/>
  <c r="AD2862" i="1" s="1"/>
  <c r="AB2862" i="1" s="1"/>
  <c r="AC2859" i="1"/>
  <c r="AD2859" i="1" s="1"/>
  <c r="AB2859" i="1" s="1"/>
  <c r="AC2861" i="1"/>
  <c r="AD2861" i="1" s="1"/>
  <c r="AB2861" i="1" s="1"/>
  <c r="AC2854" i="1"/>
  <c r="AD2854" i="1" s="1"/>
  <c r="AB2854" i="1" s="1"/>
  <c r="AC2855" i="1"/>
  <c r="AD2855" i="1" s="1"/>
  <c r="AB2855" i="1" s="1"/>
  <c r="AC2853" i="1"/>
  <c r="AD2853" i="1" s="1"/>
  <c r="N2851" i="1"/>
  <c r="AC2851" i="1"/>
  <c r="AB2848" i="1"/>
  <c r="AD2847" i="1"/>
  <c r="AD2846" i="1" s="1"/>
  <c r="AB2846" i="1" s="1"/>
  <c r="AB2843" i="1"/>
  <c r="AD2842" i="1"/>
  <c r="AD2841" i="1" s="1"/>
  <c r="AC2840" i="1"/>
  <c r="AD2840" i="1" s="1"/>
  <c r="AB2840" i="1" s="1"/>
  <c r="AC2839" i="1"/>
  <c r="AD2839" i="1" s="1"/>
  <c r="AB2839" i="1" s="1"/>
  <c r="AC2838" i="1"/>
  <c r="AD2838" i="1" s="1"/>
  <c r="N2836" i="1"/>
  <c r="AC2836" i="1"/>
  <c r="AD2825" i="1"/>
  <c r="AD2824" i="1" s="1"/>
  <c r="AB2826" i="1"/>
  <c r="AC2703" i="1"/>
  <c r="AD2813" i="1"/>
  <c r="AD2812" i="1" s="1"/>
  <c r="AB2812" i="1" s="1"/>
  <c r="AB2814" i="1"/>
  <c r="AC2776" i="1"/>
  <c r="AC2805" i="1"/>
  <c r="AD2805" i="1" s="1"/>
  <c r="AB2805" i="1" s="1"/>
  <c r="AC2811" i="1"/>
  <c r="AD2811" i="1" s="1"/>
  <c r="AB2811" i="1" s="1"/>
  <c r="AC2806" i="1"/>
  <c r="AD2806" i="1" s="1"/>
  <c r="AB2806" i="1" s="1"/>
  <c r="AC2810" i="1"/>
  <c r="AD2810" i="1" s="1"/>
  <c r="AB2810" i="1" s="1"/>
  <c r="AC2807" i="1"/>
  <c r="AD2807" i="1" s="1"/>
  <c r="AB2807" i="1" s="1"/>
  <c r="AC2809" i="1"/>
  <c r="AD2809" i="1" s="1"/>
  <c r="AB2809" i="1" s="1"/>
  <c r="AC2804" i="1"/>
  <c r="AD2804" i="1" s="1"/>
  <c r="AB2804" i="1" s="1"/>
  <c r="AC2808" i="1"/>
  <c r="AD2808" i="1" s="1"/>
  <c r="AB2808" i="1" s="1"/>
  <c r="AC2803" i="1"/>
  <c r="AD2803" i="1" s="1"/>
  <c r="AB2803" i="1" s="1"/>
  <c r="AC2802" i="1"/>
  <c r="AD2802" i="1" s="1"/>
  <c r="N2800" i="1"/>
  <c r="AC2800" i="1"/>
  <c r="AD2789" i="1"/>
  <c r="AD2788" i="1" s="1"/>
  <c r="AB2788" i="1" s="1"/>
  <c r="AB2790" i="1"/>
  <c r="AD2777" i="1"/>
  <c r="AD2776" i="1" s="1"/>
  <c r="AB2778" i="1"/>
  <c r="AC2363" i="1"/>
  <c r="AC2737" i="1"/>
  <c r="AD2737" i="1" s="1"/>
  <c r="AC2738" i="1"/>
  <c r="AD2738" i="1" s="1"/>
  <c r="AB2738" i="1" s="1"/>
  <c r="AC2740" i="1"/>
  <c r="AD2740" i="1" s="1"/>
  <c r="AB2740" i="1" s="1"/>
  <c r="AC2739" i="1"/>
  <c r="AD2739" i="1" s="1"/>
  <c r="AB2739" i="1" s="1"/>
  <c r="AC2755" i="1"/>
  <c r="AD2755" i="1" s="1"/>
  <c r="AC2756" i="1"/>
  <c r="AD2756" i="1" s="1"/>
  <c r="AB2756" i="1" s="1"/>
  <c r="AC2765" i="1"/>
  <c r="AD2765" i="1" s="1"/>
  <c r="AB2765" i="1" s="1"/>
  <c r="AC2766" i="1"/>
  <c r="AD2766" i="1" s="1"/>
  <c r="AB2766" i="1" s="1"/>
  <c r="AC2761" i="1"/>
  <c r="AD2761" i="1" s="1"/>
  <c r="AB2761" i="1" s="1"/>
  <c r="AC2760" i="1"/>
  <c r="AD2760" i="1" s="1"/>
  <c r="AB2760" i="1" s="1"/>
  <c r="AC2759" i="1"/>
  <c r="AD2759" i="1" s="1"/>
  <c r="AB2759" i="1" s="1"/>
  <c r="AC2763" i="1"/>
  <c r="AD2763" i="1" s="1"/>
  <c r="AB2763" i="1" s="1"/>
  <c r="AC2758" i="1"/>
  <c r="AD2758" i="1" s="1"/>
  <c r="AC2764" i="1"/>
  <c r="AD2764" i="1" s="1"/>
  <c r="AB2764" i="1" s="1"/>
  <c r="AC2762" i="1"/>
  <c r="AD2762" i="1" s="1"/>
  <c r="AB2762" i="1" s="1"/>
  <c r="AC2752" i="1"/>
  <c r="AD2752" i="1" s="1"/>
  <c r="AB2752" i="1" s="1"/>
  <c r="AC2744" i="1"/>
  <c r="AD2744" i="1" s="1"/>
  <c r="AB2744" i="1" s="1"/>
  <c r="AC2751" i="1"/>
  <c r="AD2751" i="1" s="1"/>
  <c r="AB2751" i="1" s="1"/>
  <c r="AC2748" i="1"/>
  <c r="AD2748" i="1" s="1"/>
  <c r="AB2748" i="1" s="1"/>
  <c r="AC2753" i="1"/>
  <c r="AD2753" i="1" s="1"/>
  <c r="AB2753" i="1" s="1"/>
  <c r="AC2745" i="1"/>
  <c r="AD2745" i="1" s="1"/>
  <c r="AB2745" i="1" s="1"/>
  <c r="AC2749" i="1"/>
  <c r="AD2749" i="1" s="1"/>
  <c r="AB2749" i="1" s="1"/>
  <c r="AC2746" i="1"/>
  <c r="AD2746" i="1" s="1"/>
  <c r="AB2746" i="1" s="1"/>
  <c r="AC2743" i="1"/>
  <c r="AD2743" i="1" s="1"/>
  <c r="AB2743" i="1" s="1"/>
  <c r="AC2747" i="1"/>
  <c r="AD2747" i="1" s="1"/>
  <c r="AB2747" i="1" s="1"/>
  <c r="AC2742" i="1"/>
  <c r="AD2742" i="1" s="1"/>
  <c r="AC2750" i="1"/>
  <c r="AD2750" i="1" s="1"/>
  <c r="AB2750" i="1" s="1"/>
  <c r="N2735" i="1"/>
  <c r="AC2735" i="1"/>
  <c r="AC2706" i="1"/>
  <c r="AD2706" i="1" s="1"/>
  <c r="AB2706" i="1" s="1"/>
  <c r="AC2708" i="1"/>
  <c r="AD2708" i="1" s="1"/>
  <c r="AB2708" i="1" s="1"/>
  <c r="AC2705" i="1"/>
  <c r="AD2705" i="1" s="1"/>
  <c r="AC2707" i="1"/>
  <c r="AD2707" i="1" s="1"/>
  <c r="AB2707" i="1" s="1"/>
  <c r="AC2734" i="1"/>
  <c r="AD2734" i="1" s="1"/>
  <c r="AB2734" i="1" s="1"/>
  <c r="AC2729" i="1"/>
  <c r="AD2729" i="1" s="1"/>
  <c r="AB2729" i="1" s="1"/>
  <c r="AC2727" i="1"/>
  <c r="AD2727" i="1" s="1"/>
  <c r="AB2727" i="1" s="1"/>
  <c r="AC2731" i="1"/>
  <c r="AD2731" i="1" s="1"/>
  <c r="AB2731" i="1" s="1"/>
  <c r="AC2728" i="1"/>
  <c r="AD2728" i="1" s="1"/>
  <c r="AB2728" i="1" s="1"/>
  <c r="AC2726" i="1"/>
  <c r="AD2726" i="1" s="1"/>
  <c r="AC2733" i="1"/>
  <c r="AD2733" i="1" s="1"/>
  <c r="AB2733" i="1" s="1"/>
  <c r="AC2730" i="1"/>
  <c r="AD2730" i="1" s="1"/>
  <c r="AB2730" i="1" s="1"/>
  <c r="AC2732" i="1"/>
  <c r="AD2732" i="1" s="1"/>
  <c r="AB2732" i="1" s="1"/>
  <c r="AC2723" i="1"/>
  <c r="AD2723" i="1" s="1"/>
  <c r="AC2724" i="1"/>
  <c r="AD2724" i="1" s="1"/>
  <c r="AB2724" i="1" s="1"/>
  <c r="AC2720" i="1"/>
  <c r="AD2720" i="1" s="1"/>
  <c r="AB2720" i="1" s="1"/>
  <c r="AC2712" i="1"/>
  <c r="AD2712" i="1" s="1"/>
  <c r="AB2712" i="1" s="1"/>
  <c r="AC2713" i="1"/>
  <c r="AD2713" i="1" s="1"/>
  <c r="AB2713" i="1" s="1"/>
  <c r="AC2717" i="1"/>
  <c r="AD2717" i="1" s="1"/>
  <c r="AB2717" i="1" s="1"/>
  <c r="AC2714" i="1"/>
  <c r="AD2714" i="1" s="1"/>
  <c r="AB2714" i="1" s="1"/>
  <c r="AC2721" i="1"/>
  <c r="AD2721" i="1" s="1"/>
  <c r="AB2721" i="1" s="1"/>
  <c r="AC2719" i="1"/>
  <c r="AD2719" i="1" s="1"/>
  <c r="AB2719" i="1" s="1"/>
  <c r="AC2711" i="1"/>
  <c r="AD2711" i="1" s="1"/>
  <c r="AB2711" i="1" s="1"/>
  <c r="AC2716" i="1"/>
  <c r="AD2716" i="1" s="1"/>
  <c r="AB2716" i="1" s="1"/>
  <c r="AC2718" i="1"/>
  <c r="AD2718" i="1" s="1"/>
  <c r="AB2718" i="1" s="1"/>
  <c r="AC2715" i="1"/>
  <c r="AD2715" i="1" s="1"/>
  <c r="AB2715" i="1" s="1"/>
  <c r="AC2710" i="1"/>
  <c r="AD2710" i="1" s="1"/>
  <c r="AC2702" i="1"/>
  <c r="AD2702" i="1" s="1"/>
  <c r="AB2702" i="1" s="1"/>
  <c r="AC2697" i="1"/>
  <c r="AD2697" i="1" s="1"/>
  <c r="AB2697" i="1" s="1"/>
  <c r="AC2698" i="1"/>
  <c r="AD2698" i="1" s="1"/>
  <c r="AB2698" i="1" s="1"/>
  <c r="AC2699" i="1"/>
  <c r="AD2699" i="1" s="1"/>
  <c r="AB2699" i="1" s="1"/>
  <c r="AC2694" i="1"/>
  <c r="AD2694" i="1" s="1"/>
  <c r="AC2701" i="1"/>
  <c r="AD2701" i="1" s="1"/>
  <c r="AB2701" i="1" s="1"/>
  <c r="AC2696" i="1"/>
  <c r="AD2696" i="1" s="1"/>
  <c r="AB2696" i="1" s="1"/>
  <c r="AC2700" i="1"/>
  <c r="AD2700" i="1" s="1"/>
  <c r="AB2700" i="1" s="1"/>
  <c r="AC2695" i="1"/>
  <c r="AD2695" i="1" s="1"/>
  <c r="AB2695" i="1" s="1"/>
  <c r="AC2691" i="1"/>
  <c r="AD2691" i="1" s="1"/>
  <c r="AC2692" i="1"/>
  <c r="AD2692" i="1" s="1"/>
  <c r="AB2692" i="1" s="1"/>
  <c r="AC2674" i="1"/>
  <c r="AD2674" i="1" s="1"/>
  <c r="AB2674" i="1" s="1"/>
  <c r="AC2675" i="1"/>
  <c r="AD2675" i="1" s="1"/>
  <c r="AB2675" i="1" s="1"/>
  <c r="AC2676" i="1"/>
  <c r="AD2676" i="1" s="1"/>
  <c r="AB2676" i="1" s="1"/>
  <c r="AC2673" i="1"/>
  <c r="AD2673" i="1" s="1"/>
  <c r="AC2688" i="1"/>
  <c r="AD2688" i="1" s="1"/>
  <c r="AB2688" i="1" s="1"/>
  <c r="AC2680" i="1"/>
  <c r="AD2680" i="1" s="1"/>
  <c r="AB2680" i="1" s="1"/>
  <c r="AC2679" i="1"/>
  <c r="AD2679" i="1" s="1"/>
  <c r="AB2679" i="1" s="1"/>
  <c r="AC2689" i="1"/>
  <c r="AD2689" i="1" s="1"/>
  <c r="AB2689" i="1" s="1"/>
  <c r="AC2686" i="1"/>
  <c r="AD2686" i="1" s="1"/>
  <c r="AB2686" i="1" s="1"/>
  <c r="AC2678" i="1"/>
  <c r="AD2678" i="1" s="1"/>
  <c r="AC2685" i="1"/>
  <c r="AD2685" i="1" s="1"/>
  <c r="AB2685" i="1" s="1"/>
  <c r="AC2682" i="1"/>
  <c r="AD2682" i="1" s="1"/>
  <c r="AB2682" i="1" s="1"/>
  <c r="AC2681" i="1"/>
  <c r="AD2681" i="1" s="1"/>
  <c r="AB2681" i="1" s="1"/>
  <c r="AC2687" i="1"/>
  <c r="AD2687" i="1" s="1"/>
  <c r="AB2687" i="1" s="1"/>
  <c r="AC2684" i="1"/>
  <c r="AD2684" i="1" s="1"/>
  <c r="AB2684" i="1" s="1"/>
  <c r="AC2683" i="1"/>
  <c r="AD2683" i="1" s="1"/>
  <c r="AB2683" i="1" s="1"/>
  <c r="AC2658" i="1"/>
  <c r="AD2658" i="1" s="1"/>
  <c r="AC2659" i="1"/>
  <c r="AD2659" i="1" s="1"/>
  <c r="AB2659" i="1" s="1"/>
  <c r="AC2655" i="1"/>
  <c r="AD2655" i="1" s="1"/>
  <c r="AB2655" i="1" s="1"/>
  <c r="AC2651" i="1"/>
  <c r="AD2651" i="1" s="1"/>
  <c r="AB2651" i="1" s="1"/>
  <c r="AC2656" i="1"/>
  <c r="AD2656" i="1" s="1"/>
  <c r="AB2656" i="1" s="1"/>
  <c r="AC2647" i="1"/>
  <c r="AD2647" i="1" s="1"/>
  <c r="AB2647" i="1" s="1"/>
  <c r="AC2648" i="1"/>
  <c r="AD2648" i="1" s="1"/>
  <c r="AB2648" i="1" s="1"/>
  <c r="AC2652" i="1"/>
  <c r="AD2652" i="1" s="1"/>
  <c r="AB2652" i="1" s="1"/>
  <c r="AC2649" i="1"/>
  <c r="AD2649" i="1" s="1"/>
  <c r="AB2649" i="1" s="1"/>
  <c r="AC2654" i="1"/>
  <c r="AD2654" i="1" s="1"/>
  <c r="AB2654" i="1" s="1"/>
  <c r="AC2646" i="1"/>
  <c r="AD2646" i="1" s="1"/>
  <c r="AC2653" i="1"/>
  <c r="AD2653" i="1" s="1"/>
  <c r="AB2653" i="1" s="1"/>
  <c r="AC2650" i="1"/>
  <c r="AD2650" i="1" s="1"/>
  <c r="AB2650" i="1" s="1"/>
  <c r="AC2668" i="1"/>
  <c r="AD2668" i="1" s="1"/>
  <c r="AB2668" i="1" s="1"/>
  <c r="AC2663" i="1"/>
  <c r="AD2663" i="1" s="1"/>
  <c r="AB2663" i="1" s="1"/>
  <c r="AC2665" i="1"/>
  <c r="AD2665" i="1" s="1"/>
  <c r="AB2665" i="1" s="1"/>
  <c r="AC2662" i="1"/>
  <c r="AD2662" i="1" s="1"/>
  <c r="AB2662" i="1" s="1"/>
  <c r="AC2669" i="1"/>
  <c r="AD2669" i="1" s="1"/>
  <c r="AB2669" i="1" s="1"/>
  <c r="AC2664" i="1"/>
  <c r="AD2664" i="1" s="1"/>
  <c r="AB2664" i="1" s="1"/>
  <c r="AC2666" i="1"/>
  <c r="AD2666" i="1" s="1"/>
  <c r="AB2666" i="1" s="1"/>
  <c r="AC2661" i="1"/>
  <c r="AD2661" i="1" s="1"/>
  <c r="AC2667" i="1"/>
  <c r="AD2667" i="1" s="1"/>
  <c r="AB2667" i="1" s="1"/>
  <c r="AC2643" i="1"/>
  <c r="AD2643" i="1" s="1"/>
  <c r="AB2643" i="1" s="1"/>
  <c r="AC2642" i="1"/>
  <c r="AD2642" i="1" s="1"/>
  <c r="AB2642" i="1" s="1"/>
  <c r="AC2644" i="1"/>
  <c r="AD2644" i="1" s="1"/>
  <c r="AB2644" i="1" s="1"/>
  <c r="AC2641" i="1"/>
  <c r="AD2641" i="1" s="1"/>
  <c r="N2639" i="1"/>
  <c r="AC2639" i="1"/>
  <c r="AC2624" i="1"/>
  <c r="AD2624" i="1" s="1"/>
  <c r="AB2624" i="1" s="1"/>
  <c r="AC2623" i="1"/>
  <c r="AD2623" i="1" s="1"/>
  <c r="AB2623" i="1" s="1"/>
  <c r="AC2620" i="1"/>
  <c r="AD2620" i="1" s="1"/>
  <c r="AB2620" i="1" s="1"/>
  <c r="AC2625" i="1"/>
  <c r="AD2625" i="1" s="1"/>
  <c r="AB2625" i="1" s="1"/>
  <c r="AC2617" i="1"/>
  <c r="AD2617" i="1" s="1"/>
  <c r="AB2617" i="1" s="1"/>
  <c r="AC2619" i="1"/>
  <c r="AD2619" i="1" s="1"/>
  <c r="AB2619" i="1" s="1"/>
  <c r="AC2616" i="1"/>
  <c r="AD2616" i="1" s="1"/>
  <c r="AB2616" i="1" s="1"/>
  <c r="AC2618" i="1"/>
  <c r="AD2618" i="1" s="1"/>
  <c r="AB2618" i="1" s="1"/>
  <c r="AC2615" i="1"/>
  <c r="AD2615" i="1" s="1"/>
  <c r="AC2621" i="1"/>
  <c r="AD2621" i="1" s="1"/>
  <c r="AB2621" i="1" s="1"/>
  <c r="AC2622" i="1"/>
  <c r="AD2622" i="1" s="1"/>
  <c r="AB2622" i="1" s="1"/>
  <c r="AC2630" i="1"/>
  <c r="AD2630" i="1" s="1"/>
  <c r="AC2637" i="1"/>
  <c r="AD2637" i="1" s="1"/>
  <c r="AB2637" i="1" s="1"/>
  <c r="AC2632" i="1"/>
  <c r="AD2632" i="1" s="1"/>
  <c r="AB2632" i="1" s="1"/>
  <c r="AC2634" i="1"/>
  <c r="AD2634" i="1" s="1"/>
  <c r="AB2634" i="1" s="1"/>
  <c r="AC2631" i="1"/>
  <c r="AD2631" i="1" s="1"/>
  <c r="AB2631" i="1" s="1"/>
  <c r="AC2638" i="1"/>
  <c r="AD2638" i="1" s="1"/>
  <c r="AB2638" i="1" s="1"/>
  <c r="AC2633" i="1"/>
  <c r="AD2633" i="1" s="1"/>
  <c r="AB2633" i="1" s="1"/>
  <c r="AC2635" i="1"/>
  <c r="AD2635" i="1" s="1"/>
  <c r="AB2635" i="1" s="1"/>
  <c r="AC2636" i="1"/>
  <c r="AD2636" i="1" s="1"/>
  <c r="AB2636" i="1" s="1"/>
  <c r="AC2612" i="1"/>
  <c r="AD2612" i="1" s="1"/>
  <c r="AB2612" i="1" s="1"/>
  <c r="AC2613" i="1"/>
  <c r="AD2613" i="1" s="1"/>
  <c r="AB2613" i="1" s="1"/>
  <c r="AC2610" i="1"/>
  <c r="AD2610" i="1" s="1"/>
  <c r="AC2611" i="1"/>
  <c r="AD2611" i="1" s="1"/>
  <c r="AB2611" i="1" s="1"/>
  <c r="AC2628" i="1"/>
  <c r="AD2628" i="1" s="1"/>
  <c r="AB2628" i="1" s="1"/>
  <c r="AC2627" i="1"/>
  <c r="AD2627" i="1" s="1"/>
  <c r="AC2396" i="1"/>
  <c r="AC2593" i="1"/>
  <c r="AD2593" i="1" s="1"/>
  <c r="AB2593" i="1" s="1"/>
  <c r="AC2584" i="1"/>
  <c r="AD2584" i="1" s="1"/>
  <c r="AC2585" i="1"/>
  <c r="AD2585" i="1" s="1"/>
  <c r="AB2585" i="1" s="1"/>
  <c r="AC2589" i="1"/>
  <c r="AD2589" i="1" s="1"/>
  <c r="AB2589" i="1" s="1"/>
  <c r="AC2594" i="1"/>
  <c r="AD2594" i="1" s="1"/>
  <c r="AB2594" i="1" s="1"/>
  <c r="AC2590" i="1"/>
  <c r="AD2590" i="1" s="1"/>
  <c r="AB2590" i="1" s="1"/>
  <c r="AC2587" i="1"/>
  <c r="AD2587" i="1" s="1"/>
  <c r="AB2587" i="1" s="1"/>
  <c r="AC2592" i="1"/>
  <c r="AD2592" i="1" s="1"/>
  <c r="AB2592" i="1" s="1"/>
  <c r="AC2586" i="1"/>
  <c r="AD2586" i="1" s="1"/>
  <c r="AB2586" i="1" s="1"/>
  <c r="AC2591" i="1"/>
  <c r="AD2591" i="1" s="1"/>
  <c r="AB2591" i="1" s="1"/>
  <c r="AC2588" i="1"/>
  <c r="AD2588" i="1" s="1"/>
  <c r="AB2588" i="1" s="1"/>
  <c r="AC2579" i="1"/>
  <c r="AD2579" i="1" s="1"/>
  <c r="AC2581" i="1"/>
  <c r="AD2581" i="1" s="1"/>
  <c r="AB2581" i="1" s="1"/>
  <c r="AC2582" i="1"/>
  <c r="AD2582" i="1" s="1"/>
  <c r="AB2582" i="1" s="1"/>
  <c r="AC2580" i="1"/>
  <c r="AD2580" i="1" s="1"/>
  <c r="AB2580" i="1" s="1"/>
  <c r="AC2596" i="1"/>
  <c r="AD2596" i="1" s="1"/>
  <c r="AC2597" i="1"/>
  <c r="AD2597" i="1" s="1"/>
  <c r="AB2597" i="1" s="1"/>
  <c r="AC2601" i="1"/>
  <c r="AD2601" i="1" s="1"/>
  <c r="AB2601" i="1" s="1"/>
  <c r="AC2607" i="1"/>
  <c r="AD2607" i="1" s="1"/>
  <c r="AB2607" i="1" s="1"/>
  <c r="AC2602" i="1"/>
  <c r="AD2602" i="1" s="1"/>
  <c r="AB2602" i="1" s="1"/>
  <c r="AC2606" i="1"/>
  <c r="AD2606" i="1" s="1"/>
  <c r="AB2606" i="1" s="1"/>
  <c r="AC2604" i="1"/>
  <c r="AD2604" i="1" s="1"/>
  <c r="AB2604" i="1" s="1"/>
  <c r="AC2599" i="1"/>
  <c r="AD2599" i="1" s="1"/>
  <c r="AC2603" i="1"/>
  <c r="AD2603" i="1" s="1"/>
  <c r="AB2603" i="1" s="1"/>
  <c r="AC2600" i="1"/>
  <c r="AD2600" i="1" s="1"/>
  <c r="AB2600" i="1" s="1"/>
  <c r="AC2605" i="1"/>
  <c r="AD2605" i="1" s="1"/>
  <c r="AB2605" i="1" s="1"/>
  <c r="AC2559" i="1"/>
  <c r="AD2559" i="1" s="1"/>
  <c r="AB2559" i="1" s="1"/>
  <c r="AC2551" i="1"/>
  <c r="AD2551" i="1" s="1"/>
  <c r="AB2551" i="1" s="1"/>
  <c r="AC2556" i="1"/>
  <c r="AD2556" i="1" s="1"/>
  <c r="AB2556" i="1" s="1"/>
  <c r="AC2554" i="1"/>
  <c r="AD2554" i="1" s="1"/>
  <c r="AB2554" i="1" s="1"/>
  <c r="AC2553" i="1"/>
  <c r="AD2553" i="1" s="1"/>
  <c r="AB2553" i="1" s="1"/>
  <c r="AC2558" i="1"/>
  <c r="AD2558" i="1" s="1"/>
  <c r="AB2558" i="1" s="1"/>
  <c r="AC2555" i="1"/>
  <c r="AD2555" i="1" s="1"/>
  <c r="AB2555" i="1" s="1"/>
  <c r="AC2550" i="1"/>
  <c r="AD2550" i="1" s="1"/>
  <c r="AC2560" i="1"/>
  <c r="AD2560" i="1" s="1"/>
  <c r="AB2560" i="1" s="1"/>
  <c r="AC2552" i="1"/>
  <c r="AD2552" i="1" s="1"/>
  <c r="AB2552" i="1" s="1"/>
  <c r="AC2557" i="1"/>
  <c r="AD2557" i="1" s="1"/>
  <c r="AB2557" i="1" s="1"/>
  <c r="AC2546" i="1"/>
  <c r="AD2546" i="1" s="1"/>
  <c r="AB2546" i="1" s="1"/>
  <c r="AC2545" i="1"/>
  <c r="AD2545" i="1" s="1"/>
  <c r="AC2547" i="1"/>
  <c r="AD2547" i="1" s="1"/>
  <c r="AB2547" i="1" s="1"/>
  <c r="AC2548" i="1"/>
  <c r="AD2548" i="1" s="1"/>
  <c r="AB2548" i="1" s="1"/>
  <c r="AC2562" i="1"/>
  <c r="AD2562" i="1" s="1"/>
  <c r="AC2563" i="1"/>
  <c r="AD2563" i="1" s="1"/>
  <c r="AB2563" i="1" s="1"/>
  <c r="AC2569" i="1"/>
  <c r="AD2569" i="1" s="1"/>
  <c r="AB2569" i="1" s="1"/>
  <c r="AC2573" i="1"/>
  <c r="AD2573" i="1" s="1"/>
  <c r="AB2573" i="1" s="1"/>
  <c r="AC2568" i="1"/>
  <c r="AD2568" i="1" s="1"/>
  <c r="AB2568" i="1" s="1"/>
  <c r="AC2567" i="1"/>
  <c r="AD2567" i="1" s="1"/>
  <c r="AB2567" i="1" s="1"/>
  <c r="AC2566" i="1"/>
  <c r="AD2566" i="1" s="1"/>
  <c r="AB2566" i="1" s="1"/>
  <c r="AC2571" i="1"/>
  <c r="AD2571" i="1" s="1"/>
  <c r="AB2571" i="1" s="1"/>
  <c r="AC2570" i="1"/>
  <c r="AD2570" i="1" s="1"/>
  <c r="AB2570" i="1" s="1"/>
  <c r="AC2565" i="1"/>
  <c r="AD2565" i="1" s="1"/>
  <c r="AC2572" i="1"/>
  <c r="AD2572" i="1" s="1"/>
  <c r="AB2572" i="1" s="1"/>
  <c r="AC2528" i="1"/>
  <c r="AD2528" i="1" s="1"/>
  <c r="AB2528" i="1" s="1"/>
  <c r="AC2524" i="1"/>
  <c r="AD2524" i="1" s="1"/>
  <c r="AB2524" i="1" s="1"/>
  <c r="AC2529" i="1"/>
  <c r="AD2529" i="1" s="1"/>
  <c r="AB2529" i="1" s="1"/>
  <c r="AC2526" i="1"/>
  <c r="AD2526" i="1" s="1"/>
  <c r="AB2526" i="1" s="1"/>
  <c r="AC2523" i="1"/>
  <c r="AD2523" i="1" s="1"/>
  <c r="AB2523" i="1" s="1"/>
  <c r="AC2520" i="1"/>
  <c r="AD2520" i="1" s="1"/>
  <c r="AB2520" i="1" s="1"/>
  <c r="AC2525" i="1"/>
  <c r="AD2525" i="1" s="1"/>
  <c r="AB2525" i="1" s="1"/>
  <c r="AC2522" i="1"/>
  <c r="AD2522" i="1" s="1"/>
  <c r="AB2522" i="1" s="1"/>
  <c r="AC2527" i="1"/>
  <c r="AD2527" i="1" s="1"/>
  <c r="AB2527" i="1" s="1"/>
  <c r="AC2519" i="1"/>
  <c r="AD2519" i="1" s="1"/>
  <c r="AC2521" i="1"/>
  <c r="AD2521" i="1" s="1"/>
  <c r="AB2521" i="1" s="1"/>
  <c r="AC2514" i="1"/>
  <c r="AD2514" i="1" s="1"/>
  <c r="AC2516" i="1"/>
  <c r="AD2516" i="1" s="1"/>
  <c r="AB2516" i="1" s="1"/>
  <c r="AC2515" i="1"/>
  <c r="AD2515" i="1" s="1"/>
  <c r="AB2515" i="1" s="1"/>
  <c r="AC2517" i="1"/>
  <c r="AD2517" i="1" s="1"/>
  <c r="AB2517" i="1" s="1"/>
  <c r="AC2532" i="1"/>
  <c r="AD2532" i="1" s="1"/>
  <c r="AB2532" i="1" s="1"/>
  <c r="AC2531" i="1"/>
  <c r="AD2531" i="1" s="1"/>
  <c r="AC2541" i="1"/>
  <c r="AD2541" i="1" s="1"/>
  <c r="AB2541" i="1" s="1"/>
  <c r="AC2536" i="1"/>
  <c r="AD2536" i="1" s="1"/>
  <c r="AB2536" i="1" s="1"/>
  <c r="AC2540" i="1"/>
  <c r="AD2540" i="1" s="1"/>
  <c r="AB2540" i="1" s="1"/>
  <c r="AC2542" i="1"/>
  <c r="AD2542" i="1" s="1"/>
  <c r="AB2542" i="1" s="1"/>
  <c r="AC2537" i="1"/>
  <c r="AD2537" i="1" s="1"/>
  <c r="AB2537" i="1" s="1"/>
  <c r="AC2539" i="1"/>
  <c r="AD2539" i="1" s="1"/>
  <c r="AB2539" i="1" s="1"/>
  <c r="AC2534" i="1"/>
  <c r="AD2534" i="1" s="1"/>
  <c r="AC2538" i="1"/>
  <c r="AD2538" i="1" s="1"/>
  <c r="AB2538" i="1" s="1"/>
  <c r="AC2535" i="1"/>
  <c r="AD2535" i="1" s="1"/>
  <c r="AB2535" i="1" s="1"/>
  <c r="AC2391" i="1"/>
  <c r="N2375" i="1"/>
  <c r="AC2497" i="1"/>
  <c r="AD2497" i="1" s="1"/>
  <c r="AB2497" i="1" s="1"/>
  <c r="AC2498" i="1"/>
  <c r="AD2498" i="1" s="1"/>
  <c r="AB2498" i="1" s="1"/>
  <c r="AC2489" i="1"/>
  <c r="AD2489" i="1" s="1"/>
  <c r="AB2489" i="1" s="1"/>
  <c r="AC2492" i="1"/>
  <c r="AD2492" i="1" s="1"/>
  <c r="AB2492" i="1" s="1"/>
  <c r="AC2494" i="1"/>
  <c r="AD2494" i="1" s="1"/>
  <c r="AB2494" i="1" s="1"/>
  <c r="AC2491" i="1"/>
  <c r="AD2491" i="1" s="1"/>
  <c r="AB2491" i="1" s="1"/>
  <c r="AC2488" i="1"/>
  <c r="AD2488" i="1" s="1"/>
  <c r="AC2496" i="1"/>
  <c r="AD2496" i="1" s="1"/>
  <c r="AB2496" i="1" s="1"/>
  <c r="AC2493" i="1"/>
  <c r="AD2493" i="1" s="1"/>
  <c r="AB2493" i="1" s="1"/>
  <c r="AC2495" i="1"/>
  <c r="AD2495" i="1" s="1"/>
  <c r="AB2495" i="1" s="1"/>
  <c r="AC2490" i="1"/>
  <c r="AD2490" i="1" s="1"/>
  <c r="AB2490" i="1" s="1"/>
  <c r="AC2484" i="1"/>
  <c r="AD2484" i="1" s="1"/>
  <c r="AB2484" i="1" s="1"/>
  <c r="AC2483" i="1"/>
  <c r="AD2483" i="1" s="1"/>
  <c r="AC2486" i="1"/>
  <c r="AD2486" i="1" s="1"/>
  <c r="AB2486" i="1" s="1"/>
  <c r="AC2485" i="1"/>
  <c r="AD2485" i="1" s="1"/>
  <c r="AB2485" i="1" s="1"/>
  <c r="AC2501" i="1"/>
  <c r="AD2501" i="1" s="1"/>
  <c r="AB2501" i="1" s="1"/>
  <c r="AC2500" i="1"/>
  <c r="AD2500" i="1" s="1"/>
  <c r="AC2380" i="1"/>
  <c r="AC2511" i="1"/>
  <c r="AD2511" i="1" s="1"/>
  <c r="AB2511" i="1" s="1"/>
  <c r="AC2506" i="1"/>
  <c r="AD2506" i="1" s="1"/>
  <c r="AB2506" i="1" s="1"/>
  <c r="AC2509" i="1"/>
  <c r="AD2509" i="1" s="1"/>
  <c r="AB2509" i="1" s="1"/>
  <c r="AC2508" i="1"/>
  <c r="AD2508" i="1" s="1"/>
  <c r="AB2508" i="1" s="1"/>
  <c r="AC2503" i="1"/>
  <c r="AD2503" i="1" s="1"/>
  <c r="AC2510" i="1"/>
  <c r="AD2510" i="1" s="1"/>
  <c r="AB2510" i="1" s="1"/>
  <c r="AC2505" i="1"/>
  <c r="AD2505" i="1" s="1"/>
  <c r="AB2505" i="1" s="1"/>
  <c r="AC2504" i="1"/>
  <c r="AD2504" i="1" s="1"/>
  <c r="AB2504" i="1" s="1"/>
  <c r="AC2507" i="1"/>
  <c r="AD2507" i="1" s="1"/>
  <c r="AB2507" i="1" s="1"/>
  <c r="AC2481" i="1"/>
  <c r="N2481" i="1"/>
  <c r="AC2463" i="1"/>
  <c r="AD2463" i="1" s="1"/>
  <c r="AB2463" i="1" s="1"/>
  <c r="AC2455" i="1"/>
  <c r="AD2455" i="1" s="1"/>
  <c r="AB2455" i="1" s="1"/>
  <c r="AC2460" i="1"/>
  <c r="AD2460" i="1" s="1"/>
  <c r="AB2460" i="1" s="1"/>
  <c r="AC2462" i="1"/>
  <c r="AD2462" i="1" s="1"/>
  <c r="AB2462" i="1" s="1"/>
  <c r="AC2454" i="1"/>
  <c r="AD2454" i="1" s="1"/>
  <c r="AC2464" i="1"/>
  <c r="AD2464" i="1" s="1"/>
  <c r="AB2464" i="1" s="1"/>
  <c r="AC2457" i="1"/>
  <c r="AD2457" i="1" s="1"/>
  <c r="AB2457" i="1" s="1"/>
  <c r="AC2459" i="1"/>
  <c r="AD2459" i="1" s="1"/>
  <c r="AB2459" i="1" s="1"/>
  <c r="AC2456" i="1"/>
  <c r="AD2456" i="1" s="1"/>
  <c r="AB2456" i="1" s="1"/>
  <c r="AC2461" i="1"/>
  <c r="AD2461" i="1" s="1"/>
  <c r="AB2461" i="1" s="1"/>
  <c r="AC2458" i="1"/>
  <c r="AD2458" i="1" s="1"/>
  <c r="AB2458" i="1" s="1"/>
  <c r="AC2477" i="1"/>
  <c r="AD2477" i="1" s="1"/>
  <c r="AB2477" i="1" s="1"/>
  <c r="AC2472" i="1"/>
  <c r="AD2472" i="1" s="1"/>
  <c r="AB2472" i="1" s="1"/>
  <c r="AC2469" i="1"/>
  <c r="AD2469" i="1" s="1"/>
  <c r="AC2474" i="1"/>
  <c r="AD2474" i="1" s="1"/>
  <c r="AB2474" i="1" s="1"/>
  <c r="AC2476" i="1"/>
  <c r="AD2476" i="1" s="1"/>
  <c r="AB2476" i="1" s="1"/>
  <c r="AC2471" i="1"/>
  <c r="AD2471" i="1" s="1"/>
  <c r="AB2471" i="1" s="1"/>
  <c r="AC2473" i="1"/>
  <c r="AD2473" i="1" s="1"/>
  <c r="AB2473" i="1" s="1"/>
  <c r="AC2475" i="1"/>
  <c r="AD2475" i="1" s="1"/>
  <c r="AB2475" i="1" s="1"/>
  <c r="AC2470" i="1"/>
  <c r="AD2470" i="1" s="1"/>
  <c r="AB2470" i="1" s="1"/>
  <c r="AC2466" i="1"/>
  <c r="AD2466" i="1" s="1"/>
  <c r="AC2467" i="1"/>
  <c r="AD2467" i="1" s="1"/>
  <c r="AB2467" i="1" s="1"/>
  <c r="AC2449" i="1"/>
  <c r="AD2449" i="1" s="1"/>
  <c r="AC2451" i="1"/>
  <c r="AD2451" i="1" s="1"/>
  <c r="AB2451" i="1" s="1"/>
  <c r="AC2452" i="1"/>
  <c r="AD2452" i="1" s="1"/>
  <c r="AB2452" i="1" s="1"/>
  <c r="AC2450" i="1"/>
  <c r="AD2450" i="1" s="1"/>
  <c r="AB2450" i="1" s="1"/>
  <c r="N2317" i="1"/>
  <c r="AC2419" i="1"/>
  <c r="AD2419" i="1" s="1"/>
  <c r="AB2419" i="1" s="1"/>
  <c r="AC2418" i="1"/>
  <c r="AD2418" i="1" s="1"/>
  <c r="AC2421" i="1"/>
  <c r="AD2421" i="1" s="1"/>
  <c r="AB2421" i="1" s="1"/>
  <c r="AC2420" i="1"/>
  <c r="AD2420" i="1" s="1"/>
  <c r="AB2420" i="1" s="1"/>
  <c r="AC2435" i="1"/>
  <c r="AD2435" i="1" s="1"/>
  <c r="AC2436" i="1"/>
  <c r="AD2436" i="1" s="1"/>
  <c r="AB2436" i="1" s="1"/>
  <c r="AC2439" i="1"/>
  <c r="AD2439" i="1" s="1"/>
  <c r="AB2439" i="1" s="1"/>
  <c r="AC2446" i="1"/>
  <c r="AD2446" i="1" s="1"/>
  <c r="AB2446" i="1" s="1"/>
  <c r="AC2441" i="1"/>
  <c r="AD2441" i="1" s="1"/>
  <c r="AB2441" i="1" s="1"/>
  <c r="AC2443" i="1"/>
  <c r="AD2443" i="1" s="1"/>
  <c r="AB2443" i="1" s="1"/>
  <c r="AC2445" i="1"/>
  <c r="AD2445" i="1" s="1"/>
  <c r="AB2445" i="1" s="1"/>
  <c r="AC2440" i="1"/>
  <c r="AD2440" i="1" s="1"/>
  <c r="AB2440" i="1" s="1"/>
  <c r="AC2438" i="1"/>
  <c r="AD2438" i="1" s="1"/>
  <c r="AC2442" i="1"/>
  <c r="AD2442" i="1" s="1"/>
  <c r="AB2442" i="1" s="1"/>
  <c r="AC2444" i="1"/>
  <c r="AD2444" i="1" s="1"/>
  <c r="AB2444" i="1" s="1"/>
  <c r="AC2432" i="1"/>
  <c r="AD2432" i="1" s="1"/>
  <c r="AB2432" i="1" s="1"/>
  <c r="AC2430" i="1"/>
  <c r="AD2430" i="1" s="1"/>
  <c r="AB2430" i="1" s="1"/>
  <c r="AC2424" i="1"/>
  <c r="AD2424" i="1" s="1"/>
  <c r="AB2424" i="1" s="1"/>
  <c r="AC2429" i="1"/>
  <c r="AD2429" i="1" s="1"/>
  <c r="AB2429" i="1" s="1"/>
  <c r="AC2425" i="1"/>
  <c r="AD2425" i="1" s="1"/>
  <c r="AB2425" i="1" s="1"/>
  <c r="AC2426" i="1"/>
  <c r="AD2426" i="1" s="1"/>
  <c r="AB2426" i="1" s="1"/>
  <c r="AC2428" i="1"/>
  <c r="AD2428" i="1" s="1"/>
  <c r="AB2428" i="1" s="1"/>
  <c r="AC2423" i="1"/>
  <c r="AD2423" i="1" s="1"/>
  <c r="AC2431" i="1"/>
  <c r="AD2431" i="1" s="1"/>
  <c r="AB2431" i="1" s="1"/>
  <c r="AC2433" i="1"/>
  <c r="AD2433" i="1" s="1"/>
  <c r="AB2433" i="1" s="1"/>
  <c r="AC2427" i="1"/>
  <c r="AD2427" i="1" s="1"/>
  <c r="AB2427" i="1" s="1"/>
  <c r="AC2416" i="1"/>
  <c r="N2416" i="1"/>
  <c r="AD2397" i="1"/>
  <c r="AD2396" i="1" s="1"/>
  <c r="AB2398" i="1"/>
  <c r="AD2392" i="1"/>
  <c r="AD2391" i="1" s="1"/>
  <c r="AB2393" i="1"/>
  <c r="AC2389" i="1"/>
  <c r="AD2389" i="1" s="1"/>
  <c r="AB2389" i="1" s="1"/>
  <c r="AC2388" i="1"/>
  <c r="AD2388" i="1" s="1"/>
  <c r="AB2388" i="1" s="1"/>
  <c r="AC2387" i="1"/>
  <c r="AD2387" i="1" s="1"/>
  <c r="N2385" i="1"/>
  <c r="AC2385" i="1"/>
  <c r="AD2381" i="1"/>
  <c r="AD2380" i="1" s="1"/>
  <c r="AB2382" i="1"/>
  <c r="N2358" i="1"/>
  <c r="AC2327" i="1"/>
  <c r="AB2377" i="1"/>
  <c r="AD2376" i="1"/>
  <c r="AD2375" i="1" s="1"/>
  <c r="AB2375" i="1" s="1"/>
  <c r="N2353" i="1"/>
  <c r="AC2337" i="1"/>
  <c r="AC2332" i="1"/>
  <c r="AC2372" i="1"/>
  <c r="AD2372" i="1" s="1"/>
  <c r="AB2372" i="1" s="1"/>
  <c r="AC2371" i="1"/>
  <c r="AD2371" i="1" s="1"/>
  <c r="AB2371" i="1" s="1"/>
  <c r="AC2370" i="1"/>
  <c r="AD2370" i="1" s="1"/>
  <c r="AC2368" i="1"/>
  <c r="N2368" i="1"/>
  <c r="AD2364" i="1"/>
  <c r="AD2363" i="1" s="1"/>
  <c r="AB2365" i="1"/>
  <c r="N2302" i="1"/>
  <c r="AC2348" i="1"/>
  <c r="AD2359" i="1"/>
  <c r="AD2358" i="1" s="1"/>
  <c r="AB2358" i="1" s="1"/>
  <c r="AB2360" i="1"/>
  <c r="AD2354" i="1"/>
  <c r="AD2353" i="1" s="1"/>
  <c r="AB2353" i="1" s="1"/>
  <c r="AB2355" i="1"/>
  <c r="AB2350" i="1"/>
  <c r="AD2349" i="1"/>
  <c r="AD2348" i="1" s="1"/>
  <c r="AC2346" i="1"/>
  <c r="AD2346" i="1" s="1"/>
  <c r="AB2346" i="1" s="1"/>
  <c r="AC2345" i="1"/>
  <c r="AD2345" i="1" s="1"/>
  <c r="AB2345" i="1" s="1"/>
  <c r="AC2344" i="1"/>
  <c r="AD2344" i="1" s="1"/>
  <c r="N2342" i="1"/>
  <c r="AC2342" i="1"/>
  <c r="AB2339" i="1"/>
  <c r="AD2338" i="1"/>
  <c r="AD2337" i="1" s="1"/>
  <c r="AC2261" i="1"/>
  <c r="AD2333" i="1"/>
  <c r="AD2332" i="1" s="1"/>
  <c r="AB2334" i="1"/>
  <c r="N2307" i="1"/>
  <c r="AD2328" i="1"/>
  <c r="AD2327" i="1" s="1"/>
  <c r="AB2329" i="1"/>
  <c r="AC2287" i="1"/>
  <c r="N2292" i="1"/>
  <c r="AC2326" i="1"/>
  <c r="AD2326" i="1" s="1"/>
  <c r="AB2326" i="1" s="1"/>
  <c r="AC2325" i="1"/>
  <c r="AD2325" i="1" s="1"/>
  <c r="AB2325" i="1" s="1"/>
  <c r="AC2324" i="1"/>
  <c r="AD2324" i="1" s="1"/>
  <c r="N2322" i="1"/>
  <c r="AC2322" i="1"/>
  <c r="AD2318" i="1"/>
  <c r="AD2317" i="1" s="1"/>
  <c r="AB2317" i="1" s="1"/>
  <c r="AB2319" i="1"/>
  <c r="AC2315" i="1"/>
  <c r="AD2315" i="1" s="1"/>
  <c r="AB2315" i="1" s="1"/>
  <c r="AC2316" i="1"/>
  <c r="AD2316" i="1" s="1"/>
  <c r="AB2316" i="1" s="1"/>
  <c r="AC2314" i="1"/>
  <c r="AD2314" i="1" s="1"/>
  <c r="N2297" i="1"/>
  <c r="AC2312" i="1"/>
  <c r="N2312" i="1"/>
  <c r="AC2240" i="1"/>
  <c r="AD2308" i="1"/>
  <c r="AD2307" i="1" s="1"/>
  <c r="AB2307" i="1" s="1"/>
  <c r="AB2309" i="1"/>
  <c r="AC2277" i="1"/>
  <c r="AC2266" i="1"/>
  <c r="AD2303" i="1"/>
  <c r="AD2302" i="1" s="1"/>
  <c r="AB2302" i="1" s="1"/>
  <c r="AB2304" i="1"/>
  <c r="N2272" i="1"/>
  <c r="AD2298" i="1"/>
  <c r="AD2297" i="1" s="1"/>
  <c r="AB2297" i="1" s="1"/>
  <c r="AB2299" i="1"/>
  <c r="AC2220" i="1"/>
  <c r="AB2294" i="1"/>
  <c r="AD2293" i="1"/>
  <c r="AD2292" i="1" s="1"/>
  <c r="AB2292" i="1" s="1"/>
  <c r="N2235" i="1"/>
  <c r="AD2288" i="1"/>
  <c r="AD2287" i="1" s="1"/>
  <c r="AB2289" i="1"/>
  <c r="N2245" i="1"/>
  <c r="AC2286" i="1"/>
  <c r="AD2286" i="1" s="1"/>
  <c r="AB2286" i="1" s="1"/>
  <c r="AC2284" i="1"/>
  <c r="AD2284" i="1" s="1"/>
  <c r="AC2285" i="1"/>
  <c r="AD2285" i="1" s="1"/>
  <c r="AB2285" i="1" s="1"/>
  <c r="AC2282" i="1"/>
  <c r="N2282" i="1"/>
  <c r="AD2278" i="1"/>
  <c r="AD2277" i="1" s="1"/>
  <c r="AB2279" i="1"/>
  <c r="AD2273" i="1"/>
  <c r="AD2272" i="1" s="1"/>
  <c r="AB2272" i="1" s="1"/>
  <c r="AB2274" i="1"/>
  <c r="N2215" i="1"/>
  <c r="AD2267" i="1"/>
  <c r="AD2266" i="1" s="1"/>
  <c r="AB2268" i="1"/>
  <c r="AC1886" i="1"/>
  <c r="AB1886" i="1" s="1"/>
  <c r="H1886" i="1" s="1"/>
  <c r="I1886" i="1" s="1"/>
  <c r="AC2225" i="1"/>
  <c r="AD2262" i="1"/>
  <c r="AD2261" i="1" s="1"/>
  <c r="AB2263" i="1"/>
  <c r="N2260" i="1"/>
  <c r="AC2260" i="1"/>
  <c r="AB2260" i="1" s="1"/>
  <c r="AC2259" i="1"/>
  <c r="AD2259" i="1" s="1"/>
  <c r="AB2259" i="1" s="1"/>
  <c r="AC2258" i="1"/>
  <c r="AD2258" i="1" s="1"/>
  <c r="AB2258" i="1" s="1"/>
  <c r="AC2257" i="1"/>
  <c r="AD2257" i="1" s="1"/>
  <c r="N2255" i="1"/>
  <c r="AC2255" i="1"/>
  <c r="AC2253" i="1"/>
  <c r="AD2253" i="1" s="1"/>
  <c r="AB2253" i="1" s="1"/>
  <c r="AC2254" i="1"/>
  <c r="AD2254" i="1" s="1"/>
  <c r="AB2254" i="1" s="1"/>
  <c r="AC2252" i="1"/>
  <c r="AD2252" i="1" s="1"/>
  <c r="N2250" i="1"/>
  <c r="AC2250" i="1"/>
  <c r="AB2247" i="1"/>
  <c r="AD2246" i="1"/>
  <c r="AD2245" i="1" s="1"/>
  <c r="AB2245" i="1" s="1"/>
  <c r="AC1889" i="1"/>
  <c r="AD2241" i="1"/>
  <c r="AD2240" i="1" s="1"/>
  <c r="AB2242" i="1"/>
  <c r="AD2236" i="1"/>
  <c r="AD2235" i="1" s="1"/>
  <c r="AB2235" i="1" s="1"/>
  <c r="AB2237" i="1"/>
  <c r="AC1934" i="1"/>
  <c r="AB1934" i="1" s="1"/>
  <c r="AC2234" i="1"/>
  <c r="AD2234" i="1" s="1"/>
  <c r="AB2234" i="1" s="1"/>
  <c r="AC2233" i="1"/>
  <c r="AD2233" i="1" s="1"/>
  <c r="AB2233" i="1" s="1"/>
  <c r="AC2232" i="1"/>
  <c r="AD2232" i="1" s="1"/>
  <c r="AC2230" i="1"/>
  <c r="N2230" i="1"/>
  <c r="AD2226" i="1"/>
  <c r="AD2225" i="1" s="1"/>
  <c r="AB2227" i="1"/>
  <c r="AD2221" i="1"/>
  <c r="AD2220" i="1" s="1"/>
  <c r="AB2222" i="1"/>
  <c r="AB2217" i="1"/>
  <c r="AD2216" i="1"/>
  <c r="AD2215" i="1" s="1"/>
  <c r="AB2215" i="1" s="1"/>
  <c r="AC1883" i="1"/>
  <c r="AB1883" i="1" s="1"/>
  <c r="H1883" i="1" s="1"/>
  <c r="I1883" i="1" s="1"/>
  <c r="AB1946" i="1"/>
  <c r="AD1945" i="1"/>
  <c r="AC1954" i="1"/>
  <c r="AD1954" i="1" s="1"/>
  <c r="AB1954" i="1" s="1"/>
  <c r="AC1959" i="1"/>
  <c r="AD1959" i="1" s="1"/>
  <c r="AB1959" i="1" s="1"/>
  <c r="AC1956" i="1"/>
  <c r="AD1956" i="1" s="1"/>
  <c r="AB1956" i="1" s="1"/>
  <c r="AC1951" i="1"/>
  <c r="AD1951" i="1" s="1"/>
  <c r="AB1951" i="1" s="1"/>
  <c r="AC1953" i="1"/>
  <c r="AD1953" i="1" s="1"/>
  <c r="AB1953" i="1" s="1"/>
  <c r="AC1958" i="1"/>
  <c r="AD1958" i="1" s="1"/>
  <c r="AB1958" i="1" s="1"/>
  <c r="AC1955" i="1"/>
  <c r="AD1955" i="1" s="1"/>
  <c r="AB1955" i="1" s="1"/>
  <c r="AC1950" i="1"/>
  <c r="AD1950" i="1" s="1"/>
  <c r="AC1957" i="1"/>
  <c r="AD1957" i="1" s="1"/>
  <c r="AB1957" i="1" s="1"/>
  <c r="AC1952" i="1"/>
  <c r="AD1952" i="1" s="1"/>
  <c r="AC1939" i="1"/>
  <c r="AD1939" i="1" s="1"/>
  <c r="AB1939" i="1" s="1"/>
  <c r="AC1941" i="1"/>
  <c r="AD1941" i="1" s="1"/>
  <c r="AB1941" i="1" s="1"/>
  <c r="AC1942" i="1"/>
  <c r="AD1942" i="1" s="1"/>
  <c r="AB1942" i="1" s="1"/>
  <c r="AC1944" i="1"/>
  <c r="AD1944" i="1" s="1"/>
  <c r="AB1944" i="1" s="1"/>
  <c r="AC1943" i="1"/>
  <c r="AD1943" i="1" s="1"/>
  <c r="AC1940" i="1"/>
  <c r="AD1940" i="1" s="1"/>
  <c r="AB1940" i="1" s="1"/>
  <c r="AC1937" i="1"/>
  <c r="N1937" i="1"/>
  <c r="AC1925" i="1"/>
  <c r="AD1925" i="1" s="1"/>
  <c r="AB1925" i="1" s="1"/>
  <c r="AC1923" i="1"/>
  <c r="AD1923" i="1" s="1"/>
  <c r="AB1923" i="1" s="1"/>
  <c r="AC1924" i="1"/>
  <c r="AD1924" i="1" s="1"/>
  <c r="AB1924" i="1" s="1"/>
  <c r="Z1935" i="1"/>
  <c r="AB1935" i="1"/>
  <c r="AB1933" i="1"/>
  <c r="AD1932" i="1"/>
  <c r="AD1931" i="1" s="1"/>
  <c r="AC1931" i="1"/>
  <c r="N1931" i="1"/>
  <c r="AB1930" i="1"/>
  <c r="AD1929" i="1"/>
  <c r="AD1928" i="1" s="1"/>
  <c r="AC1928" i="1"/>
  <c r="N1928" i="1"/>
  <c r="N1871" i="1"/>
  <c r="AC1892" i="1"/>
  <c r="AD1892" i="1" s="1"/>
  <c r="AB1892" i="1" s="1"/>
  <c r="AC1893" i="1"/>
  <c r="AD1893" i="1" s="1"/>
  <c r="AB1893" i="1" s="1"/>
  <c r="AC1894" i="1"/>
  <c r="AD1894" i="1" s="1"/>
  <c r="AB1894" i="1" s="1"/>
  <c r="AC1891" i="1"/>
  <c r="AD1891" i="1" s="1"/>
  <c r="AC1920" i="1"/>
  <c r="AD1920" i="1" s="1"/>
  <c r="AB1920" i="1" s="1"/>
  <c r="AC1915" i="1"/>
  <c r="AD1915" i="1" s="1"/>
  <c r="AB1915" i="1" s="1"/>
  <c r="AC1919" i="1"/>
  <c r="AD1919" i="1" s="1"/>
  <c r="AB1919" i="1" s="1"/>
  <c r="AC1916" i="1"/>
  <c r="AD1916" i="1" s="1"/>
  <c r="AB1916" i="1" s="1"/>
  <c r="AC1918" i="1"/>
  <c r="AD1918" i="1" s="1"/>
  <c r="AB1918" i="1" s="1"/>
  <c r="AC1917" i="1"/>
  <c r="AD1917" i="1" s="1"/>
  <c r="AB1917" i="1" s="1"/>
  <c r="AC1912" i="1"/>
  <c r="AD1912" i="1" s="1"/>
  <c r="AC1914" i="1"/>
  <c r="AD1914" i="1" s="1"/>
  <c r="AB1914" i="1" s="1"/>
  <c r="AC1913" i="1"/>
  <c r="AD1913" i="1" s="1"/>
  <c r="AB1913" i="1" s="1"/>
  <c r="AC1910" i="1"/>
  <c r="AD1910" i="1" s="1"/>
  <c r="AB1910" i="1" s="1"/>
  <c r="AC1909" i="1"/>
  <c r="AD1909" i="1" s="1"/>
  <c r="N1880" i="1"/>
  <c r="AC1877" i="1"/>
  <c r="AB1877" i="1" s="1"/>
  <c r="Q1877" i="1" s="1"/>
  <c r="R1877" i="1" s="1"/>
  <c r="T1877" i="1" s="1"/>
  <c r="AC1906" i="1"/>
  <c r="AD1906" i="1" s="1"/>
  <c r="AB1906" i="1" s="1"/>
  <c r="AC1898" i="1"/>
  <c r="AD1898" i="1" s="1"/>
  <c r="AB1898" i="1" s="1"/>
  <c r="AC1899" i="1"/>
  <c r="AD1899" i="1" s="1"/>
  <c r="AB1899" i="1" s="1"/>
  <c r="AC1903" i="1"/>
  <c r="AD1903" i="1" s="1"/>
  <c r="AB1903" i="1" s="1"/>
  <c r="AC1900" i="1"/>
  <c r="AD1900" i="1" s="1"/>
  <c r="AB1900" i="1" s="1"/>
  <c r="AC1897" i="1"/>
  <c r="AD1897" i="1" s="1"/>
  <c r="AB1897" i="1" s="1"/>
  <c r="AC1896" i="1"/>
  <c r="AD1896" i="1" s="1"/>
  <c r="AC1905" i="1"/>
  <c r="AD1905" i="1" s="1"/>
  <c r="AB1905" i="1" s="1"/>
  <c r="AC1902" i="1"/>
  <c r="AD1902" i="1" s="1"/>
  <c r="AC1907" i="1"/>
  <c r="AD1907" i="1" s="1"/>
  <c r="AB1907" i="1" s="1"/>
  <c r="AC1904" i="1"/>
  <c r="AD1904" i="1" s="1"/>
  <c r="AB1904" i="1" s="1"/>
  <c r="AC1901" i="1"/>
  <c r="AD1901" i="1" s="1"/>
  <c r="AB1901" i="1" s="1"/>
  <c r="Z1887" i="1"/>
  <c r="AB1887" i="1"/>
  <c r="AB1880" i="1"/>
  <c r="Q1880" i="1" s="1"/>
  <c r="R1880" i="1" s="1"/>
  <c r="T1880" i="1" s="1"/>
  <c r="Z1884" i="1"/>
  <c r="AB1884" i="1"/>
  <c r="AC1830" i="1"/>
  <c r="N1845" i="1"/>
  <c r="Z1881" i="1"/>
  <c r="AB1881" i="1"/>
  <c r="Z1878" i="1"/>
  <c r="AB1878" i="1"/>
  <c r="AC1856" i="1"/>
  <c r="AD1856" i="1" s="1"/>
  <c r="AB1856" i="1" s="1"/>
  <c r="AC1857" i="1"/>
  <c r="AD1857" i="1" s="1"/>
  <c r="AB1857" i="1" s="1"/>
  <c r="AC1853" i="1"/>
  <c r="AD1853" i="1" s="1"/>
  <c r="AC1854" i="1"/>
  <c r="AD1854" i="1" s="1"/>
  <c r="AB1854" i="1" s="1"/>
  <c r="AB1876" i="1"/>
  <c r="AD1875" i="1"/>
  <c r="AD1874" i="1" s="1"/>
  <c r="AC1874" i="1"/>
  <c r="N1874" i="1"/>
  <c r="N1835" i="1"/>
  <c r="AC1855" i="1"/>
  <c r="AD1855" i="1" s="1"/>
  <c r="AB1855" i="1" s="1"/>
  <c r="AB1873" i="1"/>
  <c r="AD1872" i="1"/>
  <c r="AD1871" i="1" s="1"/>
  <c r="AB1871" i="1" s="1"/>
  <c r="AC1785" i="1"/>
  <c r="AC1865" i="1"/>
  <c r="AD1865" i="1" s="1"/>
  <c r="AB1865" i="1" s="1"/>
  <c r="AC1860" i="1"/>
  <c r="AD1860" i="1" s="1"/>
  <c r="AC1864" i="1"/>
  <c r="AD1864" i="1" s="1"/>
  <c r="AB1864" i="1" s="1"/>
  <c r="AC1866" i="1"/>
  <c r="AD1866" i="1" s="1"/>
  <c r="AB1866" i="1" s="1"/>
  <c r="AC1867" i="1"/>
  <c r="AD1867" i="1" s="1"/>
  <c r="AB1867" i="1" s="1"/>
  <c r="AC1862" i="1"/>
  <c r="AD1862" i="1" s="1"/>
  <c r="AB1862" i="1" s="1"/>
  <c r="AC1869" i="1"/>
  <c r="AD1869" i="1" s="1"/>
  <c r="AB1869" i="1" s="1"/>
  <c r="AC1861" i="1"/>
  <c r="AD1861" i="1" s="1"/>
  <c r="AB1861" i="1" s="1"/>
  <c r="AC1868" i="1"/>
  <c r="AD1868" i="1" s="1"/>
  <c r="AB1868" i="1" s="1"/>
  <c r="AC1863" i="1"/>
  <c r="AD1863" i="1" s="1"/>
  <c r="AB1863" i="1" s="1"/>
  <c r="AB1850" i="1"/>
  <c r="H1850" i="1" s="1"/>
  <c r="I1850" i="1" s="1"/>
  <c r="N1797" i="1"/>
  <c r="AB1847" i="1"/>
  <c r="AD1846" i="1"/>
  <c r="AD1845" i="1" s="1"/>
  <c r="AB1845" i="1" s="1"/>
  <c r="AC1843" i="1"/>
  <c r="AD1843" i="1" s="1"/>
  <c r="AB1843" i="1" s="1"/>
  <c r="AC1844" i="1"/>
  <c r="AD1844" i="1" s="1"/>
  <c r="AB1844" i="1" s="1"/>
  <c r="AC1842" i="1"/>
  <c r="AD1842" i="1" s="1"/>
  <c r="AC1840" i="1"/>
  <c r="N1840" i="1"/>
  <c r="AB1837" i="1"/>
  <c r="AD1836" i="1"/>
  <c r="AD1835" i="1" s="1"/>
  <c r="AB1835" i="1" s="1"/>
  <c r="AB1832" i="1"/>
  <c r="AD1831" i="1"/>
  <c r="AD1830" i="1" s="1"/>
  <c r="AC1741" i="1"/>
  <c r="AC1828" i="1"/>
  <c r="AD1828" i="1" s="1"/>
  <c r="AC1829" i="1"/>
  <c r="AD1829" i="1" s="1"/>
  <c r="AB1829" i="1" s="1"/>
  <c r="AC1827" i="1"/>
  <c r="AD1827" i="1" s="1"/>
  <c r="N1825" i="1"/>
  <c r="AC1825" i="1"/>
  <c r="AC1812" i="1"/>
  <c r="AD1812" i="1" s="1"/>
  <c r="AB1812" i="1" s="1"/>
  <c r="AC1814" i="1"/>
  <c r="AD1814" i="1" s="1"/>
  <c r="AB1814" i="1" s="1"/>
  <c r="AC1816" i="1"/>
  <c r="AD1816" i="1" s="1"/>
  <c r="AB1816" i="1" s="1"/>
  <c r="AC1811" i="1"/>
  <c r="AD1811" i="1" s="1"/>
  <c r="AC1820" i="1"/>
  <c r="AD1820" i="1" s="1"/>
  <c r="AB1820" i="1" s="1"/>
  <c r="AC1815" i="1"/>
  <c r="AD1815" i="1" s="1"/>
  <c r="AB1815" i="1" s="1"/>
  <c r="AC1817" i="1"/>
  <c r="AD1817" i="1" s="1"/>
  <c r="AB1817" i="1" s="1"/>
  <c r="AC1819" i="1"/>
  <c r="AD1819" i="1" s="1"/>
  <c r="AB1819" i="1" s="1"/>
  <c r="AC1818" i="1"/>
  <c r="AD1818" i="1" s="1"/>
  <c r="AB1818" i="1" s="1"/>
  <c r="AC1813" i="1"/>
  <c r="AD1813" i="1" s="1"/>
  <c r="AB1813" i="1" s="1"/>
  <c r="N1809" i="1"/>
  <c r="AC1809" i="1"/>
  <c r="AD1798" i="1"/>
  <c r="AD1797" i="1" s="1"/>
  <c r="AB1797" i="1" s="1"/>
  <c r="AB1799" i="1"/>
  <c r="AD1794" i="1"/>
  <c r="AB1794" i="1" s="1"/>
  <c r="AD1793" i="1"/>
  <c r="AB1787" i="1"/>
  <c r="AC1346" i="1"/>
  <c r="AC1743" i="1"/>
  <c r="AD1743" i="1" s="1"/>
  <c r="AC1744" i="1"/>
  <c r="AD1744" i="1" s="1"/>
  <c r="AB1744" i="1" s="1"/>
  <c r="AC1746" i="1"/>
  <c r="AD1746" i="1" s="1"/>
  <c r="AB1746" i="1" s="1"/>
  <c r="AC1745" i="1"/>
  <c r="AD1745" i="1" s="1"/>
  <c r="AB1745" i="1" s="1"/>
  <c r="AC1772" i="1"/>
  <c r="AD1772" i="1" s="1"/>
  <c r="AB1772" i="1" s="1"/>
  <c r="AC1767" i="1"/>
  <c r="AD1767" i="1" s="1"/>
  <c r="AB1767" i="1" s="1"/>
  <c r="AC1769" i="1"/>
  <c r="AD1769" i="1" s="1"/>
  <c r="AB1769" i="1" s="1"/>
  <c r="AC1764" i="1"/>
  <c r="AD1764" i="1" s="1"/>
  <c r="AC1766" i="1"/>
  <c r="AD1766" i="1" s="1"/>
  <c r="AB1766" i="1" s="1"/>
  <c r="AC1765" i="1"/>
  <c r="AD1765" i="1" s="1"/>
  <c r="AB1765" i="1" s="1"/>
  <c r="AC1771" i="1"/>
  <c r="AD1771" i="1" s="1"/>
  <c r="AB1771" i="1" s="1"/>
  <c r="AC1768" i="1"/>
  <c r="AD1768" i="1" s="1"/>
  <c r="AB1768" i="1" s="1"/>
  <c r="AC1770" i="1"/>
  <c r="AD1770" i="1" s="1"/>
  <c r="AB1770" i="1" s="1"/>
  <c r="AC1761" i="1"/>
  <c r="AD1761" i="1" s="1"/>
  <c r="AC1762" i="1"/>
  <c r="AD1762" i="1" s="1"/>
  <c r="AB1762" i="1" s="1"/>
  <c r="AC1758" i="1"/>
  <c r="AD1758" i="1" s="1"/>
  <c r="AB1758" i="1" s="1"/>
  <c r="AC1750" i="1"/>
  <c r="AD1750" i="1" s="1"/>
  <c r="AB1750" i="1" s="1"/>
  <c r="AC1757" i="1"/>
  <c r="AD1757" i="1" s="1"/>
  <c r="AB1757" i="1" s="1"/>
  <c r="AC1759" i="1"/>
  <c r="AD1759" i="1" s="1"/>
  <c r="AB1759" i="1" s="1"/>
  <c r="AC1755" i="1"/>
  <c r="AD1755" i="1" s="1"/>
  <c r="AB1755" i="1" s="1"/>
  <c r="AC1752" i="1"/>
  <c r="AD1752" i="1" s="1"/>
  <c r="AB1752" i="1" s="1"/>
  <c r="AC1754" i="1"/>
  <c r="AD1754" i="1" s="1"/>
  <c r="AB1754" i="1" s="1"/>
  <c r="AC1748" i="1"/>
  <c r="AD1748" i="1" s="1"/>
  <c r="AC1749" i="1"/>
  <c r="AD1749" i="1" s="1"/>
  <c r="AB1749" i="1" s="1"/>
  <c r="AC1751" i="1"/>
  <c r="AD1751" i="1" s="1"/>
  <c r="AB1751" i="1" s="1"/>
  <c r="AC1753" i="1"/>
  <c r="AD1753" i="1" s="1"/>
  <c r="AB1753" i="1" s="1"/>
  <c r="AC1756" i="1"/>
  <c r="AD1756" i="1" s="1"/>
  <c r="AB1756" i="1" s="1"/>
  <c r="AC1740" i="1"/>
  <c r="AD1740" i="1" s="1"/>
  <c r="AB1740" i="1" s="1"/>
  <c r="AC1735" i="1"/>
  <c r="AD1735" i="1" s="1"/>
  <c r="AB1735" i="1" s="1"/>
  <c r="AC1733" i="1"/>
  <c r="AD1733" i="1" s="1"/>
  <c r="AB1733" i="1" s="1"/>
  <c r="AC1737" i="1"/>
  <c r="AD1737" i="1" s="1"/>
  <c r="AB1737" i="1" s="1"/>
  <c r="AC1732" i="1"/>
  <c r="AD1732" i="1" s="1"/>
  <c r="AC1739" i="1"/>
  <c r="AD1739" i="1" s="1"/>
  <c r="AB1739" i="1" s="1"/>
  <c r="AC1734" i="1"/>
  <c r="AD1734" i="1" s="1"/>
  <c r="AB1734" i="1" s="1"/>
  <c r="AC1736" i="1"/>
  <c r="AD1736" i="1" s="1"/>
  <c r="AB1736" i="1" s="1"/>
  <c r="AC1738" i="1"/>
  <c r="AD1738" i="1" s="1"/>
  <c r="AB1738" i="1" s="1"/>
  <c r="AC1729" i="1"/>
  <c r="AD1729" i="1" s="1"/>
  <c r="AC1730" i="1"/>
  <c r="AD1730" i="1" s="1"/>
  <c r="AB1730" i="1" s="1"/>
  <c r="AC1712" i="1"/>
  <c r="AD1712" i="1" s="1"/>
  <c r="AB1712" i="1" s="1"/>
  <c r="AC1713" i="1"/>
  <c r="AD1713" i="1" s="1"/>
  <c r="AB1713" i="1" s="1"/>
  <c r="AC1714" i="1"/>
  <c r="AD1714" i="1" s="1"/>
  <c r="AB1714" i="1" s="1"/>
  <c r="AC1711" i="1"/>
  <c r="AD1711" i="1" s="1"/>
  <c r="AC1726" i="1"/>
  <c r="AD1726" i="1" s="1"/>
  <c r="AB1726" i="1" s="1"/>
  <c r="AC1718" i="1"/>
  <c r="AD1718" i="1" s="1"/>
  <c r="AB1718" i="1" s="1"/>
  <c r="AC1716" i="1"/>
  <c r="AD1716" i="1" s="1"/>
  <c r="AC1723" i="1"/>
  <c r="AD1723" i="1" s="1"/>
  <c r="AB1723" i="1" s="1"/>
  <c r="AC1720" i="1"/>
  <c r="AD1720" i="1" s="1"/>
  <c r="AB1720" i="1" s="1"/>
  <c r="AC1725" i="1"/>
  <c r="AD1725" i="1" s="1"/>
  <c r="AB1725" i="1" s="1"/>
  <c r="AC1717" i="1"/>
  <c r="AD1717" i="1" s="1"/>
  <c r="AB1717" i="1" s="1"/>
  <c r="AC1727" i="1"/>
  <c r="AD1727" i="1" s="1"/>
  <c r="AB1727" i="1" s="1"/>
  <c r="AC1724" i="1"/>
  <c r="AD1724" i="1" s="1"/>
  <c r="AB1724" i="1" s="1"/>
  <c r="AC1722" i="1"/>
  <c r="AD1722" i="1" s="1"/>
  <c r="AB1722" i="1" s="1"/>
  <c r="AC1719" i="1"/>
  <c r="AD1719" i="1" s="1"/>
  <c r="AB1719" i="1" s="1"/>
  <c r="AC1721" i="1"/>
  <c r="AD1721" i="1" s="1"/>
  <c r="AB1721" i="1" s="1"/>
  <c r="AC1709" i="1"/>
  <c r="N1709" i="1"/>
  <c r="AC1708" i="1"/>
  <c r="AD1708" i="1" s="1"/>
  <c r="AB1708" i="1" s="1"/>
  <c r="AC1703" i="1"/>
  <c r="AD1703" i="1" s="1"/>
  <c r="AB1703" i="1" s="1"/>
  <c r="AC1704" i="1"/>
  <c r="AD1704" i="1" s="1"/>
  <c r="AB1704" i="1" s="1"/>
  <c r="AC1705" i="1"/>
  <c r="AD1705" i="1" s="1"/>
  <c r="AB1705" i="1" s="1"/>
  <c r="AC1700" i="1"/>
  <c r="AD1700" i="1" s="1"/>
  <c r="AC1707" i="1"/>
  <c r="AD1707" i="1" s="1"/>
  <c r="AB1707" i="1" s="1"/>
  <c r="AC1702" i="1"/>
  <c r="AD1702" i="1" s="1"/>
  <c r="AB1702" i="1" s="1"/>
  <c r="AC1701" i="1"/>
  <c r="AD1701" i="1" s="1"/>
  <c r="AB1701" i="1" s="1"/>
  <c r="AC1706" i="1"/>
  <c r="AD1706" i="1" s="1"/>
  <c r="AB1706" i="1" s="1"/>
  <c r="AC1680" i="1"/>
  <c r="AD1680" i="1" s="1"/>
  <c r="AB1680" i="1" s="1"/>
  <c r="AC1682" i="1"/>
  <c r="AD1682" i="1" s="1"/>
  <c r="AB1682" i="1" s="1"/>
  <c r="AC1679" i="1"/>
  <c r="AD1679" i="1" s="1"/>
  <c r="AC1681" i="1"/>
  <c r="AD1681" i="1" s="1"/>
  <c r="AB1681" i="1" s="1"/>
  <c r="AC1697" i="1"/>
  <c r="AD1697" i="1" s="1"/>
  <c r="AC1698" i="1"/>
  <c r="AD1698" i="1" s="1"/>
  <c r="AB1698" i="1" s="1"/>
  <c r="AC1694" i="1"/>
  <c r="AD1694" i="1" s="1"/>
  <c r="AB1694" i="1" s="1"/>
  <c r="AC1685" i="1"/>
  <c r="AD1685" i="1" s="1"/>
  <c r="AB1685" i="1" s="1"/>
  <c r="AC1686" i="1"/>
  <c r="AD1686" i="1" s="1"/>
  <c r="AB1686" i="1" s="1"/>
  <c r="AC1691" i="1"/>
  <c r="AD1691" i="1" s="1"/>
  <c r="AB1691" i="1" s="1"/>
  <c r="AC1687" i="1"/>
  <c r="AD1687" i="1" s="1"/>
  <c r="AB1687" i="1" s="1"/>
  <c r="AC1693" i="1"/>
  <c r="AD1693" i="1" s="1"/>
  <c r="AB1693" i="1" s="1"/>
  <c r="AC1695" i="1"/>
  <c r="AD1695" i="1" s="1"/>
  <c r="AB1695" i="1" s="1"/>
  <c r="AC1692" i="1"/>
  <c r="AD1692" i="1" s="1"/>
  <c r="AB1692" i="1" s="1"/>
  <c r="AC1688" i="1"/>
  <c r="AD1688" i="1" s="1"/>
  <c r="AB1688" i="1" s="1"/>
  <c r="AC1689" i="1"/>
  <c r="AD1689" i="1" s="1"/>
  <c r="AB1689" i="1" s="1"/>
  <c r="AC1684" i="1"/>
  <c r="N1610" i="1"/>
  <c r="AC1595" i="1"/>
  <c r="AD1595" i="1" s="1"/>
  <c r="AB1595" i="1" s="1"/>
  <c r="AC1591" i="1"/>
  <c r="AD1591" i="1" s="1"/>
  <c r="AC1592" i="1"/>
  <c r="AD1592" i="1" s="1"/>
  <c r="AB1592" i="1" s="1"/>
  <c r="AC1594" i="1"/>
  <c r="AD1594" i="1" s="1"/>
  <c r="AB1594" i="1" s="1"/>
  <c r="AC1596" i="1"/>
  <c r="AD1596" i="1" s="1"/>
  <c r="AB1596" i="1" s="1"/>
  <c r="AC1593" i="1"/>
  <c r="AD1593" i="1" s="1"/>
  <c r="AB1593" i="1" s="1"/>
  <c r="AC1602" i="1"/>
  <c r="AD1602" i="1" s="1"/>
  <c r="AB1602" i="1" s="1"/>
  <c r="AC1609" i="1"/>
  <c r="AD1609" i="1" s="1"/>
  <c r="AB1609" i="1" s="1"/>
  <c r="AC1604" i="1"/>
  <c r="AD1604" i="1" s="1"/>
  <c r="AB1604" i="1" s="1"/>
  <c r="AC1606" i="1"/>
  <c r="AD1606" i="1" s="1"/>
  <c r="AB1606" i="1" s="1"/>
  <c r="AC1601" i="1"/>
  <c r="AD1601" i="1" s="1"/>
  <c r="AC1608" i="1"/>
  <c r="AD1608" i="1" s="1"/>
  <c r="AB1608" i="1" s="1"/>
  <c r="AC1603" i="1"/>
  <c r="AD1603" i="1" s="1"/>
  <c r="AB1603" i="1" s="1"/>
  <c r="AC1605" i="1"/>
  <c r="AD1605" i="1" s="1"/>
  <c r="AB1605" i="1" s="1"/>
  <c r="AC1607" i="1"/>
  <c r="AD1607" i="1" s="1"/>
  <c r="AB1607" i="1" s="1"/>
  <c r="AC1599" i="1"/>
  <c r="AD1599" i="1" s="1"/>
  <c r="AB1599" i="1" s="1"/>
  <c r="AC1598" i="1"/>
  <c r="AD1598" i="1" s="1"/>
  <c r="AC1587" i="1"/>
  <c r="AD1587" i="1" s="1"/>
  <c r="AB1587" i="1" s="1"/>
  <c r="AC1589" i="1"/>
  <c r="AD1589" i="1" s="1"/>
  <c r="AB1589" i="1" s="1"/>
  <c r="AC1588" i="1"/>
  <c r="AD1588" i="1" s="1"/>
  <c r="AB1588" i="1" s="1"/>
  <c r="AC1586" i="1"/>
  <c r="AD1586" i="1" s="1"/>
  <c r="AC1657" i="1"/>
  <c r="AD1657" i="1" s="1"/>
  <c r="AB1657" i="1" s="1"/>
  <c r="AC1656" i="1"/>
  <c r="AD1656" i="1" s="1"/>
  <c r="AB1656" i="1" s="1"/>
  <c r="AC1648" i="1"/>
  <c r="AD1648" i="1" s="1"/>
  <c r="AC1649" i="1"/>
  <c r="AD1649" i="1" s="1"/>
  <c r="AB1649" i="1" s="1"/>
  <c r="AC1658" i="1"/>
  <c r="AD1658" i="1" s="1"/>
  <c r="AB1658" i="1" s="1"/>
  <c r="AC1654" i="1"/>
  <c r="AD1654" i="1" s="1"/>
  <c r="AB1654" i="1" s="1"/>
  <c r="AC1651" i="1"/>
  <c r="AD1651" i="1" s="1"/>
  <c r="AB1651" i="1" s="1"/>
  <c r="AC1653" i="1"/>
  <c r="AD1653" i="1" s="1"/>
  <c r="AB1653" i="1" s="1"/>
  <c r="AC1650" i="1"/>
  <c r="AD1650" i="1" s="1"/>
  <c r="AB1650" i="1" s="1"/>
  <c r="AC1655" i="1"/>
  <c r="AD1655" i="1" s="1"/>
  <c r="AB1655" i="1" s="1"/>
  <c r="AC1652" i="1"/>
  <c r="AD1652" i="1" s="1"/>
  <c r="AB1652" i="1" s="1"/>
  <c r="AC1671" i="1"/>
  <c r="AD1671" i="1" s="1"/>
  <c r="AB1671" i="1" s="1"/>
  <c r="AC1666" i="1"/>
  <c r="AD1666" i="1" s="1"/>
  <c r="AB1666" i="1" s="1"/>
  <c r="AC1668" i="1"/>
  <c r="AD1668" i="1" s="1"/>
  <c r="AB1668" i="1" s="1"/>
  <c r="AC1663" i="1"/>
  <c r="AD1663" i="1" s="1"/>
  <c r="AC1670" i="1"/>
  <c r="AD1670" i="1" s="1"/>
  <c r="AB1670" i="1" s="1"/>
  <c r="AC1665" i="1"/>
  <c r="AD1665" i="1" s="1"/>
  <c r="AB1665" i="1" s="1"/>
  <c r="AC1667" i="1"/>
  <c r="AD1667" i="1" s="1"/>
  <c r="AB1667" i="1" s="1"/>
  <c r="AC1669" i="1"/>
  <c r="AD1669" i="1" s="1"/>
  <c r="AB1669" i="1" s="1"/>
  <c r="AC1664" i="1"/>
  <c r="AD1664" i="1" s="1"/>
  <c r="AB1664" i="1" s="1"/>
  <c r="AC1584" i="1"/>
  <c r="AC1660" i="1"/>
  <c r="AD1660" i="1" s="1"/>
  <c r="AC1661" i="1"/>
  <c r="AD1661" i="1" s="1"/>
  <c r="AB1661" i="1" s="1"/>
  <c r="AC1645" i="1"/>
  <c r="AD1645" i="1" s="1"/>
  <c r="AB1645" i="1" s="1"/>
  <c r="AC1643" i="1"/>
  <c r="AD1643" i="1" s="1"/>
  <c r="AC1644" i="1"/>
  <c r="AD1644" i="1" s="1"/>
  <c r="AB1644" i="1" s="1"/>
  <c r="AC1646" i="1"/>
  <c r="AD1646" i="1" s="1"/>
  <c r="AB1646" i="1" s="1"/>
  <c r="AC1626" i="1"/>
  <c r="AD1626" i="1" s="1"/>
  <c r="AB1626" i="1" s="1"/>
  <c r="AC1618" i="1"/>
  <c r="AD1618" i="1" s="1"/>
  <c r="AB1618" i="1" s="1"/>
  <c r="AC1623" i="1"/>
  <c r="AD1623" i="1" s="1"/>
  <c r="AB1623" i="1" s="1"/>
  <c r="AC1627" i="1"/>
  <c r="AD1627" i="1" s="1"/>
  <c r="AB1627" i="1" s="1"/>
  <c r="AC1620" i="1"/>
  <c r="AD1620" i="1" s="1"/>
  <c r="AB1620" i="1" s="1"/>
  <c r="AC1625" i="1"/>
  <c r="AD1625" i="1" s="1"/>
  <c r="AB1625" i="1" s="1"/>
  <c r="AC1622" i="1"/>
  <c r="AD1622" i="1" s="1"/>
  <c r="AB1622" i="1" s="1"/>
  <c r="AC1617" i="1"/>
  <c r="AD1617" i="1" s="1"/>
  <c r="AC1621" i="1"/>
  <c r="AD1621" i="1" s="1"/>
  <c r="AB1621" i="1" s="1"/>
  <c r="AC1619" i="1"/>
  <c r="AD1619" i="1" s="1"/>
  <c r="AB1619" i="1" s="1"/>
  <c r="AC1624" i="1"/>
  <c r="AD1624" i="1" s="1"/>
  <c r="AB1624" i="1" s="1"/>
  <c r="AC1635" i="1"/>
  <c r="AD1635" i="1" s="1"/>
  <c r="AB1635" i="1" s="1"/>
  <c r="AC1633" i="1"/>
  <c r="AD1633" i="1" s="1"/>
  <c r="AB1633" i="1" s="1"/>
  <c r="AC1640" i="1"/>
  <c r="AD1640" i="1" s="1"/>
  <c r="AB1640" i="1" s="1"/>
  <c r="AC1638" i="1"/>
  <c r="AD1638" i="1" s="1"/>
  <c r="AB1638" i="1" s="1"/>
  <c r="AC1637" i="1"/>
  <c r="AD1637" i="1" s="1"/>
  <c r="AB1637" i="1" s="1"/>
  <c r="AC1632" i="1"/>
  <c r="AD1632" i="1" s="1"/>
  <c r="AC1639" i="1"/>
  <c r="AD1639" i="1" s="1"/>
  <c r="AB1639" i="1" s="1"/>
  <c r="AC1634" i="1"/>
  <c r="AD1634" i="1" s="1"/>
  <c r="AB1634" i="1" s="1"/>
  <c r="AC1636" i="1"/>
  <c r="AD1636" i="1" s="1"/>
  <c r="AB1636" i="1" s="1"/>
  <c r="AC1612" i="1"/>
  <c r="AD1612" i="1" s="1"/>
  <c r="AC1614" i="1"/>
  <c r="AD1614" i="1" s="1"/>
  <c r="AB1614" i="1" s="1"/>
  <c r="AC1615" i="1"/>
  <c r="AD1615" i="1" s="1"/>
  <c r="AB1615" i="1" s="1"/>
  <c r="AC1613" i="1"/>
  <c r="AD1613" i="1" s="1"/>
  <c r="AB1613" i="1" s="1"/>
  <c r="AC1629" i="1"/>
  <c r="AD1629" i="1" s="1"/>
  <c r="AC1630" i="1"/>
  <c r="AD1630" i="1" s="1"/>
  <c r="AB1630" i="1" s="1"/>
  <c r="AC1406" i="1"/>
  <c r="AC1569" i="1"/>
  <c r="AD1569" i="1" s="1"/>
  <c r="AB1569" i="1" s="1"/>
  <c r="AC1568" i="1"/>
  <c r="AD1568" i="1" s="1"/>
  <c r="AB1568" i="1" s="1"/>
  <c r="AC1560" i="1"/>
  <c r="AD1560" i="1" s="1"/>
  <c r="AC1561" i="1"/>
  <c r="AD1561" i="1" s="1"/>
  <c r="AB1561" i="1" s="1"/>
  <c r="AC1570" i="1"/>
  <c r="AD1570" i="1" s="1"/>
  <c r="AB1570" i="1" s="1"/>
  <c r="AC1566" i="1"/>
  <c r="AD1566" i="1" s="1"/>
  <c r="AB1566" i="1" s="1"/>
  <c r="AC1565" i="1"/>
  <c r="AD1565" i="1" s="1"/>
  <c r="AB1565" i="1" s="1"/>
  <c r="AC1564" i="1"/>
  <c r="AD1564" i="1" s="1"/>
  <c r="AB1564" i="1" s="1"/>
  <c r="AC1563" i="1"/>
  <c r="AD1563" i="1" s="1"/>
  <c r="AB1563" i="1" s="1"/>
  <c r="AC1562" i="1"/>
  <c r="AD1562" i="1" s="1"/>
  <c r="AB1562" i="1" s="1"/>
  <c r="AC1567" i="1"/>
  <c r="AD1567" i="1" s="1"/>
  <c r="AB1567" i="1" s="1"/>
  <c r="AC1576" i="1"/>
  <c r="AD1576" i="1" s="1"/>
  <c r="AB1576" i="1" s="1"/>
  <c r="AC1583" i="1"/>
  <c r="AD1583" i="1" s="1"/>
  <c r="AB1583" i="1" s="1"/>
  <c r="AC1578" i="1"/>
  <c r="AD1578" i="1" s="1"/>
  <c r="AB1578" i="1" s="1"/>
  <c r="AC1575" i="1"/>
  <c r="AD1575" i="1" s="1"/>
  <c r="AC1582" i="1"/>
  <c r="AD1582" i="1" s="1"/>
  <c r="AB1582" i="1" s="1"/>
  <c r="AC1577" i="1"/>
  <c r="AD1577" i="1" s="1"/>
  <c r="AB1577" i="1" s="1"/>
  <c r="AC1581" i="1"/>
  <c r="AD1581" i="1" s="1"/>
  <c r="AB1581" i="1" s="1"/>
  <c r="AC1580" i="1"/>
  <c r="AD1580" i="1" s="1"/>
  <c r="AB1580" i="1" s="1"/>
  <c r="AC1579" i="1"/>
  <c r="AD1579" i="1" s="1"/>
  <c r="AB1579" i="1" s="1"/>
  <c r="AC1555" i="1"/>
  <c r="AD1555" i="1" s="1"/>
  <c r="AC1557" i="1"/>
  <c r="AD1557" i="1" s="1"/>
  <c r="AB1557" i="1" s="1"/>
  <c r="AC1558" i="1"/>
  <c r="AD1558" i="1" s="1"/>
  <c r="AB1558" i="1" s="1"/>
  <c r="AC1556" i="1"/>
  <c r="AD1556" i="1" s="1"/>
  <c r="AB1556" i="1" s="1"/>
  <c r="AC1572" i="1"/>
  <c r="AD1572" i="1" s="1"/>
  <c r="AC1573" i="1"/>
  <c r="AD1573" i="1" s="1"/>
  <c r="AB1573" i="1" s="1"/>
  <c r="AC1553" i="1"/>
  <c r="N1553" i="1"/>
  <c r="AC1536" i="1"/>
  <c r="AD1536" i="1" s="1"/>
  <c r="AB1536" i="1" s="1"/>
  <c r="AC1528" i="1"/>
  <c r="AD1528" i="1" s="1"/>
  <c r="AB1528" i="1" s="1"/>
  <c r="AC1532" i="1"/>
  <c r="AD1532" i="1" s="1"/>
  <c r="AB1532" i="1" s="1"/>
  <c r="AC1527" i="1"/>
  <c r="AD1527" i="1" s="1"/>
  <c r="AC1537" i="1"/>
  <c r="AD1537" i="1" s="1"/>
  <c r="AB1537" i="1" s="1"/>
  <c r="AC1531" i="1"/>
  <c r="AD1531" i="1" s="1"/>
  <c r="AB1531" i="1" s="1"/>
  <c r="AC1533" i="1"/>
  <c r="AD1533" i="1" s="1"/>
  <c r="AB1533" i="1" s="1"/>
  <c r="AC1530" i="1"/>
  <c r="AD1530" i="1" s="1"/>
  <c r="AB1530" i="1" s="1"/>
  <c r="AC1535" i="1"/>
  <c r="AD1535" i="1" s="1"/>
  <c r="AB1535" i="1" s="1"/>
  <c r="AC1529" i="1"/>
  <c r="AD1529" i="1" s="1"/>
  <c r="AB1529" i="1" s="1"/>
  <c r="AC1534" i="1"/>
  <c r="AD1534" i="1" s="1"/>
  <c r="AB1534" i="1" s="1"/>
  <c r="AC1525" i="1"/>
  <c r="AD1525" i="1" s="1"/>
  <c r="AB1525" i="1" s="1"/>
  <c r="AC1522" i="1"/>
  <c r="AD1522" i="1" s="1"/>
  <c r="AC1524" i="1"/>
  <c r="AD1524" i="1" s="1"/>
  <c r="AB1524" i="1" s="1"/>
  <c r="AC1523" i="1"/>
  <c r="AD1523" i="1" s="1"/>
  <c r="AB1523" i="1" s="1"/>
  <c r="AC1289" i="1"/>
  <c r="AC1071" i="1"/>
  <c r="AC1539" i="1"/>
  <c r="AD1539" i="1" s="1"/>
  <c r="AC1540" i="1"/>
  <c r="AD1540" i="1" s="1"/>
  <c r="AB1540" i="1" s="1"/>
  <c r="AC1550" i="1"/>
  <c r="AD1550" i="1" s="1"/>
  <c r="AB1550" i="1" s="1"/>
  <c r="AC1545" i="1"/>
  <c r="AD1545" i="1" s="1"/>
  <c r="AB1545" i="1" s="1"/>
  <c r="AC1544" i="1"/>
  <c r="AD1544" i="1" s="1"/>
  <c r="AB1544" i="1" s="1"/>
  <c r="AC1543" i="1"/>
  <c r="AD1543" i="1" s="1"/>
  <c r="AB1543" i="1" s="1"/>
  <c r="AC1547" i="1"/>
  <c r="AD1547" i="1" s="1"/>
  <c r="AB1547" i="1" s="1"/>
  <c r="AC1542" i="1"/>
  <c r="AD1542" i="1" s="1"/>
  <c r="AC1549" i="1"/>
  <c r="AD1549" i="1" s="1"/>
  <c r="AB1549" i="1" s="1"/>
  <c r="AC1546" i="1"/>
  <c r="AD1546" i="1" s="1"/>
  <c r="AB1546" i="1" s="1"/>
  <c r="AC1548" i="1"/>
  <c r="AD1548" i="1" s="1"/>
  <c r="AB1548" i="1" s="1"/>
  <c r="AC1494" i="1"/>
  <c r="AD1494" i="1" s="1"/>
  <c r="AB1494" i="1" s="1"/>
  <c r="AC1496" i="1"/>
  <c r="AD1496" i="1" s="1"/>
  <c r="AB1496" i="1" s="1"/>
  <c r="AC1493" i="1"/>
  <c r="AD1493" i="1" s="1"/>
  <c r="AC1495" i="1"/>
  <c r="AD1495" i="1" s="1"/>
  <c r="AB1495" i="1" s="1"/>
  <c r="AC1506" i="1"/>
  <c r="AD1506" i="1" s="1"/>
  <c r="AB1506" i="1" s="1"/>
  <c r="AC1505" i="1"/>
  <c r="AD1505" i="1" s="1"/>
  <c r="AC1503" i="1"/>
  <c r="AD1503" i="1" s="1"/>
  <c r="AB1503" i="1" s="1"/>
  <c r="AC1502" i="1"/>
  <c r="AD1502" i="1" s="1"/>
  <c r="AB1502" i="1" s="1"/>
  <c r="AC1499" i="1"/>
  <c r="AD1499" i="1" s="1"/>
  <c r="AB1499" i="1" s="1"/>
  <c r="AC1500" i="1"/>
  <c r="AD1500" i="1" s="1"/>
  <c r="AB1500" i="1" s="1"/>
  <c r="AC1501" i="1"/>
  <c r="AD1501" i="1" s="1"/>
  <c r="AB1501" i="1" s="1"/>
  <c r="AC1498" i="1"/>
  <c r="AD1498" i="1" s="1"/>
  <c r="AC1320" i="1"/>
  <c r="AC1509" i="1"/>
  <c r="AD1509" i="1" s="1"/>
  <c r="AB1509" i="1" s="1"/>
  <c r="AC1516" i="1"/>
  <c r="AD1516" i="1" s="1"/>
  <c r="AB1516" i="1" s="1"/>
  <c r="AC1513" i="1"/>
  <c r="AD1513" i="1" s="1"/>
  <c r="AB1513" i="1" s="1"/>
  <c r="AC1510" i="1"/>
  <c r="AD1510" i="1" s="1"/>
  <c r="AB1510" i="1" s="1"/>
  <c r="AC1512" i="1"/>
  <c r="AD1512" i="1" s="1"/>
  <c r="AB1512" i="1" s="1"/>
  <c r="AC1511" i="1"/>
  <c r="AD1511" i="1" s="1"/>
  <c r="AB1511" i="1" s="1"/>
  <c r="AC1508" i="1"/>
  <c r="AD1508" i="1" s="1"/>
  <c r="AC1515" i="1"/>
  <c r="AD1515" i="1" s="1"/>
  <c r="AB1515" i="1" s="1"/>
  <c r="AC1514" i="1"/>
  <c r="AD1514" i="1" s="1"/>
  <c r="AB1514" i="1" s="1"/>
  <c r="AC1476" i="1"/>
  <c r="AD1476" i="1" s="1"/>
  <c r="AB1476" i="1" s="1"/>
  <c r="AC1475" i="1"/>
  <c r="AD1475" i="1" s="1"/>
  <c r="AB1475" i="1" s="1"/>
  <c r="AC1473" i="1"/>
  <c r="AD1473" i="1" s="1"/>
  <c r="AB1473" i="1" s="1"/>
  <c r="AC1477" i="1"/>
  <c r="AD1477" i="1" s="1"/>
  <c r="AB1477" i="1" s="1"/>
  <c r="AC1472" i="1"/>
  <c r="AD1472" i="1" s="1"/>
  <c r="AC1474" i="1"/>
  <c r="AD1474" i="1" s="1"/>
  <c r="AB1474" i="1" s="1"/>
  <c r="AC1483" i="1"/>
  <c r="AD1483" i="1" s="1"/>
  <c r="AB1483" i="1" s="1"/>
  <c r="AC1490" i="1"/>
  <c r="AD1490" i="1" s="1"/>
  <c r="AB1490" i="1" s="1"/>
  <c r="AC1487" i="1"/>
  <c r="AD1487" i="1" s="1"/>
  <c r="AB1487" i="1" s="1"/>
  <c r="AC1482" i="1"/>
  <c r="AD1482" i="1" s="1"/>
  <c r="AC1484" i="1"/>
  <c r="AD1484" i="1" s="1"/>
  <c r="AB1484" i="1" s="1"/>
  <c r="AC1485" i="1"/>
  <c r="AD1485" i="1" s="1"/>
  <c r="AB1485" i="1" s="1"/>
  <c r="AC1489" i="1"/>
  <c r="AD1489" i="1" s="1"/>
  <c r="AB1489" i="1" s="1"/>
  <c r="AC1488" i="1"/>
  <c r="AD1488" i="1" s="1"/>
  <c r="AB1488" i="1" s="1"/>
  <c r="AC1486" i="1"/>
  <c r="AD1486" i="1" s="1"/>
  <c r="AB1486" i="1" s="1"/>
  <c r="AC1470" i="1"/>
  <c r="AD1470" i="1" s="1"/>
  <c r="AB1470" i="1" s="1"/>
  <c r="AC1467" i="1"/>
  <c r="AD1467" i="1" s="1"/>
  <c r="AC1469" i="1"/>
  <c r="AD1469" i="1" s="1"/>
  <c r="AB1469" i="1" s="1"/>
  <c r="AC1468" i="1"/>
  <c r="AD1468" i="1" s="1"/>
  <c r="AB1468" i="1" s="1"/>
  <c r="AC1479" i="1"/>
  <c r="AD1479" i="1" s="1"/>
  <c r="AC1480" i="1"/>
  <c r="AD1480" i="1" s="1"/>
  <c r="AB1480" i="1" s="1"/>
  <c r="N1465" i="1"/>
  <c r="AC1465" i="1"/>
  <c r="AC1416" i="1"/>
  <c r="AD1416" i="1" s="1"/>
  <c r="AB1416" i="1" s="1"/>
  <c r="AC1417" i="1"/>
  <c r="AD1417" i="1" s="1"/>
  <c r="AB1417" i="1" s="1"/>
  <c r="AC1418" i="1"/>
  <c r="AD1418" i="1" s="1"/>
  <c r="AB1418" i="1" s="1"/>
  <c r="AC1414" i="1"/>
  <c r="AD1414" i="1" s="1"/>
  <c r="AB1414" i="1" s="1"/>
  <c r="AC1413" i="1"/>
  <c r="AD1413" i="1" s="1"/>
  <c r="AC1415" i="1"/>
  <c r="AD1415" i="1" s="1"/>
  <c r="AB1415" i="1" s="1"/>
  <c r="N1433" i="1"/>
  <c r="N1232" i="1"/>
  <c r="AC1409" i="1"/>
  <c r="AD1409" i="1" s="1"/>
  <c r="AB1409" i="1" s="1"/>
  <c r="AC1411" i="1"/>
  <c r="AD1411" i="1" s="1"/>
  <c r="AB1411" i="1" s="1"/>
  <c r="AC1408" i="1"/>
  <c r="AD1408" i="1" s="1"/>
  <c r="AC1410" i="1"/>
  <c r="AD1410" i="1" s="1"/>
  <c r="AB1410" i="1" s="1"/>
  <c r="AC1424" i="1"/>
  <c r="AD1424" i="1" s="1"/>
  <c r="AB1424" i="1" s="1"/>
  <c r="AC1431" i="1"/>
  <c r="AD1431" i="1" s="1"/>
  <c r="AB1431" i="1" s="1"/>
  <c r="AC1428" i="1"/>
  <c r="AD1428" i="1" s="1"/>
  <c r="AB1428" i="1" s="1"/>
  <c r="AC1427" i="1"/>
  <c r="AD1427" i="1" s="1"/>
  <c r="AB1427" i="1" s="1"/>
  <c r="AC1426" i="1"/>
  <c r="AD1426" i="1" s="1"/>
  <c r="AB1426" i="1" s="1"/>
  <c r="AC1423" i="1"/>
  <c r="AD1423" i="1" s="1"/>
  <c r="AC1425" i="1"/>
  <c r="AD1425" i="1" s="1"/>
  <c r="AB1425" i="1" s="1"/>
  <c r="AC1430" i="1"/>
  <c r="AD1430" i="1" s="1"/>
  <c r="AB1430" i="1" s="1"/>
  <c r="AC1429" i="1"/>
  <c r="AD1429" i="1" s="1"/>
  <c r="AB1429" i="1" s="1"/>
  <c r="AC1420" i="1"/>
  <c r="AD1420" i="1" s="1"/>
  <c r="AC1421" i="1"/>
  <c r="AD1421" i="1" s="1"/>
  <c r="AB1421" i="1" s="1"/>
  <c r="AC1351" i="1"/>
  <c r="AD1351" i="1" s="1"/>
  <c r="AB1351" i="1" s="1"/>
  <c r="AC1350" i="1"/>
  <c r="AD1350" i="1" s="1"/>
  <c r="AB1350" i="1" s="1"/>
  <c r="AC1348" i="1"/>
  <c r="AD1348" i="1" s="1"/>
  <c r="AC1349" i="1"/>
  <c r="AD1349" i="1" s="1"/>
  <c r="AB1349" i="1" s="1"/>
  <c r="AC1360" i="1"/>
  <c r="AD1360" i="1" s="1"/>
  <c r="AC1361" i="1"/>
  <c r="AD1361" i="1" s="1"/>
  <c r="AB1361" i="1" s="1"/>
  <c r="AC1357" i="1"/>
  <c r="AD1357" i="1" s="1"/>
  <c r="AB1357" i="1" s="1"/>
  <c r="AC1353" i="1"/>
  <c r="AD1353" i="1" s="1"/>
  <c r="AC1358" i="1"/>
  <c r="AD1358" i="1" s="1"/>
  <c r="AB1358" i="1" s="1"/>
  <c r="AC1354" i="1"/>
  <c r="AD1354" i="1" s="1"/>
  <c r="AB1354" i="1" s="1"/>
  <c r="AC1356" i="1"/>
  <c r="AD1356" i="1" s="1"/>
  <c r="AB1356" i="1" s="1"/>
  <c r="AC1355" i="1"/>
  <c r="AD1355" i="1" s="1"/>
  <c r="AB1355" i="1" s="1"/>
  <c r="AC1364" i="1"/>
  <c r="AD1364" i="1" s="1"/>
  <c r="AB1364" i="1" s="1"/>
  <c r="AC1371" i="1"/>
  <c r="AD1371" i="1" s="1"/>
  <c r="AB1371" i="1" s="1"/>
  <c r="AC1366" i="1"/>
  <c r="AD1366" i="1" s="1"/>
  <c r="AB1366" i="1" s="1"/>
  <c r="AC1365" i="1"/>
  <c r="AD1365" i="1" s="1"/>
  <c r="AB1365" i="1" s="1"/>
  <c r="AC1367" i="1"/>
  <c r="AD1367" i="1" s="1"/>
  <c r="AB1367" i="1" s="1"/>
  <c r="AC1368" i="1"/>
  <c r="AD1368" i="1" s="1"/>
  <c r="AB1368" i="1" s="1"/>
  <c r="AC1363" i="1"/>
  <c r="AD1363" i="1" s="1"/>
  <c r="AC1370" i="1"/>
  <c r="AD1370" i="1" s="1"/>
  <c r="AB1370" i="1" s="1"/>
  <c r="AC1369" i="1"/>
  <c r="AD1369" i="1" s="1"/>
  <c r="AB1369" i="1" s="1"/>
  <c r="AC1325" i="1"/>
  <c r="AD1325" i="1" s="1"/>
  <c r="AB1325" i="1" s="1"/>
  <c r="AC1322" i="1"/>
  <c r="AD1322" i="1" s="1"/>
  <c r="AC1323" i="1"/>
  <c r="AD1323" i="1" s="1"/>
  <c r="AB1323" i="1" s="1"/>
  <c r="AC1324" i="1"/>
  <c r="AD1324" i="1" s="1"/>
  <c r="AB1324" i="1" s="1"/>
  <c r="AC1338" i="1"/>
  <c r="AD1338" i="1" s="1"/>
  <c r="AB1338" i="1" s="1"/>
  <c r="AC1342" i="1"/>
  <c r="AD1342" i="1" s="1"/>
  <c r="AB1342" i="1" s="1"/>
  <c r="AC1337" i="1"/>
  <c r="AD1337" i="1" s="1"/>
  <c r="AC1344" i="1"/>
  <c r="AD1344" i="1" s="1"/>
  <c r="AB1344" i="1" s="1"/>
  <c r="AC1339" i="1"/>
  <c r="AD1339" i="1" s="1"/>
  <c r="AB1339" i="1" s="1"/>
  <c r="AC1345" i="1"/>
  <c r="AD1345" i="1" s="1"/>
  <c r="AB1345" i="1" s="1"/>
  <c r="AC1340" i="1"/>
  <c r="AD1340" i="1" s="1"/>
  <c r="AB1340" i="1" s="1"/>
  <c r="AC1341" i="1"/>
  <c r="AD1341" i="1" s="1"/>
  <c r="AB1341" i="1" s="1"/>
  <c r="AC1343" i="1"/>
  <c r="AD1343" i="1" s="1"/>
  <c r="AB1343" i="1" s="1"/>
  <c r="AC1329" i="1"/>
  <c r="AD1329" i="1" s="1"/>
  <c r="AB1329" i="1" s="1"/>
  <c r="AC1331" i="1"/>
  <c r="AD1331" i="1" s="1"/>
  <c r="AB1331" i="1" s="1"/>
  <c r="AC1328" i="1"/>
  <c r="AD1328" i="1" s="1"/>
  <c r="AB1328" i="1" s="1"/>
  <c r="AC1332" i="1"/>
  <c r="AD1332" i="1" s="1"/>
  <c r="AB1332" i="1" s="1"/>
  <c r="AC1330" i="1"/>
  <c r="AD1330" i="1" s="1"/>
  <c r="AB1330" i="1" s="1"/>
  <c r="AC1327" i="1"/>
  <c r="AD1327" i="1" s="1"/>
  <c r="AC1335" i="1"/>
  <c r="AD1335" i="1" s="1"/>
  <c r="AB1335" i="1" s="1"/>
  <c r="AC1334" i="1"/>
  <c r="AD1334" i="1" s="1"/>
  <c r="AC1449" i="1"/>
  <c r="AD1449" i="1" s="1"/>
  <c r="AB1449" i="1" s="1"/>
  <c r="AC1441" i="1"/>
  <c r="AD1441" i="1" s="1"/>
  <c r="AB1441" i="1" s="1"/>
  <c r="AC1440" i="1"/>
  <c r="AD1440" i="1" s="1"/>
  <c r="AC1446" i="1"/>
  <c r="AD1446" i="1" s="1"/>
  <c r="AB1446" i="1" s="1"/>
  <c r="AC1445" i="1"/>
  <c r="AD1445" i="1" s="1"/>
  <c r="AB1445" i="1" s="1"/>
  <c r="AC1443" i="1"/>
  <c r="AD1443" i="1" s="1"/>
  <c r="AB1443" i="1" s="1"/>
  <c r="AC1448" i="1"/>
  <c r="AD1448" i="1" s="1"/>
  <c r="AB1448" i="1" s="1"/>
  <c r="AC1450" i="1"/>
  <c r="AD1450" i="1" s="1"/>
  <c r="AB1450" i="1" s="1"/>
  <c r="AC1442" i="1"/>
  <c r="AD1442" i="1" s="1"/>
  <c r="AB1442" i="1" s="1"/>
  <c r="AC1447" i="1"/>
  <c r="AD1447" i="1" s="1"/>
  <c r="AB1447" i="1" s="1"/>
  <c r="AC1444" i="1"/>
  <c r="AD1444" i="1" s="1"/>
  <c r="AB1444" i="1" s="1"/>
  <c r="AC1437" i="1"/>
  <c r="AD1437" i="1" s="1"/>
  <c r="AB1437" i="1" s="1"/>
  <c r="AC1435" i="1"/>
  <c r="AD1435" i="1" s="1"/>
  <c r="AC1436" i="1"/>
  <c r="AD1436" i="1" s="1"/>
  <c r="AB1436" i="1" s="1"/>
  <c r="AC1438" i="1"/>
  <c r="AD1438" i="1" s="1"/>
  <c r="AB1438" i="1" s="1"/>
  <c r="AC1452" i="1"/>
  <c r="AD1452" i="1" s="1"/>
  <c r="AC1453" i="1"/>
  <c r="AD1453" i="1" s="1"/>
  <c r="AB1453" i="1" s="1"/>
  <c r="AC1463" i="1"/>
  <c r="AD1463" i="1" s="1"/>
  <c r="AB1463" i="1" s="1"/>
  <c r="AC1458" i="1"/>
  <c r="AD1458" i="1" s="1"/>
  <c r="AB1458" i="1" s="1"/>
  <c r="AC1462" i="1"/>
  <c r="AD1462" i="1" s="1"/>
  <c r="AB1462" i="1" s="1"/>
  <c r="AC1457" i="1"/>
  <c r="AD1457" i="1" s="1"/>
  <c r="AB1457" i="1" s="1"/>
  <c r="AC1460" i="1"/>
  <c r="AD1460" i="1" s="1"/>
  <c r="AB1460" i="1" s="1"/>
  <c r="AC1455" i="1"/>
  <c r="AD1455" i="1" s="1"/>
  <c r="AC1456" i="1"/>
  <c r="AD1456" i="1" s="1"/>
  <c r="AB1456" i="1" s="1"/>
  <c r="AC1459" i="1"/>
  <c r="AD1459" i="1" s="1"/>
  <c r="AB1459" i="1" s="1"/>
  <c r="AC1461" i="1"/>
  <c r="AD1461" i="1" s="1"/>
  <c r="AB1461" i="1" s="1"/>
  <c r="AC1389" i="1"/>
  <c r="AD1389" i="1" s="1"/>
  <c r="AB1389" i="1" s="1"/>
  <c r="AC1388" i="1"/>
  <c r="AD1388" i="1" s="1"/>
  <c r="AB1388" i="1" s="1"/>
  <c r="AC1381" i="1"/>
  <c r="AD1381" i="1" s="1"/>
  <c r="AB1381" i="1" s="1"/>
  <c r="AC1386" i="1"/>
  <c r="AD1386" i="1" s="1"/>
  <c r="AB1386" i="1" s="1"/>
  <c r="AC1383" i="1"/>
  <c r="AD1383" i="1" s="1"/>
  <c r="AB1383" i="1" s="1"/>
  <c r="AC1385" i="1"/>
  <c r="AD1385" i="1" s="1"/>
  <c r="AB1385" i="1" s="1"/>
  <c r="AC1380" i="1"/>
  <c r="AD1380" i="1" s="1"/>
  <c r="AC1390" i="1"/>
  <c r="AD1390" i="1" s="1"/>
  <c r="AB1390" i="1" s="1"/>
  <c r="AC1382" i="1"/>
  <c r="AD1382" i="1" s="1"/>
  <c r="AB1382" i="1" s="1"/>
  <c r="AC1387" i="1"/>
  <c r="AD1387" i="1" s="1"/>
  <c r="AB1387" i="1" s="1"/>
  <c r="AC1384" i="1"/>
  <c r="AD1384" i="1" s="1"/>
  <c r="AB1384" i="1" s="1"/>
  <c r="AC1403" i="1"/>
  <c r="AD1403" i="1" s="1"/>
  <c r="AB1403" i="1" s="1"/>
  <c r="AC1398" i="1"/>
  <c r="AD1398" i="1" s="1"/>
  <c r="AB1398" i="1" s="1"/>
  <c r="AC1400" i="1"/>
  <c r="AD1400" i="1" s="1"/>
  <c r="AB1400" i="1" s="1"/>
  <c r="AC1395" i="1"/>
  <c r="AD1395" i="1" s="1"/>
  <c r="AC1402" i="1"/>
  <c r="AD1402" i="1" s="1"/>
  <c r="AB1402" i="1" s="1"/>
  <c r="AC1397" i="1"/>
  <c r="AD1397" i="1" s="1"/>
  <c r="AB1397" i="1" s="1"/>
  <c r="AC1396" i="1"/>
  <c r="AD1396" i="1" s="1"/>
  <c r="AB1396" i="1" s="1"/>
  <c r="AC1399" i="1"/>
  <c r="AD1399" i="1" s="1"/>
  <c r="AB1399" i="1" s="1"/>
  <c r="AC1401" i="1"/>
  <c r="AD1401" i="1" s="1"/>
  <c r="AB1401" i="1" s="1"/>
  <c r="AC1375" i="1"/>
  <c r="AD1375" i="1" s="1"/>
  <c r="AC1377" i="1"/>
  <c r="AD1377" i="1" s="1"/>
  <c r="AB1377" i="1" s="1"/>
  <c r="AC1376" i="1"/>
  <c r="AD1376" i="1" s="1"/>
  <c r="AB1376" i="1" s="1"/>
  <c r="AC1378" i="1"/>
  <c r="AD1378" i="1" s="1"/>
  <c r="AB1378" i="1" s="1"/>
  <c r="AC1392" i="1"/>
  <c r="AD1392" i="1" s="1"/>
  <c r="AC1393" i="1"/>
  <c r="AD1393" i="1" s="1"/>
  <c r="AB1393" i="1" s="1"/>
  <c r="AC1305" i="1"/>
  <c r="AD1305" i="1" s="1"/>
  <c r="AB1305" i="1" s="1"/>
  <c r="AC1297" i="1"/>
  <c r="AD1297" i="1" s="1"/>
  <c r="AB1297" i="1" s="1"/>
  <c r="AC1296" i="1"/>
  <c r="AD1296" i="1" s="1"/>
  <c r="AC1302" i="1"/>
  <c r="AD1302" i="1" s="1"/>
  <c r="AB1302" i="1" s="1"/>
  <c r="AC1304" i="1"/>
  <c r="AD1304" i="1" s="1"/>
  <c r="AB1304" i="1" s="1"/>
  <c r="AC1299" i="1"/>
  <c r="AD1299" i="1" s="1"/>
  <c r="AB1299" i="1" s="1"/>
  <c r="AC1301" i="1"/>
  <c r="AD1301" i="1" s="1"/>
  <c r="AB1301" i="1" s="1"/>
  <c r="AC1306" i="1"/>
  <c r="AD1306" i="1" s="1"/>
  <c r="AB1306" i="1" s="1"/>
  <c r="AC1298" i="1"/>
  <c r="AD1298" i="1" s="1"/>
  <c r="AB1298" i="1" s="1"/>
  <c r="AC1303" i="1"/>
  <c r="AD1303" i="1" s="1"/>
  <c r="AB1303" i="1" s="1"/>
  <c r="AC1300" i="1"/>
  <c r="AD1300" i="1" s="1"/>
  <c r="AB1300" i="1" s="1"/>
  <c r="AC1315" i="1"/>
  <c r="AD1315" i="1" s="1"/>
  <c r="AB1315" i="1" s="1"/>
  <c r="AC1319" i="1"/>
  <c r="AD1319" i="1" s="1"/>
  <c r="AB1319" i="1" s="1"/>
  <c r="AC1314" i="1"/>
  <c r="AD1314" i="1" s="1"/>
  <c r="AB1314" i="1" s="1"/>
  <c r="AC1316" i="1"/>
  <c r="AD1316" i="1" s="1"/>
  <c r="AB1316" i="1" s="1"/>
  <c r="AC1311" i="1"/>
  <c r="AD1311" i="1" s="1"/>
  <c r="AC1318" i="1"/>
  <c r="AD1318" i="1" s="1"/>
  <c r="AB1318" i="1" s="1"/>
  <c r="AC1313" i="1"/>
  <c r="AD1313" i="1" s="1"/>
  <c r="AB1313" i="1" s="1"/>
  <c r="AC1317" i="1"/>
  <c r="AD1317" i="1" s="1"/>
  <c r="AB1317" i="1" s="1"/>
  <c r="AC1312" i="1"/>
  <c r="AD1312" i="1" s="1"/>
  <c r="AB1312" i="1" s="1"/>
  <c r="AC1292" i="1"/>
  <c r="AD1292" i="1" s="1"/>
  <c r="AB1292" i="1" s="1"/>
  <c r="AC1294" i="1"/>
  <c r="AD1294" i="1" s="1"/>
  <c r="AB1294" i="1" s="1"/>
  <c r="AC1291" i="1"/>
  <c r="AD1291" i="1" s="1"/>
  <c r="AC1293" i="1"/>
  <c r="AD1293" i="1" s="1"/>
  <c r="AB1293" i="1" s="1"/>
  <c r="AC1308" i="1"/>
  <c r="AD1308" i="1" s="1"/>
  <c r="AC1309" i="1"/>
  <c r="AD1309" i="1" s="1"/>
  <c r="AB1309" i="1" s="1"/>
  <c r="AC1269" i="1"/>
  <c r="AD1269" i="1" s="1"/>
  <c r="AB1269" i="1" s="1"/>
  <c r="AC1268" i="1"/>
  <c r="AD1268" i="1" s="1"/>
  <c r="AB1268" i="1" s="1"/>
  <c r="AC1266" i="1"/>
  <c r="AD1266" i="1" s="1"/>
  <c r="AB1266" i="1" s="1"/>
  <c r="AC1265" i="1"/>
  <c r="AD1265" i="1" s="1"/>
  <c r="AC1270" i="1"/>
  <c r="AD1270" i="1" s="1"/>
  <c r="AB1270" i="1" s="1"/>
  <c r="AC1267" i="1"/>
  <c r="AD1267" i="1" s="1"/>
  <c r="AB1267" i="1" s="1"/>
  <c r="AC1283" i="1"/>
  <c r="AD1283" i="1" s="1"/>
  <c r="AB1283" i="1" s="1"/>
  <c r="AC1278" i="1"/>
  <c r="AD1278" i="1" s="1"/>
  <c r="AB1278" i="1" s="1"/>
  <c r="AC1281" i="1"/>
  <c r="AD1281" i="1" s="1"/>
  <c r="AB1281" i="1" s="1"/>
  <c r="AC1280" i="1"/>
  <c r="AD1280" i="1" s="1"/>
  <c r="AB1280" i="1" s="1"/>
  <c r="AC1275" i="1"/>
  <c r="AD1275" i="1" s="1"/>
  <c r="AC1277" i="1"/>
  <c r="AD1277" i="1" s="1"/>
  <c r="AB1277" i="1" s="1"/>
  <c r="AC1282" i="1"/>
  <c r="AD1282" i="1" s="1"/>
  <c r="AB1282" i="1" s="1"/>
  <c r="AC1276" i="1"/>
  <c r="AD1276" i="1" s="1"/>
  <c r="AB1276" i="1" s="1"/>
  <c r="AC1279" i="1"/>
  <c r="AD1279" i="1" s="1"/>
  <c r="AB1279" i="1" s="1"/>
  <c r="AC1263" i="1"/>
  <c r="AD1263" i="1" s="1"/>
  <c r="AB1263" i="1" s="1"/>
  <c r="AC1260" i="1"/>
  <c r="AD1260" i="1" s="1"/>
  <c r="AC1262" i="1"/>
  <c r="AD1262" i="1" s="1"/>
  <c r="AB1262" i="1" s="1"/>
  <c r="AC1261" i="1"/>
  <c r="AD1261" i="1" s="1"/>
  <c r="AB1261" i="1" s="1"/>
  <c r="AC1272" i="1"/>
  <c r="AD1272" i="1" s="1"/>
  <c r="AC1273" i="1"/>
  <c r="AD1273" i="1" s="1"/>
  <c r="AB1273" i="1" s="1"/>
  <c r="N766" i="1"/>
  <c r="AC1102" i="1"/>
  <c r="AD1102" i="1" s="1"/>
  <c r="AB1102" i="1" s="1"/>
  <c r="AC1100" i="1"/>
  <c r="AD1100" i="1" s="1"/>
  <c r="AB1100" i="1" s="1"/>
  <c r="AC1099" i="1"/>
  <c r="AD1099" i="1" s="1"/>
  <c r="AC1101" i="1"/>
  <c r="AD1101" i="1" s="1"/>
  <c r="AB1101" i="1" s="1"/>
  <c r="AC1111" i="1"/>
  <c r="AD1111" i="1" s="1"/>
  <c r="AC1112" i="1"/>
  <c r="AD1112" i="1" s="1"/>
  <c r="AB1112" i="1" s="1"/>
  <c r="AC1108" i="1"/>
  <c r="AD1108" i="1" s="1"/>
  <c r="AB1108" i="1" s="1"/>
  <c r="AC1109" i="1"/>
  <c r="AD1109" i="1" s="1"/>
  <c r="AB1109" i="1" s="1"/>
  <c r="AC1105" i="1"/>
  <c r="AD1105" i="1" s="1"/>
  <c r="AB1105" i="1" s="1"/>
  <c r="AC1104" i="1"/>
  <c r="AD1104" i="1" s="1"/>
  <c r="AC1106" i="1"/>
  <c r="AD1106" i="1" s="1"/>
  <c r="AB1106" i="1" s="1"/>
  <c r="AC1107" i="1"/>
  <c r="AD1107" i="1" s="1"/>
  <c r="AB1107" i="1" s="1"/>
  <c r="N1154" i="1"/>
  <c r="AC1122" i="1"/>
  <c r="AD1122" i="1" s="1"/>
  <c r="AB1122" i="1" s="1"/>
  <c r="AC1117" i="1"/>
  <c r="AD1117" i="1" s="1"/>
  <c r="AB1117" i="1" s="1"/>
  <c r="AC1121" i="1"/>
  <c r="AD1121" i="1" s="1"/>
  <c r="AB1121" i="1" s="1"/>
  <c r="AC1120" i="1"/>
  <c r="AD1120" i="1" s="1"/>
  <c r="AB1120" i="1" s="1"/>
  <c r="AC1115" i="1"/>
  <c r="AD1115" i="1" s="1"/>
  <c r="AB1115" i="1" s="1"/>
  <c r="AC1119" i="1"/>
  <c r="AD1119" i="1" s="1"/>
  <c r="AB1119" i="1" s="1"/>
  <c r="AC1114" i="1"/>
  <c r="AD1114" i="1" s="1"/>
  <c r="AC1118" i="1"/>
  <c r="AD1118" i="1" s="1"/>
  <c r="AB1118" i="1" s="1"/>
  <c r="AC1116" i="1"/>
  <c r="AD1116" i="1" s="1"/>
  <c r="AB1116" i="1" s="1"/>
  <c r="AC1097" i="1"/>
  <c r="N1097" i="1"/>
  <c r="AC1045" i="1"/>
  <c r="AC1082" i="1"/>
  <c r="AD1082" i="1" s="1"/>
  <c r="AB1082" i="1" s="1"/>
  <c r="AC1079" i="1"/>
  <c r="AD1079" i="1" s="1"/>
  <c r="AB1079" i="1" s="1"/>
  <c r="AC1083" i="1"/>
  <c r="AD1083" i="1" s="1"/>
  <c r="AB1083" i="1" s="1"/>
  <c r="AC1081" i="1"/>
  <c r="AD1081" i="1" s="1"/>
  <c r="AB1081" i="1" s="1"/>
  <c r="AC1080" i="1"/>
  <c r="AD1080" i="1" s="1"/>
  <c r="AB1080" i="1" s="1"/>
  <c r="AC1078" i="1"/>
  <c r="AD1078" i="1" s="1"/>
  <c r="AC1085" i="1"/>
  <c r="AD1085" i="1" s="1"/>
  <c r="AC1086" i="1"/>
  <c r="AD1086" i="1" s="1"/>
  <c r="AB1086" i="1" s="1"/>
  <c r="AC1076" i="1"/>
  <c r="AD1076" i="1" s="1"/>
  <c r="AB1076" i="1" s="1"/>
  <c r="AC1073" i="1"/>
  <c r="AD1073" i="1" s="1"/>
  <c r="AC1075" i="1"/>
  <c r="AD1075" i="1" s="1"/>
  <c r="AB1075" i="1" s="1"/>
  <c r="AC1074" i="1"/>
  <c r="AD1074" i="1" s="1"/>
  <c r="AB1074" i="1" s="1"/>
  <c r="AC1095" i="1"/>
  <c r="AD1095" i="1" s="1"/>
  <c r="AB1095" i="1" s="1"/>
  <c r="AC1096" i="1"/>
  <c r="AD1096" i="1" s="1"/>
  <c r="AB1096" i="1" s="1"/>
  <c r="AC1091" i="1"/>
  <c r="AD1091" i="1" s="1"/>
  <c r="AB1091" i="1" s="1"/>
  <c r="AC1093" i="1"/>
  <c r="AD1093" i="1" s="1"/>
  <c r="AB1093" i="1" s="1"/>
  <c r="AC1088" i="1"/>
  <c r="AD1088" i="1" s="1"/>
  <c r="AC1090" i="1"/>
  <c r="AD1090" i="1" s="1"/>
  <c r="AB1090" i="1" s="1"/>
  <c r="AC1092" i="1"/>
  <c r="AD1092" i="1" s="1"/>
  <c r="AB1092" i="1" s="1"/>
  <c r="AC1094" i="1"/>
  <c r="AD1094" i="1" s="1"/>
  <c r="AB1094" i="1" s="1"/>
  <c r="AC1089" i="1"/>
  <c r="AD1089" i="1" s="1"/>
  <c r="AB1089" i="1" s="1"/>
  <c r="AC1250" i="1"/>
  <c r="AD1250" i="1" s="1"/>
  <c r="AB1250" i="1" s="1"/>
  <c r="AC1257" i="1"/>
  <c r="AD1257" i="1" s="1"/>
  <c r="AB1257" i="1" s="1"/>
  <c r="AC1252" i="1"/>
  <c r="AD1252" i="1" s="1"/>
  <c r="AB1252" i="1" s="1"/>
  <c r="AC1255" i="1"/>
  <c r="AD1255" i="1" s="1"/>
  <c r="AB1255" i="1" s="1"/>
  <c r="AC1254" i="1"/>
  <c r="AD1254" i="1" s="1"/>
  <c r="AB1254" i="1" s="1"/>
  <c r="AC1249" i="1"/>
  <c r="AD1249" i="1" s="1"/>
  <c r="AC1256" i="1"/>
  <c r="AD1256" i="1" s="1"/>
  <c r="AB1256" i="1" s="1"/>
  <c r="AC1251" i="1"/>
  <c r="AD1251" i="1" s="1"/>
  <c r="AB1251" i="1" s="1"/>
  <c r="AC1253" i="1"/>
  <c r="AD1253" i="1" s="1"/>
  <c r="AB1253" i="1" s="1"/>
  <c r="AC1237" i="1"/>
  <c r="AD1237" i="1" s="1"/>
  <c r="AB1237" i="1" s="1"/>
  <c r="AC1234" i="1"/>
  <c r="AD1234" i="1" s="1"/>
  <c r="AC1236" i="1"/>
  <c r="AD1236" i="1" s="1"/>
  <c r="AB1236" i="1" s="1"/>
  <c r="AC1235" i="1"/>
  <c r="AD1235" i="1" s="1"/>
  <c r="AB1235" i="1" s="1"/>
  <c r="N1019" i="1"/>
  <c r="AC1246" i="1"/>
  <c r="AD1246" i="1" s="1"/>
  <c r="AC1247" i="1"/>
  <c r="AD1247" i="1" s="1"/>
  <c r="AB1247" i="1" s="1"/>
  <c r="AC1241" i="1"/>
  <c r="AD1241" i="1" s="1"/>
  <c r="AB1241" i="1" s="1"/>
  <c r="AC1243" i="1"/>
  <c r="AD1243" i="1" s="1"/>
  <c r="AB1243" i="1" s="1"/>
  <c r="AC1240" i="1"/>
  <c r="AD1240" i="1" s="1"/>
  <c r="AB1240" i="1" s="1"/>
  <c r="AC1242" i="1"/>
  <c r="AD1242" i="1" s="1"/>
  <c r="AB1242" i="1" s="1"/>
  <c r="AC1244" i="1"/>
  <c r="AD1244" i="1" s="1"/>
  <c r="AB1244" i="1" s="1"/>
  <c r="AC1239" i="1"/>
  <c r="AD1239" i="1" s="1"/>
  <c r="N993" i="1"/>
  <c r="AC1063" i="1"/>
  <c r="AD1063" i="1" s="1"/>
  <c r="AB1063" i="1" s="1"/>
  <c r="AC1069" i="1"/>
  <c r="AD1069" i="1" s="1"/>
  <c r="AB1069" i="1" s="1"/>
  <c r="AC1068" i="1"/>
  <c r="AD1068" i="1" s="1"/>
  <c r="AB1068" i="1" s="1"/>
  <c r="AC1070" i="1"/>
  <c r="AD1070" i="1" s="1"/>
  <c r="AB1070" i="1" s="1"/>
  <c r="AC1065" i="1"/>
  <c r="AD1065" i="1" s="1"/>
  <c r="AB1065" i="1" s="1"/>
  <c r="AC1067" i="1"/>
  <c r="AD1067" i="1" s="1"/>
  <c r="AB1067" i="1" s="1"/>
  <c r="AC1062" i="1"/>
  <c r="AD1062" i="1" s="1"/>
  <c r="AC1064" i="1"/>
  <c r="AD1064" i="1" s="1"/>
  <c r="AB1064" i="1" s="1"/>
  <c r="AC1066" i="1"/>
  <c r="AD1066" i="1" s="1"/>
  <c r="AB1066" i="1" s="1"/>
  <c r="AC1050" i="1"/>
  <c r="AD1050" i="1" s="1"/>
  <c r="AB1050" i="1" s="1"/>
  <c r="AC1048" i="1"/>
  <c r="AD1048" i="1" s="1"/>
  <c r="AB1048" i="1" s="1"/>
  <c r="AC1047" i="1"/>
  <c r="AD1047" i="1" s="1"/>
  <c r="AC1049" i="1"/>
  <c r="AD1049" i="1" s="1"/>
  <c r="AB1049" i="1" s="1"/>
  <c r="AC1059" i="1"/>
  <c r="AD1059" i="1" s="1"/>
  <c r="AC1060" i="1"/>
  <c r="AD1060" i="1" s="1"/>
  <c r="AB1060" i="1" s="1"/>
  <c r="AC1055" i="1"/>
  <c r="AD1055" i="1" s="1"/>
  <c r="AB1055" i="1" s="1"/>
  <c r="AC1054" i="1"/>
  <c r="AD1054" i="1" s="1"/>
  <c r="AB1054" i="1" s="1"/>
  <c r="AC1056" i="1"/>
  <c r="AD1056" i="1" s="1"/>
  <c r="AB1056" i="1" s="1"/>
  <c r="AC1053" i="1"/>
  <c r="AD1053" i="1" s="1"/>
  <c r="AB1053" i="1" s="1"/>
  <c r="AC1057" i="1"/>
  <c r="AD1057" i="1" s="1"/>
  <c r="AB1057" i="1" s="1"/>
  <c r="AC1052" i="1"/>
  <c r="AD1052" i="1" s="1"/>
  <c r="AC1165" i="1"/>
  <c r="AD1165" i="1" s="1"/>
  <c r="AB1165" i="1" s="1"/>
  <c r="AC1161" i="1"/>
  <c r="AD1161" i="1" s="1"/>
  <c r="AC1162" i="1"/>
  <c r="AD1162" i="1" s="1"/>
  <c r="AB1162" i="1" s="1"/>
  <c r="AC1164" i="1"/>
  <c r="AD1164" i="1" s="1"/>
  <c r="AB1164" i="1" s="1"/>
  <c r="AC1166" i="1"/>
  <c r="AD1166" i="1" s="1"/>
  <c r="AB1166" i="1" s="1"/>
  <c r="AC1163" i="1"/>
  <c r="AD1163" i="1" s="1"/>
  <c r="AB1163" i="1" s="1"/>
  <c r="AC1159" i="1"/>
  <c r="AD1159" i="1" s="1"/>
  <c r="AB1159" i="1" s="1"/>
  <c r="AC1156" i="1"/>
  <c r="AD1156" i="1" s="1"/>
  <c r="AC1158" i="1"/>
  <c r="AD1158" i="1" s="1"/>
  <c r="AB1158" i="1" s="1"/>
  <c r="AC1157" i="1"/>
  <c r="AD1157" i="1" s="1"/>
  <c r="AB1157" i="1" s="1"/>
  <c r="AC1172" i="1"/>
  <c r="AD1172" i="1" s="1"/>
  <c r="AB1172" i="1" s="1"/>
  <c r="AC1175" i="1"/>
  <c r="AD1175" i="1" s="1"/>
  <c r="AB1175" i="1" s="1"/>
  <c r="AC1179" i="1"/>
  <c r="AD1179" i="1" s="1"/>
  <c r="AB1179" i="1" s="1"/>
  <c r="AC1173" i="1"/>
  <c r="AD1173" i="1" s="1"/>
  <c r="AB1173" i="1" s="1"/>
  <c r="AC1174" i="1"/>
  <c r="AD1174" i="1" s="1"/>
  <c r="AB1174" i="1" s="1"/>
  <c r="AC1178" i="1"/>
  <c r="AD1178" i="1" s="1"/>
  <c r="AB1178" i="1" s="1"/>
  <c r="AC1176" i="1"/>
  <c r="AD1176" i="1" s="1"/>
  <c r="AB1176" i="1" s="1"/>
  <c r="AC1171" i="1"/>
  <c r="AD1171" i="1" s="1"/>
  <c r="AC1177" i="1"/>
  <c r="AD1177" i="1" s="1"/>
  <c r="AB1177" i="1" s="1"/>
  <c r="AC1169" i="1"/>
  <c r="AD1169" i="1" s="1"/>
  <c r="AB1169" i="1" s="1"/>
  <c r="AC1168" i="1"/>
  <c r="AD1168" i="1" s="1"/>
  <c r="AC1180" i="1"/>
  <c r="AC1217" i="1"/>
  <c r="AD1217" i="1" s="1"/>
  <c r="AB1217" i="1" s="1"/>
  <c r="AC1214" i="1"/>
  <c r="AD1214" i="1" s="1"/>
  <c r="AB1214" i="1" s="1"/>
  <c r="AC1215" i="1"/>
  <c r="AD1215" i="1" s="1"/>
  <c r="AB1215" i="1" s="1"/>
  <c r="AC1216" i="1"/>
  <c r="AD1216" i="1" s="1"/>
  <c r="AB1216" i="1" s="1"/>
  <c r="AC1218" i="1"/>
  <c r="AD1218" i="1" s="1"/>
  <c r="AB1218" i="1" s="1"/>
  <c r="AC1213" i="1"/>
  <c r="AD1213" i="1" s="1"/>
  <c r="AC1224" i="1"/>
  <c r="AD1224" i="1" s="1"/>
  <c r="AB1224" i="1" s="1"/>
  <c r="AC1231" i="1"/>
  <c r="AD1231" i="1" s="1"/>
  <c r="AB1231" i="1" s="1"/>
  <c r="AC1226" i="1"/>
  <c r="AD1226" i="1" s="1"/>
  <c r="AB1226" i="1" s="1"/>
  <c r="AC1223" i="1"/>
  <c r="AD1223" i="1" s="1"/>
  <c r="AC1230" i="1"/>
  <c r="AD1230" i="1" s="1"/>
  <c r="AB1230" i="1" s="1"/>
  <c r="AC1227" i="1"/>
  <c r="AD1227" i="1" s="1"/>
  <c r="AB1227" i="1" s="1"/>
  <c r="AC1228" i="1"/>
  <c r="AD1228" i="1" s="1"/>
  <c r="AB1228" i="1" s="1"/>
  <c r="AC1225" i="1"/>
  <c r="AD1225" i="1" s="1"/>
  <c r="AB1225" i="1" s="1"/>
  <c r="AC1229" i="1"/>
  <c r="AD1229" i="1" s="1"/>
  <c r="AB1229" i="1" s="1"/>
  <c r="N857" i="1"/>
  <c r="AC1211" i="1"/>
  <c r="AD1211" i="1" s="1"/>
  <c r="AB1211" i="1" s="1"/>
  <c r="AC1210" i="1"/>
  <c r="AD1210" i="1" s="1"/>
  <c r="AB1210" i="1" s="1"/>
  <c r="AC1209" i="1"/>
  <c r="AD1209" i="1" s="1"/>
  <c r="AB1209" i="1" s="1"/>
  <c r="AC1208" i="1"/>
  <c r="AD1208" i="1" s="1"/>
  <c r="AC1220" i="1"/>
  <c r="AD1220" i="1" s="1"/>
  <c r="AC1221" i="1"/>
  <c r="AD1221" i="1" s="1"/>
  <c r="AB1221" i="1" s="1"/>
  <c r="N1206" i="1"/>
  <c r="AC1206" i="1"/>
  <c r="AC1030" i="1"/>
  <c r="AD1030" i="1" s="1"/>
  <c r="AB1030" i="1" s="1"/>
  <c r="AC1026" i="1"/>
  <c r="AD1026" i="1" s="1"/>
  <c r="AC1027" i="1"/>
  <c r="AD1027" i="1" s="1"/>
  <c r="AB1027" i="1" s="1"/>
  <c r="AC1029" i="1"/>
  <c r="AD1029" i="1" s="1"/>
  <c r="AB1029" i="1" s="1"/>
  <c r="AC1031" i="1"/>
  <c r="AD1031" i="1" s="1"/>
  <c r="AB1031" i="1" s="1"/>
  <c r="AC1028" i="1"/>
  <c r="AD1028" i="1" s="1"/>
  <c r="AB1028" i="1" s="1"/>
  <c r="AC1037" i="1"/>
  <c r="AD1037" i="1" s="1"/>
  <c r="AB1037" i="1" s="1"/>
  <c r="AC1044" i="1"/>
  <c r="AD1044" i="1" s="1"/>
  <c r="AB1044" i="1" s="1"/>
  <c r="AC1040" i="1"/>
  <c r="AD1040" i="1" s="1"/>
  <c r="AB1040" i="1" s="1"/>
  <c r="AC1039" i="1"/>
  <c r="AD1039" i="1" s="1"/>
  <c r="AB1039" i="1" s="1"/>
  <c r="AC1041" i="1"/>
  <c r="AD1041" i="1" s="1"/>
  <c r="AB1041" i="1" s="1"/>
  <c r="AC1036" i="1"/>
  <c r="AD1036" i="1" s="1"/>
  <c r="AC1043" i="1"/>
  <c r="AD1043" i="1" s="1"/>
  <c r="AB1043" i="1" s="1"/>
  <c r="AC1038" i="1"/>
  <c r="AD1038" i="1" s="1"/>
  <c r="AB1038" i="1" s="1"/>
  <c r="AC1042" i="1"/>
  <c r="AD1042" i="1" s="1"/>
  <c r="AB1042" i="1" s="1"/>
  <c r="AC1024" i="1"/>
  <c r="AD1024" i="1" s="1"/>
  <c r="AB1024" i="1" s="1"/>
  <c r="AC1022" i="1"/>
  <c r="AD1022" i="1" s="1"/>
  <c r="AB1022" i="1" s="1"/>
  <c r="AC1021" i="1"/>
  <c r="AD1021" i="1" s="1"/>
  <c r="AC1023" i="1"/>
  <c r="AD1023" i="1" s="1"/>
  <c r="AB1023" i="1" s="1"/>
  <c r="AC1033" i="1"/>
  <c r="AD1033" i="1" s="1"/>
  <c r="AC1034" i="1"/>
  <c r="AD1034" i="1" s="1"/>
  <c r="AB1034" i="1" s="1"/>
  <c r="AC1139" i="1"/>
  <c r="AD1139" i="1" s="1"/>
  <c r="AB1139" i="1" s="1"/>
  <c r="AC1138" i="1"/>
  <c r="AD1138" i="1" s="1"/>
  <c r="AB1138" i="1" s="1"/>
  <c r="AC1131" i="1"/>
  <c r="AD1131" i="1" s="1"/>
  <c r="AB1131" i="1" s="1"/>
  <c r="AC1130" i="1"/>
  <c r="AD1130" i="1" s="1"/>
  <c r="AC1137" i="1"/>
  <c r="AD1137" i="1" s="1"/>
  <c r="AB1137" i="1" s="1"/>
  <c r="AC1136" i="1"/>
  <c r="AD1136" i="1" s="1"/>
  <c r="AB1136" i="1" s="1"/>
  <c r="AC1133" i="1"/>
  <c r="AD1133" i="1" s="1"/>
  <c r="AB1133" i="1" s="1"/>
  <c r="AC1135" i="1"/>
  <c r="AD1135" i="1" s="1"/>
  <c r="AB1135" i="1" s="1"/>
  <c r="AC1140" i="1"/>
  <c r="AD1140" i="1" s="1"/>
  <c r="AB1140" i="1" s="1"/>
  <c r="AC1132" i="1"/>
  <c r="AD1132" i="1" s="1"/>
  <c r="AB1132" i="1" s="1"/>
  <c r="AC1134" i="1"/>
  <c r="AD1134" i="1" s="1"/>
  <c r="AB1134" i="1" s="1"/>
  <c r="AC1153" i="1"/>
  <c r="AD1153" i="1" s="1"/>
  <c r="AB1153" i="1" s="1"/>
  <c r="AC1148" i="1"/>
  <c r="AD1148" i="1" s="1"/>
  <c r="AB1148" i="1" s="1"/>
  <c r="AC1147" i="1"/>
  <c r="AD1147" i="1" s="1"/>
  <c r="AB1147" i="1" s="1"/>
  <c r="AC1151" i="1"/>
  <c r="AD1151" i="1" s="1"/>
  <c r="AB1151" i="1" s="1"/>
  <c r="AC1150" i="1"/>
  <c r="AD1150" i="1" s="1"/>
  <c r="AB1150" i="1" s="1"/>
  <c r="AC1145" i="1"/>
  <c r="AD1145" i="1" s="1"/>
  <c r="AC1152" i="1"/>
  <c r="AD1152" i="1" s="1"/>
  <c r="AB1152" i="1" s="1"/>
  <c r="AC1149" i="1"/>
  <c r="AD1149" i="1" s="1"/>
  <c r="AB1149" i="1" s="1"/>
  <c r="AC1146" i="1"/>
  <c r="AD1146" i="1" s="1"/>
  <c r="AB1146" i="1" s="1"/>
  <c r="AC1126" i="1"/>
  <c r="AD1126" i="1" s="1"/>
  <c r="AB1126" i="1" s="1"/>
  <c r="AC1125" i="1"/>
  <c r="AD1125" i="1" s="1"/>
  <c r="AC1127" i="1"/>
  <c r="AD1127" i="1" s="1"/>
  <c r="AB1127" i="1" s="1"/>
  <c r="AC1128" i="1"/>
  <c r="AD1128" i="1" s="1"/>
  <c r="AB1128" i="1" s="1"/>
  <c r="AC1142" i="1"/>
  <c r="AD1142" i="1" s="1"/>
  <c r="AC1143" i="1"/>
  <c r="AD1143" i="1" s="1"/>
  <c r="AB1143" i="1" s="1"/>
  <c r="AC1191" i="1"/>
  <c r="AD1191" i="1" s="1"/>
  <c r="AB1191" i="1" s="1"/>
  <c r="AC1187" i="1"/>
  <c r="AD1187" i="1" s="1"/>
  <c r="AC1188" i="1"/>
  <c r="AD1188" i="1" s="1"/>
  <c r="AB1188" i="1" s="1"/>
  <c r="AC1190" i="1"/>
  <c r="AD1190" i="1" s="1"/>
  <c r="AB1190" i="1" s="1"/>
  <c r="AC1192" i="1"/>
  <c r="AD1192" i="1" s="1"/>
  <c r="AB1192" i="1" s="1"/>
  <c r="AC1189" i="1"/>
  <c r="AD1189" i="1" s="1"/>
  <c r="AB1189" i="1" s="1"/>
  <c r="AC805" i="1"/>
  <c r="AC1198" i="1"/>
  <c r="AD1198" i="1" s="1"/>
  <c r="AB1198" i="1" s="1"/>
  <c r="AC1205" i="1"/>
  <c r="AD1205" i="1" s="1"/>
  <c r="AB1205" i="1" s="1"/>
  <c r="AC1204" i="1"/>
  <c r="AD1204" i="1" s="1"/>
  <c r="AB1204" i="1" s="1"/>
  <c r="AC1200" i="1"/>
  <c r="AD1200" i="1" s="1"/>
  <c r="AB1200" i="1" s="1"/>
  <c r="AC1197" i="1"/>
  <c r="AD1197" i="1" s="1"/>
  <c r="AC1202" i="1"/>
  <c r="AD1202" i="1" s="1"/>
  <c r="AB1202" i="1" s="1"/>
  <c r="AC1199" i="1"/>
  <c r="AD1199" i="1" s="1"/>
  <c r="AB1199" i="1" s="1"/>
  <c r="AC1201" i="1"/>
  <c r="AD1201" i="1" s="1"/>
  <c r="AB1201" i="1" s="1"/>
  <c r="AC1203" i="1"/>
  <c r="AD1203" i="1" s="1"/>
  <c r="AB1203" i="1" s="1"/>
  <c r="AC1185" i="1"/>
  <c r="AD1185" i="1" s="1"/>
  <c r="AB1185" i="1" s="1"/>
  <c r="AC1182" i="1"/>
  <c r="AD1182" i="1" s="1"/>
  <c r="AC1184" i="1"/>
  <c r="AD1184" i="1" s="1"/>
  <c r="AB1184" i="1" s="1"/>
  <c r="AC1183" i="1"/>
  <c r="AD1183" i="1" s="1"/>
  <c r="AB1183" i="1" s="1"/>
  <c r="AC1195" i="1"/>
  <c r="AD1195" i="1" s="1"/>
  <c r="AB1195" i="1" s="1"/>
  <c r="AC1194" i="1"/>
  <c r="AD1194" i="1" s="1"/>
  <c r="AC1004" i="1"/>
  <c r="AD1004" i="1" s="1"/>
  <c r="AB1004" i="1" s="1"/>
  <c r="AC1005" i="1"/>
  <c r="AD1005" i="1" s="1"/>
  <c r="AB1005" i="1" s="1"/>
  <c r="AC1001" i="1"/>
  <c r="AD1001" i="1" s="1"/>
  <c r="AB1001" i="1" s="1"/>
  <c r="AC1003" i="1"/>
  <c r="AD1003" i="1" s="1"/>
  <c r="AB1003" i="1" s="1"/>
  <c r="AC1000" i="1"/>
  <c r="AD1000" i="1" s="1"/>
  <c r="AC1002" i="1"/>
  <c r="AD1002" i="1" s="1"/>
  <c r="AB1002" i="1" s="1"/>
  <c r="AC1007" i="1"/>
  <c r="AD1007" i="1" s="1"/>
  <c r="AC1008" i="1"/>
  <c r="AD1008" i="1" s="1"/>
  <c r="AB1008" i="1" s="1"/>
  <c r="AC998" i="1"/>
  <c r="AD998" i="1" s="1"/>
  <c r="AB998" i="1" s="1"/>
  <c r="AC996" i="1"/>
  <c r="AD996" i="1" s="1"/>
  <c r="AB996" i="1" s="1"/>
  <c r="AC995" i="1"/>
  <c r="AD995" i="1" s="1"/>
  <c r="AC997" i="1"/>
  <c r="AD997" i="1" s="1"/>
  <c r="AB997" i="1" s="1"/>
  <c r="AC1011" i="1"/>
  <c r="AD1011" i="1" s="1"/>
  <c r="AB1011" i="1" s="1"/>
  <c r="AC1018" i="1"/>
  <c r="AD1018" i="1" s="1"/>
  <c r="AB1018" i="1" s="1"/>
  <c r="AC1014" i="1"/>
  <c r="AD1014" i="1" s="1"/>
  <c r="AB1014" i="1" s="1"/>
  <c r="AC1013" i="1"/>
  <c r="AD1013" i="1" s="1"/>
  <c r="AB1013" i="1" s="1"/>
  <c r="AC1017" i="1"/>
  <c r="AD1017" i="1" s="1"/>
  <c r="AB1017" i="1" s="1"/>
  <c r="AC1012" i="1"/>
  <c r="AD1012" i="1" s="1"/>
  <c r="AB1012" i="1" s="1"/>
  <c r="AC1016" i="1"/>
  <c r="AD1016" i="1" s="1"/>
  <c r="AB1016" i="1" s="1"/>
  <c r="AC1015" i="1"/>
  <c r="AD1015" i="1" s="1"/>
  <c r="AB1015" i="1" s="1"/>
  <c r="AC1010" i="1"/>
  <c r="AD1010" i="1" s="1"/>
  <c r="AC985" i="1"/>
  <c r="AD985" i="1" s="1"/>
  <c r="AB985" i="1" s="1"/>
  <c r="AC992" i="1"/>
  <c r="AD992" i="1" s="1"/>
  <c r="AB992" i="1" s="1"/>
  <c r="AC987" i="1"/>
  <c r="AD987" i="1" s="1"/>
  <c r="AB987" i="1" s="1"/>
  <c r="AC988" i="1"/>
  <c r="AD988" i="1" s="1"/>
  <c r="AB988" i="1" s="1"/>
  <c r="AC989" i="1"/>
  <c r="AD989" i="1" s="1"/>
  <c r="AB989" i="1" s="1"/>
  <c r="AC984" i="1"/>
  <c r="AD984" i="1" s="1"/>
  <c r="AC990" i="1"/>
  <c r="AD990" i="1" s="1"/>
  <c r="AB990" i="1" s="1"/>
  <c r="AC991" i="1"/>
  <c r="AD991" i="1" s="1"/>
  <c r="AB991" i="1" s="1"/>
  <c r="AC986" i="1"/>
  <c r="AD986" i="1" s="1"/>
  <c r="AB986" i="1" s="1"/>
  <c r="AC970" i="1"/>
  <c r="AD970" i="1" s="1"/>
  <c r="AB970" i="1" s="1"/>
  <c r="AC972" i="1"/>
  <c r="AD972" i="1" s="1"/>
  <c r="AB972" i="1" s="1"/>
  <c r="AC969" i="1"/>
  <c r="AD969" i="1" s="1"/>
  <c r="AC971" i="1"/>
  <c r="AD971" i="1" s="1"/>
  <c r="AB971" i="1" s="1"/>
  <c r="AC978" i="1"/>
  <c r="AD978" i="1" s="1"/>
  <c r="AB978" i="1" s="1"/>
  <c r="AC975" i="1"/>
  <c r="AD975" i="1" s="1"/>
  <c r="AB975" i="1" s="1"/>
  <c r="AC979" i="1"/>
  <c r="AD979" i="1" s="1"/>
  <c r="AB979" i="1" s="1"/>
  <c r="AC974" i="1"/>
  <c r="AD974" i="1" s="1"/>
  <c r="AC976" i="1"/>
  <c r="AD976" i="1" s="1"/>
  <c r="AB976" i="1" s="1"/>
  <c r="AC977" i="1"/>
  <c r="AD977" i="1" s="1"/>
  <c r="AB977" i="1" s="1"/>
  <c r="AC981" i="1"/>
  <c r="AD981" i="1" s="1"/>
  <c r="AC982" i="1"/>
  <c r="AD982" i="1" s="1"/>
  <c r="AB982" i="1" s="1"/>
  <c r="AC952" i="1"/>
  <c r="AD952" i="1" s="1"/>
  <c r="AB952" i="1" s="1"/>
  <c r="AC943" i="1"/>
  <c r="AD943" i="1" s="1"/>
  <c r="AC944" i="1"/>
  <c r="AD944" i="1" s="1"/>
  <c r="AB944" i="1" s="1"/>
  <c r="AC950" i="1"/>
  <c r="AD950" i="1" s="1"/>
  <c r="AB950" i="1" s="1"/>
  <c r="AC949" i="1"/>
  <c r="AD949" i="1" s="1"/>
  <c r="AB949" i="1" s="1"/>
  <c r="AC951" i="1"/>
  <c r="AD951" i="1" s="1"/>
  <c r="AB951" i="1" s="1"/>
  <c r="AC946" i="1"/>
  <c r="AD946" i="1" s="1"/>
  <c r="AB946" i="1" s="1"/>
  <c r="AC948" i="1"/>
  <c r="AD948" i="1" s="1"/>
  <c r="AB948" i="1" s="1"/>
  <c r="AC953" i="1"/>
  <c r="AD953" i="1" s="1"/>
  <c r="AB953" i="1" s="1"/>
  <c r="AC945" i="1"/>
  <c r="AD945" i="1" s="1"/>
  <c r="AB945" i="1" s="1"/>
  <c r="AC947" i="1"/>
  <c r="AD947" i="1" s="1"/>
  <c r="AB947" i="1" s="1"/>
  <c r="AC966" i="1"/>
  <c r="AD966" i="1" s="1"/>
  <c r="AB966" i="1" s="1"/>
  <c r="AC961" i="1"/>
  <c r="AD961" i="1" s="1"/>
  <c r="AB961" i="1" s="1"/>
  <c r="AC964" i="1"/>
  <c r="AD964" i="1" s="1"/>
  <c r="AB964" i="1" s="1"/>
  <c r="AC962" i="1"/>
  <c r="AD962" i="1" s="1"/>
  <c r="AB962" i="1" s="1"/>
  <c r="AC963" i="1"/>
  <c r="AD963" i="1" s="1"/>
  <c r="AB963" i="1" s="1"/>
  <c r="AC958" i="1"/>
  <c r="AD958" i="1" s="1"/>
  <c r="AC965" i="1"/>
  <c r="AD965" i="1" s="1"/>
  <c r="AB965" i="1" s="1"/>
  <c r="AC960" i="1"/>
  <c r="AD960" i="1" s="1"/>
  <c r="AB960" i="1" s="1"/>
  <c r="AC959" i="1"/>
  <c r="AD959" i="1" s="1"/>
  <c r="AB959" i="1" s="1"/>
  <c r="AC941" i="1"/>
  <c r="AD941" i="1" s="1"/>
  <c r="AB941" i="1" s="1"/>
  <c r="AC938" i="1"/>
  <c r="AD938" i="1" s="1"/>
  <c r="AC940" i="1"/>
  <c r="AD940" i="1" s="1"/>
  <c r="AB940" i="1" s="1"/>
  <c r="AC939" i="1"/>
  <c r="AD939" i="1" s="1"/>
  <c r="AB939" i="1" s="1"/>
  <c r="AC955" i="1"/>
  <c r="AD955" i="1" s="1"/>
  <c r="AC956" i="1"/>
  <c r="AD956" i="1" s="1"/>
  <c r="AB956" i="1" s="1"/>
  <c r="AC936" i="1"/>
  <c r="N936" i="1"/>
  <c r="AC920" i="1"/>
  <c r="AD920" i="1" s="1"/>
  <c r="AB920" i="1" s="1"/>
  <c r="AC917" i="1"/>
  <c r="AD917" i="1" s="1"/>
  <c r="AB917" i="1" s="1"/>
  <c r="AC919" i="1"/>
  <c r="AD919" i="1" s="1"/>
  <c r="AB919" i="1" s="1"/>
  <c r="AC921" i="1"/>
  <c r="AD921" i="1" s="1"/>
  <c r="AB921" i="1" s="1"/>
  <c r="AC916" i="1"/>
  <c r="AD916" i="1" s="1"/>
  <c r="AC918" i="1"/>
  <c r="AD918" i="1" s="1"/>
  <c r="AB918" i="1" s="1"/>
  <c r="AC927" i="1"/>
  <c r="AD927" i="1" s="1"/>
  <c r="AB927" i="1" s="1"/>
  <c r="AC932" i="1"/>
  <c r="AD932" i="1" s="1"/>
  <c r="AB932" i="1" s="1"/>
  <c r="AC934" i="1"/>
  <c r="AD934" i="1" s="1"/>
  <c r="AB934" i="1" s="1"/>
  <c r="AC929" i="1"/>
  <c r="AD929" i="1" s="1"/>
  <c r="AB929" i="1" s="1"/>
  <c r="AC931" i="1"/>
  <c r="AD931" i="1" s="1"/>
  <c r="AB931" i="1" s="1"/>
  <c r="AC926" i="1"/>
  <c r="AD926" i="1" s="1"/>
  <c r="AC933" i="1"/>
  <c r="AD933" i="1" s="1"/>
  <c r="AB933" i="1" s="1"/>
  <c r="AC928" i="1"/>
  <c r="AD928" i="1" s="1"/>
  <c r="AB928" i="1" s="1"/>
  <c r="AC930" i="1"/>
  <c r="AD930" i="1" s="1"/>
  <c r="AB930" i="1" s="1"/>
  <c r="AC914" i="1"/>
  <c r="AD914" i="1" s="1"/>
  <c r="AB914" i="1" s="1"/>
  <c r="AC912" i="1"/>
  <c r="AD912" i="1" s="1"/>
  <c r="AB912" i="1" s="1"/>
  <c r="AC911" i="1"/>
  <c r="AD911" i="1" s="1"/>
  <c r="AC913" i="1"/>
  <c r="AD913" i="1" s="1"/>
  <c r="AB913" i="1" s="1"/>
  <c r="AC923" i="1"/>
  <c r="AD923" i="1" s="1"/>
  <c r="AC924" i="1"/>
  <c r="AD924" i="1" s="1"/>
  <c r="AB924" i="1" s="1"/>
  <c r="N909" i="1"/>
  <c r="AC909" i="1"/>
  <c r="AC893" i="1"/>
  <c r="AD893" i="1" s="1"/>
  <c r="AB893" i="1" s="1"/>
  <c r="AC894" i="1"/>
  <c r="AD894" i="1" s="1"/>
  <c r="AB894" i="1" s="1"/>
  <c r="AC891" i="1"/>
  <c r="AD891" i="1" s="1"/>
  <c r="AB891" i="1" s="1"/>
  <c r="AC895" i="1"/>
  <c r="AD895" i="1" s="1"/>
  <c r="AB895" i="1" s="1"/>
  <c r="AC890" i="1"/>
  <c r="AD890" i="1" s="1"/>
  <c r="AC892" i="1"/>
  <c r="AD892" i="1" s="1"/>
  <c r="AB892" i="1" s="1"/>
  <c r="AC888" i="1"/>
  <c r="AD888" i="1" s="1"/>
  <c r="AB888" i="1" s="1"/>
  <c r="AC886" i="1"/>
  <c r="AD886" i="1" s="1"/>
  <c r="AB886" i="1" s="1"/>
  <c r="AC885" i="1"/>
  <c r="AD885" i="1" s="1"/>
  <c r="AC887" i="1"/>
  <c r="AD887" i="1" s="1"/>
  <c r="AB887" i="1" s="1"/>
  <c r="AC898" i="1"/>
  <c r="AD898" i="1" s="1"/>
  <c r="AB898" i="1" s="1"/>
  <c r="AC897" i="1"/>
  <c r="AD897" i="1" s="1"/>
  <c r="AC901" i="1"/>
  <c r="AD901" i="1" s="1"/>
  <c r="AB901" i="1" s="1"/>
  <c r="AC908" i="1"/>
  <c r="AD908" i="1" s="1"/>
  <c r="AB908" i="1" s="1"/>
  <c r="AC900" i="1"/>
  <c r="AD900" i="1" s="1"/>
  <c r="AC907" i="1"/>
  <c r="AD907" i="1" s="1"/>
  <c r="AB907" i="1" s="1"/>
  <c r="AC903" i="1"/>
  <c r="AD903" i="1" s="1"/>
  <c r="AB903" i="1" s="1"/>
  <c r="AC905" i="1"/>
  <c r="AD905" i="1" s="1"/>
  <c r="AB905" i="1" s="1"/>
  <c r="AC906" i="1"/>
  <c r="AD906" i="1" s="1"/>
  <c r="AB906" i="1" s="1"/>
  <c r="AC902" i="1"/>
  <c r="AD902" i="1" s="1"/>
  <c r="AB902" i="1" s="1"/>
  <c r="AC904" i="1"/>
  <c r="AD904" i="1" s="1"/>
  <c r="AB904" i="1" s="1"/>
  <c r="AC862" i="1"/>
  <c r="AD862" i="1" s="1"/>
  <c r="AB862" i="1" s="1"/>
  <c r="AC859" i="1"/>
  <c r="AD859" i="1" s="1"/>
  <c r="AC860" i="1"/>
  <c r="AD860" i="1" s="1"/>
  <c r="AB860" i="1" s="1"/>
  <c r="AC861" i="1"/>
  <c r="AD861" i="1" s="1"/>
  <c r="AB861" i="1" s="1"/>
  <c r="AC868" i="1"/>
  <c r="AD868" i="1" s="1"/>
  <c r="AB868" i="1" s="1"/>
  <c r="AC865" i="1"/>
  <c r="AD865" i="1" s="1"/>
  <c r="AB865" i="1" s="1"/>
  <c r="AC869" i="1"/>
  <c r="AD869" i="1" s="1"/>
  <c r="AB869" i="1" s="1"/>
  <c r="AC864" i="1"/>
  <c r="AD864" i="1" s="1"/>
  <c r="AC866" i="1"/>
  <c r="AD866" i="1" s="1"/>
  <c r="AB866" i="1" s="1"/>
  <c r="AC867" i="1"/>
  <c r="AD867" i="1" s="1"/>
  <c r="AB867" i="1" s="1"/>
  <c r="AC875" i="1"/>
  <c r="AD875" i="1" s="1"/>
  <c r="AB875" i="1" s="1"/>
  <c r="AC882" i="1"/>
  <c r="AD882" i="1" s="1"/>
  <c r="AB882" i="1" s="1"/>
  <c r="AC877" i="1"/>
  <c r="AD877" i="1" s="1"/>
  <c r="AB877" i="1" s="1"/>
  <c r="AC879" i="1"/>
  <c r="AD879" i="1" s="1"/>
  <c r="AB879" i="1" s="1"/>
  <c r="AC874" i="1"/>
  <c r="AD874" i="1" s="1"/>
  <c r="AC881" i="1"/>
  <c r="AD881" i="1" s="1"/>
  <c r="AB881" i="1" s="1"/>
  <c r="AC878" i="1"/>
  <c r="AD878" i="1" s="1"/>
  <c r="AB878" i="1" s="1"/>
  <c r="AC880" i="1"/>
  <c r="AD880" i="1" s="1"/>
  <c r="AB880" i="1" s="1"/>
  <c r="AC876" i="1"/>
  <c r="AD876" i="1" s="1"/>
  <c r="AB876" i="1" s="1"/>
  <c r="AC871" i="1"/>
  <c r="AD871" i="1" s="1"/>
  <c r="AC872" i="1"/>
  <c r="AD872" i="1" s="1"/>
  <c r="AB872" i="1" s="1"/>
  <c r="AC842" i="1"/>
  <c r="AD842" i="1" s="1"/>
  <c r="AB842" i="1" s="1"/>
  <c r="AC841" i="1"/>
  <c r="AD841" i="1" s="1"/>
  <c r="AB841" i="1" s="1"/>
  <c r="AC839" i="1"/>
  <c r="AD839" i="1" s="1"/>
  <c r="AB839" i="1" s="1"/>
  <c r="AC843" i="1"/>
  <c r="AD843" i="1" s="1"/>
  <c r="AB843" i="1" s="1"/>
  <c r="AC838" i="1"/>
  <c r="AD838" i="1" s="1"/>
  <c r="AC840" i="1"/>
  <c r="AD840" i="1" s="1"/>
  <c r="AB840" i="1" s="1"/>
  <c r="AC849" i="1"/>
  <c r="AD849" i="1" s="1"/>
  <c r="AB849" i="1" s="1"/>
  <c r="AC856" i="1"/>
  <c r="AD856" i="1" s="1"/>
  <c r="AB856" i="1" s="1"/>
  <c r="AC851" i="1"/>
  <c r="AD851" i="1" s="1"/>
  <c r="AB851" i="1" s="1"/>
  <c r="AC853" i="1"/>
  <c r="AD853" i="1" s="1"/>
  <c r="AB853" i="1" s="1"/>
  <c r="AC848" i="1"/>
  <c r="AD848" i="1" s="1"/>
  <c r="AC855" i="1"/>
  <c r="AD855" i="1" s="1"/>
  <c r="AB855" i="1" s="1"/>
  <c r="AC850" i="1"/>
  <c r="AD850" i="1" s="1"/>
  <c r="AB850" i="1" s="1"/>
  <c r="AC852" i="1"/>
  <c r="AD852" i="1" s="1"/>
  <c r="AB852" i="1" s="1"/>
  <c r="AC854" i="1"/>
  <c r="AD854" i="1" s="1"/>
  <c r="AB854" i="1" s="1"/>
  <c r="AC845" i="1"/>
  <c r="AD845" i="1" s="1"/>
  <c r="AC846" i="1"/>
  <c r="AD846" i="1" s="1"/>
  <c r="AB846" i="1" s="1"/>
  <c r="AC836" i="1"/>
  <c r="AD836" i="1" s="1"/>
  <c r="AB836" i="1" s="1"/>
  <c r="AC835" i="1"/>
  <c r="AD835" i="1" s="1"/>
  <c r="AB835" i="1" s="1"/>
  <c r="AC833" i="1"/>
  <c r="AD833" i="1" s="1"/>
  <c r="AC834" i="1"/>
  <c r="AD834" i="1" s="1"/>
  <c r="AB834" i="1" s="1"/>
  <c r="AC831" i="1"/>
  <c r="N831" i="1"/>
  <c r="AC815" i="1"/>
  <c r="AD815" i="1" s="1"/>
  <c r="AB815" i="1" s="1"/>
  <c r="AC816" i="1"/>
  <c r="AD816" i="1" s="1"/>
  <c r="AB816" i="1" s="1"/>
  <c r="AC812" i="1"/>
  <c r="AD812" i="1" s="1"/>
  <c r="AB812" i="1" s="1"/>
  <c r="AC814" i="1"/>
  <c r="AD814" i="1" s="1"/>
  <c r="AB814" i="1" s="1"/>
  <c r="AC817" i="1"/>
  <c r="AD817" i="1" s="1"/>
  <c r="AB817" i="1" s="1"/>
  <c r="AC813" i="1"/>
  <c r="AD813" i="1" s="1"/>
  <c r="AB813" i="1" s="1"/>
  <c r="AC810" i="1"/>
  <c r="AD810" i="1" s="1"/>
  <c r="AB810" i="1" s="1"/>
  <c r="AC808" i="1"/>
  <c r="AD808" i="1" s="1"/>
  <c r="AB808" i="1" s="1"/>
  <c r="AC807" i="1"/>
  <c r="AD807" i="1" s="1"/>
  <c r="AC809" i="1"/>
  <c r="AD809" i="1" s="1"/>
  <c r="AB809" i="1" s="1"/>
  <c r="AC820" i="1"/>
  <c r="AD820" i="1" s="1"/>
  <c r="AB820" i="1" s="1"/>
  <c r="AC819" i="1"/>
  <c r="AD819" i="1" s="1"/>
  <c r="AC829" i="1"/>
  <c r="AD829" i="1" s="1"/>
  <c r="AB829" i="1" s="1"/>
  <c r="AC824" i="1"/>
  <c r="AD824" i="1" s="1"/>
  <c r="AB824" i="1" s="1"/>
  <c r="AC830" i="1"/>
  <c r="AD830" i="1" s="1"/>
  <c r="AB830" i="1" s="1"/>
  <c r="AC825" i="1"/>
  <c r="AD825" i="1" s="1"/>
  <c r="AB825" i="1" s="1"/>
  <c r="AC827" i="1"/>
  <c r="AD827" i="1" s="1"/>
  <c r="AB827" i="1" s="1"/>
  <c r="AC822" i="1"/>
  <c r="AD822" i="1" s="1"/>
  <c r="AC828" i="1"/>
  <c r="AD828" i="1" s="1"/>
  <c r="AB828" i="1" s="1"/>
  <c r="AC823" i="1"/>
  <c r="AD823" i="1" s="1"/>
  <c r="AB823" i="1" s="1"/>
  <c r="AC826" i="1"/>
  <c r="AD826" i="1" s="1"/>
  <c r="AB826" i="1" s="1"/>
  <c r="AC783" i="1"/>
  <c r="AD783" i="1" s="1"/>
  <c r="AC784" i="1"/>
  <c r="AD784" i="1" s="1"/>
  <c r="AB784" i="1" s="1"/>
  <c r="AC785" i="1"/>
  <c r="AD785" i="1" s="1"/>
  <c r="AB785" i="1" s="1"/>
  <c r="AC787" i="1"/>
  <c r="AD787" i="1" s="1"/>
  <c r="AB787" i="1" s="1"/>
  <c r="AC781" i="1"/>
  <c r="AD781" i="1" s="1"/>
  <c r="AC789" i="1"/>
  <c r="AD789" i="1" s="1"/>
  <c r="AB789" i="1" s="1"/>
  <c r="AC791" i="1"/>
  <c r="AD791" i="1" s="1"/>
  <c r="AB791" i="1" s="1"/>
  <c r="AC782" i="1"/>
  <c r="AD782" i="1" s="1"/>
  <c r="AB782" i="1" s="1"/>
  <c r="AC788" i="1"/>
  <c r="AD788" i="1" s="1"/>
  <c r="AB788" i="1" s="1"/>
  <c r="AD795" i="1"/>
  <c r="AB796" i="1"/>
  <c r="AC786" i="1"/>
  <c r="AD786" i="1" s="1"/>
  <c r="AB786" i="1" s="1"/>
  <c r="AC794" i="1"/>
  <c r="AD794" i="1" s="1"/>
  <c r="AB794" i="1" s="1"/>
  <c r="AC793" i="1"/>
  <c r="AD793" i="1" s="1"/>
  <c r="AD790" i="1"/>
  <c r="AB790" i="1" s="1"/>
  <c r="N700" i="1"/>
  <c r="N746" i="1"/>
  <c r="AC736" i="1"/>
  <c r="AC776" i="1"/>
  <c r="AD776" i="1" s="1"/>
  <c r="AC779" i="1"/>
  <c r="AD779" i="1" s="1"/>
  <c r="AB779" i="1" s="1"/>
  <c r="AC778" i="1"/>
  <c r="AD778" i="1" s="1"/>
  <c r="AB778" i="1" s="1"/>
  <c r="AC777" i="1"/>
  <c r="AD777" i="1" s="1"/>
  <c r="AB777" i="1" s="1"/>
  <c r="N774" i="1"/>
  <c r="AC774" i="1"/>
  <c r="N730" i="1"/>
  <c r="AC720" i="1"/>
  <c r="AC725" i="1"/>
  <c r="Z767" i="1"/>
  <c r="AB767" i="1"/>
  <c r="AD747" i="1"/>
  <c r="AD746" i="1" s="1"/>
  <c r="AB746" i="1" s="1"/>
  <c r="H746" i="1" s="1"/>
  <c r="I746" i="1" s="1"/>
  <c r="AB748" i="1"/>
  <c r="N695" i="1"/>
  <c r="AC745" i="1"/>
  <c r="AD745" i="1" s="1"/>
  <c r="AB745" i="1" s="1"/>
  <c r="AC743" i="1"/>
  <c r="AD743" i="1" s="1"/>
  <c r="AC744" i="1"/>
  <c r="AD744" i="1" s="1"/>
  <c r="AB744" i="1" s="1"/>
  <c r="N741" i="1"/>
  <c r="AC741" i="1"/>
  <c r="AD737" i="1"/>
  <c r="AD736" i="1" s="1"/>
  <c r="AB738" i="1"/>
  <c r="AB732" i="1"/>
  <c r="AD731" i="1"/>
  <c r="AD730" i="1" s="1"/>
  <c r="AB730" i="1" s="1"/>
  <c r="H730" i="1" s="1"/>
  <c r="I730" i="1" s="1"/>
  <c r="AD726" i="1"/>
  <c r="AD725" i="1" s="1"/>
  <c r="AB727" i="1"/>
  <c r="AC690" i="1"/>
  <c r="N661" i="1"/>
  <c r="AC685" i="1"/>
  <c r="AB722" i="1"/>
  <c r="AD721" i="1"/>
  <c r="AD720" i="1" s="1"/>
  <c r="N680" i="1"/>
  <c r="AD701" i="1"/>
  <c r="AD700" i="1" s="1"/>
  <c r="AB700" i="1" s="1"/>
  <c r="AB702" i="1"/>
  <c r="AB697" i="1"/>
  <c r="AD696" i="1"/>
  <c r="AD695" i="1" s="1"/>
  <c r="AB695" i="1" s="1"/>
  <c r="AC656" i="1"/>
  <c r="AB692" i="1"/>
  <c r="AD691" i="1"/>
  <c r="AD690" i="1" s="1"/>
  <c r="AC651" i="1"/>
  <c r="AB687" i="1"/>
  <c r="AD686" i="1"/>
  <c r="AD685" i="1" s="1"/>
  <c r="N666" i="1"/>
  <c r="AB682" i="1"/>
  <c r="AD681" i="1"/>
  <c r="AD680" i="1" s="1"/>
  <c r="AB680" i="1" s="1"/>
  <c r="N605" i="1"/>
  <c r="AB663" i="1"/>
  <c r="AD662" i="1"/>
  <c r="AD661" i="1" s="1"/>
  <c r="AB661" i="1" s="1"/>
  <c r="N640" i="1"/>
  <c r="N650" i="1"/>
  <c r="AD667" i="1"/>
  <c r="AD666" i="1" s="1"/>
  <c r="AB666" i="1" s="1"/>
  <c r="AB668" i="1"/>
  <c r="AC635" i="1"/>
  <c r="AB658" i="1"/>
  <c r="AD657" i="1"/>
  <c r="AD656" i="1" s="1"/>
  <c r="AD652" i="1"/>
  <c r="AD651" i="1" s="1"/>
  <c r="AB653" i="1"/>
  <c r="N620" i="1"/>
  <c r="N625" i="1"/>
  <c r="AC649" i="1"/>
  <c r="AD649" i="1" s="1"/>
  <c r="AB649" i="1" s="1"/>
  <c r="AC647" i="1"/>
  <c r="AD647" i="1" s="1"/>
  <c r="AC648" i="1"/>
  <c r="AD648" i="1" s="1"/>
  <c r="AB648" i="1" s="1"/>
  <c r="N645" i="1"/>
  <c r="AC645" i="1"/>
  <c r="AD641" i="1"/>
  <c r="AD640" i="1" s="1"/>
  <c r="AB640" i="1" s="1"/>
  <c r="AB642" i="1"/>
  <c r="AB637" i="1"/>
  <c r="AD636" i="1"/>
  <c r="AD635" i="1" s="1"/>
  <c r="N590" i="1"/>
  <c r="N595" i="1"/>
  <c r="AC634" i="1"/>
  <c r="AD634" i="1" s="1"/>
  <c r="AB634" i="1" s="1"/>
  <c r="AC632" i="1"/>
  <c r="AD632" i="1" s="1"/>
  <c r="AC633" i="1"/>
  <c r="AD633" i="1" s="1"/>
  <c r="AB633" i="1" s="1"/>
  <c r="N569" i="1"/>
  <c r="N630" i="1"/>
  <c r="AC630" i="1"/>
  <c r="AC600" i="1"/>
  <c r="AC610" i="1"/>
  <c r="AB627" i="1"/>
  <c r="AD626" i="1"/>
  <c r="AD625" i="1" s="1"/>
  <c r="AB625" i="1" s="1"/>
  <c r="AD621" i="1"/>
  <c r="AD620" i="1" s="1"/>
  <c r="AB620" i="1" s="1"/>
  <c r="Q620" i="1" s="1"/>
  <c r="R620" i="1" s="1"/>
  <c r="T620" i="1" s="1"/>
  <c r="AB622" i="1"/>
  <c r="N580" i="1"/>
  <c r="AC539" i="1"/>
  <c r="AC619" i="1"/>
  <c r="AD619" i="1" s="1"/>
  <c r="AB619" i="1" s="1"/>
  <c r="AC617" i="1"/>
  <c r="AD617" i="1" s="1"/>
  <c r="AC618" i="1"/>
  <c r="AD618" i="1" s="1"/>
  <c r="AB618" i="1" s="1"/>
  <c r="N615" i="1"/>
  <c r="AC615" i="1"/>
  <c r="N585" i="1"/>
  <c r="AB612" i="1"/>
  <c r="AD611" i="1"/>
  <c r="AD610" i="1" s="1"/>
  <c r="AD606" i="1"/>
  <c r="AD605" i="1" s="1"/>
  <c r="AB605" i="1" s="1"/>
  <c r="AB607" i="1"/>
  <c r="AD601" i="1"/>
  <c r="AD600" i="1" s="1"/>
  <c r="AB602" i="1"/>
  <c r="AB597" i="1"/>
  <c r="AD596" i="1"/>
  <c r="AD595" i="1" s="1"/>
  <c r="AB595" i="1" s="1"/>
  <c r="N564" i="1"/>
  <c r="AB592" i="1"/>
  <c r="AD591" i="1"/>
  <c r="AD590" i="1" s="1"/>
  <c r="AB590" i="1" s="1"/>
  <c r="AB587" i="1"/>
  <c r="AD586" i="1"/>
  <c r="AD585" i="1" s="1"/>
  <c r="AB585" i="1" s="1"/>
  <c r="H585" i="1" s="1"/>
  <c r="I585" i="1" s="1"/>
  <c r="AD581" i="1"/>
  <c r="AD580" i="1" s="1"/>
  <c r="AB580" i="1" s="1"/>
  <c r="AB582" i="1"/>
  <c r="AC544" i="1"/>
  <c r="AC559" i="1"/>
  <c r="AC577" i="1"/>
  <c r="AD577" i="1" s="1"/>
  <c r="AB577" i="1" s="1"/>
  <c r="AC576" i="1"/>
  <c r="AD576" i="1" s="1"/>
  <c r="AC578" i="1"/>
  <c r="AD578" i="1" s="1"/>
  <c r="AB578" i="1" s="1"/>
  <c r="N574" i="1"/>
  <c r="AC574" i="1"/>
  <c r="N554" i="1"/>
  <c r="AD570" i="1"/>
  <c r="AD569" i="1" s="1"/>
  <c r="AB569" i="1" s="1"/>
  <c r="AB571" i="1"/>
  <c r="AC549" i="1"/>
  <c r="AD565" i="1"/>
  <c r="AD564" i="1" s="1"/>
  <c r="AB564" i="1" s="1"/>
  <c r="AB566" i="1"/>
  <c r="AC534" i="1"/>
  <c r="AD560" i="1"/>
  <c r="AD559" i="1" s="1"/>
  <c r="AB561" i="1"/>
  <c r="AD555" i="1"/>
  <c r="AD554" i="1" s="1"/>
  <c r="AB554" i="1" s="1"/>
  <c r="AB556" i="1"/>
  <c r="AD550" i="1"/>
  <c r="AD549" i="1" s="1"/>
  <c r="AB551" i="1"/>
  <c r="AD545" i="1"/>
  <c r="AD544" i="1" s="1"/>
  <c r="AB546" i="1"/>
  <c r="AC440" i="1"/>
  <c r="AD540" i="1"/>
  <c r="AD539" i="1" s="1"/>
  <c r="AB541" i="1"/>
  <c r="N483" i="1"/>
  <c r="AB536" i="1"/>
  <c r="AD535" i="1"/>
  <c r="AD534" i="1" s="1"/>
  <c r="AC2019" i="1"/>
  <c r="AC533" i="1"/>
  <c r="AD533" i="1" s="1"/>
  <c r="AB533" i="1" s="1"/>
  <c r="AC531" i="1"/>
  <c r="AD531" i="1" s="1"/>
  <c r="AC532" i="1"/>
  <c r="AD532" i="1" s="1"/>
  <c r="AB532" i="1" s="1"/>
  <c r="N529" i="1"/>
  <c r="AC529" i="1"/>
  <c r="AC2200" i="1"/>
  <c r="AD2200" i="1" s="1"/>
  <c r="AB2200" i="1" s="1"/>
  <c r="AC2195" i="1"/>
  <c r="AD2195" i="1" s="1"/>
  <c r="AB2195" i="1" s="1"/>
  <c r="AC2198" i="1"/>
  <c r="AD2198" i="1" s="1"/>
  <c r="AB2198" i="1" s="1"/>
  <c r="AC2197" i="1"/>
  <c r="AD2197" i="1" s="1"/>
  <c r="AB2197" i="1" s="1"/>
  <c r="AC2202" i="1"/>
  <c r="AD2202" i="1" s="1"/>
  <c r="AB2202" i="1" s="1"/>
  <c r="AC2199" i="1"/>
  <c r="AD2199" i="1" s="1"/>
  <c r="AB2199" i="1" s="1"/>
  <c r="AC2194" i="1"/>
  <c r="AD2194" i="1" s="1"/>
  <c r="AC2201" i="1"/>
  <c r="AD2201" i="1" s="1"/>
  <c r="AB2201" i="1" s="1"/>
  <c r="AC2196" i="1"/>
  <c r="AD2196" i="1" s="1"/>
  <c r="AB2196" i="1" s="1"/>
  <c r="AC2000" i="1"/>
  <c r="AB2210" i="1"/>
  <c r="AD2209" i="1"/>
  <c r="AC2205" i="1"/>
  <c r="AD2205" i="1" s="1"/>
  <c r="AB2205" i="1" s="1"/>
  <c r="AC2204" i="1"/>
  <c r="AD2204" i="1" s="1"/>
  <c r="AC2206" i="1"/>
  <c r="AD2206" i="1" s="1"/>
  <c r="AB2206" i="1" s="1"/>
  <c r="AC2208" i="1"/>
  <c r="AD2208" i="1" s="1"/>
  <c r="AB2208" i="1" s="1"/>
  <c r="AC2207" i="1"/>
  <c r="AD2207" i="1" s="1"/>
  <c r="AB2207" i="1" s="1"/>
  <c r="AC2192" i="1"/>
  <c r="N2192" i="1"/>
  <c r="AC2074" i="1"/>
  <c r="N1982" i="1"/>
  <c r="AC2100" i="1"/>
  <c r="AD2100" i="1" s="1"/>
  <c r="AB2100" i="1" s="1"/>
  <c r="AC2095" i="1"/>
  <c r="AD2095" i="1" s="1"/>
  <c r="AB2095" i="1" s="1"/>
  <c r="AC2097" i="1"/>
  <c r="AD2097" i="1" s="1"/>
  <c r="AB2097" i="1" s="1"/>
  <c r="AC2102" i="1"/>
  <c r="AD2102" i="1" s="1"/>
  <c r="AB2102" i="1" s="1"/>
  <c r="AC2101" i="1"/>
  <c r="AD2101" i="1" s="1"/>
  <c r="AB2101" i="1" s="1"/>
  <c r="AC2096" i="1"/>
  <c r="AD2096" i="1" s="1"/>
  <c r="AB2096" i="1" s="1"/>
  <c r="AC2098" i="1"/>
  <c r="AD2098" i="1" s="1"/>
  <c r="AB2098" i="1" s="1"/>
  <c r="AC2099" i="1"/>
  <c r="AD2099" i="1" s="1"/>
  <c r="AB2099" i="1" s="1"/>
  <c r="AC2094" i="1"/>
  <c r="AD2094" i="1" s="1"/>
  <c r="AB2110" i="1"/>
  <c r="AD2109" i="1"/>
  <c r="AC2106" i="1"/>
  <c r="AD2106" i="1" s="1"/>
  <c r="AB2106" i="1" s="1"/>
  <c r="AC2107" i="1"/>
  <c r="AD2107" i="1" s="1"/>
  <c r="AB2107" i="1" s="1"/>
  <c r="AC2105" i="1"/>
  <c r="AD2105" i="1" s="1"/>
  <c r="AB2105" i="1" s="1"/>
  <c r="AC2104" i="1"/>
  <c r="AD2104" i="1" s="1"/>
  <c r="AC2108" i="1"/>
  <c r="AD2108" i="1" s="1"/>
  <c r="AB2108" i="1" s="1"/>
  <c r="N2092" i="1"/>
  <c r="AC2092" i="1"/>
  <c r="AC2081" i="1"/>
  <c r="AD2081" i="1" s="1"/>
  <c r="AB2081" i="1" s="1"/>
  <c r="AC2076" i="1"/>
  <c r="AD2076" i="1" s="1"/>
  <c r="AC2083" i="1"/>
  <c r="AD2083" i="1" s="1"/>
  <c r="AB2083" i="1" s="1"/>
  <c r="AC2078" i="1"/>
  <c r="AD2078" i="1" s="1"/>
  <c r="AB2078" i="1" s="1"/>
  <c r="AC2079" i="1"/>
  <c r="AD2079" i="1" s="1"/>
  <c r="AB2079" i="1" s="1"/>
  <c r="AC2080" i="1"/>
  <c r="AD2080" i="1" s="1"/>
  <c r="AB2080" i="1" s="1"/>
  <c r="AC2082" i="1"/>
  <c r="AD2082" i="1" s="1"/>
  <c r="AB2082" i="1" s="1"/>
  <c r="AC2077" i="1"/>
  <c r="AD2077" i="1" s="1"/>
  <c r="AB2077" i="1" s="1"/>
  <c r="AB2091" i="1"/>
  <c r="AD2090" i="1"/>
  <c r="AC2089" i="1"/>
  <c r="AD2089" i="1" s="1"/>
  <c r="AB2089" i="1" s="1"/>
  <c r="AC2087" i="1"/>
  <c r="AD2087" i="1" s="1"/>
  <c r="AB2087" i="1" s="1"/>
  <c r="AC2086" i="1"/>
  <c r="AD2086" i="1" s="1"/>
  <c r="AB2086" i="1" s="1"/>
  <c r="AC2088" i="1"/>
  <c r="AD2088" i="1" s="1"/>
  <c r="AB2088" i="1" s="1"/>
  <c r="AC2085" i="1"/>
  <c r="AD2085" i="1" s="1"/>
  <c r="AC2062" i="1"/>
  <c r="AD2062" i="1" s="1"/>
  <c r="AB2062" i="1" s="1"/>
  <c r="AC2064" i="1"/>
  <c r="AD2064" i="1" s="1"/>
  <c r="AB2064" i="1" s="1"/>
  <c r="AC2063" i="1"/>
  <c r="AD2063" i="1" s="1"/>
  <c r="AB2063" i="1" s="1"/>
  <c r="AC2058" i="1"/>
  <c r="AD2058" i="1" s="1"/>
  <c r="AC2065" i="1"/>
  <c r="AD2065" i="1" s="1"/>
  <c r="AB2065" i="1" s="1"/>
  <c r="AC2060" i="1"/>
  <c r="AD2060" i="1" s="1"/>
  <c r="AB2060" i="1" s="1"/>
  <c r="AC2059" i="1"/>
  <c r="AD2059" i="1" s="1"/>
  <c r="AB2059" i="1" s="1"/>
  <c r="AC2061" i="1"/>
  <c r="AD2061" i="1" s="1"/>
  <c r="AB2061" i="1" s="1"/>
  <c r="N403" i="1"/>
  <c r="AB2073" i="1"/>
  <c r="AD2072" i="1"/>
  <c r="AC2070" i="1"/>
  <c r="AD2070" i="1" s="1"/>
  <c r="AB2070" i="1" s="1"/>
  <c r="AC2069" i="1"/>
  <c r="AD2069" i="1" s="1"/>
  <c r="AB2069" i="1" s="1"/>
  <c r="AC2068" i="1"/>
  <c r="AD2068" i="1" s="1"/>
  <c r="AB2068" i="1" s="1"/>
  <c r="AC2071" i="1"/>
  <c r="AD2071" i="1" s="1"/>
  <c r="AB2071" i="1" s="1"/>
  <c r="AC2067" i="1"/>
  <c r="AD2067" i="1" s="1"/>
  <c r="N2056" i="1"/>
  <c r="AC2056" i="1"/>
  <c r="AC2045" i="1"/>
  <c r="AD2045" i="1" s="1"/>
  <c r="AB2045" i="1" s="1"/>
  <c r="AC2044" i="1"/>
  <c r="AD2044" i="1" s="1"/>
  <c r="AB2044" i="1" s="1"/>
  <c r="AC2039" i="1"/>
  <c r="AD2039" i="1" s="1"/>
  <c r="AC2040" i="1"/>
  <c r="AD2040" i="1" s="1"/>
  <c r="AB2040" i="1" s="1"/>
  <c r="AC2046" i="1"/>
  <c r="AD2046" i="1" s="1"/>
  <c r="AB2046" i="1" s="1"/>
  <c r="AC2041" i="1"/>
  <c r="AD2041" i="1" s="1"/>
  <c r="AB2041" i="1" s="1"/>
  <c r="AC2043" i="1"/>
  <c r="AD2043" i="1" s="1"/>
  <c r="AB2043" i="1" s="1"/>
  <c r="AC2042" i="1"/>
  <c r="AD2042" i="1" s="1"/>
  <c r="AB2042" i="1" s="1"/>
  <c r="AD2053" i="1"/>
  <c r="AB2054" i="1"/>
  <c r="AC2049" i="1"/>
  <c r="AD2049" i="1" s="1"/>
  <c r="AB2049" i="1" s="1"/>
  <c r="AC2052" i="1"/>
  <c r="AD2052" i="1" s="1"/>
  <c r="AB2052" i="1" s="1"/>
  <c r="AC2050" i="1"/>
  <c r="AD2050" i="1" s="1"/>
  <c r="AB2050" i="1" s="1"/>
  <c r="AC2051" i="1"/>
  <c r="AD2051" i="1" s="1"/>
  <c r="AB2051" i="1" s="1"/>
  <c r="AC2048" i="1"/>
  <c r="AD2048" i="1" s="1"/>
  <c r="AC2025" i="1"/>
  <c r="AD2025" i="1" s="1"/>
  <c r="AB2025" i="1" s="1"/>
  <c r="AC2026" i="1"/>
  <c r="AD2026" i="1" s="1"/>
  <c r="AB2026" i="1" s="1"/>
  <c r="AC2021" i="1"/>
  <c r="AD2021" i="1" s="1"/>
  <c r="AC2028" i="1"/>
  <c r="AD2028" i="1" s="1"/>
  <c r="AB2028" i="1" s="1"/>
  <c r="AC2023" i="1"/>
  <c r="AD2023" i="1" s="1"/>
  <c r="AB2023" i="1" s="1"/>
  <c r="AC2024" i="1"/>
  <c r="AD2024" i="1" s="1"/>
  <c r="AB2024" i="1" s="1"/>
  <c r="AC2027" i="1"/>
  <c r="AD2027" i="1" s="1"/>
  <c r="AB2027" i="1" s="1"/>
  <c r="AC2022" i="1"/>
  <c r="AD2022" i="1" s="1"/>
  <c r="AB2022" i="1" s="1"/>
  <c r="N285" i="1"/>
  <c r="AB2036" i="1"/>
  <c r="AD2035" i="1"/>
  <c r="AC2031" i="1"/>
  <c r="AD2031" i="1" s="1"/>
  <c r="AB2031" i="1" s="1"/>
  <c r="AC2032" i="1"/>
  <c r="AD2032" i="1" s="1"/>
  <c r="AB2032" i="1" s="1"/>
  <c r="AC2034" i="1"/>
  <c r="AD2034" i="1" s="1"/>
  <c r="AB2034" i="1" s="1"/>
  <c r="AC2030" i="1"/>
  <c r="AD2030" i="1" s="1"/>
  <c r="AC2033" i="1"/>
  <c r="AD2033" i="1" s="1"/>
  <c r="AB2033" i="1" s="1"/>
  <c r="AB2018" i="1"/>
  <c r="AD2017" i="1"/>
  <c r="AC2008" i="1"/>
  <c r="AD2008" i="1" s="1"/>
  <c r="AB2008" i="1" s="1"/>
  <c r="AC2003" i="1"/>
  <c r="AD2003" i="1" s="1"/>
  <c r="AB2003" i="1" s="1"/>
  <c r="AC2009" i="1"/>
  <c r="AD2009" i="1" s="1"/>
  <c r="AB2009" i="1" s="1"/>
  <c r="AC2004" i="1"/>
  <c r="AD2004" i="1" s="1"/>
  <c r="AB2004" i="1" s="1"/>
  <c r="AC2005" i="1"/>
  <c r="AD2005" i="1" s="1"/>
  <c r="AB2005" i="1" s="1"/>
  <c r="AC2010" i="1"/>
  <c r="AD2010" i="1" s="1"/>
  <c r="AB2010" i="1" s="1"/>
  <c r="AC2007" i="1"/>
  <c r="AD2007" i="1" s="1"/>
  <c r="AB2007" i="1" s="1"/>
  <c r="AC2002" i="1"/>
  <c r="AD2002" i="1" s="1"/>
  <c r="AC2006" i="1"/>
  <c r="AD2006" i="1" s="1"/>
  <c r="AB2006" i="1" s="1"/>
  <c r="AC2016" i="1"/>
  <c r="AD2016" i="1" s="1"/>
  <c r="AB2016" i="1" s="1"/>
  <c r="AC2012" i="1"/>
  <c r="AD2012" i="1" s="1"/>
  <c r="AC2014" i="1"/>
  <c r="AD2014" i="1" s="1"/>
  <c r="AB2014" i="1" s="1"/>
  <c r="AC2013" i="1"/>
  <c r="AD2013" i="1" s="1"/>
  <c r="AB2013" i="1" s="1"/>
  <c r="AC2015" i="1"/>
  <c r="AD2015" i="1" s="1"/>
  <c r="AB2015" i="1" s="1"/>
  <c r="AC1989" i="1"/>
  <c r="AD1989" i="1" s="1"/>
  <c r="AB1989" i="1" s="1"/>
  <c r="AC1984" i="1"/>
  <c r="AD1984" i="1" s="1"/>
  <c r="AC1985" i="1"/>
  <c r="AD1985" i="1" s="1"/>
  <c r="AB1985" i="1" s="1"/>
  <c r="AC1991" i="1"/>
  <c r="AD1991" i="1" s="1"/>
  <c r="AB1991" i="1" s="1"/>
  <c r="AC1986" i="1"/>
  <c r="AD1986" i="1" s="1"/>
  <c r="AB1986" i="1" s="1"/>
  <c r="AC1988" i="1"/>
  <c r="AD1988" i="1" s="1"/>
  <c r="AB1988" i="1" s="1"/>
  <c r="AC1990" i="1"/>
  <c r="AD1990" i="1" s="1"/>
  <c r="AB1990" i="1" s="1"/>
  <c r="AC1987" i="1"/>
  <c r="AD1987" i="1" s="1"/>
  <c r="AB1987" i="1" s="1"/>
  <c r="AD1998" i="1"/>
  <c r="AB1999" i="1"/>
  <c r="AC1996" i="1"/>
  <c r="AD1996" i="1" s="1"/>
  <c r="AB1996" i="1" s="1"/>
  <c r="AC1995" i="1"/>
  <c r="AD1995" i="1" s="1"/>
  <c r="AB1995" i="1" s="1"/>
  <c r="AC1997" i="1"/>
  <c r="AD1997" i="1" s="1"/>
  <c r="AB1997" i="1" s="1"/>
  <c r="AC1994" i="1"/>
  <c r="AD1994" i="1" s="1"/>
  <c r="AB1994" i="1" s="1"/>
  <c r="AC1993" i="1"/>
  <c r="AD1993" i="1" s="1"/>
  <c r="AB1981" i="1"/>
  <c r="AD1980" i="1"/>
  <c r="AC1973" i="1"/>
  <c r="AD1973" i="1" s="1"/>
  <c r="AB1973" i="1" s="1"/>
  <c r="AC1968" i="1"/>
  <c r="AD1968" i="1" s="1"/>
  <c r="AB1968" i="1" s="1"/>
  <c r="AC1971" i="1"/>
  <c r="AD1971" i="1" s="1"/>
  <c r="AB1971" i="1" s="1"/>
  <c r="AC1966" i="1"/>
  <c r="AD1966" i="1" s="1"/>
  <c r="AC1970" i="1"/>
  <c r="AD1970" i="1" s="1"/>
  <c r="AB1970" i="1" s="1"/>
  <c r="AC1969" i="1"/>
  <c r="AD1969" i="1" s="1"/>
  <c r="AB1969" i="1" s="1"/>
  <c r="AC1972" i="1"/>
  <c r="AD1972" i="1" s="1"/>
  <c r="AB1972" i="1" s="1"/>
  <c r="AC1967" i="1"/>
  <c r="AD1967" i="1" s="1"/>
  <c r="AB1967" i="1" s="1"/>
  <c r="AC1979" i="1"/>
  <c r="AD1979" i="1" s="1"/>
  <c r="AB1979" i="1" s="1"/>
  <c r="AC1977" i="1"/>
  <c r="AD1977" i="1" s="1"/>
  <c r="AB1977" i="1" s="1"/>
  <c r="AC1976" i="1"/>
  <c r="AD1976" i="1" s="1"/>
  <c r="AB1976" i="1" s="1"/>
  <c r="AC1975" i="1"/>
  <c r="AD1975" i="1" s="1"/>
  <c r="AC1978" i="1"/>
  <c r="AD1978" i="1" s="1"/>
  <c r="AB1978" i="1" s="1"/>
  <c r="AC510" i="1"/>
  <c r="AD510" i="1" s="1"/>
  <c r="AB510" i="1" s="1"/>
  <c r="AC505" i="1"/>
  <c r="AD505" i="1" s="1"/>
  <c r="AB505" i="1" s="1"/>
  <c r="AC508" i="1"/>
  <c r="AD508" i="1" s="1"/>
  <c r="AB508" i="1" s="1"/>
  <c r="AC504" i="1"/>
  <c r="AD504" i="1" s="1"/>
  <c r="AC507" i="1"/>
  <c r="AD507" i="1" s="1"/>
  <c r="AB507" i="1" s="1"/>
  <c r="AC509" i="1"/>
  <c r="AD509" i="1" s="1"/>
  <c r="AB509" i="1" s="1"/>
  <c r="AC512" i="1"/>
  <c r="AD512" i="1" s="1"/>
  <c r="AB512" i="1" s="1"/>
  <c r="AC511" i="1"/>
  <c r="AD511" i="1" s="1"/>
  <c r="AB511" i="1" s="1"/>
  <c r="AC506" i="1"/>
  <c r="AD506" i="1" s="1"/>
  <c r="AB506" i="1" s="1"/>
  <c r="AB520" i="1"/>
  <c r="AD519" i="1"/>
  <c r="AC515" i="1"/>
  <c r="AD515" i="1" s="1"/>
  <c r="AB515" i="1" s="1"/>
  <c r="AC514" i="1"/>
  <c r="AD514" i="1" s="1"/>
  <c r="AC516" i="1"/>
  <c r="AD516" i="1" s="1"/>
  <c r="AB516" i="1" s="1"/>
  <c r="AC518" i="1"/>
  <c r="AD518" i="1" s="1"/>
  <c r="AB518" i="1" s="1"/>
  <c r="AC517" i="1"/>
  <c r="AD517" i="1" s="1"/>
  <c r="AB517" i="1" s="1"/>
  <c r="AC502" i="1"/>
  <c r="N502" i="1"/>
  <c r="AC340" i="1"/>
  <c r="AB501" i="1"/>
  <c r="AD500" i="1"/>
  <c r="AC491" i="1"/>
  <c r="AD491" i="1" s="1"/>
  <c r="AB491" i="1" s="1"/>
  <c r="AC486" i="1"/>
  <c r="AD486" i="1" s="1"/>
  <c r="AB486" i="1" s="1"/>
  <c r="AC490" i="1"/>
  <c r="AD490" i="1" s="1"/>
  <c r="AB490" i="1" s="1"/>
  <c r="AC485" i="1"/>
  <c r="AD485" i="1" s="1"/>
  <c r="AC492" i="1"/>
  <c r="AD492" i="1" s="1"/>
  <c r="AB492" i="1" s="1"/>
  <c r="AC487" i="1"/>
  <c r="AD487" i="1" s="1"/>
  <c r="AB487" i="1" s="1"/>
  <c r="AC488" i="1"/>
  <c r="AD488" i="1" s="1"/>
  <c r="AB488" i="1" s="1"/>
  <c r="AC489" i="1"/>
  <c r="AD489" i="1" s="1"/>
  <c r="AB489" i="1" s="1"/>
  <c r="AC493" i="1"/>
  <c r="AD493" i="1" s="1"/>
  <c r="AB493" i="1" s="1"/>
  <c r="AC193" i="1"/>
  <c r="AC499" i="1"/>
  <c r="AD499" i="1" s="1"/>
  <c r="AB499" i="1" s="1"/>
  <c r="AC496" i="1"/>
  <c r="AD496" i="1" s="1"/>
  <c r="AB496" i="1" s="1"/>
  <c r="AC497" i="1"/>
  <c r="AD497" i="1" s="1"/>
  <c r="AB497" i="1" s="1"/>
  <c r="AC495" i="1"/>
  <c r="AD495" i="1" s="1"/>
  <c r="AC498" i="1"/>
  <c r="AD498" i="1" s="1"/>
  <c r="AB498" i="1" s="1"/>
  <c r="AD481" i="1"/>
  <c r="AB482" i="1"/>
  <c r="AC472" i="1"/>
  <c r="AD472" i="1" s="1"/>
  <c r="AB472" i="1" s="1"/>
  <c r="AC467" i="1"/>
  <c r="AD467" i="1" s="1"/>
  <c r="AB467" i="1" s="1"/>
  <c r="AC471" i="1"/>
  <c r="AD471" i="1" s="1"/>
  <c r="AB471" i="1" s="1"/>
  <c r="AC468" i="1"/>
  <c r="AD468" i="1" s="1"/>
  <c r="AB468" i="1" s="1"/>
  <c r="AC469" i="1"/>
  <c r="AD469" i="1" s="1"/>
  <c r="AB469" i="1" s="1"/>
  <c r="AC474" i="1"/>
  <c r="AD474" i="1" s="1"/>
  <c r="AB474" i="1" s="1"/>
  <c r="AC466" i="1"/>
  <c r="AD466" i="1" s="1"/>
  <c r="AC473" i="1"/>
  <c r="AD473" i="1" s="1"/>
  <c r="AB473" i="1" s="1"/>
  <c r="AC470" i="1"/>
  <c r="AD470" i="1" s="1"/>
  <c r="AB470" i="1" s="1"/>
  <c r="AC477" i="1"/>
  <c r="AD477" i="1" s="1"/>
  <c r="AB477" i="1" s="1"/>
  <c r="AC478" i="1"/>
  <c r="AD478" i="1" s="1"/>
  <c r="AB478" i="1" s="1"/>
  <c r="AC480" i="1"/>
  <c r="AD480" i="1" s="1"/>
  <c r="AB480" i="1" s="1"/>
  <c r="AC479" i="1"/>
  <c r="AD479" i="1" s="1"/>
  <c r="AB479" i="1" s="1"/>
  <c r="AC476" i="1"/>
  <c r="AD476" i="1" s="1"/>
  <c r="AB458" i="1"/>
  <c r="AD457" i="1"/>
  <c r="AC448" i="1"/>
  <c r="AD448" i="1" s="1"/>
  <c r="AB448" i="1" s="1"/>
  <c r="AC443" i="1"/>
  <c r="AD443" i="1" s="1"/>
  <c r="AB443" i="1" s="1"/>
  <c r="AC449" i="1"/>
  <c r="AD449" i="1" s="1"/>
  <c r="AB449" i="1" s="1"/>
  <c r="AC444" i="1"/>
  <c r="AD444" i="1" s="1"/>
  <c r="AB444" i="1" s="1"/>
  <c r="AC445" i="1"/>
  <c r="AD445" i="1" s="1"/>
  <c r="AB445" i="1" s="1"/>
  <c r="AC450" i="1"/>
  <c r="AD450" i="1" s="1"/>
  <c r="AB450" i="1" s="1"/>
  <c r="AC447" i="1"/>
  <c r="AD447" i="1" s="1"/>
  <c r="AB447" i="1" s="1"/>
  <c r="AC442" i="1"/>
  <c r="AD442" i="1" s="1"/>
  <c r="AC446" i="1"/>
  <c r="AD446" i="1" s="1"/>
  <c r="AB446" i="1" s="1"/>
  <c r="AC453" i="1"/>
  <c r="AD453" i="1" s="1"/>
  <c r="AB453" i="1" s="1"/>
  <c r="AC454" i="1"/>
  <c r="AD454" i="1" s="1"/>
  <c r="AB454" i="1" s="1"/>
  <c r="AC456" i="1"/>
  <c r="AD456" i="1" s="1"/>
  <c r="AB456" i="1" s="1"/>
  <c r="AC452" i="1"/>
  <c r="AD452" i="1" s="1"/>
  <c r="AC455" i="1"/>
  <c r="AD455" i="1" s="1"/>
  <c r="AB455" i="1" s="1"/>
  <c r="AC429" i="1"/>
  <c r="AD429" i="1" s="1"/>
  <c r="AB429" i="1" s="1"/>
  <c r="AC424" i="1"/>
  <c r="AD424" i="1" s="1"/>
  <c r="AB424" i="1" s="1"/>
  <c r="AC428" i="1"/>
  <c r="AD428" i="1" s="1"/>
  <c r="AB428" i="1" s="1"/>
  <c r="AC423" i="1"/>
  <c r="AD423" i="1" s="1"/>
  <c r="AC425" i="1"/>
  <c r="AD425" i="1" s="1"/>
  <c r="AB425" i="1" s="1"/>
  <c r="AC426" i="1"/>
  <c r="AD426" i="1" s="1"/>
  <c r="AB426" i="1" s="1"/>
  <c r="AC427" i="1"/>
  <c r="AD427" i="1" s="1"/>
  <c r="AB427" i="1" s="1"/>
  <c r="AC431" i="1"/>
  <c r="AD431" i="1" s="1"/>
  <c r="AB431" i="1" s="1"/>
  <c r="AC430" i="1"/>
  <c r="AD430" i="1" s="1"/>
  <c r="AB430" i="1" s="1"/>
  <c r="AB439" i="1"/>
  <c r="AD438" i="1"/>
  <c r="AC433" i="1"/>
  <c r="AD433" i="1" s="1"/>
  <c r="AC435" i="1"/>
  <c r="AD435" i="1" s="1"/>
  <c r="AB435" i="1" s="1"/>
  <c r="AC437" i="1"/>
  <c r="AD437" i="1" s="1"/>
  <c r="AB437" i="1" s="1"/>
  <c r="AC434" i="1"/>
  <c r="AD434" i="1" s="1"/>
  <c r="AB434" i="1" s="1"/>
  <c r="AC436" i="1"/>
  <c r="AD436" i="1" s="1"/>
  <c r="AB436" i="1" s="1"/>
  <c r="N421" i="1"/>
  <c r="AC421" i="1"/>
  <c r="AC410" i="1"/>
  <c r="AD410" i="1" s="1"/>
  <c r="AB410" i="1" s="1"/>
  <c r="AC405" i="1"/>
  <c r="AD405" i="1" s="1"/>
  <c r="AC408" i="1"/>
  <c r="AD408" i="1" s="1"/>
  <c r="AB408" i="1" s="1"/>
  <c r="AC412" i="1"/>
  <c r="AD412" i="1" s="1"/>
  <c r="AB412" i="1" s="1"/>
  <c r="AC407" i="1"/>
  <c r="AD407" i="1" s="1"/>
  <c r="AB407" i="1" s="1"/>
  <c r="AC409" i="1"/>
  <c r="AD409" i="1" s="1"/>
  <c r="AB409" i="1" s="1"/>
  <c r="AC411" i="1"/>
  <c r="AD411" i="1" s="1"/>
  <c r="AB411" i="1" s="1"/>
  <c r="AC406" i="1"/>
  <c r="AD406" i="1" s="1"/>
  <c r="AB406" i="1" s="1"/>
  <c r="AB420" i="1"/>
  <c r="AD419" i="1"/>
  <c r="AC416" i="1"/>
  <c r="AD416" i="1" s="1"/>
  <c r="AB416" i="1" s="1"/>
  <c r="AC415" i="1"/>
  <c r="AD415" i="1" s="1"/>
  <c r="AB415" i="1" s="1"/>
  <c r="AC414" i="1"/>
  <c r="AD414" i="1" s="1"/>
  <c r="AC418" i="1"/>
  <c r="AD418" i="1" s="1"/>
  <c r="AB418" i="1" s="1"/>
  <c r="AC417" i="1"/>
  <c r="AD417" i="1" s="1"/>
  <c r="AB417" i="1" s="1"/>
  <c r="AC347" i="1"/>
  <c r="AD347" i="1" s="1"/>
  <c r="AB347" i="1" s="1"/>
  <c r="AC342" i="1"/>
  <c r="AD342" i="1" s="1"/>
  <c r="AC349" i="1"/>
  <c r="AD349" i="1" s="1"/>
  <c r="AB349" i="1" s="1"/>
  <c r="AC344" i="1"/>
  <c r="AD344" i="1" s="1"/>
  <c r="AB344" i="1" s="1"/>
  <c r="AC345" i="1"/>
  <c r="AD345" i="1" s="1"/>
  <c r="AB345" i="1" s="1"/>
  <c r="AC346" i="1"/>
  <c r="AD346" i="1" s="1"/>
  <c r="AB346" i="1" s="1"/>
  <c r="AC348" i="1"/>
  <c r="AD348" i="1" s="1"/>
  <c r="AB348" i="1" s="1"/>
  <c r="AC343" i="1"/>
  <c r="AD343" i="1" s="1"/>
  <c r="AB343" i="1" s="1"/>
  <c r="AB357" i="1"/>
  <c r="AD356" i="1"/>
  <c r="AC353" i="1"/>
  <c r="AD353" i="1" s="1"/>
  <c r="AB353" i="1" s="1"/>
  <c r="AC352" i="1"/>
  <c r="AD352" i="1" s="1"/>
  <c r="AB352" i="1" s="1"/>
  <c r="AC354" i="1"/>
  <c r="AD354" i="1" s="1"/>
  <c r="AB354" i="1" s="1"/>
  <c r="AC355" i="1"/>
  <c r="AD355" i="1" s="1"/>
  <c r="AB355" i="1" s="1"/>
  <c r="AC351" i="1"/>
  <c r="AD351" i="1" s="1"/>
  <c r="AB376" i="1"/>
  <c r="AD375" i="1"/>
  <c r="AC366" i="1"/>
  <c r="AD366" i="1" s="1"/>
  <c r="AB366" i="1" s="1"/>
  <c r="AC361" i="1"/>
  <c r="AD361" i="1" s="1"/>
  <c r="AB361" i="1" s="1"/>
  <c r="AC367" i="1"/>
  <c r="AD367" i="1" s="1"/>
  <c r="AB367" i="1" s="1"/>
  <c r="AC362" i="1"/>
  <c r="AD362" i="1" s="1"/>
  <c r="AB362" i="1" s="1"/>
  <c r="AC363" i="1"/>
  <c r="AD363" i="1" s="1"/>
  <c r="AB363" i="1" s="1"/>
  <c r="AC368" i="1"/>
  <c r="AD368" i="1" s="1"/>
  <c r="AB368" i="1" s="1"/>
  <c r="AC365" i="1"/>
  <c r="AD365" i="1" s="1"/>
  <c r="AB365" i="1" s="1"/>
  <c r="AC360" i="1"/>
  <c r="AD360" i="1" s="1"/>
  <c r="AC364" i="1"/>
  <c r="AD364" i="1" s="1"/>
  <c r="AB364" i="1" s="1"/>
  <c r="AC371" i="1"/>
  <c r="AD371" i="1" s="1"/>
  <c r="AB371" i="1" s="1"/>
  <c r="AC370" i="1"/>
  <c r="AD370" i="1" s="1"/>
  <c r="AC372" i="1"/>
  <c r="AD372" i="1" s="1"/>
  <c r="AB372" i="1" s="1"/>
  <c r="AC374" i="1"/>
  <c r="AD374" i="1" s="1"/>
  <c r="AB374" i="1" s="1"/>
  <c r="AC373" i="1"/>
  <c r="AD373" i="1" s="1"/>
  <c r="AB373" i="1" s="1"/>
  <c r="AD338" i="1"/>
  <c r="AB339" i="1"/>
  <c r="AC329" i="1"/>
  <c r="AD329" i="1" s="1"/>
  <c r="AB329" i="1" s="1"/>
  <c r="AC324" i="1"/>
  <c r="AD324" i="1" s="1"/>
  <c r="AB324" i="1" s="1"/>
  <c r="AC330" i="1"/>
  <c r="AD330" i="1" s="1"/>
  <c r="AB330" i="1" s="1"/>
  <c r="AC325" i="1"/>
  <c r="AD325" i="1" s="1"/>
  <c r="AB325" i="1" s="1"/>
  <c r="AC328" i="1"/>
  <c r="AD328" i="1" s="1"/>
  <c r="AB328" i="1" s="1"/>
  <c r="AC323" i="1"/>
  <c r="AD323" i="1" s="1"/>
  <c r="AC326" i="1"/>
  <c r="AD326" i="1" s="1"/>
  <c r="AB326" i="1" s="1"/>
  <c r="AC331" i="1"/>
  <c r="AD331" i="1" s="1"/>
  <c r="AB331" i="1" s="1"/>
  <c r="AC327" i="1"/>
  <c r="AD327" i="1" s="1"/>
  <c r="AB327" i="1" s="1"/>
  <c r="AC337" i="1"/>
  <c r="AD337" i="1" s="1"/>
  <c r="AB337" i="1" s="1"/>
  <c r="AC334" i="1"/>
  <c r="AD334" i="1" s="1"/>
  <c r="AB334" i="1" s="1"/>
  <c r="AC336" i="1"/>
  <c r="AD336" i="1" s="1"/>
  <c r="AB336" i="1" s="1"/>
  <c r="AC335" i="1"/>
  <c r="AD335" i="1" s="1"/>
  <c r="AB335" i="1" s="1"/>
  <c r="AC333" i="1"/>
  <c r="AD333" i="1" s="1"/>
  <c r="N321" i="1"/>
  <c r="AC321" i="1"/>
  <c r="N266" i="1"/>
  <c r="AC311" i="1"/>
  <c r="AD311" i="1" s="1"/>
  <c r="AB311" i="1" s="1"/>
  <c r="AC308" i="1"/>
  <c r="AD308" i="1" s="1"/>
  <c r="AB308" i="1" s="1"/>
  <c r="AC310" i="1"/>
  <c r="AD310" i="1" s="1"/>
  <c r="AB310" i="1" s="1"/>
  <c r="AC305" i="1"/>
  <c r="AD305" i="1" s="1"/>
  <c r="AC312" i="1"/>
  <c r="AD312" i="1" s="1"/>
  <c r="AB312" i="1" s="1"/>
  <c r="AC307" i="1"/>
  <c r="AD307" i="1" s="1"/>
  <c r="AB307" i="1" s="1"/>
  <c r="AC309" i="1"/>
  <c r="AD309" i="1" s="1"/>
  <c r="AB309" i="1" s="1"/>
  <c r="AC306" i="1"/>
  <c r="AD306" i="1" s="1"/>
  <c r="AB306" i="1" s="1"/>
  <c r="AB320" i="1"/>
  <c r="AD319" i="1"/>
  <c r="AC318" i="1"/>
  <c r="AD318" i="1" s="1"/>
  <c r="AB318" i="1" s="1"/>
  <c r="AC315" i="1"/>
  <c r="AD315" i="1" s="1"/>
  <c r="AB315" i="1" s="1"/>
  <c r="AC316" i="1"/>
  <c r="AD316" i="1" s="1"/>
  <c r="AB316" i="1" s="1"/>
  <c r="AC317" i="1"/>
  <c r="AD317" i="1" s="1"/>
  <c r="AB317" i="1" s="1"/>
  <c r="AC314" i="1"/>
  <c r="AD314" i="1" s="1"/>
  <c r="AB302" i="1"/>
  <c r="AD301" i="1"/>
  <c r="AC292" i="1"/>
  <c r="AD292" i="1" s="1"/>
  <c r="AB292" i="1" s="1"/>
  <c r="AC287" i="1"/>
  <c r="AD287" i="1" s="1"/>
  <c r="AC294" i="1"/>
  <c r="AD294" i="1" s="1"/>
  <c r="AB294" i="1" s="1"/>
  <c r="AC289" i="1"/>
  <c r="AD289" i="1" s="1"/>
  <c r="AB289" i="1" s="1"/>
  <c r="AC291" i="1"/>
  <c r="AD291" i="1" s="1"/>
  <c r="AB291" i="1" s="1"/>
  <c r="AC293" i="1"/>
  <c r="AD293" i="1" s="1"/>
  <c r="AB293" i="1" s="1"/>
  <c r="AC288" i="1"/>
  <c r="AD288" i="1" s="1"/>
  <c r="AB288" i="1" s="1"/>
  <c r="AC290" i="1"/>
  <c r="AD290" i="1" s="1"/>
  <c r="AB290" i="1" s="1"/>
  <c r="AC300" i="1"/>
  <c r="AD300" i="1" s="1"/>
  <c r="AB300" i="1" s="1"/>
  <c r="AC297" i="1"/>
  <c r="AD297" i="1" s="1"/>
  <c r="AB297" i="1" s="1"/>
  <c r="AC298" i="1"/>
  <c r="AD298" i="1" s="1"/>
  <c r="AB298" i="1" s="1"/>
  <c r="AC296" i="1"/>
  <c r="AD296" i="1" s="1"/>
  <c r="AC299" i="1"/>
  <c r="AD299" i="1" s="1"/>
  <c r="AB299" i="1" s="1"/>
  <c r="AC272" i="1"/>
  <c r="AD272" i="1" s="1"/>
  <c r="AB272" i="1" s="1"/>
  <c r="AC273" i="1"/>
  <c r="AD273" i="1" s="1"/>
  <c r="AB273" i="1" s="1"/>
  <c r="AC268" i="1"/>
  <c r="AD268" i="1" s="1"/>
  <c r="AC275" i="1"/>
  <c r="AD275" i="1" s="1"/>
  <c r="AB275" i="1" s="1"/>
  <c r="AC270" i="1"/>
  <c r="AD270" i="1" s="1"/>
  <c r="AB270" i="1" s="1"/>
  <c r="AC274" i="1"/>
  <c r="AD274" i="1" s="1"/>
  <c r="AB274" i="1" s="1"/>
  <c r="AC269" i="1"/>
  <c r="AD269" i="1" s="1"/>
  <c r="AB269" i="1" s="1"/>
  <c r="AC271" i="1"/>
  <c r="AD271" i="1" s="1"/>
  <c r="AB271" i="1" s="1"/>
  <c r="AB283" i="1"/>
  <c r="AD282" i="1"/>
  <c r="AC279" i="1"/>
  <c r="AD279" i="1" s="1"/>
  <c r="AB279" i="1" s="1"/>
  <c r="AC278" i="1"/>
  <c r="AD278" i="1" s="1"/>
  <c r="AB278" i="1" s="1"/>
  <c r="AC281" i="1"/>
  <c r="AD281" i="1" s="1"/>
  <c r="AB281" i="1" s="1"/>
  <c r="AC280" i="1"/>
  <c r="AD280" i="1" s="1"/>
  <c r="AB280" i="1" s="1"/>
  <c r="AC277" i="1"/>
  <c r="AD277" i="1" s="1"/>
  <c r="N211" i="1"/>
  <c r="AC255" i="1"/>
  <c r="AD255" i="1" s="1"/>
  <c r="AB255" i="1" s="1"/>
  <c r="AC250" i="1"/>
  <c r="AD250" i="1" s="1"/>
  <c r="AC251" i="1"/>
  <c r="AD251" i="1" s="1"/>
  <c r="AB251" i="1" s="1"/>
  <c r="AC253" i="1"/>
  <c r="AD253" i="1" s="1"/>
  <c r="AB253" i="1" s="1"/>
  <c r="AC257" i="1"/>
  <c r="AD257" i="1" s="1"/>
  <c r="AB257" i="1" s="1"/>
  <c r="AC252" i="1"/>
  <c r="AD252" i="1" s="1"/>
  <c r="AB252" i="1" s="1"/>
  <c r="AC254" i="1"/>
  <c r="AD254" i="1" s="1"/>
  <c r="AB254" i="1" s="1"/>
  <c r="AC256" i="1"/>
  <c r="AD256" i="1" s="1"/>
  <c r="AB256" i="1" s="1"/>
  <c r="AB265" i="1"/>
  <c r="AD264" i="1"/>
  <c r="AC261" i="1"/>
  <c r="AD261" i="1" s="1"/>
  <c r="AB261" i="1" s="1"/>
  <c r="AC262" i="1"/>
  <c r="AD262" i="1" s="1"/>
  <c r="AB262" i="1" s="1"/>
  <c r="AC263" i="1"/>
  <c r="AD263" i="1" s="1"/>
  <c r="AB263" i="1" s="1"/>
  <c r="AC260" i="1"/>
  <c r="AD260" i="1" s="1"/>
  <c r="AB260" i="1" s="1"/>
  <c r="AC259" i="1"/>
  <c r="AD259" i="1" s="1"/>
  <c r="AB210" i="1"/>
  <c r="AD209" i="1"/>
  <c r="AC202" i="1"/>
  <c r="AD202" i="1" s="1"/>
  <c r="AB202" i="1" s="1"/>
  <c r="AC197" i="1"/>
  <c r="AD197" i="1" s="1"/>
  <c r="AB197" i="1" s="1"/>
  <c r="AC200" i="1"/>
  <c r="AD200" i="1" s="1"/>
  <c r="AB200" i="1" s="1"/>
  <c r="AC195" i="1"/>
  <c r="AD195" i="1" s="1"/>
  <c r="AC199" i="1"/>
  <c r="AD199" i="1" s="1"/>
  <c r="AB199" i="1" s="1"/>
  <c r="AC198" i="1"/>
  <c r="AD198" i="1" s="1"/>
  <c r="AB198" i="1" s="1"/>
  <c r="AC201" i="1"/>
  <c r="AD201" i="1" s="1"/>
  <c r="AB201" i="1" s="1"/>
  <c r="AC196" i="1"/>
  <c r="AD196" i="1" s="1"/>
  <c r="AB196" i="1" s="1"/>
  <c r="AC205" i="1"/>
  <c r="AD205" i="1" s="1"/>
  <c r="AB205" i="1" s="1"/>
  <c r="AC204" i="1"/>
  <c r="AD204" i="1" s="1"/>
  <c r="AC208" i="1"/>
  <c r="AD208" i="1" s="1"/>
  <c r="AB208" i="1" s="1"/>
  <c r="AC206" i="1"/>
  <c r="AD206" i="1" s="1"/>
  <c r="AB206" i="1" s="1"/>
  <c r="AC207" i="1"/>
  <c r="AD207" i="1" s="1"/>
  <c r="AB207" i="1" s="1"/>
  <c r="N163" i="1"/>
  <c r="AC385" i="1"/>
  <c r="AD385" i="1" s="1"/>
  <c r="AB385" i="1" s="1"/>
  <c r="AC380" i="1"/>
  <c r="AD380" i="1" s="1"/>
  <c r="AB380" i="1" s="1"/>
  <c r="AC384" i="1"/>
  <c r="AD384" i="1" s="1"/>
  <c r="AB384" i="1" s="1"/>
  <c r="AC379" i="1"/>
  <c r="AD379" i="1" s="1"/>
  <c r="AC386" i="1"/>
  <c r="AD386" i="1" s="1"/>
  <c r="AB386" i="1" s="1"/>
  <c r="AC381" i="1"/>
  <c r="AD381" i="1" s="1"/>
  <c r="AB381" i="1" s="1"/>
  <c r="AC382" i="1"/>
  <c r="AD382" i="1" s="1"/>
  <c r="AB382" i="1" s="1"/>
  <c r="AC383" i="1"/>
  <c r="AD383" i="1" s="1"/>
  <c r="AB383" i="1" s="1"/>
  <c r="AC387" i="1"/>
  <c r="AD387" i="1" s="1"/>
  <c r="AB387" i="1" s="1"/>
  <c r="AB395" i="1"/>
  <c r="AD394" i="1"/>
  <c r="AC391" i="1"/>
  <c r="AD391" i="1" s="1"/>
  <c r="AB391" i="1" s="1"/>
  <c r="AC393" i="1"/>
  <c r="AD393" i="1" s="1"/>
  <c r="AB393" i="1" s="1"/>
  <c r="AC389" i="1"/>
  <c r="AD389" i="1" s="1"/>
  <c r="AC390" i="1"/>
  <c r="AD390" i="1" s="1"/>
  <c r="AB390" i="1" s="1"/>
  <c r="AC392" i="1"/>
  <c r="AD392" i="1" s="1"/>
  <c r="AB392" i="1" s="1"/>
  <c r="N377" i="1"/>
  <c r="AC377" i="1"/>
  <c r="N132" i="1"/>
  <c r="AC168" i="1"/>
  <c r="AD168" i="1" s="1"/>
  <c r="AB168" i="1" s="1"/>
  <c r="AB247" i="1"/>
  <c r="AD246" i="1"/>
  <c r="AC172" i="1"/>
  <c r="AD172" i="1" s="1"/>
  <c r="AB172" i="1" s="1"/>
  <c r="AC237" i="1"/>
  <c r="AD237" i="1" s="1"/>
  <c r="AB237" i="1" s="1"/>
  <c r="AC232" i="1"/>
  <c r="AD232" i="1" s="1"/>
  <c r="AB232" i="1" s="1"/>
  <c r="AC235" i="1"/>
  <c r="AD235" i="1" s="1"/>
  <c r="AB235" i="1" s="1"/>
  <c r="AC239" i="1"/>
  <c r="AD239" i="1" s="1"/>
  <c r="AB239" i="1" s="1"/>
  <c r="AC236" i="1"/>
  <c r="AD236" i="1" s="1"/>
  <c r="AB236" i="1" s="1"/>
  <c r="AC231" i="1"/>
  <c r="AD231" i="1" s="1"/>
  <c r="AC238" i="1"/>
  <c r="AD238" i="1" s="1"/>
  <c r="AB238" i="1" s="1"/>
  <c r="AC233" i="1"/>
  <c r="AD233" i="1" s="1"/>
  <c r="AB233" i="1" s="1"/>
  <c r="AC234" i="1"/>
  <c r="AD234" i="1" s="1"/>
  <c r="AB234" i="1" s="1"/>
  <c r="AC242" i="1"/>
  <c r="AD242" i="1" s="1"/>
  <c r="AB242" i="1" s="1"/>
  <c r="AC243" i="1"/>
  <c r="AD243" i="1" s="1"/>
  <c r="AB243" i="1" s="1"/>
  <c r="AC245" i="1"/>
  <c r="AD245" i="1" s="1"/>
  <c r="AB245" i="1" s="1"/>
  <c r="AC241" i="1"/>
  <c r="AD241" i="1" s="1"/>
  <c r="AC244" i="1"/>
  <c r="AD244" i="1" s="1"/>
  <c r="AB244" i="1" s="1"/>
  <c r="AC218" i="1"/>
  <c r="AD218" i="1" s="1"/>
  <c r="AB218" i="1" s="1"/>
  <c r="AC213" i="1"/>
  <c r="AD213" i="1" s="1"/>
  <c r="AC219" i="1"/>
  <c r="AD219" i="1" s="1"/>
  <c r="AB219" i="1" s="1"/>
  <c r="AC214" i="1"/>
  <c r="AD214" i="1" s="1"/>
  <c r="AB214" i="1" s="1"/>
  <c r="AC220" i="1"/>
  <c r="AD220" i="1" s="1"/>
  <c r="AB220" i="1" s="1"/>
  <c r="AC215" i="1"/>
  <c r="AD215" i="1" s="1"/>
  <c r="AB215" i="1" s="1"/>
  <c r="AC217" i="1"/>
  <c r="AD217" i="1" s="1"/>
  <c r="AB217" i="1" s="1"/>
  <c r="AC216" i="1"/>
  <c r="AD216" i="1" s="1"/>
  <c r="AB216" i="1" s="1"/>
  <c r="AC171" i="1"/>
  <c r="AD171" i="1" s="1"/>
  <c r="AB171" i="1" s="1"/>
  <c r="AB228" i="1"/>
  <c r="AD227" i="1"/>
  <c r="AC169" i="1"/>
  <c r="AD169" i="1" s="1"/>
  <c r="AB169" i="1" s="1"/>
  <c r="AC222" i="1"/>
  <c r="AD222" i="1" s="1"/>
  <c r="AC224" i="1"/>
  <c r="AD224" i="1" s="1"/>
  <c r="AB224" i="1" s="1"/>
  <c r="AC223" i="1"/>
  <c r="AD223" i="1" s="1"/>
  <c r="AB223" i="1" s="1"/>
  <c r="AC226" i="1"/>
  <c r="AD226" i="1" s="1"/>
  <c r="AB226" i="1" s="1"/>
  <c r="AC225" i="1"/>
  <c r="AD225" i="1" s="1"/>
  <c r="AB225" i="1" s="1"/>
  <c r="AC187" i="1"/>
  <c r="AC188" i="1"/>
  <c r="AC4319" i="1"/>
  <c r="AC167" i="1"/>
  <c r="AD167" i="1" s="1"/>
  <c r="AB167" i="1" s="1"/>
  <c r="AC154" i="1"/>
  <c r="AC155" i="1"/>
  <c r="N4300" i="1"/>
  <c r="AC165" i="1"/>
  <c r="AD165" i="1" s="1"/>
  <c r="AC170" i="1"/>
  <c r="AD170" i="1" s="1"/>
  <c r="AB170" i="1" s="1"/>
  <c r="AC183" i="1"/>
  <c r="AD183" i="1" s="1"/>
  <c r="AB183" i="1" s="1"/>
  <c r="AC182" i="1"/>
  <c r="AD182" i="1" s="1"/>
  <c r="AB182" i="1" s="1"/>
  <c r="AC189" i="1"/>
  <c r="AD189" i="1" s="1"/>
  <c r="AB189" i="1" s="1"/>
  <c r="AC184" i="1"/>
  <c r="AD184" i="1" s="1"/>
  <c r="AB184" i="1" s="1"/>
  <c r="AC186" i="1"/>
  <c r="AD186" i="1" s="1"/>
  <c r="AB186" i="1" s="1"/>
  <c r="AC181" i="1"/>
  <c r="AD181" i="1" s="1"/>
  <c r="AB181" i="1" s="1"/>
  <c r="AC190" i="1"/>
  <c r="AD190" i="1" s="1"/>
  <c r="AB190" i="1" s="1"/>
  <c r="AC185" i="1"/>
  <c r="AD185" i="1" s="1"/>
  <c r="AB185" i="1" s="1"/>
  <c r="AC180" i="1"/>
  <c r="AC178" i="1"/>
  <c r="AD178" i="1" s="1"/>
  <c r="AB178" i="1" s="1"/>
  <c r="AC177" i="1"/>
  <c r="AD177" i="1" s="1"/>
  <c r="AC175" i="1"/>
  <c r="AD175" i="1" s="1"/>
  <c r="AB175" i="1" s="1"/>
  <c r="AC174" i="1"/>
  <c r="AD174" i="1" s="1"/>
  <c r="AC150" i="1"/>
  <c r="AD150" i="1" s="1"/>
  <c r="AB150" i="1" s="1"/>
  <c r="AC157" i="1"/>
  <c r="AD157" i="1" s="1"/>
  <c r="AB157" i="1" s="1"/>
  <c r="AC151" i="1"/>
  <c r="AD151" i="1" s="1"/>
  <c r="AB151" i="1" s="1"/>
  <c r="AC152" i="1"/>
  <c r="AD152" i="1" s="1"/>
  <c r="AB152" i="1" s="1"/>
  <c r="AC149" i="1"/>
  <c r="AD149" i="1" s="1"/>
  <c r="AB149" i="1" s="1"/>
  <c r="AC156" i="1"/>
  <c r="AD156" i="1" s="1"/>
  <c r="AB156" i="1" s="1"/>
  <c r="AC153" i="1"/>
  <c r="AD153" i="1" s="1"/>
  <c r="AB153" i="1" s="1"/>
  <c r="AC148" i="1"/>
  <c r="AD148" i="1" s="1"/>
  <c r="AC137" i="1"/>
  <c r="AD137" i="1" s="1"/>
  <c r="AB137" i="1" s="1"/>
  <c r="AC138" i="1"/>
  <c r="AD138" i="1" s="1"/>
  <c r="AB138" i="1" s="1"/>
  <c r="AC135" i="1"/>
  <c r="AD135" i="1" s="1"/>
  <c r="AB135" i="1" s="1"/>
  <c r="AC134" i="1"/>
  <c r="AD134" i="1" s="1"/>
  <c r="AC139" i="1"/>
  <c r="AD139" i="1" s="1"/>
  <c r="AB139" i="1" s="1"/>
  <c r="AC136" i="1"/>
  <c r="AD136" i="1" s="1"/>
  <c r="AB136" i="1" s="1"/>
  <c r="AC141" i="1"/>
  <c r="AC146" i="1"/>
  <c r="AD146" i="1" s="1"/>
  <c r="AB146" i="1" s="1"/>
  <c r="AC143" i="1"/>
  <c r="AD143" i="1" s="1"/>
  <c r="AB143" i="1" s="1"/>
  <c r="AC144" i="1"/>
  <c r="AD144" i="1" s="1"/>
  <c r="AB144" i="1" s="1"/>
  <c r="AC145" i="1"/>
  <c r="AD145" i="1" s="1"/>
  <c r="AB145" i="1" s="1"/>
  <c r="AC122" i="1"/>
  <c r="AD122" i="1" s="1"/>
  <c r="AC123" i="1"/>
  <c r="AD123" i="1" s="1"/>
  <c r="AB123" i="1" s="1"/>
  <c r="AC126" i="1"/>
  <c r="AD126" i="1" s="1"/>
  <c r="AB126" i="1" s="1"/>
  <c r="AC130" i="1"/>
  <c r="AD130" i="1" s="1"/>
  <c r="AB130" i="1" s="1"/>
  <c r="AC124" i="1"/>
  <c r="AD124" i="1" s="1"/>
  <c r="AC127" i="1"/>
  <c r="AD127" i="1" s="1"/>
  <c r="AB127" i="1" s="1"/>
  <c r="AC125" i="1"/>
  <c r="AD125" i="1" s="1"/>
  <c r="AB125" i="1" s="1"/>
  <c r="AC131" i="1"/>
  <c r="AD131" i="1" s="1"/>
  <c r="AB131" i="1" s="1"/>
  <c r="N4263" i="1"/>
  <c r="AD4355" i="1"/>
  <c r="AB4356" i="1"/>
  <c r="AC4346" i="1"/>
  <c r="AD4346" i="1" s="1"/>
  <c r="AB4346" i="1" s="1"/>
  <c r="AC4341" i="1"/>
  <c r="AD4341" i="1" s="1"/>
  <c r="AB4341" i="1" s="1"/>
  <c r="AC4340" i="1"/>
  <c r="AD4340" i="1" s="1"/>
  <c r="AC4343" i="1"/>
  <c r="AD4343" i="1" s="1"/>
  <c r="AB4343" i="1" s="1"/>
  <c r="AC4344" i="1"/>
  <c r="AD4344" i="1" s="1"/>
  <c r="AB4344" i="1" s="1"/>
  <c r="AC4348" i="1"/>
  <c r="AD4348" i="1" s="1"/>
  <c r="AB4348" i="1" s="1"/>
  <c r="AC4345" i="1"/>
  <c r="AD4345" i="1" s="1"/>
  <c r="AB4345" i="1" s="1"/>
  <c r="AC4347" i="1"/>
  <c r="AD4347" i="1" s="1"/>
  <c r="AB4347" i="1" s="1"/>
  <c r="AC4342" i="1"/>
  <c r="AD4342" i="1" s="1"/>
  <c r="AB4342" i="1" s="1"/>
  <c r="AC4350" i="1"/>
  <c r="AD4350" i="1" s="1"/>
  <c r="AC4351" i="1"/>
  <c r="AD4351" i="1" s="1"/>
  <c r="AB4351" i="1" s="1"/>
  <c r="AC4353" i="1"/>
  <c r="AD4353" i="1" s="1"/>
  <c r="AB4353" i="1" s="1"/>
  <c r="AC4352" i="1"/>
  <c r="AD4352" i="1" s="1"/>
  <c r="AB4352" i="1" s="1"/>
  <c r="AC4354" i="1"/>
  <c r="AD4354" i="1" s="1"/>
  <c r="AB4354" i="1" s="1"/>
  <c r="AC4327" i="1"/>
  <c r="AD4327" i="1" s="1"/>
  <c r="AB4327" i="1" s="1"/>
  <c r="AC4322" i="1"/>
  <c r="AD4322" i="1" s="1"/>
  <c r="AB4322" i="1" s="1"/>
  <c r="AC4328" i="1"/>
  <c r="AD4328" i="1" s="1"/>
  <c r="AB4328" i="1" s="1"/>
  <c r="AC4326" i="1"/>
  <c r="AD4326" i="1" s="1"/>
  <c r="AB4326" i="1" s="1"/>
  <c r="AC4321" i="1"/>
  <c r="AD4321" i="1" s="1"/>
  <c r="AC4324" i="1"/>
  <c r="AD4324" i="1" s="1"/>
  <c r="AB4324" i="1" s="1"/>
  <c r="AC4329" i="1"/>
  <c r="AD4329" i="1" s="1"/>
  <c r="AB4329" i="1" s="1"/>
  <c r="AC4323" i="1"/>
  <c r="AD4323" i="1" s="1"/>
  <c r="AB4323" i="1" s="1"/>
  <c r="AC4325" i="1"/>
  <c r="AD4325" i="1" s="1"/>
  <c r="AB4325" i="1" s="1"/>
  <c r="AB4337" i="1"/>
  <c r="AD4336" i="1"/>
  <c r="AC4333" i="1"/>
  <c r="AD4333" i="1" s="1"/>
  <c r="AB4333" i="1" s="1"/>
  <c r="AC4331" i="1"/>
  <c r="AD4331" i="1" s="1"/>
  <c r="AC4335" i="1"/>
  <c r="AD4335" i="1" s="1"/>
  <c r="AB4335" i="1" s="1"/>
  <c r="AC4332" i="1"/>
  <c r="AD4332" i="1" s="1"/>
  <c r="AB4332" i="1" s="1"/>
  <c r="AC4334" i="1"/>
  <c r="AD4334" i="1" s="1"/>
  <c r="AB4334" i="1" s="1"/>
  <c r="N4242" i="1"/>
  <c r="AC4289" i="1"/>
  <c r="AD4289" i="1" s="1"/>
  <c r="AB4289" i="1" s="1"/>
  <c r="AC4284" i="1"/>
  <c r="AD4284" i="1" s="1"/>
  <c r="AB4284" i="1" s="1"/>
  <c r="AC4290" i="1"/>
  <c r="AD4290" i="1" s="1"/>
  <c r="AB4290" i="1" s="1"/>
  <c r="AC4287" i="1"/>
  <c r="AD4287" i="1" s="1"/>
  <c r="AB4287" i="1" s="1"/>
  <c r="AC4286" i="1"/>
  <c r="AD4286" i="1" s="1"/>
  <c r="AB4286" i="1" s="1"/>
  <c r="AC4288" i="1"/>
  <c r="AD4288" i="1" s="1"/>
  <c r="AB4288" i="1" s="1"/>
  <c r="AC4283" i="1"/>
  <c r="AD4283" i="1" s="1"/>
  <c r="AC4291" i="1"/>
  <c r="AD4291" i="1" s="1"/>
  <c r="AB4291" i="1" s="1"/>
  <c r="AC4285" i="1"/>
  <c r="AD4285" i="1" s="1"/>
  <c r="AB4285" i="1" s="1"/>
  <c r="AB4299" i="1"/>
  <c r="AD4298" i="1"/>
  <c r="AC4296" i="1"/>
  <c r="AD4296" i="1" s="1"/>
  <c r="AB4296" i="1" s="1"/>
  <c r="AC4293" i="1"/>
  <c r="AD4293" i="1" s="1"/>
  <c r="AC4295" i="1"/>
  <c r="AD4295" i="1" s="1"/>
  <c r="AB4295" i="1" s="1"/>
  <c r="AC4297" i="1"/>
  <c r="AD4297" i="1" s="1"/>
  <c r="AB4297" i="1" s="1"/>
  <c r="AC4294" i="1"/>
  <c r="AD4294" i="1" s="1"/>
  <c r="AB4294" i="1" s="1"/>
  <c r="N4281" i="1"/>
  <c r="AC4281" i="1"/>
  <c r="AB4318" i="1"/>
  <c r="AD4317" i="1"/>
  <c r="AC4308" i="1"/>
  <c r="AD4308" i="1" s="1"/>
  <c r="AB4308" i="1" s="1"/>
  <c r="AC4303" i="1"/>
  <c r="AD4303" i="1" s="1"/>
  <c r="AB4303" i="1" s="1"/>
  <c r="AC4304" i="1"/>
  <c r="AD4304" i="1" s="1"/>
  <c r="AB4304" i="1" s="1"/>
  <c r="AC4309" i="1"/>
  <c r="AD4309" i="1" s="1"/>
  <c r="AB4309" i="1" s="1"/>
  <c r="AC4305" i="1"/>
  <c r="AD4305" i="1" s="1"/>
  <c r="AB4305" i="1" s="1"/>
  <c r="AC4310" i="1"/>
  <c r="AD4310" i="1" s="1"/>
  <c r="AB4310" i="1" s="1"/>
  <c r="AC4307" i="1"/>
  <c r="AD4307" i="1" s="1"/>
  <c r="AB4307" i="1" s="1"/>
  <c r="AC4302" i="1"/>
  <c r="AD4302" i="1" s="1"/>
  <c r="AC4306" i="1"/>
  <c r="AD4306" i="1" s="1"/>
  <c r="AB4306" i="1" s="1"/>
  <c r="AC4313" i="1"/>
  <c r="AD4313" i="1" s="1"/>
  <c r="AB4313" i="1" s="1"/>
  <c r="AC4314" i="1"/>
  <c r="AD4314" i="1" s="1"/>
  <c r="AB4314" i="1" s="1"/>
  <c r="AC4315" i="1"/>
  <c r="AD4315" i="1" s="1"/>
  <c r="AB4315" i="1" s="1"/>
  <c r="AC4316" i="1"/>
  <c r="AD4316" i="1" s="1"/>
  <c r="AB4316" i="1" s="1"/>
  <c r="AC4312" i="1"/>
  <c r="AD4312" i="1" s="1"/>
  <c r="AB4280" i="1"/>
  <c r="AD4279" i="1"/>
  <c r="AC4275" i="1"/>
  <c r="AD4275" i="1" s="1"/>
  <c r="AB4275" i="1" s="1"/>
  <c r="AC4274" i="1"/>
  <c r="AD4274" i="1" s="1"/>
  <c r="AC4276" i="1"/>
  <c r="AD4276" i="1" s="1"/>
  <c r="AB4276" i="1" s="1"/>
  <c r="AC4278" i="1"/>
  <c r="AD4278" i="1" s="1"/>
  <c r="AB4278" i="1" s="1"/>
  <c r="AC4277" i="1"/>
  <c r="AD4277" i="1" s="1"/>
  <c r="AB4277" i="1" s="1"/>
  <c r="AC4271" i="1"/>
  <c r="AD4271" i="1" s="1"/>
  <c r="AB4271" i="1" s="1"/>
  <c r="AC4266" i="1"/>
  <c r="AD4266" i="1" s="1"/>
  <c r="AB4266" i="1" s="1"/>
  <c r="AC4270" i="1"/>
  <c r="AD4270" i="1" s="1"/>
  <c r="AB4270" i="1" s="1"/>
  <c r="AC4265" i="1"/>
  <c r="AD4265" i="1" s="1"/>
  <c r="AC4272" i="1"/>
  <c r="AD4272" i="1" s="1"/>
  <c r="AB4272" i="1" s="1"/>
  <c r="AC4267" i="1"/>
  <c r="AD4267" i="1" s="1"/>
  <c r="AB4267" i="1" s="1"/>
  <c r="AC4268" i="1"/>
  <c r="AD4268" i="1" s="1"/>
  <c r="AB4268" i="1" s="1"/>
  <c r="AC4269" i="1"/>
  <c r="AD4269" i="1" s="1"/>
  <c r="AB4269" i="1" s="1"/>
  <c r="AC4170" i="1"/>
  <c r="AC4250" i="1"/>
  <c r="AD4250" i="1" s="1"/>
  <c r="AB4250" i="1" s="1"/>
  <c r="AC4245" i="1"/>
  <c r="AD4245" i="1" s="1"/>
  <c r="AB4245" i="1" s="1"/>
  <c r="AC4247" i="1"/>
  <c r="AD4247" i="1" s="1"/>
  <c r="AB4247" i="1" s="1"/>
  <c r="AC4249" i="1"/>
  <c r="AD4249" i="1" s="1"/>
  <c r="AB4249" i="1" s="1"/>
  <c r="AC4252" i="1"/>
  <c r="AD4252" i="1" s="1"/>
  <c r="AB4252" i="1" s="1"/>
  <c r="AC4248" i="1"/>
  <c r="AD4248" i="1" s="1"/>
  <c r="AB4248" i="1" s="1"/>
  <c r="AC4244" i="1"/>
  <c r="AD4244" i="1" s="1"/>
  <c r="AC4251" i="1"/>
  <c r="AD4251" i="1" s="1"/>
  <c r="AB4251" i="1" s="1"/>
  <c r="AC4246" i="1"/>
  <c r="AD4246" i="1" s="1"/>
  <c r="AB4246" i="1" s="1"/>
  <c r="AB4260" i="1"/>
  <c r="AD4259" i="1"/>
  <c r="AC4257" i="1"/>
  <c r="AD4257" i="1" s="1"/>
  <c r="AB4257" i="1" s="1"/>
  <c r="AC4254" i="1"/>
  <c r="AD4254" i="1" s="1"/>
  <c r="AC4256" i="1"/>
  <c r="AD4256" i="1" s="1"/>
  <c r="AB4256" i="1" s="1"/>
  <c r="AC4255" i="1"/>
  <c r="AD4255" i="1" s="1"/>
  <c r="AB4255" i="1" s="1"/>
  <c r="AC4258" i="1"/>
  <c r="AD4258" i="1" s="1"/>
  <c r="AB4258" i="1" s="1"/>
  <c r="AC4212" i="1"/>
  <c r="AD4212" i="1" s="1"/>
  <c r="AB4212" i="1" s="1"/>
  <c r="AC4207" i="1"/>
  <c r="AD4207" i="1" s="1"/>
  <c r="AC4210" i="1"/>
  <c r="AD4210" i="1" s="1"/>
  <c r="AB4210" i="1" s="1"/>
  <c r="AC4214" i="1"/>
  <c r="AD4214" i="1" s="1"/>
  <c r="AB4214" i="1" s="1"/>
  <c r="AC4209" i="1"/>
  <c r="AD4209" i="1" s="1"/>
  <c r="AB4209" i="1" s="1"/>
  <c r="AC4211" i="1"/>
  <c r="AD4211" i="1" s="1"/>
  <c r="AB4211" i="1" s="1"/>
  <c r="AC4213" i="1"/>
  <c r="AD4213" i="1" s="1"/>
  <c r="AB4213" i="1" s="1"/>
  <c r="AC4208" i="1"/>
  <c r="AD4208" i="1" s="1"/>
  <c r="AB4208" i="1" s="1"/>
  <c r="AB4222" i="1"/>
  <c r="AD4221" i="1"/>
  <c r="AC4217" i="1"/>
  <c r="AD4217" i="1" s="1"/>
  <c r="AB4217" i="1" s="1"/>
  <c r="AC4218" i="1"/>
  <c r="AD4218" i="1" s="1"/>
  <c r="AB4218" i="1" s="1"/>
  <c r="AC4220" i="1"/>
  <c r="AD4220" i="1" s="1"/>
  <c r="AB4220" i="1" s="1"/>
  <c r="AC4216" i="1"/>
  <c r="AD4216" i="1" s="1"/>
  <c r="AC4219" i="1"/>
  <c r="AD4219" i="1" s="1"/>
  <c r="AB4219" i="1" s="1"/>
  <c r="AC4231" i="1"/>
  <c r="AD4231" i="1" s="1"/>
  <c r="AB4231" i="1" s="1"/>
  <c r="AC4226" i="1"/>
  <c r="AD4226" i="1" s="1"/>
  <c r="AB4226" i="1" s="1"/>
  <c r="AC4230" i="1"/>
  <c r="AD4230" i="1" s="1"/>
  <c r="AB4230" i="1" s="1"/>
  <c r="AC4225" i="1"/>
  <c r="AD4225" i="1" s="1"/>
  <c r="AC4228" i="1"/>
  <c r="AD4228" i="1" s="1"/>
  <c r="AB4228" i="1" s="1"/>
  <c r="AC4233" i="1"/>
  <c r="AD4233" i="1" s="1"/>
  <c r="AB4233" i="1" s="1"/>
  <c r="AC4232" i="1"/>
  <c r="AD4232" i="1" s="1"/>
  <c r="AB4232" i="1" s="1"/>
  <c r="AC4227" i="1"/>
  <c r="AD4227" i="1" s="1"/>
  <c r="AB4227" i="1" s="1"/>
  <c r="AC4229" i="1"/>
  <c r="AD4229" i="1" s="1"/>
  <c r="AB4229" i="1" s="1"/>
  <c r="AB4241" i="1"/>
  <c r="AD4240" i="1"/>
  <c r="AC4235" i="1"/>
  <c r="AD4235" i="1" s="1"/>
  <c r="AC4237" i="1"/>
  <c r="AD4237" i="1" s="1"/>
  <c r="AB4237" i="1" s="1"/>
  <c r="AC4239" i="1"/>
  <c r="AD4239" i="1" s="1"/>
  <c r="AB4239" i="1" s="1"/>
  <c r="AC4236" i="1"/>
  <c r="AD4236" i="1" s="1"/>
  <c r="AB4236" i="1" s="1"/>
  <c r="AC4238" i="1"/>
  <c r="AD4238" i="1" s="1"/>
  <c r="AB4238" i="1" s="1"/>
  <c r="N4223" i="1"/>
  <c r="AC4223" i="1"/>
  <c r="AB4199" i="1"/>
  <c r="AD4198" i="1"/>
  <c r="AC4189" i="1"/>
  <c r="AD4189" i="1" s="1"/>
  <c r="AB4189" i="1" s="1"/>
  <c r="AC4184" i="1"/>
  <c r="AD4184" i="1" s="1"/>
  <c r="AB4184" i="1" s="1"/>
  <c r="AC4190" i="1"/>
  <c r="AD4190" i="1" s="1"/>
  <c r="AB4190" i="1" s="1"/>
  <c r="AC4185" i="1"/>
  <c r="AD4185" i="1" s="1"/>
  <c r="AB4185" i="1" s="1"/>
  <c r="AC4187" i="1"/>
  <c r="AD4187" i="1" s="1"/>
  <c r="AB4187" i="1" s="1"/>
  <c r="AC4186" i="1"/>
  <c r="AD4186" i="1" s="1"/>
  <c r="AB4186" i="1" s="1"/>
  <c r="AC4191" i="1"/>
  <c r="AD4191" i="1" s="1"/>
  <c r="AB4191" i="1" s="1"/>
  <c r="AC4188" i="1"/>
  <c r="AD4188" i="1" s="1"/>
  <c r="AB4188" i="1" s="1"/>
  <c r="AC4183" i="1"/>
  <c r="AD4183" i="1" s="1"/>
  <c r="AC4197" i="1"/>
  <c r="AD4197" i="1" s="1"/>
  <c r="AB4197" i="1" s="1"/>
  <c r="AC4194" i="1"/>
  <c r="AD4194" i="1" s="1"/>
  <c r="AB4194" i="1" s="1"/>
  <c r="AC4195" i="1"/>
  <c r="AD4195" i="1" s="1"/>
  <c r="AB4195" i="1" s="1"/>
  <c r="AC4196" i="1"/>
  <c r="AD4196" i="1" s="1"/>
  <c r="AB4196" i="1" s="1"/>
  <c r="AC4193" i="1"/>
  <c r="AD4193" i="1" s="1"/>
  <c r="AB4172" i="1"/>
  <c r="AD4171" i="1"/>
  <c r="AD4170" i="1" s="1"/>
  <c r="N4120" i="1"/>
  <c r="N3818" i="1"/>
  <c r="AC4165" i="1"/>
  <c r="AD4165" i="1" s="1"/>
  <c r="AB4165" i="1" s="1"/>
  <c r="AC4166" i="1"/>
  <c r="AD4166" i="1" s="1"/>
  <c r="AB4166" i="1" s="1"/>
  <c r="AC4168" i="1"/>
  <c r="AD4168" i="1" s="1"/>
  <c r="AB4168" i="1" s="1"/>
  <c r="AC4167" i="1"/>
  <c r="AD4167" i="1" s="1"/>
  <c r="AB4167" i="1" s="1"/>
  <c r="AC4162" i="1"/>
  <c r="AD4162" i="1" s="1"/>
  <c r="AC4163" i="1"/>
  <c r="AD4163" i="1" s="1"/>
  <c r="AB4163" i="1" s="1"/>
  <c r="AC4169" i="1"/>
  <c r="AD4169" i="1" s="1"/>
  <c r="AB4169" i="1" s="1"/>
  <c r="AC4164" i="1"/>
  <c r="AD4164" i="1" s="1"/>
  <c r="AB4164" i="1" s="1"/>
  <c r="AC4160" i="1"/>
  <c r="N4160" i="1"/>
  <c r="AC4132" i="1"/>
  <c r="AD4132" i="1" s="1"/>
  <c r="AB4132" i="1" s="1"/>
  <c r="AC4149" i="1"/>
  <c r="AD4149" i="1" s="1"/>
  <c r="AB4149" i="1" s="1"/>
  <c r="AC4144" i="1"/>
  <c r="AD4144" i="1" s="1"/>
  <c r="AB4144" i="1" s="1"/>
  <c r="AC4146" i="1"/>
  <c r="AD4146" i="1" s="1"/>
  <c r="AB4146" i="1" s="1"/>
  <c r="AC4148" i="1"/>
  <c r="AD4148" i="1" s="1"/>
  <c r="AB4148" i="1" s="1"/>
  <c r="AC4143" i="1"/>
  <c r="AD4143" i="1" s="1"/>
  <c r="AC4151" i="1"/>
  <c r="AD4151" i="1" s="1"/>
  <c r="AB4151" i="1" s="1"/>
  <c r="AC4150" i="1"/>
  <c r="AD4150" i="1" s="1"/>
  <c r="AB4150" i="1" s="1"/>
  <c r="AC4145" i="1"/>
  <c r="AD4145" i="1" s="1"/>
  <c r="AB4145" i="1" s="1"/>
  <c r="AC4147" i="1"/>
  <c r="AD4147" i="1" s="1"/>
  <c r="AB4147" i="1" s="1"/>
  <c r="AB4159" i="1"/>
  <c r="AD4158" i="1"/>
  <c r="AC4155" i="1"/>
  <c r="AD4155" i="1" s="1"/>
  <c r="AB4155" i="1" s="1"/>
  <c r="AC4157" i="1"/>
  <c r="AD4157" i="1" s="1"/>
  <c r="AB4157" i="1" s="1"/>
  <c r="AC4154" i="1"/>
  <c r="AD4154" i="1" s="1"/>
  <c r="AB4154" i="1" s="1"/>
  <c r="AC4156" i="1"/>
  <c r="AD4156" i="1" s="1"/>
  <c r="AB4156" i="1" s="1"/>
  <c r="AC4153" i="1"/>
  <c r="AD4153" i="1" s="1"/>
  <c r="AC4129" i="1"/>
  <c r="AD4129" i="1" s="1"/>
  <c r="AB4129" i="1" s="1"/>
  <c r="AC4124" i="1"/>
  <c r="AD4124" i="1" s="1"/>
  <c r="AC4131" i="1"/>
  <c r="AD4131" i="1" s="1"/>
  <c r="AB4131" i="1" s="1"/>
  <c r="AC4126" i="1"/>
  <c r="AD4126" i="1" s="1"/>
  <c r="AB4126" i="1" s="1"/>
  <c r="AC4128" i="1"/>
  <c r="AD4128" i="1" s="1"/>
  <c r="AB4128" i="1" s="1"/>
  <c r="AC4125" i="1"/>
  <c r="AD4125" i="1" s="1"/>
  <c r="AB4125" i="1" s="1"/>
  <c r="AC4130" i="1"/>
  <c r="AD4130" i="1" s="1"/>
  <c r="AB4130" i="1" s="1"/>
  <c r="AC4127" i="1"/>
  <c r="AD4127" i="1" s="1"/>
  <c r="AB4127" i="1" s="1"/>
  <c r="AB4140" i="1"/>
  <c r="AD4139" i="1"/>
  <c r="AC4136" i="1"/>
  <c r="AD4136" i="1" s="1"/>
  <c r="AB4136" i="1" s="1"/>
  <c r="AC4138" i="1"/>
  <c r="AD4138" i="1" s="1"/>
  <c r="AB4138" i="1" s="1"/>
  <c r="AC4135" i="1"/>
  <c r="AD4135" i="1" s="1"/>
  <c r="AB4135" i="1" s="1"/>
  <c r="AC4134" i="1"/>
  <c r="AD4134" i="1" s="1"/>
  <c r="AC4137" i="1"/>
  <c r="AD4137" i="1" s="1"/>
  <c r="AB4137" i="1" s="1"/>
  <c r="N4122" i="1"/>
  <c r="AC4122" i="1"/>
  <c r="AC4114" i="1"/>
  <c r="AD4114" i="1" s="1"/>
  <c r="AB4114" i="1" s="1"/>
  <c r="AC4115" i="1"/>
  <c r="AD4115" i="1" s="1"/>
  <c r="AB4115" i="1" s="1"/>
  <c r="AC4117" i="1"/>
  <c r="AD4117" i="1" s="1"/>
  <c r="AB4117" i="1" s="1"/>
  <c r="AC4113" i="1"/>
  <c r="AD4113" i="1" s="1"/>
  <c r="AC4116" i="1"/>
  <c r="AD4116" i="1" s="1"/>
  <c r="AB4116" i="1" s="1"/>
  <c r="AC4110" i="1"/>
  <c r="AD4110" i="1" s="1"/>
  <c r="AB4110" i="1" s="1"/>
  <c r="AC4105" i="1"/>
  <c r="AD4105" i="1" s="1"/>
  <c r="AB4105" i="1" s="1"/>
  <c r="AC4106" i="1"/>
  <c r="AD4106" i="1" s="1"/>
  <c r="AB4106" i="1" s="1"/>
  <c r="AC4107" i="1"/>
  <c r="AD4107" i="1" s="1"/>
  <c r="AB4107" i="1" s="1"/>
  <c r="AC4109" i="1"/>
  <c r="AD4109" i="1" s="1"/>
  <c r="AB4109" i="1" s="1"/>
  <c r="AC4104" i="1"/>
  <c r="AD4104" i="1" s="1"/>
  <c r="AC4111" i="1"/>
  <c r="AD4111" i="1" s="1"/>
  <c r="AB4111" i="1" s="1"/>
  <c r="AC4108" i="1"/>
  <c r="AD4108" i="1" s="1"/>
  <c r="AB4108" i="1" s="1"/>
  <c r="AB4119" i="1"/>
  <c r="AD4118" i="1"/>
  <c r="N3880" i="1"/>
  <c r="AC4061" i="1"/>
  <c r="AC3396" i="1"/>
  <c r="N4021" i="1"/>
  <c r="AC4096" i="1"/>
  <c r="AD4096" i="1" s="1"/>
  <c r="AB4096" i="1" s="1"/>
  <c r="AC4093" i="1"/>
  <c r="AD4093" i="1" s="1"/>
  <c r="AC4095" i="1"/>
  <c r="AD4095" i="1" s="1"/>
  <c r="AB4095" i="1" s="1"/>
  <c r="AC4098" i="1"/>
  <c r="AD4098" i="1" s="1"/>
  <c r="AB4098" i="1" s="1"/>
  <c r="AC4097" i="1"/>
  <c r="AD4097" i="1" s="1"/>
  <c r="AB4097" i="1" s="1"/>
  <c r="AC4094" i="1"/>
  <c r="AD4094" i="1" s="1"/>
  <c r="AB4094" i="1" s="1"/>
  <c r="AC4085" i="1"/>
  <c r="AD4085" i="1" s="1"/>
  <c r="AB4085" i="1" s="1"/>
  <c r="AC4090" i="1"/>
  <c r="AD4090" i="1" s="1"/>
  <c r="AB4090" i="1" s="1"/>
  <c r="AC4087" i="1"/>
  <c r="AD4087" i="1" s="1"/>
  <c r="AB4087" i="1" s="1"/>
  <c r="AC4089" i="1"/>
  <c r="AD4089" i="1" s="1"/>
  <c r="AB4089" i="1" s="1"/>
  <c r="AC4084" i="1"/>
  <c r="AD4084" i="1" s="1"/>
  <c r="AB4084" i="1" s="1"/>
  <c r="AC4086" i="1"/>
  <c r="AD4086" i="1" s="1"/>
  <c r="AB4086" i="1" s="1"/>
  <c r="AC4091" i="1"/>
  <c r="AD4091" i="1" s="1"/>
  <c r="AB4091" i="1" s="1"/>
  <c r="AC4083" i="1"/>
  <c r="AD4083" i="1" s="1"/>
  <c r="AC4088" i="1"/>
  <c r="AD4088" i="1" s="1"/>
  <c r="AB4088" i="1" s="1"/>
  <c r="AB4100" i="1"/>
  <c r="AD4099" i="1"/>
  <c r="AC3737" i="1"/>
  <c r="AC4071" i="1"/>
  <c r="AD4071" i="1" s="1"/>
  <c r="AB4071" i="1" s="1"/>
  <c r="AC4067" i="1"/>
  <c r="AD4067" i="1" s="1"/>
  <c r="AB4067" i="1" s="1"/>
  <c r="AC4070" i="1"/>
  <c r="AD4070" i="1" s="1"/>
  <c r="AB4070" i="1" s="1"/>
  <c r="AC4063" i="1"/>
  <c r="AD4063" i="1" s="1"/>
  <c r="AC4069" i="1"/>
  <c r="AD4069" i="1" s="1"/>
  <c r="AB4069" i="1" s="1"/>
  <c r="AC4064" i="1"/>
  <c r="AD4064" i="1" s="1"/>
  <c r="AB4064" i="1" s="1"/>
  <c r="AC4066" i="1"/>
  <c r="AD4066" i="1" s="1"/>
  <c r="AB4066" i="1" s="1"/>
  <c r="AC4068" i="1"/>
  <c r="AD4068" i="1" s="1"/>
  <c r="AB4068" i="1" s="1"/>
  <c r="AC4065" i="1"/>
  <c r="AD4065" i="1" s="1"/>
  <c r="AB4065" i="1" s="1"/>
  <c r="AC4074" i="1"/>
  <c r="AD4074" i="1" s="1"/>
  <c r="AB4074" i="1" s="1"/>
  <c r="AC4076" i="1"/>
  <c r="AD4076" i="1" s="1"/>
  <c r="AB4076" i="1" s="1"/>
  <c r="AC4075" i="1"/>
  <c r="AD4075" i="1" s="1"/>
  <c r="AB4075" i="1" s="1"/>
  <c r="AC4073" i="1"/>
  <c r="AD4073" i="1" s="1"/>
  <c r="AC4078" i="1"/>
  <c r="AD4078" i="1" s="1"/>
  <c r="AB4078" i="1" s="1"/>
  <c r="AC4077" i="1"/>
  <c r="AD4077" i="1" s="1"/>
  <c r="AB4077" i="1" s="1"/>
  <c r="AB4080" i="1"/>
  <c r="AD4079" i="1"/>
  <c r="AC4056" i="1"/>
  <c r="AD4056" i="1" s="1"/>
  <c r="AB4056" i="1" s="1"/>
  <c r="AC4055" i="1"/>
  <c r="AD4055" i="1" s="1"/>
  <c r="AB4055" i="1" s="1"/>
  <c r="AC4054" i="1"/>
  <c r="AD4054" i="1" s="1"/>
  <c r="AB4054" i="1" s="1"/>
  <c r="AC4053" i="1"/>
  <c r="AD4053" i="1" s="1"/>
  <c r="AC4058" i="1"/>
  <c r="AD4058" i="1" s="1"/>
  <c r="AB4058" i="1" s="1"/>
  <c r="AC4057" i="1"/>
  <c r="AD4057" i="1" s="1"/>
  <c r="AB4057" i="1" s="1"/>
  <c r="AC4050" i="1"/>
  <c r="AD4050" i="1" s="1"/>
  <c r="AB4050" i="1" s="1"/>
  <c r="AC4051" i="1"/>
  <c r="AD4051" i="1" s="1"/>
  <c r="AB4051" i="1" s="1"/>
  <c r="AC4047" i="1"/>
  <c r="AD4047" i="1" s="1"/>
  <c r="AB4047" i="1" s="1"/>
  <c r="AC4048" i="1"/>
  <c r="AD4048" i="1" s="1"/>
  <c r="AB4048" i="1" s="1"/>
  <c r="AC4043" i="1"/>
  <c r="AD4043" i="1" s="1"/>
  <c r="AC4046" i="1"/>
  <c r="AD4046" i="1" s="1"/>
  <c r="AB4046" i="1" s="1"/>
  <c r="AC4049" i="1"/>
  <c r="AD4049" i="1" s="1"/>
  <c r="AB4049" i="1" s="1"/>
  <c r="AC4044" i="1"/>
  <c r="AD4044" i="1" s="1"/>
  <c r="AB4044" i="1" s="1"/>
  <c r="AC4045" i="1"/>
  <c r="AD4045" i="1" s="1"/>
  <c r="AB4045" i="1" s="1"/>
  <c r="AB4060" i="1"/>
  <c r="AD4059" i="1"/>
  <c r="AC4041" i="1"/>
  <c r="N4041" i="1"/>
  <c r="AC4031" i="1"/>
  <c r="AD4031" i="1" s="1"/>
  <c r="AB4031" i="1" s="1"/>
  <c r="AC4027" i="1"/>
  <c r="AD4027" i="1" s="1"/>
  <c r="AB4027" i="1" s="1"/>
  <c r="AC4030" i="1"/>
  <c r="AD4030" i="1" s="1"/>
  <c r="AB4030" i="1" s="1"/>
  <c r="AC4029" i="1"/>
  <c r="AD4029" i="1" s="1"/>
  <c r="AB4029" i="1" s="1"/>
  <c r="AC4024" i="1"/>
  <c r="AD4024" i="1" s="1"/>
  <c r="AB4024" i="1" s="1"/>
  <c r="AC4026" i="1"/>
  <c r="AD4026" i="1" s="1"/>
  <c r="AB4026" i="1" s="1"/>
  <c r="AC4025" i="1"/>
  <c r="AD4025" i="1" s="1"/>
  <c r="AB4025" i="1" s="1"/>
  <c r="AC4028" i="1"/>
  <c r="AD4028" i="1" s="1"/>
  <c r="AB4028" i="1" s="1"/>
  <c r="AC4023" i="1"/>
  <c r="AD4023" i="1" s="1"/>
  <c r="AC4036" i="1"/>
  <c r="AD4036" i="1" s="1"/>
  <c r="AB4036" i="1" s="1"/>
  <c r="AC4033" i="1"/>
  <c r="AD4033" i="1" s="1"/>
  <c r="AC4035" i="1"/>
  <c r="AD4035" i="1" s="1"/>
  <c r="AB4035" i="1" s="1"/>
  <c r="AC4038" i="1"/>
  <c r="AD4038" i="1" s="1"/>
  <c r="AB4038" i="1" s="1"/>
  <c r="AC4037" i="1"/>
  <c r="AD4037" i="1" s="1"/>
  <c r="AB4037" i="1" s="1"/>
  <c r="AC4034" i="1"/>
  <c r="AD4034" i="1" s="1"/>
  <c r="AB4034" i="1" s="1"/>
  <c r="AB4040" i="1"/>
  <c r="AD4039" i="1"/>
  <c r="AC4015" i="1"/>
  <c r="AD4015" i="1" s="1"/>
  <c r="AB4015" i="1" s="1"/>
  <c r="AC4017" i="1"/>
  <c r="AD4017" i="1" s="1"/>
  <c r="AB4017" i="1" s="1"/>
  <c r="AC4016" i="1"/>
  <c r="AD4016" i="1" s="1"/>
  <c r="AB4016" i="1" s="1"/>
  <c r="AC4018" i="1"/>
  <c r="AD4018" i="1" s="1"/>
  <c r="AB4018" i="1" s="1"/>
  <c r="AC4013" i="1"/>
  <c r="AD4013" i="1" s="1"/>
  <c r="AC4014" i="1"/>
  <c r="AD4014" i="1" s="1"/>
  <c r="AB4014" i="1" s="1"/>
  <c r="AC4008" i="1"/>
  <c r="AD4008" i="1" s="1"/>
  <c r="AB4008" i="1" s="1"/>
  <c r="AC4007" i="1"/>
  <c r="AD4007" i="1" s="1"/>
  <c r="AB4007" i="1" s="1"/>
  <c r="AC4010" i="1"/>
  <c r="AD4010" i="1" s="1"/>
  <c r="AB4010" i="1" s="1"/>
  <c r="AC4005" i="1"/>
  <c r="AD4005" i="1" s="1"/>
  <c r="AB4005" i="1" s="1"/>
  <c r="AC4011" i="1"/>
  <c r="AD4011" i="1" s="1"/>
  <c r="AB4011" i="1" s="1"/>
  <c r="AC4003" i="1"/>
  <c r="AD4003" i="1" s="1"/>
  <c r="AC4009" i="1"/>
  <c r="AD4009" i="1" s="1"/>
  <c r="AB4009" i="1" s="1"/>
  <c r="AC4004" i="1"/>
  <c r="AD4004" i="1" s="1"/>
  <c r="AB4004" i="1" s="1"/>
  <c r="AC4006" i="1"/>
  <c r="AD4006" i="1" s="1"/>
  <c r="AB4006" i="1" s="1"/>
  <c r="AB4020" i="1"/>
  <c r="AD4019" i="1"/>
  <c r="AC3986" i="1"/>
  <c r="AD3986" i="1" s="1"/>
  <c r="AB3986" i="1" s="1"/>
  <c r="AC3990" i="1"/>
  <c r="AD3990" i="1" s="1"/>
  <c r="AB3990" i="1" s="1"/>
  <c r="AC3987" i="1"/>
  <c r="AD3987" i="1" s="1"/>
  <c r="AB3987" i="1" s="1"/>
  <c r="AC3991" i="1"/>
  <c r="AD3991" i="1" s="1"/>
  <c r="AB3991" i="1" s="1"/>
  <c r="AC3989" i="1"/>
  <c r="AD3989" i="1" s="1"/>
  <c r="AB3989" i="1" s="1"/>
  <c r="AC3984" i="1"/>
  <c r="AD3984" i="1" s="1"/>
  <c r="AB3984" i="1" s="1"/>
  <c r="AC3985" i="1"/>
  <c r="AD3985" i="1" s="1"/>
  <c r="AB3985" i="1" s="1"/>
  <c r="AC3988" i="1"/>
  <c r="AD3988" i="1" s="1"/>
  <c r="AB3988" i="1" s="1"/>
  <c r="AC3983" i="1"/>
  <c r="AD3983" i="1" s="1"/>
  <c r="AC3996" i="1"/>
  <c r="AD3996" i="1" s="1"/>
  <c r="AB3996" i="1" s="1"/>
  <c r="AC3995" i="1"/>
  <c r="AD3995" i="1" s="1"/>
  <c r="AB3995" i="1" s="1"/>
  <c r="AC3993" i="1"/>
  <c r="AD3993" i="1" s="1"/>
  <c r="AC3998" i="1"/>
  <c r="AD3998" i="1" s="1"/>
  <c r="AB3998" i="1" s="1"/>
  <c r="AC3997" i="1"/>
  <c r="AD3997" i="1" s="1"/>
  <c r="AB3997" i="1" s="1"/>
  <c r="AC3994" i="1"/>
  <c r="AD3994" i="1" s="1"/>
  <c r="AB3994" i="1" s="1"/>
  <c r="AB4000" i="1"/>
  <c r="AD3999" i="1"/>
  <c r="AC3981" i="1"/>
  <c r="N3981" i="1"/>
  <c r="AC3978" i="1"/>
  <c r="AD3978" i="1" s="1"/>
  <c r="AB3978" i="1" s="1"/>
  <c r="AC3976" i="1"/>
  <c r="AD3976" i="1" s="1"/>
  <c r="AB3976" i="1" s="1"/>
  <c r="AC3975" i="1"/>
  <c r="AD3975" i="1" s="1"/>
  <c r="AB3975" i="1" s="1"/>
  <c r="AC3974" i="1"/>
  <c r="AD3974" i="1" s="1"/>
  <c r="AB3974" i="1" s="1"/>
  <c r="AC3973" i="1"/>
  <c r="AD3973" i="1" s="1"/>
  <c r="AC3977" i="1"/>
  <c r="AD3977" i="1" s="1"/>
  <c r="AB3977" i="1" s="1"/>
  <c r="AC3967" i="1"/>
  <c r="AD3967" i="1" s="1"/>
  <c r="AB3967" i="1" s="1"/>
  <c r="AC3971" i="1"/>
  <c r="AD3971" i="1" s="1"/>
  <c r="AB3971" i="1" s="1"/>
  <c r="AC3969" i="1"/>
  <c r="AD3969" i="1" s="1"/>
  <c r="AB3969" i="1" s="1"/>
  <c r="AC3964" i="1"/>
  <c r="AD3964" i="1" s="1"/>
  <c r="AB3964" i="1" s="1"/>
  <c r="AC3966" i="1"/>
  <c r="AD3966" i="1" s="1"/>
  <c r="AB3966" i="1" s="1"/>
  <c r="AC3965" i="1"/>
  <c r="AD3965" i="1" s="1"/>
  <c r="AB3965" i="1" s="1"/>
  <c r="AC3968" i="1"/>
  <c r="AD3968" i="1" s="1"/>
  <c r="AB3968" i="1" s="1"/>
  <c r="AC3963" i="1"/>
  <c r="AD3963" i="1" s="1"/>
  <c r="AC3970" i="1"/>
  <c r="AD3970" i="1" s="1"/>
  <c r="AB3970" i="1" s="1"/>
  <c r="AB3980" i="1"/>
  <c r="AD3979" i="1"/>
  <c r="AC3950" i="1"/>
  <c r="AD3950" i="1" s="1"/>
  <c r="AB3950" i="1" s="1"/>
  <c r="AC3947" i="1"/>
  <c r="AD3947" i="1" s="1"/>
  <c r="AB3947" i="1" s="1"/>
  <c r="AC3942" i="1"/>
  <c r="AD3942" i="1" s="1"/>
  <c r="AC3946" i="1"/>
  <c r="AD3946" i="1" s="1"/>
  <c r="AB3946" i="1" s="1"/>
  <c r="AC3948" i="1"/>
  <c r="AD3948" i="1" s="1"/>
  <c r="AB3948" i="1" s="1"/>
  <c r="AC3943" i="1"/>
  <c r="AD3943" i="1" s="1"/>
  <c r="AB3943" i="1" s="1"/>
  <c r="AC3945" i="1"/>
  <c r="AD3945" i="1" s="1"/>
  <c r="AB3945" i="1" s="1"/>
  <c r="AC3949" i="1"/>
  <c r="AD3949" i="1" s="1"/>
  <c r="AB3949" i="1" s="1"/>
  <c r="AC3944" i="1"/>
  <c r="AD3944" i="1" s="1"/>
  <c r="AB3944" i="1" s="1"/>
  <c r="AC3957" i="1"/>
  <c r="AD3957" i="1" s="1"/>
  <c r="AB3957" i="1" s="1"/>
  <c r="AC3954" i="1"/>
  <c r="AD3954" i="1" s="1"/>
  <c r="AB3954" i="1" s="1"/>
  <c r="AC3956" i="1"/>
  <c r="AD3956" i="1" s="1"/>
  <c r="AB3956" i="1" s="1"/>
  <c r="AC3953" i="1"/>
  <c r="AD3953" i="1" s="1"/>
  <c r="AB3953" i="1" s="1"/>
  <c r="AC3955" i="1"/>
  <c r="AD3955" i="1" s="1"/>
  <c r="AB3955" i="1" s="1"/>
  <c r="AC3952" i="1"/>
  <c r="AD3952" i="1" s="1"/>
  <c r="AB3959" i="1"/>
  <c r="AD3958" i="1"/>
  <c r="AC3937" i="1"/>
  <c r="AD3937" i="1" s="1"/>
  <c r="AB3937" i="1" s="1"/>
  <c r="AC3936" i="1"/>
  <c r="AD3936" i="1" s="1"/>
  <c r="AB3936" i="1" s="1"/>
  <c r="AC3933" i="1"/>
  <c r="AD3933" i="1" s="1"/>
  <c r="AB3933" i="1" s="1"/>
  <c r="AC3935" i="1"/>
  <c r="AD3935" i="1" s="1"/>
  <c r="AB3935" i="1" s="1"/>
  <c r="AC3934" i="1"/>
  <c r="AD3934" i="1" s="1"/>
  <c r="AB3934" i="1" s="1"/>
  <c r="AC3932" i="1"/>
  <c r="AD3932" i="1" s="1"/>
  <c r="AC3926" i="1"/>
  <c r="AD3926" i="1" s="1"/>
  <c r="AB3926" i="1" s="1"/>
  <c r="AC3930" i="1"/>
  <c r="AD3930" i="1" s="1"/>
  <c r="AB3930" i="1" s="1"/>
  <c r="AC3924" i="1"/>
  <c r="AD3924" i="1" s="1"/>
  <c r="AB3924" i="1" s="1"/>
  <c r="AC3928" i="1"/>
  <c r="AD3928" i="1" s="1"/>
  <c r="AB3928" i="1" s="1"/>
  <c r="AC3923" i="1"/>
  <c r="AD3923" i="1" s="1"/>
  <c r="AB3923" i="1" s="1"/>
  <c r="AC3925" i="1"/>
  <c r="AD3925" i="1" s="1"/>
  <c r="AB3925" i="1" s="1"/>
  <c r="AC3927" i="1"/>
  <c r="AD3927" i="1" s="1"/>
  <c r="AB3927" i="1" s="1"/>
  <c r="AC3922" i="1"/>
  <c r="AD3922" i="1" s="1"/>
  <c r="AC3929" i="1"/>
  <c r="AD3929" i="1" s="1"/>
  <c r="AB3929" i="1" s="1"/>
  <c r="AB3939" i="1"/>
  <c r="AD3938" i="1"/>
  <c r="AC3914" i="1"/>
  <c r="AD3914" i="1" s="1"/>
  <c r="AB3914" i="1" s="1"/>
  <c r="AC3916" i="1"/>
  <c r="AD3916" i="1" s="1"/>
  <c r="AB3916" i="1" s="1"/>
  <c r="AC3915" i="1"/>
  <c r="AD3915" i="1" s="1"/>
  <c r="AB3915" i="1" s="1"/>
  <c r="AC3912" i="1"/>
  <c r="AD3912" i="1" s="1"/>
  <c r="AC3917" i="1"/>
  <c r="AD3917" i="1" s="1"/>
  <c r="AB3917" i="1" s="1"/>
  <c r="AC3913" i="1"/>
  <c r="AD3913" i="1" s="1"/>
  <c r="AB3913" i="1" s="1"/>
  <c r="AB3919" i="1"/>
  <c r="AD3918" i="1"/>
  <c r="AC3909" i="1"/>
  <c r="AD3909" i="1" s="1"/>
  <c r="AB3909" i="1" s="1"/>
  <c r="AC3904" i="1"/>
  <c r="AD3904" i="1" s="1"/>
  <c r="AB3904" i="1" s="1"/>
  <c r="AC3905" i="1"/>
  <c r="AD3905" i="1" s="1"/>
  <c r="AB3905" i="1" s="1"/>
  <c r="AC3906" i="1"/>
  <c r="AD3906" i="1" s="1"/>
  <c r="AB3906" i="1" s="1"/>
  <c r="AC3910" i="1"/>
  <c r="AD3910" i="1" s="1"/>
  <c r="AB3910" i="1" s="1"/>
  <c r="AC3908" i="1"/>
  <c r="AD3908" i="1" s="1"/>
  <c r="AB3908" i="1" s="1"/>
  <c r="AC3903" i="1"/>
  <c r="AD3903" i="1" s="1"/>
  <c r="AC3907" i="1"/>
  <c r="AD3907" i="1" s="1"/>
  <c r="AB3907" i="1" s="1"/>
  <c r="AC3894" i="1"/>
  <c r="AD3894" i="1" s="1"/>
  <c r="AB3894" i="1" s="1"/>
  <c r="AC3895" i="1"/>
  <c r="AD3895" i="1" s="1"/>
  <c r="AB3895" i="1" s="1"/>
  <c r="AC3892" i="1"/>
  <c r="AD3892" i="1" s="1"/>
  <c r="AC3897" i="1"/>
  <c r="AD3897" i="1" s="1"/>
  <c r="AB3897" i="1" s="1"/>
  <c r="AC3896" i="1"/>
  <c r="AD3896" i="1" s="1"/>
  <c r="AB3896" i="1" s="1"/>
  <c r="AC3893" i="1"/>
  <c r="AD3893" i="1" s="1"/>
  <c r="AB3893" i="1" s="1"/>
  <c r="AC3885" i="1"/>
  <c r="AD3885" i="1" s="1"/>
  <c r="AB3885" i="1" s="1"/>
  <c r="AC3890" i="1"/>
  <c r="AD3890" i="1" s="1"/>
  <c r="AB3890" i="1" s="1"/>
  <c r="AC3889" i="1"/>
  <c r="AD3889" i="1" s="1"/>
  <c r="AB3889" i="1" s="1"/>
  <c r="AC3886" i="1"/>
  <c r="AD3886" i="1" s="1"/>
  <c r="AB3886" i="1" s="1"/>
  <c r="AC3888" i="1"/>
  <c r="AD3888" i="1" s="1"/>
  <c r="AB3888" i="1" s="1"/>
  <c r="AC3883" i="1"/>
  <c r="AD3883" i="1" s="1"/>
  <c r="AB3883" i="1" s="1"/>
  <c r="AC3884" i="1"/>
  <c r="AD3884" i="1" s="1"/>
  <c r="AB3884" i="1" s="1"/>
  <c r="AC3887" i="1"/>
  <c r="AD3887" i="1" s="1"/>
  <c r="AB3887" i="1" s="1"/>
  <c r="AC3882" i="1"/>
  <c r="AD3882" i="1" s="1"/>
  <c r="AB3899" i="1"/>
  <c r="AD3898" i="1"/>
  <c r="N3604" i="1"/>
  <c r="AC3756" i="1"/>
  <c r="AC3874" i="1"/>
  <c r="AD3874" i="1" s="1"/>
  <c r="AB3874" i="1" s="1"/>
  <c r="AC3873" i="1"/>
  <c r="AD3873" i="1" s="1"/>
  <c r="AB3873" i="1" s="1"/>
  <c r="AC3872" i="1"/>
  <c r="AD3872" i="1" s="1"/>
  <c r="AB3872" i="1" s="1"/>
  <c r="AC3870" i="1"/>
  <c r="AD3870" i="1" s="1"/>
  <c r="AC3875" i="1"/>
  <c r="AD3875" i="1" s="1"/>
  <c r="AB3875" i="1" s="1"/>
  <c r="AC3871" i="1"/>
  <c r="AD3871" i="1" s="1"/>
  <c r="AB3871" i="1" s="1"/>
  <c r="AC3863" i="1"/>
  <c r="AD3863" i="1" s="1"/>
  <c r="AB3863" i="1" s="1"/>
  <c r="AC3867" i="1"/>
  <c r="AD3867" i="1" s="1"/>
  <c r="AB3867" i="1" s="1"/>
  <c r="AC3862" i="1"/>
  <c r="AD3862" i="1" s="1"/>
  <c r="AB3862" i="1" s="1"/>
  <c r="AC3864" i="1"/>
  <c r="AD3864" i="1" s="1"/>
  <c r="AB3864" i="1" s="1"/>
  <c r="AC3866" i="1"/>
  <c r="AD3866" i="1" s="1"/>
  <c r="AB3866" i="1" s="1"/>
  <c r="AC3861" i="1"/>
  <c r="AD3861" i="1" s="1"/>
  <c r="AB3861" i="1" s="1"/>
  <c r="AC3868" i="1"/>
  <c r="AD3868" i="1" s="1"/>
  <c r="AB3868" i="1" s="1"/>
  <c r="AC3865" i="1"/>
  <c r="AD3865" i="1" s="1"/>
  <c r="AB3865" i="1" s="1"/>
  <c r="AC3860" i="1"/>
  <c r="AD3860" i="1" s="1"/>
  <c r="AB3877" i="1"/>
  <c r="AD3876" i="1"/>
  <c r="AC3845" i="1"/>
  <c r="AD3845" i="1" s="1"/>
  <c r="AB3845" i="1" s="1"/>
  <c r="AC3844" i="1"/>
  <c r="AD3844" i="1" s="1"/>
  <c r="AB3844" i="1" s="1"/>
  <c r="AC3848" i="1"/>
  <c r="AD3848" i="1" s="1"/>
  <c r="AB3848" i="1" s="1"/>
  <c r="AC3843" i="1"/>
  <c r="AD3843" i="1" s="1"/>
  <c r="AB3843" i="1" s="1"/>
  <c r="AC3840" i="1"/>
  <c r="AD3840" i="1" s="1"/>
  <c r="AC3846" i="1"/>
  <c r="AD3846" i="1" s="1"/>
  <c r="AB3846" i="1" s="1"/>
  <c r="AC3841" i="1"/>
  <c r="AD3841" i="1" s="1"/>
  <c r="AB3841" i="1" s="1"/>
  <c r="AC3847" i="1"/>
  <c r="AD3847" i="1" s="1"/>
  <c r="AB3847" i="1" s="1"/>
  <c r="AC3842" i="1"/>
  <c r="AD3842" i="1" s="1"/>
  <c r="AB3842" i="1" s="1"/>
  <c r="AC3852" i="1"/>
  <c r="AD3852" i="1" s="1"/>
  <c r="AB3852" i="1" s="1"/>
  <c r="AC3851" i="1"/>
  <c r="AD3851" i="1" s="1"/>
  <c r="AB3851" i="1" s="1"/>
  <c r="AC3853" i="1"/>
  <c r="AD3853" i="1" s="1"/>
  <c r="AB3853" i="1" s="1"/>
  <c r="AC3854" i="1"/>
  <c r="AD3854" i="1" s="1"/>
  <c r="AB3854" i="1" s="1"/>
  <c r="AC3850" i="1"/>
  <c r="AD3850" i="1" s="1"/>
  <c r="AC3855" i="1"/>
  <c r="AD3855" i="1" s="1"/>
  <c r="AB3855" i="1" s="1"/>
  <c r="AD3856" i="1"/>
  <c r="AB3857" i="1"/>
  <c r="N3838" i="1"/>
  <c r="AC3838" i="1"/>
  <c r="AC3834" i="1"/>
  <c r="AD3834" i="1" s="1"/>
  <c r="AB3834" i="1" s="1"/>
  <c r="AC3831" i="1"/>
  <c r="AD3831" i="1" s="1"/>
  <c r="AB3831" i="1" s="1"/>
  <c r="AC3833" i="1"/>
  <c r="AD3833" i="1" s="1"/>
  <c r="AB3833" i="1" s="1"/>
  <c r="AC3832" i="1"/>
  <c r="AD3832" i="1" s="1"/>
  <c r="AB3832" i="1" s="1"/>
  <c r="AC3830" i="1"/>
  <c r="AD3830" i="1" s="1"/>
  <c r="AC3835" i="1"/>
  <c r="AD3835" i="1" s="1"/>
  <c r="AB3835" i="1" s="1"/>
  <c r="AB3837" i="1"/>
  <c r="AD3836" i="1"/>
  <c r="AC3825" i="1"/>
  <c r="AD3825" i="1" s="1"/>
  <c r="AB3825" i="1" s="1"/>
  <c r="AC3826" i="1"/>
  <c r="AD3826" i="1" s="1"/>
  <c r="AB3826" i="1" s="1"/>
  <c r="AC3823" i="1"/>
  <c r="AD3823" i="1" s="1"/>
  <c r="AB3823" i="1" s="1"/>
  <c r="AC3820" i="1"/>
  <c r="AD3820" i="1" s="1"/>
  <c r="AC3827" i="1"/>
  <c r="AD3827" i="1" s="1"/>
  <c r="AB3827" i="1" s="1"/>
  <c r="AC3822" i="1"/>
  <c r="AD3822" i="1" s="1"/>
  <c r="AB3822" i="1" s="1"/>
  <c r="AC3824" i="1"/>
  <c r="AD3824" i="1" s="1"/>
  <c r="AB3824" i="1" s="1"/>
  <c r="AC3821" i="1"/>
  <c r="AD3821" i="1" s="1"/>
  <c r="AB3821" i="1" s="1"/>
  <c r="AC3828" i="1"/>
  <c r="AD3828" i="1" s="1"/>
  <c r="AB3828" i="1" s="1"/>
  <c r="AC3803" i="1"/>
  <c r="AD3803" i="1" s="1"/>
  <c r="AB3803" i="1" s="1"/>
  <c r="AC3806" i="1"/>
  <c r="AD3806" i="1" s="1"/>
  <c r="AB3806" i="1" s="1"/>
  <c r="AC3801" i="1"/>
  <c r="AD3801" i="1" s="1"/>
  <c r="AB3801" i="1" s="1"/>
  <c r="AC3804" i="1"/>
  <c r="AD3804" i="1" s="1"/>
  <c r="AB3804" i="1" s="1"/>
  <c r="AC3808" i="1"/>
  <c r="AD3808" i="1" s="1"/>
  <c r="AB3808" i="1" s="1"/>
  <c r="AC3807" i="1"/>
  <c r="AD3807" i="1" s="1"/>
  <c r="AB3807" i="1" s="1"/>
  <c r="AC3802" i="1"/>
  <c r="AD3802" i="1" s="1"/>
  <c r="AB3802" i="1" s="1"/>
  <c r="AC3805" i="1"/>
  <c r="AD3805" i="1" s="1"/>
  <c r="AB3805" i="1" s="1"/>
  <c r="AC3800" i="1"/>
  <c r="AD3800" i="1" s="1"/>
  <c r="N3778" i="1"/>
  <c r="AC3812" i="1"/>
  <c r="AD3812" i="1" s="1"/>
  <c r="AB3812" i="1" s="1"/>
  <c r="AC3815" i="1"/>
  <c r="AD3815" i="1" s="1"/>
  <c r="AB3815" i="1" s="1"/>
  <c r="AC3811" i="1"/>
  <c r="AD3811" i="1" s="1"/>
  <c r="AB3811" i="1" s="1"/>
  <c r="AC3813" i="1"/>
  <c r="AD3813" i="1" s="1"/>
  <c r="AB3813" i="1" s="1"/>
  <c r="AC3810" i="1"/>
  <c r="AD3810" i="1" s="1"/>
  <c r="AC3814" i="1"/>
  <c r="AD3814" i="1" s="1"/>
  <c r="AB3814" i="1" s="1"/>
  <c r="AB3817" i="1"/>
  <c r="AD3816" i="1"/>
  <c r="AC3798" i="1"/>
  <c r="N3798" i="1"/>
  <c r="AC3783" i="1"/>
  <c r="AD3783" i="1" s="1"/>
  <c r="AB3783" i="1" s="1"/>
  <c r="AC3784" i="1"/>
  <c r="AD3784" i="1" s="1"/>
  <c r="AB3784" i="1" s="1"/>
  <c r="AC3786" i="1"/>
  <c r="AD3786" i="1" s="1"/>
  <c r="AB3786" i="1" s="1"/>
  <c r="AC3781" i="1"/>
  <c r="AD3781" i="1" s="1"/>
  <c r="AB3781" i="1" s="1"/>
  <c r="AC3788" i="1"/>
  <c r="AD3788" i="1" s="1"/>
  <c r="AB3788" i="1" s="1"/>
  <c r="AC3787" i="1"/>
  <c r="AD3787" i="1" s="1"/>
  <c r="AB3787" i="1" s="1"/>
  <c r="AC3785" i="1"/>
  <c r="AD3785" i="1" s="1"/>
  <c r="AB3785" i="1" s="1"/>
  <c r="AC3780" i="1"/>
  <c r="AD3780" i="1" s="1"/>
  <c r="AC3782" i="1"/>
  <c r="AD3782" i="1" s="1"/>
  <c r="AB3782" i="1" s="1"/>
  <c r="AC3792" i="1"/>
  <c r="AD3792" i="1" s="1"/>
  <c r="AB3792" i="1" s="1"/>
  <c r="AC3793" i="1"/>
  <c r="AD3793" i="1" s="1"/>
  <c r="AB3793" i="1" s="1"/>
  <c r="AC3795" i="1"/>
  <c r="AD3795" i="1" s="1"/>
  <c r="AB3795" i="1" s="1"/>
  <c r="AC3790" i="1"/>
  <c r="AD3790" i="1" s="1"/>
  <c r="AC3791" i="1"/>
  <c r="AD3791" i="1" s="1"/>
  <c r="AB3791" i="1" s="1"/>
  <c r="AC3794" i="1"/>
  <c r="AD3794" i="1" s="1"/>
  <c r="AB3794" i="1" s="1"/>
  <c r="AB3797" i="1"/>
  <c r="AD3796" i="1"/>
  <c r="AC3668" i="1"/>
  <c r="AC3502" i="1"/>
  <c r="AC3763" i="1"/>
  <c r="AD3763" i="1" s="1"/>
  <c r="AB3763" i="1" s="1"/>
  <c r="AC3758" i="1"/>
  <c r="AD3758" i="1" s="1"/>
  <c r="AC3766" i="1"/>
  <c r="AD3766" i="1" s="1"/>
  <c r="AB3766" i="1" s="1"/>
  <c r="AC3762" i="1"/>
  <c r="AD3762" i="1" s="1"/>
  <c r="AB3762" i="1" s="1"/>
  <c r="AC3764" i="1"/>
  <c r="AD3764" i="1" s="1"/>
  <c r="AB3764" i="1" s="1"/>
  <c r="AC3761" i="1"/>
  <c r="AD3761" i="1" s="1"/>
  <c r="AB3761" i="1" s="1"/>
  <c r="AC3759" i="1"/>
  <c r="AD3759" i="1" s="1"/>
  <c r="AB3759" i="1" s="1"/>
  <c r="AC3765" i="1"/>
  <c r="AD3765" i="1" s="1"/>
  <c r="AB3765" i="1" s="1"/>
  <c r="AC3760" i="1"/>
  <c r="AD3760" i="1" s="1"/>
  <c r="AB3760" i="1" s="1"/>
  <c r="AC3772" i="1"/>
  <c r="AD3772" i="1" s="1"/>
  <c r="AB3772" i="1" s="1"/>
  <c r="AC3770" i="1"/>
  <c r="AD3770" i="1" s="1"/>
  <c r="AB3770" i="1" s="1"/>
  <c r="AC3771" i="1"/>
  <c r="AD3771" i="1" s="1"/>
  <c r="AB3771" i="1" s="1"/>
  <c r="AC3768" i="1"/>
  <c r="AD3768" i="1" s="1"/>
  <c r="AC3773" i="1"/>
  <c r="AD3773" i="1" s="1"/>
  <c r="AB3773" i="1" s="1"/>
  <c r="AC3769" i="1"/>
  <c r="AD3769" i="1" s="1"/>
  <c r="AB3769" i="1" s="1"/>
  <c r="AB3775" i="1"/>
  <c r="AD3774" i="1"/>
  <c r="AC3745" i="1"/>
  <c r="AD3745" i="1" s="1"/>
  <c r="AB3745" i="1" s="1"/>
  <c r="AC3740" i="1"/>
  <c r="AD3740" i="1" s="1"/>
  <c r="AB3740" i="1" s="1"/>
  <c r="AC3742" i="1"/>
  <c r="AD3742" i="1" s="1"/>
  <c r="AB3742" i="1" s="1"/>
  <c r="AC3744" i="1"/>
  <c r="AD3744" i="1" s="1"/>
  <c r="AB3744" i="1" s="1"/>
  <c r="AC3739" i="1"/>
  <c r="AD3739" i="1" s="1"/>
  <c r="AC3746" i="1"/>
  <c r="AD3746" i="1" s="1"/>
  <c r="AB3746" i="1" s="1"/>
  <c r="AC3741" i="1"/>
  <c r="AD3741" i="1" s="1"/>
  <c r="AB3741" i="1" s="1"/>
  <c r="AC3743" i="1"/>
  <c r="AD3743" i="1" s="1"/>
  <c r="AB3743" i="1" s="1"/>
  <c r="AC3751" i="1"/>
  <c r="AD3751" i="1" s="1"/>
  <c r="AB3751" i="1" s="1"/>
  <c r="AC3748" i="1"/>
  <c r="AD3748" i="1" s="1"/>
  <c r="AC3753" i="1"/>
  <c r="AD3753" i="1" s="1"/>
  <c r="AB3753" i="1" s="1"/>
  <c r="AC3750" i="1"/>
  <c r="AD3750" i="1" s="1"/>
  <c r="AB3750" i="1" s="1"/>
  <c r="AC3752" i="1"/>
  <c r="AD3752" i="1" s="1"/>
  <c r="AB3752" i="1" s="1"/>
  <c r="AC3749" i="1"/>
  <c r="AD3749" i="1" s="1"/>
  <c r="AB3749" i="1" s="1"/>
  <c r="AB3755" i="1"/>
  <c r="AD3754" i="1"/>
  <c r="AC3722" i="1"/>
  <c r="AD3722" i="1" s="1"/>
  <c r="AB3722" i="1" s="1"/>
  <c r="AC3716" i="1"/>
  <c r="AD3716" i="1" s="1"/>
  <c r="AB3716" i="1" s="1"/>
  <c r="AC3715" i="1"/>
  <c r="AD3715" i="1" s="1"/>
  <c r="AB3715" i="1" s="1"/>
  <c r="AC3721" i="1"/>
  <c r="AD3721" i="1" s="1"/>
  <c r="AB3721" i="1" s="1"/>
  <c r="AC3718" i="1"/>
  <c r="AD3718" i="1" s="1"/>
  <c r="AB3718" i="1" s="1"/>
  <c r="AC3720" i="1"/>
  <c r="AD3720" i="1" s="1"/>
  <c r="AB3720" i="1" s="1"/>
  <c r="AC3717" i="1"/>
  <c r="AD3717" i="1" s="1"/>
  <c r="AB3717" i="1" s="1"/>
  <c r="AC3719" i="1"/>
  <c r="AD3719" i="1" s="1"/>
  <c r="AB3719" i="1" s="1"/>
  <c r="AC3714" i="1"/>
  <c r="AD3714" i="1" s="1"/>
  <c r="AB3731" i="1"/>
  <c r="AD3730" i="1"/>
  <c r="AC3726" i="1"/>
  <c r="AD3726" i="1" s="1"/>
  <c r="AB3726" i="1" s="1"/>
  <c r="AC3727" i="1"/>
  <c r="AD3727" i="1" s="1"/>
  <c r="AB3727" i="1" s="1"/>
  <c r="AC3724" i="1"/>
  <c r="AD3724" i="1" s="1"/>
  <c r="AC3729" i="1"/>
  <c r="AD3729" i="1" s="1"/>
  <c r="AB3729" i="1" s="1"/>
  <c r="AC3728" i="1"/>
  <c r="AD3728" i="1" s="1"/>
  <c r="AB3728" i="1" s="1"/>
  <c r="AC3725" i="1"/>
  <c r="AD3725" i="1" s="1"/>
  <c r="AB3725" i="1" s="1"/>
  <c r="AC3696" i="1"/>
  <c r="AD3696" i="1" s="1"/>
  <c r="AB3696" i="1" s="1"/>
  <c r="AC3697" i="1"/>
  <c r="AD3697" i="1" s="1"/>
  <c r="AB3697" i="1" s="1"/>
  <c r="AC3698" i="1"/>
  <c r="AD3698" i="1" s="1"/>
  <c r="AB3698" i="1" s="1"/>
  <c r="AC3702" i="1"/>
  <c r="AD3702" i="1" s="1"/>
  <c r="AB3702" i="1" s="1"/>
  <c r="AC3700" i="1"/>
  <c r="AD3700" i="1" s="1"/>
  <c r="AB3700" i="1" s="1"/>
  <c r="AC3695" i="1"/>
  <c r="AD3695" i="1" s="1"/>
  <c r="AB3695" i="1" s="1"/>
  <c r="AC3701" i="1"/>
  <c r="AD3701" i="1" s="1"/>
  <c r="AB3701" i="1" s="1"/>
  <c r="AC3699" i="1"/>
  <c r="AD3699" i="1" s="1"/>
  <c r="AB3699" i="1" s="1"/>
  <c r="AC3694" i="1"/>
  <c r="AD3694" i="1" s="1"/>
  <c r="AC3705" i="1"/>
  <c r="AD3705" i="1" s="1"/>
  <c r="AB3705" i="1" s="1"/>
  <c r="AC3707" i="1"/>
  <c r="AD3707" i="1" s="1"/>
  <c r="AB3707" i="1" s="1"/>
  <c r="AC3704" i="1"/>
  <c r="AD3704" i="1" s="1"/>
  <c r="AC3709" i="1"/>
  <c r="AD3709" i="1" s="1"/>
  <c r="AB3709" i="1" s="1"/>
  <c r="AC3706" i="1"/>
  <c r="AD3706" i="1" s="1"/>
  <c r="AB3706" i="1" s="1"/>
  <c r="AC3708" i="1"/>
  <c r="AD3708" i="1" s="1"/>
  <c r="AB3708" i="1" s="1"/>
  <c r="AB3711" i="1"/>
  <c r="AD3710" i="1"/>
  <c r="N3333" i="1"/>
  <c r="AC3676" i="1"/>
  <c r="AD3676" i="1" s="1"/>
  <c r="AB3676" i="1" s="1"/>
  <c r="AC3671" i="1"/>
  <c r="AD3671" i="1" s="1"/>
  <c r="AB3671" i="1" s="1"/>
  <c r="AC3675" i="1"/>
  <c r="AD3675" i="1" s="1"/>
  <c r="AB3675" i="1" s="1"/>
  <c r="AC3670" i="1"/>
  <c r="AD3670" i="1" s="1"/>
  <c r="AC3673" i="1"/>
  <c r="AD3673" i="1" s="1"/>
  <c r="AB3673" i="1" s="1"/>
  <c r="AC3677" i="1"/>
  <c r="AD3677" i="1" s="1"/>
  <c r="AB3677" i="1" s="1"/>
  <c r="AC3672" i="1"/>
  <c r="AD3672" i="1" s="1"/>
  <c r="AB3672" i="1" s="1"/>
  <c r="AC3674" i="1"/>
  <c r="AD3674" i="1" s="1"/>
  <c r="AB3674" i="1" s="1"/>
  <c r="AC3544" i="1"/>
  <c r="AC3684" i="1"/>
  <c r="AD3684" i="1" s="1"/>
  <c r="AB3684" i="1" s="1"/>
  <c r="AC3682" i="1"/>
  <c r="AD3682" i="1" s="1"/>
  <c r="AB3682" i="1" s="1"/>
  <c r="AC3679" i="1"/>
  <c r="AD3679" i="1" s="1"/>
  <c r="AC3681" i="1"/>
  <c r="AD3681" i="1" s="1"/>
  <c r="AB3681" i="1" s="1"/>
  <c r="AC3680" i="1"/>
  <c r="AD3680" i="1" s="1"/>
  <c r="AB3680" i="1" s="1"/>
  <c r="AC3683" i="1"/>
  <c r="AD3683" i="1" s="1"/>
  <c r="AB3683" i="1" s="1"/>
  <c r="AB3686" i="1"/>
  <c r="AD3685" i="1"/>
  <c r="AB3665" i="1"/>
  <c r="AD3664" i="1"/>
  <c r="AC3659" i="1"/>
  <c r="AD3659" i="1" s="1"/>
  <c r="AB3659" i="1" s="1"/>
  <c r="AC3658" i="1"/>
  <c r="AD3658" i="1" s="1"/>
  <c r="AC3663" i="1"/>
  <c r="AD3663" i="1" s="1"/>
  <c r="AB3663" i="1" s="1"/>
  <c r="AC3661" i="1"/>
  <c r="AD3661" i="1" s="1"/>
  <c r="AB3661" i="1" s="1"/>
  <c r="AC3660" i="1"/>
  <c r="AD3660" i="1" s="1"/>
  <c r="AB3660" i="1" s="1"/>
  <c r="AC3662" i="1"/>
  <c r="AD3662" i="1" s="1"/>
  <c r="AB3662" i="1" s="1"/>
  <c r="AC3651" i="1"/>
  <c r="AD3651" i="1" s="1"/>
  <c r="AB3651" i="1" s="1"/>
  <c r="AC3655" i="1"/>
  <c r="AD3655" i="1" s="1"/>
  <c r="AB3655" i="1" s="1"/>
  <c r="AC3650" i="1"/>
  <c r="AD3650" i="1" s="1"/>
  <c r="AB3650" i="1" s="1"/>
  <c r="AC3654" i="1"/>
  <c r="AD3654" i="1" s="1"/>
  <c r="AB3654" i="1" s="1"/>
  <c r="AC3649" i="1"/>
  <c r="AD3649" i="1" s="1"/>
  <c r="AB3649" i="1" s="1"/>
  <c r="AC3652" i="1"/>
  <c r="AD3652" i="1" s="1"/>
  <c r="AB3652" i="1" s="1"/>
  <c r="AC3656" i="1"/>
  <c r="AD3656" i="1" s="1"/>
  <c r="AB3656" i="1" s="1"/>
  <c r="AC3653" i="1"/>
  <c r="AD3653" i="1" s="1"/>
  <c r="AB3653" i="1" s="1"/>
  <c r="AC3648" i="1"/>
  <c r="AD3648" i="1" s="1"/>
  <c r="N3646" i="1"/>
  <c r="AC3646" i="1"/>
  <c r="AC3628" i="1"/>
  <c r="AD3628" i="1" s="1"/>
  <c r="AB3628" i="1" s="1"/>
  <c r="AC3630" i="1"/>
  <c r="AD3630" i="1" s="1"/>
  <c r="AB3630" i="1" s="1"/>
  <c r="AC3634" i="1"/>
  <c r="AD3634" i="1" s="1"/>
  <c r="AB3634" i="1" s="1"/>
  <c r="AC3632" i="1"/>
  <c r="AD3632" i="1" s="1"/>
  <c r="AB3632" i="1" s="1"/>
  <c r="AC3627" i="1"/>
  <c r="AD3627" i="1" s="1"/>
  <c r="AB3627" i="1" s="1"/>
  <c r="AC3629" i="1"/>
  <c r="AD3629" i="1" s="1"/>
  <c r="AB3629" i="1" s="1"/>
  <c r="AC3631" i="1"/>
  <c r="AD3631" i="1" s="1"/>
  <c r="AB3631" i="1" s="1"/>
  <c r="AC3626" i="1"/>
  <c r="AD3626" i="1" s="1"/>
  <c r="AC3633" i="1"/>
  <c r="AD3633" i="1" s="1"/>
  <c r="AB3633" i="1" s="1"/>
  <c r="AC3636" i="1"/>
  <c r="AD3636" i="1" s="1"/>
  <c r="AC3639" i="1"/>
  <c r="AD3639" i="1" s="1"/>
  <c r="AB3639" i="1" s="1"/>
  <c r="AC3638" i="1"/>
  <c r="AD3638" i="1" s="1"/>
  <c r="AB3638" i="1" s="1"/>
  <c r="AC3641" i="1"/>
  <c r="AD3641" i="1" s="1"/>
  <c r="AB3641" i="1" s="1"/>
  <c r="AC3640" i="1"/>
  <c r="AD3640" i="1" s="1"/>
  <c r="AB3640" i="1" s="1"/>
  <c r="AC3637" i="1"/>
  <c r="AD3637" i="1" s="1"/>
  <c r="AB3637" i="1" s="1"/>
  <c r="AB3643" i="1"/>
  <c r="AD3642" i="1"/>
  <c r="AC3612" i="1"/>
  <c r="AD3612" i="1" s="1"/>
  <c r="AB3612" i="1" s="1"/>
  <c r="AC3607" i="1"/>
  <c r="AD3607" i="1" s="1"/>
  <c r="AB3607" i="1" s="1"/>
  <c r="AC3610" i="1"/>
  <c r="AD3610" i="1" s="1"/>
  <c r="AB3610" i="1" s="1"/>
  <c r="AC3609" i="1"/>
  <c r="AD3609" i="1" s="1"/>
  <c r="AB3609" i="1" s="1"/>
  <c r="AC3614" i="1"/>
  <c r="AD3614" i="1" s="1"/>
  <c r="AB3614" i="1" s="1"/>
  <c r="AC3611" i="1"/>
  <c r="AD3611" i="1" s="1"/>
  <c r="AB3611" i="1" s="1"/>
  <c r="AC3606" i="1"/>
  <c r="AD3606" i="1" s="1"/>
  <c r="AC3613" i="1"/>
  <c r="AD3613" i="1" s="1"/>
  <c r="AB3613" i="1" s="1"/>
  <c r="AC3608" i="1"/>
  <c r="AD3608" i="1" s="1"/>
  <c r="AB3608" i="1" s="1"/>
  <c r="AB3623" i="1"/>
  <c r="AD3622" i="1"/>
  <c r="AC3616" i="1"/>
  <c r="AD3616" i="1" s="1"/>
  <c r="AC3621" i="1"/>
  <c r="AD3621" i="1" s="1"/>
  <c r="AB3621" i="1" s="1"/>
  <c r="AC3619" i="1"/>
  <c r="AD3619" i="1" s="1"/>
  <c r="AB3619" i="1" s="1"/>
  <c r="AC3620" i="1"/>
  <c r="AD3620" i="1" s="1"/>
  <c r="AB3620" i="1" s="1"/>
  <c r="AC3617" i="1"/>
  <c r="AD3617" i="1" s="1"/>
  <c r="AB3617" i="1" s="1"/>
  <c r="AC3618" i="1"/>
  <c r="AD3618" i="1" s="1"/>
  <c r="AB3618" i="1" s="1"/>
  <c r="N3228" i="1"/>
  <c r="AC3598" i="1"/>
  <c r="AD3598" i="1" s="1"/>
  <c r="AB3598" i="1" s="1"/>
  <c r="AC3599" i="1"/>
  <c r="AD3599" i="1" s="1"/>
  <c r="AB3599" i="1" s="1"/>
  <c r="AC3596" i="1"/>
  <c r="AD3596" i="1" s="1"/>
  <c r="AC3597" i="1"/>
  <c r="AD3597" i="1" s="1"/>
  <c r="AB3597" i="1" s="1"/>
  <c r="AC3601" i="1"/>
  <c r="AD3601" i="1" s="1"/>
  <c r="AB3601" i="1" s="1"/>
  <c r="AC3600" i="1"/>
  <c r="AD3600" i="1" s="1"/>
  <c r="AB3600" i="1" s="1"/>
  <c r="AB3603" i="1"/>
  <c r="AD3602" i="1"/>
  <c r="AC3593" i="1"/>
  <c r="AD3593" i="1" s="1"/>
  <c r="AB3593" i="1" s="1"/>
  <c r="AC3588" i="1"/>
  <c r="AD3588" i="1" s="1"/>
  <c r="AB3588" i="1" s="1"/>
  <c r="AC3590" i="1"/>
  <c r="AD3590" i="1" s="1"/>
  <c r="AB3590" i="1" s="1"/>
  <c r="AC3594" i="1"/>
  <c r="AD3594" i="1" s="1"/>
  <c r="AB3594" i="1" s="1"/>
  <c r="AC3592" i="1"/>
  <c r="AD3592" i="1" s="1"/>
  <c r="AB3592" i="1" s="1"/>
  <c r="AC3587" i="1"/>
  <c r="AD3587" i="1" s="1"/>
  <c r="AB3587" i="1" s="1"/>
  <c r="AC3589" i="1"/>
  <c r="AD3589" i="1" s="1"/>
  <c r="AB3589" i="1" s="1"/>
  <c r="AC3591" i="1"/>
  <c r="AD3591" i="1" s="1"/>
  <c r="AB3591" i="1" s="1"/>
  <c r="AC3586" i="1"/>
  <c r="AD3586" i="1" s="1"/>
  <c r="AC3584" i="1"/>
  <c r="N3584" i="1"/>
  <c r="AC3569" i="1"/>
  <c r="AD3569" i="1" s="1"/>
  <c r="AB3569" i="1" s="1"/>
  <c r="AC3574" i="1"/>
  <c r="AD3574" i="1" s="1"/>
  <c r="AB3574" i="1" s="1"/>
  <c r="AC3572" i="1"/>
  <c r="AD3572" i="1" s="1"/>
  <c r="AB3572" i="1" s="1"/>
  <c r="AC3567" i="1"/>
  <c r="AD3567" i="1" s="1"/>
  <c r="AB3567" i="1" s="1"/>
  <c r="AC3570" i="1"/>
  <c r="AD3570" i="1" s="1"/>
  <c r="AB3570" i="1" s="1"/>
  <c r="AC3573" i="1"/>
  <c r="AD3573" i="1" s="1"/>
  <c r="AB3573" i="1" s="1"/>
  <c r="AC3571" i="1"/>
  <c r="AD3571" i="1" s="1"/>
  <c r="AB3571" i="1" s="1"/>
  <c r="AC3566" i="1"/>
  <c r="AD3566" i="1" s="1"/>
  <c r="AC3568" i="1"/>
  <c r="AD3568" i="1" s="1"/>
  <c r="AB3568" i="1" s="1"/>
  <c r="AC3578" i="1"/>
  <c r="AD3578" i="1" s="1"/>
  <c r="AB3578" i="1" s="1"/>
  <c r="AC3579" i="1"/>
  <c r="AD3579" i="1" s="1"/>
  <c r="AB3579" i="1" s="1"/>
  <c r="AC3576" i="1"/>
  <c r="AD3576" i="1" s="1"/>
  <c r="AC3581" i="1"/>
  <c r="AD3581" i="1" s="1"/>
  <c r="AB3581" i="1" s="1"/>
  <c r="AC3577" i="1"/>
  <c r="AD3577" i="1" s="1"/>
  <c r="AB3577" i="1" s="1"/>
  <c r="AC3580" i="1"/>
  <c r="AD3580" i="1" s="1"/>
  <c r="AB3580" i="1" s="1"/>
  <c r="AB3583" i="1"/>
  <c r="AD3582" i="1"/>
  <c r="AC3547" i="1"/>
  <c r="AD3547" i="1" s="1"/>
  <c r="AB3547" i="1" s="1"/>
  <c r="AC3549" i="1"/>
  <c r="AD3549" i="1" s="1"/>
  <c r="AB3549" i="1" s="1"/>
  <c r="AC3552" i="1"/>
  <c r="AD3552" i="1" s="1"/>
  <c r="AB3552" i="1" s="1"/>
  <c r="AC3554" i="1"/>
  <c r="AD3554" i="1" s="1"/>
  <c r="AB3554" i="1" s="1"/>
  <c r="AC3550" i="1"/>
  <c r="AD3550" i="1" s="1"/>
  <c r="AB3550" i="1" s="1"/>
  <c r="AC3553" i="1"/>
  <c r="AD3553" i="1" s="1"/>
  <c r="AB3553" i="1" s="1"/>
  <c r="AC3548" i="1"/>
  <c r="AD3548" i="1" s="1"/>
  <c r="AB3548" i="1" s="1"/>
  <c r="AC3551" i="1"/>
  <c r="AD3551" i="1" s="1"/>
  <c r="AB3551" i="1" s="1"/>
  <c r="AC3546" i="1"/>
  <c r="AD3546" i="1" s="1"/>
  <c r="AB3563" i="1"/>
  <c r="AD3562" i="1"/>
  <c r="AC3556" i="1"/>
  <c r="AD3556" i="1" s="1"/>
  <c r="AC3561" i="1"/>
  <c r="AD3561" i="1" s="1"/>
  <c r="AB3561" i="1" s="1"/>
  <c r="AC3559" i="1"/>
  <c r="AD3559" i="1" s="1"/>
  <c r="AB3559" i="1" s="1"/>
  <c r="AC3557" i="1"/>
  <c r="AD3557" i="1" s="1"/>
  <c r="AB3557" i="1" s="1"/>
  <c r="AC3558" i="1"/>
  <c r="AD3558" i="1" s="1"/>
  <c r="AB3558" i="1" s="1"/>
  <c r="AC3560" i="1"/>
  <c r="AD3560" i="1" s="1"/>
  <c r="AB3560" i="1" s="1"/>
  <c r="AC3531" i="1"/>
  <c r="AD3531" i="1" s="1"/>
  <c r="AB3531" i="1" s="1"/>
  <c r="AC3530" i="1"/>
  <c r="AD3530" i="1" s="1"/>
  <c r="AB3530" i="1" s="1"/>
  <c r="AC3532" i="1"/>
  <c r="AD3532" i="1" s="1"/>
  <c r="AB3532" i="1" s="1"/>
  <c r="AC3527" i="1"/>
  <c r="AD3527" i="1" s="1"/>
  <c r="AC3529" i="1"/>
  <c r="AD3529" i="1" s="1"/>
  <c r="AB3529" i="1" s="1"/>
  <c r="AC3533" i="1"/>
  <c r="AD3533" i="1" s="1"/>
  <c r="AB3533" i="1" s="1"/>
  <c r="AC3528" i="1"/>
  <c r="AD3528" i="1" s="1"/>
  <c r="AB3528" i="1" s="1"/>
  <c r="AC3534" i="1"/>
  <c r="AD3534" i="1" s="1"/>
  <c r="AB3534" i="1" s="1"/>
  <c r="AC3539" i="1"/>
  <c r="AD3539" i="1" s="1"/>
  <c r="AB3539" i="1" s="1"/>
  <c r="AC3538" i="1"/>
  <c r="AD3538" i="1" s="1"/>
  <c r="AB3538" i="1" s="1"/>
  <c r="AC3540" i="1"/>
  <c r="AD3540" i="1" s="1"/>
  <c r="AB3540" i="1" s="1"/>
  <c r="AC3541" i="1"/>
  <c r="AD3541" i="1" s="1"/>
  <c r="AB3541" i="1" s="1"/>
  <c r="AC3537" i="1"/>
  <c r="AD3537" i="1" s="1"/>
  <c r="AB3537" i="1" s="1"/>
  <c r="AC3536" i="1"/>
  <c r="AD3536" i="1" s="1"/>
  <c r="AD3542" i="1"/>
  <c r="AB3543" i="1"/>
  <c r="AC3525" i="1"/>
  <c r="N3525" i="1"/>
  <c r="AC3515" i="1"/>
  <c r="AD3515" i="1" s="1"/>
  <c r="AB3515" i="1" s="1"/>
  <c r="AC3514" i="1"/>
  <c r="AD3514" i="1" s="1"/>
  <c r="AC3520" i="1"/>
  <c r="AD3520" i="1" s="1"/>
  <c r="AB3520" i="1" s="1"/>
  <c r="AC3517" i="1"/>
  <c r="AD3517" i="1" s="1"/>
  <c r="AB3517" i="1" s="1"/>
  <c r="AC3519" i="1"/>
  <c r="AD3519" i="1" s="1"/>
  <c r="AB3519" i="1" s="1"/>
  <c r="AC3516" i="1"/>
  <c r="AD3516" i="1" s="1"/>
  <c r="AB3516" i="1" s="1"/>
  <c r="AC3518" i="1"/>
  <c r="AD3518" i="1" s="1"/>
  <c r="AB3518" i="1" s="1"/>
  <c r="AC3506" i="1"/>
  <c r="AD3506" i="1" s="1"/>
  <c r="AB3506" i="1" s="1"/>
  <c r="AC3508" i="1"/>
  <c r="AD3508" i="1" s="1"/>
  <c r="AB3508" i="1" s="1"/>
  <c r="AC3509" i="1"/>
  <c r="AD3509" i="1" s="1"/>
  <c r="AB3509" i="1" s="1"/>
  <c r="AC3504" i="1"/>
  <c r="AD3504" i="1" s="1"/>
  <c r="AC3510" i="1"/>
  <c r="AD3510" i="1" s="1"/>
  <c r="AB3510" i="1" s="1"/>
  <c r="AC3505" i="1"/>
  <c r="AD3505" i="1" s="1"/>
  <c r="AB3505" i="1" s="1"/>
  <c r="AC3511" i="1"/>
  <c r="AD3511" i="1" s="1"/>
  <c r="AB3511" i="1" s="1"/>
  <c r="AC3512" i="1"/>
  <c r="AD3512" i="1" s="1"/>
  <c r="AB3512" i="1" s="1"/>
  <c r="AC3507" i="1"/>
  <c r="AD3507" i="1" s="1"/>
  <c r="AB3507" i="1" s="1"/>
  <c r="AD3521" i="1"/>
  <c r="AB3522" i="1"/>
  <c r="AC3491" i="1"/>
  <c r="AD3491" i="1" s="1"/>
  <c r="AB3491" i="1" s="1"/>
  <c r="AC3488" i="1"/>
  <c r="AD3488" i="1" s="1"/>
  <c r="AB3488" i="1" s="1"/>
  <c r="AC3483" i="1"/>
  <c r="AD3483" i="1" s="1"/>
  <c r="AC3486" i="1"/>
  <c r="AD3486" i="1" s="1"/>
  <c r="AB3486" i="1" s="1"/>
  <c r="AC3490" i="1"/>
  <c r="AD3490" i="1" s="1"/>
  <c r="AB3490" i="1" s="1"/>
  <c r="AC3485" i="1"/>
  <c r="AD3485" i="1" s="1"/>
  <c r="AB3485" i="1" s="1"/>
  <c r="AC3487" i="1"/>
  <c r="AD3487" i="1" s="1"/>
  <c r="AB3487" i="1" s="1"/>
  <c r="AC3489" i="1"/>
  <c r="AD3489" i="1" s="1"/>
  <c r="AB3489" i="1" s="1"/>
  <c r="AC3484" i="1"/>
  <c r="AD3484" i="1" s="1"/>
  <c r="AB3484" i="1" s="1"/>
  <c r="AD3500" i="1"/>
  <c r="AB3501" i="1"/>
  <c r="AC3496" i="1"/>
  <c r="AD3496" i="1" s="1"/>
  <c r="AB3496" i="1" s="1"/>
  <c r="AC3493" i="1"/>
  <c r="AD3493" i="1" s="1"/>
  <c r="AC3497" i="1"/>
  <c r="AD3497" i="1" s="1"/>
  <c r="AB3497" i="1" s="1"/>
  <c r="AC3495" i="1"/>
  <c r="AD3495" i="1" s="1"/>
  <c r="AB3495" i="1" s="1"/>
  <c r="AC3494" i="1"/>
  <c r="AD3494" i="1" s="1"/>
  <c r="AB3494" i="1" s="1"/>
  <c r="AC3498" i="1"/>
  <c r="AD3498" i="1" s="1"/>
  <c r="AB3498" i="1" s="1"/>
  <c r="AC3499" i="1"/>
  <c r="AD3499" i="1" s="1"/>
  <c r="AB3499" i="1" s="1"/>
  <c r="AC3474" i="1"/>
  <c r="AD3474" i="1" s="1"/>
  <c r="AB3474" i="1" s="1"/>
  <c r="AC3472" i="1"/>
  <c r="AD3472" i="1" s="1"/>
  <c r="AC3476" i="1"/>
  <c r="AD3476" i="1" s="1"/>
  <c r="AB3476" i="1" s="1"/>
  <c r="AC3478" i="1"/>
  <c r="AD3478" i="1" s="1"/>
  <c r="AB3478" i="1" s="1"/>
  <c r="AC3475" i="1"/>
  <c r="AD3475" i="1" s="1"/>
  <c r="AB3475" i="1" s="1"/>
  <c r="AC3473" i="1"/>
  <c r="AD3473" i="1" s="1"/>
  <c r="AB3473" i="1" s="1"/>
  <c r="AC3477" i="1"/>
  <c r="AD3477" i="1" s="1"/>
  <c r="AB3477" i="1" s="1"/>
  <c r="AC3467" i="1"/>
  <c r="AD3467" i="1" s="1"/>
  <c r="AB3467" i="1" s="1"/>
  <c r="AC3462" i="1"/>
  <c r="AD3462" i="1" s="1"/>
  <c r="AC3466" i="1"/>
  <c r="AD3466" i="1" s="1"/>
  <c r="AB3466" i="1" s="1"/>
  <c r="AC3469" i="1"/>
  <c r="AD3469" i="1" s="1"/>
  <c r="AB3469" i="1" s="1"/>
  <c r="AC3464" i="1"/>
  <c r="AD3464" i="1" s="1"/>
  <c r="AB3464" i="1" s="1"/>
  <c r="AC3465" i="1"/>
  <c r="AD3465" i="1" s="1"/>
  <c r="AB3465" i="1" s="1"/>
  <c r="AC3468" i="1"/>
  <c r="AD3468" i="1" s="1"/>
  <c r="AB3468" i="1" s="1"/>
  <c r="AC3463" i="1"/>
  <c r="AD3463" i="1" s="1"/>
  <c r="AB3463" i="1" s="1"/>
  <c r="AC3470" i="1"/>
  <c r="AD3470" i="1" s="1"/>
  <c r="AB3470" i="1" s="1"/>
  <c r="AB3480" i="1"/>
  <c r="AD3479" i="1"/>
  <c r="AC3460" i="1"/>
  <c r="N3460" i="1"/>
  <c r="AC3453" i="1"/>
  <c r="AD3453" i="1" s="1"/>
  <c r="AB3453" i="1" s="1"/>
  <c r="AC3454" i="1"/>
  <c r="AD3454" i="1" s="1"/>
  <c r="AB3454" i="1" s="1"/>
  <c r="AC3450" i="1"/>
  <c r="AD3450" i="1" s="1"/>
  <c r="AC3451" i="1"/>
  <c r="AD3451" i="1" s="1"/>
  <c r="AB3451" i="1" s="1"/>
  <c r="AC3456" i="1"/>
  <c r="AD3456" i="1" s="1"/>
  <c r="AB3456" i="1" s="1"/>
  <c r="AC3452" i="1"/>
  <c r="AD3452" i="1" s="1"/>
  <c r="AB3452" i="1" s="1"/>
  <c r="AC3455" i="1"/>
  <c r="AD3455" i="1" s="1"/>
  <c r="AB3455" i="1" s="1"/>
  <c r="AC3445" i="1"/>
  <c r="AD3445" i="1" s="1"/>
  <c r="AB3445" i="1" s="1"/>
  <c r="AC3440" i="1"/>
  <c r="AD3440" i="1" s="1"/>
  <c r="AC3447" i="1"/>
  <c r="AD3447" i="1" s="1"/>
  <c r="AB3447" i="1" s="1"/>
  <c r="AC3442" i="1"/>
  <c r="AD3442" i="1" s="1"/>
  <c r="AB3442" i="1" s="1"/>
  <c r="AC3448" i="1"/>
  <c r="AD3448" i="1" s="1"/>
  <c r="AB3448" i="1" s="1"/>
  <c r="AC3444" i="1"/>
  <c r="AD3444" i="1" s="1"/>
  <c r="AB3444" i="1" s="1"/>
  <c r="AC3446" i="1"/>
  <c r="AD3446" i="1" s="1"/>
  <c r="AB3446" i="1" s="1"/>
  <c r="AC3441" i="1"/>
  <c r="AD3441" i="1" s="1"/>
  <c r="AB3441" i="1" s="1"/>
  <c r="AC3443" i="1"/>
  <c r="AD3443" i="1" s="1"/>
  <c r="AB3443" i="1" s="1"/>
  <c r="AB3458" i="1"/>
  <c r="AD3457" i="1"/>
  <c r="AC3438" i="1"/>
  <c r="N3438" i="1"/>
  <c r="AC3429" i="1"/>
  <c r="AD3429" i="1" s="1"/>
  <c r="AC3431" i="1"/>
  <c r="AD3431" i="1" s="1"/>
  <c r="AB3431" i="1" s="1"/>
  <c r="AC3433" i="1"/>
  <c r="AD3433" i="1" s="1"/>
  <c r="AB3433" i="1" s="1"/>
  <c r="AC3434" i="1"/>
  <c r="AD3434" i="1" s="1"/>
  <c r="AB3434" i="1" s="1"/>
  <c r="AC3430" i="1"/>
  <c r="AD3430" i="1" s="1"/>
  <c r="AB3430" i="1" s="1"/>
  <c r="AC3432" i="1"/>
  <c r="AD3432" i="1" s="1"/>
  <c r="AB3432" i="1" s="1"/>
  <c r="AC3435" i="1"/>
  <c r="AD3435" i="1" s="1"/>
  <c r="AB3435" i="1" s="1"/>
  <c r="AC3424" i="1"/>
  <c r="AD3424" i="1" s="1"/>
  <c r="AB3424" i="1" s="1"/>
  <c r="AC3419" i="1"/>
  <c r="AD3419" i="1" s="1"/>
  <c r="AC3425" i="1"/>
  <c r="AD3425" i="1" s="1"/>
  <c r="AB3425" i="1" s="1"/>
  <c r="AC3420" i="1"/>
  <c r="AD3420" i="1" s="1"/>
  <c r="AB3420" i="1" s="1"/>
  <c r="AC3422" i="1"/>
  <c r="AD3422" i="1" s="1"/>
  <c r="AB3422" i="1" s="1"/>
  <c r="AC3426" i="1"/>
  <c r="AD3426" i="1" s="1"/>
  <c r="AB3426" i="1" s="1"/>
  <c r="AC3421" i="1"/>
  <c r="AD3421" i="1" s="1"/>
  <c r="AB3421" i="1" s="1"/>
  <c r="AC3423" i="1"/>
  <c r="AD3423" i="1" s="1"/>
  <c r="AB3423" i="1" s="1"/>
  <c r="AC3427" i="1"/>
  <c r="AD3427" i="1" s="1"/>
  <c r="AB3427" i="1" s="1"/>
  <c r="AB3437" i="1"/>
  <c r="AD3436" i="1"/>
  <c r="AC3417" i="1"/>
  <c r="N3417" i="1"/>
  <c r="AC3312" i="1"/>
  <c r="AC3403" i="1"/>
  <c r="AD3403" i="1" s="1"/>
  <c r="AB3403" i="1" s="1"/>
  <c r="AC3398" i="1"/>
  <c r="AD3398" i="1" s="1"/>
  <c r="AC3404" i="1"/>
  <c r="AD3404" i="1" s="1"/>
  <c r="AB3404" i="1" s="1"/>
  <c r="AC3401" i="1"/>
  <c r="AD3401" i="1" s="1"/>
  <c r="AB3401" i="1" s="1"/>
  <c r="AC3405" i="1"/>
  <c r="AD3405" i="1" s="1"/>
  <c r="AB3405" i="1" s="1"/>
  <c r="AC3400" i="1"/>
  <c r="AD3400" i="1" s="1"/>
  <c r="AB3400" i="1" s="1"/>
  <c r="AC3402" i="1"/>
  <c r="AD3402" i="1" s="1"/>
  <c r="AB3402" i="1" s="1"/>
  <c r="AC3399" i="1"/>
  <c r="AD3399" i="1" s="1"/>
  <c r="AB3399" i="1" s="1"/>
  <c r="AC3406" i="1"/>
  <c r="AD3406" i="1" s="1"/>
  <c r="AB3406" i="1" s="1"/>
  <c r="AC3412" i="1"/>
  <c r="AD3412" i="1" s="1"/>
  <c r="AB3412" i="1" s="1"/>
  <c r="AC3410" i="1"/>
  <c r="AD3410" i="1" s="1"/>
  <c r="AB3410" i="1" s="1"/>
  <c r="AC3409" i="1"/>
  <c r="AD3409" i="1" s="1"/>
  <c r="AB3409" i="1" s="1"/>
  <c r="AC3411" i="1"/>
  <c r="AD3411" i="1" s="1"/>
  <c r="AB3411" i="1" s="1"/>
  <c r="AC3408" i="1"/>
  <c r="AD3408" i="1" s="1"/>
  <c r="AC3413" i="1"/>
  <c r="AD3413" i="1" s="1"/>
  <c r="AB3413" i="1" s="1"/>
  <c r="AC3414" i="1"/>
  <c r="AD3414" i="1" s="1"/>
  <c r="AB3414" i="1" s="1"/>
  <c r="AB3416" i="1"/>
  <c r="AD3415" i="1"/>
  <c r="AC3387" i="1"/>
  <c r="AD3387" i="1" s="1"/>
  <c r="AC3391" i="1"/>
  <c r="AD3391" i="1" s="1"/>
  <c r="AB3391" i="1" s="1"/>
  <c r="AC3388" i="1"/>
  <c r="AD3388" i="1" s="1"/>
  <c r="AB3388" i="1" s="1"/>
  <c r="AC3393" i="1"/>
  <c r="AD3393" i="1" s="1"/>
  <c r="AB3393" i="1" s="1"/>
  <c r="AC3390" i="1"/>
  <c r="AD3390" i="1" s="1"/>
  <c r="AB3390" i="1" s="1"/>
  <c r="AC3392" i="1"/>
  <c r="AD3392" i="1" s="1"/>
  <c r="AB3392" i="1" s="1"/>
  <c r="AC3389" i="1"/>
  <c r="AD3389" i="1" s="1"/>
  <c r="AB3389" i="1" s="1"/>
  <c r="AC3382" i="1"/>
  <c r="AD3382" i="1" s="1"/>
  <c r="AB3382" i="1" s="1"/>
  <c r="AC3377" i="1"/>
  <c r="AD3377" i="1" s="1"/>
  <c r="AC3384" i="1"/>
  <c r="AD3384" i="1" s="1"/>
  <c r="AB3384" i="1" s="1"/>
  <c r="AC3379" i="1"/>
  <c r="AD3379" i="1" s="1"/>
  <c r="AB3379" i="1" s="1"/>
  <c r="AC3381" i="1"/>
  <c r="AD3381" i="1" s="1"/>
  <c r="AB3381" i="1" s="1"/>
  <c r="AC3383" i="1"/>
  <c r="AD3383" i="1" s="1"/>
  <c r="AB3383" i="1" s="1"/>
  <c r="AC3378" i="1"/>
  <c r="AD3378" i="1" s="1"/>
  <c r="AB3378" i="1" s="1"/>
  <c r="AC3385" i="1"/>
  <c r="AD3385" i="1" s="1"/>
  <c r="AB3385" i="1" s="1"/>
  <c r="AC3380" i="1"/>
  <c r="AD3380" i="1" s="1"/>
  <c r="AB3380" i="1" s="1"/>
  <c r="AB3395" i="1"/>
  <c r="AD3394" i="1"/>
  <c r="N3375" i="1"/>
  <c r="AC3375" i="1"/>
  <c r="AC3372" i="1"/>
  <c r="AD3372" i="1" s="1"/>
  <c r="AB3372" i="1" s="1"/>
  <c r="AC3368" i="1"/>
  <c r="AD3368" i="1" s="1"/>
  <c r="AB3368" i="1" s="1"/>
  <c r="AC3370" i="1"/>
  <c r="AD3370" i="1" s="1"/>
  <c r="AB3370" i="1" s="1"/>
  <c r="AC3371" i="1"/>
  <c r="AD3371" i="1" s="1"/>
  <c r="AB3371" i="1" s="1"/>
  <c r="AC3367" i="1"/>
  <c r="AD3367" i="1" s="1"/>
  <c r="AB3367" i="1" s="1"/>
  <c r="AC3369" i="1"/>
  <c r="AD3369" i="1" s="1"/>
  <c r="AB3369" i="1" s="1"/>
  <c r="AC3366" i="1"/>
  <c r="AD3366" i="1" s="1"/>
  <c r="AC3361" i="1"/>
  <c r="AD3361" i="1" s="1"/>
  <c r="AB3361" i="1" s="1"/>
  <c r="AC3356" i="1"/>
  <c r="AD3356" i="1" s="1"/>
  <c r="AC3364" i="1"/>
  <c r="AD3364" i="1" s="1"/>
  <c r="AB3364" i="1" s="1"/>
  <c r="AC3363" i="1"/>
  <c r="AD3363" i="1" s="1"/>
  <c r="AB3363" i="1" s="1"/>
  <c r="AC3358" i="1"/>
  <c r="AD3358" i="1" s="1"/>
  <c r="AB3358" i="1" s="1"/>
  <c r="AC3360" i="1"/>
  <c r="AD3360" i="1" s="1"/>
  <c r="AB3360" i="1" s="1"/>
  <c r="AC3362" i="1"/>
  <c r="AD3362" i="1" s="1"/>
  <c r="AB3362" i="1" s="1"/>
  <c r="AC3357" i="1"/>
  <c r="AD3357" i="1" s="1"/>
  <c r="AB3357" i="1" s="1"/>
  <c r="AC3359" i="1"/>
  <c r="AD3359" i="1" s="1"/>
  <c r="AB3359" i="1" s="1"/>
  <c r="AB3374" i="1"/>
  <c r="AD3373" i="1"/>
  <c r="AC3354" i="1"/>
  <c r="N3354" i="1"/>
  <c r="AC3349" i="1"/>
  <c r="AD3349" i="1" s="1"/>
  <c r="AB3349" i="1" s="1"/>
  <c r="AC3350" i="1"/>
  <c r="AD3350" i="1" s="1"/>
  <c r="AB3350" i="1" s="1"/>
  <c r="AC3346" i="1"/>
  <c r="AD3346" i="1" s="1"/>
  <c r="AB3346" i="1" s="1"/>
  <c r="AC3347" i="1"/>
  <c r="AD3347" i="1" s="1"/>
  <c r="AB3347" i="1" s="1"/>
  <c r="AC3351" i="1"/>
  <c r="AD3351" i="1" s="1"/>
  <c r="AB3351" i="1" s="1"/>
  <c r="AC3348" i="1"/>
  <c r="AD3348" i="1" s="1"/>
  <c r="AB3348" i="1" s="1"/>
  <c r="AC3345" i="1"/>
  <c r="AD3345" i="1" s="1"/>
  <c r="AC3343" i="1"/>
  <c r="AD3343" i="1" s="1"/>
  <c r="AB3343" i="1" s="1"/>
  <c r="AC3340" i="1"/>
  <c r="AD3340" i="1" s="1"/>
  <c r="AB3340" i="1" s="1"/>
  <c r="AC3335" i="1"/>
  <c r="AD3335" i="1" s="1"/>
  <c r="AC3342" i="1"/>
  <c r="AD3342" i="1" s="1"/>
  <c r="AB3342" i="1" s="1"/>
  <c r="AC3337" i="1"/>
  <c r="AD3337" i="1" s="1"/>
  <c r="AB3337" i="1" s="1"/>
  <c r="AC3339" i="1"/>
  <c r="AD3339" i="1" s="1"/>
  <c r="AB3339" i="1" s="1"/>
  <c r="AC3341" i="1"/>
  <c r="AD3341" i="1" s="1"/>
  <c r="AB3341" i="1" s="1"/>
  <c r="AC3336" i="1"/>
  <c r="AD3336" i="1" s="1"/>
  <c r="AB3336" i="1" s="1"/>
  <c r="AC3338" i="1"/>
  <c r="AD3338" i="1" s="1"/>
  <c r="AB3338" i="1" s="1"/>
  <c r="AB3353" i="1"/>
  <c r="AD3352" i="1"/>
  <c r="AC3315" i="1"/>
  <c r="AD3315" i="1" s="1"/>
  <c r="AB3315" i="1" s="1"/>
  <c r="AC3317" i="1"/>
  <c r="AD3317" i="1" s="1"/>
  <c r="AB3317" i="1" s="1"/>
  <c r="AC3322" i="1"/>
  <c r="AD3322" i="1" s="1"/>
  <c r="AB3322" i="1" s="1"/>
  <c r="AC3319" i="1"/>
  <c r="AD3319" i="1" s="1"/>
  <c r="AB3319" i="1" s="1"/>
  <c r="AC3314" i="1"/>
  <c r="AD3314" i="1" s="1"/>
  <c r="AC3318" i="1"/>
  <c r="AD3318" i="1" s="1"/>
  <c r="AB3318" i="1" s="1"/>
  <c r="AC3320" i="1"/>
  <c r="AD3320" i="1" s="1"/>
  <c r="AB3320" i="1" s="1"/>
  <c r="AC3321" i="1"/>
  <c r="AD3321" i="1" s="1"/>
  <c r="AB3321" i="1" s="1"/>
  <c r="AC3316" i="1"/>
  <c r="AD3316" i="1" s="1"/>
  <c r="AB3316" i="1" s="1"/>
  <c r="AB3332" i="1"/>
  <c r="AD3331" i="1"/>
  <c r="N3146" i="1"/>
  <c r="AC3327" i="1"/>
  <c r="AD3327" i="1" s="1"/>
  <c r="AB3327" i="1" s="1"/>
  <c r="AC3330" i="1"/>
  <c r="AD3330" i="1" s="1"/>
  <c r="AB3330" i="1" s="1"/>
  <c r="AC3329" i="1"/>
  <c r="AD3329" i="1" s="1"/>
  <c r="AB3329" i="1" s="1"/>
  <c r="AC3326" i="1"/>
  <c r="AD3326" i="1" s="1"/>
  <c r="AB3326" i="1" s="1"/>
  <c r="AC3328" i="1"/>
  <c r="AD3328" i="1" s="1"/>
  <c r="AB3328" i="1" s="1"/>
  <c r="AC3325" i="1"/>
  <c r="AD3325" i="1" s="1"/>
  <c r="AB3325" i="1" s="1"/>
  <c r="AC3324" i="1"/>
  <c r="AD3324" i="1" s="1"/>
  <c r="AC3303" i="1"/>
  <c r="AD3303" i="1" s="1"/>
  <c r="AC3308" i="1"/>
  <c r="AD3308" i="1" s="1"/>
  <c r="AB3308" i="1" s="1"/>
  <c r="AC3305" i="1"/>
  <c r="AD3305" i="1" s="1"/>
  <c r="AB3305" i="1" s="1"/>
  <c r="AC3307" i="1"/>
  <c r="AD3307" i="1" s="1"/>
  <c r="AB3307" i="1" s="1"/>
  <c r="AC3304" i="1"/>
  <c r="AD3304" i="1" s="1"/>
  <c r="AB3304" i="1" s="1"/>
  <c r="AC3309" i="1"/>
  <c r="AD3309" i="1" s="1"/>
  <c r="AB3309" i="1" s="1"/>
  <c r="AC3306" i="1"/>
  <c r="AD3306" i="1" s="1"/>
  <c r="AB3306" i="1" s="1"/>
  <c r="AC3294" i="1"/>
  <c r="AD3294" i="1" s="1"/>
  <c r="AB3294" i="1" s="1"/>
  <c r="AC3298" i="1"/>
  <c r="AD3298" i="1" s="1"/>
  <c r="AB3298" i="1" s="1"/>
  <c r="AC3293" i="1"/>
  <c r="AD3293" i="1" s="1"/>
  <c r="AC3299" i="1"/>
  <c r="AD3299" i="1" s="1"/>
  <c r="AB3299" i="1" s="1"/>
  <c r="AC3300" i="1"/>
  <c r="AD3300" i="1" s="1"/>
  <c r="AB3300" i="1" s="1"/>
  <c r="AC3295" i="1"/>
  <c r="AD3295" i="1" s="1"/>
  <c r="AB3295" i="1" s="1"/>
  <c r="AC3296" i="1"/>
  <c r="AD3296" i="1" s="1"/>
  <c r="AB3296" i="1" s="1"/>
  <c r="AC3301" i="1"/>
  <c r="AD3301" i="1" s="1"/>
  <c r="AB3301" i="1" s="1"/>
  <c r="AC3297" i="1"/>
  <c r="AD3297" i="1" s="1"/>
  <c r="AB3297" i="1" s="1"/>
  <c r="AC3207" i="1"/>
  <c r="AB3311" i="1"/>
  <c r="AD3310" i="1"/>
  <c r="N3291" i="1"/>
  <c r="AC3291" i="1"/>
  <c r="AC3284" i="1"/>
  <c r="AD3284" i="1" s="1"/>
  <c r="AB3284" i="1" s="1"/>
  <c r="AC3285" i="1"/>
  <c r="AD3285" i="1" s="1"/>
  <c r="AB3285" i="1" s="1"/>
  <c r="AC3287" i="1"/>
  <c r="AD3287" i="1" s="1"/>
  <c r="AB3287" i="1" s="1"/>
  <c r="AC3286" i="1"/>
  <c r="AD3286" i="1" s="1"/>
  <c r="AB3286" i="1" s="1"/>
  <c r="AC3288" i="1"/>
  <c r="AD3288" i="1" s="1"/>
  <c r="AB3288" i="1" s="1"/>
  <c r="AC3282" i="1"/>
  <c r="AD3282" i="1" s="1"/>
  <c r="AC3283" i="1"/>
  <c r="AD3283" i="1" s="1"/>
  <c r="AB3283" i="1" s="1"/>
  <c r="AC3276" i="1"/>
  <c r="AD3276" i="1" s="1"/>
  <c r="AB3276" i="1" s="1"/>
  <c r="AC3275" i="1"/>
  <c r="AD3275" i="1" s="1"/>
  <c r="AB3275" i="1" s="1"/>
  <c r="AC3280" i="1"/>
  <c r="AD3280" i="1" s="1"/>
  <c r="AB3280" i="1" s="1"/>
  <c r="AC3277" i="1"/>
  <c r="AD3277" i="1" s="1"/>
  <c r="AB3277" i="1" s="1"/>
  <c r="AC3272" i="1"/>
  <c r="AD3272" i="1" s="1"/>
  <c r="AC3278" i="1"/>
  <c r="AD3278" i="1" s="1"/>
  <c r="AB3278" i="1" s="1"/>
  <c r="AC3273" i="1"/>
  <c r="AD3273" i="1" s="1"/>
  <c r="AB3273" i="1" s="1"/>
  <c r="AC3279" i="1"/>
  <c r="AD3279" i="1" s="1"/>
  <c r="AB3279" i="1" s="1"/>
  <c r="AC3274" i="1"/>
  <c r="AD3274" i="1" s="1"/>
  <c r="AB3274" i="1" s="1"/>
  <c r="AB3290" i="1"/>
  <c r="AD3289" i="1"/>
  <c r="AC3252" i="1"/>
  <c r="AD3252" i="1" s="1"/>
  <c r="AB3252" i="1" s="1"/>
  <c r="AC3256" i="1"/>
  <c r="AD3256" i="1" s="1"/>
  <c r="AB3256" i="1" s="1"/>
  <c r="AC3251" i="1"/>
  <c r="AD3251" i="1" s="1"/>
  <c r="AC3255" i="1"/>
  <c r="AD3255" i="1" s="1"/>
  <c r="AB3255" i="1" s="1"/>
  <c r="AC3257" i="1"/>
  <c r="AD3257" i="1" s="1"/>
  <c r="AB3257" i="1" s="1"/>
  <c r="AC3258" i="1"/>
  <c r="AD3258" i="1" s="1"/>
  <c r="AB3258" i="1" s="1"/>
  <c r="AC3253" i="1"/>
  <c r="AD3253" i="1" s="1"/>
  <c r="AB3253" i="1" s="1"/>
  <c r="AC3254" i="1"/>
  <c r="AD3254" i="1" s="1"/>
  <c r="AB3254" i="1" s="1"/>
  <c r="AC3259" i="1"/>
  <c r="AD3259" i="1" s="1"/>
  <c r="AB3259" i="1" s="1"/>
  <c r="AB3269" i="1"/>
  <c r="AD3268" i="1"/>
  <c r="AC3263" i="1"/>
  <c r="AD3263" i="1" s="1"/>
  <c r="AB3263" i="1" s="1"/>
  <c r="AC3264" i="1"/>
  <c r="AD3264" i="1" s="1"/>
  <c r="AB3264" i="1" s="1"/>
  <c r="AC3261" i="1"/>
  <c r="AD3261" i="1" s="1"/>
  <c r="AC3266" i="1"/>
  <c r="AD3266" i="1" s="1"/>
  <c r="AB3266" i="1" s="1"/>
  <c r="AC3265" i="1"/>
  <c r="AD3265" i="1" s="1"/>
  <c r="AB3265" i="1" s="1"/>
  <c r="AC3262" i="1"/>
  <c r="AD3262" i="1" s="1"/>
  <c r="AB3262" i="1" s="1"/>
  <c r="AC3267" i="1"/>
  <c r="AD3267" i="1" s="1"/>
  <c r="AB3267" i="1" s="1"/>
  <c r="AC2896" i="1"/>
  <c r="AC3249" i="1"/>
  <c r="N3249" i="1"/>
  <c r="AC3233" i="1"/>
  <c r="AD3233" i="1" s="1"/>
  <c r="AB3233" i="1" s="1"/>
  <c r="AC3235" i="1"/>
  <c r="AD3235" i="1" s="1"/>
  <c r="AB3235" i="1" s="1"/>
  <c r="AC3230" i="1"/>
  <c r="AD3230" i="1" s="1"/>
  <c r="AC3234" i="1"/>
  <c r="AD3234" i="1" s="1"/>
  <c r="AB3234" i="1" s="1"/>
  <c r="AC3236" i="1"/>
  <c r="AD3236" i="1" s="1"/>
  <c r="AB3236" i="1" s="1"/>
  <c r="AC3231" i="1"/>
  <c r="AD3231" i="1" s="1"/>
  <c r="AB3231" i="1" s="1"/>
  <c r="AC3238" i="1"/>
  <c r="AD3238" i="1" s="1"/>
  <c r="AB3238" i="1" s="1"/>
  <c r="AC3237" i="1"/>
  <c r="AD3237" i="1" s="1"/>
  <c r="AB3237" i="1" s="1"/>
  <c r="AC3232" i="1"/>
  <c r="AD3232" i="1" s="1"/>
  <c r="AB3232" i="1" s="1"/>
  <c r="AC3246" i="1"/>
  <c r="AD3246" i="1" s="1"/>
  <c r="AB3246" i="1" s="1"/>
  <c r="AC3245" i="1"/>
  <c r="AD3245" i="1" s="1"/>
  <c r="AB3245" i="1" s="1"/>
  <c r="AC3242" i="1"/>
  <c r="AD3242" i="1" s="1"/>
  <c r="AB3242" i="1" s="1"/>
  <c r="AC3244" i="1"/>
  <c r="AD3244" i="1" s="1"/>
  <c r="AB3244" i="1" s="1"/>
  <c r="AC3243" i="1"/>
  <c r="AD3243" i="1" s="1"/>
  <c r="AB3243" i="1" s="1"/>
  <c r="AC3241" i="1"/>
  <c r="AD3241" i="1" s="1"/>
  <c r="AB3241" i="1" s="1"/>
  <c r="AC3240" i="1"/>
  <c r="AD3240" i="1" s="1"/>
  <c r="AB3248" i="1"/>
  <c r="AD3247" i="1"/>
  <c r="AC3222" i="1"/>
  <c r="AD3222" i="1" s="1"/>
  <c r="AB3222" i="1" s="1"/>
  <c r="AC3219" i="1"/>
  <c r="AD3219" i="1" s="1"/>
  <c r="AC3223" i="1"/>
  <c r="AD3223" i="1" s="1"/>
  <c r="AB3223" i="1" s="1"/>
  <c r="AC3221" i="1"/>
  <c r="AD3221" i="1" s="1"/>
  <c r="AB3221" i="1" s="1"/>
  <c r="AC3220" i="1"/>
  <c r="AD3220" i="1" s="1"/>
  <c r="AB3220" i="1" s="1"/>
  <c r="AC3225" i="1"/>
  <c r="AD3225" i="1" s="1"/>
  <c r="AB3225" i="1" s="1"/>
  <c r="AC3224" i="1"/>
  <c r="AD3224" i="1" s="1"/>
  <c r="AB3224" i="1" s="1"/>
  <c r="AC2938" i="1"/>
  <c r="AC3214" i="1"/>
  <c r="AD3214" i="1" s="1"/>
  <c r="AB3214" i="1" s="1"/>
  <c r="AC3209" i="1"/>
  <c r="AD3209" i="1" s="1"/>
  <c r="AC3210" i="1"/>
  <c r="AD3210" i="1" s="1"/>
  <c r="AB3210" i="1" s="1"/>
  <c r="AC3213" i="1"/>
  <c r="AD3213" i="1" s="1"/>
  <c r="AB3213" i="1" s="1"/>
  <c r="AC3212" i="1"/>
  <c r="AD3212" i="1" s="1"/>
  <c r="AB3212" i="1" s="1"/>
  <c r="AC3216" i="1"/>
  <c r="AD3216" i="1" s="1"/>
  <c r="AB3216" i="1" s="1"/>
  <c r="AC3211" i="1"/>
  <c r="AD3211" i="1" s="1"/>
  <c r="AB3211" i="1" s="1"/>
  <c r="AC3215" i="1"/>
  <c r="AD3215" i="1" s="1"/>
  <c r="AB3215" i="1" s="1"/>
  <c r="AC3217" i="1"/>
  <c r="AD3217" i="1" s="1"/>
  <c r="AB3217" i="1" s="1"/>
  <c r="AB3227" i="1"/>
  <c r="AD3226" i="1"/>
  <c r="AC3202" i="1"/>
  <c r="AD3202" i="1" s="1"/>
  <c r="AB3202" i="1" s="1"/>
  <c r="AC3204" i="1"/>
  <c r="AD3204" i="1" s="1"/>
  <c r="AB3204" i="1" s="1"/>
  <c r="AC3199" i="1"/>
  <c r="AD3199" i="1" s="1"/>
  <c r="AB3199" i="1" s="1"/>
  <c r="AC3201" i="1"/>
  <c r="AD3201" i="1" s="1"/>
  <c r="AB3201" i="1" s="1"/>
  <c r="AC3198" i="1"/>
  <c r="AD3198" i="1" s="1"/>
  <c r="AC3203" i="1"/>
  <c r="AD3203" i="1" s="1"/>
  <c r="AB3203" i="1" s="1"/>
  <c r="AC3200" i="1"/>
  <c r="AD3200" i="1" s="1"/>
  <c r="AB3200" i="1" s="1"/>
  <c r="AC3196" i="1"/>
  <c r="AD3196" i="1" s="1"/>
  <c r="AB3196" i="1" s="1"/>
  <c r="AC3193" i="1"/>
  <c r="AD3193" i="1" s="1"/>
  <c r="AB3193" i="1" s="1"/>
  <c r="AC3188" i="1"/>
  <c r="AD3188" i="1" s="1"/>
  <c r="AC3195" i="1"/>
  <c r="AD3195" i="1" s="1"/>
  <c r="AB3195" i="1" s="1"/>
  <c r="AC3190" i="1"/>
  <c r="AD3190" i="1" s="1"/>
  <c r="AB3190" i="1" s="1"/>
  <c r="AC3192" i="1"/>
  <c r="AD3192" i="1" s="1"/>
  <c r="AB3192" i="1" s="1"/>
  <c r="AC3194" i="1"/>
  <c r="AD3194" i="1" s="1"/>
  <c r="AB3194" i="1" s="1"/>
  <c r="AC3189" i="1"/>
  <c r="AD3189" i="1" s="1"/>
  <c r="AB3189" i="1" s="1"/>
  <c r="AC3191" i="1"/>
  <c r="AD3191" i="1" s="1"/>
  <c r="AB3191" i="1" s="1"/>
  <c r="AB3206" i="1"/>
  <c r="AD3205" i="1"/>
  <c r="AC3178" i="1"/>
  <c r="AD3178" i="1" s="1"/>
  <c r="AB3178" i="1" s="1"/>
  <c r="AC3183" i="1"/>
  <c r="AD3183" i="1" s="1"/>
  <c r="AB3183" i="1" s="1"/>
  <c r="AC3180" i="1"/>
  <c r="AD3180" i="1" s="1"/>
  <c r="AB3180" i="1" s="1"/>
  <c r="AC3181" i="1"/>
  <c r="AD3181" i="1" s="1"/>
  <c r="AB3181" i="1" s="1"/>
  <c r="AC3177" i="1"/>
  <c r="AD3177" i="1" s="1"/>
  <c r="AC3182" i="1"/>
  <c r="AD3182" i="1" s="1"/>
  <c r="AB3182" i="1" s="1"/>
  <c r="AC3179" i="1"/>
  <c r="AD3179" i="1" s="1"/>
  <c r="AB3179" i="1" s="1"/>
  <c r="AC3062" i="1"/>
  <c r="AB3185" i="1"/>
  <c r="AD3184" i="1"/>
  <c r="AC3174" i="1"/>
  <c r="AD3174" i="1" s="1"/>
  <c r="AB3174" i="1" s="1"/>
  <c r="AC3169" i="1"/>
  <c r="AD3169" i="1" s="1"/>
  <c r="AB3169" i="1" s="1"/>
  <c r="AC3172" i="1"/>
  <c r="AD3172" i="1" s="1"/>
  <c r="AB3172" i="1" s="1"/>
  <c r="AC3167" i="1"/>
  <c r="AD3167" i="1" s="1"/>
  <c r="AC3173" i="1"/>
  <c r="AD3173" i="1" s="1"/>
  <c r="AB3173" i="1" s="1"/>
  <c r="AC3168" i="1"/>
  <c r="AD3168" i="1" s="1"/>
  <c r="AB3168" i="1" s="1"/>
  <c r="AC3170" i="1"/>
  <c r="AD3170" i="1" s="1"/>
  <c r="AB3170" i="1" s="1"/>
  <c r="AC3175" i="1"/>
  <c r="AD3175" i="1" s="1"/>
  <c r="AB3175" i="1" s="1"/>
  <c r="AC3171" i="1"/>
  <c r="AD3171" i="1" s="1"/>
  <c r="AB3171" i="1" s="1"/>
  <c r="N3165" i="1"/>
  <c r="AC3165" i="1"/>
  <c r="AC3104" i="1"/>
  <c r="AD3147" i="1"/>
  <c r="AD3146" i="1" s="1"/>
  <c r="AB3146" i="1" s="1"/>
  <c r="AB3148" i="1"/>
  <c r="AC3083" i="1"/>
  <c r="AC3139" i="1"/>
  <c r="AD3139" i="1" s="1"/>
  <c r="AB3139" i="1" s="1"/>
  <c r="AC3141" i="1"/>
  <c r="AD3141" i="1" s="1"/>
  <c r="AB3141" i="1" s="1"/>
  <c r="AC3138" i="1"/>
  <c r="AD3138" i="1" s="1"/>
  <c r="AB3138" i="1" s="1"/>
  <c r="AC3143" i="1"/>
  <c r="AD3143" i="1" s="1"/>
  <c r="AB3143" i="1" s="1"/>
  <c r="AC3140" i="1"/>
  <c r="AD3140" i="1" s="1"/>
  <c r="AB3140" i="1" s="1"/>
  <c r="AC3137" i="1"/>
  <c r="AD3137" i="1" s="1"/>
  <c r="AC3142" i="1"/>
  <c r="AD3142" i="1" s="1"/>
  <c r="AB3142" i="1" s="1"/>
  <c r="AC3132" i="1"/>
  <c r="AD3132" i="1" s="1"/>
  <c r="AB3132" i="1" s="1"/>
  <c r="AC3127" i="1"/>
  <c r="AD3127" i="1" s="1"/>
  <c r="AC3134" i="1"/>
  <c r="AD3134" i="1" s="1"/>
  <c r="AB3134" i="1" s="1"/>
  <c r="AC3129" i="1"/>
  <c r="AD3129" i="1" s="1"/>
  <c r="AB3129" i="1" s="1"/>
  <c r="AC3131" i="1"/>
  <c r="AD3131" i="1" s="1"/>
  <c r="AB3131" i="1" s="1"/>
  <c r="AC3130" i="1"/>
  <c r="AD3130" i="1" s="1"/>
  <c r="AB3130" i="1" s="1"/>
  <c r="AC3135" i="1"/>
  <c r="AD3135" i="1" s="1"/>
  <c r="AB3135" i="1" s="1"/>
  <c r="AC3133" i="1"/>
  <c r="AD3133" i="1" s="1"/>
  <c r="AB3133" i="1" s="1"/>
  <c r="AC3128" i="1"/>
  <c r="AD3128" i="1" s="1"/>
  <c r="AB3128" i="1" s="1"/>
  <c r="AB3145" i="1"/>
  <c r="AD3144" i="1"/>
  <c r="N3125" i="1"/>
  <c r="AC3125" i="1"/>
  <c r="AC3120" i="1"/>
  <c r="AD3120" i="1" s="1"/>
  <c r="AB3120" i="1" s="1"/>
  <c r="AC3117" i="1"/>
  <c r="AD3117" i="1" s="1"/>
  <c r="AB3117" i="1" s="1"/>
  <c r="AC3118" i="1"/>
  <c r="AD3118" i="1" s="1"/>
  <c r="AB3118" i="1" s="1"/>
  <c r="AC3122" i="1"/>
  <c r="AD3122" i="1" s="1"/>
  <c r="AB3122" i="1" s="1"/>
  <c r="AC3119" i="1"/>
  <c r="AD3119" i="1" s="1"/>
  <c r="AB3119" i="1" s="1"/>
  <c r="AC3116" i="1"/>
  <c r="AD3116" i="1" s="1"/>
  <c r="AC3121" i="1"/>
  <c r="AD3121" i="1" s="1"/>
  <c r="AB3121" i="1" s="1"/>
  <c r="AC3111" i="1"/>
  <c r="AD3111" i="1" s="1"/>
  <c r="AB3111" i="1" s="1"/>
  <c r="AC3106" i="1"/>
  <c r="AD3106" i="1" s="1"/>
  <c r="AC3114" i="1"/>
  <c r="AD3114" i="1" s="1"/>
  <c r="AB3114" i="1" s="1"/>
  <c r="AC3113" i="1"/>
  <c r="AD3113" i="1" s="1"/>
  <c r="AB3113" i="1" s="1"/>
  <c r="AC3108" i="1"/>
  <c r="AD3108" i="1" s="1"/>
  <c r="AB3108" i="1" s="1"/>
  <c r="AC3110" i="1"/>
  <c r="AD3110" i="1" s="1"/>
  <c r="AB3110" i="1" s="1"/>
  <c r="AC3109" i="1"/>
  <c r="AD3109" i="1" s="1"/>
  <c r="AB3109" i="1" s="1"/>
  <c r="AC3112" i="1"/>
  <c r="AD3112" i="1" s="1"/>
  <c r="AB3112" i="1" s="1"/>
  <c r="AC3107" i="1"/>
  <c r="AD3107" i="1" s="1"/>
  <c r="AB3107" i="1" s="1"/>
  <c r="AB3124" i="1"/>
  <c r="AD3123" i="1"/>
  <c r="AB3103" i="1"/>
  <c r="AD3102" i="1"/>
  <c r="AC3096" i="1"/>
  <c r="AD3096" i="1" s="1"/>
  <c r="AB3096" i="1" s="1"/>
  <c r="AC3101" i="1"/>
  <c r="AD3101" i="1" s="1"/>
  <c r="AB3101" i="1" s="1"/>
  <c r="AC3098" i="1"/>
  <c r="AD3098" i="1" s="1"/>
  <c r="AB3098" i="1" s="1"/>
  <c r="AC3095" i="1"/>
  <c r="AD3095" i="1" s="1"/>
  <c r="AC3099" i="1"/>
  <c r="AD3099" i="1" s="1"/>
  <c r="AB3099" i="1" s="1"/>
  <c r="AC3100" i="1"/>
  <c r="AD3100" i="1" s="1"/>
  <c r="AB3100" i="1" s="1"/>
  <c r="AC3097" i="1"/>
  <c r="AD3097" i="1" s="1"/>
  <c r="AB3097" i="1" s="1"/>
  <c r="AC3092" i="1"/>
  <c r="AD3092" i="1" s="1"/>
  <c r="AB3092" i="1" s="1"/>
  <c r="AC3087" i="1"/>
  <c r="AD3087" i="1" s="1"/>
  <c r="AB3087" i="1" s="1"/>
  <c r="AC3093" i="1"/>
  <c r="AD3093" i="1" s="1"/>
  <c r="AB3093" i="1" s="1"/>
  <c r="AC3090" i="1"/>
  <c r="AD3090" i="1" s="1"/>
  <c r="AB3090" i="1" s="1"/>
  <c r="AC3085" i="1"/>
  <c r="AD3085" i="1" s="1"/>
  <c r="AC3089" i="1"/>
  <c r="AD3089" i="1" s="1"/>
  <c r="AB3089" i="1" s="1"/>
  <c r="AC3088" i="1"/>
  <c r="AD3088" i="1" s="1"/>
  <c r="AB3088" i="1" s="1"/>
  <c r="AC3091" i="1"/>
  <c r="AD3091" i="1" s="1"/>
  <c r="AB3091" i="1" s="1"/>
  <c r="AC3086" i="1"/>
  <c r="AD3086" i="1" s="1"/>
  <c r="AB3086" i="1" s="1"/>
  <c r="AC3078" i="1"/>
  <c r="AD3078" i="1" s="1"/>
  <c r="AB3078" i="1" s="1"/>
  <c r="AC3075" i="1"/>
  <c r="AD3075" i="1" s="1"/>
  <c r="AB3075" i="1" s="1"/>
  <c r="AC3077" i="1"/>
  <c r="AD3077" i="1" s="1"/>
  <c r="AB3077" i="1" s="1"/>
  <c r="AC3074" i="1"/>
  <c r="AD3074" i="1" s="1"/>
  <c r="AC3076" i="1"/>
  <c r="AD3076" i="1" s="1"/>
  <c r="AB3076" i="1" s="1"/>
  <c r="AC3080" i="1"/>
  <c r="AD3080" i="1" s="1"/>
  <c r="AB3080" i="1" s="1"/>
  <c r="AC3079" i="1"/>
  <c r="AD3079" i="1" s="1"/>
  <c r="AB3079" i="1" s="1"/>
  <c r="AC3069" i="1"/>
  <c r="AD3069" i="1" s="1"/>
  <c r="AB3069" i="1" s="1"/>
  <c r="AC3064" i="1"/>
  <c r="AD3064" i="1" s="1"/>
  <c r="AC3072" i="1"/>
  <c r="AD3072" i="1" s="1"/>
  <c r="AB3072" i="1" s="1"/>
  <c r="AC3071" i="1"/>
  <c r="AD3071" i="1" s="1"/>
  <c r="AB3071" i="1" s="1"/>
  <c r="AC3066" i="1"/>
  <c r="AD3066" i="1" s="1"/>
  <c r="AB3066" i="1" s="1"/>
  <c r="AC3068" i="1"/>
  <c r="AD3068" i="1" s="1"/>
  <c r="AB3068" i="1" s="1"/>
  <c r="AC3070" i="1"/>
  <c r="AD3070" i="1" s="1"/>
  <c r="AB3070" i="1" s="1"/>
  <c r="AC3065" i="1"/>
  <c r="AD3065" i="1" s="1"/>
  <c r="AB3065" i="1" s="1"/>
  <c r="AC3067" i="1"/>
  <c r="AD3067" i="1" s="1"/>
  <c r="AB3067" i="1" s="1"/>
  <c r="AB3082" i="1"/>
  <c r="AD3081" i="1"/>
  <c r="AC3058" i="1"/>
  <c r="AD3058" i="1" s="1"/>
  <c r="AB3058" i="1" s="1"/>
  <c r="AC3059" i="1"/>
  <c r="AD3059" i="1" s="1"/>
  <c r="AB3059" i="1" s="1"/>
  <c r="AC3056" i="1"/>
  <c r="AD3056" i="1" s="1"/>
  <c r="AB3056" i="1" s="1"/>
  <c r="AC3053" i="1"/>
  <c r="AD3053" i="1" s="1"/>
  <c r="AC3057" i="1"/>
  <c r="AD3057" i="1" s="1"/>
  <c r="AB3057" i="1" s="1"/>
  <c r="AC3054" i="1"/>
  <c r="AD3054" i="1" s="1"/>
  <c r="AB3054" i="1" s="1"/>
  <c r="AC3055" i="1"/>
  <c r="AD3055" i="1" s="1"/>
  <c r="AB3055" i="1" s="1"/>
  <c r="AC3046" i="1"/>
  <c r="AD3046" i="1" s="1"/>
  <c r="AB3046" i="1" s="1"/>
  <c r="AC3048" i="1"/>
  <c r="AD3048" i="1" s="1"/>
  <c r="AB3048" i="1" s="1"/>
  <c r="AC3043" i="1"/>
  <c r="AD3043" i="1" s="1"/>
  <c r="AC3044" i="1"/>
  <c r="AD3044" i="1" s="1"/>
  <c r="AB3044" i="1" s="1"/>
  <c r="AC3047" i="1"/>
  <c r="AD3047" i="1" s="1"/>
  <c r="AB3047" i="1" s="1"/>
  <c r="AC3051" i="1"/>
  <c r="AD3051" i="1" s="1"/>
  <c r="AB3051" i="1" s="1"/>
  <c r="AC3050" i="1"/>
  <c r="AD3050" i="1" s="1"/>
  <c r="AB3050" i="1" s="1"/>
  <c r="AC3045" i="1"/>
  <c r="AD3045" i="1" s="1"/>
  <c r="AB3045" i="1" s="1"/>
  <c r="AC3049" i="1"/>
  <c r="AD3049" i="1" s="1"/>
  <c r="AB3049" i="1" s="1"/>
  <c r="AD3060" i="1"/>
  <c r="AB3061" i="1"/>
  <c r="AC3036" i="1"/>
  <c r="AD3036" i="1" s="1"/>
  <c r="AB3036" i="1" s="1"/>
  <c r="AC3033" i="1"/>
  <c r="AD3033" i="1" s="1"/>
  <c r="AB3033" i="1" s="1"/>
  <c r="AC3038" i="1"/>
  <c r="AD3038" i="1" s="1"/>
  <c r="AB3038" i="1" s="1"/>
  <c r="AC3035" i="1"/>
  <c r="AD3035" i="1" s="1"/>
  <c r="AB3035" i="1" s="1"/>
  <c r="AC3032" i="1"/>
  <c r="AD3032" i="1" s="1"/>
  <c r="AC3037" i="1"/>
  <c r="AD3037" i="1" s="1"/>
  <c r="AB3037" i="1" s="1"/>
  <c r="AC3034" i="1"/>
  <c r="AD3034" i="1" s="1"/>
  <c r="AB3034" i="1" s="1"/>
  <c r="AC3027" i="1"/>
  <c r="AD3027" i="1" s="1"/>
  <c r="AB3027" i="1" s="1"/>
  <c r="AC3022" i="1"/>
  <c r="AD3022" i="1" s="1"/>
  <c r="AC3029" i="1"/>
  <c r="AD3029" i="1" s="1"/>
  <c r="AB3029" i="1" s="1"/>
  <c r="AC3024" i="1"/>
  <c r="AD3024" i="1" s="1"/>
  <c r="AB3024" i="1" s="1"/>
  <c r="AC3026" i="1"/>
  <c r="AD3026" i="1" s="1"/>
  <c r="AB3026" i="1" s="1"/>
  <c r="AC3025" i="1"/>
  <c r="AD3025" i="1" s="1"/>
  <c r="AB3025" i="1" s="1"/>
  <c r="AC3030" i="1"/>
  <c r="AD3030" i="1" s="1"/>
  <c r="AB3030" i="1" s="1"/>
  <c r="AC3028" i="1"/>
  <c r="AD3028" i="1" s="1"/>
  <c r="AB3028" i="1" s="1"/>
  <c r="AC3023" i="1"/>
  <c r="AD3023" i="1" s="1"/>
  <c r="AB3023" i="1" s="1"/>
  <c r="AB3040" i="1"/>
  <c r="AD3039" i="1"/>
  <c r="N3020" i="1"/>
  <c r="AC3020" i="1"/>
  <c r="AC3012" i="1"/>
  <c r="AD3012" i="1" s="1"/>
  <c r="AB3012" i="1" s="1"/>
  <c r="AC3013" i="1"/>
  <c r="AD3013" i="1" s="1"/>
  <c r="AB3013" i="1" s="1"/>
  <c r="AC3015" i="1"/>
  <c r="AD3015" i="1" s="1"/>
  <c r="AB3015" i="1" s="1"/>
  <c r="AC3017" i="1"/>
  <c r="AD3017" i="1" s="1"/>
  <c r="AB3017" i="1" s="1"/>
  <c r="AC3014" i="1"/>
  <c r="AD3014" i="1" s="1"/>
  <c r="AB3014" i="1" s="1"/>
  <c r="AC3011" i="1"/>
  <c r="AD3011" i="1" s="1"/>
  <c r="AC3016" i="1"/>
  <c r="AD3016" i="1" s="1"/>
  <c r="AB3016" i="1" s="1"/>
  <c r="AB3019" i="1"/>
  <c r="AD3018" i="1"/>
  <c r="AC3006" i="1"/>
  <c r="AD3006" i="1" s="1"/>
  <c r="AB3006" i="1" s="1"/>
  <c r="AC3001" i="1"/>
  <c r="AD3001" i="1" s="1"/>
  <c r="AC3009" i="1"/>
  <c r="AD3009" i="1" s="1"/>
  <c r="AB3009" i="1" s="1"/>
  <c r="AC3008" i="1"/>
  <c r="AD3008" i="1" s="1"/>
  <c r="AB3008" i="1" s="1"/>
  <c r="AC3003" i="1"/>
  <c r="AD3003" i="1" s="1"/>
  <c r="AB3003" i="1" s="1"/>
  <c r="AC3005" i="1"/>
  <c r="AD3005" i="1" s="1"/>
  <c r="AB3005" i="1" s="1"/>
  <c r="AC3004" i="1"/>
  <c r="AD3004" i="1" s="1"/>
  <c r="AB3004" i="1" s="1"/>
  <c r="AC3007" i="1"/>
  <c r="AD3007" i="1" s="1"/>
  <c r="AB3007" i="1" s="1"/>
  <c r="AC3002" i="1"/>
  <c r="AD3002" i="1" s="1"/>
  <c r="AB3002" i="1" s="1"/>
  <c r="AC2999" i="1"/>
  <c r="N2999" i="1"/>
  <c r="AC2992" i="1"/>
  <c r="AD2992" i="1" s="1"/>
  <c r="AB2992" i="1" s="1"/>
  <c r="AC2994" i="1"/>
  <c r="AD2994" i="1" s="1"/>
  <c r="AB2994" i="1" s="1"/>
  <c r="AC2993" i="1"/>
  <c r="AD2993" i="1" s="1"/>
  <c r="AB2993" i="1" s="1"/>
  <c r="AC2990" i="1"/>
  <c r="AD2990" i="1" s="1"/>
  <c r="AC2991" i="1"/>
  <c r="AD2991" i="1" s="1"/>
  <c r="AB2991" i="1" s="1"/>
  <c r="AC2996" i="1"/>
  <c r="AD2996" i="1" s="1"/>
  <c r="AB2996" i="1" s="1"/>
  <c r="AC2995" i="1"/>
  <c r="AD2995" i="1" s="1"/>
  <c r="AB2995" i="1" s="1"/>
  <c r="AC2983" i="1"/>
  <c r="AD2983" i="1" s="1"/>
  <c r="AB2983" i="1" s="1"/>
  <c r="AC2988" i="1"/>
  <c r="AD2988" i="1" s="1"/>
  <c r="AB2988" i="1" s="1"/>
  <c r="AC2985" i="1"/>
  <c r="AD2985" i="1" s="1"/>
  <c r="AB2985" i="1" s="1"/>
  <c r="AC2980" i="1"/>
  <c r="AD2980" i="1" s="1"/>
  <c r="AC2986" i="1"/>
  <c r="AD2986" i="1" s="1"/>
  <c r="AB2986" i="1" s="1"/>
  <c r="AC2981" i="1"/>
  <c r="AD2981" i="1" s="1"/>
  <c r="AB2981" i="1" s="1"/>
  <c r="AC2987" i="1"/>
  <c r="AD2987" i="1" s="1"/>
  <c r="AB2987" i="1" s="1"/>
  <c r="AC2982" i="1"/>
  <c r="AD2982" i="1" s="1"/>
  <c r="AB2982" i="1" s="1"/>
  <c r="AC2984" i="1"/>
  <c r="AD2984" i="1" s="1"/>
  <c r="AB2984" i="1" s="1"/>
  <c r="AD2997" i="1"/>
  <c r="AB2998" i="1"/>
  <c r="N2978" i="1"/>
  <c r="AC2978" i="1"/>
  <c r="AC2965" i="1"/>
  <c r="AD2965" i="1" s="1"/>
  <c r="AB2965" i="1" s="1"/>
  <c r="AC2964" i="1"/>
  <c r="AD2964" i="1" s="1"/>
  <c r="AB2964" i="1" s="1"/>
  <c r="AC2961" i="1"/>
  <c r="AD2961" i="1" s="1"/>
  <c r="AB2961" i="1" s="1"/>
  <c r="AC2960" i="1"/>
  <c r="AD2960" i="1" s="1"/>
  <c r="AC2967" i="1"/>
  <c r="AD2967" i="1" s="1"/>
  <c r="AB2967" i="1" s="1"/>
  <c r="AC2966" i="1"/>
  <c r="AD2966" i="1" s="1"/>
  <c r="AB2966" i="1" s="1"/>
  <c r="AC2963" i="1"/>
  <c r="AD2963" i="1" s="1"/>
  <c r="AB2963" i="1" s="1"/>
  <c r="AC2962" i="1"/>
  <c r="AD2962" i="1" s="1"/>
  <c r="AB2962" i="1" s="1"/>
  <c r="AC2974" i="1"/>
  <c r="AD2974" i="1" s="1"/>
  <c r="AB2974" i="1" s="1"/>
  <c r="AC2973" i="1"/>
  <c r="AD2973" i="1" s="1"/>
  <c r="AB2973" i="1" s="1"/>
  <c r="AC2975" i="1"/>
  <c r="AD2975" i="1" s="1"/>
  <c r="AB2975" i="1" s="1"/>
  <c r="AC2970" i="1"/>
  <c r="AD2970" i="1" s="1"/>
  <c r="AB2970" i="1" s="1"/>
  <c r="AC2972" i="1"/>
  <c r="AD2972" i="1" s="1"/>
  <c r="AB2972" i="1" s="1"/>
  <c r="AC2969" i="1"/>
  <c r="AD2969" i="1" s="1"/>
  <c r="AC2971" i="1"/>
  <c r="AD2971" i="1" s="1"/>
  <c r="AB2971" i="1" s="1"/>
  <c r="AD2976" i="1"/>
  <c r="AB2977" i="1"/>
  <c r="AC2954" i="1"/>
  <c r="AD2954" i="1" s="1"/>
  <c r="AB2954" i="1" s="1"/>
  <c r="AC2951" i="1"/>
  <c r="AD2951" i="1" s="1"/>
  <c r="AB2951" i="1" s="1"/>
  <c r="AC2953" i="1"/>
  <c r="AD2953" i="1" s="1"/>
  <c r="AB2953" i="1" s="1"/>
  <c r="AC2949" i="1"/>
  <c r="AD2949" i="1" s="1"/>
  <c r="AC2950" i="1"/>
  <c r="AD2950" i="1" s="1"/>
  <c r="AB2950" i="1" s="1"/>
  <c r="AC2955" i="1"/>
  <c r="AD2955" i="1" s="1"/>
  <c r="AB2955" i="1" s="1"/>
  <c r="AC2952" i="1"/>
  <c r="AD2952" i="1" s="1"/>
  <c r="AB2952" i="1" s="1"/>
  <c r="AC2944" i="1"/>
  <c r="AD2944" i="1" s="1"/>
  <c r="AB2944" i="1" s="1"/>
  <c r="AC2943" i="1"/>
  <c r="AD2943" i="1" s="1"/>
  <c r="AB2943" i="1" s="1"/>
  <c r="AC2945" i="1"/>
  <c r="AD2945" i="1" s="1"/>
  <c r="AB2945" i="1" s="1"/>
  <c r="AC2940" i="1"/>
  <c r="AD2940" i="1" s="1"/>
  <c r="AC2946" i="1"/>
  <c r="AD2946" i="1" s="1"/>
  <c r="AB2946" i="1" s="1"/>
  <c r="AC2941" i="1"/>
  <c r="AD2941" i="1" s="1"/>
  <c r="AB2941" i="1" s="1"/>
  <c r="AC2947" i="1"/>
  <c r="AD2947" i="1" s="1"/>
  <c r="AB2947" i="1" s="1"/>
  <c r="AC2942" i="1"/>
  <c r="AD2942" i="1" s="1"/>
  <c r="AB2942" i="1" s="1"/>
  <c r="AB2957" i="1"/>
  <c r="AD2956" i="1"/>
  <c r="AC2931" i="1"/>
  <c r="AD2931" i="1" s="1"/>
  <c r="AB2931" i="1" s="1"/>
  <c r="AC2928" i="1"/>
  <c r="AD2928" i="1" s="1"/>
  <c r="AC2930" i="1"/>
  <c r="AD2930" i="1" s="1"/>
  <c r="AB2930" i="1" s="1"/>
  <c r="AC2932" i="1"/>
  <c r="AD2932" i="1" s="1"/>
  <c r="AB2932" i="1" s="1"/>
  <c r="AC2933" i="1"/>
  <c r="AD2933" i="1" s="1"/>
  <c r="AB2933" i="1" s="1"/>
  <c r="AC2929" i="1"/>
  <c r="AD2929" i="1" s="1"/>
  <c r="AB2929" i="1" s="1"/>
  <c r="AC2934" i="1"/>
  <c r="AD2934" i="1" s="1"/>
  <c r="AB2934" i="1" s="1"/>
  <c r="AC2923" i="1"/>
  <c r="AD2923" i="1" s="1"/>
  <c r="AB2923" i="1" s="1"/>
  <c r="AC2918" i="1"/>
  <c r="AD2918" i="1" s="1"/>
  <c r="AC2919" i="1"/>
  <c r="AD2919" i="1" s="1"/>
  <c r="AB2919" i="1" s="1"/>
  <c r="AC2922" i="1"/>
  <c r="AD2922" i="1" s="1"/>
  <c r="AB2922" i="1" s="1"/>
  <c r="AC2926" i="1"/>
  <c r="AD2926" i="1" s="1"/>
  <c r="AB2926" i="1" s="1"/>
  <c r="AC2924" i="1"/>
  <c r="AD2924" i="1" s="1"/>
  <c r="AB2924" i="1" s="1"/>
  <c r="AC2925" i="1"/>
  <c r="AD2925" i="1" s="1"/>
  <c r="AB2925" i="1" s="1"/>
  <c r="AC2920" i="1"/>
  <c r="AD2920" i="1" s="1"/>
  <c r="AB2920" i="1" s="1"/>
  <c r="AC2921" i="1"/>
  <c r="AD2921" i="1" s="1"/>
  <c r="AB2921" i="1" s="1"/>
  <c r="AB2936" i="1"/>
  <c r="AD2935" i="1"/>
  <c r="AC2905" i="1"/>
  <c r="AD2905" i="1" s="1"/>
  <c r="AB2905" i="1" s="1"/>
  <c r="AC2899" i="1"/>
  <c r="AD2899" i="1" s="1"/>
  <c r="AB2899" i="1" s="1"/>
  <c r="AC2902" i="1"/>
  <c r="AD2902" i="1" s="1"/>
  <c r="AB2902" i="1" s="1"/>
  <c r="AC2904" i="1"/>
  <c r="AD2904" i="1" s="1"/>
  <c r="AB2904" i="1" s="1"/>
  <c r="AC2903" i="1"/>
  <c r="AD2903" i="1" s="1"/>
  <c r="AB2903" i="1" s="1"/>
  <c r="AC2898" i="1"/>
  <c r="AD2898" i="1" s="1"/>
  <c r="AC2900" i="1"/>
  <c r="AD2900" i="1" s="1"/>
  <c r="AB2900" i="1" s="1"/>
  <c r="AC2901" i="1"/>
  <c r="AD2901" i="1" s="1"/>
  <c r="AB2901" i="1" s="1"/>
  <c r="AC8366" i="1"/>
  <c r="AD2914" i="1"/>
  <c r="AB2915" i="1"/>
  <c r="AC2908" i="1"/>
  <c r="AD2908" i="1" s="1"/>
  <c r="AB2908" i="1" s="1"/>
  <c r="AC2910" i="1"/>
  <c r="AD2910" i="1" s="1"/>
  <c r="AB2910" i="1" s="1"/>
  <c r="AC2907" i="1"/>
  <c r="AD2907" i="1" s="1"/>
  <c r="AC2912" i="1"/>
  <c r="AD2912" i="1" s="1"/>
  <c r="AB2912" i="1" s="1"/>
  <c r="AC2909" i="1"/>
  <c r="AD2909" i="1" s="1"/>
  <c r="AB2909" i="1" s="1"/>
  <c r="AC2913" i="1"/>
  <c r="AD2913" i="1" s="1"/>
  <c r="AB2913" i="1" s="1"/>
  <c r="AC2911" i="1"/>
  <c r="AD2911" i="1" s="1"/>
  <c r="AB2911" i="1" s="1"/>
  <c r="AD2894" i="1"/>
  <c r="AB2895" i="1"/>
  <c r="AC2883" i="1"/>
  <c r="AD2883" i="1" s="1"/>
  <c r="AB2883" i="1" s="1"/>
  <c r="AC2878" i="1"/>
  <c r="AD2878" i="1" s="1"/>
  <c r="AC2885" i="1"/>
  <c r="AD2885" i="1" s="1"/>
  <c r="AB2885" i="1" s="1"/>
  <c r="AC2880" i="1"/>
  <c r="AD2880" i="1" s="1"/>
  <c r="AB2880" i="1" s="1"/>
  <c r="AC2882" i="1"/>
  <c r="AD2882" i="1" s="1"/>
  <c r="AB2882" i="1" s="1"/>
  <c r="AC2884" i="1"/>
  <c r="AD2884" i="1" s="1"/>
  <c r="AB2884" i="1" s="1"/>
  <c r="AC2879" i="1"/>
  <c r="AD2879" i="1" s="1"/>
  <c r="AB2879" i="1" s="1"/>
  <c r="AC2881" i="1"/>
  <c r="AD2881" i="1" s="1"/>
  <c r="AB2881" i="1" s="1"/>
  <c r="AC2892" i="1"/>
  <c r="AD2892" i="1" s="1"/>
  <c r="AB2892" i="1" s="1"/>
  <c r="AC2889" i="1"/>
  <c r="AD2889" i="1" s="1"/>
  <c r="AB2889" i="1" s="1"/>
  <c r="AC2891" i="1"/>
  <c r="AD2891" i="1" s="1"/>
  <c r="AB2891" i="1" s="1"/>
  <c r="AC2888" i="1"/>
  <c r="AD2888" i="1" s="1"/>
  <c r="AB2888" i="1" s="1"/>
  <c r="AC2893" i="1"/>
  <c r="AD2893" i="1" s="1"/>
  <c r="AB2893" i="1" s="1"/>
  <c r="AC2890" i="1"/>
  <c r="AD2890" i="1" s="1"/>
  <c r="AB2890" i="1" s="1"/>
  <c r="AC2887" i="1"/>
  <c r="AD2887" i="1" s="1"/>
  <c r="AC8602" i="1"/>
  <c r="N8586" i="1"/>
  <c r="AC8539" i="1"/>
  <c r="AD8539" i="1" s="1"/>
  <c r="AB8539" i="1" s="1"/>
  <c r="AC8541" i="1"/>
  <c r="AD8541" i="1" s="1"/>
  <c r="AB8541" i="1" s="1"/>
  <c r="AC8543" i="1"/>
  <c r="AD8543" i="1" s="1"/>
  <c r="AB8543" i="1" s="1"/>
  <c r="AC8538" i="1"/>
  <c r="AD8538" i="1" s="1"/>
  <c r="AC8545" i="1"/>
  <c r="AD8545" i="1" s="1"/>
  <c r="AB8545" i="1" s="1"/>
  <c r="AC8540" i="1"/>
  <c r="AD8540" i="1" s="1"/>
  <c r="AB8540" i="1" s="1"/>
  <c r="AC8542" i="1"/>
  <c r="AD8542" i="1" s="1"/>
  <c r="AB8542" i="1" s="1"/>
  <c r="AC8544" i="1"/>
  <c r="AD8544" i="1" s="1"/>
  <c r="AB8544" i="1" s="1"/>
  <c r="N8381" i="1"/>
  <c r="AC8548" i="1"/>
  <c r="AD8548" i="1" s="1"/>
  <c r="AB8548" i="1" s="1"/>
  <c r="AC8550" i="1"/>
  <c r="AD8550" i="1" s="1"/>
  <c r="AB8550" i="1" s="1"/>
  <c r="AC8547" i="1"/>
  <c r="AD8547" i="1" s="1"/>
  <c r="AC8558" i="1"/>
  <c r="AD8558" i="1" s="1"/>
  <c r="AB8558" i="1" s="1"/>
  <c r="AC8559" i="1"/>
  <c r="AD8559" i="1" s="1"/>
  <c r="AB8559" i="1" s="1"/>
  <c r="AC8554" i="1"/>
  <c r="AD8554" i="1" s="1"/>
  <c r="AC8561" i="1"/>
  <c r="AD8561" i="1" s="1"/>
  <c r="AB8561" i="1" s="1"/>
  <c r="AC8556" i="1"/>
  <c r="AD8556" i="1" s="1"/>
  <c r="AB8556" i="1" s="1"/>
  <c r="AC8557" i="1"/>
  <c r="AD8557" i="1" s="1"/>
  <c r="AB8557" i="1" s="1"/>
  <c r="AC8560" i="1"/>
  <c r="AD8560" i="1" s="1"/>
  <c r="AB8560" i="1" s="1"/>
  <c r="AC8555" i="1"/>
  <c r="AD8555" i="1" s="1"/>
  <c r="AB8555" i="1" s="1"/>
  <c r="AC8566" i="1"/>
  <c r="AD8566" i="1" s="1"/>
  <c r="AB8566" i="1" s="1"/>
  <c r="AC8563" i="1"/>
  <c r="AD8563" i="1" s="1"/>
  <c r="AC8564" i="1"/>
  <c r="AD8564" i="1" s="1"/>
  <c r="AB8564" i="1" s="1"/>
  <c r="N8348" i="1"/>
  <c r="AC8575" i="1"/>
  <c r="AD8575" i="1" s="1"/>
  <c r="AB8575" i="1" s="1"/>
  <c r="AC8572" i="1"/>
  <c r="AD8572" i="1" s="1"/>
  <c r="AB8572" i="1" s="1"/>
  <c r="AC8576" i="1"/>
  <c r="AD8576" i="1" s="1"/>
  <c r="AB8576" i="1" s="1"/>
  <c r="AC8571" i="1"/>
  <c r="AD8571" i="1" s="1"/>
  <c r="AC8574" i="1"/>
  <c r="AD8574" i="1" s="1"/>
  <c r="AB8574" i="1" s="1"/>
  <c r="AC8577" i="1"/>
  <c r="AD8577" i="1" s="1"/>
  <c r="AB8577" i="1" s="1"/>
  <c r="AC8578" i="1"/>
  <c r="AD8578" i="1" s="1"/>
  <c r="AB8578" i="1" s="1"/>
  <c r="AC8573" i="1"/>
  <c r="AD8573" i="1" s="1"/>
  <c r="AB8573" i="1" s="1"/>
  <c r="AC8583" i="1"/>
  <c r="AD8583" i="1" s="1"/>
  <c r="AB8583" i="1" s="1"/>
  <c r="AC8581" i="1"/>
  <c r="AD8581" i="1" s="1"/>
  <c r="AB8581" i="1" s="1"/>
  <c r="AC8580" i="1"/>
  <c r="AD8580" i="1" s="1"/>
  <c r="AC8412" i="1"/>
  <c r="AC8610" i="1"/>
  <c r="AD8610" i="1" s="1"/>
  <c r="AB8610" i="1" s="1"/>
  <c r="AC8605" i="1"/>
  <c r="AD8605" i="1" s="1"/>
  <c r="AB8605" i="1" s="1"/>
  <c r="AC8609" i="1"/>
  <c r="AD8609" i="1" s="1"/>
  <c r="AB8609" i="1" s="1"/>
  <c r="AC8604" i="1"/>
  <c r="AD8604" i="1" s="1"/>
  <c r="AC8611" i="1"/>
  <c r="AD8611" i="1" s="1"/>
  <c r="AB8611" i="1" s="1"/>
  <c r="AC8606" i="1"/>
  <c r="AD8606" i="1" s="1"/>
  <c r="AB8606" i="1" s="1"/>
  <c r="AC8608" i="1"/>
  <c r="AD8608" i="1" s="1"/>
  <c r="AB8608" i="1" s="1"/>
  <c r="AC8607" i="1"/>
  <c r="AD8607" i="1" s="1"/>
  <c r="AB8607" i="1" s="1"/>
  <c r="AC8612" i="1"/>
  <c r="AD8612" i="1" s="1"/>
  <c r="AB8612" i="1" s="1"/>
  <c r="AC8617" i="1"/>
  <c r="AD8617" i="1" s="1"/>
  <c r="AB8617" i="1" s="1"/>
  <c r="AC8614" i="1"/>
  <c r="AD8614" i="1" s="1"/>
  <c r="AC8615" i="1"/>
  <c r="AD8615" i="1" s="1"/>
  <c r="AB8615" i="1" s="1"/>
  <c r="AC8599" i="1"/>
  <c r="AD8599" i="1" s="1"/>
  <c r="AB8599" i="1" s="1"/>
  <c r="AC8601" i="1"/>
  <c r="AD8601" i="1" s="1"/>
  <c r="AB8601" i="1" s="1"/>
  <c r="AC8598" i="1"/>
  <c r="AD8598" i="1" s="1"/>
  <c r="AC8591" i="1"/>
  <c r="AD8591" i="1" s="1"/>
  <c r="AB8591" i="1" s="1"/>
  <c r="AC8593" i="1"/>
  <c r="AD8593" i="1" s="1"/>
  <c r="AB8593" i="1" s="1"/>
  <c r="AC8588" i="1"/>
  <c r="AD8588" i="1" s="1"/>
  <c r="AC8590" i="1"/>
  <c r="AD8590" i="1" s="1"/>
  <c r="AB8590" i="1" s="1"/>
  <c r="AC8594" i="1"/>
  <c r="AD8594" i="1" s="1"/>
  <c r="AB8594" i="1" s="1"/>
  <c r="AC8589" i="1"/>
  <c r="AD8589" i="1" s="1"/>
  <c r="AB8589" i="1" s="1"/>
  <c r="AC8596" i="1"/>
  <c r="AD8596" i="1" s="1"/>
  <c r="AB8596" i="1" s="1"/>
  <c r="AC8592" i="1"/>
  <c r="AD8592" i="1" s="1"/>
  <c r="AB8592" i="1" s="1"/>
  <c r="AC8595" i="1"/>
  <c r="AD8595" i="1" s="1"/>
  <c r="AB8595" i="1" s="1"/>
  <c r="AC8511" i="1"/>
  <c r="AD8511" i="1" s="1"/>
  <c r="AB8511" i="1" s="1"/>
  <c r="AC8510" i="1"/>
  <c r="AD8510" i="1" s="1"/>
  <c r="AB8510" i="1" s="1"/>
  <c r="AC8505" i="1"/>
  <c r="AD8505" i="1" s="1"/>
  <c r="AB8505" i="1" s="1"/>
  <c r="AC8512" i="1"/>
  <c r="AD8512" i="1" s="1"/>
  <c r="AB8512" i="1" s="1"/>
  <c r="AC8506" i="1"/>
  <c r="AD8506" i="1" s="1"/>
  <c r="AB8506" i="1" s="1"/>
  <c r="AC8508" i="1"/>
  <c r="AD8508" i="1" s="1"/>
  <c r="AB8508" i="1" s="1"/>
  <c r="AC8507" i="1"/>
  <c r="AD8507" i="1" s="1"/>
  <c r="AB8507" i="1" s="1"/>
  <c r="AC8509" i="1"/>
  <c r="AD8509" i="1" s="1"/>
  <c r="AB8509" i="1" s="1"/>
  <c r="AC8504" i="1"/>
  <c r="AD8504" i="1" s="1"/>
  <c r="AC8515" i="1"/>
  <c r="AD8515" i="1" s="1"/>
  <c r="AB8515" i="1" s="1"/>
  <c r="AC8517" i="1"/>
  <c r="AD8517" i="1" s="1"/>
  <c r="AB8517" i="1" s="1"/>
  <c r="AC8514" i="1"/>
  <c r="AD8514" i="1" s="1"/>
  <c r="AC8520" i="1"/>
  <c r="AD8520" i="1" s="1"/>
  <c r="AC8526" i="1"/>
  <c r="AD8526" i="1" s="1"/>
  <c r="AB8526" i="1" s="1"/>
  <c r="AC8521" i="1"/>
  <c r="AD8521" i="1" s="1"/>
  <c r="AB8521" i="1" s="1"/>
  <c r="AC8525" i="1"/>
  <c r="AD8525" i="1" s="1"/>
  <c r="AB8525" i="1" s="1"/>
  <c r="AC8523" i="1"/>
  <c r="AD8523" i="1" s="1"/>
  <c r="AB8523" i="1" s="1"/>
  <c r="AC8528" i="1"/>
  <c r="AD8528" i="1" s="1"/>
  <c r="AB8528" i="1" s="1"/>
  <c r="AC8527" i="1"/>
  <c r="AD8527" i="1" s="1"/>
  <c r="AB8527" i="1" s="1"/>
  <c r="AC8522" i="1"/>
  <c r="AD8522" i="1" s="1"/>
  <c r="AB8522" i="1" s="1"/>
  <c r="AC8524" i="1"/>
  <c r="AD8524" i="1" s="1"/>
  <c r="AB8524" i="1" s="1"/>
  <c r="AC8531" i="1"/>
  <c r="AD8531" i="1" s="1"/>
  <c r="AB8531" i="1" s="1"/>
  <c r="AC8533" i="1"/>
  <c r="AD8533" i="1" s="1"/>
  <c r="AB8533" i="1" s="1"/>
  <c r="AC8530" i="1"/>
  <c r="AD8530" i="1" s="1"/>
  <c r="AC8518" i="1"/>
  <c r="N8518" i="1"/>
  <c r="AC8477" i="1"/>
  <c r="AD8477" i="1" s="1"/>
  <c r="AB8477" i="1" s="1"/>
  <c r="AC8479" i="1"/>
  <c r="AD8479" i="1" s="1"/>
  <c r="AB8479" i="1" s="1"/>
  <c r="AC8476" i="1"/>
  <c r="AD8476" i="1" s="1"/>
  <c r="AC8471" i="1"/>
  <c r="AD8471" i="1" s="1"/>
  <c r="AB8471" i="1" s="1"/>
  <c r="AC8468" i="1"/>
  <c r="AD8468" i="1" s="1"/>
  <c r="AB8468" i="1" s="1"/>
  <c r="AC8472" i="1"/>
  <c r="AD8472" i="1" s="1"/>
  <c r="AB8472" i="1" s="1"/>
  <c r="AC8467" i="1"/>
  <c r="AD8467" i="1" s="1"/>
  <c r="AB8467" i="1" s="1"/>
  <c r="AC8473" i="1"/>
  <c r="AD8473" i="1" s="1"/>
  <c r="AB8473" i="1" s="1"/>
  <c r="AC8469" i="1"/>
  <c r="AD8469" i="1" s="1"/>
  <c r="AB8469" i="1" s="1"/>
  <c r="AC8474" i="1"/>
  <c r="AD8474" i="1" s="1"/>
  <c r="AB8474" i="1" s="1"/>
  <c r="AC8466" i="1"/>
  <c r="AD8466" i="1" s="1"/>
  <c r="AC8470" i="1"/>
  <c r="AD8470" i="1" s="1"/>
  <c r="AB8470" i="1" s="1"/>
  <c r="AC8495" i="1"/>
  <c r="AD8495" i="1" s="1"/>
  <c r="AB8495" i="1" s="1"/>
  <c r="AC8493" i="1"/>
  <c r="AD8493" i="1" s="1"/>
  <c r="AB8493" i="1" s="1"/>
  <c r="AC8492" i="1"/>
  <c r="AD8492" i="1" s="1"/>
  <c r="AC8487" i="1"/>
  <c r="AD8487" i="1" s="1"/>
  <c r="AB8487" i="1" s="1"/>
  <c r="AC8482" i="1"/>
  <c r="AD8482" i="1" s="1"/>
  <c r="AC8489" i="1"/>
  <c r="AD8489" i="1" s="1"/>
  <c r="AB8489" i="1" s="1"/>
  <c r="AC8484" i="1"/>
  <c r="AD8484" i="1" s="1"/>
  <c r="AB8484" i="1" s="1"/>
  <c r="AC8486" i="1"/>
  <c r="AD8486" i="1" s="1"/>
  <c r="AB8486" i="1" s="1"/>
  <c r="AC8488" i="1"/>
  <c r="AD8488" i="1" s="1"/>
  <c r="AB8488" i="1" s="1"/>
  <c r="AC8483" i="1"/>
  <c r="AD8483" i="1" s="1"/>
  <c r="AB8483" i="1" s="1"/>
  <c r="AC8485" i="1"/>
  <c r="AD8485" i="1" s="1"/>
  <c r="AB8485" i="1" s="1"/>
  <c r="AC8490" i="1"/>
  <c r="AD8490" i="1" s="1"/>
  <c r="AB8490" i="1" s="1"/>
  <c r="N8213" i="1"/>
  <c r="AC8480" i="1"/>
  <c r="N8480" i="1"/>
  <c r="AC8263" i="1"/>
  <c r="AC8373" i="1"/>
  <c r="AD8373" i="1" s="1"/>
  <c r="AB8373" i="1" s="1"/>
  <c r="AC8368" i="1"/>
  <c r="AD8368" i="1" s="1"/>
  <c r="AC8375" i="1"/>
  <c r="AD8375" i="1" s="1"/>
  <c r="AB8375" i="1" s="1"/>
  <c r="AC8370" i="1"/>
  <c r="AD8370" i="1" s="1"/>
  <c r="AB8370" i="1" s="1"/>
  <c r="AC8374" i="1"/>
  <c r="AD8374" i="1" s="1"/>
  <c r="AB8374" i="1" s="1"/>
  <c r="AC8369" i="1"/>
  <c r="AD8369" i="1" s="1"/>
  <c r="AB8369" i="1" s="1"/>
  <c r="AC8372" i="1"/>
  <c r="AD8372" i="1" s="1"/>
  <c r="AB8372" i="1" s="1"/>
  <c r="AC8371" i="1"/>
  <c r="AD8371" i="1" s="1"/>
  <c r="AB8371" i="1" s="1"/>
  <c r="AC8380" i="1"/>
  <c r="AD8380" i="1" s="1"/>
  <c r="AB8380" i="1" s="1"/>
  <c r="AC8378" i="1"/>
  <c r="AD8378" i="1" s="1"/>
  <c r="AB8378" i="1" s="1"/>
  <c r="AC8377" i="1"/>
  <c r="AD8377" i="1" s="1"/>
  <c r="N8295" i="1"/>
  <c r="AC8389" i="1"/>
  <c r="AD8389" i="1" s="1"/>
  <c r="AB8389" i="1" s="1"/>
  <c r="AC8384" i="1"/>
  <c r="AD8384" i="1" s="1"/>
  <c r="AB8384" i="1" s="1"/>
  <c r="AC8387" i="1"/>
  <c r="AD8387" i="1" s="1"/>
  <c r="AB8387" i="1" s="1"/>
  <c r="AC8386" i="1"/>
  <c r="AD8386" i="1" s="1"/>
  <c r="AB8386" i="1" s="1"/>
  <c r="AC8388" i="1"/>
  <c r="AD8388" i="1" s="1"/>
  <c r="AB8388" i="1" s="1"/>
  <c r="AC8383" i="1"/>
  <c r="AD8383" i="1" s="1"/>
  <c r="AC8390" i="1"/>
  <c r="AD8390" i="1" s="1"/>
  <c r="AB8390" i="1" s="1"/>
  <c r="AC8385" i="1"/>
  <c r="AD8385" i="1" s="1"/>
  <c r="AB8385" i="1" s="1"/>
  <c r="AC8395" i="1"/>
  <c r="AD8395" i="1" s="1"/>
  <c r="AB8395" i="1" s="1"/>
  <c r="AC8392" i="1"/>
  <c r="AD8392" i="1" s="1"/>
  <c r="AC8393" i="1"/>
  <c r="AD8393" i="1" s="1"/>
  <c r="AB8393" i="1" s="1"/>
  <c r="N8228" i="1"/>
  <c r="AC8404" i="1"/>
  <c r="AD8404" i="1" s="1"/>
  <c r="AB8404" i="1" s="1"/>
  <c r="AC8399" i="1"/>
  <c r="AD8399" i="1" s="1"/>
  <c r="AB8399" i="1" s="1"/>
  <c r="AC8402" i="1"/>
  <c r="AD8402" i="1" s="1"/>
  <c r="AB8402" i="1" s="1"/>
  <c r="AC8401" i="1"/>
  <c r="AD8401" i="1" s="1"/>
  <c r="AB8401" i="1" s="1"/>
  <c r="AC8403" i="1"/>
  <c r="AD8403" i="1" s="1"/>
  <c r="AB8403" i="1" s="1"/>
  <c r="AC8398" i="1"/>
  <c r="AD8398" i="1" s="1"/>
  <c r="AC8406" i="1"/>
  <c r="AD8406" i="1" s="1"/>
  <c r="AB8406" i="1" s="1"/>
  <c r="AC8405" i="1"/>
  <c r="AD8405" i="1" s="1"/>
  <c r="AB8405" i="1" s="1"/>
  <c r="AC8400" i="1"/>
  <c r="AD8400" i="1" s="1"/>
  <c r="AB8400" i="1" s="1"/>
  <c r="AC8411" i="1"/>
  <c r="AD8411" i="1" s="1"/>
  <c r="AB8411" i="1" s="1"/>
  <c r="AC8409" i="1"/>
  <c r="AD8409" i="1" s="1"/>
  <c r="AB8409" i="1" s="1"/>
  <c r="AC8408" i="1"/>
  <c r="AD8408" i="1" s="1"/>
  <c r="N8396" i="1"/>
  <c r="AC8396" i="1"/>
  <c r="AC8419" i="1"/>
  <c r="AD8419" i="1" s="1"/>
  <c r="AB8419" i="1" s="1"/>
  <c r="AC8420" i="1"/>
  <c r="AD8420" i="1" s="1"/>
  <c r="AB8420" i="1" s="1"/>
  <c r="AC8415" i="1"/>
  <c r="AD8415" i="1" s="1"/>
  <c r="AB8415" i="1" s="1"/>
  <c r="AC8422" i="1"/>
  <c r="AD8422" i="1" s="1"/>
  <c r="AB8422" i="1" s="1"/>
  <c r="AC8414" i="1"/>
  <c r="AD8414" i="1" s="1"/>
  <c r="AC8417" i="1"/>
  <c r="AD8417" i="1" s="1"/>
  <c r="AB8417" i="1" s="1"/>
  <c r="AC8421" i="1"/>
  <c r="AD8421" i="1" s="1"/>
  <c r="AB8421" i="1" s="1"/>
  <c r="AC8416" i="1"/>
  <c r="AD8416" i="1" s="1"/>
  <c r="AB8416" i="1" s="1"/>
  <c r="AC8418" i="1"/>
  <c r="AD8418" i="1" s="1"/>
  <c r="AB8418" i="1" s="1"/>
  <c r="AC8427" i="1"/>
  <c r="AD8427" i="1" s="1"/>
  <c r="AB8427" i="1" s="1"/>
  <c r="AC8425" i="1"/>
  <c r="AD8425" i="1" s="1"/>
  <c r="AB8425" i="1" s="1"/>
  <c r="AC8424" i="1"/>
  <c r="AD8424" i="1" s="1"/>
  <c r="AC8436" i="1"/>
  <c r="AD8436" i="1" s="1"/>
  <c r="AB8436" i="1" s="1"/>
  <c r="AC8431" i="1"/>
  <c r="AD8431" i="1" s="1"/>
  <c r="AB8431" i="1" s="1"/>
  <c r="AC8433" i="1"/>
  <c r="AD8433" i="1" s="1"/>
  <c r="AB8433" i="1" s="1"/>
  <c r="AC8438" i="1"/>
  <c r="AD8438" i="1" s="1"/>
  <c r="AB8438" i="1" s="1"/>
  <c r="AC8435" i="1"/>
  <c r="AD8435" i="1" s="1"/>
  <c r="AB8435" i="1" s="1"/>
  <c r="AC8430" i="1"/>
  <c r="AD8430" i="1" s="1"/>
  <c r="AC8437" i="1"/>
  <c r="AD8437" i="1" s="1"/>
  <c r="AB8437" i="1" s="1"/>
  <c r="AC8432" i="1"/>
  <c r="AD8432" i="1" s="1"/>
  <c r="AB8432" i="1" s="1"/>
  <c r="AC8434" i="1"/>
  <c r="AD8434" i="1" s="1"/>
  <c r="AB8434" i="1" s="1"/>
  <c r="AC8443" i="1"/>
  <c r="AD8443" i="1" s="1"/>
  <c r="AB8443" i="1" s="1"/>
  <c r="AC8441" i="1"/>
  <c r="AD8441" i="1" s="1"/>
  <c r="AB8441" i="1" s="1"/>
  <c r="AC8440" i="1"/>
  <c r="AD8440" i="1" s="1"/>
  <c r="AC8454" i="1"/>
  <c r="AD8454" i="1" s="1"/>
  <c r="AB8454" i="1" s="1"/>
  <c r="AC8446" i="1"/>
  <c r="AD8446" i="1" s="1"/>
  <c r="AC8452" i="1"/>
  <c r="AD8452" i="1" s="1"/>
  <c r="AB8452" i="1" s="1"/>
  <c r="AC8447" i="1"/>
  <c r="AD8447" i="1" s="1"/>
  <c r="AB8447" i="1" s="1"/>
  <c r="AC8451" i="1"/>
  <c r="AD8451" i="1" s="1"/>
  <c r="AB8451" i="1" s="1"/>
  <c r="AC8450" i="1"/>
  <c r="AD8450" i="1" s="1"/>
  <c r="AB8450" i="1" s="1"/>
  <c r="AC8449" i="1"/>
  <c r="AD8449" i="1" s="1"/>
  <c r="AB8449" i="1" s="1"/>
  <c r="AC8453" i="1"/>
  <c r="AD8453" i="1" s="1"/>
  <c r="AB8453" i="1" s="1"/>
  <c r="AC8448" i="1"/>
  <c r="AD8448" i="1" s="1"/>
  <c r="AB8448" i="1" s="1"/>
  <c r="AC8459" i="1"/>
  <c r="AD8459" i="1" s="1"/>
  <c r="AB8459" i="1" s="1"/>
  <c r="AC8457" i="1"/>
  <c r="AD8457" i="1" s="1"/>
  <c r="AB8457" i="1" s="1"/>
  <c r="AC8456" i="1"/>
  <c r="AD8456" i="1" s="1"/>
  <c r="N8444" i="1"/>
  <c r="AC8444" i="1"/>
  <c r="AC8218" i="1"/>
  <c r="AD8218" i="1" s="1"/>
  <c r="AB8218" i="1" s="1"/>
  <c r="AC8220" i="1"/>
  <c r="AD8220" i="1" s="1"/>
  <c r="AB8220" i="1" s="1"/>
  <c r="AC8221" i="1"/>
  <c r="AD8221" i="1" s="1"/>
  <c r="AB8221" i="1" s="1"/>
  <c r="AC8216" i="1"/>
  <c r="AD8216" i="1" s="1"/>
  <c r="AB8216" i="1" s="1"/>
  <c r="AC8215" i="1"/>
  <c r="AD8215" i="1" s="1"/>
  <c r="AC8222" i="1"/>
  <c r="AD8222" i="1" s="1"/>
  <c r="AB8222" i="1" s="1"/>
  <c r="AC8217" i="1"/>
  <c r="AD8217" i="1" s="1"/>
  <c r="AB8217" i="1" s="1"/>
  <c r="AC8219" i="1"/>
  <c r="AD8219" i="1" s="1"/>
  <c r="AB8219" i="1" s="1"/>
  <c r="AC8227" i="1"/>
  <c r="AD8227" i="1" s="1"/>
  <c r="AB8227" i="1" s="1"/>
  <c r="AC8225" i="1"/>
  <c r="AD8225" i="1" s="1"/>
  <c r="AB8225" i="1" s="1"/>
  <c r="AC8224" i="1"/>
  <c r="AD8224" i="1" s="1"/>
  <c r="AC8238" i="1"/>
  <c r="AD8238" i="1" s="1"/>
  <c r="AB8238" i="1" s="1"/>
  <c r="AC8236" i="1"/>
  <c r="AD8236" i="1" s="1"/>
  <c r="AB8236" i="1" s="1"/>
  <c r="AC8231" i="1"/>
  <c r="AD8231" i="1" s="1"/>
  <c r="AB8231" i="1" s="1"/>
  <c r="AC8233" i="1"/>
  <c r="AD8233" i="1" s="1"/>
  <c r="AB8233" i="1" s="1"/>
  <c r="AC8235" i="1"/>
  <c r="AD8235" i="1" s="1"/>
  <c r="AB8235" i="1" s="1"/>
  <c r="AC8237" i="1"/>
  <c r="AD8237" i="1" s="1"/>
  <c r="AB8237" i="1" s="1"/>
  <c r="AC8232" i="1"/>
  <c r="AD8232" i="1" s="1"/>
  <c r="AB8232" i="1" s="1"/>
  <c r="AC8230" i="1"/>
  <c r="AD8230" i="1" s="1"/>
  <c r="AC8234" i="1"/>
  <c r="AD8234" i="1" s="1"/>
  <c r="AB8234" i="1" s="1"/>
  <c r="AC8327" i="1"/>
  <c r="AC8243" i="1"/>
  <c r="AD8243" i="1" s="1"/>
  <c r="AB8243" i="1" s="1"/>
  <c r="AC8241" i="1"/>
  <c r="AD8241" i="1" s="1"/>
  <c r="AB8241" i="1" s="1"/>
  <c r="AC8240" i="1"/>
  <c r="AD8240" i="1" s="1"/>
  <c r="AC8252" i="1"/>
  <c r="AD8252" i="1" s="1"/>
  <c r="AB8252" i="1" s="1"/>
  <c r="AC8247" i="1"/>
  <c r="AD8247" i="1" s="1"/>
  <c r="AB8247" i="1" s="1"/>
  <c r="AC8253" i="1"/>
  <c r="AD8253" i="1" s="1"/>
  <c r="AB8253" i="1" s="1"/>
  <c r="AC8254" i="1"/>
  <c r="AD8254" i="1" s="1"/>
  <c r="AB8254" i="1" s="1"/>
  <c r="AC8248" i="1"/>
  <c r="AD8248" i="1" s="1"/>
  <c r="AB8248" i="1" s="1"/>
  <c r="AC8249" i="1"/>
  <c r="AD8249" i="1" s="1"/>
  <c r="AB8249" i="1" s="1"/>
  <c r="AC8250" i="1"/>
  <c r="AD8250" i="1" s="1"/>
  <c r="AB8250" i="1" s="1"/>
  <c r="AC8251" i="1"/>
  <c r="AD8251" i="1" s="1"/>
  <c r="AB8251" i="1" s="1"/>
  <c r="AC8246" i="1"/>
  <c r="AD8246" i="1" s="1"/>
  <c r="AC8259" i="1"/>
  <c r="AD8259" i="1" s="1"/>
  <c r="AB8259" i="1" s="1"/>
  <c r="AC8256" i="1"/>
  <c r="AD8256" i="1" s="1"/>
  <c r="AC8257" i="1"/>
  <c r="AD8257" i="1" s="1"/>
  <c r="AB8257" i="1" s="1"/>
  <c r="N8163" i="1"/>
  <c r="AC8270" i="1"/>
  <c r="AD8270" i="1" s="1"/>
  <c r="AB8270" i="1" s="1"/>
  <c r="AC8271" i="1"/>
  <c r="AD8271" i="1" s="1"/>
  <c r="AB8271" i="1" s="1"/>
  <c r="AC8266" i="1"/>
  <c r="AD8266" i="1" s="1"/>
  <c r="AB8266" i="1" s="1"/>
  <c r="AC8268" i="1"/>
  <c r="AD8268" i="1" s="1"/>
  <c r="AB8268" i="1" s="1"/>
  <c r="AC8265" i="1"/>
  <c r="AD8265" i="1" s="1"/>
  <c r="AC8272" i="1"/>
  <c r="AD8272" i="1" s="1"/>
  <c r="AB8272" i="1" s="1"/>
  <c r="AC8267" i="1"/>
  <c r="AD8267" i="1" s="1"/>
  <c r="AB8267" i="1" s="1"/>
  <c r="AC8269" i="1"/>
  <c r="AD8269" i="1" s="1"/>
  <c r="AB8269" i="1" s="1"/>
  <c r="AC8275" i="1"/>
  <c r="AD8275" i="1" s="1"/>
  <c r="AB8275" i="1" s="1"/>
  <c r="AC8277" i="1"/>
  <c r="AD8277" i="1" s="1"/>
  <c r="AB8277" i="1" s="1"/>
  <c r="AC8274" i="1"/>
  <c r="AD8274" i="1" s="1"/>
  <c r="AC8287" i="1"/>
  <c r="AD8287" i="1" s="1"/>
  <c r="AB8287" i="1" s="1"/>
  <c r="AC8282" i="1"/>
  <c r="AD8282" i="1" s="1"/>
  <c r="AB8282" i="1" s="1"/>
  <c r="AC8284" i="1"/>
  <c r="AD8284" i="1" s="1"/>
  <c r="AB8284" i="1" s="1"/>
  <c r="AC8288" i="1"/>
  <c r="AD8288" i="1" s="1"/>
  <c r="AB8288" i="1" s="1"/>
  <c r="AC8283" i="1"/>
  <c r="AD8283" i="1" s="1"/>
  <c r="AB8283" i="1" s="1"/>
  <c r="AC8289" i="1"/>
  <c r="AD8289" i="1" s="1"/>
  <c r="AB8289" i="1" s="1"/>
  <c r="AC8286" i="1"/>
  <c r="AD8286" i="1" s="1"/>
  <c r="AB8286" i="1" s="1"/>
  <c r="AC8281" i="1"/>
  <c r="AD8281" i="1" s="1"/>
  <c r="AC8285" i="1"/>
  <c r="AD8285" i="1" s="1"/>
  <c r="AB8285" i="1" s="1"/>
  <c r="AC8294" i="1"/>
  <c r="AD8294" i="1" s="1"/>
  <c r="AB8294" i="1" s="1"/>
  <c r="AC8292" i="1"/>
  <c r="AD8292" i="1" s="1"/>
  <c r="AB8292" i="1" s="1"/>
  <c r="AC8291" i="1"/>
  <c r="AD8291" i="1" s="1"/>
  <c r="AC8303" i="1"/>
  <c r="AD8303" i="1" s="1"/>
  <c r="AB8303" i="1" s="1"/>
  <c r="AC8298" i="1"/>
  <c r="AD8298" i="1" s="1"/>
  <c r="AB8298" i="1" s="1"/>
  <c r="AC8302" i="1"/>
  <c r="AD8302" i="1" s="1"/>
  <c r="AB8302" i="1" s="1"/>
  <c r="AC8297" i="1"/>
  <c r="AD8297" i="1" s="1"/>
  <c r="AC8301" i="1"/>
  <c r="AD8301" i="1" s="1"/>
  <c r="AB8301" i="1" s="1"/>
  <c r="AC8300" i="1"/>
  <c r="AD8300" i="1" s="1"/>
  <c r="AB8300" i="1" s="1"/>
  <c r="AC8305" i="1"/>
  <c r="AD8305" i="1" s="1"/>
  <c r="AB8305" i="1" s="1"/>
  <c r="AC8304" i="1"/>
  <c r="AD8304" i="1" s="1"/>
  <c r="AB8304" i="1" s="1"/>
  <c r="AC8299" i="1"/>
  <c r="AD8299" i="1" s="1"/>
  <c r="AB8299" i="1" s="1"/>
  <c r="AC8310" i="1"/>
  <c r="AD8310" i="1" s="1"/>
  <c r="AB8310" i="1" s="1"/>
  <c r="AC8308" i="1"/>
  <c r="AD8308" i="1" s="1"/>
  <c r="AB8308" i="1" s="1"/>
  <c r="AC8307" i="1"/>
  <c r="AD8307" i="1" s="1"/>
  <c r="AC8319" i="1"/>
  <c r="AD8319" i="1" s="1"/>
  <c r="AB8319" i="1" s="1"/>
  <c r="AC8314" i="1"/>
  <c r="AD8314" i="1" s="1"/>
  <c r="AB8314" i="1" s="1"/>
  <c r="AC8318" i="1"/>
  <c r="AD8318" i="1" s="1"/>
  <c r="AB8318" i="1" s="1"/>
  <c r="AC8313" i="1"/>
  <c r="AD8313" i="1" s="1"/>
  <c r="AC8321" i="1"/>
  <c r="AD8321" i="1" s="1"/>
  <c r="AB8321" i="1" s="1"/>
  <c r="AC8316" i="1"/>
  <c r="AD8316" i="1" s="1"/>
  <c r="AB8316" i="1" s="1"/>
  <c r="AC8320" i="1"/>
  <c r="AD8320" i="1" s="1"/>
  <c r="AB8320" i="1" s="1"/>
  <c r="AC8315" i="1"/>
  <c r="AD8315" i="1" s="1"/>
  <c r="AB8315" i="1" s="1"/>
  <c r="AC8317" i="1"/>
  <c r="AD8317" i="1" s="1"/>
  <c r="AB8317" i="1" s="1"/>
  <c r="AC8326" i="1"/>
  <c r="AD8326" i="1" s="1"/>
  <c r="AB8326" i="1" s="1"/>
  <c r="AC8324" i="1"/>
  <c r="AD8324" i="1" s="1"/>
  <c r="AB8324" i="1" s="1"/>
  <c r="AC8323" i="1"/>
  <c r="AD8323" i="1" s="1"/>
  <c r="AC8335" i="1"/>
  <c r="AD8335" i="1" s="1"/>
  <c r="AB8335" i="1" s="1"/>
  <c r="AC8330" i="1"/>
  <c r="AD8330" i="1" s="1"/>
  <c r="AB8330" i="1" s="1"/>
  <c r="AC8329" i="1"/>
  <c r="AD8329" i="1" s="1"/>
  <c r="AC8331" i="1"/>
  <c r="AD8331" i="1" s="1"/>
  <c r="AB8331" i="1" s="1"/>
  <c r="AC8332" i="1"/>
  <c r="AD8332" i="1" s="1"/>
  <c r="AB8332" i="1" s="1"/>
  <c r="AC8334" i="1"/>
  <c r="AD8334" i="1" s="1"/>
  <c r="AB8334" i="1" s="1"/>
  <c r="AC8337" i="1"/>
  <c r="AD8337" i="1" s="1"/>
  <c r="AB8337" i="1" s="1"/>
  <c r="AC8336" i="1"/>
  <c r="AD8336" i="1" s="1"/>
  <c r="AB8336" i="1" s="1"/>
  <c r="AC8333" i="1"/>
  <c r="AD8333" i="1" s="1"/>
  <c r="AB8333" i="1" s="1"/>
  <c r="AC8342" i="1"/>
  <c r="AD8342" i="1" s="1"/>
  <c r="AB8342" i="1" s="1"/>
  <c r="AC8340" i="1"/>
  <c r="AD8340" i="1" s="1"/>
  <c r="AB8340" i="1" s="1"/>
  <c r="AC8339" i="1"/>
  <c r="AD8339" i="1" s="1"/>
  <c r="AC8356" i="1"/>
  <c r="AD8356" i="1" s="1"/>
  <c r="AB8356" i="1" s="1"/>
  <c r="AC8351" i="1"/>
  <c r="AD8351" i="1" s="1"/>
  <c r="AB8351" i="1" s="1"/>
  <c r="AC8353" i="1"/>
  <c r="AD8353" i="1" s="1"/>
  <c r="AB8353" i="1" s="1"/>
  <c r="AC8358" i="1"/>
  <c r="AD8358" i="1" s="1"/>
  <c r="AB8358" i="1" s="1"/>
  <c r="AC8355" i="1"/>
  <c r="AD8355" i="1" s="1"/>
  <c r="AB8355" i="1" s="1"/>
  <c r="AC8350" i="1"/>
  <c r="AD8350" i="1" s="1"/>
  <c r="AC8354" i="1"/>
  <c r="AD8354" i="1" s="1"/>
  <c r="AB8354" i="1" s="1"/>
  <c r="AC8357" i="1"/>
  <c r="AD8357" i="1" s="1"/>
  <c r="AB8357" i="1" s="1"/>
  <c r="AC8352" i="1"/>
  <c r="AD8352" i="1" s="1"/>
  <c r="AB8352" i="1" s="1"/>
  <c r="AC8363" i="1"/>
  <c r="AD8363" i="1" s="1"/>
  <c r="AB8363" i="1" s="1"/>
  <c r="AC8361" i="1"/>
  <c r="AD8361" i="1" s="1"/>
  <c r="AB8361" i="1" s="1"/>
  <c r="AC8360" i="1"/>
  <c r="AD8360" i="1" s="1"/>
  <c r="AC8140" i="1"/>
  <c r="AD8140" i="1" s="1"/>
  <c r="AB8140" i="1" s="1"/>
  <c r="AC8135" i="1"/>
  <c r="AD8135" i="1" s="1"/>
  <c r="AB8135" i="1" s="1"/>
  <c r="AC8139" i="1"/>
  <c r="AD8139" i="1" s="1"/>
  <c r="AB8139" i="1" s="1"/>
  <c r="AC8141" i="1"/>
  <c r="AD8141" i="1" s="1"/>
  <c r="AB8141" i="1" s="1"/>
  <c r="AC8136" i="1"/>
  <c r="AD8136" i="1" s="1"/>
  <c r="AB8136" i="1" s="1"/>
  <c r="AC8134" i="1"/>
  <c r="AD8134" i="1" s="1"/>
  <c r="AC8138" i="1"/>
  <c r="AD8138" i="1" s="1"/>
  <c r="AB8138" i="1" s="1"/>
  <c r="AC8137" i="1"/>
  <c r="AD8137" i="1" s="1"/>
  <c r="AB8137" i="1" s="1"/>
  <c r="AC8146" i="1"/>
  <c r="AD8146" i="1" s="1"/>
  <c r="AB8146" i="1" s="1"/>
  <c r="AC8144" i="1"/>
  <c r="AD8144" i="1" s="1"/>
  <c r="AB8144" i="1" s="1"/>
  <c r="AC8143" i="1"/>
  <c r="AD8143" i="1" s="1"/>
  <c r="N8132" i="1"/>
  <c r="AC8132" i="1"/>
  <c r="N8195" i="1"/>
  <c r="AC8155" i="1"/>
  <c r="AD8155" i="1" s="1"/>
  <c r="AB8155" i="1" s="1"/>
  <c r="AC8150" i="1"/>
  <c r="AD8150" i="1" s="1"/>
  <c r="AB8150" i="1" s="1"/>
  <c r="AC8157" i="1"/>
  <c r="AD8157" i="1" s="1"/>
  <c r="AB8157" i="1" s="1"/>
  <c r="AC8153" i="1"/>
  <c r="AD8153" i="1" s="1"/>
  <c r="AB8153" i="1" s="1"/>
  <c r="AC8152" i="1"/>
  <c r="AD8152" i="1" s="1"/>
  <c r="AB8152" i="1" s="1"/>
  <c r="AC8154" i="1"/>
  <c r="AD8154" i="1" s="1"/>
  <c r="AB8154" i="1" s="1"/>
  <c r="AC8149" i="1"/>
  <c r="AD8149" i="1" s="1"/>
  <c r="AC8156" i="1"/>
  <c r="AD8156" i="1" s="1"/>
  <c r="AB8156" i="1" s="1"/>
  <c r="AC8151" i="1"/>
  <c r="AD8151" i="1" s="1"/>
  <c r="AB8151" i="1" s="1"/>
  <c r="AC8162" i="1"/>
  <c r="AD8162" i="1" s="1"/>
  <c r="AB8162" i="1" s="1"/>
  <c r="AC8160" i="1"/>
  <c r="AD8160" i="1" s="1"/>
  <c r="AB8160" i="1" s="1"/>
  <c r="AC8159" i="1"/>
  <c r="AD8159" i="1" s="1"/>
  <c r="AC8171" i="1"/>
  <c r="AD8171" i="1" s="1"/>
  <c r="AB8171" i="1" s="1"/>
  <c r="AC8166" i="1"/>
  <c r="AD8166" i="1" s="1"/>
  <c r="AB8166" i="1" s="1"/>
  <c r="AC8172" i="1"/>
  <c r="AD8172" i="1" s="1"/>
  <c r="AB8172" i="1" s="1"/>
  <c r="AC8169" i="1"/>
  <c r="AD8169" i="1" s="1"/>
  <c r="AB8169" i="1" s="1"/>
  <c r="AC8168" i="1"/>
  <c r="AD8168" i="1" s="1"/>
  <c r="AB8168" i="1" s="1"/>
  <c r="AC8173" i="1"/>
  <c r="AD8173" i="1" s="1"/>
  <c r="AB8173" i="1" s="1"/>
  <c r="AC8170" i="1"/>
  <c r="AD8170" i="1" s="1"/>
  <c r="AB8170" i="1" s="1"/>
  <c r="AC8165" i="1"/>
  <c r="AD8165" i="1" s="1"/>
  <c r="AC8167" i="1"/>
  <c r="AD8167" i="1" s="1"/>
  <c r="AB8167" i="1" s="1"/>
  <c r="AC8175" i="1"/>
  <c r="AD8175" i="1" s="1"/>
  <c r="AC8178" i="1"/>
  <c r="AD8178" i="1" s="1"/>
  <c r="AB8178" i="1" s="1"/>
  <c r="AC8176" i="1"/>
  <c r="AD8176" i="1" s="1"/>
  <c r="AB8176" i="1" s="1"/>
  <c r="AC8186" i="1"/>
  <c r="AD8186" i="1" s="1"/>
  <c r="AB8186" i="1" s="1"/>
  <c r="AC8187" i="1"/>
  <c r="AD8187" i="1" s="1"/>
  <c r="AB8187" i="1" s="1"/>
  <c r="AC8182" i="1"/>
  <c r="AD8182" i="1" s="1"/>
  <c r="AB8182" i="1" s="1"/>
  <c r="AC8184" i="1"/>
  <c r="AD8184" i="1" s="1"/>
  <c r="AB8184" i="1" s="1"/>
  <c r="AC8189" i="1"/>
  <c r="AD8189" i="1" s="1"/>
  <c r="AB8189" i="1" s="1"/>
  <c r="AC8181" i="1"/>
  <c r="AD8181" i="1" s="1"/>
  <c r="AC8185" i="1"/>
  <c r="AD8185" i="1" s="1"/>
  <c r="AB8185" i="1" s="1"/>
  <c r="AC8188" i="1"/>
  <c r="AD8188" i="1" s="1"/>
  <c r="AB8188" i="1" s="1"/>
  <c r="AC8183" i="1"/>
  <c r="AD8183" i="1" s="1"/>
  <c r="AB8183" i="1" s="1"/>
  <c r="AC8194" i="1"/>
  <c r="AD8194" i="1" s="1"/>
  <c r="AB8194" i="1" s="1"/>
  <c r="AC8192" i="1"/>
  <c r="AD8192" i="1" s="1"/>
  <c r="AB8192" i="1" s="1"/>
  <c r="AC8191" i="1"/>
  <c r="AD8191" i="1" s="1"/>
  <c r="N8179" i="1"/>
  <c r="AC8179" i="1"/>
  <c r="AC8073" i="1"/>
  <c r="AC8203" i="1"/>
  <c r="AD8203" i="1" s="1"/>
  <c r="AB8203" i="1" s="1"/>
  <c r="AC8198" i="1"/>
  <c r="AD8198" i="1" s="1"/>
  <c r="AB8198" i="1" s="1"/>
  <c r="AC8200" i="1"/>
  <c r="AD8200" i="1" s="1"/>
  <c r="AB8200" i="1" s="1"/>
  <c r="AC8205" i="1"/>
  <c r="AD8205" i="1" s="1"/>
  <c r="AB8205" i="1" s="1"/>
  <c r="AC8202" i="1"/>
  <c r="AD8202" i="1" s="1"/>
  <c r="AB8202" i="1" s="1"/>
  <c r="AC8197" i="1"/>
  <c r="AD8197" i="1" s="1"/>
  <c r="AC8201" i="1"/>
  <c r="AD8201" i="1" s="1"/>
  <c r="AB8201" i="1" s="1"/>
  <c r="AC8204" i="1"/>
  <c r="AD8204" i="1" s="1"/>
  <c r="AB8204" i="1" s="1"/>
  <c r="AC8199" i="1"/>
  <c r="AD8199" i="1" s="1"/>
  <c r="AB8199" i="1" s="1"/>
  <c r="AC8089" i="1"/>
  <c r="AC8208" i="1"/>
  <c r="AD8208" i="1" s="1"/>
  <c r="AB8208" i="1" s="1"/>
  <c r="AC8210" i="1"/>
  <c r="AD8210" i="1" s="1"/>
  <c r="AB8210" i="1" s="1"/>
  <c r="AC8207" i="1"/>
  <c r="AD8207" i="1" s="1"/>
  <c r="AC8119" i="1"/>
  <c r="AD8119" i="1" s="1"/>
  <c r="AB8119" i="1" s="1"/>
  <c r="AC8114" i="1"/>
  <c r="AD8114" i="1" s="1"/>
  <c r="AB8114" i="1" s="1"/>
  <c r="AC8117" i="1"/>
  <c r="AD8117" i="1" s="1"/>
  <c r="AB8117" i="1" s="1"/>
  <c r="AC8113" i="1"/>
  <c r="AD8113" i="1" s="1"/>
  <c r="AC8120" i="1"/>
  <c r="AD8120" i="1" s="1"/>
  <c r="AB8120" i="1" s="1"/>
  <c r="AC8116" i="1"/>
  <c r="AD8116" i="1" s="1"/>
  <c r="AB8116" i="1" s="1"/>
  <c r="AC8121" i="1"/>
  <c r="AD8121" i="1" s="1"/>
  <c r="AB8121" i="1" s="1"/>
  <c r="AC8118" i="1"/>
  <c r="AD8118" i="1" s="1"/>
  <c r="AB8118" i="1" s="1"/>
  <c r="AC8115" i="1"/>
  <c r="AD8115" i="1" s="1"/>
  <c r="AB8115" i="1" s="1"/>
  <c r="N7993" i="1"/>
  <c r="AC8126" i="1"/>
  <c r="AD8126" i="1" s="1"/>
  <c r="AB8126" i="1" s="1"/>
  <c r="AC8124" i="1"/>
  <c r="AD8124" i="1" s="1"/>
  <c r="AB8124" i="1" s="1"/>
  <c r="AC8123" i="1"/>
  <c r="AD8123" i="1" s="1"/>
  <c r="N8111" i="1"/>
  <c r="AC8111" i="1"/>
  <c r="AC8051" i="1"/>
  <c r="AD8051" i="1" s="1"/>
  <c r="AB8051" i="1" s="1"/>
  <c r="AC8046" i="1"/>
  <c r="AD8046" i="1" s="1"/>
  <c r="AB8046" i="1" s="1"/>
  <c r="AC8050" i="1"/>
  <c r="AD8050" i="1" s="1"/>
  <c r="AB8050" i="1" s="1"/>
  <c r="AC8045" i="1"/>
  <c r="AD8045" i="1" s="1"/>
  <c r="AC8052" i="1"/>
  <c r="AD8052" i="1" s="1"/>
  <c r="AB8052" i="1" s="1"/>
  <c r="AC8047" i="1"/>
  <c r="AD8047" i="1" s="1"/>
  <c r="AB8047" i="1" s="1"/>
  <c r="AC8049" i="1"/>
  <c r="AD8049" i="1" s="1"/>
  <c r="AB8049" i="1" s="1"/>
  <c r="AC8048" i="1"/>
  <c r="AD8048" i="1" s="1"/>
  <c r="AB8048" i="1" s="1"/>
  <c r="AC8055" i="1"/>
  <c r="AD8055" i="1" s="1"/>
  <c r="AB8055" i="1" s="1"/>
  <c r="AC8054" i="1"/>
  <c r="AD8054" i="1" s="1"/>
  <c r="AC8057" i="1"/>
  <c r="AD8057" i="1" s="1"/>
  <c r="AB8057" i="1" s="1"/>
  <c r="AC8043" i="1"/>
  <c r="N8043" i="1"/>
  <c r="AC8065" i="1"/>
  <c r="AD8065" i="1" s="1"/>
  <c r="AB8065" i="1" s="1"/>
  <c r="AC8066" i="1"/>
  <c r="AD8066" i="1" s="1"/>
  <c r="AB8066" i="1" s="1"/>
  <c r="AC8061" i="1"/>
  <c r="AD8061" i="1" s="1"/>
  <c r="AB8061" i="1" s="1"/>
  <c r="AC8063" i="1"/>
  <c r="AD8063" i="1" s="1"/>
  <c r="AB8063" i="1" s="1"/>
  <c r="AC8064" i="1"/>
  <c r="AD8064" i="1" s="1"/>
  <c r="AB8064" i="1" s="1"/>
  <c r="AC8060" i="1"/>
  <c r="AD8060" i="1" s="1"/>
  <c r="AC8067" i="1"/>
  <c r="AD8067" i="1" s="1"/>
  <c r="AB8067" i="1" s="1"/>
  <c r="AC8062" i="1"/>
  <c r="AD8062" i="1" s="1"/>
  <c r="AB8062" i="1" s="1"/>
  <c r="AC8072" i="1"/>
  <c r="AD8072" i="1" s="1"/>
  <c r="AB8072" i="1" s="1"/>
  <c r="AC8070" i="1"/>
  <c r="AD8070" i="1" s="1"/>
  <c r="AB8070" i="1" s="1"/>
  <c r="AC8069" i="1"/>
  <c r="AD8069" i="1" s="1"/>
  <c r="N8058" i="1"/>
  <c r="AC8058" i="1"/>
  <c r="AC8081" i="1"/>
  <c r="AD8081" i="1" s="1"/>
  <c r="AB8081" i="1" s="1"/>
  <c r="AC8076" i="1"/>
  <c r="AD8076" i="1" s="1"/>
  <c r="AB8076" i="1" s="1"/>
  <c r="AC8078" i="1"/>
  <c r="AD8078" i="1" s="1"/>
  <c r="AB8078" i="1" s="1"/>
  <c r="AC8083" i="1"/>
  <c r="AD8083" i="1" s="1"/>
  <c r="AB8083" i="1" s="1"/>
  <c r="AC8080" i="1"/>
  <c r="AD8080" i="1" s="1"/>
  <c r="AB8080" i="1" s="1"/>
  <c r="AC8075" i="1"/>
  <c r="AD8075" i="1" s="1"/>
  <c r="AC8079" i="1"/>
  <c r="AD8079" i="1" s="1"/>
  <c r="AB8079" i="1" s="1"/>
  <c r="AC8082" i="1"/>
  <c r="AD8082" i="1" s="1"/>
  <c r="AB8082" i="1" s="1"/>
  <c r="AC8077" i="1"/>
  <c r="AD8077" i="1" s="1"/>
  <c r="AB8077" i="1" s="1"/>
  <c r="AC8088" i="1"/>
  <c r="AD8088" i="1" s="1"/>
  <c r="AB8088" i="1" s="1"/>
  <c r="AC8086" i="1"/>
  <c r="AD8086" i="1" s="1"/>
  <c r="AB8086" i="1" s="1"/>
  <c r="AC8085" i="1"/>
  <c r="AD8085" i="1" s="1"/>
  <c r="N7976" i="1"/>
  <c r="N7960" i="1"/>
  <c r="AC8098" i="1"/>
  <c r="AD8098" i="1" s="1"/>
  <c r="AB8098" i="1" s="1"/>
  <c r="AC8095" i="1"/>
  <c r="AD8095" i="1" s="1"/>
  <c r="AB8095" i="1" s="1"/>
  <c r="AC8097" i="1"/>
  <c r="AD8097" i="1" s="1"/>
  <c r="AB8097" i="1" s="1"/>
  <c r="AC8092" i="1"/>
  <c r="AD8092" i="1" s="1"/>
  <c r="AB8092" i="1" s="1"/>
  <c r="AC8094" i="1"/>
  <c r="AD8094" i="1" s="1"/>
  <c r="AB8094" i="1" s="1"/>
  <c r="AC8099" i="1"/>
  <c r="AD8099" i="1" s="1"/>
  <c r="AB8099" i="1" s="1"/>
  <c r="AC8093" i="1"/>
  <c r="AD8093" i="1" s="1"/>
  <c r="AB8093" i="1" s="1"/>
  <c r="AC8096" i="1"/>
  <c r="AD8096" i="1" s="1"/>
  <c r="AB8096" i="1" s="1"/>
  <c r="AC8091" i="1"/>
  <c r="AD8091" i="1" s="1"/>
  <c r="AC8104" i="1"/>
  <c r="AD8104" i="1" s="1"/>
  <c r="AB8104" i="1" s="1"/>
  <c r="AC8102" i="1"/>
  <c r="AD8102" i="1" s="1"/>
  <c r="AB8102" i="1" s="1"/>
  <c r="AC8101" i="1"/>
  <c r="AD8101" i="1" s="1"/>
  <c r="AC7999" i="1"/>
  <c r="AD7999" i="1" s="1"/>
  <c r="AB7999" i="1" s="1"/>
  <c r="AC7998" i="1"/>
  <c r="AD7998" i="1" s="1"/>
  <c r="AB7998" i="1" s="1"/>
  <c r="AC8000" i="1"/>
  <c r="AD8000" i="1" s="1"/>
  <c r="AB8000" i="1" s="1"/>
  <c r="AC7995" i="1"/>
  <c r="AD7995" i="1" s="1"/>
  <c r="AC7996" i="1"/>
  <c r="AD7996" i="1" s="1"/>
  <c r="AB7996" i="1" s="1"/>
  <c r="AC8002" i="1"/>
  <c r="AD8002" i="1" s="1"/>
  <c r="AB8002" i="1" s="1"/>
  <c r="AC7997" i="1"/>
  <c r="AD7997" i="1" s="1"/>
  <c r="AB7997" i="1" s="1"/>
  <c r="AC8001" i="1"/>
  <c r="AD8001" i="1" s="1"/>
  <c r="AB8001" i="1" s="1"/>
  <c r="AC8007" i="1"/>
  <c r="AD8007" i="1" s="1"/>
  <c r="AB8007" i="1" s="1"/>
  <c r="AC8005" i="1"/>
  <c r="AD8005" i="1" s="1"/>
  <c r="AB8005" i="1" s="1"/>
  <c r="AC8004" i="1"/>
  <c r="AD8004" i="1" s="1"/>
  <c r="N7944" i="1"/>
  <c r="AC8016" i="1"/>
  <c r="AD8016" i="1" s="1"/>
  <c r="AB8016" i="1" s="1"/>
  <c r="AC8011" i="1"/>
  <c r="AD8011" i="1" s="1"/>
  <c r="AB8011" i="1" s="1"/>
  <c r="AC8015" i="1"/>
  <c r="AD8015" i="1" s="1"/>
  <c r="AB8015" i="1" s="1"/>
  <c r="AC8010" i="1"/>
  <c r="AD8010" i="1" s="1"/>
  <c r="AC8014" i="1"/>
  <c r="AD8014" i="1" s="1"/>
  <c r="AB8014" i="1" s="1"/>
  <c r="AC8013" i="1"/>
  <c r="AD8013" i="1" s="1"/>
  <c r="AB8013" i="1" s="1"/>
  <c r="AC8017" i="1"/>
  <c r="AD8017" i="1" s="1"/>
  <c r="AB8017" i="1" s="1"/>
  <c r="AC8012" i="1"/>
  <c r="AD8012" i="1" s="1"/>
  <c r="AB8012" i="1" s="1"/>
  <c r="AC8022" i="1"/>
  <c r="AD8022" i="1" s="1"/>
  <c r="AB8022" i="1" s="1"/>
  <c r="AC8020" i="1"/>
  <c r="AD8020" i="1" s="1"/>
  <c r="AB8020" i="1" s="1"/>
  <c r="AC8019" i="1"/>
  <c r="AD8019" i="1" s="1"/>
  <c r="AC8031" i="1"/>
  <c r="AD8031" i="1" s="1"/>
  <c r="AB8031" i="1" s="1"/>
  <c r="AC8026" i="1"/>
  <c r="AD8026" i="1" s="1"/>
  <c r="AB8026" i="1" s="1"/>
  <c r="AC8033" i="1"/>
  <c r="AD8033" i="1" s="1"/>
  <c r="AB8033" i="1" s="1"/>
  <c r="AC8030" i="1"/>
  <c r="AD8030" i="1" s="1"/>
  <c r="AB8030" i="1" s="1"/>
  <c r="AC8032" i="1"/>
  <c r="AD8032" i="1" s="1"/>
  <c r="AB8032" i="1" s="1"/>
  <c r="AC8027" i="1"/>
  <c r="AD8027" i="1" s="1"/>
  <c r="AB8027" i="1" s="1"/>
  <c r="AC8028" i="1"/>
  <c r="AD8028" i="1" s="1"/>
  <c r="AB8028" i="1" s="1"/>
  <c r="AC8025" i="1"/>
  <c r="AD8025" i="1" s="1"/>
  <c r="AC8029" i="1"/>
  <c r="AD8029" i="1" s="1"/>
  <c r="AB8029" i="1" s="1"/>
  <c r="AC8038" i="1"/>
  <c r="AD8038" i="1" s="1"/>
  <c r="AB8038" i="1" s="1"/>
  <c r="AC8036" i="1"/>
  <c r="AD8036" i="1" s="1"/>
  <c r="AB8036" i="1" s="1"/>
  <c r="AC8035" i="1"/>
  <c r="AD8035" i="1" s="1"/>
  <c r="AC8023" i="1"/>
  <c r="N8023" i="1"/>
  <c r="AC7915" i="1"/>
  <c r="AD7915" i="1" s="1"/>
  <c r="AC7919" i="1"/>
  <c r="AD7919" i="1" s="1"/>
  <c r="AB7919" i="1" s="1"/>
  <c r="AC7921" i="1"/>
  <c r="AD7921" i="1" s="1"/>
  <c r="AB7921" i="1" s="1"/>
  <c r="AC7916" i="1"/>
  <c r="AD7916" i="1" s="1"/>
  <c r="AB7916" i="1" s="1"/>
  <c r="AC7920" i="1"/>
  <c r="AD7920" i="1" s="1"/>
  <c r="AB7920" i="1" s="1"/>
  <c r="AC7918" i="1"/>
  <c r="AD7918" i="1" s="1"/>
  <c r="AB7918" i="1" s="1"/>
  <c r="AC7922" i="1"/>
  <c r="AD7922" i="1" s="1"/>
  <c r="AB7922" i="1" s="1"/>
  <c r="AC7917" i="1"/>
  <c r="AD7917" i="1" s="1"/>
  <c r="AB7917" i="1" s="1"/>
  <c r="AC7924" i="1"/>
  <c r="AD7924" i="1" s="1"/>
  <c r="AC7927" i="1"/>
  <c r="AD7927" i="1" s="1"/>
  <c r="AB7927" i="1" s="1"/>
  <c r="AC7925" i="1"/>
  <c r="AD7925" i="1" s="1"/>
  <c r="AB7925" i="1" s="1"/>
  <c r="AC7935" i="1"/>
  <c r="AD7935" i="1" s="1"/>
  <c r="AB7935" i="1" s="1"/>
  <c r="AC7930" i="1"/>
  <c r="AD7930" i="1" s="1"/>
  <c r="AC7934" i="1"/>
  <c r="AD7934" i="1" s="1"/>
  <c r="AB7934" i="1" s="1"/>
  <c r="AC7936" i="1"/>
  <c r="AD7936" i="1" s="1"/>
  <c r="AB7936" i="1" s="1"/>
  <c r="AC7931" i="1"/>
  <c r="AD7931" i="1" s="1"/>
  <c r="AB7931" i="1" s="1"/>
  <c r="AC7933" i="1"/>
  <c r="AD7933" i="1" s="1"/>
  <c r="AB7933" i="1" s="1"/>
  <c r="AC7938" i="1"/>
  <c r="AD7938" i="1" s="1"/>
  <c r="AB7938" i="1" s="1"/>
  <c r="AC7937" i="1"/>
  <c r="AD7937" i="1" s="1"/>
  <c r="AB7937" i="1" s="1"/>
  <c r="AC7932" i="1"/>
  <c r="AD7932" i="1" s="1"/>
  <c r="AB7932" i="1" s="1"/>
  <c r="AC7943" i="1"/>
  <c r="AD7943" i="1" s="1"/>
  <c r="AB7943" i="1" s="1"/>
  <c r="AC7941" i="1"/>
  <c r="AD7941" i="1" s="1"/>
  <c r="AB7941" i="1" s="1"/>
  <c r="AC7940" i="1"/>
  <c r="AD7940" i="1" s="1"/>
  <c r="N7928" i="1"/>
  <c r="AC7928" i="1"/>
  <c r="AC7954" i="1"/>
  <c r="AD7954" i="1" s="1"/>
  <c r="AB7954" i="1" s="1"/>
  <c r="AC7952" i="1"/>
  <c r="AD7952" i="1" s="1"/>
  <c r="AB7952" i="1" s="1"/>
  <c r="AC7947" i="1"/>
  <c r="AD7947" i="1" s="1"/>
  <c r="AB7947" i="1" s="1"/>
  <c r="AC7951" i="1"/>
  <c r="AD7951" i="1" s="1"/>
  <c r="AB7951" i="1" s="1"/>
  <c r="AC7950" i="1"/>
  <c r="AD7950" i="1" s="1"/>
  <c r="AB7950" i="1" s="1"/>
  <c r="AC7949" i="1"/>
  <c r="AD7949" i="1" s="1"/>
  <c r="AB7949" i="1" s="1"/>
  <c r="AC7946" i="1"/>
  <c r="AD7946" i="1" s="1"/>
  <c r="AC7953" i="1"/>
  <c r="AD7953" i="1" s="1"/>
  <c r="AB7953" i="1" s="1"/>
  <c r="AC7948" i="1"/>
  <c r="AD7948" i="1" s="1"/>
  <c r="AB7948" i="1" s="1"/>
  <c r="AC7957" i="1"/>
  <c r="AD7957" i="1" s="1"/>
  <c r="AB7957" i="1" s="1"/>
  <c r="AC7959" i="1"/>
  <c r="AD7959" i="1" s="1"/>
  <c r="AB7959" i="1" s="1"/>
  <c r="AC7956" i="1"/>
  <c r="AD7956" i="1" s="1"/>
  <c r="AC7968" i="1"/>
  <c r="AD7968" i="1" s="1"/>
  <c r="AB7968" i="1" s="1"/>
  <c r="AC7963" i="1"/>
  <c r="AD7963" i="1" s="1"/>
  <c r="AB7963" i="1" s="1"/>
  <c r="AC7965" i="1"/>
  <c r="AD7965" i="1" s="1"/>
  <c r="AB7965" i="1" s="1"/>
  <c r="AC7970" i="1"/>
  <c r="AD7970" i="1" s="1"/>
  <c r="AB7970" i="1" s="1"/>
  <c r="AC7969" i="1"/>
  <c r="AD7969" i="1" s="1"/>
  <c r="AB7969" i="1" s="1"/>
  <c r="AC7964" i="1"/>
  <c r="AD7964" i="1" s="1"/>
  <c r="AB7964" i="1" s="1"/>
  <c r="AC7966" i="1"/>
  <c r="AD7966" i="1" s="1"/>
  <c r="AB7966" i="1" s="1"/>
  <c r="AC7967" i="1"/>
  <c r="AD7967" i="1" s="1"/>
  <c r="AB7967" i="1" s="1"/>
  <c r="AC7962" i="1"/>
  <c r="AD7962" i="1" s="1"/>
  <c r="AC7975" i="1"/>
  <c r="AD7975" i="1" s="1"/>
  <c r="AB7975" i="1" s="1"/>
  <c r="AC7972" i="1"/>
  <c r="AD7972" i="1" s="1"/>
  <c r="AC7973" i="1"/>
  <c r="AD7973" i="1" s="1"/>
  <c r="AB7973" i="1" s="1"/>
  <c r="AC7984" i="1"/>
  <c r="AD7984" i="1" s="1"/>
  <c r="AB7984" i="1" s="1"/>
  <c r="AC7979" i="1"/>
  <c r="AD7979" i="1" s="1"/>
  <c r="AB7979" i="1" s="1"/>
  <c r="AC7981" i="1"/>
  <c r="AD7981" i="1" s="1"/>
  <c r="AB7981" i="1" s="1"/>
  <c r="AC7983" i="1"/>
  <c r="AD7983" i="1" s="1"/>
  <c r="AB7983" i="1" s="1"/>
  <c r="AC7982" i="1"/>
  <c r="AD7982" i="1" s="1"/>
  <c r="AB7982" i="1" s="1"/>
  <c r="AC7986" i="1"/>
  <c r="AD7986" i="1" s="1"/>
  <c r="AB7986" i="1" s="1"/>
  <c r="AC7978" i="1"/>
  <c r="AD7978" i="1" s="1"/>
  <c r="AC7985" i="1"/>
  <c r="AD7985" i="1" s="1"/>
  <c r="AB7985" i="1" s="1"/>
  <c r="AC7980" i="1"/>
  <c r="AD7980" i="1" s="1"/>
  <c r="AB7980" i="1" s="1"/>
  <c r="N7813" i="1"/>
  <c r="AC7991" i="1"/>
  <c r="AD7991" i="1" s="1"/>
  <c r="AB7991" i="1" s="1"/>
  <c r="AC7988" i="1"/>
  <c r="AD7988" i="1" s="1"/>
  <c r="AC7989" i="1"/>
  <c r="AD7989" i="1" s="1"/>
  <c r="AB7989" i="1" s="1"/>
  <c r="AC7845" i="1"/>
  <c r="AD7845" i="1" s="1"/>
  <c r="AB7845" i="1" s="1"/>
  <c r="AC7842" i="1"/>
  <c r="AD7842" i="1" s="1"/>
  <c r="AC7843" i="1"/>
  <c r="AD7843" i="1" s="1"/>
  <c r="AB7843" i="1" s="1"/>
  <c r="AC7835" i="1"/>
  <c r="AD7835" i="1" s="1"/>
  <c r="AB7835" i="1" s="1"/>
  <c r="AC7834" i="1"/>
  <c r="AD7834" i="1" s="1"/>
  <c r="AB7834" i="1" s="1"/>
  <c r="AC7836" i="1"/>
  <c r="AD7836" i="1" s="1"/>
  <c r="AB7836" i="1" s="1"/>
  <c r="AC7838" i="1"/>
  <c r="AD7838" i="1" s="1"/>
  <c r="AB7838" i="1" s="1"/>
  <c r="AC7833" i="1"/>
  <c r="AD7833" i="1" s="1"/>
  <c r="AC7840" i="1"/>
  <c r="AD7840" i="1" s="1"/>
  <c r="AB7840" i="1" s="1"/>
  <c r="AC7839" i="1"/>
  <c r="AD7839" i="1" s="1"/>
  <c r="AB7839" i="1" s="1"/>
  <c r="AC7837" i="1"/>
  <c r="AD7837" i="1" s="1"/>
  <c r="AB7837" i="1" s="1"/>
  <c r="N7831" i="1"/>
  <c r="AC7831" i="1"/>
  <c r="AC7854" i="1"/>
  <c r="AD7854" i="1" s="1"/>
  <c r="AB7854" i="1" s="1"/>
  <c r="AC7849" i="1"/>
  <c r="AD7849" i="1" s="1"/>
  <c r="AB7849" i="1" s="1"/>
  <c r="AC7853" i="1"/>
  <c r="AD7853" i="1" s="1"/>
  <c r="AB7853" i="1" s="1"/>
  <c r="AC7848" i="1"/>
  <c r="AD7848" i="1" s="1"/>
  <c r="AC7852" i="1"/>
  <c r="AD7852" i="1" s="1"/>
  <c r="AB7852" i="1" s="1"/>
  <c r="AC7851" i="1"/>
  <c r="AD7851" i="1" s="1"/>
  <c r="AB7851" i="1" s="1"/>
  <c r="AC7855" i="1"/>
  <c r="AD7855" i="1" s="1"/>
  <c r="AB7855" i="1" s="1"/>
  <c r="AC7850" i="1"/>
  <c r="AD7850" i="1" s="1"/>
  <c r="AB7850" i="1" s="1"/>
  <c r="AC7860" i="1"/>
  <c r="AD7860" i="1" s="1"/>
  <c r="AB7860" i="1" s="1"/>
  <c r="AC7858" i="1"/>
  <c r="AD7858" i="1" s="1"/>
  <c r="AB7858" i="1" s="1"/>
  <c r="AC7857" i="1"/>
  <c r="AD7857" i="1" s="1"/>
  <c r="N7846" i="1"/>
  <c r="AC7846" i="1"/>
  <c r="N7798" i="1"/>
  <c r="AC7869" i="1"/>
  <c r="AD7869" i="1" s="1"/>
  <c r="AB7869" i="1" s="1"/>
  <c r="AC7864" i="1"/>
  <c r="AD7864" i="1" s="1"/>
  <c r="AB7864" i="1" s="1"/>
  <c r="AC7866" i="1"/>
  <c r="AD7866" i="1" s="1"/>
  <c r="AB7866" i="1" s="1"/>
  <c r="AC7871" i="1"/>
  <c r="AD7871" i="1" s="1"/>
  <c r="AB7871" i="1" s="1"/>
  <c r="AC7868" i="1"/>
  <c r="AD7868" i="1" s="1"/>
  <c r="AB7868" i="1" s="1"/>
  <c r="AC7863" i="1"/>
  <c r="AD7863" i="1" s="1"/>
  <c r="AC7870" i="1"/>
  <c r="AD7870" i="1" s="1"/>
  <c r="AB7870" i="1" s="1"/>
  <c r="AC7865" i="1"/>
  <c r="AD7865" i="1" s="1"/>
  <c r="AB7865" i="1" s="1"/>
  <c r="AC7867" i="1"/>
  <c r="AD7867" i="1" s="1"/>
  <c r="AB7867" i="1" s="1"/>
  <c r="AC7874" i="1"/>
  <c r="AD7874" i="1" s="1"/>
  <c r="AB7874" i="1" s="1"/>
  <c r="AC7876" i="1"/>
  <c r="AD7876" i="1" s="1"/>
  <c r="AB7876" i="1" s="1"/>
  <c r="AC7873" i="1"/>
  <c r="AD7873" i="1" s="1"/>
  <c r="AC7890" i="1"/>
  <c r="AD7890" i="1" s="1"/>
  <c r="AB7890" i="1" s="1"/>
  <c r="AC7889" i="1"/>
  <c r="AD7889" i="1" s="1"/>
  <c r="AC7892" i="1"/>
  <c r="AD7892" i="1" s="1"/>
  <c r="AB7892" i="1" s="1"/>
  <c r="AC7884" i="1"/>
  <c r="AD7884" i="1" s="1"/>
  <c r="AB7884" i="1" s="1"/>
  <c r="AC7879" i="1"/>
  <c r="AD7879" i="1" s="1"/>
  <c r="AC7883" i="1"/>
  <c r="AD7883" i="1" s="1"/>
  <c r="AB7883" i="1" s="1"/>
  <c r="AC7885" i="1"/>
  <c r="AD7885" i="1" s="1"/>
  <c r="AB7885" i="1" s="1"/>
  <c r="AC7880" i="1"/>
  <c r="AD7880" i="1" s="1"/>
  <c r="AB7880" i="1" s="1"/>
  <c r="AC7887" i="1"/>
  <c r="AD7887" i="1" s="1"/>
  <c r="AB7887" i="1" s="1"/>
  <c r="AC7882" i="1"/>
  <c r="AD7882" i="1" s="1"/>
  <c r="AB7882" i="1" s="1"/>
  <c r="AC7886" i="1"/>
  <c r="AD7886" i="1" s="1"/>
  <c r="AB7886" i="1" s="1"/>
  <c r="AC7881" i="1"/>
  <c r="AD7881" i="1" s="1"/>
  <c r="AB7881" i="1" s="1"/>
  <c r="AC7901" i="1"/>
  <c r="AD7901" i="1" s="1"/>
  <c r="AB7901" i="1" s="1"/>
  <c r="AC7896" i="1"/>
  <c r="AD7896" i="1" s="1"/>
  <c r="AB7896" i="1" s="1"/>
  <c r="AC7898" i="1"/>
  <c r="AD7898" i="1" s="1"/>
  <c r="AB7898" i="1" s="1"/>
  <c r="AC7903" i="1"/>
  <c r="AD7903" i="1" s="1"/>
  <c r="AB7903" i="1" s="1"/>
  <c r="AC7900" i="1"/>
  <c r="AD7900" i="1" s="1"/>
  <c r="AB7900" i="1" s="1"/>
  <c r="AC7895" i="1"/>
  <c r="AD7895" i="1" s="1"/>
  <c r="AC7899" i="1"/>
  <c r="AD7899" i="1" s="1"/>
  <c r="AB7899" i="1" s="1"/>
  <c r="AC7902" i="1"/>
  <c r="AD7902" i="1" s="1"/>
  <c r="AB7902" i="1" s="1"/>
  <c r="AC7897" i="1"/>
  <c r="AD7897" i="1" s="1"/>
  <c r="AB7897" i="1" s="1"/>
  <c r="AC7908" i="1"/>
  <c r="AD7908" i="1" s="1"/>
  <c r="AB7908" i="1" s="1"/>
  <c r="AC7906" i="1"/>
  <c r="AD7906" i="1" s="1"/>
  <c r="AB7906" i="1" s="1"/>
  <c r="AC7905" i="1"/>
  <c r="AD7905" i="1" s="1"/>
  <c r="AC7789" i="1"/>
  <c r="AD7789" i="1" s="1"/>
  <c r="AB7789" i="1" s="1"/>
  <c r="AC7790" i="1"/>
  <c r="AC7785" i="1"/>
  <c r="AD7785" i="1" s="1"/>
  <c r="AC7792" i="1"/>
  <c r="AD7792" i="1" s="1"/>
  <c r="AB7792" i="1" s="1"/>
  <c r="AC7787" i="1"/>
  <c r="AD7787" i="1" s="1"/>
  <c r="AB7787" i="1" s="1"/>
  <c r="AC7786" i="1"/>
  <c r="AD7786" i="1" s="1"/>
  <c r="AB7786" i="1" s="1"/>
  <c r="AC7788" i="1"/>
  <c r="AD7788" i="1" s="1"/>
  <c r="AB7788" i="1" s="1"/>
  <c r="AC7791" i="1"/>
  <c r="AD7791" i="1" s="1"/>
  <c r="AB7791" i="1" s="1"/>
  <c r="AC7797" i="1"/>
  <c r="AD7797" i="1" s="1"/>
  <c r="AB7797" i="1" s="1"/>
  <c r="AC7795" i="1"/>
  <c r="AD7795" i="1" s="1"/>
  <c r="AB7795" i="1" s="1"/>
  <c r="AC7794" i="1"/>
  <c r="AD7794" i="1" s="1"/>
  <c r="N7783" i="1"/>
  <c r="AC7783" i="1"/>
  <c r="AC7806" i="1"/>
  <c r="AD7806" i="1" s="1"/>
  <c r="AB7806" i="1" s="1"/>
  <c r="AC7801" i="1"/>
  <c r="AD7801" i="1" s="1"/>
  <c r="AB7801" i="1" s="1"/>
  <c r="AC7803" i="1"/>
  <c r="AD7803" i="1" s="1"/>
  <c r="AB7803" i="1" s="1"/>
  <c r="AC7805" i="1"/>
  <c r="AD7805" i="1" s="1"/>
  <c r="AB7805" i="1" s="1"/>
  <c r="AC7800" i="1"/>
  <c r="AD7800" i="1" s="1"/>
  <c r="AC7807" i="1"/>
  <c r="AD7807" i="1" s="1"/>
  <c r="AB7807" i="1" s="1"/>
  <c r="AC7802" i="1"/>
  <c r="AD7802" i="1" s="1"/>
  <c r="AB7802" i="1" s="1"/>
  <c r="AC7804" i="1"/>
  <c r="AD7804" i="1" s="1"/>
  <c r="AB7804" i="1" s="1"/>
  <c r="AC7812" i="1"/>
  <c r="AD7812" i="1" s="1"/>
  <c r="AB7812" i="1" s="1"/>
  <c r="AC7810" i="1"/>
  <c r="AD7810" i="1" s="1"/>
  <c r="AB7810" i="1" s="1"/>
  <c r="AC7809" i="1"/>
  <c r="AD7809" i="1" s="1"/>
  <c r="AC7821" i="1"/>
  <c r="AD7821" i="1" s="1"/>
  <c r="AB7821" i="1" s="1"/>
  <c r="AC7816" i="1"/>
  <c r="AD7816" i="1" s="1"/>
  <c r="AB7816" i="1" s="1"/>
  <c r="AC7818" i="1"/>
  <c r="AD7818" i="1" s="1"/>
  <c r="AB7818" i="1" s="1"/>
  <c r="AC7823" i="1"/>
  <c r="AD7823" i="1" s="1"/>
  <c r="AB7823" i="1" s="1"/>
  <c r="AC7820" i="1"/>
  <c r="AD7820" i="1" s="1"/>
  <c r="AB7820" i="1" s="1"/>
  <c r="AC7822" i="1"/>
  <c r="AD7822" i="1" s="1"/>
  <c r="AB7822" i="1" s="1"/>
  <c r="AC7817" i="1"/>
  <c r="AD7817" i="1" s="1"/>
  <c r="AB7817" i="1" s="1"/>
  <c r="AC7815" i="1"/>
  <c r="AD7815" i="1" s="1"/>
  <c r="AC7819" i="1"/>
  <c r="AD7819" i="1" s="1"/>
  <c r="AB7819" i="1" s="1"/>
  <c r="AC7828" i="1"/>
  <c r="AD7828" i="1" s="1"/>
  <c r="AB7828" i="1" s="1"/>
  <c r="AC7826" i="1"/>
  <c r="AD7826" i="1" s="1"/>
  <c r="AB7826" i="1" s="1"/>
  <c r="AC7825" i="1"/>
  <c r="AD7825" i="1" s="1"/>
  <c r="AC7766" i="1"/>
  <c r="AD7766" i="1" s="1"/>
  <c r="AB7766" i="1" s="1"/>
  <c r="AC7768" i="1"/>
  <c r="AD7768" i="1" s="1"/>
  <c r="AB7768" i="1" s="1"/>
  <c r="AC7763" i="1"/>
  <c r="AD7763" i="1" s="1"/>
  <c r="AB7763" i="1" s="1"/>
  <c r="AC7765" i="1"/>
  <c r="AD7765" i="1" s="1"/>
  <c r="AB7765" i="1" s="1"/>
  <c r="AC7769" i="1"/>
  <c r="AD7769" i="1" s="1"/>
  <c r="AB7769" i="1" s="1"/>
  <c r="AC7764" i="1"/>
  <c r="AD7764" i="1" s="1"/>
  <c r="AB7764" i="1" s="1"/>
  <c r="AC7767" i="1"/>
  <c r="AD7767" i="1" s="1"/>
  <c r="AB7767" i="1" s="1"/>
  <c r="AC7762" i="1"/>
  <c r="AD7762" i="1" s="1"/>
  <c r="AC7772" i="1"/>
  <c r="AD7772" i="1" s="1"/>
  <c r="AB7772" i="1" s="1"/>
  <c r="AC7775" i="1"/>
  <c r="AD7775" i="1" s="1"/>
  <c r="AB7775" i="1" s="1"/>
  <c r="AC7777" i="1"/>
  <c r="AD7777" i="1" s="1"/>
  <c r="AB7777" i="1" s="1"/>
  <c r="AC7776" i="1"/>
  <c r="AD7776" i="1" s="1"/>
  <c r="AB7776" i="1" s="1"/>
  <c r="AC7773" i="1"/>
  <c r="AD7773" i="1" s="1"/>
  <c r="AB7773" i="1" s="1"/>
  <c r="AC7774" i="1"/>
  <c r="AD7774" i="1" s="1"/>
  <c r="AB7774" i="1" s="1"/>
  <c r="AC7771" i="1"/>
  <c r="AD7771" i="1" s="1"/>
  <c r="AB7779" i="1"/>
  <c r="AD7778" i="1"/>
  <c r="N7137" i="1"/>
  <c r="AC7216" i="1"/>
  <c r="AC7134" i="1"/>
  <c r="AD7134" i="1" s="1"/>
  <c r="AB7134" i="1" s="1"/>
  <c r="AC7131" i="1"/>
  <c r="AD7131" i="1" s="1"/>
  <c r="AB7131" i="1" s="1"/>
  <c r="AC7133" i="1"/>
  <c r="AD7133" i="1" s="1"/>
  <c r="AB7133" i="1" s="1"/>
  <c r="AC7130" i="1"/>
  <c r="AD7130" i="1" s="1"/>
  <c r="AB7130" i="1" s="1"/>
  <c r="AC7132" i="1"/>
  <c r="AD7132" i="1" s="1"/>
  <c r="AB7132" i="1" s="1"/>
  <c r="AC7129" i="1"/>
  <c r="AD7129" i="1" s="1"/>
  <c r="N7176" i="1"/>
  <c r="AB7136" i="1"/>
  <c r="AD7135" i="1"/>
  <c r="AC7126" i="1"/>
  <c r="AD7126" i="1" s="1"/>
  <c r="AB7126" i="1" s="1"/>
  <c r="AC7121" i="1"/>
  <c r="AD7121" i="1" s="1"/>
  <c r="AB7121" i="1" s="1"/>
  <c r="AC7125" i="1"/>
  <c r="AD7125" i="1" s="1"/>
  <c r="AB7125" i="1" s="1"/>
  <c r="AC7120" i="1"/>
  <c r="AD7120" i="1" s="1"/>
  <c r="AC7127" i="1"/>
  <c r="AD7127" i="1" s="1"/>
  <c r="AB7127" i="1" s="1"/>
  <c r="AC7122" i="1"/>
  <c r="AD7122" i="1" s="1"/>
  <c r="AB7122" i="1" s="1"/>
  <c r="AC7123" i="1"/>
  <c r="AD7123" i="1" s="1"/>
  <c r="AB7123" i="1" s="1"/>
  <c r="AC7124" i="1"/>
  <c r="AD7124" i="1" s="1"/>
  <c r="AB7124" i="1" s="1"/>
  <c r="AC7151" i="1"/>
  <c r="AD7151" i="1" s="1"/>
  <c r="AB7151" i="1" s="1"/>
  <c r="AC7148" i="1"/>
  <c r="AD7148" i="1" s="1"/>
  <c r="AC7152" i="1"/>
  <c r="AD7152" i="1" s="1"/>
  <c r="AB7152" i="1" s="1"/>
  <c r="AC7149" i="1"/>
  <c r="AD7149" i="1" s="1"/>
  <c r="AB7149" i="1" s="1"/>
  <c r="AC7150" i="1"/>
  <c r="AD7150" i="1" s="1"/>
  <c r="AB7150" i="1" s="1"/>
  <c r="AC7153" i="1"/>
  <c r="AD7153" i="1" s="1"/>
  <c r="AB7153" i="1" s="1"/>
  <c r="AB7155" i="1"/>
  <c r="AD7154" i="1"/>
  <c r="AC7141" i="1"/>
  <c r="AD7141" i="1" s="1"/>
  <c r="AB7141" i="1" s="1"/>
  <c r="AC7143" i="1"/>
  <c r="AD7143" i="1" s="1"/>
  <c r="AB7143" i="1" s="1"/>
  <c r="AC7144" i="1"/>
  <c r="AD7144" i="1" s="1"/>
  <c r="AB7144" i="1" s="1"/>
  <c r="AC7145" i="1"/>
  <c r="AD7145" i="1" s="1"/>
  <c r="AB7145" i="1" s="1"/>
  <c r="AC7140" i="1"/>
  <c r="AD7140" i="1" s="1"/>
  <c r="AB7140" i="1" s="1"/>
  <c r="AC7142" i="1"/>
  <c r="AD7142" i="1" s="1"/>
  <c r="AB7142" i="1" s="1"/>
  <c r="AC7139" i="1"/>
  <c r="AD7139" i="1" s="1"/>
  <c r="AC7146" i="1"/>
  <c r="AD7146" i="1" s="1"/>
  <c r="AB7146" i="1" s="1"/>
  <c r="AC7163" i="1"/>
  <c r="AD7163" i="1" s="1"/>
  <c r="AB7163" i="1" s="1"/>
  <c r="AC7162" i="1"/>
  <c r="AD7162" i="1" s="1"/>
  <c r="AB7162" i="1" s="1"/>
  <c r="AC7164" i="1"/>
  <c r="AD7164" i="1" s="1"/>
  <c r="AB7164" i="1" s="1"/>
  <c r="AC7159" i="1"/>
  <c r="AD7159" i="1" s="1"/>
  <c r="AB7159" i="1" s="1"/>
  <c r="AC7166" i="1"/>
  <c r="AD7166" i="1" s="1"/>
  <c r="AB7166" i="1" s="1"/>
  <c r="AC7158" i="1"/>
  <c r="AD7158" i="1" s="1"/>
  <c r="AC7161" i="1"/>
  <c r="AD7161" i="1" s="1"/>
  <c r="AB7161" i="1" s="1"/>
  <c r="AC7165" i="1"/>
  <c r="AD7165" i="1" s="1"/>
  <c r="AB7165" i="1" s="1"/>
  <c r="AC7160" i="1"/>
  <c r="AD7160" i="1" s="1"/>
  <c r="AB7160" i="1" s="1"/>
  <c r="AC7172" i="1"/>
  <c r="AD7172" i="1" s="1"/>
  <c r="AB7172" i="1" s="1"/>
  <c r="AC7171" i="1"/>
  <c r="AD7171" i="1" s="1"/>
  <c r="AB7171" i="1" s="1"/>
  <c r="AC7173" i="1"/>
  <c r="AD7173" i="1" s="1"/>
  <c r="AB7173" i="1" s="1"/>
  <c r="AC7170" i="1"/>
  <c r="AD7170" i="1" s="1"/>
  <c r="AB7170" i="1" s="1"/>
  <c r="AC7168" i="1"/>
  <c r="AD7168" i="1" s="1"/>
  <c r="AC7169" i="1"/>
  <c r="AD7169" i="1" s="1"/>
  <c r="AB7169" i="1" s="1"/>
  <c r="AB7175" i="1"/>
  <c r="AD7174" i="1"/>
  <c r="AC7182" i="1"/>
  <c r="AD7182" i="1" s="1"/>
  <c r="AB7182" i="1" s="1"/>
  <c r="AC7186" i="1"/>
  <c r="AD7186" i="1" s="1"/>
  <c r="AB7186" i="1" s="1"/>
  <c r="AC7184" i="1"/>
  <c r="AD7184" i="1" s="1"/>
  <c r="AB7184" i="1" s="1"/>
  <c r="AC7179" i="1"/>
  <c r="AD7179" i="1" s="1"/>
  <c r="AB7179" i="1" s="1"/>
  <c r="AC7181" i="1"/>
  <c r="AD7181" i="1" s="1"/>
  <c r="AB7181" i="1" s="1"/>
  <c r="AC7185" i="1"/>
  <c r="AD7185" i="1" s="1"/>
  <c r="AB7185" i="1" s="1"/>
  <c r="AC7180" i="1"/>
  <c r="AD7180" i="1" s="1"/>
  <c r="AB7180" i="1" s="1"/>
  <c r="AC7183" i="1"/>
  <c r="AD7183" i="1" s="1"/>
  <c r="AB7183" i="1" s="1"/>
  <c r="AC7178" i="1"/>
  <c r="AD7178" i="1" s="1"/>
  <c r="AC7196" i="1"/>
  <c r="AC7190" i="1"/>
  <c r="AD7190" i="1" s="1"/>
  <c r="AB7190" i="1" s="1"/>
  <c r="AC7191" i="1"/>
  <c r="AD7191" i="1" s="1"/>
  <c r="AB7191" i="1" s="1"/>
  <c r="AC7188" i="1"/>
  <c r="AD7188" i="1" s="1"/>
  <c r="AC7193" i="1"/>
  <c r="AD7193" i="1" s="1"/>
  <c r="AB7193" i="1" s="1"/>
  <c r="AC7192" i="1"/>
  <c r="AD7192" i="1" s="1"/>
  <c r="AB7192" i="1" s="1"/>
  <c r="AC7189" i="1"/>
  <c r="AD7189" i="1" s="1"/>
  <c r="AB7189" i="1" s="1"/>
  <c r="AB7195" i="1"/>
  <c r="AD7194" i="1"/>
  <c r="N7237" i="1"/>
  <c r="AC7211" i="1"/>
  <c r="AD7211" i="1" s="1"/>
  <c r="AB7211" i="1" s="1"/>
  <c r="AC7210" i="1"/>
  <c r="AD7210" i="1" s="1"/>
  <c r="AB7210" i="1" s="1"/>
  <c r="AC7208" i="1"/>
  <c r="AD7208" i="1" s="1"/>
  <c r="AC7212" i="1"/>
  <c r="AD7212" i="1" s="1"/>
  <c r="AB7212" i="1" s="1"/>
  <c r="AC7209" i="1"/>
  <c r="AD7209" i="1" s="1"/>
  <c r="AB7209" i="1" s="1"/>
  <c r="AC7213" i="1"/>
  <c r="AD7213" i="1" s="1"/>
  <c r="AB7213" i="1" s="1"/>
  <c r="AB7215" i="1"/>
  <c r="AD7214" i="1"/>
  <c r="AC7202" i="1"/>
  <c r="AD7202" i="1" s="1"/>
  <c r="AB7202" i="1" s="1"/>
  <c r="AC7206" i="1"/>
  <c r="AD7206" i="1" s="1"/>
  <c r="AB7206" i="1" s="1"/>
  <c r="AC7201" i="1"/>
  <c r="AD7201" i="1" s="1"/>
  <c r="AB7201" i="1" s="1"/>
  <c r="AC7204" i="1"/>
  <c r="AD7204" i="1" s="1"/>
  <c r="AB7204" i="1" s="1"/>
  <c r="AC7199" i="1"/>
  <c r="AD7199" i="1" s="1"/>
  <c r="AB7199" i="1" s="1"/>
  <c r="AC7200" i="1"/>
  <c r="AD7200" i="1" s="1"/>
  <c r="AB7200" i="1" s="1"/>
  <c r="AC7203" i="1"/>
  <c r="AD7203" i="1" s="1"/>
  <c r="AB7203" i="1" s="1"/>
  <c r="AC7198" i="1"/>
  <c r="AD7198" i="1" s="1"/>
  <c r="AC7205" i="1"/>
  <c r="AD7205" i="1" s="1"/>
  <c r="AB7205" i="1" s="1"/>
  <c r="AC7230" i="1"/>
  <c r="AD7230" i="1" s="1"/>
  <c r="AB7230" i="1" s="1"/>
  <c r="AC7231" i="1"/>
  <c r="AD7231" i="1" s="1"/>
  <c r="AB7231" i="1" s="1"/>
  <c r="AC7232" i="1"/>
  <c r="AD7232" i="1" s="1"/>
  <c r="AB7232" i="1" s="1"/>
  <c r="AC7228" i="1"/>
  <c r="AD7228" i="1" s="1"/>
  <c r="AC7233" i="1"/>
  <c r="AD7233" i="1" s="1"/>
  <c r="AB7233" i="1" s="1"/>
  <c r="AC7229" i="1"/>
  <c r="AD7229" i="1" s="1"/>
  <c r="AB7229" i="1" s="1"/>
  <c r="AB7235" i="1"/>
  <c r="AD7234" i="1"/>
  <c r="AC7225" i="1"/>
  <c r="AD7225" i="1" s="1"/>
  <c r="AB7225" i="1" s="1"/>
  <c r="AC7220" i="1"/>
  <c r="AD7220" i="1" s="1"/>
  <c r="AB7220" i="1" s="1"/>
  <c r="AC7222" i="1"/>
  <c r="AD7222" i="1" s="1"/>
  <c r="AB7222" i="1" s="1"/>
  <c r="AC7226" i="1"/>
  <c r="AD7226" i="1" s="1"/>
  <c r="AB7226" i="1" s="1"/>
  <c r="AC7223" i="1"/>
  <c r="AD7223" i="1" s="1"/>
  <c r="AB7223" i="1" s="1"/>
  <c r="AC7218" i="1"/>
  <c r="AD7218" i="1" s="1"/>
  <c r="AC7224" i="1"/>
  <c r="AD7224" i="1" s="1"/>
  <c r="AB7224" i="1" s="1"/>
  <c r="AC7219" i="1"/>
  <c r="AD7219" i="1" s="1"/>
  <c r="AB7219" i="1" s="1"/>
  <c r="AC7221" i="1"/>
  <c r="AD7221" i="1" s="1"/>
  <c r="AB7221" i="1" s="1"/>
  <c r="N7276" i="1"/>
  <c r="AC7244" i="1"/>
  <c r="AD7244" i="1" s="1"/>
  <c r="AB7244" i="1" s="1"/>
  <c r="AC7243" i="1"/>
  <c r="AD7243" i="1" s="1"/>
  <c r="AB7243" i="1" s="1"/>
  <c r="AC7239" i="1"/>
  <c r="AD7239" i="1" s="1"/>
  <c r="AC7241" i="1"/>
  <c r="AD7241" i="1" s="1"/>
  <c r="AB7241" i="1" s="1"/>
  <c r="AC7245" i="1"/>
  <c r="AD7245" i="1" s="1"/>
  <c r="AB7245" i="1" s="1"/>
  <c r="AC7240" i="1"/>
  <c r="AD7240" i="1" s="1"/>
  <c r="AB7240" i="1" s="1"/>
  <c r="AC7242" i="1"/>
  <c r="AD7242" i="1" s="1"/>
  <c r="AB7242" i="1" s="1"/>
  <c r="AC7246" i="1"/>
  <c r="AD7246" i="1" s="1"/>
  <c r="AB7246" i="1" s="1"/>
  <c r="AC7253" i="1"/>
  <c r="AD7253" i="1" s="1"/>
  <c r="AB7253" i="1" s="1"/>
  <c r="AC7252" i="1"/>
  <c r="AD7252" i="1" s="1"/>
  <c r="AB7252" i="1" s="1"/>
  <c r="AC7249" i="1"/>
  <c r="AD7249" i="1" s="1"/>
  <c r="AB7249" i="1" s="1"/>
  <c r="AC7251" i="1"/>
  <c r="AD7251" i="1" s="1"/>
  <c r="AB7251" i="1" s="1"/>
  <c r="AC7248" i="1"/>
  <c r="AD7248" i="1" s="1"/>
  <c r="AC7250" i="1"/>
  <c r="AD7250" i="1" s="1"/>
  <c r="AB7250" i="1" s="1"/>
  <c r="AB7255" i="1"/>
  <c r="AD7254" i="1"/>
  <c r="AC7273" i="1"/>
  <c r="AD7273" i="1" s="1"/>
  <c r="AB7273" i="1" s="1"/>
  <c r="AC7270" i="1"/>
  <c r="AD7270" i="1" s="1"/>
  <c r="AB7270" i="1" s="1"/>
  <c r="AC7271" i="1"/>
  <c r="AD7271" i="1" s="1"/>
  <c r="AB7271" i="1" s="1"/>
  <c r="AC7269" i="1"/>
  <c r="AD7269" i="1" s="1"/>
  <c r="AB7269" i="1" s="1"/>
  <c r="AC7268" i="1"/>
  <c r="AD7268" i="1" s="1"/>
  <c r="AC7272" i="1"/>
  <c r="AD7272" i="1" s="1"/>
  <c r="AB7272" i="1" s="1"/>
  <c r="AC7265" i="1"/>
  <c r="AD7265" i="1" s="1"/>
  <c r="AB7265" i="1" s="1"/>
  <c r="AC7264" i="1"/>
  <c r="AD7264" i="1" s="1"/>
  <c r="AB7264" i="1" s="1"/>
  <c r="AC7259" i="1"/>
  <c r="AD7259" i="1" s="1"/>
  <c r="AB7259" i="1" s="1"/>
  <c r="AC7266" i="1"/>
  <c r="AD7266" i="1" s="1"/>
  <c r="AB7266" i="1" s="1"/>
  <c r="AC7263" i="1"/>
  <c r="AD7263" i="1" s="1"/>
  <c r="AB7263" i="1" s="1"/>
  <c r="AC7258" i="1"/>
  <c r="AD7258" i="1" s="1"/>
  <c r="AC7260" i="1"/>
  <c r="AD7260" i="1" s="1"/>
  <c r="AB7260" i="1" s="1"/>
  <c r="AC7262" i="1"/>
  <c r="AD7262" i="1" s="1"/>
  <c r="AB7262" i="1" s="1"/>
  <c r="AC7261" i="1"/>
  <c r="AD7261" i="1" s="1"/>
  <c r="AB7261" i="1" s="1"/>
  <c r="AD7274" i="1"/>
  <c r="AB7275" i="1"/>
  <c r="AC7282" i="1"/>
  <c r="AD7282" i="1" s="1"/>
  <c r="AB7282" i="1" s="1"/>
  <c r="AC7283" i="1"/>
  <c r="AD7283" i="1" s="1"/>
  <c r="AB7283" i="1" s="1"/>
  <c r="AC7284" i="1"/>
  <c r="AD7284" i="1" s="1"/>
  <c r="AB7284" i="1" s="1"/>
  <c r="AC7279" i="1"/>
  <c r="AD7279" i="1" s="1"/>
  <c r="AB7279" i="1" s="1"/>
  <c r="AC7281" i="1"/>
  <c r="AD7281" i="1" s="1"/>
  <c r="AB7281" i="1" s="1"/>
  <c r="AC7286" i="1"/>
  <c r="AD7286" i="1" s="1"/>
  <c r="AB7286" i="1" s="1"/>
  <c r="AC7278" i="1"/>
  <c r="AD7278" i="1" s="1"/>
  <c r="AC7285" i="1"/>
  <c r="AD7285" i="1" s="1"/>
  <c r="AB7285" i="1" s="1"/>
  <c r="AC7280" i="1"/>
  <c r="AD7280" i="1" s="1"/>
  <c r="AB7280" i="1" s="1"/>
  <c r="AC7291" i="1"/>
  <c r="AD7291" i="1" s="1"/>
  <c r="AB7291" i="1" s="1"/>
  <c r="AC7292" i="1"/>
  <c r="AD7292" i="1" s="1"/>
  <c r="AB7292" i="1" s="1"/>
  <c r="AC7288" i="1"/>
  <c r="AD7288" i="1" s="1"/>
  <c r="AC7293" i="1"/>
  <c r="AD7293" i="1" s="1"/>
  <c r="AB7293" i="1" s="1"/>
  <c r="AC7290" i="1"/>
  <c r="AD7290" i="1" s="1"/>
  <c r="AB7290" i="1" s="1"/>
  <c r="AC7289" i="1"/>
  <c r="AD7289" i="1" s="1"/>
  <c r="AB7289" i="1" s="1"/>
  <c r="AD7294" i="1"/>
  <c r="AB7295" i="1"/>
  <c r="N7337" i="1"/>
  <c r="AC7306" i="1"/>
  <c r="AD7306" i="1" s="1"/>
  <c r="AB7306" i="1" s="1"/>
  <c r="AC7302" i="1"/>
  <c r="AD7302" i="1" s="1"/>
  <c r="AB7302" i="1" s="1"/>
  <c r="AC7301" i="1"/>
  <c r="AD7301" i="1" s="1"/>
  <c r="AB7301" i="1" s="1"/>
  <c r="AC7305" i="1"/>
  <c r="AD7305" i="1" s="1"/>
  <c r="AB7305" i="1" s="1"/>
  <c r="AC7304" i="1"/>
  <c r="AD7304" i="1" s="1"/>
  <c r="AB7304" i="1" s="1"/>
  <c r="AC7299" i="1"/>
  <c r="AD7299" i="1" s="1"/>
  <c r="AB7299" i="1" s="1"/>
  <c r="AC7300" i="1"/>
  <c r="AD7300" i="1" s="1"/>
  <c r="AB7300" i="1" s="1"/>
  <c r="AC7303" i="1"/>
  <c r="AD7303" i="1" s="1"/>
  <c r="AB7303" i="1" s="1"/>
  <c r="AC7298" i="1"/>
  <c r="AD7298" i="1" s="1"/>
  <c r="AC7310" i="1"/>
  <c r="AD7310" i="1" s="1"/>
  <c r="AB7310" i="1" s="1"/>
  <c r="AC7311" i="1"/>
  <c r="AD7311" i="1" s="1"/>
  <c r="AB7311" i="1" s="1"/>
  <c r="AC7308" i="1"/>
  <c r="AD7308" i="1" s="1"/>
  <c r="AC7313" i="1"/>
  <c r="AD7313" i="1" s="1"/>
  <c r="AB7313" i="1" s="1"/>
  <c r="AC7312" i="1"/>
  <c r="AD7312" i="1" s="1"/>
  <c r="AB7312" i="1" s="1"/>
  <c r="AC7309" i="1"/>
  <c r="AD7309" i="1" s="1"/>
  <c r="AB7309" i="1" s="1"/>
  <c r="AB7315" i="1"/>
  <c r="AD7314" i="1"/>
  <c r="N7376" i="1"/>
  <c r="AC7333" i="1"/>
  <c r="AD7333" i="1" s="1"/>
  <c r="AB7333" i="1" s="1"/>
  <c r="AC7330" i="1"/>
  <c r="AD7330" i="1" s="1"/>
  <c r="AB7330" i="1" s="1"/>
  <c r="AC7331" i="1"/>
  <c r="AD7331" i="1" s="1"/>
  <c r="AB7331" i="1" s="1"/>
  <c r="AC7328" i="1"/>
  <c r="AD7328" i="1" s="1"/>
  <c r="AC7329" i="1"/>
  <c r="AD7329" i="1" s="1"/>
  <c r="AB7329" i="1" s="1"/>
  <c r="AC7332" i="1"/>
  <c r="AD7332" i="1" s="1"/>
  <c r="AB7332" i="1" s="1"/>
  <c r="AB7335" i="1"/>
  <c r="AD7334" i="1"/>
  <c r="AC7320" i="1"/>
  <c r="AD7320" i="1" s="1"/>
  <c r="AB7320" i="1" s="1"/>
  <c r="AC7319" i="1"/>
  <c r="AD7319" i="1" s="1"/>
  <c r="AB7319" i="1" s="1"/>
  <c r="AC7326" i="1"/>
  <c r="AD7326" i="1" s="1"/>
  <c r="AB7326" i="1" s="1"/>
  <c r="AC7322" i="1"/>
  <c r="AD7322" i="1" s="1"/>
  <c r="AB7322" i="1" s="1"/>
  <c r="AC7324" i="1"/>
  <c r="AD7324" i="1" s="1"/>
  <c r="AB7324" i="1" s="1"/>
  <c r="AC7321" i="1"/>
  <c r="AD7321" i="1" s="1"/>
  <c r="AB7321" i="1" s="1"/>
  <c r="AC7323" i="1"/>
  <c r="AD7323" i="1" s="1"/>
  <c r="AB7323" i="1" s="1"/>
  <c r="AC7318" i="1"/>
  <c r="AD7318" i="1" s="1"/>
  <c r="AC7325" i="1"/>
  <c r="AD7325" i="1" s="1"/>
  <c r="AB7325" i="1" s="1"/>
  <c r="AC7346" i="1"/>
  <c r="AD7346" i="1" s="1"/>
  <c r="AB7346" i="1" s="1"/>
  <c r="AC7345" i="1"/>
  <c r="AD7345" i="1" s="1"/>
  <c r="AB7345" i="1" s="1"/>
  <c r="AC7343" i="1"/>
  <c r="AD7343" i="1" s="1"/>
  <c r="AB7343" i="1" s="1"/>
  <c r="AC7339" i="1"/>
  <c r="AD7339" i="1" s="1"/>
  <c r="AC7340" i="1"/>
  <c r="AD7340" i="1" s="1"/>
  <c r="AB7340" i="1" s="1"/>
  <c r="AC7344" i="1"/>
  <c r="AD7344" i="1" s="1"/>
  <c r="AB7344" i="1" s="1"/>
  <c r="AC7341" i="1"/>
  <c r="AD7341" i="1" s="1"/>
  <c r="AB7341" i="1" s="1"/>
  <c r="AC7342" i="1"/>
  <c r="AD7342" i="1" s="1"/>
  <c r="AB7342" i="1" s="1"/>
  <c r="AC7495" i="1"/>
  <c r="AB7355" i="1"/>
  <c r="AD7354" i="1"/>
  <c r="AC7351" i="1"/>
  <c r="AD7351" i="1" s="1"/>
  <c r="AB7351" i="1" s="1"/>
  <c r="AC7353" i="1"/>
  <c r="AD7353" i="1" s="1"/>
  <c r="AB7353" i="1" s="1"/>
  <c r="AC7348" i="1"/>
  <c r="AD7348" i="1" s="1"/>
  <c r="AC7352" i="1"/>
  <c r="AD7352" i="1" s="1"/>
  <c r="AB7352" i="1" s="1"/>
  <c r="AC7350" i="1"/>
  <c r="AD7350" i="1" s="1"/>
  <c r="AB7350" i="1" s="1"/>
  <c r="AC7349" i="1"/>
  <c r="AD7349" i="1" s="1"/>
  <c r="AB7349" i="1" s="1"/>
  <c r="AC7396" i="1"/>
  <c r="AC7370" i="1"/>
  <c r="AD7370" i="1" s="1"/>
  <c r="AB7370" i="1" s="1"/>
  <c r="AC7372" i="1"/>
  <c r="AD7372" i="1" s="1"/>
  <c r="AB7372" i="1" s="1"/>
  <c r="AC7371" i="1"/>
  <c r="AD7371" i="1" s="1"/>
  <c r="AB7371" i="1" s="1"/>
  <c r="AC7373" i="1"/>
  <c r="AD7373" i="1" s="1"/>
  <c r="AB7373" i="1" s="1"/>
  <c r="AC7369" i="1"/>
  <c r="AD7369" i="1" s="1"/>
  <c r="AB7369" i="1" s="1"/>
  <c r="AC7368" i="1"/>
  <c r="AD7368" i="1" s="1"/>
  <c r="AC7366" i="1"/>
  <c r="AD7366" i="1" s="1"/>
  <c r="AB7366" i="1" s="1"/>
  <c r="AC7361" i="1"/>
  <c r="AD7361" i="1" s="1"/>
  <c r="AB7361" i="1" s="1"/>
  <c r="AC7363" i="1"/>
  <c r="AD7363" i="1" s="1"/>
  <c r="AB7363" i="1" s="1"/>
  <c r="AC7362" i="1"/>
  <c r="AD7362" i="1" s="1"/>
  <c r="AB7362" i="1" s="1"/>
  <c r="AC7365" i="1"/>
  <c r="AD7365" i="1" s="1"/>
  <c r="AB7365" i="1" s="1"/>
  <c r="AC7360" i="1"/>
  <c r="AD7360" i="1" s="1"/>
  <c r="AB7360" i="1" s="1"/>
  <c r="AC7364" i="1"/>
  <c r="AD7364" i="1" s="1"/>
  <c r="AB7364" i="1" s="1"/>
  <c r="AC7359" i="1"/>
  <c r="AD7359" i="1" s="1"/>
  <c r="AB7359" i="1" s="1"/>
  <c r="AC7358" i="1"/>
  <c r="AD7358" i="1" s="1"/>
  <c r="AB7375" i="1"/>
  <c r="AD7374" i="1"/>
  <c r="AC7391" i="1"/>
  <c r="AD7391" i="1" s="1"/>
  <c r="AB7391" i="1" s="1"/>
  <c r="AC7393" i="1"/>
  <c r="AD7393" i="1" s="1"/>
  <c r="AB7393" i="1" s="1"/>
  <c r="AC7392" i="1"/>
  <c r="AD7392" i="1" s="1"/>
  <c r="AB7392" i="1" s="1"/>
  <c r="AC7388" i="1"/>
  <c r="AD7388" i="1" s="1"/>
  <c r="AC7390" i="1"/>
  <c r="AD7390" i="1" s="1"/>
  <c r="AB7390" i="1" s="1"/>
  <c r="AC7389" i="1"/>
  <c r="AD7389" i="1" s="1"/>
  <c r="AB7389" i="1" s="1"/>
  <c r="AC7385" i="1"/>
  <c r="AD7385" i="1" s="1"/>
  <c r="AB7385" i="1" s="1"/>
  <c r="AC7383" i="1"/>
  <c r="AD7383" i="1" s="1"/>
  <c r="AB7383" i="1" s="1"/>
  <c r="AC7378" i="1"/>
  <c r="AD7378" i="1" s="1"/>
  <c r="AC7382" i="1"/>
  <c r="AD7382" i="1" s="1"/>
  <c r="AB7382" i="1" s="1"/>
  <c r="AC7380" i="1"/>
  <c r="AD7380" i="1" s="1"/>
  <c r="AB7380" i="1" s="1"/>
  <c r="AC7384" i="1"/>
  <c r="AD7384" i="1" s="1"/>
  <c r="AB7384" i="1" s="1"/>
  <c r="AC7379" i="1"/>
  <c r="AD7379" i="1" s="1"/>
  <c r="AB7379" i="1" s="1"/>
  <c r="AC7381" i="1"/>
  <c r="AD7381" i="1" s="1"/>
  <c r="AB7381" i="1" s="1"/>
  <c r="AC7386" i="1"/>
  <c r="AD7386" i="1" s="1"/>
  <c r="AB7386" i="1" s="1"/>
  <c r="AD7394" i="1"/>
  <c r="AB7395" i="1"/>
  <c r="N7436" i="1"/>
  <c r="AC7409" i="1"/>
  <c r="AD7409" i="1" s="1"/>
  <c r="AB7409" i="1" s="1"/>
  <c r="AC7410" i="1"/>
  <c r="AD7410" i="1" s="1"/>
  <c r="AB7410" i="1" s="1"/>
  <c r="AC7411" i="1"/>
  <c r="AD7411" i="1" s="1"/>
  <c r="AB7411" i="1" s="1"/>
  <c r="AC7413" i="1"/>
  <c r="AD7413" i="1" s="1"/>
  <c r="AB7413" i="1" s="1"/>
  <c r="AC7408" i="1"/>
  <c r="AD7408" i="1" s="1"/>
  <c r="AC7412" i="1"/>
  <c r="AD7412" i="1" s="1"/>
  <c r="AB7412" i="1" s="1"/>
  <c r="AC7398" i="1"/>
  <c r="AD7398" i="1" s="1"/>
  <c r="AC7402" i="1"/>
  <c r="AD7402" i="1" s="1"/>
  <c r="AB7402" i="1" s="1"/>
  <c r="AC7401" i="1"/>
  <c r="AD7401" i="1" s="1"/>
  <c r="AB7401" i="1" s="1"/>
  <c r="AC7406" i="1"/>
  <c r="AD7406" i="1" s="1"/>
  <c r="AB7406" i="1" s="1"/>
  <c r="AC7403" i="1"/>
  <c r="AD7403" i="1" s="1"/>
  <c r="AB7403" i="1" s="1"/>
  <c r="AC7405" i="1"/>
  <c r="AD7405" i="1" s="1"/>
  <c r="AB7405" i="1" s="1"/>
  <c r="AC7400" i="1"/>
  <c r="AD7400" i="1" s="1"/>
  <c r="AB7400" i="1" s="1"/>
  <c r="AC7404" i="1"/>
  <c r="AD7404" i="1" s="1"/>
  <c r="AB7404" i="1" s="1"/>
  <c r="AC7399" i="1"/>
  <c r="AD7399" i="1" s="1"/>
  <c r="AB7399" i="1" s="1"/>
  <c r="AD7414" i="1"/>
  <c r="AB7415" i="1"/>
  <c r="AC7429" i="1"/>
  <c r="AD7429" i="1" s="1"/>
  <c r="AB7429" i="1" s="1"/>
  <c r="AC7431" i="1"/>
  <c r="AD7431" i="1" s="1"/>
  <c r="AB7431" i="1" s="1"/>
  <c r="AC7433" i="1"/>
  <c r="AD7433" i="1" s="1"/>
  <c r="AB7433" i="1" s="1"/>
  <c r="AC7428" i="1"/>
  <c r="AD7428" i="1" s="1"/>
  <c r="AC7430" i="1"/>
  <c r="AD7430" i="1" s="1"/>
  <c r="AB7430" i="1" s="1"/>
  <c r="AC7432" i="1"/>
  <c r="AD7432" i="1" s="1"/>
  <c r="AB7432" i="1" s="1"/>
  <c r="AC7455" i="1"/>
  <c r="AC7425" i="1"/>
  <c r="AD7425" i="1" s="1"/>
  <c r="AB7425" i="1" s="1"/>
  <c r="AC7420" i="1"/>
  <c r="AD7420" i="1" s="1"/>
  <c r="AB7420" i="1" s="1"/>
  <c r="AC7422" i="1"/>
  <c r="AD7422" i="1" s="1"/>
  <c r="AB7422" i="1" s="1"/>
  <c r="AC7424" i="1"/>
  <c r="AD7424" i="1" s="1"/>
  <c r="AB7424" i="1" s="1"/>
  <c r="AC7426" i="1"/>
  <c r="AD7426" i="1" s="1"/>
  <c r="AB7426" i="1" s="1"/>
  <c r="AC7421" i="1"/>
  <c r="AD7421" i="1" s="1"/>
  <c r="AB7421" i="1" s="1"/>
  <c r="AC7419" i="1"/>
  <c r="AD7419" i="1" s="1"/>
  <c r="AC7423" i="1"/>
  <c r="AD7423" i="1" s="1"/>
  <c r="AB7423" i="1" s="1"/>
  <c r="AB7435" i="1"/>
  <c r="AD7434" i="1"/>
  <c r="AC7450" i="1"/>
  <c r="AD7450" i="1" s="1"/>
  <c r="AB7450" i="1" s="1"/>
  <c r="AC7447" i="1"/>
  <c r="AD7447" i="1" s="1"/>
  <c r="AC7452" i="1"/>
  <c r="AD7452" i="1" s="1"/>
  <c r="AB7452" i="1" s="1"/>
  <c r="AC7449" i="1"/>
  <c r="AD7449" i="1" s="1"/>
  <c r="AB7449" i="1" s="1"/>
  <c r="AC7451" i="1"/>
  <c r="AD7451" i="1" s="1"/>
  <c r="AB7451" i="1" s="1"/>
  <c r="AC7448" i="1"/>
  <c r="AD7448" i="1" s="1"/>
  <c r="AB7448" i="1" s="1"/>
  <c r="AB7454" i="1"/>
  <c r="AD7453" i="1"/>
  <c r="AC7440" i="1"/>
  <c r="AD7440" i="1" s="1"/>
  <c r="AB7440" i="1" s="1"/>
  <c r="AC7442" i="1"/>
  <c r="AD7442" i="1" s="1"/>
  <c r="AB7442" i="1" s="1"/>
  <c r="AC7445" i="1"/>
  <c r="AD7445" i="1" s="1"/>
  <c r="AB7445" i="1" s="1"/>
  <c r="AC7441" i="1"/>
  <c r="AD7441" i="1" s="1"/>
  <c r="AB7441" i="1" s="1"/>
  <c r="AC7438" i="1"/>
  <c r="AD7438" i="1" s="1"/>
  <c r="AC7444" i="1"/>
  <c r="AD7444" i="1" s="1"/>
  <c r="AB7444" i="1" s="1"/>
  <c r="AC7439" i="1"/>
  <c r="AD7439" i="1" s="1"/>
  <c r="AB7439" i="1" s="1"/>
  <c r="AC7443" i="1"/>
  <c r="AD7443" i="1" s="1"/>
  <c r="AB7443" i="1" s="1"/>
  <c r="AC7469" i="1"/>
  <c r="AD7469" i="1" s="1"/>
  <c r="AB7469" i="1" s="1"/>
  <c r="AC7470" i="1"/>
  <c r="AD7470" i="1" s="1"/>
  <c r="AB7470" i="1" s="1"/>
  <c r="AC7467" i="1"/>
  <c r="AD7467" i="1" s="1"/>
  <c r="AC7472" i="1"/>
  <c r="AD7472" i="1" s="1"/>
  <c r="AB7472" i="1" s="1"/>
  <c r="AC7471" i="1"/>
  <c r="AD7471" i="1" s="1"/>
  <c r="AB7471" i="1" s="1"/>
  <c r="AC7468" i="1"/>
  <c r="AD7468" i="1" s="1"/>
  <c r="AB7468" i="1" s="1"/>
  <c r="AD7473" i="1"/>
  <c r="AB7474" i="1"/>
  <c r="AC7465" i="1"/>
  <c r="AD7465" i="1" s="1"/>
  <c r="AB7465" i="1" s="1"/>
  <c r="AC7462" i="1"/>
  <c r="AD7462" i="1" s="1"/>
  <c r="AB7462" i="1" s="1"/>
  <c r="AC7457" i="1"/>
  <c r="AD7457" i="1" s="1"/>
  <c r="AC7459" i="1"/>
  <c r="AD7459" i="1" s="1"/>
  <c r="AB7459" i="1" s="1"/>
  <c r="AC7464" i="1"/>
  <c r="AD7464" i="1" s="1"/>
  <c r="AB7464" i="1" s="1"/>
  <c r="AC7461" i="1"/>
  <c r="AD7461" i="1" s="1"/>
  <c r="AB7461" i="1" s="1"/>
  <c r="AC7463" i="1"/>
  <c r="AD7463" i="1" s="1"/>
  <c r="AB7463" i="1" s="1"/>
  <c r="AC7460" i="1"/>
  <c r="AD7460" i="1" s="1"/>
  <c r="AB7460" i="1" s="1"/>
  <c r="AC7458" i="1"/>
  <c r="AD7458" i="1" s="1"/>
  <c r="AB7458" i="1" s="1"/>
  <c r="AC7481" i="1"/>
  <c r="AD7481" i="1" s="1"/>
  <c r="AB7481" i="1" s="1"/>
  <c r="AC7483" i="1"/>
  <c r="AD7483" i="1" s="1"/>
  <c r="AB7483" i="1" s="1"/>
  <c r="AC7478" i="1"/>
  <c r="AD7478" i="1" s="1"/>
  <c r="AB7478" i="1" s="1"/>
  <c r="AC7485" i="1"/>
  <c r="AD7485" i="1" s="1"/>
  <c r="AB7485" i="1" s="1"/>
  <c r="AC7484" i="1"/>
  <c r="AD7484" i="1" s="1"/>
  <c r="AB7484" i="1" s="1"/>
  <c r="AC7479" i="1"/>
  <c r="AD7479" i="1" s="1"/>
  <c r="AB7479" i="1" s="1"/>
  <c r="AC7480" i="1"/>
  <c r="AD7480" i="1" s="1"/>
  <c r="AB7480" i="1" s="1"/>
  <c r="AC7482" i="1"/>
  <c r="AD7482" i="1" s="1"/>
  <c r="AB7482" i="1" s="1"/>
  <c r="AC7477" i="1"/>
  <c r="AD7477" i="1" s="1"/>
  <c r="AC7490" i="1"/>
  <c r="AD7490" i="1" s="1"/>
  <c r="AB7490" i="1" s="1"/>
  <c r="AC7487" i="1"/>
  <c r="AD7487" i="1" s="1"/>
  <c r="AC7491" i="1"/>
  <c r="AD7491" i="1" s="1"/>
  <c r="AB7491" i="1" s="1"/>
  <c r="AC7488" i="1"/>
  <c r="AD7488" i="1" s="1"/>
  <c r="AB7488" i="1" s="1"/>
  <c r="AC7492" i="1"/>
  <c r="AD7492" i="1" s="1"/>
  <c r="AB7492" i="1" s="1"/>
  <c r="AC7489" i="1"/>
  <c r="AD7489" i="1" s="1"/>
  <c r="AB7489" i="1" s="1"/>
  <c r="AB7494" i="1"/>
  <c r="AD7493" i="1"/>
  <c r="AC7511" i="1"/>
  <c r="AD7511" i="1" s="1"/>
  <c r="AB7511" i="1" s="1"/>
  <c r="AC7512" i="1"/>
  <c r="AD7512" i="1" s="1"/>
  <c r="AB7512" i="1" s="1"/>
  <c r="AC7510" i="1"/>
  <c r="AD7510" i="1" s="1"/>
  <c r="AB7510" i="1" s="1"/>
  <c r="AC7507" i="1"/>
  <c r="AD7507" i="1" s="1"/>
  <c r="AC7509" i="1"/>
  <c r="AD7509" i="1" s="1"/>
  <c r="AB7509" i="1" s="1"/>
  <c r="AC7508" i="1"/>
  <c r="AD7508" i="1" s="1"/>
  <c r="AB7508" i="1" s="1"/>
  <c r="AC7503" i="1"/>
  <c r="AD7503" i="1" s="1"/>
  <c r="AB7503" i="1" s="1"/>
  <c r="AC7498" i="1"/>
  <c r="AD7498" i="1" s="1"/>
  <c r="AB7498" i="1" s="1"/>
  <c r="AC7502" i="1"/>
  <c r="AD7502" i="1" s="1"/>
  <c r="AB7502" i="1" s="1"/>
  <c r="AC7497" i="1"/>
  <c r="AD7497" i="1" s="1"/>
  <c r="AC7501" i="1"/>
  <c r="AD7501" i="1" s="1"/>
  <c r="AB7501" i="1" s="1"/>
  <c r="AC7500" i="1"/>
  <c r="AD7500" i="1" s="1"/>
  <c r="AB7500" i="1" s="1"/>
  <c r="AC7505" i="1"/>
  <c r="AD7505" i="1" s="1"/>
  <c r="AB7505" i="1" s="1"/>
  <c r="AC7504" i="1"/>
  <c r="AD7504" i="1" s="1"/>
  <c r="AB7504" i="1" s="1"/>
  <c r="AC7499" i="1"/>
  <c r="AD7499" i="1" s="1"/>
  <c r="AB7499" i="1" s="1"/>
  <c r="AD7513" i="1"/>
  <c r="AB7514" i="1"/>
  <c r="AC7595" i="1"/>
  <c r="AC7550" i="1"/>
  <c r="AD7550" i="1" s="1"/>
  <c r="AB7550" i="1" s="1"/>
  <c r="AC7551" i="1"/>
  <c r="AD7551" i="1" s="1"/>
  <c r="AB7551" i="1" s="1"/>
  <c r="AC7547" i="1"/>
  <c r="AD7547" i="1" s="1"/>
  <c r="AC7548" i="1"/>
  <c r="AD7548" i="1" s="1"/>
  <c r="AB7548" i="1" s="1"/>
  <c r="AC7552" i="1"/>
  <c r="AD7552" i="1" s="1"/>
  <c r="AB7552" i="1" s="1"/>
  <c r="AC7549" i="1"/>
  <c r="AD7549" i="1" s="1"/>
  <c r="AB7549" i="1" s="1"/>
  <c r="AC7542" i="1"/>
  <c r="AD7542" i="1" s="1"/>
  <c r="AB7542" i="1" s="1"/>
  <c r="AC7545" i="1"/>
  <c r="AD7545" i="1" s="1"/>
  <c r="AB7545" i="1" s="1"/>
  <c r="AC7540" i="1"/>
  <c r="AD7540" i="1" s="1"/>
  <c r="AB7540" i="1" s="1"/>
  <c r="AC7544" i="1"/>
  <c r="AD7544" i="1" s="1"/>
  <c r="AB7544" i="1" s="1"/>
  <c r="AC7539" i="1"/>
  <c r="AD7539" i="1" s="1"/>
  <c r="AB7539" i="1" s="1"/>
  <c r="AC7541" i="1"/>
  <c r="AD7541" i="1" s="1"/>
  <c r="AB7541" i="1" s="1"/>
  <c r="AC7543" i="1"/>
  <c r="AD7543" i="1" s="1"/>
  <c r="AB7543" i="1" s="1"/>
  <c r="AC7538" i="1"/>
  <c r="AD7538" i="1" s="1"/>
  <c r="AB7554" i="1"/>
  <c r="AD7553" i="1"/>
  <c r="AC7570" i="1"/>
  <c r="AD7570" i="1" s="1"/>
  <c r="AB7570" i="1" s="1"/>
  <c r="AC7568" i="1"/>
  <c r="AD7568" i="1" s="1"/>
  <c r="AB7568" i="1" s="1"/>
  <c r="AC7567" i="1"/>
  <c r="AD7567" i="1" s="1"/>
  <c r="AC7572" i="1"/>
  <c r="AD7572" i="1" s="1"/>
  <c r="AB7572" i="1" s="1"/>
  <c r="AC7569" i="1"/>
  <c r="AD7569" i="1" s="1"/>
  <c r="AB7569" i="1" s="1"/>
  <c r="AC7571" i="1"/>
  <c r="AD7571" i="1" s="1"/>
  <c r="AB7571" i="1" s="1"/>
  <c r="AB7574" i="1"/>
  <c r="AD7573" i="1"/>
  <c r="AC7564" i="1"/>
  <c r="AD7564" i="1" s="1"/>
  <c r="AC7560" i="1"/>
  <c r="AD7560" i="1" s="1"/>
  <c r="AB7560" i="1" s="1"/>
  <c r="AC7561" i="1"/>
  <c r="AD7561" i="1" s="1"/>
  <c r="AB7561" i="1" s="1"/>
  <c r="AC7563" i="1"/>
  <c r="AD7563" i="1" s="1"/>
  <c r="AB7563" i="1" s="1"/>
  <c r="AC7557" i="1"/>
  <c r="AD7557" i="1" s="1"/>
  <c r="AC7559" i="1"/>
  <c r="AD7559" i="1" s="1"/>
  <c r="AB7559" i="1" s="1"/>
  <c r="AC7558" i="1"/>
  <c r="AD7558" i="1" s="1"/>
  <c r="AB7558" i="1" s="1"/>
  <c r="AC7565" i="1"/>
  <c r="AD7565" i="1" s="1"/>
  <c r="AB7565" i="1" s="1"/>
  <c r="AC7562" i="1"/>
  <c r="AD7562" i="1" s="1"/>
  <c r="AB7562" i="1" s="1"/>
  <c r="AC7615" i="1"/>
  <c r="AC7581" i="1"/>
  <c r="AD7581" i="1" s="1"/>
  <c r="AB7581" i="1" s="1"/>
  <c r="AC7580" i="1"/>
  <c r="AD7580" i="1" s="1"/>
  <c r="AB7580" i="1" s="1"/>
  <c r="AC7585" i="1"/>
  <c r="AD7585" i="1" s="1"/>
  <c r="AB7585" i="1" s="1"/>
  <c r="AC7579" i="1"/>
  <c r="AD7579" i="1" s="1"/>
  <c r="AB7579" i="1" s="1"/>
  <c r="AC7582" i="1"/>
  <c r="AD7582" i="1" s="1"/>
  <c r="AB7582" i="1" s="1"/>
  <c r="AC7577" i="1"/>
  <c r="AD7577" i="1" s="1"/>
  <c r="AC7584" i="1"/>
  <c r="AD7584" i="1" s="1"/>
  <c r="AB7584" i="1" s="1"/>
  <c r="AC7583" i="1"/>
  <c r="AD7583" i="1" s="1"/>
  <c r="AB7583" i="1" s="1"/>
  <c r="AC7578" i="1"/>
  <c r="AD7578" i="1" s="1"/>
  <c r="AB7578" i="1" s="1"/>
  <c r="AC7592" i="1"/>
  <c r="AD7592" i="1" s="1"/>
  <c r="AB7592" i="1" s="1"/>
  <c r="AC7590" i="1"/>
  <c r="AD7590" i="1" s="1"/>
  <c r="AB7590" i="1" s="1"/>
  <c r="AC7591" i="1"/>
  <c r="AD7591" i="1" s="1"/>
  <c r="AB7591" i="1" s="1"/>
  <c r="AC7587" i="1"/>
  <c r="AD7587" i="1" s="1"/>
  <c r="AC7589" i="1"/>
  <c r="AD7589" i="1" s="1"/>
  <c r="AB7589" i="1" s="1"/>
  <c r="AC7588" i="1"/>
  <c r="AD7588" i="1" s="1"/>
  <c r="AB7588" i="1" s="1"/>
  <c r="AB7594" i="1"/>
  <c r="AD7593" i="1"/>
  <c r="AC7611" i="1"/>
  <c r="AD7611" i="1" s="1"/>
  <c r="AB7611" i="1" s="1"/>
  <c r="AC7608" i="1"/>
  <c r="AD7608" i="1" s="1"/>
  <c r="AB7608" i="1" s="1"/>
  <c r="AC7610" i="1"/>
  <c r="AD7610" i="1" s="1"/>
  <c r="AB7610" i="1" s="1"/>
  <c r="AC7609" i="1"/>
  <c r="AD7609" i="1" s="1"/>
  <c r="AB7609" i="1" s="1"/>
  <c r="AC7607" i="1"/>
  <c r="AD7607" i="1" s="1"/>
  <c r="AC7612" i="1"/>
  <c r="AD7612" i="1" s="1"/>
  <c r="AB7612" i="1" s="1"/>
  <c r="AC7605" i="1"/>
  <c r="AD7605" i="1" s="1"/>
  <c r="AB7605" i="1" s="1"/>
  <c r="AC7602" i="1"/>
  <c r="AD7602" i="1" s="1"/>
  <c r="AB7602" i="1" s="1"/>
  <c r="AC7597" i="1"/>
  <c r="AD7597" i="1" s="1"/>
  <c r="AC7601" i="1"/>
  <c r="AD7601" i="1" s="1"/>
  <c r="AB7601" i="1" s="1"/>
  <c r="AC7599" i="1"/>
  <c r="AD7599" i="1" s="1"/>
  <c r="AB7599" i="1" s="1"/>
  <c r="AC7604" i="1"/>
  <c r="AD7604" i="1" s="1"/>
  <c r="AB7604" i="1" s="1"/>
  <c r="AC7603" i="1"/>
  <c r="AD7603" i="1" s="1"/>
  <c r="AB7603" i="1" s="1"/>
  <c r="AC7598" i="1"/>
  <c r="AD7598" i="1" s="1"/>
  <c r="AB7598" i="1" s="1"/>
  <c r="AC7600" i="1"/>
  <c r="AD7600" i="1" s="1"/>
  <c r="AB7600" i="1" s="1"/>
  <c r="AB7614" i="1"/>
  <c r="AD7613" i="1"/>
  <c r="AC7630" i="1"/>
  <c r="AD7630" i="1" s="1"/>
  <c r="AB7630" i="1" s="1"/>
  <c r="AC7627" i="1"/>
  <c r="AD7627" i="1" s="1"/>
  <c r="AC7629" i="1"/>
  <c r="AD7629" i="1" s="1"/>
  <c r="AB7629" i="1" s="1"/>
  <c r="AC7628" i="1"/>
  <c r="AD7628" i="1" s="1"/>
  <c r="AB7628" i="1" s="1"/>
  <c r="AC7632" i="1"/>
  <c r="AD7632" i="1" s="1"/>
  <c r="AB7632" i="1" s="1"/>
  <c r="AC7631" i="1"/>
  <c r="AD7631" i="1" s="1"/>
  <c r="AB7631" i="1" s="1"/>
  <c r="AC7621" i="1"/>
  <c r="AD7621" i="1" s="1"/>
  <c r="AB7621" i="1" s="1"/>
  <c r="AC7625" i="1"/>
  <c r="AD7625" i="1" s="1"/>
  <c r="AB7625" i="1" s="1"/>
  <c r="AC7622" i="1"/>
  <c r="AD7622" i="1" s="1"/>
  <c r="AB7622" i="1" s="1"/>
  <c r="AC7623" i="1"/>
  <c r="AD7623" i="1" s="1"/>
  <c r="AB7623" i="1" s="1"/>
  <c r="AC7618" i="1"/>
  <c r="AD7618" i="1" s="1"/>
  <c r="AB7618" i="1" s="1"/>
  <c r="AC7620" i="1"/>
  <c r="AD7620" i="1" s="1"/>
  <c r="AB7620" i="1" s="1"/>
  <c r="AC7617" i="1"/>
  <c r="AD7617" i="1" s="1"/>
  <c r="AC7624" i="1"/>
  <c r="AD7624" i="1" s="1"/>
  <c r="AB7624" i="1" s="1"/>
  <c r="AC7619" i="1"/>
  <c r="AD7619" i="1" s="1"/>
  <c r="AB7619" i="1" s="1"/>
  <c r="AB7634" i="1"/>
  <c r="AD7633" i="1"/>
  <c r="AC7655" i="1"/>
  <c r="AC7643" i="1"/>
  <c r="AD7643" i="1" s="1"/>
  <c r="AB7643" i="1" s="1"/>
  <c r="AC7638" i="1"/>
  <c r="AD7638" i="1" s="1"/>
  <c r="AC7642" i="1"/>
  <c r="AD7642" i="1" s="1"/>
  <c r="AB7642" i="1" s="1"/>
  <c r="AC7644" i="1"/>
  <c r="AD7644" i="1" s="1"/>
  <c r="AB7644" i="1" s="1"/>
  <c r="AC7639" i="1"/>
  <c r="AD7639" i="1" s="1"/>
  <c r="AB7639" i="1" s="1"/>
  <c r="AC7641" i="1"/>
  <c r="AD7641" i="1" s="1"/>
  <c r="AB7641" i="1" s="1"/>
  <c r="AC7645" i="1"/>
  <c r="AD7645" i="1" s="1"/>
  <c r="AB7645" i="1" s="1"/>
  <c r="AC7640" i="1"/>
  <c r="AD7640" i="1" s="1"/>
  <c r="AB7640" i="1" s="1"/>
  <c r="AC7739" i="1"/>
  <c r="AC7649" i="1"/>
  <c r="AD7649" i="1" s="1"/>
  <c r="AB7649" i="1" s="1"/>
  <c r="AC7651" i="1"/>
  <c r="AD7651" i="1" s="1"/>
  <c r="AB7651" i="1" s="1"/>
  <c r="AC7650" i="1"/>
  <c r="AD7650" i="1" s="1"/>
  <c r="AB7650" i="1" s="1"/>
  <c r="AC7647" i="1"/>
  <c r="AD7647" i="1" s="1"/>
  <c r="AC7652" i="1"/>
  <c r="AD7652" i="1" s="1"/>
  <c r="AB7652" i="1" s="1"/>
  <c r="AC7648" i="1"/>
  <c r="AD7648" i="1" s="1"/>
  <c r="AB7648" i="1" s="1"/>
  <c r="AB7654" i="1"/>
  <c r="AD7653" i="1"/>
  <c r="AC7636" i="1"/>
  <c r="AC7665" i="1"/>
  <c r="AD7665" i="1" s="1"/>
  <c r="AB7665" i="1" s="1"/>
  <c r="AC7661" i="1"/>
  <c r="AD7661" i="1" s="1"/>
  <c r="AB7661" i="1" s="1"/>
  <c r="AC7658" i="1"/>
  <c r="AD7658" i="1" s="1"/>
  <c r="AB7658" i="1" s="1"/>
  <c r="AC7660" i="1"/>
  <c r="AD7660" i="1" s="1"/>
  <c r="AB7660" i="1" s="1"/>
  <c r="AC7663" i="1"/>
  <c r="AD7663" i="1" s="1"/>
  <c r="AB7663" i="1" s="1"/>
  <c r="AC7659" i="1"/>
  <c r="AD7659" i="1" s="1"/>
  <c r="AB7659" i="1" s="1"/>
  <c r="AC7662" i="1"/>
  <c r="AD7662" i="1" s="1"/>
  <c r="AB7662" i="1" s="1"/>
  <c r="AC7657" i="1"/>
  <c r="AD7657" i="1" s="1"/>
  <c r="AC7664" i="1"/>
  <c r="AD7664" i="1" s="1"/>
  <c r="AB7664" i="1" s="1"/>
  <c r="AC7672" i="1"/>
  <c r="AD7672" i="1" s="1"/>
  <c r="AB7672" i="1" s="1"/>
  <c r="AC7669" i="1"/>
  <c r="AD7669" i="1" s="1"/>
  <c r="AB7669" i="1" s="1"/>
  <c r="AC7670" i="1"/>
  <c r="AD7670" i="1" s="1"/>
  <c r="AB7670" i="1" s="1"/>
  <c r="AC7667" i="1"/>
  <c r="AD7667" i="1" s="1"/>
  <c r="AC7668" i="1"/>
  <c r="AD7668" i="1" s="1"/>
  <c r="AB7668" i="1" s="1"/>
  <c r="AC7671" i="1"/>
  <c r="AD7671" i="1" s="1"/>
  <c r="AB7671" i="1" s="1"/>
  <c r="AB7674" i="1"/>
  <c r="AD7673" i="1"/>
  <c r="AC7681" i="1"/>
  <c r="AD7681" i="1" s="1"/>
  <c r="AB7681" i="1" s="1"/>
  <c r="AC7683" i="1"/>
  <c r="AD7683" i="1" s="1"/>
  <c r="AB7683" i="1" s="1"/>
  <c r="AC7678" i="1"/>
  <c r="AD7678" i="1" s="1"/>
  <c r="AB7678" i="1" s="1"/>
  <c r="AC7680" i="1"/>
  <c r="AD7680" i="1" s="1"/>
  <c r="AB7680" i="1" s="1"/>
  <c r="AC7685" i="1"/>
  <c r="AD7685" i="1" s="1"/>
  <c r="AB7685" i="1" s="1"/>
  <c r="AC7682" i="1"/>
  <c r="AD7682" i="1" s="1"/>
  <c r="AB7682" i="1" s="1"/>
  <c r="AC7677" i="1"/>
  <c r="AD7677" i="1" s="1"/>
  <c r="AC7684" i="1"/>
  <c r="AD7684" i="1" s="1"/>
  <c r="AB7684" i="1" s="1"/>
  <c r="AC7679" i="1"/>
  <c r="AD7679" i="1" s="1"/>
  <c r="AB7679" i="1" s="1"/>
  <c r="AC7692" i="1"/>
  <c r="AD7692" i="1" s="1"/>
  <c r="AB7692" i="1" s="1"/>
  <c r="AC7690" i="1"/>
  <c r="AD7690" i="1" s="1"/>
  <c r="AB7690" i="1" s="1"/>
  <c r="AC7687" i="1"/>
  <c r="AD7687" i="1" s="1"/>
  <c r="AC7689" i="1"/>
  <c r="AD7689" i="1" s="1"/>
  <c r="AB7689" i="1" s="1"/>
  <c r="AC7691" i="1"/>
  <c r="AD7691" i="1" s="1"/>
  <c r="AB7691" i="1" s="1"/>
  <c r="AC7688" i="1"/>
  <c r="AD7688" i="1" s="1"/>
  <c r="AB7688" i="1" s="1"/>
  <c r="AB7694" i="1"/>
  <c r="AD7693" i="1"/>
  <c r="AC7729" i="1"/>
  <c r="AD7729" i="1" s="1"/>
  <c r="AB7729" i="1" s="1"/>
  <c r="AC7723" i="1"/>
  <c r="AD7723" i="1" s="1"/>
  <c r="AB7723" i="1" s="1"/>
  <c r="AC7725" i="1"/>
  <c r="AD7725" i="1" s="1"/>
  <c r="AB7725" i="1" s="1"/>
  <c r="AC7726" i="1"/>
  <c r="AD7726" i="1" s="1"/>
  <c r="AB7726" i="1" s="1"/>
  <c r="AC7721" i="1"/>
  <c r="AD7721" i="1" s="1"/>
  <c r="AC7727" i="1"/>
  <c r="AD7727" i="1" s="1"/>
  <c r="AB7727" i="1" s="1"/>
  <c r="AC7722" i="1"/>
  <c r="AD7722" i="1" s="1"/>
  <c r="AB7722" i="1" s="1"/>
  <c r="AC7724" i="1"/>
  <c r="AD7724" i="1" s="1"/>
  <c r="AB7724" i="1" s="1"/>
  <c r="AC7728" i="1"/>
  <c r="AD7728" i="1" s="1"/>
  <c r="AB7728" i="1" s="1"/>
  <c r="AC7735" i="1"/>
  <c r="AD7735" i="1" s="1"/>
  <c r="AB7735" i="1" s="1"/>
  <c r="AC7734" i="1"/>
  <c r="AD7734" i="1" s="1"/>
  <c r="AB7734" i="1" s="1"/>
  <c r="AC7732" i="1"/>
  <c r="AD7732" i="1" s="1"/>
  <c r="AB7732" i="1" s="1"/>
  <c r="AC7731" i="1"/>
  <c r="AD7731" i="1" s="1"/>
  <c r="AC7736" i="1"/>
  <c r="AD7736" i="1" s="1"/>
  <c r="AB7736" i="1" s="1"/>
  <c r="AC7733" i="1"/>
  <c r="AD7733" i="1" s="1"/>
  <c r="AB7733" i="1" s="1"/>
  <c r="AB7738" i="1"/>
  <c r="AD7737" i="1"/>
  <c r="AC7756" i="1"/>
  <c r="AD7756" i="1" s="1"/>
  <c r="AB7756" i="1" s="1"/>
  <c r="AC7754" i="1"/>
  <c r="AD7754" i="1" s="1"/>
  <c r="AB7754" i="1" s="1"/>
  <c r="AC7752" i="1"/>
  <c r="AD7752" i="1" s="1"/>
  <c r="AB7752" i="1" s="1"/>
  <c r="AC7753" i="1"/>
  <c r="AD7753" i="1" s="1"/>
  <c r="AB7753" i="1" s="1"/>
  <c r="AC7751" i="1"/>
  <c r="AD7751" i="1" s="1"/>
  <c r="AC7755" i="1"/>
  <c r="AD7755" i="1" s="1"/>
  <c r="AB7755" i="1" s="1"/>
  <c r="AC7745" i="1"/>
  <c r="AD7745" i="1" s="1"/>
  <c r="AB7745" i="1" s="1"/>
  <c r="AC7746" i="1"/>
  <c r="AD7746" i="1" s="1"/>
  <c r="AB7746" i="1" s="1"/>
  <c r="AC7741" i="1"/>
  <c r="AD7741" i="1" s="1"/>
  <c r="AC7748" i="1"/>
  <c r="AD7748" i="1" s="1"/>
  <c r="AB7748" i="1" s="1"/>
  <c r="AC7743" i="1"/>
  <c r="AD7743" i="1" s="1"/>
  <c r="AB7743" i="1" s="1"/>
  <c r="AC7744" i="1"/>
  <c r="AD7744" i="1" s="1"/>
  <c r="AB7744" i="1" s="1"/>
  <c r="AC7747" i="1"/>
  <c r="AD7747" i="1" s="1"/>
  <c r="AB7747" i="1" s="1"/>
  <c r="AC7742" i="1"/>
  <c r="AD7742" i="1" s="1"/>
  <c r="AB7742" i="1" s="1"/>
  <c r="AC7749" i="1"/>
  <c r="AD7749" i="1" s="1"/>
  <c r="AB7749" i="1" s="1"/>
  <c r="AB7758" i="1"/>
  <c r="AD7757" i="1"/>
  <c r="N7719" i="1"/>
  <c r="AC7719" i="1"/>
  <c r="AC7702" i="1"/>
  <c r="AD7702" i="1" s="1"/>
  <c r="AB7702" i="1" s="1"/>
  <c r="AC7697" i="1"/>
  <c r="AD7697" i="1" s="1"/>
  <c r="AC7703" i="1"/>
  <c r="AD7703" i="1" s="1"/>
  <c r="AB7703" i="1" s="1"/>
  <c r="AC7700" i="1"/>
  <c r="AD7700" i="1" s="1"/>
  <c r="AB7700" i="1" s="1"/>
  <c r="AC7704" i="1"/>
  <c r="AD7704" i="1" s="1"/>
  <c r="AB7704" i="1" s="1"/>
  <c r="AC7699" i="1"/>
  <c r="AD7699" i="1" s="1"/>
  <c r="AB7699" i="1" s="1"/>
  <c r="AC7698" i="1"/>
  <c r="AD7698" i="1" s="1"/>
  <c r="AB7698" i="1" s="1"/>
  <c r="AC7701" i="1"/>
  <c r="AD7701" i="1" s="1"/>
  <c r="AB7701" i="1" s="1"/>
  <c r="AC7705" i="1"/>
  <c r="AD7705" i="1" s="1"/>
  <c r="AB7705" i="1" s="1"/>
  <c r="AC7710" i="1"/>
  <c r="AD7710" i="1" s="1"/>
  <c r="AB7710" i="1" s="1"/>
  <c r="AC7708" i="1"/>
  <c r="AD7708" i="1" s="1"/>
  <c r="AB7708" i="1" s="1"/>
  <c r="AC7711" i="1"/>
  <c r="AD7711" i="1" s="1"/>
  <c r="AB7711" i="1" s="1"/>
  <c r="AC7712" i="1"/>
  <c r="AD7712" i="1" s="1"/>
  <c r="AB7712" i="1" s="1"/>
  <c r="AC7707" i="1"/>
  <c r="AD7707" i="1" s="1"/>
  <c r="AC7709" i="1"/>
  <c r="AD7709" i="1" s="1"/>
  <c r="AB7709" i="1" s="1"/>
  <c r="AB7714" i="1"/>
  <c r="AD7713" i="1"/>
  <c r="AC7575" i="1"/>
  <c r="N7575" i="1"/>
  <c r="N7555" i="1"/>
  <c r="AC7555" i="1"/>
  <c r="AC7536" i="1"/>
  <c r="N7536" i="1"/>
  <c r="N7475" i="1"/>
  <c r="N7296" i="1"/>
  <c r="N7417" i="1"/>
  <c r="N7416" i="1"/>
  <c r="AC7416" i="1"/>
  <c r="AB7416" i="1" s="1"/>
  <c r="AC7118" i="1"/>
  <c r="AC6992" i="1"/>
  <c r="N7356" i="1"/>
  <c r="AC7356" i="1"/>
  <c r="N7316" i="1"/>
  <c r="AC7316" i="1"/>
  <c r="N7256" i="1"/>
  <c r="AC7256" i="1"/>
  <c r="N7156" i="1"/>
  <c r="AC7156" i="1"/>
  <c r="N7032" i="1"/>
  <c r="AC107" i="1"/>
  <c r="AC7111" i="1"/>
  <c r="AD7111" i="1" s="1"/>
  <c r="AB7111" i="1" s="1"/>
  <c r="AC7108" i="1"/>
  <c r="AD7108" i="1" s="1"/>
  <c r="AB7108" i="1" s="1"/>
  <c r="AC7113" i="1"/>
  <c r="AD7113" i="1" s="1"/>
  <c r="AB7113" i="1" s="1"/>
  <c r="AC7110" i="1"/>
  <c r="AD7110" i="1" s="1"/>
  <c r="AB7110" i="1" s="1"/>
  <c r="AC7107" i="1"/>
  <c r="AD7107" i="1" s="1"/>
  <c r="AC7109" i="1"/>
  <c r="AD7109" i="1" s="1"/>
  <c r="AB7109" i="1" s="1"/>
  <c r="AC7112" i="1"/>
  <c r="AD7112" i="1" s="1"/>
  <c r="AB7112" i="1" s="1"/>
  <c r="AC7102" i="1"/>
  <c r="AD7102" i="1" s="1"/>
  <c r="AB7102" i="1" s="1"/>
  <c r="AC7097" i="1"/>
  <c r="AD7097" i="1" s="1"/>
  <c r="AC7099" i="1"/>
  <c r="AD7099" i="1" s="1"/>
  <c r="AB7099" i="1" s="1"/>
  <c r="AC7104" i="1"/>
  <c r="AD7104" i="1" s="1"/>
  <c r="AB7104" i="1" s="1"/>
  <c r="AC7101" i="1"/>
  <c r="AD7101" i="1" s="1"/>
  <c r="AB7101" i="1" s="1"/>
  <c r="AC7105" i="1"/>
  <c r="AD7105" i="1" s="1"/>
  <c r="AB7105" i="1" s="1"/>
  <c r="AC7098" i="1"/>
  <c r="AD7098" i="1" s="1"/>
  <c r="AB7098" i="1" s="1"/>
  <c r="AC7103" i="1"/>
  <c r="AD7103" i="1" s="1"/>
  <c r="AB7103" i="1" s="1"/>
  <c r="AC7100" i="1"/>
  <c r="AD7100" i="1" s="1"/>
  <c r="AB7100" i="1" s="1"/>
  <c r="AB7115" i="1"/>
  <c r="AD7114" i="1"/>
  <c r="AC7095" i="1"/>
  <c r="N7095" i="1"/>
  <c r="AC7082" i="1"/>
  <c r="AD7082" i="1" s="1"/>
  <c r="AB7082" i="1" s="1"/>
  <c r="AC7081" i="1"/>
  <c r="AD7081" i="1" s="1"/>
  <c r="AB7081" i="1" s="1"/>
  <c r="AC7076" i="1"/>
  <c r="AD7076" i="1" s="1"/>
  <c r="AC7084" i="1"/>
  <c r="AD7084" i="1" s="1"/>
  <c r="AB7084" i="1" s="1"/>
  <c r="AC7078" i="1"/>
  <c r="AD7078" i="1" s="1"/>
  <c r="AB7078" i="1" s="1"/>
  <c r="AC7083" i="1"/>
  <c r="AD7083" i="1" s="1"/>
  <c r="AB7083" i="1" s="1"/>
  <c r="AC7080" i="1"/>
  <c r="AD7080" i="1" s="1"/>
  <c r="AB7080" i="1" s="1"/>
  <c r="AC7077" i="1"/>
  <c r="AD7077" i="1" s="1"/>
  <c r="AB7077" i="1" s="1"/>
  <c r="AC7079" i="1"/>
  <c r="AD7079" i="1" s="1"/>
  <c r="AB7079" i="1" s="1"/>
  <c r="AB7094" i="1"/>
  <c r="AD7093" i="1"/>
  <c r="AC7090" i="1"/>
  <c r="AD7090" i="1" s="1"/>
  <c r="AB7090" i="1" s="1"/>
  <c r="AC7087" i="1"/>
  <c r="AD7087" i="1" s="1"/>
  <c r="AB7087" i="1" s="1"/>
  <c r="AC7091" i="1"/>
  <c r="AD7091" i="1" s="1"/>
  <c r="AB7091" i="1" s="1"/>
  <c r="AC7088" i="1"/>
  <c r="AD7088" i="1" s="1"/>
  <c r="AB7088" i="1" s="1"/>
  <c r="AC7092" i="1"/>
  <c r="AD7092" i="1" s="1"/>
  <c r="AB7092" i="1" s="1"/>
  <c r="AC7089" i="1"/>
  <c r="AD7089" i="1" s="1"/>
  <c r="AB7089" i="1" s="1"/>
  <c r="AC7086" i="1"/>
  <c r="AD7086" i="1" s="1"/>
  <c r="AC7067" i="1"/>
  <c r="AD7067" i="1" s="1"/>
  <c r="AB7067" i="1" s="1"/>
  <c r="AC7069" i="1"/>
  <c r="AD7069" i="1" s="1"/>
  <c r="AB7069" i="1" s="1"/>
  <c r="AC7066" i="1"/>
  <c r="AD7066" i="1" s="1"/>
  <c r="AB7066" i="1" s="1"/>
  <c r="AC7071" i="1"/>
  <c r="AD7071" i="1" s="1"/>
  <c r="AB7071" i="1" s="1"/>
  <c r="AC7068" i="1"/>
  <c r="AD7068" i="1" s="1"/>
  <c r="AB7068" i="1" s="1"/>
  <c r="AC7065" i="1"/>
  <c r="AD7065" i="1" s="1"/>
  <c r="AC7070" i="1"/>
  <c r="AD7070" i="1" s="1"/>
  <c r="AB7070" i="1" s="1"/>
  <c r="AC7059" i="1"/>
  <c r="AD7059" i="1" s="1"/>
  <c r="AB7059" i="1" s="1"/>
  <c r="AC7056" i="1"/>
  <c r="AD7056" i="1" s="1"/>
  <c r="AB7056" i="1" s="1"/>
  <c r="AC7063" i="1"/>
  <c r="AD7063" i="1" s="1"/>
  <c r="AB7063" i="1" s="1"/>
  <c r="AC7060" i="1"/>
  <c r="AD7060" i="1" s="1"/>
  <c r="AB7060" i="1" s="1"/>
  <c r="AC7055" i="1"/>
  <c r="AD7055" i="1" s="1"/>
  <c r="AC7061" i="1"/>
  <c r="AD7061" i="1" s="1"/>
  <c r="AB7061" i="1" s="1"/>
  <c r="AC7058" i="1"/>
  <c r="AD7058" i="1" s="1"/>
  <c r="AB7058" i="1" s="1"/>
  <c r="AC7057" i="1"/>
  <c r="AD7057" i="1" s="1"/>
  <c r="AB7057" i="1" s="1"/>
  <c r="AC7062" i="1"/>
  <c r="AD7062" i="1" s="1"/>
  <c r="AB7062" i="1" s="1"/>
  <c r="AB7073" i="1"/>
  <c r="AD7072" i="1"/>
  <c r="AC7047" i="1"/>
  <c r="AD7047" i="1" s="1"/>
  <c r="AB7047" i="1" s="1"/>
  <c r="AC7044" i="1"/>
  <c r="AD7044" i="1" s="1"/>
  <c r="AC7048" i="1"/>
  <c r="AD7048" i="1" s="1"/>
  <c r="AB7048" i="1" s="1"/>
  <c r="AC7045" i="1"/>
  <c r="AD7045" i="1" s="1"/>
  <c r="AB7045" i="1" s="1"/>
  <c r="AC7050" i="1"/>
  <c r="AD7050" i="1" s="1"/>
  <c r="AB7050" i="1" s="1"/>
  <c r="AC7046" i="1"/>
  <c r="AD7046" i="1" s="1"/>
  <c r="AB7046" i="1" s="1"/>
  <c r="AC7049" i="1"/>
  <c r="AD7049" i="1" s="1"/>
  <c r="AB7049" i="1" s="1"/>
  <c r="AC7038" i="1"/>
  <c r="AD7038" i="1" s="1"/>
  <c r="AB7038" i="1" s="1"/>
  <c r="AC7035" i="1"/>
  <c r="AD7035" i="1" s="1"/>
  <c r="AB7035" i="1" s="1"/>
  <c r="AC7040" i="1"/>
  <c r="AD7040" i="1" s="1"/>
  <c r="AB7040" i="1" s="1"/>
  <c r="AC7037" i="1"/>
  <c r="AD7037" i="1" s="1"/>
  <c r="AB7037" i="1" s="1"/>
  <c r="AC7036" i="1"/>
  <c r="AD7036" i="1" s="1"/>
  <c r="AB7036" i="1" s="1"/>
  <c r="AC7039" i="1"/>
  <c r="AD7039" i="1" s="1"/>
  <c r="AB7039" i="1" s="1"/>
  <c r="AC7034" i="1"/>
  <c r="AC7041" i="1"/>
  <c r="AD7041" i="1" s="1"/>
  <c r="AB7041" i="1" s="1"/>
  <c r="AB7052" i="1"/>
  <c r="AC7027" i="1"/>
  <c r="AD7027" i="1" s="1"/>
  <c r="AB7027" i="1" s="1"/>
  <c r="AC7026" i="1"/>
  <c r="AD7026" i="1" s="1"/>
  <c r="AB7026" i="1" s="1"/>
  <c r="AC7023" i="1"/>
  <c r="AD7023" i="1" s="1"/>
  <c r="AC7024" i="1"/>
  <c r="AD7024" i="1" s="1"/>
  <c r="AB7024" i="1" s="1"/>
  <c r="AC7029" i="1"/>
  <c r="AD7029" i="1" s="1"/>
  <c r="AB7029" i="1" s="1"/>
  <c r="AC7025" i="1"/>
  <c r="AD7025" i="1" s="1"/>
  <c r="AB7025" i="1" s="1"/>
  <c r="AC7028" i="1"/>
  <c r="AD7028" i="1" s="1"/>
  <c r="AB7028" i="1" s="1"/>
  <c r="AB7031" i="1"/>
  <c r="AD7030" i="1"/>
  <c r="AC7018" i="1"/>
  <c r="AD7018" i="1" s="1"/>
  <c r="AB7018" i="1" s="1"/>
  <c r="AC7021" i="1"/>
  <c r="AD7021" i="1" s="1"/>
  <c r="AB7021" i="1" s="1"/>
  <c r="AC7015" i="1"/>
  <c r="AD7015" i="1" s="1"/>
  <c r="AB7015" i="1" s="1"/>
  <c r="AC7020" i="1"/>
  <c r="AD7020" i="1" s="1"/>
  <c r="AB7020" i="1" s="1"/>
  <c r="AC7017" i="1"/>
  <c r="AD7017" i="1" s="1"/>
  <c r="AB7017" i="1" s="1"/>
  <c r="AC7019" i="1"/>
  <c r="AD7019" i="1" s="1"/>
  <c r="AB7019" i="1" s="1"/>
  <c r="AC7014" i="1"/>
  <c r="AD7014" i="1" s="1"/>
  <c r="AC7016" i="1"/>
  <c r="AD7016" i="1" s="1"/>
  <c r="AB7016" i="1" s="1"/>
  <c r="AC7008" i="1"/>
  <c r="AD7008" i="1" s="1"/>
  <c r="AB7008" i="1" s="1"/>
  <c r="AC7009" i="1"/>
  <c r="AD7009" i="1" s="1"/>
  <c r="AB7009" i="1" s="1"/>
  <c r="AC7007" i="1"/>
  <c r="AD7007" i="1" s="1"/>
  <c r="AB7007" i="1" s="1"/>
  <c r="AC7004" i="1"/>
  <c r="AD7004" i="1" s="1"/>
  <c r="AB7004" i="1" s="1"/>
  <c r="AC7006" i="1"/>
  <c r="AD7006" i="1" s="1"/>
  <c r="AB7006" i="1" s="1"/>
  <c r="AC7003" i="1"/>
  <c r="AD7003" i="1" s="1"/>
  <c r="AC7005" i="1"/>
  <c r="AD7005" i="1" s="1"/>
  <c r="AB7005" i="1" s="1"/>
  <c r="AC6998" i="1"/>
  <c r="AD6998" i="1" s="1"/>
  <c r="AB6998" i="1" s="1"/>
  <c r="AC6997" i="1"/>
  <c r="AD6997" i="1" s="1"/>
  <c r="AB6997" i="1" s="1"/>
  <c r="AC6995" i="1"/>
  <c r="AD6995" i="1" s="1"/>
  <c r="AB6995" i="1" s="1"/>
  <c r="AC6996" i="1"/>
  <c r="AD6996" i="1" s="1"/>
  <c r="AB6996" i="1" s="1"/>
  <c r="AC7000" i="1"/>
  <c r="AD7000" i="1" s="1"/>
  <c r="AB7000" i="1" s="1"/>
  <c r="AC7001" i="1"/>
  <c r="AD7001" i="1" s="1"/>
  <c r="AB7001" i="1" s="1"/>
  <c r="AC6999" i="1"/>
  <c r="AD6999" i="1" s="1"/>
  <c r="AB6999" i="1" s="1"/>
  <c r="AC6994" i="1"/>
  <c r="AD6994" i="1" s="1"/>
  <c r="AB7011" i="1"/>
  <c r="AD7010" i="1"/>
  <c r="AC6984" i="1"/>
  <c r="AD6984" i="1" s="1"/>
  <c r="AB6984" i="1" s="1"/>
  <c r="AC6981" i="1"/>
  <c r="AD6981" i="1" s="1"/>
  <c r="AB6981" i="1" s="1"/>
  <c r="AC6986" i="1"/>
  <c r="AD6986" i="1" s="1"/>
  <c r="AB6986" i="1" s="1"/>
  <c r="AC6982" i="1"/>
  <c r="AD6982" i="1" s="1"/>
  <c r="AB6982" i="1" s="1"/>
  <c r="AC6983" i="1"/>
  <c r="AD6983" i="1" s="1"/>
  <c r="AB6983" i="1" s="1"/>
  <c r="AC6980" i="1"/>
  <c r="AD6980" i="1" s="1"/>
  <c r="AC6985" i="1"/>
  <c r="AD6985" i="1" s="1"/>
  <c r="AB6985" i="1" s="1"/>
  <c r="AC6975" i="1"/>
  <c r="AD6975" i="1" s="1"/>
  <c r="AB6975" i="1" s="1"/>
  <c r="AC6972" i="1"/>
  <c r="AD6972" i="1" s="1"/>
  <c r="AB6972" i="1" s="1"/>
  <c r="AC6977" i="1"/>
  <c r="AD6977" i="1" s="1"/>
  <c r="AB6977" i="1" s="1"/>
  <c r="AC6974" i="1"/>
  <c r="AD6974" i="1" s="1"/>
  <c r="AB6974" i="1" s="1"/>
  <c r="AC6973" i="1"/>
  <c r="AD6973" i="1" s="1"/>
  <c r="AB6973" i="1" s="1"/>
  <c r="AC6976" i="1"/>
  <c r="AD6976" i="1" s="1"/>
  <c r="AB6976" i="1" s="1"/>
  <c r="AC6971" i="1"/>
  <c r="AD6971" i="1" s="1"/>
  <c r="AC6978" i="1"/>
  <c r="AD6978" i="1" s="1"/>
  <c r="AB6978" i="1" s="1"/>
  <c r="AB6988" i="1"/>
  <c r="AD6987" i="1"/>
  <c r="Z6967" i="1"/>
  <c r="AB6967" i="1"/>
  <c r="AC6963" i="1"/>
  <c r="AC6966" i="1"/>
  <c r="AC109" i="1"/>
  <c r="AD109" i="1" s="1"/>
  <c r="AC112" i="1"/>
  <c r="AD112" i="1" s="1"/>
  <c r="AB112" i="1" s="1"/>
  <c r="AC113" i="1"/>
  <c r="AD113" i="1" s="1"/>
  <c r="AB113" i="1" s="1"/>
  <c r="AC110" i="1"/>
  <c r="AD110" i="1" s="1"/>
  <c r="AB110" i="1" s="1"/>
  <c r="AC6962" i="1"/>
  <c r="AD6962" i="1" s="1"/>
  <c r="AB6962" i="1" s="1"/>
  <c r="AC6961" i="1"/>
  <c r="AD6961" i="1" s="1"/>
  <c r="AB6961" i="1" s="1"/>
  <c r="AC6960" i="1"/>
  <c r="AC6965" i="1"/>
  <c r="AD6965" i="1" s="1"/>
  <c r="AB6965" i="1" s="1"/>
  <c r="AC6964" i="1"/>
  <c r="AD6964" i="1" s="1"/>
  <c r="AC111" i="1"/>
  <c r="AD111" i="1" s="1"/>
  <c r="AB111" i="1" s="1"/>
  <c r="AC6954" i="1"/>
  <c r="AD6954" i="1" s="1"/>
  <c r="AB6954" i="1" s="1"/>
  <c r="AC6953" i="1"/>
  <c r="AD6953" i="1" s="1"/>
  <c r="AB6953" i="1" s="1"/>
  <c r="AC6957" i="1"/>
  <c r="AD6957" i="1" s="1"/>
  <c r="AB6957" i="1" s="1"/>
  <c r="AC6952" i="1"/>
  <c r="AD6952" i="1" s="1"/>
  <c r="AB6952" i="1" s="1"/>
  <c r="AC6951" i="1"/>
  <c r="AD6951" i="1" s="1"/>
  <c r="AC6958" i="1"/>
  <c r="AD6958" i="1" s="1"/>
  <c r="AB6958" i="1" s="1"/>
  <c r="AC6955" i="1"/>
  <c r="AD6955" i="1" s="1"/>
  <c r="AB6955" i="1" s="1"/>
  <c r="AC6956" i="1"/>
  <c r="AD6956" i="1" s="1"/>
  <c r="AB6956" i="1" s="1"/>
  <c r="N6949" i="1"/>
  <c r="AC6949" i="1"/>
  <c r="AC118" i="1"/>
  <c r="AD118" i="1" s="1"/>
  <c r="AC119" i="1"/>
  <c r="AC117" i="1"/>
  <c r="AD117" i="1" s="1"/>
  <c r="AB117" i="1" s="1"/>
  <c r="AC120" i="1"/>
  <c r="AD120" i="1" s="1"/>
  <c r="AB120" i="1" s="1"/>
  <c r="AC116" i="1"/>
  <c r="AD116" i="1" s="1"/>
  <c r="AD114" i="1"/>
  <c r="AB114" i="1" s="1"/>
  <c r="Q6233" i="1"/>
  <c r="R6233" i="1" s="1"/>
  <c r="T6233" i="1" s="1"/>
  <c r="Q7336" i="1"/>
  <c r="R7336" i="1" s="1"/>
  <c r="T7336" i="1" s="1"/>
  <c r="Q6684" i="1"/>
  <c r="R6684" i="1" s="1"/>
  <c r="T6684" i="1" s="1"/>
  <c r="Q1775" i="1"/>
  <c r="R1775" i="1" s="1"/>
  <c r="T1775" i="1" s="1"/>
  <c r="H6267" i="1"/>
  <c r="I6267" i="1" s="1"/>
  <c r="H6300" i="1"/>
  <c r="I6300" i="1" s="1"/>
  <c r="H526" i="1"/>
  <c r="I526" i="1" s="1"/>
  <c r="H9184" i="1"/>
  <c r="I9184" i="1" s="1"/>
  <c r="Q6721" i="1"/>
  <c r="R6721" i="1" s="1"/>
  <c r="T6721" i="1" s="1"/>
  <c r="H1517" i="1"/>
  <c r="I1517" i="1" s="1"/>
  <c r="Q706" i="1"/>
  <c r="R706" i="1" s="1"/>
  <c r="T706" i="1" s="1"/>
  <c r="Q4491" i="1"/>
  <c r="R4491" i="1" s="1"/>
  <c r="T4491" i="1" s="1"/>
  <c r="H1676" i="1"/>
  <c r="I1676" i="1" s="1"/>
  <c r="H9058" i="1"/>
  <c r="I9058" i="1" s="1"/>
  <c r="H1464" i="1"/>
  <c r="I1464" i="1" s="1"/>
  <c r="Q6048" i="1"/>
  <c r="R6048" i="1" s="1"/>
  <c r="T6048" i="1" s="1"/>
  <c r="H4622" i="1"/>
  <c r="I4622" i="1" s="1"/>
  <c r="Q6508" i="1"/>
  <c r="R6508" i="1" s="1"/>
  <c r="T6508" i="1" s="1"/>
  <c r="Q5765" i="1"/>
  <c r="R5765" i="1" s="1"/>
  <c r="T5765" i="1" s="1"/>
  <c r="Q9059" i="1"/>
  <c r="R9059" i="1" s="1"/>
  <c r="T9059" i="1" s="1"/>
  <c r="Q6046" i="1"/>
  <c r="R6046" i="1" s="1"/>
  <c r="T6046" i="1" s="1"/>
  <c r="Q6264" i="1"/>
  <c r="R6264" i="1" s="1"/>
  <c r="T6264" i="1" s="1"/>
  <c r="H6264" i="1"/>
  <c r="I6264" i="1" s="1"/>
  <c r="H6206" i="1"/>
  <c r="I6206" i="1" s="1"/>
  <c r="Q6206" i="1"/>
  <c r="R6206" i="1" s="1"/>
  <c r="T6206" i="1" s="1"/>
  <c r="Q705" i="1"/>
  <c r="R705" i="1" s="1"/>
  <c r="T705" i="1" s="1"/>
  <c r="Q3690" i="1"/>
  <c r="R3690" i="1" s="1"/>
  <c r="T3690" i="1" s="1"/>
  <c r="Q1288" i="1"/>
  <c r="R1288" i="1" s="1"/>
  <c r="T1288" i="1" s="1"/>
  <c r="H6567" i="1"/>
  <c r="I6567" i="1" s="1"/>
  <c r="Q6567" i="1"/>
  <c r="R6567" i="1" s="1"/>
  <c r="T6567" i="1" s="1"/>
  <c r="H7911" i="1"/>
  <c r="I7911" i="1" s="1"/>
  <c r="Q7911" i="1"/>
  <c r="R7911" i="1" s="1"/>
  <c r="T7911" i="1" s="1"/>
  <c r="H6520" i="1"/>
  <c r="I6520" i="1" s="1"/>
  <c r="Q6520" i="1"/>
  <c r="R6520" i="1" s="1"/>
  <c r="T6520" i="1" s="1"/>
  <c r="Q6886" i="1"/>
  <c r="R6886" i="1" s="1"/>
  <c r="T6886" i="1" s="1"/>
  <c r="H6886" i="1"/>
  <c r="I6886" i="1" s="1"/>
  <c r="Q7910" i="1"/>
  <c r="R7910" i="1" s="1"/>
  <c r="T7910" i="1" s="1"/>
  <c r="Q6287" i="1"/>
  <c r="R6287" i="1" s="1"/>
  <c r="T6287" i="1" s="1"/>
  <c r="H6287" i="1"/>
  <c r="I6287" i="1" s="1"/>
  <c r="H9764" i="1"/>
  <c r="I9764" i="1" s="1"/>
  <c r="Q6313" i="1"/>
  <c r="R6313" i="1" s="1"/>
  <c r="T6313" i="1" s="1"/>
  <c r="H6313" i="1"/>
  <c r="I6313" i="1" s="1"/>
  <c r="Q5805" i="1"/>
  <c r="R5805" i="1" s="1"/>
  <c r="T5805" i="1" s="1"/>
  <c r="H5805" i="1"/>
  <c r="I5805" i="1" s="1"/>
  <c r="H6685" i="1"/>
  <c r="I6685" i="1" s="1"/>
  <c r="H7718" i="1"/>
  <c r="I7718" i="1" s="1"/>
  <c r="Q7718" i="1"/>
  <c r="R7718" i="1" s="1"/>
  <c r="T7718" i="1" s="1"/>
  <c r="H5887" i="1"/>
  <c r="I5887" i="1" s="1"/>
  <c r="Q5887" i="1"/>
  <c r="R5887" i="1" s="1"/>
  <c r="T5887" i="1" s="1"/>
  <c r="H5771" i="1"/>
  <c r="I5771" i="1" s="1"/>
  <c r="Q5771" i="1"/>
  <c r="R5771" i="1" s="1"/>
  <c r="T5771" i="1" s="1"/>
  <c r="Q6991" i="1"/>
  <c r="R6991" i="1" s="1"/>
  <c r="T6991" i="1" s="1"/>
  <c r="H6991" i="1"/>
  <c r="I6991" i="1" s="1"/>
  <c r="H6428" i="1"/>
  <c r="I6428" i="1" s="1"/>
  <c r="Q6428" i="1"/>
  <c r="R6428" i="1" s="1"/>
  <c r="T6428" i="1" s="1"/>
  <c r="H5942" i="1"/>
  <c r="I5942" i="1" s="1"/>
  <c r="Q5942" i="1"/>
  <c r="R5942" i="1" s="1"/>
  <c r="T5942" i="1" s="1"/>
  <c r="H6717" i="1"/>
  <c r="I6717" i="1" s="1"/>
  <c r="Q6717" i="1"/>
  <c r="R6717" i="1" s="1"/>
  <c r="T6717" i="1" s="1"/>
  <c r="H9674" i="1"/>
  <c r="I9674" i="1" s="1"/>
  <c r="Q9674" i="1"/>
  <c r="R9674" i="1" s="1"/>
  <c r="T9674" i="1" s="1"/>
  <c r="Q6521" i="1"/>
  <c r="R6521" i="1" s="1"/>
  <c r="T6521" i="1" s="1"/>
  <c r="H6521" i="1"/>
  <c r="I6521" i="1" s="1"/>
  <c r="H6305" i="1"/>
  <c r="I6305" i="1" s="1"/>
  <c r="Q6305" i="1"/>
  <c r="R6305" i="1" s="1"/>
  <c r="T6305" i="1" s="1"/>
  <c r="H6797" i="1"/>
  <c r="I6797" i="1" s="1"/>
  <c r="Q6797" i="1"/>
  <c r="R6797" i="1" s="1"/>
  <c r="T6797" i="1" s="1"/>
  <c r="Q6696" i="1"/>
  <c r="R6696" i="1" s="1"/>
  <c r="T6696" i="1" s="1"/>
  <c r="H6696" i="1"/>
  <c r="I6696" i="1" s="1"/>
  <c r="Q6427" i="1"/>
  <c r="R6427" i="1" s="1"/>
  <c r="T6427" i="1" s="1"/>
  <c r="H6427" i="1"/>
  <c r="I6427" i="1" s="1"/>
  <c r="Q5768" i="1"/>
  <c r="R5768" i="1" s="1"/>
  <c r="T5768" i="1" s="1"/>
  <c r="H5768" i="1"/>
  <c r="I5768" i="1" s="1"/>
  <c r="Q6745" i="1"/>
  <c r="R6745" i="1" s="1"/>
  <c r="T6745" i="1" s="1"/>
  <c r="H6745" i="1"/>
  <c r="I6745" i="1" s="1"/>
  <c r="Q6541" i="1"/>
  <c r="R6541" i="1" s="1"/>
  <c r="T6541" i="1" s="1"/>
  <c r="H6541" i="1"/>
  <c r="I6541" i="1" s="1"/>
  <c r="H6117" i="1"/>
  <c r="I6117" i="1" s="1"/>
  <c r="Q6117" i="1"/>
  <c r="R6117" i="1" s="1"/>
  <c r="T6117" i="1" s="1"/>
  <c r="Q6468" i="1"/>
  <c r="R6468" i="1" s="1"/>
  <c r="T6468" i="1" s="1"/>
  <c r="H6468" i="1"/>
  <c r="I6468" i="1" s="1"/>
  <c r="Q6504" i="1"/>
  <c r="R6504" i="1" s="1"/>
  <c r="T6504" i="1" s="1"/>
  <c r="H6504" i="1"/>
  <c r="I6504" i="1" s="1"/>
  <c r="H6509" i="1"/>
  <c r="I6509" i="1" s="1"/>
  <c r="Q6509" i="1"/>
  <c r="R6509" i="1" s="1"/>
  <c r="T6509" i="1" s="1"/>
  <c r="Q5937" i="1"/>
  <c r="R5937" i="1" s="1"/>
  <c r="T5937" i="1" s="1"/>
  <c r="H5937" i="1"/>
  <c r="I5937" i="1" s="1"/>
  <c r="H6733" i="1"/>
  <c r="I6733" i="1" s="1"/>
  <c r="Q6733" i="1"/>
  <c r="R6733" i="1" s="1"/>
  <c r="T6733" i="1" s="1"/>
  <c r="H6758" i="1"/>
  <c r="I6758" i="1" s="1"/>
  <c r="Q6758" i="1"/>
  <c r="R6758" i="1" s="1"/>
  <c r="T6758" i="1" s="1"/>
  <c r="H5762" i="1"/>
  <c r="I5762" i="1" s="1"/>
  <c r="Q5762" i="1"/>
  <c r="R5762" i="1" s="1"/>
  <c r="T5762" i="1" s="1"/>
  <c r="Q6571" i="1"/>
  <c r="R6571" i="1" s="1"/>
  <c r="T6571" i="1" s="1"/>
  <c r="H6571" i="1"/>
  <c r="I6571" i="1" s="1"/>
  <c r="H6926" i="1"/>
  <c r="I6926" i="1" s="1"/>
  <c r="Q6926" i="1"/>
  <c r="R6926" i="1" s="1"/>
  <c r="T6926" i="1" s="1"/>
  <c r="Q7635" i="1"/>
  <c r="R7635" i="1" s="1"/>
  <c r="T7635" i="1" s="1"/>
  <c r="H7635" i="1"/>
  <c r="I7635" i="1" s="1"/>
  <c r="H6269" i="1"/>
  <c r="I6269" i="1" s="1"/>
  <c r="Q6269" i="1"/>
  <c r="R6269" i="1" s="1"/>
  <c r="T6269" i="1" s="1"/>
  <c r="H6301" i="1"/>
  <c r="I6301" i="1" s="1"/>
  <c r="Q6301" i="1"/>
  <c r="R6301" i="1" s="1"/>
  <c r="T6301" i="1" s="1"/>
  <c r="Q7236" i="1"/>
  <c r="R7236" i="1" s="1"/>
  <c r="T7236" i="1" s="1"/>
  <c r="H7236" i="1"/>
  <c r="I7236" i="1" s="1"/>
  <c r="Q5772" i="1"/>
  <c r="R5772" i="1" s="1"/>
  <c r="T5772" i="1" s="1"/>
  <c r="H5772" i="1"/>
  <c r="I5772" i="1" s="1"/>
  <c r="Q6090" i="1"/>
  <c r="R6090" i="1" s="1"/>
  <c r="T6090" i="1" s="1"/>
  <c r="H6090" i="1"/>
  <c r="I6090" i="1" s="1"/>
  <c r="Q6286" i="1"/>
  <c r="R6286" i="1" s="1"/>
  <c r="T6286" i="1" s="1"/>
  <c r="H6286" i="1"/>
  <c r="I6286" i="1" s="1"/>
  <c r="Q6122" i="1"/>
  <c r="R6122" i="1" s="1"/>
  <c r="T6122" i="1" s="1"/>
  <c r="H6122" i="1"/>
  <c r="I6122" i="1" s="1"/>
  <c r="Q5940" i="1"/>
  <c r="R5940" i="1" s="1"/>
  <c r="T5940" i="1" s="1"/>
  <c r="H5940" i="1"/>
  <c r="I5940" i="1" s="1"/>
  <c r="Q6205" i="1"/>
  <c r="R6205" i="1" s="1"/>
  <c r="T6205" i="1" s="1"/>
  <c r="H6205" i="1"/>
  <c r="I6205" i="1" s="1"/>
  <c r="H6234" i="1"/>
  <c r="I6234" i="1" s="1"/>
  <c r="Q6234" i="1"/>
  <c r="R6234" i="1" s="1"/>
  <c r="T6234" i="1" s="1"/>
  <c r="H6914" i="1"/>
  <c r="I6914" i="1" s="1"/>
  <c r="Q6914" i="1"/>
  <c r="R6914" i="1" s="1"/>
  <c r="T6914" i="1" s="1"/>
  <c r="Q5936" i="1"/>
  <c r="R5936" i="1" s="1"/>
  <c r="T5936" i="1" s="1"/>
  <c r="H5936" i="1"/>
  <c r="I5936" i="1" s="1"/>
  <c r="Q6016" i="1"/>
  <c r="R6016" i="1" s="1"/>
  <c r="T6016" i="1" s="1"/>
  <c r="H6016" i="1"/>
  <c r="I6016" i="1" s="1"/>
  <c r="Q6078" i="1"/>
  <c r="R6078" i="1" s="1"/>
  <c r="T6078" i="1" s="1"/>
  <c r="H6078" i="1"/>
  <c r="I6078" i="1" s="1"/>
  <c r="H9839" i="1"/>
  <c r="I9839" i="1" s="1"/>
  <c r="Q9839" i="1"/>
  <c r="R9839" i="1" s="1"/>
  <c r="T9839" i="1" s="1"/>
  <c r="Q6740" i="1"/>
  <c r="R6740" i="1" s="1"/>
  <c r="T6740" i="1" s="1"/>
  <c r="H6740" i="1"/>
  <c r="I6740" i="1" s="1"/>
  <c r="H6420" i="1"/>
  <c r="I6420" i="1" s="1"/>
  <c r="Q6420" i="1"/>
  <c r="R6420" i="1" s="1"/>
  <c r="T6420" i="1" s="1"/>
  <c r="Q6056" i="1"/>
  <c r="R6056" i="1" s="1"/>
  <c r="T6056" i="1" s="1"/>
  <c r="H6056" i="1"/>
  <c r="I6056" i="1" s="1"/>
  <c r="Q7716" i="1"/>
  <c r="R7716" i="1" s="1"/>
  <c r="T7716" i="1" s="1"/>
  <c r="H7716" i="1"/>
  <c r="I7716" i="1" s="1"/>
  <c r="Q5766" i="1"/>
  <c r="R5766" i="1" s="1"/>
  <c r="T5766" i="1" s="1"/>
  <c r="H5766" i="1"/>
  <c r="I5766" i="1" s="1"/>
  <c r="Q6656" i="1"/>
  <c r="R6656" i="1" s="1"/>
  <c r="T6656" i="1" s="1"/>
  <c r="H6656" i="1"/>
  <c r="I6656" i="1" s="1"/>
  <c r="Q7830" i="1"/>
  <c r="R7830" i="1" s="1"/>
  <c r="T7830" i="1" s="1"/>
  <c r="H7830" i="1"/>
  <c r="I7830" i="1" s="1"/>
  <c r="Q6057" i="1"/>
  <c r="R6057" i="1" s="1"/>
  <c r="T6057" i="1" s="1"/>
  <c r="H6057" i="1"/>
  <c r="I6057" i="1" s="1"/>
  <c r="Q6281" i="1"/>
  <c r="R6281" i="1" s="1"/>
  <c r="T6281" i="1" s="1"/>
  <c r="H6281" i="1"/>
  <c r="I6281" i="1" s="1"/>
  <c r="Q6491" i="1"/>
  <c r="R6491" i="1" s="1"/>
  <c r="T6491" i="1" s="1"/>
  <c r="H6491" i="1"/>
  <c r="I6491" i="1" s="1"/>
  <c r="H6339" i="1"/>
  <c r="I6339" i="1" s="1"/>
  <c r="Q6339" i="1"/>
  <c r="R6339" i="1" s="1"/>
  <c r="T6339" i="1" s="1"/>
  <c r="Q6489" i="1"/>
  <c r="R6489" i="1" s="1"/>
  <c r="T6489" i="1" s="1"/>
  <c r="H6489" i="1"/>
  <c r="I6489" i="1" s="1"/>
  <c r="Q6573" i="1"/>
  <c r="R6573" i="1" s="1"/>
  <c r="T6573" i="1" s="1"/>
  <c r="H6573" i="1"/>
  <c r="I6573" i="1" s="1"/>
  <c r="Q6757" i="1"/>
  <c r="R6757" i="1" s="1"/>
  <c r="T6757" i="1" s="1"/>
  <c r="H6757" i="1"/>
  <c r="I6757" i="1" s="1"/>
  <c r="H9792" i="1"/>
  <c r="I9792" i="1" s="1"/>
  <c r="Q9792" i="1"/>
  <c r="R9792" i="1" s="1"/>
  <c r="T9792" i="1" s="1"/>
  <c r="Q6915" i="1"/>
  <c r="R6915" i="1" s="1"/>
  <c r="T6915" i="1" s="1"/>
  <c r="H6915" i="1"/>
  <c r="I6915" i="1" s="1"/>
  <c r="H5938" i="1"/>
  <c r="I5938" i="1" s="1"/>
  <c r="Q5938" i="1"/>
  <c r="R5938" i="1" s="1"/>
  <c r="T5938" i="1" s="1"/>
  <c r="Q6456" i="1"/>
  <c r="R6456" i="1" s="1"/>
  <c r="T6456" i="1" s="1"/>
  <c r="H6456" i="1"/>
  <c r="I6456" i="1" s="1"/>
  <c r="Q6566" i="1"/>
  <c r="R6566" i="1" s="1"/>
  <c r="T6566" i="1" s="1"/>
  <c r="H6566" i="1"/>
  <c r="I6566" i="1" s="1"/>
  <c r="H9195" i="1"/>
  <c r="I9195" i="1" s="1"/>
  <c r="Q9195" i="1"/>
  <c r="R9195" i="1" s="1"/>
  <c r="T9195" i="1" s="1"/>
  <c r="H6989" i="1"/>
  <c r="I6989" i="1" s="1"/>
  <c r="Q6989" i="1"/>
  <c r="R6989" i="1" s="1"/>
  <c r="T6989" i="1" s="1"/>
  <c r="H5764" i="1"/>
  <c r="I5764" i="1" s="1"/>
  <c r="Q5764" i="1"/>
  <c r="R5764" i="1" s="1"/>
  <c r="T5764" i="1" s="1"/>
  <c r="Q6280" i="1"/>
  <c r="R6280" i="1" s="1"/>
  <c r="T6280" i="1" s="1"/>
  <c r="H6280" i="1"/>
  <c r="I6280" i="1" s="1"/>
  <c r="H6034" i="1"/>
  <c r="I6034" i="1" s="1"/>
  <c r="Q6034" i="1"/>
  <c r="R6034" i="1" s="1"/>
  <c r="T6034" i="1" s="1"/>
  <c r="Q760" i="1"/>
  <c r="R760" i="1" s="1"/>
  <c r="T760" i="1" s="1"/>
  <c r="Q6796" i="1"/>
  <c r="R6796" i="1" s="1"/>
  <c r="T6796" i="1" s="1"/>
  <c r="H6796" i="1"/>
  <c r="I6796" i="1" s="1"/>
  <c r="Q6266" i="1"/>
  <c r="R6266" i="1" s="1"/>
  <c r="T6266" i="1" s="1"/>
  <c r="H6266" i="1"/>
  <c r="I6266" i="1" s="1"/>
  <c r="Q9815" i="1"/>
  <c r="R9815" i="1" s="1"/>
  <c r="T9815" i="1" s="1"/>
  <c r="H9815" i="1"/>
  <c r="I9815" i="1" s="1"/>
  <c r="Q6344" i="1"/>
  <c r="R6344" i="1" s="1"/>
  <c r="T6344" i="1" s="1"/>
  <c r="H6344" i="1"/>
  <c r="I6344" i="1" s="1"/>
  <c r="Q5979" i="1"/>
  <c r="R5979" i="1" s="1"/>
  <c r="T5979" i="1" s="1"/>
  <c r="H5979" i="1"/>
  <c r="I5979" i="1" s="1"/>
  <c r="Q6771" i="1"/>
  <c r="R6771" i="1" s="1"/>
  <c r="T6771" i="1" s="1"/>
  <c r="H6771" i="1"/>
  <c r="I6771" i="1" s="1"/>
  <c r="Q9182" i="1"/>
  <c r="R9182" i="1" s="1"/>
  <c r="T9182" i="1" s="1"/>
  <c r="H9182" i="1"/>
  <c r="I9182" i="1" s="1"/>
  <c r="Q6510" i="1"/>
  <c r="R6510" i="1" s="1"/>
  <c r="T6510" i="1" s="1"/>
  <c r="H6510" i="1"/>
  <c r="I6510" i="1" s="1"/>
  <c r="H5770" i="1"/>
  <c r="I5770" i="1" s="1"/>
  <c r="Q5770" i="1"/>
  <c r="R5770" i="1" s="1"/>
  <c r="T5770" i="1" s="1"/>
  <c r="H6488" i="1"/>
  <c r="I6488" i="1" s="1"/>
  <c r="Q6488" i="1"/>
  <c r="R6488" i="1" s="1"/>
  <c r="T6488" i="1" s="1"/>
  <c r="Q5807" i="1"/>
  <c r="R5807" i="1" s="1"/>
  <c r="T5807" i="1" s="1"/>
  <c r="H5807" i="1"/>
  <c r="I5807" i="1" s="1"/>
  <c r="Q6732" i="1"/>
  <c r="R6732" i="1" s="1"/>
  <c r="T6732" i="1" s="1"/>
  <c r="H6732" i="1"/>
  <c r="I6732" i="1" s="1"/>
  <c r="Q717" i="1"/>
  <c r="R717" i="1" s="1"/>
  <c r="T717" i="1" s="1"/>
  <c r="H6429" i="1"/>
  <c r="I6429" i="1" s="1"/>
  <c r="Q6429" i="1"/>
  <c r="R6429" i="1" s="1"/>
  <c r="T6429" i="1" s="1"/>
  <c r="Q6288" i="1"/>
  <c r="R6288" i="1" s="1"/>
  <c r="T6288" i="1" s="1"/>
  <c r="H6288" i="1"/>
  <c r="I6288" i="1" s="1"/>
  <c r="Q5763" i="1"/>
  <c r="R5763" i="1" s="1"/>
  <c r="T5763" i="1" s="1"/>
  <c r="H5763" i="1"/>
  <c r="I5763" i="1" s="1"/>
  <c r="H5806" i="1"/>
  <c r="I5806" i="1" s="1"/>
  <c r="Q5806" i="1"/>
  <c r="R5806" i="1" s="1"/>
  <c r="T5806" i="1" s="1"/>
  <c r="Q6990" i="1"/>
  <c r="R6990" i="1" s="1"/>
  <c r="T6990" i="1" s="1"/>
  <c r="H6990" i="1"/>
  <c r="I6990" i="1" s="1"/>
  <c r="Q6746" i="1"/>
  <c r="R6746" i="1" s="1"/>
  <c r="T6746" i="1" s="1"/>
  <c r="H6746" i="1"/>
  <c r="I6746" i="1" s="1"/>
  <c r="Q6047" i="1"/>
  <c r="R6047" i="1" s="1"/>
  <c r="T6047" i="1" s="1"/>
  <c r="H6047" i="1"/>
  <c r="I6047" i="1" s="1"/>
  <c r="Q9811" i="1"/>
  <c r="R9811" i="1" s="1"/>
  <c r="T9811" i="1" s="1"/>
  <c r="H9811" i="1"/>
  <c r="I9811" i="1" s="1"/>
  <c r="H6091" i="1"/>
  <c r="I6091" i="1" s="1"/>
  <c r="Q6091" i="1"/>
  <c r="R6091" i="1" s="1"/>
  <c r="T6091" i="1" s="1"/>
  <c r="H8626" i="1"/>
  <c r="I8626" i="1" s="1"/>
  <c r="Q8626" i="1"/>
  <c r="R8626" i="1" s="1"/>
  <c r="T8626" i="1" s="1"/>
  <c r="H8620" i="1"/>
  <c r="I8620" i="1" s="1"/>
  <c r="Q8620" i="1"/>
  <c r="R8620" i="1" s="1"/>
  <c r="T8620" i="1" s="1"/>
  <c r="H9827" i="1"/>
  <c r="I9827" i="1" s="1"/>
  <c r="Q9827" i="1"/>
  <c r="R9827" i="1" s="1"/>
  <c r="T9827" i="1" s="1"/>
  <c r="H8040" i="1"/>
  <c r="I8040" i="1" s="1"/>
  <c r="Q8040" i="1"/>
  <c r="R8040" i="1" s="1"/>
  <c r="T8040" i="1" s="1"/>
  <c r="Q9825" i="1"/>
  <c r="R9825" i="1" s="1"/>
  <c r="T9825" i="1" s="1"/>
  <c r="H9825" i="1"/>
  <c r="I9825" i="1" s="1"/>
  <c r="H8567" i="1"/>
  <c r="I8567" i="1" s="1"/>
  <c r="Q8567" i="1"/>
  <c r="R8567" i="1" s="1"/>
  <c r="T8567" i="1" s="1"/>
  <c r="Q9821" i="1"/>
  <c r="R9821" i="1" s="1"/>
  <c r="T9821" i="1" s="1"/>
  <c r="H9821" i="1"/>
  <c r="I9821" i="1" s="1"/>
  <c r="H8278" i="1"/>
  <c r="I8278" i="1" s="1"/>
  <c r="Q8278" i="1"/>
  <c r="R8278" i="1" s="1"/>
  <c r="T8278" i="1" s="1"/>
  <c r="Q9790" i="1"/>
  <c r="R9790" i="1" s="1"/>
  <c r="T9790" i="1" s="1"/>
  <c r="H9790" i="1"/>
  <c r="I9790" i="1" s="1"/>
  <c r="Q9830" i="1"/>
  <c r="R9830" i="1" s="1"/>
  <c r="T9830" i="1" s="1"/>
  <c r="H9830" i="1"/>
  <c r="I9830" i="1" s="1"/>
  <c r="H8346" i="1"/>
  <c r="I8346" i="1" s="1"/>
  <c r="Q8346" i="1"/>
  <c r="R8346" i="1" s="1"/>
  <c r="T8346" i="1" s="1"/>
  <c r="Q9754" i="1"/>
  <c r="R9754" i="1" s="1"/>
  <c r="T9754" i="1" s="1"/>
  <c r="H9754" i="1"/>
  <c r="I9754" i="1" s="1"/>
  <c r="H9779" i="1"/>
  <c r="I9779" i="1" s="1"/>
  <c r="Q9779" i="1"/>
  <c r="R9779" i="1" s="1"/>
  <c r="T9779" i="1" s="1"/>
  <c r="Q8625" i="1"/>
  <c r="R8625" i="1" s="1"/>
  <c r="T8625" i="1" s="1"/>
  <c r="H8625" i="1"/>
  <c r="I8625" i="1" s="1"/>
  <c r="Q9848" i="1"/>
  <c r="R9848" i="1" s="1"/>
  <c r="T9848" i="1" s="1"/>
  <c r="H9848" i="1"/>
  <c r="I9848" i="1" s="1"/>
  <c r="H8584" i="1"/>
  <c r="I8584" i="1" s="1"/>
  <c r="Q8584" i="1"/>
  <c r="R8584" i="1" s="1"/>
  <c r="T8584" i="1" s="1"/>
  <c r="Q9751" i="1"/>
  <c r="R9751" i="1" s="1"/>
  <c r="T9751" i="1" s="1"/>
  <c r="H9751" i="1"/>
  <c r="I9751" i="1" s="1"/>
  <c r="H9191" i="1"/>
  <c r="I9191" i="1" s="1"/>
  <c r="Q9191" i="1"/>
  <c r="R9191" i="1" s="1"/>
  <c r="T9191" i="1" s="1"/>
  <c r="Q8535" i="1"/>
  <c r="R8535" i="1" s="1"/>
  <c r="T8535" i="1" s="1"/>
  <c r="H8535" i="1"/>
  <c r="I8535" i="1" s="1"/>
  <c r="H9805" i="1"/>
  <c r="I9805" i="1" s="1"/>
  <c r="Q9805" i="1"/>
  <c r="R9805" i="1" s="1"/>
  <c r="T9805" i="1" s="1"/>
  <c r="Q9782" i="1"/>
  <c r="R9782" i="1" s="1"/>
  <c r="T9782" i="1" s="1"/>
  <c r="H9782" i="1"/>
  <c r="I9782" i="1" s="1"/>
  <c r="Q8867" i="1"/>
  <c r="R8867" i="1" s="1"/>
  <c r="T8867" i="1" s="1"/>
  <c r="H8867" i="1"/>
  <c r="I8867" i="1" s="1"/>
  <c r="H9856" i="1"/>
  <c r="I9856" i="1" s="1"/>
  <c r="Q9856" i="1"/>
  <c r="R9856" i="1" s="1"/>
  <c r="T9856" i="1" s="1"/>
  <c r="H9806" i="1"/>
  <c r="I9806" i="1" s="1"/>
  <c r="Q9806" i="1"/>
  <c r="R9806" i="1" s="1"/>
  <c r="T9806" i="1" s="1"/>
  <c r="Q9834" i="1"/>
  <c r="R9834" i="1" s="1"/>
  <c r="T9834" i="1" s="1"/>
  <c r="H9834" i="1"/>
  <c r="I9834" i="1" s="1"/>
  <c r="H9781" i="1"/>
  <c r="I9781" i="1" s="1"/>
  <c r="Q9781" i="1"/>
  <c r="R9781" i="1" s="1"/>
  <c r="T9781" i="1" s="1"/>
  <c r="H9780" i="1"/>
  <c r="I9780" i="1" s="1"/>
  <c r="Q9780" i="1"/>
  <c r="R9780" i="1" s="1"/>
  <c r="T9780" i="1" s="1"/>
  <c r="Q9758" i="1"/>
  <c r="R9758" i="1" s="1"/>
  <c r="T9758" i="1" s="1"/>
  <c r="H9758" i="1"/>
  <c r="I9758" i="1" s="1"/>
  <c r="H9185" i="1"/>
  <c r="I9185" i="1" s="1"/>
  <c r="Q9185" i="1"/>
  <c r="R9185" i="1" s="1"/>
  <c r="T9185" i="1" s="1"/>
  <c r="H8211" i="1"/>
  <c r="I8211" i="1" s="1"/>
  <c r="Q8211" i="1"/>
  <c r="R8211" i="1" s="1"/>
  <c r="T8211" i="1" s="1"/>
  <c r="H735" i="1"/>
  <c r="I735" i="1" s="1"/>
  <c r="Q5444" i="1"/>
  <c r="R5444" i="1" s="1"/>
  <c r="T5444" i="1" s="1"/>
  <c r="H8629" i="1"/>
  <c r="I8629" i="1" s="1"/>
  <c r="Q8629" i="1"/>
  <c r="R8629" i="1" s="1"/>
  <c r="T8629" i="1" s="1"/>
  <c r="H8110" i="1"/>
  <c r="I8110" i="1" s="1"/>
  <c r="Q8110" i="1"/>
  <c r="R8110" i="1" s="1"/>
  <c r="T8110" i="1" s="1"/>
  <c r="H9196" i="1"/>
  <c r="I9196" i="1" s="1"/>
  <c r="Q9196" i="1"/>
  <c r="R9196" i="1" s="1"/>
  <c r="T9196" i="1" s="1"/>
  <c r="H8500" i="1"/>
  <c r="I8500" i="1" s="1"/>
  <c r="Q8500" i="1"/>
  <c r="R8500" i="1" s="1"/>
  <c r="T8500" i="1" s="1"/>
  <c r="Q9846" i="1"/>
  <c r="R9846" i="1" s="1"/>
  <c r="T9846" i="1" s="1"/>
  <c r="H9846" i="1"/>
  <c r="I9846" i="1" s="1"/>
  <c r="Q9055" i="1"/>
  <c r="R9055" i="1" s="1"/>
  <c r="T9055" i="1" s="1"/>
  <c r="H9055" i="1"/>
  <c r="I9055" i="1" s="1"/>
  <c r="H8261" i="1"/>
  <c r="I8261" i="1" s="1"/>
  <c r="Q8261" i="1"/>
  <c r="R8261" i="1" s="1"/>
  <c r="T8261" i="1" s="1"/>
  <c r="Q8496" i="1"/>
  <c r="R8496" i="1" s="1"/>
  <c r="T8496" i="1" s="1"/>
  <c r="H8496" i="1"/>
  <c r="I8496" i="1" s="1"/>
  <c r="H8682" i="1"/>
  <c r="I8682" i="1" s="1"/>
  <c r="Q8682" i="1"/>
  <c r="R8682" i="1" s="1"/>
  <c r="T8682" i="1" s="1"/>
  <c r="H9749" i="1"/>
  <c r="I9749" i="1" s="1"/>
  <c r="Q9749" i="1"/>
  <c r="R9749" i="1" s="1"/>
  <c r="T9749" i="1" s="1"/>
  <c r="Q9843" i="1"/>
  <c r="R9843" i="1" s="1"/>
  <c r="T9843" i="1" s="1"/>
  <c r="H9843" i="1"/>
  <c r="I9843" i="1" s="1"/>
  <c r="Q8042" i="1"/>
  <c r="R8042" i="1" s="1"/>
  <c r="T8042" i="1" s="1"/>
  <c r="H8042" i="1"/>
  <c r="I8042" i="1" s="1"/>
  <c r="Q9833" i="1"/>
  <c r="R9833" i="1" s="1"/>
  <c r="T9833" i="1" s="1"/>
  <c r="H9833" i="1"/>
  <c r="I9833" i="1" s="1"/>
  <c r="Q9794" i="1"/>
  <c r="R9794" i="1" s="1"/>
  <c r="T9794" i="1" s="1"/>
  <c r="H9794" i="1"/>
  <c r="I9794" i="1" s="1"/>
  <c r="H9793" i="1"/>
  <c r="I9793" i="1" s="1"/>
  <c r="Q9793" i="1"/>
  <c r="R9793" i="1" s="1"/>
  <c r="T9793" i="1" s="1"/>
  <c r="Q9772" i="1"/>
  <c r="R9772" i="1" s="1"/>
  <c r="T9772" i="1" s="1"/>
  <c r="H9772" i="1"/>
  <c r="I9772" i="1" s="1"/>
  <c r="H9194" i="1"/>
  <c r="I9194" i="1" s="1"/>
  <c r="Q9194" i="1"/>
  <c r="R9194" i="1" s="1"/>
  <c r="T9194" i="1" s="1"/>
  <c r="Q9853" i="1"/>
  <c r="R9853" i="1" s="1"/>
  <c r="T9853" i="1" s="1"/>
  <c r="H9853" i="1"/>
  <c r="I9853" i="1" s="1"/>
  <c r="H9789" i="1"/>
  <c r="I9789" i="1" s="1"/>
  <c r="Q9789" i="1"/>
  <c r="R9789" i="1" s="1"/>
  <c r="T9789" i="1" s="1"/>
  <c r="Q8870" i="1"/>
  <c r="R8870" i="1" s="1"/>
  <c r="T8870" i="1" s="1"/>
  <c r="H8870" i="1"/>
  <c r="I8870" i="1" s="1"/>
  <c r="H9773" i="1"/>
  <c r="I9773" i="1" s="1"/>
  <c r="Q9773" i="1"/>
  <c r="R9773" i="1" s="1"/>
  <c r="T9773" i="1" s="1"/>
  <c r="Q9802" i="1"/>
  <c r="R9802" i="1" s="1"/>
  <c r="T9802" i="1" s="1"/>
  <c r="H9802" i="1"/>
  <c r="I9802" i="1" s="1"/>
  <c r="Q8039" i="1"/>
  <c r="R8039" i="1" s="1"/>
  <c r="T8039" i="1" s="1"/>
  <c r="H8039" i="1"/>
  <c r="I8039" i="1" s="1"/>
  <c r="H9750" i="1"/>
  <c r="I9750" i="1" s="1"/>
  <c r="Q9750" i="1"/>
  <c r="R9750" i="1" s="1"/>
  <c r="T9750" i="1" s="1"/>
  <c r="H9857" i="1"/>
  <c r="I9857" i="1" s="1"/>
  <c r="Q9857" i="1"/>
  <c r="R9857" i="1" s="1"/>
  <c r="T9857" i="1" s="1"/>
  <c r="H9854" i="1"/>
  <c r="I9854" i="1" s="1"/>
  <c r="Q9854" i="1"/>
  <c r="R9854" i="1" s="1"/>
  <c r="T9854" i="1" s="1"/>
  <c r="H9752" i="1"/>
  <c r="I9752" i="1" s="1"/>
  <c r="Q9752" i="1"/>
  <c r="R9752" i="1" s="1"/>
  <c r="T9752" i="1" s="1"/>
  <c r="Q9774" i="1"/>
  <c r="R9774" i="1" s="1"/>
  <c r="T9774" i="1" s="1"/>
  <c r="H9774" i="1"/>
  <c r="I9774" i="1" s="1"/>
  <c r="Q9190" i="1"/>
  <c r="R9190" i="1" s="1"/>
  <c r="T9190" i="1" s="1"/>
  <c r="H9190" i="1"/>
  <c r="I9190" i="1" s="1"/>
  <c r="Q9187" i="1"/>
  <c r="R9187" i="1" s="1"/>
  <c r="T9187" i="1" s="1"/>
  <c r="H9187" i="1"/>
  <c r="I9187" i="1" s="1"/>
  <c r="H9776" i="1"/>
  <c r="I9776" i="1" s="1"/>
  <c r="Q9776" i="1"/>
  <c r="R9776" i="1" s="1"/>
  <c r="T9776" i="1" s="1"/>
  <c r="H9796" i="1"/>
  <c r="I9796" i="1" s="1"/>
  <c r="Q9796" i="1"/>
  <c r="R9796" i="1" s="1"/>
  <c r="T9796" i="1" s="1"/>
  <c r="H8128" i="1"/>
  <c r="I8128" i="1" s="1"/>
  <c r="Q8128" i="1"/>
  <c r="R8128" i="1" s="1"/>
  <c r="T8128" i="1" s="1"/>
  <c r="Q9769" i="1"/>
  <c r="R9769" i="1" s="1"/>
  <c r="T9769" i="1" s="1"/>
  <c r="H9769" i="1"/>
  <c r="I9769" i="1" s="1"/>
  <c r="Q8109" i="1"/>
  <c r="R8109" i="1" s="1"/>
  <c r="T8109" i="1" s="1"/>
  <c r="H8109" i="1"/>
  <c r="I8109" i="1" s="1"/>
  <c r="H9783" i="1"/>
  <c r="I9783" i="1" s="1"/>
  <c r="Q9783" i="1"/>
  <c r="R9783" i="1" s="1"/>
  <c r="T9783" i="1" s="1"/>
  <c r="H9831" i="1"/>
  <c r="I9831" i="1" s="1"/>
  <c r="Q9831" i="1"/>
  <c r="R9831" i="1" s="1"/>
  <c r="T9831" i="1" s="1"/>
  <c r="H8461" i="1"/>
  <c r="I8461" i="1" s="1"/>
  <c r="Q8461" i="1"/>
  <c r="R8461" i="1" s="1"/>
  <c r="T8461" i="1" s="1"/>
  <c r="Q9795" i="1"/>
  <c r="R9795" i="1" s="1"/>
  <c r="T9795" i="1" s="1"/>
  <c r="H9795" i="1"/>
  <c r="I9795" i="1" s="1"/>
  <c r="H8871" i="1"/>
  <c r="I8871" i="1" s="1"/>
  <c r="Q8871" i="1"/>
  <c r="R8871" i="1" s="1"/>
  <c r="T8871" i="1" s="1"/>
  <c r="H9808" i="1"/>
  <c r="I9808" i="1" s="1"/>
  <c r="Q9808" i="1"/>
  <c r="R9808" i="1" s="1"/>
  <c r="T9808" i="1" s="1"/>
  <c r="Q8460" i="1"/>
  <c r="R8460" i="1" s="1"/>
  <c r="T8460" i="1" s="1"/>
  <c r="H8460" i="1"/>
  <c r="I8460" i="1" s="1"/>
  <c r="Q9778" i="1"/>
  <c r="R9778" i="1" s="1"/>
  <c r="T9778" i="1" s="1"/>
  <c r="H9778" i="1"/>
  <c r="I9778" i="1" s="1"/>
  <c r="H9844" i="1"/>
  <c r="I9844" i="1" s="1"/>
  <c r="Q9844" i="1"/>
  <c r="R9844" i="1" s="1"/>
  <c r="T9844" i="1" s="1"/>
  <c r="H8131" i="1"/>
  <c r="I8131" i="1" s="1"/>
  <c r="Q8131" i="1"/>
  <c r="R8131" i="1" s="1"/>
  <c r="T8131" i="1" s="1"/>
  <c r="H9056" i="1"/>
  <c r="I9056" i="1" s="1"/>
  <c r="Q9056" i="1"/>
  <c r="R9056" i="1" s="1"/>
  <c r="T9056" i="1" s="1"/>
  <c r="H9801" i="1"/>
  <c r="I9801" i="1" s="1"/>
  <c r="Q9801" i="1"/>
  <c r="R9801" i="1" s="1"/>
  <c r="T9801" i="1" s="1"/>
  <c r="Q8622" i="1"/>
  <c r="R8622" i="1" s="1"/>
  <c r="T8622" i="1" s="1"/>
  <c r="H8622" i="1"/>
  <c r="I8622" i="1" s="1"/>
  <c r="H9775" i="1"/>
  <c r="I9775" i="1" s="1"/>
  <c r="Q9775" i="1"/>
  <c r="R9775" i="1" s="1"/>
  <c r="T9775" i="1" s="1"/>
  <c r="Q8127" i="1"/>
  <c r="R8127" i="1" s="1"/>
  <c r="T8127" i="1" s="1"/>
  <c r="H8127" i="1"/>
  <c r="I8127" i="1" s="1"/>
  <c r="Q9766" i="1"/>
  <c r="R9766" i="1" s="1"/>
  <c r="T9766" i="1" s="1"/>
  <c r="H9766" i="1"/>
  <c r="I9766" i="1" s="1"/>
  <c r="Q9800" i="1"/>
  <c r="R9800" i="1" s="1"/>
  <c r="T9800" i="1" s="1"/>
  <c r="H9800" i="1"/>
  <c r="I9800" i="1" s="1"/>
  <c r="H9838" i="1"/>
  <c r="I9838" i="1" s="1"/>
  <c r="Q9838" i="1"/>
  <c r="R9838" i="1" s="1"/>
  <c r="T9838" i="1" s="1"/>
  <c r="H9791" i="1"/>
  <c r="I9791" i="1" s="1"/>
  <c r="Q9791" i="1"/>
  <c r="R9791" i="1" s="1"/>
  <c r="T9791" i="1" s="1"/>
  <c r="H9760" i="1"/>
  <c r="I9760" i="1" s="1"/>
  <c r="Q9760" i="1"/>
  <c r="R9760" i="1" s="1"/>
  <c r="T9760" i="1" s="1"/>
  <c r="Q9832" i="1"/>
  <c r="R9832" i="1" s="1"/>
  <c r="T9832" i="1" s="1"/>
  <c r="H9832" i="1"/>
  <c r="I9832" i="1" s="1"/>
  <c r="H8869" i="1"/>
  <c r="I8869" i="1" s="1"/>
  <c r="Q8869" i="1"/>
  <c r="R8869" i="1" s="1"/>
  <c r="T8869" i="1" s="1"/>
  <c r="H9188" i="1"/>
  <c r="I9188" i="1" s="1"/>
  <c r="Q9188" i="1"/>
  <c r="R9188" i="1" s="1"/>
  <c r="T9188" i="1" s="1"/>
  <c r="H9765" i="1"/>
  <c r="I9765" i="1" s="1"/>
  <c r="Q9765" i="1"/>
  <c r="R9765" i="1" s="1"/>
  <c r="T9765" i="1" s="1"/>
  <c r="Q9786" i="1"/>
  <c r="R9786" i="1" s="1"/>
  <c r="T9786" i="1" s="1"/>
  <c r="H9786" i="1"/>
  <c r="I9786" i="1" s="1"/>
  <c r="Q9578" i="1"/>
  <c r="R9578" i="1" s="1"/>
  <c r="T9578" i="1" s="1"/>
  <c r="H9578" i="1"/>
  <c r="I9578" i="1" s="1"/>
  <c r="H9814" i="1"/>
  <c r="I9814" i="1" s="1"/>
  <c r="Q9814" i="1"/>
  <c r="R9814" i="1" s="1"/>
  <c r="T9814" i="1" s="1"/>
  <c r="H9708" i="1"/>
  <c r="I9708" i="1" s="1"/>
  <c r="Q9708" i="1"/>
  <c r="R9708" i="1" s="1"/>
  <c r="T9708" i="1" s="1"/>
  <c r="Q8345" i="1"/>
  <c r="R8345" i="1" s="1"/>
  <c r="T8345" i="1" s="1"/>
  <c r="H8345" i="1"/>
  <c r="I8345" i="1" s="1"/>
  <c r="Q8872" i="1"/>
  <c r="R8872" i="1" s="1"/>
  <c r="T8872" i="1" s="1"/>
  <c r="H8872" i="1"/>
  <c r="I8872" i="1" s="1"/>
  <c r="Q9819" i="1"/>
  <c r="R9819" i="1" s="1"/>
  <c r="T9819" i="1" s="1"/>
  <c r="H9819" i="1"/>
  <c r="I9819" i="1" s="1"/>
  <c r="Q9837" i="1"/>
  <c r="R9837" i="1" s="1"/>
  <c r="T9837" i="1" s="1"/>
  <c r="H9837" i="1"/>
  <c r="I9837" i="1" s="1"/>
  <c r="Q8260" i="1"/>
  <c r="R8260" i="1" s="1"/>
  <c r="T8260" i="1" s="1"/>
  <c r="H8260" i="1"/>
  <c r="I8260" i="1" s="1"/>
  <c r="H9818" i="1"/>
  <c r="I9818" i="1" s="1"/>
  <c r="Q9818" i="1"/>
  <c r="R9818" i="1" s="1"/>
  <c r="T9818" i="1" s="1"/>
  <c r="Q9845" i="1"/>
  <c r="R9845" i="1" s="1"/>
  <c r="T9845" i="1" s="1"/>
  <c r="H9845" i="1"/>
  <c r="I9845" i="1" s="1"/>
  <c r="Q9755" i="1"/>
  <c r="R9755" i="1" s="1"/>
  <c r="T9755" i="1" s="1"/>
  <c r="H9755" i="1"/>
  <c r="I9755" i="1" s="1"/>
  <c r="H8107" i="1"/>
  <c r="I8107" i="1" s="1"/>
  <c r="Q8107" i="1"/>
  <c r="R8107" i="1" s="1"/>
  <c r="T8107" i="1" s="1"/>
  <c r="Q8463" i="1"/>
  <c r="R8463" i="1" s="1"/>
  <c r="T8463" i="1" s="1"/>
  <c r="H8463" i="1"/>
  <c r="I8463" i="1" s="1"/>
  <c r="Q9761" i="1"/>
  <c r="R9761" i="1" s="1"/>
  <c r="T9761" i="1" s="1"/>
  <c r="H9761" i="1"/>
  <c r="I9761" i="1" s="1"/>
  <c r="Q8106" i="1"/>
  <c r="R8106" i="1" s="1"/>
  <c r="T8106" i="1" s="1"/>
  <c r="H8106" i="1"/>
  <c r="I8106" i="1" s="1"/>
  <c r="H8868" i="1"/>
  <c r="I8868" i="1" s="1"/>
  <c r="Q8868" i="1"/>
  <c r="R8868" i="1" s="1"/>
  <c r="T8868" i="1" s="1"/>
  <c r="Q9841" i="1"/>
  <c r="R9841" i="1" s="1"/>
  <c r="T9841" i="1" s="1"/>
  <c r="H9841" i="1"/>
  <c r="I9841" i="1" s="1"/>
  <c r="Q9785" i="1"/>
  <c r="R9785" i="1" s="1"/>
  <c r="T9785" i="1" s="1"/>
  <c r="H9785" i="1"/>
  <c r="I9785" i="1" s="1"/>
  <c r="H8662" i="1"/>
  <c r="I8662" i="1" s="1"/>
  <c r="Q8662" i="1"/>
  <c r="R8662" i="1" s="1"/>
  <c r="T8662" i="1" s="1"/>
  <c r="Q8347" i="1"/>
  <c r="R8347" i="1" s="1"/>
  <c r="T8347" i="1" s="1"/>
  <c r="H8347" i="1"/>
  <c r="I8347" i="1" s="1"/>
  <c r="Q9709" i="1"/>
  <c r="R9709" i="1" s="1"/>
  <c r="T9709" i="1" s="1"/>
  <c r="H9709" i="1"/>
  <c r="I9709" i="1" s="1"/>
  <c r="H9829" i="1"/>
  <c r="I9829" i="1" s="1"/>
  <c r="Q9829" i="1"/>
  <c r="R9829" i="1" s="1"/>
  <c r="T9829" i="1" s="1"/>
  <c r="Q9707" i="1"/>
  <c r="R9707" i="1" s="1"/>
  <c r="T9707" i="1" s="1"/>
  <c r="H9707" i="1"/>
  <c r="I9707" i="1" s="1"/>
  <c r="H9816" i="1"/>
  <c r="I9816" i="1" s="1"/>
  <c r="Q9816" i="1"/>
  <c r="R9816" i="1" s="1"/>
  <c r="T9816" i="1" s="1"/>
  <c r="H9777" i="1"/>
  <c r="I9777" i="1" s="1"/>
  <c r="Q9777" i="1"/>
  <c r="R9777" i="1" s="1"/>
  <c r="T9777" i="1" s="1"/>
  <c r="Q9675" i="1"/>
  <c r="R9675" i="1" s="1"/>
  <c r="T9675" i="1" s="1"/>
  <c r="H9675" i="1"/>
  <c r="I9675" i="1" s="1"/>
  <c r="Q9858" i="1"/>
  <c r="R9858" i="1" s="1"/>
  <c r="T9858" i="1" s="1"/>
  <c r="H9858" i="1"/>
  <c r="I9858" i="1" s="1"/>
  <c r="Q8130" i="1"/>
  <c r="R8130" i="1" s="1"/>
  <c r="T8130" i="1" s="1"/>
  <c r="H8130" i="1"/>
  <c r="I8130" i="1" s="1"/>
  <c r="Q9728" i="1"/>
  <c r="R9728" i="1" s="1"/>
  <c r="T9728" i="1" s="1"/>
  <c r="H9728" i="1"/>
  <c r="I9728" i="1" s="1"/>
  <c r="Q9756" i="1"/>
  <c r="R9756" i="1" s="1"/>
  <c r="T9756" i="1" s="1"/>
  <c r="H9756" i="1"/>
  <c r="I9756" i="1" s="1"/>
  <c r="Q9852" i="1"/>
  <c r="R9852" i="1" s="1"/>
  <c r="T9852" i="1" s="1"/>
  <c r="H9852" i="1"/>
  <c r="I9852" i="1" s="1"/>
  <c r="Q9193" i="1"/>
  <c r="R9193" i="1" s="1"/>
  <c r="T9193" i="1" s="1"/>
  <c r="H9193" i="1"/>
  <c r="I9193" i="1" s="1"/>
  <c r="Q9642" i="1"/>
  <c r="R9642" i="1" s="1"/>
  <c r="T9642" i="1" s="1"/>
  <c r="H9642" i="1"/>
  <c r="I9642" i="1" s="1"/>
  <c r="H9784" i="1"/>
  <c r="I9784" i="1" s="1"/>
  <c r="Q9784" i="1"/>
  <c r="R9784" i="1" s="1"/>
  <c r="T9784" i="1" s="1"/>
  <c r="Q10346" i="1"/>
  <c r="R10346" i="1" s="1"/>
  <c r="T10346" i="1" s="1"/>
  <c r="H10346" i="1"/>
  <c r="I10346" i="1" s="1"/>
  <c r="Q3691" i="1"/>
  <c r="R3691" i="1" s="1"/>
  <c r="T3691" i="1" s="1"/>
  <c r="Q10471" i="1"/>
  <c r="R10471" i="1" s="1"/>
  <c r="T10471" i="1" s="1"/>
  <c r="H10471" i="1"/>
  <c r="I10471" i="1" s="1"/>
  <c r="H4366" i="1"/>
  <c r="I4366" i="1" s="1"/>
  <c r="Q4366" i="1"/>
  <c r="R4366" i="1" s="1"/>
  <c r="T4366" i="1" s="1"/>
  <c r="H10501" i="1"/>
  <c r="I10501" i="1" s="1"/>
  <c r="Q10501" i="1"/>
  <c r="R10501" i="1" s="1"/>
  <c r="T10501" i="1" s="1"/>
  <c r="H4414" i="1"/>
  <c r="I4414" i="1" s="1"/>
  <c r="Q4414" i="1"/>
  <c r="R4414" i="1" s="1"/>
  <c r="T4414" i="1" s="1"/>
  <c r="Q10509" i="1"/>
  <c r="R10509" i="1" s="1"/>
  <c r="T10509" i="1" s="1"/>
  <c r="H10509" i="1"/>
  <c r="I10509" i="1" s="1"/>
  <c r="Q10344" i="1"/>
  <c r="R10344" i="1" s="1"/>
  <c r="T10344" i="1" s="1"/>
  <c r="H10344" i="1"/>
  <c r="I10344" i="1" s="1"/>
  <c r="H10427" i="1"/>
  <c r="I10427" i="1" s="1"/>
  <c r="Q10427" i="1"/>
  <c r="R10427" i="1" s="1"/>
  <c r="T10427" i="1" s="1"/>
  <c r="Q10504" i="1"/>
  <c r="R10504" i="1" s="1"/>
  <c r="T10504" i="1" s="1"/>
  <c r="H10504" i="1"/>
  <c r="I10504" i="1" s="1"/>
  <c r="H3162" i="1"/>
  <c r="I3162" i="1" s="1"/>
  <c r="Q10338" i="1"/>
  <c r="R10338" i="1" s="1"/>
  <c r="T10338" i="1" s="1"/>
  <c r="H10338" i="1"/>
  <c r="I10338" i="1" s="1"/>
  <c r="Q459" i="1"/>
  <c r="R459" i="1" s="1"/>
  <c r="T459" i="1" s="1"/>
  <c r="H10486" i="1"/>
  <c r="I10486" i="1" s="1"/>
  <c r="Q10486" i="1"/>
  <c r="R10486" i="1" s="1"/>
  <c r="T10486" i="1" s="1"/>
  <c r="H765" i="1"/>
  <c r="I765" i="1" s="1"/>
  <c r="H10493" i="1"/>
  <c r="I10493" i="1" s="1"/>
  <c r="Q10493" i="1"/>
  <c r="R10493" i="1" s="1"/>
  <c r="T10493" i="1" s="1"/>
  <c r="H10500" i="1"/>
  <c r="I10500" i="1" s="1"/>
  <c r="Q10500" i="1"/>
  <c r="R10500" i="1" s="1"/>
  <c r="T10500" i="1" s="1"/>
  <c r="Q10470" i="1"/>
  <c r="R10470" i="1" s="1"/>
  <c r="T10470" i="1" s="1"/>
  <c r="H10470" i="1"/>
  <c r="I10470" i="1" s="1"/>
  <c r="H10345" i="1"/>
  <c r="I10345" i="1" s="1"/>
  <c r="Q10345" i="1"/>
  <c r="R10345" i="1" s="1"/>
  <c r="T10345" i="1" s="1"/>
  <c r="Q10497" i="1"/>
  <c r="R10497" i="1" s="1"/>
  <c r="T10497" i="1" s="1"/>
  <c r="H10497" i="1"/>
  <c r="I10497" i="1" s="1"/>
  <c r="H4668" i="1"/>
  <c r="I4668" i="1" s="1"/>
  <c r="Q4668" i="1"/>
  <c r="R4668" i="1" s="1"/>
  <c r="T4668" i="1" s="1"/>
  <c r="Q10479" i="1"/>
  <c r="R10479" i="1" s="1"/>
  <c r="T10479" i="1" s="1"/>
  <c r="Q4981" i="1"/>
  <c r="R4981" i="1" s="1"/>
  <c r="T4981" i="1" s="1"/>
  <c r="H4981" i="1"/>
  <c r="I4981" i="1" s="1"/>
  <c r="Q4978" i="1"/>
  <c r="R4978" i="1" s="1"/>
  <c r="T4978" i="1" s="1"/>
  <c r="H4978" i="1"/>
  <c r="I4978" i="1" s="1"/>
  <c r="Q4203" i="1"/>
  <c r="R4203" i="1" s="1"/>
  <c r="T4203" i="1" s="1"/>
  <c r="H4203" i="1"/>
  <c r="I4203" i="1" s="1"/>
  <c r="Q3960" i="1"/>
  <c r="R3960" i="1" s="1"/>
  <c r="T3960" i="1" s="1"/>
  <c r="H3960" i="1"/>
  <c r="I3960" i="1" s="1"/>
  <c r="H4661" i="1"/>
  <c r="I4661" i="1" s="1"/>
  <c r="Q4661" i="1"/>
  <c r="R4661" i="1" s="1"/>
  <c r="T4661" i="1" s="1"/>
  <c r="Q4667" i="1"/>
  <c r="R4667" i="1" s="1"/>
  <c r="T4667" i="1" s="1"/>
  <c r="H4667" i="1"/>
  <c r="I4667" i="1" s="1"/>
  <c r="Q3459" i="1"/>
  <c r="R3459" i="1" s="1"/>
  <c r="T3459" i="1" s="1"/>
  <c r="H3459" i="1"/>
  <c r="I3459" i="1" s="1"/>
  <c r="Q2770" i="1"/>
  <c r="R2770" i="1" s="1"/>
  <c r="T2770" i="1" s="1"/>
  <c r="H2770" i="1"/>
  <c r="I2770" i="1" s="1"/>
  <c r="Q5111" i="1"/>
  <c r="R5111" i="1" s="1"/>
  <c r="T5111" i="1" s="1"/>
  <c r="H5111" i="1"/>
  <c r="I5111" i="1" s="1"/>
  <c r="H5110" i="1"/>
  <c r="I5110" i="1" s="1"/>
  <c r="Q5110" i="1"/>
  <c r="R5110" i="1" s="1"/>
  <c r="T5110" i="1" s="1"/>
  <c r="Q397" i="1"/>
  <c r="R397" i="1" s="1"/>
  <c r="T397" i="1" s="1"/>
  <c r="Q4396" i="1"/>
  <c r="R4396" i="1" s="1"/>
  <c r="T4396" i="1" s="1"/>
  <c r="H4396" i="1"/>
  <c r="I4396" i="1" s="1"/>
  <c r="Q4415" i="1"/>
  <c r="R4415" i="1" s="1"/>
  <c r="T4415" i="1" s="1"/>
  <c r="H4415" i="1"/>
  <c r="I4415" i="1" s="1"/>
  <c r="Q4485" i="1"/>
  <c r="R4485" i="1" s="1"/>
  <c r="T4485" i="1" s="1"/>
  <c r="H4485" i="1"/>
  <c r="I4485" i="1" s="1"/>
  <c r="Q4669" i="1"/>
  <c r="R4669" i="1" s="1"/>
  <c r="T4669" i="1" s="1"/>
  <c r="H4669" i="1"/>
  <c r="I4669" i="1" s="1"/>
  <c r="Q2768" i="1"/>
  <c r="R2768" i="1" s="1"/>
  <c r="T2768" i="1" s="1"/>
  <c r="H2768" i="1"/>
  <c r="I2768" i="1" s="1"/>
  <c r="Q4494" i="1"/>
  <c r="R4494" i="1" s="1"/>
  <c r="T4494" i="1" s="1"/>
  <c r="H4494" i="1"/>
  <c r="I4494" i="1" s="1"/>
  <c r="H4262" i="1"/>
  <c r="I4262" i="1" s="1"/>
  <c r="Q4262" i="1"/>
  <c r="R4262" i="1" s="1"/>
  <c r="T4262" i="1" s="1"/>
  <c r="Q2479" i="1"/>
  <c r="R2479" i="1" s="1"/>
  <c r="T2479" i="1" s="1"/>
  <c r="H2479" i="1"/>
  <c r="I2479" i="1" s="1"/>
  <c r="H4390" i="1"/>
  <c r="I4390" i="1" s="1"/>
  <c r="Q4390" i="1"/>
  <c r="R4390" i="1" s="1"/>
  <c r="T4390" i="1" s="1"/>
  <c r="Q3879" i="1"/>
  <c r="R3879" i="1" s="1"/>
  <c r="T3879" i="1" s="1"/>
  <c r="H3879" i="1"/>
  <c r="I3879" i="1" s="1"/>
  <c r="H4982" i="1"/>
  <c r="I4982" i="1" s="1"/>
  <c r="Q4982" i="1"/>
  <c r="R4982" i="1" s="1"/>
  <c r="T4982" i="1" s="1"/>
  <c r="H772" i="1"/>
  <c r="I772" i="1" s="1"/>
  <c r="Q772" i="1"/>
  <c r="R772" i="1" s="1"/>
  <c r="T772" i="1" s="1"/>
  <c r="H4980" i="1"/>
  <c r="I4980" i="1" s="1"/>
  <c r="Q4980" i="1"/>
  <c r="R4980" i="1" s="1"/>
  <c r="T4980" i="1" s="1"/>
  <c r="Q4204" i="1"/>
  <c r="R4204" i="1" s="1"/>
  <c r="T4204" i="1" s="1"/>
  <c r="H4204" i="1"/>
  <c r="I4204" i="1" s="1"/>
  <c r="Q2771" i="1"/>
  <c r="R2771" i="1" s="1"/>
  <c r="T2771" i="1" s="1"/>
  <c r="H2771" i="1"/>
  <c r="I2771" i="1" s="1"/>
  <c r="Q5543" i="1"/>
  <c r="R5543" i="1" s="1"/>
  <c r="T5543" i="1" s="1"/>
  <c r="H5543" i="1"/>
  <c r="I5543" i="1" s="1"/>
  <c r="Q3163" i="1"/>
  <c r="R3163" i="1" s="1"/>
  <c r="T3163" i="1" s="1"/>
  <c r="H3163" i="1"/>
  <c r="I3163" i="1" s="1"/>
  <c r="Q4663" i="1"/>
  <c r="R4663" i="1" s="1"/>
  <c r="T4663" i="1" s="1"/>
  <c r="H4663" i="1"/>
  <c r="I4663" i="1" s="1"/>
  <c r="H4398" i="1"/>
  <c r="I4398" i="1" s="1"/>
  <c r="Q4398" i="1"/>
  <c r="R4398" i="1" s="1"/>
  <c r="T4398" i="1" s="1"/>
  <c r="Q2575" i="1"/>
  <c r="R2575" i="1" s="1"/>
  <c r="T2575" i="1" s="1"/>
  <c r="H2575" i="1"/>
  <c r="I2575" i="1" s="1"/>
  <c r="Q2480" i="1"/>
  <c r="R2480" i="1" s="1"/>
  <c r="T2480" i="1" s="1"/>
  <c r="H2480" i="1"/>
  <c r="I2480" i="1" s="1"/>
  <c r="Q5549" i="1"/>
  <c r="R5549" i="1" s="1"/>
  <c r="T5549" i="1" s="1"/>
  <c r="H5549" i="1"/>
  <c r="I5549" i="1" s="1"/>
  <c r="Q2412" i="1"/>
  <c r="R2412" i="1" s="1"/>
  <c r="T2412" i="1" s="1"/>
  <c r="H2412" i="1"/>
  <c r="I2412" i="1" s="1"/>
  <c r="Q5542" i="1"/>
  <c r="R5542" i="1" s="1"/>
  <c r="T5542" i="1" s="1"/>
  <c r="H5542" i="1"/>
  <c r="I5542" i="1" s="1"/>
  <c r="Q2773" i="1"/>
  <c r="R2773" i="1" s="1"/>
  <c r="T2773" i="1" s="1"/>
  <c r="H2773" i="1"/>
  <c r="I2773" i="1" s="1"/>
  <c r="H4121" i="1"/>
  <c r="I4121" i="1" s="1"/>
  <c r="Q4121" i="1"/>
  <c r="R4121" i="1" s="1"/>
  <c r="T4121" i="1" s="1"/>
  <c r="H5112" i="1"/>
  <c r="I5112" i="1" s="1"/>
  <c r="Q5112" i="1"/>
  <c r="R5112" i="1" s="1"/>
  <c r="T5112" i="1" s="1"/>
  <c r="H4664" i="1"/>
  <c r="I4664" i="1" s="1"/>
  <c r="Q4664" i="1"/>
  <c r="R4664" i="1" s="1"/>
  <c r="T4664" i="1" s="1"/>
  <c r="H5544" i="1"/>
  <c r="I5544" i="1" s="1"/>
  <c r="Q5544" i="1"/>
  <c r="R5544" i="1" s="1"/>
  <c r="T5544" i="1" s="1"/>
  <c r="Q3157" i="1"/>
  <c r="R3157" i="1" s="1"/>
  <c r="T3157" i="1" s="1"/>
  <c r="H3157" i="1"/>
  <c r="I3157" i="1" s="1"/>
  <c r="Q3736" i="1"/>
  <c r="R3736" i="1" s="1"/>
  <c r="T3736" i="1" s="1"/>
  <c r="H3736" i="1"/>
  <c r="I3736" i="1" s="1"/>
  <c r="H1372" i="1"/>
  <c r="I1372" i="1" s="1"/>
  <c r="Q4373" i="1"/>
  <c r="R4373" i="1" s="1"/>
  <c r="T4373" i="1" s="1"/>
  <c r="H4373" i="1"/>
  <c r="I4373" i="1" s="1"/>
  <c r="H4202" i="1"/>
  <c r="I4202" i="1" s="1"/>
  <c r="Q4202" i="1"/>
  <c r="R4202" i="1" s="1"/>
  <c r="T4202" i="1" s="1"/>
  <c r="Q4660" i="1"/>
  <c r="R4660" i="1" s="1"/>
  <c r="T4660" i="1" s="1"/>
  <c r="H4660" i="1"/>
  <c r="I4660" i="1" s="1"/>
  <c r="Q5611" i="1"/>
  <c r="R5611" i="1" s="1"/>
  <c r="T5611" i="1" s="1"/>
  <c r="H5611" i="1"/>
  <c r="I5611" i="1" s="1"/>
  <c r="Q4979" i="1"/>
  <c r="R4979" i="1" s="1"/>
  <c r="T4979" i="1" s="1"/>
  <c r="H4979" i="1"/>
  <c r="I4979" i="1" s="1"/>
  <c r="H5446" i="1"/>
  <c r="I5446" i="1" s="1"/>
  <c r="Q5446" i="1"/>
  <c r="R5446" i="1" s="1"/>
  <c r="T5446" i="1" s="1"/>
  <c r="Q4976" i="1"/>
  <c r="R4976" i="1" s="1"/>
  <c r="T4976" i="1" s="1"/>
  <c r="H4976" i="1"/>
  <c r="I4976" i="1" s="1"/>
  <c r="Q9882" i="1"/>
  <c r="R9882" i="1" s="1"/>
  <c r="T9882" i="1" s="1"/>
  <c r="H9882" i="1"/>
  <c r="I9882" i="1" s="1"/>
  <c r="Q3689" i="1"/>
  <c r="R3689" i="1" s="1"/>
  <c r="T3689" i="1" s="1"/>
  <c r="H3689" i="1"/>
  <c r="I3689" i="1" s="1"/>
  <c r="Q3667" i="1"/>
  <c r="R3667" i="1" s="1"/>
  <c r="T3667" i="1" s="1"/>
  <c r="H3667" i="1"/>
  <c r="I3667" i="1" s="1"/>
  <c r="Q4666" i="1"/>
  <c r="R4666" i="1" s="1"/>
  <c r="T4666" i="1" s="1"/>
  <c r="H4666" i="1"/>
  <c r="I4666" i="1" s="1"/>
  <c r="Q769" i="1"/>
  <c r="R769" i="1" s="1"/>
  <c r="T769" i="1" s="1"/>
  <c r="H769" i="1"/>
  <c r="I769" i="1" s="1"/>
  <c r="H4623" i="1"/>
  <c r="I4623" i="1" s="1"/>
  <c r="Q4623" i="1"/>
  <c r="R4623" i="1" s="1"/>
  <c r="T4623" i="1" s="1"/>
  <c r="H4588" i="1"/>
  <c r="I4588" i="1" s="1"/>
  <c r="Q4588" i="1"/>
  <c r="R4588" i="1" s="1"/>
  <c r="T4588" i="1" s="1"/>
  <c r="Q4983" i="1"/>
  <c r="R4983" i="1" s="1"/>
  <c r="T4983" i="1" s="1"/>
  <c r="H4983" i="1"/>
  <c r="I4983" i="1" s="1"/>
  <c r="H3688" i="1"/>
  <c r="I3688" i="1" s="1"/>
  <c r="Q3688" i="1"/>
  <c r="R3688" i="1" s="1"/>
  <c r="T3688" i="1" s="1"/>
  <c r="H4658" i="1"/>
  <c r="I4658" i="1" s="1"/>
  <c r="Q4658" i="1"/>
  <c r="R4658" i="1" s="1"/>
  <c r="T4658" i="1" s="1"/>
  <c r="Q2937" i="1"/>
  <c r="R2937" i="1" s="1"/>
  <c r="T2937" i="1" s="1"/>
  <c r="H2937" i="1"/>
  <c r="I2937" i="1" s="1"/>
  <c r="Q5548" i="1"/>
  <c r="R5548" i="1" s="1"/>
  <c r="T5548" i="1" s="1"/>
  <c r="H5548" i="1"/>
  <c r="I5548" i="1" s="1"/>
  <c r="Q4120" i="1"/>
  <c r="R4120" i="1" s="1"/>
  <c r="T4120" i="1" s="1"/>
  <c r="H4120" i="1"/>
  <c r="I4120" i="1" s="1"/>
  <c r="H4358" i="1"/>
  <c r="I4358" i="1" s="1"/>
  <c r="Q4358" i="1"/>
  <c r="R4358" i="1" s="1"/>
  <c r="T4358" i="1" s="1"/>
  <c r="H3158" i="1"/>
  <c r="I3158" i="1" s="1"/>
  <c r="Q3158" i="1"/>
  <c r="R3158" i="1" s="1"/>
  <c r="T3158" i="1" s="1"/>
  <c r="Q3524" i="1"/>
  <c r="R3524" i="1" s="1"/>
  <c r="T3524" i="1" s="1"/>
  <c r="H3524" i="1"/>
  <c r="I3524" i="1" s="1"/>
  <c r="H3687" i="1"/>
  <c r="I3687" i="1" s="1"/>
  <c r="Q3687" i="1"/>
  <c r="R3687" i="1" s="1"/>
  <c r="T3687" i="1" s="1"/>
  <c r="Q2670" i="1"/>
  <c r="R2670" i="1" s="1"/>
  <c r="T2670" i="1" s="1"/>
  <c r="H2670" i="1"/>
  <c r="I2670" i="1" s="1"/>
  <c r="H3776" i="1"/>
  <c r="I3776" i="1" s="1"/>
  <c r="Q3776" i="1"/>
  <c r="R3776" i="1" s="1"/>
  <c r="T3776" i="1" s="1"/>
  <c r="Q3159" i="1"/>
  <c r="R3159" i="1" s="1"/>
  <c r="T3159" i="1" s="1"/>
  <c r="H3159" i="1"/>
  <c r="I3159" i="1" s="1"/>
  <c r="Q2414" i="1"/>
  <c r="R2414" i="1" s="1"/>
  <c r="T2414" i="1" s="1"/>
  <c r="H2414" i="1"/>
  <c r="I2414" i="1" s="1"/>
  <c r="H5113" i="1"/>
  <c r="I5113" i="1" s="1"/>
  <c r="Q5113" i="1"/>
  <c r="R5113" i="1" s="1"/>
  <c r="T5113" i="1" s="1"/>
  <c r="Q4590" i="1"/>
  <c r="R4590" i="1" s="1"/>
  <c r="T4590" i="1" s="1"/>
  <c r="H4590" i="1"/>
  <c r="I4590" i="1" s="1"/>
  <c r="Q4357" i="1"/>
  <c r="R4357" i="1" s="1"/>
  <c r="T4357" i="1" s="1"/>
  <c r="H4357" i="1"/>
  <c r="I4357" i="1" s="1"/>
  <c r="Q2415" i="1"/>
  <c r="R2415" i="1" s="1"/>
  <c r="T2415" i="1" s="1"/>
  <c r="H2415" i="1"/>
  <c r="I2415" i="1" s="1"/>
  <c r="Q2574" i="1"/>
  <c r="R2574" i="1" s="1"/>
  <c r="T2574" i="1" s="1"/>
  <c r="H2574" i="1"/>
  <c r="I2574" i="1" s="1"/>
  <c r="Q4180" i="1"/>
  <c r="R4180" i="1" s="1"/>
  <c r="T4180" i="1" s="1"/>
  <c r="H4180" i="1"/>
  <c r="I4180" i="1" s="1"/>
  <c r="Q3900" i="1"/>
  <c r="R3900" i="1" s="1"/>
  <c r="T3900" i="1" s="1"/>
  <c r="H3900" i="1"/>
  <c r="I3900" i="1" s="1"/>
  <c r="Q4625" i="1"/>
  <c r="R4625" i="1" s="1"/>
  <c r="T4625" i="1" s="1"/>
  <c r="H4625" i="1"/>
  <c r="I4625" i="1" s="1"/>
  <c r="Q7912" i="1"/>
  <c r="R7912" i="1" s="1"/>
  <c r="T7912" i="1" s="1"/>
  <c r="H7912" i="1"/>
  <c r="I7912" i="1" s="1"/>
  <c r="Q4973" i="1"/>
  <c r="R4973" i="1" s="1"/>
  <c r="T4973" i="1" s="1"/>
  <c r="H4973" i="1"/>
  <c r="I4973" i="1" s="1"/>
  <c r="Q5546" i="1"/>
  <c r="R5546" i="1" s="1"/>
  <c r="T5546" i="1" s="1"/>
  <c r="H5546" i="1"/>
  <c r="I5546" i="1" s="1"/>
  <c r="Q1778" i="1"/>
  <c r="R1778" i="1" s="1"/>
  <c r="T1778" i="1" s="1"/>
  <c r="Q4657" i="1"/>
  <c r="R4657" i="1" s="1"/>
  <c r="T4657" i="1" s="1"/>
  <c r="H4657" i="1"/>
  <c r="I4657" i="1" s="1"/>
  <c r="Q4464" i="1"/>
  <c r="R4464" i="1" s="1"/>
  <c r="T4464" i="1" s="1"/>
  <c r="H4464" i="1"/>
  <c r="I4464" i="1" s="1"/>
  <c r="H4984" i="1"/>
  <c r="I4984" i="1" s="1"/>
  <c r="Q4984" i="1"/>
  <c r="R4984" i="1" s="1"/>
  <c r="T4984" i="1" s="1"/>
  <c r="Q3733" i="1"/>
  <c r="R3733" i="1" s="1"/>
  <c r="T3733" i="1" s="1"/>
  <c r="H3733" i="1"/>
  <c r="I3733" i="1" s="1"/>
  <c r="H5547" i="1"/>
  <c r="I5547" i="1" s="1"/>
  <c r="Q5547" i="1"/>
  <c r="R5547" i="1" s="1"/>
  <c r="T5547" i="1" s="1"/>
  <c r="Q716" i="1"/>
  <c r="R716" i="1" s="1"/>
  <c r="T716" i="1" s="1"/>
  <c r="H716" i="1"/>
  <c r="I716" i="1" s="1"/>
  <c r="Q1287" i="1"/>
  <c r="R1287" i="1" s="1"/>
  <c r="T1287" i="1" s="1"/>
  <c r="H1287" i="1"/>
  <c r="I1287" i="1" s="1"/>
  <c r="H1673" i="1"/>
  <c r="I1673" i="1" s="1"/>
  <c r="Q1673" i="1"/>
  <c r="R1673" i="1" s="1"/>
  <c r="T1673" i="1" s="1"/>
  <c r="H1432" i="1"/>
  <c r="I1432" i="1" s="1"/>
  <c r="Q1432" i="1"/>
  <c r="R1432" i="1" s="1"/>
  <c r="T1432" i="1" s="1"/>
  <c r="H1518" i="1"/>
  <c r="I1518" i="1" s="1"/>
  <c r="Q1518" i="1"/>
  <c r="R1518" i="1" s="1"/>
  <c r="T1518" i="1" s="1"/>
  <c r="H752" i="1"/>
  <c r="I752" i="1" s="1"/>
  <c r="Q752" i="1"/>
  <c r="R752" i="1" s="1"/>
  <c r="T752" i="1" s="1"/>
  <c r="H714" i="1"/>
  <c r="I714" i="1" s="1"/>
  <c r="Q714" i="1"/>
  <c r="R714" i="1" s="1"/>
  <c r="T714" i="1" s="1"/>
  <c r="Q761" i="1"/>
  <c r="R761" i="1" s="1"/>
  <c r="T761" i="1" s="1"/>
  <c r="H761" i="1"/>
  <c r="I761" i="1" s="1"/>
  <c r="Q935" i="1"/>
  <c r="R935" i="1" s="1"/>
  <c r="T935" i="1" s="1"/>
  <c r="H935" i="1"/>
  <c r="I935" i="1" s="1"/>
  <c r="H758" i="1"/>
  <c r="I758" i="1" s="1"/>
  <c r="Q758" i="1"/>
  <c r="R758" i="1" s="1"/>
  <c r="T758" i="1" s="1"/>
  <c r="Q763" i="1"/>
  <c r="R763" i="1" s="1"/>
  <c r="T763" i="1" s="1"/>
  <c r="H763" i="1"/>
  <c r="I763" i="1" s="1"/>
  <c r="H770" i="1"/>
  <c r="I770" i="1" s="1"/>
  <c r="Q770" i="1"/>
  <c r="R770" i="1" s="1"/>
  <c r="T770" i="1" s="1"/>
  <c r="Q1284" i="1"/>
  <c r="R1284" i="1" s="1"/>
  <c r="T1284" i="1" s="1"/>
  <c r="H1284" i="1"/>
  <c r="I1284" i="1" s="1"/>
  <c r="Q710" i="1"/>
  <c r="R710" i="1" s="1"/>
  <c r="T710" i="1" s="1"/>
  <c r="H710" i="1"/>
  <c r="I710" i="1" s="1"/>
  <c r="H715" i="1"/>
  <c r="I715" i="1" s="1"/>
  <c r="Q715" i="1"/>
  <c r="R715" i="1" s="1"/>
  <c r="T715" i="1" s="1"/>
  <c r="Q759" i="1"/>
  <c r="R759" i="1" s="1"/>
  <c r="T759" i="1" s="1"/>
  <c r="H759" i="1"/>
  <c r="I759" i="1" s="1"/>
  <c r="Q1519" i="1"/>
  <c r="R1519" i="1" s="1"/>
  <c r="T1519" i="1" s="1"/>
  <c r="H1519" i="1"/>
  <c r="I1519" i="1" s="1"/>
  <c r="H766" i="1"/>
  <c r="I766" i="1" s="1"/>
  <c r="Q766" i="1"/>
  <c r="R766" i="1" s="1"/>
  <c r="T766" i="1" s="1"/>
  <c r="H1552" i="1"/>
  <c r="I1552" i="1" s="1"/>
  <c r="Q1552" i="1"/>
  <c r="R1552" i="1" s="1"/>
  <c r="T1552" i="1" s="1"/>
  <c r="Q707" i="1"/>
  <c r="R707" i="1" s="1"/>
  <c r="T707" i="1" s="1"/>
  <c r="H707" i="1"/>
  <c r="I707" i="1" s="1"/>
  <c r="Q751" i="1"/>
  <c r="R751" i="1" s="1"/>
  <c r="T751" i="1" s="1"/>
  <c r="H751" i="1"/>
  <c r="I751" i="1" s="1"/>
  <c r="Q754" i="1"/>
  <c r="R754" i="1" s="1"/>
  <c r="T754" i="1" s="1"/>
  <c r="H754" i="1"/>
  <c r="I754" i="1" s="1"/>
  <c r="H756" i="1"/>
  <c r="I756" i="1" s="1"/>
  <c r="Q756" i="1"/>
  <c r="R756" i="1" s="1"/>
  <c r="T756" i="1" s="1"/>
  <c r="H1672" i="1"/>
  <c r="I1672" i="1" s="1"/>
  <c r="Q1672" i="1"/>
  <c r="R1672" i="1" s="1"/>
  <c r="T1672" i="1" s="1"/>
  <c r="H1286" i="1"/>
  <c r="I1286" i="1" s="1"/>
  <c r="Q1286" i="1"/>
  <c r="R1286" i="1" s="1"/>
  <c r="T1286" i="1" s="1"/>
  <c r="Q718" i="1"/>
  <c r="R718" i="1" s="1"/>
  <c r="T718" i="1" s="1"/>
  <c r="H718" i="1"/>
  <c r="I718" i="1" s="1"/>
  <c r="Q757" i="1"/>
  <c r="R757" i="1" s="1"/>
  <c r="T757" i="1" s="1"/>
  <c r="H757" i="1"/>
  <c r="I757" i="1" s="1"/>
  <c r="Q1405" i="1"/>
  <c r="R1405" i="1" s="1"/>
  <c r="T1405" i="1" s="1"/>
  <c r="H1405" i="1"/>
  <c r="I1405" i="1" s="1"/>
  <c r="Q1551" i="1"/>
  <c r="R1551" i="1" s="1"/>
  <c r="T1551" i="1" s="1"/>
  <c r="H1551" i="1"/>
  <c r="I1551" i="1" s="1"/>
  <c r="H284" i="1"/>
  <c r="I284" i="1" s="1"/>
  <c r="H1773" i="1"/>
  <c r="I1773" i="1" s="1"/>
  <c r="Q1773" i="1"/>
  <c r="R1773" i="1" s="1"/>
  <c r="T1773" i="1" s="1"/>
  <c r="Q1774" i="1"/>
  <c r="R1774" i="1" s="1"/>
  <c r="T1774" i="1" s="1"/>
  <c r="H1774" i="1"/>
  <c r="I1774" i="1" s="1"/>
  <c r="H1961" i="1"/>
  <c r="I1961" i="1" s="1"/>
  <c r="Q1961" i="1"/>
  <c r="R1961" i="1" s="1"/>
  <c r="T1961" i="1" s="1"/>
  <c r="H2402" i="1"/>
  <c r="I2402" i="1" s="1"/>
  <c r="Q2402" i="1"/>
  <c r="R2402" i="1" s="1"/>
  <c r="T2402" i="1" s="1"/>
  <c r="H2347" i="1"/>
  <c r="I2347" i="1" s="1"/>
  <c r="Q2347" i="1"/>
  <c r="R2347" i="1" s="1"/>
  <c r="T2347" i="1" s="1"/>
  <c r="H2406" i="1"/>
  <c r="I2406" i="1" s="1"/>
  <c r="Q2406" i="1"/>
  <c r="R2406" i="1" s="1"/>
  <c r="T2406" i="1" s="1"/>
  <c r="Q1780" i="1"/>
  <c r="R1780" i="1" s="1"/>
  <c r="T1780" i="1" s="1"/>
  <c r="H1780" i="1"/>
  <c r="I1780" i="1" s="1"/>
  <c r="H1824" i="1"/>
  <c r="I1824" i="1" s="1"/>
  <c r="Q1824" i="1"/>
  <c r="R1824" i="1" s="1"/>
  <c r="T1824" i="1" s="1"/>
  <c r="H1781" i="1"/>
  <c r="I1781" i="1" s="1"/>
  <c r="Q1781" i="1"/>
  <c r="R1781" i="1" s="1"/>
  <c r="T1781" i="1" s="1"/>
  <c r="H2373" i="1"/>
  <c r="I2373" i="1" s="1"/>
  <c r="Q2373" i="1"/>
  <c r="R2373" i="1" s="1"/>
  <c r="T2373" i="1" s="1"/>
  <c r="Q2271" i="1"/>
  <c r="R2271" i="1" s="1"/>
  <c r="T2271" i="1" s="1"/>
  <c r="H2271" i="1"/>
  <c r="I2271" i="1" s="1"/>
  <c r="H2404" i="1"/>
  <c r="I2404" i="1" s="1"/>
  <c r="Q2404" i="1"/>
  <c r="R2404" i="1" s="1"/>
  <c r="T2404" i="1" s="1"/>
  <c r="Q1783" i="1"/>
  <c r="R1783" i="1" s="1"/>
  <c r="T1783" i="1" s="1"/>
  <c r="H1783" i="1"/>
  <c r="I1783" i="1" s="1"/>
  <c r="H2409" i="1"/>
  <c r="I2409" i="1" s="1"/>
  <c r="Q2409" i="1"/>
  <c r="R2409" i="1" s="1"/>
  <c r="T2409" i="1" s="1"/>
  <c r="H2401" i="1"/>
  <c r="I2401" i="1" s="1"/>
  <c r="Q2401" i="1"/>
  <c r="R2401" i="1" s="1"/>
  <c r="T2401" i="1" s="1"/>
  <c r="Q2408" i="1"/>
  <c r="R2408" i="1" s="1"/>
  <c r="T2408" i="1" s="1"/>
  <c r="H2408" i="1"/>
  <c r="I2408" i="1" s="1"/>
  <c r="Q2403" i="1"/>
  <c r="R2403" i="1" s="1"/>
  <c r="T2403" i="1" s="1"/>
  <c r="H2403" i="1"/>
  <c r="I2403" i="1" s="1"/>
  <c r="Q2213" i="1"/>
  <c r="R2213" i="1" s="1"/>
  <c r="T2213" i="1" s="1"/>
  <c r="H2213" i="1"/>
  <c r="I2213" i="1" s="1"/>
  <c r="Q2211" i="1"/>
  <c r="R2211" i="1" s="1"/>
  <c r="T2211" i="1" s="1"/>
  <c r="H2211" i="1"/>
  <c r="I2211" i="1" s="1"/>
  <c r="Q2374" i="1"/>
  <c r="R2374" i="1" s="1"/>
  <c r="T2374" i="1" s="1"/>
  <c r="H2374" i="1"/>
  <c r="I2374" i="1" s="1"/>
  <c r="Q2055" i="1"/>
  <c r="R2055" i="1" s="1"/>
  <c r="T2055" i="1" s="1"/>
  <c r="H2055" i="1"/>
  <c r="I2055" i="1" s="1"/>
  <c r="Q1821" i="1"/>
  <c r="R1821" i="1" s="1"/>
  <c r="T1821" i="1" s="1"/>
  <c r="H1821" i="1"/>
  <c r="I1821" i="1" s="1"/>
  <c r="H2407" i="1"/>
  <c r="I2407" i="1" s="1"/>
  <c r="Q2407" i="1"/>
  <c r="R2407" i="1" s="1"/>
  <c r="T2407" i="1" s="1"/>
  <c r="Q527" i="1"/>
  <c r="R527" i="1" s="1"/>
  <c r="T527" i="1" s="1"/>
  <c r="H527" i="1"/>
  <c r="I527" i="1" s="1"/>
  <c r="Q579" i="1"/>
  <c r="R579" i="1" s="1"/>
  <c r="T579" i="1" s="1"/>
  <c r="H579" i="1"/>
  <c r="I579" i="1" s="1"/>
  <c r="H673" i="1"/>
  <c r="I673" i="1" s="1"/>
  <c r="Q673" i="1"/>
  <c r="R673" i="1" s="1"/>
  <c r="T673" i="1" s="1"/>
  <c r="Q1777" i="1"/>
  <c r="R1777" i="1" s="1"/>
  <c r="T1777" i="1" s="1"/>
  <c r="H1777" i="1"/>
  <c r="I1777" i="1" s="1"/>
  <c r="Q678" i="1"/>
  <c r="R678" i="1" s="1"/>
  <c r="T678" i="1" s="1"/>
  <c r="H678" i="1"/>
  <c r="I678" i="1" s="1"/>
  <c r="Q672" i="1"/>
  <c r="R672" i="1" s="1"/>
  <c r="T672" i="1" s="1"/>
  <c r="H672" i="1"/>
  <c r="I672" i="1" s="1"/>
  <c r="H525" i="1"/>
  <c r="I525" i="1" s="1"/>
  <c r="Q525" i="1"/>
  <c r="R525" i="1" s="1"/>
  <c r="T525" i="1" s="1"/>
  <c r="Q675" i="1"/>
  <c r="R675" i="1" s="1"/>
  <c r="T675" i="1" s="1"/>
  <c r="H675" i="1"/>
  <c r="I675" i="1" s="1"/>
  <c r="Q524" i="1"/>
  <c r="R524" i="1" s="1"/>
  <c r="T524" i="1" s="1"/>
  <c r="H524" i="1"/>
  <c r="I524" i="1" s="1"/>
  <c r="Q650" i="1"/>
  <c r="R650" i="1" s="1"/>
  <c r="T650" i="1" s="1"/>
  <c r="H650" i="1"/>
  <c r="I650" i="1" s="1"/>
  <c r="Q462" i="1"/>
  <c r="R462" i="1" s="1"/>
  <c r="T462" i="1" s="1"/>
  <c r="H462" i="1"/>
  <c r="I462" i="1" s="1"/>
  <c r="Q521" i="1"/>
  <c r="R521" i="1" s="1"/>
  <c r="T521" i="1" s="1"/>
  <c r="H521" i="1"/>
  <c r="I521" i="1" s="1"/>
  <c r="Q522" i="1"/>
  <c r="R522" i="1" s="1"/>
  <c r="T522" i="1" s="1"/>
  <c r="H522" i="1"/>
  <c r="I522" i="1" s="1"/>
  <c r="Q402" i="1"/>
  <c r="R402" i="1" s="1"/>
  <c r="T402" i="1" s="1"/>
  <c r="H402" i="1"/>
  <c r="I402" i="1" s="1"/>
  <c r="Q399" i="1"/>
  <c r="R399" i="1" s="1"/>
  <c r="T399" i="1" s="1"/>
  <c r="H399" i="1"/>
  <c r="I399" i="1" s="1"/>
  <c r="Q400" i="1"/>
  <c r="R400" i="1" s="1"/>
  <c r="T400" i="1" s="1"/>
  <c r="H400" i="1"/>
  <c r="I400" i="1" s="1"/>
  <c r="Q461" i="1"/>
  <c r="R461" i="1" s="1"/>
  <c r="T461" i="1" s="1"/>
  <c r="H461" i="1"/>
  <c r="I461" i="1" s="1"/>
  <c r="Q396" i="1"/>
  <c r="R396" i="1" s="1"/>
  <c r="T396" i="1" s="1"/>
  <c r="H396" i="1"/>
  <c r="I396" i="1" s="1"/>
  <c r="H191" i="1"/>
  <c r="I191" i="1" s="1"/>
  <c r="Q191" i="1"/>
  <c r="R191" i="1" s="1"/>
  <c r="T191" i="1" s="1"/>
  <c r="H161" i="1"/>
  <c r="I161" i="1" s="1"/>
  <c r="Q161" i="1"/>
  <c r="R161" i="1" s="1"/>
  <c r="T161" i="1" s="1"/>
  <c r="Q162" i="1"/>
  <c r="R162" i="1" s="1"/>
  <c r="T162" i="1" s="1"/>
  <c r="H162" i="1"/>
  <c r="I162" i="1" s="1"/>
  <c r="Q160" i="1"/>
  <c r="R160" i="1" s="1"/>
  <c r="T160" i="1" s="1"/>
  <c r="H160" i="1"/>
  <c r="I160" i="1" s="1"/>
  <c r="H192" i="1"/>
  <c r="I192" i="1" s="1"/>
  <c r="Q192" i="1"/>
  <c r="R192" i="1" s="1"/>
  <c r="T192" i="1" s="1"/>
  <c r="K17" i="1"/>
  <c r="M17" i="1" s="1"/>
  <c r="R17" i="1" s="1"/>
  <c r="T17" i="1" s="1"/>
  <c r="J17" i="1"/>
  <c r="I17" i="1"/>
  <c r="Q10487" i="1" l="1"/>
  <c r="R10487" i="1" s="1"/>
  <c r="T10487" i="1" s="1"/>
  <c r="H10487" i="1"/>
  <c r="I10487" i="1" s="1"/>
  <c r="H10490" i="1"/>
  <c r="I10490" i="1" s="1"/>
  <c r="Q10490" i="1"/>
  <c r="R10490" i="1" s="1"/>
  <c r="T10490" i="1" s="1"/>
  <c r="Q10483" i="1"/>
  <c r="R10483" i="1" s="1"/>
  <c r="T10483" i="1" s="1"/>
  <c r="AB10510" i="1"/>
  <c r="Q10510" i="1" s="1"/>
  <c r="R10510" i="1" s="1"/>
  <c r="T10510" i="1" s="1"/>
  <c r="AB10506" i="1"/>
  <c r="Q10506" i="1" s="1"/>
  <c r="R10506" i="1" s="1"/>
  <c r="T10506" i="1" s="1"/>
  <c r="AB10511" i="1"/>
  <c r="Z10511" i="1"/>
  <c r="Z10507" i="1"/>
  <c r="AB10507" i="1"/>
  <c r="AB10494" i="1"/>
  <c r="H10494" i="1" s="1"/>
  <c r="I10494" i="1" s="1"/>
  <c r="AB10307" i="1"/>
  <c r="H10307" i="1" s="1"/>
  <c r="I10307" i="1" s="1"/>
  <c r="AB10467" i="1"/>
  <c r="H10467" i="1" s="1"/>
  <c r="I10467" i="1" s="1"/>
  <c r="AB10475" i="1"/>
  <c r="Q10475" i="1" s="1"/>
  <c r="R10475" i="1" s="1"/>
  <c r="T10475" i="1" s="1"/>
  <c r="Z10495" i="1"/>
  <c r="AB10495" i="1"/>
  <c r="AB10287" i="1"/>
  <c r="H10287" i="1" s="1"/>
  <c r="I10287" i="1" s="1"/>
  <c r="AB10282" i="1"/>
  <c r="Q10282" i="1" s="1"/>
  <c r="R10282" i="1" s="1"/>
  <c r="T10282" i="1" s="1"/>
  <c r="Z10476" i="1"/>
  <c r="AB10476" i="1"/>
  <c r="AB10302" i="1"/>
  <c r="H10302" i="1" s="1"/>
  <c r="I10302" i="1" s="1"/>
  <c r="Z10468" i="1"/>
  <c r="AB10468" i="1"/>
  <c r="Z10464" i="1"/>
  <c r="AB10464" i="1"/>
  <c r="AF10448" i="1"/>
  <c r="AE10448" i="1"/>
  <c r="AF10457" i="1"/>
  <c r="AG10448" i="1"/>
  <c r="AH10464" i="1"/>
  <c r="AG10464" i="1"/>
  <c r="AF10464" i="1"/>
  <c r="AE10457" i="1"/>
  <c r="AH10457" i="1"/>
  <c r="AH10448" i="1"/>
  <c r="AE10464" i="1"/>
  <c r="AG10457" i="1"/>
  <c r="AB10449" i="1"/>
  <c r="AD10448" i="1"/>
  <c r="AB10458" i="1"/>
  <c r="AD10457" i="1"/>
  <c r="AF10429" i="1"/>
  <c r="AE10429" i="1"/>
  <c r="AH10429" i="1"/>
  <c r="AH10445" i="1"/>
  <c r="AG10445" i="1"/>
  <c r="AF10445" i="1"/>
  <c r="AH10438" i="1"/>
  <c r="AE10445" i="1"/>
  <c r="AG10438" i="1"/>
  <c r="AF10438" i="1"/>
  <c r="AE10438" i="1"/>
  <c r="AG10429" i="1"/>
  <c r="AD10438" i="1"/>
  <c r="AB10439" i="1"/>
  <c r="AD10429" i="1"/>
  <c r="AB10430" i="1"/>
  <c r="Z10445" i="1"/>
  <c r="AB10445" i="1"/>
  <c r="AG10417" i="1"/>
  <c r="AF10417" i="1"/>
  <c r="AE10417" i="1"/>
  <c r="AH10408" i="1"/>
  <c r="AG10408" i="1"/>
  <c r="AF10408" i="1"/>
  <c r="AH10425" i="1"/>
  <c r="AE10408" i="1"/>
  <c r="AG10425" i="1"/>
  <c r="AF10425" i="1"/>
  <c r="AE10425" i="1"/>
  <c r="AH10417" i="1"/>
  <c r="AD10408" i="1"/>
  <c r="AB10409" i="1"/>
  <c r="Z10425" i="1"/>
  <c r="AB10425" i="1"/>
  <c r="AD10417" i="1"/>
  <c r="AB10418" i="1"/>
  <c r="AB10389" i="1"/>
  <c r="AD10388" i="1"/>
  <c r="Z10405" i="1"/>
  <c r="AB10405" i="1"/>
  <c r="AG10397" i="1"/>
  <c r="AF10397" i="1"/>
  <c r="AE10397" i="1"/>
  <c r="AH10388" i="1"/>
  <c r="AG10388" i="1"/>
  <c r="AH10397" i="1"/>
  <c r="AF10388" i="1"/>
  <c r="AH10405" i="1"/>
  <c r="AE10388" i="1"/>
  <c r="AG10405" i="1"/>
  <c r="AF10405" i="1"/>
  <c r="AE10405" i="1"/>
  <c r="AD10397" i="1"/>
  <c r="AB10398" i="1"/>
  <c r="Q10292" i="1"/>
  <c r="R10292" i="1" s="1"/>
  <c r="T10292" i="1" s="1"/>
  <c r="H10292" i="1"/>
  <c r="I10292" i="1" s="1"/>
  <c r="AG10377" i="1"/>
  <c r="AF10377" i="1"/>
  <c r="AH10368" i="1"/>
  <c r="AE10377" i="1"/>
  <c r="AG10368" i="1"/>
  <c r="AF10368" i="1"/>
  <c r="AE10368" i="1"/>
  <c r="AG10385" i="1"/>
  <c r="AE10385" i="1"/>
  <c r="AH10385" i="1"/>
  <c r="AF10385" i="1"/>
  <c r="AH10377" i="1"/>
  <c r="Z10385" i="1"/>
  <c r="AB10385" i="1"/>
  <c r="AD10377" i="1"/>
  <c r="AB10378" i="1"/>
  <c r="AB10369" i="1"/>
  <c r="AD10368" i="1"/>
  <c r="AG10357" i="1"/>
  <c r="AF10348" i="1"/>
  <c r="AE10348" i="1"/>
  <c r="AF10357" i="1"/>
  <c r="AG10365" i="1"/>
  <c r="AF10365" i="1"/>
  <c r="AE10365" i="1"/>
  <c r="AE10357" i="1"/>
  <c r="AH10348" i="1"/>
  <c r="AG10348" i="1"/>
  <c r="AH10365" i="1"/>
  <c r="AH10357" i="1"/>
  <c r="AD10348" i="1"/>
  <c r="AB10349" i="1"/>
  <c r="Z10365" i="1"/>
  <c r="AB10365" i="1"/>
  <c r="AB10358" i="1"/>
  <c r="AD10357" i="1"/>
  <c r="AD10313" i="1"/>
  <c r="AD10312" i="1" s="1"/>
  <c r="AB10312" i="1" s="1"/>
  <c r="AB10314" i="1"/>
  <c r="AF10313" i="1"/>
  <c r="AF10312" i="1" s="1"/>
  <c r="AE10313" i="1"/>
  <c r="AE10312" i="1" s="1"/>
  <c r="AG10313" i="1"/>
  <c r="AG10312" i="1" s="1"/>
  <c r="AH10313" i="1"/>
  <c r="AH10312" i="1" s="1"/>
  <c r="AG10308" i="1"/>
  <c r="AG10307" i="1" s="1"/>
  <c r="AH10308" i="1"/>
  <c r="AH10307" i="1" s="1"/>
  <c r="AF10308" i="1"/>
  <c r="AF10307" i="1" s="1"/>
  <c r="AE10308" i="1"/>
  <c r="AE10307" i="1" s="1"/>
  <c r="AB10308" i="1"/>
  <c r="Z10308" i="1"/>
  <c r="AH10303" i="1"/>
  <c r="AH10302" i="1" s="1"/>
  <c r="AG10303" i="1"/>
  <c r="AG10302" i="1" s="1"/>
  <c r="AF10303" i="1"/>
  <c r="AF10302" i="1" s="1"/>
  <c r="AE10303" i="1"/>
  <c r="AE10302" i="1" s="1"/>
  <c r="AB10303" i="1"/>
  <c r="Z10303" i="1"/>
  <c r="AD10298" i="1"/>
  <c r="AD10297" i="1" s="1"/>
  <c r="AB10297" i="1" s="1"/>
  <c r="AB10299" i="1"/>
  <c r="AH10298" i="1"/>
  <c r="AH10297" i="1" s="1"/>
  <c r="AG10298" i="1"/>
  <c r="AG10297" i="1" s="1"/>
  <c r="AF10298" i="1"/>
  <c r="AF10297" i="1" s="1"/>
  <c r="AE10298" i="1"/>
  <c r="AE10297" i="1" s="1"/>
  <c r="AB10293" i="1"/>
  <c r="Z10293" i="1"/>
  <c r="AG10293" i="1"/>
  <c r="AG10292" i="1" s="1"/>
  <c r="AF10293" i="1"/>
  <c r="AF10292" i="1" s="1"/>
  <c r="AE10293" i="1"/>
  <c r="AE10292" i="1" s="1"/>
  <c r="AH10293" i="1"/>
  <c r="AH10292" i="1" s="1"/>
  <c r="H10277" i="1"/>
  <c r="I10277" i="1" s="1"/>
  <c r="Q10277" i="1"/>
  <c r="R10277" i="1" s="1"/>
  <c r="T10277" i="1" s="1"/>
  <c r="AH10288" i="1"/>
  <c r="AH10287" i="1" s="1"/>
  <c r="AG10288" i="1"/>
  <c r="AG10287" i="1" s="1"/>
  <c r="AF10288" i="1"/>
  <c r="AF10287" i="1" s="1"/>
  <c r="AE10288" i="1"/>
  <c r="AE10287" i="1" s="1"/>
  <c r="AB10288" i="1"/>
  <c r="Z10288" i="1"/>
  <c r="AH10283" i="1"/>
  <c r="AH10282" i="1" s="1"/>
  <c r="AG10283" i="1"/>
  <c r="AG10282" i="1" s="1"/>
  <c r="AF10283" i="1"/>
  <c r="AF10282" i="1" s="1"/>
  <c r="AE10283" i="1"/>
  <c r="AE10282" i="1" s="1"/>
  <c r="AB10283" i="1"/>
  <c r="Z10283" i="1"/>
  <c r="AH10278" i="1"/>
  <c r="AH10277" i="1" s="1"/>
  <c r="AF10278" i="1"/>
  <c r="AF10277" i="1" s="1"/>
  <c r="AG10278" i="1"/>
  <c r="AG10277" i="1" s="1"/>
  <c r="AE10278" i="1"/>
  <c r="AE10277" i="1" s="1"/>
  <c r="AH10263" i="1"/>
  <c r="Z10278" i="1"/>
  <c r="AB10278" i="1"/>
  <c r="AD10273" i="1"/>
  <c r="AB10274" i="1"/>
  <c r="AD10244" i="1"/>
  <c r="AB10245" i="1"/>
  <c r="AB10255" i="1"/>
  <c r="AD10254" i="1"/>
  <c r="AB10264" i="1"/>
  <c r="AD10263" i="1"/>
  <c r="AD10270" i="1"/>
  <c r="AB10271" i="1"/>
  <c r="AD10247" i="1"/>
  <c r="AB10248" i="1"/>
  <c r="AD10266" i="1"/>
  <c r="AB10267" i="1"/>
  <c r="AG10270" i="1"/>
  <c r="AE10263" i="1"/>
  <c r="AG10259" i="1"/>
  <c r="AH10273" i="1"/>
  <c r="AF10266" i="1"/>
  <c r="AF10273" i="1"/>
  <c r="AG10263" i="1"/>
  <c r="AH10270" i="1"/>
  <c r="AF10263" i="1"/>
  <c r="AH10259" i="1"/>
  <c r="AF10270" i="1"/>
  <c r="AH10266" i="1"/>
  <c r="AF10259" i="1"/>
  <c r="AE10270" i="1"/>
  <c r="AG10266" i="1"/>
  <c r="AE10259" i="1"/>
  <c r="AG10273" i="1"/>
  <c r="AE10266" i="1"/>
  <c r="AE10273" i="1"/>
  <c r="AD10251" i="1"/>
  <c r="AB10252" i="1"/>
  <c r="AB10260" i="1"/>
  <c r="AD10259" i="1"/>
  <c r="AG10254" i="1"/>
  <c r="AH10254" i="1"/>
  <c r="AF10254" i="1"/>
  <c r="AE10254" i="1"/>
  <c r="AE10251" i="1"/>
  <c r="AH10251" i="1"/>
  <c r="AG10251" i="1"/>
  <c r="AF10251" i="1"/>
  <c r="AH10247" i="1"/>
  <c r="AG10247" i="1"/>
  <c r="AF10247" i="1"/>
  <c r="AE10247" i="1"/>
  <c r="AG10244" i="1"/>
  <c r="AE10244" i="1"/>
  <c r="AH10244" i="1"/>
  <c r="AF10244" i="1"/>
  <c r="AD10240" i="1"/>
  <c r="AB10242" i="1"/>
  <c r="AD10233" i="1"/>
  <c r="AB10233" i="1" s="1"/>
  <c r="AB10236" i="1"/>
  <c r="Z10236" i="1"/>
  <c r="AH10240" i="1"/>
  <c r="AG10240" i="1"/>
  <c r="AF10240" i="1"/>
  <c r="AE10240" i="1"/>
  <c r="AB10218" i="1"/>
  <c r="Q10218" i="1" s="1"/>
  <c r="R10218" i="1" s="1"/>
  <c r="T10218" i="1" s="1"/>
  <c r="AG10236" i="1"/>
  <c r="AE10236" i="1"/>
  <c r="AF10236" i="1"/>
  <c r="AH10236" i="1"/>
  <c r="AG10234" i="1"/>
  <c r="AF10234" i="1"/>
  <c r="AE10234" i="1"/>
  <c r="AH10234" i="1"/>
  <c r="Z10234" i="1"/>
  <c r="AB10234" i="1"/>
  <c r="AD10231" i="1"/>
  <c r="AD10230" i="1" s="1"/>
  <c r="AB10230" i="1" s="1"/>
  <c r="AB10232" i="1"/>
  <c r="AG10231" i="1"/>
  <c r="AG10230" i="1" s="1"/>
  <c r="AH10231" i="1"/>
  <c r="AH10230" i="1" s="1"/>
  <c r="AF10231" i="1"/>
  <c r="AF10230" i="1" s="1"/>
  <c r="AE10231" i="1"/>
  <c r="AE10230" i="1" s="1"/>
  <c r="H10222" i="1"/>
  <c r="I10222" i="1" s="1"/>
  <c r="Q10222" i="1"/>
  <c r="R10222" i="1" s="1"/>
  <c r="T10222" i="1" s="1"/>
  <c r="AF10227" i="1"/>
  <c r="AF10226" i="1" s="1"/>
  <c r="AE10227" i="1"/>
  <c r="AE10226" i="1" s="1"/>
  <c r="AG10227" i="1"/>
  <c r="AG10226" i="1" s="1"/>
  <c r="AH10227" i="1"/>
  <c r="AH10226" i="1" s="1"/>
  <c r="AD10227" i="1"/>
  <c r="AD10226" i="1" s="1"/>
  <c r="AB10226" i="1" s="1"/>
  <c r="AB10228" i="1"/>
  <c r="AF10223" i="1"/>
  <c r="AF10222" i="1" s="1"/>
  <c r="AE10223" i="1"/>
  <c r="AE10222" i="1" s="1"/>
  <c r="AH10223" i="1"/>
  <c r="AH10222" i="1" s="1"/>
  <c r="AG10223" i="1"/>
  <c r="AG10222" i="1" s="1"/>
  <c r="Z10223" i="1"/>
  <c r="AB10223" i="1"/>
  <c r="AF10219" i="1"/>
  <c r="AF10218" i="1" s="1"/>
  <c r="AE10219" i="1"/>
  <c r="AE10218" i="1" s="1"/>
  <c r="AH10219" i="1"/>
  <c r="AH10218" i="1" s="1"/>
  <c r="AG10219" i="1"/>
  <c r="AG10218" i="1" s="1"/>
  <c r="AB10219" i="1"/>
  <c r="Z10219" i="1"/>
  <c r="H10210" i="1"/>
  <c r="I10210" i="1" s="1"/>
  <c r="Q10210" i="1"/>
  <c r="R10210" i="1" s="1"/>
  <c r="T10210" i="1" s="1"/>
  <c r="AF10215" i="1"/>
  <c r="AF10214" i="1" s="1"/>
  <c r="AE10215" i="1"/>
  <c r="AE10214" i="1" s="1"/>
  <c r="AH10215" i="1"/>
  <c r="AH10214" i="1" s="1"/>
  <c r="AG10215" i="1"/>
  <c r="AG10214" i="1" s="1"/>
  <c r="AD10215" i="1"/>
  <c r="AD10214" i="1" s="1"/>
  <c r="AB10214" i="1" s="1"/>
  <c r="AB10216" i="1"/>
  <c r="Q10206" i="1"/>
  <c r="R10206" i="1" s="1"/>
  <c r="T10206" i="1" s="1"/>
  <c r="H10206" i="1"/>
  <c r="I10206" i="1" s="1"/>
  <c r="AF10211" i="1"/>
  <c r="AF10210" i="1" s="1"/>
  <c r="AE10211" i="1"/>
  <c r="AE10210" i="1" s="1"/>
  <c r="AH10211" i="1"/>
  <c r="AH10210" i="1" s="1"/>
  <c r="AG10211" i="1"/>
  <c r="AG10210" i="1" s="1"/>
  <c r="AB10211" i="1"/>
  <c r="Z10211" i="1"/>
  <c r="AD10202" i="1"/>
  <c r="AB10202" i="1" s="1"/>
  <c r="AB10203" i="1"/>
  <c r="Z10203" i="1"/>
  <c r="AF10207" i="1"/>
  <c r="AF10206" i="1" s="1"/>
  <c r="AE10207" i="1"/>
  <c r="AE10206" i="1" s="1"/>
  <c r="AH10207" i="1"/>
  <c r="AH10206" i="1" s="1"/>
  <c r="AG10207" i="1"/>
  <c r="AG10206" i="1" s="1"/>
  <c r="AB10207" i="1"/>
  <c r="Z10207" i="1"/>
  <c r="AD10198" i="1"/>
  <c r="AB10198" i="1" s="1"/>
  <c r="AB10199" i="1"/>
  <c r="Z10199" i="1"/>
  <c r="AH10203" i="1"/>
  <c r="AH10202" i="1" s="1"/>
  <c r="AG10203" i="1"/>
  <c r="AG10202" i="1" s="1"/>
  <c r="AF10203" i="1"/>
  <c r="AF10202" i="1" s="1"/>
  <c r="AE10203" i="1"/>
  <c r="AE10202" i="1" s="1"/>
  <c r="AG10199" i="1"/>
  <c r="AG10198" i="1" s="1"/>
  <c r="AE10199" i="1"/>
  <c r="AE10198" i="1" s="1"/>
  <c r="AH10199" i="1"/>
  <c r="AH10198" i="1" s="1"/>
  <c r="AF10199" i="1"/>
  <c r="AF10198" i="1" s="1"/>
  <c r="AB10148" i="1"/>
  <c r="AD10147" i="1"/>
  <c r="AD10146" i="1" s="1"/>
  <c r="AB10146" i="1" s="1"/>
  <c r="AB10170" i="1"/>
  <c r="AD10169" i="1"/>
  <c r="AD10172" i="1"/>
  <c r="AB10173" i="1"/>
  <c r="AD10154" i="1"/>
  <c r="AB10155" i="1"/>
  <c r="AD10163" i="1"/>
  <c r="AB10164" i="1"/>
  <c r="AD10182" i="1"/>
  <c r="AB10183" i="1"/>
  <c r="AB10189" i="1"/>
  <c r="AD10188" i="1"/>
  <c r="Z10180" i="1"/>
  <c r="AB10180" i="1"/>
  <c r="AB10192" i="1"/>
  <c r="AD10191" i="1"/>
  <c r="AD10135" i="1"/>
  <c r="AB10136" i="1"/>
  <c r="AG10135" i="1"/>
  <c r="AF10135" i="1"/>
  <c r="AE10135" i="1"/>
  <c r="AH10128" i="1"/>
  <c r="AG10128" i="1"/>
  <c r="AF10128" i="1"/>
  <c r="AE10128" i="1"/>
  <c r="AH10135" i="1"/>
  <c r="AB10129" i="1"/>
  <c r="AD10128" i="1"/>
  <c r="AB10110" i="1"/>
  <c r="AD10109" i="1"/>
  <c r="AD10116" i="1"/>
  <c r="AB10117" i="1"/>
  <c r="AG10116" i="1"/>
  <c r="AF10116" i="1"/>
  <c r="AH10109" i="1"/>
  <c r="AE10109" i="1"/>
  <c r="AH10116" i="1"/>
  <c r="AE10116" i="1"/>
  <c r="AG10109" i="1"/>
  <c r="AF10109" i="1"/>
  <c r="AD10058" i="1"/>
  <c r="AD10097" i="1"/>
  <c r="AB10098" i="1"/>
  <c r="AH10090" i="1"/>
  <c r="AH10097" i="1"/>
  <c r="AG10097" i="1"/>
  <c r="AF10097" i="1"/>
  <c r="AE10097" i="1"/>
  <c r="AG10090" i="1"/>
  <c r="AF10090" i="1"/>
  <c r="AE10090" i="1"/>
  <c r="AB10091" i="1"/>
  <c r="AD10090" i="1"/>
  <c r="AB10067" i="1"/>
  <c r="Q10067" i="1" s="1"/>
  <c r="R10067" i="1" s="1"/>
  <c r="T10067" i="1" s="1"/>
  <c r="AD10078" i="1"/>
  <c r="AB10079" i="1"/>
  <c r="AH10078" i="1"/>
  <c r="AG10078" i="1"/>
  <c r="AF10078" i="1"/>
  <c r="AE10078" i="1"/>
  <c r="AH10071" i="1"/>
  <c r="AG10071" i="1"/>
  <c r="AF10071" i="1"/>
  <c r="AE10071" i="1"/>
  <c r="AB10072" i="1"/>
  <c r="AD10071" i="1"/>
  <c r="AD10044" i="1"/>
  <c r="Z10068" i="1"/>
  <c r="AB10068" i="1"/>
  <c r="AD10061" i="1"/>
  <c r="AB10040" i="1"/>
  <c r="AD10039" i="1"/>
  <c r="AB10045" i="1"/>
  <c r="AB10059" i="1"/>
  <c r="AB10050" i="1"/>
  <c r="AD10049" i="1"/>
  <c r="AF10039" i="1"/>
  <c r="AE10052" i="1"/>
  <c r="AH10052" i="1"/>
  <c r="AG10039" i="1"/>
  <c r="AE10039" i="1"/>
  <c r="AG10052" i="1"/>
  <c r="AF10052" i="1"/>
  <c r="AH10039" i="1"/>
  <c r="AB10063" i="1"/>
  <c r="AD10052" i="1"/>
  <c r="AB10053" i="1"/>
  <c r="AD10019" i="1"/>
  <c r="Z10019" i="1" s="1"/>
  <c r="AD10011" i="1"/>
  <c r="Q9984" i="1"/>
  <c r="R9984" i="1" s="1"/>
  <c r="T9984" i="1" s="1"/>
  <c r="H9984" i="1"/>
  <c r="I9984" i="1" s="1"/>
  <c r="AC10032" i="1"/>
  <c r="AD10032" i="1" s="1"/>
  <c r="AB10032" i="1" s="1"/>
  <c r="AC10030" i="1"/>
  <c r="AD10030" i="1" s="1"/>
  <c r="AB10030" i="1" s="1"/>
  <c r="AC10031" i="1"/>
  <c r="AD10031" i="1" s="1"/>
  <c r="AB10031" i="1" s="1"/>
  <c r="AC10029" i="1"/>
  <c r="AD10029" i="1" s="1"/>
  <c r="AB10029" i="1" s="1"/>
  <c r="AC10037" i="1"/>
  <c r="AD10037" i="1" s="1"/>
  <c r="AB10037" i="1" s="1"/>
  <c r="AC10035" i="1"/>
  <c r="AD10035" i="1" s="1"/>
  <c r="AB10035" i="1" s="1"/>
  <c r="AC10036" i="1"/>
  <c r="AD10036" i="1" s="1"/>
  <c r="AB10036" i="1" s="1"/>
  <c r="AC10034" i="1"/>
  <c r="AD10034" i="1" s="1"/>
  <c r="AD10025" i="1"/>
  <c r="AB10026" i="1"/>
  <c r="AB10012" i="1"/>
  <c r="AF10019" i="1"/>
  <c r="AH10019" i="1"/>
  <c r="AG10019" i="1"/>
  <c r="AE10019" i="1"/>
  <c r="AD10016" i="1"/>
  <c r="AB10017" i="1"/>
  <c r="AH9891" i="1"/>
  <c r="AE10011" i="1"/>
  <c r="AH10011" i="1"/>
  <c r="AG10011" i="1"/>
  <c r="AF10011" i="1"/>
  <c r="AB9917" i="1"/>
  <c r="Q9917" i="1" s="1"/>
  <c r="R9917" i="1" s="1"/>
  <c r="T9917" i="1" s="1"/>
  <c r="AD9994" i="1"/>
  <c r="AB9994" i="1" s="1"/>
  <c r="AD9999" i="1"/>
  <c r="AB9999" i="1" s="1"/>
  <c r="AD9997" i="1"/>
  <c r="AB9997" i="1" s="1"/>
  <c r="AD9995" i="1"/>
  <c r="AD9998" i="1"/>
  <c r="AB9998" i="1" s="1"/>
  <c r="AD9996" i="1"/>
  <c r="AB9996" i="1" s="1"/>
  <c r="AB9987" i="1"/>
  <c r="Q9987" i="1" s="1"/>
  <c r="R9987" i="1" s="1"/>
  <c r="T9987" i="1" s="1"/>
  <c r="AB9992" i="1"/>
  <c r="AD9991" i="1"/>
  <c r="AB10004" i="1"/>
  <c r="AD10003" i="1"/>
  <c r="AB10001" i="1"/>
  <c r="AD10000" i="1"/>
  <c r="AB9739" i="1"/>
  <c r="Q9739" i="1" s="1"/>
  <c r="R9739" i="1" s="1"/>
  <c r="T9739" i="1" s="1"/>
  <c r="AB9988" i="1"/>
  <c r="Z9988" i="1"/>
  <c r="AD9974" i="1"/>
  <c r="AB9975" i="1"/>
  <c r="AD9966" i="1"/>
  <c r="AB9969" i="1"/>
  <c r="AD9968" i="1"/>
  <c r="AD9977" i="1"/>
  <c r="AB9978" i="1"/>
  <c r="AD9949" i="1"/>
  <c r="AB9950" i="1"/>
  <c r="AB9941" i="1"/>
  <c r="AD9940" i="1"/>
  <c r="AD9958" i="1"/>
  <c r="AB9959" i="1"/>
  <c r="AD9955" i="1"/>
  <c r="AB9956" i="1"/>
  <c r="AB9933" i="1"/>
  <c r="AD9932" i="1"/>
  <c r="AB9932" i="1" s="1"/>
  <c r="Z9933" i="1"/>
  <c r="Q9926" i="1"/>
  <c r="R9926" i="1" s="1"/>
  <c r="T9926" i="1" s="1"/>
  <c r="H9926" i="1"/>
  <c r="I9926" i="1" s="1"/>
  <c r="Z9927" i="1"/>
  <c r="AB9927" i="1"/>
  <c r="Z9918" i="1"/>
  <c r="AB9918" i="1"/>
  <c r="AD9906" i="1"/>
  <c r="AB9907" i="1"/>
  <c r="AD9903" i="1"/>
  <c r="AB9904" i="1"/>
  <c r="AB9710" i="1"/>
  <c r="Q9710" i="1" s="1"/>
  <c r="R9710" i="1" s="1"/>
  <c r="T9710" i="1" s="1"/>
  <c r="AD9886" i="1"/>
  <c r="AB9887" i="1"/>
  <c r="AB9892" i="1"/>
  <c r="AD9891" i="1"/>
  <c r="AE9906" i="1"/>
  <c r="AG9891" i="1"/>
  <c r="AF9891" i="1"/>
  <c r="AH9903" i="1"/>
  <c r="AG9886" i="1"/>
  <c r="AF9903" i="1"/>
  <c r="AF9886" i="1"/>
  <c r="AE9891" i="1"/>
  <c r="AH9886" i="1"/>
  <c r="AG9903" i="1"/>
  <c r="AH9906" i="1"/>
  <c r="AG9906" i="1"/>
  <c r="AE9903" i="1"/>
  <c r="AE9886" i="1"/>
  <c r="AF9906" i="1"/>
  <c r="AE9883" i="1"/>
  <c r="AE9882" i="1" s="1"/>
  <c r="AF9883" i="1"/>
  <c r="AF9882" i="1" s="1"/>
  <c r="AH9883" i="1"/>
  <c r="AH9882" i="1" s="1"/>
  <c r="AG9883" i="1"/>
  <c r="AG9882" i="1" s="1"/>
  <c r="AD9874" i="1"/>
  <c r="AD9873" i="1" s="1"/>
  <c r="AB9873" i="1" s="1"/>
  <c r="AB9875" i="1"/>
  <c r="AH9874" i="1"/>
  <c r="AH9873" i="1" s="1"/>
  <c r="AG9874" i="1"/>
  <c r="AG9873" i="1" s="1"/>
  <c r="AF9874" i="1"/>
  <c r="AF9873" i="1" s="1"/>
  <c r="AE9874" i="1"/>
  <c r="AG9867" i="1"/>
  <c r="AG9866" i="1" s="1"/>
  <c r="AF9867" i="1"/>
  <c r="AF9866" i="1" s="1"/>
  <c r="AE9867" i="1"/>
  <c r="AE9866" i="1" s="1"/>
  <c r="AH9867" i="1"/>
  <c r="AH9866" i="1" s="1"/>
  <c r="AD9867" i="1"/>
  <c r="AD9866" i="1" s="1"/>
  <c r="AB9866" i="1" s="1"/>
  <c r="AB9868" i="1"/>
  <c r="AH9860" i="1"/>
  <c r="AH9859" i="1" s="1"/>
  <c r="AG9860" i="1"/>
  <c r="AG9859" i="1" s="1"/>
  <c r="AF9860" i="1"/>
  <c r="AF9859" i="1" s="1"/>
  <c r="AE9860" i="1"/>
  <c r="AE9859" i="1" s="1"/>
  <c r="Q9850" i="1"/>
  <c r="R9850" i="1" s="1"/>
  <c r="T9850" i="1" s="1"/>
  <c r="H9850" i="1"/>
  <c r="I9850" i="1" s="1"/>
  <c r="AD9860" i="1"/>
  <c r="AD9859" i="1" s="1"/>
  <c r="AB9859" i="1" s="1"/>
  <c r="AB9861" i="1"/>
  <c r="H9729" i="1"/>
  <c r="I9729" i="1" s="1"/>
  <c r="Q9729" i="1"/>
  <c r="R9729" i="1" s="1"/>
  <c r="T9729" i="1" s="1"/>
  <c r="Z9740" i="1"/>
  <c r="AB9740" i="1"/>
  <c r="AH9740" i="1"/>
  <c r="AH9739" i="1" s="1"/>
  <c r="AG9740" i="1"/>
  <c r="AG9739" i="1" s="1"/>
  <c r="AF9740" i="1"/>
  <c r="AF9739" i="1" s="1"/>
  <c r="AE9740" i="1"/>
  <c r="AE9739" i="1" s="1"/>
  <c r="Z9720" i="1"/>
  <c r="AD9719" i="1"/>
  <c r="AB9719" i="1" s="1"/>
  <c r="AH9730" i="1"/>
  <c r="AH9729" i="1" s="1"/>
  <c r="AG9730" i="1"/>
  <c r="AG9729" i="1" s="1"/>
  <c r="AF9730" i="1"/>
  <c r="AF9729" i="1" s="1"/>
  <c r="AE9730" i="1"/>
  <c r="AE9729" i="1" s="1"/>
  <c r="AB9730" i="1"/>
  <c r="Z9730" i="1"/>
  <c r="AH9720" i="1"/>
  <c r="AH9719" i="1" s="1"/>
  <c r="AG9720" i="1"/>
  <c r="AG9719" i="1" s="1"/>
  <c r="AF9720" i="1"/>
  <c r="AF9719" i="1" s="1"/>
  <c r="AE9720" i="1"/>
  <c r="AE9719" i="1" s="1"/>
  <c r="AB9720" i="1"/>
  <c r="AH9711" i="1"/>
  <c r="AH9710" i="1" s="1"/>
  <c r="AG9711" i="1"/>
  <c r="AG9710" i="1" s="1"/>
  <c r="AF9711" i="1"/>
  <c r="AF9710" i="1" s="1"/>
  <c r="AE9711" i="1"/>
  <c r="AE9710" i="1" s="1"/>
  <c r="AB9711" i="1"/>
  <c r="Z9711" i="1"/>
  <c r="AD9697" i="1"/>
  <c r="AB9698" i="1"/>
  <c r="AB9683" i="1"/>
  <c r="AD9682" i="1"/>
  <c r="AB9695" i="1"/>
  <c r="AD9694" i="1"/>
  <c r="AE9697" i="1"/>
  <c r="AG9682" i="1"/>
  <c r="AF9677" i="1"/>
  <c r="AF9682" i="1"/>
  <c r="AH9694" i="1"/>
  <c r="AG9677" i="1"/>
  <c r="AF9694" i="1"/>
  <c r="AH9682" i="1"/>
  <c r="AE9682" i="1"/>
  <c r="AH9677" i="1"/>
  <c r="AG9694" i="1"/>
  <c r="AH9697" i="1"/>
  <c r="AG9697" i="1"/>
  <c r="AE9694" i="1"/>
  <c r="AE9677" i="1"/>
  <c r="AF9697" i="1"/>
  <c r="AB9678" i="1"/>
  <c r="AD9677" i="1"/>
  <c r="AB9650" i="1"/>
  <c r="AD9649" i="1"/>
  <c r="AB9662" i="1"/>
  <c r="AD9661" i="1"/>
  <c r="AD9664" i="1"/>
  <c r="AB9665" i="1"/>
  <c r="AB9651" i="1"/>
  <c r="AE9664" i="1"/>
  <c r="AE9644" i="1"/>
  <c r="AG9661" i="1"/>
  <c r="AH9644" i="1"/>
  <c r="AH9649" i="1"/>
  <c r="AH9661" i="1"/>
  <c r="AF9664" i="1"/>
  <c r="AG9649" i="1"/>
  <c r="AH9664" i="1"/>
  <c r="AF9649" i="1"/>
  <c r="AE9649" i="1"/>
  <c r="AF9661" i="1"/>
  <c r="AG9664" i="1"/>
  <c r="AE9661" i="1"/>
  <c r="AG9644" i="1"/>
  <c r="AF9644" i="1"/>
  <c r="AB9645" i="1"/>
  <c r="AD9644" i="1"/>
  <c r="AD9615" i="1"/>
  <c r="AB9615" i="1" s="1"/>
  <c r="AD9620" i="1"/>
  <c r="AD9617" i="1"/>
  <c r="AB9617" i="1" s="1"/>
  <c r="AD9618" i="1"/>
  <c r="AB9618" i="1" s="1"/>
  <c r="AB9612" i="1"/>
  <c r="AB9629" i="1"/>
  <c r="AD9628" i="1"/>
  <c r="AE9631" i="1"/>
  <c r="AE9611" i="1"/>
  <c r="AF9631" i="1"/>
  <c r="AH9616" i="1"/>
  <c r="AG9616" i="1"/>
  <c r="AF9616" i="1"/>
  <c r="AE9616" i="1"/>
  <c r="AH9628" i="1"/>
  <c r="AF9611" i="1"/>
  <c r="AG9628" i="1"/>
  <c r="AH9631" i="1"/>
  <c r="AF9628" i="1"/>
  <c r="AH9611" i="1"/>
  <c r="AG9631" i="1"/>
  <c r="AE9628" i="1"/>
  <c r="AG9611" i="1"/>
  <c r="AD9631" i="1"/>
  <c r="AB9632" i="1"/>
  <c r="AB9583" i="1"/>
  <c r="AD9582" i="1"/>
  <c r="AD9597" i="1"/>
  <c r="AB9598" i="1"/>
  <c r="AE9600" i="1"/>
  <c r="AE9582" i="1"/>
  <c r="AG9597" i="1"/>
  <c r="AH9587" i="1"/>
  <c r="AE9597" i="1"/>
  <c r="AG9587" i="1"/>
  <c r="AF9587" i="1"/>
  <c r="AE9587" i="1"/>
  <c r="AH9597" i="1"/>
  <c r="AH9600" i="1"/>
  <c r="AF9597" i="1"/>
  <c r="AH9582" i="1"/>
  <c r="AG9600" i="1"/>
  <c r="AG9582" i="1"/>
  <c r="AF9600" i="1"/>
  <c r="AF9582" i="1"/>
  <c r="AD9587" i="1"/>
  <c r="AB9588" i="1"/>
  <c r="AD9600" i="1"/>
  <c r="AB9601" i="1"/>
  <c r="AD9565" i="1"/>
  <c r="AB9566" i="1"/>
  <c r="AD9550" i="1"/>
  <c r="AB9551" i="1"/>
  <c r="AD9568" i="1"/>
  <c r="AB9569" i="1"/>
  <c r="AE9568" i="1"/>
  <c r="AE9550" i="1"/>
  <c r="AE9555" i="1"/>
  <c r="AH9565" i="1"/>
  <c r="AH9555" i="1"/>
  <c r="AF9555" i="1"/>
  <c r="AH9568" i="1"/>
  <c r="AH9550" i="1"/>
  <c r="AG9568" i="1"/>
  <c r="AE9565" i="1"/>
  <c r="AG9550" i="1"/>
  <c r="AF9568" i="1"/>
  <c r="AF9550" i="1"/>
  <c r="AG9555" i="1"/>
  <c r="AG9565" i="1"/>
  <c r="AF9565" i="1"/>
  <c r="AD9555" i="1"/>
  <c r="AB9556" i="1"/>
  <c r="AB9537" i="1"/>
  <c r="AD9536" i="1"/>
  <c r="AB9527" i="1"/>
  <c r="AD9526" i="1"/>
  <c r="Q6737" i="1"/>
  <c r="R6737" i="1" s="1"/>
  <c r="T6737" i="1" s="1"/>
  <c r="AE9539" i="1"/>
  <c r="AE9521" i="1"/>
  <c r="AF9539" i="1"/>
  <c r="AH9526" i="1"/>
  <c r="AE9526" i="1"/>
  <c r="AH9536" i="1"/>
  <c r="AH9521" i="1"/>
  <c r="AG9539" i="1"/>
  <c r="AF9521" i="1"/>
  <c r="AG9526" i="1"/>
  <c r="AG9536" i="1"/>
  <c r="AH9539" i="1"/>
  <c r="AF9536" i="1"/>
  <c r="AE9536" i="1"/>
  <c r="AG9521" i="1"/>
  <c r="AF9526" i="1"/>
  <c r="H6493" i="1"/>
  <c r="I6493" i="1" s="1"/>
  <c r="AD9521" i="1"/>
  <c r="AB9522" i="1"/>
  <c r="AD9539" i="1"/>
  <c r="AB9540" i="1"/>
  <c r="AD9497" i="1"/>
  <c r="AB9498" i="1"/>
  <c r="AD9492" i="1"/>
  <c r="AB9493" i="1"/>
  <c r="AD9507" i="1"/>
  <c r="AB9508" i="1"/>
  <c r="AE9510" i="1"/>
  <c r="AE9492" i="1"/>
  <c r="AF9510" i="1"/>
  <c r="AH9497" i="1"/>
  <c r="AH9507" i="1"/>
  <c r="AG9510" i="1"/>
  <c r="AG9497" i="1"/>
  <c r="AH9510" i="1"/>
  <c r="AE9507" i="1"/>
  <c r="AG9492" i="1"/>
  <c r="AF9492" i="1"/>
  <c r="AF9497" i="1"/>
  <c r="AG9481" i="1"/>
  <c r="AG9507" i="1"/>
  <c r="AH9492" i="1"/>
  <c r="AE9497" i="1"/>
  <c r="AF9507" i="1"/>
  <c r="AD9510" i="1"/>
  <c r="AB9511" i="1"/>
  <c r="AB9479" i="1"/>
  <c r="AD9478" i="1"/>
  <c r="AD9463" i="1"/>
  <c r="AB9464" i="1"/>
  <c r="AE9481" i="1"/>
  <c r="AH9468" i="1"/>
  <c r="AG9468" i="1"/>
  <c r="AF9468" i="1"/>
  <c r="AE9468" i="1"/>
  <c r="AH9478" i="1"/>
  <c r="AG9478" i="1"/>
  <c r="AF9481" i="1"/>
  <c r="AH9463" i="1"/>
  <c r="AG9463" i="1"/>
  <c r="AF9463" i="1"/>
  <c r="AE9463" i="1"/>
  <c r="AF9478" i="1"/>
  <c r="AE9478" i="1"/>
  <c r="AH9481" i="1"/>
  <c r="AD9468" i="1"/>
  <c r="AB9469" i="1"/>
  <c r="AD9481" i="1"/>
  <c r="AB9482" i="1"/>
  <c r="AB9450" i="1"/>
  <c r="AD9449" i="1"/>
  <c r="AD9452" i="1"/>
  <c r="AB9453" i="1"/>
  <c r="AD9439" i="1"/>
  <c r="AB9440" i="1"/>
  <c r="AE9452" i="1"/>
  <c r="AE9434" i="1"/>
  <c r="AH9439" i="1"/>
  <c r="AG9439" i="1"/>
  <c r="AF9423" i="1"/>
  <c r="AH9449" i="1"/>
  <c r="AG9449" i="1"/>
  <c r="AG9452" i="1"/>
  <c r="AE9449" i="1"/>
  <c r="AG9434" i="1"/>
  <c r="AF9452" i="1"/>
  <c r="AF9434" i="1"/>
  <c r="AF9439" i="1"/>
  <c r="AE9439" i="1"/>
  <c r="AH9452" i="1"/>
  <c r="AF9449" i="1"/>
  <c r="AH9434" i="1"/>
  <c r="H6718" i="1"/>
  <c r="I6718" i="1" s="1"/>
  <c r="AD9434" i="1"/>
  <c r="AB9435" i="1"/>
  <c r="AD9423" i="1"/>
  <c r="AB9424" i="1"/>
  <c r="AB9421" i="1"/>
  <c r="AD9420" i="1"/>
  <c r="AD9405" i="1"/>
  <c r="AB9406" i="1"/>
  <c r="AE9423" i="1"/>
  <c r="AE9405" i="1"/>
  <c r="AH9410" i="1"/>
  <c r="AG9410" i="1"/>
  <c r="AF9410" i="1"/>
  <c r="AE9410" i="1"/>
  <c r="AH9405" i="1"/>
  <c r="AG9405" i="1"/>
  <c r="AH9420" i="1"/>
  <c r="AF9405" i="1"/>
  <c r="AH9423" i="1"/>
  <c r="AG9420" i="1"/>
  <c r="AG9423" i="1"/>
  <c r="AF9420" i="1"/>
  <c r="AF9346" i="1"/>
  <c r="AE9420" i="1"/>
  <c r="AD9410" i="1"/>
  <c r="AB9411" i="1"/>
  <c r="AB9381" i="1"/>
  <c r="AD9380" i="1"/>
  <c r="AD9393" i="1"/>
  <c r="AB9394" i="1"/>
  <c r="AE9393" i="1"/>
  <c r="AE9375" i="1"/>
  <c r="AE9380" i="1"/>
  <c r="AH9390" i="1"/>
  <c r="AH9393" i="1"/>
  <c r="AE9390" i="1"/>
  <c r="AG9375" i="1"/>
  <c r="AF9393" i="1"/>
  <c r="AF9375" i="1"/>
  <c r="AH9380" i="1"/>
  <c r="AF9390" i="1"/>
  <c r="AH9375" i="1"/>
  <c r="AG9393" i="1"/>
  <c r="AG9380" i="1"/>
  <c r="AF9380" i="1"/>
  <c r="AG9390" i="1"/>
  <c r="AD9390" i="1"/>
  <c r="AB9391" i="1"/>
  <c r="AD9375" i="1"/>
  <c r="AB9376" i="1"/>
  <c r="AB9347" i="1"/>
  <c r="AD9346" i="1"/>
  <c r="AB9362" i="1"/>
  <c r="AD9361" i="1"/>
  <c r="AD9351" i="1"/>
  <c r="AB9352" i="1"/>
  <c r="AE9364" i="1"/>
  <c r="AE9346" i="1"/>
  <c r="AF9351" i="1"/>
  <c r="AH9364" i="1"/>
  <c r="AH9346" i="1"/>
  <c r="AG9364" i="1"/>
  <c r="AE9361" i="1"/>
  <c r="AH9351" i="1"/>
  <c r="AG9351" i="1"/>
  <c r="AE9351" i="1"/>
  <c r="AH9361" i="1"/>
  <c r="AG9361" i="1"/>
  <c r="AF9361" i="1"/>
  <c r="AG9346" i="1"/>
  <c r="AF9364" i="1"/>
  <c r="AF9317" i="1"/>
  <c r="AD9364" i="1"/>
  <c r="AB9365" i="1"/>
  <c r="AB9318" i="1"/>
  <c r="AD9317" i="1"/>
  <c r="AD9322" i="1"/>
  <c r="AB9323" i="1"/>
  <c r="AE9335" i="1"/>
  <c r="AE9317" i="1"/>
  <c r="AF9306" i="1"/>
  <c r="AF9322" i="1"/>
  <c r="AE9322" i="1"/>
  <c r="AH9322" i="1"/>
  <c r="AG9322" i="1"/>
  <c r="AH9332" i="1"/>
  <c r="AG9332" i="1"/>
  <c r="AH9335" i="1"/>
  <c r="AF9332" i="1"/>
  <c r="AH9317" i="1"/>
  <c r="AG9335" i="1"/>
  <c r="AE9332" i="1"/>
  <c r="AG9317" i="1"/>
  <c r="AF9335" i="1"/>
  <c r="AD9335" i="1"/>
  <c r="AB9336" i="1"/>
  <c r="AB9333" i="1"/>
  <c r="AD9332" i="1"/>
  <c r="AD9306" i="1"/>
  <c r="AB9307" i="1"/>
  <c r="AD9303" i="1"/>
  <c r="AB9304" i="1"/>
  <c r="AD9288" i="1"/>
  <c r="AB9289" i="1"/>
  <c r="AE9306" i="1"/>
  <c r="AE9288" i="1"/>
  <c r="AE9293" i="1"/>
  <c r="AF9274" i="1"/>
  <c r="AG9303" i="1"/>
  <c r="AF9303" i="1"/>
  <c r="AH9293" i="1"/>
  <c r="AF9293" i="1"/>
  <c r="AH9303" i="1"/>
  <c r="AH9306" i="1"/>
  <c r="AH9288" i="1"/>
  <c r="AG9306" i="1"/>
  <c r="AF9288" i="1"/>
  <c r="AG9293" i="1"/>
  <c r="AG9274" i="1"/>
  <c r="AE9303" i="1"/>
  <c r="AG9288" i="1"/>
  <c r="AB9294" i="1"/>
  <c r="AD9293" i="1"/>
  <c r="Q6723" i="1"/>
  <c r="R6723" i="1" s="1"/>
  <c r="T6723" i="1" s="1"/>
  <c r="AB9275" i="1"/>
  <c r="AD9274" i="1"/>
  <c r="AD9259" i="1"/>
  <c r="AB9260" i="1"/>
  <c r="AD9264" i="1"/>
  <c r="AB9265" i="1"/>
  <c r="AD9277" i="1"/>
  <c r="AB9278" i="1"/>
  <c r="AE9277" i="1"/>
  <c r="AE9259" i="1"/>
  <c r="AH9264" i="1"/>
  <c r="AG9264" i="1"/>
  <c r="AF9264" i="1"/>
  <c r="AE9264" i="1"/>
  <c r="AH9274" i="1"/>
  <c r="AH9277" i="1"/>
  <c r="AE9274" i="1"/>
  <c r="AG9277" i="1"/>
  <c r="AF9277" i="1"/>
  <c r="AH9259" i="1"/>
  <c r="AG9259" i="1"/>
  <c r="AF9259" i="1"/>
  <c r="AB9246" i="1"/>
  <c r="AD9245" i="1"/>
  <c r="AB9231" i="1"/>
  <c r="AD9230" i="1"/>
  <c r="AD9235" i="1"/>
  <c r="AB9236" i="1"/>
  <c r="AF9206" i="1"/>
  <c r="AG9235" i="1"/>
  <c r="AF9235" i="1"/>
  <c r="AE9235" i="1"/>
  <c r="AH9245" i="1"/>
  <c r="AG9245" i="1"/>
  <c r="AH9248" i="1"/>
  <c r="AF9245" i="1"/>
  <c r="AG9248" i="1"/>
  <c r="AH9235" i="1"/>
  <c r="AF9248" i="1"/>
  <c r="AE9248" i="1"/>
  <c r="AH9230" i="1"/>
  <c r="AG9230" i="1"/>
  <c r="AF9230" i="1"/>
  <c r="AE9230" i="1"/>
  <c r="AE9245" i="1"/>
  <c r="AB9249" i="1"/>
  <c r="AD9248" i="1"/>
  <c r="AD9201" i="1"/>
  <c r="AB9202" i="1"/>
  <c r="AD9206" i="1"/>
  <c r="AE9206" i="1"/>
  <c r="AH9216" i="1"/>
  <c r="AH9201" i="1"/>
  <c r="AG9216" i="1"/>
  <c r="AG9201" i="1"/>
  <c r="AH9219" i="1"/>
  <c r="AF9216" i="1"/>
  <c r="AF9201" i="1"/>
  <c r="AG9219" i="1"/>
  <c r="AE9201" i="1"/>
  <c r="AF9219" i="1"/>
  <c r="AE9219" i="1"/>
  <c r="AH9206" i="1"/>
  <c r="AG9206" i="1"/>
  <c r="AE9216" i="1"/>
  <c r="AB9217" i="1"/>
  <c r="AD9216" i="1"/>
  <c r="AB9220" i="1"/>
  <c r="AD9219" i="1"/>
  <c r="H6882" i="1"/>
  <c r="I6882" i="1" s="1"/>
  <c r="AB6929" i="1"/>
  <c r="AD6928" i="1"/>
  <c r="AB6936" i="1"/>
  <c r="AD6935" i="1"/>
  <c r="AB6916" i="1"/>
  <c r="AH6935" i="1"/>
  <c r="AG6928" i="1"/>
  <c r="AG6935" i="1"/>
  <c r="AF6935" i="1"/>
  <c r="AE6935" i="1"/>
  <c r="AH6928" i="1"/>
  <c r="AF6928" i="1"/>
  <c r="AE6928" i="1"/>
  <c r="AG6724" i="1"/>
  <c r="AG6723" i="1" s="1"/>
  <c r="AH6724" i="1"/>
  <c r="AH6723" i="1" s="1"/>
  <c r="AF6724" i="1"/>
  <c r="AF6723" i="1" s="1"/>
  <c r="AE6724" i="1"/>
  <c r="AE6723" i="1" s="1"/>
  <c r="AG6719" i="1"/>
  <c r="AG6718" i="1" s="1"/>
  <c r="AH6719" i="1"/>
  <c r="AH6718" i="1" s="1"/>
  <c r="AF6719" i="1"/>
  <c r="AF6718" i="1" s="1"/>
  <c r="AE6719" i="1"/>
  <c r="AE6718" i="1" s="1"/>
  <c r="AD6705" i="1"/>
  <c r="AB6706" i="1"/>
  <c r="AH6705" i="1"/>
  <c r="AF6705" i="1"/>
  <c r="AH6698" i="1"/>
  <c r="AG6698" i="1"/>
  <c r="AF6698" i="1"/>
  <c r="AE6698" i="1"/>
  <c r="AG6705" i="1"/>
  <c r="AE6705" i="1"/>
  <c r="AD6698" i="1"/>
  <c r="AB6699" i="1"/>
  <c r="AF6494" i="1"/>
  <c r="AF6493" i="1" s="1"/>
  <c r="AE6494" i="1"/>
  <c r="AE6493" i="1" s="1"/>
  <c r="AH6494" i="1"/>
  <c r="AH6493" i="1" s="1"/>
  <c r="AG6494" i="1"/>
  <c r="AG6493" i="1" s="1"/>
  <c r="Q6790" i="1"/>
  <c r="R6790" i="1" s="1"/>
  <c r="T6790" i="1" s="1"/>
  <c r="H6424" i="1"/>
  <c r="I6424" i="1" s="1"/>
  <c r="Q6653" i="1"/>
  <c r="R6653" i="1" s="1"/>
  <c r="T6653" i="1" s="1"/>
  <c r="AB6471" i="1"/>
  <c r="AD6470" i="1"/>
  <c r="H6879" i="1"/>
  <c r="I6879" i="1" s="1"/>
  <c r="AB6478" i="1"/>
  <c r="AD6477" i="1"/>
  <c r="AE6477" i="1"/>
  <c r="AF6470" i="1"/>
  <c r="AE6470" i="1"/>
  <c r="AH6477" i="1"/>
  <c r="AG6477" i="1"/>
  <c r="AF6477" i="1"/>
  <c r="AH6470" i="1"/>
  <c r="AG6470" i="1"/>
  <c r="AD10325" i="1"/>
  <c r="AB10326" i="1"/>
  <c r="AH10325" i="1"/>
  <c r="AF10318" i="1"/>
  <c r="AG10325" i="1"/>
  <c r="AF10325" i="1"/>
  <c r="AE10325" i="1"/>
  <c r="AH10318" i="1"/>
  <c r="AG10318" i="1"/>
  <c r="AE10318" i="1"/>
  <c r="AB6650" i="1"/>
  <c r="H6650" i="1" s="1"/>
  <c r="I6650" i="1" s="1"/>
  <c r="AB10319" i="1"/>
  <c r="AD10318" i="1"/>
  <c r="AG6459" i="1"/>
  <c r="AF6462" i="1"/>
  <c r="AH6459" i="1"/>
  <c r="AH6464" i="1"/>
  <c r="AF6459" i="1"/>
  <c r="AE6464" i="1"/>
  <c r="AG6462" i="1"/>
  <c r="AE6462" i="1"/>
  <c r="AG6464" i="1"/>
  <c r="AE6459" i="1"/>
  <c r="AF6464" i="1"/>
  <c r="AH6462" i="1"/>
  <c r="H6747" i="1"/>
  <c r="I6747" i="1" s="1"/>
  <c r="AD6459" i="1"/>
  <c r="AD6458" i="1" s="1"/>
  <c r="AB6458" i="1" s="1"/>
  <c r="AB6460" i="1"/>
  <c r="AG6687" i="1"/>
  <c r="AH6692" i="1"/>
  <c r="AF6687" i="1"/>
  <c r="AE6692" i="1"/>
  <c r="AG6690" i="1"/>
  <c r="AF6690" i="1"/>
  <c r="AE6690" i="1"/>
  <c r="AH6687" i="1"/>
  <c r="AG6692" i="1"/>
  <c r="AE6687" i="1"/>
  <c r="AF6692" i="1"/>
  <c r="AH6690" i="1"/>
  <c r="AD6687" i="1"/>
  <c r="AD6686" i="1" s="1"/>
  <c r="AB6686" i="1" s="1"/>
  <c r="AB6688" i="1"/>
  <c r="Q6741" i="1"/>
  <c r="R6741" i="1" s="1"/>
  <c r="T6741" i="1" s="1"/>
  <c r="H6741" i="1"/>
  <c r="I6741" i="1" s="1"/>
  <c r="AB6917" i="1"/>
  <c r="Z6917" i="1"/>
  <c r="AG6917" i="1"/>
  <c r="AH6922" i="1"/>
  <c r="AF6917" i="1"/>
  <c r="AG6922" i="1"/>
  <c r="AE6917" i="1"/>
  <c r="AG6920" i="1"/>
  <c r="AF6920" i="1"/>
  <c r="AE6920" i="1"/>
  <c r="AF6922" i="1"/>
  <c r="AE6922" i="1"/>
  <c r="AH6920" i="1"/>
  <c r="AH6917" i="1"/>
  <c r="H6421" i="1"/>
  <c r="I6421" i="1" s="1"/>
  <c r="Q6421" i="1"/>
  <c r="R6421" i="1" s="1"/>
  <c r="T6421" i="1" s="1"/>
  <c r="AH6425" i="1"/>
  <c r="AH6424" i="1" s="1"/>
  <c r="AG6425" i="1"/>
  <c r="AG6424" i="1" s="1"/>
  <c r="AF6425" i="1"/>
  <c r="AF6424" i="1" s="1"/>
  <c r="AE6425" i="1"/>
  <c r="AE6424" i="1" s="1"/>
  <c r="AG6654" i="1"/>
  <c r="AG6653" i="1" s="1"/>
  <c r="AH6654" i="1"/>
  <c r="AH6653" i="1" s="1"/>
  <c r="AF6654" i="1"/>
  <c r="AF6653" i="1" s="1"/>
  <c r="AE6654" i="1"/>
  <c r="AG6883" i="1"/>
  <c r="AG6882" i="1" s="1"/>
  <c r="AF6883" i="1"/>
  <c r="AF6882" i="1" s="1"/>
  <c r="AH6883" i="1"/>
  <c r="AH6882" i="1" s="1"/>
  <c r="AE6883" i="1"/>
  <c r="AG6422" i="1"/>
  <c r="AG6421" i="1" s="1"/>
  <c r="AE6422" i="1"/>
  <c r="AE6421" i="1" s="1"/>
  <c r="AH6422" i="1"/>
  <c r="AH6421" i="1" s="1"/>
  <c r="AF6422" i="1"/>
  <c r="AF6421" i="1" s="1"/>
  <c r="Z6651" i="1"/>
  <c r="AB6651" i="1"/>
  <c r="AG6651" i="1"/>
  <c r="AG6650" i="1" s="1"/>
  <c r="AE6651" i="1"/>
  <c r="AE6650" i="1" s="1"/>
  <c r="AH6651" i="1"/>
  <c r="AH6650" i="1" s="1"/>
  <c r="AF6651" i="1"/>
  <c r="AF6650" i="1" s="1"/>
  <c r="AF6880" i="1"/>
  <c r="AF6879" i="1" s="1"/>
  <c r="AG6880" i="1"/>
  <c r="AG6879" i="1" s="1"/>
  <c r="AE6880" i="1"/>
  <c r="AE6879" i="1" s="1"/>
  <c r="AH6880" i="1"/>
  <c r="AH6879" i="1" s="1"/>
  <c r="AG6748" i="1"/>
  <c r="AG6747" i="1" s="1"/>
  <c r="AF6748" i="1"/>
  <c r="AF6747" i="1" s="1"/>
  <c r="AE6748" i="1"/>
  <c r="AE6747" i="1" s="1"/>
  <c r="AH6748" i="1"/>
  <c r="AH6747" i="1" s="1"/>
  <c r="AB6511" i="1"/>
  <c r="Q6511" i="1" s="1"/>
  <c r="R6511" i="1" s="1"/>
  <c r="T6511" i="1" s="1"/>
  <c r="AB6512" i="1"/>
  <c r="Z6512" i="1"/>
  <c r="AH6512" i="1"/>
  <c r="AH6511" i="1" s="1"/>
  <c r="AG6512" i="1"/>
  <c r="AG6511" i="1" s="1"/>
  <c r="AF6512" i="1"/>
  <c r="AF6511" i="1" s="1"/>
  <c r="AE6512" i="1"/>
  <c r="AE6742" i="1"/>
  <c r="AE6741" i="1" s="1"/>
  <c r="AF6742" i="1"/>
  <c r="AF6741" i="1" s="1"/>
  <c r="AH6742" i="1"/>
  <c r="AH6741" i="1" s="1"/>
  <c r="AG6742" i="1"/>
  <c r="AG6741" i="1" s="1"/>
  <c r="Q6563" i="1"/>
  <c r="R6563" i="1" s="1"/>
  <c r="T6563" i="1" s="1"/>
  <c r="AB6568" i="1"/>
  <c r="H6568" i="1" s="1"/>
  <c r="I6568" i="1" s="1"/>
  <c r="H6335" i="1"/>
  <c r="I6335" i="1" s="1"/>
  <c r="AD6403" i="1"/>
  <c r="AB6404" i="1"/>
  <c r="AD6396" i="1"/>
  <c r="AB6397" i="1"/>
  <c r="AD6409" i="1"/>
  <c r="AB6410" i="1"/>
  <c r="AG6409" i="1"/>
  <c r="AE6403" i="1"/>
  <c r="AE6396" i="1"/>
  <c r="AH6403" i="1"/>
  <c r="AH6396" i="1"/>
  <c r="AG6396" i="1"/>
  <c r="AF6396" i="1"/>
  <c r="AH6409" i="1"/>
  <c r="AG6403" i="1"/>
  <c r="AF6409" i="1"/>
  <c r="AF6403" i="1"/>
  <c r="AE6409" i="1"/>
  <c r="AD6638" i="1"/>
  <c r="AB6639" i="1"/>
  <c r="AD6625" i="1"/>
  <c r="AB6626" i="1"/>
  <c r="AD6632" i="1"/>
  <c r="AB6633" i="1"/>
  <c r="AF6632" i="1"/>
  <c r="AE6638" i="1"/>
  <c r="AE6632" i="1"/>
  <c r="AE6625" i="1"/>
  <c r="AH6638" i="1"/>
  <c r="AH6632" i="1"/>
  <c r="AG6638" i="1"/>
  <c r="AG6632" i="1"/>
  <c r="AF6638" i="1"/>
  <c r="AH6625" i="1"/>
  <c r="AG6625" i="1"/>
  <c r="AF6625" i="1"/>
  <c r="AD6867" i="1"/>
  <c r="AB6868" i="1"/>
  <c r="AD6861" i="1"/>
  <c r="AB6862" i="1"/>
  <c r="AH6861" i="1"/>
  <c r="AH6854" i="1"/>
  <c r="AG6854" i="1"/>
  <c r="AE6854" i="1"/>
  <c r="AH6867" i="1"/>
  <c r="AG6867" i="1"/>
  <c r="AG6861" i="1"/>
  <c r="AF6867" i="1"/>
  <c r="AF6861" i="1"/>
  <c r="AE6867" i="1"/>
  <c r="AE6861" i="1"/>
  <c r="AF6854" i="1"/>
  <c r="AD6854" i="1"/>
  <c r="AB6855" i="1"/>
  <c r="Q6522" i="1"/>
  <c r="R6522" i="1" s="1"/>
  <c r="T6522" i="1" s="1"/>
  <c r="AD6371" i="1"/>
  <c r="AB6372" i="1"/>
  <c r="AH6378" i="1"/>
  <c r="AE6384" i="1"/>
  <c r="AG6371" i="1"/>
  <c r="AF6371" i="1"/>
  <c r="AE6371" i="1"/>
  <c r="AG6384" i="1"/>
  <c r="AE6378" i="1"/>
  <c r="AH6384" i="1"/>
  <c r="AF6384" i="1"/>
  <c r="AF6378" i="1"/>
  <c r="AH6371" i="1"/>
  <c r="AG6378" i="1"/>
  <c r="Q6793" i="1"/>
  <c r="R6793" i="1" s="1"/>
  <c r="T6793" i="1" s="1"/>
  <c r="H6560" i="1"/>
  <c r="I6560" i="1" s="1"/>
  <c r="AD6384" i="1"/>
  <c r="AB6385" i="1"/>
  <c r="AB6379" i="1"/>
  <c r="AD6378" i="1"/>
  <c r="AD6613" i="1"/>
  <c r="AB6614" i="1"/>
  <c r="Q6340" i="1"/>
  <c r="R6340" i="1" s="1"/>
  <c r="T6340" i="1" s="1"/>
  <c r="AH6613" i="1"/>
  <c r="AG6613" i="1"/>
  <c r="AG6607" i="1"/>
  <c r="AE6613" i="1"/>
  <c r="AE6607" i="1"/>
  <c r="AH6600" i="1"/>
  <c r="AG6600" i="1"/>
  <c r="AH6607" i="1"/>
  <c r="AF6613" i="1"/>
  <c r="AF6607" i="1"/>
  <c r="AF6600" i="1"/>
  <c r="AE6600" i="1"/>
  <c r="AD6600" i="1"/>
  <c r="AB6601" i="1"/>
  <c r="H6530" i="1"/>
  <c r="I6530" i="1" s="1"/>
  <c r="AB6608" i="1"/>
  <c r="AD6607" i="1"/>
  <c r="AB6843" i="1"/>
  <c r="AD6842" i="1"/>
  <c r="H6754" i="1"/>
  <c r="I6754" i="1" s="1"/>
  <c r="AD6829" i="1"/>
  <c r="AB6830" i="1"/>
  <c r="AH6836" i="1"/>
  <c r="AG6836" i="1"/>
  <c r="AE6836" i="1"/>
  <c r="AE6829" i="1"/>
  <c r="AH6842" i="1"/>
  <c r="AF6836" i="1"/>
  <c r="AE6842" i="1"/>
  <c r="AF6829" i="1"/>
  <c r="AG6842" i="1"/>
  <c r="AF6842" i="1"/>
  <c r="AH6829" i="1"/>
  <c r="AG6829" i="1"/>
  <c r="AD6836" i="1"/>
  <c r="AB6837" i="1"/>
  <c r="AB6296" i="1"/>
  <c r="Q6296" i="1" s="1"/>
  <c r="R6296" i="1" s="1"/>
  <c r="T6296" i="1" s="1"/>
  <c r="AD6359" i="1"/>
  <c r="AB6360" i="1"/>
  <c r="AG6353" i="1"/>
  <c r="AH6353" i="1"/>
  <c r="AH6359" i="1"/>
  <c r="AG6359" i="1"/>
  <c r="AF6359" i="1"/>
  <c r="AF6353" i="1"/>
  <c r="AE6359" i="1"/>
  <c r="AE6353" i="1"/>
  <c r="AE6346" i="1"/>
  <c r="AH6346" i="1"/>
  <c r="AG6346" i="1"/>
  <c r="AF6346" i="1"/>
  <c r="AD6346" i="1"/>
  <c r="AB6347" i="1"/>
  <c r="AD6353" i="1"/>
  <c r="AB6354" i="1"/>
  <c r="AD6575" i="1"/>
  <c r="AB6576" i="1"/>
  <c r="AD6582" i="1"/>
  <c r="AB6583" i="1"/>
  <c r="AH6582" i="1"/>
  <c r="AH6588" i="1"/>
  <c r="AG6588" i="1"/>
  <c r="AG6582" i="1"/>
  <c r="AE6588" i="1"/>
  <c r="AE6582" i="1"/>
  <c r="AH6575" i="1"/>
  <c r="AE6575" i="1"/>
  <c r="AF6588" i="1"/>
  <c r="AF6582" i="1"/>
  <c r="AG6575" i="1"/>
  <c r="AF6575" i="1"/>
  <c r="AD6588" i="1"/>
  <c r="AB6589" i="1"/>
  <c r="H6764" i="1"/>
  <c r="I6764" i="1" s="1"/>
  <c r="Q6764" i="1"/>
  <c r="R6764" i="1" s="1"/>
  <c r="T6764" i="1" s="1"/>
  <c r="Q6514" i="1"/>
  <c r="R6514" i="1" s="1"/>
  <c r="T6514" i="1" s="1"/>
  <c r="H6514" i="1"/>
  <c r="I6514" i="1" s="1"/>
  <c r="AD6804" i="1"/>
  <c r="AB6805" i="1"/>
  <c r="AD6811" i="1"/>
  <c r="AB6812" i="1"/>
  <c r="Q6499" i="1"/>
  <c r="R6499" i="1" s="1"/>
  <c r="T6499" i="1" s="1"/>
  <c r="AH6811" i="1"/>
  <c r="AG6817" i="1"/>
  <c r="AF6817" i="1"/>
  <c r="AF6811" i="1"/>
  <c r="AE6811" i="1"/>
  <c r="AH6817" i="1"/>
  <c r="AG6811" i="1"/>
  <c r="AE6817" i="1"/>
  <c r="AH6804" i="1"/>
  <c r="AG6804" i="1"/>
  <c r="AF6804" i="1"/>
  <c r="AE6804" i="1"/>
  <c r="H6798" i="1"/>
  <c r="I6798" i="1" s="1"/>
  <c r="H6751" i="1"/>
  <c r="I6751" i="1" s="1"/>
  <c r="AB6534" i="1"/>
  <c r="H6534" i="1" s="1"/>
  <c r="I6534" i="1" s="1"/>
  <c r="H6496" i="1"/>
  <c r="I6496" i="1" s="1"/>
  <c r="AD6817" i="1"/>
  <c r="AB6818" i="1"/>
  <c r="AB6525" i="1"/>
  <c r="H6525" i="1" s="1"/>
  <c r="I6525" i="1" s="1"/>
  <c r="AB6760" i="1"/>
  <c r="H6760" i="1" s="1"/>
  <c r="I6760" i="1" s="1"/>
  <c r="AB6332" i="1"/>
  <c r="Q6332" i="1" s="1"/>
  <c r="R6332" i="1" s="1"/>
  <c r="T6332" i="1" s="1"/>
  <c r="AB6505" i="1"/>
  <c r="H6505" i="1" s="1"/>
  <c r="I6505" i="1" s="1"/>
  <c r="AF6341" i="1"/>
  <c r="AF6340" i="1" s="1"/>
  <c r="AG6341" i="1"/>
  <c r="AG6340" i="1" s="1"/>
  <c r="AE6341" i="1"/>
  <c r="AE6340" i="1" s="1"/>
  <c r="AH6341" i="1"/>
  <c r="AH6340" i="1" s="1"/>
  <c r="AH6799" i="1"/>
  <c r="AH6798" i="1" s="1"/>
  <c r="AE6799" i="1"/>
  <c r="AE6798" i="1" s="1"/>
  <c r="AG6799" i="1"/>
  <c r="AG6798" i="1" s="1"/>
  <c r="AF6799" i="1"/>
  <c r="AF6798" i="1" s="1"/>
  <c r="AH6569" i="1"/>
  <c r="AH6568" i="1" s="1"/>
  <c r="AG6569" i="1"/>
  <c r="AG6568" i="1" s="1"/>
  <c r="AF6569" i="1"/>
  <c r="AF6568" i="1" s="1"/>
  <c r="AE6569" i="1"/>
  <c r="AE6568" i="1" s="1"/>
  <c r="Q6726" i="1"/>
  <c r="R6726" i="1" s="1"/>
  <c r="T6726" i="1" s="1"/>
  <c r="Z6569" i="1"/>
  <c r="AB6569" i="1"/>
  <c r="AH6794" i="1"/>
  <c r="AH6793" i="1" s="1"/>
  <c r="AF6794" i="1"/>
  <c r="AF6793" i="1" s="1"/>
  <c r="AE6794" i="1"/>
  <c r="AE6793" i="1" s="1"/>
  <c r="AG6794" i="1"/>
  <c r="AG6793" i="1" s="1"/>
  <c r="AF6564" i="1"/>
  <c r="AF6563" i="1" s="1"/>
  <c r="AE6564" i="1"/>
  <c r="AE6563" i="1" s="1"/>
  <c r="AG6564" i="1"/>
  <c r="AG6563" i="1" s="1"/>
  <c r="AH6564" i="1"/>
  <c r="AH6563" i="1" s="1"/>
  <c r="AH6336" i="1"/>
  <c r="AH6335" i="1" s="1"/>
  <c r="AG6336" i="1"/>
  <c r="AG6335" i="1" s="1"/>
  <c r="AF6336" i="1"/>
  <c r="AF6335" i="1" s="1"/>
  <c r="AE6336" i="1"/>
  <c r="AE6335" i="1" s="1"/>
  <c r="AG6791" i="1"/>
  <c r="AG6790" i="1" s="1"/>
  <c r="AF6791" i="1"/>
  <c r="AF6790" i="1" s="1"/>
  <c r="AH6791" i="1"/>
  <c r="AH6790" i="1" s="1"/>
  <c r="AE6791" i="1"/>
  <c r="AE6790" i="1" s="1"/>
  <c r="H6734" i="1"/>
  <c r="I6734" i="1" s="1"/>
  <c r="Q6302" i="1"/>
  <c r="R6302" i="1" s="1"/>
  <c r="T6302" i="1" s="1"/>
  <c r="AE6561" i="1"/>
  <c r="AE6560" i="1" s="1"/>
  <c r="AH6561" i="1"/>
  <c r="AH6560" i="1" s="1"/>
  <c r="AG6561" i="1"/>
  <c r="AG6560" i="1" s="1"/>
  <c r="AF6561" i="1"/>
  <c r="AF6560" i="1" s="1"/>
  <c r="AG6333" i="1"/>
  <c r="AG6332" i="1" s="1"/>
  <c r="AH6333" i="1"/>
  <c r="AH6332" i="1" s="1"/>
  <c r="AF6333" i="1"/>
  <c r="AF6332" i="1" s="1"/>
  <c r="AE6333" i="1"/>
  <c r="AE6332" i="1" s="1"/>
  <c r="Z6333" i="1"/>
  <c r="AB6333" i="1"/>
  <c r="AD6328" i="1"/>
  <c r="AB6329" i="1"/>
  <c r="AH6316" i="1"/>
  <c r="AH6328" i="1"/>
  <c r="AE6328" i="1"/>
  <c r="AG6328" i="1"/>
  <c r="AG6316" i="1"/>
  <c r="AF6328" i="1"/>
  <c r="AF6316" i="1"/>
  <c r="AE6316" i="1"/>
  <c r="AG6321" i="1"/>
  <c r="AF6321" i="1"/>
  <c r="AE6321" i="1"/>
  <c r="AH6321" i="1"/>
  <c r="AB6322" i="1"/>
  <c r="AD6321" i="1"/>
  <c r="AD6316" i="1"/>
  <c r="AB6317" i="1"/>
  <c r="AB6545" i="1"/>
  <c r="AD6544" i="1"/>
  <c r="AD6556" i="1"/>
  <c r="AB6557" i="1"/>
  <c r="AH6544" i="1"/>
  <c r="AH6556" i="1"/>
  <c r="AH6549" i="1"/>
  <c r="AG6556" i="1"/>
  <c r="AE6556" i="1"/>
  <c r="AG6544" i="1"/>
  <c r="AF6556" i="1"/>
  <c r="AF6544" i="1"/>
  <c r="AE6544" i="1"/>
  <c r="AG6549" i="1"/>
  <c r="AF6549" i="1"/>
  <c r="AE6549" i="1"/>
  <c r="AB6550" i="1"/>
  <c r="AD6549" i="1"/>
  <c r="AD6786" i="1"/>
  <c r="AB6787" i="1"/>
  <c r="AD6779" i="1"/>
  <c r="AB6780" i="1"/>
  <c r="AD6774" i="1"/>
  <c r="AB6775" i="1"/>
  <c r="AG6774" i="1"/>
  <c r="AH6786" i="1"/>
  <c r="AH6779" i="1"/>
  <c r="AG6786" i="1"/>
  <c r="AE6774" i="1"/>
  <c r="AG6779" i="1"/>
  <c r="AE6779" i="1"/>
  <c r="AF6786" i="1"/>
  <c r="AH6774" i="1"/>
  <c r="AE6786" i="1"/>
  <c r="AF6774" i="1"/>
  <c r="AF6779" i="1"/>
  <c r="AG6765" i="1"/>
  <c r="AG6764" i="1" s="1"/>
  <c r="AF6765" i="1"/>
  <c r="AF6764" i="1" s="1"/>
  <c r="AH6765" i="1"/>
  <c r="AH6764" i="1" s="1"/>
  <c r="AE6765" i="1"/>
  <c r="AE6764" i="1" s="1"/>
  <c r="H6729" i="1"/>
  <c r="I6729" i="1" s="1"/>
  <c r="Z6765" i="1"/>
  <c r="AB6765" i="1"/>
  <c r="AH6535" i="1"/>
  <c r="AH6534" i="1" s="1"/>
  <c r="AG6535" i="1"/>
  <c r="AG6534" i="1" s="1"/>
  <c r="AF6535" i="1"/>
  <c r="AF6534" i="1" s="1"/>
  <c r="AE6535" i="1"/>
  <c r="AE6534" i="1" s="1"/>
  <c r="AB6535" i="1"/>
  <c r="Z6535" i="1"/>
  <c r="AG6307" i="1"/>
  <c r="AG6306" i="1" s="1"/>
  <c r="AE6307" i="1"/>
  <c r="AE6306" i="1" s="1"/>
  <c r="AH6307" i="1"/>
  <c r="AH6306" i="1" s="1"/>
  <c r="AF6307" i="1"/>
  <c r="AF6306" i="1" s="1"/>
  <c r="AD6307" i="1"/>
  <c r="AD6306" i="1" s="1"/>
  <c r="AB6306" i="1" s="1"/>
  <c r="AB6308" i="1"/>
  <c r="AH6761" i="1"/>
  <c r="AH6760" i="1" s="1"/>
  <c r="AG6761" i="1"/>
  <c r="AG6760" i="1" s="1"/>
  <c r="AF6761" i="1"/>
  <c r="AF6760" i="1" s="1"/>
  <c r="AE6761" i="1"/>
  <c r="AE6760" i="1" s="1"/>
  <c r="Z6761" i="1"/>
  <c r="AB6761" i="1"/>
  <c r="AH6303" i="1"/>
  <c r="AH6302" i="1" s="1"/>
  <c r="AG6303" i="1"/>
  <c r="AG6302" i="1" s="1"/>
  <c r="AF6303" i="1"/>
  <c r="AF6302" i="1" s="1"/>
  <c r="AE6303" i="1"/>
  <c r="AE6302" i="1" s="1"/>
  <c r="AH6531" i="1"/>
  <c r="AH6530" i="1" s="1"/>
  <c r="AF6531" i="1"/>
  <c r="AF6530" i="1" s="1"/>
  <c r="AE6531" i="1"/>
  <c r="AE6530" i="1" s="1"/>
  <c r="AG6531" i="1"/>
  <c r="AG6530" i="1" s="1"/>
  <c r="Q6283" i="1"/>
  <c r="R6283" i="1" s="1"/>
  <c r="T6283" i="1" s="1"/>
  <c r="AH6755" i="1"/>
  <c r="AH6754" i="1" s="1"/>
  <c r="AG6755" i="1"/>
  <c r="AG6754" i="1" s="1"/>
  <c r="AF6755" i="1"/>
  <c r="AF6754" i="1" s="1"/>
  <c r="AE6755" i="1"/>
  <c r="AE6754" i="1" s="1"/>
  <c r="AF6526" i="1"/>
  <c r="AF6525" i="1" s="1"/>
  <c r="AG6526" i="1"/>
  <c r="AG6525" i="1" s="1"/>
  <c r="AH6526" i="1"/>
  <c r="AH6525" i="1" s="1"/>
  <c r="AE6526" i="1"/>
  <c r="AE6525" i="1" s="1"/>
  <c r="Z6526" i="1"/>
  <c r="AB6526" i="1"/>
  <c r="AH6297" i="1"/>
  <c r="AH6296" i="1" s="1"/>
  <c r="AG6297" i="1"/>
  <c r="AG6296" i="1" s="1"/>
  <c r="AF6297" i="1"/>
  <c r="AF6296" i="1" s="1"/>
  <c r="AE6297" i="1"/>
  <c r="AE6296" i="1" s="1"/>
  <c r="Z6297" i="1"/>
  <c r="AB6297" i="1"/>
  <c r="AB6515" i="1"/>
  <c r="Z6515" i="1"/>
  <c r="AH6515" i="1"/>
  <c r="AH6514" i="1" s="1"/>
  <c r="AG6515" i="1"/>
  <c r="AG6514" i="1" s="1"/>
  <c r="AF6515" i="1"/>
  <c r="AF6514" i="1" s="1"/>
  <c r="AE6515" i="1"/>
  <c r="AE6514" i="1" s="1"/>
  <c r="AG6735" i="1"/>
  <c r="AG6734" i="1" s="1"/>
  <c r="AF6735" i="1"/>
  <c r="AF6734" i="1" s="1"/>
  <c r="AH6735" i="1"/>
  <c r="AH6734" i="1" s="1"/>
  <c r="AE6735" i="1"/>
  <c r="AE6734" i="1" s="1"/>
  <c r="Z6506" i="1"/>
  <c r="AB6506" i="1"/>
  <c r="AH6506" i="1"/>
  <c r="AH6505" i="1" s="1"/>
  <c r="AF6506" i="1"/>
  <c r="AF6505" i="1" s="1"/>
  <c r="AG6506" i="1"/>
  <c r="AG6505" i="1" s="1"/>
  <c r="AE6506" i="1"/>
  <c r="AE6505" i="1" s="1"/>
  <c r="Q6293" i="1"/>
  <c r="R6293" i="1" s="1"/>
  <c r="T6293" i="1" s="1"/>
  <c r="AH6730" i="1"/>
  <c r="AH6729" i="1" s="1"/>
  <c r="AE6730" i="1"/>
  <c r="AE6729" i="1" s="1"/>
  <c r="AF6730" i="1"/>
  <c r="AF6729" i="1" s="1"/>
  <c r="AG6730" i="1"/>
  <c r="AG6729" i="1" s="1"/>
  <c r="AF6500" i="1"/>
  <c r="AF6499" i="1" s="1"/>
  <c r="AH6500" i="1"/>
  <c r="AH6499" i="1" s="1"/>
  <c r="AE6500" i="1"/>
  <c r="AE6499" i="1" s="1"/>
  <c r="AG6500" i="1"/>
  <c r="AG6499" i="1" s="1"/>
  <c r="Q6289" i="1"/>
  <c r="R6289" i="1" s="1"/>
  <c r="T6289" i="1" s="1"/>
  <c r="AF6497" i="1"/>
  <c r="AF6496" i="1" s="1"/>
  <c r="AH6497" i="1"/>
  <c r="AH6496" i="1" s="1"/>
  <c r="AG6497" i="1"/>
  <c r="AG6496" i="1" s="1"/>
  <c r="AE6497" i="1"/>
  <c r="AE6496" i="1" s="1"/>
  <c r="AH6727" i="1"/>
  <c r="AH6726" i="1" s="1"/>
  <c r="AG6727" i="1"/>
  <c r="AG6726" i="1" s="1"/>
  <c r="AF6727" i="1"/>
  <c r="AF6726" i="1" s="1"/>
  <c r="AE6727" i="1"/>
  <c r="AE6726" i="1" s="1"/>
  <c r="H6273" i="1"/>
  <c r="I6273" i="1" s="1"/>
  <c r="AH6738" i="1"/>
  <c r="AH6737" i="1" s="1"/>
  <c r="AF6738" i="1"/>
  <c r="AF6737" i="1" s="1"/>
  <c r="AG6738" i="1"/>
  <c r="AG6737" i="1" s="1"/>
  <c r="AE6738" i="1"/>
  <c r="AE6737" i="1" s="1"/>
  <c r="AG6752" i="1"/>
  <c r="AG6751" i="1" s="1"/>
  <c r="AF6752" i="1"/>
  <c r="AF6751" i="1" s="1"/>
  <c r="AH6752" i="1"/>
  <c r="AH6751" i="1" s="1"/>
  <c r="AE6752" i="1"/>
  <c r="AE6751" i="1" s="1"/>
  <c r="Q6270" i="1"/>
  <c r="R6270" i="1" s="1"/>
  <c r="T6270" i="1" s="1"/>
  <c r="AF6523" i="1"/>
  <c r="AF6522" i="1" s="1"/>
  <c r="AE6523" i="1"/>
  <c r="AE6522" i="1" s="1"/>
  <c r="AH6523" i="1"/>
  <c r="AH6522" i="1" s="1"/>
  <c r="AG6523" i="1"/>
  <c r="AG6522" i="1" s="1"/>
  <c r="Q6276" i="1"/>
  <c r="R6276" i="1" s="1"/>
  <c r="T6276" i="1" s="1"/>
  <c r="AE6294" i="1"/>
  <c r="AE6293" i="1" s="1"/>
  <c r="AF6294" i="1"/>
  <c r="AF6293" i="1" s="1"/>
  <c r="AG6294" i="1"/>
  <c r="AG6293" i="1" s="1"/>
  <c r="AH6294" i="1"/>
  <c r="AH6293" i="1" s="1"/>
  <c r="AG6290" i="1"/>
  <c r="AG6289" i="1" s="1"/>
  <c r="AF6290" i="1"/>
  <c r="AF6289" i="1" s="1"/>
  <c r="AE6290" i="1"/>
  <c r="AH6290" i="1"/>
  <c r="AH6289" i="1" s="1"/>
  <c r="AF6284" i="1"/>
  <c r="AF6283" i="1" s="1"/>
  <c r="AG6284" i="1"/>
  <c r="AG6283" i="1" s="1"/>
  <c r="AH6284" i="1"/>
  <c r="AH6283" i="1" s="1"/>
  <c r="AE6284" i="1"/>
  <c r="AE6283" i="1" s="1"/>
  <c r="AG6277" i="1"/>
  <c r="AG6276" i="1" s="1"/>
  <c r="AH6277" i="1"/>
  <c r="AH6276" i="1" s="1"/>
  <c r="AF6277" i="1"/>
  <c r="AF6276" i="1" s="1"/>
  <c r="AE6277" i="1"/>
  <c r="AE6276" i="1" s="1"/>
  <c r="AC6230" i="1"/>
  <c r="AD6230" i="1" s="1"/>
  <c r="AB6230" i="1" s="1"/>
  <c r="AH6274" i="1"/>
  <c r="AH6273" i="1" s="1"/>
  <c r="AG6274" i="1"/>
  <c r="AG6273" i="1" s="1"/>
  <c r="AF6274" i="1"/>
  <c r="AF6273" i="1" s="1"/>
  <c r="AE6274" i="1"/>
  <c r="AH6271" i="1"/>
  <c r="AH6270" i="1" s="1"/>
  <c r="AF6271" i="1"/>
  <c r="AF6270" i="1" s="1"/>
  <c r="AG6271" i="1"/>
  <c r="AG6270" i="1" s="1"/>
  <c r="AE6271" i="1"/>
  <c r="AE6270" i="1" s="1"/>
  <c r="AC6231" i="1"/>
  <c r="AD6231" i="1" s="1"/>
  <c r="AB6231" i="1" s="1"/>
  <c r="AG6241" i="1"/>
  <c r="AF6236" i="1"/>
  <c r="AH6241" i="1"/>
  <c r="AF6241" i="1"/>
  <c r="AE6241" i="1"/>
  <c r="AE6236" i="1"/>
  <c r="AG6236" i="1"/>
  <c r="AH6236" i="1"/>
  <c r="AH6239" i="1"/>
  <c r="AG6239" i="1"/>
  <c r="AF6239" i="1"/>
  <c r="AE6239" i="1"/>
  <c r="AC6229" i="1"/>
  <c r="AD6229" i="1" s="1"/>
  <c r="AB6229" i="1" s="1"/>
  <c r="AC6238" i="1"/>
  <c r="AD6238" i="1" s="1"/>
  <c r="AB6910" i="1"/>
  <c r="AD6909" i="1"/>
  <c r="AD6902" i="1"/>
  <c r="AB6903" i="1"/>
  <c r="AE6909" i="1"/>
  <c r="AG6902" i="1"/>
  <c r="AF6902" i="1"/>
  <c r="AE6902" i="1"/>
  <c r="AF6909" i="1"/>
  <c r="AG6909" i="1"/>
  <c r="AH6909" i="1"/>
  <c r="AH6902" i="1"/>
  <c r="AD6889" i="1"/>
  <c r="AB6890" i="1"/>
  <c r="AG6896" i="1"/>
  <c r="AF6896" i="1"/>
  <c r="AG6889" i="1"/>
  <c r="AH6896" i="1"/>
  <c r="AE6896" i="1"/>
  <c r="AH6889" i="1"/>
  <c r="AF6889" i="1"/>
  <c r="AE6889" i="1"/>
  <c r="AB6897" i="1"/>
  <c r="AD6896" i="1"/>
  <c r="AB6680" i="1"/>
  <c r="AD6679" i="1"/>
  <c r="AD6672" i="1"/>
  <c r="AB6673" i="1"/>
  <c r="Q6202" i="1"/>
  <c r="R6202" i="1" s="1"/>
  <c r="T6202" i="1" s="1"/>
  <c r="AH6679" i="1"/>
  <c r="AG6672" i="1"/>
  <c r="AG6679" i="1"/>
  <c r="AF6672" i="1"/>
  <c r="AE6679" i="1"/>
  <c r="AH6672" i="1"/>
  <c r="AE6672" i="1"/>
  <c r="AF6679" i="1"/>
  <c r="AD6659" i="1"/>
  <c r="AB6660" i="1"/>
  <c r="AG6666" i="1"/>
  <c r="AE6666" i="1"/>
  <c r="AE6659" i="1"/>
  <c r="AF6666" i="1"/>
  <c r="AG6659" i="1"/>
  <c r="AH6666" i="1"/>
  <c r="AH6659" i="1"/>
  <c r="AF6659" i="1"/>
  <c r="AB6667" i="1"/>
  <c r="AD6666" i="1"/>
  <c r="AD6444" i="1"/>
  <c r="AB6445" i="1"/>
  <c r="AG6451" i="1"/>
  <c r="AF6451" i="1"/>
  <c r="AE6451" i="1"/>
  <c r="AG6444" i="1"/>
  <c r="AH6451" i="1"/>
  <c r="AH6444" i="1"/>
  <c r="AF6444" i="1"/>
  <c r="AE6444" i="1"/>
  <c r="AB6452" i="1"/>
  <c r="AD6451" i="1"/>
  <c r="AD6431" i="1"/>
  <c r="AB6432" i="1"/>
  <c r="AD6438" i="1"/>
  <c r="AB6439" i="1"/>
  <c r="AG6438" i="1"/>
  <c r="AE6438" i="1"/>
  <c r="AF6438" i="1"/>
  <c r="AH6431" i="1"/>
  <c r="AE6431" i="1"/>
  <c r="AH6438" i="1"/>
  <c r="AG6431" i="1"/>
  <c r="AF6431" i="1"/>
  <c r="AD6215" i="1"/>
  <c r="AD6221" i="1"/>
  <c r="AB6222" i="1"/>
  <c r="AG6228" i="1"/>
  <c r="AG6221" i="1"/>
  <c r="AE6221" i="1"/>
  <c r="AF6228" i="1"/>
  <c r="AH6221" i="1"/>
  <c r="AF6221" i="1"/>
  <c r="AH6228" i="1"/>
  <c r="AE6228" i="1"/>
  <c r="AD6208" i="1"/>
  <c r="AB6216" i="1"/>
  <c r="AB6199" i="1"/>
  <c r="Q6199" i="1" s="1"/>
  <c r="R6199" i="1" s="1"/>
  <c r="T6199" i="1" s="1"/>
  <c r="AH6215" i="1"/>
  <c r="AG6215" i="1"/>
  <c r="AF6215" i="1"/>
  <c r="AE6215" i="1"/>
  <c r="AH6208" i="1"/>
  <c r="AG6208" i="1"/>
  <c r="AF6208" i="1"/>
  <c r="AE6208" i="1"/>
  <c r="H6118" i="1"/>
  <c r="I6118" i="1" s="1"/>
  <c r="AG6174" i="1"/>
  <c r="AH6181" i="1"/>
  <c r="AF6187" i="1"/>
  <c r="AE6187" i="1"/>
  <c r="AE6174" i="1"/>
  <c r="AH6187" i="1"/>
  <c r="AG6187" i="1"/>
  <c r="AG6181" i="1"/>
  <c r="AF6181" i="1"/>
  <c r="AE6181" i="1"/>
  <c r="AH6174" i="1"/>
  <c r="AF6174" i="1"/>
  <c r="AD6181" i="1"/>
  <c r="AB6182" i="1"/>
  <c r="AD6187" i="1"/>
  <c r="AB6188" i="1"/>
  <c r="AD6174" i="1"/>
  <c r="AB6175" i="1"/>
  <c r="AD6149" i="1"/>
  <c r="AB6150" i="1"/>
  <c r="H6112" i="1"/>
  <c r="I6112" i="1" s="1"/>
  <c r="H6109" i="1"/>
  <c r="I6109" i="1" s="1"/>
  <c r="AH6156" i="1"/>
  <c r="AE6162" i="1"/>
  <c r="AF6149" i="1"/>
  <c r="AG6162" i="1"/>
  <c r="AE6156" i="1"/>
  <c r="AG6149" i="1"/>
  <c r="AH6162" i="1"/>
  <c r="AG6156" i="1"/>
  <c r="AF6162" i="1"/>
  <c r="AF6156" i="1"/>
  <c r="AH6149" i="1"/>
  <c r="AE6149" i="1"/>
  <c r="AD6162" i="1"/>
  <c r="AB6163" i="1"/>
  <c r="AD6156" i="1"/>
  <c r="AB6157" i="1"/>
  <c r="AH6137" i="1"/>
  <c r="AG6137" i="1"/>
  <c r="AG6131" i="1"/>
  <c r="AF6137" i="1"/>
  <c r="AE6137" i="1"/>
  <c r="AH6131" i="1"/>
  <c r="AH6124" i="1"/>
  <c r="AG6124" i="1"/>
  <c r="AF6124" i="1"/>
  <c r="AE6124" i="1"/>
  <c r="AF6131" i="1"/>
  <c r="AE6131" i="1"/>
  <c r="AB6138" i="1"/>
  <c r="AD6137" i="1"/>
  <c r="AD6124" i="1"/>
  <c r="AB6125" i="1"/>
  <c r="AB6132" i="1"/>
  <c r="AD6131" i="1"/>
  <c r="AD6253" i="1"/>
  <c r="AB6254" i="1"/>
  <c r="AD6246" i="1"/>
  <c r="AB6247" i="1"/>
  <c r="AG6253" i="1"/>
  <c r="AG6246" i="1"/>
  <c r="AH6253" i="1"/>
  <c r="AE6253" i="1"/>
  <c r="AH6246" i="1"/>
  <c r="AE6246" i="1"/>
  <c r="AF6246" i="1"/>
  <c r="AF6253" i="1"/>
  <c r="AG6203" i="1"/>
  <c r="AG6202" i="1" s="1"/>
  <c r="AF6203" i="1"/>
  <c r="AF6202" i="1" s="1"/>
  <c r="AH6203" i="1"/>
  <c r="AH6202" i="1" s="1"/>
  <c r="AE6203" i="1"/>
  <c r="AE6202" i="1" s="1"/>
  <c r="AF6200" i="1"/>
  <c r="AF6199" i="1" s="1"/>
  <c r="AG6200" i="1"/>
  <c r="AG6199" i="1" s="1"/>
  <c r="AE6200" i="1"/>
  <c r="AE6199" i="1" s="1"/>
  <c r="AH6200" i="1"/>
  <c r="AH6199" i="1" s="1"/>
  <c r="Z6200" i="1"/>
  <c r="AB6200" i="1"/>
  <c r="AF6119" i="1"/>
  <c r="AE6119" i="1"/>
  <c r="AG6119" i="1"/>
  <c r="AH6119" i="1"/>
  <c r="AG6113" i="1"/>
  <c r="AG6112" i="1" s="1"/>
  <c r="AH6113" i="1"/>
  <c r="AH6112" i="1" s="1"/>
  <c r="AE6113" i="1"/>
  <c r="AE6112" i="1" s="1"/>
  <c r="AF6113" i="1"/>
  <c r="AF6112" i="1" s="1"/>
  <c r="AF6110" i="1"/>
  <c r="AF6109" i="1" s="1"/>
  <c r="AE6110" i="1"/>
  <c r="AE6109" i="1" s="1"/>
  <c r="AG6110" i="1"/>
  <c r="AG6109" i="1" s="1"/>
  <c r="AH6110" i="1"/>
  <c r="AH6109" i="1" s="1"/>
  <c r="AG6098" i="1"/>
  <c r="AG6093" i="1"/>
  <c r="AF6098" i="1"/>
  <c r="AE6093" i="1"/>
  <c r="AH6098" i="1"/>
  <c r="AE6098" i="1"/>
  <c r="AE6105" i="1"/>
  <c r="AH6105" i="1"/>
  <c r="AG6105" i="1"/>
  <c r="AF6105" i="1"/>
  <c r="AH6093" i="1"/>
  <c r="AF6093" i="1"/>
  <c r="AB6106" i="1"/>
  <c r="AD6105" i="1"/>
  <c r="Q6059" i="1"/>
  <c r="R6059" i="1" s="1"/>
  <c r="T6059" i="1" s="1"/>
  <c r="AD6098" i="1"/>
  <c r="AB6099" i="1"/>
  <c r="AD6093" i="1"/>
  <c r="AB6094" i="1"/>
  <c r="AD6084" i="1"/>
  <c r="AD6083" i="1" s="1"/>
  <c r="AB6083" i="1" s="1"/>
  <c r="AB6079" i="1"/>
  <c r="H6079" i="1" s="1"/>
  <c r="I6079" i="1" s="1"/>
  <c r="AE6084" i="1"/>
  <c r="AE6083" i="1" s="1"/>
  <c r="AF6084" i="1"/>
  <c r="AF6083" i="1" s="1"/>
  <c r="AH6084" i="1"/>
  <c r="AH6083" i="1" s="1"/>
  <c r="AG6084" i="1"/>
  <c r="AG6083" i="1" s="1"/>
  <c r="H6071" i="1"/>
  <c r="I6071" i="1" s="1"/>
  <c r="Q6068" i="1"/>
  <c r="R6068" i="1" s="1"/>
  <c r="T6068" i="1" s="1"/>
  <c r="AE6080" i="1"/>
  <c r="AE6079" i="1" s="1"/>
  <c r="AG6080" i="1"/>
  <c r="AG6079" i="1" s="1"/>
  <c r="AF6080" i="1"/>
  <c r="AF6079" i="1" s="1"/>
  <c r="AH6080" i="1"/>
  <c r="AH6079" i="1" s="1"/>
  <c r="Z6080" i="1"/>
  <c r="AB6080" i="1"/>
  <c r="AB6053" i="1"/>
  <c r="Q6053" i="1" s="1"/>
  <c r="R6053" i="1" s="1"/>
  <c r="T6053" i="1" s="1"/>
  <c r="AD6067" i="1"/>
  <c r="AB6067" i="1" s="1"/>
  <c r="AD6066" i="1"/>
  <c r="AB6066" i="1" s="1"/>
  <c r="AB6007" i="1"/>
  <c r="Q6007" i="1" s="1"/>
  <c r="R6007" i="1" s="1"/>
  <c r="T6007" i="1" s="1"/>
  <c r="AB6074" i="1"/>
  <c r="H6074" i="1" s="1"/>
  <c r="I6074" i="1" s="1"/>
  <c r="H6040" i="1"/>
  <c r="I6040" i="1" s="1"/>
  <c r="AB6049" i="1"/>
  <c r="Q6049" i="1" s="1"/>
  <c r="R6049" i="1" s="1"/>
  <c r="T6049" i="1" s="1"/>
  <c r="AH6075" i="1"/>
  <c r="AH6074" i="1" s="1"/>
  <c r="AG6075" i="1"/>
  <c r="AG6074" i="1" s="1"/>
  <c r="AF6075" i="1"/>
  <c r="AF6074" i="1" s="1"/>
  <c r="AE6075" i="1"/>
  <c r="AE6074" i="1" s="1"/>
  <c r="Z6075" i="1"/>
  <c r="AB6075" i="1"/>
  <c r="AH6072" i="1"/>
  <c r="AH6071" i="1" s="1"/>
  <c r="AG6072" i="1"/>
  <c r="AG6071" i="1" s="1"/>
  <c r="AF6072" i="1"/>
  <c r="AF6071" i="1" s="1"/>
  <c r="AE6072" i="1"/>
  <c r="AE6071" i="1" s="1"/>
  <c r="AH6069" i="1"/>
  <c r="AH6068" i="1" s="1"/>
  <c r="AF6069" i="1"/>
  <c r="AF6068" i="1" s="1"/>
  <c r="AG6069" i="1"/>
  <c r="AG6068" i="1" s="1"/>
  <c r="AE6069" i="1"/>
  <c r="AE6068" i="1" s="1"/>
  <c r="AB5980" i="1"/>
  <c r="H5980" i="1" s="1"/>
  <c r="I5980" i="1" s="1"/>
  <c r="AH6063" i="1"/>
  <c r="AH6062" i="1" s="1"/>
  <c r="AE6063" i="1"/>
  <c r="AE6062" i="1" s="1"/>
  <c r="AF6063" i="1"/>
  <c r="AF6062" i="1" s="1"/>
  <c r="AG6063" i="1"/>
  <c r="AG6062" i="1" s="1"/>
  <c r="AF6060" i="1"/>
  <c r="AF6059" i="1" s="1"/>
  <c r="AE6060" i="1"/>
  <c r="AE6059" i="1" s="1"/>
  <c r="AH6060" i="1"/>
  <c r="AH6059" i="1" s="1"/>
  <c r="AG6060" i="1"/>
  <c r="AG6059" i="1" s="1"/>
  <c r="AB6037" i="1"/>
  <c r="Q6037" i="1" s="1"/>
  <c r="R6037" i="1" s="1"/>
  <c r="T6037" i="1" s="1"/>
  <c r="AH6054" i="1"/>
  <c r="AH6053" i="1" s="1"/>
  <c r="AG6054" i="1"/>
  <c r="AG6053" i="1" s="1"/>
  <c r="AF6054" i="1"/>
  <c r="AF6053" i="1" s="1"/>
  <c r="AE6054" i="1"/>
  <c r="AE6053" i="1" s="1"/>
  <c r="Z6054" i="1"/>
  <c r="AB6054" i="1"/>
  <c r="AH6050" i="1"/>
  <c r="AH6049" i="1" s="1"/>
  <c r="AG6050" i="1"/>
  <c r="AG6049" i="1" s="1"/>
  <c r="AF6050" i="1"/>
  <c r="AF6049" i="1" s="1"/>
  <c r="AE6050" i="1"/>
  <c r="AE6049" i="1" s="1"/>
  <c r="Z6050" i="1"/>
  <c r="AB6050" i="1"/>
  <c r="AB6043" i="1"/>
  <c r="H6043" i="1" s="1"/>
  <c r="I6043" i="1" s="1"/>
  <c r="AH6044" i="1"/>
  <c r="AH6043" i="1" s="1"/>
  <c r="AG6044" i="1"/>
  <c r="AG6043" i="1" s="1"/>
  <c r="AF6044" i="1"/>
  <c r="AF6043" i="1" s="1"/>
  <c r="AE6044" i="1"/>
  <c r="AE6043" i="1" s="1"/>
  <c r="Z6044" i="1"/>
  <c r="AB6044" i="1"/>
  <c r="AG6041" i="1"/>
  <c r="AG6040" i="1" s="1"/>
  <c r="AE6041" i="1"/>
  <c r="AE6040" i="1" s="1"/>
  <c r="AH6041" i="1"/>
  <c r="AH6040" i="1" s="1"/>
  <c r="AF6041" i="1"/>
  <c r="AF6040" i="1" s="1"/>
  <c r="AH6038" i="1"/>
  <c r="AH6037" i="1" s="1"/>
  <c r="AG6038" i="1"/>
  <c r="AG6037" i="1" s="1"/>
  <c r="AF6038" i="1"/>
  <c r="AF6037" i="1" s="1"/>
  <c r="AE6038" i="1"/>
  <c r="AE6037" i="1" s="1"/>
  <c r="Z6038" i="1"/>
  <c r="AB6038" i="1"/>
  <c r="AB5989" i="1"/>
  <c r="H5989" i="1" s="1"/>
  <c r="I5989" i="1" s="1"/>
  <c r="Q6023" i="1"/>
  <c r="R6023" i="1" s="1"/>
  <c r="T6023" i="1" s="1"/>
  <c r="H6023" i="1"/>
  <c r="I6023" i="1" s="1"/>
  <c r="Q6018" i="1"/>
  <c r="R6018" i="1" s="1"/>
  <c r="T6018" i="1" s="1"/>
  <c r="H6018" i="1"/>
  <c r="I6018" i="1" s="1"/>
  <c r="AG6035" i="1"/>
  <c r="AG6034" i="1" s="1"/>
  <c r="AE6035" i="1"/>
  <c r="AE6034" i="1" s="1"/>
  <c r="AH6035" i="1"/>
  <c r="AH6034" i="1" s="1"/>
  <c r="AF6035" i="1"/>
  <c r="AF6034" i="1" s="1"/>
  <c r="AB5952" i="1"/>
  <c r="Q5952" i="1" s="1"/>
  <c r="R5952" i="1" s="1"/>
  <c r="T5952" i="1" s="1"/>
  <c r="AB6030" i="1"/>
  <c r="AD6029" i="1"/>
  <c r="AD6028" i="1" s="1"/>
  <c r="AB6028" i="1" s="1"/>
  <c r="AG6029" i="1"/>
  <c r="AG6028" i="1" s="1"/>
  <c r="AE6029" i="1"/>
  <c r="AE6028" i="1" s="1"/>
  <c r="AH6029" i="1"/>
  <c r="AH6028" i="1" s="1"/>
  <c r="AF6029" i="1"/>
  <c r="AF6028" i="1" s="1"/>
  <c r="AB5961" i="1"/>
  <c r="Q5961" i="1" s="1"/>
  <c r="R5961" i="1" s="1"/>
  <c r="T5961" i="1" s="1"/>
  <c r="AH6024" i="1"/>
  <c r="AH6023" i="1" s="1"/>
  <c r="AE6024" i="1"/>
  <c r="AE6023" i="1" s="1"/>
  <c r="AG6024" i="1"/>
  <c r="AG6023" i="1" s="1"/>
  <c r="AF6024" i="1"/>
  <c r="AF6023" i="1" s="1"/>
  <c r="AB6024" i="1"/>
  <c r="Z6024" i="1"/>
  <c r="Q5998" i="1"/>
  <c r="R5998" i="1" s="1"/>
  <c r="T5998" i="1" s="1"/>
  <c r="H5998" i="1"/>
  <c r="I5998" i="1" s="1"/>
  <c r="AB6019" i="1"/>
  <c r="Z6019" i="1"/>
  <c r="AH6019" i="1"/>
  <c r="AH6018" i="1" s="1"/>
  <c r="AE6019" i="1"/>
  <c r="AE6018" i="1" s="1"/>
  <c r="AG6019" i="1"/>
  <c r="AG6018" i="1" s="1"/>
  <c r="AF6019" i="1"/>
  <c r="AF6018" i="1" s="1"/>
  <c r="AF6008" i="1"/>
  <c r="AF6007" i="1" s="1"/>
  <c r="AH6008" i="1"/>
  <c r="AH6007" i="1" s="1"/>
  <c r="AE6008" i="1"/>
  <c r="AE6007" i="1" s="1"/>
  <c r="AG6008" i="1"/>
  <c r="AG6007" i="1" s="1"/>
  <c r="AB6008" i="1"/>
  <c r="Z6008" i="1"/>
  <c r="AH5999" i="1"/>
  <c r="AH5998" i="1" s="1"/>
  <c r="AG5999" i="1"/>
  <c r="AG5998" i="1" s="1"/>
  <c r="AF5999" i="1"/>
  <c r="AF5998" i="1" s="1"/>
  <c r="AE5999" i="1"/>
  <c r="AB5999" i="1"/>
  <c r="Z5999" i="1"/>
  <c r="AH5990" i="1"/>
  <c r="AH5989" i="1" s="1"/>
  <c r="AG5990" i="1"/>
  <c r="AG5989" i="1" s="1"/>
  <c r="AF5990" i="1"/>
  <c r="AF5989" i="1" s="1"/>
  <c r="AE5990" i="1"/>
  <c r="AE5989" i="1" s="1"/>
  <c r="AB5990" i="1"/>
  <c r="Z5990" i="1"/>
  <c r="Q5970" i="1"/>
  <c r="R5970" i="1" s="1"/>
  <c r="T5970" i="1" s="1"/>
  <c r="H5970" i="1"/>
  <c r="I5970" i="1" s="1"/>
  <c r="AH5981" i="1"/>
  <c r="AH5980" i="1" s="1"/>
  <c r="AG5981" i="1"/>
  <c r="AG5980" i="1" s="1"/>
  <c r="AF5981" i="1"/>
  <c r="AF5980" i="1" s="1"/>
  <c r="AE5981" i="1"/>
  <c r="AE5980" i="1" s="1"/>
  <c r="AB5981" i="1"/>
  <c r="Z5981" i="1"/>
  <c r="AB5971" i="1"/>
  <c r="Z5971" i="1"/>
  <c r="AH5971" i="1"/>
  <c r="AH5970" i="1" s="1"/>
  <c r="AF5971" i="1"/>
  <c r="AF5970" i="1" s="1"/>
  <c r="AG5971" i="1"/>
  <c r="AG5970" i="1" s="1"/>
  <c r="AE5971" i="1"/>
  <c r="AE5970" i="1" s="1"/>
  <c r="Q5943" i="1"/>
  <c r="R5943" i="1" s="1"/>
  <c r="T5943" i="1" s="1"/>
  <c r="H5943" i="1"/>
  <c r="I5943" i="1" s="1"/>
  <c r="AH5962" i="1"/>
  <c r="AH5961" i="1" s="1"/>
  <c r="AE5962" i="1"/>
  <c r="AE5961" i="1" s="1"/>
  <c r="AG5962" i="1"/>
  <c r="AG5961" i="1" s="1"/>
  <c r="AF5962" i="1"/>
  <c r="AF5961" i="1" s="1"/>
  <c r="AB5962" i="1"/>
  <c r="Z5962" i="1"/>
  <c r="AH5953" i="1"/>
  <c r="AH5952" i="1" s="1"/>
  <c r="AG5953" i="1"/>
  <c r="AG5952" i="1" s="1"/>
  <c r="AF5953" i="1"/>
  <c r="AF5952" i="1" s="1"/>
  <c r="AE5953" i="1"/>
  <c r="AB5953" i="1"/>
  <c r="Z5953" i="1"/>
  <c r="AH5944" i="1"/>
  <c r="AH5943" i="1" s="1"/>
  <c r="AF5944" i="1"/>
  <c r="AF5943" i="1" s="1"/>
  <c r="AE5944" i="1"/>
  <c r="AE5943" i="1" s="1"/>
  <c r="AG5944" i="1"/>
  <c r="AG5943" i="1" s="1"/>
  <c r="AB5944" i="1"/>
  <c r="Z5944" i="1"/>
  <c r="AD5869" i="1"/>
  <c r="Z5869" i="1" s="1"/>
  <c r="AB5870" i="1"/>
  <c r="AD5910" i="1"/>
  <c r="AB5911" i="1"/>
  <c r="AD5895" i="1"/>
  <c r="AB5896" i="1"/>
  <c r="AF5910" i="1"/>
  <c r="AE5910" i="1"/>
  <c r="AF5890" i="1"/>
  <c r="AH5910" i="1"/>
  <c r="AH5902" i="1"/>
  <c r="AH5895" i="1"/>
  <c r="AG5895" i="1"/>
  <c r="AG5910" i="1"/>
  <c r="AG5902" i="1"/>
  <c r="AF5902" i="1"/>
  <c r="AH5890" i="1"/>
  <c r="AE5902" i="1"/>
  <c r="AG5890" i="1"/>
  <c r="AE5890" i="1"/>
  <c r="AF5895" i="1"/>
  <c r="AE5895" i="1"/>
  <c r="AB5891" i="1"/>
  <c r="AD5890" i="1"/>
  <c r="AD5902" i="1"/>
  <c r="AB5903" i="1"/>
  <c r="AD5926" i="1"/>
  <c r="AB5927" i="1"/>
  <c r="AF5926" i="1"/>
  <c r="AF5921" i="1"/>
  <c r="AE5926" i="1"/>
  <c r="AH5921" i="1"/>
  <c r="AG5921" i="1"/>
  <c r="AE5921" i="1"/>
  <c r="AH5926" i="1"/>
  <c r="AG5926" i="1"/>
  <c r="AD5921" i="1"/>
  <c r="AB5922" i="1"/>
  <c r="AD5874" i="1"/>
  <c r="AB5875" i="1"/>
  <c r="AF5874" i="1"/>
  <c r="AE5874" i="1"/>
  <c r="AG5874" i="1"/>
  <c r="AH5874" i="1"/>
  <c r="AE5869" i="1"/>
  <c r="AH5869" i="1"/>
  <c r="AF5869" i="1"/>
  <c r="AG5869" i="1"/>
  <c r="AB5840" i="1"/>
  <c r="AD5839" i="1"/>
  <c r="AD5851" i="1"/>
  <c r="AB5852" i="1"/>
  <c r="AD5844" i="1"/>
  <c r="AB5845" i="1"/>
  <c r="AF5858" i="1"/>
  <c r="AH5839" i="1"/>
  <c r="AF5839" i="1"/>
  <c r="AE5858" i="1"/>
  <c r="AG5851" i="1"/>
  <c r="AF5851" i="1"/>
  <c r="AE5851" i="1"/>
  <c r="AG5839" i="1"/>
  <c r="AE5839" i="1"/>
  <c r="AH5858" i="1"/>
  <c r="AG5858" i="1"/>
  <c r="AH5851" i="1"/>
  <c r="AE5844" i="1"/>
  <c r="AF5844" i="1"/>
  <c r="AH5844" i="1"/>
  <c r="AG5844" i="1"/>
  <c r="AB5859" i="1"/>
  <c r="AD5858" i="1"/>
  <c r="AD5814" i="1"/>
  <c r="AB5815" i="1"/>
  <c r="AB5829" i="1"/>
  <c r="AD5828" i="1"/>
  <c r="AD5821" i="1"/>
  <c r="AB5822" i="1"/>
  <c r="AF5828" i="1"/>
  <c r="AH5828" i="1"/>
  <c r="AE5828" i="1"/>
  <c r="AE5821" i="1"/>
  <c r="AF5809" i="1"/>
  <c r="AH5821" i="1"/>
  <c r="AG5821" i="1"/>
  <c r="AF5821" i="1"/>
  <c r="AH5809" i="1"/>
  <c r="AG5809" i="1"/>
  <c r="AE5809" i="1"/>
  <c r="AH5814" i="1"/>
  <c r="AG5814" i="1"/>
  <c r="AF5814" i="1"/>
  <c r="AG5828" i="1"/>
  <c r="AE5814" i="1"/>
  <c r="AB5810" i="1"/>
  <c r="AD5809" i="1"/>
  <c r="AB5776" i="1"/>
  <c r="AD5775" i="1"/>
  <c r="AD5787" i="1"/>
  <c r="AB5788" i="1"/>
  <c r="AF5795" i="1"/>
  <c r="AG5780" i="1"/>
  <c r="AG5795" i="1"/>
  <c r="AE5795" i="1"/>
  <c r="AH5780" i="1"/>
  <c r="AH5787" i="1"/>
  <c r="AF5787" i="1"/>
  <c r="AH5775" i="1"/>
  <c r="AE5787" i="1"/>
  <c r="AG5775" i="1"/>
  <c r="AG5787" i="1"/>
  <c r="AF5775" i="1"/>
  <c r="AE5775" i="1"/>
  <c r="AH5795" i="1"/>
  <c r="AF5780" i="1"/>
  <c r="AE5780" i="1"/>
  <c r="AD5780" i="1"/>
  <c r="AB5781" i="1"/>
  <c r="AD5795" i="1"/>
  <c r="AB5796" i="1"/>
  <c r="AD5738" i="1"/>
  <c r="AB5739" i="1"/>
  <c r="AD5745" i="1"/>
  <c r="AB5746" i="1"/>
  <c r="AB5753" i="1"/>
  <c r="AD5752" i="1"/>
  <c r="AF5752" i="1"/>
  <c r="AE5752" i="1"/>
  <c r="AG5745" i="1"/>
  <c r="AG5733" i="1"/>
  <c r="AF5733" i="1"/>
  <c r="AE5733" i="1"/>
  <c r="AH5738" i="1"/>
  <c r="AF5738" i="1"/>
  <c r="AG5752" i="1"/>
  <c r="AG5738" i="1"/>
  <c r="AH5752" i="1"/>
  <c r="AH5745" i="1"/>
  <c r="AF5745" i="1"/>
  <c r="AH5733" i="1"/>
  <c r="AE5745" i="1"/>
  <c r="AE5738" i="1"/>
  <c r="AB5734" i="1"/>
  <c r="AD5733" i="1"/>
  <c r="AD5722" i="1"/>
  <c r="AB5723" i="1"/>
  <c r="AD5708" i="1"/>
  <c r="AB5709" i="1"/>
  <c r="AD5715" i="1"/>
  <c r="AB5716" i="1"/>
  <c r="AB5704" i="1"/>
  <c r="AD5703" i="1"/>
  <c r="AF5722" i="1"/>
  <c r="AF5703" i="1"/>
  <c r="AE5722" i="1"/>
  <c r="AG5708" i="1"/>
  <c r="AH5722" i="1"/>
  <c r="AH5715" i="1"/>
  <c r="AF5715" i="1"/>
  <c r="AH5703" i="1"/>
  <c r="AE5703" i="1"/>
  <c r="AG5722" i="1"/>
  <c r="AG5715" i="1"/>
  <c r="AE5715" i="1"/>
  <c r="AG5703" i="1"/>
  <c r="AH5708" i="1"/>
  <c r="AF5708" i="1"/>
  <c r="AE5708" i="1"/>
  <c r="AB5674" i="1"/>
  <c r="AD5673" i="1"/>
  <c r="AF5692" i="1"/>
  <c r="AE5692" i="1"/>
  <c r="AH5685" i="1"/>
  <c r="AG5673" i="1"/>
  <c r="AG5678" i="1"/>
  <c r="AH5692" i="1"/>
  <c r="AF5678" i="1"/>
  <c r="AG5692" i="1"/>
  <c r="AE5678" i="1"/>
  <c r="AG5685" i="1"/>
  <c r="AF5685" i="1"/>
  <c r="AH5673" i="1"/>
  <c r="AE5685" i="1"/>
  <c r="AF5673" i="1"/>
  <c r="AE5673" i="1"/>
  <c r="AH5678" i="1"/>
  <c r="AD5692" i="1"/>
  <c r="AB5693" i="1"/>
  <c r="AD5678" i="1"/>
  <c r="AB5679" i="1"/>
  <c r="AB5686" i="1"/>
  <c r="AD5685" i="1"/>
  <c r="AD5662" i="1"/>
  <c r="AB5663" i="1"/>
  <c r="AD5648" i="1"/>
  <c r="AB5649" i="1"/>
  <c r="AF5662" i="1"/>
  <c r="AF5643" i="1"/>
  <c r="AE5643" i="1"/>
  <c r="AE5662" i="1"/>
  <c r="AG5643" i="1"/>
  <c r="AH5655" i="1"/>
  <c r="AF5648" i="1"/>
  <c r="AG5662" i="1"/>
  <c r="AG5655" i="1"/>
  <c r="AH5662" i="1"/>
  <c r="AF5655" i="1"/>
  <c r="AH5643" i="1"/>
  <c r="AE5655" i="1"/>
  <c r="AE5648" i="1"/>
  <c r="AH5648" i="1"/>
  <c r="AG5648" i="1"/>
  <c r="AB5644" i="1"/>
  <c r="AD5643" i="1"/>
  <c r="AD5655" i="1"/>
  <c r="AB5656" i="1"/>
  <c r="AB5626" i="1"/>
  <c r="AD5625" i="1"/>
  <c r="AD5632" i="1"/>
  <c r="AB5633" i="1"/>
  <c r="AF5632" i="1"/>
  <c r="AE5632" i="1"/>
  <c r="AH5632" i="1"/>
  <c r="AH5625" i="1"/>
  <c r="AG5625" i="1"/>
  <c r="AF5625" i="1"/>
  <c r="AH5613" i="1"/>
  <c r="AE5625" i="1"/>
  <c r="AG5613" i="1"/>
  <c r="AF5618" i="1"/>
  <c r="AE5618" i="1"/>
  <c r="AF5613" i="1"/>
  <c r="AE5613" i="1"/>
  <c r="AH5618" i="1"/>
  <c r="AG5618" i="1"/>
  <c r="AG5601" i="1"/>
  <c r="AG5632" i="1"/>
  <c r="AD5618" i="1"/>
  <c r="AB5619" i="1"/>
  <c r="AB5614" i="1"/>
  <c r="AD5613" i="1"/>
  <c r="AD5587" i="1"/>
  <c r="AB5588" i="1"/>
  <c r="AB5602" i="1"/>
  <c r="AD5601" i="1"/>
  <c r="AD5594" i="1"/>
  <c r="AB5595" i="1"/>
  <c r="AB5583" i="1"/>
  <c r="AD5582" i="1"/>
  <c r="AF5601" i="1"/>
  <c r="AE5594" i="1"/>
  <c r="AF5582" i="1"/>
  <c r="AE5582" i="1"/>
  <c r="AG5571" i="1"/>
  <c r="AH5587" i="1"/>
  <c r="AE5601" i="1"/>
  <c r="AF5594" i="1"/>
  <c r="AH5582" i="1"/>
  <c r="AG5587" i="1"/>
  <c r="AF5587" i="1"/>
  <c r="AH5594" i="1"/>
  <c r="AG5594" i="1"/>
  <c r="AG5582" i="1"/>
  <c r="AH5601" i="1"/>
  <c r="AE5587" i="1"/>
  <c r="AB5553" i="1"/>
  <c r="AD5552" i="1"/>
  <c r="AD5564" i="1"/>
  <c r="AB5565" i="1"/>
  <c r="AB5572" i="1"/>
  <c r="AD5571" i="1"/>
  <c r="AD5557" i="1"/>
  <c r="AB5558" i="1"/>
  <c r="AG5532" i="1"/>
  <c r="AF5571" i="1"/>
  <c r="AG5564" i="1"/>
  <c r="AE5571" i="1"/>
  <c r="AH5552" i="1"/>
  <c r="AF5552" i="1"/>
  <c r="AE5552" i="1"/>
  <c r="AG5557" i="1"/>
  <c r="AH5564" i="1"/>
  <c r="AF5564" i="1"/>
  <c r="AE5564" i="1"/>
  <c r="AG5552" i="1"/>
  <c r="AH5557" i="1"/>
  <c r="AH5571" i="1"/>
  <c r="AF5557" i="1"/>
  <c r="AE5557" i="1"/>
  <c r="AB5513" i="1"/>
  <c r="AD5512" i="1"/>
  <c r="AD5517" i="1"/>
  <c r="AB5518" i="1"/>
  <c r="AD5532" i="1"/>
  <c r="AB5533" i="1"/>
  <c r="AF5532" i="1"/>
  <c r="AF5524" i="1"/>
  <c r="AF5512" i="1"/>
  <c r="AH5532" i="1"/>
  <c r="AF5517" i="1"/>
  <c r="AE5532" i="1"/>
  <c r="AG5524" i="1"/>
  <c r="AH5512" i="1"/>
  <c r="AE5524" i="1"/>
  <c r="AG5512" i="1"/>
  <c r="AE5517" i="1"/>
  <c r="AH5524" i="1"/>
  <c r="AE5512" i="1"/>
  <c r="AH5517" i="1"/>
  <c r="AH5501" i="1"/>
  <c r="AG5517" i="1"/>
  <c r="AD5524" i="1"/>
  <c r="AB5525" i="1"/>
  <c r="AD5486" i="1"/>
  <c r="AB5487" i="1"/>
  <c r="AB5482" i="1"/>
  <c r="AD5481" i="1"/>
  <c r="AD5501" i="1"/>
  <c r="AB5502" i="1"/>
  <c r="AB5494" i="1"/>
  <c r="AD5493" i="1"/>
  <c r="AF5501" i="1"/>
  <c r="AG5486" i="1"/>
  <c r="AF5486" i="1"/>
  <c r="AG5501" i="1"/>
  <c r="AE5486" i="1"/>
  <c r="AE5501" i="1"/>
  <c r="AE5481" i="1"/>
  <c r="AH5470" i="1"/>
  <c r="AH5486" i="1"/>
  <c r="AH5493" i="1"/>
  <c r="AG5493" i="1"/>
  <c r="AF5493" i="1"/>
  <c r="AH5481" i="1"/>
  <c r="AE5493" i="1"/>
  <c r="AG5481" i="1"/>
  <c r="AF5481" i="1"/>
  <c r="AB5471" i="1"/>
  <c r="AD5470" i="1"/>
  <c r="AD5455" i="1"/>
  <c r="AB5456" i="1"/>
  <c r="AB5451" i="1"/>
  <c r="AD5450" i="1"/>
  <c r="AF5470" i="1"/>
  <c r="AG5462" i="1"/>
  <c r="AF5462" i="1"/>
  <c r="AH5450" i="1"/>
  <c r="AF5450" i="1"/>
  <c r="AE5450" i="1"/>
  <c r="AH5455" i="1"/>
  <c r="AG5455" i="1"/>
  <c r="AE5470" i="1"/>
  <c r="AH5462" i="1"/>
  <c r="AE5462" i="1"/>
  <c r="AG5450" i="1"/>
  <c r="AF5455" i="1"/>
  <c r="AG5470" i="1"/>
  <c r="AE5455" i="1"/>
  <c r="AD5462" i="1"/>
  <c r="AB5463" i="1"/>
  <c r="AB5416" i="1"/>
  <c r="AD5415" i="1"/>
  <c r="AD5427" i="1"/>
  <c r="AB5428" i="1"/>
  <c r="AD5420" i="1"/>
  <c r="AB5421" i="1"/>
  <c r="AF5434" i="1"/>
  <c r="AE5434" i="1"/>
  <c r="AF5415" i="1"/>
  <c r="AH5420" i="1"/>
  <c r="AH5434" i="1"/>
  <c r="AG5434" i="1"/>
  <c r="AH5427" i="1"/>
  <c r="AF5390" i="1"/>
  <c r="AG5427" i="1"/>
  <c r="AE5427" i="1"/>
  <c r="AG5415" i="1"/>
  <c r="AE5415" i="1"/>
  <c r="AG5420" i="1"/>
  <c r="AF5420" i="1"/>
  <c r="AE5420" i="1"/>
  <c r="AF5427" i="1"/>
  <c r="AH5415" i="1"/>
  <c r="AB5435" i="1"/>
  <c r="AD5434" i="1"/>
  <c r="AD5404" i="1"/>
  <c r="AB5405" i="1"/>
  <c r="AD5397" i="1"/>
  <c r="AB5398" i="1"/>
  <c r="AB5386" i="1"/>
  <c r="AD5385" i="1"/>
  <c r="AD5390" i="1"/>
  <c r="AB5391" i="1"/>
  <c r="AF5404" i="1"/>
  <c r="AH5397" i="1"/>
  <c r="AG5397" i="1"/>
  <c r="AF5397" i="1"/>
  <c r="AH5385" i="1"/>
  <c r="AG5385" i="1"/>
  <c r="AE5385" i="1"/>
  <c r="AH5390" i="1"/>
  <c r="AH5404" i="1"/>
  <c r="AE5404" i="1"/>
  <c r="AE5397" i="1"/>
  <c r="AF5385" i="1"/>
  <c r="AG5390" i="1"/>
  <c r="AG5404" i="1"/>
  <c r="AE5390" i="1"/>
  <c r="AG5374" i="1"/>
  <c r="AB5356" i="1"/>
  <c r="AD5355" i="1"/>
  <c r="AD5367" i="1"/>
  <c r="AB5368" i="1"/>
  <c r="AD5360" i="1"/>
  <c r="AB5361" i="1"/>
  <c r="AB5375" i="1"/>
  <c r="AD5374" i="1"/>
  <c r="AF5374" i="1"/>
  <c r="AE5374" i="1"/>
  <c r="AE5367" i="1"/>
  <c r="AF5355" i="1"/>
  <c r="AG5360" i="1"/>
  <c r="AH5374" i="1"/>
  <c r="AH5367" i="1"/>
  <c r="AG5367" i="1"/>
  <c r="AF5367" i="1"/>
  <c r="AH5355" i="1"/>
  <c r="AG5355" i="1"/>
  <c r="AE5355" i="1"/>
  <c r="AH5360" i="1"/>
  <c r="AF5360" i="1"/>
  <c r="AE5360" i="1"/>
  <c r="AB5326" i="1"/>
  <c r="AD5325" i="1"/>
  <c r="AD5330" i="1"/>
  <c r="AB5331" i="1"/>
  <c r="AB5338" i="1"/>
  <c r="AD5337" i="1"/>
  <c r="AD5344" i="1"/>
  <c r="AB5345" i="1"/>
  <c r="AF5344" i="1"/>
  <c r="AH5330" i="1"/>
  <c r="AF5330" i="1"/>
  <c r="AG5344" i="1"/>
  <c r="AE5344" i="1"/>
  <c r="AH5337" i="1"/>
  <c r="AG5325" i="1"/>
  <c r="AG5330" i="1"/>
  <c r="AE5337" i="1"/>
  <c r="AE5325" i="1"/>
  <c r="AH5344" i="1"/>
  <c r="AE5330" i="1"/>
  <c r="AG5337" i="1"/>
  <c r="AF5337" i="1"/>
  <c r="AH5325" i="1"/>
  <c r="AF5325" i="1"/>
  <c r="AB5296" i="1"/>
  <c r="AD5295" i="1"/>
  <c r="AF5314" i="1"/>
  <c r="AG5307" i="1"/>
  <c r="AE5314" i="1"/>
  <c r="AF5295" i="1"/>
  <c r="AH5300" i="1"/>
  <c r="AH5314" i="1"/>
  <c r="AF5300" i="1"/>
  <c r="AG5314" i="1"/>
  <c r="AH5307" i="1"/>
  <c r="AF5307" i="1"/>
  <c r="AH5295" i="1"/>
  <c r="AE5307" i="1"/>
  <c r="AG5295" i="1"/>
  <c r="AE5295" i="1"/>
  <c r="AG5300" i="1"/>
  <c r="AE5300" i="1"/>
  <c r="AD5314" i="1"/>
  <c r="AB5315" i="1"/>
  <c r="AD5300" i="1"/>
  <c r="AB5301" i="1"/>
  <c r="AD5307" i="1"/>
  <c r="AB5308" i="1"/>
  <c r="AD5284" i="1"/>
  <c r="AB5285" i="1"/>
  <c r="AD5277" i="1"/>
  <c r="AB5278" i="1"/>
  <c r="AD5270" i="1"/>
  <c r="AB5271" i="1"/>
  <c r="AF5240" i="1"/>
  <c r="AF5284" i="1"/>
  <c r="AG5284" i="1"/>
  <c r="AE5284" i="1"/>
  <c r="AF5270" i="1"/>
  <c r="AH5277" i="1"/>
  <c r="AG5277" i="1"/>
  <c r="AF5265" i="1"/>
  <c r="AF5277" i="1"/>
  <c r="AH5265" i="1"/>
  <c r="AE5277" i="1"/>
  <c r="AG5265" i="1"/>
  <c r="AE5265" i="1"/>
  <c r="AH5270" i="1"/>
  <c r="AG5270" i="1"/>
  <c r="AH5284" i="1"/>
  <c r="AE5270" i="1"/>
  <c r="AB5266" i="1"/>
  <c r="AD5265" i="1"/>
  <c r="AD5240" i="1"/>
  <c r="AB5241" i="1"/>
  <c r="AD5254" i="1"/>
  <c r="AB5255" i="1"/>
  <c r="AD5247" i="1"/>
  <c r="AB5248" i="1"/>
  <c r="AB5236" i="1"/>
  <c r="AD5235" i="1"/>
  <c r="AF5254" i="1"/>
  <c r="AH5247" i="1"/>
  <c r="AG5247" i="1"/>
  <c r="AF5247" i="1"/>
  <c r="AE5247" i="1"/>
  <c r="AG5235" i="1"/>
  <c r="AE5235" i="1"/>
  <c r="AH5240" i="1"/>
  <c r="AG5224" i="1"/>
  <c r="AG5240" i="1"/>
  <c r="AE5254" i="1"/>
  <c r="AH5235" i="1"/>
  <c r="AF5235" i="1"/>
  <c r="AH5254" i="1"/>
  <c r="AG5254" i="1"/>
  <c r="AE5240" i="1"/>
  <c r="AD5217" i="1"/>
  <c r="AB5218" i="1"/>
  <c r="AD5210" i="1"/>
  <c r="AB5211" i="1"/>
  <c r="AD5224" i="1"/>
  <c r="AB5225" i="1"/>
  <c r="AB5206" i="1"/>
  <c r="AD5205" i="1"/>
  <c r="AF5224" i="1"/>
  <c r="AG5217" i="1"/>
  <c r="AF5217" i="1"/>
  <c r="AH5205" i="1"/>
  <c r="AE5224" i="1"/>
  <c r="AH5217" i="1"/>
  <c r="AE5217" i="1"/>
  <c r="AG5205" i="1"/>
  <c r="AF5205" i="1"/>
  <c r="AE5205" i="1"/>
  <c r="AH5210" i="1"/>
  <c r="AG5194" i="1"/>
  <c r="AG5210" i="1"/>
  <c r="AH5224" i="1"/>
  <c r="AF5210" i="1"/>
  <c r="AE5210" i="1"/>
  <c r="AB5176" i="1"/>
  <c r="AD5175" i="1"/>
  <c r="AD5187" i="1"/>
  <c r="AB5188" i="1"/>
  <c r="AD5180" i="1"/>
  <c r="AB5181" i="1"/>
  <c r="AF5194" i="1"/>
  <c r="AH5180" i="1"/>
  <c r="AH5194" i="1"/>
  <c r="AE5194" i="1"/>
  <c r="AH5187" i="1"/>
  <c r="AG5187" i="1"/>
  <c r="AF5187" i="1"/>
  <c r="AH5175" i="1"/>
  <c r="AE5187" i="1"/>
  <c r="AG5175" i="1"/>
  <c r="AF5175" i="1"/>
  <c r="AE5175" i="1"/>
  <c r="AG5180" i="1"/>
  <c r="AG5164" i="1"/>
  <c r="AE5180" i="1"/>
  <c r="AF5180" i="1"/>
  <c r="AD5194" i="1"/>
  <c r="AB5195" i="1"/>
  <c r="AD5164" i="1"/>
  <c r="AB5165" i="1"/>
  <c r="AB5151" i="1"/>
  <c r="AD5150" i="1"/>
  <c r="AD5145" i="1"/>
  <c r="AB5146" i="1"/>
  <c r="AD5157" i="1"/>
  <c r="AB5158" i="1"/>
  <c r="AH5157" i="1"/>
  <c r="AG5157" i="1"/>
  <c r="AF5157" i="1"/>
  <c r="AH5145" i="1"/>
  <c r="AE5157" i="1"/>
  <c r="AG5145" i="1"/>
  <c r="AF5145" i="1"/>
  <c r="AE5145" i="1"/>
  <c r="AH5150" i="1"/>
  <c r="AF5150" i="1"/>
  <c r="AG5134" i="1"/>
  <c r="AF5164" i="1"/>
  <c r="AE5164" i="1"/>
  <c r="AG5150" i="1"/>
  <c r="AE5150" i="1"/>
  <c r="AH5164" i="1"/>
  <c r="AD5120" i="1"/>
  <c r="AB5121" i="1"/>
  <c r="AD5134" i="1"/>
  <c r="AB5135" i="1"/>
  <c r="AD5127" i="1"/>
  <c r="AB5128" i="1"/>
  <c r="AG5099" i="1"/>
  <c r="AF5134" i="1"/>
  <c r="AH5127" i="1"/>
  <c r="AG5127" i="1"/>
  <c r="AF5127" i="1"/>
  <c r="AH5115" i="1"/>
  <c r="AH5120" i="1"/>
  <c r="AG5120" i="1"/>
  <c r="AF5120" i="1"/>
  <c r="AE5134" i="1"/>
  <c r="AE5127" i="1"/>
  <c r="AG5115" i="1"/>
  <c r="AF5115" i="1"/>
  <c r="AE5115" i="1"/>
  <c r="AH5134" i="1"/>
  <c r="AE5120" i="1"/>
  <c r="AB5116" i="1"/>
  <c r="AD5115" i="1"/>
  <c r="AB5080" i="1"/>
  <c r="AD5079" i="1"/>
  <c r="AF5099" i="1"/>
  <c r="AF5079" i="1"/>
  <c r="AH5084" i="1"/>
  <c r="AF5084" i="1"/>
  <c r="AE5099" i="1"/>
  <c r="AG5091" i="1"/>
  <c r="AE5091" i="1"/>
  <c r="AG5079" i="1"/>
  <c r="AG5084" i="1"/>
  <c r="AH5099" i="1"/>
  <c r="AE5084" i="1"/>
  <c r="AH5091" i="1"/>
  <c r="AF5091" i="1"/>
  <c r="AH5079" i="1"/>
  <c r="AE5079" i="1"/>
  <c r="AB5100" i="1"/>
  <c r="AD5099" i="1"/>
  <c r="AD5084" i="1"/>
  <c r="AB5085" i="1"/>
  <c r="AD5091" i="1"/>
  <c r="AB5092" i="1"/>
  <c r="AD5053" i="1"/>
  <c r="AB5054" i="1"/>
  <c r="AD5060" i="1"/>
  <c r="AB5061" i="1"/>
  <c r="AF5068" i="1"/>
  <c r="AE5060" i="1"/>
  <c r="AG5048" i="1"/>
  <c r="AH5053" i="1"/>
  <c r="AE5068" i="1"/>
  <c r="AF5048" i="1"/>
  <c r="AH5060" i="1"/>
  <c r="AE5048" i="1"/>
  <c r="AH5068" i="1"/>
  <c r="AF5053" i="1"/>
  <c r="AG5060" i="1"/>
  <c r="AF5060" i="1"/>
  <c r="AH5048" i="1"/>
  <c r="AG5053" i="1"/>
  <c r="AG5068" i="1"/>
  <c r="AE5053" i="1"/>
  <c r="AB5049" i="1"/>
  <c r="AD5048" i="1"/>
  <c r="AB5069" i="1"/>
  <c r="AD5068" i="1"/>
  <c r="AB5030" i="1"/>
  <c r="AD5029" i="1"/>
  <c r="AD5022" i="1"/>
  <c r="AB5023" i="1"/>
  <c r="AF5037" i="1"/>
  <c r="AF5029" i="1"/>
  <c r="AH5017" i="1"/>
  <c r="AE5029" i="1"/>
  <c r="AG5017" i="1"/>
  <c r="AF5017" i="1"/>
  <c r="AG5022" i="1"/>
  <c r="AG5037" i="1"/>
  <c r="AE5037" i="1"/>
  <c r="AE5017" i="1"/>
  <c r="AH5022" i="1"/>
  <c r="AE5022" i="1"/>
  <c r="AH5029" i="1"/>
  <c r="AG5029" i="1"/>
  <c r="AH5037" i="1"/>
  <c r="AF5022" i="1"/>
  <c r="AD5037" i="1"/>
  <c r="AB5038" i="1"/>
  <c r="AB5018" i="1"/>
  <c r="AD5017" i="1"/>
  <c r="AD4999" i="1"/>
  <c r="AB4999" i="1" s="1"/>
  <c r="AD5000" i="1"/>
  <c r="AB4987" i="1"/>
  <c r="AD4986" i="1"/>
  <c r="AD4991" i="1"/>
  <c r="AB4992" i="1"/>
  <c r="AB5007" i="1"/>
  <c r="AD5006" i="1"/>
  <c r="AF5006" i="1"/>
  <c r="AG4986" i="1"/>
  <c r="AF4986" i="1"/>
  <c r="AE5006" i="1"/>
  <c r="AF4998" i="1"/>
  <c r="AH4986" i="1"/>
  <c r="AE4998" i="1"/>
  <c r="AE4986" i="1"/>
  <c r="AH4991" i="1"/>
  <c r="AG4991" i="1"/>
  <c r="AH5006" i="1"/>
  <c r="AF4991" i="1"/>
  <c r="AG5006" i="1"/>
  <c r="AE4991" i="1"/>
  <c r="AH4998" i="1"/>
  <c r="AG4998" i="1"/>
  <c r="AB4943" i="1"/>
  <c r="AD4942" i="1"/>
  <c r="AD4954" i="1"/>
  <c r="AB4955" i="1"/>
  <c r="AD4961" i="1"/>
  <c r="AB4962" i="1"/>
  <c r="AF4961" i="1"/>
  <c r="AE4961" i="1"/>
  <c r="AG4942" i="1"/>
  <c r="AH4954" i="1"/>
  <c r="AG4954" i="1"/>
  <c r="AF4954" i="1"/>
  <c r="AH4942" i="1"/>
  <c r="AE4954" i="1"/>
  <c r="AH4947" i="1"/>
  <c r="AF4942" i="1"/>
  <c r="AE4942" i="1"/>
  <c r="AG4947" i="1"/>
  <c r="AE4947" i="1"/>
  <c r="AH4961" i="1"/>
  <c r="AF4947" i="1"/>
  <c r="AG4961" i="1"/>
  <c r="AD4947" i="1"/>
  <c r="AB4948" i="1"/>
  <c r="AB4913" i="1"/>
  <c r="AD4912" i="1"/>
  <c r="AD4917" i="1"/>
  <c r="AB4918" i="1"/>
  <c r="AB4925" i="1"/>
  <c r="AD4924" i="1"/>
  <c r="AF4931" i="1"/>
  <c r="AH4912" i="1"/>
  <c r="AE4931" i="1"/>
  <c r="AE4924" i="1"/>
  <c r="AG4912" i="1"/>
  <c r="AH4924" i="1"/>
  <c r="AG4924" i="1"/>
  <c r="AF4924" i="1"/>
  <c r="AE4912" i="1"/>
  <c r="AH4917" i="1"/>
  <c r="AG4917" i="1"/>
  <c r="AE4917" i="1"/>
  <c r="AF4912" i="1"/>
  <c r="AH4931" i="1"/>
  <c r="AF4917" i="1"/>
  <c r="AG4931" i="1"/>
  <c r="AD4931" i="1"/>
  <c r="AB4932" i="1"/>
  <c r="AB4883" i="1"/>
  <c r="AD4882" i="1"/>
  <c r="AD4901" i="1"/>
  <c r="AB4902" i="1"/>
  <c r="AD4887" i="1"/>
  <c r="AB4888" i="1"/>
  <c r="AB4895" i="1"/>
  <c r="AD4894" i="1"/>
  <c r="AF4901" i="1"/>
  <c r="AE4901" i="1"/>
  <c r="AG4887" i="1"/>
  <c r="AF4887" i="1"/>
  <c r="AG4901" i="1"/>
  <c r="AE4887" i="1"/>
  <c r="AH4894" i="1"/>
  <c r="AF4882" i="1"/>
  <c r="AE4882" i="1"/>
  <c r="AG4894" i="1"/>
  <c r="AF4894" i="1"/>
  <c r="AH4882" i="1"/>
  <c r="AE4894" i="1"/>
  <c r="AG4882" i="1"/>
  <c r="AH4887" i="1"/>
  <c r="AH4901" i="1"/>
  <c r="AB4853" i="1"/>
  <c r="AD4852" i="1"/>
  <c r="AD4857" i="1"/>
  <c r="AB4858" i="1"/>
  <c r="AB4865" i="1"/>
  <c r="AD4864" i="1"/>
  <c r="AD4871" i="1"/>
  <c r="AB4872" i="1"/>
  <c r="AH4841" i="1"/>
  <c r="AF4871" i="1"/>
  <c r="AG4852" i="1"/>
  <c r="AH4857" i="1"/>
  <c r="AG4857" i="1"/>
  <c r="AF4857" i="1"/>
  <c r="AE4857" i="1"/>
  <c r="AE4871" i="1"/>
  <c r="AE4864" i="1"/>
  <c r="AH4864" i="1"/>
  <c r="AG4864" i="1"/>
  <c r="AF4864" i="1"/>
  <c r="AH4852" i="1"/>
  <c r="AG4871" i="1"/>
  <c r="AF4852" i="1"/>
  <c r="AE4852" i="1"/>
  <c r="AH4871" i="1"/>
  <c r="AD4822" i="1"/>
  <c r="AB4823" i="1"/>
  <c r="AE4841" i="1"/>
  <c r="AH4797" i="1"/>
  <c r="AF4834" i="1"/>
  <c r="AH4822" i="1"/>
  <c r="AE4834" i="1"/>
  <c r="AG4822" i="1"/>
  <c r="AE4822" i="1"/>
  <c r="AH4827" i="1"/>
  <c r="AF4827" i="1"/>
  <c r="AG4841" i="1"/>
  <c r="AE4827" i="1"/>
  <c r="AF4841" i="1"/>
  <c r="AH4834" i="1"/>
  <c r="AG4797" i="1"/>
  <c r="AG4834" i="1"/>
  <c r="AF4797" i="1"/>
  <c r="AF4822" i="1"/>
  <c r="AG4827" i="1"/>
  <c r="AB4828" i="1"/>
  <c r="AD4827" i="1"/>
  <c r="AB4835" i="1"/>
  <c r="AD4834" i="1"/>
  <c r="AD4841" i="1"/>
  <c r="AB4842" i="1"/>
  <c r="AB4805" i="1"/>
  <c r="AD4804" i="1"/>
  <c r="AB4793" i="1"/>
  <c r="AD4792" i="1"/>
  <c r="AD4811" i="1"/>
  <c r="AB4812" i="1"/>
  <c r="AG4811" i="1"/>
  <c r="AE4797" i="1"/>
  <c r="AF4811" i="1"/>
  <c r="AE4811" i="1"/>
  <c r="AH4804" i="1"/>
  <c r="AG4804" i="1"/>
  <c r="AF4804" i="1"/>
  <c r="AH4792" i="1"/>
  <c r="AE4804" i="1"/>
  <c r="AH4811" i="1"/>
  <c r="AG4792" i="1"/>
  <c r="AF4792" i="1"/>
  <c r="AE4792" i="1"/>
  <c r="AD4797" i="1"/>
  <c r="AB4798" i="1"/>
  <c r="AB4763" i="1"/>
  <c r="AD4762" i="1"/>
  <c r="AD4774" i="1"/>
  <c r="AB4775" i="1"/>
  <c r="AD4767" i="1"/>
  <c r="AB4768" i="1"/>
  <c r="AD4781" i="1"/>
  <c r="AB4782" i="1"/>
  <c r="AF4781" i="1"/>
  <c r="AH4774" i="1"/>
  <c r="AG4774" i="1"/>
  <c r="AF4774" i="1"/>
  <c r="AH4762" i="1"/>
  <c r="AE4774" i="1"/>
  <c r="AG4762" i="1"/>
  <c r="AF4762" i="1"/>
  <c r="AE4781" i="1"/>
  <c r="AH4781" i="1"/>
  <c r="AG4781" i="1"/>
  <c r="AH4767" i="1"/>
  <c r="AG4767" i="1"/>
  <c r="AF4767" i="1"/>
  <c r="AE4767" i="1"/>
  <c r="AE4762" i="1"/>
  <c r="AD4744" i="1"/>
  <c r="AB4745" i="1"/>
  <c r="AD4751" i="1"/>
  <c r="AB4752" i="1"/>
  <c r="AD4732" i="1"/>
  <c r="AB4733" i="1"/>
  <c r="AB4738" i="1"/>
  <c r="AD4737" i="1"/>
  <c r="AH4744" i="1"/>
  <c r="AG4744" i="1"/>
  <c r="AF4744" i="1"/>
  <c r="AH4732" i="1"/>
  <c r="AE4744" i="1"/>
  <c r="AG4732" i="1"/>
  <c r="AF4732" i="1"/>
  <c r="AE4732" i="1"/>
  <c r="AH4737" i="1"/>
  <c r="AG4721" i="1"/>
  <c r="AG4737" i="1"/>
  <c r="AF4737" i="1"/>
  <c r="AE4737" i="1"/>
  <c r="AH4751" i="1"/>
  <c r="AG4751" i="1"/>
  <c r="AF4751" i="1"/>
  <c r="AE4751" i="1"/>
  <c r="AD4721" i="1"/>
  <c r="AB4722" i="1"/>
  <c r="AD4714" i="1"/>
  <c r="AB4715" i="1"/>
  <c r="AD4707" i="1"/>
  <c r="AB4708" i="1"/>
  <c r="AB4703" i="1"/>
  <c r="AD4702" i="1"/>
  <c r="AF4721" i="1"/>
  <c r="AF4714" i="1"/>
  <c r="AH4702" i="1"/>
  <c r="AG4702" i="1"/>
  <c r="AE4702" i="1"/>
  <c r="AH4721" i="1"/>
  <c r="AE4721" i="1"/>
  <c r="AH4714" i="1"/>
  <c r="AG4714" i="1"/>
  <c r="AE4714" i="1"/>
  <c r="AF4702" i="1"/>
  <c r="AH4707" i="1"/>
  <c r="AG4707" i="1"/>
  <c r="AF4707" i="1"/>
  <c r="AE4707" i="1"/>
  <c r="AD4684" i="1"/>
  <c r="AB4685" i="1"/>
  <c r="AB4692" i="1"/>
  <c r="AD4691" i="1"/>
  <c r="AF4691" i="1"/>
  <c r="AH4691" i="1"/>
  <c r="AE4691" i="1"/>
  <c r="AE4684" i="1"/>
  <c r="AG4672" i="1"/>
  <c r="AF4677" i="1"/>
  <c r="AG4691" i="1"/>
  <c r="AE4677" i="1"/>
  <c r="AH4684" i="1"/>
  <c r="AG4684" i="1"/>
  <c r="AF4684" i="1"/>
  <c r="AH4672" i="1"/>
  <c r="AF4672" i="1"/>
  <c r="AE4672" i="1"/>
  <c r="AH4677" i="1"/>
  <c r="AG4677" i="1"/>
  <c r="AB4673" i="1"/>
  <c r="AD4672" i="1"/>
  <c r="AD4677" i="1"/>
  <c r="AB4678" i="1"/>
  <c r="AB148" i="1"/>
  <c r="AD141" i="1"/>
  <c r="AB141" i="1" s="1"/>
  <c r="AD142" i="1"/>
  <c r="AD133" i="1"/>
  <c r="AH64" i="1"/>
  <c r="AH63" i="1" s="1"/>
  <c r="AG64" i="1"/>
  <c r="AG63" i="1" s="1"/>
  <c r="AF64" i="1"/>
  <c r="AF63" i="1" s="1"/>
  <c r="AE64" i="1"/>
  <c r="AH61" i="1"/>
  <c r="AH60" i="1" s="1"/>
  <c r="AG61" i="1"/>
  <c r="AG60" i="1" s="1"/>
  <c r="AF61" i="1"/>
  <c r="AF60" i="1" s="1"/>
  <c r="AE61" i="1"/>
  <c r="AE60" i="1" s="1"/>
  <c r="AH58" i="1"/>
  <c r="AH57" i="1" s="1"/>
  <c r="AE58" i="1"/>
  <c r="AE57" i="1" s="1"/>
  <c r="AG58" i="1"/>
  <c r="AG57" i="1" s="1"/>
  <c r="AF58" i="1"/>
  <c r="AF57" i="1" s="1"/>
  <c r="AG55" i="1"/>
  <c r="AG54" i="1" s="1"/>
  <c r="AF55" i="1"/>
  <c r="AF54" i="1" s="1"/>
  <c r="AE55" i="1"/>
  <c r="AE54" i="1" s="1"/>
  <c r="AH55" i="1"/>
  <c r="AH54" i="1" s="1"/>
  <c r="AG52" i="1"/>
  <c r="AG51" i="1" s="1"/>
  <c r="AE52" i="1"/>
  <c r="AE51" i="1" s="1"/>
  <c r="AH52" i="1"/>
  <c r="AH51" i="1" s="1"/>
  <c r="AF52" i="1"/>
  <c r="AF51" i="1" s="1"/>
  <c r="AG47" i="1"/>
  <c r="AG46" i="1" s="1"/>
  <c r="AH47" i="1"/>
  <c r="AH46" i="1" s="1"/>
  <c r="AE47" i="1"/>
  <c r="AE46" i="1" s="1"/>
  <c r="AF47" i="1"/>
  <c r="AF46" i="1" s="1"/>
  <c r="AF91" i="1"/>
  <c r="AF90" i="1" s="1"/>
  <c r="AH77" i="1"/>
  <c r="AH76" i="1" s="1"/>
  <c r="AG82" i="1"/>
  <c r="AG81" i="1" s="1"/>
  <c r="AG77" i="1"/>
  <c r="AG76" i="1" s="1"/>
  <c r="AH86" i="1"/>
  <c r="AH85" i="1" s="1"/>
  <c r="AG86" i="1"/>
  <c r="AG85" i="1" s="1"/>
  <c r="AF77" i="1"/>
  <c r="AF76" i="1" s="1"/>
  <c r="AF82" i="1"/>
  <c r="AF81" i="1" s="1"/>
  <c r="AF86" i="1"/>
  <c r="AF85" i="1" s="1"/>
  <c r="AH82" i="1"/>
  <c r="AH81" i="1" s="1"/>
  <c r="AH68" i="1"/>
  <c r="AH67" i="1" s="1"/>
  <c r="AG68" i="1"/>
  <c r="AG67" i="1" s="1"/>
  <c r="AF68" i="1"/>
  <c r="AF67" i="1" s="1"/>
  <c r="AH7030" i="1"/>
  <c r="AG6950" i="1"/>
  <c r="AF6950" i="1"/>
  <c r="AH6950" i="1"/>
  <c r="AF115" i="1"/>
  <c r="AG108" i="1"/>
  <c r="AH115" i="1"/>
  <c r="AF108" i="1"/>
  <c r="AG115" i="1"/>
  <c r="AH108" i="1"/>
  <c r="AH101" i="1"/>
  <c r="AH100" i="1" s="1"/>
  <c r="AG101" i="1"/>
  <c r="AG100" i="1" s="1"/>
  <c r="AF101" i="1"/>
  <c r="AF100" i="1" s="1"/>
  <c r="AG91" i="1"/>
  <c r="AG90" i="1" s="1"/>
  <c r="AH91" i="1"/>
  <c r="AH90" i="1" s="1"/>
  <c r="AH7706" i="1"/>
  <c r="AF7051" i="1"/>
  <c r="AH6979" i="1"/>
  <c r="AH6970" i="1"/>
  <c r="AH6987" i="1"/>
  <c r="AG6979" i="1"/>
  <c r="AG6970" i="1"/>
  <c r="AH7022" i="1"/>
  <c r="AH7013" i="1"/>
  <c r="AG6987" i="1"/>
  <c r="AF6979" i="1"/>
  <c r="AF6970" i="1"/>
  <c r="AG7013" i="1"/>
  <c r="AF6987" i="1"/>
  <c r="AF6967" i="1"/>
  <c r="AH7002" i="1"/>
  <c r="AH6993" i="1"/>
  <c r="AH7010" i="1"/>
  <c r="AG7085" i="1"/>
  <c r="AH7033" i="1"/>
  <c r="AF7002" i="1"/>
  <c r="AF6993" i="1"/>
  <c r="AG7022" i="1"/>
  <c r="AH6959" i="1"/>
  <c r="AG6959" i="1"/>
  <c r="AF7096" i="1"/>
  <c r="AH7093" i="1"/>
  <c r="AH7075" i="1"/>
  <c r="AH7064" i="1"/>
  <c r="AH6967" i="1"/>
  <c r="AH7085" i="1"/>
  <c r="AG7075" i="1"/>
  <c r="AG7033" i="1"/>
  <c r="AF7093" i="1"/>
  <c r="AF7075" i="1"/>
  <c r="AG7051" i="1"/>
  <c r="AF7033" i="1"/>
  <c r="AH7072" i="1"/>
  <c r="AG7064" i="1"/>
  <c r="AH7054" i="1"/>
  <c r="AH7106" i="1"/>
  <c r="AG7072" i="1"/>
  <c r="AF7064" i="1"/>
  <c r="AG7054" i="1"/>
  <c r="AG7030" i="1"/>
  <c r="AF7022" i="1"/>
  <c r="AF7013" i="1"/>
  <c r="AG7010" i="1"/>
  <c r="AH7051" i="1"/>
  <c r="AF7043" i="1"/>
  <c r="AH7114" i="1"/>
  <c r="AG7106" i="1"/>
  <c r="AH7096" i="1"/>
  <c r="AF7072" i="1"/>
  <c r="AF7054" i="1"/>
  <c r="AF7030" i="1"/>
  <c r="AG6967" i="1"/>
  <c r="AF6959" i="1"/>
  <c r="AG7114" i="1"/>
  <c r="AF7106" i="1"/>
  <c r="AG7096" i="1"/>
  <c r="AF7114" i="1"/>
  <c r="AG7002" i="1"/>
  <c r="AG6993" i="1"/>
  <c r="AH7043" i="1"/>
  <c r="AG7093" i="1"/>
  <c r="AF7085" i="1"/>
  <c r="AG7043" i="1"/>
  <c r="AF7010" i="1"/>
  <c r="AF7147" i="1"/>
  <c r="AF7287" i="1"/>
  <c r="AG7334" i="1"/>
  <c r="AH7394" i="1"/>
  <c r="AG7493" i="1"/>
  <c r="AG7593" i="1"/>
  <c r="AG7693" i="1"/>
  <c r="AH7646" i="1"/>
  <c r="AH7740" i="1"/>
  <c r="AF7486" i="1"/>
  <c r="AF7476" i="1"/>
  <c r="AF7686" i="1"/>
  <c r="AF7676" i="1"/>
  <c r="AG7533" i="1"/>
  <c r="AH7446" i="1"/>
  <c r="AH7546" i="1"/>
  <c r="AG7750" i="1"/>
  <c r="AG7476" i="1"/>
  <c r="AG7676" i="1"/>
  <c r="AF7633" i="1"/>
  <c r="AG7576" i="1"/>
  <c r="AG7387" i="1"/>
  <c r="AH7377" i="1"/>
  <c r="AG7633" i="1"/>
  <c r="AG7177" i="1"/>
  <c r="AH7294" i="1"/>
  <c r="AG7135" i="1"/>
  <c r="AH7194" i="1"/>
  <c r="AF7533" i="1"/>
  <c r="AH7637" i="1"/>
  <c r="AH7693" i="1"/>
  <c r="AF7187" i="1"/>
  <c r="AG7234" i="1"/>
  <c r="AF7317" i="1"/>
  <c r="AF7750" i="1"/>
  <c r="AG7740" i="1"/>
  <c r="AF7586" i="1"/>
  <c r="AF7576" i="1"/>
  <c r="AF7387" i="1"/>
  <c r="AG7377" i="1"/>
  <c r="AG7434" i="1"/>
  <c r="AF7434" i="1"/>
  <c r="AG7277" i="1"/>
  <c r="AH7437" i="1"/>
  <c r="AH7493" i="1"/>
  <c r="AH7537" i="1"/>
  <c r="AH7593" i="1"/>
  <c r="AH7832" i="1"/>
  <c r="AF7847" i="1"/>
  <c r="AF7856" i="1"/>
  <c r="AH8413" i="1"/>
  <c r="AF7778" i="1"/>
  <c r="AH7904" i="1"/>
  <c r="AF7135" i="1"/>
  <c r="AH7147" i="1"/>
  <c r="AH7138" i="1"/>
  <c r="AG7194" i="1"/>
  <c r="AF7177" i="1"/>
  <c r="AF7234" i="1"/>
  <c r="AH7247" i="1"/>
  <c r="AH7238" i="1"/>
  <c r="AG7294" i="1"/>
  <c r="AF7277" i="1"/>
  <c r="AF7334" i="1"/>
  <c r="AH7347" i="1"/>
  <c r="AH7338" i="1"/>
  <c r="AG7394" i="1"/>
  <c r="AF7377" i="1"/>
  <c r="AG7446" i="1"/>
  <c r="AG7437" i="1"/>
  <c r="AF7493" i="1"/>
  <c r="AG7546" i="1"/>
  <c r="AG7537" i="1"/>
  <c r="AF7593" i="1"/>
  <c r="AG7646" i="1"/>
  <c r="AG7637" i="1"/>
  <c r="AF7693" i="1"/>
  <c r="AH7757" i="1"/>
  <c r="AF7740" i="1"/>
  <c r="AG7706" i="1"/>
  <c r="AH7696" i="1"/>
  <c r="AF7394" i="1"/>
  <c r="AH7453" i="1"/>
  <c r="AF7437" i="1"/>
  <c r="AH7506" i="1"/>
  <c r="AH7553" i="1"/>
  <c r="AF7546" i="1"/>
  <c r="AF7537" i="1"/>
  <c r="AH7653" i="1"/>
  <c r="AF7646" i="1"/>
  <c r="AF7637" i="1"/>
  <c r="AG7757" i="1"/>
  <c r="AH7207" i="1"/>
  <c r="AH7254" i="1"/>
  <c r="AF7247" i="1"/>
  <c r="AF7238" i="1"/>
  <c r="AH7354" i="1"/>
  <c r="AF7347" i="1"/>
  <c r="AG7553" i="1"/>
  <c r="AG7606" i="1"/>
  <c r="AH7596" i="1"/>
  <c r="AG7653" i="1"/>
  <c r="AH7713" i="1"/>
  <c r="AH7616" i="1"/>
  <c r="AH7128" i="1"/>
  <c r="AH7119" i="1"/>
  <c r="AH7317" i="1"/>
  <c r="AF7374" i="1"/>
  <c r="AH7486" i="1"/>
  <c r="AH7586" i="1"/>
  <c r="AG7128" i="1"/>
  <c r="AG7147" i="1"/>
  <c r="AG7138" i="1"/>
  <c r="AF7194" i="1"/>
  <c r="AG7247" i="1"/>
  <c r="AG7238" i="1"/>
  <c r="AF7294" i="1"/>
  <c r="AG7347" i="1"/>
  <c r="AG7338" i="1"/>
  <c r="AF7446" i="1"/>
  <c r="AH7606" i="1"/>
  <c r="AF7706" i="1"/>
  <c r="AG7696" i="1"/>
  <c r="AF7138" i="1"/>
  <c r="AH7307" i="1"/>
  <c r="AF7338" i="1"/>
  <c r="AH7407" i="1"/>
  <c r="AG7453" i="1"/>
  <c r="AG7506" i="1"/>
  <c r="AH7496" i="1"/>
  <c r="AF7757" i="1"/>
  <c r="AF7696" i="1"/>
  <c r="AH7516" i="1"/>
  <c r="AG7626" i="1"/>
  <c r="AF7274" i="1"/>
  <c r="AG7327" i="1"/>
  <c r="AG7119" i="1"/>
  <c r="AH7533" i="1"/>
  <c r="AF7516" i="1"/>
  <c r="AH7676" i="1"/>
  <c r="AH7750" i="1"/>
  <c r="AH7135" i="1"/>
  <c r="AH7154" i="1"/>
  <c r="AG7154" i="1"/>
  <c r="AG7207" i="1"/>
  <c r="AH7197" i="1"/>
  <c r="AG7254" i="1"/>
  <c r="AG7307" i="1"/>
  <c r="AH7297" i="1"/>
  <c r="AG7354" i="1"/>
  <c r="AG7407" i="1"/>
  <c r="AH7397" i="1"/>
  <c r="AF7453" i="1"/>
  <c r="AH7466" i="1"/>
  <c r="AH7513" i="1"/>
  <c r="AF7506" i="1"/>
  <c r="AG7496" i="1"/>
  <c r="AF7553" i="1"/>
  <c r="AH7566" i="1"/>
  <c r="AH7613" i="1"/>
  <c r="AF7606" i="1"/>
  <c r="AG7596" i="1"/>
  <c r="AF7653" i="1"/>
  <c r="AH7666" i="1"/>
  <c r="AG7713" i="1"/>
  <c r="AG7566" i="1"/>
  <c r="AH7556" i="1"/>
  <c r="AG7613" i="1"/>
  <c r="AF7596" i="1"/>
  <c r="AH7656" i="1"/>
  <c r="AH7730" i="1"/>
  <c r="AF7456" i="1"/>
  <c r="AG7673" i="1"/>
  <c r="AF7656" i="1"/>
  <c r="AF7157" i="1"/>
  <c r="AG7526" i="1"/>
  <c r="AF7573" i="1"/>
  <c r="AF7720" i="1"/>
  <c r="AF7626" i="1"/>
  <c r="AH7686" i="1"/>
  <c r="AF7737" i="1"/>
  <c r="AG7486" i="1"/>
  <c r="AH7476" i="1"/>
  <c r="AG7686" i="1"/>
  <c r="AF7154" i="1"/>
  <c r="AH7167" i="1"/>
  <c r="AH7214" i="1"/>
  <c r="AF7207" i="1"/>
  <c r="AG7197" i="1"/>
  <c r="AF7254" i="1"/>
  <c r="AH7267" i="1"/>
  <c r="AH7314" i="1"/>
  <c r="AF7307" i="1"/>
  <c r="AG7297" i="1"/>
  <c r="AF7354" i="1"/>
  <c r="AH7367" i="1"/>
  <c r="AF7407" i="1"/>
  <c r="AG7397" i="1"/>
  <c r="AG7466" i="1"/>
  <c r="AH7456" i="1"/>
  <c r="AG7513" i="1"/>
  <c r="AF7496" i="1"/>
  <c r="AG7666" i="1"/>
  <c r="AF7713" i="1"/>
  <c r="AH7227" i="1"/>
  <c r="AG7274" i="1"/>
  <c r="AF7257" i="1"/>
  <c r="AF7357" i="1"/>
  <c r="AF7673" i="1"/>
  <c r="AG7737" i="1"/>
  <c r="AH7187" i="1"/>
  <c r="AF7227" i="1"/>
  <c r="AG7217" i="1"/>
  <c r="AG7586" i="1"/>
  <c r="AH7576" i="1"/>
  <c r="AF7616" i="1"/>
  <c r="AF7217" i="1"/>
  <c r="AG7287" i="1"/>
  <c r="AH7277" i="1"/>
  <c r="AH7334" i="1"/>
  <c r="AG7167" i="1"/>
  <c r="AH7157" i="1"/>
  <c r="AG7214" i="1"/>
  <c r="AF7197" i="1"/>
  <c r="AG7267" i="1"/>
  <c r="AH7257" i="1"/>
  <c r="AG7314" i="1"/>
  <c r="AF7297" i="1"/>
  <c r="AG7367" i="1"/>
  <c r="AH7357" i="1"/>
  <c r="AH7414" i="1"/>
  <c r="AF7397" i="1"/>
  <c r="AH7473" i="1"/>
  <c r="AF7466" i="1"/>
  <c r="AG7456" i="1"/>
  <c r="AF7513" i="1"/>
  <c r="AH7573" i="1"/>
  <c r="AF7566" i="1"/>
  <c r="AG7556" i="1"/>
  <c r="AF7613" i="1"/>
  <c r="AH7673" i="1"/>
  <c r="AF7666" i="1"/>
  <c r="AG7656" i="1"/>
  <c r="AG7730" i="1"/>
  <c r="AH7720" i="1"/>
  <c r="AH7174" i="1"/>
  <c r="AF7167" i="1"/>
  <c r="AG7157" i="1"/>
  <c r="AF7214" i="1"/>
  <c r="AH7274" i="1"/>
  <c r="AF7267" i="1"/>
  <c r="AG7257" i="1"/>
  <c r="AF7314" i="1"/>
  <c r="AH7374" i="1"/>
  <c r="AF7367" i="1"/>
  <c r="AG7357" i="1"/>
  <c r="AG7414" i="1"/>
  <c r="AG7473" i="1"/>
  <c r="AH7526" i="1"/>
  <c r="AG7573" i="1"/>
  <c r="AF7556" i="1"/>
  <c r="AH7626" i="1"/>
  <c r="AH7737" i="1"/>
  <c r="AF7730" i="1"/>
  <c r="AG7720" i="1"/>
  <c r="AG7174" i="1"/>
  <c r="AH7327" i="1"/>
  <c r="AG7374" i="1"/>
  <c r="AF7414" i="1"/>
  <c r="AH7427" i="1"/>
  <c r="AH7418" i="1"/>
  <c r="AF7473" i="1"/>
  <c r="AF7174" i="1"/>
  <c r="AG7227" i="1"/>
  <c r="AH7217" i="1"/>
  <c r="AG7427" i="1"/>
  <c r="AG7418" i="1"/>
  <c r="AF7526" i="1"/>
  <c r="AG7516" i="1"/>
  <c r="AG7616" i="1"/>
  <c r="AH7287" i="1"/>
  <c r="AF7327" i="1"/>
  <c r="AG7317" i="1"/>
  <c r="AH7387" i="1"/>
  <c r="AH7434" i="1"/>
  <c r="AF7427" i="1"/>
  <c r="AF7418" i="1"/>
  <c r="AH7633" i="1"/>
  <c r="AF7128" i="1"/>
  <c r="AF7119" i="1"/>
  <c r="AG7187" i="1"/>
  <c r="AH7177" i="1"/>
  <c r="AH7234" i="1"/>
  <c r="AF8603" i="1"/>
  <c r="AH8503" i="1"/>
  <c r="AF8519" i="1"/>
  <c r="AH8439" i="1"/>
  <c r="AH8445" i="1"/>
  <c r="AF8223" i="1"/>
  <c r="AF8214" i="1"/>
  <c r="AF8359" i="1"/>
  <c r="AG8142" i="1"/>
  <c r="AG8133" i="1"/>
  <c r="AF8148" i="1"/>
  <c r="AH8084" i="1"/>
  <c r="AG8100" i="1"/>
  <c r="AH8090" i="1"/>
  <c r="AF8003" i="1"/>
  <c r="AF7994" i="1"/>
  <c r="AH7987" i="1"/>
  <c r="AG7841" i="1"/>
  <c r="AG7832" i="1"/>
  <c r="AG7904" i="1"/>
  <c r="AH7894" i="1"/>
  <c r="AH7824" i="1"/>
  <c r="AG8084" i="1"/>
  <c r="AF8100" i="1"/>
  <c r="AG8090" i="1"/>
  <c r="AH7971" i="1"/>
  <c r="AG7987" i="1"/>
  <c r="AH7977" i="1"/>
  <c r="AF7841" i="1"/>
  <c r="AF7832" i="1"/>
  <c r="AF7904" i="1"/>
  <c r="AG7894" i="1"/>
  <c r="AG7824" i="1"/>
  <c r="AH7814" i="1"/>
  <c r="AG8429" i="1"/>
  <c r="AF8445" i="1"/>
  <c r="AH8322" i="1"/>
  <c r="AG8338" i="1"/>
  <c r="AH8328" i="1"/>
  <c r="AG8349" i="1"/>
  <c r="AH8068" i="1"/>
  <c r="AH8059" i="1"/>
  <c r="AF8084" i="1"/>
  <c r="AH7961" i="1"/>
  <c r="AF7987" i="1"/>
  <c r="AG7977" i="1"/>
  <c r="AG7923" i="1"/>
  <c r="AF7799" i="1"/>
  <c r="AH8529" i="1"/>
  <c r="AG8376" i="1"/>
  <c r="AG8273" i="1"/>
  <c r="AF8280" i="1"/>
  <c r="AH8190" i="1"/>
  <c r="AH8196" i="1"/>
  <c r="AG8112" i="1"/>
  <c r="AG8034" i="1"/>
  <c r="AF7914" i="1"/>
  <c r="AF7872" i="1"/>
  <c r="AH7761" i="1"/>
  <c r="AF8376" i="1"/>
  <c r="AH8009" i="1"/>
  <c r="AF7862" i="1"/>
  <c r="AH7784" i="1"/>
  <c r="AG7770" i="1"/>
  <c r="AF8529" i="1"/>
  <c r="AH8465" i="1"/>
  <c r="AG8174" i="1"/>
  <c r="AF8190" i="1"/>
  <c r="AF7761" i="1"/>
  <c r="AH8519" i="1"/>
  <c r="AG8465" i="1"/>
  <c r="AF8481" i="1"/>
  <c r="AG8455" i="1"/>
  <c r="AH8214" i="1"/>
  <c r="AF8239" i="1"/>
  <c r="AG8229" i="1"/>
  <c r="AF8245" i="1"/>
  <c r="AG8158" i="1"/>
  <c r="AH8148" i="1"/>
  <c r="AF7793" i="1"/>
  <c r="AG7778" i="1"/>
  <c r="AG8223" i="1"/>
  <c r="AG8359" i="1"/>
  <c r="AH8142" i="1"/>
  <c r="AG8148" i="1"/>
  <c r="AH7841" i="1"/>
  <c r="AG8503" i="1"/>
  <c r="AH8423" i="1"/>
  <c r="AG8439" i="1"/>
  <c r="AH8429" i="1"/>
  <c r="AG8445" i="1"/>
  <c r="AH8338" i="1"/>
  <c r="AH8349" i="1"/>
  <c r="AF8142" i="1"/>
  <c r="AF8133" i="1"/>
  <c r="AH8074" i="1"/>
  <c r="AF8439" i="1"/>
  <c r="AG8074" i="1"/>
  <c r="AF8090" i="1"/>
  <c r="AH7955" i="1"/>
  <c r="AG7971" i="1"/>
  <c r="AH7888" i="1"/>
  <c r="AF7894" i="1"/>
  <c r="AF7824" i="1"/>
  <c r="AG7814" i="1"/>
  <c r="AF7814" i="1"/>
  <c r="AG8206" i="1"/>
  <c r="AF7923" i="1"/>
  <c r="AG8529" i="1"/>
  <c r="AG8024" i="1"/>
  <c r="AG8018" i="1"/>
  <c r="AH7847" i="1"/>
  <c r="AG7793" i="1"/>
  <c r="AF8475" i="1"/>
  <c r="AH8223" i="1"/>
  <c r="AG8164" i="1"/>
  <c r="AH7994" i="1"/>
  <c r="AF8503" i="1"/>
  <c r="AH8407" i="1"/>
  <c r="AG8423" i="1"/>
  <c r="AG8407" i="1"/>
  <c r="AH8397" i="1"/>
  <c r="AF8423" i="1"/>
  <c r="AG8413" i="1"/>
  <c r="AF8429" i="1"/>
  <c r="AH8306" i="1"/>
  <c r="AG8322" i="1"/>
  <c r="AH8312" i="1"/>
  <c r="AF8338" i="1"/>
  <c r="AG8328" i="1"/>
  <c r="AF8349" i="1"/>
  <c r="AH8122" i="1"/>
  <c r="AG8068" i="1"/>
  <c r="AG8059" i="1"/>
  <c r="AF8074" i="1"/>
  <c r="AH7939" i="1"/>
  <c r="AG7955" i="1"/>
  <c r="AH7945" i="1"/>
  <c r="AF7971" i="1"/>
  <c r="AG7961" i="1"/>
  <c r="AF7977" i="1"/>
  <c r="AG7888" i="1"/>
  <c r="AH7878" i="1"/>
  <c r="AH8024" i="1"/>
  <c r="AG7862" i="1"/>
  <c r="AF8273" i="1"/>
  <c r="AH8180" i="1"/>
  <c r="AF8112" i="1"/>
  <c r="AF8034" i="1"/>
  <c r="AG8009" i="1"/>
  <c r="AH7778" i="1"/>
  <c r="AF8455" i="1"/>
  <c r="AF8229" i="1"/>
  <c r="AF8158" i="1"/>
  <c r="AG8003" i="1"/>
  <c r="AH8391" i="1"/>
  <c r="AH8382" i="1"/>
  <c r="AF8407" i="1"/>
  <c r="AG8397" i="1"/>
  <c r="AF8413" i="1"/>
  <c r="AH8290" i="1"/>
  <c r="AG8306" i="1"/>
  <c r="AH8296" i="1"/>
  <c r="AF8322" i="1"/>
  <c r="AG8312" i="1"/>
  <c r="AF8328" i="1"/>
  <c r="AG8122" i="1"/>
  <c r="AH8053" i="1"/>
  <c r="AH8044" i="1"/>
  <c r="AF8068" i="1"/>
  <c r="AF8059" i="1"/>
  <c r="AG7939" i="1"/>
  <c r="AH7929" i="1"/>
  <c r="AF7955" i="1"/>
  <c r="AG7945" i="1"/>
  <c r="AF7961" i="1"/>
  <c r="AF7888" i="1"/>
  <c r="AG7878" i="1"/>
  <c r="AH7808" i="1"/>
  <c r="AH7799" i="1"/>
  <c r="AH8491" i="1"/>
  <c r="AG8196" i="1"/>
  <c r="AH8455" i="1"/>
  <c r="AH8229" i="1"/>
  <c r="AH8359" i="1"/>
  <c r="AF8174" i="1"/>
  <c r="AH8003" i="1"/>
  <c r="AF8018" i="1"/>
  <c r="AG7856" i="1"/>
  <c r="AG8214" i="1"/>
  <c r="AH8133" i="1"/>
  <c r="AF8164" i="1"/>
  <c r="AH8100" i="1"/>
  <c r="AG8391" i="1"/>
  <c r="AG8382" i="1"/>
  <c r="AF8397" i="1"/>
  <c r="AH8255" i="1"/>
  <c r="AG8290" i="1"/>
  <c r="AH8280" i="1"/>
  <c r="AF8306" i="1"/>
  <c r="AG8296" i="1"/>
  <c r="AF8312" i="1"/>
  <c r="AF8122" i="1"/>
  <c r="AG8053" i="1"/>
  <c r="AG8044" i="1"/>
  <c r="AH7923" i="1"/>
  <c r="AH7914" i="1"/>
  <c r="AF7939" i="1"/>
  <c r="AG7929" i="1"/>
  <c r="AF7945" i="1"/>
  <c r="AH7872" i="1"/>
  <c r="AF7878" i="1"/>
  <c r="AG7808" i="1"/>
  <c r="AG7799" i="1"/>
  <c r="AH8376" i="1"/>
  <c r="AH8367" i="1"/>
  <c r="AF8391" i="1"/>
  <c r="AF8382" i="1"/>
  <c r="AG8255" i="1"/>
  <c r="AH8273" i="1"/>
  <c r="AH8264" i="1"/>
  <c r="AF8290" i="1"/>
  <c r="AG8280" i="1"/>
  <c r="AF8296" i="1"/>
  <c r="AH8206" i="1"/>
  <c r="AH8112" i="1"/>
  <c r="AF8053" i="1"/>
  <c r="AF8044" i="1"/>
  <c r="AH8034" i="1"/>
  <c r="AG7914" i="1"/>
  <c r="AF7929" i="1"/>
  <c r="AG7872" i="1"/>
  <c r="AH7862" i="1"/>
  <c r="AF7808" i="1"/>
  <c r="AG8367" i="1"/>
  <c r="AF8255" i="1"/>
  <c r="AG8264" i="1"/>
  <c r="AH7770" i="1"/>
  <c r="AH8475" i="1"/>
  <c r="AG8491" i="1"/>
  <c r="AH8481" i="1"/>
  <c r="AF8367" i="1"/>
  <c r="AH8239" i="1"/>
  <c r="AH8245" i="1"/>
  <c r="AF8264" i="1"/>
  <c r="AH8174" i="1"/>
  <c r="AG8190" i="1"/>
  <c r="AF8206" i="1"/>
  <c r="AH8018" i="1"/>
  <c r="AH7793" i="1"/>
  <c r="AG7761" i="1"/>
  <c r="AH8513" i="1"/>
  <c r="AG8475" i="1"/>
  <c r="AF8491" i="1"/>
  <c r="AG8481" i="1"/>
  <c r="AG8239" i="1"/>
  <c r="AG8245" i="1"/>
  <c r="AH8158" i="1"/>
  <c r="AH8164" i="1"/>
  <c r="AG8180" i="1"/>
  <c r="AF8196" i="1"/>
  <c r="AF8024" i="1"/>
  <c r="AH7856" i="1"/>
  <c r="AG7784" i="1"/>
  <c r="AF7770" i="1"/>
  <c r="AG8513" i="1"/>
  <c r="AF8180" i="1"/>
  <c r="AF8009" i="1"/>
  <c r="AG7847" i="1"/>
  <c r="AF7784" i="1"/>
  <c r="AF8513" i="1"/>
  <c r="AG8519" i="1"/>
  <c r="AF8465" i="1"/>
  <c r="AG7994" i="1"/>
  <c r="AH3436" i="1"/>
  <c r="AH8562" i="1"/>
  <c r="AH8553" i="1"/>
  <c r="AF8570" i="1"/>
  <c r="AG8562" i="1"/>
  <c r="AG8553" i="1"/>
  <c r="AG8597" i="1"/>
  <c r="AH8613" i="1"/>
  <c r="AH8587" i="1"/>
  <c r="AF8579" i="1"/>
  <c r="AF8587" i="1"/>
  <c r="AH8546" i="1"/>
  <c r="AH8537" i="1"/>
  <c r="AF8562" i="1"/>
  <c r="AF8553" i="1"/>
  <c r="AH8570" i="1"/>
  <c r="AG8603" i="1"/>
  <c r="AG8546" i="1"/>
  <c r="AG8537" i="1"/>
  <c r="AH8597" i="1"/>
  <c r="AF8597" i="1"/>
  <c r="AF8546" i="1"/>
  <c r="AF8537" i="1"/>
  <c r="AG8587" i="1"/>
  <c r="AH8579" i="1"/>
  <c r="AG8613" i="1"/>
  <c r="AG8579" i="1"/>
  <c r="AF8613" i="1"/>
  <c r="AH8603" i="1"/>
  <c r="AG8570" i="1"/>
  <c r="AF3685" i="1"/>
  <c r="AG3500" i="1"/>
  <c r="AF3492" i="1"/>
  <c r="AG3457" i="1"/>
  <c r="AF3449" i="1"/>
  <c r="AG3415" i="1"/>
  <c r="AF3407" i="1"/>
  <c r="AG3331" i="1"/>
  <c r="AF3323" i="1"/>
  <c r="AG3313" i="1"/>
  <c r="AG3268" i="1"/>
  <c r="AF3260" i="1"/>
  <c r="AG3250" i="1"/>
  <c r="AG3205" i="1"/>
  <c r="AF3197" i="1"/>
  <c r="AH3147" i="1"/>
  <c r="AH3146" i="1" s="1"/>
  <c r="AG3123" i="1"/>
  <c r="AF3115" i="1"/>
  <c r="AG3105" i="1"/>
  <c r="AH2968" i="1"/>
  <c r="AG2935" i="1"/>
  <c r="AF2927" i="1"/>
  <c r="AF2894" i="1"/>
  <c r="AG2877" i="1"/>
  <c r="AF3268" i="1"/>
  <c r="AF3205" i="1"/>
  <c r="AH3187" i="1"/>
  <c r="AG3147" i="1"/>
  <c r="AG3146" i="1" s="1"/>
  <c r="AH2976" i="1"/>
  <c r="AG2968" i="1"/>
  <c r="AF2935" i="1"/>
  <c r="AH2917" i="1"/>
  <c r="AF2877" i="1"/>
  <c r="AG3187" i="1"/>
  <c r="AF3147" i="1"/>
  <c r="AF3146" i="1" s="1"/>
  <c r="AH3094" i="1"/>
  <c r="AH3010" i="1"/>
  <c r="AF2968" i="1"/>
  <c r="AH2959" i="1"/>
  <c r="AF3247" i="1"/>
  <c r="AH3184" i="1"/>
  <c r="AG3176" i="1"/>
  <c r="AF3060" i="1"/>
  <c r="AF3042" i="1"/>
  <c r="AF3018" i="1"/>
  <c r="AF3000" i="1"/>
  <c r="AG3281" i="1"/>
  <c r="AH3271" i="1"/>
  <c r="AH3208" i="1"/>
  <c r="AF3184" i="1"/>
  <c r="AG3136" i="1"/>
  <c r="AH3126" i="1"/>
  <c r="AG2989" i="1"/>
  <c r="AH2939" i="1"/>
  <c r="AG2906" i="1"/>
  <c r="AG2914" i="1"/>
  <c r="AF2906" i="1"/>
  <c r="AF2914" i="1"/>
  <c r="AH3323" i="1"/>
  <c r="AH3260" i="1"/>
  <c r="AH2927" i="1"/>
  <c r="AG3492" i="1"/>
  <c r="AH3457" i="1"/>
  <c r="AG3449" i="1"/>
  <c r="AH3415" i="1"/>
  <c r="AG3407" i="1"/>
  <c r="AG3115" i="1"/>
  <c r="AH3105" i="1"/>
  <c r="AF3081" i="1"/>
  <c r="AF3039" i="1"/>
  <c r="AF3500" i="1"/>
  <c r="AH3482" i="1"/>
  <c r="AF3457" i="1"/>
  <c r="AH3439" i="1"/>
  <c r="AF3415" i="1"/>
  <c r="AH3397" i="1"/>
  <c r="AF3331" i="1"/>
  <c r="AF3313" i="1"/>
  <c r="AF3250" i="1"/>
  <c r="AF3123" i="1"/>
  <c r="AF3105" i="1"/>
  <c r="AH3302" i="1"/>
  <c r="AG2976" i="1"/>
  <c r="AG2917" i="1"/>
  <c r="AH3289" i="1"/>
  <c r="AG3218" i="1"/>
  <c r="AG2956" i="1"/>
  <c r="AG2897" i="1"/>
  <c r="AH2894" i="1"/>
  <c r="AH3331" i="1"/>
  <c r="AH3268" i="1"/>
  <c r="AH3205" i="1"/>
  <c r="AF3021" i="1"/>
  <c r="AG2894" i="1"/>
  <c r="AG3482" i="1"/>
  <c r="AG3439" i="1"/>
  <c r="AG3397" i="1"/>
  <c r="AH3365" i="1"/>
  <c r="AH3239" i="1"/>
  <c r="AH3052" i="1"/>
  <c r="AG3428" i="1"/>
  <c r="AG3386" i="1"/>
  <c r="AF3355" i="1"/>
  <c r="AF3229" i="1"/>
  <c r="AH3144" i="1"/>
  <c r="AH3492" i="1"/>
  <c r="AH3449" i="1"/>
  <c r="AH3407" i="1"/>
  <c r="AF3073" i="1"/>
  <c r="AF3031" i="1"/>
  <c r="AF2979" i="1"/>
  <c r="AH2935" i="1"/>
  <c r="AF3482" i="1"/>
  <c r="AF3439" i="1"/>
  <c r="AF3397" i="1"/>
  <c r="AH3373" i="1"/>
  <c r="AG3365" i="1"/>
  <c r="AH3355" i="1"/>
  <c r="AH3310" i="1"/>
  <c r="AG3302" i="1"/>
  <c r="AH3292" i="1"/>
  <c r="AH3247" i="1"/>
  <c r="AG3239" i="1"/>
  <c r="AH3229" i="1"/>
  <c r="AF3187" i="1"/>
  <c r="AH3102" i="1"/>
  <c r="AG3094" i="1"/>
  <c r="AH3084" i="1"/>
  <c r="AH3060" i="1"/>
  <c r="AG3052" i="1"/>
  <c r="AH3042" i="1"/>
  <c r="AH3018" i="1"/>
  <c r="AG3010" i="1"/>
  <c r="AH3000" i="1"/>
  <c r="AF2976" i="1"/>
  <c r="AG2959" i="1"/>
  <c r="AF2917" i="1"/>
  <c r="AH2948" i="1"/>
  <c r="AG3021" i="1"/>
  <c r="AH3513" i="1"/>
  <c r="AH3471" i="1"/>
  <c r="AH3428" i="1"/>
  <c r="AH3386" i="1"/>
  <c r="AG3373" i="1"/>
  <c r="AF3365" i="1"/>
  <c r="AG3355" i="1"/>
  <c r="AG3310" i="1"/>
  <c r="AF3302" i="1"/>
  <c r="AG3292" i="1"/>
  <c r="AG3247" i="1"/>
  <c r="AF3239" i="1"/>
  <c r="AG3229" i="1"/>
  <c r="AH3176" i="1"/>
  <c r="AG3102" i="1"/>
  <c r="AF3094" i="1"/>
  <c r="AG3084" i="1"/>
  <c r="AG3060" i="1"/>
  <c r="AF3052" i="1"/>
  <c r="AG3042" i="1"/>
  <c r="AG3018" i="1"/>
  <c r="AF3010" i="1"/>
  <c r="AG3000" i="1"/>
  <c r="AF2959" i="1"/>
  <c r="AH3394" i="1"/>
  <c r="AF3373" i="1"/>
  <c r="AF3310" i="1"/>
  <c r="AF3292" i="1"/>
  <c r="AF3102" i="1"/>
  <c r="AF3084" i="1"/>
  <c r="AH3226" i="1"/>
  <c r="AH3166" i="1"/>
  <c r="AF2939" i="1"/>
  <c r="AH2886" i="1"/>
  <c r="AG3081" i="1"/>
  <c r="AG3063" i="1"/>
  <c r="AG3039" i="1"/>
  <c r="AG2979" i="1"/>
  <c r="AG2927" i="1"/>
  <c r="AF2886" i="1"/>
  <c r="AH3521" i="1"/>
  <c r="AG3513" i="1"/>
  <c r="AH3479" i="1"/>
  <c r="AG3471" i="1"/>
  <c r="AG3521" i="1"/>
  <c r="AF3513" i="1"/>
  <c r="AG3479" i="1"/>
  <c r="AF3471" i="1"/>
  <c r="AG3436" i="1"/>
  <c r="AF3428" i="1"/>
  <c r="AG3394" i="1"/>
  <c r="AF3386" i="1"/>
  <c r="AH3344" i="1"/>
  <c r="AH3281" i="1"/>
  <c r="AH3218" i="1"/>
  <c r="AG3184" i="1"/>
  <c r="AF3176" i="1"/>
  <c r="AH3136" i="1"/>
  <c r="AH2989" i="1"/>
  <c r="AH2956" i="1"/>
  <c r="AG2948" i="1"/>
  <c r="AH2906" i="1"/>
  <c r="AH2897" i="1"/>
  <c r="AF3521" i="1"/>
  <c r="AH3503" i="1"/>
  <c r="AF3479" i="1"/>
  <c r="AH3461" i="1"/>
  <c r="AF3436" i="1"/>
  <c r="AH3418" i="1"/>
  <c r="AF3394" i="1"/>
  <c r="AH3376" i="1"/>
  <c r="AH3352" i="1"/>
  <c r="AG3344" i="1"/>
  <c r="AH3334" i="1"/>
  <c r="AH2997" i="1"/>
  <c r="AF2948" i="1"/>
  <c r="AH2914" i="1"/>
  <c r="AF2897" i="1"/>
  <c r="AH2979" i="1"/>
  <c r="AH3500" i="1"/>
  <c r="AG3323" i="1"/>
  <c r="AH3250" i="1"/>
  <c r="AG3503" i="1"/>
  <c r="AG3461" i="1"/>
  <c r="AG3418" i="1"/>
  <c r="AG3376" i="1"/>
  <c r="AG3352" i="1"/>
  <c r="AF3344" i="1"/>
  <c r="AG3334" i="1"/>
  <c r="AG3289" i="1"/>
  <c r="AF3281" i="1"/>
  <c r="AG3271" i="1"/>
  <c r="AG3226" i="1"/>
  <c r="AF3218" i="1"/>
  <c r="AG3208" i="1"/>
  <c r="AG3166" i="1"/>
  <c r="AG3144" i="1"/>
  <c r="AF3136" i="1"/>
  <c r="AG3126" i="1"/>
  <c r="AH3073" i="1"/>
  <c r="AH3031" i="1"/>
  <c r="AG2997" i="1"/>
  <c r="AF2989" i="1"/>
  <c r="AF2956" i="1"/>
  <c r="AG2939" i="1"/>
  <c r="AH3197" i="1"/>
  <c r="AH3115" i="1"/>
  <c r="AG2886" i="1"/>
  <c r="AH3313" i="1"/>
  <c r="AG3260" i="1"/>
  <c r="AG3197" i="1"/>
  <c r="AH3123" i="1"/>
  <c r="AF3063" i="1"/>
  <c r="AH2877" i="1"/>
  <c r="AF3503" i="1"/>
  <c r="AF3461" i="1"/>
  <c r="AF3418" i="1"/>
  <c r="AF3376" i="1"/>
  <c r="AF3352" i="1"/>
  <c r="AF3334" i="1"/>
  <c r="AF3289" i="1"/>
  <c r="AF3271" i="1"/>
  <c r="AF3226" i="1"/>
  <c r="AF3208" i="1"/>
  <c r="AF3166" i="1"/>
  <c r="AF3144" i="1"/>
  <c r="AF3126" i="1"/>
  <c r="AH3081" i="1"/>
  <c r="AG3073" i="1"/>
  <c r="AH3063" i="1"/>
  <c r="AH3039" i="1"/>
  <c r="AG3031" i="1"/>
  <c r="AH3021" i="1"/>
  <c r="AF2997" i="1"/>
  <c r="AF3982" i="1"/>
  <c r="AG3898" i="1"/>
  <c r="AH3799" i="1"/>
  <c r="AG3921" i="1"/>
  <c r="AF3921" i="1"/>
  <c r="AF3602" i="1"/>
  <c r="AG4072" i="1"/>
  <c r="AF3730" i="1"/>
  <c r="AF3664" i="1"/>
  <c r="AH3876" i="1"/>
  <c r="AH3779" i="1"/>
  <c r="AH4099" i="1"/>
  <c r="AH3898" i="1"/>
  <c r="AH3685" i="1"/>
  <c r="AH3642" i="1"/>
  <c r="AF4092" i="1"/>
  <c r="AH3972" i="1"/>
  <c r="AH3911" i="1"/>
  <c r="AG3713" i="1"/>
  <c r="AG3685" i="1"/>
  <c r="AG3642" i="1"/>
  <c r="AF3931" i="1"/>
  <c r="AG3911" i="1"/>
  <c r="AG3902" i="1"/>
  <c r="AH4062" i="1"/>
  <c r="AG3951" i="1"/>
  <c r="AH4082" i="1"/>
  <c r="AF3891" i="1"/>
  <c r="AF3575" i="1"/>
  <c r="AG4082" i="1"/>
  <c r="AG3779" i="1"/>
  <c r="AH3622" i="1"/>
  <c r="AH4092" i="1"/>
  <c r="AF4059" i="1"/>
  <c r="AH4022" i="1"/>
  <c r="AH3767" i="1"/>
  <c r="AG3575" i="1"/>
  <c r="AH3565" i="1"/>
  <c r="AG4092" i="1"/>
  <c r="AF3625" i="1"/>
  <c r="AG3565" i="1"/>
  <c r="AG38" i="1"/>
  <c r="AG37" i="1" s="1"/>
  <c r="AE38" i="1"/>
  <c r="AE37" i="1" s="1"/>
  <c r="AF38" i="1"/>
  <c r="AF37" i="1" s="1"/>
  <c r="AH38" i="1"/>
  <c r="AH37" i="1" s="1"/>
  <c r="AG9172" i="1"/>
  <c r="AF4099" i="1"/>
  <c r="AG4032" i="1"/>
  <c r="AF4022" i="1"/>
  <c r="AH4012" i="1"/>
  <c r="AG4002" i="1"/>
  <c r="AG3972" i="1"/>
  <c r="AH3962" i="1"/>
  <c r="AH3938" i="1"/>
  <c r="AG3809" i="1"/>
  <c r="AF3779" i="1"/>
  <c r="AG3767" i="1"/>
  <c r="AH3747" i="1"/>
  <c r="AH3582" i="1"/>
  <c r="AF3565" i="1"/>
  <c r="AH3545" i="1"/>
  <c r="AF3881" i="1"/>
  <c r="AF4012" i="1"/>
  <c r="AF3972" i="1"/>
  <c r="AG3962" i="1"/>
  <c r="AF3938" i="1"/>
  <c r="AG3918" i="1"/>
  <c r="AH3829" i="1"/>
  <c r="AG3796" i="1"/>
  <c r="AF3767" i="1"/>
  <c r="AH3723" i="1"/>
  <c r="AH3693" i="1"/>
  <c r="AG3657" i="1"/>
  <c r="AH3647" i="1"/>
  <c r="AG3582" i="1"/>
  <c r="AG3555" i="1"/>
  <c r="AG3730" i="1"/>
  <c r="AH3713" i="1"/>
  <c r="AF3678" i="1"/>
  <c r="AG3664" i="1"/>
  <c r="AF3635" i="1"/>
  <c r="AG3625" i="1"/>
  <c r="AF3615" i="1"/>
  <c r="AH3979" i="1"/>
  <c r="AG3829" i="1"/>
  <c r="AH3819" i="1"/>
  <c r="AF3796" i="1"/>
  <c r="AH3774" i="1"/>
  <c r="AH3757" i="1"/>
  <c r="AG3723" i="1"/>
  <c r="AG3703" i="1"/>
  <c r="AG3669" i="1"/>
  <c r="AF3657" i="1"/>
  <c r="AG3647" i="1"/>
  <c r="AH3635" i="1"/>
  <c r="AF3582" i="1"/>
  <c r="AG3542" i="1"/>
  <c r="AG4039" i="1"/>
  <c r="AF3979" i="1"/>
  <c r="AG3891" i="1"/>
  <c r="AH3881" i="1"/>
  <c r="AH3869" i="1"/>
  <c r="AG3859" i="1"/>
  <c r="AF3829" i="1"/>
  <c r="AG3819" i="1"/>
  <c r="AG3774" i="1"/>
  <c r="AF3757" i="1"/>
  <c r="AH3730" i="1"/>
  <c r="AF3723" i="1"/>
  <c r="AG3678" i="1"/>
  <c r="AF3669" i="1"/>
  <c r="AH3664" i="1"/>
  <c r="AF3647" i="1"/>
  <c r="AG3635" i="1"/>
  <c r="AH3625" i="1"/>
  <c r="AH3615" i="1"/>
  <c r="AG3605" i="1"/>
  <c r="AF3542" i="1"/>
  <c r="AG3881" i="1"/>
  <c r="AF3869" i="1"/>
  <c r="AH3836" i="1"/>
  <c r="AF3856" i="1"/>
  <c r="AF3836" i="1"/>
  <c r="AF4039" i="1"/>
  <c r="AH4019" i="1"/>
  <c r="AG3999" i="1"/>
  <c r="AD9165" i="1"/>
  <c r="AB9166" i="1"/>
  <c r="AB9173" i="1"/>
  <c r="AD9172" i="1"/>
  <c r="AF9172" i="1"/>
  <c r="AF9153" i="1"/>
  <c r="AH9158" i="1"/>
  <c r="AE9172" i="1"/>
  <c r="AG9158" i="1"/>
  <c r="AH9165" i="1"/>
  <c r="AG9165" i="1"/>
  <c r="AF9165" i="1"/>
  <c r="AH9153" i="1"/>
  <c r="AE9165" i="1"/>
  <c r="AG9153" i="1"/>
  <c r="AE9153" i="1"/>
  <c r="AH9172" i="1"/>
  <c r="AF9158" i="1"/>
  <c r="AE9158" i="1"/>
  <c r="AD9158" i="1"/>
  <c r="AB9159" i="1"/>
  <c r="AB9154" i="1"/>
  <c r="AD9153" i="1"/>
  <c r="AD9128" i="1"/>
  <c r="AB9129" i="1"/>
  <c r="AB9136" i="1"/>
  <c r="AD9135" i="1"/>
  <c r="AD9142" i="1"/>
  <c r="AB9143" i="1"/>
  <c r="AF9142" i="1"/>
  <c r="AE9128" i="1"/>
  <c r="AE9142" i="1"/>
  <c r="AH9135" i="1"/>
  <c r="AH9123" i="1"/>
  <c r="AG9123" i="1"/>
  <c r="AF9123" i="1"/>
  <c r="AE9123" i="1"/>
  <c r="AF9128" i="1"/>
  <c r="AG9135" i="1"/>
  <c r="AF9135" i="1"/>
  <c r="AE9135" i="1"/>
  <c r="AH9128" i="1"/>
  <c r="AG9128" i="1"/>
  <c r="AH9142" i="1"/>
  <c r="AG9142" i="1"/>
  <c r="AH4311" i="1"/>
  <c r="AG4099" i="1"/>
  <c r="AF4082" i="1"/>
  <c r="AH4072" i="1"/>
  <c r="AG4012" i="1"/>
  <c r="AH4002" i="1"/>
  <c r="AG3979" i="1"/>
  <c r="AF3962" i="1"/>
  <c r="AH3951" i="1"/>
  <c r="AH3918" i="1"/>
  <c r="AF3911" i="1"/>
  <c r="AH3902" i="1"/>
  <c r="AF3898" i="1"/>
  <c r="AG3869" i="1"/>
  <c r="AH3859" i="1"/>
  <c r="AG3836" i="1"/>
  <c r="AF3819" i="1"/>
  <c r="AH3809" i="1"/>
  <c r="AF3774" i="1"/>
  <c r="AG3757" i="1"/>
  <c r="AF3713" i="1"/>
  <c r="AH3703" i="1"/>
  <c r="AF3642" i="1"/>
  <c r="AG3615" i="1"/>
  <c r="AH3605" i="1"/>
  <c r="AH3555" i="1"/>
  <c r="AH4079" i="1"/>
  <c r="AF4072" i="1"/>
  <c r="AG4062" i="1"/>
  <c r="AG4019" i="1"/>
  <c r="AF4002" i="1"/>
  <c r="AH3958" i="1"/>
  <c r="AF3951" i="1"/>
  <c r="AF3918" i="1"/>
  <c r="AF3902" i="1"/>
  <c r="AG3876" i="1"/>
  <c r="AF3859" i="1"/>
  <c r="AH3849" i="1"/>
  <c r="AH3816" i="1"/>
  <c r="AF3809" i="1"/>
  <c r="AG3799" i="1"/>
  <c r="AG3747" i="1"/>
  <c r="AH3710" i="1"/>
  <c r="AF3703" i="1"/>
  <c r="AG3693" i="1"/>
  <c r="AG3622" i="1"/>
  <c r="AF3605" i="1"/>
  <c r="AH3595" i="1"/>
  <c r="AH3562" i="1"/>
  <c r="AF3555" i="1"/>
  <c r="AG3545" i="1"/>
  <c r="AF3839" i="1"/>
  <c r="AH3796" i="1"/>
  <c r="AG3602" i="1"/>
  <c r="AF3585" i="1"/>
  <c r="AH3575" i="1"/>
  <c r="AG4079" i="1"/>
  <c r="AF4062" i="1"/>
  <c r="AH4052" i="1"/>
  <c r="AF4019" i="1"/>
  <c r="AG3958" i="1"/>
  <c r="AH3941" i="1"/>
  <c r="AF3876" i="1"/>
  <c r="AG3849" i="1"/>
  <c r="AH3839" i="1"/>
  <c r="AG3816" i="1"/>
  <c r="AF3799" i="1"/>
  <c r="AH3789" i="1"/>
  <c r="AH3754" i="1"/>
  <c r="AF3747" i="1"/>
  <c r="AH3738" i="1"/>
  <c r="AG3710" i="1"/>
  <c r="AF3693" i="1"/>
  <c r="AF3622" i="1"/>
  <c r="AG3595" i="1"/>
  <c r="AH3585" i="1"/>
  <c r="AG3562" i="1"/>
  <c r="AF3545" i="1"/>
  <c r="AH3535" i="1"/>
  <c r="AH3526" i="1"/>
  <c r="AH3856" i="1"/>
  <c r="AF3849" i="1"/>
  <c r="AG3839" i="1"/>
  <c r="AF3816" i="1"/>
  <c r="AG3754" i="1"/>
  <c r="AG3738" i="1"/>
  <c r="AG3535" i="1"/>
  <c r="AG3526" i="1"/>
  <c r="AH4059" i="1"/>
  <c r="AF4052" i="1"/>
  <c r="AG4042" i="1"/>
  <c r="AG3856" i="1"/>
  <c r="AF3738" i="1"/>
  <c r="AH3678" i="1"/>
  <c r="AH3669" i="1"/>
  <c r="AH3657" i="1"/>
  <c r="AH3542" i="1"/>
  <c r="AF3535" i="1"/>
  <c r="AF3526" i="1"/>
  <c r="AF4042" i="1"/>
  <c r="AH4032" i="1"/>
  <c r="AH3999" i="1"/>
  <c r="AF3992" i="1"/>
  <c r="AG3982" i="1"/>
  <c r="AG3931" i="1"/>
  <c r="AF4079" i="1"/>
  <c r="AG4052" i="1"/>
  <c r="AH4042" i="1"/>
  <c r="AH3992" i="1"/>
  <c r="AF3958" i="1"/>
  <c r="AG3941" i="1"/>
  <c r="AG3789" i="1"/>
  <c r="AF3710" i="1"/>
  <c r="AH3602" i="1"/>
  <c r="AF3595" i="1"/>
  <c r="AG3585" i="1"/>
  <c r="AF3562" i="1"/>
  <c r="AG3992" i="1"/>
  <c r="AH3982" i="1"/>
  <c r="AF3941" i="1"/>
  <c r="AH3931" i="1"/>
  <c r="AF3789" i="1"/>
  <c r="AF3754" i="1"/>
  <c r="AG4059" i="1"/>
  <c r="AH4039" i="1"/>
  <c r="AF4032" i="1"/>
  <c r="AG4022" i="1"/>
  <c r="AF3999" i="1"/>
  <c r="AG3938" i="1"/>
  <c r="AH3921" i="1"/>
  <c r="AH3891" i="1"/>
  <c r="AB9124" i="1"/>
  <c r="AD9123" i="1"/>
  <c r="AB9094" i="1"/>
  <c r="AD9093" i="1"/>
  <c r="AB9106" i="1"/>
  <c r="AD9105" i="1"/>
  <c r="AD9112" i="1"/>
  <c r="AB9113" i="1"/>
  <c r="AD9098" i="1"/>
  <c r="AB9099" i="1"/>
  <c r="AF9112" i="1"/>
  <c r="AF9105" i="1"/>
  <c r="AE9112" i="1"/>
  <c r="AH9105" i="1"/>
  <c r="AG9105" i="1"/>
  <c r="AH9093" i="1"/>
  <c r="AE9105" i="1"/>
  <c r="AG9093" i="1"/>
  <c r="AF9098" i="1"/>
  <c r="AE9098" i="1"/>
  <c r="AF9093" i="1"/>
  <c r="AG9098" i="1"/>
  <c r="AH9112" i="1"/>
  <c r="AG9112" i="1"/>
  <c r="AE9093" i="1"/>
  <c r="AH9098" i="1"/>
  <c r="AD9082" i="1"/>
  <c r="AB9083" i="1"/>
  <c r="AD9075" i="1"/>
  <c r="AB9076" i="1"/>
  <c r="AD9063" i="1"/>
  <c r="AB9064" i="1"/>
  <c r="AB9069" i="1"/>
  <c r="AD9068" i="1"/>
  <c r="AF9082" i="1"/>
  <c r="AE9082" i="1"/>
  <c r="AH9075" i="1"/>
  <c r="AG9075" i="1"/>
  <c r="AF9075" i="1"/>
  <c r="AH9063" i="1"/>
  <c r="AG9063" i="1"/>
  <c r="AE9063" i="1"/>
  <c r="AH9068" i="1"/>
  <c r="AF9068" i="1"/>
  <c r="AG9068" i="1"/>
  <c r="AE9075" i="1"/>
  <c r="AH9082" i="1"/>
  <c r="AG9082" i="1"/>
  <c r="AE9068" i="1"/>
  <c r="AF9063" i="1"/>
  <c r="AG147" i="1"/>
  <c r="AG4292" i="1"/>
  <c r="AH4282" i="1"/>
  <c r="AF4292" i="1"/>
  <c r="AG4282" i="1"/>
  <c r="AG4311" i="1"/>
  <c r="AH4301" i="1"/>
  <c r="AF4259" i="1"/>
  <c r="AG4221" i="1"/>
  <c r="AF4206" i="1"/>
  <c r="AG4234" i="1"/>
  <c r="AF4161" i="1"/>
  <c r="AF4160" i="1" s="1"/>
  <c r="AF4139" i="1"/>
  <c r="AF4142" i="1"/>
  <c r="AH4192" i="1"/>
  <c r="AF4171" i="1"/>
  <c r="AF4170" i="1" s="1"/>
  <c r="AH4139" i="1"/>
  <c r="AG4259" i="1"/>
  <c r="AG4161" i="1"/>
  <c r="AG4160" i="1" s="1"/>
  <c r="AH4349" i="1"/>
  <c r="AF4282" i="1"/>
  <c r="AF4311" i="1"/>
  <c r="AG4301" i="1"/>
  <c r="AF4221" i="1"/>
  <c r="AF4234" i="1"/>
  <c r="AH4152" i="1"/>
  <c r="AH4118" i="1"/>
  <c r="AH4224" i="1"/>
  <c r="AG4152" i="1"/>
  <c r="AH4142" i="1"/>
  <c r="AG4118" i="1"/>
  <c r="AF4118" i="1"/>
  <c r="AH4355" i="1"/>
  <c r="AG4355" i="1"/>
  <c r="AF4317" i="1"/>
  <c r="AF4273" i="1"/>
  <c r="AF4264" i="1"/>
  <c r="AG4349" i="1"/>
  <c r="AH4339" i="1"/>
  <c r="AH4298" i="1"/>
  <c r="AF4301" i="1"/>
  <c r="AH4240" i="1"/>
  <c r="AF4339" i="1"/>
  <c r="AH4320" i="1"/>
  <c r="AG4317" i="1"/>
  <c r="AG4273" i="1"/>
  <c r="AG4264" i="1"/>
  <c r="AF4240" i="1"/>
  <c r="AF4224" i="1"/>
  <c r="AH4158" i="1"/>
  <c r="AF4330" i="1"/>
  <c r="AG4320" i="1"/>
  <c r="AF4215" i="1"/>
  <c r="AG4198" i="1"/>
  <c r="AH4161" i="1"/>
  <c r="AH4160" i="1" s="1"/>
  <c r="AG4112" i="1"/>
  <c r="AF4198" i="1"/>
  <c r="AF4349" i="1"/>
  <c r="AG4339" i="1"/>
  <c r="AH4330" i="1"/>
  <c r="AG4298" i="1"/>
  <c r="AH4317" i="1"/>
  <c r="AH4273" i="1"/>
  <c r="AH4264" i="1"/>
  <c r="AG4240" i="1"/>
  <c r="AG4224" i="1"/>
  <c r="AF4152" i="1"/>
  <c r="AG4142" i="1"/>
  <c r="AG4330" i="1"/>
  <c r="AF4298" i="1"/>
  <c r="AG4158" i="1"/>
  <c r="AF4103" i="1"/>
  <c r="AF4355" i="1"/>
  <c r="AH4336" i="1"/>
  <c r="AF4320" i="1"/>
  <c r="AH4253" i="1"/>
  <c r="AG4192" i="1"/>
  <c r="AH4182" i="1"/>
  <c r="AF4158" i="1"/>
  <c r="AH4133" i="1"/>
  <c r="AH4123" i="1"/>
  <c r="AG4336" i="1"/>
  <c r="AH4279" i="1"/>
  <c r="AG4253" i="1"/>
  <c r="AG4182" i="1"/>
  <c r="AF4253" i="1"/>
  <c r="AH4215" i="1"/>
  <c r="AF4182" i="1"/>
  <c r="AH4171" i="1"/>
  <c r="AH4170" i="1" s="1"/>
  <c r="AF4133" i="1"/>
  <c r="AF4123" i="1"/>
  <c r="AF4279" i="1"/>
  <c r="AH4198" i="1"/>
  <c r="AG4171" i="1"/>
  <c r="AG4170" i="1" s="1"/>
  <c r="AH4112" i="1"/>
  <c r="AH4103" i="1"/>
  <c r="AH4206" i="1"/>
  <c r="AG4103" i="1"/>
  <c r="AH4234" i="1"/>
  <c r="AF4112" i="1"/>
  <c r="AH4243" i="1"/>
  <c r="AF4192" i="1"/>
  <c r="AG4133" i="1"/>
  <c r="AG4123" i="1"/>
  <c r="AG4243" i="1"/>
  <c r="AF4243" i="1"/>
  <c r="AG4206" i="1"/>
  <c r="AF4336" i="1"/>
  <c r="AG4279" i="1"/>
  <c r="AG4215" i="1"/>
  <c r="AH4292" i="1"/>
  <c r="AH4259" i="1"/>
  <c r="AH4221" i="1"/>
  <c r="AG4139" i="1"/>
  <c r="AF9044" i="1"/>
  <c r="AE9044" i="1"/>
  <c r="AH9044" i="1"/>
  <c r="AE9030" i="1"/>
  <c r="AH9037" i="1"/>
  <c r="AE9037" i="1"/>
  <c r="AF9025" i="1"/>
  <c r="AG9037" i="1"/>
  <c r="AF9037" i="1"/>
  <c r="AH9025" i="1"/>
  <c r="AG9025" i="1"/>
  <c r="AE9025" i="1"/>
  <c r="AG9030" i="1"/>
  <c r="AH9030" i="1"/>
  <c r="AF9030" i="1"/>
  <c r="AG9044" i="1"/>
  <c r="AB9026" i="1"/>
  <c r="AD9025" i="1"/>
  <c r="AB9038" i="1"/>
  <c r="AD9037" i="1"/>
  <c r="AD9044" i="1"/>
  <c r="AB9045" i="1"/>
  <c r="AD9030" i="1"/>
  <c r="AB9031" i="1"/>
  <c r="AH419" i="1"/>
  <c r="AG388" i="1"/>
  <c r="AG2084" i="1"/>
  <c r="AG457" i="1"/>
  <c r="AH465" i="1"/>
  <c r="AF2020" i="1"/>
  <c r="AH438" i="1"/>
  <c r="AG1998" i="1"/>
  <c r="AH475" i="1"/>
  <c r="AH221" i="1"/>
  <c r="AH230" i="1"/>
  <c r="AG1980" i="1"/>
  <c r="AF147" i="1"/>
  <c r="AH140" i="1"/>
  <c r="AG164" i="1"/>
  <c r="AF164" i="1"/>
  <c r="AF179" i="1"/>
  <c r="AH133" i="1"/>
  <c r="AF133" i="1"/>
  <c r="AH173" i="1"/>
  <c r="AF140" i="1"/>
  <c r="AG121" i="1"/>
  <c r="AG173" i="1"/>
  <c r="AH179" i="1"/>
  <c r="AH121" i="1"/>
  <c r="AH176" i="1"/>
  <c r="AH147" i="1"/>
  <c r="AG140" i="1"/>
  <c r="AF176" i="1"/>
  <c r="AG179" i="1"/>
  <c r="AH164" i="1"/>
  <c r="AG176" i="1"/>
  <c r="AF121" i="1"/>
  <c r="AH2165" i="1"/>
  <c r="AG2140" i="1"/>
  <c r="AH2130" i="1"/>
  <c r="AG2121" i="1"/>
  <c r="AG2112" i="1"/>
  <c r="AG2103" i="1"/>
  <c r="AF2184" i="1"/>
  <c r="AG2165" i="1"/>
  <c r="AF2140" i="1"/>
  <c r="AG2130" i="1"/>
  <c r="AF2121" i="1"/>
  <c r="AF2112" i="1"/>
  <c r="AH2093" i="1"/>
  <c r="AH2072" i="1"/>
  <c r="AF2053" i="1"/>
  <c r="AH2035" i="1"/>
  <c r="AF1998" i="1"/>
  <c r="AF1980" i="1"/>
  <c r="AH494" i="1"/>
  <c r="AG475" i="1"/>
  <c r="AF465" i="1"/>
  <c r="AF457" i="1"/>
  <c r="AG438" i="1"/>
  <c r="AG419" i="1"/>
  <c r="AG258" i="1"/>
  <c r="AF388" i="1"/>
  <c r="AG230" i="1"/>
  <c r="AG221" i="1"/>
  <c r="AG2109" i="1"/>
  <c r="AF2093" i="1"/>
  <c r="AF494" i="1"/>
  <c r="AG484" i="1"/>
  <c r="AF212" i="1"/>
  <c r="AG2209" i="1"/>
  <c r="AH369" i="1"/>
  <c r="AF332" i="1"/>
  <c r="AH295" i="1"/>
  <c r="AF2127" i="1"/>
  <c r="AH322" i="1"/>
  <c r="AF246" i="1"/>
  <c r="AF227" i="1"/>
  <c r="AH451" i="1"/>
  <c r="AG404" i="1"/>
  <c r="AF322" i="1"/>
  <c r="AG304" i="1"/>
  <c r="AF2130" i="1"/>
  <c r="AG2093" i="1"/>
  <c r="AG2072" i="1"/>
  <c r="AG2035" i="1"/>
  <c r="AG494" i="1"/>
  <c r="AH484" i="1"/>
  <c r="AF438" i="1"/>
  <c r="AF258" i="1"/>
  <c r="AH249" i="1"/>
  <c r="AG194" i="1"/>
  <c r="AF230" i="1"/>
  <c r="AF221" i="1"/>
  <c r="AH212" i="1"/>
  <c r="AF173" i="1"/>
  <c r="AF2072" i="1"/>
  <c r="AF267" i="1"/>
  <c r="AG249" i="1"/>
  <c r="AG203" i="1"/>
  <c r="AF194" i="1"/>
  <c r="AH246" i="1"/>
  <c r="AG2127" i="1"/>
  <c r="AF2109" i="1"/>
  <c r="AF249" i="1"/>
  <c r="AF203" i="1"/>
  <c r="AG246" i="1"/>
  <c r="AG227" i="1"/>
  <c r="AF2209" i="1"/>
  <c r="AH500" i="1"/>
  <c r="AH481" i="1"/>
  <c r="AH350" i="1"/>
  <c r="AG369" i="1"/>
  <c r="AG295" i="1"/>
  <c r="AH264" i="1"/>
  <c r="AF2146" i="1"/>
  <c r="AG500" i="1"/>
  <c r="AG481" i="1"/>
  <c r="AH404" i="1"/>
  <c r="AF350" i="1"/>
  <c r="AH341" i="1"/>
  <c r="AG322" i="1"/>
  <c r="AH313" i="1"/>
  <c r="AF295" i="1"/>
  <c r="AH286" i="1"/>
  <c r="AG264" i="1"/>
  <c r="AF500" i="1"/>
  <c r="AH413" i="1"/>
  <c r="AG341" i="1"/>
  <c r="AH338" i="1"/>
  <c r="AG313" i="1"/>
  <c r="AH2178" i="1"/>
  <c r="AH2159" i="1"/>
  <c r="AH2047" i="1"/>
  <c r="AH2011" i="1"/>
  <c r="AF1992" i="1"/>
  <c r="AH1983" i="1"/>
  <c r="AH1974" i="1"/>
  <c r="AG451" i="1"/>
  <c r="AH441" i="1"/>
  <c r="AH432" i="1"/>
  <c r="AG413" i="1"/>
  <c r="AF341" i="1"/>
  <c r="AG338" i="1"/>
  <c r="AF304" i="1"/>
  <c r="AG282" i="1"/>
  <c r="AH209" i="1"/>
  <c r="AF2178" i="1"/>
  <c r="AG2149" i="1"/>
  <c r="AF2057" i="1"/>
  <c r="AH2038" i="1"/>
  <c r="AH2020" i="1"/>
  <c r="AF1974" i="1"/>
  <c r="AG513" i="1"/>
  <c r="AF441" i="1"/>
  <c r="AF432" i="1"/>
  <c r="AG422" i="1"/>
  <c r="AG356" i="1"/>
  <c r="AG319" i="1"/>
  <c r="AH2112" i="1"/>
  <c r="AG2038" i="1"/>
  <c r="AG2020" i="1"/>
  <c r="AH1998" i="1"/>
  <c r="AH388" i="1"/>
  <c r="AH2053" i="1"/>
  <c r="AG2178" i="1"/>
  <c r="AH2168" i="1"/>
  <c r="AH2149" i="1"/>
  <c r="AG2057" i="1"/>
  <c r="AG2047" i="1"/>
  <c r="AH2029" i="1"/>
  <c r="AG2011" i="1"/>
  <c r="AG1983" i="1"/>
  <c r="AG1974" i="1"/>
  <c r="AH513" i="1"/>
  <c r="AH503" i="1"/>
  <c r="AF451" i="1"/>
  <c r="AG441" i="1"/>
  <c r="AG432" i="1"/>
  <c r="AH422" i="1"/>
  <c r="AH356" i="1"/>
  <c r="AF338" i="1"/>
  <c r="AH319" i="1"/>
  <c r="AF282" i="1"/>
  <c r="AG2168" i="1"/>
  <c r="AF2047" i="1"/>
  <c r="AF2029" i="1"/>
  <c r="AF1983" i="1"/>
  <c r="AH1965" i="1"/>
  <c r="AH2121" i="1"/>
  <c r="AH2103" i="1"/>
  <c r="AH2084" i="1"/>
  <c r="AF1965" i="1"/>
  <c r="AF319" i="1"/>
  <c r="AF545" i="1"/>
  <c r="AF544" i="1" s="1"/>
  <c r="AH2203" i="1"/>
  <c r="AF2165" i="1"/>
  <c r="AF2149" i="1"/>
  <c r="AF2084" i="1"/>
  <c r="AH2075" i="1"/>
  <c r="AF2035" i="1"/>
  <c r="AF2011" i="1"/>
  <c r="AF513" i="1"/>
  <c r="AG503" i="1"/>
  <c r="AF481" i="1"/>
  <c r="AF419" i="1"/>
  <c r="AF356" i="1"/>
  <c r="AF369" i="1"/>
  <c r="AH301" i="1"/>
  <c r="AG286" i="1"/>
  <c r="AH276" i="1"/>
  <c r="AG209" i="1"/>
  <c r="AH394" i="1"/>
  <c r="AH378" i="1"/>
  <c r="AG2203" i="1"/>
  <c r="AH2090" i="1"/>
  <c r="AG2075" i="1"/>
  <c r="AH2066" i="1"/>
  <c r="AH2017" i="1"/>
  <c r="AH2001" i="1"/>
  <c r="AH519" i="1"/>
  <c r="AF503" i="1"/>
  <c r="AH375" i="1"/>
  <c r="AH359" i="1"/>
  <c r="AG301" i="1"/>
  <c r="AF286" i="1"/>
  <c r="AG276" i="1"/>
  <c r="AF209" i="1"/>
  <c r="AG394" i="1"/>
  <c r="AG378" i="1"/>
  <c r="AH240" i="1"/>
  <c r="AF2090" i="1"/>
  <c r="AF2066" i="1"/>
  <c r="AH2057" i="1"/>
  <c r="AF2017" i="1"/>
  <c r="AF2001" i="1"/>
  <c r="AG1992" i="1"/>
  <c r="AH282" i="1"/>
  <c r="AG267" i="1"/>
  <c r="AH258" i="1"/>
  <c r="AF2203" i="1"/>
  <c r="AH2193" i="1"/>
  <c r="AG2090" i="1"/>
  <c r="AF2075" i="1"/>
  <c r="AG2066" i="1"/>
  <c r="AG2017" i="1"/>
  <c r="AG2001" i="1"/>
  <c r="AH1992" i="1"/>
  <c r="AG519" i="1"/>
  <c r="AG375" i="1"/>
  <c r="AG359" i="1"/>
  <c r="AH332" i="1"/>
  <c r="AF301" i="1"/>
  <c r="AF276" i="1"/>
  <c r="AH267" i="1"/>
  <c r="AF394" i="1"/>
  <c r="AF378" i="1"/>
  <c r="AG240" i="1"/>
  <c r="AG2193" i="1"/>
  <c r="AF519" i="1"/>
  <c r="AF375" i="1"/>
  <c r="AF359" i="1"/>
  <c r="AG332" i="1"/>
  <c r="AF240" i="1"/>
  <c r="AH2209" i="1"/>
  <c r="AF2193" i="1"/>
  <c r="AH2140" i="1"/>
  <c r="AH2184" i="1"/>
  <c r="AF2168" i="1"/>
  <c r="AG2159" i="1"/>
  <c r="AH2146" i="1"/>
  <c r="AF2103" i="1"/>
  <c r="AG2053" i="1"/>
  <c r="AF2038" i="1"/>
  <c r="AG2029" i="1"/>
  <c r="AH1980" i="1"/>
  <c r="AG1965" i="1"/>
  <c r="AF484" i="1"/>
  <c r="AF475" i="1"/>
  <c r="AG465" i="1"/>
  <c r="AH457" i="1"/>
  <c r="AF422" i="1"/>
  <c r="AF413" i="1"/>
  <c r="AF404" i="1"/>
  <c r="AG350" i="1"/>
  <c r="AF313" i="1"/>
  <c r="AH304" i="1"/>
  <c r="AF264" i="1"/>
  <c r="AH203" i="1"/>
  <c r="AH194" i="1"/>
  <c r="AH227" i="1"/>
  <c r="AG212" i="1"/>
  <c r="AG133" i="1"/>
  <c r="AG2184" i="1"/>
  <c r="AF2159" i="1"/>
  <c r="AG2146" i="1"/>
  <c r="AH2127" i="1"/>
  <c r="AH2109" i="1"/>
  <c r="AG747" i="1"/>
  <c r="AG746" i="1" s="1"/>
  <c r="AG570" i="1"/>
  <c r="AG569" i="1" s="1"/>
  <c r="AH565" i="1"/>
  <c r="AH564" i="1" s="1"/>
  <c r="AF570" i="1"/>
  <c r="AF569" i="1" s="1"/>
  <c r="AH560" i="1"/>
  <c r="AH559" i="1" s="1"/>
  <c r="AH555" i="1"/>
  <c r="AH554" i="1" s="1"/>
  <c r="AH545" i="1"/>
  <c r="AH544" i="1" s="1"/>
  <c r="AH535" i="1"/>
  <c r="AH534" i="1" s="1"/>
  <c r="AH575" i="1"/>
  <c r="AH574" i="1" s="1"/>
  <c r="AG565" i="1"/>
  <c r="AG564" i="1" s="1"/>
  <c r="AH540" i="1"/>
  <c r="AH539" i="1" s="1"/>
  <c r="AG560" i="1"/>
  <c r="AG559" i="1" s="1"/>
  <c r="AG555" i="1"/>
  <c r="AG554" i="1" s="1"/>
  <c r="AG545" i="1"/>
  <c r="AG544" i="1" s="1"/>
  <c r="AG535" i="1"/>
  <c r="AG534" i="1" s="1"/>
  <c r="AF535" i="1"/>
  <c r="AF534" i="1" s="1"/>
  <c r="AG575" i="1"/>
  <c r="AG574" i="1" s="1"/>
  <c r="AF575" i="1"/>
  <c r="AF574" i="1" s="1"/>
  <c r="AF560" i="1"/>
  <c r="AF559" i="1" s="1"/>
  <c r="AF555" i="1"/>
  <c r="AF554" i="1" s="1"/>
  <c r="AF565" i="1"/>
  <c r="AF564" i="1" s="1"/>
  <c r="AG550" i="1"/>
  <c r="AG549" i="1" s="1"/>
  <c r="AG540" i="1"/>
  <c r="AG539" i="1" s="1"/>
  <c r="AG530" i="1"/>
  <c r="AG529" i="1" s="1"/>
  <c r="AF550" i="1"/>
  <c r="AF549" i="1" s="1"/>
  <c r="AF540" i="1"/>
  <c r="AF539" i="1" s="1"/>
  <c r="AF530" i="1"/>
  <c r="AF529" i="1" s="1"/>
  <c r="AH570" i="1"/>
  <c r="AH569" i="1" s="1"/>
  <c r="AH550" i="1"/>
  <c r="AH549" i="1" s="1"/>
  <c r="AH530" i="1"/>
  <c r="AH529" i="1" s="1"/>
  <c r="AG1600" i="1"/>
  <c r="AG1422" i="1"/>
  <c r="AG1006" i="1"/>
  <c r="AF1379" i="1"/>
  <c r="AF1212" i="1"/>
  <c r="AF1233" i="1"/>
  <c r="AG1451" i="1"/>
  <c r="AF1219" i="1"/>
  <c r="AF726" i="1"/>
  <c r="AF725" i="1" s="1"/>
  <c r="AG721" i="1"/>
  <c r="AG720" i="1" s="1"/>
  <c r="AF586" i="1"/>
  <c r="AF585" i="1" s="1"/>
  <c r="AF701" i="1"/>
  <c r="AF700" i="1" s="1"/>
  <c r="AG737" i="1"/>
  <c r="AG736" i="1" s="1"/>
  <c r="AF780" i="1"/>
  <c r="AH795" i="1"/>
  <c r="AG601" i="1"/>
  <c r="AG600" i="1" s="1"/>
  <c r="AG821" i="1"/>
  <c r="AG657" i="1"/>
  <c r="AG656" i="1" s="1"/>
  <c r="AF581" i="1"/>
  <c r="AF580" i="1" s="1"/>
  <c r="AF616" i="1"/>
  <c r="AF615" i="1" s="1"/>
  <c r="AH636" i="1"/>
  <c r="AH635" i="1" s="1"/>
  <c r="AH780" i="1"/>
  <c r="AH611" i="1"/>
  <c r="AH610" i="1" s="1"/>
  <c r="AG742" i="1"/>
  <c r="AG741" i="1" s="1"/>
  <c r="AG818" i="1"/>
  <c r="AH731" i="1"/>
  <c r="AH730" i="1" s="1"/>
  <c r="AF821" i="1"/>
  <c r="AG696" i="1"/>
  <c r="AG695" i="1" s="1"/>
  <c r="AF621" i="1"/>
  <c r="AF620" i="1" s="1"/>
  <c r="AF806" i="1"/>
  <c r="AH701" i="1"/>
  <c r="AH700" i="1" s="1"/>
  <c r="AF652" i="1"/>
  <c r="AF651" i="1" s="1"/>
  <c r="AF646" i="1"/>
  <c r="AF645" i="1" s="1"/>
  <c r="AH601" i="1"/>
  <c r="AH600" i="1" s="1"/>
  <c r="AH657" i="1"/>
  <c r="AH656" i="1" s="1"/>
  <c r="AG767" i="1"/>
  <c r="AG766" i="1" s="1"/>
  <c r="AF591" i="1"/>
  <c r="AF590" i="1" s="1"/>
  <c r="AG586" i="1"/>
  <c r="AG585" i="1" s="1"/>
  <c r="AG701" i="1"/>
  <c r="AG700" i="1" s="1"/>
  <c r="AH792" i="1"/>
  <c r="AG616" i="1"/>
  <c r="AG615" i="1" s="1"/>
  <c r="AH646" i="1"/>
  <c r="AH645" i="1" s="1"/>
  <c r="AH696" i="1"/>
  <c r="AH695" i="1" s="1"/>
  <c r="AH606" i="1"/>
  <c r="AH605" i="1" s="1"/>
  <c r="AF731" i="1"/>
  <c r="AF730" i="1" s="1"/>
  <c r="AF686" i="1"/>
  <c r="AF685" i="1" s="1"/>
  <c r="AF601" i="1"/>
  <c r="AF600" i="1" s="1"/>
  <c r="AH596" i="1"/>
  <c r="AH595" i="1" s="1"/>
  <c r="AH652" i="1"/>
  <c r="AH651" i="1" s="1"/>
  <c r="AG652" i="1"/>
  <c r="AG651" i="1" s="1"/>
  <c r="AF662" i="1"/>
  <c r="AF661" i="1" s="1"/>
  <c r="AG667" i="1"/>
  <c r="AG666" i="1" s="1"/>
  <c r="AF611" i="1"/>
  <c r="AF610" i="1" s="1"/>
  <c r="AG731" i="1"/>
  <c r="AG730" i="1" s="1"/>
  <c r="AH691" i="1"/>
  <c r="AH690" i="1" s="1"/>
  <c r="AG591" i="1"/>
  <c r="AG590" i="1" s="1"/>
  <c r="AH581" i="1"/>
  <c r="AH580" i="1" s="1"/>
  <c r="AF691" i="1"/>
  <c r="AF690" i="1" s="1"/>
  <c r="AG686" i="1"/>
  <c r="AG685" i="1" s="1"/>
  <c r="AF626" i="1"/>
  <c r="AF625" i="1" s="1"/>
  <c r="AF742" i="1"/>
  <c r="AF741" i="1" s="1"/>
  <c r="AG611" i="1"/>
  <c r="AG610" i="1" s="1"/>
  <c r="AG636" i="1"/>
  <c r="AG635" i="1" s="1"/>
  <c r="AG606" i="1"/>
  <c r="AG605" i="1" s="1"/>
  <c r="AH616" i="1"/>
  <c r="AH615" i="1" s="1"/>
  <c r="AH591" i="1"/>
  <c r="AH590" i="1" s="1"/>
  <c r="AH721" i="1"/>
  <c r="AH720" i="1" s="1"/>
  <c r="AH767" i="1"/>
  <c r="AH766" i="1" s="1"/>
  <c r="AF641" i="1"/>
  <c r="AF640" i="1" s="1"/>
  <c r="AG726" i="1"/>
  <c r="AG725" i="1" s="1"/>
  <c r="AG662" i="1"/>
  <c r="AG661" i="1" s="1"/>
  <c r="AG596" i="1"/>
  <c r="AG595" i="1" s="1"/>
  <c r="AH586" i="1"/>
  <c r="AH585" i="1" s="1"/>
  <c r="AG626" i="1"/>
  <c r="AG625" i="1" s="1"/>
  <c r="AH626" i="1"/>
  <c r="AH625" i="1" s="1"/>
  <c r="AG775" i="1"/>
  <c r="AF792" i="1"/>
  <c r="AF657" i="1"/>
  <c r="AF656" i="1" s="1"/>
  <c r="AF737" i="1"/>
  <c r="AF736" i="1" s="1"/>
  <c r="AH662" i="1"/>
  <c r="AH661" i="1" s="1"/>
  <c r="AG691" i="1"/>
  <c r="AG690" i="1" s="1"/>
  <c r="AF667" i="1"/>
  <c r="AF666" i="1" s="1"/>
  <c r="AH667" i="1"/>
  <c r="AH666" i="1" s="1"/>
  <c r="AH681" i="1"/>
  <c r="AH680" i="1" s="1"/>
  <c r="AF795" i="1"/>
  <c r="AG792" i="1"/>
  <c r="AF681" i="1"/>
  <c r="AF680" i="1" s="1"/>
  <c r="AH726" i="1"/>
  <c r="AH725" i="1" s="1"/>
  <c r="AG681" i="1"/>
  <c r="AG680" i="1" s="1"/>
  <c r="AH806" i="1"/>
  <c r="AF811" i="1"/>
  <c r="AF696" i="1"/>
  <c r="AF695" i="1" s="1"/>
  <c r="AH818" i="1"/>
  <c r="AF747" i="1"/>
  <c r="AF746" i="1" s="1"/>
  <c r="AH747" i="1"/>
  <c r="AH746" i="1" s="1"/>
  <c r="AH811" i="1"/>
  <c r="AH686" i="1"/>
  <c r="AH685" i="1" s="1"/>
  <c r="AG806" i="1"/>
  <c r="AF606" i="1"/>
  <c r="AF605" i="1" s="1"/>
  <c r="AG621" i="1"/>
  <c r="AG620" i="1" s="1"/>
  <c r="AH775" i="1"/>
  <c r="AH821" i="1"/>
  <c r="AF818" i="1"/>
  <c r="AG811" i="1"/>
  <c r="AH742" i="1"/>
  <c r="AH741" i="1" s="1"/>
  <c r="AH621" i="1"/>
  <c r="AH620" i="1" s="1"/>
  <c r="AG581" i="1"/>
  <c r="AG580" i="1" s="1"/>
  <c r="AF636" i="1"/>
  <c r="AF635" i="1" s="1"/>
  <c r="AG631" i="1"/>
  <c r="AG630" i="1" s="1"/>
  <c r="AG780" i="1"/>
  <c r="AF775" i="1"/>
  <c r="AG646" i="1"/>
  <c r="AG645" i="1" s="1"/>
  <c r="AF596" i="1"/>
  <c r="AF595" i="1" s="1"/>
  <c r="AF767" i="1"/>
  <c r="AF766" i="1" s="1"/>
  <c r="AF1559" i="1"/>
  <c r="AH1407" i="1"/>
  <c r="AF1451" i="1"/>
  <c r="AH1394" i="1"/>
  <c r="AH1110" i="1"/>
  <c r="AH1245" i="1"/>
  <c r="AH1760" i="1"/>
  <c r="AG1124" i="1"/>
  <c r="AH1310" i="1"/>
  <c r="AF1124" i="1"/>
  <c r="AG1642" i="1"/>
  <c r="AG999" i="1"/>
  <c r="AH1710" i="1"/>
  <c r="AG1407" i="1"/>
  <c r="AG1394" i="1"/>
  <c r="AG968" i="1"/>
  <c r="AG1710" i="1"/>
  <c r="AH1647" i="1"/>
  <c r="AF1407" i="1"/>
  <c r="AF968" i="1"/>
  <c r="AF1574" i="1"/>
  <c r="AH837" i="1"/>
  <c r="AH641" i="1"/>
  <c r="AH640" i="1" s="1"/>
  <c r="AF1422" i="1"/>
  <c r="AG1481" i="1"/>
  <c r="AG1295" i="1"/>
  <c r="AG1504" i="1"/>
  <c r="AF1295" i="1"/>
  <c r="AF858" i="1"/>
  <c r="AF1504" i="1"/>
  <c r="AG1103" i="1"/>
  <c r="AG1212" i="1"/>
  <c r="AF1710" i="1"/>
  <c r="AH1238" i="1"/>
  <c r="AH1274" i="1"/>
  <c r="AH1728" i="1"/>
  <c r="AG1087" i="1"/>
  <c r="AH1504" i="1"/>
  <c r="AF1087" i="1"/>
  <c r="AF837" i="1"/>
  <c r="AG1585" i="1"/>
  <c r="AG1497" i="1"/>
  <c r="AH884" i="1"/>
  <c r="AH844" i="1"/>
  <c r="AG1760" i="1"/>
  <c r="AF1497" i="1"/>
  <c r="AG844" i="1"/>
  <c r="AG1310" i="1"/>
  <c r="AG1035" i="1"/>
  <c r="AF1696" i="1"/>
  <c r="AG1233" i="1"/>
  <c r="AG1219" i="1"/>
  <c r="AH1481" i="1"/>
  <c r="AH1077" i="1"/>
  <c r="AH873" i="1"/>
  <c r="AG837" i="1"/>
  <c r="AH1585" i="1"/>
  <c r="AH1497" i="1"/>
  <c r="AH937" i="1"/>
  <c r="AF1481" i="1"/>
  <c r="AG937" i="1"/>
  <c r="AH1035" i="1"/>
  <c r="AF937" i="1"/>
  <c r="AH1379" i="1"/>
  <c r="AF1113" i="1"/>
  <c r="AH1103" i="1"/>
  <c r="AH1219" i="1"/>
  <c r="AH1212" i="1"/>
  <c r="AH999" i="1"/>
  <c r="AF1642" i="1"/>
  <c r="AG1379" i="1"/>
  <c r="AF1310" i="1"/>
  <c r="AH1006" i="1"/>
  <c r="AG1728" i="1"/>
  <c r="AF1600" i="1"/>
  <c r="AF1742" i="1"/>
  <c r="AF1728" i="1"/>
  <c r="AF1585" i="1"/>
  <c r="AH1662" i="1"/>
  <c r="AG1647" i="1"/>
  <c r="AH1571" i="1"/>
  <c r="AH1521" i="1"/>
  <c r="AH1412" i="1"/>
  <c r="AF1394" i="1"/>
  <c r="AG1110" i="1"/>
  <c r="AF1103" i="1"/>
  <c r="AG1245" i="1"/>
  <c r="AG1238" i="1"/>
  <c r="AH1061" i="1"/>
  <c r="AH1155" i="1"/>
  <c r="AF1035" i="1"/>
  <c r="AH1129" i="1"/>
  <c r="AH1181" i="1"/>
  <c r="AH980" i="1"/>
  <c r="AH973" i="1"/>
  <c r="AH942" i="1"/>
  <c r="AG884" i="1"/>
  <c r="AG873" i="1"/>
  <c r="AF844" i="1"/>
  <c r="AF884" i="1"/>
  <c r="AH863" i="1"/>
  <c r="AH1597" i="1"/>
  <c r="AH1628" i="1"/>
  <c r="AH1538" i="1"/>
  <c r="AF1454" i="1"/>
  <c r="AF1264" i="1"/>
  <c r="AG1025" i="1"/>
  <c r="AF1144" i="1"/>
  <c r="AH1009" i="1"/>
  <c r="AF957" i="1"/>
  <c r="AF1763" i="1"/>
  <c r="AG1747" i="1"/>
  <c r="AG1597" i="1"/>
  <c r="AG1628" i="1"/>
  <c r="AH1611" i="1"/>
  <c r="AG1538" i="1"/>
  <c r="AH1352" i="1"/>
  <c r="AH1391" i="1"/>
  <c r="AG1072" i="1"/>
  <c r="AF1051" i="1"/>
  <c r="AF1025" i="1"/>
  <c r="AG1009" i="1"/>
  <c r="AH994" i="1"/>
  <c r="AH889" i="1"/>
  <c r="AH870" i="1"/>
  <c r="AF1747" i="1"/>
  <c r="AF1628" i="1"/>
  <c r="AF1538" i="1"/>
  <c r="AF1009" i="1"/>
  <c r="AH910" i="1"/>
  <c r="AH899" i="1"/>
  <c r="AG889" i="1"/>
  <c r="AG870" i="1"/>
  <c r="AH1696" i="1"/>
  <c r="AF1659" i="1"/>
  <c r="AF1359" i="1"/>
  <c r="AF1336" i="1"/>
  <c r="AF1374" i="1"/>
  <c r="AF1058" i="1"/>
  <c r="AF994" i="1"/>
  <c r="AG910" i="1"/>
  <c r="AG899" i="1"/>
  <c r="AF870" i="1"/>
  <c r="AH737" i="1"/>
  <c r="AH736" i="1" s="1"/>
  <c r="AH1678" i="1"/>
  <c r="AG1559" i="1"/>
  <c r="AH1295" i="1"/>
  <c r="AH1087" i="1"/>
  <c r="AH1167" i="1"/>
  <c r="AH1141" i="1"/>
  <c r="AF954" i="1"/>
  <c r="AF847" i="1"/>
  <c r="AG1662" i="1"/>
  <c r="AG1571" i="1"/>
  <c r="AG1521" i="1"/>
  <c r="AH1419" i="1"/>
  <c r="AG1412" i="1"/>
  <c r="AF1347" i="1"/>
  <c r="AH1321" i="1"/>
  <c r="AF1439" i="1"/>
  <c r="AH1271" i="1"/>
  <c r="AH1264" i="1"/>
  <c r="AF1110" i="1"/>
  <c r="AF1245" i="1"/>
  <c r="AF1238" i="1"/>
  <c r="AG1061" i="1"/>
  <c r="AH1170" i="1"/>
  <c r="AG1155" i="1"/>
  <c r="AH1144" i="1"/>
  <c r="AG1129" i="1"/>
  <c r="AH1196" i="1"/>
  <c r="AG980" i="1"/>
  <c r="AG973" i="1"/>
  <c r="AH957" i="1"/>
  <c r="AG942" i="1"/>
  <c r="AH925" i="1"/>
  <c r="AF873" i="1"/>
  <c r="AG1763" i="1"/>
  <c r="AH1072" i="1"/>
  <c r="AF1170" i="1"/>
  <c r="AH1336" i="1"/>
  <c r="AH1290" i="1"/>
  <c r="AG1032" i="1"/>
  <c r="AF1492" i="1"/>
  <c r="AG1352" i="1"/>
  <c r="AF1072" i="1"/>
  <c r="AH1207" i="1"/>
  <c r="AG994" i="1"/>
  <c r="AF1352" i="1"/>
  <c r="AH631" i="1"/>
  <c r="AH630" i="1" s="1"/>
  <c r="AG1696" i="1"/>
  <c r="AH1642" i="1"/>
  <c r="AH1451" i="1"/>
  <c r="AF1207" i="1"/>
  <c r="AF1193" i="1"/>
  <c r="AF910" i="1"/>
  <c r="AF631" i="1"/>
  <c r="AF630" i="1" s="1"/>
  <c r="AH1699" i="1"/>
  <c r="AH1590" i="1"/>
  <c r="AF1662" i="1"/>
  <c r="AF1571" i="1"/>
  <c r="AF1521" i="1"/>
  <c r="AG1419" i="1"/>
  <c r="AG1271" i="1"/>
  <c r="AG1264" i="1"/>
  <c r="AF1061" i="1"/>
  <c r="AG1170" i="1"/>
  <c r="AF1155" i="1"/>
  <c r="AG1144" i="1"/>
  <c r="AF1129" i="1"/>
  <c r="AG1196" i="1"/>
  <c r="AF980" i="1"/>
  <c r="AF973" i="1"/>
  <c r="AG957" i="1"/>
  <c r="AF942" i="1"/>
  <c r="AG925" i="1"/>
  <c r="AH1747" i="1"/>
  <c r="AG1590" i="1"/>
  <c r="AF1271" i="1"/>
  <c r="AF1196" i="1"/>
  <c r="AG863" i="1"/>
  <c r="AH1359" i="1"/>
  <c r="AF863" i="1"/>
  <c r="AG1611" i="1"/>
  <c r="AH1466" i="1"/>
  <c r="AG1359" i="1"/>
  <c r="AG1336" i="1"/>
  <c r="AG1290" i="1"/>
  <c r="AH1160" i="1"/>
  <c r="AF1032" i="1"/>
  <c r="AF1186" i="1"/>
  <c r="AG922" i="1"/>
  <c r="AF1290" i="1"/>
  <c r="AG1207" i="1"/>
  <c r="AF922" i="1"/>
  <c r="AF889" i="1"/>
  <c r="AF899" i="1"/>
  <c r="AH1872" i="1"/>
  <c r="AH1871" i="1" s="1"/>
  <c r="AF1760" i="1"/>
  <c r="AH1715" i="1"/>
  <c r="AG1678" i="1"/>
  <c r="AF1597" i="1"/>
  <c r="AF1590" i="1"/>
  <c r="AF1647" i="1"/>
  <c r="AH1631" i="1"/>
  <c r="AF1611" i="1"/>
  <c r="AH1526" i="1"/>
  <c r="AH1507" i="1"/>
  <c r="AG1466" i="1"/>
  <c r="AF1419" i="1"/>
  <c r="AF1412" i="1"/>
  <c r="AH1362" i="1"/>
  <c r="AG1321" i="1"/>
  <c r="AH1434" i="1"/>
  <c r="AG1391" i="1"/>
  <c r="AG1274" i="1"/>
  <c r="AG1077" i="1"/>
  <c r="AH1046" i="1"/>
  <c r="AG1167" i="1"/>
  <c r="AG1160" i="1"/>
  <c r="AH1020" i="1"/>
  <c r="AG1141" i="1"/>
  <c r="AG1181" i="1"/>
  <c r="AF1006" i="1"/>
  <c r="AF999" i="1"/>
  <c r="AH983" i="1"/>
  <c r="AF925" i="1"/>
  <c r="AH915" i="1"/>
  <c r="AH896" i="1"/>
  <c r="AH832" i="1"/>
  <c r="AG641" i="1"/>
  <c r="AG640" i="1" s="1"/>
  <c r="AF1678" i="1"/>
  <c r="AG1631" i="1"/>
  <c r="AH1616" i="1"/>
  <c r="AH1554" i="1"/>
  <c r="AG1526" i="1"/>
  <c r="AG1507" i="1"/>
  <c r="AF1466" i="1"/>
  <c r="AG1362" i="1"/>
  <c r="AF1321" i="1"/>
  <c r="AG1434" i="1"/>
  <c r="AF1391" i="1"/>
  <c r="AF1274" i="1"/>
  <c r="AH1084" i="1"/>
  <c r="AF1077" i="1"/>
  <c r="AH1248" i="1"/>
  <c r="AG1046" i="1"/>
  <c r="AF1167" i="1"/>
  <c r="AF1160" i="1"/>
  <c r="AH1222" i="1"/>
  <c r="AG1020" i="1"/>
  <c r="AF1141" i="1"/>
  <c r="AF1181" i="1"/>
  <c r="AG983" i="1"/>
  <c r="AG915" i="1"/>
  <c r="AG896" i="1"/>
  <c r="AG832" i="1"/>
  <c r="AG795" i="1"/>
  <c r="AF1683" i="1"/>
  <c r="AG1659" i="1"/>
  <c r="AG1492" i="1"/>
  <c r="AG1347" i="1"/>
  <c r="AF1333" i="1"/>
  <c r="AF1326" i="1"/>
  <c r="AG1439" i="1"/>
  <c r="AG1374" i="1"/>
  <c r="AF1307" i="1"/>
  <c r="AF1098" i="1"/>
  <c r="AG1051" i="1"/>
  <c r="AH1731" i="1"/>
  <c r="AG1715" i="1"/>
  <c r="AG1731" i="1"/>
  <c r="AF1715" i="1"/>
  <c r="AG1699" i="1"/>
  <c r="AH1683" i="1"/>
  <c r="AF1631" i="1"/>
  <c r="AG1616" i="1"/>
  <c r="AG1554" i="1"/>
  <c r="AH1541" i="1"/>
  <c r="AF1526" i="1"/>
  <c r="AF1507" i="1"/>
  <c r="AH1478" i="1"/>
  <c r="AH1471" i="1"/>
  <c r="AF1362" i="1"/>
  <c r="AH1333" i="1"/>
  <c r="AH1326" i="1"/>
  <c r="AF1434" i="1"/>
  <c r="AH1307" i="1"/>
  <c r="AH1259" i="1"/>
  <c r="AH1098" i="1"/>
  <c r="AG1084" i="1"/>
  <c r="AG1248" i="1"/>
  <c r="AF1046" i="1"/>
  <c r="AG1222" i="1"/>
  <c r="AF1020" i="1"/>
  <c r="AH1193" i="1"/>
  <c r="AH1186" i="1"/>
  <c r="AF983" i="1"/>
  <c r="AH954" i="1"/>
  <c r="AF915" i="1"/>
  <c r="AF896" i="1"/>
  <c r="AH858" i="1"/>
  <c r="AH847" i="1"/>
  <c r="AF832" i="1"/>
  <c r="AF721" i="1"/>
  <c r="AF720" i="1" s="1"/>
  <c r="AH1742" i="1"/>
  <c r="AF1731" i="1"/>
  <c r="AF1699" i="1"/>
  <c r="AG1683" i="1"/>
  <c r="AH1659" i="1"/>
  <c r="AF1616" i="1"/>
  <c r="AH1574" i="1"/>
  <c r="AF1554" i="1"/>
  <c r="AG1541" i="1"/>
  <c r="AH1492" i="1"/>
  <c r="AG1478" i="1"/>
  <c r="AG1471" i="1"/>
  <c r="AH1347" i="1"/>
  <c r="AG1333" i="1"/>
  <c r="AG1326" i="1"/>
  <c r="AH1454" i="1"/>
  <c r="AH1439" i="1"/>
  <c r="AH1374" i="1"/>
  <c r="AG1307" i="1"/>
  <c r="AG1259" i="1"/>
  <c r="AH1113" i="1"/>
  <c r="AG1098" i="1"/>
  <c r="AF1084" i="1"/>
  <c r="AF1248" i="1"/>
  <c r="AH1058" i="1"/>
  <c r="AH1051" i="1"/>
  <c r="AF1222" i="1"/>
  <c r="AH1032" i="1"/>
  <c r="AH1025" i="1"/>
  <c r="AH1124" i="1"/>
  <c r="AG1193" i="1"/>
  <c r="AG1186" i="1"/>
  <c r="AH968" i="1"/>
  <c r="AG954" i="1"/>
  <c r="AH922" i="1"/>
  <c r="AG858" i="1"/>
  <c r="AG847" i="1"/>
  <c r="AH1763" i="1"/>
  <c r="AG1742" i="1"/>
  <c r="AH1600" i="1"/>
  <c r="AG1574" i="1"/>
  <c r="AH1559" i="1"/>
  <c r="AF1541" i="1"/>
  <c r="AF1478" i="1"/>
  <c r="AF1471" i="1"/>
  <c r="AH1422" i="1"/>
  <c r="AG1454" i="1"/>
  <c r="AF1259" i="1"/>
  <c r="AG1113" i="1"/>
  <c r="AH1233" i="1"/>
  <c r="AG1058" i="1"/>
  <c r="AF2303" i="1"/>
  <c r="AF2302" i="1" s="1"/>
  <c r="AH1938" i="1"/>
  <c r="AH1929" i="1"/>
  <c r="AH1928" i="1" s="1"/>
  <c r="AH1908" i="1"/>
  <c r="AH1890" i="1"/>
  <c r="AH1881" i="1"/>
  <c r="AH1880" i="1" s="1"/>
  <c r="AG1938" i="1"/>
  <c r="AG1929" i="1"/>
  <c r="AG1928" i="1" s="1"/>
  <c r="AG1908" i="1"/>
  <c r="AG1890" i="1"/>
  <c r="AG1881" i="1"/>
  <c r="AG1880" i="1" s="1"/>
  <c r="AG1872" i="1"/>
  <c r="AG1871" i="1" s="1"/>
  <c r="AH1846" i="1"/>
  <c r="AH1845" i="1" s="1"/>
  <c r="AF1831" i="1"/>
  <c r="AF1830" i="1" s="1"/>
  <c r="AF1786" i="1"/>
  <c r="AF1785" i="1" s="1"/>
  <c r="AG1846" i="1"/>
  <c r="AG1845" i="1" s="1"/>
  <c r="AF1846" i="1"/>
  <c r="AF1845" i="1" s="1"/>
  <c r="AF1949" i="1"/>
  <c r="AH1935" i="1"/>
  <c r="AH1934" i="1" s="1"/>
  <c r="AH1878" i="1"/>
  <c r="AH1877" i="1" s="1"/>
  <c r="AG1836" i="1"/>
  <c r="AG1835" i="1" s="1"/>
  <c r="AG1935" i="1"/>
  <c r="AG1934" i="1" s="1"/>
  <c r="AG1887" i="1"/>
  <c r="AG1886" i="1" s="1"/>
  <c r="AF1935" i="1"/>
  <c r="AF1934" i="1" s="1"/>
  <c r="AG1895" i="1"/>
  <c r="AF1887" i="1"/>
  <c r="AF1886" i="1" s="1"/>
  <c r="AF1878" i="1"/>
  <c r="AF1877" i="1" s="1"/>
  <c r="AH1852" i="1"/>
  <c r="AF1841" i="1"/>
  <c r="AF1840" i="1" s="1"/>
  <c r="AH1798" i="1"/>
  <c r="AH1797" i="1" s="1"/>
  <c r="AF1798" i="1"/>
  <c r="AF1797" i="1" s="1"/>
  <c r="AH1949" i="1"/>
  <c r="AF1938" i="1"/>
  <c r="AF1929" i="1"/>
  <c r="AF1928" i="1" s="1"/>
  <c r="AF1908" i="1"/>
  <c r="AF1890" i="1"/>
  <c r="AF1881" i="1"/>
  <c r="AF1880" i="1" s="1"/>
  <c r="AF1872" i="1"/>
  <c r="AF1871" i="1" s="1"/>
  <c r="AG1949" i="1"/>
  <c r="AH1836" i="1"/>
  <c r="AH1835" i="1" s="1"/>
  <c r="AH1887" i="1"/>
  <c r="AH1886" i="1" s="1"/>
  <c r="AH1895" i="1"/>
  <c r="AG1878" i="1"/>
  <c r="AG1877" i="1" s="1"/>
  <c r="AF1836" i="1"/>
  <c r="AF1835" i="1" s="1"/>
  <c r="AH1826" i="1"/>
  <c r="AH1825" i="1" s="1"/>
  <c r="AH1859" i="1"/>
  <c r="AG1826" i="1"/>
  <c r="AG1825" i="1" s="1"/>
  <c r="AF1826" i="1"/>
  <c r="AF1825" i="1" s="1"/>
  <c r="AF1810" i="1"/>
  <c r="AF1809" i="1" s="1"/>
  <c r="AG1798" i="1"/>
  <c r="AG1797" i="1" s="1"/>
  <c r="AH1911" i="1"/>
  <c r="AF1895" i="1"/>
  <c r="AG1859" i="1"/>
  <c r="AG1852" i="1"/>
  <c r="AG1810" i="1"/>
  <c r="AG1809" i="1" s="1"/>
  <c r="AH1831" i="1"/>
  <c r="AH1830" i="1" s="1"/>
  <c r="AH1786" i="1"/>
  <c r="AH1785" i="1" s="1"/>
  <c r="AG1831" i="1"/>
  <c r="AG1830" i="1" s="1"/>
  <c r="AG1786" i="1"/>
  <c r="AG1785" i="1" s="1"/>
  <c r="AH1932" i="1"/>
  <c r="AH1931" i="1" s="1"/>
  <c r="AH1922" i="1"/>
  <c r="AH1921" i="1" s="1"/>
  <c r="AG1911" i="1"/>
  <c r="AH1884" i="1"/>
  <c r="AH1883" i="1" s="1"/>
  <c r="AH1875" i="1"/>
  <c r="AH1874" i="1" s="1"/>
  <c r="AF1859" i="1"/>
  <c r="AF1852" i="1"/>
  <c r="AH1841" i="1"/>
  <c r="AH1840" i="1" s="1"/>
  <c r="AG1932" i="1"/>
  <c r="AG1931" i="1" s="1"/>
  <c r="AG1922" i="1"/>
  <c r="AG1921" i="1" s="1"/>
  <c r="AF1911" i="1"/>
  <c r="AG1884" i="1"/>
  <c r="AG1883" i="1" s="1"/>
  <c r="AG1875" i="1"/>
  <c r="AG1874" i="1" s="1"/>
  <c r="AG1841" i="1"/>
  <c r="AG1840" i="1" s="1"/>
  <c r="AH1810" i="1"/>
  <c r="AH1809" i="1" s="1"/>
  <c r="AF1932" i="1"/>
  <c r="AF1931" i="1" s="1"/>
  <c r="AF1922" i="1"/>
  <c r="AF1921" i="1" s="1"/>
  <c r="AF1884" i="1"/>
  <c r="AF1883" i="1" s="1"/>
  <c r="AF1875" i="1"/>
  <c r="AF1874" i="1" s="1"/>
  <c r="AG2757" i="1"/>
  <c r="AG2364" i="1"/>
  <c r="AG2363" i="1" s="1"/>
  <c r="AF2338" i="1"/>
  <c r="AF2337" i="1" s="1"/>
  <c r="AH2328" i="1"/>
  <c r="AH2327" i="1" s="1"/>
  <c r="AG2303" i="1"/>
  <c r="AG2302" i="1" s="1"/>
  <c r="AF2278" i="1"/>
  <c r="AF2277" i="1" s="1"/>
  <c r="AF2262" i="1"/>
  <c r="AF2261" i="1" s="1"/>
  <c r="AH2251" i="1"/>
  <c r="AH2250" i="1" s="1"/>
  <c r="AG2226" i="1"/>
  <c r="AG2225" i="1" s="1"/>
  <c r="AH2293" i="1"/>
  <c r="AH2292" i="1" s="1"/>
  <c r="AG2251" i="1"/>
  <c r="AG2250" i="1" s="1"/>
  <c r="AF2226" i="1"/>
  <c r="AF2225" i="1" s="1"/>
  <c r="AH2216" i="1"/>
  <c r="AH2215" i="1" s="1"/>
  <c r="AF2216" i="1"/>
  <c r="AF2215" i="1" s="1"/>
  <c r="AH2369" i="1"/>
  <c r="AH2368" i="1" s="1"/>
  <c r="AG2343" i="1"/>
  <c r="AG2342" i="1" s="1"/>
  <c r="AG2267" i="1"/>
  <c r="AG2266" i="1" s="1"/>
  <c r="AG2369" i="1"/>
  <c r="AG2368" i="1" s="1"/>
  <c r="AF2343" i="1"/>
  <c r="AF2342" i="1" s="1"/>
  <c r="AH2333" i="1"/>
  <c r="AH2332" i="1" s="1"/>
  <c r="AG2308" i="1"/>
  <c r="AG2307" i="1" s="1"/>
  <c r="AF2267" i="1"/>
  <c r="AF2266" i="1" s="1"/>
  <c r="AG2231" i="1"/>
  <c r="AG2230" i="1" s="1"/>
  <c r="AF2359" i="1"/>
  <c r="AF2358" i="1" s="1"/>
  <c r="AH2349" i="1"/>
  <c r="AH2348" i="1" s="1"/>
  <c r="AG2323" i="1"/>
  <c r="AG2322" i="1" s="1"/>
  <c r="AF2221" i="1"/>
  <c r="AF2220" i="1" s="1"/>
  <c r="AF2246" i="1"/>
  <c r="AF2245" i="1" s="1"/>
  <c r="AH2236" i="1"/>
  <c r="AH2235" i="1" s="1"/>
  <c r="AF2236" i="1"/>
  <c r="AF2235" i="1" s="1"/>
  <c r="AF2364" i="1"/>
  <c r="AF2363" i="1" s="1"/>
  <c r="AH2354" i="1"/>
  <c r="AH2353" i="1" s="1"/>
  <c r="AG2328" i="1"/>
  <c r="AG2327" i="1" s="1"/>
  <c r="AG2354" i="1"/>
  <c r="AG2353" i="1" s="1"/>
  <c r="AF2328" i="1"/>
  <c r="AF2327" i="1" s="1"/>
  <c r="AH2318" i="1"/>
  <c r="AH2317" i="1" s="1"/>
  <c r="AG2293" i="1"/>
  <c r="AG2292" i="1" s="1"/>
  <c r="AF2251" i="1"/>
  <c r="AF2250" i="1" s="1"/>
  <c r="AH2241" i="1"/>
  <c r="AH2240" i="1" s="1"/>
  <c r="AG2216" i="1"/>
  <c r="AG2215" i="1" s="1"/>
  <c r="AF2354" i="1"/>
  <c r="AF2353" i="1" s="1"/>
  <c r="AH2343" i="1"/>
  <c r="AH2342" i="1" s="1"/>
  <c r="AG2318" i="1"/>
  <c r="AG2317" i="1" s="1"/>
  <c r="AF2293" i="1"/>
  <c r="AF2292" i="1" s="1"/>
  <c r="AH2283" i="1"/>
  <c r="AH2282" i="1" s="1"/>
  <c r="AH2267" i="1"/>
  <c r="AH2266" i="1" s="1"/>
  <c r="AG2241" i="1"/>
  <c r="AG2240" i="1" s="1"/>
  <c r="AF2318" i="1"/>
  <c r="AF2317" i="1" s="1"/>
  <c r="AH2308" i="1"/>
  <c r="AH2307" i="1" s="1"/>
  <c r="AG2283" i="1"/>
  <c r="AG2282" i="1" s="1"/>
  <c r="AF2241" i="1"/>
  <c r="AF2240" i="1" s="1"/>
  <c r="AH2231" i="1"/>
  <c r="AH2230" i="1" s="1"/>
  <c r="AF2283" i="1"/>
  <c r="AF2282" i="1" s="1"/>
  <c r="AH2273" i="1"/>
  <c r="AH2272" i="1" s="1"/>
  <c r="AH2256" i="1"/>
  <c r="AH2255" i="1" s="1"/>
  <c r="AH2323" i="1"/>
  <c r="AH2322" i="1" s="1"/>
  <c r="AG2298" i="1"/>
  <c r="AG2297" i="1" s="1"/>
  <c r="AF2273" i="1"/>
  <c r="AF2272" i="1" s="1"/>
  <c r="AF2256" i="1"/>
  <c r="AF2255" i="1" s="1"/>
  <c r="AH2246" i="1"/>
  <c r="AH2245" i="1" s="1"/>
  <c r="AG2221" i="1"/>
  <c r="AG2220" i="1" s="1"/>
  <c r="AG2246" i="1"/>
  <c r="AG2245" i="1" s="1"/>
  <c r="AH1945" i="1"/>
  <c r="AG2349" i="1"/>
  <c r="AG2348" i="1" s="1"/>
  <c r="AF2323" i="1"/>
  <c r="AF2322" i="1" s="1"/>
  <c r="AG2288" i="1"/>
  <c r="AG2287" i="1" s="1"/>
  <c r="AG1945" i="1"/>
  <c r="AF2349" i="1"/>
  <c r="AF2348" i="1" s="1"/>
  <c r="AG2313" i="1"/>
  <c r="AG2312" i="1" s="1"/>
  <c r="AF1945" i="1"/>
  <c r="AG2338" i="1"/>
  <c r="AG2337" i="1" s="1"/>
  <c r="AF2313" i="1"/>
  <c r="AF2312" i="1" s="1"/>
  <c r="AG2278" i="1"/>
  <c r="AG2277" i="1" s="1"/>
  <c r="AG2262" i="1"/>
  <c r="AG2261" i="1" s="1"/>
  <c r="AF2369" i="1"/>
  <c r="AF2368" i="1" s="1"/>
  <c r="AH2359" i="1"/>
  <c r="AH2358" i="1" s="1"/>
  <c r="AG2333" i="1"/>
  <c r="AG2332" i="1" s="1"/>
  <c r="AF2308" i="1"/>
  <c r="AF2307" i="1" s="1"/>
  <c r="AH2298" i="1"/>
  <c r="AH2297" i="1" s="1"/>
  <c r="AG2273" i="1"/>
  <c r="AG2272" i="1" s="1"/>
  <c r="AG2256" i="1"/>
  <c r="AG2255" i="1" s="1"/>
  <c r="AF2231" i="1"/>
  <c r="AF2230" i="1" s="1"/>
  <c r="AH2221" i="1"/>
  <c r="AH2220" i="1" s="1"/>
  <c r="AH2313" i="1"/>
  <c r="AH2312" i="1" s="1"/>
  <c r="AG2236" i="1"/>
  <c r="AG2235" i="1" s="1"/>
  <c r="AG2359" i="1"/>
  <c r="AG2358" i="1" s="1"/>
  <c r="AF2333" i="1"/>
  <c r="AF2332" i="1" s="1"/>
  <c r="AF2298" i="1"/>
  <c r="AF2297" i="1" s="1"/>
  <c r="AH2288" i="1"/>
  <c r="AH2287" i="1" s="1"/>
  <c r="AH2338" i="1"/>
  <c r="AH2337" i="1" s="1"/>
  <c r="AF2288" i="1"/>
  <c r="AF2287" i="1" s="1"/>
  <c r="AH2278" i="1"/>
  <c r="AH2277" i="1" s="1"/>
  <c r="AH2262" i="1"/>
  <c r="AH2261" i="1" s="1"/>
  <c r="AH2364" i="1"/>
  <c r="AH2363" i="1" s="1"/>
  <c r="AH2303" i="1"/>
  <c r="AH2302" i="1" s="1"/>
  <c r="AH2226" i="1"/>
  <c r="AH2225" i="1" s="1"/>
  <c r="AF4575" i="1"/>
  <c r="AF2852" i="1"/>
  <c r="AF2851" i="1" s="1"/>
  <c r="AH2842" i="1"/>
  <c r="AH2841" i="1" s="1"/>
  <c r="AH2757" i="1"/>
  <c r="AG2736" i="1"/>
  <c r="AF2722" i="1"/>
  <c r="AF2677" i="1"/>
  <c r="AH2660" i="1"/>
  <c r="AF2640" i="1"/>
  <c r="AH2595" i="1"/>
  <c r="AH2549" i="1"/>
  <c r="AH2533" i="1"/>
  <c r="AF2513" i="1"/>
  <c r="AH2502" i="1"/>
  <c r="AF2482" i="1"/>
  <c r="AG2842" i="1"/>
  <c r="AG2841" i="1" s="1"/>
  <c r="AH2825" i="1"/>
  <c r="AH2824" i="1" s="1"/>
  <c r="AH2801" i="1"/>
  <c r="AH2800" i="1" s="1"/>
  <c r="AH2777" i="1"/>
  <c r="AH2776" i="1" s="1"/>
  <c r="AF2842" i="1"/>
  <c r="AF2841" i="1" s="1"/>
  <c r="AG2825" i="1"/>
  <c r="AG2824" i="1" s="1"/>
  <c r="AG2801" i="1"/>
  <c r="AG2800" i="1" s="1"/>
  <c r="AG2777" i="1"/>
  <c r="AG2776" i="1" s="1"/>
  <c r="AF2757" i="1"/>
  <c r="AH2741" i="1"/>
  <c r="AH2690" i="1"/>
  <c r="AF2660" i="1"/>
  <c r="AG2645" i="1"/>
  <c r="AG2609" i="1"/>
  <c r="AF2595" i="1"/>
  <c r="AH2564" i="1"/>
  <c r="AF2549" i="1"/>
  <c r="AF2533" i="1"/>
  <c r="AG2518" i="1"/>
  <c r="AF2502" i="1"/>
  <c r="AG2487" i="1"/>
  <c r="AG2448" i="1"/>
  <c r="AF2434" i="1"/>
  <c r="AG2397" i="1"/>
  <c r="AG2396" i="1" s="1"/>
  <c r="AG2386" i="1"/>
  <c r="AG2385" i="1" s="1"/>
  <c r="AG2376" i="1"/>
  <c r="AG2375" i="1" s="1"/>
  <c r="AH2629" i="1"/>
  <c r="AH2453" i="1"/>
  <c r="AG2578" i="1"/>
  <c r="AF2614" i="1"/>
  <c r="AH2530" i="1"/>
  <c r="AH2499" i="1"/>
  <c r="AF2453" i="1"/>
  <c r="AF2417" i="1"/>
  <c r="AH2561" i="1"/>
  <c r="AH2422" i="1"/>
  <c r="AH2609" i="1"/>
  <c r="AH2864" i="1"/>
  <c r="AH2857" i="1"/>
  <c r="AF2825" i="1"/>
  <c r="AF2824" i="1" s="1"/>
  <c r="AF2801" i="1"/>
  <c r="AF2800" i="1" s="1"/>
  <c r="AF2777" i="1"/>
  <c r="AF2776" i="1" s="1"/>
  <c r="AG2741" i="1"/>
  <c r="AH2704" i="1"/>
  <c r="AG2690" i="1"/>
  <c r="AF2645" i="1"/>
  <c r="AF2609" i="1"/>
  <c r="AG2564" i="1"/>
  <c r="AF2518" i="1"/>
  <c r="AF2487" i="1"/>
  <c r="AH2468" i="1"/>
  <c r="AF2448" i="1"/>
  <c r="AF2397" i="1"/>
  <c r="AF2396" i="1" s="1"/>
  <c r="AF2386" i="1"/>
  <c r="AF2385" i="1" s="1"/>
  <c r="AF2376" i="1"/>
  <c r="AF2375" i="1" s="1"/>
  <c r="AG2468" i="1"/>
  <c r="AF2704" i="1"/>
  <c r="AG2847" i="1"/>
  <c r="AG2846" i="1" s="1"/>
  <c r="AF2725" i="1"/>
  <c r="AH2709" i="1"/>
  <c r="AF2847" i="1"/>
  <c r="AF2846" i="1" s="1"/>
  <c r="AH2837" i="1"/>
  <c r="AH2836" i="1" s="1"/>
  <c r="AH2813" i="1"/>
  <c r="AH2812" i="1" s="1"/>
  <c r="AH2789" i="1"/>
  <c r="AH2788" i="1" s="1"/>
  <c r="AG2754" i="1"/>
  <c r="AG2709" i="1"/>
  <c r="AH2672" i="1"/>
  <c r="AG2657" i="1"/>
  <c r="AG2598" i="1"/>
  <c r="AH2583" i="1"/>
  <c r="AG2502" i="1"/>
  <c r="AH2448" i="1"/>
  <c r="AH2376" i="1"/>
  <c r="AH2375" i="1" s="1"/>
  <c r="AG2864" i="1"/>
  <c r="AG2857" i="1"/>
  <c r="AF2741" i="1"/>
  <c r="AH2725" i="1"/>
  <c r="AG2704" i="1"/>
  <c r="AF2690" i="1"/>
  <c r="AG2629" i="1"/>
  <c r="AH2614" i="1"/>
  <c r="AH2578" i="1"/>
  <c r="AF2564" i="1"/>
  <c r="AH2417" i="1"/>
  <c r="AF2864" i="1"/>
  <c r="AF2857" i="1"/>
  <c r="AH2847" i="1"/>
  <c r="AH2846" i="1" s="1"/>
  <c r="AG2725" i="1"/>
  <c r="AF2629" i="1"/>
  <c r="AG2614" i="1"/>
  <c r="AF2468" i="1"/>
  <c r="AG2453" i="1"/>
  <c r="AG2417" i="1"/>
  <c r="AH2754" i="1"/>
  <c r="AH2657" i="1"/>
  <c r="AH2598" i="1"/>
  <c r="AF2578" i="1"/>
  <c r="AH2437" i="1"/>
  <c r="AH2544" i="1"/>
  <c r="AG2530" i="1"/>
  <c r="AG2499" i="1"/>
  <c r="AG2437" i="1"/>
  <c r="AH2392" i="1"/>
  <c r="AH2391" i="1" s="1"/>
  <c r="AH2381" i="1"/>
  <c r="AH2380" i="1" s="1"/>
  <c r="AG2482" i="1"/>
  <c r="AH2434" i="1"/>
  <c r="AF2736" i="1"/>
  <c r="AG2660" i="1"/>
  <c r="AH2645" i="1"/>
  <c r="AG2549" i="1"/>
  <c r="AH2518" i="1"/>
  <c r="AH2487" i="1"/>
  <c r="AH2397" i="1"/>
  <c r="AH2396" i="1" s="1"/>
  <c r="AG2837" i="1"/>
  <c r="AG2836" i="1" s="1"/>
  <c r="AG2813" i="1"/>
  <c r="AG2812" i="1" s="1"/>
  <c r="AG2789" i="1"/>
  <c r="AG2788" i="1" s="1"/>
  <c r="AF2754" i="1"/>
  <c r="AF2709" i="1"/>
  <c r="AH2693" i="1"/>
  <c r="AG2672" i="1"/>
  <c r="AF2657" i="1"/>
  <c r="AF2598" i="1"/>
  <c r="AG2583" i="1"/>
  <c r="AG2561" i="1"/>
  <c r="AG2544" i="1"/>
  <c r="AF2530" i="1"/>
  <c r="AF2499" i="1"/>
  <c r="AF2437" i="1"/>
  <c r="AG2422" i="1"/>
  <c r="AG2392" i="1"/>
  <c r="AG2391" i="1" s="1"/>
  <c r="AG2381" i="1"/>
  <c r="AG2380" i="1" s="1"/>
  <c r="AF2422" i="1"/>
  <c r="AF2392" i="1"/>
  <c r="AF2391" i="1" s="1"/>
  <c r="AG2852" i="1"/>
  <c r="AG2851" i="1" s="1"/>
  <c r="AG2677" i="1"/>
  <c r="AF2465" i="1"/>
  <c r="AG2595" i="1"/>
  <c r="AG2533" i="1"/>
  <c r="AH2386" i="1"/>
  <c r="AH2385" i="1" s="1"/>
  <c r="AF2837" i="1"/>
  <c r="AF2836" i="1" s="1"/>
  <c r="AF2813" i="1"/>
  <c r="AF2812" i="1" s="1"/>
  <c r="AF2789" i="1"/>
  <c r="AF2788" i="1" s="1"/>
  <c r="AG2693" i="1"/>
  <c r="AF2672" i="1"/>
  <c r="AH2626" i="1"/>
  <c r="AF2583" i="1"/>
  <c r="AF2561" i="1"/>
  <c r="AF2544" i="1"/>
  <c r="AH2465" i="1"/>
  <c r="AF2381" i="1"/>
  <c r="AF2380" i="1" s="1"/>
  <c r="AH2852" i="1"/>
  <c r="AH2851" i="1" s="1"/>
  <c r="AH2722" i="1"/>
  <c r="AF2693" i="1"/>
  <c r="AH2677" i="1"/>
  <c r="AH2640" i="1"/>
  <c r="AG2626" i="1"/>
  <c r="AH2513" i="1"/>
  <c r="AH2482" i="1"/>
  <c r="AG2465" i="1"/>
  <c r="AH2736" i="1"/>
  <c r="AG2722" i="1"/>
  <c r="AG2640" i="1"/>
  <c r="AF2626" i="1"/>
  <c r="AG2513" i="1"/>
  <c r="AG2434" i="1"/>
  <c r="AB8996" i="1"/>
  <c r="AD8995" i="1"/>
  <c r="AD9000" i="1"/>
  <c r="AB9001" i="1"/>
  <c r="AB9008" i="1"/>
  <c r="AD9007" i="1"/>
  <c r="AD9014" i="1"/>
  <c r="AB9015" i="1"/>
  <c r="AD8935" i="1"/>
  <c r="AF9014" i="1"/>
  <c r="AH9014" i="1"/>
  <c r="AF9000" i="1"/>
  <c r="AE9014" i="1"/>
  <c r="AE9007" i="1"/>
  <c r="AH9000" i="1"/>
  <c r="AG9000" i="1"/>
  <c r="AE9000" i="1"/>
  <c r="AH9007" i="1"/>
  <c r="AF9007" i="1"/>
  <c r="AH8995" i="1"/>
  <c r="AF8995" i="1"/>
  <c r="AE8995" i="1"/>
  <c r="AG9014" i="1"/>
  <c r="AG9007" i="1"/>
  <c r="AG8995" i="1"/>
  <c r="AG8984" i="1"/>
  <c r="AD8947" i="1"/>
  <c r="AB8966" i="1"/>
  <c r="AD8965" i="1"/>
  <c r="AD8970" i="1"/>
  <c r="AB8971" i="1"/>
  <c r="AD8984" i="1"/>
  <c r="AB8985" i="1"/>
  <c r="AD8954" i="1"/>
  <c r="AF8984" i="1"/>
  <c r="AG8970" i="1"/>
  <c r="AF8970" i="1"/>
  <c r="AE8970" i="1"/>
  <c r="AE8984" i="1"/>
  <c r="AF8965" i="1"/>
  <c r="AH8970" i="1"/>
  <c r="AH8977" i="1"/>
  <c r="AG8977" i="1"/>
  <c r="AF8977" i="1"/>
  <c r="AH8965" i="1"/>
  <c r="AE8977" i="1"/>
  <c r="AG8965" i="1"/>
  <c r="AE8965" i="1"/>
  <c r="AH8984" i="1"/>
  <c r="AD8940" i="1"/>
  <c r="AB8978" i="1"/>
  <c r="AD8977" i="1"/>
  <c r="AB8936" i="1"/>
  <c r="AF8954" i="1"/>
  <c r="AF8947" i="1"/>
  <c r="AG8954" i="1"/>
  <c r="AE8940" i="1"/>
  <c r="AE8954" i="1"/>
  <c r="AG8947" i="1"/>
  <c r="AH8935" i="1"/>
  <c r="AE8947" i="1"/>
  <c r="AG8935" i="1"/>
  <c r="AH8954" i="1"/>
  <c r="AH8947" i="1"/>
  <c r="AF8935" i="1"/>
  <c r="AE8935" i="1"/>
  <c r="AH8940" i="1"/>
  <c r="AG8940" i="1"/>
  <c r="AF8940" i="1"/>
  <c r="AB8948" i="1"/>
  <c r="AB8941" i="1"/>
  <c r="AB8955" i="1"/>
  <c r="AB8906" i="1"/>
  <c r="AD8905" i="1"/>
  <c r="AF8924" i="1"/>
  <c r="AE8924" i="1"/>
  <c r="AH8917" i="1"/>
  <c r="AE8917" i="1"/>
  <c r="AF8905" i="1"/>
  <c r="AG8917" i="1"/>
  <c r="AF8917" i="1"/>
  <c r="AH8905" i="1"/>
  <c r="AG8905" i="1"/>
  <c r="AE8905" i="1"/>
  <c r="AG8894" i="1"/>
  <c r="AH8910" i="1"/>
  <c r="AF8910" i="1"/>
  <c r="AG8910" i="1"/>
  <c r="AH8924" i="1"/>
  <c r="AG8924" i="1"/>
  <c r="AE8910" i="1"/>
  <c r="AH8667" i="1"/>
  <c r="AH4647" i="1"/>
  <c r="AG4501" i="1"/>
  <c r="AH4496" i="1"/>
  <c r="AF4496" i="1"/>
  <c r="AF4632" i="1"/>
  <c r="AG4432" i="1"/>
  <c r="AG4431" i="1" s="1"/>
  <c r="AG4422" i="1"/>
  <c r="AG4421" i="1" s="1"/>
  <c r="AG4410" i="1"/>
  <c r="AG4409" i="1" s="1"/>
  <c r="AF4381" i="1"/>
  <c r="AF4380" i="1" s="1"/>
  <c r="AH4368" i="1"/>
  <c r="AH4367" i="1" s="1"/>
  <c r="AH4410" i="1"/>
  <c r="AH4409" i="1" s="1"/>
  <c r="AF4612" i="1"/>
  <c r="AG4632" i="1"/>
  <c r="AG4575" i="1"/>
  <c r="AH4609" i="1"/>
  <c r="AH4558" i="1"/>
  <c r="AH4454" i="1"/>
  <c r="AH4453" i="1" s="1"/>
  <c r="AH4444" i="1"/>
  <c r="AH4443" i="1" s="1"/>
  <c r="AF4432" i="1"/>
  <c r="AF4431" i="1" s="1"/>
  <c r="AF4422" i="1"/>
  <c r="AF4421" i="1" s="1"/>
  <c r="AF4410" i="1"/>
  <c r="AF4409" i="1" s="1"/>
  <c r="AH4400" i="1"/>
  <c r="AH4399" i="1" s="1"/>
  <c r="AG4368" i="1"/>
  <c r="AG4367" i="1" s="1"/>
  <c r="AG4400" i="1"/>
  <c r="AG4399" i="1" s="1"/>
  <c r="AH4439" i="1"/>
  <c r="AH4438" i="1" s="1"/>
  <c r="AF4417" i="1"/>
  <c r="AF4416" i="1" s="1"/>
  <c r="AG4381" i="1"/>
  <c r="AG4380" i="1" s="1"/>
  <c r="AG4563" i="1"/>
  <c r="AG4547" i="1"/>
  <c r="AF4627" i="1"/>
  <c r="AH4527" i="1"/>
  <c r="AH4644" i="1"/>
  <c r="AH4466" i="1"/>
  <c r="AH4465" i="1" s="1"/>
  <c r="AG4454" i="1"/>
  <c r="AG4453" i="1" s="1"/>
  <c r="AG4444" i="1"/>
  <c r="AG4443" i="1" s="1"/>
  <c r="AF4368" i="1"/>
  <c r="AF4367" i="1" s="1"/>
  <c r="AH4381" i="1"/>
  <c r="AH4380" i="1" s="1"/>
  <c r="AG4544" i="1"/>
  <c r="AG4609" i="1"/>
  <c r="AF4481" i="1"/>
  <c r="AF4480" i="1" s="1"/>
  <c r="AF4558" i="1"/>
  <c r="AF4501" i="1"/>
  <c r="AH4547" i="1"/>
  <c r="AG4527" i="1"/>
  <c r="AH4578" i="1"/>
  <c r="AH4476" i="1"/>
  <c r="AH4475" i="1" s="1"/>
  <c r="AG4466" i="1"/>
  <c r="AG4465" i="1" s="1"/>
  <c r="AF4454" i="1"/>
  <c r="AF4453" i="1" s="1"/>
  <c r="AF4444" i="1"/>
  <c r="AF4443" i="1" s="1"/>
  <c r="AF4400" i="1"/>
  <c r="AF4399" i="1" s="1"/>
  <c r="AH4386" i="1"/>
  <c r="AH4385" i="1" s="1"/>
  <c r="AH4417" i="1"/>
  <c r="AH4416" i="1" s="1"/>
  <c r="AG4386" i="1"/>
  <c r="AG4385" i="1" s="1"/>
  <c r="AF4578" i="1"/>
  <c r="AF4644" i="1"/>
  <c r="AF4527" i="1"/>
  <c r="AG4487" i="1"/>
  <c r="AG4486" i="1" s="1"/>
  <c r="AF4476" i="1"/>
  <c r="AF4475" i="1" s="1"/>
  <c r="AH4427" i="1"/>
  <c r="AH4426" i="1" s="1"/>
  <c r="AF4516" i="1"/>
  <c r="AH4563" i="1"/>
  <c r="AH4597" i="1"/>
  <c r="AH4513" i="1"/>
  <c r="AG4427" i="1"/>
  <c r="AG4426" i="1" s="1"/>
  <c r="AH4405" i="1"/>
  <c r="AH4404" i="1" s="1"/>
  <c r="AG4376" i="1"/>
  <c r="AG4375" i="1" s="1"/>
  <c r="AG4392" i="1"/>
  <c r="AG4391" i="1" s="1"/>
  <c r="AF4361" i="1"/>
  <c r="AF4360" i="1" s="1"/>
  <c r="AF4597" i="1"/>
  <c r="AF4563" i="1"/>
  <c r="AF4592" i="1"/>
  <c r="AG4513" i="1"/>
  <c r="AG4481" i="1"/>
  <c r="AG4480" i="1" s="1"/>
  <c r="AF4460" i="1"/>
  <c r="AF4459" i="1" s="1"/>
  <c r="AH4544" i="1"/>
  <c r="AF4609" i="1"/>
  <c r="AF4547" i="1"/>
  <c r="AH4612" i="1"/>
  <c r="AH4532" i="1"/>
  <c r="AH4487" i="1"/>
  <c r="AH4486" i="1" s="1"/>
  <c r="AG4476" i="1"/>
  <c r="AG4475" i="1" s="1"/>
  <c r="AF4466" i="1"/>
  <c r="AF4465" i="1" s="1"/>
  <c r="AH4516" i="1"/>
  <c r="AH4627" i="1"/>
  <c r="AG4417" i="1"/>
  <c r="AG4416" i="1" s="1"/>
  <c r="AF4386" i="1"/>
  <c r="AF4385" i="1" s="1"/>
  <c r="AH4376" i="1"/>
  <c r="AH4375" i="1" s="1"/>
  <c r="AF4513" i="1"/>
  <c r="AF4487" i="1"/>
  <c r="AF4486" i="1" s="1"/>
  <c r="AG4516" i="1"/>
  <c r="AG4471" i="1"/>
  <c r="AG4470" i="1" s="1"/>
  <c r="AH4432" i="1"/>
  <c r="AH4431" i="1" s="1"/>
  <c r="AH4422" i="1"/>
  <c r="AH4421" i="1" s="1"/>
  <c r="AG4627" i="1"/>
  <c r="AG4612" i="1"/>
  <c r="AF4647" i="1"/>
  <c r="AG4592" i="1"/>
  <c r="AG4644" i="1"/>
  <c r="AH4449" i="1"/>
  <c r="AH4448" i="1" s="1"/>
  <c r="AG4439" i="1"/>
  <c r="AG4438" i="1" s="1"/>
  <c r="AF4427" i="1"/>
  <c r="AF4426" i="1" s="1"/>
  <c r="AG4405" i="1"/>
  <c r="AG4404" i="1" s="1"/>
  <c r="AF4376" i="1"/>
  <c r="AF4375" i="1" s="1"/>
  <c r="AH4361" i="1"/>
  <c r="AH4360" i="1" s="1"/>
  <c r="AH4481" i="1"/>
  <c r="AH4480" i="1" s="1"/>
  <c r="AG4460" i="1"/>
  <c r="AG4459" i="1" s="1"/>
  <c r="AH4501" i="1"/>
  <c r="AG4558" i="1"/>
  <c r="AH4592" i="1"/>
  <c r="AH4575" i="1"/>
  <c r="AG4578" i="1"/>
  <c r="AH4460" i="1"/>
  <c r="AH4459" i="1" s="1"/>
  <c r="AG4449" i="1"/>
  <c r="AG4448" i="1" s="1"/>
  <c r="AF4439" i="1"/>
  <c r="AF4438" i="1" s="1"/>
  <c r="AF4405" i="1"/>
  <c r="AF4404" i="1" s="1"/>
  <c r="AH4392" i="1"/>
  <c r="AH4391" i="1" s="1"/>
  <c r="AG4361" i="1"/>
  <c r="AG4360" i="1" s="1"/>
  <c r="AH4632" i="1"/>
  <c r="AG4647" i="1"/>
  <c r="AF4544" i="1"/>
  <c r="AG4496" i="1"/>
  <c r="AG4532" i="1"/>
  <c r="AH4471" i="1"/>
  <c r="AH4470" i="1" s="1"/>
  <c r="AF4449" i="1"/>
  <c r="AF4448" i="1" s="1"/>
  <c r="AF4392" i="1"/>
  <c r="AF4391" i="1" s="1"/>
  <c r="AG4597" i="1"/>
  <c r="AF4532" i="1"/>
  <c r="AF4471" i="1"/>
  <c r="AF4470" i="1" s="1"/>
  <c r="AD8917" i="1"/>
  <c r="AB8918" i="1"/>
  <c r="AD8910" i="1"/>
  <c r="AB8911" i="1"/>
  <c r="AD8924" i="1"/>
  <c r="AB8925" i="1"/>
  <c r="AF8894" i="1"/>
  <c r="AF8875" i="1"/>
  <c r="AH8880" i="1"/>
  <c r="AE8894" i="1"/>
  <c r="AF8887" i="1"/>
  <c r="AE8887" i="1"/>
  <c r="AG8875" i="1"/>
  <c r="AG8880" i="1"/>
  <c r="AH8894" i="1"/>
  <c r="AF8880" i="1"/>
  <c r="AH8887" i="1"/>
  <c r="AG8887" i="1"/>
  <c r="AH8875" i="1"/>
  <c r="AE8875" i="1"/>
  <c r="AE8880" i="1"/>
  <c r="AD8880" i="1"/>
  <c r="AB8881" i="1"/>
  <c r="AB8895" i="1"/>
  <c r="AD8894" i="1"/>
  <c r="AD8887" i="1"/>
  <c r="AB8888" i="1"/>
  <c r="AB8876" i="1"/>
  <c r="AD8875" i="1"/>
  <c r="AH8723" i="1"/>
  <c r="AF8648" i="1"/>
  <c r="AF8639" i="1"/>
  <c r="AH8634" i="1"/>
  <c r="AH8650" i="1"/>
  <c r="AH8677" i="1"/>
  <c r="AG8677" i="1"/>
  <c r="AF8677" i="1"/>
  <c r="AG8667" i="1"/>
  <c r="AG8650" i="1"/>
  <c r="AF8634" i="1"/>
  <c r="AF8667" i="1"/>
  <c r="AG8639" i="1"/>
  <c r="AG8634" i="1"/>
  <c r="AF8650" i="1"/>
  <c r="AH8648" i="1"/>
  <c r="AH8639" i="1"/>
  <c r="AG8648" i="1"/>
  <c r="AB8851" i="1"/>
  <c r="AD8850" i="1"/>
  <c r="AB8839" i="1"/>
  <c r="AD8838" i="1"/>
  <c r="AD8843" i="1"/>
  <c r="AB8844" i="1"/>
  <c r="AG8857" i="1"/>
  <c r="AE8843" i="1"/>
  <c r="AG8700" i="1"/>
  <c r="AH8718" i="1"/>
  <c r="AF8700" i="1"/>
  <c r="AE8700" i="1"/>
  <c r="AF8718" i="1"/>
  <c r="AH8707" i="1"/>
  <c r="AG8850" i="1"/>
  <c r="AH8808" i="1"/>
  <c r="AH8790" i="1"/>
  <c r="AG8760" i="1"/>
  <c r="AF8737" i="1"/>
  <c r="AF8723" i="1"/>
  <c r="AF8707" i="1"/>
  <c r="AE8850" i="1"/>
  <c r="AG8838" i="1"/>
  <c r="AF8827" i="1"/>
  <c r="AE8820" i="1"/>
  <c r="AH8813" i="1"/>
  <c r="AH8797" i="1"/>
  <c r="AH8753" i="1"/>
  <c r="AE8723" i="1"/>
  <c r="AE8707" i="1"/>
  <c r="AE8808" i="1"/>
  <c r="AF8790" i="1"/>
  <c r="AF8778" i="1"/>
  <c r="AE8760" i="1"/>
  <c r="AH8688" i="1"/>
  <c r="AH8857" i="1"/>
  <c r="AF8843" i="1"/>
  <c r="AE8693" i="1"/>
  <c r="AH8700" i="1"/>
  <c r="AF8857" i="1"/>
  <c r="AH8827" i="1"/>
  <c r="AG8820" i="1"/>
  <c r="AH8760" i="1"/>
  <c r="AG8748" i="1"/>
  <c r="AF8730" i="1"/>
  <c r="AE8718" i="1"/>
  <c r="AF8850" i="1"/>
  <c r="AH8838" i="1"/>
  <c r="AF8820" i="1"/>
  <c r="AG8808" i="1"/>
  <c r="AH8778" i="1"/>
  <c r="AF8808" i="1"/>
  <c r="AG8790" i="1"/>
  <c r="AG8778" i="1"/>
  <c r="AG8767" i="1"/>
  <c r="AF8760" i="1"/>
  <c r="AE8748" i="1"/>
  <c r="AE8737" i="1"/>
  <c r="AE8857" i="1"/>
  <c r="AH8730" i="1"/>
  <c r="AG8718" i="1"/>
  <c r="AG8737" i="1"/>
  <c r="AG8723" i="1"/>
  <c r="AG8707" i="1"/>
  <c r="AG8827" i="1"/>
  <c r="AH8767" i="1"/>
  <c r="AF8748" i="1"/>
  <c r="AE8730" i="1"/>
  <c r="AF8838" i="1"/>
  <c r="AE8827" i="1"/>
  <c r="AG8813" i="1"/>
  <c r="AG8797" i="1"/>
  <c r="AH8783" i="1"/>
  <c r="AF8767" i="1"/>
  <c r="AG8753" i="1"/>
  <c r="AF8693" i="1"/>
  <c r="AE8688" i="1"/>
  <c r="AH8850" i="1"/>
  <c r="AH8820" i="1"/>
  <c r="AH8748" i="1"/>
  <c r="AH8737" i="1"/>
  <c r="AG8730" i="1"/>
  <c r="AE8838" i="1"/>
  <c r="AF8813" i="1"/>
  <c r="AF8797" i="1"/>
  <c r="AE8790" i="1"/>
  <c r="AG8783" i="1"/>
  <c r="AE8778" i="1"/>
  <c r="AE8767" i="1"/>
  <c r="AF8753" i="1"/>
  <c r="AH8693" i="1"/>
  <c r="AG8688" i="1"/>
  <c r="AH8843" i="1"/>
  <c r="AE8813" i="1"/>
  <c r="AE8797" i="1"/>
  <c r="AF8783" i="1"/>
  <c r="AE8753" i="1"/>
  <c r="AG8693" i="1"/>
  <c r="AF8688" i="1"/>
  <c r="AG8843" i="1"/>
  <c r="AE8783" i="1"/>
  <c r="AE8667" i="1"/>
  <c r="AE8677" i="1"/>
  <c r="AE8634" i="1"/>
  <c r="AE8648" i="1"/>
  <c r="AE8639" i="1"/>
  <c r="AE8650" i="1"/>
  <c r="AE4592" i="1"/>
  <c r="AE4471" i="1"/>
  <c r="AE4476" i="1"/>
  <c r="AE4417" i="1"/>
  <c r="AE4361" i="1"/>
  <c r="AE4496" i="1"/>
  <c r="AE4460" i="1"/>
  <c r="AE4410" i="1"/>
  <c r="AE4392" i="1"/>
  <c r="AE4376" i="1"/>
  <c r="AE4563" i="1"/>
  <c r="AE4527" i="1"/>
  <c r="AE4400" i="1"/>
  <c r="AE4466" i="1"/>
  <c r="AE4632" i="1"/>
  <c r="AE4454" i="1"/>
  <c r="AE4575" i="1"/>
  <c r="AE4449" i="1"/>
  <c r="AE4578" i="1"/>
  <c r="AE4381" i="1"/>
  <c r="AE4516" i="1"/>
  <c r="AE4405" i="1"/>
  <c r="AE4368" i="1"/>
  <c r="AE4644" i="1"/>
  <c r="AE4627" i="1"/>
  <c r="AE4612" i="1"/>
  <c r="AE4513" i="1"/>
  <c r="AE4439" i="1"/>
  <c r="AE4544" i="1"/>
  <c r="AE4432" i="1"/>
  <c r="AE4481" i="1"/>
  <c r="AE4597" i="1"/>
  <c r="AE4647" i="1"/>
  <c r="AE4487" i="1"/>
  <c r="AE4427" i="1"/>
  <c r="AE4558" i="1"/>
  <c r="AE4444" i="1"/>
  <c r="AE4422" i="1"/>
  <c r="AE4501" i="1"/>
  <c r="AE4609" i="1"/>
  <c r="AE4532" i="1"/>
  <c r="AE4386" i="1"/>
  <c r="AE4547" i="1"/>
  <c r="AE2801" i="1"/>
  <c r="AE2704" i="1"/>
  <c r="AE2614" i="1"/>
  <c r="AE2544" i="1"/>
  <c r="AE2465" i="1"/>
  <c r="AE2437" i="1"/>
  <c r="AE2741" i="1"/>
  <c r="AE2533" i="1"/>
  <c r="AE2842" i="1"/>
  <c r="AE2583" i="1"/>
  <c r="AE2513" i="1"/>
  <c r="AE2434" i="1"/>
  <c r="AE2629" i="1"/>
  <c r="AE2690" i="1"/>
  <c r="AE2530" i="1"/>
  <c r="AE2487" i="1"/>
  <c r="AE2417" i="1"/>
  <c r="AE2386" i="1"/>
  <c r="AE2376" i="1"/>
  <c r="AE2468" i="1"/>
  <c r="AE2392" i="1"/>
  <c r="AE2657" i="1"/>
  <c r="AE2561" i="1"/>
  <c r="AE2595" i="1"/>
  <c r="AE2777" i="1"/>
  <c r="AE2757" i="1"/>
  <c r="AE2709" i="1"/>
  <c r="AE2660" i="1"/>
  <c r="AE2578" i="1"/>
  <c r="AE2499" i="1"/>
  <c r="AE2864" i="1"/>
  <c r="AE2693" i="1"/>
  <c r="AE2725" i="1"/>
  <c r="AE2852" i="1"/>
  <c r="AE2837" i="1"/>
  <c r="AE2640" i="1"/>
  <c r="AE2422" i="1"/>
  <c r="AE2645" i="1"/>
  <c r="AE2448" i="1"/>
  <c r="AE2857" i="1"/>
  <c r="AE2789" i="1"/>
  <c r="AE2518" i="1"/>
  <c r="AE2825" i="1"/>
  <c r="AE2609" i="1"/>
  <c r="AE2736" i="1"/>
  <c r="AE2626" i="1"/>
  <c r="AE2598" i="1"/>
  <c r="AE2564" i="1"/>
  <c r="AE2549" i="1"/>
  <c r="AE2813" i="1"/>
  <c r="AE2722" i="1"/>
  <c r="AE2672" i="1"/>
  <c r="AE2453" i="1"/>
  <c r="AE2381" i="1"/>
  <c r="AE2754" i="1"/>
  <c r="AE2677" i="1"/>
  <c r="AE2502" i="1"/>
  <c r="AE2482" i="1"/>
  <c r="AE2847" i="1"/>
  <c r="AE2397" i="1"/>
  <c r="AE2236" i="1"/>
  <c r="AE2221" i="1"/>
  <c r="AE2273" i="1"/>
  <c r="AE2256" i="1"/>
  <c r="AE2369" i="1"/>
  <c r="AE2338" i="1"/>
  <c r="AE2283" i="1"/>
  <c r="AE2323" i="1"/>
  <c r="AE2278" i="1"/>
  <c r="AE2267" i="1"/>
  <c r="AE2251" i="1"/>
  <c r="AE2288" i="1"/>
  <c r="AE2293" i="1"/>
  <c r="AE2343" i="1"/>
  <c r="AE2364" i="1"/>
  <c r="AE2349" i="1"/>
  <c r="AE2333" i="1"/>
  <c r="AE2318" i="1"/>
  <c r="AE2303" i="1"/>
  <c r="AE2328" i="1"/>
  <c r="AE2241" i="1"/>
  <c r="AE2226" i="1"/>
  <c r="AE1945" i="1"/>
  <c r="AE2354" i="1"/>
  <c r="AE2308" i="1"/>
  <c r="AE2246" i="1"/>
  <c r="AE2298" i="1"/>
  <c r="AE2262" i="1"/>
  <c r="AE2231" i="1"/>
  <c r="AE2216" i="1"/>
  <c r="AE2359" i="1"/>
  <c r="AE2313" i="1"/>
  <c r="AE1890" i="1"/>
  <c r="AE1875" i="1"/>
  <c r="AE1859" i="1"/>
  <c r="AE1798" i="1"/>
  <c r="AE1836" i="1"/>
  <c r="AE1786" i="1"/>
  <c r="AE1932" i="1"/>
  <c r="AE1852" i="1"/>
  <c r="AE1872" i="1"/>
  <c r="AE1929" i="1"/>
  <c r="AE1810" i="1"/>
  <c r="AE1881" i="1"/>
  <c r="AE1826" i="1"/>
  <c r="AE1831" i="1"/>
  <c r="AE1938" i="1"/>
  <c r="AE1922" i="1"/>
  <c r="AE1921" i="1" s="1"/>
  <c r="AE1911" i="1"/>
  <c r="AE1895" i="1"/>
  <c r="AE1949" i="1"/>
  <c r="AE1887" i="1"/>
  <c r="AE1841" i="1"/>
  <c r="AE1878" i="1"/>
  <c r="AE1908" i="1"/>
  <c r="AE1884" i="1"/>
  <c r="AE1935" i="1"/>
  <c r="AE1846" i="1"/>
  <c r="AE1699" i="1"/>
  <c r="AE1611" i="1"/>
  <c r="AE1439" i="1"/>
  <c r="AE1290" i="1"/>
  <c r="AE1259" i="1"/>
  <c r="AE858" i="1"/>
  <c r="AE915" i="1"/>
  <c r="AE847" i="1"/>
  <c r="AE1207" i="1"/>
  <c r="AE889" i="1"/>
  <c r="AE832" i="1"/>
  <c r="AE1009" i="1"/>
  <c r="AE983" i="1"/>
  <c r="AE737" i="1"/>
  <c r="AE586" i="1"/>
  <c r="AE870" i="1"/>
  <c r="AE1628" i="1"/>
  <c r="AE1478" i="1"/>
  <c r="AE1359" i="1"/>
  <c r="AE942" i="1"/>
  <c r="AE1471" i="1"/>
  <c r="AE1326" i="1"/>
  <c r="AE844" i="1"/>
  <c r="AE1193" i="1"/>
  <c r="AE954" i="1"/>
  <c r="AE1362" i="1"/>
  <c r="AE1391" i="1"/>
  <c r="AE1186" i="1"/>
  <c r="AE873" i="1"/>
  <c r="AE1678" i="1"/>
  <c r="AE1585" i="1"/>
  <c r="AE1571" i="1"/>
  <c r="AE1271" i="1"/>
  <c r="AE1155" i="1"/>
  <c r="AE922" i="1"/>
  <c r="AE1504" i="1"/>
  <c r="AE1274" i="1"/>
  <c r="AE1352" i="1"/>
  <c r="AE1760" i="1"/>
  <c r="AE1728" i="1"/>
  <c r="AE1597" i="1"/>
  <c r="AE1616" i="1"/>
  <c r="AE1295" i="1"/>
  <c r="AE1264" i="1"/>
  <c r="AE1113" i="1"/>
  <c r="AE1072" i="1"/>
  <c r="AE1233" i="1"/>
  <c r="AE1046" i="1"/>
  <c r="AE1020" i="1"/>
  <c r="AE1412" i="1"/>
  <c r="AE1379" i="1"/>
  <c r="AE1087" i="1"/>
  <c r="AE1683" i="1"/>
  <c r="AE1590" i="1"/>
  <c r="AE1538" i="1"/>
  <c r="AE1245" i="1"/>
  <c r="AE1058" i="1"/>
  <c r="AE1167" i="1"/>
  <c r="AE1219" i="1"/>
  <c r="AE1032" i="1"/>
  <c r="AE1141" i="1"/>
  <c r="AE1196" i="1"/>
  <c r="AE957" i="1"/>
  <c r="AE652" i="1"/>
  <c r="AE980" i="1"/>
  <c r="AE1662" i="1"/>
  <c r="AE1394" i="1"/>
  <c r="AE1098" i="1"/>
  <c r="AE1077" i="1"/>
  <c r="AE1238" i="1"/>
  <c r="AE1051" i="1"/>
  <c r="AE1160" i="1"/>
  <c r="AE1212" i="1"/>
  <c r="AE1025" i="1"/>
  <c r="AE937" i="1"/>
  <c r="AE896" i="1"/>
  <c r="AE863" i="1"/>
  <c r="AE721" i="1"/>
  <c r="AE1710" i="1"/>
  <c r="AE1642" i="1"/>
  <c r="AE1521" i="1"/>
  <c r="AE1492" i="1"/>
  <c r="AE1466" i="1"/>
  <c r="AE1407" i="1"/>
  <c r="AE1347" i="1"/>
  <c r="AE1321" i="1"/>
  <c r="AE1451" i="1"/>
  <c r="AE1374" i="1"/>
  <c r="AE1084" i="1"/>
  <c r="AE1574" i="1"/>
  <c r="AE1419" i="1"/>
  <c r="AE1333" i="1"/>
  <c r="AE1307" i="1"/>
  <c r="AE837" i="1"/>
  <c r="AE1763" i="1"/>
  <c r="AE1696" i="1"/>
  <c r="AE1600" i="1"/>
  <c r="AE1647" i="1"/>
  <c r="AE1554" i="1"/>
  <c r="AE1497" i="1"/>
  <c r="AE1454" i="1"/>
  <c r="AE1006" i="1"/>
  <c r="AE899" i="1"/>
  <c r="AE1747" i="1"/>
  <c r="AE1659" i="1"/>
  <c r="AE1507" i="1"/>
  <c r="AE1336" i="1"/>
  <c r="AE999" i="1"/>
  <c r="AE1731" i="1"/>
  <c r="AE1110" i="1"/>
  <c r="AE1103" i="1"/>
  <c r="AE1248" i="1"/>
  <c r="AE1061" i="1"/>
  <c r="AE1170" i="1"/>
  <c r="AE1222" i="1"/>
  <c r="AE1035" i="1"/>
  <c r="AE1144" i="1"/>
  <c r="AE1434" i="1"/>
  <c r="AE1481" i="1"/>
  <c r="AE1129" i="1"/>
  <c r="AE1742" i="1"/>
  <c r="AE1715" i="1"/>
  <c r="AE1559" i="1"/>
  <c r="AE1541" i="1"/>
  <c r="AE1526" i="1"/>
  <c r="AE1124" i="1"/>
  <c r="AE1181" i="1"/>
  <c r="AE994" i="1"/>
  <c r="AE968" i="1"/>
  <c r="AE925" i="1"/>
  <c r="AE910" i="1"/>
  <c r="AE686" i="1"/>
  <c r="AE884" i="1"/>
  <c r="AE1631" i="1"/>
  <c r="AE1422" i="1"/>
  <c r="AE1310" i="1"/>
  <c r="AE973" i="1"/>
  <c r="AE662" i="1"/>
  <c r="AE626" i="1"/>
  <c r="AE641" i="1"/>
  <c r="AE681" i="1"/>
  <c r="AE780" i="1"/>
  <c r="AE596" i="1"/>
  <c r="AE818" i="1"/>
  <c r="AE726" i="1"/>
  <c r="AE646" i="1"/>
  <c r="AE775" i="1"/>
  <c r="AE631" i="1"/>
  <c r="AE747" i="1"/>
  <c r="AE591" i="1"/>
  <c r="AE657" i="1"/>
  <c r="AE621" i="1"/>
  <c r="AE606" i="1"/>
  <c r="AE616" i="1"/>
  <c r="AE806" i="1"/>
  <c r="AE701" i="1"/>
  <c r="AE601" i="1"/>
  <c r="AE696" i="1"/>
  <c r="AE792" i="1"/>
  <c r="AE742" i="1"/>
  <c r="AE636" i="1"/>
  <c r="AE611" i="1"/>
  <c r="AE767" i="1"/>
  <c r="AE667" i="1"/>
  <c r="AE691" i="1"/>
  <c r="AE811" i="1"/>
  <c r="AE821" i="1"/>
  <c r="AE731" i="1"/>
  <c r="AE795" i="1"/>
  <c r="AE581" i="1"/>
  <c r="AE535" i="1"/>
  <c r="AE550" i="1"/>
  <c r="AE560" i="1"/>
  <c r="AE530" i="1"/>
  <c r="AE575" i="1"/>
  <c r="AE570" i="1"/>
  <c r="AE540" i="1"/>
  <c r="AE565" i="1"/>
  <c r="AE555" i="1"/>
  <c r="AE545" i="1"/>
  <c r="AE2178" i="1"/>
  <c r="AE2127" i="1"/>
  <c r="AE2001" i="1"/>
  <c r="AE1965" i="1"/>
  <c r="AE432" i="1"/>
  <c r="AE301" i="1"/>
  <c r="AE264" i="1"/>
  <c r="AE394" i="1"/>
  <c r="AE221" i="1"/>
  <c r="AE322" i="1"/>
  <c r="AE286" i="1"/>
  <c r="AE249" i="1"/>
  <c r="AE369" i="1"/>
  <c r="AE378" i="1"/>
  <c r="AE227" i="1"/>
  <c r="AE319" i="1"/>
  <c r="AE519" i="1"/>
  <c r="AE267" i="1"/>
  <c r="AE194" i="1"/>
  <c r="AE246" i="1"/>
  <c r="AE2053" i="1"/>
  <c r="AE388" i="1"/>
  <c r="AE341" i="1"/>
  <c r="AE338" i="1"/>
  <c r="AE2103" i="1"/>
  <c r="AE2184" i="1"/>
  <c r="AE2168" i="1"/>
  <c r="AE2066" i="1"/>
  <c r="AE2029" i="1"/>
  <c r="AE422" i="1"/>
  <c r="AE212" i="1"/>
  <c r="AE240" i="1"/>
  <c r="AE203" i="1"/>
  <c r="AE2193" i="1"/>
  <c r="AE481" i="1"/>
  <c r="AE2109" i="1"/>
  <c r="AE1992" i="1"/>
  <c r="AE494" i="1"/>
  <c r="AE438" i="1"/>
  <c r="AE1983" i="1"/>
  <c r="AE359" i="1"/>
  <c r="AE282" i="1"/>
  <c r="AE2165" i="1"/>
  <c r="AE2017" i="1"/>
  <c r="AE356" i="1"/>
  <c r="AE1980" i="1"/>
  <c r="AE2203" i="1"/>
  <c r="AE2072" i="1"/>
  <c r="AE2035" i="1"/>
  <c r="AE413" i="1"/>
  <c r="AE375" i="1"/>
  <c r="AE313" i="1"/>
  <c r="AE276" i="1"/>
  <c r="AE2159" i="1"/>
  <c r="AE2140" i="1"/>
  <c r="AE2093" i="1"/>
  <c r="AE2057" i="1"/>
  <c r="AE2020" i="1"/>
  <c r="AE1998" i="1"/>
  <c r="AE513" i="1"/>
  <c r="AE484" i="1"/>
  <c r="AE404" i="1"/>
  <c r="AE500" i="1"/>
  <c r="AE2209" i="1"/>
  <c r="AE2130" i="1"/>
  <c r="AE503" i="1"/>
  <c r="AE475" i="1"/>
  <c r="AE419" i="1"/>
  <c r="AE304" i="1"/>
  <c r="AE441" i="1"/>
  <c r="AE258" i="1"/>
  <c r="AE457" i="1"/>
  <c r="AE2146" i="1"/>
  <c r="AE2084" i="1"/>
  <c r="AE2047" i="1"/>
  <c r="AE2011" i="1"/>
  <c r="AE451" i="1"/>
  <c r="AE350" i="1"/>
  <c r="AE209" i="1"/>
  <c r="AE295" i="1"/>
  <c r="AE2038" i="1"/>
  <c r="AE2149" i="1"/>
  <c r="AE2121" i="1"/>
  <c r="AE1974" i="1"/>
  <c r="AE465" i="1"/>
  <c r="AE332" i="1"/>
  <c r="AE230" i="1"/>
  <c r="AE2112" i="1"/>
  <c r="AE2090" i="1"/>
  <c r="AE2075" i="1"/>
  <c r="AE164" i="1"/>
  <c r="AE133" i="1"/>
  <c r="AE173" i="1"/>
  <c r="AE121" i="1"/>
  <c r="AE140" i="1"/>
  <c r="AE176" i="1"/>
  <c r="AE147" i="1"/>
  <c r="AE179" i="1"/>
  <c r="AE4298" i="1"/>
  <c r="AE4336" i="1"/>
  <c r="AE4320" i="1"/>
  <c r="AE4311" i="1"/>
  <c r="AE4234" i="1"/>
  <c r="AE4198" i="1"/>
  <c r="AE4158" i="1"/>
  <c r="AE4142" i="1"/>
  <c r="AE4112" i="1"/>
  <c r="AE4103" i="1"/>
  <c r="AE4152" i="1"/>
  <c r="AE4253" i="1"/>
  <c r="AE4215" i="1"/>
  <c r="AE4139" i="1"/>
  <c r="AE4282" i="1"/>
  <c r="AE4301" i="1"/>
  <c r="AE4240" i="1"/>
  <c r="AE4171" i="1"/>
  <c r="AE4243" i="1"/>
  <c r="AE4224" i="1"/>
  <c r="AE4161" i="1"/>
  <c r="AE4182" i="1"/>
  <c r="AE4317" i="1"/>
  <c r="AE4118" i="1"/>
  <c r="AE4259" i="1"/>
  <c r="AE4349" i="1"/>
  <c r="AE4133" i="1"/>
  <c r="AE4192" i="1"/>
  <c r="AE4279" i="1"/>
  <c r="AE4355" i="1"/>
  <c r="AE4339" i="1"/>
  <c r="AE4273" i="1"/>
  <c r="AE4123" i="1"/>
  <c r="AE4330" i="1"/>
  <c r="AE4292" i="1"/>
  <c r="AE4264" i="1"/>
  <c r="AE4221" i="1"/>
  <c r="AE4206" i="1"/>
  <c r="AE4062" i="1"/>
  <c r="AE4022" i="1"/>
  <c r="AE3962" i="1"/>
  <c r="AE3931" i="1"/>
  <c r="AE3754" i="1"/>
  <c r="AE3713" i="1"/>
  <c r="AE3678" i="1"/>
  <c r="AE3693" i="1"/>
  <c r="AE3757" i="1"/>
  <c r="AE3535" i="1"/>
  <c r="AE3979" i="1"/>
  <c r="AE3938" i="1"/>
  <c r="AE3809" i="1"/>
  <c r="AE3669" i="1"/>
  <c r="AE3555" i="1"/>
  <c r="AE3992" i="1"/>
  <c r="AE3816" i="1"/>
  <c r="AE3738" i="1"/>
  <c r="AE3685" i="1"/>
  <c r="AE3562" i="1"/>
  <c r="AE3972" i="1"/>
  <c r="AE3902" i="1"/>
  <c r="AE3999" i="1"/>
  <c r="AE3869" i="1"/>
  <c r="AE3799" i="1"/>
  <c r="AE3767" i="1"/>
  <c r="AE3657" i="1"/>
  <c r="AE3615" i="1"/>
  <c r="AE3575" i="1"/>
  <c r="AE3545" i="1"/>
  <c r="AE3622" i="1"/>
  <c r="AE3582" i="1"/>
  <c r="AE4099" i="1"/>
  <c r="AE3958" i="1"/>
  <c r="AE3859" i="1"/>
  <c r="AE3647" i="1"/>
  <c r="AE4082" i="1"/>
  <c r="AE4042" i="1"/>
  <c r="AE4012" i="1"/>
  <c r="AE4019" i="1"/>
  <c r="AE3898" i="1"/>
  <c r="AE3642" i="1"/>
  <c r="AE3602" i="1"/>
  <c r="AE4039" i="1"/>
  <c r="AE3625" i="1"/>
  <c r="AE3585" i="1"/>
  <c r="AE4092" i="1"/>
  <c r="AE4052" i="1"/>
  <c r="AE3982" i="1"/>
  <c r="AE3951" i="1"/>
  <c r="AE3921" i="1"/>
  <c r="AE3876" i="1"/>
  <c r="AE3774" i="1"/>
  <c r="AE3703" i="1"/>
  <c r="AE3664" i="1"/>
  <c r="AE4059" i="1"/>
  <c r="AE3710" i="1"/>
  <c r="AE3605" i="1"/>
  <c r="AE3565" i="1"/>
  <c r="AE3829" i="1"/>
  <c r="AE3789" i="1"/>
  <c r="AE3881" i="1"/>
  <c r="AE4002" i="1"/>
  <c r="AE3941" i="1"/>
  <c r="AE3911" i="1"/>
  <c r="AE3836" i="1"/>
  <c r="AE3796" i="1"/>
  <c r="AE3723" i="1"/>
  <c r="AE3542" i="1"/>
  <c r="AE3526" i="1"/>
  <c r="AE3595" i="1"/>
  <c r="AE4032" i="1"/>
  <c r="AE3856" i="1"/>
  <c r="AE3779" i="1"/>
  <c r="AE3918" i="1"/>
  <c r="AE3891" i="1"/>
  <c r="AE3849" i="1"/>
  <c r="AE3819" i="1"/>
  <c r="AE3730" i="1"/>
  <c r="AE3635" i="1"/>
  <c r="AE4072" i="1"/>
  <c r="AE4079" i="1"/>
  <c r="AE3839" i="1"/>
  <c r="AE3747" i="1"/>
  <c r="AE3521" i="1"/>
  <c r="AE3513" i="1"/>
  <c r="AE3436" i="1"/>
  <c r="AE3428" i="1"/>
  <c r="AE3313" i="1"/>
  <c r="AE3289" i="1"/>
  <c r="AE3281" i="1"/>
  <c r="AE3039" i="1"/>
  <c r="AE3031" i="1"/>
  <c r="AE2939" i="1"/>
  <c r="AE3184" i="1"/>
  <c r="AE3176" i="1"/>
  <c r="AE2968" i="1"/>
  <c r="AE2877" i="1"/>
  <c r="AE2997" i="1"/>
  <c r="AE3310" i="1"/>
  <c r="AE3144" i="1"/>
  <c r="AE3482" i="1"/>
  <c r="AE3397" i="1"/>
  <c r="AE2976" i="1"/>
  <c r="AE3021" i="1"/>
  <c r="AE2989" i="1"/>
  <c r="AE2914" i="1"/>
  <c r="AE3302" i="1"/>
  <c r="AE3471" i="1"/>
  <c r="AE3386" i="1"/>
  <c r="AE3073" i="1"/>
  <c r="AE3439" i="1"/>
  <c r="AE3260" i="1"/>
  <c r="AE3352" i="1"/>
  <c r="AE3344" i="1"/>
  <c r="AE3271" i="1"/>
  <c r="AE3247" i="1"/>
  <c r="AE3239" i="1"/>
  <c r="AE3123" i="1"/>
  <c r="AE3115" i="1"/>
  <c r="AE3457" i="1"/>
  <c r="AE3449" i="1"/>
  <c r="AE3060" i="1"/>
  <c r="AE3052" i="1"/>
  <c r="AE3503" i="1"/>
  <c r="AE3418" i="1"/>
  <c r="AE3334" i="1"/>
  <c r="AE3229" i="1"/>
  <c r="AE3205" i="1"/>
  <c r="AE3197" i="1"/>
  <c r="AE3105" i="1"/>
  <c r="AE2959" i="1"/>
  <c r="AE2906" i="1"/>
  <c r="AE3166" i="1"/>
  <c r="AE3042" i="1"/>
  <c r="AE2935" i="1"/>
  <c r="AE2927" i="1"/>
  <c r="AE2897" i="1"/>
  <c r="AE3479" i="1"/>
  <c r="AE3394" i="1"/>
  <c r="AE3081" i="1"/>
  <c r="AE3373" i="1"/>
  <c r="AE3365" i="1"/>
  <c r="AE3292" i="1"/>
  <c r="AE3268" i="1"/>
  <c r="AE3136" i="1"/>
  <c r="AE3187" i="1"/>
  <c r="AE3063" i="1"/>
  <c r="AE2979" i="1"/>
  <c r="AE3208" i="1"/>
  <c r="AE3000" i="1"/>
  <c r="AE3500" i="1"/>
  <c r="AE3492" i="1"/>
  <c r="AE3415" i="1"/>
  <c r="AE3407" i="1"/>
  <c r="AE3355" i="1"/>
  <c r="AE3331" i="1"/>
  <c r="AE3323" i="1"/>
  <c r="AE3250" i="1"/>
  <c r="AE3226" i="1"/>
  <c r="AE3218" i="1"/>
  <c r="AE3126" i="1"/>
  <c r="AE3102" i="1"/>
  <c r="AE3094" i="1"/>
  <c r="AE3018" i="1"/>
  <c r="AE3010" i="1"/>
  <c r="AE2956" i="1"/>
  <c r="AE2948" i="1"/>
  <c r="AE2917" i="1"/>
  <c r="AE2886" i="1"/>
  <c r="AE3147" i="1"/>
  <c r="AE3084" i="1"/>
  <c r="AE3461" i="1"/>
  <c r="AE3376" i="1"/>
  <c r="AE2894" i="1"/>
  <c r="AE8546" i="1"/>
  <c r="AE8562" i="1"/>
  <c r="AE8537" i="1"/>
  <c r="AE8553" i="1"/>
  <c r="AE8570" i="1"/>
  <c r="AE8613" i="1"/>
  <c r="AE8597" i="1"/>
  <c r="AE8603" i="1"/>
  <c r="AE8587" i="1"/>
  <c r="AE8579" i="1"/>
  <c r="AE8481" i="1"/>
  <c r="AE8367" i="1"/>
  <c r="AE8382" i="1"/>
  <c r="AE8423" i="1"/>
  <c r="AE8455" i="1"/>
  <c r="AE8148" i="1"/>
  <c r="AE8190" i="1"/>
  <c r="AE8122" i="1"/>
  <c r="AE7778" i="1"/>
  <c r="AE7761" i="1"/>
  <c r="AE8206" i="1"/>
  <c r="AE7824" i="1"/>
  <c r="AE7814" i="1"/>
  <c r="AE8445" i="1"/>
  <c r="AE8044" i="1"/>
  <c r="AE7799" i="1"/>
  <c r="AE8229" i="1"/>
  <c r="AE8290" i="1"/>
  <c r="AE8074" i="1"/>
  <c r="AE8018" i="1"/>
  <c r="AE8034" i="1"/>
  <c r="AE7793" i="1"/>
  <c r="AE8264" i="1"/>
  <c r="AE8306" i="1"/>
  <c r="AE8090" i="1"/>
  <c r="AE7923" i="1"/>
  <c r="AE7784" i="1"/>
  <c r="AE8024" i="1"/>
  <c r="AE7955" i="1"/>
  <c r="AE7888" i="1"/>
  <c r="AE8407" i="1"/>
  <c r="AE7832" i="1"/>
  <c r="AE8397" i="1"/>
  <c r="AE8439" i="1"/>
  <c r="AE8164" i="1"/>
  <c r="AE8059" i="1"/>
  <c r="AE8003" i="1"/>
  <c r="AE8529" i="1"/>
  <c r="AE8245" i="1"/>
  <c r="AE7994" i="1"/>
  <c r="AE8322" i="1"/>
  <c r="AE8359" i="1"/>
  <c r="AE8413" i="1"/>
  <c r="AE8255" i="1"/>
  <c r="AE8180" i="1"/>
  <c r="AE7808" i="1"/>
  <c r="AE8214" i="1"/>
  <c r="AE8112" i="1"/>
  <c r="AE8100" i="1"/>
  <c r="AE8273" i="1"/>
  <c r="AE8513" i="1"/>
  <c r="AE8376" i="1"/>
  <c r="AE7977" i="1"/>
  <c r="AE8429" i="1"/>
  <c r="AE8223" i="1"/>
  <c r="AE8239" i="1"/>
  <c r="AE8196" i="1"/>
  <c r="AE8053" i="1"/>
  <c r="AE8068" i="1"/>
  <c r="AE8084" i="1"/>
  <c r="AE8009" i="1"/>
  <c r="AE7939" i="1"/>
  <c r="AE7904" i="1"/>
  <c r="AE8280" i="1"/>
  <c r="AE7914" i="1"/>
  <c r="AE8349" i="1"/>
  <c r="AE8296" i="1"/>
  <c r="AE8338" i="1"/>
  <c r="AE7929" i="1"/>
  <c r="AE7971" i="1"/>
  <c r="AE7872" i="1"/>
  <c r="AE7894" i="1"/>
  <c r="AE8519" i="1"/>
  <c r="AE8491" i="1"/>
  <c r="AE8328" i="1"/>
  <c r="AE8142" i="1"/>
  <c r="AE8158" i="1"/>
  <c r="AE7961" i="1"/>
  <c r="AE7841" i="1"/>
  <c r="AE7856" i="1"/>
  <c r="AE7862" i="1"/>
  <c r="AE8465" i="1"/>
  <c r="AE8133" i="1"/>
  <c r="AE7770" i="1"/>
  <c r="AE8475" i="1"/>
  <c r="AE8312" i="1"/>
  <c r="AE7945" i="1"/>
  <c r="AE7987" i="1"/>
  <c r="AE7878" i="1"/>
  <c r="AE8503" i="1"/>
  <c r="AE8391" i="1"/>
  <c r="AE8174" i="1"/>
  <c r="AE7847" i="1"/>
  <c r="AE7157" i="1"/>
  <c r="AE7234" i="1"/>
  <c r="AE7217" i="1"/>
  <c r="AE7387" i="1"/>
  <c r="AE7453" i="1"/>
  <c r="AE7437" i="1"/>
  <c r="AE7496" i="1"/>
  <c r="AE7666" i="1"/>
  <c r="AE7347" i="1"/>
  <c r="AE7713" i="1"/>
  <c r="AE7277" i="1"/>
  <c r="AE7556" i="1"/>
  <c r="AE7616" i="1"/>
  <c r="AE7267" i="1"/>
  <c r="AE7327" i="1"/>
  <c r="AE7394" i="1"/>
  <c r="AE7606" i="1"/>
  <c r="AE7673" i="1"/>
  <c r="AE7119" i="1"/>
  <c r="AE7566" i="1"/>
  <c r="AE7676" i="1"/>
  <c r="AE7446" i="1"/>
  <c r="AE7207" i="1"/>
  <c r="AE7274" i="1"/>
  <c r="AE7377" i="1"/>
  <c r="AE7486" i="1"/>
  <c r="AE7546" i="1"/>
  <c r="AE7613" i="1"/>
  <c r="AE7656" i="1"/>
  <c r="AE7750" i="1"/>
  <c r="AE7720" i="1"/>
  <c r="AE7414" i="1"/>
  <c r="AE7506" i="1"/>
  <c r="AE7147" i="1"/>
  <c r="AE7214" i="1"/>
  <c r="AE7257" i="1"/>
  <c r="AE7334" i="1"/>
  <c r="AE7317" i="1"/>
  <c r="AE7493" i="1"/>
  <c r="AE7553" i="1"/>
  <c r="AE7537" i="1"/>
  <c r="AE7596" i="1"/>
  <c r="AE7338" i="1"/>
  <c r="AE7174" i="1"/>
  <c r="AE7154" i="1"/>
  <c r="AE7138" i="1"/>
  <c r="AE7197" i="1"/>
  <c r="AE7367" i="1"/>
  <c r="AE7427" i="1"/>
  <c r="AE7476" i="1"/>
  <c r="AE7757" i="1"/>
  <c r="AE7247" i="1"/>
  <c r="AE7314" i="1"/>
  <c r="AE7466" i="1"/>
  <c r="AE7526" i="1"/>
  <c r="AE7637" i="1"/>
  <c r="AE7254" i="1"/>
  <c r="AE7576" i="1"/>
  <c r="AE7287" i="1"/>
  <c r="AE7167" i="1"/>
  <c r="AE7294" i="1"/>
  <c r="AE7354" i="1"/>
  <c r="AE7397" i="1"/>
  <c r="AE7633" i="1"/>
  <c r="AE7307" i="1"/>
  <c r="AE7374" i="1"/>
  <c r="AE7434" i="1"/>
  <c r="AE7418" i="1"/>
  <c r="AE7586" i="1"/>
  <c r="AE7646" i="1"/>
  <c r="AE7740" i="1"/>
  <c r="AE7187" i="1"/>
  <c r="AE7357" i="1"/>
  <c r="AE7593" i="1"/>
  <c r="AE7653" i="1"/>
  <c r="AE7194" i="1"/>
  <c r="AE7238" i="1"/>
  <c r="AE7297" i="1"/>
  <c r="AE7473" i="1"/>
  <c r="AE7730" i="1"/>
  <c r="AE7135" i="1"/>
  <c r="AE7626" i="1"/>
  <c r="AE7227" i="1"/>
  <c r="AE7573" i="1"/>
  <c r="AE7128" i="1"/>
  <c r="AE7177" i="1"/>
  <c r="AE7407" i="1"/>
  <c r="AE7456" i="1"/>
  <c r="AE7533" i="1"/>
  <c r="AE7516" i="1"/>
  <c r="AE7686" i="1"/>
  <c r="AE7737" i="1"/>
  <c r="AE7706" i="1"/>
  <c r="AE7693" i="1"/>
  <c r="AE7696" i="1"/>
  <c r="AE7513" i="1"/>
  <c r="AE6967" i="1"/>
  <c r="AE6959" i="1"/>
  <c r="AE7051" i="1"/>
  <c r="AE7075" i="1"/>
  <c r="AE7096" i="1"/>
  <c r="AE6970" i="1"/>
  <c r="AE7085" i="1"/>
  <c r="AE7030" i="1"/>
  <c r="AE7022" i="1"/>
  <c r="AE7013" i="1"/>
  <c r="AE6979" i="1"/>
  <c r="AE7114" i="1"/>
  <c r="AE7106" i="1"/>
  <c r="AE7043" i="1"/>
  <c r="AE6987" i="1"/>
  <c r="AE7033" i="1"/>
  <c r="AE7002" i="1"/>
  <c r="AE7093" i="1"/>
  <c r="AE6993" i="1"/>
  <c r="AE7072" i="1"/>
  <c r="AE7064" i="1"/>
  <c r="AE7054" i="1"/>
  <c r="AE7010" i="1"/>
  <c r="AE6950" i="1"/>
  <c r="AE115" i="1"/>
  <c r="AE108" i="1"/>
  <c r="AE101" i="1"/>
  <c r="AE91" i="1"/>
  <c r="AE86" i="1"/>
  <c r="AE82" i="1"/>
  <c r="AE77" i="1"/>
  <c r="AE68" i="1"/>
  <c r="AB8858" i="1"/>
  <c r="AD8857" i="1"/>
  <c r="AB8809" i="1"/>
  <c r="AD8808" i="1"/>
  <c r="AD8813" i="1"/>
  <c r="AB8814" i="1"/>
  <c r="AD8827" i="1"/>
  <c r="AB8828" i="1"/>
  <c r="AD8820" i="1"/>
  <c r="AB8821" i="1"/>
  <c r="AB8779" i="1"/>
  <c r="AD8778" i="1"/>
  <c r="AD8790" i="1"/>
  <c r="AB8791" i="1"/>
  <c r="AD8783" i="1"/>
  <c r="AB8784" i="1"/>
  <c r="AD8797" i="1"/>
  <c r="AB8798" i="1"/>
  <c r="AD8753" i="1"/>
  <c r="AB8754" i="1"/>
  <c r="AD8767" i="1"/>
  <c r="AB8768" i="1"/>
  <c r="AB8749" i="1"/>
  <c r="AD8748" i="1"/>
  <c r="AB8761" i="1"/>
  <c r="AD8760" i="1"/>
  <c r="AB8731" i="1"/>
  <c r="AD8730" i="1"/>
  <c r="AD8700" i="1"/>
  <c r="AD8707" i="1"/>
  <c r="AD8723" i="1"/>
  <c r="AB8724" i="1"/>
  <c r="AD8737" i="1"/>
  <c r="AB8738" i="1"/>
  <c r="AB8719" i="1"/>
  <c r="AD8718" i="1"/>
  <c r="AB8702" i="1"/>
  <c r="AD8693" i="1"/>
  <c r="AB8701" i="1"/>
  <c r="AB4480" i="1"/>
  <c r="H4480" i="1" s="1"/>
  <c r="I4480" i="1" s="1"/>
  <c r="AB8689" i="1"/>
  <c r="AD8688" i="1"/>
  <c r="AB8694" i="1"/>
  <c r="AB8708" i="1"/>
  <c r="AB8699" i="1"/>
  <c r="AB4443" i="1"/>
  <c r="Q4443" i="1" s="1"/>
  <c r="R4443" i="1" s="1"/>
  <c r="T4443" i="1" s="1"/>
  <c r="AB8644" i="1"/>
  <c r="AD8639" i="1"/>
  <c r="AD8634" i="1"/>
  <c r="AB8635" i="1"/>
  <c r="AB8649" i="1"/>
  <c r="AD8648" i="1"/>
  <c r="AB8640" i="1"/>
  <c r="AD8650" i="1"/>
  <c r="AD8677" i="1"/>
  <c r="AB8678" i="1"/>
  <c r="AB8668" i="1"/>
  <c r="AD8667" i="1"/>
  <c r="AB4628" i="1"/>
  <c r="AD4627" i="1"/>
  <c r="AD4632" i="1"/>
  <c r="AB4633" i="1"/>
  <c r="AD4647" i="1"/>
  <c r="AB4648" i="1"/>
  <c r="AB4645" i="1"/>
  <c r="AD4644" i="1"/>
  <c r="AD4609" i="1"/>
  <c r="AB4610" i="1"/>
  <c r="AB4399" i="1"/>
  <c r="H4399" i="1" s="1"/>
  <c r="I4399" i="1" s="1"/>
  <c r="AD4612" i="1"/>
  <c r="AB4613" i="1"/>
  <c r="AD4597" i="1"/>
  <c r="AB4598" i="1"/>
  <c r="AB4593" i="1"/>
  <c r="AD4592" i="1"/>
  <c r="AB4470" i="1"/>
  <c r="Q4470" i="1" s="1"/>
  <c r="R4470" i="1" s="1"/>
  <c r="T4470" i="1" s="1"/>
  <c r="AB4576" i="1"/>
  <c r="AD4575" i="1"/>
  <c r="AB4564" i="1"/>
  <c r="AD4563" i="1"/>
  <c r="AB4459" i="1"/>
  <c r="Q4459" i="1" s="1"/>
  <c r="R4459" i="1" s="1"/>
  <c r="T4459" i="1" s="1"/>
  <c r="AB4559" i="1"/>
  <c r="AD4558" i="1"/>
  <c r="AB4416" i="1"/>
  <c r="H4416" i="1" s="1"/>
  <c r="I4416" i="1" s="1"/>
  <c r="AD4578" i="1"/>
  <c r="AB4579" i="1"/>
  <c r="AD4532" i="1"/>
  <c r="AB4533" i="1"/>
  <c r="AD4547" i="1"/>
  <c r="AB4548" i="1"/>
  <c r="AD4527" i="1"/>
  <c r="AB4528" i="1"/>
  <c r="AD4544" i="1"/>
  <c r="AB4545" i="1"/>
  <c r="AD4496" i="1"/>
  <c r="AB4497" i="1"/>
  <c r="AD4516" i="1"/>
  <c r="AB4517" i="1"/>
  <c r="AB4502" i="1"/>
  <c r="AD4501" i="1"/>
  <c r="AB4514" i="1"/>
  <c r="AD4513" i="1"/>
  <c r="Q4465" i="1"/>
  <c r="R4465" i="1" s="1"/>
  <c r="T4465" i="1" s="1"/>
  <c r="H4465" i="1"/>
  <c r="I4465" i="1" s="1"/>
  <c r="AB4438" i="1"/>
  <c r="H4438" i="1" s="1"/>
  <c r="I4438" i="1" s="1"/>
  <c r="AB4421" i="1"/>
  <c r="H4421" i="1" s="1"/>
  <c r="I4421" i="1" s="1"/>
  <c r="H4426" i="1"/>
  <c r="I4426" i="1" s="1"/>
  <c r="Q4426" i="1"/>
  <c r="R4426" i="1" s="1"/>
  <c r="T4426" i="1" s="1"/>
  <c r="H4475" i="1"/>
  <c r="I4475" i="1" s="1"/>
  <c r="Q4475" i="1"/>
  <c r="R4475" i="1" s="1"/>
  <c r="T4475" i="1" s="1"/>
  <c r="H4448" i="1"/>
  <c r="I4448" i="1" s="1"/>
  <c r="Q4448" i="1"/>
  <c r="R4448" i="1" s="1"/>
  <c r="T4448" i="1" s="1"/>
  <c r="H4431" i="1"/>
  <c r="I4431" i="1" s="1"/>
  <c r="Q4431" i="1"/>
  <c r="R4431" i="1" s="1"/>
  <c r="T4431" i="1" s="1"/>
  <c r="AB4453" i="1"/>
  <c r="Q4453" i="1" s="1"/>
  <c r="R4453" i="1" s="1"/>
  <c r="T4453" i="1" s="1"/>
  <c r="AB4488" i="1"/>
  <c r="AD4487" i="1"/>
  <c r="AD4486" i="1" s="1"/>
  <c r="AB4486" i="1" s="1"/>
  <c r="Z4481" i="1"/>
  <c r="AB4481" i="1"/>
  <c r="AB4476" i="1"/>
  <c r="Z4476" i="1"/>
  <c r="AB4471" i="1"/>
  <c r="Z4471" i="1"/>
  <c r="AB4466" i="1"/>
  <c r="Z4466" i="1"/>
  <c r="AB4460" i="1"/>
  <c r="Z4460" i="1"/>
  <c r="AB4385" i="1"/>
  <c r="Q4385" i="1" s="1"/>
  <c r="R4385" i="1" s="1"/>
  <c r="T4385" i="1" s="1"/>
  <c r="AB4404" i="1"/>
  <c r="Q4404" i="1" s="1"/>
  <c r="R4404" i="1" s="1"/>
  <c r="T4404" i="1" s="1"/>
  <c r="AB4454" i="1"/>
  <c r="Z4454" i="1"/>
  <c r="Z4449" i="1"/>
  <c r="AB4449" i="1"/>
  <c r="AB4444" i="1"/>
  <c r="Z4444" i="1"/>
  <c r="AB4439" i="1"/>
  <c r="Z4439" i="1"/>
  <c r="AB4432" i="1"/>
  <c r="Z4432" i="1"/>
  <c r="Q4360" i="1"/>
  <c r="R4360" i="1" s="1"/>
  <c r="T4360" i="1" s="1"/>
  <c r="H4360" i="1"/>
  <c r="I4360" i="1" s="1"/>
  <c r="AB4427" i="1"/>
  <c r="Z4427" i="1"/>
  <c r="AB4380" i="1"/>
  <c r="AB4422" i="1"/>
  <c r="Z4422" i="1"/>
  <c r="Q4367" i="1"/>
  <c r="R4367" i="1" s="1"/>
  <c r="T4367" i="1" s="1"/>
  <c r="H4367" i="1"/>
  <c r="I4367" i="1" s="1"/>
  <c r="H4409" i="1"/>
  <c r="I4409" i="1" s="1"/>
  <c r="Q4409" i="1"/>
  <c r="R4409" i="1" s="1"/>
  <c r="T4409" i="1" s="1"/>
  <c r="AB4417" i="1"/>
  <c r="Z4417" i="1"/>
  <c r="AB4410" i="1"/>
  <c r="Z4410" i="1"/>
  <c r="AB4405" i="1"/>
  <c r="Z4405" i="1"/>
  <c r="Z4400" i="1"/>
  <c r="AB4400" i="1"/>
  <c r="AD4392" i="1"/>
  <c r="AD4391" i="1" s="1"/>
  <c r="AB4391" i="1" s="1"/>
  <c r="H4391" i="1" s="1"/>
  <c r="I4391" i="1" s="1"/>
  <c r="AB4393" i="1"/>
  <c r="Z4386" i="1"/>
  <c r="AB4386" i="1"/>
  <c r="AB2824" i="1"/>
  <c r="Q2824" i="1" s="1"/>
  <c r="R2824" i="1" s="1"/>
  <c r="T2824" i="1" s="1"/>
  <c r="AB4381" i="1"/>
  <c r="Z4381" i="1"/>
  <c r="AB4377" i="1"/>
  <c r="AD4376" i="1"/>
  <c r="AD4375" i="1" s="1"/>
  <c r="AB4375" i="1" s="1"/>
  <c r="AB2841" i="1"/>
  <c r="Q2841" i="1" s="1"/>
  <c r="R2841" i="1" s="1"/>
  <c r="T2841" i="1" s="1"/>
  <c r="AB4368" i="1"/>
  <c r="Z4368" i="1"/>
  <c r="Q2846" i="1"/>
  <c r="R2846" i="1" s="1"/>
  <c r="T2846" i="1" s="1"/>
  <c r="H2846" i="1"/>
  <c r="I2846" i="1" s="1"/>
  <c r="AB4361" i="1"/>
  <c r="Z4361" i="1"/>
  <c r="AB2858" i="1"/>
  <c r="AD2857" i="1"/>
  <c r="AD2864" i="1"/>
  <c r="AB2865" i="1"/>
  <c r="AB2853" i="1"/>
  <c r="AD2852" i="1"/>
  <c r="AD2851" i="1" s="1"/>
  <c r="AB2851" i="1" s="1"/>
  <c r="Q2851" i="1" s="1"/>
  <c r="R2851" i="1" s="1"/>
  <c r="T2851" i="1" s="1"/>
  <c r="H2788" i="1"/>
  <c r="I2788" i="1" s="1"/>
  <c r="Q2788" i="1"/>
  <c r="R2788" i="1" s="1"/>
  <c r="T2788" i="1" s="1"/>
  <c r="AB2847" i="1"/>
  <c r="Z2847" i="1"/>
  <c r="AB2842" i="1"/>
  <c r="Z2842" i="1"/>
  <c r="AB2838" i="1"/>
  <c r="AD2837" i="1"/>
  <c r="AD2836" i="1" s="1"/>
  <c r="AB2836" i="1" s="1"/>
  <c r="H2836" i="1" s="1"/>
  <c r="I2836" i="1" s="1"/>
  <c r="Q2812" i="1"/>
  <c r="R2812" i="1" s="1"/>
  <c r="T2812" i="1" s="1"/>
  <c r="H2812" i="1"/>
  <c r="I2812" i="1" s="1"/>
  <c r="AB2776" i="1"/>
  <c r="AB2825" i="1"/>
  <c r="Z2825" i="1"/>
  <c r="AB2813" i="1"/>
  <c r="Z2813" i="1"/>
  <c r="AD2801" i="1"/>
  <c r="AD2800" i="1" s="1"/>
  <c r="AB2800" i="1" s="1"/>
  <c r="AB2802" i="1"/>
  <c r="AB2789" i="1"/>
  <c r="Z2789" i="1"/>
  <c r="AB2777" i="1"/>
  <c r="Z2777" i="1"/>
  <c r="AB2363" i="1"/>
  <c r="Q2363" i="1" s="1"/>
  <c r="R2363" i="1" s="1"/>
  <c r="T2363" i="1" s="1"/>
  <c r="AB2755" i="1"/>
  <c r="AD2754" i="1"/>
  <c r="AD2741" i="1"/>
  <c r="AB2742" i="1"/>
  <c r="AB2758" i="1"/>
  <c r="AD2757" i="1"/>
  <c r="AB2737" i="1"/>
  <c r="AD2736" i="1"/>
  <c r="AD2725" i="1"/>
  <c r="AB2726" i="1"/>
  <c r="AD2709" i="1"/>
  <c r="AB2710" i="1"/>
  <c r="AB2705" i="1"/>
  <c r="AD2704" i="1"/>
  <c r="AB2723" i="1"/>
  <c r="AD2722" i="1"/>
  <c r="AB2678" i="1"/>
  <c r="AD2677" i="1"/>
  <c r="AD2690" i="1"/>
  <c r="AB2691" i="1"/>
  <c r="AD2693" i="1"/>
  <c r="AB2694" i="1"/>
  <c r="AB2673" i="1"/>
  <c r="AD2672" i="1"/>
  <c r="AB2646" i="1"/>
  <c r="AD2645" i="1"/>
  <c r="AD2660" i="1"/>
  <c r="AB2661" i="1"/>
  <c r="AB2396" i="1"/>
  <c r="H2396" i="1" s="1"/>
  <c r="I2396" i="1" s="1"/>
  <c r="AD2640" i="1"/>
  <c r="AB2641" i="1"/>
  <c r="AD2657" i="1"/>
  <c r="AB2658" i="1"/>
  <c r="AD2629" i="1"/>
  <c r="AB2630" i="1"/>
  <c r="AB2610" i="1"/>
  <c r="AD2609" i="1"/>
  <c r="AD2614" i="1"/>
  <c r="AB2615" i="1"/>
  <c r="AB2391" i="1"/>
  <c r="H2391" i="1" s="1"/>
  <c r="I2391" i="1" s="1"/>
  <c r="AD2626" i="1"/>
  <c r="AB2627" i="1"/>
  <c r="AD2598" i="1"/>
  <c r="AB2599" i="1"/>
  <c r="AB2596" i="1"/>
  <c r="AD2595" i="1"/>
  <c r="AB2584" i="1"/>
  <c r="AD2583" i="1"/>
  <c r="AB2579" i="1"/>
  <c r="AD2578" i="1"/>
  <c r="AD2549" i="1"/>
  <c r="AB2550" i="1"/>
  <c r="AD2561" i="1"/>
  <c r="AB2562" i="1"/>
  <c r="AD2564" i="1"/>
  <c r="AB2565" i="1"/>
  <c r="AB2545" i="1"/>
  <c r="AD2544" i="1"/>
  <c r="AD2533" i="1"/>
  <c r="AB2534" i="1"/>
  <c r="AB2514" i="1"/>
  <c r="AD2513" i="1"/>
  <c r="AD2518" i="1"/>
  <c r="AB2519" i="1"/>
  <c r="AB2531" i="1"/>
  <c r="AD2530" i="1"/>
  <c r="AB2380" i="1"/>
  <c r="H2380" i="1" s="1"/>
  <c r="I2380" i="1" s="1"/>
  <c r="AB2488" i="1"/>
  <c r="AD2487" i="1"/>
  <c r="AB2500" i="1"/>
  <c r="AD2499" i="1"/>
  <c r="AD2482" i="1"/>
  <c r="AB2483" i="1"/>
  <c r="AB2332" i="1"/>
  <c r="Q2332" i="1" s="1"/>
  <c r="R2332" i="1" s="1"/>
  <c r="T2332" i="1" s="1"/>
  <c r="AD2502" i="1"/>
  <c r="AB2503" i="1"/>
  <c r="H2375" i="1"/>
  <c r="I2375" i="1" s="1"/>
  <c r="Q2375" i="1"/>
  <c r="R2375" i="1" s="1"/>
  <c r="T2375" i="1" s="1"/>
  <c r="AD2448" i="1"/>
  <c r="AB2449" i="1"/>
  <c r="AB2466" i="1"/>
  <c r="AD2465" i="1"/>
  <c r="AD2453" i="1"/>
  <c r="AB2454" i="1"/>
  <c r="AD2468" i="1"/>
  <c r="AB2469" i="1"/>
  <c r="AD2422" i="1"/>
  <c r="AB2423" i="1"/>
  <c r="AB2435" i="1"/>
  <c r="AD2434" i="1"/>
  <c r="AD2437" i="1"/>
  <c r="AB2438" i="1"/>
  <c r="AB2418" i="1"/>
  <c r="AD2417" i="1"/>
  <c r="Z2397" i="1"/>
  <c r="AB2397" i="1"/>
  <c r="Z2392" i="1"/>
  <c r="AB2392" i="1"/>
  <c r="AD2386" i="1"/>
  <c r="AD2385" i="1" s="1"/>
  <c r="AB2385" i="1" s="1"/>
  <c r="AB2387" i="1"/>
  <c r="H2358" i="1"/>
  <c r="I2358" i="1" s="1"/>
  <c r="Q2358" i="1"/>
  <c r="R2358" i="1" s="1"/>
  <c r="T2358" i="1" s="1"/>
  <c r="AB2327" i="1"/>
  <c r="Q2327" i="1" s="1"/>
  <c r="R2327" i="1" s="1"/>
  <c r="T2327" i="1" s="1"/>
  <c r="AB2381" i="1"/>
  <c r="Z2381" i="1"/>
  <c r="Q2353" i="1"/>
  <c r="R2353" i="1" s="1"/>
  <c r="T2353" i="1" s="1"/>
  <c r="H2353" i="1"/>
  <c r="I2353" i="1" s="1"/>
  <c r="AB2348" i="1"/>
  <c r="H2348" i="1" s="1"/>
  <c r="I2348" i="1" s="1"/>
  <c r="Z2376" i="1"/>
  <c r="AB2376" i="1"/>
  <c r="AB2240" i="1"/>
  <c r="H2240" i="1" s="1"/>
  <c r="I2240" i="1" s="1"/>
  <c r="AB2337" i="1"/>
  <c r="Q2337" i="1" s="1"/>
  <c r="R2337" i="1" s="1"/>
  <c r="T2337" i="1" s="1"/>
  <c r="AB2277" i="1"/>
  <c r="Q2277" i="1" s="1"/>
  <c r="R2277" i="1" s="1"/>
  <c r="T2277" i="1" s="1"/>
  <c r="H2307" i="1"/>
  <c r="I2307" i="1" s="1"/>
  <c r="Q2307" i="1"/>
  <c r="R2307" i="1" s="1"/>
  <c r="T2307" i="1" s="1"/>
  <c r="H2272" i="1"/>
  <c r="I2272" i="1" s="1"/>
  <c r="Q2272" i="1"/>
  <c r="R2272" i="1" s="1"/>
  <c r="T2272" i="1" s="1"/>
  <c r="Q2292" i="1"/>
  <c r="R2292" i="1" s="1"/>
  <c r="T2292" i="1" s="1"/>
  <c r="H2292" i="1"/>
  <c r="I2292" i="1" s="1"/>
  <c r="Q2297" i="1"/>
  <c r="R2297" i="1" s="1"/>
  <c r="T2297" i="1" s="1"/>
  <c r="H2297" i="1"/>
  <c r="I2297" i="1" s="1"/>
  <c r="H2302" i="1"/>
  <c r="I2302" i="1" s="1"/>
  <c r="Q2302" i="1"/>
  <c r="R2302" i="1" s="1"/>
  <c r="T2302" i="1" s="1"/>
  <c r="H2317" i="1"/>
  <c r="I2317" i="1" s="1"/>
  <c r="Q2317" i="1"/>
  <c r="R2317" i="1" s="1"/>
  <c r="T2317" i="1" s="1"/>
  <c r="AB2287" i="1"/>
  <c r="Q2287" i="1" s="1"/>
  <c r="R2287" i="1" s="1"/>
  <c r="T2287" i="1" s="1"/>
  <c r="AD2369" i="1"/>
  <c r="AD2368" i="1" s="1"/>
  <c r="AB2368" i="1" s="1"/>
  <c r="Q2368" i="1" s="1"/>
  <c r="R2368" i="1" s="1"/>
  <c r="T2368" i="1" s="1"/>
  <c r="AB2370" i="1"/>
  <c r="Z2364" i="1"/>
  <c r="AB2364" i="1"/>
  <c r="AB2359" i="1"/>
  <c r="Z2359" i="1"/>
  <c r="AB2354" i="1"/>
  <c r="Z2354" i="1"/>
  <c r="Z2349" i="1"/>
  <c r="AB2349" i="1"/>
  <c r="AD2343" i="1"/>
  <c r="AD2342" i="1" s="1"/>
  <c r="AB2342" i="1" s="1"/>
  <c r="AB2344" i="1"/>
  <c r="AB2261" i="1"/>
  <c r="Q2261" i="1" s="1"/>
  <c r="R2261" i="1" s="1"/>
  <c r="T2261" i="1" s="1"/>
  <c r="Z2338" i="1"/>
  <c r="AB2338" i="1"/>
  <c r="Z2333" i="1"/>
  <c r="AB2333" i="1"/>
  <c r="AB2328" i="1"/>
  <c r="Z2328" i="1"/>
  <c r="AD2323" i="1"/>
  <c r="AD2322" i="1" s="1"/>
  <c r="AB2322" i="1" s="1"/>
  <c r="AB2324" i="1"/>
  <c r="AB2318" i="1"/>
  <c r="Z2318" i="1"/>
  <c r="AD2313" i="1"/>
  <c r="AD2312" i="1" s="1"/>
  <c r="AB2312" i="1" s="1"/>
  <c r="AB2314" i="1"/>
  <c r="AB2266" i="1"/>
  <c r="Q2266" i="1" s="1"/>
  <c r="R2266" i="1" s="1"/>
  <c r="T2266" i="1" s="1"/>
  <c r="AB2308" i="1"/>
  <c r="Z2308" i="1"/>
  <c r="AB2220" i="1"/>
  <c r="H2220" i="1" s="1"/>
  <c r="I2220" i="1" s="1"/>
  <c r="AB2303" i="1"/>
  <c r="Z2303" i="1"/>
  <c r="AB2298" i="1"/>
  <c r="Z2298" i="1"/>
  <c r="Z2293" i="1"/>
  <c r="AB2293" i="1"/>
  <c r="AB2288" i="1"/>
  <c r="Z2288" i="1"/>
  <c r="AB2225" i="1"/>
  <c r="H2225" i="1" s="1"/>
  <c r="I2225" i="1" s="1"/>
  <c r="AD2283" i="1"/>
  <c r="AD2282" i="1" s="1"/>
  <c r="AB2282" i="1" s="1"/>
  <c r="AB2284" i="1"/>
  <c r="AB2278" i="1"/>
  <c r="Z2278" i="1"/>
  <c r="H2215" i="1"/>
  <c r="I2215" i="1" s="1"/>
  <c r="Q2215" i="1"/>
  <c r="R2215" i="1" s="1"/>
  <c r="T2215" i="1" s="1"/>
  <c r="H2235" i="1"/>
  <c r="I2235" i="1" s="1"/>
  <c r="Q2235" i="1"/>
  <c r="R2235" i="1" s="1"/>
  <c r="T2235" i="1" s="1"/>
  <c r="AB2273" i="1"/>
  <c r="Z2273" i="1"/>
  <c r="H2245" i="1"/>
  <c r="I2245" i="1" s="1"/>
  <c r="Q2245" i="1"/>
  <c r="R2245" i="1" s="1"/>
  <c r="T2245" i="1" s="1"/>
  <c r="AB2267" i="1"/>
  <c r="Z2267" i="1"/>
  <c r="AB2262" i="1"/>
  <c r="Z2262" i="1"/>
  <c r="Q2260" i="1"/>
  <c r="R2260" i="1" s="1"/>
  <c r="T2260" i="1" s="1"/>
  <c r="H2260" i="1"/>
  <c r="I2260" i="1" s="1"/>
  <c r="AB2257" i="1"/>
  <c r="AD2256" i="1"/>
  <c r="AD2255" i="1" s="1"/>
  <c r="AB2255" i="1" s="1"/>
  <c r="H2255" i="1" s="1"/>
  <c r="I2255" i="1" s="1"/>
  <c r="AD2251" i="1"/>
  <c r="AD2250" i="1" s="1"/>
  <c r="AB2250" i="1" s="1"/>
  <c r="AB2252" i="1"/>
  <c r="AB2246" i="1"/>
  <c r="Z2246" i="1"/>
  <c r="Q1934" i="1"/>
  <c r="R1934" i="1" s="1"/>
  <c r="T1934" i="1" s="1"/>
  <c r="H1934" i="1"/>
  <c r="I1934" i="1" s="1"/>
  <c r="AB2241" i="1"/>
  <c r="Z2241" i="1"/>
  <c r="Z2236" i="1"/>
  <c r="AB2236" i="1"/>
  <c r="AD2231" i="1"/>
  <c r="AD2230" i="1" s="1"/>
  <c r="AB2230" i="1" s="1"/>
  <c r="AB2232" i="1"/>
  <c r="AB2226" i="1"/>
  <c r="Z2226" i="1"/>
  <c r="AB2221" i="1"/>
  <c r="Z2221" i="1"/>
  <c r="AB2216" i="1"/>
  <c r="Z2216" i="1"/>
  <c r="AB1945" i="1"/>
  <c r="Z1945" i="1"/>
  <c r="AD1949" i="1"/>
  <c r="AB1952" i="1"/>
  <c r="AD1938" i="1"/>
  <c r="AB1950" i="1"/>
  <c r="AB1943" i="1"/>
  <c r="AD1922" i="1"/>
  <c r="AD1921" i="1" s="1"/>
  <c r="AB1921" i="1" s="1"/>
  <c r="Q1921" i="1" s="1"/>
  <c r="R1921" i="1" s="1"/>
  <c r="T1921" i="1" s="1"/>
  <c r="AB1931" i="1"/>
  <c r="H1931" i="1" s="1"/>
  <c r="I1931" i="1" s="1"/>
  <c r="Z1932" i="1"/>
  <c r="AB1932" i="1"/>
  <c r="AB1928" i="1"/>
  <c r="Q1928" i="1" s="1"/>
  <c r="R1928" i="1" s="1"/>
  <c r="T1928" i="1" s="1"/>
  <c r="Q1883" i="1"/>
  <c r="R1883" i="1" s="1"/>
  <c r="T1883" i="1" s="1"/>
  <c r="AB1929" i="1"/>
  <c r="Z1929" i="1"/>
  <c r="Q1886" i="1"/>
  <c r="R1886" i="1" s="1"/>
  <c r="T1886" i="1" s="1"/>
  <c r="AD1908" i="1"/>
  <c r="AD1890" i="1"/>
  <c r="H1880" i="1"/>
  <c r="I1880" i="1" s="1"/>
  <c r="AD1911" i="1"/>
  <c r="AB1902" i="1"/>
  <c r="AD1895" i="1"/>
  <c r="AB1896" i="1"/>
  <c r="AB1912" i="1"/>
  <c r="AB1830" i="1"/>
  <c r="H1830" i="1" s="1"/>
  <c r="I1830" i="1" s="1"/>
  <c r="AB1891" i="1"/>
  <c r="AB1909" i="1"/>
  <c r="Q1850" i="1"/>
  <c r="R1850" i="1" s="1"/>
  <c r="T1850" i="1" s="1"/>
  <c r="H1877" i="1"/>
  <c r="I1877" i="1" s="1"/>
  <c r="AB1874" i="1"/>
  <c r="H1874" i="1" s="1"/>
  <c r="I1874" i="1" s="1"/>
  <c r="Q1871" i="1"/>
  <c r="R1871" i="1" s="1"/>
  <c r="T1871" i="1" s="1"/>
  <c r="H1871" i="1"/>
  <c r="I1871" i="1" s="1"/>
  <c r="Z1875" i="1"/>
  <c r="AB1875" i="1"/>
  <c r="AD1859" i="1"/>
  <c r="AB1860" i="1"/>
  <c r="Z1872" i="1"/>
  <c r="AB1872" i="1"/>
  <c r="AD1852" i="1"/>
  <c r="AB1853" i="1"/>
  <c r="H1845" i="1"/>
  <c r="I1845" i="1" s="1"/>
  <c r="Q1845" i="1"/>
  <c r="R1845" i="1" s="1"/>
  <c r="T1845" i="1" s="1"/>
  <c r="AD1786" i="1"/>
  <c r="AD1785" i="1" s="1"/>
  <c r="AB1785" i="1" s="1"/>
  <c r="Q1785" i="1" s="1"/>
  <c r="R1785" i="1" s="1"/>
  <c r="T1785" i="1" s="1"/>
  <c r="Z1846" i="1"/>
  <c r="AB1846" i="1"/>
  <c r="H1835" i="1"/>
  <c r="I1835" i="1" s="1"/>
  <c r="Q1835" i="1"/>
  <c r="R1835" i="1" s="1"/>
  <c r="T1835" i="1" s="1"/>
  <c r="AB1842" i="1"/>
  <c r="AD1841" i="1"/>
  <c r="AD1840" i="1" s="1"/>
  <c r="AB1840" i="1" s="1"/>
  <c r="AB1836" i="1"/>
  <c r="Z1836" i="1"/>
  <c r="Z1831" i="1"/>
  <c r="AB1831" i="1"/>
  <c r="AB1828" i="1"/>
  <c r="AD1826" i="1"/>
  <c r="AD1825" i="1" s="1"/>
  <c r="AB1825" i="1" s="1"/>
  <c r="AB1827" i="1"/>
  <c r="Q1797" i="1"/>
  <c r="R1797" i="1" s="1"/>
  <c r="T1797" i="1" s="1"/>
  <c r="H1797" i="1"/>
  <c r="I1797" i="1" s="1"/>
  <c r="AD1810" i="1"/>
  <c r="AD1809" i="1" s="1"/>
  <c r="AB1809" i="1" s="1"/>
  <c r="AB1811" i="1"/>
  <c r="Z1798" i="1"/>
  <c r="AB1798" i="1"/>
  <c r="AB1793" i="1"/>
  <c r="AD7790" i="1"/>
  <c r="AB7790" i="1" s="1"/>
  <c r="AD7796" i="1"/>
  <c r="AB7796" i="1" s="1"/>
  <c r="AB1748" i="1"/>
  <c r="AD1747" i="1"/>
  <c r="AD1763" i="1"/>
  <c r="AB1764" i="1"/>
  <c r="AB1761" i="1"/>
  <c r="AD1760" i="1"/>
  <c r="AD1742" i="1"/>
  <c r="AB1743" i="1"/>
  <c r="AD1728" i="1"/>
  <c r="AB1729" i="1"/>
  <c r="AB1716" i="1"/>
  <c r="AD1715" i="1"/>
  <c r="AD1731" i="1"/>
  <c r="AB1732" i="1"/>
  <c r="AD1710" i="1"/>
  <c r="AB1711" i="1"/>
  <c r="AD1684" i="1"/>
  <c r="AB1684" i="1" s="1"/>
  <c r="AD1690" i="1"/>
  <c r="AD1678" i="1"/>
  <c r="AB1679" i="1"/>
  <c r="AD1699" i="1"/>
  <c r="AB1700" i="1"/>
  <c r="AB1697" i="1"/>
  <c r="AD1696" i="1"/>
  <c r="AD1600" i="1"/>
  <c r="AB1601" i="1"/>
  <c r="AD1585" i="1"/>
  <c r="AB1586" i="1"/>
  <c r="AD1597" i="1"/>
  <c r="AB1598" i="1"/>
  <c r="AB1591" i="1"/>
  <c r="AD1590" i="1"/>
  <c r="AB1660" i="1"/>
  <c r="AD1659" i="1"/>
  <c r="AD1662" i="1"/>
  <c r="AB1663" i="1"/>
  <c r="AB1648" i="1"/>
  <c r="AD1647" i="1"/>
  <c r="AB1643" i="1"/>
  <c r="AD1642" i="1"/>
  <c r="AB1612" i="1"/>
  <c r="AD1611" i="1"/>
  <c r="AD1616" i="1"/>
  <c r="AB1617" i="1"/>
  <c r="AD1631" i="1"/>
  <c r="AB1632" i="1"/>
  <c r="AD1628" i="1"/>
  <c r="AB1629" i="1"/>
  <c r="AB1555" i="1"/>
  <c r="AD1554" i="1"/>
  <c r="AD1574" i="1"/>
  <c r="AB1575" i="1"/>
  <c r="AB1560" i="1"/>
  <c r="AD1559" i="1"/>
  <c r="AD1571" i="1"/>
  <c r="AB1572" i="1"/>
  <c r="AD1538" i="1"/>
  <c r="AB1539" i="1"/>
  <c r="AD1541" i="1"/>
  <c r="AB1542" i="1"/>
  <c r="AB1527" i="1"/>
  <c r="AD1526" i="1"/>
  <c r="AD1521" i="1"/>
  <c r="AB1522" i="1"/>
  <c r="AB1498" i="1"/>
  <c r="AD1497" i="1"/>
  <c r="AD1507" i="1"/>
  <c r="AB1508" i="1"/>
  <c r="AD1504" i="1"/>
  <c r="AB1505" i="1"/>
  <c r="AD1492" i="1"/>
  <c r="AB1493" i="1"/>
  <c r="AD1481" i="1"/>
  <c r="AB1482" i="1"/>
  <c r="AD1478" i="1"/>
  <c r="AB1479" i="1"/>
  <c r="AD1466" i="1"/>
  <c r="AB1467" i="1"/>
  <c r="AD1471" i="1"/>
  <c r="AB1472" i="1"/>
  <c r="AB1408" i="1"/>
  <c r="AD1407" i="1"/>
  <c r="AD1419" i="1"/>
  <c r="AB1420" i="1"/>
  <c r="AD1422" i="1"/>
  <c r="AB1423" i="1"/>
  <c r="AD1412" i="1"/>
  <c r="AB1413" i="1"/>
  <c r="AB1353" i="1"/>
  <c r="AD1352" i="1"/>
  <c r="AD1362" i="1"/>
  <c r="AB1363" i="1"/>
  <c r="AD1359" i="1"/>
  <c r="AB1360" i="1"/>
  <c r="AD1347" i="1"/>
  <c r="AB1348" i="1"/>
  <c r="AD1333" i="1"/>
  <c r="AB1334" i="1"/>
  <c r="AD1326" i="1"/>
  <c r="AB1327" i="1"/>
  <c r="AB1337" i="1"/>
  <c r="AD1336" i="1"/>
  <c r="AD1321" i="1"/>
  <c r="AB1322" i="1"/>
  <c r="AD1454" i="1"/>
  <c r="AB1455" i="1"/>
  <c r="AB1452" i="1"/>
  <c r="AD1451" i="1"/>
  <c r="AD1439" i="1"/>
  <c r="AB1440" i="1"/>
  <c r="AB1435" i="1"/>
  <c r="AD1434" i="1"/>
  <c r="AD1374" i="1"/>
  <c r="AB1375" i="1"/>
  <c r="AB1380" i="1"/>
  <c r="AD1379" i="1"/>
  <c r="AD1394" i="1"/>
  <c r="AB1395" i="1"/>
  <c r="AB1392" i="1"/>
  <c r="AD1391" i="1"/>
  <c r="AD1290" i="1"/>
  <c r="AB1291" i="1"/>
  <c r="AD1310" i="1"/>
  <c r="AB1311" i="1"/>
  <c r="AB1296" i="1"/>
  <c r="AD1295" i="1"/>
  <c r="AB1308" i="1"/>
  <c r="AD1307" i="1"/>
  <c r="AD1274" i="1"/>
  <c r="AB1275" i="1"/>
  <c r="AB1272" i="1"/>
  <c r="AD1271" i="1"/>
  <c r="AD1259" i="1"/>
  <c r="AB1260" i="1"/>
  <c r="AD1264" i="1"/>
  <c r="AB1265" i="1"/>
  <c r="AD1113" i="1"/>
  <c r="AB1114" i="1"/>
  <c r="AB1111" i="1"/>
  <c r="AD1110" i="1"/>
  <c r="AD1098" i="1"/>
  <c r="AB1099" i="1"/>
  <c r="AB1104" i="1"/>
  <c r="AD1103" i="1"/>
  <c r="AD1072" i="1"/>
  <c r="AB1073" i="1"/>
  <c r="AB1085" i="1"/>
  <c r="AD1084" i="1"/>
  <c r="AD1077" i="1"/>
  <c r="AB1078" i="1"/>
  <c r="AD1087" i="1"/>
  <c r="AB1088" i="1"/>
  <c r="AD1233" i="1"/>
  <c r="AB1234" i="1"/>
  <c r="AD1238" i="1"/>
  <c r="AB1239" i="1"/>
  <c r="AD1248" i="1"/>
  <c r="AB1249" i="1"/>
  <c r="AD1245" i="1"/>
  <c r="AB1246" i="1"/>
  <c r="AD1051" i="1"/>
  <c r="AB1052" i="1"/>
  <c r="AB1062" i="1"/>
  <c r="AD1061" i="1"/>
  <c r="AD1058" i="1"/>
  <c r="AB1059" i="1"/>
  <c r="AD1046" i="1"/>
  <c r="AB1047" i="1"/>
  <c r="AD1167" i="1"/>
  <c r="AB1168" i="1"/>
  <c r="AD1155" i="1"/>
  <c r="AB1156" i="1"/>
  <c r="AD1170" i="1"/>
  <c r="AB1171" i="1"/>
  <c r="AB1161" i="1"/>
  <c r="AD1160" i="1"/>
  <c r="AD1222" i="1"/>
  <c r="AB1223" i="1"/>
  <c r="AD1219" i="1"/>
  <c r="AB1220" i="1"/>
  <c r="AD1207" i="1"/>
  <c r="AB1208" i="1"/>
  <c r="AB1213" i="1"/>
  <c r="AD1212" i="1"/>
  <c r="AD1035" i="1"/>
  <c r="AB1036" i="1"/>
  <c r="AD1032" i="1"/>
  <c r="AB1033" i="1"/>
  <c r="AD1025" i="1"/>
  <c r="AB1026" i="1"/>
  <c r="AD1020" i="1"/>
  <c r="AB1021" i="1"/>
  <c r="AB1125" i="1"/>
  <c r="AD1124" i="1"/>
  <c r="AD1144" i="1"/>
  <c r="AB1145" i="1"/>
  <c r="AD1129" i="1"/>
  <c r="AB1130" i="1"/>
  <c r="AB1142" i="1"/>
  <c r="AD1141" i="1"/>
  <c r="AB1197" i="1"/>
  <c r="AD1196" i="1"/>
  <c r="AD1193" i="1"/>
  <c r="AB1194" i="1"/>
  <c r="AD1186" i="1"/>
  <c r="AB1187" i="1"/>
  <c r="AD1181" i="1"/>
  <c r="AB1182" i="1"/>
  <c r="AD994" i="1"/>
  <c r="AB995" i="1"/>
  <c r="AD1009" i="1"/>
  <c r="AB1010" i="1"/>
  <c r="AD1006" i="1"/>
  <c r="AB1007" i="1"/>
  <c r="AD999" i="1"/>
  <c r="AB1000" i="1"/>
  <c r="AD968" i="1"/>
  <c r="AB969" i="1"/>
  <c r="AD983" i="1"/>
  <c r="AB984" i="1"/>
  <c r="AB974" i="1"/>
  <c r="AD973" i="1"/>
  <c r="AD980" i="1"/>
  <c r="AB981" i="1"/>
  <c r="AD937" i="1"/>
  <c r="AB938" i="1"/>
  <c r="AD957" i="1"/>
  <c r="AB958" i="1"/>
  <c r="AD942" i="1"/>
  <c r="AB943" i="1"/>
  <c r="AB955" i="1"/>
  <c r="AD954" i="1"/>
  <c r="AD925" i="1"/>
  <c r="AB926" i="1"/>
  <c r="AD922" i="1"/>
  <c r="AB923" i="1"/>
  <c r="AD910" i="1"/>
  <c r="AB911" i="1"/>
  <c r="AD915" i="1"/>
  <c r="AB916" i="1"/>
  <c r="AD896" i="1"/>
  <c r="AB897" i="1"/>
  <c r="AD884" i="1"/>
  <c r="AB885" i="1"/>
  <c r="AD889" i="1"/>
  <c r="AB890" i="1"/>
  <c r="AB900" i="1"/>
  <c r="AD899" i="1"/>
  <c r="AD870" i="1"/>
  <c r="AB871" i="1"/>
  <c r="AD863" i="1"/>
  <c r="AB864" i="1"/>
  <c r="AD873" i="1"/>
  <c r="AB874" i="1"/>
  <c r="AD858" i="1"/>
  <c r="AB859" i="1"/>
  <c r="AD847" i="1"/>
  <c r="AB848" i="1"/>
  <c r="AD832" i="1"/>
  <c r="AB833" i="1"/>
  <c r="AD821" i="1"/>
  <c r="AD837" i="1"/>
  <c r="AB838" i="1"/>
  <c r="AD844" i="1"/>
  <c r="AB845" i="1"/>
  <c r="AB822" i="1"/>
  <c r="AD818" i="1"/>
  <c r="AB819" i="1"/>
  <c r="AD806" i="1"/>
  <c r="AB807" i="1"/>
  <c r="AD811" i="1"/>
  <c r="AB795" i="1"/>
  <c r="Z795" i="1"/>
  <c r="AD792" i="1"/>
  <c r="AB793" i="1"/>
  <c r="AD780" i="1"/>
  <c r="AB783" i="1"/>
  <c r="AB781" i="1"/>
  <c r="AB736" i="1"/>
  <c r="H736" i="1" s="1"/>
  <c r="I736" i="1" s="1"/>
  <c r="AB720" i="1"/>
  <c r="Q720" i="1" s="1"/>
  <c r="R720" i="1" s="1"/>
  <c r="T720" i="1" s="1"/>
  <c r="AB725" i="1"/>
  <c r="Q725" i="1" s="1"/>
  <c r="R725" i="1" s="1"/>
  <c r="T725" i="1" s="1"/>
  <c r="AB776" i="1"/>
  <c r="AD775" i="1"/>
  <c r="Q746" i="1"/>
  <c r="R746" i="1" s="1"/>
  <c r="T746" i="1" s="1"/>
  <c r="Z747" i="1"/>
  <c r="AB747" i="1"/>
  <c r="AB690" i="1"/>
  <c r="H690" i="1" s="1"/>
  <c r="I690" i="1" s="1"/>
  <c r="AB743" i="1"/>
  <c r="AD742" i="1"/>
  <c r="AD741" i="1" s="1"/>
  <c r="AB741" i="1" s="1"/>
  <c r="AB737" i="1"/>
  <c r="Z737" i="1"/>
  <c r="Q730" i="1"/>
  <c r="R730" i="1" s="1"/>
  <c r="T730" i="1" s="1"/>
  <c r="AB731" i="1"/>
  <c r="Z731" i="1"/>
  <c r="AB726" i="1"/>
  <c r="Z726" i="1"/>
  <c r="AB685" i="1"/>
  <c r="H685" i="1" s="1"/>
  <c r="I685" i="1" s="1"/>
  <c r="AB651" i="1"/>
  <c r="Q651" i="1" s="1"/>
  <c r="R651" i="1" s="1"/>
  <c r="T651" i="1" s="1"/>
  <c r="AB656" i="1"/>
  <c r="Q656" i="1" s="1"/>
  <c r="R656" i="1" s="1"/>
  <c r="T656" i="1" s="1"/>
  <c r="H680" i="1"/>
  <c r="I680" i="1" s="1"/>
  <c r="Q680" i="1"/>
  <c r="R680" i="1" s="1"/>
  <c r="T680" i="1" s="1"/>
  <c r="Q700" i="1"/>
  <c r="R700" i="1" s="1"/>
  <c r="T700" i="1" s="1"/>
  <c r="H700" i="1"/>
  <c r="I700" i="1" s="1"/>
  <c r="H695" i="1"/>
  <c r="I695" i="1" s="1"/>
  <c r="Q695" i="1"/>
  <c r="R695" i="1" s="1"/>
  <c r="T695" i="1" s="1"/>
  <c r="AB721" i="1"/>
  <c r="Z721" i="1"/>
  <c r="AB701" i="1"/>
  <c r="Z701" i="1"/>
  <c r="Z696" i="1"/>
  <c r="AB696" i="1"/>
  <c r="AB691" i="1"/>
  <c r="Z691" i="1"/>
  <c r="Q661" i="1"/>
  <c r="R661" i="1" s="1"/>
  <c r="T661" i="1" s="1"/>
  <c r="H661" i="1"/>
  <c r="I661" i="1" s="1"/>
  <c r="AB686" i="1"/>
  <c r="Z686" i="1"/>
  <c r="H666" i="1"/>
  <c r="I666" i="1" s="1"/>
  <c r="Q666" i="1"/>
  <c r="R666" i="1" s="1"/>
  <c r="T666" i="1" s="1"/>
  <c r="Z681" i="1"/>
  <c r="AB681" i="1"/>
  <c r="AB662" i="1"/>
  <c r="Z662" i="1"/>
  <c r="AB600" i="1"/>
  <c r="Q600" i="1" s="1"/>
  <c r="R600" i="1" s="1"/>
  <c r="T600" i="1" s="1"/>
  <c r="AB667" i="1"/>
  <c r="Z667" i="1"/>
  <c r="H580" i="1"/>
  <c r="I580" i="1" s="1"/>
  <c r="Q580" i="1"/>
  <c r="R580" i="1" s="1"/>
  <c r="T580" i="1" s="1"/>
  <c r="AB610" i="1"/>
  <c r="H610" i="1" s="1"/>
  <c r="I610" i="1" s="1"/>
  <c r="AB635" i="1"/>
  <c r="H595" i="1"/>
  <c r="I595" i="1" s="1"/>
  <c r="Q595" i="1"/>
  <c r="R595" i="1" s="1"/>
  <c r="T595" i="1" s="1"/>
  <c r="Q605" i="1"/>
  <c r="R605" i="1" s="1"/>
  <c r="T605" i="1" s="1"/>
  <c r="H605" i="1"/>
  <c r="I605" i="1" s="1"/>
  <c r="Q625" i="1"/>
  <c r="R625" i="1" s="1"/>
  <c r="T625" i="1" s="1"/>
  <c r="H625" i="1"/>
  <c r="I625" i="1" s="1"/>
  <c r="Q590" i="1"/>
  <c r="R590" i="1" s="1"/>
  <c r="T590" i="1" s="1"/>
  <c r="H590" i="1"/>
  <c r="I590" i="1" s="1"/>
  <c r="Q640" i="1"/>
  <c r="R640" i="1" s="1"/>
  <c r="T640" i="1" s="1"/>
  <c r="H640" i="1"/>
  <c r="I640" i="1" s="1"/>
  <c r="H620" i="1"/>
  <c r="I620" i="1" s="1"/>
  <c r="Q585" i="1"/>
  <c r="R585" i="1" s="1"/>
  <c r="T585" i="1" s="1"/>
  <c r="Z657" i="1"/>
  <c r="AB657" i="1"/>
  <c r="Z652" i="1"/>
  <c r="AB652" i="1"/>
  <c r="AD646" i="1"/>
  <c r="AD645" i="1" s="1"/>
  <c r="AB645" i="1" s="1"/>
  <c r="AB647" i="1"/>
  <c r="AB641" i="1"/>
  <c r="Z641" i="1"/>
  <c r="Z636" i="1"/>
  <c r="AB636" i="1"/>
  <c r="AD631" i="1"/>
  <c r="AD630" i="1" s="1"/>
  <c r="AB630" i="1" s="1"/>
  <c r="Q630" i="1" s="1"/>
  <c r="R630" i="1" s="1"/>
  <c r="T630" i="1" s="1"/>
  <c r="AB632" i="1"/>
  <c r="Z626" i="1"/>
  <c r="AB626" i="1"/>
  <c r="AB539" i="1"/>
  <c r="Q539" i="1" s="1"/>
  <c r="R539" i="1" s="1"/>
  <c r="T539" i="1" s="1"/>
  <c r="AB621" i="1"/>
  <c r="Z621" i="1"/>
  <c r="AB617" i="1"/>
  <c r="AD616" i="1"/>
  <c r="AD615" i="1" s="1"/>
  <c r="AB615" i="1" s="1"/>
  <c r="H615" i="1" s="1"/>
  <c r="I615" i="1" s="1"/>
  <c r="AB559" i="1"/>
  <c r="H559" i="1" s="1"/>
  <c r="I559" i="1" s="1"/>
  <c r="Z611" i="1"/>
  <c r="AB611" i="1"/>
  <c r="AB606" i="1"/>
  <c r="Z606" i="1"/>
  <c r="AB601" i="1"/>
  <c r="Z601" i="1"/>
  <c r="Z596" i="1"/>
  <c r="AB596" i="1"/>
  <c r="AB534" i="1"/>
  <c r="H534" i="1" s="1"/>
  <c r="I534" i="1" s="1"/>
  <c r="AB591" i="1"/>
  <c r="Z591" i="1"/>
  <c r="Z586" i="1"/>
  <c r="AB586" i="1"/>
  <c r="AB544" i="1"/>
  <c r="H544" i="1" s="1"/>
  <c r="I544" i="1" s="1"/>
  <c r="AB581" i="1"/>
  <c r="Z581" i="1"/>
  <c r="H569" i="1"/>
  <c r="I569" i="1" s="1"/>
  <c r="Q569" i="1"/>
  <c r="R569" i="1" s="1"/>
  <c r="T569" i="1" s="1"/>
  <c r="AB549" i="1"/>
  <c r="Q549" i="1" s="1"/>
  <c r="R549" i="1" s="1"/>
  <c r="T549" i="1" s="1"/>
  <c r="AD575" i="1"/>
  <c r="AD574" i="1" s="1"/>
  <c r="AB574" i="1" s="1"/>
  <c r="AB576" i="1"/>
  <c r="Q564" i="1"/>
  <c r="R564" i="1" s="1"/>
  <c r="T564" i="1" s="1"/>
  <c r="H564" i="1"/>
  <c r="I564" i="1" s="1"/>
  <c r="AB570" i="1"/>
  <c r="Z570" i="1"/>
  <c r="AB565" i="1"/>
  <c r="Z565" i="1"/>
  <c r="H554" i="1"/>
  <c r="I554" i="1" s="1"/>
  <c r="Q554" i="1"/>
  <c r="R554" i="1" s="1"/>
  <c r="T554" i="1" s="1"/>
  <c r="AB560" i="1"/>
  <c r="Z560" i="1"/>
  <c r="AB555" i="1"/>
  <c r="Z555" i="1"/>
  <c r="AB550" i="1"/>
  <c r="Z550" i="1"/>
  <c r="AB545" i="1"/>
  <c r="Z545" i="1"/>
  <c r="AB540" i="1"/>
  <c r="Z540" i="1"/>
  <c r="AD530" i="1"/>
  <c r="AD529" i="1" s="1"/>
  <c r="AB529" i="1" s="1"/>
  <c r="Q529" i="1" s="1"/>
  <c r="R529" i="1" s="1"/>
  <c r="T529" i="1" s="1"/>
  <c r="AB535" i="1"/>
  <c r="Z535" i="1"/>
  <c r="AB531" i="1"/>
  <c r="Z2209" i="1"/>
  <c r="AB2209" i="1"/>
  <c r="AB2194" i="1"/>
  <c r="AD2193" i="1"/>
  <c r="AB2204" i="1"/>
  <c r="AD2203" i="1"/>
  <c r="Z2109" i="1"/>
  <c r="AB2109" i="1"/>
  <c r="AD2093" i="1"/>
  <c r="AB2094" i="1"/>
  <c r="AB2104" i="1"/>
  <c r="AD2103" i="1"/>
  <c r="Z2090" i="1"/>
  <c r="AB2090" i="1"/>
  <c r="AB2085" i="1"/>
  <c r="AD2084" i="1"/>
  <c r="AB2076" i="1"/>
  <c r="AD2075" i="1"/>
  <c r="AB2067" i="1"/>
  <c r="AD2066" i="1"/>
  <c r="AB2058" i="1"/>
  <c r="AD2057" i="1"/>
  <c r="Z2072" i="1"/>
  <c r="AB2072" i="1"/>
  <c r="Z2053" i="1"/>
  <c r="AB2053" i="1"/>
  <c r="AB2048" i="1"/>
  <c r="AD2047" i="1"/>
  <c r="AB2039" i="1"/>
  <c r="AD2038" i="1"/>
  <c r="AB2030" i="1"/>
  <c r="AD2029" i="1"/>
  <c r="AB2021" i="1"/>
  <c r="AD2020" i="1"/>
  <c r="Z2035" i="1"/>
  <c r="AB2035" i="1"/>
  <c r="AB2002" i="1"/>
  <c r="AD2001" i="1"/>
  <c r="Z2017" i="1"/>
  <c r="AB2017" i="1"/>
  <c r="AB2012" i="1"/>
  <c r="AD2011" i="1"/>
  <c r="Z1998" i="1"/>
  <c r="AB1998" i="1"/>
  <c r="AB1993" i="1"/>
  <c r="AD1992" i="1"/>
  <c r="AB1984" i="1"/>
  <c r="AD1983" i="1"/>
  <c r="AB1966" i="1"/>
  <c r="AD1965" i="1"/>
  <c r="AB1975" i="1"/>
  <c r="AD1974" i="1"/>
  <c r="Z1980" i="1"/>
  <c r="AB1980" i="1"/>
  <c r="Z519" i="1"/>
  <c r="AB519" i="1"/>
  <c r="AB504" i="1"/>
  <c r="AD503" i="1"/>
  <c r="AB514" i="1"/>
  <c r="AD513" i="1"/>
  <c r="AD484" i="1"/>
  <c r="AB485" i="1"/>
  <c r="AB495" i="1"/>
  <c r="AD494" i="1"/>
  <c r="Z500" i="1"/>
  <c r="AB500" i="1"/>
  <c r="AD465" i="1"/>
  <c r="AB466" i="1"/>
  <c r="AB476" i="1"/>
  <c r="AD475" i="1"/>
  <c r="Z481" i="1"/>
  <c r="AB481" i="1"/>
  <c r="AB442" i="1"/>
  <c r="AD441" i="1"/>
  <c r="AB452" i="1"/>
  <c r="AD451" i="1"/>
  <c r="Z457" i="1"/>
  <c r="AB457" i="1"/>
  <c r="AB433" i="1"/>
  <c r="AD432" i="1"/>
  <c r="Z438" i="1"/>
  <c r="AB438" i="1"/>
  <c r="AD422" i="1"/>
  <c r="AB423" i="1"/>
  <c r="Z419" i="1"/>
  <c r="AB419" i="1"/>
  <c r="AB405" i="1"/>
  <c r="AD404" i="1"/>
  <c r="AB414" i="1"/>
  <c r="AD413" i="1"/>
  <c r="Z356" i="1"/>
  <c r="AB356" i="1"/>
  <c r="AB351" i="1"/>
  <c r="AD350" i="1"/>
  <c r="AD341" i="1"/>
  <c r="AB342" i="1"/>
  <c r="AB360" i="1"/>
  <c r="AD359" i="1"/>
  <c r="Z375" i="1"/>
  <c r="AB375" i="1"/>
  <c r="AB370" i="1"/>
  <c r="AD369" i="1"/>
  <c r="AB323" i="1"/>
  <c r="AD322" i="1"/>
  <c r="AB333" i="1"/>
  <c r="AD332" i="1"/>
  <c r="Z338" i="1"/>
  <c r="AB338" i="1"/>
  <c r="Z319" i="1"/>
  <c r="AB319" i="1"/>
  <c r="AD304" i="1"/>
  <c r="AB305" i="1"/>
  <c r="AB314" i="1"/>
  <c r="AD313" i="1"/>
  <c r="AB287" i="1"/>
  <c r="AD286" i="1"/>
  <c r="AB296" i="1"/>
  <c r="AD295" i="1"/>
  <c r="Z301" i="1"/>
  <c r="AB301" i="1"/>
  <c r="Z282" i="1"/>
  <c r="AB282" i="1"/>
  <c r="AB277" i="1"/>
  <c r="AD276" i="1"/>
  <c r="AB268" i="1"/>
  <c r="AD267" i="1"/>
  <c r="AB250" i="1"/>
  <c r="AD249" i="1"/>
  <c r="AB259" i="1"/>
  <c r="AD258" i="1"/>
  <c r="Z264" i="1"/>
  <c r="AB264" i="1"/>
  <c r="AB204" i="1"/>
  <c r="AD203" i="1"/>
  <c r="AD194" i="1"/>
  <c r="AB195" i="1"/>
  <c r="Z209" i="1"/>
  <c r="AB209" i="1"/>
  <c r="Z394" i="1"/>
  <c r="AB394" i="1"/>
  <c r="AB379" i="1"/>
  <c r="AD378" i="1"/>
  <c r="AB389" i="1"/>
  <c r="AD388" i="1"/>
  <c r="AD230" i="1"/>
  <c r="AB231" i="1"/>
  <c r="AB241" i="1"/>
  <c r="AD240" i="1"/>
  <c r="Z246" i="1"/>
  <c r="AB246" i="1"/>
  <c r="Z227" i="1"/>
  <c r="AB227" i="1"/>
  <c r="AD212" i="1"/>
  <c r="AB213" i="1"/>
  <c r="AB222" i="1"/>
  <c r="AD221" i="1"/>
  <c r="AD164" i="1"/>
  <c r="Z164" i="1" s="1"/>
  <c r="AB165" i="1"/>
  <c r="AD180" i="1"/>
  <c r="AB180" i="1" s="1"/>
  <c r="AD188" i="1"/>
  <c r="AB188" i="1" s="1"/>
  <c r="AD187" i="1"/>
  <c r="AB187" i="1" s="1"/>
  <c r="AD155" i="1"/>
  <c r="AB155" i="1" s="1"/>
  <c r="AD154" i="1"/>
  <c r="AB177" i="1"/>
  <c r="AD176" i="1"/>
  <c r="AB174" i="1"/>
  <c r="AD173" i="1"/>
  <c r="AB134" i="1"/>
  <c r="AD119" i="1"/>
  <c r="AB119" i="1" s="1"/>
  <c r="AB124" i="1"/>
  <c r="AB122" i="1"/>
  <c r="AB118" i="1"/>
  <c r="AB4340" i="1"/>
  <c r="AD4339" i="1"/>
  <c r="Z4355" i="1"/>
  <c r="AB4355" i="1"/>
  <c r="AB4350" i="1"/>
  <c r="AD4349" i="1"/>
  <c r="Z4336" i="1"/>
  <c r="AB4336" i="1"/>
  <c r="AB4321" i="1"/>
  <c r="AD4320" i="1"/>
  <c r="AB4331" i="1"/>
  <c r="AD4330" i="1"/>
  <c r="Z4298" i="1"/>
  <c r="AB4298" i="1"/>
  <c r="AD4282" i="1"/>
  <c r="AB4283" i="1"/>
  <c r="AB4293" i="1"/>
  <c r="AD4292" i="1"/>
  <c r="AD4301" i="1"/>
  <c r="AB4302" i="1"/>
  <c r="AB4312" i="1"/>
  <c r="AD4311" i="1"/>
  <c r="Z4317" i="1"/>
  <c r="AB4317" i="1"/>
  <c r="AD4273" i="1"/>
  <c r="AB4274" i="1"/>
  <c r="AB4279" i="1"/>
  <c r="Z4279" i="1"/>
  <c r="AB4170" i="1"/>
  <c r="H4170" i="1" s="1"/>
  <c r="I4170" i="1" s="1"/>
  <c r="AB4265" i="1"/>
  <c r="AD4264" i="1"/>
  <c r="Z4259" i="1"/>
  <c r="AB4259" i="1"/>
  <c r="AD4243" i="1"/>
  <c r="AB4244" i="1"/>
  <c r="AB4254" i="1"/>
  <c r="AD4253" i="1"/>
  <c r="Z4221" i="1"/>
  <c r="AB4221" i="1"/>
  <c r="AB4216" i="1"/>
  <c r="AD4215" i="1"/>
  <c r="AB4207" i="1"/>
  <c r="AD4206" i="1"/>
  <c r="AB4235" i="1"/>
  <c r="AD4234" i="1"/>
  <c r="Z4240" i="1"/>
  <c r="AB4240" i="1"/>
  <c r="AB4225" i="1"/>
  <c r="AD4224" i="1"/>
  <c r="AD4182" i="1"/>
  <c r="AB4183" i="1"/>
  <c r="AB4193" i="1"/>
  <c r="AD4192" i="1"/>
  <c r="Z4198" i="1"/>
  <c r="AB4198" i="1"/>
  <c r="AD4161" i="1"/>
  <c r="AD4160" i="1" s="1"/>
  <c r="AB4160" i="1" s="1"/>
  <c r="H4160" i="1" s="1"/>
  <c r="I4160" i="1" s="1"/>
  <c r="Z4171" i="1"/>
  <c r="AB4171" i="1"/>
  <c r="AB4162" i="1"/>
  <c r="AD4123" i="1"/>
  <c r="AD4142" i="1"/>
  <c r="AB4143" i="1"/>
  <c r="AB4153" i="1"/>
  <c r="AD4152" i="1"/>
  <c r="Z4158" i="1"/>
  <c r="AB4158" i="1"/>
  <c r="Z4139" i="1"/>
  <c r="AB4139" i="1"/>
  <c r="AB4134" i="1"/>
  <c r="AD4133" i="1"/>
  <c r="AB4124" i="1"/>
  <c r="AD4112" i="1"/>
  <c r="AD4103" i="1"/>
  <c r="AB4104" i="1"/>
  <c r="AB4113" i="1"/>
  <c r="Z4118" i="1"/>
  <c r="AB4118" i="1"/>
  <c r="Z4099" i="1"/>
  <c r="AB4099" i="1"/>
  <c r="AD4082" i="1"/>
  <c r="AB4083" i="1"/>
  <c r="AB4093" i="1"/>
  <c r="AD4092" i="1"/>
  <c r="Z4079" i="1"/>
  <c r="AB4079" i="1"/>
  <c r="AD4062" i="1"/>
  <c r="AB4063" i="1"/>
  <c r="AD4072" i="1"/>
  <c r="AB4073" i="1"/>
  <c r="AD4042" i="1"/>
  <c r="AB4043" i="1"/>
  <c r="Z4059" i="1"/>
  <c r="AB4059" i="1"/>
  <c r="AD4052" i="1"/>
  <c r="AB4053" i="1"/>
  <c r="AD4032" i="1"/>
  <c r="AB4033" i="1"/>
  <c r="AD4022" i="1"/>
  <c r="AB4023" i="1"/>
  <c r="Z4039" i="1"/>
  <c r="AB4039" i="1"/>
  <c r="AD4002" i="1"/>
  <c r="AB4003" i="1"/>
  <c r="AB4013" i="1"/>
  <c r="AD4012" i="1"/>
  <c r="Z4019" i="1"/>
  <c r="AB4019" i="1"/>
  <c r="AB3993" i="1"/>
  <c r="AD3992" i="1"/>
  <c r="AD3982" i="1"/>
  <c r="AB3983" i="1"/>
  <c r="Z3999" i="1"/>
  <c r="AB3999" i="1"/>
  <c r="Z3979" i="1"/>
  <c r="AB3979" i="1"/>
  <c r="AD3972" i="1"/>
  <c r="AB3973" i="1"/>
  <c r="AD3962" i="1"/>
  <c r="AB3963" i="1"/>
  <c r="Z3958" i="1"/>
  <c r="AB3958" i="1"/>
  <c r="AD3951" i="1"/>
  <c r="AB3952" i="1"/>
  <c r="AD3941" i="1"/>
  <c r="AB3942" i="1"/>
  <c r="AD3931" i="1"/>
  <c r="AB3932" i="1"/>
  <c r="Z3938" i="1"/>
  <c r="AB3938" i="1"/>
  <c r="AD3921" i="1"/>
  <c r="AB3922" i="1"/>
  <c r="Z3918" i="1"/>
  <c r="AB3918" i="1"/>
  <c r="AD3902" i="1"/>
  <c r="AB3903" i="1"/>
  <c r="AD3911" i="1"/>
  <c r="AB3912" i="1"/>
  <c r="Z3898" i="1"/>
  <c r="AB3898" i="1"/>
  <c r="AB3882" i="1"/>
  <c r="AD3881" i="1"/>
  <c r="AD3891" i="1"/>
  <c r="AB3892" i="1"/>
  <c r="AD3869" i="1"/>
  <c r="AB3870" i="1"/>
  <c r="AD3859" i="1"/>
  <c r="AB3860" i="1"/>
  <c r="Z3876" i="1"/>
  <c r="AB3876" i="1"/>
  <c r="Z3856" i="1"/>
  <c r="AB3856" i="1"/>
  <c r="AD3839" i="1"/>
  <c r="AB3840" i="1"/>
  <c r="AD3849" i="1"/>
  <c r="AB3850" i="1"/>
  <c r="AD3819" i="1"/>
  <c r="AB3820" i="1"/>
  <c r="Z3836" i="1"/>
  <c r="AB3836" i="1"/>
  <c r="AB3830" i="1"/>
  <c r="AD3829" i="1"/>
  <c r="AD3799" i="1"/>
  <c r="AB3800" i="1"/>
  <c r="Z3816" i="1"/>
  <c r="AB3816" i="1"/>
  <c r="AB3810" i="1"/>
  <c r="AD3809" i="1"/>
  <c r="AD3779" i="1"/>
  <c r="AB3780" i="1"/>
  <c r="Z3796" i="1"/>
  <c r="AB3796" i="1"/>
  <c r="AB3790" i="1"/>
  <c r="AD3789" i="1"/>
  <c r="Z3774" i="1"/>
  <c r="AB3774" i="1"/>
  <c r="AB3758" i="1"/>
  <c r="AD3757" i="1"/>
  <c r="AD3767" i="1"/>
  <c r="AB3768" i="1"/>
  <c r="AD3747" i="1"/>
  <c r="AB3748" i="1"/>
  <c r="AD3738" i="1"/>
  <c r="AB3739" i="1"/>
  <c r="Z3754" i="1"/>
  <c r="AB3754" i="1"/>
  <c r="Z3730" i="1"/>
  <c r="AB3730" i="1"/>
  <c r="AD3713" i="1"/>
  <c r="AB3714" i="1"/>
  <c r="AB3724" i="1"/>
  <c r="AD3723" i="1"/>
  <c r="AB3704" i="1"/>
  <c r="AD3703" i="1"/>
  <c r="AD3693" i="1"/>
  <c r="AB3694" i="1"/>
  <c r="Z3710" i="1"/>
  <c r="AB3710" i="1"/>
  <c r="Z3685" i="1"/>
  <c r="AB3685" i="1"/>
  <c r="AB3670" i="1"/>
  <c r="AD3669" i="1"/>
  <c r="AB3679" i="1"/>
  <c r="AD3678" i="1"/>
  <c r="AD3647" i="1"/>
  <c r="AB3648" i="1"/>
  <c r="AB3658" i="1"/>
  <c r="AD3657" i="1"/>
  <c r="Z3664" i="1"/>
  <c r="AB3664" i="1"/>
  <c r="AB3636" i="1"/>
  <c r="AD3635" i="1"/>
  <c r="AD3625" i="1"/>
  <c r="AB3626" i="1"/>
  <c r="Z3642" i="1"/>
  <c r="AB3642" i="1"/>
  <c r="AB3616" i="1"/>
  <c r="AD3615" i="1"/>
  <c r="Z3622" i="1"/>
  <c r="AB3622" i="1"/>
  <c r="AD3605" i="1"/>
  <c r="AB3606" i="1"/>
  <c r="Z3602" i="1"/>
  <c r="AB3602" i="1"/>
  <c r="AD3585" i="1"/>
  <c r="AB3586" i="1"/>
  <c r="AD3595" i="1"/>
  <c r="AB3596" i="1"/>
  <c r="AB3576" i="1"/>
  <c r="AD3575" i="1"/>
  <c r="AD3565" i="1"/>
  <c r="AB3566" i="1"/>
  <c r="Z3582" i="1"/>
  <c r="AB3582" i="1"/>
  <c r="AB3556" i="1"/>
  <c r="AD3555" i="1"/>
  <c r="Z3562" i="1"/>
  <c r="AB3562" i="1"/>
  <c r="AD3545" i="1"/>
  <c r="AB3546" i="1"/>
  <c r="AD3526" i="1"/>
  <c r="AB3527" i="1"/>
  <c r="Z3542" i="1"/>
  <c r="AB3542" i="1"/>
  <c r="AB3536" i="1"/>
  <c r="AD3535" i="1"/>
  <c r="AB3504" i="1"/>
  <c r="AD3503" i="1"/>
  <c r="Z3521" i="1"/>
  <c r="AB3521" i="1"/>
  <c r="AD3513" i="1"/>
  <c r="AB3514" i="1"/>
  <c r="Z3500" i="1"/>
  <c r="AB3500" i="1"/>
  <c r="AB3483" i="1"/>
  <c r="AD3482" i="1"/>
  <c r="AB3493" i="1"/>
  <c r="AD3492" i="1"/>
  <c r="AB3462" i="1"/>
  <c r="AD3461" i="1"/>
  <c r="Z3479" i="1"/>
  <c r="AB3479" i="1"/>
  <c r="AD3471" i="1"/>
  <c r="AB3472" i="1"/>
  <c r="AB3440" i="1"/>
  <c r="AD3439" i="1"/>
  <c r="AD3449" i="1"/>
  <c r="AB3450" i="1"/>
  <c r="Z3457" i="1"/>
  <c r="AB3457" i="1"/>
  <c r="AB3419" i="1"/>
  <c r="AD3418" i="1"/>
  <c r="Z3436" i="1"/>
  <c r="AB3436" i="1"/>
  <c r="AB3429" i="1"/>
  <c r="AD3428" i="1"/>
  <c r="Z3415" i="1"/>
  <c r="AB3415" i="1"/>
  <c r="AB3408" i="1"/>
  <c r="AD3407" i="1"/>
  <c r="AB3398" i="1"/>
  <c r="AD3397" i="1"/>
  <c r="AB3377" i="1"/>
  <c r="AD3376" i="1"/>
  <c r="AD3386" i="1"/>
  <c r="AB3387" i="1"/>
  <c r="Z3394" i="1"/>
  <c r="AB3394" i="1"/>
  <c r="AD3355" i="1"/>
  <c r="AB3356" i="1"/>
  <c r="AD3365" i="1"/>
  <c r="AB3366" i="1"/>
  <c r="Z3373" i="1"/>
  <c r="AB3373" i="1"/>
  <c r="AB3335" i="1"/>
  <c r="AD3334" i="1"/>
  <c r="AB3345" i="1"/>
  <c r="AD3344" i="1"/>
  <c r="Z3352" i="1"/>
  <c r="AB3352" i="1"/>
  <c r="Z3331" i="1"/>
  <c r="AB3331" i="1"/>
  <c r="AB3324" i="1"/>
  <c r="AD3323" i="1"/>
  <c r="AD3313" i="1"/>
  <c r="AB3314" i="1"/>
  <c r="AD3292" i="1"/>
  <c r="AB3293" i="1"/>
  <c r="Z3310" i="1"/>
  <c r="AB3310" i="1"/>
  <c r="AB3303" i="1"/>
  <c r="AD3302" i="1"/>
  <c r="AB3272" i="1"/>
  <c r="AD3271" i="1"/>
  <c r="Z3289" i="1"/>
  <c r="AB3289" i="1"/>
  <c r="AB3282" i="1"/>
  <c r="AD3281" i="1"/>
  <c r="Z3268" i="1"/>
  <c r="AB3268" i="1"/>
  <c r="AB3251" i="1"/>
  <c r="AD3250" i="1"/>
  <c r="AB3261" i="1"/>
  <c r="AD3260" i="1"/>
  <c r="Z3247" i="1"/>
  <c r="AB3247" i="1"/>
  <c r="AB3240" i="1"/>
  <c r="AD3239" i="1"/>
  <c r="AD3229" i="1"/>
  <c r="AB3230" i="1"/>
  <c r="AB3209" i="1"/>
  <c r="AD3208" i="1"/>
  <c r="Z3226" i="1"/>
  <c r="AB3226" i="1"/>
  <c r="AB3219" i="1"/>
  <c r="AD3218" i="1"/>
  <c r="AB3188" i="1"/>
  <c r="AD3187" i="1"/>
  <c r="Z3205" i="1"/>
  <c r="AB3205" i="1"/>
  <c r="AD3197" i="1"/>
  <c r="AB3198" i="1"/>
  <c r="Z3184" i="1"/>
  <c r="AB3184" i="1"/>
  <c r="AD3176" i="1"/>
  <c r="AB3177" i="1"/>
  <c r="AB3167" i="1"/>
  <c r="AD3166" i="1"/>
  <c r="H3146" i="1"/>
  <c r="I3146" i="1" s="1"/>
  <c r="Q3146" i="1"/>
  <c r="R3146" i="1" s="1"/>
  <c r="T3146" i="1" s="1"/>
  <c r="AB3147" i="1"/>
  <c r="Z3147" i="1"/>
  <c r="AB3127" i="1"/>
  <c r="AD3126" i="1"/>
  <c r="Z3144" i="1"/>
  <c r="AB3144" i="1"/>
  <c r="AD3136" i="1"/>
  <c r="AB3137" i="1"/>
  <c r="AB3106" i="1"/>
  <c r="AD3105" i="1"/>
  <c r="AD3115" i="1"/>
  <c r="AB3116" i="1"/>
  <c r="Z3123" i="1"/>
  <c r="AB3123" i="1"/>
  <c r="AD3094" i="1"/>
  <c r="AB3095" i="1"/>
  <c r="AB3085" i="1"/>
  <c r="AD3084" i="1"/>
  <c r="Z3102" i="1"/>
  <c r="AB3102" i="1"/>
  <c r="AB3064" i="1"/>
  <c r="AD3063" i="1"/>
  <c r="Z3081" i="1"/>
  <c r="AB3081" i="1"/>
  <c r="AD3073" i="1"/>
  <c r="AB3074" i="1"/>
  <c r="AD3042" i="1"/>
  <c r="AB3043" i="1"/>
  <c r="Z3060" i="1"/>
  <c r="AB3060" i="1"/>
  <c r="AB3053" i="1"/>
  <c r="AD3052" i="1"/>
  <c r="AB3022" i="1"/>
  <c r="AD3021" i="1"/>
  <c r="Z3039" i="1"/>
  <c r="AB3039" i="1"/>
  <c r="AD3031" i="1"/>
  <c r="AB3032" i="1"/>
  <c r="AD3000" i="1"/>
  <c r="AB3001" i="1"/>
  <c r="Z3018" i="1"/>
  <c r="AB3018" i="1"/>
  <c r="AD3010" i="1"/>
  <c r="AB3011" i="1"/>
  <c r="AB2980" i="1"/>
  <c r="AD2979" i="1"/>
  <c r="Z2997" i="1"/>
  <c r="AB2997" i="1"/>
  <c r="AD2989" i="1"/>
  <c r="AB2990" i="1"/>
  <c r="Z2976" i="1"/>
  <c r="AB2976" i="1"/>
  <c r="AB2960" i="1"/>
  <c r="AD2959" i="1"/>
  <c r="AD2968" i="1"/>
  <c r="AB2969" i="1"/>
  <c r="AD2939" i="1"/>
  <c r="AB2940" i="1"/>
  <c r="Z2956" i="1"/>
  <c r="AB2956" i="1"/>
  <c r="AD2948" i="1"/>
  <c r="AB2949" i="1"/>
  <c r="AB2918" i="1"/>
  <c r="AD2917" i="1"/>
  <c r="Z2935" i="1"/>
  <c r="AB2935" i="1"/>
  <c r="AB2928" i="1"/>
  <c r="AD2927" i="1"/>
  <c r="Z2914" i="1"/>
  <c r="AB2914" i="1"/>
  <c r="AD2897" i="1"/>
  <c r="AB2898" i="1"/>
  <c r="AD2906" i="1"/>
  <c r="AB2907" i="1"/>
  <c r="AB2887" i="1"/>
  <c r="AD2886" i="1"/>
  <c r="AB2878" i="1"/>
  <c r="AD2877" i="1"/>
  <c r="Z2894" i="1"/>
  <c r="AB2894" i="1"/>
  <c r="AB8547" i="1"/>
  <c r="AD8546" i="1"/>
  <c r="AB8538" i="1"/>
  <c r="AD8537" i="1"/>
  <c r="AB8563" i="1"/>
  <c r="AD8562" i="1"/>
  <c r="AD8553" i="1"/>
  <c r="AB8554" i="1"/>
  <c r="AB8571" i="1"/>
  <c r="AD8570" i="1"/>
  <c r="AB8580" i="1"/>
  <c r="AD8579" i="1"/>
  <c r="AB8614" i="1"/>
  <c r="AD8613" i="1"/>
  <c r="AB8604" i="1"/>
  <c r="AD8603" i="1"/>
  <c r="AD8587" i="1"/>
  <c r="AB8588" i="1"/>
  <c r="AB8598" i="1"/>
  <c r="AD8597" i="1"/>
  <c r="AB8514" i="1"/>
  <c r="AD8513" i="1"/>
  <c r="AB8504" i="1"/>
  <c r="AD8503" i="1"/>
  <c r="AD8519" i="1"/>
  <c r="AB8520" i="1"/>
  <c r="AB8530" i="1"/>
  <c r="AD8529" i="1"/>
  <c r="AD8465" i="1"/>
  <c r="AB8466" i="1"/>
  <c r="AB8476" i="1"/>
  <c r="AD8475" i="1"/>
  <c r="AB8482" i="1"/>
  <c r="AD8481" i="1"/>
  <c r="AB8492" i="1"/>
  <c r="AD8491" i="1"/>
  <c r="AB8368" i="1"/>
  <c r="AD8367" i="1"/>
  <c r="AB8377" i="1"/>
  <c r="AD8376" i="1"/>
  <c r="AB8392" i="1"/>
  <c r="AD8391" i="1"/>
  <c r="AD8382" i="1"/>
  <c r="AB8383" i="1"/>
  <c r="AD8397" i="1"/>
  <c r="AB8398" i="1"/>
  <c r="AB8408" i="1"/>
  <c r="AD8407" i="1"/>
  <c r="AD8413" i="1"/>
  <c r="AB8414" i="1"/>
  <c r="AB8424" i="1"/>
  <c r="AD8423" i="1"/>
  <c r="AB8440" i="1"/>
  <c r="AD8439" i="1"/>
  <c r="AB8430" i="1"/>
  <c r="AD8429" i="1"/>
  <c r="AB8446" i="1"/>
  <c r="AD8445" i="1"/>
  <c r="AB8456" i="1"/>
  <c r="AD8455" i="1"/>
  <c r="AB8224" i="1"/>
  <c r="AD8223" i="1"/>
  <c r="AD8206" i="1"/>
  <c r="AD8214" i="1"/>
  <c r="AB8215" i="1"/>
  <c r="AD8229" i="1"/>
  <c r="AB8230" i="1"/>
  <c r="AB8240" i="1"/>
  <c r="AD8239" i="1"/>
  <c r="AB8256" i="1"/>
  <c r="AD8255" i="1"/>
  <c r="AB8246" i="1"/>
  <c r="AD8245" i="1"/>
  <c r="AD8264" i="1"/>
  <c r="AB8265" i="1"/>
  <c r="AB8274" i="1"/>
  <c r="AD8273" i="1"/>
  <c r="AD8280" i="1"/>
  <c r="AB8281" i="1"/>
  <c r="AB8291" i="1"/>
  <c r="AD8290" i="1"/>
  <c r="AB8307" i="1"/>
  <c r="AD8306" i="1"/>
  <c r="AB8297" i="1"/>
  <c r="AD8296" i="1"/>
  <c r="AB8313" i="1"/>
  <c r="AD8312" i="1"/>
  <c r="AB8323" i="1"/>
  <c r="AD8322" i="1"/>
  <c r="AD8328" i="1"/>
  <c r="AB8329" i="1"/>
  <c r="AB8339" i="1"/>
  <c r="AD8338" i="1"/>
  <c r="AB8360" i="1"/>
  <c r="AD8359" i="1"/>
  <c r="AD8349" i="1"/>
  <c r="AB8350" i="1"/>
  <c r="AB8143" i="1"/>
  <c r="AD8142" i="1"/>
  <c r="AB8134" i="1"/>
  <c r="AD8133" i="1"/>
  <c r="AB8149" i="1"/>
  <c r="AD8148" i="1"/>
  <c r="AB8159" i="1"/>
  <c r="AD8158" i="1"/>
  <c r="AB8175" i="1"/>
  <c r="AD8174" i="1"/>
  <c r="AD8164" i="1"/>
  <c r="AB8165" i="1"/>
  <c r="AD8180" i="1"/>
  <c r="AB8181" i="1"/>
  <c r="AB8191" i="1"/>
  <c r="AD8190" i="1"/>
  <c r="AD8196" i="1"/>
  <c r="AB8197" i="1"/>
  <c r="AB8207" i="1"/>
  <c r="AD8112" i="1"/>
  <c r="AB8113" i="1"/>
  <c r="AB8123" i="1"/>
  <c r="AD8122" i="1"/>
  <c r="AB8054" i="1"/>
  <c r="AD8053" i="1"/>
  <c r="AB8045" i="1"/>
  <c r="AD8044" i="1"/>
  <c r="AB8060" i="1"/>
  <c r="AD8059" i="1"/>
  <c r="AD8074" i="1"/>
  <c r="AB8069" i="1"/>
  <c r="AD8068" i="1"/>
  <c r="AB8075" i="1"/>
  <c r="AB8085" i="1"/>
  <c r="AD8084" i="1"/>
  <c r="AD8090" i="1"/>
  <c r="AB8091" i="1"/>
  <c r="AB8101" i="1"/>
  <c r="AD8100" i="1"/>
  <c r="AB8004" i="1"/>
  <c r="AD8003" i="1"/>
  <c r="AD7994" i="1"/>
  <c r="AB7995" i="1"/>
  <c r="AB8019" i="1"/>
  <c r="AD8018" i="1"/>
  <c r="AD8009" i="1"/>
  <c r="AB8010" i="1"/>
  <c r="AB8035" i="1"/>
  <c r="AD8034" i="1"/>
  <c r="AD8024" i="1"/>
  <c r="AB8025" i="1"/>
  <c r="AB7924" i="1"/>
  <c r="AD7923" i="1"/>
  <c r="AB7915" i="1"/>
  <c r="AD7914" i="1"/>
  <c r="AD7929" i="1"/>
  <c r="AB7930" i="1"/>
  <c r="AB7940" i="1"/>
  <c r="AD7939" i="1"/>
  <c r="AD7945" i="1"/>
  <c r="AB7946" i="1"/>
  <c r="AB7956" i="1"/>
  <c r="AD7955" i="1"/>
  <c r="AB7972" i="1"/>
  <c r="AD7971" i="1"/>
  <c r="AB7962" i="1"/>
  <c r="AD7961" i="1"/>
  <c r="AB7988" i="1"/>
  <c r="AD7987" i="1"/>
  <c r="AD7977" i="1"/>
  <c r="AB7978" i="1"/>
  <c r="AD7832" i="1"/>
  <c r="AB7833" i="1"/>
  <c r="AB7842" i="1"/>
  <c r="AD7841" i="1"/>
  <c r="AB7857" i="1"/>
  <c r="AD7856" i="1"/>
  <c r="AB7848" i="1"/>
  <c r="AD7847" i="1"/>
  <c r="AD7862" i="1"/>
  <c r="AB7863" i="1"/>
  <c r="AB7873" i="1"/>
  <c r="AD7872" i="1"/>
  <c r="AB7879" i="1"/>
  <c r="AD7878" i="1"/>
  <c r="AB7889" i="1"/>
  <c r="AD7888" i="1"/>
  <c r="AB7905" i="1"/>
  <c r="AD7904" i="1"/>
  <c r="AD7894" i="1"/>
  <c r="AB7895" i="1"/>
  <c r="AB7794" i="1"/>
  <c r="AB7785" i="1"/>
  <c r="AD7799" i="1"/>
  <c r="AB7800" i="1"/>
  <c r="AD7824" i="1"/>
  <c r="AB7809" i="1"/>
  <c r="AD7808" i="1"/>
  <c r="AD7814" i="1"/>
  <c r="AB7815" i="1"/>
  <c r="AD7770" i="1"/>
  <c r="AB7825" i="1"/>
  <c r="AD7761" i="1"/>
  <c r="AB7762" i="1"/>
  <c r="Z7778" i="1"/>
  <c r="AB7778" i="1"/>
  <c r="AB7771" i="1"/>
  <c r="Z7135" i="1"/>
  <c r="AB7135" i="1"/>
  <c r="AB7129" i="1"/>
  <c r="AD7128" i="1"/>
  <c r="AB7120" i="1"/>
  <c r="AD7119" i="1"/>
  <c r="Z7154" i="1"/>
  <c r="AB7154" i="1"/>
  <c r="AD7138" i="1"/>
  <c r="AB7139" i="1"/>
  <c r="AB7148" i="1"/>
  <c r="AD7147" i="1"/>
  <c r="AB7158" i="1"/>
  <c r="AD7157" i="1"/>
  <c r="Z7174" i="1"/>
  <c r="AB7174" i="1"/>
  <c r="AD7167" i="1"/>
  <c r="AB7168" i="1"/>
  <c r="AD7177" i="1"/>
  <c r="AB7178" i="1"/>
  <c r="Z7194" i="1"/>
  <c r="AB7194" i="1"/>
  <c r="AD7187" i="1"/>
  <c r="AB7188" i="1"/>
  <c r="Z7214" i="1"/>
  <c r="AB7214" i="1"/>
  <c r="AD7207" i="1"/>
  <c r="AB7208" i="1"/>
  <c r="AD7197" i="1"/>
  <c r="AB7198" i="1"/>
  <c r="Z7234" i="1"/>
  <c r="AB7234" i="1"/>
  <c r="AD7227" i="1"/>
  <c r="AB7228" i="1"/>
  <c r="AD7217" i="1"/>
  <c r="AB7218" i="1"/>
  <c r="Z7254" i="1"/>
  <c r="AB7254" i="1"/>
  <c r="AD7238" i="1"/>
  <c r="AB7239" i="1"/>
  <c r="AB7248" i="1"/>
  <c r="AD7247" i="1"/>
  <c r="AD7257" i="1"/>
  <c r="AB7258" i="1"/>
  <c r="AB7268" i="1"/>
  <c r="AD7267" i="1"/>
  <c r="Z7274" i="1"/>
  <c r="AB7274" i="1"/>
  <c r="AD7277" i="1"/>
  <c r="AB7278" i="1"/>
  <c r="Z7294" i="1"/>
  <c r="AB7294" i="1"/>
  <c r="AD7287" i="1"/>
  <c r="AB7288" i="1"/>
  <c r="AD7297" i="1"/>
  <c r="AB7298" i="1"/>
  <c r="Z7314" i="1"/>
  <c r="AB7314" i="1"/>
  <c r="AD7307" i="1"/>
  <c r="AB7308" i="1"/>
  <c r="Z7334" i="1"/>
  <c r="AB7334" i="1"/>
  <c r="AB7318" i="1"/>
  <c r="AD7317" i="1"/>
  <c r="AD7327" i="1"/>
  <c r="AB7328" i="1"/>
  <c r="Z7354" i="1"/>
  <c r="AB7354" i="1"/>
  <c r="AB7339" i="1"/>
  <c r="AD7338" i="1"/>
  <c r="AB7348" i="1"/>
  <c r="AD7347" i="1"/>
  <c r="AB7368" i="1"/>
  <c r="AD7367" i="1"/>
  <c r="AD7357" i="1"/>
  <c r="AB7358" i="1"/>
  <c r="Z7374" i="1"/>
  <c r="AB7374" i="1"/>
  <c r="AD7377" i="1"/>
  <c r="AB7378" i="1"/>
  <c r="Z7394" i="1"/>
  <c r="AB7394" i="1"/>
  <c r="AB7388" i="1"/>
  <c r="AD7387" i="1"/>
  <c r="AB7398" i="1"/>
  <c r="AD7397" i="1"/>
  <c r="AD7407" i="1"/>
  <c r="AB7408" i="1"/>
  <c r="Z7414" i="1"/>
  <c r="AB7414" i="1"/>
  <c r="Z7434" i="1"/>
  <c r="AB7434" i="1"/>
  <c r="AD7427" i="1"/>
  <c r="AB7428" i="1"/>
  <c r="AD7418" i="1"/>
  <c r="AB7419" i="1"/>
  <c r="Z7453" i="1"/>
  <c r="AB7453" i="1"/>
  <c r="AB7438" i="1"/>
  <c r="AD7437" i="1"/>
  <c r="AD7446" i="1"/>
  <c r="AB7447" i="1"/>
  <c r="AD7456" i="1"/>
  <c r="AB7457" i="1"/>
  <c r="Z7473" i="1"/>
  <c r="AB7473" i="1"/>
  <c r="AD7466" i="1"/>
  <c r="AB7467" i="1"/>
  <c r="AB7487" i="1"/>
  <c r="AD7486" i="1"/>
  <c r="AB7477" i="1"/>
  <c r="AD7476" i="1"/>
  <c r="Z7493" i="1"/>
  <c r="AB7493" i="1"/>
  <c r="AD7496" i="1"/>
  <c r="AB7497" i="1"/>
  <c r="AB7507" i="1"/>
  <c r="AD7506" i="1"/>
  <c r="Z7513" i="1"/>
  <c r="AB7513" i="1"/>
  <c r="Z7553" i="1"/>
  <c r="AB7553" i="1"/>
  <c r="AB7538" i="1"/>
  <c r="AD7537" i="1"/>
  <c r="AD7546" i="1"/>
  <c r="AB7547" i="1"/>
  <c r="AB7564" i="1"/>
  <c r="AB7535" i="1"/>
  <c r="Z7573" i="1"/>
  <c r="AB7573" i="1"/>
  <c r="AD7566" i="1"/>
  <c r="AB7567" i="1"/>
  <c r="AD7556" i="1"/>
  <c r="AB7557" i="1"/>
  <c r="AD7576" i="1"/>
  <c r="AB7577" i="1"/>
  <c r="Z7593" i="1"/>
  <c r="AB7593" i="1"/>
  <c r="AB7587" i="1"/>
  <c r="AD7586" i="1"/>
  <c r="AD7596" i="1"/>
  <c r="AB7597" i="1"/>
  <c r="Z7613" i="1"/>
  <c r="AB7613" i="1"/>
  <c r="AD7606" i="1"/>
  <c r="AB7607" i="1"/>
  <c r="Z7633" i="1"/>
  <c r="AB7633" i="1"/>
  <c r="AB7627" i="1"/>
  <c r="AD7626" i="1"/>
  <c r="AB7617" i="1"/>
  <c r="AD7616" i="1"/>
  <c r="Z7653" i="1"/>
  <c r="AB7653" i="1"/>
  <c r="AB7638" i="1"/>
  <c r="AD7637" i="1"/>
  <c r="AB7647" i="1"/>
  <c r="AD7646" i="1"/>
  <c r="AD7656" i="1"/>
  <c r="AB7657" i="1"/>
  <c r="Z7673" i="1"/>
  <c r="AB7673" i="1"/>
  <c r="AB7667" i="1"/>
  <c r="AD7666" i="1"/>
  <c r="AB7687" i="1"/>
  <c r="AD7686" i="1"/>
  <c r="AD7676" i="1"/>
  <c r="AB7677" i="1"/>
  <c r="Z7693" i="1"/>
  <c r="AB7693" i="1"/>
  <c r="Z7737" i="1"/>
  <c r="AB7737" i="1"/>
  <c r="AB7721" i="1"/>
  <c r="AD7720" i="1"/>
  <c r="AB7731" i="1"/>
  <c r="AD7730" i="1"/>
  <c r="AD7750" i="1"/>
  <c r="AB7741" i="1"/>
  <c r="AD7740" i="1"/>
  <c r="AB7751" i="1"/>
  <c r="Z7757" i="1"/>
  <c r="AB7757" i="1"/>
  <c r="AB7707" i="1"/>
  <c r="AD7706" i="1"/>
  <c r="Z7713" i="1"/>
  <c r="AB7713" i="1"/>
  <c r="AB7697" i="1"/>
  <c r="AD7696" i="1"/>
  <c r="H7416" i="1"/>
  <c r="I7416" i="1" s="1"/>
  <c r="Q7416" i="1"/>
  <c r="R7416" i="1" s="1"/>
  <c r="T7416" i="1" s="1"/>
  <c r="AB7097" i="1"/>
  <c r="AD7096" i="1"/>
  <c r="AD7106" i="1"/>
  <c r="AB7107" i="1"/>
  <c r="Z7114" i="1"/>
  <c r="AB7114" i="1"/>
  <c r="Z7093" i="1"/>
  <c r="AB7093" i="1"/>
  <c r="AB7076" i="1"/>
  <c r="AD7075" i="1"/>
  <c r="AB7086" i="1"/>
  <c r="AD7085" i="1"/>
  <c r="Z7085" i="1" s="1"/>
  <c r="AB7055" i="1"/>
  <c r="AD7054" i="1"/>
  <c r="AD7043" i="1"/>
  <c r="Z7072" i="1"/>
  <c r="AB7072" i="1"/>
  <c r="AB7065" i="1"/>
  <c r="AD7064" i="1"/>
  <c r="AD7034" i="1"/>
  <c r="AD7042" i="1"/>
  <c r="Z7051" i="1"/>
  <c r="AB7051" i="1"/>
  <c r="AB7044" i="1"/>
  <c r="Z7030" i="1"/>
  <c r="AB7030" i="1"/>
  <c r="AD7013" i="1"/>
  <c r="AB7014" i="1"/>
  <c r="AD7022" i="1"/>
  <c r="AB7023" i="1"/>
  <c r="AD7002" i="1"/>
  <c r="AB7003" i="1"/>
  <c r="Z7010" i="1"/>
  <c r="AB7010" i="1"/>
  <c r="AD6993" i="1"/>
  <c r="AB6994" i="1"/>
  <c r="AD6979" i="1"/>
  <c r="AB6980" i="1"/>
  <c r="Z6987" i="1"/>
  <c r="AB6987" i="1"/>
  <c r="AD6966" i="1"/>
  <c r="AB6966" i="1" s="1"/>
  <c r="AD6970" i="1"/>
  <c r="AB6971" i="1"/>
  <c r="AD6960" i="1"/>
  <c r="AD6963" i="1"/>
  <c r="AB6964" i="1"/>
  <c r="AB6951" i="1"/>
  <c r="AD6950" i="1"/>
  <c r="AB116" i="1"/>
  <c r="AD108" i="1"/>
  <c r="AB109" i="1"/>
  <c r="O100" i="1"/>
  <c r="J100" i="1"/>
  <c r="J101" i="1" s="1"/>
  <c r="G100" i="1"/>
  <c r="O90" i="1"/>
  <c r="J90" i="1"/>
  <c r="J91" i="1" s="1"/>
  <c r="G90" i="1"/>
  <c r="O85" i="1"/>
  <c r="J85" i="1"/>
  <c r="J86" i="1" s="1"/>
  <c r="G85" i="1"/>
  <c r="O81" i="1"/>
  <c r="J81" i="1"/>
  <c r="J82" i="1" s="1"/>
  <c r="G81" i="1"/>
  <c r="O76" i="1"/>
  <c r="J76" i="1"/>
  <c r="J77" i="1" s="1"/>
  <c r="G76" i="1"/>
  <c r="O67" i="1"/>
  <c r="J67" i="1"/>
  <c r="J68" i="1" s="1"/>
  <c r="G67" i="1"/>
  <c r="O63" i="1"/>
  <c r="J63" i="1"/>
  <c r="J64" i="1" s="1"/>
  <c r="G63" i="1"/>
  <c r="O60" i="1"/>
  <c r="J60" i="1"/>
  <c r="J61" i="1" s="1"/>
  <c r="G60" i="1"/>
  <c r="O57" i="1"/>
  <c r="J57" i="1"/>
  <c r="J58" i="1" s="1"/>
  <c r="G57" i="1"/>
  <c r="O54" i="1"/>
  <c r="J54" i="1"/>
  <c r="J55" i="1" s="1"/>
  <c r="G54" i="1"/>
  <c r="O51" i="1"/>
  <c r="J51" i="1"/>
  <c r="J52" i="1" s="1"/>
  <c r="G51" i="1"/>
  <c r="O46" i="1"/>
  <c r="J46" i="1"/>
  <c r="J47" i="1" s="1"/>
  <c r="G46" i="1"/>
  <c r="O37" i="1"/>
  <c r="J37" i="1"/>
  <c r="J38" i="1" s="1"/>
  <c r="G37" i="1"/>
  <c r="AH8073" i="1" l="1"/>
  <c r="H10282" i="1"/>
  <c r="I10282" i="1" s="1"/>
  <c r="Q10307" i="1"/>
  <c r="R10307" i="1" s="1"/>
  <c r="T10307" i="1" s="1"/>
  <c r="AE8073" i="1"/>
  <c r="AF8073" i="1"/>
  <c r="AG8073" i="1"/>
  <c r="AI10198" i="1"/>
  <c r="AI1921" i="1"/>
  <c r="AF8633" i="1"/>
  <c r="AH107" i="1"/>
  <c r="AF107" i="1"/>
  <c r="AE107" i="1"/>
  <c r="AG107" i="1"/>
  <c r="AH8633" i="1"/>
  <c r="H10510" i="1"/>
  <c r="I10510" i="1" s="1"/>
  <c r="AE8633" i="1"/>
  <c r="AG8633" i="1"/>
  <c r="AH163" i="1"/>
  <c r="AF163" i="1"/>
  <c r="AG163" i="1"/>
  <c r="AE163" i="1"/>
  <c r="H10506" i="1"/>
  <c r="I10506" i="1" s="1"/>
  <c r="Q10467" i="1"/>
  <c r="R10467" i="1" s="1"/>
  <c r="T10467" i="1" s="1"/>
  <c r="Q10494" i="1"/>
  <c r="R10494" i="1" s="1"/>
  <c r="T10494" i="1" s="1"/>
  <c r="H10475" i="1"/>
  <c r="I10475" i="1" s="1"/>
  <c r="Q10287" i="1"/>
  <c r="R10287" i="1" s="1"/>
  <c r="T10287" i="1" s="1"/>
  <c r="Q10302" i="1"/>
  <c r="R10302" i="1" s="1"/>
  <c r="T10302" i="1" s="1"/>
  <c r="AD10447" i="1"/>
  <c r="AB10447" i="1" s="1"/>
  <c r="H10447" i="1" s="1"/>
  <c r="I10447" i="1" s="1"/>
  <c r="AF10447" i="1"/>
  <c r="AH10447" i="1"/>
  <c r="AG10447" i="1"/>
  <c r="AE10447" i="1"/>
  <c r="AI10457" i="1"/>
  <c r="AD10428" i="1"/>
  <c r="AB10428" i="1" s="1"/>
  <c r="AH10428" i="1"/>
  <c r="AE10428" i="1"/>
  <c r="AF10428" i="1"/>
  <c r="AG10428" i="1"/>
  <c r="AB10457" i="1"/>
  <c r="Z10457" i="1"/>
  <c r="AB10448" i="1"/>
  <c r="Z10448" i="1"/>
  <c r="AI10448" i="1"/>
  <c r="AI10464" i="1"/>
  <c r="AI10438" i="1"/>
  <c r="AI10445" i="1"/>
  <c r="AB10429" i="1"/>
  <c r="Z10429" i="1"/>
  <c r="AI10429" i="1"/>
  <c r="AB10438" i="1"/>
  <c r="Z10438" i="1"/>
  <c r="AD10367" i="1"/>
  <c r="AB10367" i="1" s="1"/>
  <c r="AD10407" i="1"/>
  <c r="AB10407" i="1" s="1"/>
  <c r="Q10407" i="1" s="1"/>
  <c r="R10407" i="1" s="1"/>
  <c r="T10407" i="1" s="1"/>
  <c r="AF10407" i="1"/>
  <c r="AG10407" i="1"/>
  <c r="AI10408" i="1"/>
  <c r="AE10407" i="1"/>
  <c r="AH10407" i="1"/>
  <c r="AI10425" i="1"/>
  <c r="AB10417" i="1"/>
  <c r="Z10417" i="1"/>
  <c r="AI10417" i="1"/>
  <c r="AB10408" i="1"/>
  <c r="Z10408" i="1"/>
  <c r="AH10387" i="1"/>
  <c r="AD10387" i="1"/>
  <c r="AB10387" i="1" s="1"/>
  <c r="H10387" i="1" s="1"/>
  <c r="I10387" i="1" s="1"/>
  <c r="AF10367" i="1"/>
  <c r="AG10367" i="1"/>
  <c r="AE10387" i="1"/>
  <c r="AG10387" i="1"/>
  <c r="AF10387" i="1"/>
  <c r="AE10367" i="1"/>
  <c r="AH10367" i="1"/>
  <c r="AD10347" i="1"/>
  <c r="AB10347" i="1" s="1"/>
  <c r="H10347" i="1" s="1"/>
  <c r="I10347" i="1" s="1"/>
  <c r="AI10397" i="1"/>
  <c r="AH10347" i="1"/>
  <c r="AB10397" i="1"/>
  <c r="Z10397" i="1"/>
  <c r="AI10405" i="1"/>
  <c r="AI10388" i="1"/>
  <c r="Z10388" i="1"/>
  <c r="AB10388" i="1"/>
  <c r="AG10347" i="1"/>
  <c r="AI10377" i="1"/>
  <c r="AE10347" i="1"/>
  <c r="H10312" i="1"/>
  <c r="I10312" i="1" s="1"/>
  <c r="Q10312" i="1"/>
  <c r="R10312" i="1" s="1"/>
  <c r="T10312" i="1" s="1"/>
  <c r="Z10368" i="1"/>
  <c r="AB10368" i="1"/>
  <c r="AB10377" i="1"/>
  <c r="Z10377" i="1"/>
  <c r="AF10347" i="1"/>
  <c r="AI10385" i="1"/>
  <c r="AI10368" i="1"/>
  <c r="AI10357" i="1"/>
  <c r="AI10307" i="1"/>
  <c r="AI10365" i="1"/>
  <c r="H10297" i="1"/>
  <c r="I10297" i="1" s="1"/>
  <c r="Q10297" i="1"/>
  <c r="R10297" i="1" s="1"/>
  <c r="T10297" i="1" s="1"/>
  <c r="AB10357" i="1"/>
  <c r="Z10357" i="1"/>
  <c r="AI10348" i="1"/>
  <c r="AB10348" i="1"/>
  <c r="Z10348" i="1"/>
  <c r="AI10287" i="1"/>
  <c r="AI10302" i="1"/>
  <c r="AI10312" i="1"/>
  <c r="AI10297" i="1"/>
  <c r="AI10292" i="1"/>
  <c r="AI10313" i="1"/>
  <c r="Z10313" i="1"/>
  <c r="AB10313" i="1"/>
  <c r="AI10303" i="1"/>
  <c r="AI10308" i="1"/>
  <c r="AI10298" i="1"/>
  <c r="AB10298" i="1"/>
  <c r="Z10298" i="1"/>
  <c r="AI10293" i="1"/>
  <c r="AI10288" i="1"/>
  <c r="AI10282" i="1"/>
  <c r="AI10277" i="1"/>
  <c r="AI10283" i="1"/>
  <c r="AD10258" i="1"/>
  <c r="AB10258" i="1" s="1"/>
  <c r="Q10258" i="1" s="1"/>
  <c r="R10258" i="1" s="1"/>
  <c r="T10258" i="1" s="1"/>
  <c r="AF10258" i="1"/>
  <c r="AH10258" i="1"/>
  <c r="AI10273" i="1"/>
  <c r="AI10278" i="1"/>
  <c r="AE10239" i="1"/>
  <c r="AF10239" i="1"/>
  <c r="AH10239" i="1"/>
  <c r="AG10239" i="1"/>
  <c r="AI10266" i="1"/>
  <c r="AE10258" i="1"/>
  <c r="AG10258" i="1"/>
  <c r="AI10259" i="1"/>
  <c r="AB10247" i="1"/>
  <c r="Z10247" i="1"/>
  <c r="AB10270" i="1"/>
  <c r="Z10270" i="1"/>
  <c r="Z10263" i="1"/>
  <c r="AB10263" i="1"/>
  <c r="AB10254" i="1"/>
  <c r="Z10254" i="1"/>
  <c r="AI10270" i="1"/>
  <c r="AB10259" i="1"/>
  <c r="Z10259" i="1"/>
  <c r="AI10263" i="1"/>
  <c r="AB10244" i="1"/>
  <c r="Z10244" i="1"/>
  <c r="AB10266" i="1"/>
  <c r="Z10266" i="1"/>
  <c r="Z10240" i="1"/>
  <c r="AD10239" i="1"/>
  <c r="AB10239" i="1" s="1"/>
  <c r="AB10251" i="1"/>
  <c r="Z10251" i="1"/>
  <c r="Z10273" i="1"/>
  <c r="AB10273" i="1"/>
  <c r="AI10254" i="1"/>
  <c r="AI10251" i="1"/>
  <c r="AI10247" i="1"/>
  <c r="AG10233" i="1"/>
  <c r="AI10244" i="1"/>
  <c r="AB10240" i="1"/>
  <c r="Q10233" i="1"/>
  <c r="R10233" i="1" s="1"/>
  <c r="T10233" i="1" s="1"/>
  <c r="H10233" i="1"/>
  <c r="I10233" i="1" s="1"/>
  <c r="AF10233" i="1"/>
  <c r="H10218" i="1"/>
  <c r="I10218" i="1" s="1"/>
  <c r="AH10233" i="1"/>
  <c r="AE10233" i="1"/>
  <c r="AI10240" i="1"/>
  <c r="AI10234" i="1"/>
  <c r="AI10236" i="1"/>
  <c r="H10230" i="1"/>
  <c r="I10230" i="1" s="1"/>
  <c r="Q10230" i="1"/>
  <c r="R10230" i="1" s="1"/>
  <c r="T10230" i="1" s="1"/>
  <c r="AI10230" i="1"/>
  <c r="AI10231" i="1"/>
  <c r="H10226" i="1"/>
  <c r="I10226" i="1" s="1"/>
  <c r="Q10226" i="1"/>
  <c r="R10226" i="1" s="1"/>
  <c r="T10226" i="1" s="1"/>
  <c r="AI10226" i="1"/>
  <c r="AB10231" i="1"/>
  <c r="Z10231" i="1"/>
  <c r="AI10227" i="1"/>
  <c r="AB10227" i="1"/>
  <c r="Z10227" i="1"/>
  <c r="AI10222" i="1"/>
  <c r="AI10218" i="1"/>
  <c r="AI10223" i="1"/>
  <c r="Q10214" i="1"/>
  <c r="R10214" i="1" s="1"/>
  <c r="T10214" i="1" s="1"/>
  <c r="H10214" i="1"/>
  <c r="I10214" i="1" s="1"/>
  <c r="AI10219" i="1"/>
  <c r="AI10214" i="1"/>
  <c r="AI10215" i="1"/>
  <c r="AB10215" i="1"/>
  <c r="Z10215" i="1"/>
  <c r="AI10210" i="1"/>
  <c r="AI10202" i="1"/>
  <c r="AI10211" i="1"/>
  <c r="H10067" i="1"/>
  <c r="I10067" i="1" s="1"/>
  <c r="AI10206" i="1"/>
  <c r="AI10207" i="1"/>
  <c r="H10202" i="1"/>
  <c r="I10202" i="1" s="1"/>
  <c r="Q10202" i="1"/>
  <c r="R10202" i="1" s="1"/>
  <c r="T10202" i="1" s="1"/>
  <c r="H10198" i="1"/>
  <c r="I10198" i="1" s="1"/>
  <c r="Q10198" i="1"/>
  <c r="R10198" i="1" s="1"/>
  <c r="T10198" i="1" s="1"/>
  <c r="AI10203" i="1"/>
  <c r="AI10199" i="1"/>
  <c r="AD10179" i="1"/>
  <c r="AB10179" i="1" s="1"/>
  <c r="Q10179" i="1" s="1"/>
  <c r="R10179" i="1" s="1"/>
  <c r="T10179" i="1" s="1"/>
  <c r="AD10153" i="1"/>
  <c r="AB10153" i="1" s="1"/>
  <c r="Q10153" i="1" s="1"/>
  <c r="R10153" i="1" s="1"/>
  <c r="T10153" i="1" s="1"/>
  <c r="AE10070" i="1"/>
  <c r="AF10070" i="1"/>
  <c r="H10146" i="1"/>
  <c r="I10146" i="1" s="1"/>
  <c r="Q10146" i="1"/>
  <c r="R10146" i="1" s="1"/>
  <c r="T10146" i="1" s="1"/>
  <c r="AB10147" i="1"/>
  <c r="Z10147" i="1"/>
  <c r="AB10163" i="1"/>
  <c r="Z10163" i="1"/>
  <c r="AB10154" i="1"/>
  <c r="Z10154" i="1"/>
  <c r="Z10172" i="1"/>
  <c r="AB10172" i="1"/>
  <c r="AF10127" i="1"/>
  <c r="Z10169" i="1"/>
  <c r="AB10169" i="1"/>
  <c r="AD10070" i="1"/>
  <c r="AB10070" i="1" s="1"/>
  <c r="Q10070" i="1" s="1"/>
  <c r="R10070" i="1" s="1"/>
  <c r="T10070" i="1" s="1"/>
  <c r="AG10127" i="1"/>
  <c r="AH10127" i="1"/>
  <c r="AD10089" i="1"/>
  <c r="AB10089" i="1" s="1"/>
  <c r="Q10089" i="1" s="1"/>
  <c r="R10089" i="1" s="1"/>
  <c r="T10089" i="1" s="1"/>
  <c r="AI10135" i="1"/>
  <c r="AB10188" i="1"/>
  <c r="Z10188" i="1"/>
  <c r="AD10108" i="1"/>
  <c r="AB10108" i="1" s="1"/>
  <c r="AD10127" i="1"/>
  <c r="AB10127" i="1" s="1"/>
  <c r="Z10182" i="1"/>
  <c r="AB10182" i="1"/>
  <c r="AE10038" i="1"/>
  <c r="AI10116" i="1"/>
  <c r="AB10191" i="1"/>
  <c r="Z10191" i="1"/>
  <c r="AG10070" i="1"/>
  <c r="AH10070" i="1"/>
  <c r="AH10089" i="1"/>
  <c r="AE10089" i="1"/>
  <c r="AF10089" i="1"/>
  <c r="AG10089" i="1"/>
  <c r="AI10109" i="1"/>
  <c r="AE10108" i="1"/>
  <c r="AH10108" i="1"/>
  <c r="AF10108" i="1"/>
  <c r="AG10108" i="1"/>
  <c r="AI10128" i="1"/>
  <c r="AE10127" i="1"/>
  <c r="AB10135" i="1"/>
  <c r="Z10135" i="1"/>
  <c r="AB10128" i="1"/>
  <c r="Z10128" i="1"/>
  <c r="AI10078" i="1"/>
  <c r="Z10116" i="1"/>
  <c r="AB10116" i="1"/>
  <c r="Z10109" i="1"/>
  <c r="AB10109" i="1"/>
  <c r="AH10038" i="1"/>
  <c r="AI10090" i="1"/>
  <c r="Z10090" i="1"/>
  <c r="AB10090" i="1"/>
  <c r="AI10097" i="1"/>
  <c r="AD10038" i="1"/>
  <c r="AB10038" i="1" s="1"/>
  <c r="Q10038" i="1" s="1"/>
  <c r="R10038" i="1" s="1"/>
  <c r="T10038" i="1" s="1"/>
  <c r="AB10097" i="1"/>
  <c r="Z10097" i="1"/>
  <c r="Z10071" i="1"/>
  <c r="AB10071" i="1"/>
  <c r="AB10078" i="1"/>
  <c r="Z10078" i="1"/>
  <c r="AI10071" i="1"/>
  <c r="AG10038" i="1"/>
  <c r="AF10038" i="1"/>
  <c r="AG10010" i="1"/>
  <c r="AD10033" i="1"/>
  <c r="AE10010" i="1"/>
  <c r="AH10010" i="1"/>
  <c r="AF10010" i="1"/>
  <c r="AI10052" i="1"/>
  <c r="AB10011" i="1"/>
  <c r="AB10049" i="1"/>
  <c r="Z10049" i="1"/>
  <c r="AB10052" i="1"/>
  <c r="Z10052" i="1"/>
  <c r="AB10061" i="1"/>
  <c r="Z10061" i="1"/>
  <c r="AB10058" i="1"/>
  <c r="Z10058" i="1"/>
  <c r="Z10044" i="1"/>
  <c r="AB10044" i="1"/>
  <c r="Z10039" i="1"/>
  <c r="AB10039" i="1"/>
  <c r="AI10039" i="1"/>
  <c r="AB10019" i="1"/>
  <c r="Z10011" i="1"/>
  <c r="AD10028" i="1"/>
  <c r="AB10034" i="1"/>
  <c r="AB10025" i="1"/>
  <c r="Z10025" i="1"/>
  <c r="AI10019" i="1"/>
  <c r="H9987" i="1"/>
  <c r="I9987" i="1" s="1"/>
  <c r="AB10016" i="1"/>
  <c r="Z10016" i="1"/>
  <c r="AI10011" i="1"/>
  <c r="H9917" i="1"/>
  <c r="I9917" i="1" s="1"/>
  <c r="AB9991" i="1"/>
  <c r="AD9993" i="1"/>
  <c r="AB9995" i="1"/>
  <c r="Z9991" i="1"/>
  <c r="AB10000" i="1"/>
  <c r="Z10000" i="1"/>
  <c r="H9739" i="1"/>
  <c r="I9739" i="1" s="1"/>
  <c r="Z10003" i="1"/>
  <c r="AB10003" i="1"/>
  <c r="AD9965" i="1"/>
  <c r="AB9965" i="1" s="1"/>
  <c r="AB9977" i="1"/>
  <c r="Z9977" i="1"/>
  <c r="AB9968" i="1"/>
  <c r="Z9968" i="1"/>
  <c r="AB9966" i="1"/>
  <c r="Z9966" i="1"/>
  <c r="AD9939" i="1"/>
  <c r="AB9939" i="1" s="1"/>
  <c r="H9939" i="1" s="1"/>
  <c r="I9939" i="1" s="1"/>
  <c r="AB9974" i="1"/>
  <c r="Z9974" i="1"/>
  <c r="H9932" i="1"/>
  <c r="I9932" i="1" s="1"/>
  <c r="Q9932" i="1"/>
  <c r="R9932" i="1" s="1"/>
  <c r="T9932" i="1" s="1"/>
  <c r="AB9955" i="1"/>
  <c r="Z9955" i="1"/>
  <c r="AB9958" i="1"/>
  <c r="Z9958" i="1"/>
  <c r="AB9940" i="1"/>
  <c r="Z9940" i="1"/>
  <c r="AB9949" i="1"/>
  <c r="Z9949" i="1"/>
  <c r="H9710" i="1"/>
  <c r="I9710" i="1" s="1"/>
  <c r="AD9885" i="1"/>
  <c r="AB9885" i="1" s="1"/>
  <c r="H9885" i="1" s="1"/>
  <c r="I9885" i="1" s="1"/>
  <c r="AH9885" i="1"/>
  <c r="AF9885" i="1"/>
  <c r="AG9885" i="1"/>
  <c r="AE9885" i="1"/>
  <c r="AI9903" i="1"/>
  <c r="AI9891" i="1"/>
  <c r="AI9906" i="1"/>
  <c r="AB9891" i="1"/>
  <c r="Z9891" i="1"/>
  <c r="AB9886" i="1"/>
  <c r="Z9886" i="1"/>
  <c r="AI9882" i="1"/>
  <c r="AB9903" i="1"/>
  <c r="Z9903" i="1"/>
  <c r="AI9886" i="1"/>
  <c r="AB9906" i="1"/>
  <c r="Z9906" i="1"/>
  <c r="AI9883" i="1"/>
  <c r="H9873" i="1"/>
  <c r="I9873" i="1" s="1"/>
  <c r="Q9873" i="1"/>
  <c r="R9873" i="1" s="1"/>
  <c r="T9873" i="1" s="1"/>
  <c r="AI9874" i="1"/>
  <c r="AE9873" i="1"/>
  <c r="AI9873" i="1" s="1"/>
  <c r="AI9859" i="1"/>
  <c r="H9866" i="1"/>
  <c r="I9866" i="1" s="1"/>
  <c r="Q9866" i="1"/>
  <c r="R9866" i="1" s="1"/>
  <c r="T9866" i="1" s="1"/>
  <c r="AB9874" i="1"/>
  <c r="Z9874" i="1"/>
  <c r="AI9866" i="1"/>
  <c r="AB9867" i="1"/>
  <c r="Z9867" i="1"/>
  <c r="AI9867" i="1"/>
  <c r="H9859" i="1"/>
  <c r="I9859" i="1" s="1"/>
  <c r="Q9859" i="1"/>
  <c r="R9859" i="1" s="1"/>
  <c r="T9859" i="1" s="1"/>
  <c r="AB9860" i="1"/>
  <c r="Z9860" i="1"/>
  <c r="AI9860" i="1"/>
  <c r="AI9739" i="1"/>
  <c r="AI9740" i="1"/>
  <c r="AI9729" i="1"/>
  <c r="AI9730" i="1"/>
  <c r="AI9719" i="1"/>
  <c r="H9719" i="1"/>
  <c r="I9719" i="1" s="1"/>
  <c r="Q9719" i="1"/>
  <c r="R9719" i="1" s="1"/>
  <c r="T9719" i="1" s="1"/>
  <c r="AI9720" i="1"/>
  <c r="AI9710" i="1"/>
  <c r="AI9711" i="1"/>
  <c r="AG9676" i="1"/>
  <c r="AD9676" i="1"/>
  <c r="AB9676" i="1" s="1"/>
  <c r="Q9676" i="1" s="1"/>
  <c r="R9676" i="1" s="1"/>
  <c r="T9676" i="1" s="1"/>
  <c r="AE9676" i="1"/>
  <c r="AF9676" i="1"/>
  <c r="AH9676" i="1"/>
  <c r="AI9694" i="1"/>
  <c r="AI9697" i="1"/>
  <c r="AB9677" i="1"/>
  <c r="Z9677" i="1"/>
  <c r="AI9677" i="1"/>
  <c r="AB9694" i="1"/>
  <c r="Z9694" i="1"/>
  <c r="Z9682" i="1"/>
  <c r="AB9682" i="1"/>
  <c r="AI9682" i="1"/>
  <c r="AB9697" i="1"/>
  <c r="Z9697" i="1"/>
  <c r="AD9643" i="1"/>
  <c r="AB9643" i="1" s="1"/>
  <c r="H9643" i="1" s="1"/>
  <c r="I9643" i="1" s="1"/>
  <c r="AE9643" i="1"/>
  <c r="AF9643" i="1"/>
  <c r="AH9643" i="1"/>
  <c r="AG9643" i="1"/>
  <c r="AI9664" i="1"/>
  <c r="AI9661" i="1"/>
  <c r="AB9644" i="1"/>
  <c r="Z9644" i="1"/>
  <c r="AI9644" i="1"/>
  <c r="AD9611" i="1"/>
  <c r="Z9611" i="1" s="1"/>
  <c r="AI9649" i="1"/>
  <c r="Z9649" i="1"/>
  <c r="AB9649" i="1"/>
  <c r="AB9664" i="1"/>
  <c r="Z9664" i="1"/>
  <c r="AB9661" i="1"/>
  <c r="Z9661" i="1"/>
  <c r="AB9620" i="1"/>
  <c r="AD9616" i="1"/>
  <c r="AD9287" i="1"/>
  <c r="AB9287" i="1" s="1"/>
  <c r="H9287" i="1" s="1"/>
  <c r="I9287" i="1" s="1"/>
  <c r="AD9404" i="1"/>
  <c r="AB9404" i="1" s="1"/>
  <c r="Q9404" i="1" s="1"/>
  <c r="R9404" i="1" s="1"/>
  <c r="T9404" i="1" s="1"/>
  <c r="AD10317" i="1"/>
  <c r="AB10317" i="1" s="1"/>
  <c r="H10317" i="1" s="1"/>
  <c r="I10317" i="1" s="1"/>
  <c r="AH9610" i="1"/>
  <c r="AE9610" i="1"/>
  <c r="AI9628" i="1"/>
  <c r="AG9610" i="1"/>
  <c r="AF9610" i="1"/>
  <c r="AB9631" i="1"/>
  <c r="Z9631" i="1"/>
  <c r="AI9611" i="1"/>
  <c r="AF9581" i="1"/>
  <c r="AI9631" i="1"/>
  <c r="AE9581" i="1"/>
  <c r="AB9628" i="1"/>
  <c r="Z9628" i="1"/>
  <c r="AD9581" i="1"/>
  <c r="AB9581" i="1" s="1"/>
  <c r="AI9616" i="1"/>
  <c r="AI9587" i="1"/>
  <c r="AG9581" i="1"/>
  <c r="AH10317" i="1"/>
  <c r="AH9581" i="1"/>
  <c r="AB9600" i="1"/>
  <c r="Z9600" i="1"/>
  <c r="AG9520" i="1"/>
  <c r="AE10317" i="1"/>
  <c r="AG10317" i="1"/>
  <c r="AB9587" i="1"/>
  <c r="Z9587" i="1"/>
  <c r="AI9597" i="1"/>
  <c r="AI9582" i="1"/>
  <c r="AI9600" i="1"/>
  <c r="AF10317" i="1"/>
  <c r="AD9549" i="1"/>
  <c r="AB9549" i="1" s="1"/>
  <c r="AB9597" i="1"/>
  <c r="Z9597" i="1"/>
  <c r="AB9582" i="1"/>
  <c r="Z9582" i="1"/>
  <c r="AF9549" i="1"/>
  <c r="AG9549" i="1"/>
  <c r="AI9550" i="1"/>
  <c r="AE9549" i="1"/>
  <c r="AH9549" i="1"/>
  <c r="AI9555" i="1"/>
  <c r="AB9555" i="1"/>
  <c r="Z9555" i="1"/>
  <c r="AI9568" i="1"/>
  <c r="AB9568" i="1"/>
  <c r="Z9568" i="1"/>
  <c r="AI9565" i="1"/>
  <c r="AE9520" i="1"/>
  <c r="Z9550" i="1"/>
  <c r="AB9550" i="1"/>
  <c r="AH9520" i="1"/>
  <c r="AD9520" i="1"/>
  <c r="AB9520" i="1" s="1"/>
  <c r="AB9565" i="1"/>
  <c r="Z9565" i="1"/>
  <c r="AF9520" i="1"/>
  <c r="AI9539" i="1"/>
  <c r="AI9536" i="1"/>
  <c r="Z9521" i="1"/>
  <c r="AB9521" i="1"/>
  <c r="AI9526" i="1"/>
  <c r="AI9521" i="1"/>
  <c r="AD9491" i="1"/>
  <c r="AB9491" i="1" s="1"/>
  <c r="AH9491" i="1"/>
  <c r="Z9526" i="1"/>
  <c r="AB9526" i="1"/>
  <c r="AB9536" i="1"/>
  <c r="Z9536" i="1"/>
  <c r="Z9539" i="1"/>
  <c r="AB9539" i="1"/>
  <c r="AE9491" i="1"/>
  <c r="AF9491" i="1"/>
  <c r="AG9491" i="1"/>
  <c r="AI9497" i="1"/>
  <c r="AI9510" i="1"/>
  <c r="AI9492" i="1"/>
  <c r="AB9507" i="1"/>
  <c r="Z9507" i="1"/>
  <c r="AD9462" i="1"/>
  <c r="AB9462" i="1" s="1"/>
  <c r="AI9507" i="1"/>
  <c r="AB9492" i="1"/>
  <c r="Z9492" i="1"/>
  <c r="AB9510" i="1"/>
  <c r="Z9510" i="1"/>
  <c r="Z9497" i="1"/>
  <c r="AB9497" i="1"/>
  <c r="AE9462" i="1"/>
  <c r="AF9462" i="1"/>
  <c r="AG9462" i="1"/>
  <c r="AH9462" i="1"/>
  <c r="AI9468" i="1"/>
  <c r="AB9481" i="1"/>
  <c r="Z9481" i="1"/>
  <c r="AB9468" i="1"/>
  <c r="Z9468" i="1"/>
  <c r="AD9433" i="1"/>
  <c r="AB9433" i="1" s="1"/>
  <c r="AI9481" i="1"/>
  <c r="AI9478" i="1"/>
  <c r="AI9463" i="1"/>
  <c r="AB9463" i="1"/>
  <c r="Z9463" i="1"/>
  <c r="AB9478" i="1"/>
  <c r="Z9478" i="1"/>
  <c r="AF9433" i="1"/>
  <c r="AH9433" i="1"/>
  <c r="AE9433" i="1"/>
  <c r="AG9433" i="1"/>
  <c r="AI9439" i="1"/>
  <c r="AI9434" i="1"/>
  <c r="AI9452" i="1"/>
  <c r="AB9439" i="1"/>
  <c r="Z9439" i="1"/>
  <c r="AI9410" i="1"/>
  <c r="AD9374" i="1"/>
  <c r="AB9374" i="1" s="1"/>
  <c r="Q9374" i="1" s="1"/>
  <c r="R9374" i="1" s="1"/>
  <c r="T9374" i="1" s="1"/>
  <c r="AG9374" i="1"/>
  <c r="Z9434" i="1"/>
  <c r="AB9434" i="1"/>
  <c r="AI9449" i="1"/>
  <c r="Z9452" i="1"/>
  <c r="AB9452" i="1"/>
  <c r="AI9420" i="1"/>
  <c r="AB9449" i="1"/>
  <c r="Z9449" i="1"/>
  <c r="AE9404" i="1"/>
  <c r="AF9404" i="1"/>
  <c r="AG9404" i="1"/>
  <c r="AH9404" i="1"/>
  <c r="AE9345" i="1"/>
  <c r="AI9405" i="1"/>
  <c r="AB9410" i="1"/>
  <c r="Z9410" i="1"/>
  <c r="AI9423" i="1"/>
  <c r="AB9405" i="1"/>
  <c r="Z9405" i="1"/>
  <c r="AD9258" i="1"/>
  <c r="AB9258" i="1" s="1"/>
  <c r="AB9420" i="1"/>
  <c r="Z9420" i="1"/>
  <c r="AE9374" i="1"/>
  <c r="AD9316" i="1"/>
  <c r="AB9316" i="1" s="1"/>
  <c r="AD9345" i="1"/>
  <c r="AB9345" i="1" s="1"/>
  <c r="AD9229" i="1"/>
  <c r="AB9229" i="1" s="1"/>
  <c r="AI9235" i="1"/>
  <c r="AH9258" i="1"/>
  <c r="AB9423" i="1"/>
  <c r="Z9423" i="1"/>
  <c r="AH9374" i="1"/>
  <c r="AH9345" i="1"/>
  <c r="AF9374" i="1"/>
  <c r="AG9345" i="1"/>
  <c r="AF9345" i="1"/>
  <c r="AF9316" i="1"/>
  <c r="AH9316" i="1"/>
  <c r="AG9316" i="1"/>
  <c r="AE9316" i="1"/>
  <c r="AH9287" i="1"/>
  <c r="AF9287" i="1"/>
  <c r="AG9287" i="1"/>
  <c r="AE9287" i="1"/>
  <c r="AH9229" i="1"/>
  <c r="AF9258" i="1"/>
  <c r="AE9258" i="1"/>
  <c r="AG9258" i="1"/>
  <c r="AF9229" i="1"/>
  <c r="AG9229" i="1"/>
  <c r="AI9230" i="1"/>
  <c r="AE9229" i="1"/>
  <c r="AI9380" i="1"/>
  <c r="AI9375" i="1"/>
  <c r="AI9293" i="1"/>
  <c r="Z9375" i="1"/>
  <c r="AB9375" i="1"/>
  <c r="AI9390" i="1"/>
  <c r="AB9390" i="1"/>
  <c r="Z9390" i="1"/>
  <c r="AI9393" i="1"/>
  <c r="Z9393" i="1"/>
  <c r="AB9393" i="1"/>
  <c r="AB9380" i="1"/>
  <c r="Z9380" i="1"/>
  <c r="AI9322" i="1"/>
  <c r="AI9346" i="1"/>
  <c r="AB9364" i="1"/>
  <c r="Z9364" i="1"/>
  <c r="AI9364" i="1"/>
  <c r="AB9351" i="1"/>
  <c r="Z9351" i="1"/>
  <c r="AI9351" i="1"/>
  <c r="AB9361" i="1"/>
  <c r="Z9361" i="1"/>
  <c r="Z9346" i="1"/>
  <c r="AB9346" i="1"/>
  <c r="AI9361" i="1"/>
  <c r="AB9332" i="1"/>
  <c r="Z9332" i="1"/>
  <c r="AI9317" i="1"/>
  <c r="AI9335" i="1"/>
  <c r="AI9303" i="1"/>
  <c r="AI9332" i="1"/>
  <c r="AB9322" i="1"/>
  <c r="Z9322" i="1"/>
  <c r="AB9335" i="1"/>
  <c r="Z9335" i="1"/>
  <c r="Z9317" i="1"/>
  <c r="AB9317" i="1"/>
  <c r="AI9288" i="1"/>
  <c r="AI9306" i="1"/>
  <c r="AB9288" i="1"/>
  <c r="Z9288" i="1"/>
  <c r="AI9274" i="1"/>
  <c r="AB9293" i="1"/>
  <c r="Z9293" i="1"/>
  <c r="AB9303" i="1"/>
  <c r="Z9303" i="1"/>
  <c r="AI9277" i="1"/>
  <c r="Z9306" i="1"/>
  <c r="AB9306" i="1"/>
  <c r="AI9259" i="1"/>
  <c r="AB9277" i="1"/>
  <c r="Z9277" i="1"/>
  <c r="AB9264" i="1"/>
  <c r="Z9264" i="1"/>
  <c r="AI9245" i="1"/>
  <c r="AG9200" i="1"/>
  <c r="AI9248" i="1"/>
  <c r="AB9259" i="1"/>
  <c r="Z9259" i="1"/>
  <c r="AI9264" i="1"/>
  <c r="AB9274" i="1"/>
  <c r="Z9274" i="1"/>
  <c r="AE9200" i="1"/>
  <c r="AB9235" i="1"/>
  <c r="Z9235" i="1"/>
  <c r="AB9230" i="1"/>
  <c r="Z9230" i="1"/>
  <c r="AF9200" i="1"/>
  <c r="Z9245" i="1"/>
  <c r="AB9245" i="1"/>
  <c r="AH9200" i="1"/>
  <c r="AD9200" i="1"/>
  <c r="AB9200" i="1" s="1"/>
  <c r="AB9248" i="1"/>
  <c r="Z9248" i="1"/>
  <c r="AI9216" i="1"/>
  <c r="Z9216" i="1"/>
  <c r="AB9216" i="1"/>
  <c r="AI9206" i="1"/>
  <c r="AI9219" i="1"/>
  <c r="AI9201" i="1"/>
  <c r="AB9206" i="1"/>
  <c r="Z9206" i="1"/>
  <c r="Z9201" i="1"/>
  <c r="AB9201" i="1"/>
  <c r="AB9219" i="1"/>
  <c r="Z9219" i="1"/>
  <c r="AD6927" i="1"/>
  <c r="AB6927" i="1" s="1"/>
  <c r="AG6927" i="1"/>
  <c r="AH6927" i="1"/>
  <c r="AI6935" i="1"/>
  <c r="AE6916" i="1"/>
  <c r="AE6927" i="1"/>
  <c r="AF6927" i="1"/>
  <c r="AG6916" i="1"/>
  <c r="AH6916" i="1"/>
  <c r="Q6916" i="1"/>
  <c r="R6916" i="1" s="1"/>
  <c r="T6916" i="1" s="1"/>
  <c r="H6916" i="1"/>
  <c r="I6916" i="1" s="1"/>
  <c r="AB6935" i="1"/>
  <c r="Z6935" i="1"/>
  <c r="AF6916" i="1"/>
  <c r="AI6928" i="1"/>
  <c r="Z6928" i="1"/>
  <c r="AB6928" i="1"/>
  <c r="AI6723" i="1"/>
  <c r="AE6697" i="1"/>
  <c r="AI6724" i="1"/>
  <c r="AI6718" i="1"/>
  <c r="AF6697" i="1"/>
  <c r="AG6697" i="1"/>
  <c r="AD6697" i="1"/>
  <c r="AB6697" i="1" s="1"/>
  <c r="Q6697" i="1" s="1"/>
  <c r="R6697" i="1" s="1"/>
  <c r="T6697" i="1" s="1"/>
  <c r="AH6697" i="1"/>
  <c r="AI6719" i="1"/>
  <c r="AI6705" i="1"/>
  <c r="AI6698" i="1"/>
  <c r="AH6686" i="1"/>
  <c r="H6686" i="1"/>
  <c r="I6686" i="1" s="1"/>
  <c r="Q6686" i="1"/>
  <c r="R6686" i="1" s="1"/>
  <c r="T6686" i="1" s="1"/>
  <c r="Z6698" i="1"/>
  <c r="AB6698" i="1"/>
  <c r="AF6686" i="1"/>
  <c r="AG6686" i="1"/>
  <c r="AE6686" i="1"/>
  <c r="AB6705" i="1"/>
  <c r="Z6705" i="1"/>
  <c r="AI6493" i="1"/>
  <c r="Q6650" i="1"/>
  <c r="R6650" i="1" s="1"/>
  <c r="T6650" i="1" s="1"/>
  <c r="AI10325" i="1"/>
  <c r="AF6458" i="1"/>
  <c r="AF6469" i="1"/>
  <c r="AI6494" i="1"/>
  <c r="Q6458" i="1"/>
  <c r="R6458" i="1" s="1"/>
  <c r="T6458" i="1" s="1"/>
  <c r="H6458" i="1"/>
  <c r="I6458" i="1" s="1"/>
  <c r="AD6469" i="1"/>
  <c r="AB6469" i="1" s="1"/>
  <c r="AG6469" i="1"/>
  <c r="AH6469" i="1"/>
  <c r="AI6470" i="1"/>
  <c r="AE6469" i="1"/>
  <c r="AI10318" i="1"/>
  <c r="AI6459" i="1"/>
  <c r="AE6458" i="1"/>
  <c r="AI6477" i="1"/>
  <c r="AH6458" i="1"/>
  <c r="AG6458" i="1"/>
  <c r="AI6462" i="1"/>
  <c r="AB6477" i="1"/>
  <c r="Z6477" i="1"/>
  <c r="Z6470" i="1"/>
  <c r="AB6470" i="1"/>
  <c r="AI6692" i="1"/>
  <c r="Z10318" i="1"/>
  <c r="AB10318" i="1"/>
  <c r="AB10325" i="1"/>
  <c r="Z10325" i="1"/>
  <c r="AI6464" i="1"/>
  <c r="AI6687" i="1"/>
  <c r="Z6459" i="1"/>
  <c r="AB6459" i="1"/>
  <c r="AI6690" i="1"/>
  <c r="AI6920" i="1"/>
  <c r="Z6687" i="1"/>
  <c r="AB6687" i="1"/>
  <c r="AI6917" i="1"/>
  <c r="AI6922" i="1"/>
  <c r="AI6883" i="1"/>
  <c r="AE6882" i="1"/>
  <c r="AI6882" i="1" s="1"/>
  <c r="AI6879" i="1"/>
  <c r="AI6654" i="1"/>
  <c r="AE6653" i="1"/>
  <c r="AI6653" i="1" s="1"/>
  <c r="AI6650" i="1"/>
  <c r="AI6424" i="1"/>
  <c r="AI6421" i="1"/>
  <c r="AI6425" i="1"/>
  <c r="AI6651" i="1"/>
  <c r="AI6880" i="1"/>
  <c r="AI6422" i="1"/>
  <c r="H6511" i="1"/>
  <c r="I6511" i="1" s="1"/>
  <c r="AI6747" i="1"/>
  <c r="AI6748" i="1"/>
  <c r="AI6512" i="1"/>
  <c r="AE6511" i="1"/>
  <c r="AI6511" i="1" s="1"/>
  <c r="Q6568" i="1"/>
  <c r="R6568" i="1" s="1"/>
  <c r="T6568" i="1" s="1"/>
  <c r="AH6624" i="1"/>
  <c r="AI6741" i="1"/>
  <c r="AD6624" i="1"/>
  <c r="AB6624" i="1" s="1"/>
  <c r="AD6773" i="1"/>
  <c r="AB6773" i="1" s="1"/>
  <c r="AD6853" i="1"/>
  <c r="AB6853" i="1" s="1"/>
  <c r="AI6742" i="1"/>
  <c r="AD6370" i="1"/>
  <c r="AB6370" i="1" s="1"/>
  <c r="H6370" i="1" s="1"/>
  <c r="I6370" i="1" s="1"/>
  <c r="AE6853" i="1"/>
  <c r="AD6828" i="1"/>
  <c r="AB6828" i="1" s="1"/>
  <c r="AD6599" i="1"/>
  <c r="AB6599" i="1" s="1"/>
  <c r="AE6345" i="1"/>
  <c r="AG6773" i="1"/>
  <c r="AE6828" i="1"/>
  <c r="AH6345" i="1"/>
  <c r="AD6395" i="1"/>
  <c r="AB6395" i="1" s="1"/>
  <c r="AD6803" i="1"/>
  <c r="AB6803" i="1" s="1"/>
  <c r="AD6543" i="1"/>
  <c r="AB6543" i="1" s="1"/>
  <c r="AE6901" i="1"/>
  <c r="AH6543" i="1"/>
  <c r="AD6345" i="1"/>
  <c r="AB6345" i="1" s="1"/>
  <c r="AF6624" i="1"/>
  <c r="AG6395" i="1"/>
  <c r="AD6574" i="1"/>
  <c r="AB6574" i="1" s="1"/>
  <c r="AF6345" i="1"/>
  <c r="AG6624" i="1"/>
  <c r="AH6395" i="1"/>
  <c r="AE6395" i="1"/>
  <c r="AG6345" i="1"/>
  <c r="AE6370" i="1"/>
  <c r="AF6370" i="1"/>
  <c r="AH6370" i="1"/>
  <c r="AG6370" i="1"/>
  <c r="AF6395" i="1"/>
  <c r="AF6543" i="1"/>
  <c r="AE6543" i="1"/>
  <c r="AG6543" i="1"/>
  <c r="AF6574" i="1"/>
  <c r="AF6599" i="1"/>
  <c r="AG6574" i="1"/>
  <c r="AE6574" i="1"/>
  <c r="AH6574" i="1"/>
  <c r="AE6599" i="1"/>
  <c r="AE6624" i="1"/>
  <c r="AG6599" i="1"/>
  <c r="AH6599" i="1"/>
  <c r="AH6773" i="1"/>
  <c r="AE6773" i="1"/>
  <c r="AF6773" i="1"/>
  <c r="AI6396" i="1"/>
  <c r="AI6403" i="1"/>
  <c r="AE6803" i="1"/>
  <c r="AF6803" i="1"/>
  <c r="AG6803" i="1"/>
  <c r="AH6803" i="1"/>
  <c r="AH6853" i="1"/>
  <c r="AG6853" i="1"/>
  <c r="AH6828" i="1"/>
  <c r="AF6853" i="1"/>
  <c r="AF6828" i="1"/>
  <c r="AG6828" i="1"/>
  <c r="AI6409" i="1"/>
  <c r="AB6409" i="1"/>
  <c r="Z6409" i="1"/>
  <c r="AI6625" i="1"/>
  <c r="AI6632" i="1"/>
  <c r="AB6396" i="1"/>
  <c r="Z6396" i="1"/>
  <c r="AI6638" i="1"/>
  <c r="AB6403" i="1"/>
  <c r="Z6403" i="1"/>
  <c r="AB6632" i="1"/>
  <c r="Z6632" i="1"/>
  <c r="AB6625" i="1"/>
  <c r="Z6625" i="1"/>
  <c r="AI6854" i="1"/>
  <c r="AB6638" i="1"/>
  <c r="Z6638" i="1"/>
  <c r="AI6378" i="1"/>
  <c r="AB6854" i="1"/>
  <c r="Z6854" i="1"/>
  <c r="AI6861" i="1"/>
  <c r="AB6861" i="1"/>
  <c r="Z6861" i="1"/>
  <c r="AI6867" i="1"/>
  <c r="AB6867" i="1"/>
  <c r="Z6867" i="1"/>
  <c r="Z6378" i="1"/>
  <c r="AB6378" i="1"/>
  <c r="AI6371" i="1"/>
  <c r="Z6384" i="1"/>
  <c r="AB6384" i="1"/>
  <c r="AI6607" i="1"/>
  <c r="AI6384" i="1"/>
  <c r="AI6613" i="1"/>
  <c r="Z6371" i="1"/>
  <c r="AB6371" i="1"/>
  <c r="Z6607" i="1"/>
  <c r="AB6607" i="1"/>
  <c r="H6296" i="1"/>
  <c r="I6296" i="1" s="1"/>
  <c r="AI6836" i="1"/>
  <c r="Z6600" i="1"/>
  <c r="AB6600" i="1"/>
  <c r="AI6600" i="1"/>
  <c r="AI6842" i="1"/>
  <c r="Z6613" i="1"/>
  <c r="AB6613" i="1"/>
  <c r="AI6829" i="1"/>
  <c r="AB6836" i="1"/>
  <c r="Z6836" i="1"/>
  <c r="Z6829" i="1"/>
  <c r="AB6829" i="1"/>
  <c r="AB6842" i="1"/>
  <c r="Z6842" i="1"/>
  <c r="AI6353" i="1"/>
  <c r="AD6315" i="1"/>
  <c r="AB6315" i="1" s="1"/>
  <c r="Q6315" i="1" s="1"/>
  <c r="R6315" i="1" s="1"/>
  <c r="T6315" i="1" s="1"/>
  <c r="AI6359" i="1"/>
  <c r="Q6505" i="1"/>
  <c r="R6505" i="1" s="1"/>
  <c r="T6505" i="1" s="1"/>
  <c r="AI6346" i="1"/>
  <c r="AI6575" i="1"/>
  <c r="AI6817" i="1"/>
  <c r="AB6353" i="1"/>
  <c r="Z6353" i="1"/>
  <c r="AI6582" i="1"/>
  <c r="AI6588" i="1"/>
  <c r="AB6346" i="1"/>
  <c r="Z6346" i="1"/>
  <c r="AB6359" i="1"/>
  <c r="Z6359" i="1"/>
  <c r="Q6525" i="1"/>
  <c r="R6525" i="1" s="1"/>
  <c r="T6525" i="1" s="1"/>
  <c r="Q6760" i="1"/>
  <c r="R6760" i="1" s="1"/>
  <c r="T6760" i="1" s="1"/>
  <c r="AB6588" i="1"/>
  <c r="Z6588" i="1"/>
  <c r="H6332" i="1"/>
  <c r="I6332" i="1" s="1"/>
  <c r="AI6804" i="1"/>
  <c r="AB6582" i="1"/>
  <c r="Z6582" i="1"/>
  <c r="Q6534" i="1"/>
  <c r="R6534" i="1" s="1"/>
  <c r="T6534" i="1" s="1"/>
  <c r="AB6575" i="1"/>
  <c r="Z6575" i="1"/>
  <c r="AB6811" i="1"/>
  <c r="Z6811" i="1"/>
  <c r="AB6804" i="1"/>
  <c r="Z6804" i="1"/>
  <c r="AB6817" i="1"/>
  <c r="Z6817" i="1"/>
  <c r="AI6811" i="1"/>
  <c r="AI6798" i="1"/>
  <c r="AI6764" i="1"/>
  <c r="AI6754" i="1"/>
  <c r="AI6760" i="1"/>
  <c r="AI6793" i="1"/>
  <c r="AI6790" i="1"/>
  <c r="AI6751" i="1"/>
  <c r="AI6737" i="1"/>
  <c r="AI6726" i="1"/>
  <c r="AI6734" i="1"/>
  <c r="AI6729" i="1"/>
  <c r="AI6568" i="1"/>
  <c r="AI6563" i="1"/>
  <c r="AI6505" i="1"/>
  <c r="AI6514" i="1"/>
  <c r="AI6560" i="1"/>
  <c r="AI6534" i="1"/>
  <c r="AI6530" i="1"/>
  <c r="AI6525" i="1"/>
  <c r="AI6522" i="1"/>
  <c r="AI6499" i="1"/>
  <c r="AI6496" i="1"/>
  <c r="AI6340" i="1"/>
  <c r="AE6315" i="1"/>
  <c r="H6306" i="1"/>
  <c r="I6306" i="1" s="1"/>
  <c r="Q6306" i="1"/>
  <c r="R6306" i="1" s="1"/>
  <c r="T6306" i="1" s="1"/>
  <c r="AI6341" i="1"/>
  <c r="AF6315" i="1"/>
  <c r="AG6315" i="1"/>
  <c r="AH6315" i="1"/>
  <c r="AI6332" i="1"/>
  <c r="AI6302" i="1"/>
  <c r="AI6335" i="1"/>
  <c r="AI6296" i="1"/>
  <c r="AI6306" i="1"/>
  <c r="AI6293" i="1"/>
  <c r="AI6799" i="1"/>
  <c r="AI6336" i="1"/>
  <c r="AI6569" i="1"/>
  <c r="AI6794" i="1"/>
  <c r="AI6564" i="1"/>
  <c r="AI6333" i="1"/>
  <c r="AI6791" i="1"/>
  <c r="AI6561" i="1"/>
  <c r="AI6328" i="1"/>
  <c r="AI6765" i="1"/>
  <c r="AI6316" i="1"/>
  <c r="AB6316" i="1"/>
  <c r="Z6316" i="1"/>
  <c r="AB6321" i="1"/>
  <c r="Z6321" i="1"/>
  <c r="AI6556" i="1"/>
  <c r="AI6321" i="1"/>
  <c r="AB6328" i="1"/>
  <c r="Z6328" i="1"/>
  <c r="AB6549" i="1"/>
  <c r="Z6549" i="1"/>
  <c r="AI6549" i="1"/>
  <c r="AB6556" i="1"/>
  <c r="Z6556" i="1"/>
  <c r="Z6544" i="1"/>
  <c r="AB6544" i="1"/>
  <c r="AI6535" i="1"/>
  <c r="AI6544" i="1"/>
  <c r="AB6774" i="1"/>
  <c r="Z6774" i="1"/>
  <c r="AI6786" i="1"/>
  <c r="AI6779" i="1"/>
  <c r="AB6779" i="1"/>
  <c r="Z6779" i="1"/>
  <c r="AI6774" i="1"/>
  <c r="AB6786" i="1"/>
  <c r="Z6786" i="1"/>
  <c r="AI6303" i="1"/>
  <c r="AB6307" i="1"/>
  <c r="Z6307" i="1"/>
  <c r="AI6307" i="1"/>
  <c r="AI6761" i="1"/>
  <c r="AI6531" i="1"/>
  <c r="AI6755" i="1"/>
  <c r="AI6526" i="1"/>
  <c r="AI6297" i="1"/>
  <c r="AI6515" i="1"/>
  <c r="AI6735" i="1"/>
  <c r="AI6506" i="1"/>
  <c r="AI6500" i="1"/>
  <c r="AI6730" i="1"/>
  <c r="AI6497" i="1"/>
  <c r="AI6523" i="1"/>
  <c r="AI6727" i="1"/>
  <c r="AI6738" i="1"/>
  <c r="AI6752" i="1"/>
  <c r="AI6294" i="1"/>
  <c r="AI6290" i="1"/>
  <c r="AE6289" i="1"/>
  <c r="AI6289" i="1" s="1"/>
  <c r="AI6283" i="1"/>
  <c r="AI6284" i="1"/>
  <c r="AI6276" i="1"/>
  <c r="AI6277" i="1"/>
  <c r="AI6270" i="1"/>
  <c r="AI6274" i="1"/>
  <c r="AE6273" i="1"/>
  <c r="AI6273" i="1" s="1"/>
  <c r="AI6271" i="1"/>
  <c r="AH6235" i="1"/>
  <c r="AE6235" i="1"/>
  <c r="AG6235" i="1"/>
  <c r="AF6235" i="1"/>
  <c r="AI6236" i="1"/>
  <c r="AH6658" i="1"/>
  <c r="AI6241" i="1"/>
  <c r="AF6658" i="1"/>
  <c r="AH6671" i="1"/>
  <c r="AH6443" i="1"/>
  <c r="AB6238" i="1"/>
  <c r="AD6236" i="1"/>
  <c r="AD6235" i="1" s="1"/>
  <c r="AB6235" i="1" s="1"/>
  <c r="AF6888" i="1"/>
  <c r="AG6443" i="1"/>
  <c r="AD6671" i="1"/>
  <c r="AB6671" i="1" s="1"/>
  <c r="H6671" i="1" s="1"/>
  <c r="I6671" i="1" s="1"/>
  <c r="AI6239" i="1"/>
  <c r="AD6228" i="1"/>
  <c r="AB6228" i="1" s="1"/>
  <c r="AI6896" i="1"/>
  <c r="AF6901" i="1"/>
  <c r="AI6679" i="1"/>
  <c r="AF6671" i="1"/>
  <c r="AE6658" i="1"/>
  <c r="AG6901" i="1"/>
  <c r="AG6888" i="1"/>
  <c r="AH6430" i="1"/>
  <c r="AH6220" i="1"/>
  <c r="AE6220" i="1"/>
  <c r="AD6443" i="1"/>
  <c r="AB6443" i="1" s="1"/>
  <c r="Q6443" i="1" s="1"/>
  <c r="R6443" i="1" s="1"/>
  <c r="T6443" i="1" s="1"/>
  <c r="AG6220" i="1"/>
  <c r="AG6658" i="1"/>
  <c r="AD6430" i="1"/>
  <c r="AB6430" i="1" s="1"/>
  <c r="AD6901" i="1"/>
  <c r="AB6901" i="1" s="1"/>
  <c r="AD6658" i="1"/>
  <c r="AB6658" i="1" s="1"/>
  <c r="AD6888" i="1"/>
  <c r="AB6888" i="1" s="1"/>
  <c r="AF6220" i="1"/>
  <c r="AE6430" i="1"/>
  <c r="AF6443" i="1"/>
  <c r="AH6901" i="1"/>
  <c r="AE6671" i="1"/>
  <c r="AF6430" i="1"/>
  <c r="AG6430" i="1"/>
  <c r="AE6443" i="1"/>
  <c r="AG6671" i="1"/>
  <c r="AI6889" i="1"/>
  <c r="AE6888" i="1"/>
  <c r="AH6888" i="1"/>
  <c r="AI6902" i="1"/>
  <c r="AI6909" i="1"/>
  <c r="AB6902" i="1"/>
  <c r="Z6902" i="1"/>
  <c r="Z6909" i="1"/>
  <c r="AB6909" i="1"/>
  <c r="AI6672" i="1"/>
  <c r="Z6896" i="1"/>
  <c r="AB6896" i="1"/>
  <c r="AI6659" i="1"/>
  <c r="AB6889" i="1"/>
  <c r="Z6889" i="1"/>
  <c r="AI6451" i="1"/>
  <c r="AB6672" i="1"/>
  <c r="Z6672" i="1"/>
  <c r="Z6679" i="1"/>
  <c r="AB6679" i="1"/>
  <c r="AI6444" i="1"/>
  <c r="Z6666" i="1"/>
  <c r="AB6666" i="1"/>
  <c r="AI6666" i="1"/>
  <c r="AB6659" i="1"/>
  <c r="Z6659" i="1"/>
  <c r="AI6438" i="1"/>
  <c r="AD6207" i="1"/>
  <c r="AB6207" i="1" s="1"/>
  <c r="H6207" i="1" s="1"/>
  <c r="I6207" i="1" s="1"/>
  <c r="AB6444" i="1"/>
  <c r="Z6444" i="1"/>
  <c r="Z6451" i="1"/>
  <c r="AB6451" i="1"/>
  <c r="AH6207" i="1"/>
  <c r="AI6431" i="1"/>
  <c r="Z6438" i="1"/>
  <c r="AB6438" i="1"/>
  <c r="AB6431" i="1"/>
  <c r="Z6431" i="1"/>
  <c r="H6199" i="1"/>
  <c r="I6199" i="1" s="1"/>
  <c r="AB6208" i="1"/>
  <c r="Z6208" i="1"/>
  <c r="AE6207" i="1"/>
  <c r="AF6207" i="1"/>
  <c r="AI6228" i="1"/>
  <c r="AG6207" i="1"/>
  <c r="AI6221" i="1"/>
  <c r="AB6221" i="1"/>
  <c r="Z6221" i="1"/>
  <c r="Z6215" i="1"/>
  <c r="AB6215" i="1"/>
  <c r="AI6208" i="1"/>
  <c r="AI6215" i="1"/>
  <c r="AI6199" i="1"/>
  <c r="AI6202" i="1"/>
  <c r="AD6148" i="1"/>
  <c r="AB6148" i="1" s="1"/>
  <c r="H6148" i="1" s="1"/>
  <c r="I6148" i="1" s="1"/>
  <c r="AF6173" i="1"/>
  <c r="AH6173" i="1"/>
  <c r="AD6173" i="1"/>
  <c r="AB6173" i="1" s="1"/>
  <c r="H6173" i="1" s="1"/>
  <c r="I6173" i="1" s="1"/>
  <c r="AE6148" i="1"/>
  <c r="AI6174" i="1"/>
  <c r="AE6173" i="1"/>
  <c r="AG6173" i="1"/>
  <c r="AH6148" i="1"/>
  <c r="AG6148" i="1"/>
  <c r="AF6148" i="1"/>
  <c r="AI6181" i="1"/>
  <c r="AB6174" i="1"/>
  <c r="Z6174" i="1"/>
  <c r="AI6187" i="1"/>
  <c r="Z6187" i="1"/>
  <c r="AB6187" i="1"/>
  <c r="Z6181" i="1"/>
  <c r="AB6181" i="1"/>
  <c r="AI6131" i="1"/>
  <c r="AI6156" i="1"/>
  <c r="Z6156" i="1"/>
  <c r="AB6156" i="1"/>
  <c r="AI6162" i="1"/>
  <c r="Z6162" i="1"/>
  <c r="AB6162" i="1"/>
  <c r="AG6123" i="1"/>
  <c r="AI6149" i="1"/>
  <c r="AH6123" i="1"/>
  <c r="AB6149" i="1"/>
  <c r="Z6149" i="1"/>
  <c r="AE6123" i="1"/>
  <c r="AF6123" i="1"/>
  <c r="AD6123" i="1"/>
  <c r="AB6123" i="1" s="1"/>
  <c r="H6123" i="1" s="1"/>
  <c r="I6123" i="1" s="1"/>
  <c r="AI6137" i="1"/>
  <c r="AI6124" i="1"/>
  <c r="AB6131" i="1"/>
  <c r="Z6131" i="1"/>
  <c r="AB6124" i="1"/>
  <c r="Z6124" i="1"/>
  <c r="AB6137" i="1"/>
  <c r="Z6137" i="1"/>
  <c r="AI6109" i="1"/>
  <c r="AI6112" i="1"/>
  <c r="AD6245" i="1"/>
  <c r="AB6245" i="1" s="1"/>
  <c r="H6245" i="1" s="1"/>
  <c r="I6245" i="1" s="1"/>
  <c r="AI6203" i="1"/>
  <c r="AG6245" i="1"/>
  <c r="AF6245" i="1"/>
  <c r="AI6253" i="1"/>
  <c r="AI6246" i="1"/>
  <c r="AE6245" i="1"/>
  <c r="AH6245" i="1"/>
  <c r="Z6246" i="1"/>
  <c r="AB6246" i="1"/>
  <c r="Z6253" i="1"/>
  <c r="AB6253" i="1"/>
  <c r="AG6092" i="1"/>
  <c r="AI6200" i="1"/>
  <c r="AE6092" i="1"/>
  <c r="AI6119" i="1"/>
  <c r="AI6113" i="1"/>
  <c r="AD6092" i="1"/>
  <c r="AB6092" i="1" s="1"/>
  <c r="Q6092" i="1" s="1"/>
  <c r="R6092" i="1" s="1"/>
  <c r="T6092" i="1" s="1"/>
  <c r="AI6110" i="1"/>
  <c r="AF6092" i="1"/>
  <c r="AH6092" i="1"/>
  <c r="Q6079" i="1"/>
  <c r="R6079" i="1" s="1"/>
  <c r="T6079" i="1" s="1"/>
  <c r="AI6098" i="1"/>
  <c r="AI6105" i="1"/>
  <c r="AB6093" i="1"/>
  <c r="Z6093" i="1"/>
  <c r="AB6098" i="1"/>
  <c r="Z6098" i="1"/>
  <c r="AI6093" i="1"/>
  <c r="Z6084" i="1"/>
  <c r="AB6084" i="1"/>
  <c r="Z6105" i="1"/>
  <c r="AB6105" i="1"/>
  <c r="AI6083" i="1"/>
  <c r="Q6083" i="1"/>
  <c r="R6083" i="1" s="1"/>
  <c r="T6083" i="1" s="1"/>
  <c r="H6083" i="1"/>
  <c r="I6083" i="1" s="1"/>
  <c r="H6053" i="1"/>
  <c r="I6053" i="1" s="1"/>
  <c r="AI6079" i="1"/>
  <c r="H6007" i="1"/>
  <c r="I6007" i="1" s="1"/>
  <c r="AI6084" i="1"/>
  <c r="AI6080" i="1"/>
  <c r="Q6074" i="1"/>
  <c r="R6074" i="1" s="1"/>
  <c r="T6074" i="1" s="1"/>
  <c r="AI6068" i="1"/>
  <c r="H6049" i="1"/>
  <c r="I6049" i="1" s="1"/>
  <c r="AD6063" i="1"/>
  <c r="Z6063" i="1" s="1"/>
  <c r="AI6059" i="1"/>
  <c r="AI6074" i="1"/>
  <c r="AI6071" i="1"/>
  <c r="AI6062" i="1"/>
  <c r="AI6053" i="1"/>
  <c r="AI6049" i="1"/>
  <c r="AI6075" i="1"/>
  <c r="Q6043" i="1"/>
  <c r="R6043" i="1" s="1"/>
  <c r="T6043" i="1" s="1"/>
  <c r="AI6069" i="1"/>
  <c r="AI6072" i="1"/>
  <c r="Q5980" i="1"/>
  <c r="R5980" i="1" s="1"/>
  <c r="T5980" i="1" s="1"/>
  <c r="H6037" i="1"/>
  <c r="I6037" i="1" s="1"/>
  <c r="AI6054" i="1"/>
  <c r="Q5989" i="1"/>
  <c r="R5989" i="1" s="1"/>
  <c r="T5989" i="1" s="1"/>
  <c r="AI6063" i="1"/>
  <c r="AI6060" i="1"/>
  <c r="AI6050" i="1"/>
  <c r="AI6037" i="1"/>
  <c r="AI6043" i="1"/>
  <c r="AI6040" i="1"/>
  <c r="AI6038" i="1"/>
  <c r="AI6044" i="1"/>
  <c r="AI6041" i="1"/>
  <c r="AI6034" i="1"/>
  <c r="AI6035" i="1"/>
  <c r="Q6028" i="1"/>
  <c r="R6028" i="1" s="1"/>
  <c r="T6028" i="1" s="1"/>
  <c r="H6028" i="1"/>
  <c r="I6028" i="1" s="1"/>
  <c r="AI6018" i="1"/>
  <c r="H5961" i="1"/>
  <c r="I5961" i="1" s="1"/>
  <c r="H5952" i="1"/>
  <c r="I5952" i="1" s="1"/>
  <c r="AI6023" i="1"/>
  <c r="AI6028" i="1"/>
  <c r="AI6029" i="1"/>
  <c r="AB6029" i="1"/>
  <c r="Z6029" i="1"/>
  <c r="AI6019" i="1"/>
  <c r="AI6024" i="1"/>
  <c r="AI6007" i="1"/>
  <c r="AI5999" i="1"/>
  <c r="AE5998" i="1"/>
  <c r="AI5998" i="1" s="1"/>
  <c r="AI6008" i="1"/>
  <c r="AI5989" i="1"/>
  <c r="AI5990" i="1"/>
  <c r="AI5980" i="1"/>
  <c r="AI5981" i="1"/>
  <c r="AI5970" i="1"/>
  <c r="AI5971" i="1"/>
  <c r="AI5961" i="1"/>
  <c r="AI5962" i="1"/>
  <c r="AI5953" i="1"/>
  <c r="AE5952" i="1"/>
  <c r="AI5952" i="1" s="1"/>
  <c r="AI5943" i="1"/>
  <c r="AB5869" i="1"/>
  <c r="AI5944" i="1"/>
  <c r="AG5889" i="1"/>
  <c r="AH5889" i="1"/>
  <c r="AD5920" i="1"/>
  <c r="AB5920" i="1" s="1"/>
  <c r="H5920" i="1" s="1"/>
  <c r="I5920" i="1" s="1"/>
  <c r="AG5868" i="1"/>
  <c r="AD5889" i="1"/>
  <c r="AB5889" i="1" s="1"/>
  <c r="AF5868" i="1"/>
  <c r="AE5868" i="1"/>
  <c r="AF5889" i="1"/>
  <c r="AE5889" i="1"/>
  <c r="AI5895" i="1"/>
  <c r="AH5920" i="1"/>
  <c r="AF5920" i="1"/>
  <c r="AI5902" i="1"/>
  <c r="AB5902" i="1"/>
  <c r="Z5902" i="1"/>
  <c r="AB5890" i="1"/>
  <c r="Z5890" i="1"/>
  <c r="AG5920" i="1"/>
  <c r="AI5890" i="1"/>
  <c r="AI5910" i="1"/>
  <c r="AI5926" i="1"/>
  <c r="AB5895" i="1"/>
  <c r="Z5895" i="1"/>
  <c r="AB5910" i="1"/>
  <c r="Z5910" i="1"/>
  <c r="AI5921" i="1"/>
  <c r="AE5920" i="1"/>
  <c r="AB5921" i="1"/>
  <c r="Z5921" i="1"/>
  <c r="AH5868" i="1"/>
  <c r="AD5838" i="1"/>
  <c r="AB5838" i="1" s="1"/>
  <c r="Q5838" i="1" s="1"/>
  <c r="R5838" i="1" s="1"/>
  <c r="T5838" i="1" s="1"/>
  <c r="Z5874" i="1"/>
  <c r="AB5874" i="1"/>
  <c r="Z5926" i="1"/>
  <c r="AB5926" i="1"/>
  <c r="AD5868" i="1"/>
  <c r="AB5868" i="1" s="1"/>
  <c r="AI5869" i="1"/>
  <c r="AI5874" i="1"/>
  <c r="AF5838" i="1"/>
  <c r="AH5838" i="1"/>
  <c r="AE5838" i="1"/>
  <c r="AG5838" i="1"/>
  <c r="AI5844" i="1"/>
  <c r="AH5808" i="1"/>
  <c r="AB5858" i="1"/>
  <c r="Z5858" i="1"/>
  <c r="AI5858" i="1"/>
  <c r="AE5808" i="1"/>
  <c r="Z5844" i="1"/>
  <c r="AB5844" i="1"/>
  <c r="AD5808" i="1"/>
  <c r="AB5808" i="1" s="1"/>
  <c r="AI5839" i="1"/>
  <c r="AB5851" i="1"/>
  <c r="Z5851" i="1"/>
  <c r="AG5808" i="1"/>
  <c r="AF5808" i="1"/>
  <c r="AB5839" i="1"/>
  <c r="Z5839" i="1"/>
  <c r="AI5821" i="1"/>
  <c r="AI5851" i="1"/>
  <c r="AI5795" i="1"/>
  <c r="AI5814" i="1"/>
  <c r="AI5828" i="1"/>
  <c r="AI5809" i="1"/>
  <c r="AB5821" i="1"/>
  <c r="Z5821" i="1"/>
  <c r="Z5828" i="1"/>
  <c r="AB5828" i="1"/>
  <c r="AB5809" i="1"/>
  <c r="Z5809" i="1"/>
  <c r="AB5814" i="1"/>
  <c r="Z5814" i="1"/>
  <c r="AF5732" i="1"/>
  <c r="AH5774" i="1"/>
  <c r="AG5732" i="1"/>
  <c r="AE5774" i="1"/>
  <c r="AF5774" i="1"/>
  <c r="AG5774" i="1"/>
  <c r="AD5774" i="1"/>
  <c r="AB5774" i="1" s="1"/>
  <c r="AI5738" i="1"/>
  <c r="AB5795" i="1"/>
  <c r="Z5795" i="1"/>
  <c r="AB5780" i="1"/>
  <c r="Z5780" i="1"/>
  <c r="AI5775" i="1"/>
  <c r="AD5732" i="1"/>
  <c r="AB5732" i="1" s="1"/>
  <c r="AB5787" i="1"/>
  <c r="Z5787" i="1"/>
  <c r="AB5775" i="1"/>
  <c r="Z5775" i="1"/>
  <c r="AI5780" i="1"/>
  <c r="AE5732" i="1"/>
  <c r="AI5787" i="1"/>
  <c r="AH5732" i="1"/>
  <c r="AI5752" i="1"/>
  <c r="AI5745" i="1"/>
  <c r="AI5733" i="1"/>
  <c r="AB5752" i="1"/>
  <c r="Z5752" i="1"/>
  <c r="AF5702" i="1"/>
  <c r="AB5733" i="1"/>
  <c r="Z5733" i="1"/>
  <c r="AB5745" i="1"/>
  <c r="Z5745" i="1"/>
  <c r="AG5702" i="1"/>
  <c r="AD5702" i="1"/>
  <c r="AB5702" i="1" s="1"/>
  <c r="AB5738" i="1"/>
  <c r="Z5738" i="1"/>
  <c r="AE5702" i="1"/>
  <c r="AH5702" i="1"/>
  <c r="AI5715" i="1"/>
  <c r="AB5703" i="1"/>
  <c r="Z5703" i="1"/>
  <c r="AG5672" i="1"/>
  <c r="AI5703" i="1"/>
  <c r="AB5715" i="1"/>
  <c r="Z5715" i="1"/>
  <c r="AD5672" i="1"/>
  <c r="AB5672" i="1" s="1"/>
  <c r="AB5708" i="1"/>
  <c r="Z5708" i="1"/>
  <c r="AF5581" i="1"/>
  <c r="AI5625" i="1"/>
  <c r="AI5708" i="1"/>
  <c r="AI5594" i="1"/>
  <c r="AH5612" i="1"/>
  <c r="AI5678" i="1"/>
  <c r="AI5722" i="1"/>
  <c r="AB5722" i="1"/>
  <c r="Z5722" i="1"/>
  <c r="AE5672" i="1"/>
  <c r="AF5672" i="1"/>
  <c r="AH5672" i="1"/>
  <c r="AB5685" i="1"/>
  <c r="Z5685" i="1"/>
  <c r="AB5678" i="1"/>
  <c r="Z5678" i="1"/>
  <c r="AE5642" i="1"/>
  <c r="AB5692" i="1"/>
  <c r="Z5692" i="1"/>
  <c r="AI5673" i="1"/>
  <c r="AD5642" i="1"/>
  <c r="AB5642" i="1" s="1"/>
  <c r="AI5692" i="1"/>
  <c r="AI5685" i="1"/>
  <c r="AG5642" i="1"/>
  <c r="AF5642" i="1"/>
  <c r="Z5673" i="1"/>
  <c r="AB5673" i="1"/>
  <c r="AH5642" i="1"/>
  <c r="AG7813" i="1"/>
  <c r="AI5643" i="1"/>
  <c r="AI5655" i="1"/>
  <c r="AB5655" i="1"/>
  <c r="Z5655" i="1"/>
  <c r="AB5643" i="1"/>
  <c r="Z5643" i="1"/>
  <c r="AI5662" i="1"/>
  <c r="AI5648" i="1"/>
  <c r="AD5551" i="1"/>
  <c r="AB5551" i="1" s="1"/>
  <c r="H5551" i="1" s="1"/>
  <c r="I5551" i="1" s="1"/>
  <c r="AB5648" i="1"/>
  <c r="Z5648" i="1"/>
  <c r="AD5612" i="1"/>
  <c r="AB5612" i="1" s="1"/>
  <c r="AB5662" i="1"/>
  <c r="Z5662" i="1"/>
  <c r="AF5612" i="1"/>
  <c r="AE5612" i="1"/>
  <c r="AG5612" i="1"/>
  <c r="AI5632" i="1"/>
  <c r="AB5618" i="1"/>
  <c r="Z5618" i="1"/>
  <c r="AD5581" i="1"/>
  <c r="AB5581" i="1" s="1"/>
  <c r="AI5613" i="1"/>
  <c r="AI5618" i="1"/>
  <c r="AB5632" i="1"/>
  <c r="Z5632" i="1"/>
  <c r="AB5625" i="1"/>
  <c r="Z5625" i="1"/>
  <c r="AI5571" i="1"/>
  <c r="AI5587" i="1"/>
  <c r="Z5613" i="1"/>
  <c r="AB5613" i="1"/>
  <c r="AE5581" i="1"/>
  <c r="AH5581" i="1"/>
  <c r="AG5581" i="1"/>
  <c r="AG5551" i="1"/>
  <c r="AE5551" i="1"/>
  <c r="AF5551" i="1"/>
  <c r="AH5551" i="1"/>
  <c r="AI5582" i="1"/>
  <c r="AB5582" i="1"/>
  <c r="Z5582" i="1"/>
  <c r="AB5594" i="1"/>
  <c r="Z5594" i="1"/>
  <c r="Z5601" i="1"/>
  <c r="AB5601" i="1"/>
  <c r="AI5601" i="1"/>
  <c r="AI5557" i="1"/>
  <c r="AB5587" i="1"/>
  <c r="Z5587" i="1"/>
  <c r="AI5564" i="1"/>
  <c r="Z5557" i="1"/>
  <c r="AB5557" i="1"/>
  <c r="AB5571" i="1"/>
  <c r="Z5571" i="1"/>
  <c r="AI5552" i="1"/>
  <c r="AB5564" i="1"/>
  <c r="Z5564" i="1"/>
  <c r="AB5552" i="1"/>
  <c r="Z5552" i="1"/>
  <c r="AI5493" i="1"/>
  <c r="AI5455" i="1"/>
  <c r="AD5449" i="1"/>
  <c r="AB5449" i="1" s="1"/>
  <c r="Q5449" i="1" s="1"/>
  <c r="R5449" i="1" s="1"/>
  <c r="T5449" i="1" s="1"/>
  <c r="AH5480" i="1"/>
  <c r="AF5511" i="1"/>
  <c r="AD5511" i="1"/>
  <c r="AB5511" i="1" s="1"/>
  <c r="AD5480" i="1"/>
  <c r="AB5480" i="1" s="1"/>
  <c r="AH5449" i="1"/>
  <c r="AF5480" i="1"/>
  <c r="AI5532" i="1"/>
  <c r="AE5511" i="1"/>
  <c r="AG5511" i="1"/>
  <c r="AH5511" i="1"/>
  <c r="AG5480" i="1"/>
  <c r="AE5480" i="1"/>
  <c r="AG5449" i="1"/>
  <c r="AE5449" i="1"/>
  <c r="AF5449" i="1"/>
  <c r="AB5524" i="1"/>
  <c r="Z5524" i="1"/>
  <c r="AI5512" i="1"/>
  <c r="Z5532" i="1"/>
  <c r="AB5532" i="1"/>
  <c r="AI5517" i="1"/>
  <c r="AI5524" i="1"/>
  <c r="Z5517" i="1"/>
  <c r="AB5517" i="1"/>
  <c r="AB5512" i="1"/>
  <c r="Z5512" i="1"/>
  <c r="Z5493" i="1"/>
  <c r="AB5493" i="1"/>
  <c r="AB5501" i="1"/>
  <c r="Z5501" i="1"/>
  <c r="AI5462" i="1"/>
  <c r="AB5481" i="1"/>
  <c r="Z5481" i="1"/>
  <c r="AI5481" i="1"/>
  <c r="AI5450" i="1"/>
  <c r="AI5501" i="1"/>
  <c r="AI5486" i="1"/>
  <c r="AB5486" i="1"/>
  <c r="Z5486" i="1"/>
  <c r="AB5462" i="1"/>
  <c r="Z5462" i="1"/>
  <c r="AB5450" i="1"/>
  <c r="Z5450" i="1"/>
  <c r="AI5470" i="1"/>
  <c r="Z5455" i="1"/>
  <c r="AB5455" i="1"/>
  <c r="AD5414" i="1"/>
  <c r="AB5414" i="1" s="1"/>
  <c r="AB5470" i="1"/>
  <c r="Z5470" i="1"/>
  <c r="AF5414" i="1"/>
  <c r="AE5414" i="1"/>
  <c r="AG5414" i="1"/>
  <c r="AH5414" i="1"/>
  <c r="AI5434" i="1"/>
  <c r="AI5420" i="1"/>
  <c r="AI5415" i="1"/>
  <c r="AB5420" i="1"/>
  <c r="Z5420" i="1"/>
  <c r="AF5384" i="1"/>
  <c r="AD5384" i="1"/>
  <c r="AB5384" i="1" s="1"/>
  <c r="AI5427" i="1"/>
  <c r="AB5427" i="1"/>
  <c r="Z5427" i="1"/>
  <c r="AI5390" i="1"/>
  <c r="Z5415" i="1"/>
  <c r="AB5415" i="1"/>
  <c r="Z5434" i="1"/>
  <c r="AB5434" i="1"/>
  <c r="AG5384" i="1"/>
  <c r="AE5384" i="1"/>
  <c r="AH5384" i="1"/>
  <c r="AI5397" i="1"/>
  <c r="AI5374" i="1"/>
  <c r="Z5390" i="1"/>
  <c r="AB5390" i="1"/>
  <c r="AB5385" i="1"/>
  <c r="Z5385" i="1"/>
  <c r="AG5354" i="1"/>
  <c r="AI5404" i="1"/>
  <c r="AE5354" i="1"/>
  <c r="AH5354" i="1"/>
  <c r="AI5385" i="1"/>
  <c r="AB5397" i="1"/>
  <c r="Z5397" i="1"/>
  <c r="AD5354" i="1"/>
  <c r="AB5354" i="1" s="1"/>
  <c r="AB5404" i="1"/>
  <c r="Z5404" i="1"/>
  <c r="AF5354" i="1"/>
  <c r="AI5355" i="1"/>
  <c r="AH5324" i="1"/>
  <c r="AF5324" i="1"/>
  <c r="AI5360" i="1"/>
  <c r="AI5367" i="1"/>
  <c r="Z5374" i="1"/>
  <c r="AB5374" i="1"/>
  <c r="AB5360" i="1"/>
  <c r="Z5360" i="1"/>
  <c r="Z5367" i="1"/>
  <c r="AB5367" i="1"/>
  <c r="AD5324" i="1"/>
  <c r="AB5324" i="1" s="1"/>
  <c r="AB5355" i="1"/>
  <c r="Z5355" i="1"/>
  <c r="AE5324" i="1"/>
  <c r="AG5324" i="1"/>
  <c r="AI5330" i="1"/>
  <c r="Z5344" i="1"/>
  <c r="AB5344" i="1"/>
  <c r="AB5337" i="1"/>
  <c r="Z5337" i="1"/>
  <c r="AD5294" i="1"/>
  <c r="AB5294" i="1" s="1"/>
  <c r="AI5337" i="1"/>
  <c r="AI5325" i="1"/>
  <c r="AB5330" i="1"/>
  <c r="Z5330" i="1"/>
  <c r="AB5325" i="1"/>
  <c r="Z5325" i="1"/>
  <c r="AI5344" i="1"/>
  <c r="AF5294" i="1"/>
  <c r="AE5294" i="1"/>
  <c r="AG5294" i="1"/>
  <c r="AH5294" i="1"/>
  <c r="AI5295" i="1"/>
  <c r="AB5307" i="1"/>
  <c r="Z5307" i="1"/>
  <c r="Z5300" i="1"/>
  <c r="AB5300" i="1"/>
  <c r="AD5264" i="1"/>
  <c r="AB5264" i="1" s="1"/>
  <c r="AI5300" i="1"/>
  <c r="AI5314" i="1"/>
  <c r="AB5314" i="1"/>
  <c r="Z5314" i="1"/>
  <c r="AG5264" i="1"/>
  <c r="AI5307" i="1"/>
  <c r="AB5295" i="1"/>
  <c r="Z5295" i="1"/>
  <c r="AI5265" i="1"/>
  <c r="AE5264" i="1"/>
  <c r="AF5264" i="1"/>
  <c r="AH5264" i="1"/>
  <c r="AI5270" i="1"/>
  <c r="AI5284" i="1"/>
  <c r="AI5277" i="1"/>
  <c r="AB5270" i="1"/>
  <c r="Z5270" i="1"/>
  <c r="AI5210" i="1"/>
  <c r="AH5204" i="1"/>
  <c r="AI5240" i="1"/>
  <c r="AB5265" i="1"/>
  <c r="Z5265" i="1"/>
  <c r="AB5277" i="1"/>
  <c r="Z5277" i="1"/>
  <c r="AI5150" i="1"/>
  <c r="AI5120" i="1"/>
  <c r="AB5284" i="1"/>
  <c r="Z5284" i="1"/>
  <c r="AD5204" i="1"/>
  <c r="AB5204" i="1" s="1"/>
  <c r="H5204" i="1" s="1"/>
  <c r="I5204" i="1" s="1"/>
  <c r="AD5234" i="1"/>
  <c r="AB5234" i="1" s="1"/>
  <c r="H5234" i="1" s="1"/>
  <c r="I5234" i="1" s="1"/>
  <c r="AF5234" i="1"/>
  <c r="AE5234" i="1"/>
  <c r="AH5234" i="1"/>
  <c r="AG5234" i="1"/>
  <c r="AB5235" i="1"/>
  <c r="Z5235" i="1"/>
  <c r="AB5247" i="1"/>
  <c r="Z5247" i="1"/>
  <c r="AG5204" i="1"/>
  <c r="AF5204" i="1"/>
  <c r="AI5235" i="1"/>
  <c r="AB5254" i="1"/>
  <c r="Z5254" i="1"/>
  <c r="AI5254" i="1"/>
  <c r="AI5247" i="1"/>
  <c r="AB5240" i="1"/>
  <c r="Z5240" i="1"/>
  <c r="AE5204" i="1"/>
  <c r="AB5205" i="1"/>
  <c r="Z5205" i="1"/>
  <c r="AB5224" i="1"/>
  <c r="Z5224" i="1"/>
  <c r="AI5205" i="1"/>
  <c r="AI5217" i="1"/>
  <c r="Z5210" i="1"/>
  <c r="AB5210" i="1"/>
  <c r="AI5194" i="1"/>
  <c r="AD5174" i="1"/>
  <c r="AB5174" i="1" s="1"/>
  <c r="AI5224" i="1"/>
  <c r="AB5217" i="1"/>
  <c r="Z5217" i="1"/>
  <c r="AI5175" i="1"/>
  <c r="AE5174" i="1"/>
  <c r="AF5174" i="1"/>
  <c r="AH5174" i="1"/>
  <c r="AG5174" i="1"/>
  <c r="AH5144" i="1"/>
  <c r="AB5194" i="1"/>
  <c r="Z5194" i="1"/>
  <c r="AI5180" i="1"/>
  <c r="AB5180" i="1"/>
  <c r="Z5180" i="1"/>
  <c r="AI5164" i="1"/>
  <c r="AD5144" i="1"/>
  <c r="AB5144" i="1" s="1"/>
  <c r="AI5187" i="1"/>
  <c r="AB5187" i="1"/>
  <c r="Z5187" i="1"/>
  <c r="AB5175" i="1"/>
  <c r="Z5175" i="1"/>
  <c r="AE5144" i="1"/>
  <c r="AF5144" i="1"/>
  <c r="AG5144" i="1"/>
  <c r="AB5157" i="1"/>
  <c r="Z5157" i="1"/>
  <c r="AB5145" i="1"/>
  <c r="Z5145" i="1"/>
  <c r="AB5150" i="1"/>
  <c r="Z5150" i="1"/>
  <c r="AI5145" i="1"/>
  <c r="AD5114" i="1"/>
  <c r="AB5114" i="1" s="1"/>
  <c r="AF5114" i="1"/>
  <c r="AG5114" i="1"/>
  <c r="AI5115" i="1"/>
  <c r="AE5114" i="1"/>
  <c r="AG5078" i="1"/>
  <c r="AH5114" i="1"/>
  <c r="AI5157" i="1"/>
  <c r="AB5164" i="1"/>
  <c r="Z5164" i="1"/>
  <c r="AB5127" i="1"/>
  <c r="Z5127" i="1"/>
  <c r="AI5127" i="1"/>
  <c r="AD5078" i="1"/>
  <c r="AB5078" i="1" s="1"/>
  <c r="AI5134" i="1"/>
  <c r="AB5134" i="1"/>
  <c r="Z5134" i="1"/>
  <c r="AB5115" i="1"/>
  <c r="Z5115" i="1"/>
  <c r="AB5120" i="1"/>
  <c r="Z5120" i="1"/>
  <c r="AE5078" i="1"/>
  <c r="AH5078" i="1"/>
  <c r="AF5078" i="1"/>
  <c r="AI5053" i="1"/>
  <c r="AB5091" i="1"/>
  <c r="Z5091" i="1"/>
  <c r="AD5047" i="1"/>
  <c r="AB5047" i="1" s="1"/>
  <c r="AI5091" i="1"/>
  <c r="AB5084" i="1"/>
  <c r="Z5084" i="1"/>
  <c r="Z5099" i="1"/>
  <c r="AB5099" i="1"/>
  <c r="AI5099" i="1"/>
  <c r="AI5079" i="1"/>
  <c r="AB5079" i="1"/>
  <c r="Z5079" i="1"/>
  <c r="AI5084" i="1"/>
  <c r="AI5048" i="1"/>
  <c r="AE5047" i="1"/>
  <c r="AF5016" i="1"/>
  <c r="AF5047" i="1"/>
  <c r="AG5047" i="1"/>
  <c r="AH5047" i="1"/>
  <c r="AG5016" i="1"/>
  <c r="AH5016" i="1"/>
  <c r="AI5060" i="1"/>
  <c r="AB5048" i="1"/>
  <c r="Z5048" i="1"/>
  <c r="AI5068" i="1"/>
  <c r="AD5016" i="1"/>
  <c r="AB5016" i="1" s="1"/>
  <c r="AB5060" i="1"/>
  <c r="Z5060" i="1"/>
  <c r="Z5068" i="1"/>
  <c r="AB5068" i="1"/>
  <c r="AB5053" i="1"/>
  <c r="Z5053" i="1"/>
  <c r="AE5016" i="1"/>
  <c r="AI5029" i="1"/>
  <c r="AB5037" i="1"/>
  <c r="Z5037" i="1"/>
  <c r="AI5022" i="1"/>
  <c r="AB5022" i="1"/>
  <c r="Z5022" i="1"/>
  <c r="Z5017" i="1"/>
  <c r="AB5017" i="1"/>
  <c r="AI5017" i="1"/>
  <c r="Z5029" i="1"/>
  <c r="AB5029" i="1"/>
  <c r="AI5037" i="1"/>
  <c r="AB5000" i="1"/>
  <c r="AD4998" i="1"/>
  <c r="AD4985" i="1" s="1"/>
  <c r="AB4985" i="1" s="1"/>
  <c r="AI5006" i="1"/>
  <c r="AF7893" i="1"/>
  <c r="AH4985" i="1"/>
  <c r="AF4985" i="1"/>
  <c r="AI4991" i="1"/>
  <c r="AG4985" i="1"/>
  <c r="AE4985" i="1"/>
  <c r="AB5006" i="1"/>
  <c r="Z5006" i="1"/>
  <c r="AB4991" i="1"/>
  <c r="Z4991" i="1"/>
  <c r="AI4986" i="1"/>
  <c r="AB4986" i="1"/>
  <c r="Z4986" i="1"/>
  <c r="AI4998" i="1"/>
  <c r="AG4941" i="1"/>
  <c r="AD4941" i="1"/>
  <c r="AB4941" i="1" s="1"/>
  <c r="AE4941" i="1"/>
  <c r="AF4941" i="1"/>
  <c r="AH4941" i="1"/>
  <c r="AE4851" i="1"/>
  <c r="AG4911" i="1"/>
  <c r="AF4911" i="1"/>
  <c r="Z4947" i="1"/>
  <c r="AB4947" i="1"/>
  <c r="AI4894" i="1"/>
  <c r="AH4911" i="1"/>
  <c r="AI4961" i="1"/>
  <c r="AI4947" i="1"/>
  <c r="AI4942" i="1"/>
  <c r="AB4961" i="1"/>
  <c r="Z4961" i="1"/>
  <c r="AB4954" i="1"/>
  <c r="Z4954" i="1"/>
  <c r="AD4911" i="1"/>
  <c r="AB4911" i="1" s="1"/>
  <c r="AI4954" i="1"/>
  <c r="Z4942" i="1"/>
  <c r="AB4942" i="1"/>
  <c r="AE4911" i="1"/>
  <c r="AI4924" i="1"/>
  <c r="Z4931" i="1"/>
  <c r="AB4931" i="1"/>
  <c r="AI4931" i="1"/>
  <c r="AB4924" i="1"/>
  <c r="Z4924" i="1"/>
  <c r="AG4881" i="1"/>
  <c r="AH4881" i="1"/>
  <c r="AI4917" i="1"/>
  <c r="AI4912" i="1"/>
  <c r="AB4917" i="1"/>
  <c r="Z4917" i="1"/>
  <c r="AD4881" i="1"/>
  <c r="AB4881" i="1" s="1"/>
  <c r="AB4912" i="1"/>
  <c r="Z4912" i="1"/>
  <c r="AE4881" i="1"/>
  <c r="AF4881" i="1"/>
  <c r="AG4851" i="1"/>
  <c r="AF4851" i="1"/>
  <c r="AI4901" i="1"/>
  <c r="AB4894" i="1"/>
  <c r="Z4894" i="1"/>
  <c r="AI4882" i="1"/>
  <c r="AB4887" i="1"/>
  <c r="Z4887" i="1"/>
  <c r="AB4901" i="1"/>
  <c r="Z4901" i="1"/>
  <c r="AH4851" i="1"/>
  <c r="AD4851" i="1"/>
  <c r="AB4851" i="1" s="1"/>
  <c r="AI4887" i="1"/>
  <c r="AB4882" i="1"/>
  <c r="Z4882" i="1"/>
  <c r="AI4852" i="1"/>
  <c r="Z4871" i="1"/>
  <c r="AB4871" i="1"/>
  <c r="Z4864" i="1"/>
  <c r="AB4864" i="1"/>
  <c r="AI4864" i="1"/>
  <c r="AI4871" i="1"/>
  <c r="AI4857" i="1"/>
  <c r="AB4857" i="1"/>
  <c r="Z4857" i="1"/>
  <c r="AB4852" i="1"/>
  <c r="Z4852" i="1"/>
  <c r="AD4821" i="1"/>
  <c r="AB4821" i="1" s="1"/>
  <c r="Q4821" i="1" s="1"/>
  <c r="R4821" i="1" s="1"/>
  <c r="T4821" i="1" s="1"/>
  <c r="AF4791" i="1"/>
  <c r="AD147" i="1"/>
  <c r="Z147" i="1" s="1"/>
  <c r="AI4767" i="1"/>
  <c r="AI4797" i="1"/>
  <c r="AI4834" i="1"/>
  <c r="AG4821" i="1"/>
  <c r="AI4822" i="1"/>
  <c r="AE4821" i="1"/>
  <c r="AH4821" i="1"/>
  <c r="AF4821" i="1"/>
  <c r="Z4834" i="1"/>
  <c r="AB4834" i="1"/>
  <c r="AB4827" i="1"/>
  <c r="Z4827" i="1"/>
  <c r="AD4761" i="1"/>
  <c r="AB4761" i="1" s="1"/>
  <c r="Q4761" i="1" s="1"/>
  <c r="R4761" i="1" s="1"/>
  <c r="T4761" i="1" s="1"/>
  <c r="AB4841" i="1"/>
  <c r="Z4841" i="1"/>
  <c r="AI4841" i="1"/>
  <c r="AI4811" i="1"/>
  <c r="AD4791" i="1"/>
  <c r="AB4791" i="1" s="1"/>
  <c r="AI4827" i="1"/>
  <c r="AB4822" i="1"/>
  <c r="Z4822" i="1"/>
  <c r="AI4792" i="1"/>
  <c r="AE4791" i="1"/>
  <c r="AG4791" i="1"/>
  <c r="AH4791" i="1"/>
  <c r="AB4811" i="1"/>
  <c r="Z4811" i="1"/>
  <c r="Z4792" i="1"/>
  <c r="AB4792" i="1"/>
  <c r="AE4761" i="1"/>
  <c r="AB4797" i="1"/>
  <c r="Z4797" i="1"/>
  <c r="AI4804" i="1"/>
  <c r="AD4701" i="1"/>
  <c r="AB4701" i="1" s="1"/>
  <c r="Q4701" i="1" s="1"/>
  <c r="R4701" i="1" s="1"/>
  <c r="T4701" i="1" s="1"/>
  <c r="Z4804" i="1"/>
  <c r="AB4804" i="1"/>
  <c r="AI4737" i="1"/>
  <c r="AI4714" i="1"/>
  <c r="AF4761" i="1"/>
  <c r="AG4761" i="1"/>
  <c r="AH4761" i="1"/>
  <c r="AB4781" i="1"/>
  <c r="Z4781" i="1"/>
  <c r="AB4767" i="1"/>
  <c r="Z4767" i="1"/>
  <c r="AI4781" i="1"/>
  <c r="AI4774" i="1"/>
  <c r="AB4774" i="1"/>
  <c r="Z4774" i="1"/>
  <c r="AD4731" i="1"/>
  <c r="AB4731" i="1" s="1"/>
  <c r="Z4762" i="1"/>
  <c r="AB4762" i="1"/>
  <c r="AI4762" i="1"/>
  <c r="AF4731" i="1"/>
  <c r="AG4731" i="1"/>
  <c r="AI4732" i="1"/>
  <c r="AE4731" i="1"/>
  <c r="AI4751" i="1"/>
  <c r="AH4731" i="1"/>
  <c r="AB4737" i="1"/>
  <c r="Z4737" i="1"/>
  <c r="AB4732" i="1"/>
  <c r="Z4732" i="1"/>
  <c r="AI4744" i="1"/>
  <c r="AB4751" i="1"/>
  <c r="Z4751" i="1"/>
  <c r="AI4684" i="1"/>
  <c r="AB4744" i="1"/>
  <c r="Z4744" i="1"/>
  <c r="AE4701" i="1"/>
  <c r="AG4701" i="1"/>
  <c r="AF4701" i="1"/>
  <c r="AH4701" i="1"/>
  <c r="AB4702" i="1"/>
  <c r="Z4702" i="1"/>
  <c r="AB4707" i="1"/>
  <c r="Z4707" i="1"/>
  <c r="AG4671" i="1"/>
  <c r="AF4671" i="1"/>
  <c r="AI4721" i="1"/>
  <c r="AD4671" i="1"/>
  <c r="AB4671" i="1" s="1"/>
  <c r="AE4671" i="1"/>
  <c r="AH4671" i="1"/>
  <c r="AI4702" i="1"/>
  <c r="AB4714" i="1"/>
  <c r="Z4714" i="1"/>
  <c r="AI4677" i="1"/>
  <c r="AI4707" i="1"/>
  <c r="AB4721" i="1"/>
  <c r="Z4721" i="1"/>
  <c r="AI4691" i="1"/>
  <c r="Z4677" i="1"/>
  <c r="AB4677" i="1"/>
  <c r="AB4672" i="1"/>
  <c r="Z4672" i="1"/>
  <c r="Z4691" i="1"/>
  <c r="AB4691" i="1"/>
  <c r="AI4672" i="1"/>
  <c r="AB4684" i="1"/>
  <c r="Z4684" i="1"/>
  <c r="AD140" i="1"/>
  <c r="AB142" i="1"/>
  <c r="AF132" i="1"/>
  <c r="AH132" i="1"/>
  <c r="Z108" i="1"/>
  <c r="AG132" i="1"/>
  <c r="AE132" i="1"/>
  <c r="AI1538" i="1"/>
  <c r="AI64" i="1"/>
  <c r="AE63" i="1"/>
  <c r="AG7877" i="1"/>
  <c r="AF7976" i="1"/>
  <c r="AF8295" i="1"/>
  <c r="AI61" i="1"/>
  <c r="AI58" i="1"/>
  <c r="AI55" i="1"/>
  <c r="AG8213" i="1"/>
  <c r="AI52" i="1"/>
  <c r="AG8023" i="1"/>
  <c r="AG8089" i="1"/>
  <c r="AH7813" i="1"/>
  <c r="AG7893" i="1"/>
  <c r="AI7856" i="1"/>
  <c r="AH8428" i="1"/>
  <c r="AI7750" i="1"/>
  <c r="AI7553" i="1"/>
  <c r="AI7093" i="1"/>
  <c r="AI7673" i="1"/>
  <c r="AH7216" i="1"/>
  <c r="AI7466" i="1"/>
  <c r="AF7783" i="1"/>
  <c r="AI7533" i="1"/>
  <c r="AI7307" i="1"/>
  <c r="AI7606" i="1"/>
  <c r="AI7939" i="1"/>
  <c r="AI8529" i="1"/>
  <c r="AI47" i="1"/>
  <c r="AI7824" i="1"/>
  <c r="AF8179" i="1"/>
  <c r="AI6959" i="1"/>
  <c r="AI8206" i="1"/>
  <c r="AF8366" i="1"/>
  <c r="AG7316" i="1"/>
  <c r="AI7334" i="1"/>
  <c r="AI8053" i="1"/>
  <c r="AF7944" i="1"/>
  <c r="AI7367" i="1"/>
  <c r="AI6987" i="1"/>
  <c r="AI7051" i="1"/>
  <c r="AI8122" i="1"/>
  <c r="AH7893" i="1"/>
  <c r="AI7287" i="1"/>
  <c r="AI7414" i="1"/>
  <c r="AI8142" i="1"/>
  <c r="AI7294" i="1"/>
  <c r="AI7128" i="1"/>
  <c r="AI6979" i="1"/>
  <c r="AF7575" i="1"/>
  <c r="AI7072" i="1"/>
  <c r="AI7434" i="1"/>
  <c r="AI7546" i="1"/>
  <c r="AI7354" i="1"/>
  <c r="AF8008" i="1"/>
  <c r="AH8412" i="1"/>
  <c r="AF8552" i="1"/>
  <c r="AH8552" i="1"/>
  <c r="AG8043" i="1"/>
  <c r="AH8043" i="1"/>
  <c r="AH7095" i="1"/>
  <c r="AH6992" i="1"/>
  <c r="AI115" i="1"/>
  <c r="AG7176" i="1"/>
  <c r="AF7417" i="1"/>
  <c r="AH7555" i="1"/>
  <c r="AG7337" i="1"/>
  <c r="AH7316" i="1"/>
  <c r="AG7053" i="1"/>
  <c r="AG7074" i="1"/>
  <c r="AH7032" i="1"/>
  <c r="AI7002" i="1"/>
  <c r="AG7846" i="1"/>
  <c r="AF7053" i="1"/>
  <c r="AG6969" i="1"/>
  <c r="AF8602" i="1"/>
  <c r="AH7417" i="1"/>
  <c r="AG7455" i="1"/>
  <c r="AF7515" i="1"/>
  <c r="AG6992" i="1"/>
  <c r="AI7114" i="1"/>
  <c r="AI108" i="1"/>
  <c r="AF6969" i="1"/>
  <c r="AI6967" i="1"/>
  <c r="AI7010" i="1"/>
  <c r="AF6949" i="1"/>
  <c r="AF6992" i="1"/>
  <c r="AH6949" i="1"/>
  <c r="AI7064" i="1"/>
  <c r="AI7022" i="1"/>
  <c r="AH7536" i="1"/>
  <c r="AF7012" i="1"/>
  <c r="AF7074" i="1"/>
  <c r="AI7030" i="1"/>
  <c r="AF7846" i="1"/>
  <c r="AI7085" i="1"/>
  <c r="AI8423" i="1"/>
  <c r="AI8562" i="1"/>
  <c r="AG7032" i="1"/>
  <c r="AH7012" i="1"/>
  <c r="AH7575" i="1"/>
  <c r="AH7376" i="1"/>
  <c r="AF7475" i="1"/>
  <c r="AI7593" i="1"/>
  <c r="AI8068" i="1"/>
  <c r="AG7376" i="1"/>
  <c r="AH7053" i="1"/>
  <c r="AI7793" i="1"/>
  <c r="AF7316" i="1"/>
  <c r="AF7655" i="1"/>
  <c r="AF7337" i="1"/>
  <c r="AH7337" i="1"/>
  <c r="AI7486" i="1"/>
  <c r="AH7074" i="1"/>
  <c r="AI7106" i="1"/>
  <c r="AF7095" i="1"/>
  <c r="AI7043" i="1"/>
  <c r="AH6969" i="1"/>
  <c r="AI8439" i="1"/>
  <c r="AG7760" i="1"/>
  <c r="AH8132" i="1"/>
  <c r="AF8348" i="1"/>
  <c r="AF8132" i="1"/>
  <c r="AF7396" i="1"/>
  <c r="AF7137" i="1"/>
  <c r="AG7095" i="1"/>
  <c r="AF7032" i="1"/>
  <c r="AG6949" i="1"/>
  <c r="AG7012" i="1"/>
  <c r="AI8513" i="1"/>
  <c r="AG8008" i="1"/>
  <c r="AG7555" i="1"/>
  <c r="AH7436" i="1"/>
  <c r="AI8491" i="1"/>
  <c r="AI8273" i="1"/>
  <c r="AG8244" i="1"/>
  <c r="AG7928" i="1"/>
  <c r="AH7928" i="1"/>
  <c r="AF8428" i="1"/>
  <c r="AG7575" i="1"/>
  <c r="AF7495" i="1"/>
  <c r="AF7719" i="1"/>
  <c r="AG7436" i="1"/>
  <c r="AF7176" i="1"/>
  <c r="AI7374" i="1"/>
  <c r="AI7904" i="1"/>
  <c r="AI7633" i="1"/>
  <c r="AI7613" i="1"/>
  <c r="AI7387" i="1"/>
  <c r="AG8552" i="1"/>
  <c r="AF8412" i="1"/>
  <c r="AF7993" i="1"/>
  <c r="AH7675" i="1"/>
  <c r="AG7739" i="1"/>
  <c r="AH7831" i="1"/>
  <c r="AF7636" i="1"/>
  <c r="AI7427" i="1"/>
  <c r="AG7595" i="1"/>
  <c r="AI7573" i="1"/>
  <c r="AI7778" i="1"/>
  <c r="AH3564" i="1"/>
  <c r="AH7296" i="1"/>
  <c r="AG7118" i="1"/>
  <c r="AH7636" i="1"/>
  <c r="AF7675" i="1"/>
  <c r="AI7207" i="1"/>
  <c r="AI8239" i="1"/>
  <c r="AI8018" i="1"/>
  <c r="AH7760" i="1"/>
  <c r="AF8147" i="1"/>
  <c r="AG7615" i="1"/>
  <c r="AF7356" i="1"/>
  <c r="AG7675" i="1"/>
  <c r="AF7536" i="1"/>
  <c r="AI7693" i="1"/>
  <c r="AI7446" i="1"/>
  <c r="AI7872" i="1"/>
  <c r="AI7706" i="1"/>
  <c r="AI7506" i="1"/>
  <c r="AI3123" i="1"/>
  <c r="AF8536" i="1"/>
  <c r="AF8195" i="1"/>
  <c r="AG8263" i="1"/>
  <c r="AG8311" i="1"/>
  <c r="AF8228" i="1"/>
  <c r="AG7276" i="1"/>
  <c r="AG7475" i="1"/>
  <c r="AI7730" i="1"/>
  <c r="AG7417" i="1"/>
  <c r="AG7536" i="1"/>
  <c r="AF2896" i="1"/>
  <c r="AF8263" i="1"/>
  <c r="AH7256" i="1"/>
  <c r="AH7495" i="1"/>
  <c r="AH7118" i="1"/>
  <c r="AI7194" i="1"/>
  <c r="AI7247" i="1"/>
  <c r="AI7394" i="1"/>
  <c r="AI8100" i="1"/>
  <c r="AI3289" i="1"/>
  <c r="AF3062" i="1"/>
  <c r="AG3333" i="1"/>
  <c r="AH8244" i="1"/>
  <c r="AF8396" i="1"/>
  <c r="AH8228" i="1"/>
  <c r="AG8412" i="1"/>
  <c r="AH7976" i="1"/>
  <c r="AF7555" i="1"/>
  <c r="AG7216" i="1"/>
  <c r="AG7196" i="1"/>
  <c r="AH7739" i="1"/>
  <c r="AH7695" i="1"/>
  <c r="AI7407" i="1"/>
  <c r="AI7653" i="1"/>
  <c r="AI7757" i="1"/>
  <c r="AI7493" i="1"/>
  <c r="AI7327" i="1"/>
  <c r="AI7770" i="1"/>
  <c r="AI8306" i="1"/>
  <c r="AI2927" i="1"/>
  <c r="AI3144" i="1"/>
  <c r="AG7156" i="1"/>
  <c r="AF7196" i="1"/>
  <c r="AH7455" i="1"/>
  <c r="AH7396" i="1"/>
  <c r="AG7237" i="1"/>
  <c r="AH7615" i="1"/>
  <c r="AF7376" i="1"/>
  <c r="AH7137" i="1"/>
  <c r="AG7783" i="1"/>
  <c r="AF8163" i="1"/>
  <c r="AH7719" i="1"/>
  <c r="AG7137" i="1"/>
  <c r="AH7595" i="1"/>
  <c r="AI7314" i="1"/>
  <c r="AI7453" i="1"/>
  <c r="AI7267" i="1"/>
  <c r="AF7156" i="1"/>
  <c r="AI2997" i="1"/>
  <c r="AH8480" i="1"/>
  <c r="AG8147" i="1"/>
  <c r="AH7156" i="1"/>
  <c r="AG7396" i="1"/>
  <c r="AI7167" i="1"/>
  <c r="AI7274" i="1"/>
  <c r="AI7214" i="1"/>
  <c r="AI8255" i="1"/>
  <c r="AI2906" i="1"/>
  <c r="AH7877" i="1"/>
  <c r="AG8464" i="1"/>
  <c r="AG8428" i="1"/>
  <c r="AH7176" i="1"/>
  <c r="AG7356" i="1"/>
  <c r="AF7455" i="1"/>
  <c r="AG7636" i="1"/>
  <c r="AI7626" i="1"/>
  <c r="AI7646" i="1"/>
  <c r="AI7147" i="1"/>
  <c r="AI7713" i="1"/>
  <c r="AI8391" i="1"/>
  <c r="AI7841" i="1"/>
  <c r="AI8223" i="1"/>
  <c r="AI8074" i="1"/>
  <c r="AI8190" i="1"/>
  <c r="AI3176" i="1"/>
  <c r="AG8586" i="1"/>
  <c r="AF8023" i="1"/>
  <c r="AH8111" i="1"/>
  <c r="AF8311" i="1"/>
  <c r="AF8327" i="1"/>
  <c r="AG8327" i="1"/>
  <c r="AF7813" i="1"/>
  <c r="AH8518" i="1"/>
  <c r="AG7976" i="1"/>
  <c r="AG8132" i="1"/>
  <c r="AG7515" i="1"/>
  <c r="AG7655" i="1"/>
  <c r="AH7276" i="1"/>
  <c r="AF7256" i="1"/>
  <c r="AH7475" i="1"/>
  <c r="AG7695" i="1"/>
  <c r="AF7276" i="1"/>
  <c r="AF7739" i="1"/>
  <c r="AI8034" i="1"/>
  <c r="AI8338" i="1"/>
  <c r="AI7154" i="1"/>
  <c r="AF8464" i="1"/>
  <c r="AG8295" i="1"/>
  <c r="AF7118" i="1"/>
  <c r="AH7356" i="1"/>
  <c r="AG7296" i="1"/>
  <c r="AH7655" i="1"/>
  <c r="AH7196" i="1"/>
  <c r="AI7234" i="1"/>
  <c r="AI7808" i="1"/>
  <c r="AI7227" i="1"/>
  <c r="AI7586" i="1"/>
  <c r="AI8290" i="1"/>
  <c r="AI3365" i="1"/>
  <c r="AI3184" i="1"/>
  <c r="AI7174" i="1"/>
  <c r="AI8455" i="1"/>
  <c r="AG8518" i="1"/>
  <c r="AH8311" i="1"/>
  <c r="AH7960" i="1"/>
  <c r="AG7719" i="1"/>
  <c r="AF7216" i="1"/>
  <c r="AF7595" i="1"/>
  <c r="AG7495" i="1"/>
  <c r="AH7515" i="1"/>
  <c r="AH7237" i="1"/>
  <c r="AI7971" i="1"/>
  <c r="AI7513" i="1"/>
  <c r="AI7187" i="1"/>
  <c r="AI8174" i="1"/>
  <c r="AI3268" i="1"/>
  <c r="AI7135" i="1"/>
  <c r="AI7254" i="1"/>
  <c r="AI7347" i="1"/>
  <c r="AI7888" i="1"/>
  <c r="AI7737" i="1"/>
  <c r="AI7566" i="1"/>
  <c r="AI7666" i="1"/>
  <c r="AI8158" i="1"/>
  <c r="AI8322" i="1"/>
  <c r="AI7955" i="1"/>
  <c r="AI7686" i="1"/>
  <c r="AI7473" i="1"/>
  <c r="AI7526" i="1"/>
  <c r="AI7987" i="1"/>
  <c r="AI3492" i="1"/>
  <c r="AI3205" i="1"/>
  <c r="AH8586" i="1"/>
  <c r="AH8163" i="1"/>
  <c r="AG8366" i="1"/>
  <c r="AG8279" i="1"/>
  <c r="AH8279" i="1"/>
  <c r="AG7944" i="1"/>
  <c r="AH8295" i="1"/>
  <c r="AG8444" i="1"/>
  <c r="AG7831" i="1"/>
  <c r="AF8213" i="1"/>
  <c r="AG7256" i="1"/>
  <c r="AF7296" i="1"/>
  <c r="AF7615" i="1"/>
  <c r="AF7695" i="1"/>
  <c r="AF7237" i="1"/>
  <c r="AF7436" i="1"/>
  <c r="AF8043" i="1"/>
  <c r="AH8366" i="1"/>
  <c r="AH7798" i="1"/>
  <c r="AH8023" i="1"/>
  <c r="AF8480" i="1"/>
  <c r="AF7798" i="1"/>
  <c r="AF8444" i="1"/>
  <c r="AF3312" i="1"/>
  <c r="AG7993" i="1"/>
  <c r="AG7798" i="1"/>
  <c r="AF8502" i="1"/>
  <c r="AI8407" i="1"/>
  <c r="AI8359" i="1"/>
  <c r="AF8586" i="1"/>
  <c r="AH7993" i="1"/>
  <c r="AH8348" i="1"/>
  <c r="AF7760" i="1"/>
  <c r="AF7913" i="1"/>
  <c r="AI3115" i="1"/>
  <c r="AI2956" i="1"/>
  <c r="AI3239" i="1"/>
  <c r="AF3417" i="1"/>
  <c r="AH3417" i="1"/>
  <c r="AH3228" i="1"/>
  <c r="AG8179" i="1"/>
  <c r="AF7877" i="1"/>
  <c r="AF7960" i="1"/>
  <c r="AG7960" i="1"/>
  <c r="AG8163" i="1"/>
  <c r="AH8147" i="1"/>
  <c r="AG8111" i="1"/>
  <c r="AI8376" i="1"/>
  <c r="AF3125" i="1"/>
  <c r="AH3460" i="1"/>
  <c r="AH7944" i="1"/>
  <c r="AH8464" i="1"/>
  <c r="AH8195" i="1"/>
  <c r="AH8058" i="1"/>
  <c r="AF7831" i="1"/>
  <c r="AH7861" i="1"/>
  <c r="AH8263" i="1"/>
  <c r="AF8244" i="1"/>
  <c r="AH8444" i="1"/>
  <c r="AI8003" i="1"/>
  <c r="AG3083" i="1"/>
  <c r="AG2916" i="1"/>
  <c r="AH3270" i="1"/>
  <c r="AG2876" i="1"/>
  <c r="AG8569" i="1"/>
  <c r="AF8111" i="1"/>
  <c r="AH7846" i="1"/>
  <c r="AG8228" i="1"/>
  <c r="AF8279" i="1"/>
  <c r="AG8348" i="1"/>
  <c r="AI7923" i="1"/>
  <c r="AI8475" i="1"/>
  <c r="AI8084" i="1"/>
  <c r="AG8602" i="1"/>
  <c r="AG8480" i="1"/>
  <c r="AF7928" i="1"/>
  <c r="AH7913" i="1"/>
  <c r="AG8381" i="1"/>
  <c r="AF8058" i="1"/>
  <c r="AG8396" i="1"/>
  <c r="AH8179" i="1"/>
  <c r="AF8089" i="1"/>
  <c r="AG8502" i="1"/>
  <c r="AH7783" i="1"/>
  <c r="AH8327" i="1"/>
  <c r="AF8518" i="1"/>
  <c r="AH8569" i="1"/>
  <c r="AG7913" i="1"/>
  <c r="AF8381" i="1"/>
  <c r="AG8195" i="1"/>
  <c r="AG8058" i="1"/>
  <c r="AH8396" i="1"/>
  <c r="AH8213" i="1"/>
  <c r="AF7861" i="1"/>
  <c r="AH8089" i="1"/>
  <c r="AH8502" i="1"/>
  <c r="AI3060" i="1"/>
  <c r="AH8381" i="1"/>
  <c r="AG7861" i="1"/>
  <c r="AH8008" i="1"/>
  <c r="AI3247" i="1"/>
  <c r="AH2978" i="1"/>
  <c r="AI2894" i="1"/>
  <c r="AI3479" i="1"/>
  <c r="AI3281" i="1"/>
  <c r="AI3602" i="1"/>
  <c r="AI3685" i="1"/>
  <c r="AH3604" i="1"/>
  <c r="AH2876" i="1"/>
  <c r="AG3396" i="1"/>
  <c r="AG8536" i="1"/>
  <c r="AI3415" i="1"/>
  <c r="AI3081" i="1"/>
  <c r="AI3500" i="1"/>
  <c r="AI3635" i="1"/>
  <c r="AF3668" i="1"/>
  <c r="AI8579" i="1"/>
  <c r="AI3218" i="1"/>
  <c r="AF3624" i="1"/>
  <c r="AF3207" i="1"/>
  <c r="AF3291" i="1"/>
  <c r="AH3041" i="1"/>
  <c r="AG3481" i="1"/>
  <c r="AH8602" i="1"/>
  <c r="AI3010" i="1"/>
  <c r="AI2935" i="1"/>
  <c r="AI3052" i="1"/>
  <c r="AF2999" i="1"/>
  <c r="AF8569" i="1"/>
  <c r="AI3197" i="1"/>
  <c r="AG3778" i="1"/>
  <c r="AI8546" i="1"/>
  <c r="AI2976" i="1"/>
  <c r="AI3352" i="1"/>
  <c r="AF3165" i="1"/>
  <c r="AI3310" i="1"/>
  <c r="AI3073" i="1"/>
  <c r="AG3375" i="1"/>
  <c r="AI2989" i="1"/>
  <c r="AI3394" i="1"/>
  <c r="AI3723" i="1"/>
  <c r="AG3438" i="1"/>
  <c r="AI3428" i="1"/>
  <c r="AI3436" i="1"/>
  <c r="AI2886" i="1"/>
  <c r="AI3513" i="1"/>
  <c r="AH3312" i="1"/>
  <c r="AG3417" i="1"/>
  <c r="AG3228" i="1"/>
  <c r="AF3228" i="1"/>
  <c r="AH3104" i="1"/>
  <c r="AF3041" i="1"/>
  <c r="AH2916" i="1"/>
  <c r="AI4072" i="1"/>
  <c r="AI3039" i="1"/>
  <c r="AI4059" i="1"/>
  <c r="AF3646" i="1"/>
  <c r="AH3502" i="1"/>
  <c r="AH3481" i="1"/>
  <c r="AI3226" i="1"/>
  <c r="AI8597" i="1"/>
  <c r="AI3323" i="1"/>
  <c r="AI3136" i="1"/>
  <c r="AI3449" i="1"/>
  <c r="AI3386" i="1"/>
  <c r="AI3767" i="1"/>
  <c r="AI4192" i="1"/>
  <c r="AI8613" i="1"/>
  <c r="AI3457" i="1"/>
  <c r="AI3471" i="1"/>
  <c r="AI3809" i="1"/>
  <c r="AG3165" i="1"/>
  <c r="AG3460" i="1"/>
  <c r="AF2958" i="1"/>
  <c r="AF3396" i="1"/>
  <c r="AF3354" i="1"/>
  <c r="AH8536" i="1"/>
  <c r="AG3125" i="1"/>
  <c r="AH2896" i="1"/>
  <c r="AH3354" i="1"/>
  <c r="AG3186" i="1"/>
  <c r="AG3312" i="1"/>
  <c r="AF3270" i="1"/>
  <c r="AH3333" i="1"/>
  <c r="AG2978" i="1"/>
  <c r="AF3020" i="1"/>
  <c r="AF3104" i="1"/>
  <c r="AF2876" i="1"/>
  <c r="AH3020" i="1"/>
  <c r="AI3331" i="1"/>
  <c r="AI2968" i="1"/>
  <c r="AI3521" i="1"/>
  <c r="AF3333" i="1"/>
  <c r="AG3062" i="1"/>
  <c r="AG3020" i="1"/>
  <c r="AF3249" i="1"/>
  <c r="AG3104" i="1"/>
  <c r="AI3260" i="1"/>
  <c r="AH3083" i="1"/>
  <c r="AI2948" i="1"/>
  <c r="AI3302" i="1"/>
  <c r="AG3207" i="1"/>
  <c r="AG3502" i="1"/>
  <c r="AH3375" i="1"/>
  <c r="AG2999" i="1"/>
  <c r="AF3438" i="1"/>
  <c r="AH2938" i="1"/>
  <c r="AI3407" i="1"/>
  <c r="AI2914" i="1"/>
  <c r="AI4092" i="1"/>
  <c r="AH3062" i="1"/>
  <c r="AF3375" i="1"/>
  <c r="AH3249" i="1"/>
  <c r="AG3291" i="1"/>
  <c r="AF2916" i="1"/>
  <c r="AF3186" i="1"/>
  <c r="AF3481" i="1"/>
  <c r="AI3373" i="1"/>
  <c r="AG2938" i="1"/>
  <c r="AF2938" i="1"/>
  <c r="AG2958" i="1"/>
  <c r="AG2896" i="1"/>
  <c r="AH3396" i="1"/>
  <c r="AH3125" i="1"/>
  <c r="AI3018" i="1"/>
  <c r="AI3031" i="1"/>
  <c r="AF3460" i="1"/>
  <c r="AG3270" i="1"/>
  <c r="AH3165" i="1"/>
  <c r="AG3041" i="1"/>
  <c r="AF2978" i="1"/>
  <c r="AH2958" i="1"/>
  <c r="AH3186" i="1"/>
  <c r="AI3094" i="1"/>
  <c r="AG4081" i="1"/>
  <c r="AF3502" i="1"/>
  <c r="AG3354" i="1"/>
  <c r="AH2999" i="1"/>
  <c r="AH3438" i="1"/>
  <c r="AI3102" i="1"/>
  <c r="AI3344" i="1"/>
  <c r="AF3083" i="1"/>
  <c r="AH3291" i="1"/>
  <c r="AH3207" i="1"/>
  <c r="AG3249" i="1"/>
  <c r="AG3901" i="1"/>
  <c r="AF3920" i="1"/>
  <c r="AH3756" i="1"/>
  <c r="AH3961" i="1"/>
  <c r="AF3880" i="1"/>
  <c r="AG3564" i="1"/>
  <c r="AH4081" i="1"/>
  <c r="AG3756" i="1"/>
  <c r="AH3818" i="1"/>
  <c r="AI4032" i="1"/>
  <c r="AI3856" i="1"/>
  <c r="AF3712" i="1"/>
  <c r="AI3951" i="1"/>
  <c r="AG3646" i="1"/>
  <c r="AI3829" i="1"/>
  <c r="AH3646" i="1"/>
  <c r="AI3898" i="1"/>
  <c r="AG3624" i="1"/>
  <c r="AI4019" i="1"/>
  <c r="AH3880" i="1"/>
  <c r="AF9152" i="1"/>
  <c r="AF3961" i="1"/>
  <c r="AF3564" i="1"/>
  <c r="AI4012" i="1"/>
  <c r="AI3979" i="1"/>
  <c r="AG4021" i="1"/>
  <c r="AF3756" i="1"/>
  <c r="AG3961" i="1"/>
  <c r="AG3880" i="1"/>
  <c r="AF4021" i="1"/>
  <c r="AH4001" i="1"/>
  <c r="AD9092" i="1"/>
  <c r="AB9092" i="1" s="1"/>
  <c r="AF3818" i="1"/>
  <c r="AI3972" i="1"/>
  <c r="AI4039" i="1"/>
  <c r="AG3818" i="1"/>
  <c r="AG3668" i="1"/>
  <c r="AI3582" i="1"/>
  <c r="AI3730" i="1"/>
  <c r="AI3796" i="1"/>
  <c r="AI3664" i="1"/>
  <c r="AD9122" i="1"/>
  <c r="AB9122" i="1" s="1"/>
  <c r="AG3544" i="1"/>
  <c r="AH3858" i="1"/>
  <c r="AF4081" i="1"/>
  <c r="AH3624" i="1"/>
  <c r="AI38" i="1"/>
  <c r="AI3836" i="1"/>
  <c r="AF3778" i="1"/>
  <c r="AG3737" i="1"/>
  <c r="AG3858" i="1"/>
  <c r="AD9152" i="1"/>
  <c r="AB9152" i="1" s="1"/>
  <c r="AG3712" i="1"/>
  <c r="AH3712" i="1"/>
  <c r="AE9152" i="1"/>
  <c r="AG9152" i="1"/>
  <c r="AH9152" i="1"/>
  <c r="AH3544" i="1"/>
  <c r="AF9122" i="1"/>
  <c r="AG9122" i="1"/>
  <c r="AH9122" i="1"/>
  <c r="AE9122" i="1"/>
  <c r="AI3615" i="1"/>
  <c r="AI3918" i="1"/>
  <c r="AF9092" i="1"/>
  <c r="AE9092" i="1"/>
  <c r="AI3774" i="1"/>
  <c r="AI3575" i="1"/>
  <c r="AG9092" i="1"/>
  <c r="AH9092" i="1"/>
  <c r="AH3668" i="1"/>
  <c r="AG3838" i="1"/>
  <c r="AH3737" i="1"/>
  <c r="AI9172" i="1"/>
  <c r="AH3692" i="1"/>
  <c r="AI3703" i="1"/>
  <c r="AH3940" i="1"/>
  <c r="AI3911" i="1"/>
  <c r="AF3692" i="1"/>
  <c r="AI3642" i="1"/>
  <c r="AI9093" i="1"/>
  <c r="AI3999" i="1"/>
  <c r="AF4041" i="1"/>
  <c r="AB9153" i="1"/>
  <c r="Z9153" i="1"/>
  <c r="AF3858" i="1"/>
  <c r="AI3891" i="1"/>
  <c r="AI3876" i="1"/>
  <c r="AH4041" i="1"/>
  <c r="AG3604" i="1"/>
  <c r="AH3901" i="1"/>
  <c r="AI3754" i="1"/>
  <c r="AB9158" i="1"/>
  <c r="Z9158" i="1"/>
  <c r="AH3778" i="1"/>
  <c r="AI9153" i="1"/>
  <c r="AB9172" i="1"/>
  <c r="Z9172" i="1"/>
  <c r="AI9158" i="1"/>
  <c r="AI3816" i="1"/>
  <c r="AI9128" i="1"/>
  <c r="AI9165" i="1"/>
  <c r="AB9165" i="1"/>
  <c r="Z9165" i="1"/>
  <c r="AI9142" i="1"/>
  <c r="AI3657" i="1"/>
  <c r="AH3920" i="1"/>
  <c r="AF4061" i="1"/>
  <c r="AI3789" i="1"/>
  <c r="AG3920" i="1"/>
  <c r="AF3737" i="1"/>
  <c r="AG3692" i="1"/>
  <c r="AI3747" i="1"/>
  <c r="AI4052" i="1"/>
  <c r="AI3869" i="1"/>
  <c r="AI3938" i="1"/>
  <c r="AG3584" i="1"/>
  <c r="AG3981" i="1"/>
  <c r="AH3525" i="1"/>
  <c r="AI9135" i="1"/>
  <c r="AI3849" i="1"/>
  <c r="AI3555" i="1"/>
  <c r="AI3595" i="1"/>
  <c r="AF3981" i="1"/>
  <c r="AG4041" i="1"/>
  <c r="AF3798" i="1"/>
  <c r="AF3584" i="1"/>
  <c r="AF4001" i="1"/>
  <c r="AB9142" i="1"/>
  <c r="Z9142" i="1"/>
  <c r="AI3992" i="1"/>
  <c r="AI4079" i="1"/>
  <c r="AI3958" i="1"/>
  <c r="AI3535" i="1"/>
  <c r="AF3544" i="1"/>
  <c r="AH3798" i="1"/>
  <c r="AB9135" i="1"/>
  <c r="Z9135" i="1"/>
  <c r="AI3931" i="1"/>
  <c r="AI3542" i="1"/>
  <c r="AI3710" i="1"/>
  <c r="AI4099" i="1"/>
  <c r="AH4021" i="1"/>
  <c r="AH3838" i="1"/>
  <c r="AG3798" i="1"/>
  <c r="AG4061" i="1"/>
  <c r="AG4001" i="1"/>
  <c r="AH3981" i="1"/>
  <c r="AG3525" i="1"/>
  <c r="AH3584" i="1"/>
  <c r="AF3838" i="1"/>
  <c r="AH4061" i="1"/>
  <c r="AI9123" i="1"/>
  <c r="AF3940" i="1"/>
  <c r="AF3604" i="1"/>
  <c r="AF3901" i="1"/>
  <c r="AI3562" i="1"/>
  <c r="AI3622" i="1"/>
  <c r="AI3678" i="1"/>
  <c r="AB9123" i="1"/>
  <c r="Z9123" i="1"/>
  <c r="AG3940" i="1"/>
  <c r="AF3525" i="1"/>
  <c r="AB9128" i="1"/>
  <c r="Z9128" i="1"/>
  <c r="AI9112" i="1"/>
  <c r="AB9098" i="1"/>
  <c r="Z9098" i="1"/>
  <c r="AI9098" i="1"/>
  <c r="AD9062" i="1"/>
  <c r="AB9062" i="1" s="1"/>
  <c r="AB9112" i="1"/>
  <c r="Z9112" i="1"/>
  <c r="Z9105" i="1"/>
  <c r="AB9105" i="1"/>
  <c r="AI9105" i="1"/>
  <c r="AH9062" i="1"/>
  <c r="AB9093" i="1"/>
  <c r="Z9093" i="1"/>
  <c r="AE9062" i="1"/>
  <c r="AF9062" i="1"/>
  <c r="AG9062" i="1"/>
  <c r="AI319" i="1"/>
  <c r="AF4122" i="1"/>
  <c r="AI4198" i="1"/>
  <c r="AH4122" i="1"/>
  <c r="AG4223" i="1"/>
  <c r="AI4279" i="1"/>
  <c r="AI4234" i="1"/>
  <c r="AI4112" i="1"/>
  <c r="AI4355" i="1"/>
  <c r="AI4292" i="1"/>
  <c r="AI4273" i="1"/>
  <c r="AE9024" i="1"/>
  <c r="AH4181" i="1"/>
  <c r="AH4141" i="1"/>
  <c r="AI4349" i="1"/>
  <c r="AI4139" i="1"/>
  <c r="AI4336" i="1"/>
  <c r="AF4300" i="1"/>
  <c r="AF4281" i="1"/>
  <c r="AH4300" i="1"/>
  <c r="AI4221" i="1"/>
  <c r="AI4259" i="1"/>
  <c r="AI4215" i="1"/>
  <c r="AI4298" i="1"/>
  <c r="AI4311" i="1"/>
  <c r="AF4338" i="1"/>
  <c r="AI4253" i="1"/>
  <c r="AF4319" i="1"/>
  <c r="AI4317" i="1"/>
  <c r="AD9024" i="1"/>
  <c r="AB9024" i="1" s="1"/>
  <c r="AH4102" i="1"/>
  <c r="AF4102" i="1"/>
  <c r="AG4205" i="1"/>
  <c r="AG4338" i="1"/>
  <c r="AG4263" i="1"/>
  <c r="AG4300" i="1"/>
  <c r="AI9068" i="1"/>
  <c r="AI4158" i="1"/>
  <c r="AF4242" i="1"/>
  <c r="AF4205" i="1"/>
  <c r="AI9082" i="1"/>
  <c r="AG4242" i="1"/>
  <c r="AI4240" i="1"/>
  <c r="AG4122" i="1"/>
  <c r="AG4141" i="1"/>
  <c r="AH4319" i="1"/>
  <c r="AI9075" i="1"/>
  <c r="AB9068" i="1"/>
  <c r="Z9068" i="1"/>
  <c r="AI4133" i="1"/>
  <c r="AH4242" i="1"/>
  <c r="AG4281" i="1"/>
  <c r="AB9063" i="1"/>
  <c r="Z9063" i="1"/>
  <c r="AF4181" i="1"/>
  <c r="AH4263" i="1"/>
  <c r="AG4319" i="1"/>
  <c r="AH4223" i="1"/>
  <c r="AI9063" i="1"/>
  <c r="AI4118" i="1"/>
  <c r="AH4338" i="1"/>
  <c r="AH4281" i="1"/>
  <c r="AB9075" i="1"/>
  <c r="Z9075" i="1"/>
  <c r="AI4152" i="1"/>
  <c r="AG4102" i="1"/>
  <c r="AF4141" i="1"/>
  <c r="AI4330" i="1"/>
  <c r="AH4205" i="1"/>
  <c r="AG4181" i="1"/>
  <c r="AF4223" i="1"/>
  <c r="AF4263" i="1"/>
  <c r="Z9082" i="1"/>
  <c r="AB9082" i="1"/>
  <c r="AH9024" i="1"/>
  <c r="AH464" i="1"/>
  <c r="AG9024" i="1"/>
  <c r="AF9024" i="1"/>
  <c r="AH421" i="1"/>
  <c r="AG502" i="1"/>
  <c r="AF229" i="1"/>
  <c r="AF193" i="1"/>
  <c r="AI147" i="1"/>
  <c r="AI2146" i="1"/>
  <c r="AI2103" i="1"/>
  <c r="AI457" i="1"/>
  <c r="AI2035" i="1"/>
  <c r="AH303" i="1"/>
  <c r="AH403" i="1"/>
  <c r="AF2129" i="1"/>
  <c r="AI121" i="1"/>
  <c r="AI221" i="1"/>
  <c r="AH285" i="1"/>
  <c r="AI9025" i="1"/>
  <c r="AH229" i="1"/>
  <c r="AG248" i="1"/>
  <c r="AB9030" i="1"/>
  <c r="Z9030" i="1"/>
  <c r="AI2047" i="1"/>
  <c r="AB9044" i="1"/>
  <c r="Z9044" i="1"/>
  <c r="AF248" i="1"/>
  <c r="AH1964" i="1"/>
  <c r="AH248" i="1"/>
  <c r="AG2092" i="1"/>
  <c r="AB9037" i="1"/>
  <c r="Z9037" i="1"/>
  <c r="AI1974" i="1"/>
  <c r="AI513" i="1"/>
  <c r="AG2019" i="1"/>
  <c r="AI140" i="1"/>
  <c r="Z9025" i="1"/>
  <c r="AB9025" i="1"/>
  <c r="AI9037" i="1"/>
  <c r="AG340" i="1"/>
  <c r="AG2037" i="1"/>
  <c r="AF2092" i="1"/>
  <c r="AH1982" i="1"/>
  <c r="AI9030" i="1"/>
  <c r="AI9044" i="1"/>
  <c r="AI179" i="1"/>
  <c r="AI332" i="1"/>
  <c r="AI2084" i="1"/>
  <c r="AI413" i="1"/>
  <c r="AI494" i="1"/>
  <c r="AI2184" i="1"/>
  <c r="AI2127" i="1"/>
  <c r="AG1964" i="1"/>
  <c r="AG2074" i="1"/>
  <c r="AF1964" i="1"/>
  <c r="AG421" i="1"/>
  <c r="AF2111" i="1"/>
  <c r="AI369" i="1"/>
  <c r="AG266" i="1"/>
  <c r="AI1998" i="1"/>
  <c r="AF2037" i="1"/>
  <c r="AI388" i="1"/>
  <c r="AH2111" i="1"/>
  <c r="AG1982" i="1"/>
  <c r="AF2019" i="1"/>
  <c r="AG483" i="1"/>
  <c r="AI1992" i="1"/>
  <c r="AH321" i="1"/>
  <c r="AI176" i="1"/>
  <c r="AG2129" i="1"/>
  <c r="AG193" i="1"/>
  <c r="AF1982" i="1"/>
  <c r="AH2019" i="1"/>
  <c r="AI133" i="1"/>
  <c r="AI295" i="1"/>
  <c r="AI2017" i="1"/>
  <c r="AI164" i="1"/>
  <c r="AI2140" i="1"/>
  <c r="AI2178" i="1"/>
  <c r="AF377" i="1"/>
  <c r="AG321" i="1"/>
  <c r="AF440" i="1"/>
  <c r="AI2121" i="1"/>
  <c r="AI258" i="1"/>
  <c r="AH2092" i="1"/>
  <c r="AF303" i="1"/>
  <c r="AF358" i="1"/>
  <c r="AH377" i="1"/>
  <c r="AG440" i="1"/>
  <c r="AG303" i="1"/>
  <c r="AF211" i="1"/>
  <c r="AH2148" i="1"/>
  <c r="AI1980" i="1"/>
  <c r="AI173" i="1"/>
  <c r="AI246" i="1"/>
  <c r="AH2037" i="1"/>
  <c r="AI475" i="1"/>
  <c r="AI2165" i="1"/>
  <c r="AG2167" i="1"/>
  <c r="AF421" i="1"/>
  <c r="AG2148" i="1"/>
  <c r="AG229" i="1"/>
  <c r="AG2111" i="1"/>
  <c r="AI2072" i="1"/>
  <c r="AF321" i="1"/>
  <c r="AI2159" i="1"/>
  <c r="AH440" i="1"/>
  <c r="AF2167" i="1"/>
  <c r="AG2056" i="1"/>
  <c r="AF2056" i="1"/>
  <c r="AH502" i="1"/>
  <c r="AI451" i="1"/>
  <c r="AI2029" i="1"/>
  <c r="AI432" i="1"/>
  <c r="AF1851" i="1"/>
  <c r="AG1851" i="1"/>
  <c r="AG211" i="1"/>
  <c r="AG464" i="1"/>
  <c r="AH2167" i="1"/>
  <c r="AF2074" i="1"/>
  <c r="AH2000" i="1"/>
  <c r="AH483" i="1"/>
  <c r="AG403" i="1"/>
  <c r="AH211" i="1"/>
  <c r="AH2129" i="1"/>
  <c r="AF340" i="1"/>
  <c r="AH340" i="1"/>
  <c r="AI338" i="1"/>
  <c r="AI356" i="1"/>
  <c r="AH358" i="1"/>
  <c r="AI500" i="1"/>
  <c r="AI375" i="1"/>
  <c r="AI438" i="1"/>
  <c r="AI227" i="1"/>
  <c r="AI1559" i="1"/>
  <c r="AH193" i="1"/>
  <c r="AF483" i="1"/>
  <c r="AF2192" i="1"/>
  <c r="AF266" i="1"/>
  <c r="AH2192" i="1"/>
  <c r="AG377" i="1"/>
  <c r="AI2109" i="1"/>
  <c r="AG358" i="1"/>
  <c r="AI1763" i="1"/>
  <c r="AI203" i="1"/>
  <c r="AI2053" i="1"/>
  <c r="AF403" i="1"/>
  <c r="AF2000" i="1"/>
  <c r="AH2074" i="1"/>
  <c r="AI419" i="1"/>
  <c r="AI240" i="1"/>
  <c r="AI394" i="1"/>
  <c r="AG2192" i="1"/>
  <c r="AG2000" i="1"/>
  <c r="AI481" i="1"/>
  <c r="AI209" i="1"/>
  <c r="AI264" i="1"/>
  <c r="AH2056" i="1"/>
  <c r="AF502" i="1"/>
  <c r="AG285" i="1"/>
  <c r="AF2148" i="1"/>
  <c r="AI2203" i="1"/>
  <c r="AI350" i="1"/>
  <c r="AI282" i="1"/>
  <c r="AI301" i="1"/>
  <c r="AF285" i="1"/>
  <c r="AI2090" i="1"/>
  <c r="AI1597" i="1"/>
  <c r="AI276" i="1"/>
  <c r="AI519" i="1"/>
  <c r="AI2614" i="1"/>
  <c r="AI2011" i="1"/>
  <c r="AI2209" i="1"/>
  <c r="AI313" i="1"/>
  <c r="AI2066" i="1"/>
  <c r="AI1087" i="1"/>
  <c r="AF1180" i="1"/>
  <c r="AF464" i="1"/>
  <c r="AH266" i="1"/>
  <c r="AG774" i="1"/>
  <c r="AI844" i="1"/>
  <c r="AF1232" i="1"/>
  <c r="AF774" i="1"/>
  <c r="AI792" i="1"/>
  <c r="AI818" i="1"/>
  <c r="AG1584" i="1"/>
  <c r="AI1032" i="1"/>
  <c r="AI821" i="1"/>
  <c r="AI1481" i="1"/>
  <c r="AI1219" i="1"/>
  <c r="AG1741" i="1"/>
  <c r="AF1206" i="1"/>
  <c r="AF1346" i="1"/>
  <c r="AG1641" i="1"/>
  <c r="AH805" i="1"/>
  <c r="AF805" i="1"/>
  <c r="AI811" i="1"/>
  <c r="AI780" i="1"/>
  <c r="AF1741" i="1"/>
  <c r="AH774" i="1"/>
  <c r="AG1206" i="1"/>
  <c r="AG1123" i="1"/>
  <c r="AI1035" i="1"/>
  <c r="AF1071" i="1"/>
  <c r="AI1245" i="1"/>
  <c r="AI1295" i="1"/>
  <c r="AI915" i="1"/>
  <c r="AF831" i="1"/>
  <c r="AG1232" i="1"/>
  <c r="AG805" i="1"/>
  <c r="AI1590" i="1"/>
  <c r="AI837" i="1"/>
  <c r="AI1238" i="1"/>
  <c r="AH1232" i="1"/>
  <c r="AH1465" i="1"/>
  <c r="AF1406" i="1"/>
  <c r="AF936" i="1"/>
  <c r="AF1097" i="1"/>
  <c r="AG993" i="1"/>
  <c r="AF1289" i="1"/>
  <c r="AI1310" i="1"/>
  <c r="AI1497" i="1"/>
  <c r="AI1728" i="1"/>
  <c r="AH1258" i="1"/>
  <c r="AI1379" i="1"/>
  <c r="AH1289" i="1"/>
  <c r="AF1491" i="1"/>
  <c r="AH857" i="1"/>
  <c r="AI1103" i="1"/>
  <c r="AF1584" i="1"/>
  <c r="AI1212" i="1"/>
  <c r="AI1574" i="1"/>
  <c r="AI1129" i="1"/>
  <c r="AI999" i="1"/>
  <c r="AI1696" i="1"/>
  <c r="AI1504" i="1"/>
  <c r="AI1009" i="1"/>
  <c r="AH1584" i="1"/>
  <c r="AG1491" i="1"/>
  <c r="AG1406" i="1"/>
  <c r="AI889" i="1"/>
  <c r="AI1271" i="1"/>
  <c r="AI847" i="1"/>
  <c r="AF1258" i="1"/>
  <c r="AH1019" i="1"/>
  <c r="AI1419" i="1"/>
  <c r="AI1359" i="1"/>
  <c r="AH1071" i="1"/>
  <c r="AG1154" i="1"/>
  <c r="AI1006" i="1"/>
  <c r="AH1406" i="1"/>
  <c r="AG1097" i="1"/>
  <c r="AG909" i="1"/>
  <c r="AF857" i="1"/>
  <c r="AG1709" i="1"/>
  <c r="AI1144" i="1"/>
  <c r="AI1747" i="1"/>
  <c r="AI1264" i="1"/>
  <c r="AI942" i="1"/>
  <c r="AF1045" i="1"/>
  <c r="AG831" i="1"/>
  <c r="AI1222" i="1"/>
  <c r="AF1520" i="1"/>
  <c r="AG883" i="1"/>
  <c r="AF1677" i="1"/>
  <c r="AI1170" i="1"/>
  <c r="AI1662" i="1"/>
  <c r="AI1616" i="1"/>
  <c r="AG936" i="1"/>
  <c r="AI973" i="1"/>
  <c r="AI1061" i="1"/>
  <c r="AI863" i="1"/>
  <c r="AI980" i="1"/>
  <c r="AI1683" i="1"/>
  <c r="AI873" i="1"/>
  <c r="AI1628" i="1"/>
  <c r="AH967" i="1"/>
  <c r="AG1553" i="1"/>
  <c r="AG1373" i="1"/>
  <c r="AG967" i="1"/>
  <c r="AF1373" i="1"/>
  <c r="AH1045" i="1"/>
  <c r="AF1610" i="1"/>
  <c r="AH1154" i="1"/>
  <c r="AI1333" i="1"/>
  <c r="AG857" i="1"/>
  <c r="AI1186" i="1"/>
  <c r="AI870" i="1"/>
  <c r="AG1258" i="1"/>
  <c r="AF1553" i="1"/>
  <c r="AF883" i="1"/>
  <c r="AH883" i="1"/>
  <c r="AH1346" i="1"/>
  <c r="AI899" i="1"/>
  <c r="AI1451" i="1"/>
  <c r="AI957" i="1"/>
  <c r="AI1760" i="1"/>
  <c r="AG1289" i="1"/>
  <c r="AF909" i="1"/>
  <c r="AF1123" i="1"/>
  <c r="AF1320" i="1"/>
  <c r="AF1641" i="1"/>
  <c r="AI1058" i="1"/>
  <c r="AI1715" i="1"/>
  <c r="AI1110" i="1"/>
  <c r="AI1025" i="1"/>
  <c r="AI1196" i="1"/>
  <c r="AI1412" i="1"/>
  <c r="AI1352" i="1"/>
  <c r="AI1362" i="1"/>
  <c r="AH1123" i="1"/>
  <c r="AH1373" i="1"/>
  <c r="AH936" i="1"/>
  <c r="AF1433" i="1"/>
  <c r="AH1677" i="1"/>
  <c r="AG1019" i="1"/>
  <c r="AH993" i="1"/>
  <c r="AI1336" i="1"/>
  <c r="AF1019" i="1"/>
  <c r="AI1571" i="1"/>
  <c r="AI1394" i="1"/>
  <c r="AI795" i="1"/>
  <c r="AI1731" i="1"/>
  <c r="AI1600" i="1"/>
  <c r="AI1699" i="1"/>
  <c r="AH1641" i="1"/>
  <c r="AF967" i="1"/>
  <c r="AH1320" i="1"/>
  <c r="AH1206" i="1"/>
  <c r="AG1465" i="1"/>
  <c r="AI1478" i="1"/>
  <c r="AH1491" i="1"/>
  <c r="AH1520" i="1"/>
  <c r="AI1454" i="1"/>
  <c r="AH1097" i="1"/>
  <c r="AI1541" i="1"/>
  <c r="AG1610" i="1"/>
  <c r="AI1422" i="1"/>
  <c r="AI1391" i="1"/>
  <c r="AI1631" i="1"/>
  <c r="AI1647" i="1"/>
  <c r="AI1922" i="1"/>
  <c r="AI1141" i="1"/>
  <c r="AI1274" i="1"/>
  <c r="AI954" i="1"/>
  <c r="AI983" i="1"/>
  <c r="AG1346" i="1"/>
  <c r="AF1465" i="1"/>
  <c r="AH1433" i="1"/>
  <c r="AI1160" i="1"/>
  <c r="AI1193" i="1"/>
  <c r="AH1180" i="1"/>
  <c r="AF1709" i="1"/>
  <c r="AF1154" i="1"/>
  <c r="AF993" i="1"/>
  <c r="AG1320" i="1"/>
  <c r="AG1677" i="1"/>
  <c r="AH831" i="1"/>
  <c r="AI896" i="1"/>
  <c r="AI1439" i="1"/>
  <c r="AI1051" i="1"/>
  <c r="AI922" i="1"/>
  <c r="AG2856" i="1"/>
  <c r="AH2856" i="1"/>
  <c r="AF1889" i="1"/>
  <c r="AG1520" i="1"/>
  <c r="AH1709" i="1"/>
  <c r="AG1433" i="1"/>
  <c r="AH909" i="1"/>
  <c r="AI925" i="1"/>
  <c r="AI1507" i="1"/>
  <c r="AI1167" i="1"/>
  <c r="AI1326" i="1"/>
  <c r="AG1045" i="1"/>
  <c r="AH1553" i="1"/>
  <c r="AG1180" i="1"/>
  <c r="AI1526" i="1"/>
  <c r="AI1084" i="1"/>
  <c r="AI1248" i="1"/>
  <c r="AG1071" i="1"/>
  <c r="AI1659" i="1"/>
  <c r="AI1307" i="1"/>
  <c r="AI1077" i="1"/>
  <c r="AI1113" i="1"/>
  <c r="AI1471" i="1"/>
  <c r="AG1889" i="1"/>
  <c r="AH1741" i="1"/>
  <c r="AH1610" i="1"/>
  <c r="AI1908" i="1"/>
  <c r="AI2864" i="1"/>
  <c r="AH1937" i="1"/>
  <c r="AI1949" i="1"/>
  <c r="AI1911" i="1"/>
  <c r="AF1937" i="1"/>
  <c r="AH1851" i="1"/>
  <c r="AI1859" i="1"/>
  <c r="AI1895" i="1"/>
  <c r="AH1889" i="1"/>
  <c r="AG1937" i="1"/>
  <c r="AI2422" i="1"/>
  <c r="AI2434" i="1"/>
  <c r="AI2709" i="1"/>
  <c r="AI1945" i="1"/>
  <c r="AG2543" i="1"/>
  <c r="AG2577" i="1"/>
  <c r="AF2447" i="1"/>
  <c r="AI2502" i="1"/>
  <c r="AH2735" i="1"/>
  <c r="AI2677" i="1"/>
  <c r="AI2693" i="1"/>
  <c r="AI2468" i="1"/>
  <c r="AI2533" i="1"/>
  <c r="AI9000" i="1"/>
  <c r="AF2856" i="1"/>
  <c r="AG2608" i="1"/>
  <c r="AI2741" i="1"/>
  <c r="AI2518" i="1"/>
  <c r="AI2437" i="1"/>
  <c r="AI2690" i="1"/>
  <c r="AI2499" i="1"/>
  <c r="AI2564" i="1"/>
  <c r="AI2595" i="1"/>
  <c r="AG2481" i="1"/>
  <c r="AG2416" i="1"/>
  <c r="AF2703" i="1"/>
  <c r="AH2608" i="1"/>
  <c r="AI2598" i="1"/>
  <c r="AI2561" i="1"/>
  <c r="AH8994" i="1"/>
  <c r="AG2512" i="1"/>
  <c r="AH2703" i="1"/>
  <c r="AI2626" i="1"/>
  <c r="AI2657" i="1"/>
  <c r="AI2583" i="1"/>
  <c r="AH2671" i="1"/>
  <c r="AI2453" i="1"/>
  <c r="AI2725" i="1"/>
  <c r="AG2639" i="1"/>
  <c r="AG2703" i="1"/>
  <c r="AF2639" i="1"/>
  <c r="AG2735" i="1"/>
  <c r="AI2660" i="1"/>
  <c r="AI2722" i="1"/>
  <c r="AI2530" i="1"/>
  <c r="AD8994" i="1"/>
  <c r="AB8994" i="1" s="1"/>
  <c r="AF2671" i="1"/>
  <c r="AG2671" i="1"/>
  <c r="AH2416" i="1"/>
  <c r="AH2447" i="1"/>
  <c r="AF2481" i="1"/>
  <c r="AI2754" i="1"/>
  <c r="AI2465" i="1"/>
  <c r="AI2645" i="1"/>
  <c r="AI2757" i="1"/>
  <c r="AH2639" i="1"/>
  <c r="AF2735" i="1"/>
  <c r="AF2608" i="1"/>
  <c r="AF2543" i="1"/>
  <c r="AH2543" i="1"/>
  <c r="AH2481" i="1"/>
  <c r="AI2487" i="1"/>
  <c r="AG8994" i="1"/>
  <c r="AH2512" i="1"/>
  <c r="AF2577" i="1"/>
  <c r="AI2549" i="1"/>
  <c r="AI2629" i="1"/>
  <c r="AH2577" i="1"/>
  <c r="AF2416" i="1"/>
  <c r="AG2447" i="1"/>
  <c r="AF2512" i="1"/>
  <c r="AF8994" i="1"/>
  <c r="AI8995" i="1"/>
  <c r="AE8994" i="1"/>
  <c r="AB9014" i="1"/>
  <c r="Z9014" i="1"/>
  <c r="AB9007" i="1"/>
  <c r="Z9007" i="1"/>
  <c r="AD8934" i="1"/>
  <c r="AB8934" i="1" s="1"/>
  <c r="Q8934" i="1" s="1"/>
  <c r="R8934" i="1" s="1"/>
  <c r="T8934" i="1" s="1"/>
  <c r="AI9007" i="1"/>
  <c r="AI9014" i="1"/>
  <c r="AB9000" i="1"/>
  <c r="Z9000" i="1"/>
  <c r="AD8964" i="1"/>
  <c r="AB8964" i="1" s="1"/>
  <c r="AB8995" i="1"/>
  <c r="Z8995" i="1"/>
  <c r="AG8964" i="1"/>
  <c r="AH8964" i="1"/>
  <c r="AE8964" i="1"/>
  <c r="AF8964" i="1"/>
  <c r="AG8934" i="1"/>
  <c r="AI8970" i="1"/>
  <c r="AI8965" i="1"/>
  <c r="AI8977" i="1"/>
  <c r="AB8984" i="1"/>
  <c r="Z8984" i="1"/>
  <c r="AB8970" i="1"/>
  <c r="Z8970" i="1"/>
  <c r="Z8965" i="1"/>
  <c r="AB8965" i="1"/>
  <c r="AB8977" i="1"/>
  <c r="Z8977" i="1"/>
  <c r="AD8874" i="1"/>
  <c r="AB8874" i="1" s="1"/>
  <c r="Q8874" i="1" s="1"/>
  <c r="R8874" i="1" s="1"/>
  <c r="T8874" i="1" s="1"/>
  <c r="AI8984" i="1"/>
  <c r="AH8934" i="1"/>
  <c r="AE8934" i="1"/>
  <c r="AF8934" i="1"/>
  <c r="AH4557" i="1"/>
  <c r="AI8910" i="1"/>
  <c r="AI4547" i="1"/>
  <c r="AI8947" i="1"/>
  <c r="AF8904" i="1"/>
  <c r="AI8954" i="1"/>
  <c r="Z8940" i="1"/>
  <c r="AB8940" i="1"/>
  <c r="AB8954" i="1"/>
  <c r="Z8954" i="1"/>
  <c r="AI8940" i="1"/>
  <c r="AI8935" i="1"/>
  <c r="AD8904" i="1"/>
  <c r="AB8904" i="1" s="1"/>
  <c r="AB8935" i="1"/>
  <c r="Z8935" i="1"/>
  <c r="AB8947" i="1"/>
  <c r="Z8947" i="1"/>
  <c r="AI8905" i="1"/>
  <c r="AE8904" i="1"/>
  <c r="AG8904" i="1"/>
  <c r="AH8904" i="1"/>
  <c r="AI4578" i="1"/>
  <c r="AH4626" i="1"/>
  <c r="AI4532" i="1"/>
  <c r="AI4575" i="1"/>
  <c r="AI4501" i="1"/>
  <c r="AI4632" i="1"/>
  <c r="AI4644" i="1"/>
  <c r="AH4495" i="1"/>
  <c r="AI4544" i="1"/>
  <c r="Z8924" i="1"/>
  <c r="AB8924" i="1"/>
  <c r="AI4609" i="1"/>
  <c r="AG4495" i="1"/>
  <c r="AH4591" i="1"/>
  <c r="AG4591" i="1"/>
  <c r="AF4495" i="1"/>
  <c r="AI4612" i="1"/>
  <c r="AB8910" i="1"/>
  <c r="Z8910" i="1"/>
  <c r="AF4591" i="1"/>
  <c r="AH8666" i="1"/>
  <c r="AG4626" i="1"/>
  <c r="AI8917" i="1"/>
  <c r="AI4513" i="1"/>
  <c r="AE8837" i="1"/>
  <c r="AB8917" i="1"/>
  <c r="Z8917" i="1"/>
  <c r="AI4563" i="1"/>
  <c r="AF4526" i="1"/>
  <c r="AG4526" i="1"/>
  <c r="AI8924" i="1"/>
  <c r="AH4526" i="1"/>
  <c r="AG4557" i="1"/>
  <c r="AI4647" i="1"/>
  <c r="AI4516" i="1"/>
  <c r="AF4626" i="1"/>
  <c r="Z8905" i="1"/>
  <c r="AB8905" i="1"/>
  <c r="AI4597" i="1"/>
  <c r="AF4557" i="1"/>
  <c r="AG8874" i="1"/>
  <c r="AE8874" i="1"/>
  <c r="AF8874" i="1"/>
  <c r="AH8874" i="1"/>
  <c r="AI8887" i="1"/>
  <c r="AI8894" i="1"/>
  <c r="AF8717" i="1"/>
  <c r="AF8807" i="1"/>
  <c r="AD8837" i="1"/>
  <c r="AB8837" i="1" s="1"/>
  <c r="AB8887" i="1"/>
  <c r="Z8887" i="1"/>
  <c r="AI8880" i="1"/>
  <c r="Z8894" i="1"/>
  <c r="AB8894" i="1"/>
  <c r="AD8807" i="1"/>
  <c r="AB8807" i="1" s="1"/>
  <c r="AB8880" i="1"/>
  <c r="Z8880" i="1"/>
  <c r="AI8875" i="1"/>
  <c r="AD8717" i="1"/>
  <c r="AB8717" i="1" s="1"/>
  <c r="AD8747" i="1"/>
  <c r="AB8747" i="1" s="1"/>
  <c r="AD8777" i="1"/>
  <c r="AB8777" i="1" s="1"/>
  <c r="AG8777" i="1"/>
  <c r="AF8666" i="1"/>
  <c r="AB8875" i="1"/>
  <c r="Z8875" i="1"/>
  <c r="AG8837" i="1"/>
  <c r="AF8837" i="1"/>
  <c r="AH8837" i="1"/>
  <c r="AH8807" i="1"/>
  <c r="AG8807" i="1"/>
  <c r="AE8807" i="1"/>
  <c r="AE8777" i="1"/>
  <c r="AF8777" i="1"/>
  <c r="AH8777" i="1"/>
  <c r="AI8639" i="1"/>
  <c r="AE8747" i="1"/>
  <c r="AH8747" i="1"/>
  <c r="AG8747" i="1"/>
  <c r="AF8747" i="1"/>
  <c r="AF8687" i="1"/>
  <c r="AG8717" i="1"/>
  <c r="AH8687" i="1"/>
  <c r="AE8717" i="1"/>
  <c r="AH8717" i="1"/>
  <c r="AE8687" i="1"/>
  <c r="AG8687" i="1"/>
  <c r="AI8700" i="1"/>
  <c r="AG8666" i="1"/>
  <c r="AI8650" i="1"/>
  <c r="AI8718" i="1"/>
  <c r="AI8648" i="1"/>
  <c r="AI8634" i="1"/>
  <c r="AI8843" i="1"/>
  <c r="AI8677" i="1"/>
  <c r="AI8808" i="1"/>
  <c r="AI8707" i="1"/>
  <c r="AI8730" i="1"/>
  <c r="AI8133" i="1"/>
  <c r="AE8132" i="1"/>
  <c r="AI8214" i="1"/>
  <c r="AE8213" i="1"/>
  <c r="AE4170" i="1"/>
  <c r="AI4170" i="1" s="1"/>
  <c r="AI4171" i="1"/>
  <c r="AE666" i="1"/>
  <c r="AI666" i="1" s="1"/>
  <c r="AI667" i="1"/>
  <c r="AI994" i="1"/>
  <c r="AE993" i="1"/>
  <c r="AE1928" i="1"/>
  <c r="AI1928" i="1" s="1"/>
  <c r="AI1929" i="1"/>
  <c r="AE2337" i="1"/>
  <c r="AI2337" i="1" s="1"/>
  <c r="AI2338" i="1"/>
  <c r="AE4443" i="1"/>
  <c r="AI4443" i="1" s="1"/>
  <c r="AI4444" i="1"/>
  <c r="AE4591" i="1"/>
  <c r="AI4592" i="1"/>
  <c r="AI7357" i="1"/>
  <c r="AE7356" i="1"/>
  <c r="AI7377" i="1"/>
  <c r="AE7376" i="1"/>
  <c r="AI7616" i="1"/>
  <c r="AE7615" i="1"/>
  <c r="AE7156" i="1"/>
  <c r="AI7157" i="1"/>
  <c r="AE8464" i="1"/>
  <c r="AI8465" i="1"/>
  <c r="AI7761" i="1"/>
  <c r="AE7760" i="1"/>
  <c r="AE8602" i="1"/>
  <c r="AI8603" i="1"/>
  <c r="AE3146" i="1"/>
  <c r="AI3146" i="1" s="1"/>
  <c r="AI3147" i="1"/>
  <c r="AI3250" i="1"/>
  <c r="AE3249" i="1"/>
  <c r="AI3187" i="1"/>
  <c r="AE3186" i="1"/>
  <c r="AI3042" i="1"/>
  <c r="AE3041" i="1"/>
  <c r="AI4002" i="1"/>
  <c r="AE4001" i="1"/>
  <c r="AI3921" i="1"/>
  <c r="AE3920" i="1"/>
  <c r="AI3962" i="1"/>
  <c r="AE3961" i="1"/>
  <c r="AI212" i="1"/>
  <c r="AE211" i="1"/>
  <c r="AI194" i="1"/>
  <c r="AE193" i="1"/>
  <c r="AE574" i="1"/>
  <c r="AI574" i="1" s="1"/>
  <c r="AI575" i="1"/>
  <c r="AE766" i="1"/>
  <c r="AI766" i="1" s="1"/>
  <c r="AI767" i="1"/>
  <c r="AE656" i="1"/>
  <c r="AI656" i="1" s="1"/>
  <c r="AI657" i="1"/>
  <c r="AE625" i="1"/>
  <c r="AI625" i="1" s="1"/>
  <c r="AI626" i="1"/>
  <c r="AE1180" i="1"/>
  <c r="AI1181" i="1"/>
  <c r="AE1709" i="1"/>
  <c r="AI1710" i="1"/>
  <c r="AE1584" i="1"/>
  <c r="AI1585" i="1"/>
  <c r="AE1840" i="1"/>
  <c r="AI1840" i="1" s="1"/>
  <c r="AI1841" i="1"/>
  <c r="AE1871" i="1"/>
  <c r="AI1871" i="1" s="1"/>
  <c r="AI1872" i="1"/>
  <c r="AE2230" i="1"/>
  <c r="AI2230" i="1" s="1"/>
  <c r="AI2231" i="1"/>
  <c r="AE2332" i="1"/>
  <c r="AI2332" i="1" s="1"/>
  <c r="AI2333" i="1"/>
  <c r="AE2368" i="1"/>
  <c r="AI2368" i="1" s="1"/>
  <c r="AI2369" i="1"/>
  <c r="AE2788" i="1"/>
  <c r="AI2788" i="1" s="1"/>
  <c r="AI2789" i="1"/>
  <c r="AE2577" i="1"/>
  <c r="AI2578" i="1"/>
  <c r="AE2416" i="1"/>
  <c r="AI2417" i="1"/>
  <c r="AE4557" i="1"/>
  <c r="AI4558" i="1"/>
  <c r="AE4526" i="1"/>
  <c r="AI4527" i="1"/>
  <c r="AI8797" i="1"/>
  <c r="AI8838" i="1"/>
  <c r="AI8857" i="1"/>
  <c r="AI7317" i="1"/>
  <c r="AE7316" i="1"/>
  <c r="AE8263" i="1"/>
  <c r="AI8264" i="1"/>
  <c r="AI3084" i="1"/>
  <c r="AE3083" i="1"/>
  <c r="AE3940" i="1"/>
  <c r="AI3941" i="1"/>
  <c r="AE2092" i="1"/>
  <c r="AI2093" i="1"/>
  <c r="AE620" i="1"/>
  <c r="AI620" i="1" s="1"/>
  <c r="AI621" i="1"/>
  <c r="AE1641" i="1"/>
  <c r="AI1642" i="1"/>
  <c r="AE2215" i="1"/>
  <c r="AI2215" i="1" s="1"/>
  <c r="AI2216" i="1"/>
  <c r="AE2380" i="1"/>
  <c r="AI2380" i="1" s="1"/>
  <c r="AI2381" i="1"/>
  <c r="AE2385" i="1"/>
  <c r="AI2385" i="1" s="1"/>
  <c r="AI2386" i="1"/>
  <c r="AE4399" i="1"/>
  <c r="AI4399" i="1" s="1"/>
  <c r="AI4400" i="1"/>
  <c r="AE6949" i="1"/>
  <c r="AI6950" i="1"/>
  <c r="AI7257" i="1"/>
  <c r="AE7256" i="1"/>
  <c r="AE7555" i="1"/>
  <c r="AI7556" i="1"/>
  <c r="AE7846" i="1"/>
  <c r="AI7847" i="1"/>
  <c r="AE7861" i="1"/>
  <c r="AI7862" i="1"/>
  <c r="AI7929" i="1"/>
  <c r="AE7928" i="1"/>
  <c r="AI8196" i="1"/>
  <c r="AE8195" i="1"/>
  <c r="AI8180" i="1"/>
  <c r="AE8179" i="1"/>
  <c r="AE8396" i="1"/>
  <c r="AI8397" i="1"/>
  <c r="AI3166" i="1"/>
  <c r="AE3165" i="1"/>
  <c r="AE2876" i="1"/>
  <c r="AI2877" i="1"/>
  <c r="AI3779" i="1"/>
  <c r="AE3778" i="1"/>
  <c r="AE3880" i="1"/>
  <c r="AI3881" i="1"/>
  <c r="AE4041" i="1"/>
  <c r="AI4042" i="1"/>
  <c r="AE3668" i="1"/>
  <c r="AI3669" i="1"/>
  <c r="AI4022" i="1"/>
  <c r="AE4021" i="1"/>
  <c r="AI4301" i="1"/>
  <c r="AE4300" i="1"/>
  <c r="AE2074" i="1"/>
  <c r="AI2075" i="1"/>
  <c r="AE502" i="1"/>
  <c r="AI503" i="1"/>
  <c r="AI422" i="1"/>
  <c r="AE421" i="1"/>
  <c r="AE266" i="1"/>
  <c r="AI267" i="1"/>
  <c r="AE529" i="1"/>
  <c r="AI529" i="1" s="1"/>
  <c r="AI530" i="1"/>
  <c r="AE610" i="1"/>
  <c r="AI610" i="1" s="1"/>
  <c r="AI611" i="1"/>
  <c r="AE590" i="1"/>
  <c r="AI590" i="1" s="1"/>
  <c r="AI591" i="1"/>
  <c r="AE661" i="1"/>
  <c r="AI661" i="1" s="1"/>
  <c r="AI662" i="1"/>
  <c r="AI1124" i="1"/>
  <c r="AE1123" i="1"/>
  <c r="AE720" i="1"/>
  <c r="AI720" i="1" s="1"/>
  <c r="AI721" i="1"/>
  <c r="AI1678" i="1"/>
  <c r="AE1677" i="1"/>
  <c r="AE857" i="1"/>
  <c r="AI858" i="1"/>
  <c r="AE1886" i="1"/>
  <c r="AI1886" i="1" s="1"/>
  <c r="AI1887" i="1"/>
  <c r="AI1852" i="1"/>
  <c r="AE1851" i="1"/>
  <c r="AE2261" i="1"/>
  <c r="AI2261" i="1" s="1"/>
  <c r="AI2262" i="1"/>
  <c r="AE2348" i="1"/>
  <c r="AI2348" i="1" s="1"/>
  <c r="AI2349" i="1"/>
  <c r="AE2255" i="1"/>
  <c r="AI2255" i="1" s="1"/>
  <c r="AI2256" i="1"/>
  <c r="AI2672" i="1"/>
  <c r="AE2671" i="1"/>
  <c r="AE2856" i="1"/>
  <c r="AI2857" i="1"/>
  <c r="AE2543" i="1"/>
  <c r="AI2544" i="1"/>
  <c r="AE4426" i="1"/>
  <c r="AI4426" i="1" s="1"/>
  <c r="AI4427" i="1"/>
  <c r="AE4367" i="1"/>
  <c r="AI4367" i="1" s="1"/>
  <c r="AI4368" i="1"/>
  <c r="AI8813" i="1"/>
  <c r="AI8827" i="1"/>
  <c r="AI8737" i="1"/>
  <c r="AI8760" i="1"/>
  <c r="AI8850" i="1"/>
  <c r="AI7177" i="1"/>
  <c r="AE7176" i="1"/>
  <c r="AI7476" i="1"/>
  <c r="AE7475" i="1"/>
  <c r="AE8163" i="1"/>
  <c r="AI8164" i="1"/>
  <c r="AE8586" i="1"/>
  <c r="AI8587" i="1"/>
  <c r="AI3063" i="1"/>
  <c r="AE3062" i="1"/>
  <c r="AE3438" i="1"/>
  <c r="AI3439" i="1"/>
  <c r="AE569" i="1"/>
  <c r="AI569" i="1" s="1"/>
  <c r="AI570" i="1"/>
  <c r="AE640" i="1"/>
  <c r="AI640" i="1" s="1"/>
  <c r="AI641" i="1"/>
  <c r="AI1098" i="1"/>
  <c r="AE1097" i="1"/>
  <c r="AE1877" i="1"/>
  <c r="AI1877" i="1" s="1"/>
  <c r="AI1878" i="1"/>
  <c r="AE2317" i="1"/>
  <c r="AI2317" i="1" s="1"/>
  <c r="AI2318" i="1"/>
  <c r="AE4626" i="1"/>
  <c r="AI4627" i="1"/>
  <c r="AE7695" i="1"/>
  <c r="AI7696" i="1"/>
  <c r="AI7740" i="1"/>
  <c r="AE7739" i="1"/>
  <c r="AI7197" i="1"/>
  <c r="AE7196" i="1"/>
  <c r="AI7277" i="1"/>
  <c r="AE7276" i="1"/>
  <c r="AE7831" i="1"/>
  <c r="AI7832" i="1"/>
  <c r="AI2917" i="1"/>
  <c r="AE2916" i="1"/>
  <c r="AE3981" i="1"/>
  <c r="AI3982" i="1"/>
  <c r="AE4081" i="1"/>
  <c r="AI4082" i="1"/>
  <c r="AE3798" i="1"/>
  <c r="AI3799" i="1"/>
  <c r="AE4061" i="1"/>
  <c r="AI4062" i="1"/>
  <c r="AI4282" i="1"/>
  <c r="AE4281" i="1"/>
  <c r="AE4319" i="1"/>
  <c r="AI4320" i="1"/>
  <c r="AI2130" i="1"/>
  <c r="AE2129" i="1"/>
  <c r="AE358" i="1"/>
  <c r="AI359" i="1"/>
  <c r="AE559" i="1"/>
  <c r="AI559" i="1" s="1"/>
  <c r="AI560" i="1"/>
  <c r="AE635" i="1"/>
  <c r="AI635" i="1" s="1"/>
  <c r="AI636" i="1"/>
  <c r="AE746" i="1"/>
  <c r="AI746" i="1" s="1"/>
  <c r="AI747" i="1"/>
  <c r="AI1259" i="1"/>
  <c r="AE1258" i="1"/>
  <c r="AE1931" i="1"/>
  <c r="AI1931" i="1" s="1"/>
  <c r="AI1932" i="1"/>
  <c r="AE2297" i="1"/>
  <c r="AI2297" i="1" s="1"/>
  <c r="AI2298" i="1"/>
  <c r="AE2363" i="1"/>
  <c r="AI2363" i="1" s="1"/>
  <c r="AI2364" i="1"/>
  <c r="AE2272" i="1"/>
  <c r="AI2272" i="1" s="1"/>
  <c r="AI2273" i="1"/>
  <c r="AE2447" i="1"/>
  <c r="AI2448" i="1"/>
  <c r="AE4486" i="1"/>
  <c r="AI4486" i="1" s="1"/>
  <c r="AI4487" i="1"/>
  <c r="AE4404" i="1"/>
  <c r="AI4404" i="1" s="1"/>
  <c r="AI4405" i="1"/>
  <c r="AE4375" i="1"/>
  <c r="AI4375" i="1" s="1"/>
  <c r="AI4376" i="1"/>
  <c r="AI8748" i="1"/>
  <c r="AI7054" i="1"/>
  <c r="AE7053" i="1"/>
  <c r="AE7137" i="1"/>
  <c r="AI7138" i="1"/>
  <c r="AE8569" i="1"/>
  <c r="AI8570" i="1"/>
  <c r="AI3355" i="1"/>
  <c r="AE3354" i="1"/>
  <c r="AI550" i="1"/>
  <c r="AE549" i="1"/>
  <c r="AI549" i="1" s="1"/>
  <c r="AE1373" i="1"/>
  <c r="AI1374" i="1"/>
  <c r="AE651" i="1"/>
  <c r="AI651" i="1" s="1"/>
  <c r="AI652" i="1"/>
  <c r="AI1290" i="1"/>
  <c r="AE1289" i="1"/>
  <c r="AE2342" i="1"/>
  <c r="AI2342" i="1" s="1"/>
  <c r="AI2343" i="1"/>
  <c r="AE2703" i="1"/>
  <c r="AI2704" i="1"/>
  <c r="AI8503" i="1"/>
  <c r="AE8502" i="1"/>
  <c r="AE3858" i="1"/>
  <c r="AI3859" i="1"/>
  <c r="AI2168" i="1"/>
  <c r="AE2167" i="1"/>
  <c r="AE1835" i="1"/>
  <c r="AI1835" i="1" s="1"/>
  <c r="AI1836" i="1"/>
  <c r="AE2292" i="1"/>
  <c r="AI2292" i="1" s="1"/>
  <c r="AI2293" i="1"/>
  <c r="AE2776" i="1"/>
  <c r="AI2776" i="1" s="1"/>
  <c r="AI2777" i="1"/>
  <c r="AE2800" i="1"/>
  <c r="AI2800" i="1" s="1"/>
  <c r="AI2801" i="1"/>
  <c r="AE4380" i="1"/>
  <c r="AI4380" i="1" s="1"/>
  <c r="AI4381" i="1"/>
  <c r="AE4409" i="1"/>
  <c r="AI4409" i="1" s="1"/>
  <c r="AI4410" i="1"/>
  <c r="AE67" i="1"/>
  <c r="AI68" i="1"/>
  <c r="AE7417" i="1"/>
  <c r="AI7418" i="1"/>
  <c r="AE7636" i="1"/>
  <c r="AI7637" i="1"/>
  <c r="AI7878" i="1"/>
  <c r="AE7877" i="1"/>
  <c r="AE7913" i="1"/>
  <c r="AI7914" i="1"/>
  <c r="AE7976" i="1"/>
  <c r="AI7977" i="1"/>
  <c r="AE8228" i="1"/>
  <c r="AI8229" i="1"/>
  <c r="AI8537" i="1"/>
  <c r="AE8536" i="1"/>
  <c r="AI2939" i="1"/>
  <c r="AE2938" i="1"/>
  <c r="AI3526" i="1"/>
  <c r="AE3525" i="1"/>
  <c r="AI3605" i="1"/>
  <c r="AE3604" i="1"/>
  <c r="AE3584" i="1"/>
  <c r="AI3585" i="1"/>
  <c r="AE3901" i="1"/>
  <c r="AI3902" i="1"/>
  <c r="AE4263" i="1"/>
  <c r="AI4264" i="1"/>
  <c r="AE403" i="1"/>
  <c r="AI404" i="1"/>
  <c r="AI378" i="1"/>
  <c r="AE377" i="1"/>
  <c r="AE580" i="1"/>
  <c r="AI580" i="1" s="1"/>
  <c r="AI581" i="1"/>
  <c r="AE695" i="1"/>
  <c r="AI695" i="1" s="1"/>
  <c r="AI696" i="1"/>
  <c r="AE645" i="1"/>
  <c r="AI645" i="1" s="1"/>
  <c r="AI646" i="1"/>
  <c r="AE1320" i="1"/>
  <c r="AI1321" i="1"/>
  <c r="AE736" i="1"/>
  <c r="AI736" i="1" s="1"/>
  <c r="AI737" i="1"/>
  <c r="AE1610" i="1"/>
  <c r="AI1611" i="1"/>
  <c r="AE1797" i="1"/>
  <c r="AI1797" i="1" s="1"/>
  <c r="AI1798" i="1"/>
  <c r="AE2353" i="1"/>
  <c r="AI2353" i="1" s="1"/>
  <c r="AI2354" i="1"/>
  <c r="AE2287" i="1"/>
  <c r="AI2287" i="1" s="1"/>
  <c r="AI2288" i="1"/>
  <c r="AE2396" i="1"/>
  <c r="AI2396" i="1" s="1"/>
  <c r="AI2397" i="1"/>
  <c r="AE2639" i="1"/>
  <c r="AI2640" i="1"/>
  <c r="AE4480" i="1"/>
  <c r="AI4480" i="1" s="1"/>
  <c r="AI4481" i="1"/>
  <c r="AE4459" i="1"/>
  <c r="AI4459" i="1" s="1"/>
  <c r="AI4460" i="1"/>
  <c r="AI8667" i="1"/>
  <c r="AE8666" i="1"/>
  <c r="AE76" i="1"/>
  <c r="AI77" i="1"/>
  <c r="AE6992" i="1"/>
  <c r="AI6993" i="1"/>
  <c r="AE7337" i="1"/>
  <c r="AI7338" i="1"/>
  <c r="AI7720" i="1"/>
  <c r="AE7719" i="1"/>
  <c r="AE7118" i="1"/>
  <c r="AI7119" i="1"/>
  <c r="AE7495" i="1"/>
  <c r="AI7496" i="1"/>
  <c r="AI8280" i="1"/>
  <c r="AE8279" i="1"/>
  <c r="AE7993" i="1"/>
  <c r="AI7994" i="1"/>
  <c r="AE8023" i="1"/>
  <c r="AI8024" i="1"/>
  <c r="AI7799" i="1"/>
  <c r="AE7798" i="1"/>
  <c r="AI3021" i="1"/>
  <c r="AE3020" i="1"/>
  <c r="AI3625" i="1"/>
  <c r="AE3624" i="1"/>
  <c r="AE3756" i="1"/>
  <c r="AI3757" i="1"/>
  <c r="AI465" i="1"/>
  <c r="AE464" i="1"/>
  <c r="AI484" i="1"/>
  <c r="AE483" i="1"/>
  <c r="AE600" i="1"/>
  <c r="AI600" i="1" s="1"/>
  <c r="AI601" i="1"/>
  <c r="AE725" i="1"/>
  <c r="AI725" i="1" s="1"/>
  <c r="AI726" i="1"/>
  <c r="AE883" i="1"/>
  <c r="AI884" i="1"/>
  <c r="AI1742" i="1"/>
  <c r="AE1741" i="1"/>
  <c r="AI1347" i="1"/>
  <c r="AE1346" i="1"/>
  <c r="AI1020" i="1"/>
  <c r="AE1019" i="1"/>
  <c r="AE1937" i="1"/>
  <c r="AI1938" i="1"/>
  <c r="AE2250" i="1"/>
  <c r="AI2250" i="1" s="1"/>
  <c r="AI2251" i="1"/>
  <c r="AE2846" i="1"/>
  <c r="AI2846" i="1" s="1"/>
  <c r="AI2847" i="1"/>
  <c r="AE2836" i="1"/>
  <c r="AI2836" i="1" s="1"/>
  <c r="AI2837" i="1"/>
  <c r="AE2512" i="1"/>
  <c r="AI2513" i="1"/>
  <c r="AE4385" i="1"/>
  <c r="AI4385" i="1" s="1"/>
  <c r="AI4386" i="1"/>
  <c r="AE4431" i="1"/>
  <c r="AI4431" i="1" s="1"/>
  <c r="AI4432" i="1"/>
  <c r="AE4448" i="1"/>
  <c r="AI4448" i="1" s="1"/>
  <c r="AI4449" i="1"/>
  <c r="AI4496" i="1"/>
  <c r="AE4495" i="1"/>
  <c r="AI8783" i="1"/>
  <c r="AI8767" i="1"/>
  <c r="AI8688" i="1"/>
  <c r="AI8723" i="1"/>
  <c r="Z8843" i="1"/>
  <c r="AB8843" i="1"/>
  <c r="AE7575" i="1"/>
  <c r="AI7576" i="1"/>
  <c r="AE8412" i="1"/>
  <c r="AI8413" i="1"/>
  <c r="AI3647" i="1"/>
  <c r="AE3646" i="1"/>
  <c r="AI8349" i="1"/>
  <c r="AE8348" i="1"/>
  <c r="AI8553" i="1"/>
  <c r="AE8552" i="1"/>
  <c r="AI3839" i="1"/>
  <c r="AE3838" i="1"/>
  <c r="AE81" i="1"/>
  <c r="AI82" i="1"/>
  <c r="AE6969" i="1"/>
  <c r="AI6970" i="1"/>
  <c r="AI7516" i="1"/>
  <c r="AE7515" i="1"/>
  <c r="AE7296" i="1"/>
  <c r="AI7297" i="1"/>
  <c r="AI7596" i="1"/>
  <c r="AE7595" i="1"/>
  <c r="AE7436" i="1"/>
  <c r="AI7437" i="1"/>
  <c r="AI7945" i="1"/>
  <c r="AE7944" i="1"/>
  <c r="AI8328" i="1"/>
  <c r="AE8327" i="1"/>
  <c r="AE8244" i="1"/>
  <c r="AI8245" i="1"/>
  <c r="AE7783" i="1"/>
  <c r="AI7784" i="1"/>
  <c r="AE8043" i="1"/>
  <c r="AI8044" i="1"/>
  <c r="AI8382" i="1"/>
  <c r="AE8381" i="1"/>
  <c r="AE3228" i="1"/>
  <c r="AI3229" i="1"/>
  <c r="AI3271" i="1"/>
  <c r="AE3270" i="1"/>
  <c r="AI3693" i="1"/>
  <c r="AE3692" i="1"/>
  <c r="AI4182" i="1"/>
  <c r="AE4181" i="1"/>
  <c r="AE4102" i="1"/>
  <c r="AI4103" i="1"/>
  <c r="AI249" i="1"/>
  <c r="AE248" i="1"/>
  <c r="AI545" i="1"/>
  <c r="AE544" i="1"/>
  <c r="AI544" i="1" s="1"/>
  <c r="AE730" i="1"/>
  <c r="AI730" i="1" s="1"/>
  <c r="AI731" i="1"/>
  <c r="AE700" i="1"/>
  <c r="AI700" i="1" s="1"/>
  <c r="AI701" i="1"/>
  <c r="AE685" i="1"/>
  <c r="AI685" i="1" s="1"/>
  <c r="AI686" i="1"/>
  <c r="AI1407" i="1"/>
  <c r="AE1406" i="1"/>
  <c r="AI1046" i="1"/>
  <c r="AE1045" i="1"/>
  <c r="AE1845" i="1"/>
  <c r="AI1845" i="1" s="1"/>
  <c r="AI1846" i="1"/>
  <c r="AE1830" i="1"/>
  <c r="AI1830" i="1" s="1"/>
  <c r="AI1831" i="1"/>
  <c r="AE1874" i="1"/>
  <c r="AI1874" i="1" s="1"/>
  <c r="AI1875" i="1"/>
  <c r="AE2225" i="1"/>
  <c r="AI2225" i="1" s="1"/>
  <c r="AI2226" i="1"/>
  <c r="AE2266" i="1"/>
  <c r="AI2266" i="1" s="1"/>
  <c r="AI2267" i="1"/>
  <c r="AI2482" i="1"/>
  <c r="AE2481" i="1"/>
  <c r="AE2851" i="1"/>
  <c r="AI2851" i="1" s="1"/>
  <c r="AI2852" i="1"/>
  <c r="AE4360" i="1"/>
  <c r="AI4360" i="1" s="1"/>
  <c r="AI4361" i="1"/>
  <c r="AI8778" i="1"/>
  <c r="Z8838" i="1"/>
  <c r="AB8838" i="1"/>
  <c r="AE4205" i="1"/>
  <c r="AI4206" i="1"/>
  <c r="AI1983" i="1"/>
  <c r="AE1982" i="1"/>
  <c r="AE1785" i="1"/>
  <c r="AI1785" i="1" s="1"/>
  <c r="AI1786" i="1"/>
  <c r="AI8148" i="1"/>
  <c r="AE8147" i="1"/>
  <c r="AI2001" i="1"/>
  <c r="AE2000" i="1"/>
  <c r="AE85" i="1"/>
  <c r="AI86" i="1"/>
  <c r="AE7095" i="1"/>
  <c r="AI7096" i="1"/>
  <c r="AI7238" i="1"/>
  <c r="AE7237" i="1"/>
  <c r="AE7536" i="1"/>
  <c r="AI7537" i="1"/>
  <c r="AE7655" i="1"/>
  <c r="AI7656" i="1"/>
  <c r="AE8311" i="1"/>
  <c r="AI8312" i="1"/>
  <c r="AE8444" i="1"/>
  <c r="AI8445" i="1"/>
  <c r="AE8366" i="1"/>
  <c r="AI8367" i="1"/>
  <c r="AE2999" i="1"/>
  <c r="AI3000" i="1"/>
  <c r="AI3334" i="1"/>
  <c r="AE3333" i="1"/>
  <c r="AI3397" i="1"/>
  <c r="AE3396" i="1"/>
  <c r="AI4123" i="1"/>
  <c r="AE4122" i="1"/>
  <c r="AE4160" i="1"/>
  <c r="AI4160" i="1" s="1"/>
  <c r="AI4161" i="1"/>
  <c r="AI341" i="1"/>
  <c r="AE340" i="1"/>
  <c r="AE285" i="1"/>
  <c r="AI286" i="1"/>
  <c r="AE554" i="1"/>
  <c r="AI554" i="1" s="1"/>
  <c r="AI555" i="1"/>
  <c r="AI806" i="1"/>
  <c r="AE805" i="1"/>
  <c r="AE595" i="1"/>
  <c r="AI595" i="1" s="1"/>
  <c r="AI596" i="1"/>
  <c r="AI910" i="1"/>
  <c r="AE909" i="1"/>
  <c r="AI1466" i="1"/>
  <c r="AE1465" i="1"/>
  <c r="AE1232" i="1"/>
  <c r="AI1233" i="1"/>
  <c r="AI832" i="1"/>
  <c r="AE831" i="1"/>
  <c r="AE1934" i="1"/>
  <c r="AI1934" i="1" s="1"/>
  <c r="AI1935" i="1"/>
  <c r="AE1825" i="1"/>
  <c r="AI1826" i="1"/>
  <c r="AI1890" i="1"/>
  <c r="AE1889" i="1"/>
  <c r="AE2240" i="1"/>
  <c r="AI2240" i="1" s="1"/>
  <c r="AI2241" i="1"/>
  <c r="AE2277" i="1"/>
  <c r="AI2277" i="1" s="1"/>
  <c r="AI2278" i="1"/>
  <c r="AE2735" i="1"/>
  <c r="AI2736" i="1"/>
  <c r="AE2391" i="1"/>
  <c r="AI2391" i="1" s="1"/>
  <c r="AI2392" i="1"/>
  <c r="AE2841" i="1"/>
  <c r="AI2841" i="1" s="1"/>
  <c r="AI2842" i="1"/>
  <c r="AE4438" i="1"/>
  <c r="AI4438" i="1" s="1"/>
  <c r="AI4439" i="1"/>
  <c r="AE4453" i="1"/>
  <c r="AI4453" i="1" s="1"/>
  <c r="AI4454" i="1"/>
  <c r="AE4416" i="1"/>
  <c r="AI4416" i="1" s="1"/>
  <c r="AI4417" i="1"/>
  <c r="Z8857" i="1"/>
  <c r="AB8857" i="1"/>
  <c r="AI2959" i="1"/>
  <c r="AE2958" i="1"/>
  <c r="AE630" i="1"/>
  <c r="AI630" i="1" s="1"/>
  <c r="AI631" i="1"/>
  <c r="AE2220" i="1"/>
  <c r="AI2220" i="1" s="1"/>
  <c r="AI2221" i="1"/>
  <c r="AE7960" i="1"/>
  <c r="AI7961" i="1"/>
  <c r="AE774" i="1"/>
  <c r="AI775" i="1"/>
  <c r="AE7455" i="1"/>
  <c r="AI7456" i="1"/>
  <c r="AE3375" i="1"/>
  <c r="AI3376" i="1"/>
  <c r="AI3208" i="1"/>
  <c r="AE3207" i="1"/>
  <c r="AI2897" i="1"/>
  <c r="AE2896" i="1"/>
  <c r="AI3418" i="1"/>
  <c r="AE3417" i="1"/>
  <c r="AE3481" i="1"/>
  <c r="AI3482" i="1"/>
  <c r="AE3818" i="1"/>
  <c r="AI3819" i="1"/>
  <c r="AI3545" i="1"/>
  <c r="AE3544" i="1"/>
  <c r="AE3737" i="1"/>
  <c r="AI3738" i="1"/>
  <c r="AE3712" i="1"/>
  <c r="AI3713" i="1"/>
  <c r="AE4223" i="1"/>
  <c r="AI4224" i="1"/>
  <c r="AI4142" i="1"/>
  <c r="AE4141" i="1"/>
  <c r="AI2149" i="1"/>
  <c r="AE2148" i="1"/>
  <c r="AE440" i="1"/>
  <c r="AI441" i="1"/>
  <c r="AE2019" i="1"/>
  <c r="AI2020" i="1"/>
  <c r="AE2192" i="1"/>
  <c r="AI2193" i="1"/>
  <c r="AI322" i="1"/>
  <c r="AE321" i="1"/>
  <c r="AE564" i="1"/>
  <c r="AI564" i="1" s="1"/>
  <c r="AI565" i="1"/>
  <c r="AE615" i="1"/>
  <c r="AI615" i="1" s="1"/>
  <c r="AI616" i="1"/>
  <c r="AI1434" i="1"/>
  <c r="AE1433" i="1"/>
  <c r="AI1492" i="1"/>
  <c r="AE1491" i="1"/>
  <c r="AI1072" i="1"/>
  <c r="AE1071" i="1"/>
  <c r="AI1155" i="1"/>
  <c r="AE1154" i="1"/>
  <c r="AE1883" i="1"/>
  <c r="AI1883" i="1" s="1"/>
  <c r="AI1884" i="1"/>
  <c r="AI1881" i="1"/>
  <c r="AE1880" i="1"/>
  <c r="AI1880" i="1" s="1"/>
  <c r="AE2312" i="1"/>
  <c r="AI2312" i="1" s="1"/>
  <c r="AI2313" i="1"/>
  <c r="AE2327" i="1"/>
  <c r="AI2327" i="1" s="1"/>
  <c r="AI2328" i="1"/>
  <c r="AE2322" i="1"/>
  <c r="AI2322" i="1" s="1"/>
  <c r="AI2323" i="1"/>
  <c r="AI2609" i="1"/>
  <c r="AE2608" i="1"/>
  <c r="AE4475" i="1"/>
  <c r="AI4475" i="1" s="1"/>
  <c r="AI4476" i="1"/>
  <c r="AI8790" i="1"/>
  <c r="AI8693" i="1"/>
  <c r="AB8850" i="1"/>
  <c r="Z8850" i="1"/>
  <c r="AE7012" i="1"/>
  <c r="AI7013" i="1"/>
  <c r="AE8295" i="1"/>
  <c r="AI8296" i="1"/>
  <c r="AI3292" i="1"/>
  <c r="AE3291" i="1"/>
  <c r="AI2112" i="1"/>
  <c r="AE2111" i="1"/>
  <c r="AE1964" i="1"/>
  <c r="AI1965" i="1"/>
  <c r="AE741" i="1"/>
  <c r="AI741" i="1" s="1"/>
  <c r="AI742" i="1"/>
  <c r="AE2245" i="1"/>
  <c r="AI2245" i="1" s="1"/>
  <c r="AI2246" i="1"/>
  <c r="AE2812" i="1"/>
  <c r="AI2812" i="1" s="1"/>
  <c r="AI2813" i="1"/>
  <c r="AE4391" i="1"/>
  <c r="AI4391" i="1" s="1"/>
  <c r="AI4392" i="1"/>
  <c r="AE7675" i="1"/>
  <c r="AI7676" i="1"/>
  <c r="AE8428" i="1"/>
  <c r="AI8429" i="1"/>
  <c r="AI3105" i="1"/>
  <c r="AE3104" i="1"/>
  <c r="AE3564" i="1"/>
  <c r="AI3565" i="1"/>
  <c r="AE229" i="1"/>
  <c r="AI230" i="1"/>
  <c r="AE534" i="1"/>
  <c r="AI534" i="1" s="1"/>
  <c r="AI535" i="1"/>
  <c r="AI1554" i="1"/>
  <c r="AE1553" i="1"/>
  <c r="AE936" i="1"/>
  <c r="AI937" i="1"/>
  <c r="AE585" i="1"/>
  <c r="AI585" i="1" s="1"/>
  <c r="AI586" i="1"/>
  <c r="AE2307" i="1"/>
  <c r="AI2307" i="1" s="1"/>
  <c r="AI2308" i="1"/>
  <c r="AE2235" i="1"/>
  <c r="AI2235" i="1" s="1"/>
  <c r="AI2236" i="1"/>
  <c r="AE90" i="1"/>
  <c r="AI91" i="1"/>
  <c r="AI7033" i="1"/>
  <c r="AE7032" i="1"/>
  <c r="AI7075" i="1"/>
  <c r="AE7074" i="1"/>
  <c r="AE8518" i="1"/>
  <c r="AI8519" i="1"/>
  <c r="AI8009" i="1"/>
  <c r="AE8008" i="1"/>
  <c r="AI8090" i="1"/>
  <c r="AE8089" i="1"/>
  <c r="AI7814" i="1"/>
  <c r="AE7813" i="1"/>
  <c r="AI8481" i="1"/>
  <c r="AE8480" i="1"/>
  <c r="AI3126" i="1"/>
  <c r="AE3125" i="1"/>
  <c r="AE100" i="1"/>
  <c r="AI101" i="1"/>
  <c r="AI7397" i="1"/>
  <c r="AE7396" i="1"/>
  <c r="AI7217" i="1"/>
  <c r="AE7216" i="1"/>
  <c r="AE7893" i="1"/>
  <c r="AI7894" i="1"/>
  <c r="AI8112" i="1"/>
  <c r="AE8111" i="1"/>
  <c r="AI8059" i="1"/>
  <c r="AE8058" i="1"/>
  <c r="AI3461" i="1"/>
  <c r="AE3460" i="1"/>
  <c r="AE2978" i="1"/>
  <c r="AI2979" i="1"/>
  <c r="AI3503" i="1"/>
  <c r="AE3502" i="1"/>
  <c r="AE3312" i="1"/>
  <c r="AI3313" i="1"/>
  <c r="AI4339" i="1"/>
  <c r="AE4338" i="1"/>
  <c r="AE4242" i="1"/>
  <c r="AI4243" i="1"/>
  <c r="AI2038" i="1"/>
  <c r="AE2037" i="1"/>
  <c r="AI304" i="1"/>
  <c r="AE303" i="1"/>
  <c r="AE2056" i="1"/>
  <c r="AI2057" i="1"/>
  <c r="AE539" i="1"/>
  <c r="AI539" i="1" s="1"/>
  <c r="AI540" i="1"/>
  <c r="AE690" i="1"/>
  <c r="AI690" i="1" s="1"/>
  <c r="AI691" i="1"/>
  <c r="AE605" i="1"/>
  <c r="AI605" i="1" s="1"/>
  <c r="AI606" i="1"/>
  <c r="AE680" i="1"/>
  <c r="AI680" i="1" s="1"/>
  <c r="AI681" i="1"/>
  <c r="AI968" i="1"/>
  <c r="AE967" i="1"/>
  <c r="AI1521" i="1"/>
  <c r="AE1520" i="1"/>
  <c r="AE1206" i="1"/>
  <c r="AI1207" i="1"/>
  <c r="AE1809" i="1"/>
  <c r="AI1809" i="1" s="1"/>
  <c r="AI1810" i="1"/>
  <c r="AE2358" i="1"/>
  <c r="AI2358" i="1" s="1"/>
  <c r="AI2359" i="1"/>
  <c r="AE2302" i="1"/>
  <c r="AI2302" i="1" s="1"/>
  <c r="AI2303" i="1"/>
  <c r="AE2282" i="1"/>
  <c r="AI2282" i="1" s="1"/>
  <c r="AI2283" i="1"/>
  <c r="AE2824" i="1"/>
  <c r="AI2824" i="1" s="1"/>
  <c r="AI2825" i="1"/>
  <c r="AE2375" i="1"/>
  <c r="AI2375" i="1" s="1"/>
  <c r="AI2376" i="1"/>
  <c r="AE4421" i="1"/>
  <c r="AI4421" i="1" s="1"/>
  <c r="AI4422" i="1"/>
  <c r="AE4465" i="1"/>
  <c r="AI4465" i="1" s="1"/>
  <c r="AI4466" i="1"/>
  <c r="AE4470" i="1"/>
  <c r="AI4470" i="1" s="1"/>
  <c r="AI4471" i="1"/>
  <c r="AI8753" i="1"/>
  <c r="AI8820" i="1"/>
  <c r="AB8820" i="1"/>
  <c r="Z8820" i="1"/>
  <c r="AB8827" i="1"/>
  <c r="Z8827" i="1"/>
  <c r="AB8813" i="1"/>
  <c r="Z8813" i="1"/>
  <c r="AB8808" i="1"/>
  <c r="Z8808" i="1"/>
  <c r="AB8783" i="1"/>
  <c r="Z8783" i="1"/>
  <c r="AB8778" i="1"/>
  <c r="Z8778" i="1"/>
  <c r="AB8797" i="1"/>
  <c r="Z8797" i="1"/>
  <c r="AB8790" i="1"/>
  <c r="Z8790" i="1"/>
  <c r="AB8748" i="1"/>
  <c r="Z8748" i="1"/>
  <c r="Z8767" i="1"/>
  <c r="AB8767" i="1"/>
  <c r="AB8760" i="1"/>
  <c r="Z8760" i="1"/>
  <c r="AB8753" i="1"/>
  <c r="Z8753" i="1"/>
  <c r="AB8718" i="1"/>
  <c r="Z8718" i="1"/>
  <c r="Z8737" i="1"/>
  <c r="AB8737" i="1"/>
  <c r="AB8723" i="1"/>
  <c r="Z8723" i="1"/>
  <c r="AD8687" i="1"/>
  <c r="AB8687" i="1" s="1"/>
  <c r="AB8730" i="1"/>
  <c r="Z8730" i="1"/>
  <c r="Q4480" i="1"/>
  <c r="R4480" i="1" s="1"/>
  <c r="T4480" i="1" s="1"/>
  <c r="AB8693" i="1"/>
  <c r="Z8693" i="1"/>
  <c r="AD8633" i="1"/>
  <c r="AB8633" i="1" s="1"/>
  <c r="H8633" i="1" s="1"/>
  <c r="I8633" i="1" s="1"/>
  <c r="AB8707" i="1"/>
  <c r="Z8707" i="1"/>
  <c r="AB8688" i="1"/>
  <c r="Z8688" i="1"/>
  <c r="H4443" i="1"/>
  <c r="I4443" i="1" s="1"/>
  <c r="AB8639" i="1"/>
  <c r="Z8639" i="1"/>
  <c r="AB8648" i="1"/>
  <c r="Z8648" i="1"/>
  <c r="Z8650" i="1"/>
  <c r="AB8650" i="1"/>
  <c r="AD8666" i="1"/>
  <c r="AB8666" i="1" s="1"/>
  <c r="AB8634" i="1"/>
  <c r="Z8634" i="1"/>
  <c r="AB8667" i="1"/>
  <c r="Z8667" i="1"/>
  <c r="AB8677" i="1"/>
  <c r="Z8677" i="1"/>
  <c r="AD4626" i="1"/>
  <c r="AB4626" i="1" s="1"/>
  <c r="Q4399" i="1"/>
  <c r="R4399" i="1" s="1"/>
  <c r="T4399" i="1" s="1"/>
  <c r="AB4647" i="1"/>
  <c r="Z4647" i="1"/>
  <c r="Z4632" i="1"/>
  <c r="AB4632" i="1"/>
  <c r="H4459" i="1"/>
  <c r="I4459" i="1" s="1"/>
  <c r="AB4627" i="1"/>
  <c r="Z4627" i="1"/>
  <c r="AB4644" i="1"/>
  <c r="Z4644" i="1"/>
  <c r="AD4591" i="1"/>
  <c r="AB4591" i="1" s="1"/>
  <c r="AD4557" i="1"/>
  <c r="AB4557" i="1" s="1"/>
  <c r="AD4495" i="1"/>
  <c r="AB4495" i="1" s="1"/>
  <c r="AD4526" i="1"/>
  <c r="AB4526" i="1" s="1"/>
  <c r="AB4592" i="1"/>
  <c r="Z4592" i="1"/>
  <c r="H4470" i="1"/>
  <c r="I4470" i="1" s="1"/>
  <c r="AB4597" i="1"/>
  <c r="Z4597" i="1"/>
  <c r="AB4612" i="1"/>
  <c r="Z4612" i="1"/>
  <c r="AB4609" i="1"/>
  <c r="Z4609" i="1"/>
  <c r="AB4578" i="1"/>
  <c r="Z4578" i="1"/>
  <c r="Q4438" i="1"/>
  <c r="R4438" i="1" s="1"/>
  <c r="T4438" i="1" s="1"/>
  <c r="Z4563" i="1"/>
  <c r="AB4563" i="1"/>
  <c r="AB4558" i="1"/>
  <c r="Z4558" i="1"/>
  <c r="H4453" i="1"/>
  <c r="I4453" i="1" s="1"/>
  <c r="Q4416" i="1"/>
  <c r="R4416" i="1" s="1"/>
  <c r="T4416" i="1" s="1"/>
  <c r="AB4575" i="1"/>
  <c r="Z4575" i="1"/>
  <c r="AB4544" i="1"/>
  <c r="Z4544" i="1"/>
  <c r="AB4527" i="1"/>
  <c r="Z4527" i="1"/>
  <c r="AB4547" i="1"/>
  <c r="Z4547" i="1"/>
  <c r="AB4532" i="1"/>
  <c r="Z4532" i="1"/>
  <c r="AB4516" i="1"/>
  <c r="Z4516" i="1"/>
  <c r="AB4513" i="1"/>
  <c r="Z4513" i="1"/>
  <c r="AB4496" i="1"/>
  <c r="Z4496" i="1"/>
  <c r="Z4501" i="1"/>
  <c r="AB4501" i="1"/>
  <c r="Q4421" i="1"/>
  <c r="R4421" i="1" s="1"/>
  <c r="T4421" i="1" s="1"/>
  <c r="H4486" i="1"/>
  <c r="I4486" i="1" s="1"/>
  <c r="Q4486" i="1"/>
  <c r="R4486" i="1" s="1"/>
  <c r="T4486" i="1" s="1"/>
  <c r="Z4487" i="1"/>
  <c r="AB4487" i="1"/>
  <c r="H4404" i="1"/>
  <c r="I4404" i="1" s="1"/>
  <c r="H4385" i="1"/>
  <c r="I4385" i="1" s="1"/>
  <c r="H4380" i="1"/>
  <c r="I4380" i="1" s="1"/>
  <c r="Q4380" i="1"/>
  <c r="R4380" i="1" s="1"/>
  <c r="T4380" i="1" s="1"/>
  <c r="Q4375" i="1"/>
  <c r="R4375" i="1" s="1"/>
  <c r="T4375" i="1" s="1"/>
  <c r="H4375" i="1"/>
  <c r="I4375" i="1" s="1"/>
  <c r="Q4391" i="1"/>
  <c r="R4391" i="1" s="1"/>
  <c r="T4391" i="1" s="1"/>
  <c r="H2824" i="1"/>
  <c r="I2824" i="1" s="1"/>
  <c r="AB4392" i="1"/>
  <c r="Z4392" i="1"/>
  <c r="H2841" i="1"/>
  <c r="I2841" i="1" s="1"/>
  <c r="Z4376" i="1"/>
  <c r="AB4376" i="1"/>
  <c r="H2363" i="1"/>
  <c r="I2363" i="1" s="1"/>
  <c r="AD2856" i="1"/>
  <c r="AB2856" i="1" s="1"/>
  <c r="Q2836" i="1"/>
  <c r="R2836" i="1" s="1"/>
  <c r="T2836" i="1" s="1"/>
  <c r="H2851" i="1"/>
  <c r="I2851" i="1" s="1"/>
  <c r="AB2864" i="1"/>
  <c r="Z2864" i="1"/>
  <c r="Z2857" i="1"/>
  <c r="AB2857" i="1"/>
  <c r="AB2852" i="1"/>
  <c r="Z2852" i="1"/>
  <c r="AB2837" i="1"/>
  <c r="Z2837" i="1"/>
  <c r="Q2800" i="1"/>
  <c r="R2800" i="1" s="1"/>
  <c r="T2800" i="1" s="1"/>
  <c r="H2800" i="1"/>
  <c r="I2800" i="1" s="1"/>
  <c r="H2776" i="1"/>
  <c r="I2776" i="1" s="1"/>
  <c r="Q2776" i="1"/>
  <c r="R2776" i="1" s="1"/>
  <c r="T2776" i="1" s="1"/>
  <c r="Z2801" i="1"/>
  <c r="AB2801" i="1"/>
  <c r="AD2735" i="1"/>
  <c r="AB2735" i="1" s="1"/>
  <c r="Q2735" i="1" s="1"/>
  <c r="R2735" i="1" s="1"/>
  <c r="T2735" i="1" s="1"/>
  <c r="AD2703" i="1"/>
  <c r="AB2703" i="1" s="1"/>
  <c r="AD2671" i="1"/>
  <c r="AB2671" i="1" s="1"/>
  <c r="Q2396" i="1"/>
  <c r="R2396" i="1" s="1"/>
  <c r="T2396" i="1" s="1"/>
  <c r="AB2757" i="1"/>
  <c r="Z2757" i="1"/>
  <c r="AB2754" i="1"/>
  <c r="Z2754" i="1"/>
  <c r="AB2736" i="1"/>
  <c r="Z2736" i="1"/>
  <c r="Z2741" i="1"/>
  <c r="AB2741" i="1"/>
  <c r="AB2722" i="1"/>
  <c r="Z2722" i="1"/>
  <c r="AB2704" i="1"/>
  <c r="Z2704" i="1"/>
  <c r="AD2608" i="1"/>
  <c r="AB2608" i="1" s="1"/>
  <c r="H2608" i="1" s="1"/>
  <c r="I2608" i="1" s="1"/>
  <c r="AB2709" i="1"/>
  <c r="Z2709" i="1"/>
  <c r="AB2725" i="1"/>
  <c r="Z2725" i="1"/>
  <c r="AB2672" i="1"/>
  <c r="Z2672" i="1"/>
  <c r="AB2693" i="1"/>
  <c r="Z2693" i="1"/>
  <c r="AD2639" i="1"/>
  <c r="AB2639" i="1" s="1"/>
  <c r="AB2690" i="1"/>
  <c r="Z2690" i="1"/>
  <c r="Z2677" i="1"/>
  <c r="AB2677" i="1"/>
  <c r="AD2577" i="1"/>
  <c r="AB2577" i="1" s="1"/>
  <c r="AB2657" i="1"/>
  <c r="Z2657" i="1"/>
  <c r="AB2640" i="1"/>
  <c r="Z2640" i="1"/>
  <c r="Q2380" i="1"/>
  <c r="R2380" i="1" s="1"/>
  <c r="T2380" i="1" s="1"/>
  <c r="AB2660" i="1"/>
  <c r="Z2660" i="1"/>
  <c r="Z2645" i="1"/>
  <c r="AB2645" i="1"/>
  <c r="Q2391" i="1"/>
  <c r="R2391" i="1" s="1"/>
  <c r="T2391" i="1" s="1"/>
  <c r="AD2512" i="1"/>
  <c r="AB2512" i="1" s="1"/>
  <c r="Q2512" i="1" s="1"/>
  <c r="R2512" i="1" s="1"/>
  <c r="T2512" i="1" s="1"/>
  <c r="AB2614" i="1"/>
  <c r="Z2614" i="1"/>
  <c r="AB2609" i="1"/>
  <c r="Z2609" i="1"/>
  <c r="AB2626" i="1"/>
  <c r="Z2626" i="1"/>
  <c r="Z2629" i="1"/>
  <c r="AB2629" i="1"/>
  <c r="AB2578" i="1"/>
  <c r="Z2578" i="1"/>
  <c r="Z2583" i="1"/>
  <c r="AB2583" i="1"/>
  <c r="AD2543" i="1"/>
  <c r="AB2543" i="1" s="1"/>
  <c r="H2543" i="1" s="1"/>
  <c r="I2543" i="1" s="1"/>
  <c r="AB2595" i="1"/>
  <c r="Z2595" i="1"/>
  <c r="AB2598" i="1"/>
  <c r="Z2598" i="1"/>
  <c r="AB2564" i="1"/>
  <c r="Z2564" i="1"/>
  <c r="AB2561" i="1"/>
  <c r="Z2561" i="1"/>
  <c r="AB2544" i="1"/>
  <c r="Z2544" i="1"/>
  <c r="AB2549" i="1"/>
  <c r="Z2549" i="1"/>
  <c r="AB2530" i="1"/>
  <c r="Z2530" i="1"/>
  <c r="H2332" i="1"/>
  <c r="I2332" i="1" s="1"/>
  <c r="AD2481" i="1"/>
  <c r="AB2481" i="1" s="1"/>
  <c r="AB2518" i="1"/>
  <c r="Z2518" i="1"/>
  <c r="AB2513" i="1"/>
  <c r="Z2513" i="1"/>
  <c r="AD2447" i="1"/>
  <c r="AB2447" i="1" s="1"/>
  <c r="Q2447" i="1" s="1"/>
  <c r="R2447" i="1" s="1"/>
  <c r="T2447" i="1" s="1"/>
  <c r="AB2533" i="1"/>
  <c r="Z2533" i="1"/>
  <c r="AB2502" i="1"/>
  <c r="Z2502" i="1"/>
  <c r="Z2487" i="1"/>
  <c r="AB2487" i="1"/>
  <c r="AB2482" i="1"/>
  <c r="Z2482" i="1"/>
  <c r="AB2499" i="1"/>
  <c r="Z2499" i="1"/>
  <c r="AD2416" i="1"/>
  <c r="AB2416" i="1" s="1"/>
  <c r="Z2468" i="1"/>
  <c r="AB2468" i="1"/>
  <c r="AB2448" i="1"/>
  <c r="Z2448" i="1"/>
  <c r="AB2465" i="1"/>
  <c r="Z2465" i="1"/>
  <c r="AB2453" i="1"/>
  <c r="Z2453" i="1"/>
  <c r="Q2385" i="1"/>
  <c r="R2385" i="1" s="1"/>
  <c r="T2385" i="1" s="1"/>
  <c r="H2385" i="1"/>
  <c r="I2385" i="1" s="1"/>
  <c r="AB2437" i="1"/>
  <c r="Z2437" i="1"/>
  <c r="AB2434" i="1"/>
  <c r="Z2434" i="1"/>
  <c r="Z2422" i="1"/>
  <c r="AB2422" i="1"/>
  <c r="H2327" i="1"/>
  <c r="I2327" i="1" s="1"/>
  <c r="AB2417" i="1"/>
  <c r="Z2417" i="1"/>
  <c r="Q2240" i="1"/>
  <c r="R2240" i="1" s="1"/>
  <c r="T2240" i="1" s="1"/>
  <c r="Z2386" i="1"/>
  <c r="AB2386" i="1"/>
  <c r="Q2348" i="1"/>
  <c r="R2348" i="1" s="1"/>
  <c r="T2348" i="1" s="1"/>
  <c r="H2368" i="1"/>
  <c r="I2368" i="1" s="1"/>
  <c r="H2277" i="1"/>
  <c r="I2277" i="1" s="1"/>
  <c r="H2337" i="1"/>
  <c r="I2337" i="1" s="1"/>
  <c r="Q2312" i="1"/>
  <c r="R2312" i="1" s="1"/>
  <c r="T2312" i="1" s="1"/>
  <c r="H2312" i="1"/>
  <c r="I2312" i="1" s="1"/>
  <c r="Q2342" i="1"/>
  <c r="R2342" i="1" s="1"/>
  <c r="T2342" i="1" s="1"/>
  <c r="H2342" i="1"/>
  <c r="I2342" i="1" s="1"/>
  <c r="Q2282" i="1"/>
  <c r="R2282" i="1" s="1"/>
  <c r="T2282" i="1" s="1"/>
  <c r="H2282" i="1"/>
  <c r="I2282" i="1" s="1"/>
  <c r="H2322" i="1"/>
  <c r="I2322" i="1" s="1"/>
  <c r="Q2322" i="1"/>
  <c r="R2322" i="1" s="1"/>
  <c r="T2322" i="1" s="1"/>
  <c r="H2287" i="1"/>
  <c r="I2287" i="1" s="1"/>
  <c r="AB2369" i="1"/>
  <c r="Z2369" i="1"/>
  <c r="H2261" i="1"/>
  <c r="I2261" i="1" s="1"/>
  <c r="AB2343" i="1"/>
  <c r="Z2343" i="1"/>
  <c r="AB2323" i="1"/>
  <c r="Z2323" i="1"/>
  <c r="Q2220" i="1"/>
  <c r="R2220" i="1" s="1"/>
  <c r="T2220" i="1" s="1"/>
  <c r="H2266" i="1"/>
  <c r="I2266" i="1" s="1"/>
  <c r="AB2313" i="1"/>
  <c r="Z2313" i="1"/>
  <c r="Q2225" i="1"/>
  <c r="R2225" i="1" s="1"/>
  <c r="T2225" i="1" s="1"/>
  <c r="AB2283" i="1"/>
  <c r="Z2283" i="1"/>
  <c r="H2230" i="1"/>
  <c r="I2230" i="1" s="1"/>
  <c r="Q2230" i="1"/>
  <c r="R2230" i="1" s="1"/>
  <c r="T2230" i="1" s="1"/>
  <c r="H2250" i="1"/>
  <c r="I2250" i="1" s="1"/>
  <c r="Q2250" i="1"/>
  <c r="R2250" i="1" s="1"/>
  <c r="T2250" i="1" s="1"/>
  <c r="Q2255" i="1"/>
  <c r="R2255" i="1" s="1"/>
  <c r="T2255" i="1" s="1"/>
  <c r="AB2256" i="1"/>
  <c r="Z2256" i="1"/>
  <c r="AB2251" i="1"/>
  <c r="Z2251" i="1"/>
  <c r="AD3417" i="1"/>
  <c r="AB3417" i="1" s="1"/>
  <c r="Q3417" i="1" s="1"/>
  <c r="R3417" i="1" s="1"/>
  <c r="T3417" i="1" s="1"/>
  <c r="AD3460" i="1"/>
  <c r="AB3460" i="1" s="1"/>
  <c r="H3460" i="1" s="1"/>
  <c r="I3460" i="1" s="1"/>
  <c r="Z2231" i="1"/>
  <c r="AB2231" i="1"/>
  <c r="AD1937" i="1"/>
  <c r="AB1937" i="1" s="1"/>
  <c r="H1937" i="1" s="1"/>
  <c r="I1937" i="1" s="1"/>
  <c r="AD3375" i="1"/>
  <c r="AB3375" i="1" s="1"/>
  <c r="Q3375" i="1" s="1"/>
  <c r="R3375" i="1" s="1"/>
  <c r="T3375" i="1" s="1"/>
  <c r="AD3396" i="1"/>
  <c r="AB3396" i="1" s="1"/>
  <c r="AD3502" i="1"/>
  <c r="AB3502" i="1" s="1"/>
  <c r="AD3438" i="1"/>
  <c r="AB3438" i="1" s="1"/>
  <c r="AD3481" i="1"/>
  <c r="AB3481" i="1" s="1"/>
  <c r="Z1938" i="1"/>
  <c r="AB1938" i="1"/>
  <c r="AB1949" i="1"/>
  <c r="Z1949" i="1"/>
  <c r="AB1922" i="1"/>
  <c r="Z1922" i="1"/>
  <c r="H1921" i="1"/>
  <c r="I1921" i="1" s="1"/>
  <c r="Q1931" i="1"/>
  <c r="R1931" i="1" s="1"/>
  <c r="T1931" i="1" s="1"/>
  <c r="H1928" i="1"/>
  <c r="I1928" i="1" s="1"/>
  <c r="AD1889" i="1"/>
  <c r="AB1889" i="1" s="1"/>
  <c r="Q1830" i="1"/>
  <c r="R1830" i="1" s="1"/>
  <c r="T1830" i="1" s="1"/>
  <c r="AB1911" i="1"/>
  <c r="Z1911" i="1"/>
  <c r="AB1908" i="1"/>
  <c r="Z1908" i="1"/>
  <c r="AB1890" i="1"/>
  <c r="Z1890" i="1"/>
  <c r="AB1895" i="1"/>
  <c r="Z1895" i="1"/>
  <c r="Q1874" i="1"/>
  <c r="R1874" i="1" s="1"/>
  <c r="T1874" i="1" s="1"/>
  <c r="AB1852" i="1"/>
  <c r="AD1851" i="1"/>
  <c r="AB1851" i="1" s="1"/>
  <c r="AB1786" i="1"/>
  <c r="AB1859" i="1"/>
  <c r="Z1859" i="1"/>
  <c r="H1785" i="1"/>
  <c r="I1785" i="1" s="1"/>
  <c r="Z1852" i="1"/>
  <c r="AD7784" i="1"/>
  <c r="Z7784" i="1" s="1"/>
  <c r="H1840" i="1"/>
  <c r="I1840" i="1" s="1"/>
  <c r="Q1840" i="1"/>
  <c r="R1840" i="1" s="1"/>
  <c r="T1840" i="1" s="1"/>
  <c r="AB1841" i="1"/>
  <c r="Z1841" i="1"/>
  <c r="Q1825" i="1"/>
  <c r="R1825" i="1" s="1"/>
  <c r="T1825" i="1" s="1"/>
  <c r="H1825" i="1"/>
  <c r="I1825" i="1" s="1"/>
  <c r="Z1826" i="1"/>
  <c r="AB1826" i="1"/>
  <c r="H1809" i="1"/>
  <c r="I1809" i="1" s="1"/>
  <c r="Q1809" i="1"/>
  <c r="R1809" i="1" s="1"/>
  <c r="T1809" i="1" s="1"/>
  <c r="AB1810" i="1"/>
  <c r="Z1810" i="1"/>
  <c r="Z1786" i="1"/>
  <c r="AD7793" i="1"/>
  <c r="AB7793" i="1" s="1"/>
  <c r="AD1709" i="1"/>
  <c r="AB1709" i="1" s="1"/>
  <c r="H1709" i="1" s="1"/>
  <c r="I1709" i="1" s="1"/>
  <c r="AD1741" i="1"/>
  <c r="AB1741" i="1" s="1"/>
  <c r="H1741" i="1" s="1"/>
  <c r="I1741" i="1" s="1"/>
  <c r="AB1763" i="1"/>
  <c r="Z1763" i="1"/>
  <c r="Z1747" i="1"/>
  <c r="AB1747" i="1"/>
  <c r="AB1742" i="1"/>
  <c r="Z1742" i="1"/>
  <c r="AB1760" i="1"/>
  <c r="Z1760" i="1"/>
  <c r="AB1710" i="1"/>
  <c r="Z1710" i="1"/>
  <c r="Z1715" i="1"/>
  <c r="AB1715" i="1"/>
  <c r="AB1731" i="1"/>
  <c r="Z1731" i="1"/>
  <c r="AB1728" i="1"/>
  <c r="Z1728" i="1"/>
  <c r="AB1690" i="1"/>
  <c r="AD1683" i="1"/>
  <c r="AD1677" i="1" s="1"/>
  <c r="AB1677" i="1" s="1"/>
  <c r="AB1696" i="1"/>
  <c r="Z1696" i="1"/>
  <c r="AB1699" i="1"/>
  <c r="Z1699" i="1"/>
  <c r="AB1678" i="1"/>
  <c r="Z1678" i="1"/>
  <c r="AD1584" i="1"/>
  <c r="AB1584" i="1" s="1"/>
  <c r="Q1584" i="1" s="1"/>
  <c r="R1584" i="1" s="1"/>
  <c r="T1584" i="1" s="1"/>
  <c r="AB1597" i="1"/>
  <c r="Z1597" i="1"/>
  <c r="AB1590" i="1"/>
  <c r="Z1590" i="1"/>
  <c r="AD1520" i="1"/>
  <c r="AB1520" i="1" s="1"/>
  <c r="Q1520" i="1" s="1"/>
  <c r="R1520" i="1" s="1"/>
  <c r="T1520" i="1" s="1"/>
  <c r="AB1585" i="1"/>
  <c r="Z1585" i="1"/>
  <c r="AB1600" i="1"/>
  <c r="Z1600" i="1"/>
  <c r="AD1641" i="1"/>
  <c r="AB1641" i="1" s="1"/>
  <c r="AD1610" i="1"/>
  <c r="AB1610" i="1" s="1"/>
  <c r="AD1553" i="1"/>
  <c r="AB1553" i="1" s="1"/>
  <c r="AB1642" i="1"/>
  <c r="Z1642" i="1"/>
  <c r="Z1647" i="1"/>
  <c r="AB1647" i="1"/>
  <c r="AB1662" i="1"/>
  <c r="Z1662" i="1"/>
  <c r="AB1659" i="1"/>
  <c r="Z1659" i="1"/>
  <c r="AB1628" i="1"/>
  <c r="Z1628" i="1"/>
  <c r="AB1631" i="1"/>
  <c r="Z1631" i="1"/>
  <c r="AB1616" i="1"/>
  <c r="Z1616" i="1"/>
  <c r="AB1611" i="1"/>
  <c r="Z1611" i="1"/>
  <c r="AB1571" i="1"/>
  <c r="Z1571" i="1"/>
  <c r="AB1559" i="1"/>
  <c r="Z1559" i="1"/>
  <c r="Z1574" i="1"/>
  <c r="AB1574" i="1"/>
  <c r="AB1554" i="1"/>
  <c r="Z1554" i="1"/>
  <c r="AD1346" i="1"/>
  <c r="AB1346" i="1" s="1"/>
  <c r="Q1346" i="1" s="1"/>
  <c r="R1346" i="1" s="1"/>
  <c r="T1346" i="1" s="1"/>
  <c r="AB1521" i="1"/>
  <c r="Z1521" i="1"/>
  <c r="AD1406" i="1"/>
  <c r="AB1406" i="1" s="1"/>
  <c r="AD1320" i="1"/>
  <c r="AB1320" i="1" s="1"/>
  <c r="Z1526" i="1"/>
  <c r="AB1526" i="1"/>
  <c r="AD1491" i="1"/>
  <c r="AB1491" i="1" s="1"/>
  <c r="AB1541" i="1"/>
  <c r="Z1541" i="1"/>
  <c r="AD1465" i="1"/>
  <c r="AB1465" i="1" s="1"/>
  <c r="AB1538" i="1"/>
  <c r="Z1538" i="1"/>
  <c r="AB1492" i="1"/>
  <c r="Z1492" i="1"/>
  <c r="Z1504" i="1"/>
  <c r="AB1504" i="1"/>
  <c r="AB1507" i="1"/>
  <c r="Z1507" i="1"/>
  <c r="AB1497" i="1"/>
  <c r="Z1497" i="1"/>
  <c r="AB1471" i="1"/>
  <c r="Z1471" i="1"/>
  <c r="AB1478" i="1"/>
  <c r="Z1478" i="1"/>
  <c r="Z1481" i="1"/>
  <c r="AB1481" i="1"/>
  <c r="AB1466" i="1"/>
  <c r="Z1466" i="1"/>
  <c r="AB1422" i="1"/>
  <c r="Z1422" i="1"/>
  <c r="AB1419" i="1"/>
  <c r="Z1419" i="1"/>
  <c r="Z1407" i="1"/>
  <c r="AB1407" i="1"/>
  <c r="AB1412" i="1"/>
  <c r="Z1412" i="1"/>
  <c r="AB1347" i="1"/>
  <c r="Z1347" i="1"/>
  <c r="AB1359" i="1"/>
  <c r="Z1359" i="1"/>
  <c r="AB1362" i="1"/>
  <c r="Z1362" i="1"/>
  <c r="AB1352" i="1"/>
  <c r="Z1352" i="1"/>
  <c r="AB1321" i="1"/>
  <c r="Z1321" i="1"/>
  <c r="Z1336" i="1"/>
  <c r="AB1336" i="1"/>
  <c r="AD1433" i="1"/>
  <c r="AB1433" i="1" s="1"/>
  <c r="AB1326" i="1"/>
  <c r="Z1326" i="1"/>
  <c r="Z1333" i="1"/>
  <c r="AB1333" i="1"/>
  <c r="AD1373" i="1"/>
  <c r="AB1373" i="1" s="1"/>
  <c r="AB1434" i="1"/>
  <c r="Z1434" i="1"/>
  <c r="AB1439" i="1"/>
  <c r="Z1439" i="1"/>
  <c r="AB1451" i="1"/>
  <c r="Z1451" i="1"/>
  <c r="AB1454" i="1"/>
  <c r="Z1454" i="1"/>
  <c r="AD1289" i="1"/>
  <c r="AB1289" i="1" s="1"/>
  <c r="AB1394" i="1"/>
  <c r="Z1394" i="1"/>
  <c r="AB1379" i="1"/>
  <c r="Z1379" i="1"/>
  <c r="AB1391" i="1"/>
  <c r="Z1391" i="1"/>
  <c r="AB1374" i="1"/>
  <c r="Z1374" i="1"/>
  <c r="AB1307" i="1"/>
  <c r="Z1307" i="1"/>
  <c r="AB1310" i="1"/>
  <c r="Z1310" i="1"/>
  <c r="Z1295" i="1"/>
  <c r="AB1295" i="1"/>
  <c r="AD1258" i="1"/>
  <c r="AB1258" i="1" s="1"/>
  <c r="AB1290" i="1"/>
  <c r="Z1290" i="1"/>
  <c r="AD1180" i="1"/>
  <c r="AB1180" i="1" s="1"/>
  <c r="Q1180" i="1" s="1"/>
  <c r="R1180" i="1" s="1"/>
  <c r="T1180" i="1" s="1"/>
  <c r="Z1264" i="1"/>
  <c r="AB1264" i="1"/>
  <c r="AB1259" i="1"/>
  <c r="Z1259" i="1"/>
  <c r="AB1271" i="1"/>
  <c r="Z1271" i="1"/>
  <c r="AD1232" i="1"/>
  <c r="AB1232" i="1" s="1"/>
  <c r="H1232" i="1" s="1"/>
  <c r="I1232" i="1" s="1"/>
  <c r="AD1097" i="1"/>
  <c r="AB1097" i="1" s="1"/>
  <c r="AB1274" i="1"/>
  <c r="Z1274" i="1"/>
  <c r="AD993" i="1"/>
  <c r="AB993" i="1" s="1"/>
  <c r="AB1098" i="1"/>
  <c r="Z1098" i="1"/>
  <c r="AD1123" i="1"/>
  <c r="AB1123" i="1" s="1"/>
  <c r="AD967" i="1"/>
  <c r="AB967" i="1" s="1"/>
  <c r="AB1110" i="1"/>
  <c r="Z1110" i="1"/>
  <c r="AD1154" i="1"/>
  <c r="AB1154" i="1" s="1"/>
  <c r="AD1019" i="1"/>
  <c r="AB1019" i="1" s="1"/>
  <c r="AD1206" i="1"/>
  <c r="AB1206" i="1" s="1"/>
  <c r="AD1071" i="1"/>
  <c r="AB1071" i="1" s="1"/>
  <c r="AD936" i="1"/>
  <c r="AB936" i="1" s="1"/>
  <c r="AB1103" i="1"/>
  <c r="Z1103" i="1"/>
  <c r="AD1045" i="1"/>
  <c r="AB1045" i="1" s="1"/>
  <c r="AB1113" i="1"/>
  <c r="Z1113" i="1"/>
  <c r="AB1087" i="1"/>
  <c r="Z1087" i="1"/>
  <c r="Z1077" i="1"/>
  <c r="AB1077" i="1"/>
  <c r="AB1084" i="1"/>
  <c r="Z1084" i="1"/>
  <c r="AB1072" i="1"/>
  <c r="Z1072" i="1"/>
  <c r="AB1245" i="1"/>
  <c r="Z1245" i="1"/>
  <c r="AB1248" i="1"/>
  <c r="Z1248" i="1"/>
  <c r="AB1238" i="1"/>
  <c r="Z1238" i="1"/>
  <c r="AB1233" i="1"/>
  <c r="Z1233" i="1"/>
  <c r="AB1058" i="1"/>
  <c r="Z1058" i="1"/>
  <c r="AB1061" i="1"/>
  <c r="Z1061" i="1"/>
  <c r="AB1046" i="1"/>
  <c r="Z1046" i="1"/>
  <c r="AB1051" i="1"/>
  <c r="Z1051" i="1"/>
  <c r="Z1160" i="1"/>
  <c r="AB1160" i="1"/>
  <c r="Z1170" i="1"/>
  <c r="AB1170" i="1"/>
  <c r="AB1155" i="1"/>
  <c r="Z1155" i="1"/>
  <c r="AB1167" i="1"/>
  <c r="Z1167" i="1"/>
  <c r="AB1207" i="1"/>
  <c r="Z1207" i="1"/>
  <c r="AB1219" i="1"/>
  <c r="Z1219" i="1"/>
  <c r="AB1212" i="1"/>
  <c r="Z1212" i="1"/>
  <c r="Z1222" i="1"/>
  <c r="AB1222" i="1"/>
  <c r="AB1020" i="1"/>
  <c r="Z1020" i="1"/>
  <c r="Z1025" i="1"/>
  <c r="AB1025" i="1"/>
  <c r="AB1032" i="1"/>
  <c r="Z1032" i="1"/>
  <c r="AB1035" i="1"/>
  <c r="Z1035" i="1"/>
  <c r="AB1129" i="1"/>
  <c r="Z1129" i="1"/>
  <c r="Z1144" i="1"/>
  <c r="AB1144" i="1"/>
  <c r="AB1124" i="1"/>
  <c r="Z1124" i="1"/>
  <c r="AB1141" i="1"/>
  <c r="Z1141" i="1"/>
  <c r="AB1181" i="1"/>
  <c r="Z1181" i="1"/>
  <c r="Z1186" i="1"/>
  <c r="AB1186" i="1"/>
  <c r="AB1193" i="1"/>
  <c r="Z1193" i="1"/>
  <c r="Z1196" i="1"/>
  <c r="AB1196" i="1"/>
  <c r="AB999" i="1"/>
  <c r="Z999" i="1"/>
  <c r="AB1006" i="1"/>
  <c r="Z1006" i="1"/>
  <c r="AB1009" i="1"/>
  <c r="Z1009" i="1"/>
  <c r="AB994" i="1"/>
  <c r="Z994" i="1"/>
  <c r="AB980" i="1"/>
  <c r="Z980" i="1"/>
  <c r="Z973" i="1"/>
  <c r="AB973" i="1"/>
  <c r="AB983" i="1"/>
  <c r="Z983" i="1"/>
  <c r="AB968" i="1"/>
  <c r="Z968" i="1"/>
  <c r="AD883" i="1"/>
  <c r="AB883" i="1" s="1"/>
  <c r="Q883" i="1" s="1"/>
  <c r="R883" i="1" s="1"/>
  <c r="T883" i="1" s="1"/>
  <c r="Z942" i="1"/>
  <c r="AB942" i="1"/>
  <c r="AD831" i="1"/>
  <c r="AB831" i="1" s="1"/>
  <c r="H831" i="1" s="1"/>
  <c r="I831" i="1" s="1"/>
  <c r="AD909" i="1"/>
  <c r="AB909" i="1" s="1"/>
  <c r="H909" i="1" s="1"/>
  <c r="I909" i="1" s="1"/>
  <c r="AB957" i="1"/>
  <c r="Z957" i="1"/>
  <c r="AB954" i="1"/>
  <c r="Z954" i="1"/>
  <c r="AB937" i="1"/>
  <c r="Z937" i="1"/>
  <c r="AD857" i="1"/>
  <c r="AB857" i="1" s="1"/>
  <c r="Q857" i="1" s="1"/>
  <c r="R857" i="1" s="1"/>
  <c r="T857" i="1" s="1"/>
  <c r="AB915" i="1"/>
  <c r="Z915" i="1"/>
  <c r="AB922" i="1"/>
  <c r="Z922" i="1"/>
  <c r="AB910" i="1"/>
  <c r="Z910" i="1"/>
  <c r="AB925" i="1"/>
  <c r="Z925" i="1"/>
  <c r="Z884" i="1"/>
  <c r="AB884" i="1"/>
  <c r="AB899" i="1"/>
  <c r="Z899" i="1"/>
  <c r="AB889" i="1"/>
  <c r="Z889" i="1"/>
  <c r="AB896" i="1"/>
  <c r="Z896" i="1"/>
  <c r="AB858" i="1"/>
  <c r="Z858" i="1"/>
  <c r="AB873" i="1"/>
  <c r="Z873" i="1"/>
  <c r="AB863" i="1"/>
  <c r="Z863" i="1"/>
  <c r="AB870" i="1"/>
  <c r="Z870" i="1"/>
  <c r="AB844" i="1"/>
  <c r="Z844" i="1"/>
  <c r="AB832" i="1"/>
  <c r="Z832" i="1"/>
  <c r="AD805" i="1"/>
  <c r="AB805" i="1" s="1"/>
  <c r="AB837" i="1"/>
  <c r="Z837" i="1"/>
  <c r="AB847" i="1"/>
  <c r="Z847" i="1"/>
  <c r="Z811" i="1"/>
  <c r="AB811" i="1"/>
  <c r="AB806" i="1"/>
  <c r="Z806" i="1"/>
  <c r="AD774" i="1"/>
  <c r="AB774" i="1" s="1"/>
  <c r="AB818" i="1"/>
  <c r="Z818" i="1"/>
  <c r="Z821" i="1"/>
  <c r="AB821" i="1"/>
  <c r="H720" i="1"/>
  <c r="I720" i="1" s="1"/>
  <c r="AB792" i="1"/>
  <c r="Z792" i="1"/>
  <c r="Q736" i="1"/>
  <c r="R736" i="1" s="1"/>
  <c r="T736" i="1" s="1"/>
  <c r="H725" i="1"/>
  <c r="I725" i="1" s="1"/>
  <c r="Z780" i="1"/>
  <c r="AB780" i="1"/>
  <c r="Z775" i="1"/>
  <c r="AB775" i="1"/>
  <c r="Q741" i="1"/>
  <c r="R741" i="1" s="1"/>
  <c r="T741" i="1" s="1"/>
  <c r="H741" i="1"/>
  <c r="I741" i="1" s="1"/>
  <c r="Q690" i="1"/>
  <c r="R690" i="1" s="1"/>
  <c r="T690" i="1" s="1"/>
  <c r="Z742" i="1"/>
  <c r="AB742" i="1"/>
  <c r="Q685" i="1"/>
  <c r="R685" i="1" s="1"/>
  <c r="T685" i="1" s="1"/>
  <c r="H651" i="1"/>
  <c r="I651" i="1" s="1"/>
  <c r="H656" i="1"/>
  <c r="I656" i="1" s="1"/>
  <c r="Q610" i="1"/>
  <c r="R610" i="1" s="1"/>
  <c r="T610" i="1" s="1"/>
  <c r="H600" i="1"/>
  <c r="I600" i="1" s="1"/>
  <c r="Q635" i="1"/>
  <c r="R635" i="1" s="1"/>
  <c r="T635" i="1" s="1"/>
  <c r="H635" i="1"/>
  <c r="I635" i="1" s="1"/>
  <c r="H645" i="1"/>
  <c r="I645" i="1" s="1"/>
  <c r="Q645" i="1"/>
  <c r="R645" i="1" s="1"/>
  <c r="T645" i="1" s="1"/>
  <c r="H630" i="1"/>
  <c r="I630" i="1" s="1"/>
  <c r="Q615" i="1"/>
  <c r="R615" i="1" s="1"/>
  <c r="T615" i="1" s="1"/>
  <c r="Z646" i="1"/>
  <c r="AB646" i="1"/>
  <c r="Q559" i="1"/>
  <c r="R559" i="1" s="1"/>
  <c r="T559" i="1" s="1"/>
  <c r="H539" i="1"/>
  <c r="I539" i="1" s="1"/>
  <c r="AB631" i="1"/>
  <c r="Z631" i="1"/>
  <c r="Z616" i="1"/>
  <c r="AB616" i="1"/>
  <c r="Q534" i="1"/>
  <c r="R534" i="1" s="1"/>
  <c r="T534" i="1" s="1"/>
  <c r="Q544" i="1"/>
  <c r="R544" i="1" s="1"/>
  <c r="T544" i="1" s="1"/>
  <c r="H549" i="1"/>
  <c r="I549" i="1" s="1"/>
  <c r="Q574" i="1"/>
  <c r="R574" i="1" s="1"/>
  <c r="T574" i="1" s="1"/>
  <c r="H574" i="1"/>
  <c r="I574" i="1" s="1"/>
  <c r="AB575" i="1"/>
  <c r="Z575" i="1"/>
  <c r="H529" i="1"/>
  <c r="I529" i="1" s="1"/>
  <c r="AD2074" i="1"/>
  <c r="AB2074" i="1" s="1"/>
  <c r="Q2074" i="1" s="1"/>
  <c r="R2074" i="1" s="1"/>
  <c r="T2074" i="1" s="1"/>
  <c r="AB530" i="1"/>
  <c r="Z530" i="1"/>
  <c r="AD2192" i="1"/>
  <c r="AB2192" i="1" s="1"/>
  <c r="AD2019" i="1"/>
  <c r="AB2019" i="1" s="1"/>
  <c r="Q2019" i="1" s="1"/>
  <c r="R2019" i="1" s="1"/>
  <c r="T2019" i="1" s="1"/>
  <c r="AD2056" i="1"/>
  <c r="AB2056" i="1" s="1"/>
  <c r="H2056" i="1" s="1"/>
  <c r="I2056" i="1" s="1"/>
  <c r="Z2203" i="1"/>
  <c r="AB2203" i="1"/>
  <c r="AB2193" i="1"/>
  <c r="Z2193" i="1"/>
  <c r="AD2092" i="1"/>
  <c r="AB2092" i="1" s="1"/>
  <c r="AB2093" i="1"/>
  <c r="Z2093" i="1"/>
  <c r="Z2103" i="1"/>
  <c r="AB2103" i="1"/>
  <c r="AB2084" i="1"/>
  <c r="Z2084" i="1"/>
  <c r="AD1982" i="1"/>
  <c r="AB1982" i="1" s="1"/>
  <c r="H1982" i="1" s="1"/>
  <c r="I1982" i="1" s="1"/>
  <c r="AB2075" i="1"/>
  <c r="Z2075" i="1"/>
  <c r="AD1964" i="1"/>
  <c r="AB1964" i="1" s="1"/>
  <c r="Q1964" i="1" s="1"/>
  <c r="R1964" i="1" s="1"/>
  <c r="T1964" i="1" s="1"/>
  <c r="AB2057" i="1"/>
  <c r="Z2057" i="1"/>
  <c r="AD2037" i="1"/>
  <c r="AB2037" i="1" s="1"/>
  <c r="AB2066" i="1"/>
  <c r="Z2066" i="1"/>
  <c r="AB2038" i="1"/>
  <c r="Z2038" i="1"/>
  <c r="AB2047" i="1"/>
  <c r="Z2047" i="1"/>
  <c r="AD2000" i="1"/>
  <c r="AB2000" i="1" s="1"/>
  <c r="AB2020" i="1"/>
  <c r="Z2020" i="1"/>
  <c r="Z2029" i="1"/>
  <c r="AB2029" i="1"/>
  <c r="AD483" i="1"/>
  <c r="AB483" i="1" s="1"/>
  <c r="Q483" i="1" s="1"/>
  <c r="R483" i="1" s="1"/>
  <c r="T483" i="1" s="1"/>
  <c r="AB2011" i="1"/>
  <c r="Z2011" i="1"/>
  <c r="AB2001" i="1"/>
  <c r="Z2001" i="1"/>
  <c r="AB1983" i="1"/>
  <c r="Z1983" i="1"/>
  <c r="AB1992" i="1"/>
  <c r="Z1992" i="1"/>
  <c r="AD464" i="1"/>
  <c r="AB464" i="1" s="1"/>
  <c r="Q464" i="1" s="1"/>
  <c r="R464" i="1" s="1"/>
  <c r="T464" i="1" s="1"/>
  <c r="Z1974" i="1"/>
  <c r="AB1974" i="1"/>
  <c r="AB1965" i="1"/>
  <c r="Z1965" i="1"/>
  <c r="AD502" i="1"/>
  <c r="AB502" i="1" s="1"/>
  <c r="AB513" i="1"/>
  <c r="Z513" i="1"/>
  <c r="Z503" i="1"/>
  <c r="AB503" i="1"/>
  <c r="Z494" i="1"/>
  <c r="AB494" i="1"/>
  <c r="Z484" i="1"/>
  <c r="AB484" i="1"/>
  <c r="AB475" i="1"/>
  <c r="Z475" i="1"/>
  <c r="AB465" i="1"/>
  <c r="Z465" i="1"/>
  <c r="AD403" i="1"/>
  <c r="AB403" i="1" s="1"/>
  <c r="Q403" i="1" s="1"/>
  <c r="R403" i="1" s="1"/>
  <c r="T403" i="1" s="1"/>
  <c r="AD440" i="1"/>
  <c r="AB440" i="1" s="1"/>
  <c r="Q440" i="1" s="1"/>
  <c r="R440" i="1" s="1"/>
  <c r="T440" i="1" s="1"/>
  <c r="AD421" i="1"/>
  <c r="AB421" i="1" s="1"/>
  <c r="AB451" i="1"/>
  <c r="Z451" i="1"/>
  <c r="AB441" i="1"/>
  <c r="Z441" i="1"/>
  <c r="Z422" i="1"/>
  <c r="AB422" i="1"/>
  <c r="Z432" i="1"/>
  <c r="AB432" i="1"/>
  <c r="Z413" i="1"/>
  <c r="AB413" i="1"/>
  <c r="AB404" i="1"/>
  <c r="Z404" i="1"/>
  <c r="AD285" i="1"/>
  <c r="AB285" i="1" s="1"/>
  <c r="H285" i="1" s="1"/>
  <c r="I285" i="1" s="1"/>
  <c r="AD358" i="1"/>
  <c r="AB358" i="1" s="1"/>
  <c r="H358" i="1" s="1"/>
  <c r="I358" i="1" s="1"/>
  <c r="AD340" i="1"/>
  <c r="AB340" i="1" s="1"/>
  <c r="H340" i="1" s="1"/>
  <c r="I340" i="1" s="1"/>
  <c r="AD377" i="1"/>
  <c r="AB377" i="1" s="1"/>
  <c r="Q377" i="1" s="1"/>
  <c r="R377" i="1" s="1"/>
  <c r="T377" i="1" s="1"/>
  <c r="AD321" i="1"/>
  <c r="AB321" i="1" s="1"/>
  <c r="Q321" i="1" s="1"/>
  <c r="R321" i="1" s="1"/>
  <c r="T321" i="1" s="1"/>
  <c r="AD303" i="1"/>
  <c r="AB303" i="1" s="1"/>
  <c r="Q303" i="1" s="1"/>
  <c r="R303" i="1" s="1"/>
  <c r="T303" i="1" s="1"/>
  <c r="AB350" i="1"/>
  <c r="Z350" i="1"/>
  <c r="AB341" i="1"/>
  <c r="Z341" i="1"/>
  <c r="AB369" i="1"/>
  <c r="Z369" i="1"/>
  <c r="AB359" i="1"/>
  <c r="Z359" i="1"/>
  <c r="AB332" i="1"/>
  <c r="Z332" i="1"/>
  <c r="AD266" i="1"/>
  <c r="AB266" i="1" s="1"/>
  <c r="H266" i="1" s="1"/>
  <c r="I266" i="1" s="1"/>
  <c r="AB322" i="1"/>
  <c r="Z322" i="1"/>
  <c r="AB313" i="1"/>
  <c r="Z313" i="1"/>
  <c r="AB304" i="1"/>
  <c r="Z304" i="1"/>
  <c r="AB295" i="1"/>
  <c r="Z295" i="1"/>
  <c r="AD248" i="1"/>
  <c r="AB248" i="1" s="1"/>
  <c r="AB286" i="1"/>
  <c r="Z286" i="1"/>
  <c r="AB267" i="1"/>
  <c r="Z267" i="1"/>
  <c r="AB276" i="1"/>
  <c r="Z276" i="1"/>
  <c r="AD229" i="1"/>
  <c r="AB229" i="1" s="1"/>
  <c r="AD193" i="1"/>
  <c r="AB193" i="1" s="1"/>
  <c r="AD211" i="1"/>
  <c r="AB211" i="1" s="1"/>
  <c r="AB258" i="1"/>
  <c r="Z258" i="1"/>
  <c r="AB249" i="1"/>
  <c r="Z249" i="1"/>
  <c r="AB194" i="1"/>
  <c r="Z194" i="1"/>
  <c r="Z203" i="1"/>
  <c r="AB203" i="1"/>
  <c r="Z378" i="1"/>
  <c r="AB378" i="1"/>
  <c r="Z388" i="1"/>
  <c r="AB388" i="1"/>
  <c r="Z240" i="1"/>
  <c r="AB240" i="1"/>
  <c r="AB230" i="1"/>
  <c r="Z230" i="1"/>
  <c r="AB221" i="1"/>
  <c r="Z221" i="1"/>
  <c r="AD179" i="1"/>
  <c r="Z179" i="1" s="1"/>
  <c r="AB212" i="1"/>
  <c r="Z212" i="1"/>
  <c r="AB164" i="1"/>
  <c r="AB154" i="1"/>
  <c r="Z176" i="1"/>
  <c r="AB176" i="1"/>
  <c r="AB173" i="1"/>
  <c r="Z173" i="1"/>
  <c r="AD115" i="1"/>
  <c r="AB115" i="1" s="1"/>
  <c r="AB133" i="1"/>
  <c r="Z133" i="1"/>
  <c r="AD121" i="1"/>
  <c r="AB121" i="1" s="1"/>
  <c r="AD4338" i="1"/>
  <c r="AB4338" i="1" s="1"/>
  <c r="AD4319" i="1"/>
  <c r="AB4319" i="1" s="1"/>
  <c r="AD4281" i="1"/>
  <c r="AB4281" i="1" s="1"/>
  <c r="H4281" i="1" s="1"/>
  <c r="I4281" i="1" s="1"/>
  <c r="Z4349" i="1"/>
  <c r="AB4349" i="1"/>
  <c r="AB4339" i="1"/>
  <c r="Z4339" i="1"/>
  <c r="AD4242" i="1"/>
  <c r="AB4242" i="1" s="1"/>
  <c r="H4242" i="1" s="1"/>
  <c r="I4242" i="1" s="1"/>
  <c r="AD4263" i="1"/>
  <c r="AB4263" i="1" s="1"/>
  <c r="H4263" i="1" s="1"/>
  <c r="I4263" i="1" s="1"/>
  <c r="AD4300" i="1"/>
  <c r="AB4300" i="1" s="1"/>
  <c r="Z4320" i="1"/>
  <c r="AB4320" i="1"/>
  <c r="Z4330" i="1"/>
  <c r="AB4330" i="1"/>
  <c r="Z4292" i="1"/>
  <c r="AB4292" i="1"/>
  <c r="Z4282" i="1"/>
  <c r="AB4282" i="1"/>
  <c r="AB4311" i="1"/>
  <c r="Z4311" i="1"/>
  <c r="AD4205" i="1"/>
  <c r="AB4205" i="1" s="1"/>
  <c r="Q4205" i="1" s="1"/>
  <c r="R4205" i="1" s="1"/>
  <c r="T4205" i="1" s="1"/>
  <c r="Z4301" i="1"/>
  <c r="AB4301" i="1"/>
  <c r="Z4264" i="1"/>
  <c r="AB4264" i="1"/>
  <c r="Q4170" i="1"/>
  <c r="R4170" i="1" s="1"/>
  <c r="T4170" i="1" s="1"/>
  <c r="AD4223" i="1"/>
  <c r="AB4223" i="1" s="1"/>
  <c r="AB4273" i="1"/>
  <c r="Z4273" i="1"/>
  <c r="AB4253" i="1"/>
  <c r="Z4253" i="1"/>
  <c r="AB4243" i="1"/>
  <c r="Z4243" i="1"/>
  <c r="AB4206" i="1"/>
  <c r="Z4206" i="1"/>
  <c r="AD4181" i="1"/>
  <c r="AB4181" i="1" s="1"/>
  <c r="Q4181" i="1" s="1"/>
  <c r="R4181" i="1" s="1"/>
  <c r="T4181" i="1" s="1"/>
  <c r="AB4215" i="1"/>
  <c r="Z4215" i="1"/>
  <c r="Z4224" i="1"/>
  <c r="AB4224" i="1"/>
  <c r="AB4234" i="1"/>
  <c r="Z4234" i="1"/>
  <c r="AB4192" i="1"/>
  <c r="Z4192" i="1"/>
  <c r="AB4182" i="1"/>
  <c r="Z4182" i="1"/>
  <c r="Q4160" i="1"/>
  <c r="R4160" i="1" s="1"/>
  <c r="T4160" i="1" s="1"/>
  <c r="AD4141" i="1"/>
  <c r="AB4141" i="1" s="1"/>
  <c r="AB4161" i="1"/>
  <c r="Z4161" i="1"/>
  <c r="Z4152" i="1"/>
  <c r="AB4152" i="1"/>
  <c r="Z4142" i="1"/>
  <c r="AB4142" i="1"/>
  <c r="AD4122" i="1"/>
  <c r="AB4122" i="1" s="1"/>
  <c r="AB4133" i="1"/>
  <c r="Z4133" i="1"/>
  <c r="AB4123" i="1"/>
  <c r="Z4123" i="1"/>
  <c r="AD4102" i="1"/>
  <c r="AB4102" i="1" s="1"/>
  <c r="H4102" i="1" s="1"/>
  <c r="I4102" i="1" s="1"/>
  <c r="AB4112" i="1"/>
  <c r="Z4112" i="1"/>
  <c r="Z4103" i="1"/>
  <c r="AB4103" i="1"/>
  <c r="AD3961" i="1"/>
  <c r="AB3961" i="1" s="1"/>
  <c r="H3961" i="1" s="1"/>
  <c r="I3961" i="1" s="1"/>
  <c r="AD4061" i="1"/>
  <c r="AB4061" i="1" s="1"/>
  <c r="H4061" i="1" s="1"/>
  <c r="I4061" i="1" s="1"/>
  <c r="AD4001" i="1"/>
  <c r="AB4001" i="1" s="1"/>
  <c r="AD4081" i="1"/>
  <c r="AB4081" i="1" s="1"/>
  <c r="AD4041" i="1"/>
  <c r="AB4041" i="1" s="1"/>
  <c r="AD3981" i="1"/>
  <c r="AB3981" i="1" s="1"/>
  <c r="AD4021" i="1"/>
  <c r="AB4021" i="1" s="1"/>
  <c r="AB4092" i="1"/>
  <c r="Z4092" i="1"/>
  <c r="Z4082" i="1"/>
  <c r="AB4082" i="1"/>
  <c r="AB4072" i="1"/>
  <c r="Z4072" i="1"/>
  <c r="AB4062" i="1"/>
  <c r="Z4062" i="1"/>
  <c r="AB4052" i="1"/>
  <c r="Z4052" i="1"/>
  <c r="Z4042" i="1"/>
  <c r="AB4042" i="1"/>
  <c r="AB4022" i="1"/>
  <c r="Z4022" i="1"/>
  <c r="AB4032" i="1"/>
  <c r="Z4032" i="1"/>
  <c r="AB4012" i="1"/>
  <c r="Z4012" i="1"/>
  <c r="AD3940" i="1"/>
  <c r="AB3940" i="1" s="1"/>
  <c r="Q3940" i="1" s="1"/>
  <c r="R3940" i="1" s="1"/>
  <c r="T3940" i="1" s="1"/>
  <c r="Z4002" i="1"/>
  <c r="AB4002" i="1"/>
  <c r="AB3982" i="1"/>
  <c r="Z3982" i="1"/>
  <c r="AB3992" i="1"/>
  <c r="Z3992" i="1"/>
  <c r="AD3920" i="1"/>
  <c r="AB3920" i="1" s="1"/>
  <c r="H3920" i="1" s="1"/>
  <c r="I3920" i="1" s="1"/>
  <c r="AD3901" i="1"/>
  <c r="AB3901" i="1" s="1"/>
  <c r="AB3962" i="1"/>
  <c r="Z3962" i="1"/>
  <c r="AB3972" i="1"/>
  <c r="Z3972" i="1"/>
  <c r="AB3941" i="1"/>
  <c r="Z3941" i="1"/>
  <c r="AD3858" i="1"/>
  <c r="AB3858" i="1" s="1"/>
  <c r="H3858" i="1" s="1"/>
  <c r="I3858" i="1" s="1"/>
  <c r="AB3951" i="1"/>
  <c r="Z3951" i="1"/>
  <c r="AD3838" i="1"/>
  <c r="AB3838" i="1" s="1"/>
  <c r="Q3838" i="1" s="1"/>
  <c r="R3838" i="1" s="1"/>
  <c r="T3838" i="1" s="1"/>
  <c r="AB3921" i="1"/>
  <c r="Z3921" i="1"/>
  <c r="AB3931" i="1"/>
  <c r="Z3931" i="1"/>
  <c r="AD3880" i="1"/>
  <c r="AB3880" i="1" s="1"/>
  <c r="AB3911" i="1"/>
  <c r="Z3911" i="1"/>
  <c r="AB3902" i="1"/>
  <c r="Z3902" i="1"/>
  <c r="AD3818" i="1"/>
  <c r="AB3818" i="1" s="1"/>
  <c r="H3818" i="1" s="1"/>
  <c r="I3818" i="1" s="1"/>
  <c r="AB3891" i="1"/>
  <c r="Z3891" i="1"/>
  <c r="AB3881" i="1"/>
  <c r="Z3881" i="1"/>
  <c r="AB3859" i="1"/>
  <c r="Z3859" i="1"/>
  <c r="AB3869" i="1"/>
  <c r="Z3869" i="1"/>
  <c r="AB3849" i="1"/>
  <c r="Z3849" i="1"/>
  <c r="AD3798" i="1"/>
  <c r="AB3798" i="1" s="1"/>
  <c r="AD3737" i="1"/>
  <c r="AB3737" i="1" s="1"/>
  <c r="H3737" i="1" s="1"/>
  <c r="I3737" i="1" s="1"/>
  <c r="AB3839" i="1"/>
  <c r="Z3839" i="1"/>
  <c r="AB3829" i="1"/>
  <c r="Z3829" i="1"/>
  <c r="Z3819" i="1"/>
  <c r="AB3819" i="1"/>
  <c r="AD3778" i="1"/>
  <c r="AB3778" i="1" s="1"/>
  <c r="AB3809" i="1"/>
  <c r="Z3809" i="1"/>
  <c r="AD3756" i="1"/>
  <c r="AB3756" i="1" s="1"/>
  <c r="AB3799" i="1"/>
  <c r="Z3799" i="1"/>
  <c r="AB3789" i="1"/>
  <c r="Z3789" i="1"/>
  <c r="AB3779" i="1"/>
  <c r="Z3779" i="1"/>
  <c r="AD3692" i="1"/>
  <c r="AB3692" i="1" s="1"/>
  <c r="Q3692" i="1" s="1"/>
  <c r="R3692" i="1" s="1"/>
  <c r="T3692" i="1" s="1"/>
  <c r="AB3767" i="1"/>
  <c r="Z3767" i="1"/>
  <c r="Z3757" i="1"/>
  <c r="AB3757" i="1"/>
  <c r="AD3712" i="1"/>
  <c r="AB3712" i="1" s="1"/>
  <c r="AB3738" i="1"/>
  <c r="Z3738" i="1"/>
  <c r="AB3747" i="1"/>
  <c r="Z3747" i="1"/>
  <c r="AD3564" i="1"/>
  <c r="AB3564" i="1" s="1"/>
  <c r="H3564" i="1" s="1"/>
  <c r="I3564" i="1" s="1"/>
  <c r="AB3723" i="1"/>
  <c r="Z3723" i="1"/>
  <c r="AD3624" i="1"/>
  <c r="AB3624" i="1" s="1"/>
  <c r="H3624" i="1" s="1"/>
  <c r="I3624" i="1" s="1"/>
  <c r="AB3713" i="1"/>
  <c r="Z3713" i="1"/>
  <c r="AB3703" i="1"/>
  <c r="Z3703" i="1"/>
  <c r="AD3668" i="1"/>
  <c r="AB3668" i="1" s="1"/>
  <c r="AB3693" i="1"/>
  <c r="Z3693" i="1"/>
  <c r="AD3584" i="1"/>
  <c r="AB3584" i="1" s="1"/>
  <c r="AD3646" i="1"/>
  <c r="AB3646" i="1" s="1"/>
  <c r="AB3678" i="1"/>
  <c r="Z3678" i="1"/>
  <c r="Z3669" i="1"/>
  <c r="AB3669" i="1"/>
  <c r="AD3604" i="1"/>
  <c r="AB3604" i="1" s="1"/>
  <c r="AB3657" i="1"/>
  <c r="Z3657" i="1"/>
  <c r="AB3647" i="1"/>
  <c r="Z3647" i="1"/>
  <c r="AB3625" i="1"/>
  <c r="Z3625" i="1"/>
  <c r="AB3635" i="1"/>
  <c r="Z3635" i="1"/>
  <c r="AB3605" i="1"/>
  <c r="Z3605" i="1"/>
  <c r="AB3615" i="1"/>
  <c r="Z3615" i="1"/>
  <c r="AD3544" i="1"/>
  <c r="AB3544" i="1" s="1"/>
  <c r="H3544" i="1" s="1"/>
  <c r="I3544" i="1" s="1"/>
  <c r="AB3595" i="1"/>
  <c r="Z3595" i="1"/>
  <c r="AB3585" i="1"/>
  <c r="Z3585" i="1"/>
  <c r="AB3565" i="1"/>
  <c r="Z3565" i="1"/>
  <c r="AD3525" i="1"/>
  <c r="AB3525" i="1" s="1"/>
  <c r="AB3575" i="1"/>
  <c r="Z3575" i="1"/>
  <c r="AB3545" i="1"/>
  <c r="Z3545" i="1"/>
  <c r="AB3555" i="1"/>
  <c r="Z3555" i="1"/>
  <c r="AB3535" i="1"/>
  <c r="Z3535" i="1"/>
  <c r="AB3526" i="1"/>
  <c r="Z3526" i="1"/>
  <c r="AB3513" i="1"/>
  <c r="Z3513" i="1"/>
  <c r="AB3503" i="1"/>
  <c r="Z3503" i="1"/>
  <c r="Z3492" i="1"/>
  <c r="AB3492" i="1"/>
  <c r="AB3482" i="1"/>
  <c r="Z3482" i="1"/>
  <c r="AD3228" i="1"/>
  <c r="AB3228" i="1" s="1"/>
  <c r="Q3228" i="1" s="1"/>
  <c r="R3228" i="1" s="1"/>
  <c r="T3228" i="1" s="1"/>
  <c r="AD3312" i="1"/>
  <c r="AB3312" i="1" s="1"/>
  <c r="Q3312" i="1" s="1"/>
  <c r="R3312" i="1" s="1"/>
  <c r="T3312" i="1" s="1"/>
  <c r="AB3471" i="1"/>
  <c r="Z3471" i="1"/>
  <c r="AB3461" i="1"/>
  <c r="Z3461" i="1"/>
  <c r="Z3449" i="1"/>
  <c r="AB3449" i="1"/>
  <c r="AD3249" i="1"/>
  <c r="AB3249" i="1" s="1"/>
  <c r="Q3249" i="1" s="1"/>
  <c r="R3249" i="1" s="1"/>
  <c r="T3249" i="1" s="1"/>
  <c r="AD3207" i="1"/>
  <c r="AB3207" i="1" s="1"/>
  <c r="H3207" i="1" s="1"/>
  <c r="I3207" i="1" s="1"/>
  <c r="AB3439" i="1"/>
  <c r="Z3439" i="1"/>
  <c r="AB3428" i="1"/>
  <c r="Z3428" i="1"/>
  <c r="AB3418" i="1"/>
  <c r="Z3418" i="1"/>
  <c r="AB3397" i="1"/>
  <c r="Z3397" i="1"/>
  <c r="AB3407" i="1"/>
  <c r="Z3407" i="1"/>
  <c r="AD3354" i="1"/>
  <c r="AB3354" i="1" s="1"/>
  <c r="Q3354" i="1" s="1"/>
  <c r="R3354" i="1" s="1"/>
  <c r="T3354" i="1" s="1"/>
  <c r="AD3291" i="1"/>
  <c r="AB3291" i="1" s="1"/>
  <c r="H3291" i="1" s="1"/>
  <c r="I3291" i="1" s="1"/>
  <c r="AD3333" i="1"/>
  <c r="AB3333" i="1" s="1"/>
  <c r="H3333" i="1" s="1"/>
  <c r="I3333" i="1" s="1"/>
  <c r="Z3386" i="1"/>
  <c r="AB3386" i="1"/>
  <c r="AB3376" i="1"/>
  <c r="Z3376" i="1"/>
  <c r="AD3270" i="1"/>
  <c r="AB3270" i="1" s="1"/>
  <c r="AB3365" i="1"/>
  <c r="Z3365" i="1"/>
  <c r="AB3355" i="1"/>
  <c r="Z3355" i="1"/>
  <c r="AB3344" i="1"/>
  <c r="Z3344" i="1"/>
  <c r="AB3334" i="1"/>
  <c r="Z3334" i="1"/>
  <c r="AB3323" i="1"/>
  <c r="Z3323" i="1"/>
  <c r="AB3313" i="1"/>
  <c r="Z3313" i="1"/>
  <c r="AB3302" i="1"/>
  <c r="Z3302" i="1"/>
  <c r="AB3292" i="1"/>
  <c r="Z3292" i="1"/>
  <c r="Z3281" i="1"/>
  <c r="AB3281" i="1"/>
  <c r="AD3165" i="1"/>
  <c r="AB3165" i="1" s="1"/>
  <c r="H3165" i="1" s="1"/>
  <c r="I3165" i="1" s="1"/>
  <c r="AB3271" i="1"/>
  <c r="Z3271" i="1"/>
  <c r="Z3260" i="1"/>
  <c r="AB3260" i="1"/>
  <c r="AB3250" i="1"/>
  <c r="Z3250" i="1"/>
  <c r="AB3229" i="1"/>
  <c r="Z3229" i="1"/>
  <c r="AB3239" i="1"/>
  <c r="Z3239" i="1"/>
  <c r="AD3186" i="1"/>
  <c r="AB3186" i="1" s="1"/>
  <c r="AB3218" i="1"/>
  <c r="Z3218" i="1"/>
  <c r="AB3208" i="1"/>
  <c r="Z3208" i="1"/>
  <c r="AD3083" i="1"/>
  <c r="AB3083" i="1" s="1"/>
  <c r="H3083" i="1" s="1"/>
  <c r="I3083" i="1" s="1"/>
  <c r="AB3197" i="1"/>
  <c r="Z3197" i="1"/>
  <c r="AB3187" i="1"/>
  <c r="Z3187" i="1"/>
  <c r="AB3176" i="1"/>
  <c r="Z3176" i="1"/>
  <c r="AB3166" i="1"/>
  <c r="Z3166" i="1"/>
  <c r="AD3125" i="1"/>
  <c r="AB3125" i="1" s="1"/>
  <c r="AD3104" i="1"/>
  <c r="AB3104" i="1" s="1"/>
  <c r="AD3062" i="1"/>
  <c r="AB3062" i="1" s="1"/>
  <c r="Q3062" i="1" s="1"/>
  <c r="R3062" i="1" s="1"/>
  <c r="T3062" i="1" s="1"/>
  <c r="AB3126" i="1"/>
  <c r="Z3126" i="1"/>
  <c r="AB3136" i="1"/>
  <c r="Z3136" i="1"/>
  <c r="AB3115" i="1"/>
  <c r="Z3115" i="1"/>
  <c r="AB3105" i="1"/>
  <c r="Z3105" i="1"/>
  <c r="AB3084" i="1"/>
  <c r="Z3084" i="1"/>
  <c r="AB3094" i="1"/>
  <c r="Z3094" i="1"/>
  <c r="AD3041" i="1"/>
  <c r="AB3041" i="1" s="1"/>
  <c r="AB3073" i="1"/>
  <c r="Z3073" i="1"/>
  <c r="AB3063" i="1"/>
  <c r="Z3063" i="1"/>
  <c r="AD3020" i="1"/>
  <c r="AB3020" i="1" s="1"/>
  <c r="AB3052" i="1"/>
  <c r="Z3052" i="1"/>
  <c r="AB3042" i="1"/>
  <c r="Z3042" i="1"/>
  <c r="AD2999" i="1"/>
  <c r="AB2999" i="1" s="1"/>
  <c r="AD2978" i="1"/>
  <c r="AB2978" i="1" s="1"/>
  <c r="Q2978" i="1" s="1"/>
  <c r="R2978" i="1" s="1"/>
  <c r="T2978" i="1" s="1"/>
  <c r="AB3031" i="1"/>
  <c r="Z3031" i="1"/>
  <c r="AB3021" i="1"/>
  <c r="Z3021" i="1"/>
  <c r="AD2958" i="1"/>
  <c r="AB2958" i="1" s="1"/>
  <c r="H2958" i="1" s="1"/>
  <c r="I2958" i="1" s="1"/>
  <c r="AB3010" i="1"/>
  <c r="Z3010" i="1"/>
  <c r="AB3000" i="1"/>
  <c r="Z3000" i="1"/>
  <c r="AD2938" i="1"/>
  <c r="AB2938" i="1" s="1"/>
  <c r="H2938" i="1" s="1"/>
  <c r="I2938" i="1" s="1"/>
  <c r="AB2989" i="1"/>
  <c r="Z2989" i="1"/>
  <c r="AB2979" i="1"/>
  <c r="Z2979" i="1"/>
  <c r="AB2968" i="1"/>
  <c r="Z2968" i="1"/>
  <c r="Z2959" i="1"/>
  <c r="AB2959" i="1"/>
  <c r="AD2916" i="1"/>
  <c r="AB2916" i="1" s="1"/>
  <c r="Z2948" i="1"/>
  <c r="AB2948" i="1"/>
  <c r="Z2939" i="1"/>
  <c r="AB2939" i="1"/>
  <c r="Z2927" i="1"/>
  <c r="AB2927" i="1"/>
  <c r="AB2917" i="1"/>
  <c r="Z2917" i="1"/>
  <c r="AD2896" i="1"/>
  <c r="AB2896" i="1" s="1"/>
  <c r="AD2876" i="1"/>
  <c r="AB2876" i="1" s="1"/>
  <c r="AB2906" i="1"/>
  <c r="Z2906" i="1"/>
  <c r="Z2897" i="1"/>
  <c r="AB2897" i="1"/>
  <c r="AB2877" i="1"/>
  <c r="Z2877" i="1"/>
  <c r="AB2886" i="1"/>
  <c r="Z2886" i="1"/>
  <c r="AD8536" i="1"/>
  <c r="AB8536" i="1" s="1"/>
  <c r="H8536" i="1" s="1"/>
  <c r="I8536" i="1" s="1"/>
  <c r="AD8552" i="1"/>
  <c r="AB8552" i="1" s="1"/>
  <c r="Q8552" i="1" s="1"/>
  <c r="R8552" i="1" s="1"/>
  <c r="T8552" i="1" s="1"/>
  <c r="AD8602" i="1"/>
  <c r="AB8602" i="1" s="1"/>
  <c r="H8602" i="1" s="1"/>
  <c r="I8602" i="1" s="1"/>
  <c r="AB8537" i="1"/>
  <c r="Z8537" i="1"/>
  <c r="AB8546" i="1"/>
  <c r="Z8546" i="1"/>
  <c r="AB8553" i="1"/>
  <c r="Z8553" i="1"/>
  <c r="AB8562" i="1"/>
  <c r="Z8562" i="1"/>
  <c r="AD8502" i="1"/>
  <c r="AB8502" i="1" s="1"/>
  <c r="H8502" i="1" s="1"/>
  <c r="I8502" i="1" s="1"/>
  <c r="AD8569" i="1"/>
  <c r="AB8569" i="1" s="1"/>
  <c r="AD8586" i="1"/>
  <c r="AB8586" i="1" s="1"/>
  <c r="AB8579" i="1"/>
  <c r="Z8579" i="1"/>
  <c r="AB8570" i="1"/>
  <c r="Z8570" i="1"/>
  <c r="Z8603" i="1"/>
  <c r="AB8603" i="1"/>
  <c r="Z8613" i="1"/>
  <c r="AB8613" i="1"/>
  <c r="AD8518" i="1"/>
  <c r="AB8518" i="1" s="1"/>
  <c r="H8518" i="1" s="1"/>
  <c r="I8518" i="1" s="1"/>
  <c r="Z8597" i="1"/>
  <c r="AB8597" i="1"/>
  <c r="AB8587" i="1"/>
  <c r="Z8587" i="1"/>
  <c r="AD8464" i="1"/>
  <c r="AB8464" i="1" s="1"/>
  <c r="H8464" i="1" s="1"/>
  <c r="I8464" i="1" s="1"/>
  <c r="AB8513" i="1"/>
  <c r="Z8513" i="1"/>
  <c r="AB8503" i="1"/>
  <c r="Z8503" i="1"/>
  <c r="AB8529" i="1"/>
  <c r="Z8529" i="1"/>
  <c r="Z8519" i="1"/>
  <c r="AB8519" i="1"/>
  <c r="AD8480" i="1"/>
  <c r="AB8480" i="1" s="1"/>
  <c r="AB8475" i="1"/>
  <c r="Z8475" i="1"/>
  <c r="AB8465" i="1"/>
  <c r="Z8465" i="1"/>
  <c r="AD8366" i="1"/>
  <c r="AB8366" i="1" s="1"/>
  <c r="AB8491" i="1"/>
  <c r="Z8491" i="1"/>
  <c r="AD8428" i="1"/>
  <c r="AB8428" i="1" s="1"/>
  <c r="H8428" i="1" s="1"/>
  <c r="I8428" i="1" s="1"/>
  <c r="Z8481" i="1"/>
  <c r="AB8481" i="1"/>
  <c r="AD8381" i="1"/>
  <c r="AB8381" i="1" s="1"/>
  <c r="Q8381" i="1" s="1"/>
  <c r="R8381" i="1" s="1"/>
  <c r="T8381" i="1" s="1"/>
  <c r="AB8376" i="1"/>
  <c r="Z8376" i="1"/>
  <c r="AB8367" i="1"/>
  <c r="Z8367" i="1"/>
  <c r="AD8396" i="1"/>
  <c r="AB8396" i="1" s="1"/>
  <c r="Q8396" i="1" s="1"/>
  <c r="R8396" i="1" s="1"/>
  <c r="T8396" i="1" s="1"/>
  <c r="AD8195" i="1"/>
  <c r="AB8195" i="1" s="1"/>
  <c r="H8195" i="1" s="1"/>
  <c r="I8195" i="1" s="1"/>
  <c r="Z8382" i="1"/>
  <c r="AB8382" i="1"/>
  <c r="Z8391" i="1"/>
  <c r="AB8391" i="1"/>
  <c r="Z8397" i="1"/>
  <c r="AB8397" i="1"/>
  <c r="AD8412" i="1"/>
  <c r="AB8412" i="1" s="1"/>
  <c r="AB8407" i="1"/>
  <c r="Z8407" i="1"/>
  <c r="AD8228" i="1"/>
  <c r="AB8228" i="1" s="1"/>
  <c r="H8228" i="1" s="1"/>
  <c r="I8228" i="1" s="1"/>
  <c r="AB8423" i="1"/>
  <c r="Z8423" i="1"/>
  <c r="AB8413" i="1"/>
  <c r="Z8413" i="1"/>
  <c r="AD8444" i="1"/>
  <c r="AB8444" i="1" s="1"/>
  <c r="AB8429" i="1"/>
  <c r="Z8429" i="1"/>
  <c r="AB8439" i="1"/>
  <c r="Z8439" i="1"/>
  <c r="AD8213" i="1"/>
  <c r="AB8213" i="1" s="1"/>
  <c r="AB8455" i="1"/>
  <c r="Z8455" i="1"/>
  <c r="AB8445" i="1"/>
  <c r="Z8445" i="1"/>
  <c r="AD8295" i="1"/>
  <c r="AB8295" i="1" s="1"/>
  <c r="H8295" i="1" s="1"/>
  <c r="I8295" i="1" s="1"/>
  <c r="AD8244" i="1"/>
  <c r="AB8244" i="1" s="1"/>
  <c r="H8244" i="1" s="1"/>
  <c r="I8244" i="1" s="1"/>
  <c r="AB8214" i="1"/>
  <c r="Z8214" i="1"/>
  <c r="AB8223" i="1"/>
  <c r="Z8223" i="1"/>
  <c r="AB8239" i="1"/>
  <c r="Z8239" i="1"/>
  <c r="AB8229" i="1"/>
  <c r="Z8229" i="1"/>
  <c r="AD8263" i="1"/>
  <c r="AB8263" i="1" s="1"/>
  <c r="AB8245" i="1"/>
  <c r="Z8245" i="1"/>
  <c r="AD8348" i="1"/>
  <c r="AB8348" i="1" s="1"/>
  <c r="H8348" i="1" s="1"/>
  <c r="I8348" i="1" s="1"/>
  <c r="Z8255" i="1"/>
  <c r="AB8255" i="1"/>
  <c r="AD8279" i="1"/>
  <c r="AB8279" i="1" s="1"/>
  <c r="H8279" i="1" s="1"/>
  <c r="I8279" i="1" s="1"/>
  <c r="AB8273" i="1"/>
  <c r="Z8273" i="1"/>
  <c r="Z8264" i="1"/>
  <c r="AB8264" i="1"/>
  <c r="Z8290" i="1"/>
  <c r="AB8290" i="1"/>
  <c r="AB8280" i="1"/>
  <c r="Z8280" i="1"/>
  <c r="Z8296" i="1"/>
  <c r="AB8296" i="1"/>
  <c r="Z8306" i="1"/>
  <c r="AB8306" i="1"/>
  <c r="AD8311" i="1"/>
  <c r="AB8311" i="1" s="1"/>
  <c r="AD8327" i="1"/>
  <c r="AB8327" i="1" s="1"/>
  <c r="Z8322" i="1"/>
  <c r="AB8322" i="1"/>
  <c r="Z8312" i="1"/>
  <c r="AB8312" i="1"/>
  <c r="Z8338" i="1"/>
  <c r="AB8338" i="1"/>
  <c r="Z8328" i="1"/>
  <c r="AB8328" i="1"/>
  <c r="AD8132" i="1"/>
  <c r="AB8132" i="1" s="1"/>
  <c r="AB8349" i="1"/>
  <c r="Z8349" i="1"/>
  <c r="AB8359" i="1"/>
  <c r="Z8359" i="1"/>
  <c r="AD8147" i="1"/>
  <c r="AB8147" i="1" s="1"/>
  <c r="AB8133" i="1"/>
  <c r="Z8133" i="1"/>
  <c r="AB8142" i="1"/>
  <c r="Z8142" i="1"/>
  <c r="AD8163" i="1"/>
  <c r="AB8163" i="1" s="1"/>
  <c r="H8163" i="1" s="1"/>
  <c r="I8163" i="1" s="1"/>
  <c r="AB8158" i="1"/>
  <c r="Z8158" i="1"/>
  <c r="AB8148" i="1"/>
  <c r="Z8148" i="1"/>
  <c r="AD8179" i="1"/>
  <c r="AB8179" i="1" s="1"/>
  <c r="AB8164" i="1"/>
  <c r="Z8164" i="1"/>
  <c r="AB8174" i="1"/>
  <c r="Z8174" i="1"/>
  <c r="Z8180" i="1"/>
  <c r="AB8180" i="1"/>
  <c r="Z8190" i="1"/>
  <c r="AB8190" i="1"/>
  <c r="AD8111" i="1"/>
  <c r="AB8111" i="1" s="1"/>
  <c r="AB8206" i="1"/>
  <c r="Z8206" i="1"/>
  <c r="AB8196" i="1"/>
  <c r="Z8196" i="1"/>
  <c r="AB8122" i="1"/>
  <c r="Z8122" i="1"/>
  <c r="AD8058" i="1"/>
  <c r="AB8058" i="1" s="1"/>
  <c r="H8058" i="1" s="1"/>
  <c r="I8058" i="1" s="1"/>
  <c r="AD8043" i="1"/>
  <c r="AB8043" i="1" s="1"/>
  <c r="Z8112" i="1"/>
  <c r="AB8112" i="1"/>
  <c r="AB8044" i="1"/>
  <c r="Z8044" i="1"/>
  <c r="Z8053" i="1"/>
  <c r="AB8053" i="1"/>
  <c r="AD7993" i="1"/>
  <c r="AB7993" i="1" s="1"/>
  <c r="H7993" i="1" s="1"/>
  <c r="I7993" i="1" s="1"/>
  <c r="AB8068" i="1"/>
  <c r="Z8068" i="1"/>
  <c r="AD8073" i="1"/>
  <c r="AB8073" i="1" s="1"/>
  <c r="AB8059" i="1"/>
  <c r="Z8059" i="1"/>
  <c r="AD8023" i="1"/>
  <c r="AB8023" i="1" s="1"/>
  <c r="Q8023" i="1" s="1"/>
  <c r="R8023" i="1" s="1"/>
  <c r="T8023" i="1" s="1"/>
  <c r="AD8089" i="1"/>
  <c r="AB8089" i="1" s="1"/>
  <c r="AB8084" i="1"/>
  <c r="Z8084" i="1"/>
  <c r="AD8008" i="1"/>
  <c r="AB8008" i="1" s="1"/>
  <c r="Q8008" i="1" s="1"/>
  <c r="R8008" i="1" s="1"/>
  <c r="T8008" i="1" s="1"/>
  <c r="AB8074" i="1"/>
  <c r="Z8074" i="1"/>
  <c r="AB8100" i="1"/>
  <c r="Z8100" i="1"/>
  <c r="AB8090" i="1"/>
  <c r="Z8090" i="1"/>
  <c r="AB7994" i="1"/>
  <c r="Z7994" i="1"/>
  <c r="AB8003" i="1"/>
  <c r="Z8003" i="1"/>
  <c r="AB8009" i="1"/>
  <c r="Z8009" i="1"/>
  <c r="AB8018" i="1"/>
  <c r="Z8018" i="1"/>
  <c r="AB8024" i="1"/>
  <c r="Z8024" i="1"/>
  <c r="Z8034" i="1"/>
  <c r="AB8034" i="1"/>
  <c r="AD7913" i="1"/>
  <c r="AB7913" i="1" s="1"/>
  <c r="Z7914" i="1"/>
  <c r="AB7914" i="1"/>
  <c r="AD7928" i="1"/>
  <c r="AB7928" i="1" s="1"/>
  <c r="Q7928" i="1" s="1"/>
  <c r="R7928" i="1" s="1"/>
  <c r="T7928" i="1" s="1"/>
  <c r="AB7923" i="1"/>
  <c r="Z7923" i="1"/>
  <c r="AD7944" i="1"/>
  <c r="AB7944" i="1" s="1"/>
  <c r="AB7939" i="1"/>
  <c r="Z7939" i="1"/>
  <c r="AD7976" i="1"/>
  <c r="AB7976" i="1" s="1"/>
  <c r="H7976" i="1" s="1"/>
  <c r="I7976" i="1" s="1"/>
  <c r="Z7929" i="1"/>
  <c r="AB7929" i="1"/>
  <c r="AD7960" i="1"/>
  <c r="AB7960" i="1" s="1"/>
  <c r="Q7960" i="1" s="1"/>
  <c r="R7960" i="1" s="1"/>
  <c r="T7960" i="1" s="1"/>
  <c r="Z7945" i="1"/>
  <c r="AB7945" i="1"/>
  <c r="AB7955" i="1"/>
  <c r="Z7955" i="1"/>
  <c r="AB7961" i="1"/>
  <c r="Z7961" i="1"/>
  <c r="Z7971" i="1"/>
  <c r="AB7971" i="1"/>
  <c r="AD7831" i="1"/>
  <c r="AB7831" i="1" s="1"/>
  <c r="AB7987" i="1"/>
  <c r="Z7987" i="1"/>
  <c r="AB7977" i="1"/>
  <c r="Z7977" i="1"/>
  <c r="AB7841" i="1"/>
  <c r="Z7841" i="1"/>
  <c r="AD7846" i="1"/>
  <c r="AB7846" i="1" s="1"/>
  <c r="Q7846" i="1" s="1"/>
  <c r="R7846" i="1" s="1"/>
  <c r="T7846" i="1" s="1"/>
  <c r="AD7893" i="1"/>
  <c r="AB7893" i="1" s="1"/>
  <c r="H7893" i="1" s="1"/>
  <c r="I7893" i="1" s="1"/>
  <c r="AB7832" i="1"/>
  <c r="Z7832" i="1"/>
  <c r="AB7847" i="1"/>
  <c r="Z7847" i="1"/>
  <c r="AD7861" i="1"/>
  <c r="AB7861" i="1" s="1"/>
  <c r="H7861" i="1" s="1"/>
  <c r="I7861" i="1" s="1"/>
  <c r="Z7856" i="1"/>
  <c r="AB7856" i="1"/>
  <c r="AD7877" i="1"/>
  <c r="AB7877" i="1" s="1"/>
  <c r="AB7872" i="1"/>
  <c r="Z7872" i="1"/>
  <c r="AB7862" i="1"/>
  <c r="Z7862" i="1"/>
  <c r="AB7888" i="1"/>
  <c r="Z7888" i="1"/>
  <c r="AB7878" i="1"/>
  <c r="Z7878" i="1"/>
  <c r="AD7813" i="1"/>
  <c r="AB7813" i="1" s="1"/>
  <c r="H7813" i="1" s="1"/>
  <c r="I7813" i="1" s="1"/>
  <c r="AB7894" i="1"/>
  <c r="Z7894" i="1"/>
  <c r="AB7904" i="1"/>
  <c r="Z7904" i="1"/>
  <c r="AD7798" i="1"/>
  <c r="AB7798" i="1" s="1"/>
  <c r="AB7808" i="1"/>
  <c r="Z7808" i="1"/>
  <c r="Z7799" i="1"/>
  <c r="AB7799" i="1"/>
  <c r="AB7824" i="1"/>
  <c r="Z7824" i="1"/>
  <c r="AB7814" i="1"/>
  <c r="Z7814" i="1"/>
  <c r="AD7760" i="1"/>
  <c r="AB7760" i="1" s="1"/>
  <c r="AD7216" i="1"/>
  <c r="AB7216" i="1" s="1"/>
  <c r="Q7216" i="1" s="1"/>
  <c r="R7216" i="1" s="1"/>
  <c r="T7216" i="1" s="1"/>
  <c r="AB7770" i="1"/>
  <c r="Z7770" i="1"/>
  <c r="AB7761" i="1"/>
  <c r="Z7761" i="1"/>
  <c r="AD7118" i="1"/>
  <c r="AB7118" i="1" s="1"/>
  <c r="H7118" i="1" s="1"/>
  <c r="I7118" i="1" s="1"/>
  <c r="Z7119" i="1"/>
  <c r="AB7119" i="1"/>
  <c r="AB7128" i="1"/>
  <c r="Z7128" i="1"/>
  <c r="AD7137" i="1"/>
  <c r="AB7137" i="1" s="1"/>
  <c r="AD7156" i="1"/>
  <c r="AB7156" i="1" s="1"/>
  <c r="AB7147" i="1"/>
  <c r="Z7147" i="1"/>
  <c r="AB7138" i="1"/>
  <c r="Z7138" i="1"/>
  <c r="AD7196" i="1"/>
  <c r="AB7196" i="1" s="1"/>
  <c r="H7196" i="1" s="1"/>
  <c r="I7196" i="1" s="1"/>
  <c r="AB7167" i="1"/>
  <c r="Z7167" i="1"/>
  <c r="AD7176" i="1"/>
  <c r="AB7176" i="1" s="1"/>
  <c r="Z7157" i="1"/>
  <c r="AB7157" i="1"/>
  <c r="AB7187" i="1"/>
  <c r="Z7187" i="1"/>
  <c r="AB7177" i="1"/>
  <c r="Z7177" i="1"/>
  <c r="AB7197" i="1"/>
  <c r="Z7197" i="1"/>
  <c r="AB7207" i="1"/>
  <c r="Z7207" i="1"/>
  <c r="AB7217" i="1"/>
  <c r="Z7217" i="1"/>
  <c r="AB7227" i="1"/>
  <c r="Z7227" i="1"/>
  <c r="AD7237" i="1"/>
  <c r="AB7237" i="1" s="1"/>
  <c r="AD7256" i="1"/>
  <c r="AB7256" i="1" s="1"/>
  <c r="AB7247" i="1"/>
  <c r="Z7247" i="1"/>
  <c r="Z7238" i="1"/>
  <c r="AB7238" i="1"/>
  <c r="AD7276" i="1"/>
  <c r="AB7276" i="1" s="1"/>
  <c r="AB7267" i="1"/>
  <c r="Z7267" i="1"/>
  <c r="Z7257" i="1"/>
  <c r="AB7257" i="1"/>
  <c r="AB7287" i="1"/>
  <c r="Z7287" i="1"/>
  <c r="AD7296" i="1"/>
  <c r="AB7296" i="1" s="1"/>
  <c r="AD7356" i="1"/>
  <c r="AB7356" i="1" s="1"/>
  <c r="H7356" i="1" s="1"/>
  <c r="I7356" i="1" s="1"/>
  <c r="AB7277" i="1"/>
  <c r="Z7277" i="1"/>
  <c r="AD7316" i="1"/>
  <c r="AB7316" i="1" s="1"/>
  <c r="AB7307" i="1"/>
  <c r="Z7307" i="1"/>
  <c r="AB7297" i="1"/>
  <c r="Z7297" i="1"/>
  <c r="AB7317" i="1"/>
  <c r="Z7317" i="1"/>
  <c r="AB7327" i="1"/>
  <c r="Z7327" i="1"/>
  <c r="AD7337" i="1"/>
  <c r="AB7337" i="1" s="1"/>
  <c r="AB7347" i="1"/>
  <c r="Z7347" i="1"/>
  <c r="AB7338" i="1"/>
  <c r="Z7338" i="1"/>
  <c r="AD7376" i="1"/>
  <c r="AB7376" i="1" s="1"/>
  <c r="AB7357" i="1"/>
  <c r="Z7357" i="1"/>
  <c r="AB7367" i="1"/>
  <c r="Z7367" i="1"/>
  <c r="AD7396" i="1"/>
  <c r="AB7396" i="1" s="1"/>
  <c r="AB7387" i="1"/>
  <c r="Z7387" i="1"/>
  <c r="AD7417" i="1"/>
  <c r="AB7417" i="1" s="1"/>
  <c r="H7417" i="1" s="1"/>
  <c r="I7417" i="1" s="1"/>
  <c r="AB7377" i="1"/>
  <c r="Z7377" i="1"/>
  <c r="Z7397" i="1"/>
  <c r="AB7397" i="1"/>
  <c r="AB7407" i="1"/>
  <c r="Z7407" i="1"/>
  <c r="Z7418" i="1"/>
  <c r="AB7418" i="1"/>
  <c r="AB7427" i="1"/>
  <c r="Z7427" i="1"/>
  <c r="AD7436" i="1"/>
  <c r="AB7436" i="1" s="1"/>
  <c r="AB7446" i="1"/>
  <c r="Z7446" i="1"/>
  <c r="AD7455" i="1"/>
  <c r="AB7455" i="1" s="1"/>
  <c r="AD7475" i="1"/>
  <c r="AB7475" i="1" s="1"/>
  <c r="H7475" i="1" s="1"/>
  <c r="I7475" i="1" s="1"/>
  <c r="AB7437" i="1"/>
  <c r="Z7437" i="1"/>
  <c r="AB7466" i="1"/>
  <c r="Z7466" i="1"/>
  <c r="Z7456" i="1"/>
  <c r="AB7456" i="1"/>
  <c r="AD7495" i="1"/>
  <c r="AB7495" i="1" s="1"/>
  <c r="AB7476" i="1"/>
  <c r="Z7476" i="1"/>
  <c r="AB7486" i="1"/>
  <c r="Z7486" i="1"/>
  <c r="AD7536" i="1"/>
  <c r="AB7536" i="1" s="1"/>
  <c r="H7536" i="1" s="1"/>
  <c r="I7536" i="1" s="1"/>
  <c r="AB7506" i="1"/>
  <c r="Z7506" i="1"/>
  <c r="AB7496" i="1"/>
  <c r="Z7496" i="1"/>
  <c r="AD7555" i="1"/>
  <c r="AB7555" i="1" s="1"/>
  <c r="Q7555" i="1" s="1"/>
  <c r="R7555" i="1" s="1"/>
  <c r="T7555" i="1" s="1"/>
  <c r="Q7535" i="1"/>
  <c r="R7535" i="1" s="1"/>
  <c r="T7535" i="1" s="1"/>
  <c r="H7535" i="1"/>
  <c r="I7535" i="1" s="1"/>
  <c r="AD7575" i="1"/>
  <c r="AB7575" i="1" s="1"/>
  <c r="AB7537" i="1"/>
  <c r="Z7537" i="1"/>
  <c r="AB7546" i="1"/>
  <c r="Z7546" i="1"/>
  <c r="AB7556" i="1"/>
  <c r="Z7556" i="1"/>
  <c r="AB7566" i="1"/>
  <c r="Z7566" i="1"/>
  <c r="AD7615" i="1"/>
  <c r="AB7615" i="1" s="1"/>
  <c r="Q7615" i="1" s="1"/>
  <c r="R7615" i="1" s="1"/>
  <c r="T7615" i="1" s="1"/>
  <c r="AB7586" i="1"/>
  <c r="Z7586" i="1"/>
  <c r="AD7595" i="1"/>
  <c r="AB7595" i="1" s="1"/>
  <c r="AB7576" i="1"/>
  <c r="Z7576" i="1"/>
  <c r="AB7606" i="1"/>
  <c r="Z7606" i="1"/>
  <c r="Z7596" i="1"/>
  <c r="AB7596" i="1"/>
  <c r="AB7616" i="1"/>
  <c r="Z7616" i="1"/>
  <c r="Z7626" i="1"/>
  <c r="AB7626" i="1"/>
  <c r="AD7636" i="1"/>
  <c r="AB7636" i="1" s="1"/>
  <c r="Q7636" i="1" s="1"/>
  <c r="R7636" i="1" s="1"/>
  <c r="T7636" i="1" s="1"/>
  <c r="AD7675" i="1"/>
  <c r="AB7675" i="1" s="1"/>
  <c r="H7675" i="1" s="1"/>
  <c r="I7675" i="1" s="1"/>
  <c r="AB7646" i="1"/>
  <c r="Z7646" i="1"/>
  <c r="AB7637" i="1"/>
  <c r="Z7637" i="1"/>
  <c r="AD7655" i="1"/>
  <c r="AB7655" i="1" s="1"/>
  <c r="AB7666" i="1"/>
  <c r="Z7666" i="1"/>
  <c r="AB7656" i="1"/>
  <c r="Z7656" i="1"/>
  <c r="AD7695" i="1"/>
  <c r="AB7695" i="1" s="1"/>
  <c r="H7695" i="1" s="1"/>
  <c r="I7695" i="1" s="1"/>
  <c r="AB7676" i="1"/>
  <c r="Z7676" i="1"/>
  <c r="AB7686" i="1"/>
  <c r="Z7686" i="1"/>
  <c r="AD7739" i="1"/>
  <c r="AB7739" i="1" s="1"/>
  <c r="H7739" i="1" s="1"/>
  <c r="I7739" i="1" s="1"/>
  <c r="AD7719" i="1"/>
  <c r="AB7719" i="1" s="1"/>
  <c r="Z7720" i="1"/>
  <c r="AB7720" i="1"/>
  <c r="AB7730" i="1"/>
  <c r="Z7730" i="1"/>
  <c r="AB7750" i="1"/>
  <c r="Z7750" i="1"/>
  <c r="AB7740" i="1"/>
  <c r="Z7740" i="1"/>
  <c r="AB7696" i="1"/>
  <c r="Z7696" i="1"/>
  <c r="AB7706" i="1"/>
  <c r="Z7706" i="1"/>
  <c r="AD7095" i="1"/>
  <c r="AB7095" i="1" s="1"/>
  <c r="Q7095" i="1" s="1"/>
  <c r="R7095" i="1" s="1"/>
  <c r="T7095" i="1" s="1"/>
  <c r="AD7074" i="1"/>
  <c r="AB7074" i="1" s="1"/>
  <c r="H7074" i="1" s="1"/>
  <c r="I7074" i="1" s="1"/>
  <c r="AD7053" i="1"/>
  <c r="AB7053" i="1" s="1"/>
  <c r="H7053" i="1" s="1"/>
  <c r="I7053" i="1" s="1"/>
  <c r="AB7106" i="1"/>
  <c r="Z7106" i="1"/>
  <c r="AB7096" i="1"/>
  <c r="Z7096" i="1"/>
  <c r="AB7085" i="1"/>
  <c r="AB7075" i="1"/>
  <c r="Z7075" i="1"/>
  <c r="Z7064" i="1"/>
  <c r="AB7064" i="1"/>
  <c r="AB7034" i="1"/>
  <c r="AD7033" i="1"/>
  <c r="AD7032" i="1" s="1"/>
  <c r="AB7032" i="1" s="1"/>
  <c r="AB7054" i="1"/>
  <c r="Z7054" i="1"/>
  <c r="AB7042" i="1"/>
  <c r="Z7043" i="1"/>
  <c r="AB7043" i="1"/>
  <c r="AD6992" i="1"/>
  <c r="AB6992" i="1" s="1"/>
  <c r="H6992" i="1" s="1"/>
  <c r="I6992" i="1" s="1"/>
  <c r="AD7012" i="1"/>
  <c r="AB7012" i="1" s="1"/>
  <c r="AB7013" i="1"/>
  <c r="Z7013" i="1"/>
  <c r="AB7022" i="1"/>
  <c r="Z7022" i="1"/>
  <c r="AB6993" i="1"/>
  <c r="Z6993" i="1"/>
  <c r="AB7002" i="1"/>
  <c r="Z7002" i="1"/>
  <c r="AD6969" i="1"/>
  <c r="AB6969" i="1" s="1"/>
  <c r="Q6969" i="1" s="1"/>
  <c r="R6969" i="1" s="1"/>
  <c r="T6969" i="1" s="1"/>
  <c r="AB6970" i="1"/>
  <c r="Z6970" i="1"/>
  <c r="AB6979" i="1"/>
  <c r="Z6979" i="1"/>
  <c r="AD6959" i="1"/>
  <c r="AB6959" i="1" s="1"/>
  <c r="AB6960" i="1"/>
  <c r="AB6963" i="1"/>
  <c r="AB6950" i="1"/>
  <c r="Z6950" i="1"/>
  <c r="AB108" i="1"/>
  <c r="K85" i="1"/>
  <c r="K81" i="1"/>
  <c r="K63" i="1"/>
  <c r="K64" i="1" s="1"/>
  <c r="M64" i="1" s="1"/>
  <c r="AC64" i="1" s="1"/>
  <c r="AC65" i="1" s="1"/>
  <c r="AD65" i="1" s="1"/>
  <c r="K51" i="1"/>
  <c r="K54" i="1"/>
  <c r="K57" i="1"/>
  <c r="K58" i="1" s="1"/>
  <c r="M58" i="1" s="1"/>
  <c r="AC58" i="1" s="1"/>
  <c r="AC59" i="1" s="1"/>
  <c r="AD59" i="1" s="1"/>
  <c r="K100" i="1"/>
  <c r="K76" i="1"/>
  <c r="K77" i="1" s="1"/>
  <c r="M77" i="1" s="1"/>
  <c r="AC77" i="1" s="1"/>
  <c r="K67" i="1"/>
  <c r="K68" i="1" s="1"/>
  <c r="M68" i="1" s="1"/>
  <c r="AC68" i="1" s="1"/>
  <c r="AC75" i="1" s="1"/>
  <c r="K60" i="1"/>
  <c r="K61" i="1" s="1"/>
  <c r="M61" i="1" s="1"/>
  <c r="AC61" i="1" s="1"/>
  <c r="K90" i="1"/>
  <c r="K91" i="1" s="1"/>
  <c r="M91" i="1" s="1"/>
  <c r="AC91" i="1" s="1"/>
  <c r="K37" i="1"/>
  <c r="K38" i="1" s="1"/>
  <c r="M38" i="1" s="1"/>
  <c r="AC38" i="1" s="1"/>
  <c r="K46" i="1"/>
  <c r="K47" i="1" s="1"/>
  <c r="M47" i="1" s="1"/>
  <c r="AC47" i="1" s="1"/>
  <c r="AI8073" i="1" l="1"/>
  <c r="AI107" i="1"/>
  <c r="AI8633" i="1"/>
  <c r="AI163" i="1"/>
  <c r="Q10447" i="1"/>
  <c r="R10447" i="1" s="1"/>
  <c r="T10447" i="1" s="1"/>
  <c r="AI10447" i="1"/>
  <c r="AI10428" i="1"/>
  <c r="H10428" i="1"/>
  <c r="I10428" i="1" s="1"/>
  <c r="Q10428" i="1"/>
  <c r="R10428" i="1" s="1"/>
  <c r="T10428" i="1" s="1"/>
  <c r="H10407" i="1"/>
  <c r="I10407" i="1" s="1"/>
  <c r="AI10407" i="1"/>
  <c r="Q10387" i="1"/>
  <c r="R10387" i="1" s="1"/>
  <c r="T10387" i="1" s="1"/>
  <c r="Q10347" i="1"/>
  <c r="R10347" i="1" s="1"/>
  <c r="T10347" i="1" s="1"/>
  <c r="AI10387" i="1"/>
  <c r="AI10367" i="1"/>
  <c r="H10367" i="1"/>
  <c r="I10367" i="1" s="1"/>
  <c r="Q10367" i="1"/>
  <c r="R10367" i="1" s="1"/>
  <c r="T10367" i="1" s="1"/>
  <c r="AI10347" i="1"/>
  <c r="H10258" i="1"/>
  <c r="I10258" i="1" s="1"/>
  <c r="AI10239" i="1"/>
  <c r="AI10258" i="1"/>
  <c r="H10239" i="1"/>
  <c r="I10239" i="1" s="1"/>
  <c r="Q10239" i="1"/>
  <c r="R10239" i="1" s="1"/>
  <c r="T10239" i="1" s="1"/>
  <c r="AI10233" i="1"/>
  <c r="H10153" i="1"/>
  <c r="I10153" i="1" s="1"/>
  <c r="H10179" i="1"/>
  <c r="I10179" i="1" s="1"/>
  <c r="H10089" i="1"/>
  <c r="I10089" i="1" s="1"/>
  <c r="AI10127" i="1"/>
  <c r="AI10070" i="1"/>
  <c r="H10070" i="1"/>
  <c r="I10070" i="1" s="1"/>
  <c r="Q10127" i="1"/>
  <c r="R10127" i="1" s="1"/>
  <c r="T10127" i="1" s="1"/>
  <c r="H10127" i="1"/>
  <c r="I10127" i="1" s="1"/>
  <c r="H10108" i="1"/>
  <c r="I10108" i="1" s="1"/>
  <c r="Q10108" i="1"/>
  <c r="R10108" i="1" s="1"/>
  <c r="T10108" i="1" s="1"/>
  <c r="AI10089" i="1"/>
  <c r="AI10108" i="1"/>
  <c r="AI10038" i="1"/>
  <c r="H10038" i="1"/>
  <c r="I10038" i="1" s="1"/>
  <c r="AD10010" i="1"/>
  <c r="AB10010" i="1" s="1"/>
  <c r="Q10010" i="1" s="1"/>
  <c r="R10010" i="1" s="1"/>
  <c r="T10010" i="1" s="1"/>
  <c r="AI10010" i="1"/>
  <c r="AB10033" i="1"/>
  <c r="Z10033" i="1"/>
  <c r="AB10028" i="1"/>
  <c r="Z10028" i="1"/>
  <c r="AD9990" i="1"/>
  <c r="AB9990" i="1" s="1"/>
  <c r="Z9993" i="1"/>
  <c r="AB9993" i="1"/>
  <c r="Q9965" i="1"/>
  <c r="R9965" i="1" s="1"/>
  <c r="T9965" i="1" s="1"/>
  <c r="H9965" i="1"/>
  <c r="I9965" i="1" s="1"/>
  <c r="Q9939" i="1"/>
  <c r="R9939" i="1" s="1"/>
  <c r="T9939" i="1" s="1"/>
  <c r="Q9885" i="1"/>
  <c r="R9885" i="1" s="1"/>
  <c r="T9885" i="1" s="1"/>
  <c r="AI9885" i="1"/>
  <c r="H9676" i="1"/>
  <c r="I9676" i="1" s="1"/>
  <c r="AI9676" i="1"/>
  <c r="Q9643" i="1"/>
  <c r="R9643" i="1" s="1"/>
  <c r="T9643" i="1" s="1"/>
  <c r="Q9287" i="1"/>
  <c r="R9287" i="1" s="1"/>
  <c r="T9287" i="1" s="1"/>
  <c r="AB9611" i="1"/>
  <c r="AI9643" i="1"/>
  <c r="AD9610" i="1"/>
  <c r="AB9610" i="1" s="1"/>
  <c r="Q9610" i="1" s="1"/>
  <c r="R9610" i="1" s="1"/>
  <c r="T9610" i="1" s="1"/>
  <c r="AB9616" i="1"/>
  <c r="Z9616" i="1"/>
  <c r="H9404" i="1"/>
  <c r="I9404" i="1" s="1"/>
  <c r="Q10317" i="1"/>
  <c r="R10317" i="1" s="1"/>
  <c r="T10317" i="1" s="1"/>
  <c r="AI9610" i="1"/>
  <c r="AI9581" i="1"/>
  <c r="H9581" i="1"/>
  <c r="I9581" i="1" s="1"/>
  <c r="Q9581" i="1"/>
  <c r="R9581" i="1" s="1"/>
  <c r="T9581" i="1" s="1"/>
  <c r="Q9549" i="1"/>
  <c r="R9549" i="1" s="1"/>
  <c r="T9549" i="1" s="1"/>
  <c r="H9549" i="1"/>
  <c r="I9549" i="1" s="1"/>
  <c r="AI10317" i="1"/>
  <c r="AI9549" i="1"/>
  <c r="Q9520" i="1"/>
  <c r="R9520" i="1" s="1"/>
  <c r="T9520" i="1" s="1"/>
  <c r="H9520" i="1"/>
  <c r="I9520" i="1" s="1"/>
  <c r="AI9520" i="1"/>
  <c r="Q9491" i="1"/>
  <c r="R9491" i="1" s="1"/>
  <c r="T9491" i="1" s="1"/>
  <c r="H9491" i="1"/>
  <c r="I9491" i="1" s="1"/>
  <c r="AI9491" i="1"/>
  <c r="H9462" i="1"/>
  <c r="I9462" i="1" s="1"/>
  <c r="Q9462" i="1"/>
  <c r="R9462" i="1" s="1"/>
  <c r="T9462" i="1" s="1"/>
  <c r="AI9462" i="1"/>
  <c r="H9433" i="1"/>
  <c r="I9433" i="1" s="1"/>
  <c r="Q9433" i="1"/>
  <c r="R9433" i="1" s="1"/>
  <c r="T9433" i="1" s="1"/>
  <c r="AI9433" i="1"/>
  <c r="H9374" i="1"/>
  <c r="I9374" i="1" s="1"/>
  <c r="AI9404" i="1"/>
  <c r="AI9374" i="1"/>
  <c r="Q9258" i="1"/>
  <c r="R9258" i="1" s="1"/>
  <c r="T9258" i="1" s="1"/>
  <c r="H9258" i="1"/>
  <c r="I9258" i="1" s="1"/>
  <c r="H9345" i="1"/>
  <c r="I9345" i="1" s="1"/>
  <c r="Q9345" i="1"/>
  <c r="R9345" i="1" s="1"/>
  <c r="T9345" i="1" s="1"/>
  <c r="H9229" i="1"/>
  <c r="I9229" i="1" s="1"/>
  <c r="Q9229" i="1"/>
  <c r="R9229" i="1" s="1"/>
  <c r="T9229" i="1" s="1"/>
  <c r="Q9316" i="1"/>
  <c r="R9316" i="1" s="1"/>
  <c r="T9316" i="1" s="1"/>
  <c r="H9316" i="1"/>
  <c r="I9316" i="1" s="1"/>
  <c r="AI9345" i="1"/>
  <c r="AI9316" i="1"/>
  <c r="AI9287" i="1"/>
  <c r="AI9258" i="1"/>
  <c r="AI9229" i="1"/>
  <c r="Q9200" i="1"/>
  <c r="R9200" i="1" s="1"/>
  <c r="T9200" i="1" s="1"/>
  <c r="H9200" i="1"/>
  <c r="I9200" i="1" s="1"/>
  <c r="AI9200" i="1"/>
  <c r="Q6927" i="1"/>
  <c r="R6927" i="1" s="1"/>
  <c r="T6927" i="1" s="1"/>
  <c r="H6927" i="1"/>
  <c r="I6927" i="1" s="1"/>
  <c r="AI6927" i="1"/>
  <c r="AI6916" i="1"/>
  <c r="H6697" i="1"/>
  <c r="I6697" i="1" s="1"/>
  <c r="AI6697" i="1"/>
  <c r="AI6686" i="1"/>
  <c r="AI6469" i="1"/>
  <c r="Q6469" i="1"/>
  <c r="R6469" i="1" s="1"/>
  <c r="T6469" i="1" s="1"/>
  <c r="H6469" i="1"/>
  <c r="I6469" i="1" s="1"/>
  <c r="AI6458" i="1"/>
  <c r="H6574" i="1"/>
  <c r="I6574" i="1" s="1"/>
  <c r="Q6574" i="1"/>
  <c r="R6574" i="1" s="1"/>
  <c r="T6574" i="1" s="1"/>
  <c r="H6599" i="1"/>
  <c r="I6599" i="1" s="1"/>
  <c r="Q6599" i="1"/>
  <c r="R6599" i="1" s="1"/>
  <c r="T6599" i="1" s="1"/>
  <c r="H6828" i="1"/>
  <c r="I6828" i="1" s="1"/>
  <c r="Q6828" i="1"/>
  <c r="R6828" i="1" s="1"/>
  <c r="T6828" i="1" s="1"/>
  <c r="Q6543" i="1"/>
  <c r="R6543" i="1" s="1"/>
  <c r="T6543" i="1" s="1"/>
  <c r="H6543" i="1"/>
  <c r="I6543" i="1" s="1"/>
  <c r="H6803" i="1"/>
  <c r="I6803" i="1" s="1"/>
  <c r="Q6803" i="1"/>
  <c r="R6803" i="1" s="1"/>
  <c r="T6803" i="1" s="1"/>
  <c r="H6853" i="1"/>
  <c r="I6853" i="1" s="1"/>
  <c r="Q6853" i="1"/>
  <c r="R6853" i="1" s="1"/>
  <c r="T6853" i="1" s="1"/>
  <c r="Q6370" i="1"/>
  <c r="R6370" i="1" s="1"/>
  <c r="T6370" i="1" s="1"/>
  <c r="Q6773" i="1"/>
  <c r="R6773" i="1" s="1"/>
  <c r="T6773" i="1" s="1"/>
  <c r="H6773" i="1"/>
  <c r="I6773" i="1" s="1"/>
  <c r="H6624" i="1"/>
  <c r="I6624" i="1" s="1"/>
  <c r="Q6624" i="1"/>
  <c r="R6624" i="1" s="1"/>
  <c r="T6624" i="1" s="1"/>
  <c r="AI6624" i="1"/>
  <c r="AI6345" i="1"/>
  <c r="AI6395" i="1"/>
  <c r="H6345" i="1"/>
  <c r="I6345" i="1" s="1"/>
  <c r="Q6345" i="1"/>
  <c r="R6345" i="1" s="1"/>
  <c r="T6345" i="1" s="1"/>
  <c r="H6395" i="1"/>
  <c r="I6395" i="1" s="1"/>
  <c r="Q6395" i="1"/>
  <c r="R6395" i="1" s="1"/>
  <c r="T6395" i="1" s="1"/>
  <c r="AI6370" i="1"/>
  <c r="AI6543" i="1"/>
  <c r="AI6853" i="1"/>
  <c r="AI6574" i="1"/>
  <c r="AI6599" i="1"/>
  <c r="AI6828" i="1"/>
  <c r="AI6773" i="1"/>
  <c r="AI6803" i="1"/>
  <c r="H6315" i="1"/>
  <c r="I6315" i="1" s="1"/>
  <c r="AI6315" i="1"/>
  <c r="Q6235" i="1"/>
  <c r="R6235" i="1" s="1"/>
  <c r="T6235" i="1" s="1"/>
  <c r="H6235" i="1"/>
  <c r="I6235" i="1" s="1"/>
  <c r="AI6235" i="1"/>
  <c r="Z6228" i="1"/>
  <c r="AD6220" i="1"/>
  <c r="AB6220" i="1" s="1"/>
  <c r="AI6658" i="1"/>
  <c r="Q6671" i="1"/>
  <c r="R6671" i="1" s="1"/>
  <c r="T6671" i="1" s="1"/>
  <c r="Z6236" i="1"/>
  <c r="AB6236" i="1"/>
  <c r="H6443" i="1"/>
  <c r="I6443" i="1" s="1"/>
  <c r="AI6443" i="1"/>
  <c r="AI6671" i="1"/>
  <c r="Q6658" i="1"/>
  <c r="R6658" i="1" s="1"/>
  <c r="T6658" i="1" s="1"/>
  <c r="H6658" i="1"/>
  <c r="I6658" i="1" s="1"/>
  <c r="H6901" i="1"/>
  <c r="I6901" i="1" s="1"/>
  <c r="Q6901" i="1"/>
  <c r="R6901" i="1" s="1"/>
  <c r="T6901" i="1" s="1"/>
  <c r="H6888" i="1"/>
  <c r="I6888" i="1" s="1"/>
  <c r="Q6888" i="1"/>
  <c r="R6888" i="1" s="1"/>
  <c r="T6888" i="1" s="1"/>
  <c r="AI6901" i="1"/>
  <c r="AI6430" i="1"/>
  <c r="AI6220" i="1"/>
  <c r="Q6430" i="1"/>
  <c r="R6430" i="1" s="1"/>
  <c r="T6430" i="1" s="1"/>
  <c r="H6430" i="1"/>
  <c r="I6430" i="1" s="1"/>
  <c r="AI6888" i="1"/>
  <c r="Q6207" i="1"/>
  <c r="R6207" i="1" s="1"/>
  <c r="T6207" i="1" s="1"/>
  <c r="AI6207" i="1"/>
  <c r="Q6148" i="1"/>
  <c r="R6148" i="1" s="1"/>
  <c r="T6148" i="1" s="1"/>
  <c r="Q6173" i="1"/>
  <c r="R6173" i="1" s="1"/>
  <c r="T6173" i="1" s="1"/>
  <c r="AI6148" i="1"/>
  <c r="AI6173" i="1"/>
  <c r="AI6123" i="1"/>
  <c r="Q6245" i="1"/>
  <c r="R6245" i="1" s="1"/>
  <c r="T6245" i="1" s="1"/>
  <c r="Q6123" i="1"/>
  <c r="R6123" i="1" s="1"/>
  <c r="T6123" i="1" s="1"/>
  <c r="AI6245" i="1"/>
  <c r="H6092" i="1"/>
  <c r="I6092" i="1" s="1"/>
  <c r="AI6092" i="1"/>
  <c r="AB6063" i="1"/>
  <c r="AD6062" i="1"/>
  <c r="AB6062" i="1" s="1"/>
  <c r="Q6062" i="1" s="1"/>
  <c r="R6062" i="1" s="1"/>
  <c r="T6062" i="1" s="1"/>
  <c r="AI5868" i="1"/>
  <c r="Q5920" i="1"/>
  <c r="R5920" i="1" s="1"/>
  <c r="T5920" i="1" s="1"/>
  <c r="AI5889" i="1"/>
  <c r="Q5889" i="1"/>
  <c r="R5889" i="1" s="1"/>
  <c r="T5889" i="1" s="1"/>
  <c r="H5889" i="1"/>
  <c r="I5889" i="1" s="1"/>
  <c r="AI5920" i="1"/>
  <c r="H5868" i="1"/>
  <c r="I5868" i="1" s="1"/>
  <c r="Q5868" i="1"/>
  <c r="R5868" i="1" s="1"/>
  <c r="T5868" i="1" s="1"/>
  <c r="H5838" i="1"/>
  <c r="I5838" i="1" s="1"/>
  <c r="AI5838" i="1"/>
  <c r="H5808" i="1"/>
  <c r="I5808" i="1" s="1"/>
  <c r="Q5808" i="1"/>
  <c r="R5808" i="1" s="1"/>
  <c r="T5808" i="1" s="1"/>
  <c r="AI5808" i="1"/>
  <c r="AI5774" i="1"/>
  <c r="Q5774" i="1"/>
  <c r="R5774" i="1" s="1"/>
  <c r="T5774" i="1" s="1"/>
  <c r="H5774" i="1"/>
  <c r="I5774" i="1" s="1"/>
  <c r="H5732" i="1"/>
  <c r="I5732" i="1" s="1"/>
  <c r="Q5732" i="1"/>
  <c r="R5732" i="1" s="1"/>
  <c r="T5732" i="1" s="1"/>
  <c r="AI5732" i="1"/>
  <c r="H5702" i="1"/>
  <c r="I5702" i="1" s="1"/>
  <c r="Q5702" i="1"/>
  <c r="R5702" i="1" s="1"/>
  <c r="T5702" i="1" s="1"/>
  <c r="AI5702" i="1"/>
  <c r="Q5672" i="1"/>
  <c r="R5672" i="1" s="1"/>
  <c r="T5672" i="1" s="1"/>
  <c r="H5672" i="1"/>
  <c r="I5672" i="1" s="1"/>
  <c r="Q5551" i="1"/>
  <c r="R5551" i="1" s="1"/>
  <c r="T5551" i="1" s="1"/>
  <c r="AI5672" i="1"/>
  <c r="H5642" i="1"/>
  <c r="I5642" i="1" s="1"/>
  <c r="Q5642" i="1"/>
  <c r="R5642" i="1" s="1"/>
  <c r="T5642" i="1" s="1"/>
  <c r="AI5642" i="1"/>
  <c r="AI5612" i="1"/>
  <c r="Q5612" i="1"/>
  <c r="R5612" i="1" s="1"/>
  <c r="T5612" i="1" s="1"/>
  <c r="H5612" i="1"/>
  <c r="I5612" i="1" s="1"/>
  <c r="H5581" i="1"/>
  <c r="I5581" i="1" s="1"/>
  <c r="Q5581" i="1"/>
  <c r="R5581" i="1" s="1"/>
  <c r="T5581" i="1" s="1"/>
  <c r="AI5581" i="1"/>
  <c r="AI5551" i="1"/>
  <c r="H5449" i="1"/>
  <c r="I5449" i="1" s="1"/>
  <c r="Q5511" i="1"/>
  <c r="R5511" i="1" s="1"/>
  <c r="T5511" i="1" s="1"/>
  <c r="H5511" i="1"/>
  <c r="I5511" i="1" s="1"/>
  <c r="Q5480" i="1"/>
  <c r="R5480" i="1" s="1"/>
  <c r="T5480" i="1" s="1"/>
  <c r="H5480" i="1"/>
  <c r="I5480" i="1" s="1"/>
  <c r="AI5480" i="1"/>
  <c r="AI5511" i="1"/>
  <c r="AI5449" i="1"/>
  <c r="H5414" i="1"/>
  <c r="I5414" i="1" s="1"/>
  <c r="Q5414" i="1"/>
  <c r="R5414" i="1" s="1"/>
  <c r="T5414" i="1" s="1"/>
  <c r="AI5414" i="1"/>
  <c r="AI5384" i="1"/>
  <c r="H5384" i="1"/>
  <c r="I5384" i="1" s="1"/>
  <c r="Q5384" i="1"/>
  <c r="R5384" i="1" s="1"/>
  <c r="T5384" i="1" s="1"/>
  <c r="AI5354" i="1"/>
  <c r="Q5354" i="1"/>
  <c r="R5354" i="1" s="1"/>
  <c r="T5354" i="1" s="1"/>
  <c r="H5354" i="1"/>
  <c r="I5354" i="1" s="1"/>
  <c r="Q5324" i="1"/>
  <c r="R5324" i="1" s="1"/>
  <c r="T5324" i="1" s="1"/>
  <c r="H5324" i="1"/>
  <c r="I5324" i="1" s="1"/>
  <c r="AI5324" i="1"/>
  <c r="Q5294" i="1"/>
  <c r="R5294" i="1" s="1"/>
  <c r="T5294" i="1" s="1"/>
  <c r="H5294" i="1"/>
  <c r="I5294" i="1" s="1"/>
  <c r="AI5294" i="1"/>
  <c r="H5264" i="1"/>
  <c r="I5264" i="1" s="1"/>
  <c r="Q5264" i="1"/>
  <c r="R5264" i="1" s="1"/>
  <c r="T5264" i="1" s="1"/>
  <c r="AI5264" i="1"/>
  <c r="Q5204" i="1"/>
  <c r="R5204" i="1" s="1"/>
  <c r="T5204" i="1" s="1"/>
  <c r="Q5234" i="1"/>
  <c r="R5234" i="1" s="1"/>
  <c r="T5234" i="1" s="1"/>
  <c r="AI5234" i="1"/>
  <c r="AI5204" i="1"/>
  <c r="H5174" i="1"/>
  <c r="I5174" i="1" s="1"/>
  <c r="Q5174" i="1"/>
  <c r="R5174" i="1" s="1"/>
  <c r="T5174" i="1" s="1"/>
  <c r="AI5174" i="1"/>
  <c r="H5144" i="1"/>
  <c r="I5144" i="1" s="1"/>
  <c r="Q5144" i="1"/>
  <c r="R5144" i="1" s="1"/>
  <c r="T5144" i="1" s="1"/>
  <c r="AI5114" i="1"/>
  <c r="AI5144" i="1"/>
  <c r="H5114" i="1"/>
  <c r="I5114" i="1" s="1"/>
  <c r="Q5114" i="1"/>
  <c r="R5114" i="1" s="1"/>
  <c r="T5114" i="1" s="1"/>
  <c r="Q5078" i="1"/>
  <c r="R5078" i="1" s="1"/>
  <c r="T5078" i="1" s="1"/>
  <c r="H5078" i="1"/>
  <c r="I5078" i="1" s="1"/>
  <c r="AI5078" i="1"/>
  <c r="AI5016" i="1"/>
  <c r="H5047" i="1"/>
  <c r="I5047" i="1" s="1"/>
  <c r="Q5047" i="1"/>
  <c r="R5047" i="1" s="1"/>
  <c r="T5047" i="1" s="1"/>
  <c r="AI5047" i="1"/>
  <c r="Q5016" i="1"/>
  <c r="R5016" i="1" s="1"/>
  <c r="T5016" i="1" s="1"/>
  <c r="H5016" i="1"/>
  <c r="I5016" i="1" s="1"/>
  <c r="AB4998" i="1"/>
  <c r="Z4998" i="1"/>
  <c r="AI4985" i="1"/>
  <c r="Q4985" i="1"/>
  <c r="R4985" i="1" s="1"/>
  <c r="T4985" i="1" s="1"/>
  <c r="H4985" i="1"/>
  <c r="I4985" i="1" s="1"/>
  <c r="Q4941" i="1"/>
  <c r="R4941" i="1" s="1"/>
  <c r="T4941" i="1" s="1"/>
  <c r="H4941" i="1"/>
  <c r="I4941" i="1" s="1"/>
  <c r="AI4941" i="1"/>
  <c r="AI4911" i="1"/>
  <c r="H4911" i="1"/>
  <c r="I4911" i="1" s="1"/>
  <c r="Q4911" i="1"/>
  <c r="R4911" i="1" s="1"/>
  <c r="T4911" i="1" s="1"/>
  <c r="Q4881" i="1"/>
  <c r="R4881" i="1" s="1"/>
  <c r="T4881" i="1" s="1"/>
  <c r="H4881" i="1"/>
  <c r="I4881" i="1" s="1"/>
  <c r="AD132" i="1"/>
  <c r="AB132" i="1" s="1"/>
  <c r="Q132" i="1" s="1"/>
  <c r="R132" i="1" s="1"/>
  <c r="T132" i="1" s="1"/>
  <c r="AI4881" i="1"/>
  <c r="AI4851" i="1"/>
  <c r="H4851" i="1"/>
  <c r="I4851" i="1" s="1"/>
  <c r="Q4851" i="1"/>
  <c r="R4851" i="1" s="1"/>
  <c r="T4851" i="1" s="1"/>
  <c r="H4761" i="1"/>
  <c r="I4761" i="1" s="1"/>
  <c r="H4821" i="1"/>
  <c r="I4821" i="1" s="1"/>
  <c r="AI4821" i="1"/>
  <c r="Q4791" i="1"/>
  <c r="R4791" i="1" s="1"/>
  <c r="T4791" i="1" s="1"/>
  <c r="H4791" i="1"/>
  <c r="I4791" i="1" s="1"/>
  <c r="AI4791" i="1"/>
  <c r="AI4761" i="1"/>
  <c r="H4701" i="1"/>
  <c r="I4701" i="1" s="1"/>
  <c r="Q4731" i="1"/>
  <c r="R4731" i="1" s="1"/>
  <c r="T4731" i="1" s="1"/>
  <c r="H4731" i="1"/>
  <c r="I4731" i="1" s="1"/>
  <c r="AI4731" i="1"/>
  <c r="AB140" i="1"/>
  <c r="AI4671" i="1"/>
  <c r="AI4701" i="1"/>
  <c r="Q4671" i="1"/>
  <c r="R4671" i="1" s="1"/>
  <c r="T4671" i="1" s="1"/>
  <c r="H4671" i="1"/>
  <c r="I4671" i="1" s="1"/>
  <c r="Z140" i="1"/>
  <c r="AB7784" i="1"/>
  <c r="AD107" i="1"/>
  <c r="AB107" i="1" s="1"/>
  <c r="AI132" i="1"/>
  <c r="AB65" i="1"/>
  <c r="AD64" i="1"/>
  <c r="AD63" i="1" s="1"/>
  <c r="AC62" i="1"/>
  <c r="AD62" i="1" s="1"/>
  <c r="AB59" i="1"/>
  <c r="AD58" i="1"/>
  <c r="AD57" i="1" s="1"/>
  <c r="P54" i="1"/>
  <c r="K55" i="1"/>
  <c r="M55" i="1" s="1"/>
  <c r="AC55" i="1" s="1"/>
  <c r="AC56" i="1" s="1"/>
  <c r="AD56" i="1" s="1"/>
  <c r="M51" i="1"/>
  <c r="N51" i="1" s="1"/>
  <c r="K52" i="1"/>
  <c r="M52" i="1" s="1"/>
  <c r="AC52" i="1" s="1"/>
  <c r="AC53" i="1" s="1"/>
  <c r="AD53" i="1" s="1"/>
  <c r="AD52" i="1" s="1"/>
  <c r="AD51" i="1" s="1"/>
  <c r="AC50" i="1"/>
  <c r="AD50" i="1" s="1"/>
  <c r="AB50" i="1" s="1"/>
  <c r="AC49" i="1"/>
  <c r="AD49" i="1" s="1"/>
  <c r="AB49" i="1" s="1"/>
  <c r="AC48" i="1"/>
  <c r="AD48" i="1" s="1"/>
  <c r="AI8366" i="1"/>
  <c r="AI7893" i="1"/>
  <c r="AI8043" i="1"/>
  <c r="AI8147" i="1"/>
  <c r="AI7944" i="1"/>
  <c r="AI8502" i="1"/>
  <c r="AI8412" i="1"/>
  <c r="AI8428" i="1"/>
  <c r="AI8552" i="1"/>
  <c r="AI7053" i="1"/>
  <c r="AI8195" i="1"/>
  <c r="AI7417" i="1"/>
  <c r="AI7316" i="1"/>
  <c r="AI7575" i="1"/>
  <c r="AI7455" i="1"/>
  <c r="AI7595" i="1"/>
  <c r="AI7813" i="1"/>
  <c r="AI7993" i="1"/>
  <c r="AI6992" i="1"/>
  <c r="AI7095" i="1"/>
  <c r="AI7376" i="1"/>
  <c r="AI8008" i="1"/>
  <c r="AI7012" i="1"/>
  <c r="AI6969" i="1"/>
  <c r="AI7739" i="1"/>
  <c r="AI7074" i="1"/>
  <c r="AI3228" i="1"/>
  <c r="AI7176" i="1"/>
  <c r="AI6949" i="1"/>
  <c r="AI7536" i="1"/>
  <c r="AI8480" i="1"/>
  <c r="AI7436" i="1"/>
  <c r="AI3104" i="1"/>
  <c r="AI7118" i="1"/>
  <c r="AI8132" i="1"/>
  <c r="AI7032" i="1"/>
  <c r="AI7337" i="1"/>
  <c r="AI7928" i="1"/>
  <c r="AI8569" i="1"/>
  <c r="AI7675" i="1"/>
  <c r="AI7216" i="1"/>
  <c r="AI7356" i="1"/>
  <c r="AI8311" i="1"/>
  <c r="AI8327" i="1"/>
  <c r="AI8163" i="1"/>
  <c r="AI8179" i="1"/>
  <c r="AI7256" i="1"/>
  <c r="AI7913" i="1"/>
  <c r="AI8518" i="1"/>
  <c r="AI3375" i="1"/>
  <c r="AI7655" i="1"/>
  <c r="AI7798" i="1"/>
  <c r="AI7719" i="1"/>
  <c r="AI7877" i="1"/>
  <c r="AI8464" i="1"/>
  <c r="AI7475" i="1"/>
  <c r="AI8213" i="1"/>
  <c r="AI8058" i="1"/>
  <c r="AI3125" i="1"/>
  <c r="AI8381" i="1"/>
  <c r="AI7695" i="1"/>
  <c r="AI7156" i="1"/>
  <c r="AI7237" i="1"/>
  <c r="AI8023" i="1"/>
  <c r="AI7636" i="1"/>
  <c r="AI7615" i="1"/>
  <c r="AI7960" i="1"/>
  <c r="AI8348" i="1"/>
  <c r="AI8279" i="1"/>
  <c r="AI7831" i="1"/>
  <c r="AI7861" i="1"/>
  <c r="AI7296" i="1"/>
  <c r="AI8228" i="1"/>
  <c r="AI7137" i="1"/>
  <c r="AI7276" i="1"/>
  <c r="AI7846" i="1"/>
  <c r="AI8295" i="1"/>
  <c r="AI7515" i="1"/>
  <c r="AI8586" i="1"/>
  <c r="AI7396" i="1"/>
  <c r="AI8244" i="1"/>
  <c r="AI7495" i="1"/>
  <c r="AI7976" i="1"/>
  <c r="AI7196" i="1"/>
  <c r="AI8396" i="1"/>
  <c r="AI7555" i="1"/>
  <c r="AI8263" i="1"/>
  <c r="AI7760" i="1"/>
  <c r="AI8444" i="1"/>
  <c r="AI8602" i="1"/>
  <c r="AI3460" i="1"/>
  <c r="AI3354" i="1"/>
  <c r="AI8111" i="1"/>
  <c r="AI8089" i="1"/>
  <c r="AI7783" i="1"/>
  <c r="AI3020" i="1"/>
  <c r="AI3041" i="1"/>
  <c r="AI4081" i="1"/>
  <c r="AI2978" i="1"/>
  <c r="AI2958" i="1"/>
  <c r="AI3396" i="1"/>
  <c r="AI2916" i="1"/>
  <c r="AI8536" i="1"/>
  <c r="AI3438" i="1"/>
  <c r="AI3291" i="1"/>
  <c r="AI3417" i="1"/>
  <c r="AI3062" i="1"/>
  <c r="AI2876" i="1"/>
  <c r="AI3312" i="1"/>
  <c r="AI3083" i="1"/>
  <c r="AI3270" i="1"/>
  <c r="AI3502" i="1"/>
  <c r="AI2896" i="1"/>
  <c r="AI3249" i="1"/>
  <c r="AI3481" i="1"/>
  <c r="AI2999" i="1"/>
  <c r="AI3165" i="1"/>
  <c r="AI3207" i="1"/>
  <c r="AI3564" i="1"/>
  <c r="AI3333" i="1"/>
  <c r="AI3186" i="1"/>
  <c r="AI2938" i="1"/>
  <c r="AI3646" i="1"/>
  <c r="AI3624" i="1"/>
  <c r="AI3880" i="1"/>
  <c r="AI3818" i="1"/>
  <c r="AI3961" i="1"/>
  <c r="AC40" i="1"/>
  <c r="AD40" i="1" s="1"/>
  <c r="AB40" i="1" s="1"/>
  <c r="AC45" i="1"/>
  <c r="AD45" i="1" s="1"/>
  <c r="AB45" i="1" s="1"/>
  <c r="AC42" i="1"/>
  <c r="AD42" i="1" s="1"/>
  <c r="AB42" i="1" s="1"/>
  <c r="AC44" i="1"/>
  <c r="AD44" i="1" s="1"/>
  <c r="AB44" i="1" s="1"/>
  <c r="AD39" i="1"/>
  <c r="AC41" i="1"/>
  <c r="AD41" i="1" s="1"/>
  <c r="AB41" i="1" s="1"/>
  <c r="AC43" i="1"/>
  <c r="AD43" i="1" s="1"/>
  <c r="AB43" i="1" s="1"/>
  <c r="AI3756" i="1"/>
  <c r="AI3712" i="1"/>
  <c r="Q9152" i="1"/>
  <c r="R9152" i="1" s="1"/>
  <c r="T9152" i="1" s="1"/>
  <c r="H9152" i="1"/>
  <c r="I9152" i="1" s="1"/>
  <c r="Q9122" i="1"/>
  <c r="R9122" i="1" s="1"/>
  <c r="T9122" i="1" s="1"/>
  <c r="H9122" i="1"/>
  <c r="I9122" i="1" s="1"/>
  <c r="H9092" i="1"/>
  <c r="I9092" i="1" s="1"/>
  <c r="Q9092" i="1"/>
  <c r="R9092" i="1" s="1"/>
  <c r="T9092" i="1" s="1"/>
  <c r="AI9152" i="1"/>
  <c r="AI9122" i="1"/>
  <c r="AI3668" i="1"/>
  <c r="AI9092" i="1"/>
  <c r="AI3981" i="1"/>
  <c r="AI3858" i="1"/>
  <c r="AI3544" i="1"/>
  <c r="AI4041" i="1"/>
  <c r="AI3778" i="1"/>
  <c r="AI4021" i="1"/>
  <c r="AI3525" i="1"/>
  <c r="AI3901" i="1"/>
  <c r="AI3920" i="1"/>
  <c r="AI3838" i="1"/>
  <c r="AI3940" i="1"/>
  <c r="AI3692" i="1"/>
  <c r="AI4061" i="1"/>
  <c r="AI3584" i="1"/>
  <c r="AI4001" i="1"/>
  <c r="AI3737" i="1"/>
  <c r="AI3604" i="1"/>
  <c r="AI3798" i="1"/>
  <c r="H9062" i="1"/>
  <c r="I9062" i="1" s="1"/>
  <c r="Q9062" i="1"/>
  <c r="R9062" i="1" s="1"/>
  <c r="T9062" i="1" s="1"/>
  <c r="AI9062" i="1"/>
  <c r="AI4223" i="1"/>
  <c r="AI4122" i="1"/>
  <c r="AI4242" i="1"/>
  <c r="AI4338" i="1"/>
  <c r="AI4300" i="1"/>
  <c r="AI4181" i="1"/>
  <c r="AI4141" i="1"/>
  <c r="AI4205" i="1"/>
  <c r="AI4319" i="1"/>
  <c r="AI4102" i="1"/>
  <c r="AI4263" i="1"/>
  <c r="AI4281" i="1"/>
  <c r="AI9024" i="1"/>
  <c r="Q9024" i="1"/>
  <c r="R9024" i="1" s="1"/>
  <c r="T9024" i="1" s="1"/>
  <c r="H9024" i="1"/>
  <c r="I9024" i="1" s="1"/>
  <c r="AI464" i="1"/>
  <c r="AI2037" i="1"/>
  <c r="AI358" i="1"/>
  <c r="AI248" i="1"/>
  <c r="AI2019" i="1"/>
  <c r="AI303" i="1"/>
  <c r="AI229" i="1"/>
  <c r="AI2056" i="1"/>
  <c r="AI2167" i="1"/>
  <c r="AI440" i="1"/>
  <c r="AI2129" i="1"/>
  <c r="AI1964" i="1"/>
  <c r="AI1982" i="1"/>
  <c r="AI2092" i="1"/>
  <c r="AI321" i="1"/>
  <c r="AI2000" i="1"/>
  <c r="AI266" i="1"/>
  <c r="AI421" i="1"/>
  <c r="AI193" i="1"/>
  <c r="AI483" i="1"/>
  <c r="AI377" i="1"/>
  <c r="AI2111" i="1"/>
  <c r="AI211" i="1"/>
  <c r="AI340" i="1"/>
  <c r="AI2192" i="1"/>
  <c r="AI2148" i="1"/>
  <c r="AI502" i="1"/>
  <c r="AI403" i="1"/>
  <c r="AI2074" i="1"/>
  <c r="AI774" i="1"/>
  <c r="AI285" i="1"/>
  <c r="AI805" i="1"/>
  <c r="AI1641" i="1"/>
  <c r="AI1584" i="1"/>
  <c r="AI1232" i="1"/>
  <c r="AI1406" i="1"/>
  <c r="AI909" i="1"/>
  <c r="AI1071" i="1"/>
  <c r="AI967" i="1"/>
  <c r="AI936" i="1"/>
  <c r="AI1258" i="1"/>
  <c r="AI1346" i="1"/>
  <c r="AI857" i="1"/>
  <c r="AI1206" i="1"/>
  <c r="AI1677" i="1"/>
  <c r="AI1520" i="1"/>
  <c r="AI1154" i="1"/>
  <c r="AI1320" i="1"/>
  <c r="AI993" i="1"/>
  <c r="AI1289" i="1"/>
  <c r="AI883" i="1"/>
  <c r="AI1123" i="1"/>
  <c r="AI1433" i="1"/>
  <c r="AI1373" i="1"/>
  <c r="AI1491" i="1"/>
  <c r="AI1851" i="1"/>
  <c r="AI831" i="1"/>
  <c r="AI2735" i="1"/>
  <c r="AI1019" i="1"/>
  <c r="AI1709" i="1"/>
  <c r="AI1553" i="1"/>
  <c r="AI1465" i="1"/>
  <c r="AI1741" i="1"/>
  <c r="AI1045" i="1"/>
  <c r="AI1180" i="1"/>
  <c r="AI1610" i="1"/>
  <c r="AI1097" i="1"/>
  <c r="AI1937" i="1"/>
  <c r="AI2856" i="1"/>
  <c r="AI1889" i="1"/>
  <c r="AI2543" i="1"/>
  <c r="AI2577" i="1"/>
  <c r="AI2608" i="1"/>
  <c r="AI2512" i="1"/>
  <c r="AI2447" i="1"/>
  <c r="AI2416" i="1"/>
  <c r="AI8994" i="1"/>
  <c r="AI2481" i="1"/>
  <c r="AI2639" i="1"/>
  <c r="AI2703" i="1"/>
  <c r="H8934" i="1"/>
  <c r="I8934" i="1" s="1"/>
  <c r="Q8994" i="1"/>
  <c r="R8994" i="1" s="1"/>
  <c r="T8994" i="1" s="1"/>
  <c r="H8994" i="1"/>
  <c r="I8994" i="1" s="1"/>
  <c r="AI2671" i="1"/>
  <c r="Q8964" i="1"/>
  <c r="R8964" i="1" s="1"/>
  <c r="T8964" i="1" s="1"/>
  <c r="H8964" i="1"/>
  <c r="I8964" i="1" s="1"/>
  <c r="AI8964" i="1"/>
  <c r="H8874" i="1"/>
  <c r="I8874" i="1" s="1"/>
  <c r="AI8934" i="1"/>
  <c r="Q8904" i="1"/>
  <c r="R8904" i="1" s="1"/>
  <c r="T8904" i="1" s="1"/>
  <c r="H8904" i="1"/>
  <c r="I8904" i="1" s="1"/>
  <c r="AI8904" i="1"/>
  <c r="AI4626" i="1"/>
  <c r="H8777" i="1"/>
  <c r="I8777" i="1" s="1"/>
  <c r="Q8777" i="1"/>
  <c r="R8777" i="1" s="1"/>
  <c r="T8777" i="1" s="1"/>
  <c r="AI4526" i="1"/>
  <c r="AI4557" i="1"/>
  <c r="AI4495" i="1"/>
  <c r="AI4591" i="1"/>
  <c r="AI8874" i="1"/>
  <c r="AI8837" i="1"/>
  <c r="Q8837" i="1"/>
  <c r="R8837" i="1" s="1"/>
  <c r="T8837" i="1" s="1"/>
  <c r="H8837" i="1"/>
  <c r="I8837" i="1" s="1"/>
  <c r="AI8807" i="1"/>
  <c r="AI8777" i="1"/>
  <c r="AI8747" i="1"/>
  <c r="AI8687" i="1"/>
  <c r="AI8717" i="1"/>
  <c r="AI8666" i="1"/>
  <c r="Q8807" i="1"/>
  <c r="R8807" i="1" s="1"/>
  <c r="T8807" i="1" s="1"/>
  <c r="H8807" i="1"/>
  <c r="I8807" i="1" s="1"/>
  <c r="Q8747" i="1"/>
  <c r="R8747" i="1" s="1"/>
  <c r="T8747" i="1" s="1"/>
  <c r="H8747" i="1"/>
  <c r="I8747" i="1" s="1"/>
  <c r="Q8717" i="1"/>
  <c r="R8717" i="1" s="1"/>
  <c r="T8717" i="1" s="1"/>
  <c r="H8717" i="1"/>
  <c r="I8717" i="1" s="1"/>
  <c r="H8687" i="1"/>
  <c r="I8687" i="1" s="1"/>
  <c r="Q8687" i="1"/>
  <c r="R8687" i="1" s="1"/>
  <c r="T8687" i="1" s="1"/>
  <c r="Q8633" i="1"/>
  <c r="R8633" i="1" s="1"/>
  <c r="T8633" i="1" s="1"/>
  <c r="Q8666" i="1"/>
  <c r="R8666" i="1" s="1"/>
  <c r="T8666" i="1" s="1"/>
  <c r="H8666" i="1"/>
  <c r="I8666" i="1" s="1"/>
  <c r="Q4626" i="1"/>
  <c r="R4626" i="1" s="1"/>
  <c r="T4626" i="1" s="1"/>
  <c r="H4626" i="1"/>
  <c r="I4626" i="1" s="1"/>
  <c r="Q4526" i="1"/>
  <c r="R4526" i="1" s="1"/>
  <c r="T4526" i="1" s="1"/>
  <c r="H4526" i="1"/>
  <c r="I4526" i="1" s="1"/>
  <c r="Q4495" i="1"/>
  <c r="R4495" i="1" s="1"/>
  <c r="T4495" i="1" s="1"/>
  <c r="H4495" i="1"/>
  <c r="I4495" i="1" s="1"/>
  <c r="Q4557" i="1"/>
  <c r="R4557" i="1" s="1"/>
  <c r="T4557" i="1" s="1"/>
  <c r="H4557" i="1"/>
  <c r="I4557" i="1" s="1"/>
  <c r="Q4591" i="1"/>
  <c r="R4591" i="1" s="1"/>
  <c r="T4591" i="1" s="1"/>
  <c r="H4591" i="1"/>
  <c r="I4591" i="1" s="1"/>
  <c r="H2856" i="1"/>
  <c r="I2856" i="1" s="1"/>
  <c r="Q2856" i="1"/>
  <c r="R2856" i="1" s="1"/>
  <c r="T2856" i="1" s="1"/>
  <c r="H2735" i="1"/>
  <c r="I2735" i="1" s="1"/>
  <c r="Q2671" i="1"/>
  <c r="R2671" i="1" s="1"/>
  <c r="T2671" i="1" s="1"/>
  <c r="H2671" i="1"/>
  <c r="I2671" i="1" s="1"/>
  <c r="Q2703" i="1"/>
  <c r="R2703" i="1" s="1"/>
  <c r="T2703" i="1" s="1"/>
  <c r="H2703" i="1"/>
  <c r="I2703" i="1" s="1"/>
  <c r="Q2608" i="1"/>
  <c r="R2608" i="1" s="1"/>
  <c r="T2608" i="1" s="1"/>
  <c r="H2577" i="1"/>
  <c r="I2577" i="1" s="1"/>
  <c r="Q2577" i="1"/>
  <c r="R2577" i="1" s="1"/>
  <c r="T2577" i="1" s="1"/>
  <c r="H2639" i="1"/>
  <c r="I2639" i="1" s="1"/>
  <c r="Q2639" i="1"/>
  <c r="R2639" i="1" s="1"/>
  <c r="T2639" i="1" s="1"/>
  <c r="Q2543" i="1"/>
  <c r="R2543" i="1" s="1"/>
  <c r="T2543" i="1" s="1"/>
  <c r="H2512" i="1"/>
  <c r="I2512" i="1" s="1"/>
  <c r="Q2481" i="1"/>
  <c r="R2481" i="1" s="1"/>
  <c r="T2481" i="1" s="1"/>
  <c r="H2481" i="1"/>
  <c r="I2481" i="1" s="1"/>
  <c r="H2447" i="1"/>
  <c r="I2447" i="1" s="1"/>
  <c r="Q2416" i="1"/>
  <c r="R2416" i="1" s="1"/>
  <c r="T2416" i="1" s="1"/>
  <c r="H2416" i="1"/>
  <c r="I2416" i="1" s="1"/>
  <c r="Q3460" i="1"/>
  <c r="R3460" i="1" s="1"/>
  <c r="T3460" i="1" s="1"/>
  <c r="H3417" i="1"/>
  <c r="I3417" i="1" s="1"/>
  <c r="Q1937" i="1"/>
  <c r="R1937" i="1" s="1"/>
  <c r="T1937" i="1" s="1"/>
  <c r="H3375" i="1"/>
  <c r="I3375" i="1" s="1"/>
  <c r="Q3481" i="1"/>
  <c r="R3481" i="1" s="1"/>
  <c r="T3481" i="1" s="1"/>
  <c r="H3481" i="1"/>
  <c r="I3481" i="1" s="1"/>
  <c r="H3438" i="1"/>
  <c r="I3438" i="1" s="1"/>
  <c r="Q3438" i="1"/>
  <c r="R3438" i="1" s="1"/>
  <c r="T3438" i="1" s="1"/>
  <c r="H3502" i="1"/>
  <c r="I3502" i="1" s="1"/>
  <c r="Q3502" i="1"/>
  <c r="R3502" i="1" s="1"/>
  <c r="T3502" i="1" s="1"/>
  <c r="Q3396" i="1"/>
  <c r="R3396" i="1" s="1"/>
  <c r="T3396" i="1" s="1"/>
  <c r="H3396" i="1"/>
  <c r="I3396" i="1" s="1"/>
  <c r="Q1889" i="1"/>
  <c r="R1889" i="1" s="1"/>
  <c r="T1889" i="1" s="1"/>
  <c r="H1889" i="1"/>
  <c r="I1889" i="1" s="1"/>
  <c r="H1851" i="1"/>
  <c r="I1851" i="1" s="1"/>
  <c r="Q1851" i="1"/>
  <c r="R1851" i="1" s="1"/>
  <c r="T1851" i="1" s="1"/>
  <c r="Z7793" i="1"/>
  <c r="AD7783" i="1"/>
  <c r="AB7783" i="1" s="1"/>
  <c r="H7783" i="1" s="1"/>
  <c r="I7783" i="1" s="1"/>
  <c r="Q1741" i="1"/>
  <c r="R1741" i="1" s="1"/>
  <c r="T1741" i="1" s="1"/>
  <c r="Q1709" i="1"/>
  <c r="R1709" i="1" s="1"/>
  <c r="T1709" i="1" s="1"/>
  <c r="Q1677" i="1"/>
  <c r="R1677" i="1" s="1"/>
  <c r="T1677" i="1" s="1"/>
  <c r="H1677" i="1"/>
  <c r="I1677" i="1" s="1"/>
  <c r="Z1683" i="1"/>
  <c r="AB1683" i="1"/>
  <c r="H1520" i="1"/>
  <c r="I1520" i="1" s="1"/>
  <c r="Q1553" i="1"/>
  <c r="R1553" i="1" s="1"/>
  <c r="T1553" i="1" s="1"/>
  <c r="H1553" i="1"/>
  <c r="I1553" i="1" s="1"/>
  <c r="H1610" i="1"/>
  <c r="I1610" i="1" s="1"/>
  <c r="Q1610" i="1"/>
  <c r="R1610" i="1" s="1"/>
  <c r="T1610" i="1" s="1"/>
  <c r="H1641" i="1"/>
  <c r="I1641" i="1" s="1"/>
  <c r="Q1641" i="1"/>
  <c r="R1641" i="1" s="1"/>
  <c r="T1641" i="1" s="1"/>
  <c r="H1584" i="1"/>
  <c r="I1584" i="1" s="1"/>
  <c r="H1346" i="1"/>
  <c r="I1346" i="1" s="1"/>
  <c r="H1465" i="1"/>
  <c r="I1465" i="1" s="1"/>
  <c r="Q1465" i="1"/>
  <c r="R1465" i="1" s="1"/>
  <c r="T1465" i="1" s="1"/>
  <c r="H1491" i="1"/>
  <c r="I1491" i="1" s="1"/>
  <c r="Q1491" i="1"/>
  <c r="R1491" i="1" s="1"/>
  <c r="T1491" i="1" s="1"/>
  <c r="H1320" i="1"/>
  <c r="I1320" i="1" s="1"/>
  <c r="Q1320" i="1"/>
  <c r="R1320" i="1" s="1"/>
  <c r="T1320" i="1" s="1"/>
  <c r="Q1406" i="1"/>
  <c r="R1406" i="1" s="1"/>
  <c r="T1406" i="1" s="1"/>
  <c r="H1406" i="1"/>
  <c r="I1406" i="1" s="1"/>
  <c r="Q1433" i="1"/>
  <c r="R1433" i="1" s="1"/>
  <c r="T1433" i="1" s="1"/>
  <c r="H1433" i="1"/>
  <c r="I1433" i="1" s="1"/>
  <c r="H1373" i="1"/>
  <c r="I1373" i="1" s="1"/>
  <c r="Q1373" i="1"/>
  <c r="R1373" i="1" s="1"/>
  <c r="T1373" i="1" s="1"/>
  <c r="H1180" i="1"/>
  <c r="I1180" i="1" s="1"/>
  <c r="H1289" i="1"/>
  <c r="I1289" i="1" s="1"/>
  <c r="Q1289" i="1"/>
  <c r="R1289" i="1" s="1"/>
  <c r="T1289" i="1" s="1"/>
  <c r="H883" i="1"/>
  <c r="I883" i="1" s="1"/>
  <c r="Q1258" i="1"/>
  <c r="R1258" i="1" s="1"/>
  <c r="T1258" i="1" s="1"/>
  <c r="H1258" i="1"/>
  <c r="I1258" i="1" s="1"/>
  <c r="Q1097" i="1"/>
  <c r="R1097" i="1" s="1"/>
  <c r="T1097" i="1" s="1"/>
  <c r="H1097" i="1"/>
  <c r="I1097" i="1" s="1"/>
  <c r="Q1232" i="1"/>
  <c r="R1232" i="1" s="1"/>
  <c r="T1232" i="1" s="1"/>
  <c r="Q1019" i="1"/>
  <c r="R1019" i="1" s="1"/>
  <c r="T1019" i="1" s="1"/>
  <c r="H1019" i="1"/>
  <c r="I1019" i="1" s="1"/>
  <c r="Q1154" i="1"/>
  <c r="R1154" i="1" s="1"/>
  <c r="T1154" i="1" s="1"/>
  <c r="H1154" i="1"/>
  <c r="I1154" i="1" s="1"/>
  <c r="H1206" i="1"/>
  <c r="I1206" i="1" s="1"/>
  <c r="Q1206" i="1"/>
  <c r="R1206" i="1" s="1"/>
  <c r="T1206" i="1" s="1"/>
  <c r="H1123" i="1"/>
  <c r="I1123" i="1" s="1"/>
  <c r="Q1123" i="1"/>
  <c r="R1123" i="1" s="1"/>
  <c r="T1123" i="1" s="1"/>
  <c r="H936" i="1"/>
  <c r="I936" i="1" s="1"/>
  <c r="Q936" i="1"/>
  <c r="R936" i="1" s="1"/>
  <c r="T936" i="1" s="1"/>
  <c r="Q993" i="1"/>
  <c r="R993" i="1" s="1"/>
  <c r="T993" i="1" s="1"/>
  <c r="H993" i="1"/>
  <c r="I993" i="1" s="1"/>
  <c r="H1045" i="1"/>
  <c r="I1045" i="1" s="1"/>
  <c r="Q1045" i="1"/>
  <c r="R1045" i="1" s="1"/>
  <c r="T1045" i="1" s="1"/>
  <c r="Q967" i="1"/>
  <c r="R967" i="1" s="1"/>
  <c r="T967" i="1" s="1"/>
  <c r="H967" i="1"/>
  <c r="I967" i="1" s="1"/>
  <c r="Q1071" i="1"/>
  <c r="R1071" i="1" s="1"/>
  <c r="T1071" i="1" s="1"/>
  <c r="H1071" i="1"/>
  <c r="I1071" i="1" s="1"/>
  <c r="Q909" i="1"/>
  <c r="R909" i="1" s="1"/>
  <c r="T909" i="1" s="1"/>
  <c r="Q831" i="1"/>
  <c r="R831" i="1" s="1"/>
  <c r="T831" i="1" s="1"/>
  <c r="H857" i="1"/>
  <c r="I857" i="1" s="1"/>
  <c r="Q805" i="1"/>
  <c r="R805" i="1" s="1"/>
  <c r="T805" i="1" s="1"/>
  <c r="H805" i="1"/>
  <c r="I805" i="1" s="1"/>
  <c r="Q774" i="1"/>
  <c r="R774" i="1" s="1"/>
  <c r="T774" i="1" s="1"/>
  <c r="H774" i="1"/>
  <c r="I774" i="1" s="1"/>
  <c r="H2074" i="1"/>
  <c r="I2074" i="1" s="1"/>
  <c r="Q2056" i="1"/>
  <c r="R2056" i="1" s="1"/>
  <c r="T2056" i="1" s="1"/>
  <c r="H2019" i="1"/>
  <c r="I2019" i="1" s="1"/>
  <c r="H464" i="1"/>
  <c r="I464" i="1" s="1"/>
  <c r="H2192" i="1"/>
  <c r="I2192" i="1" s="1"/>
  <c r="Q2192" i="1"/>
  <c r="R2192" i="1" s="1"/>
  <c r="T2192" i="1" s="1"/>
  <c r="H1964" i="1"/>
  <c r="I1964" i="1" s="1"/>
  <c r="H2092" i="1"/>
  <c r="I2092" i="1" s="1"/>
  <c r="Q2092" i="1"/>
  <c r="R2092" i="1" s="1"/>
  <c r="T2092" i="1" s="1"/>
  <c r="Q1982" i="1"/>
  <c r="R1982" i="1" s="1"/>
  <c r="T1982" i="1" s="1"/>
  <c r="H2037" i="1"/>
  <c r="I2037" i="1" s="1"/>
  <c r="Q2037" i="1"/>
  <c r="R2037" i="1" s="1"/>
  <c r="T2037" i="1" s="1"/>
  <c r="H2000" i="1"/>
  <c r="I2000" i="1" s="1"/>
  <c r="Q2000" i="1"/>
  <c r="R2000" i="1" s="1"/>
  <c r="T2000" i="1" s="1"/>
  <c r="H483" i="1"/>
  <c r="I483" i="1" s="1"/>
  <c r="H502" i="1"/>
  <c r="I502" i="1" s="1"/>
  <c r="Q502" i="1"/>
  <c r="R502" i="1" s="1"/>
  <c r="T502" i="1" s="1"/>
  <c r="H440" i="1"/>
  <c r="I440" i="1" s="1"/>
  <c r="H403" i="1"/>
  <c r="I403" i="1" s="1"/>
  <c r="Q285" i="1"/>
  <c r="R285" i="1" s="1"/>
  <c r="T285" i="1" s="1"/>
  <c r="H421" i="1"/>
  <c r="I421" i="1" s="1"/>
  <c r="Q421" i="1"/>
  <c r="R421" i="1" s="1"/>
  <c r="T421" i="1" s="1"/>
  <c r="Q340" i="1"/>
  <c r="R340" i="1" s="1"/>
  <c r="T340" i="1" s="1"/>
  <c r="H377" i="1"/>
  <c r="I377" i="1" s="1"/>
  <c r="Q266" i="1"/>
  <c r="R266" i="1" s="1"/>
  <c r="T266" i="1" s="1"/>
  <c r="H321" i="1"/>
  <c r="I321" i="1" s="1"/>
  <c r="H303" i="1"/>
  <c r="I303" i="1" s="1"/>
  <c r="Q358" i="1"/>
  <c r="R358" i="1" s="1"/>
  <c r="T358" i="1" s="1"/>
  <c r="H248" i="1"/>
  <c r="I248" i="1" s="1"/>
  <c r="Q248" i="1"/>
  <c r="R248" i="1" s="1"/>
  <c r="T248" i="1" s="1"/>
  <c r="H211" i="1"/>
  <c r="I211" i="1" s="1"/>
  <c r="Q211" i="1"/>
  <c r="R211" i="1" s="1"/>
  <c r="T211" i="1" s="1"/>
  <c r="Q193" i="1"/>
  <c r="R193" i="1" s="1"/>
  <c r="T193" i="1" s="1"/>
  <c r="H193" i="1"/>
  <c r="I193" i="1" s="1"/>
  <c r="H229" i="1"/>
  <c r="I229" i="1" s="1"/>
  <c r="Q229" i="1"/>
  <c r="R229" i="1" s="1"/>
  <c r="T229" i="1" s="1"/>
  <c r="AD163" i="1"/>
  <c r="AB163" i="1" s="1"/>
  <c r="H163" i="1" s="1"/>
  <c r="I163" i="1" s="1"/>
  <c r="AB179" i="1"/>
  <c r="AB147" i="1"/>
  <c r="Z115" i="1"/>
  <c r="Z121" i="1"/>
  <c r="Q4263" i="1"/>
  <c r="R4263" i="1" s="1"/>
  <c r="T4263" i="1" s="1"/>
  <c r="Q4281" i="1"/>
  <c r="R4281" i="1" s="1"/>
  <c r="T4281" i="1" s="1"/>
  <c r="Q4319" i="1"/>
  <c r="R4319" i="1" s="1"/>
  <c r="T4319" i="1" s="1"/>
  <c r="H4319" i="1"/>
  <c r="I4319" i="1" s="1"/>
  <c r="Q4338" i="1"/>
  <c r="R4338" i="1" s="1"/>
  <c r="T4338" i="1" s="1"/>
  <c r="H4338" i="1"/>
  <c r="I4338" i="1" s="1"/>
  <c r="Q4242" i="1"/>
  <c r="R4242" i="1" s="1"/>
  <c r="T4242" i="1" s="1"/>
  <c r="Q4300" i="1"/>
  <c r="R4300" i="1" s="1"/>
  <c r="T4300" i="1" s="1"/>
  <c r="H4300" i="1"/>
  <c r="I4300" i="1" s="1"/>
  <c r="H4205" i="1"/>
  <c r="I4205" i="1" s="1"/>
  <c r="Q4223" i="1"/>
  <c r="R4223" i="1" s="1"/>
  <c r="T4223" i="1" s="1"/>
  <c r="H4223" i="1"/>
  <c r="I4223" i="1" s="1"/>
  <c r="H4181" i="1"/>
  <c r="I4181" i="1" s="1"/>
  <c r="Q4102" i="1"/>
  <c r="R4102" i="1" s="1"/>
  <c r="T4102" i="1" s="1"/>
  <c r="Q4141" i="1"/>
  <c r="R4141" i="1" s="1"/>
  <c r="T4141" i="1" s="1"/>
  <c r="H4141" i="1"/>
  <c r="I4141" i="1" s="1"/>
  <c r="Q4122" i="1"/>
  <c r="R4122" i="1" s="1"/>
  <c r="T4122" i="1" s="1"/>
  <c r="H4122" i="1"/>
  <c r="I4122" i="1" s="1"/>
  <c r="Q3961" i="1"/>
  <c r="R3961" i="1" s="1"/>
  <c r="T3961" i="1" s="1"/>
  <c r="Q4061" i="1"/>
  <c r="R4061" i="1" s="1"/>
  <c r="T4061" i="1" s="1"/>
  <c r="H4021" i="1"/>
  <c r="I4021" i="1" s="1"/>
  <c r="Q4021" i="1"/>
  <c r="R4021" i="1" s="1"/>
  <c r="T4021" i="1" s="1"/>
  <c r="H4041" i="1"/>
  <c r="I4041" i="1" s="1"/>
  <c r="Q4041" i="1"/>
  <c r="R4041" i="1" s="1"/>
  <c r="T4041" i="1" s="1"/>
  <c r="H3981" i="1"/>
  <c r="I3981" i="1" s="1"/>
  <c r="Q3981" i="1"/>
  <c r="R3981" i="1" s="1"/>
  <c r="T3981" i="1" s="1"/>
  <c r="Q4081" i="1"/>
  <c r="R4081" i="1" s="1"/>
  <c r="T4081" i="1" s="1"/>
  <c r="H4081" i="1"/>
  <c r="I4081" i="1" s="1"/>
  <c r="Q4001" i="1"/>
  <c r="R4001" i="1" s="1"/>
  <c r="T4001" i="1" s="1"/>
  <c r="H4001" i="1"/>
  <c r="I4001" i="1" s="1"/>
  <c r="H3940" i="1"/>
  <c r="I3940" i="1" s="1"/>
  <c r="Q3920" i="1"/>
  <c r="R3920" i="1" s="1"/>
  <c r="T3920" i="1" s="1"/>
  <c r="H3838" i="1"/>
  <c r="I3838" i="1" s="1"/>
  <c r="Q3858" i="1"/>
  <c r="R3858" i="1" s="1"/>
  <c r="T3858" i="1" s="1"/>
  <c r="H3901" i="1"/>
  <c r="I3901" i="1" s="1"/>
  <c r="Q3901" i="1"/>
  <c r="R3901" i="1" s="1"/>
  <c r="T3901" i="1" s="1"/>
  <c r="Q3737" i="1"/>
  <c r="R3737" i="1" s="1"/>
  <c r="T3737" i="1" s="1"/>
  <c r="Q3818" i="1"/>
  <c r="R3818" i="1" s="1"/>
  <c r="T3818" i="1" s="1"/>
  <c r="H3880" i="1"/>
  <c r="I3880" i="1" s="1"/>
  <c r="Q3880" i="1"/>
  <c r="R3880" i="1" s="1"/>
  <c r="T3880" i="1" s="1"/>
  <c r="H3798" i="1"/>
  <c r="I3798" i="1" s="1"/>
  <c r="Q3798" i="1"/>
  <c r="R3798" i="1" s="1"/>
  <c r="T3798" i="1" s="1"/>
  <c r="Q3778" i="1"/>
  <c r="R3778" i="1" s="1"/>
  <c r="T3778" i="1" s="1"/>
  <c r="H3778" i="1"/>
  <c r="I3778" i="1" s="1"/>
  <c r="Q3756" i="1"/>
  <c r="R3756" i="1" s="1"/>
  <c r="T3756" i="1" s="1"/>
  <c r="H3756" i="1"/>
  <c r="I3756" i="1" s="1"/>
  <c r="Q3624" i="1"/>
  <c r="R3624" i="1" s="1"/>
  <c r="T3624" i="1" s="1"/>
  <c r="H3692" i="1"/>
  <c r="I3692" i="1" s="1"/>
  <c r="Q3712" i="1"/>
  <c r="R3712" i="1" s="1"/>
  <c r="T3712" i="1" s="1"/>
  <c r="H3712" i="1"/>
  <c r="I3712" i="1" s="1"/>
  <c r="Q3564" i="1"/>
  <c r="R3564" i="1" s="1"/>
  <c r="T3564" i="1" s="1"/>
  <c r="Q3668" i="1"/>
  <c r="R3668" i="1" s="1"/>
  <c r="T3668" i="1" s="1"/>
  <c r="H3668" i="1"/>
  <c r="I3668" i="1" s="1"/>
  <c r="Q3604" i="1"/>
  <c r="R3604" i="1" s="1"/>
  <c r="T3604" i="1" s="1"/>
  <c r="H3604" i="1"/>
  <c r="I3604" i="1" s="1"/>
  <c r="Q3544" i="1"/>
  <c r="R3544" i="1" s="1"/>
  <c r="T3544" i="1" s="1"/>
  <c r="H3646" i="1"/>
  <c r="I3646" i="1" s="1"/>
  <c r="Q3646" i="1"/>
  <c r="R3646" i="1" s="1"/>
  <c r="T3646" i="1" s="1"/>
  <c r="Q3584" i="1"/>
  <c r="R3584" i="1" s="1"/>
  <c r="T3584" i="1" s="1"/>
  <c r="H3584" i="1"/>
  <c r="I3584" i="1" s="1"/>
  <c r="Q3525" i="1"/>
  <c r="R3525" i="1" s="1"/>
  <c r="T3525" i="1" s="1"/>
  <c r="H3525" i="1"/>
  <c r="I3525" i="1" s="1"/>
  <c r="H3249" i="1"/>
  <c r="I3249" i="1" s="1"/>
  <c r="H3228" i="1"/>
  <c r="I3228" i="1" s="1"/>
  <c r="H3354" i="1"/>
  <c r="I3354" i="1" s="1"/>
  <c r="H3312" i="1"/>
  <c r="I3312" i="1" s="1"/>
  <c r="Q3207" i="1"/>
  <c r="R3207" i="1" s="1"/>
  <c r="T3207" i="1" s="1"/>
  <c r="Q3333" i="1"/>
  <c r="R3333" i="1" s="1"/>
  <c r="T3333" i="1" s="1"/>
  <c r="Q3291" i="1"/>
  <c r="R3291" i="1" s="1"/>
  <c r="T3291" i="1" s="1"/>
  <c r="H3270" i="1"/>
  <c r="I3270" i="1" s="1"/>
  <c r="Q3270" i="1"/>
  <c r="R3270" i="1" s="1"/>
  <c r="T3270" i="1" s="1"/>
  <c r="Q3165" i="1"/>
  <c r="R3165" i="1" s="1"/>
  <c r="T3165" i="1" s="1"/>
  <c r="H3186" i="1"/>
  <c r="I3186" i="1" s="1"/>
  <c r="Q3186" i="1"/>
  <c r="R3186" i="1" s="1"/>
  <c r="T3186" i="1" s="1"/>
  <c r="Q3083" i="1"/>
  <c r="R3083" i="1" s="1"/>
  <c r="T3083" i="1" s="1"/>
  <c r="H3062" i="1"/>
  <c r="I3062" i="1" s="1"/>
  <c r="H3104" i="1"/>
  <c r="I3104" i="1" s="1"/>
  <c r="Q3104" i="1"/>
  <c r="R3104" i="1" s="1"/>
  <c r="T3104" i="1" s="1"/>
  <c r="Q3125" i="1"/>
  <c r="R3125" i="1" s="1"/>
  <c r="T3125" i="1" s="1"/>
  <c r="H3125" i="1"/>
  <c r="I3125" i="1" s="1"/>
  <c r="H2978" i="1"/>
  <c r="I2978" i="1" s="1"/>
  <c r="H3041" i="1"/>
  <c r="I3041" i="1" s="1"/>
  <c r="Q3041" i="1"/>
  <c r="R3041" i="1" s="1"/>
  <c r="T3041" i="1" s="1"/>
  <c r="Q3020" i="1"/>
  <c r="R3020" i="1" s="1"/>
  <c r="T3020" i="1" s="1"/>
  <c r="H3020" i="1"/>
  <c r="I3020" i="1" s="1"/>
  <c r="H2999" i="1"/>
  <c r="I2999" i="1" s="1"/>
  <c r="Q2999" i="1"/>
  <c r="R2999" i="1" s="1"/>
  <c r="T2999" i="1" s="1"/>
  <c r="Q2958" i="1"/>
  <c r="R2958" i="1" s="1"/>
  <c r="T2958" i="1" s="1"/>
  <c r="Q2938" i="1"/>
  <c r="R2938" i="1" s="1"/>
  <c r="T2938" i="1" s="1"/>
  <c r="H2916" i="1"/>
  <c r="I2916" i="1" s="1"/>
  <c r="Q2916" i="1"/>
  <c r="R2916" i="1" s="1"/>
  <c r="T2916" i="1" s="1"/>
  <c r="Q2896" i="1"/>
  <c r="R2896" i="1" s="1"/>
  <c r="T2896" i="1" s="1"/>
  <c r="H2896" i="1"/>
  <c r="I2896" i="1" s="1"/>
  <c r="Q2876" i="1"/>
  <c r="R2876" i="1" s="1"/>
  <c r="T2876" i="1" s="1"/>
  <c r="H2876" i="1"/>
  <c r="I2876" i="1" s="1"/>
  <c r="H8552" i="1"/>
  <c r="I8552" i="1" s="1"/>
  <c r="Q8536" i="1"/>
  <c r="R8536" i="1" s="1"/>
  <c r="T8536" i="1" s="1"/>
  <c r="Q8602" i="1"/>
  <c r="R8602" i="1" s="1"/>
  <c r="T8602" i="1" s="1"/>
  <c r="Q8502" i="1"/>
  <c r="R8502" i="1" s="1"/>
  <c r="T8502" i="1" s="1"/>
  <c r="Q8569" i="1"/>
  <c r="R8569" i="1" s="1"/>
  <c r="T8569" i="1" s="1"/>
  <c r="H8569" i="1"/>
  <c r="I8569" i="1" s="1"/>
  <c r="Q8586" i="1"/>
  <c r="R8586" i="1" s="1"/>
  <c r="T8586" i="1" s="1"/>
  <c r="H8586" i="1"/>
  <c r="I8586" i="1" s="1"/>
  <c r="Q8518" i="1"/>
  <c r="R8518" i="1" s="1"/>
  <c r="T8518" i="1" s="1"/>
  <c r="Q8464" i="1"/>
  <c r="R8464" i="1" s="1"/>
  <c r="T8464" i="1" s="1"/>
  <c r="Q8428" i="1"/>
  <c r="R8428" i="1" s="1"/>
  <c r="T8428" i="1" s="1"/>
  <c r="H8381" i="1"/>
  <c r="I8381" i="1" s="1"/>
  <c r="Q8480" i="1"/>
  <c r="R8480" i="1" s="1"/>
  <c r="T8480" i="1" s="1"/>
  <c r="H8480" i="1"/>
  <c r="I8480" i="1" s="1"/>
  <c r="H8366" i="1"/>
  <c r="I8366" i="1" s="1"/>
  <c r="Q8366" i="1"/>
  <c r="R8366" i="1" s="1"/>
  <c r="T8366" i="1" s="1"/>
  <c r="H8396" i="1"/>
  <c r="I8396" i="1" s="1"/>
  <c r="Q8195" i="1"/>
  <c r="R8195" i="1" s="1"/>
  <c r="T8195" i="1" s="1"/>
  <c r="Q8228" i="1"/>
  <c r="R8228" i="1" s="1"/>
  <c r="T8228" i="1" s="1"/>
  <c r="Q8412" i="1"/>
  <c r="R8412" i="1" s="1"/>
  <c r="T8412" i="1" s="1"/>
  <c r="H8412" i="1"/>
  <c r="I8412" i="1" s="1"/>
  <c r="Q8348" i="1"/>
  <c r="R8348" i="1" s="1"/>
  <c r="T8348" i="1" s="1"/>
  <c r="Q8444" i="1"/>
  <c r="R8444" i="1" s="1"/>
  <c r="T8444" i="1" s="1"/>
  <c r="H8444" i="1"/>
  <c r="I8444" i="1" s="1"/>
  <c r="Q8295" i="1"/>
  <c r="R8295" i="1" s="1"/>
  <c r="T8295" i="1" s="1"/>
  <c r="Q8244" i="1"/>
  <c r="R8244" i="1" s="1"/>
  <c r="T8244" i="1" s="1"/>
  <c r="Q8213" i="1"/>
  <c r="R8213" i="1" s="1"/>
  <c r="T8213" i="1" s="1"/>
  <c r="H8213" i="1"/>
  <c r="I8213" i="1" s="1"/>
  <c r="Q8163" i="1"/>
  <c r="R8163" i="1" s="1"/>
  <c r="T8163" i="1" s="1"/>
  <c r="Q8263" i="1"/>
  <c r="R8263" i="1" s="1"/>
  <c r="T8263" i="1" s="1"/>
  <c r="H8263" i="1"/>
  <c r="I8263" i="1" s="1"/>
  <c r="Q8279" i="1"/>
  <c r="R8279" i="1" s="1"/>
  <c r="T8279" i="1" s="1"/>
  <c r="H8311" i="1"/>
  <c r="I8311" i="1" s="1"/>
  <c r="Q8311" i="1"/>
  <c r="R8311" i="1" s="1"/>
  <c r="T8311" i="1" s="1"/>
  <c r="Q8327" i="1"/>
  <c r="R8327" i="1" s="1"/>
  <c r="T8327" i="1" s="1"/>
  <c r="H8327" i="1"/>
  <c r="I8327" i="1" s="1"/>
  <c r="H8132" i="1"/>
  <c r="I8132" i="1" s="1"/>
  <c r="Q8132" i="1"/>
  <c r="R8132" i="1" s="1"/>
  <c r="T8132" i="1" s="1"/>
  <c r="H7960" i="1"/>
  <c r="I7960" i="1" s="1"/>
  <c r="H8147" i="1"/>
  <c r="I8147" i="1" s="1"/>
  <c r="Q8147" i="1"/>
  <c r="R8147" i="1" s="1"/>
  <c r="T8147" i="1" s="1"/>
  <c r="Q8058" i="1"/>
  <c r="R8058" i="1" s="1"/>
  <c r="T8058" i="1" s="1"/>
  <c r="H8179" i="1"/>
  <c r="I8179" i="1" s="1"/>
  <c r="Q8179" i="1"/>
  <c r="R8179" i="1" s="1"/>
  <c r="T8179" i="1" s="1"/>
  <c r="Q8111" i="1"/>
  <c r="R8111" i="1" s="1"/>
  <c r="T8111" i="1" s="1"/>
  <c r="H8111" i="1"/>
  <c r="I8111" i="1" s="1"/>
  <c r="H8023" i="1"/>
  <c r="I8023" i="1" s="1"/>
  <c r="H8043" i="1"/>
  <c r="I8043" i="1" s="1"/>
  <c r="Q8043" i="1"/>
  <c r="R8043" i="1" s="1"/>
  <c r="T8043" i="1" s="1"/>
  <c r="Q7993" i="1"/>
  <c r="R7993" i="1" s="1"/>
  <c r="T7993" i="1" s="1"/>
  <c r="H8073" i="1"/>
  <c r="I8073" i="1" s="1"/>
  <c r="Q8073" i="1"/>
  <c r="R8073" i="1" s="1"/>
  <c r="T8073" i="1" s="1"/>
  <c r="H8008" i="1"/>
  <c r="I8008" i="1" s="1"/>
  <c r="H8089" i="1"/>
  <c r="I8089" i="1" s="1"/>
  <c r="Q8089" i="1"/>
  <c r="R8089" i="1" s="1"/>
  <c r="T8089" i="1" s="1"/>
  <c r="H7928" i="1"/>
  <c r="I7928" i="1" s="1"/>
  <c r="H7913" i="1"/>
  <c r="I7913" i="1" s="1"/>
  <c r="Q7913" i="1"/>
  <c r="R7913" i="1" s="1"/>
  <c r="T7913" i="1" s="1"/>
  <c r="Q7976" i="1"/>
  <c r="R7976" i="1" s="1"/>
  <c r="T7976" i="1" s="1"/>
  <c r="Q7944" i="1"/>
  <c r="R7944" i="1" s="1"/>
  <c r="T7944" i="1" s="1"/>
  <c r="H7944" i="1"/>
  <c r="I7944" i="1" s="1"/>
  <c r="H7846" i="1"/>
  <c r="I7846" i="1" s="1"/>
  <c r="Q7831" i="1"/>
  <c r="R7831" i="1" s="1"/>
  <c r="T7831" i="1" s="1"/>
  <c r="H7831" i="1"/>
  <c r="I7831" i="1" s="1"/>
  <c r="Q7893" i="1"/>
  <c r="R7893" i="1" s="1"/>
  <c r="T7893" i="1" s="1"/>
  <c r="Q7861" i="1"/>
  <c r="R7861" i="1" s="1"/>
  <c r="T7861" i="1" s="1"/>
  <c r="Q7877" i="1"/>
  <c r="R7877" i="1" s="1"/>
  <c r="T7877" i="1" s="1"/>
  <c r="H7877" i="1"/>
  <c r="I7877" i="1" s="1"/>
  <c r="Q7813" i="1"/>
  <c r="R7813" i="1" s="1"/>
  <c r="T7813" i="1" s="1"/>
  <c r="Q7798" i="1"/>
  <c r="R7798" i="1" s="1"/>
  <c r="T7798" i="1" s="1"/>
  <c r="H7798" i="1"/>
  <c r="I7798" i="1" s="1"/>
  <c r="Q7760" i="1"/>
  <c r="R7760" i="1" s="1"/>
  <c r="T7760" i="1" s="1"/>
  <c r="H7760" i="1"/>
  <c r="I7760" i="1" s="1"/>
  <c r="H7216" i="1"/>
  <c r="I7216" i="1" s="1"/>
  <c r="Q7118" i="1"/>
  <c r="R7118" i="1" s="1"/>
  <c r="T7118" i="1" s="1"/>
  <c r="Q7196" i="1"/>
  <c r="R7196" i="1" s="1"/>
  <c r="T7196" i="1" s="1"/>
  <c r="Q7137" i="1"/>
  <c r="R7137" i="1" s="1"/>
  <c r="T7137" i="1" s="1"/>
  <c r="H7137" i="1"/>
  <c r="I7137" i="1" s="1"/>
  <c r="Q7156" i="1"/>
  <c r="R7156" i="1" s="1"/>
  <c r="T7156" i="1" s="1"/>
  <c r="H7156" i="1"/>
  <c r="I7156" i="1" s="1"/>
  <c r="H7176" i="1"/>
  <c r="I7176" i="1" s="1"/>
  <c r="Q7176" i="1"/>
  <c r="R7176" i="1" s="1"/>
  <c r="T7176" i="1" s="1"/>
  <c r="H7237" i="1"/>
  <c r="I7237" i="1" s="1"/>
  <c r="Q7237" i="1"/>
  <c r="R7237" i="1" s="1"/>
  <c r="T7237" i="1" s="1"/>
  <c r="Q7356" i="1"/>
  <c r="R7356" i="1" s="1"/>
  <c r="T7356" i="1" s="1"/>
  <c r="Q7256" i="1"/>
  <c r="R7256" i="1" s="1"/>
  <c r="T7256" i="1" s="1"/>
  <c r="H7256" i="1"/>
  <c r="I7256" i="1" s="1"/>
  <c r="Q7276" i="1"/>
  <c r="R7276" i="1" s="1"/>
  <c r="T7276" i="1" s="1"/>
  <c r="H7276" i="1"/>
  <c r="I7276" i="1" s="1"/>
  <c r="H7296" i="1"/>
  <c r="I7296" i="1" s="1"/>
  <c r="Q7296" i="1"/>
  <c r="R7296" i="1" s="1"/>
  <c r="T7296" i="1" s="1"/>
  <c r="H7316" i="1"/>
  <c r="I7316" i="1" s="1"/>
  <c r="Q7316" i="1"/>
  <c r="R7316" i="1" s="1"/>
  <c r="T7316" i="1" s="1"/>
  <c r="H7337" i="1"/>
  <c r="I7337" i="1" s="1"/>
  <c r="Q7337" i="1"/>
  <c r="R7337" i="1" s="1"/>
  <c r="T7337" i="1" s="1"/>
  <c r="Q7417" i="1"/>
  <c r="R7417" i="1" s="1"/>
  <c r="T7417" i="1" s="1"/>
  <c r="Q7376" i="1"/>
  <c r="R7376" i="1" s="1"/>
  <c r="T7376" i="1" s="1"/>
  <c r="H7376" i="1"/>
  <c r="I7376" i="1" s="1"/>
  <c r="H7396" i="1"/>
  <c r="I7396" i="1" s="1"/>
  <c r="Q7396" i="1"/>
  <c r="R7396" i="1" s="1"/>
  <c r="T7396" i="1" s="1"/>
  <c r="Q7475" i="1"/>
  <c r="R7475" i="1" s="1"/>
  <c r="T7475" i="1" s="1"/>
  <c r="H7436" i="1"/>
  <c r="I7436" i="1" s="1"/>
  <c r="Q7436" i="1"/>
  <c r="R7436" i="1" s="1"/>
  <c r="T7436" i="1" s="1"/>
  <c r="H7455" i="1"/>
  <c r="I7455" i="1" s="1"/>
  <c r="Q7455" i="1"/>
  <c r="R7455" i="1" s="1"/>
  <c r="T7455" i="1" s="1"/>
  <c r="Q7536" i="1"/>
  <c r="R7536" i="1" s="1"/>
  <c r="T7536" i="1" s="1"/>
  <c r="H7555" i="1"/>
  <c r="I7555" i="1" s="1"/>
  <c r="H7495" i="1"/>
  <c r="I7495" i="1" s="1"/>
  <c r="Q7495" i="1"/>
  <c r="R7495" i="1" s="1"/>
  <c r="T7495" i="1" s="1"/>
  <c r="H7615" i="1"/>
  <c r="I7615" i="1" s="1"/>
  <c r="H7575" i="1"/>
  <c r="I7575" i="1" s="1"/>
  <c r="Q7575" i="1"/>
  <c r="R7575" i="1" s="1"/>
  <c r="T7575" i="1" s="1"/>
  <c r="H7595" i="1"/>
  <c r="I7595" i="1" s="1"/>
  <c r="Q7595" i="1"/>
  <c r="R7595" i="1" s="1"/>
  <c r="T7595" i="1" s="1"/>
  <c r="Q7675" i="1"/>
  <c r="R7675" i="1" s="1"/>
  <c r="T7675" i="1" s="1"/>
  <c r="H7636" i="1"/>
  <c r="I7636" i="1" s="1"/>
  <c r="Q7655" i="1"/>
  <c r="R7655" i="1" s="1"/>
  <c r="T7655" i="1" s="1"/>
  <c r="H7655" i="1"/>
  <c r="I7655" i="1" s="1"/>
  <c r="Q7695" i="1"/>
  <c r="R7695" i="1" s="1"/>
  <c r="T7695" i="1" s="1"/>
  <c r="Q7739" i="1"/>
  <c r="R7739" i="1" s="1"/>
  <c r="T7739" i="1" s="1"/>
  <c r="H7719" i="1"/>
  <c r="I7719" i="1" s="1"/>
  <c r="Q7719" i="1"/>
  <c r="R7719" i="1" s="1"/>
  <c r="T7719" i="1" s="1"/>
  <c r="Q7074" i="1"/>
  <c r="R7074" i="1" s="1"/>
  <c r="T7074" i="1" s="1"/>
  <c r="H7095" i="1"/>
  <c r="I7095" i="1" s="1"/>
  <c r="Q7053" i="1"/>
  <c r="R7053" i="1" s="1"/>
  <c r="T7053" i="1" s="1"/>
  <c r="Z7033" i="1"/>
  <c r="AB7033" i="1"/>
  <c r="Q7032" i="1"/>
  <c r="R7032" i="1" s="1"/>
  <c r="T7032" i="1" s="1"/>
  <c r="H7032" i="1"/>
  <c r="I7032" i="1" s="1"/>
  <c r="Q6992" i="1"/>
  <c r="R6992" i="1" s="1"/>
  <c r="T6992" i="1" s="1"/>
  <c r="Q7012" i="1"/>
  <c r="R7012" i="1" s="1"/>
  <c r="T7012" i="1" s="1"/>
  <c r="H7012" i="1"/>
  <c r="I7012" i="1" s="1"/>
  <c r="H6969" i="1"/>
  <c r="I6969" i="1" s="1"/>
  <c r="AD6949" i="1"/>
  <c r="AB6949" i="1" s="1"/>
  <c r="Z6959" i="1"/>
  <c r="M100" i="1"/>
  <c r="AC100" i="1" s="1"/>
  <c r="K101" i="1"/>
  <c r="M101" i="1" s="1"/>
  <c r="AC101" i="1" s="1"/>
  <c r="AC94" i="1"/>
  <c r="AC92" i="1"/>
  <c r="AC93" i="1"/>
  <c r="AC97" i="1"/>
  <c r="AD97" i="1" s="1"/>
  <c r="AB97" i="1" s="1"/>
  <c r="AC96" i="1"/>
  <c r="AD96" i="1" s="1"/>
  <c r="AB96" i="1" s="1"/>
  <c r="AC95" i="1"/>
  <c r="AD95" i="1" s="1"/>
  <c r="P85" i="1"/>
  <c r="K86" i="1"/>
  <c r="M86" i="1" s="1"/>
  <c r="AC86" i="1" s="1"/>
  <c r="M81" i="1"/>
  <c r="N81" i="1" s="1"/>
  <c r="K82" i="1"/>
  <c r="M82" i="1" s="1"/>
  <c r="AC82" i="1" s="1"/>
  <c r="AC79" i="1"/>
  <c r="AD79" i="1" s="1"/>
  <c r="AB79" i="1" s="1"/>
  <c r="AC78" i="1"/>
  <c r="AD78" i="1" s="1"/>
  <c r="AC74" i="1"/>
  <c r="AD75" i="1" s="1"/>
  <c r="AB75" i="1" s="1"/>
  <c r="AC71" i="1"/>
  <c r="AC73" i="1"/>
  <c r="AC72" i="1"/>
  <c r="AC70" i="1"/>
  <c r="AC69" i="1"/>
  <c r="AD69" i="1" s="1"/>
  <c r="M85" i="1"/>
  <c r="N85" i="1" s="1"/>
  <c r="P81" i="1"/>
  <c r="P76" i="1"/>
  <c r="P63" i="1"/>
  <c r="M63" i="1"/>
  <c r="M54" i="1"/>
  <c r="N54" i="1" s="1"/>
  <c r="P51" i="1"/>
  <c r="M57" i="1"/>
  <c r="AC57" i="1" s="1"/>
  <c r="P57" i="1"/>
  <c r="P100" i="1"/>
  <c r="M76" i="1"/>
  <c r="P60" i="1"/>
  <c r="M60" i="1"/>
  <c r="P67" i="1"/>
  <c r="M67" i="1"/>
  <c r="P90" i="1"/>
  <c r="M90" i="1"/>
  <c r="P37" i="1"/>
  <c r="M37" i="1"/>
  <c r="P46" i="1"/>
  <c r="M46" i="1"/>
  <c r="H10010" i="1" l="1"/>
  <c r="I10010" i="1" s="1"/>
  <c r="Q9990" i="1"/>
  <c r="R9990" i="1" s="1"/>
  <c r="T9990" i="1" s="1"/>
  <c r="H9990" i="1"/>
  <c r="I9990" i="1" s="1"/>
  <c r="H9610" i="1"/>
  <c r="I9610" i="1" s="1"/>
  <c r="H6220" i="1"/>
  <c r="I6220" i="1" s="1"/>
  <c r="Q6220" i="1"/>
  <c r="R6220" i="1" s="1"/>
  <c r="T6220" i="1" s="1"/>
  <c r="H6062" i="1"/>
  <c r="I6062" i="1" s="1"/>
  <c r="H132" i="1"/>
  <c r="I132" i="1" s="1"/>
  <c r="Q107" i="1"/>
  <c r="R107" i="1" s="1"/>
  <c r="T107" i="1" s="1"/>
  <c r="H107" i="1"/>
  <c r="I107" i="1" s="1"/>
  <c r="AB64" i="1"/>
  <c r="Z64" i="1"/>
  <c r="AD61" i="1"/>
  <c r="AD60" i="1" s="1"/>
  <c r="AB62" i="1"/>
  <c r="AC51" i="1"/>
  <c r="AB58" i="1"/>
  <c r="Z58" i="1"/>
  <c r="AB56" i="1"/>
  <c r="AD55" i="1"/>
  <c r="AD54" i="1" s="1"/>
  <c r="AB53" i="1"/>
  <c r="AD47" i="1"/>
  <c r="AD46" i="1" s="1"/>
  <c r="AB48" i="1"/>
  <c r="AD38" i="1"/>
  <c r="AD37" i="1" s="1"/>
  <c r="AB39" i="1"/>
  <c r="Q7783" i="1"/>
  <c r="R7783" i="1" s="1"/>
  <c r="T7783" i="1" s="1"/>
  <c r="Q163" i="1"/>
  <c r="R163" i="1" s="1"/>
  <c r="T163" i="1" s="1"/>
  <c r="H6949" i="1"/>
  <c r="I6949" i="1" s="1"/>
  <c r="Q6949" i="1"/>
  <c r="R6949" i="1" s="1"/>
  <c r="T6949" i="1" s="1"/>
  <c r="N100" i="1"/>
  <c r="AC103" i="1"/>
  <c r="AD103" i="1" s="1"/>
  <c r="AB103" i="1" s="1"/>
  <c r="AC102" i="1"/>
  <c r="AD102" i="1" s="1"/>
  <c r="AB95" i="1"/>
  <c r="AC81" i="1"/>
  <c r="AC89" i="1"/>
  <c r="AD89" i="1" s="1"/>
  <c r="AB89" i="1" s="1"/>
  <c r="AC88" i="1"/>
  <c r="AC87" i="1"/>
  <c r="AD87" i="1" s="1"/>
  <c r="AC84" i="1"/>
  <c r="AD84" i="1" s="1"/>
  <c r="AB84" i="1" s="1"/>
  <c r="AC83" i="1"/>
  <c r="AD83" i="1" s="1"/>
  <c r="AD77" i="1"/>
  <c r="AD76" i="1" s="1"/>
  <c r="AB78" i="1"/>
  <c r="AB69" i="1"/>
  <c r="AD70" i="1"/>
  <c r="AB70" i="1" s="1"/>
  <c r="AC85" i="1"/>
  <c r="AC63" i="1"/>
  <c r="N63" i="1"/>
  <c r="AC54" i="1"/>
  <c r="N57" i="1"/>
  <c r="AC76" i="1"/>
  <c r="N76" i="1"/>
  <c r="N60" i="1"/>
  <c r="AC60" i="1"/>
  <c r="AC90" i="1"/>
  <c r="N90" i="1"/>
  <c r="N67" i="1"/>
  <c r="AC67" i="1"/>
  <c r="N37" i="1"/>
  <c r="AC37" i="1"/>
  <c r="N46" i="1"/>
  <c r="AC46" i="1"/>
  <c r="AB61" i="1" l="1"/>
  <c r="Z61" i="1"/>
  <c r="AB55" i="1"/>
  <c r="Z55" i="1"/>
  <c r="AB38" i="1"/>
  <c r="Z38" i="1"/>
  <c r="AD101" i="1"/>
  <c r="AD100" i="1" s="1"/>
  <c r="AB100" i="1" s="1"/>
  <c r="AB102" i="1"/>
  <c r="AD88" i="1"/>
  <c r="AB88" i="1" s="1"/>
  <c r="AD94" i="1"/>
  <c r="AB94" i="1" s="1"/>
  <c r="AD92" i="1"/>
  <c r="AD93" i="1"/>
  <c r="AB93" i="1" s="1"/>
  <c r="AB87" i="1"/>
  <c r="AD82" i="1"/>
  <c r="AD81" i="1" s="1"/>
  <c r="AB83" i="1"/>
  <c r="AD71" i="1"/>
  <c r="AB101" i="1" l="1"/>
  <c r="Z101" i="1"/>
  <c r="AD86" i="1"/>
  <c r="AD85" i="1" s="1"/>
  <c r="AB85" i="1" s="1"/>
  <c r="H85" i="1" s="1"/>
  <c r="I85" i="1" s="1"/>
  <c r="AB92" i="1"/>
  <c r="AD91" i="1"/>
  <c r="AD90" i="1" s="1"/>
  <c r="AB90" i="1" s="1"/>
  <c r="Q90" i="1" s="1"/>
  <c r="R90" i="1" s="1"/>
  <c r="T90" i="1" s="1"/>
  <c r="AB82" i="1"/>
  <c r="Z82" i="1"/>
  <c r="AB71" i="1"/>
  <c r="AD72" i="1"/>
  <c r="AB72" i="1" s="1"/>
  <c r="AB76" i="1"/>
  <c r="Q76" i="1" s="1"/>
  <c r="R76" i="1" s="1"/>
  <c r="T76" i="1" s="1"/>
  <c r="AB60" i="1"/>
  <c r="Q60" i="1" s="1"/>
  <c r="R60" i="1" s="1"/>
  <c r="T60" i="1" s="1"/>
  <c r="AB57" i="1"/>
  <c r="Q57" i="1" s="1"/>
  <c r="R57" i="1" s="1"/>
  <c r="T57" i="1" s="1"/>
  <c r="AB46" i="1"/>
  <c r="H46" i="1" s="1"/>
  <c r="I46" i="1" s="1"/>
  <c r="AB37" i="1"/>
  <c r="Q37" i="1" s="1"/>
  <c r="R37" i="1" s="1"/>
  <c r="T37" i="1" s="1"/>
  <c r="Q100" i="1"/>
  <c r="R100" i="1" s="1"/>
  <c r="T100" i="1" s="1"/>
  <c r="H100" i="1"/>
  <c r="I100" i="1" s="1"/>
  <c r="AB54" i="1" l="1"/>
  <c r="Q54" i="1" s="1"/>
  <c r="R54" i="1" s="1"/>
  <c r="T54" i="1" s="1"/>
  <c r="AB51" i="1"/>
  <c r="H51" i="1" s="1"/>
  <c r="I51" i="1" s="1"/>
  <c r="AB86" i="1"/>
  <c r="Z86" i="1"/>
  <c r="AB91" i="1"/>
  <c r="Z91" i="1"/>
  <c r="AB81" i="1"/>
  <c r="Q81" i="1" s="1"/>
  <c r="R81" i="1" s="1"/>
  <c r="T81" i="1" s="1"/>
  <c r="AD74" i="1"/>
  <c r="AB74" i="1" s="1"/>
  <c r="AD73" i="1"/>
  <c r="Q85" i="1"/>
  <c r="R85" i="1" s="1"/>
  <c r="T85" i="1" s="1"/>
  <c r="H90" i="1"/>
  <c r="I90" i="1" s="1"/>
  <c r="AB63" i="1"/>
  <c r="Q63" i="1" s="1"/>
  <c r="R63" i="1" s="1"/>
  <c r="T63" i="1" s="1"/>
  <c r="H76" i="1"/>
  <c r="I76" i="1" s="1"/>
  <c r="H57" i="1"/>
  <c r="I57" i="1" s="1"/>
  <c r="H60" i="1"/>
  <c r="I60" i="1" s="1"/>
  <c r="Q46" i="1"/>
  <c r="R46" i="1" s="1"/>
  <c r="T46" i="1" s="1"/>
  <c r="H37" i="1"/>
  <c r="I37" i="1" s="1"/>
  <c r="H54" i="1" l="1"/>
  <c r="I54" i="1" s="1"/>
  <c r="Q51" i="1"/>
  <c r="R51" i="1" s="1"/>
  <c r="T51" i="1" s="1"/>
  <c r="Z52" i="1"/>
  <c r="AB52" i="1"/>
  <c r="AB47" i="1"/>
  <c r="Z47" i="1"/>
  <c r="H81" i="1"/>
  <c r="I81" i="1" s="1"/>
  <c r="AD68" i="1"/>
  <c r="AD67" i="1" s="1"/>
  <c r="AB67" i="1" s="1"/>
  <c r="AB77" i="1"/>
  <c r="Z77" i="1"/>
  <c r="AB73" i="1"/>
  <c r="H63" i="1"/>
  <c r="I63" i="1" s="1"/>
  <c r="Q67" i="1" l="1"/>
  <c r="R67" i="1" s="1"/>
  <c r="T67" i="1" s="1"/>
  <c r="H67" i="1"/>
  <c r="I67" i="1" s="1"/>
  <c r="Z68" i="1"/>
  <c r="AB68" i="1"/>
  <c r="D410" i="6"/>
  <c r="O10514" i="1" l="1"/>
  <c r="J10514" i="1"/>
  <c r="K10514" i="1" s="1"/>
  <c r="G10514" i="1"/>
  <c r="K10515" i="1" l="1"/>
  <c r="M10515" i="1" s="1"/>
  <c r="P10514" i="1"/>
  <c r="M10514" i="1"/>
  <c r="J10515" i="1"/>
  <c r="N10514" i="1" l="1"/>
  <c r="AG10515" i="1" l="1"/>
  <c r="AF10515" i="1"/>
  <c r="AE10515" i="1"/>
  <c r="AH10515" i="1" l="1"/>
  <c r="K29" i="1"/>
  <c r="M29" i="1" s="1"/>
  <c r="R29" i="1" s="1"/>
  <c r="T29" i="1" s="1"/>
  <c r="J29" i="1"/>
  <c r="I29" i="1"/>
  <c r="AH10514" i="1" l="1"/>
  <c r="AG10514" i="1"/>
  <c r="AF10514" i="1"/>
  <c r="Q10514" i="1"/>
  <c r="R10514" i="1" s="1"/>
  <c r="T10514" i="1" s="1"/>
  <c r="H10514" i="1"/>
  <c r="I10514" i="1" s="1"/>
  <c r="AI100" i="1" l="1"/>
  <c r="AI85" i="1"/>
  <c r="AI57" i="1"/>
  <c r="AI63" i="1"/>
  <c r="AI60" i="1"/>
  <c r="AI54" i="1"/>
  <c r="AI51" i="1"/>
  <c r="AI37" i="1"/>
  <c r="AI46" i="1"/>
  <c r="AI10515" i="1"/>
  <c r="O21" i="1"/>
  <c r="AE10514" i="1" l="1"/>
  <c r="AI10514" i="1" s="1"/>
  <c r="S16" i="1"/>
  <c r="S35" i="1" l="1"/>
  <c r="S15" i="1" s="1"/>
  <c r="K34" i="1" l="1"/>
  <c r="M34" i="1" s="1"/>
  <c r="R34" i="1" s="1"/>
  <c r="J34" i="1"/>
  <c r="K33" i="1"/>
  <c r="M33" i="1" s="1"/>
  <c r="R33" i="1" s="1"/>
  <c r="J33" i="1"/>
  <c r="K32" i="1"/>
  <c r="M32" i="1" s="1"/>
  <c r="R32" i="1" s="1"/>
  <c r="J32" i="1"/>
  <c r="K31" i="1"/>
  <c r="M31" i="1" s="1"/>
  <c r="R31" i="1" s="1"/>
  <c r="J31" i="1"/>
  <c r="K30" i="1"/>
  <c r="M30" i="1" s="1"/>
  <c r="R30" i="1" s="1"/>
  <c r="J30" i="1"/>
  <c r="K28" i="1"/>
  <c r="J28" i="1"/>
  <c r="K27" i="1"/>
  <c r="M27" i="1" s="1"/>
  <c r="R27" i="1" s="1"/>
  <c r="J27" i="1"/>
  <c r="K26" i="1"/>
  <c r="M26" i="1" s="1"/>
  <c r="R26" i="1" s="1"/>
  <c r="J26" i="1"/>
  <c r="K25" i="1"/>
  <c r="M25" i="1" s="1"/>
  <c r="R25" i="1" s="1"/>
  <c r="J25" i="1"/>
  <c r="K24" i="1"/>
  <c r="M24" i="1" s="1"/>
  <c r="R24" i="1" s="1"/>
  <c r="J24" i="1"/>
  <c r="K23" i="1"/>
  <c r="M23" i="1" s="1"/>
  <c r="R23" i="1" s="1"/>
  <c r="J23" i="1"/>
  <c r="K22" i="1"/>
  <c r="M22" i="1" s="1"/>
  <c r="R22" i="1" s="1"/>
  <c r="J22" i="1"/>
  <c r="K21" i="1"/>
  <c r="J21" i="1"/>
  <c r="K20" i="1"/>
  <c r="M20" i="1" s="1"/>
  <c r="R20" i="1" s="1"/>
  <c r="J20" i="1"/>
  <c r="K19" i="1"/>
  <c r="M19" i="1" s="1"/>
  <c r="R19" i="1" s="1"/>
  <c r="J19" i="1"/>
  <c r="K18" i="1"/>
  <c r="M18" i="1" s="1"/>
  <c r="R18" i="1" s="1"/>
  <c r="J18" i="1"/>
  <c r="M28" i="1" l="1"/>
  <c r="R28" i="1" s="1"/>
  <c r="M21" i="1"/>
  <c r="R21" i="1" s="1"/>
  <c r="P21" i="1"/>
  <c r="P16" i="1" s="1"/>
  <c r="P35" i="1" l="1"/>
  <c r="P15" i="1" s="1"/>
  <c r="K5" i="5" l="1"/>
  <c r="J5" i="5"/>
  <c r="I5" i="5"/>
  <c r="H5" i="5"/>
  <c r="L5" i="5" l="1"/>
  <c r="AI90" i="1" l="1"/>
  <c r="AI81" i="1"/>
  <c r="AI76" i="1"/>
  <c r="AI67" i="1"/>
  <c r="G35" i="1"/>
  <c r="T34" i="1" l="1"/>
  <c r="I34" i="1"/>
  <c r="T33" i="1"/>
  <c r="I33" i="1"/>
  <c r="T32" i="1"/>
  <c r="I32" i="1"/>
  <c r="T31" i="1"/>
  <c r="I31" i="1"/>
  <c r="T30" i="1"/>
  <c r="I30" i="1"/>
  <c r="T28" i="1"/>
  <c r="I28" i="1"/>
  <c r="T27" i="1"/>
  <c r="I27" i="1"/>
  <c r="T26" i="1"/>
  <c r="I26" i="1"/>
  <c r="T25" i="1"/>
  <c r="I25" i="1"/>
  <c r="T24" i="1"/>
  <c r="I24" i="1"/>
  <c r="T23" i="1"/>
  <c r="I23" i="1"/>
  <c r="T22" i="1"/>
  <c r="I22" i="1"/>
  <c r="T21" i="1"/>
  <c r="I21" i="1"/>
  <c r="T20" i="1"/>
  <c r="I20" i="1"/>
  <c r="T19" i="1"/>
  <c r="I19" i="1"/>
  <c r="T18" i="1"/>
  <c r="I18" i="1"/>
  <c r="I16" i="1" l="1"/>
  <c r="D13" i="9" s="1"/>
  <c r="D20" i="9" s="1"/>
  <c r="E20" i="9" s="1"/>
  <c r="R16" i="1"/>
  <c r="T16" i="1" l="1"/>
  <c r="E8" i="5" s="1"/>
  <c r="AH35" i="1" l="1"/>
  <c r="E6" i="5" s="1"/>
  <c r="AF35" i="1"/>
  <c r="AG35" i="1"/>
  <c r="E3" i="5" l="1"/>
  <c r="E4" i="5"/>
  <c r="AD35" i="1" l="1"/>
  <c r="R35" i="1" l="1"/>
  <c r="R15" i="1" s="1"/>
  <c r="AE35" i="1" l="1"/>
  <c r="E5" i="5" s="1"/>
  <c r="T35" i="1"/>
  <c r="T15" i="1" s="1"/>
  <c r="I35" i="1"/>
  <c r="D12" i="9" s="1"/>
  <c r="D19" i="9" l="1"/>
  <c r="D15" i="9"/>
  <c r="E2" i="5"/>
  <c r="I15" i="1"/>
  <c r="D22" i="9" l="1"/>
  <c r="D23" i="9" s="1"/>
  <c r="E19" i="9"/>
  <c r="E10" i="5"/>
  <c r="G16" i="1"/>
  <c r="G15" i="1" s="1"/>
  <c r="E22" i="9" l="1"/>
  <c r="AI1825" i="1"/>
  <c r="AI35" i="1" s="1"/>
  <c r="Z8700" i="1"/>
  <c r="AB8700" i="1"/>
  <c r="E23" i="9" l="1"/>
  <c r="D30" i="9"/>
  <c r="E30" i="9" s="1"/>
</calcChain>
</file>

<file path=xl/sharedStrings.xml><?xml version="1.0" encoding="utf-8"?>
<sst xmlns="http://schemas.openxmlformats.org/spreadsheetml/2006/main" count="31223" uniqueCount="1777">
  <si>
    <t>MOFARREH MARZOUQ AL-HARBI &amp; PARTNERS CO. LTD.</t>
  </si>
  <si>
    <t>*Key Legend</t>
  </si>
  <si>
    <t>Pay Item level</t>
  </si>
  <si>
    <t>Activity Level</t>
  </si>
  <si>
    <t>Resource Level</t>
  </si>
  <si>
    <t>BOQ Item No.</t>
  </si>
  <si>
    <t>BOQ Description</t>
  </si>
  <si>
    <t>Unit</t>
  </si>
  <si>
    <t xml:space="preserve">Item Type </t>
  </si>
  <si>
    <t>Effective BOQ</t>
  </si>
  <si>
    <t>Cost Code</t>
  </si>
  <si>
    <t>Resources</t>
  </si>
  <si>
    <t>Remaining Budget Breakdown Category</t>
  </si>
  <si>
    <t>QTY</t>
  </si>
  <si>
    <t>Res./Act.</t>
  </si>
  <si>
    <t>Res. Category</t>
  </si>
  <si>
    <t>Res./Act.
Unit</t>
  </si>
  <si>
    <t>Resource Rate (SR)</t>
  </si>
  <si>
    <t>Res./Act.
Budget (SR)</t>
  </si>
  <si>
    <t>Res./Act.
QTY</t>
  </si>
  <si>
    <t xml:space="preserve">Total Cost </t>
  </si>
  <si>
    <t>Effective QTY</t>
  </si>
  <si>
    <t>Remaining %</t>
  </si>
  <si>
    <t>Effective Selling Rate</t>
  </si>
  <si>
    <t>Effective Contract Amount</t>
  </si>
  <si>
    <t>Effective Budget Rate</t>
  </si>
  <si>
    <t>ETC</t>
  </si>
  <si>
    <t>Revised Budget Amount</t>
  </si>
  <si>
    <t xml:space="preserve">Actual Rate </t>
  </si>
  <si>
    <t>Machinery</t>
  </si>
  <si>
    <t>Material</t>
  </si>
  <si>
    <t>Manpower</t>
  </si>
  <si>
    <t>SC</t>
  </si>
  <si>
    <t>Total</t>
  </si>
  <si>
    <t>Total Budget</t>
  </si>
  <si>
    <t>Ea</t>
  </si>
  <si>
    <t>Indirect Budget</t>
  </si>
  <si>
    <t>IND01</t>
  </si>
  <si>
    <t>Indirect Labour Cost</t>
  </si>
  <si>
    <t>IND02</t>
  </si>
  <si>
    <t>Indirect Equipment Cost</t>
  </si>
  <si>
    <t>IND03</t>
  </si>
  <si>
    <t>IND04</t>
  </si>
  <si>
    <t>IND05</t>
  </si>
  <si>
    <t>Demobilization</t>
  </si>
  <si>
    <t>IND06</t>
  </si>
  <si>
    <t>IND07</t>
  </si>
  <si>
    <t>IND08</t>
  </si>
  <si>
    <t>Fuel for Indirect Equip.</t>
  </si>
  <si>
    <t>IND09</t>
  </si>
  <si>
    <t>General Tools</t>
  </si>
  <si>
    <t>IND10</t>
  </si>
  <si>
    <t>IND11</t>
  </si>
  <si>
    <t>Warrantee Period Maintenance Cost</t>
  </si>
  <si>
    <t>IND12</t>
  </si>
  <si>
    <t>IND13</t>
  </si>
  <si>
    <t>IND14</t>
  </si>
  <si>
    <t>IND15</t>
  </si>
  <si>
    <t>Security Expenses</t>
  </si>
  <si>
    <t>IND16</t>
  </si>
  <si>
    <t>Survey Expenses</t>
  </si>
  <si>
    <t>IND17</t>
  </si>
  <si>
    <t>IND18</t>
  </si>
  <si>
    <t>Original Pay item</t>
  </si>
  <si>
    <t>M²</t>
  </si>
  <si>
    <t>Fuel</t>
  </si>
  <si>
    <t>M³</t>
  </si>
  <si>
    <t>Ton</t>
  </si>
  <si>
    <t>M</t>
  </si>
  <si>
    <t>DESCRIPTION OF ITEMS</t>
  </si>
  <si>
    <t>Budget Amount</t>
  </si>
  <si>
    <r>
      <rPr>
        <b/>
        <sz val="14"/>
        <rFont val="Times New Roman"/>
        <family val="1"/>
      </rPr>
      <t>PAY ITEM No.</t>
    </r>
    <r>
      <rPr>
        <sz val="14"/>
        <rFont val="Times New Roman"/>
        <family val="1"/>
      </rPr>
      <t xml:space="preserve"> (Refer Attach "D" Article 2-03)</t>
    </r>
  </si>
  <si>
    <t>Subcontractor</t>
  </si>
  <si>
    <t>ENVIRONMENTAL WORKS</t>
  </si>
  <si>
    <t>STORM DRAINAGE NETWORK</t>
  </si>
  <si>
    <t>Direct Budget</t>
  </si>
  <si>
    <t>15.4.1</t>
  </si>
  <si>
    <t>Total Project Budget</t>
  </si>
  <si>
    <r>
      <t xml:space="preserve">Currency:                             </t>
    </r>
    <r>
      <rPr>
        <b/>
        <sz val="10"/>
        <color rgb="FF0000FF"/>
        <rFont val="Times New Roman"/>
        <family val="1"/>
      </rPr>
      <t>SAR</t>
    </r>
  </si>
  <si>
    <t>Notice to proceed date:</t>
  </si>
  <si>
    <t>Original Selling</t>
  </si>
  <si>
    <t>Original Budget</t>
  </si>
  <si>
    <t>Selling Rate</t>
  </si>
  <si>
    <t>Contract Amount</t>
  </si>
  <si>
    <t>Budget Rate</t>
  </si>
  <si>
    <t>Revised QTY</t>
  </si>
  <si>
    <t>Effective Selling</t>
  </si>
  <si>
    <t>Effective Budget</t>
  </si>
  <si>
    <t>Baseline Budget Rev. 0
EFFECTIVE BUDGET LEVLE ( 4 )</t>
  </si>
  <si>
    <t>UOM</t>
  </si>
  <si>
    <t>Rate</t>
  </si>
  <si>
    <t xml:space="preserve">Type </t>
  </si>
  <si>
    <t>Ltre</t>
  </si>
  <si>
    <t>HR</t>
  </si>
  <si>
    <t>Grader</t>
  </si>
  <si>
    <t xml:space="preserve">Project Duration: </t>
  </si>
  <si>
    <t>Design Services</t>
  </si>
  <si>
    <t>m</t>
  </si>
  <si>
    <t>Litre</t>
  </si>
  <si>
    <t>Supply of steel rebar</t>
  </si>
  <si>
    <t>Supply of bending wire</t>
  </si>
  <si>
    <t>Kg</t>
  </si>
  <si>
    <t>2 layers 4mm bituminous waterproofing membrane</t>
  </si>
  <si>
    <t>Polyethylene sheet</t>
  </si>
  <si>
    <t>Curbstone Supply</t>
  </si>
  <si>
    <t>Curbstone Installation</t>
  </si>
  <si>
    <t>Supply precast NJB</t>
  </si>
  <si>
    <t>Skilled Labor</t>
  </si>
  <si>
    <t>Original BOQ</t>
  </si>
  <si>
    <t>Original QTY</t>
  </si>
  <si>
    <t>Excavator with Hydraulic Hammer 50T</t>
  </si>
  <si>
    <t>Curing, Repairing &amp; Accessories</t>
  </si>
  <si>
    <t>Unskilled Labour</t>
  </si>
  <si>
    <t>Flat Bed Trailer 20T</t>
  </si>
  <si>
    <t>Staff Cars</t>
  </si>
  <si>
    <t>Fuel for Staff Cars</t>
  </si>
  <si>
    <t>Mobilization</t>
  </si>
  <si>
    <t>Project Running Cost</t>
  </si>
  <si>
    <t>Waste Management</t>
  </si>
  <si>
    <t>Safety, Medical &amp; Traffic Control</t>
  </si>
  <si>
    <t>Subgrade Layer</t>
  </si>
  <si>
    <t>Crushed Aggregate Base Course</t>
  </si>
  <si>
    <t>Bituminous Prime Coat</t>
  </si>
  <si>
    <t>Polyprime SB, 200ltr/drum</t>
  </si>
  <si>
    <t>2 Layers Bituminous Application</t>
  </si>
  <si>
    <t>Lab Testing &amp; Project Services</t>
  </si>
  <si>
    <t>Program Overhead</t>
  </si>
  <si>
    <t>Camp Cost (Food and Accommodation)</t>
  </si>
  <si>
    <t>Wheel Excavator 20T With Bucket/Hock</t>
  </si>
  <si>
    <t>Excavator with Bucket 20T</t>
  </si>
  <si>
    <t>Excavator with Hydraulic Hammer 20T</t>
  </si>
  <si>
    <t>Excavator with Bucket 50T</t>
  </si>
  <si>
    <t xml:space="preserve">Excavator 75T with Bucket </t>
  </si>
  <si>
    <t xml:space="preserve">Excavator 95T with Bucket </t>
  </si>
  <si>
    <t>Wheel Loader</t>
  </si>
  <si>
    <t>Water Tank Trailer 32,000 Litre</t>
  </si>
  <si>
    <t>Diesel Tank Trailer 32,000 Litre</t>
  </si>
  <si>
    <t>Store Diesel Tank Trailer 32,000 Litre</t>
  </si>
  <si>
    <t>Trailer LowBed (Hydraulic)</t>
  </si>
  <si>
    <t>Trailer LowBed (Normal)</t>
  </si>
  <si>
    <t>Trailer LowBed (Normal)+Flat Bed</t>
  </si>
  <si>
    <t>Boom Truck 8T</t>
  </si>
  <si>
    <t>Boom Truck 10T</t>
  </si>
  <si>
    <t>Hand Roller 1 Ton</t>
  </si>
  <si>
    <t xml:space="preserve">Roller Compactor 2.5 Ton </t>
  </si>
  <si>
    <t>Roller Compactor 10 Ton</t>
  </si>
  <si>
    <t>Water Tanker 12,000 Litre</t>
  </si>
  <si>
    <t>Water Tanker 18,000 Litre (6x4)</t>
  </si>
  <si>
    <t>Water Tanker 18,000 Litre (6x6)</t>
  </si>
  <si>
    <t>Diesel Tanker 18,000 Litre (6x4)</t>
  </si>
  <si>
    <t>Diesel Tanker 18,000 Litre (6x6)</t>
  </si>
  <si>
    <t>Bulldozer CAT D9</t>
  </si>
  <si>
    <t>Bulldozer CAT D8</t>
  </si>
  <si>
    <t>Articulated Dumper 24 m³</t>
  </si>
  <si>
    <r>
      <t>Trailer Dump Truck 24 m</t>
    </r>
    <r>
      <rPr>
        <sz val="12"/>
        <color theme="1"/>
        <rFont val="Aptos Narrow"/>
        <family val="2"/>
      </rPr>
      <t>³</t>
    </r>
  </si>
  <si>
    <t>Screening</t>
  </si>
  <si>
    <t>Compaction Water</t>
  </si>
  <si>
    <t>Executed QTY upto Dec-25</t>
  </si>
  <si>
    <t>Remaining QTY upto Dec-25</t>
  </si>
  <si>
    <t>AC upto Dec-25</t>
  </si>
  <si>
    <t>Backhoe loader</t>
  </si>
  <si>
    <t>Dump Truck 16 m³</t>
  </si>
  <si>
    <t>Vibratory Roller Compactor 20 Ton</t>
  </si>
  <si>
    <t>Blasting</t>
  </si>
  <si>
    <t>Rock Crushing</t>
  </si>
  <si>
    <t>Orange warning Mesh</t>
  </si>
  <si>
    <t>Non-woven Geotextile Installation</t>
  </si>
  <si>
    <t>Bulldozer CAT D4</t>
  </si>
  <si>
    <t>Non-woven Geotextile 400gsm Supply</t>
  </si>
  <si>
    <t>160 mm HDPE Fittings &amp; Accessories</t>
  </si>
  <si>
    <t>160 mm solid HDPE Pipe DR 11</t>
  </si>
  <si>
    <t>200 mm HDPE Fittings &amp; Accessories</t>
  </si>
  <si>
    <t>200 mm solid HDPE Pipe DR 11</t>
  </si>
  <si>
    <t>Skid steer Loader with bucket</t>
  </si>
  <si>
    <t>Mobile Crane 50 ton</t>
  </si>
  <si>
    <t>630 mm HDPE Fittings &amp; Accessories</t>
  </si>
  <si>
    <t>315 mm HDPE Fittings &amp; Accessories</t>
  </si>
  <si>
    <t>Supply of steel rebar epoxy coated</t>
  </si>
  <si>
    <t>630 mm solid HDPE Pipe DR 11</t>
  </si>
  <si>
    <t>630 mm HDPE Pipe Installation</t>
  </si>
  <si>
    <t>315 mm HDPE Pipe Installation</t>
  </si>
  <si>
    <t>400 mm solid HDPE Pipe DR 11</t>
  </si>
  <si>
    <t>400 mm HDPE Pipe Installation</t>
  </si>
  <si>
    <t>400 mm HDPE Fittings &amp; Accessories</t>
  </si>
  <si>
    <t>General items</t>
  </si>
  <si>
    <t>Preparing, installing and setting up site offices</t>
  </si>
  <si>
    <t>sum</t>
  </si>
  <si>
    <t>Maintaining and maintaining site offices</t>
  </si>
  <si>
    <t>days</t>
  </si>
  <si>
    <t>Soil testing equipment</t>
  </si>
  <si>
    <t>Asphalt testing equipment</t>
  </si>
  <si>
    <t>Concrete testing equipment</t>
  </si>
  <si>
    <t>Providing four (4) laboratory workers for the duration of the project</t>
  </si>
  <si>
    <t>Computers and surveying devices</t>
  </si>
  <si>
    <t>Roads</t>
  </si>
  <si>
    <t>Cleaning and removing weeds, trees and roots</t>
  </si>
  <si>
    <t>m²</t>
  </si>
  <si>
    <t>Precast Curbstone type (K1-D)</t>
  </si>
  <si>
    <t>local road</t>
  </si>
  <si>
    <t>Bituminous foundation layer (MC 1)</t>
  </si>
  <si>
    <t>Bituminous base layer (Grade 1 - Class A) with a thickness of 70 mm after compaction</t>
  </si>
  <si>
    <t>m³</t>
  </si>
  <si>
    <t>The upper surface layer of bituminous concrete with a thickness of 50 mm after compaction (Grade 1 - Class A), including the adhesive layer (R.C).</t>
  </si>
  <si>
    <t>Precast cold storage works include pouring foundation concrete on site, (concrete base and hunching), cement mortar, reinforcement, excavation, backfilling, compaction, painting, disposal of waste, and completing the work as required in accordance with the standards of the competent authorities, specifications and design plans.</t>
  </si>
  <si>
    <t>Telecom 7</t>
  </si>
  <si>
    <t>Ducts</t>
  </si>
  <si>
    <t>Terms of services protected by concrete in trenches, including excavation in all types of soil, backfilling, the use of other materials for backfilling, compaction, waste disposal work, concrete works, casting, protective covers, warning tapes, restoring the object to its origin, testing, and all requirements of the various authorities, specifications, and designs.</t>
  </si>
  <si>
    <t>Expresses (8 outlets), diameter 50 mm</t>
  </si>
  <si>
    <t>Road crossing ferries (8 exit)</t>
  </si>
  <si>
    <t>Street Fiber Cabin Foundations (FDH)</t>
  </si>
  <si>
    <t>Fiber cabin foundations for streets, including protection columns, earthworks, concrete works, pipe connections, paving, etc., in accordance with the requirements, specifications, and plans of the competent authority (telecommunications companies providing the service must provide fiber cabins)</t>
  </si>
  <si>
    <t>SP1</t>
  </si>
  <si>
    <t>Manholes</t>
  </si>
  <si>
    <t>Communications manholes include excavation, backfilling, waste disposal, dewatering, concrete foundations, walls, supports, formwork, construction works, waterproofing, covers, frames, etc., in accordance with the procedures of the concerned authorities, specifications and plans.</t>
  </si>
  <si>
    <t>Manhole 2000x1000x1000</t>
  </si>
  <si>
    <t>nr</t>
  </si>
  <si>
    <t>PTW8</t>
  </si>
  <si>
    <t>HDPE pipe, HDPE, PE 100, SDR 11, for (PN 16) rod</t>
  </si>
  <si>
    <t>Supply, installation, connection, testing and operation of high-density polyethylene (HDPE) pipes in designated trenches, including excavation, backfilling, compaction, disposal of waste, warning tapes, dewatering and washing in accordance with the procedures of the concerned authority, specifications and plans (backfill work under and around the pipe is measured individually)</t>
  </si>
  <si>
    <t>Pipes with an outer diameter of 200 mm at a depth of less than 1.5 m</t>
  </si>
  <si>
    <t>Pipes with an outer diameter of 200 mm at a depth of 1.5 - 2.00 m</t>
  </si>
  <si>
    <t>Pipes with an outer diameter of 200 mm at a depth of 2.0 - 2.5 m</t>
  </si>
  <si>
    <t>Pipes with an outer diameter of 225 mm at a depth of less than 1.5 m</t>
  </si>
  <si>
    <t>Pipes with an outer diameter of 225 mm at a depth of 1.5 - 2.00 m</t>
  </si>
  <si>
    <t>Pipes with an outer diameter of 225 mm at a depth of 2.0 - 2.5 m</t>
  </si>
  <si>
    <t>Pipes with an outer diameter of 250 mm at a depth of less than 1.5 m</t>
  </si>
  <si>
    <t>Pipes with an outer diameter of 250 mm at a depth of 1.5 - 2.00 m</t>
  </si>
  <si>
    <t>Pipes with an outer diameter of 250 mm at a depth of 2.0 - 2.5 m</t>
  </si>
  <si>
    <t>Pipes with an outer diameter of 355 mm at a depth of 1.5 - 2.00 m</t>
  </si>
  <si>
    <t>Pipes with an outer diameter of 355 mm at a depth of 2.0 - 2.50 m</t>
  </si>
  <si>
    <t>Pipes with an outer diameter of 355 mm at a depth of 2.5 - 3.0 m</t>
  </si>
  <si>
    <t>Increased depth difference of 0.5 m for 355 mm diameter pipes</t>
  </si>
  <si>
    <t>Increased depth difference of 1.0 m for 355 mm diameter pipes</t>
  </si>
  <si>
    <t>Increased depth difference of 1.5 m for 355 mm diameter pipes</t>
  </si>
  <si>
    <t>Increased depth difference of 2.0 m for 355 mm diameter pipes</t>
  </si>
  <si>
    <t>Increased depth difference of 2.5 m for 355 mm diameter pipes</t>
  </si>
  <si>
    <t>Increased depth difference of 3.0 m for 355 mm diameter pipes</t>
  </si>
  <si>
    <t>Increased depth difference of 3.5 m for 355 mm diameter pipes</t>
  </si>
  <si>
    <t>Pipes with an outer diameter of 560 mm at a depth of 1.5 - 2.0 m</t>
  </si>
  <si>
    <t>Pipes with an outer diameter of 560 mm at a depth of 2.0 - 2.50 m</t>
  </si>
  <si>
    <t>Pipes with an outer diameter of 560 mm at a depth of 2.5 - 3.0 m</t>
  </si>
  <si>
    <t>Increased depth difference of 1.0 m for 560 mm diameter pipes</t>
  </si>
  <si>
    <t>Increased depth difference of 1.5 m for 560 mm diameter pipes</t>
  </si>
  <si>
    <t>Increased depth difference of 2.0 m for 560 mm diameter pipes</t>
  </si>
  <si>
    <t>Increased depth difference of 2.5 m for 560 mm diameter pipes</t>
  </si>
  <si>
    <t>Increased depth difference of 3.0 m for 560 mm diameter pipes</t>
  </si>
  <si>
    <t>Pipes with an outer diameter of 710 mm at a depth of 2.0 - 2.5 m</t>
  </si>
  <si>
    <t>Pipes with an outer diameter of 710 mm at a depth of 2.5 - 3.0 m</t>
  </si>
  <si>
    <t>Pipes with an outer diameter of 710 mm at a depth of 3.5 - 4.0 m</t>
  </si>
  <si>
    <t>Increased depth difference of 1.5 m for 710 mm diameter pipes</t>
  </si>
  <si>
    <t>Increased depth difference of 2.0 m for 710 mm diameter pipes</t>
  </si>
  <si>
    <t>Increased depth difference of 2.5 m for 710 mm diameter pipes</t>
  </si>
  <si>
    <t>Increased depth difference of 3.0 m for 710 mm diameter pipes</t>
  </si>
  <si>
    <t>Increased depth difference of 3.5 m for 710 mm diameter pipes</t>
  </si>
  <si>
    <t>Increased depth difference of 4.0 m for 710 mm diameter pipes</t>
  </si>
  <si>
    <t>Supply and installation of accessories and installation parts for pipes in accordance with the procedures of the concerned authority, specifications and plans</t>
  </si>
  <si>
    <t>HDPE High Density Polyethylene Pipe Fittings</t>
  </si>
  <si>
    <t>Elbow 45°, diameter 200 mm.</t>
  </si>
  <si>
    <t>Elbow 22.5°, diameter 250 mm.</t>
  </si>
  <si>
    <t>Elbow 45°, diameter 250 mm.</t>
  </si>
  <si>
    <t>Elbow 45°, diameter 355 mm.</t>
  </si>
  <si>
    <t>90° elbow, diameter 250 mm.</t>
  </si>
  <si>
    <t>90° elbow, diameter 355 mm.</t>
  </si>
  <si>
    <t>Elbow 45°, diameter 560 mm.</t>
  </si>
  <si>
    <t>Elbow 45°, diameter 710 mm.</t>
  </si>
  <si>
    <t>Elbow 90°, diameter 710 mm.</t>
  </si>
  <si>
    <t>Measurement difference between elbow 22.5, diameter 710 mm and elbow 45, diameter 710 mm</t>
  </si>
  <si>
    <t>T-shaped pipes made of high-density polyethylene (HDPE).</t>
  </si>
  <si>
    <t>Tee size 200x200x200 mm</t>
  </si>
  <si>
    <t>Tee size 225x225x225 mm</t>
  </si>
  <si>
    <t>Tee size 250x250x200 mm</t>
  </si>
  <si>
    <t>Tee size 250x250x225 mm</t>
  </si>
  <si>
    <t>Tee size 250x250x250 mm</t>
  </si>
  <si>
    <t>Tee size 355x355x200 mm</t>
  </si>
  <si>
    <t>Tee size 355x355x225 mm</t>
  </si>
  <si>
    <t>Tee size 355x355x250 mm</t>
  </si>
  <si>
    <t>Tee size 355x355x355 mm</t>
  </si>
  <si>
    <t>Tee size 560x560x250 mm</t>
  </si>
  <si>
    <t>Tee size 560x560x355 mm</t>
  </si>
  <si>
    <t>Tee size 560x560x560 mm</t>
  </si>
  <si>
    <t>Tee size 710x710x200 mm</t>
  </si>
  <si>
    <t>Tee size 710x710x250 mm</t>
  </si>
  <si>
    <t>Tee size 710x710x355mm</t>
  </si>
  <si>
    <t>Tee size 710x710x560 mm</t>
  </si>
  <si>
    <t>Tee size 710x710x710 mm</t>
  </si>
  <si>
    <t>Size difference between a tee of 225x225x200 mm and a tee of 200x200x200</t>
  </si>
  <si>
    <t>Size difference between a tee of 560x560x200 mm and a tee of 200x200x200</t>
  </si>
  <si>
    <t>Size difference between a tee of 560x560x200 mm and a tee of 225x225x225</t>
  </si>
  <si>
    <t>Size difference between a tee of 560x560x200 mm and a tee of 250x250x200</t>
  </si>
  <si>
    <t>Size difference between a tee of 560x560x200 mm and a tee of 250x250x225 mm</t>
  </si>
  <si>
    <t>Size difference between a tee of 560x560x200 mm and a tee of 250x250x250</t>
  </si>
  <si>
    <t>Size difference between a tee of 560x560x200 mm and a tee of 355x355x200 mm</t>
  </si>
  <si>
    <t>Size difference between a tee of 560x560x200 mm and a tee of 355x355x225 mm</t>
  </si>
  <si>
    <t>Size difference between a tee of 560x560x200 mm and a tee of 355x355x250 mm</t>
  </si>
  <si>
    <t>Size difference between a tee of 560x560x200 mm and a tee of 355x355x355 mm</t>
  </si>
  <si>
    <t>Closed tube</t>
  </si>
  <si>
    <t>200 mm closed tube</t>
  </si>
  <si>
    <t>Closed tube measuring 225 mm</t>
  </si>
  <si>
    <t>Closed tube measuring 250 mm</t>
  </si>
  <si>
    <t>Closed tube measuring 355 mm</t>
  </si>
  <si>
    <t>Closed tube measuring 560 mm</t>
  </si>
  <si>
    <t>Closed tube measuring 710 mm</t>
  </si>
  <si>
    <t>Art (J): Pipe works - fittings and valves (continued)</t>
  </si>
  <si>
    <t>REDUCER Couplings / Tapers HDPE</t>
  </si>
  <si>
    <t>Connector size 200*250 mm</t>
  </si>
  <si>
    <t>Connector size 225*250 mm</t>
  </si>
  <si>
    <t>Connector size 200*355 mm</t>
  </si>
  <si>
    <t>Connector size 250*355 mm</t>
  </si>
  <si>
    <t>Connector size 250*560 mm</t>
  </si>
  <si>
    <t>Connector size 355*560 mm</t>
  </si>
  <si>
    <t>Connector size 200*710 mm</t>
  </si>
  <si>
    <t>Connector size 355*710 mm</t>
  </si>
  <si>
    <t>Connector size 560*710 mm</t>
  </si>
  <si>
    <t>Valves: Supply, installation, and testing of valves, including collars, flange connections, flange rates, and spacers, in addition to bolts, nuts, and all the work required for pipes inside the room, along with all accessories (columns) and ribbed bolts, according to the specifications and the required standards.</t>
  </si>
  <si>
    <t>Gate Valves (Water Control Valve) Gate Valve</t>
  </si>
  <si>
    <t>Shut-off valve on 200mm pipe</t>
  </si>
  <si>
    <t>Shut-off valve on 225mm pipe</t>
  </si>
  <si>
    <t>Shut-off valve on 250mm pipe</t>
  </si>
  <si>
    <t>Butterfly Valves Water Control Valve</t>
  </si>
  <si>
    <t>Shut-off valve on 355mm pipe</t>
  </si>
  <si>
    <t>Shut-off valve on 560mm pipe</t>
  </si>
  <si>
    <t>Shut-off valve on 710mm pipe</t>
  </si>
  <si>
    <t>Wash-out chambers (cleaning valve).</t>
  </si>
  <si>
    <t>Air valves</t>
  </si>
  <si>
    <t>Fire nozzles</t>
  </si>
  <si>
    <t>Supply and installation of fire nozzles, including covers, foundations, concrete pouring works, reinforcement, supports, restoration of formwork and iron columns, construction work, finishing works, pipe work, valves, installation parts up to the point of connections, valve accessories, protection barriers, and complete necessary installations in accordance with the plans, specifications, and standards of the designated agencies.</t>
  </si>
  <si>
    <t>3-outlet fire nozzle (two 2.5-inch outlets and one 4-inch outlet) in the form of a detachable dry vacuum cylinder</t>
  </si>
  <si>
    <t>On a pipeline with a diameter of 200 mm, and at a depth of 1.5-2.0 metres</t>
  </si>
  <si>
    <t xml:space="preserve">nr </t>
  </si>
  <si>
    <t>On a pipeline with a diameter of 250 mm, and at a depth of 1.5-2.0 metres</t>
  </si>
  <si>
    <t>Rooms according to standard specifications</t>
  </si>
  <si>
    <t>On a pipeline with a diameter of 355 mm, and at a depth of 2-2.5 metres</t>
  </si>
  <si>
    <t>0.5 m depth difference on a 355 mm diameter pipe line</t>
  </si>
  <si>
    <t>1.0 m depth difference on a 355 mm diameter pipe line</t>
  </si>
  <si>
    <t>1.5 m depth difference on a 355 mm diameter pipe line</t>
  </si>
  <si>
    <t>2.0 m depth difference on a 355 mm diameter pipe line</t>
  </si>
  <si>
    <t>2.5 m depth difference on a 355 mm diameter pipe line</t>
  </si>
  <si>
    <t>Depth difference of 3.0 m on a 355 mm diameter pipe line</t>
  </si>
  <si>
    <t>On a pipeline with a diameter of 560 mm, and at a depth of 2-2.5 metres</t>
  </si>
  <si>
    <t>Depth difference of 0.5 m on a pipe line with a diameter of 560 mm</t>
  </si>
  <si>
    <t>1.0 m depth difference on a 560 mm diameter pipe line</t>
  </si>
  <si>
    <t>Depth difference of 1.5 m on a pipe line with a diameter of 560 mm</t>
  </si>
  <si>
    <t>Depth difference of 2.0 m on a pipe line with a diameter of 560 mm</t>
  </si>
  <si>
    <t>Depth difference of 2.5 m on a pipe line with a diameter of 560 mm</t>
  </si>
  <si>
    <t>Depth difference of 3.0 m on a pipe line with a diameter of 560 mm</t>
  </si>
  <si>
    <t>On a pipeline with a diameter of 710 mm, and at a depth of 2-2.5 metres</t>
  </si>
  <si>
    <t>Depth difference of 0.5 m on a pipe line with a diameter of 710 mm</t>
  </si>
  <si>
    <t>1.0 m depth difference on a 710 mm diameter pipe line</t>
  </si>
  <si>
    <t>Depth difference of 1.5 m on a pipe line with a diameter of 710 mm</t>
  </si>
  <si>
    <t>2.0 m depth difference on a 710 mm diameter pipe line</t>
  </si>
  <si>
    <t>Depth difference of 3.0 m on a pipe line with a diameter of 710 mm</t>
  </si>
  <si>
    <t>Depth difference of 3.5 m on a pipe line with a diameter of 710 mm</t>
  </si>
  <si>
    <t>Depth difference of 4.5 m on a pipe line with a diameter of 710 mm</t>
  </si>
  <si>
    <t>On-site cleaning rooms made of reinforced concrete on the pipeline as specified and shown on the plans, and all that is required, including excavations, equipment, its decision, valves, boxes (containers) with their accessories, piping work, construction supplies and terminations, cutting and installing pipe pieces.</t>
  </si>
  <si>
    <t>Cleaning valve on a pipeline with a diameter of 200 mm and a depth of 1.5-2.5 meters</t>
  </si>
  <si>
    <t>Cleaning valve on a pipeline with a diameter of 355 mm and a depth of 2.0-2.5 meters</t>
  </si>
  <si>
    <t>Cleaning valve on a pipeline with a diameter of 560 mm and a depth of 2.0-2.5 meters</t>
  </si>
  <si>
    <t>Cleaning valve on a pipeline with a diameter of 710 mm and a depth of 3.0-3.5 metres</t>
  </si>
  <si>
    <t>Depth difference of 2.5 m on a pipe line with a diameter of 710 mm</t>
  </si>
  <si>
    <t>Air valve chambers</t>
  </si>
  <si>
    <t>Air valve chamber depth: 200mm diameter pipe line at 1.5-2.0m depth.</t>
  </si>
  <si>
    <t>Air valve chamber depth: 225 mm diameter pipe line at a depth of 1.5-2.0 meters</t>
  </si>
  <si>
    <t>Air valve chamber depth: pipe line with a diameter of 250 mm and a depth of 2.0-2.5 meters</t>
  </si>
  <si>
    <t>Air valve chamber depth: 355mm diameter pipe line with 2 - 2.5m depth</t>
  </si>
  <si>
    <t>Air valve chamber depth: 560mm diameter pipe line with 2 - 2.5m depth</t>
  </si>
  <si>
    <t>Air valve chamber depth: 710mm diameter pipe line with 2 - 2.5m depth</t>
  </si>
  <si>
    <t>Art (K): Pipeworks - manholes and pipework accessories (continued)</t>
  </si>
  <si>
    <t>TD counter</t>
  </si>
  <si>
    <t>Supply, installation and testing of flow meters, including pipes, accessories, installation parts, connections, chambers, supports, the high-resistance cast iron cover and its frame, concrete supports, clean concrete and complete brickwork in accordance with the plans, specifications and requirements of the concerned authority.</t>
  </si>
  <si>
    <t>Flow meter on a 200 mm pipe. It includes a flow meter room with a depth of 2 - 2.5 meters.</t>
  </si>
  <si>
    <t>Flow meter on a 250 mm pipe. It includes a flow meter room with a depth of 2 - 2.5 meters.</t>
  </si>
  <si>
    <t>Flow meter on a 355 mm pipe. It includes a flow meter room with a depth of 2 - 2.5 meters.</t>
  </si>
  <si>
    <t>Flow meter on a 560 mm pipe, including a flow meter chamber with a depth of 2.5 - 3.0 meters.</t>
  </si>
  <si>
    <t>Flow meter on a 710 mm pipe, including a flow meter chamber with a depth of 2.5 - 3.0 meters.</t>
  </si>
  <si>
    <t>Connections to plots of land</t>
  </si>
  <si>
    <t>Supply, installation, testing, and connections for plots of land, including all parts such as pipes, fittings, valves, pipe end caps, all accessories, pipe fittings, and complete construction and installation work, as shown in the plans and specifications in accordance with the requirements of the designated area (the pipes included above are type 1)</t>
  </si>
  <si>
    <t>Connections to plots of land with a depth scale of less than 1.5 m</t>
  </si>
  <si>
    <t>Backfill materials under and around pipes - Type (A)</t>
  </si>
  <si>
    <t>Of granular or gravel material, it is well compacted under the pipe and on its sides in accordance with the specifications, plans and what the Authority requires.</t>
  </si>
  <si>
    <t>Pipes with a diameter not exceeding 200 mm</t>
  </si>
  <si>
    <t>Pipes with a diameter not exceeding 225 mm</t>
  </si>
  <si>
    <t>Pipes with a diameter not exceeding 250 mm</t>
  </si>
  <si>
    <t>Pipes with a diameter not exceeding 355 mm</t>
  </si>
  <si>
    <t>Pipes with a diameter not exceeding 560 mm</t>
  </si>
  <si>
    <t>Pipes with a diameter not exceeding 710 mm</t>
  </si>
  <si>
    <t>Made of materials selected from the drilling output and stacked at 95% of the maximum dry density of the pipes at different levels in accordance with the specifications, plans and what the Authority requires.</t>
  </si>
  <si>
    <t>Concrete anchor blocks to prevent pipe movement (Thrust Block) 
Concrete stabilization blocks to prevent movement at elbows or other installation parts of various diameters, including formwork, reinforcement, concrete, etc., in accordance with the requirements of the concerned authorities and specifications.</t>
  </si>
  <si>
    <t>Block volume from 0-1 cubic meter</t>
  </si>
  <si>
    <t>The block volume is 1-2 cubes</t>
  </si>
  <si>
    <t>The block size is 2-4 cubes</t>
  </si>
  <si>
    <t>The block volume is 4-6 cubes</t>
  </si>
  <si>
    <t>Block volume of 6 cube</t>
  </si>
  <si>
    <t>Extra work</t>
  </si>
  <si>
    <t>Additional excavation and backfilling works, drilling into rock to various depths, including disposal of waste to approved locations, warning tapes, and dewatering.</t>
  </si>
  <si>
    <t>Pumping station made of reinforced concrete/reinforced fiberglass plastic, M &amp; E design model, including excavation and lining works, with a single and tight type cover, and surface pipes, and completion of all pipe extension works and accessories inside the room, pumps, and valves room (cocks), with MCC &amp; DB water flow control pipes, electrical connection with Breakers, installed according to specifications and drawings.</t>
  </si>
  <si>
    <t>KW250 electric water pump with capacity (295 litres/second and 60m pressure with the possibility of installing variable speed pumps with MCC)</t>
  </si>
  <si>
    <t>Electric fire water pump with capacity (64 litres/second and pressure 60 m) (with the possibility of installing variable speed pumps)</t>
  </si>
  <si>
    <t>Diesel fire water pump with capacity (64 litres/second and pressure 60 m) with the possibility of installing variable speed pumps</t>
  </si>
  <si>
    <t>Jockey electric fire water pump with capacity (64 litres/second and pressure 60 m) with the possibility of installing variable speed pumps</t>
  </si>
  <si>
    <t>Submersible electric fire water pump with a capacity of 10 liters/second and a pressure of 10 m (with the possibility of installing variable-speed pumps</t>
  </si>
  <si>
    <t>Surge vessel and pipe work as per surge analysis</t>
  </si>
  <si>
    <t>Flow meter on an 800 mm pipe. It includes a flow meter room with a depth of 2 - 2.5 meters.</t>
  </si>
  <si>
    <t>A pumping station building with a complete 5t crane in accordance with what is stated in the specifications, plans and the Authority’s approval.</t>
  </si>
  <si>
    <t>A tank built of reinforced concrete, including excavation work, waterproofing, lining with a leak-proof membrane, installing a heavy-duty steel cover, the inlet and overflow pipes, complete pipe extension works and their supplies, making a protection layer of reinforced concrete, walls and other works and insulation layer, connecting to pumping rooms, valves, water level indicators, super-flow rooms, inspection paths, installing a protective fence around the tank and other necessary works, completed in all respects according to what is stated in the specifications, plans and approval. Body.</t>
  </si>
  <si>
    <t>Water storage basin made of reinforced concrete (at each pumping station, capacity 21.678 cubic metres).</t>
  </si>
  <si>
    <t>Price difference between a reinforced concrete tank with a capacity of 25,000 m3 and between two reinforced concrete tanks with a capacity of 43,000 m3</t>
  </si>
  <si>
    <t>500 kVA generator Standby generator with umbrella tank in accordance with what is stated in the specifications, drawings and the authority’s approval.</t>
  </si>
  <si>
    <t>ls</t>
  </si>
  <si>
    <t>Chlorination device according to specifications and drawings.</t>
  </si>
  <si>
    <t>Street lighting according to specifications and plans</t>
  </si>
  <si>
    <t>IRR 9</t>
  </si>
  <si>
    <t>Pipes with an outer diameter of 125 mm at a depth of less than 1.5 m</t>
  </si>
  <si>
    <t>Pipes with an outer diameter of 125 mm at a depth of less than 1.5-2.0 m</t>
  </si>
  <si>
    <t>Pipes with an outer diameter of 125 mm at a depth of less than 2.0-2.5 m</t>
  </si>
  <si>
    <t>Pipes with an outer diameter of 160 mm at a depth of less than 1.5 m</t>
  </si>
  <si>
    <t>Pipes with an outer diameter of 280 mm at a depth of less than 1.5 m</t>
  </si>
  <si>
    <t>Pipes with an outer diameter of 280 mm at a depth of 1.5 - 2.00 m</t>
  </si>
  <si>
    <t>Pipes with an outer diameter of 280 mm at a depth of 2.0 - 2.5 m</t>
  </si>
  <si>
    <t>Increased depth difference of 2.0 m for 500 mm diameter pipes</t>
  </si>
  <si>
    <t>Increased depth difference of 3.0 m for 500 mm diameter pipes</t>
  </si>
  <si>
    <t>Increased depth difference of 3.5 m for 500 mm diameter pipes</t>
  </si>
  <si>
    <t>Pipes with an outer diameter of 630 mm at a depth of 2.0 - 2.50 m</t>
  </si>
  <si>
    <t>Pipes with an outer diameter of 630 mm at a depth of 2.5 - 3.0 m</t>
  </si>
  <si>
    <t>Pipes with an outer diameter of 630 mm at a depth of 3.5 - 4.0 m</t>
  </si>
  <si>
    <t>Pipes with an outer diameter of 630 mm at a depth of more than 4.0 m</t>
  </si>
  <si>
    <t>Elbow 11.5°, diameter 125mm</t>
  </si>
  <si>
    <t>Elbow 11.5°, diameter 160mm</t>
  </si>
  <si>
    <t>Elbow 11.5°, diameter 280mm</t>
  </si>
  <si>
    <t>Elbow 11.5°, diameter 500mm</t>
  </si>
  <si>
    <t>Elbow 45°, diameter 125mm</t>
  </si>
  <si>
    <t>Elbow 45°, diameter 160mm</t>
  </si>
  <si>
    <t>Elbow 45°, diameter 280mm</t>
  </si>
  <si>
    <t>Elbow 45°, diameter 500mm</t>
  </si>
  <si>
    <t>Elbow 90°, diameter 125mm</t>
  </si>
  <si>
    <t>Elbow 90°, diameter 160mm</t>
  </si>
  <si>
    <t>90° elbow, diameter 630mm</t>
  </si>
  <si>
    <t>Measurement difference between 90° elbow, diameter 280 mm and 11.5° elbow, diameter 280 mm</t>
  </si>
  <si>
    <t>Pipe Fittings (continued)</t>
  </si>
  <si>
    <t>TEE connection mm 125x125x125</t>
  </si>
  <si>
    <t>TEE connection mm 160x160x125</t>
  </si>
  <si>
    <t>TEE connection mm 160x160x160</t>
  </si>
  <si>
    <t>TEE connection mm 280x280x125</t>
  </si>
  <si>
    <t>TEE connection mm 280x280x160</t>
  </si>
  <si>
    <t>TEE connection mm 280x280x280</t>
  </si>
  <si>
    <t>TEE connection mm 500x500x125</t>
  </si>
  <si>
    <t>TEE connection mm 500x500x280</t>
  </si>
  <si>
    <t>TEE connection mm 500x500x500</t>
  </si>
  <si>
    <t>TEE connection mm 630x630x630</t>
  </si>
  <si>
    <t>125 mm closed tube</t>
  </si>
  <si>
    <t>160mm closed tube</t>
  </si>
  <si>
    <t>Closed tube measuring 280 mm</t>
  </si>
  <si>
    <t>500mm closed tube</t>
  </si>
  <si>
    <t>Closed tube measuring 630 mm</t>
  </si>
  <si>
    <t>Reducers / Tapers</t>
  </si>
  <si>
    <t>Connector size 125x160 mm</t>
  </si>
  <si>
    <t>Connector size 280*125 mm</t>
  </si>
  <si>
    <t>Connector size 125x500 mm</t>
  </si>
  <si>
    <t>Connector size 280x500 mm</t>
  </si>
  <si>
    <t>Connector size 500x630 mm</t>
  </si>
  <si>
    <t>Gate Valves Gate water control valve</t>
  </si>
  <si>
    <t>Shut-off valve on 125mm pipe</t>
  </si>
  <si>
    <t>Shut-off valve on 160mm pipe</t>
  </si>
  <si>
    <t>Shut-off valve on 280mm pipe</t>
  </si>
  <si>
    <t>Shut-off valve on 500mm pipe</t>
  </si>
  <si>
    <t>Shut-off valve on 630mm pipe</t>
  </si>
  <si>
    <t>Direct burial</t>
  </si>
  <si>
    <t>On a pipe line with a diameter of 125 mm, at a depth of 1.5-2.0 meters</t>
  </si>
  <si>
    <t>On a pipe line with a diameter of 160 mm, at a depth of 1.5-2.0 meters</t>
  </si>
  <si>
    <t>On a pipe line with a diameter of 280 mm, at a depth of 1.5-2.0 m</t>
  </si>
  <si>
    <t>On a pipe line with a diameter of 500 mm, and at a depth of 2-2.5 metres</t>
  </si>
  <si>
    <t>On a pipe line with a diameter of 630 mm, at a depth of 2.0-2.5 metres</t>
  </si>
  <si>
    <t>The cleaning room is on a pipe line with a diameter of 125 mm, and at a depth of 1.5-2.5 meters</t>
  </si>
  <si>
    <t>The cleaning room is on a 160 mm diameter pipe line, at a depth of 2.5-2.0 metres</t>
  </si>
  <si>
    <t>Cleaning room on a pipe line with a diameter of 630 mm and a depth of 2.5 - 3.0 metres</t>
  </si>
  <si>
    <t>On-site reinforced concrete air valve chambers on the pipeline as specified and shown on the plans, and all that is required in terms of excavations, equipment, its decision, valves and boxes (containers) with their accessories, piping work, construction supplies and terminations, cutting and installing pipe pieces.</t>
  </si>
  <si>
    <t>Air valve chamber depth: 125mm diameter pipe line with 2 - 1.5m depth</t>
  </si>
  <si>
    <t>Air valve chamber depth: 160mm diameter pipe line with 2 - 1.5m depth</t>
  </si>
  <si>
    <t>Air valve chamber depth: 280mm diameter pipe line with 2 - 2.5m depth</t>
  </si>
  <si>
    <t>Air valve chamber depth: 500mm diameter pipe line with 2 - 2.5m depth</t>
  </si>
  <si>
    <t>Air valve chamber depth: 630mm diameter pipe line with 2 - 2.5m depth</t>
  </si>
  <si>
    <t>Flow meter on a 125 mm pipe. It includes a flow meter room with a depth of 2 - 2.5 meters.</t>
  </si>
  <si>
    <t>Flow meter on a 280 mm pipe. It includes a flow meter room with a depth of 2 - 2.5 meters.</t>
  </si>
  <si>
    <t>Flow meter on a 500 mm pipe, including a flow meter chamber with a depth of 2 - 2.5 meters.</t>
  </si>
  <si>
    <t>Pipes with a diameter not exceeding 125 mm</t>
  </si>
  <si>
    <t>Pipes with a diameter not exceeding 160 mm</t>
  </si>
  <si>
    <t>Pipes with a diameter not exceeding 280 mm</t>
  </si>
  <si>
    <t>Pipes with a diameter not exceeding 500 mm</t>
  </si>
  <si>
    <t>Pipes with a diameter not exceeding 630 mm</t>
  </si>
  <si>
    <t>The block volume is 1-2 cubic metres</t>
  </si>
  <si>
    <t>The block volume is 4-6 cubic metres</t>
  </si>
  <si>
    <t>Block volume of 6 cubic metres</t>
  </si>
  <si>
    <t>SEW 10</t>
  </si>
  <si>
    <t>At a depth of 1.5 - 2.0 m</t>
  </si>
  <si>
    <t>At a depth of 3.0 - 3.5 m</t>
  </si>
  <si>
    <t>At a depth of 3.5 - 4.0 m</t>
  </si>
  <si>
    <t>At a depth of 4.0 - 4.5 m</t>
  </si>
  <si>
    <t>At a depth of 4.5 - 5.0 m</t>
  </si>
  <si>
    <t>At a depth of 5.0 - 5.5 m</t>
  </si>
  <si>
    <t>At a depth of 5.5 - 6.0 m</t>
  </si>
  <si>
    <t>At a depth of 6.0 - 6.5 m</t>
  </si>
  <si>
    <t>At a depth of 6.5 - 7.0 m</t>
  </si>
  <si>
    <t>At a depth of 7.0 - 7.5 m</t>
  </si>
  <si>
    <t>At a depth of 2.0 - 2.5 m</t>
  </si>
  <si>
    <t>At a depth of 2.5 - 3.0 m</t>
  </si>
  <si>
    <t>Supply and installation of installation parts and accessories for HDPE polyethylene pipes in accordance with the procedures of the competent authorities, specifications and plans.</t>
  </si>
  <si>
    <t>Elbow 11.25°, diameter 315 mm</t>
  </si>
  <si>
    <t>Elbow 33°, diameter 315 mm</t>
  </si>
  <si>
    <t>Elbow 90°, diameter 315 mm</t>
  </si>
  <si>
    <t>Elbow 11.25°, diameter 630 mm</t>
  </si>
  <si>
    <t>Elbow 33°, diameter 630 mm</t>
  </si>
  <si>
    <t>Elbow 90°, diameter 630 mm</t>
  </si>
  <si>
    <t>Elbow 11.25°, diameter 355 mm</t>
  </si>
  <si>
    <t>Elbow 33°, diameter 355 mm</t>
  </si>
  <si>
    <t>Elbow 90°, diameter 355 mm</t>
  </si>
  <si>
    <t>Elbow 45°, diameter 280 mm</t>
  </si>
  <si>
    <t>90° elbow, diameter 280 mm</t>
  </si>
  <si>
    <t>Elbow 11.25°, diameter 250 mm</t>
  </si>
  <si>
    <t>Elbow 33°, diameter 250 mm</t>
  </si>
  <si>
    <t>Elbow 90°, diameter 250 mm</t>
  </si>
  <si>
    <t>Elbow 11.25°, diameter 200 mm</t>
  </si>
  <si>
    <t>Elbow 33°, diameter 200 mm</t>
  </si>
  <si>
    <t>Elbow 90°, diameter 200 mm</t>
  </si>
  <si>
    <t>Elbow 45°, diameter 500 mm</t>
  </si>
  <si>
    <t>Elbow 90°, diameter 500 mm</t>
  </si>
  <si>
    <t>Measurement difference between 45° elbow, diameter 250 mm and 11.25° elbow, diameter 250 mm</t>
  </si>
  <si>
    <t>Measurement difference between 45° elbow, diameter 250 mm and 33° elbow, diameter 250 mm</t>
  </si>
  <si>
    <t>Supply, installation and testing of valves, metal connections, nuts, bolts, piping work inside the room and any other accessories according to the specifications, plans and standards of the competent authorities (rooms are measured separately)</t>
  </si>
  <si>
    <t>Gate lock valve on a 315 mm diameter pipe</t>
  </si>
  <si>
    <t>Gate lock valve on 500mm diameter pipe</t>
  </si>
  <si>
    <t>Gate lock valve on a 630 mm diameter pipe</t>
  </si>
  <si>
    <t>Gate lock valve on a 250 mm diameter pipe</t>
  </si>
  <si>
    <t>Gate lock valve on a 200 mm diameter pipe</t>
  </si>
  <si>
    <t>Gate lock valve on a 355 mm diameter pipe</t>
  </si>
  <si>
    <t>Water drain valve on a 315 mm diameter pipe</t>
  </si>
  <si>
    <t>Water drain valve on a 630 mm diameter pipe</t>
  </si>
  <si>
    <t>Water drain valve on 500mm pipe</t>
  </si>
  <si>
    <t>Water drain valve on a 250 mm diameter pipe</t>
  </si>
  <si>
    <t>Water drain valve on a 200 mm diameter pipe</t>
  </si>
  <si>
    <t>Water drain valve on 280mm pipe</t>
  </si>
  <si>
    <t>Water drain valve on a 355 mm diameter pipe</t>
  </si>
  <si>
    <t>Air breathing valve on a 315 mm diameter pipe</t>
  </si>
  <si>
    <t>Air breathing valve on a 630 mm diameter pipe</t>
  </si>
  <si>
    <t>Air relief valve on 500mm pipe</t>
  </si>
  <si>
    <t>Air breathing valve on a 250 mm diameter pipe</t>
  </si>
  <si>
    <t>Air breathing valve on a 200 mm diameter pipe</t>
  </si>
  <si>
    <t>Air relief valve on 280mm pipe</t>
  </si>
  <si>
    <t>Air breathing valve on a 355 mm diameter pipe</t>
  </si>
  <si>
    <t>Art (K): Pipe works - manholes and accessories for pipe works</t>
  </si>
  <si>
    <t>Valve chambers</t>
  </si>
  <si>
    <t>Concrete rooms with an obelisk for valves, including excavation, backfilling, waste disposal, water extraction, cleaning concrete, concrete pouring, ordering and commodification works, formwork, ceiling tiles, stairs, water insulation, protection pipe, DI cover, ventilation holes, instruction sign boards, etc., in accordance with the procedures of the competent authorities, specifications and plans.</t>
  </si>
  <si>
    <t>Chamber lock valve on pipe diameter 315 mm</t>
  </si>
  <si>
    <t>Chamber lock valve on pipe diameter 630 mm</t>
  </si>
  <si>
    <t>Chamber lock valve on a 250 mm diameter pipe</t>
  </si>
  <si>
    <t>Chamber lock valve on a 200 mm diameter pipe</t>
  </si>
  <si>
    <t>Chamber lock valve on pipe diameter 355 mm</t>
  </si>
  <si>
    <t>Lock valve chamber on 500mm diameter pipe</t>
  </si>
  <si>
    <t>Water drain valve chamber</t>
  </si>
  <si>
    <t>Air vent valve chamber</t>
  </si>
  <si>
    <t>Discharge Chamber</t>
  </si>
  <si>
    <t>Drainage room 2.45m x5m</t>
  </si>
  <si>
    <t>Examination using closed-circuit television</t>
  </si>
  <si>
    <t>Conducting a survey using closed television stations, including loaning the scan after a malfunction, shutdown, repair purposes, etc., in accordance with the specifications: Section 330130.16</t>
  </si>
  <si>
    <t>On pipes with an inner diameter of 150 mm</t>
  </si>
  <si>
    <t>On pipes with an inner diameter of 200 mm</t>
  </si>
  <si>
    <t>On pipes with an inner diameter of 250 mm</t>
  </si>
  <si>
    <t>On pipes with an inner diameter of 315 mm</t>
  </si>
  <si>
    <t>On pipes with an inner diameter of 355 mm</t>
  </si>
  <si>
    <t>On pipes with an inner diameter of 400 mm</t>
  </si>
  <si>
    <t>On pipes with an internal diameter of 500 mm</t>
  </si>
  <si>
    <t>On pipes with an internal diameter of 600 mm</t>
  </si>
  <si>
    <t>On pipes with an inner diameter of 700 mm</t>
  </si>
  <si>
    <t>Concrete sanitary manholes include excavation, backfilling, waste disposal, dewatering, sanitation concrete, concrete pour, foundations, walls, roof slab, reinforcement, formwork, concrete room frames, brickwork, waterproofing, DI cover with openings and frame, chains, pipes, fittings, spacers, pipe connections, etc., complete in accordance with the plans, specifications and requirements of the concerned authority, dewatering, strengthening and protecting the excavated surfaces all the way up. To the required depths and the disposal of groundwater resulting from drainage around it is measured individually</t>
  </si>
  <si>
    <t>Manhole chambers, diameter 1200 mm</t>
  </si>
  <si>
    <t>Maximum depth 1.5 metres</t>
  </si>
  <si>
    <t>(GRP) Maximum depth 1.5 m</t>
  </si>
  <si>
    <t>At a depth of 1.5 - 2.0 m (GRP)</t>
  </si>
  <si>
    <t>At a depth of 2.0 - 2.5 m (GRP)</t>
  </si>
  <si>
    <t>At a depth of 2.5 - 3.0 m (GRP)</t>
  </si>
  <si>
    <t>At a depth of 3.0 - 3.5 m (GRP)</t>
  </si>
  <si>
    <t>At a depth of 3.5 - 4.0 m (GRP)</t>
  </si>
  <si>
    <t>At a depth of 4.0 - 4.5 m (GRP)</t>
  </si>
  <si>
    <t>At a depth of 4.5 - 5.0 m (GRP)</t>
  </si>
  <si>
    <t>At a depth of 5.0 - 5.5 m (GRP)</t>
  </si>
  <si>
    <t>At a depth of 5.5 - 6.0 m (GRP)</t>
  </si>
  <si>
    <t>Increasing the depth difference by 0.5 m for 1200 mm diameter manhole chambers (GRP)</t>
  </si>
  <si>
    <t>Increasing the depth difference of 1.0 m for 1200 mm diameter manhole chambers (GRP)</t>
  </si>
  <si>
    <t>Increasing the depth difference by 1.5 m for 1200 mm diameter manhole chambers (GRP)</t>
  </si>
  <si>
    <t>Increasing the depth difference by 2.0 m for 1200 mm diameter manhole chambers (GRP)</t>
  </si>
  <si>
    <t>Increasing the depth difference by 2.5 m for 1200 mm diameter manhole chambers (GRP)</t>
  </si>
  <si>
    <t>Increased depth difference of 3.0 m for 1200 mm diameter manhole chambers (GRP)</t>
  </si>
  <si>
    <t>Increasing the depth difference of 3.5 m for 1200 mm diameter manhole chambers (GRP)</t>
  </si>
  <si>
    <t>Increased depth difference of 4.0 m for 1200 mm diameter manhole chambers (GRP)</t>
  </si>
  <si>
    <t>Increasing the depth difference of 4.5 m for 1200 mm diameter manhole chambers (GRP)</t>
  </si>
  <si>
    <t>Increased depth difference of 5.0 m for 1200 mm diameter manhole chambers (GRP)</t>
  </si>
  <si>
    <t>Backdrop manholes</t>
  </si>
  <si>
    <t>Inspection chambers equipped with one opening (with vertical pipe and concrete skirting equipment), the necessary excavation and concrete construction, a GRP lining, an insulating layer with a protection board, and originally equipped short pipes (built-in), with a frame and cover of a good and tight type, according to the drawings.</t>
  </si>
  <si>
    <t>Manholes with a back drop, diameter 1200 mm</t>
  </si>
  <si>
    <t>Manhole rooms</t>
  </si>
  <si>
    <t>Manhole chambers with a diameter of 1500 mm</t>
  </si>
  <si>
    <t>At a depth of 6.0 - 6.5 m (GRP)</t>
  </si>
  <si>
    <t>At a depth of 6.5 - 7.0 m (GRP)</t>
  </si>
  <si>
    <t>At a depth of 7.0 - 7.5 m (GRP)</t>
  </si>
  <si>
    <t>Manholes with a back drop, diameter 1500 mm</t>
  </si>
  <si>
    <t>Increasing the depth difference by 0.5 m for 1500 mm diameter back-fall holes (GRP)</t>
  </si>
  <si>
    <t>Increase the depth difference of 1.0 m for 1500 mm diameter back-fall holes (GRP)</t>
  </si>
  <si>
    <t>Increasing the depth difference of 1.5 m for 1500 mm diameter back-fall holes (GRP)</t>
  </si>
  <si>
    <t>Increased depth difference of 2.0 m when falling back holes with a diameter of 1500 mm (GRP)</t>
  </si>
  <si>
    <t>Sanitary manholes from GRP include excavation, backfilling, waste disposal, dewatering, cleaning concrete, concrete pour, footings, DI cover with openings and frame, chains, pipes, fittings, spacers, pipe connections, etc., complete in accordance with the plans, specifications, and requirements of the concerned authority, dewatering, strengthening and protecting the excavated surfaces up to the required depths, and the disposal of groundwater resulting from dewatering around them is measured individually.</t>
  </si>
  <si>
    <t>Manhole chambers, diameter 1800 mm</t>
  </si>
  <si>
    <t>Increasing the depth difference by 0.5 m for 1800 mm diameter manhole chambers (GRP)</t>
  </si>
  <si>
    <t>Increasing the depth difference by 1.0 m for 1800 mm diameter manhole chambers (GRP)</t>
  </si>
  <si>
    <t>Increasing the depth difference by 1.5 m for 1800 mm diameter manhole chambers (GRP)</t>
  </si>
  <si>
    <t>Increasing the depth difference by 2.0 m for 1800 mm diameter manhole chambers (GRP)</t>
  </si>
  <si>
    <t>Increasing the depth difference by 2.5 m for 1800 mm diameter manhole chambers (GRP)</t>
  </si>
  <si>
    <t>Increased depth difference of 3.0 m for 1800 mm diameter manhole chambers (GRP)</t>
  </si>
  <si>
    <t>Increased depth difference of 3.5 m for 1800 mm diameter manhole chambers (GRP)</t>
  </si>
  <si>
    <t>Increased depth difference of 4.0 m for 1800 mm diameter manhole chambers (GRP)</t>
  </si>
  <si>
    <t>Increased depth difference of 4.5 m for 1800 mm diameter manhole chambers (GRP)</t>
  </si>
  <si>
    <t>Manholes with a back drop, diameter 1800 mm</t>
  </si>
  <si>
    <t>Increasing the depth difference by 0.5 m for sinkholes with a back fall of 1800 mm diameter (GRP)</t>
  </si>
  <si>
    <t>Manhole chambers with a diameter of 2000 mm</t>
  </si>
  <si>
    <t>Increasing the depth difference by 0.5 m for 2000 mm diameter manholes (GRP)</t>
  </si>
  <si>
    <t>Increasing the depth difference by 1.5 m for 2000 mm diameter manholes (GRP)</t>
  </si>
  <si>
    <t>Manholes with a back drop, diameter 2000 mm</t>
  </si>
  <si>
    <t>At a depth of 6.5 - 7 m (GRP)</t>
  </si>
  <si>
    <t>Increase the depth difference by 0.5 m for 2000 mm diameter back-fall holes (GRP)</t>
  </si>
  <si>
    <t>Increase the depth difference of 1.0 m for 2000 mm diameter back-fall holes (GRP)</t>
  </si>
  <si>
    <t>The other decorated rooms</t>
  </si>
  <si>
    <t>Home connections room with the possibility of connecting to private properties, accompanying concrete works, water path work inside the rooms (BENCHING), a pre-cast opening cover, a cover and a high-strength steel frame according to what is stated on the plans (reserve quantity enclosed).</t>
  </si>
  <si>
    <t>Backfill materials under and around pipes</t>
  </si>
  <si>
    <t>Materials for granular bedding or powdered gravel are well compacted under and around the pipe to different depths in accordance with the plans, specifications and requirements of the concerned authority.</t>
  </si>
  <si>
    <t>Concrete anchor blocks to prevent pipe movement (Thrust Blocks)</t>
  </si>
  <si>
    <t>Concrete anchor blocks to prevent movement at elbows or other installation parts of various diameters, including formwork, reinforcement, concrete, etc., in accordance with the requirements of the concerned authority, specifications, and plans.</t>
  </si>
  <si>
    <t>The block size is 1-2 cubic metres</t>
  </si>
  <si>
    <t>PS1 sewage pumping station 428 l/s</t>
  </si>
  <si>
    <t>Sewage pumps, including the motor control center (MCC), control panel, flow meters, pressure transducers, level control switches, simple walls, GRP pipes and other connecting pipes, testing, delivery, installation parts, and the necessary mechanical and electrical work in accordance with the standards of the concerned authority, specifications and plans (the pumping station building and the motor control center building are measured separately)</t>
  </si>
  <si>
    <t>Variable-speed sewage pumps: 2 working and 1 spare (in a well). Each pump in Well A has a flow of 86 liters per second. A pump in Well B has a flow of 325 liters per second and a vertical pressure of 25 m. It includes a motor control center.</t>
  </si>
  <si>
    <t>Odor control system</t>
  </si>
  <si>
    <t>In-line Booster Station</t>
  </si>
  <si>
    <t>Valves and fittings</t>
  </si>
  <si>
    <t>Supply, installation and testing of valves, including mounting flanges, connections, nuts, bolts, piping work inside the room and external piping (unless measured in another item) and all other accessories in accordance with the specifications, drawings and standards of the concerned authority.</t>
  </si>
  <si>
    <t>Valves, fittings and flow meters in different sizes</t>
  </si>
  <si>
    <t>The mesh is 35mm raked bar SS 316</t>
  </si>
  <si>
    <t>100 kVA generator standby generator</t>
  </si>
  <si>
    <t>With an umbrella tank in accordance with what is stated in the specifications, plans and the authority’s approval.</t>
  </si>
  <si>
    <t>(Continued) PS1 Wastewater Pumping Station</t>
  </si>
  <si>
    <t>Pump well and valve chambers</t>
  </si>
  <si>
    <t>Cast-in-place concrete valve chamber and the structural structure of the well, including excavation, backfilling, waste disposal, dewatering (if needed), pouring, concrete works, supports, formwork, masonry work, waterproofing, GRP cover, columns, rust-resistant covers, guide bars, GRP supports, strainers, distribution boxes, tests, delivery, etc., in accordance with the requirements of the concerned authority, plans and specifications.</t>
  </si>
  <si>
    <t>The structural structure of the well, which consists of two wells with internal dimensions of 12 m each, at a depth of approximately 11 m.</t>
  </si>
  <si>
    <t>Concrete wall, 1000 mm thick, 5 m long and 5 m high, for construction inside a well.</t>
  </si>
  <si>
    <t>Grid chamber 35mm raked bar SS 316</t>
  </si>
  <si>
    <t>Valve chamber</t>
  </si>
  <si>
    <t>Flow meter room</t>
  </si>
  <si>
    <t>Engine Control Center Building</t>
  </si>
  <si>
    <t>The MCC engine control center building includes a generator, a fuel storage area, and sanitary facilities. It includes earthworks, foundations, concrete works, reinforcement, supports, formwork, brickwork, waterproofing, all finishing works, stairs, barriers, supports, ventilation openings, wires, circuits, 35W lighting, simple accessories for energy, the telephone system, control equipment, outlets, wires, fire alarms, air conditioners, ventilation equipment, distribution boxes, etc., complete in accordance with the requirements of the concerned authority, specifications and plans.</t>
  </si>
  <si>
    <t>The base for the odor control system</t>
  </si>
  <si>
    <t>Concrete base below odor control system</t>
  </si>
  <si>
    <t>Perimeter walls</t>
  </si>
  <si>
    <t>Perimeter walls, including earthworks, foundations, bricks, construction works, and complete finishes in accordance with the plans, specifications, and requirements of the concerned authority.</t>
  </si>
  <si>
    <t>Main entry gates with two swing doors or a sliding door</t>
  </si>
  <si>
    <t>Single door personal entry gate</t>
  </si>
  <si>
    <t>Lighting</t>
  </si>
  <si>
    <t>Lighting works, including poles and foundation works for poles, switches, control devices, cables and cable tubes, grounding, accessories and installation parts, are complete in accordance with the plans, specifications and requirements of the concerned authority.</t>
  </si>
  <si>
    <t>Flood Lights with single stand, 250 watts</t>
  </si>
  <si>
    <t>Ducts ferry works</t>
  </si>
  <si>
    <t>Supply and installation of uPVC culverts in trenches, including tension ropes, warning tapes, excavation and backfilling with sandy or granular materials, compaction, waste disposal work, returning the thing to its original state, testing, and all requirements of the concerned authority, specifications and plans.</t>
  </si>
  <si>
    <t>One exit path with a depth not exceeding 1.5 metres</t>
  </si>
  <si>
    <t>A path of two exits with a depth not exceeding 1.5 metres</t>
  </si>
  <si>
    <t>A path of 8 exits with a depth not exceeding 1.5 metres</t>
  </si>
  <si>
    <t>Earthing work</t>
  </si>
  <si>
    <t>Pit for grounding work</t>
  </si>
  <si>
    <t>Cable pulling pit measuring 600x600 mm</t>
  </si>
  <si>
    <t>Cosmetic coordination works</t>
  </si>
  <si>
    <t>Concrete interlock pavement tiles, including subsoil and sand layer with compaction according to specifications and plans.</t>
  </si>
  <si>
    <t>Pavement tiles for the perimeter of buildings</t>
  </si>
  <si>
    <t>Paving tiles for entrance ways</t>
  </si>
  <si>
    <t>Water drainage network at the pumping station</t>
  </si>
  <si>
    <t>The internal water drainage network within the scope of the pumping station building, which includes drainage pipes, installation parts, chambers, and connections with the main drainage network in accordance with the requirements of the concerned authority, specifications and plans.</t>
  </si>
  <si>
    <t>Surface channel for water drainage within the pumping station building complex</t>
  </si>
  <si>
    <t>Additional excavation and backfilling works, drilling into rock</t>
  </si>
  <si>
    <t>PS 2 sewage pumping station - 55 liters per sec</t>
  </si>
  <si>
    <t>comments:</t>
  </si>
  <si>
    <t>1- Establishing the entire pump station, including internal connecting pipes, fittings, valves, etc</t>
  </si>
  <si>
    <t>2- The description of the items for the pumps is in accordance with the flow requirements of the first stage only, while the rest of the pumps shown in the drawings will be constructed according to the flow requirements of the final stage in parallel with the construction of the other stages.</t>
  </si>
  <si>
    <t>Sewage pumps and motor control center</t>
  </si>
  <si>
    <t>Variable-speed sewage and wastewater pumps: 1 working and 1 spare (in a well). Each pump has a flow of 55 liters per second and a vertical pressure of 35 m and includes a motor control center.</t>
  </si>
  <si>
    <t>The structural structure of the well, which consists of two wells with internal dimensions of 3 m each, at a depth of approximately 9 m.</t>
  </si>
  <si>
    <t>PS2 sewage pumping station</t>
  </si>
  <si>
    <t>The engine control center building includes a generator, fuel storage space, and sanitary facilities. It includes earthworks, foundations, concrete works, reinforcement, supports, formwork, brickwork, waterproofing, all finishing works, stairs, barriers, supports, ventilation openings, wires, circuits, lighting, and simple accessories related to energy, the telephone system, control equipment, outlets, wires, fire alarms, air conditioners, ventilation equipment, distribution boxes, etc., complete in accordance with the requirements of the concerned authority, specifications, and plans.</t>
  </si>
  <si>
    <t>Flood Lights with a single stand, with a lighting intensity of 250 watts</t>
  </si>
  <si>
    <t>(Continued) PS2 Wastewater Pumping Station</t>
  </si>
  <si>
    <t>Additional works for sewage networks (Extra over)</t>
  </si>
  <si>
    <t>Excavation work to various depths in the rock, including disposal of waste, warning tapes, dewatering, and washing in accordance with special procedures.</t>
  </si>
  <si>
    <t>PS3 sewage pumping station - 145 liters per sect</t>
  </si>
  <si>
    <t>Variable-speed sewage pumps: 1 working and 1 spare (in well, total 4). Each pump in well A has a flow of 30 liters per second, and a pump in well B has a flow of 115 liters per second and a vertical pressure of 17 m. It includes a motor control center.</t>
  </si>
  <si>
    <t>The structural structure of the well, which consists of two wells with internal dimensions of 5x5 m each, at a depth of approximately 11 m.</t>
  </si>
  <si>
    <t>(Continued) PS3 Wastewater Pumping Station</t>
  </si>
  <si>
    <t>Excavation work for various depths or limestone, including disposal of waste, warning tapes, dewatering and washing according to special procedures.</t>
  </si>
  <si>
    <t>PS4 sewage pumping station 100 liters per sec</t>
  </si>
  <si>
    <t>Variable-speed sewage and wastewater pumps: 2 working and 1 spare (in well) 1. Each pump has a flow of 100 liters per second and a vertical pressure of 22 m and includes a motor control center.</t>
  </si>
  <si>
    <t>(Continued) PS4 Wastewater Pumping Station</t>
  </si>
  <si>
    <t>The structural structure of the well, which consists of 1 well with internal dimensions of 4 m each, at a depth of approximately 11 m.</t>
  </si>
  <si>
    <t>Excavation work at various depths, including disposal of waste, warning tapes, dewatering, and washing in accordance with special procedures.</t>
  </si>
  <si>
    <t>STR11</t>
  </si>
  <si>
    <t>Circular pipes</t>
  </si>
  <si>
    <t>Supply and installation of uPVC pipes in trenches, including excavation, backfilling, compaction, waste removal, facility protection, reinforcement work, warning tapes, testing, and commissioning upon completion in accordance with plans, specifications, and requirements of the concerned authority (backfill work under and around the pipe is measured individually)</t>
  </si>
  <si>
    <t>250 mm diameter pipes at a depth of 0 - 1.5 m.</t>
  </si>
  <si>
    <t>250 mm diameter pipes at a depth of 1.5 - 2.0 m.</t>
  </si>
  <si>
    <t>250 mm diameter pipes at a depth of 2.0 - 2.5 m,</t>
  </si>
  <si>
    <t>160 mm diameter pipes at a depth of 2.0 - 2.5 m,</t>
  </si>
  <si>
    <t>200 mm diameter pipes at a depth of 2.0 - 2.5 m,</t>
  </si>
  <si>
    <t>300 mm diameter pipes at a depth of 0 - 1.5 m,</t>
  </si>
  <si>
    <t>300 mm diameter pipes at a depth of 1.5 - 2.0 m.</t>
  </si>
  <si>
    <t>300 mm diameter pipes at a depth of 2.0 - 2.5 m,</t>
  </si>
  <si>
    <t>300 mm diameter pipes at a depth of 2.5 - 3.0 m,</t>
  </si>
  <si>
    <t>300 mm diameter pipes at a depth of 3.0 - 3.5 m,</t>
  </si>
  <si>
    <t>300 mm diameter pipes at a depth of 3.5 - 4.0 m,</t>
  </si>
  <si>
    <t>Supply and installation of GRP pipes in trenches, including excavation, backfilling, compaction, waste removal, surface protection, reinforcement work, dividers, warning tapes, testing and commissioning upon completion in accordance with the plans, specifications and requirements of the concerned authority (backfilling work under and around the pipe is measured individually)</t>
  </si>
  <si>
    <t>Pipes with an inner diameter of 350 mm at a depth of 0 - 1.5 m</t>
  </si>
  <si>
    <t>Pipes with an inner diameter of 350 mm at a depth of 1.5 - 2.0 m</t>
  </si>
  <si>
    <t>Pipes with an inner diameter of 350 mm at a depth of 2.0 - 2.5 m</t>
  </si>
  <si>
    <t>Pipes with an inner diameter of 350 mm at a depth of 2.5 - 3.0 m</t>
  </si>
  <si>
    <t>Pipes with an inner diameter of 350 mm at a depth of 3.0 - 3.5 m</t>
  </si>
  <si>
    <t>Pipes with an inner diameter of 350 mm at a depth of 3.5 - 4.0 m</t>
  </si>
  <si>
    <t>Pipes with an inner diameter of 400 mm at a depth of 0 - 1.5 m</t>
  </si>
  <si>
    <t>Pipes with an inner diameter of 400 mm at a depth of 1.5 - 2.0 m</t>
  </si>
  <si>
    <t>Pipes with an inner diameter of 400 mm at a depth of 2.0 - 2.5 m</t>
  </si>
  <si>
    <t>Pipes with an inner diameter of 400 mm at a depth of 2.5 - 3.0 m</t>
  </si>
  <si>
    <t>Pipes with an inner diameter of 400 mm at a depth of 3.0 - 3.5 m</t>
  </si>
  <si>
    <t>Pipes with an inner diameter of 400 mm at a depth of 3.5 - 4.0 m</t>
  </si>
  <si>
    <t>Pipes with an inner diameter of 450 mm at a depth of 0 - 1.5 m</t>
  </si>
  <si>
    <t>Pipes with an inner diameter of 450 mm at a depth of 1.5 - 2.0 m</t>
  </si>
  <si>
    <t>Pipes with an inner diameter of 450 mm at a depth of 2.0 - 2.5 m</t>
  </si>
  <si>
    <t>Pipes with an inner diameter of 450 mm at a depth of 2.5 - 3.0 m</t>
  </si>
  <si>
    <t>Pipes with an inner diameter of 450 mm at a depth of 3.0 - 3.5 m</t>
  </si>
  <si>
    <t>Pipes with an inner diameter of 450 mm at a depth of 3.5 - 4.0 m</t>
  </si>
  <si>
    <t>Pipes with an inner diameter of 500 mm at a depth of 0 - 1.5 m</t>
  </si>
  <si>
    <t>Pipes with an inner diameter of 500 mm at a depth of 1.5 - 2.0 m</t>
  </si>
  <si>
    <t>Pipes with an inner diameter of 500 mm at a depth of 2.0 - 2.5 m</t>
  </si>
  <si>
    <t>Pipes with an inner diameter of 500 mm at a depth of 2.5 - 3.0 m</t>
  </si>
  <si>
    <t>Pipes with an inner diameter of 500 mm at a depth of 3.0 - 3.5 m</t>
  </si>
  <si>
    <t>Pipes with an inner diameter of 500 mm at a depth of 3.5 - 4.0 m</t>
  </si>
  <si>
    <t>Pipes with an inner diameter of 600 mm at a depth of 0 - 1.5 m</t>
  </si>
  <si>
    <t>Pipes with an inner diameter of 600 mm at a depth of 1.5 - 2.0 m</t>
  </si>
  <si>
    <t>Pipes with an inner diameter of 600 mm at a depth of 2.0 - 2.5 m</t>
  </si>
  <si>
    <t>Pipes with an inner diameter of 600 mm at a depth of 2.5 - 3.0 m</t>
  </si>
  <si>
    <t>Pipes with an inner diameter of 600 mm at a depth of 3.0 - 3.5 m</t>
  </si>
  <si>
    <t>Pipes with an inner diameter of 600 mm at a depth of 3.5 - 4.0 m</t>
  </si>
  <si>
    <t>Pipes with an inner diameter of 700 mm at a depth of 0 - 1.5 m</t>
  </si>
  <si>
    <t>Pipes with an inner diameter of 700 mm at a depth of 1.5 - 2.0 m</t>
  </si>
  <si>
    <t>Pipes with an inner diameter of 700 mm at a depth of 2.0 - 2.5 m</t>
  </si>
  <si>
    <t>Pipes with an inner diameter of 700 mm at a depth of 2.5 - 3.0 m</t>
  </si>
  <si>
    <t>Pipes with an inner diameter of 700 mm at a depth of 3.0 - 3.5 m</t>
  </si>
  <si>
    <t>Pipes with an inner diameter of 700 mm at a depth of 3.5 - 4.0 m</t>
  </si>
  <si>
    <t>Pipes with an inner diameter of 800 mm at a depth of 0 - 1.5 m</t>
  </si>
  <si>
    <t>Pipes with an inner diameter of 800 mm at a depth of 1.5 - 2.0 m</t>
  </si>
  <si>
    <t>Pipes with an inner diameter of 800 mm at a depth of 2.0 - 2.5 m</t>
  </si>
  <si>
    <t>Pipes with an inner diameter of 800 mm at a depth of 2.5 - 3.0 m</t>
  </si>
  <si>
    <t>Pipes with an inner diameter of 800 mm at a depth of 3.0 - 3.5 m</t>
  </si>
  <si>
    <t>Pipes with a diameter of 150 mm at a depth of 0 - 1.5 m, for connection with collection basins.</t>
  </si>
  <si>
    <t>Precast Concrete Box Trays (Box Pipes)</t>
  </si>
  <si>
    <t>Supply and installation of box-shaped concrete drainage pipes made of precast concrete in trenches. This includes vertical walls, excavation, backfilling, compaction, waste removal, facility protection, support works, partitions, diversions, warning tape, testing and delivery upon complete completion of the work in accordance with plans, specifications and manufacturers’ recommendations (backfilling work under and around the pipe is measured individually)</t>
  </si>
  <si>
    <t>Box pipes measuring (internal) 500 x 500 mm in trenches</t>
  </si>
  <si>
    <t>Depth 0.0 - 1.5 m</t>
  </si>
  <si>
    <t>Depth 1.5 - 2.0 m</t>
  </si>
  <si>
    <t>Depth 2.0 - 2.5 m</t>
  </si>
  <si>
    <t>Depth 2.5 - 3.0 m</t>
  </si>
  <si>
    <t>Box pipes (internal) size 1000x500mm in trenches</t>
  </si>
  <si>
    <t>Depth 3.0 - 3.5 m</t>
  </si>
  <si>
    <t>Depth 3.5 - 4.0 m</t>
  </si>
  <si>
    <t>Depth 4.0 - 4.5 m</t>
  </si>
  <si>
    <t>Box pipes (internal) size 1000x700 mm in trenches</t>
  </si>
  <si>
    <t>Box pipes (internal) size 1500x500mm in trenches</t>
  </si>
  <si>
    <t>Box pipes measuring (internal) 1500x700 mm in trenches</t>
  </si>
  <si>
    <t>Box pipes measuring (internal) 1500x750 mm in trenches</t>
  </si>
  <si>
    <t>Box pipes measuring (internal) 1600x700 mm in trenches</t>
  </si>
  <si>
    <t>Box pipes measuring (internal) 2000x500 mm in trenches</t>
  </si>
  <si>
    <t>Box pipes (internal size) 2000x700 mm in trenches</t>
  </si>
  <si>
    <t>Box pipes measuring (internal) 1600x800 mm in trenches</t>
  </si>
  <si>
    <t>Box pipes (internal) 2000x800 mm in trenches</t>
  </si>
  <si>
    <t>Box pipes measuring (internal) 2500x700 mm in trenches</t>
  </si>
  <si>
    <t>Rainwater drainage network</t>
  </si>
  <si>
    <t>Box pipes measuring (internal) 2500x800 mm in trenches</t>
  </si>
  <si>
    <t>Box pipes measuring (internal) 3000x500 mm in trenches</t>
  </si>
  <si>
    <t>Box pipes measuring (internal) 1800x500 mm in trenches</t>
  </si>
  <si>
    <t>Box pipes measuring (internal) 2000x600 mm in trenches</t>
  </si>
  <si>
    <t>Box pipes (internal size) 2000x750 mm in trenches</t>
  </si>
  <si>
    <t>Box pipes (internal size) 2500 x 750 mm in trenches</t>
  </si>
  <si>
    <t>Box pipes (internal size) 3000x800 mm in trenches</t>
  </si>
  <si>
    <t>Box pipes (internal size) 3500x700 mm in trenches</t>
  </si>
  <si>
    <t>Box pipes (internal size) 3500 x 800 mm in trenches</t>
  </si>
  <si>
    <t>Box pipes (internal size) 4000x700 mm in trenches</t>
  </si>
  <si>
    <t>Tube ferries at the road junction</t>
  </si>
  <si>
    <t>Construction of tubular culverts, including road cutting culverts, connection and transfer to drainage channels and box pipes, earthworks, dewatering, cleaning concrete, construction works, reinforcement, formwork, etc., as shown in the drawings and specifications and in accordance with the requirements of the manufacturers.</t>
  </si>
  <si>
    <t>Scheme No.: DAM3-01-001-CH2-TS8-1-STR-DRW -0356</t>
  </si>
  <si>
    <t>2 pipes, 600 mm diameter GRP pipe</t>
  </si>
  <si>
    <t>Scheme No.: DAM3-01-001-CH2-TS8-1-STR-DRW -0355</t>
  </si>
  <si>
    <t>1 pipe, 600 mm diameter GRP pipe</t>
  </si>
  <si>
    <t>The box crossing at the intersection of the road</t>
  </si>
  <si>
    <t>Construction of single-chamber box culverts, including road cutting culverts, connection and transfer to drainage channels and box pipes, earthworks, dewatering, cleaning concrete, construction works, reinforcement, formwork, etc., complete as shown in the plans and specifications and in accordance with the requirements of the manufacturers.</t>
  </si>
  <si>
    <t>Scheme No.: DAM3-01-001-CH2-TS8-1-STR-DRW -0358</t>
  </si>
  <si>
    <t>Internal measurement: 700x1500mm</t>
  </si>
  <si>
    <t>Internal measurement: 2500 x 800mm</t>
  </si>
  <si>
    <t>Flush Inlet Manholes</t>
  </si>
  <si>
    <t>Creating GRP manholes for the entry of wastewater into all pipes of various diameters. This includes excavation, backfilling, compaction, waste removal, dewatering, cleaning concrete, concrete bases, surrounding soil, reinforcement, formwork, concrete room frames, slabs, brick and masonry work, cement bases, waterproofing, waterproofing, entrance covers and frames, safety rings, and dividers in accordance with the plans, specifications, and requirements of the concerned authority.</t>
  </si>
  <si>
    <t>Diagram No. DAM3-01-001-CH2-TS8-1-STR-DRW-0307 REV A01</t>
  </si>
  <si>
    <t>Diagram No. DAM3-01-001-CH2-TS8-1-STR-DRW-0311 REV A01</t>
  </si>
  <si>
    <t>Circular manhole measuring 1200 mm inner diameter</t>
  </si>
  <si>
    <t>Manhole with a depth of 0-1.5 m</t>
  </si>
  <si>
    <t>Manhole depth 0-1.5m(GRP)</t>
  </si>
  <si>
    <t>Manhole with a depth of 1.5-2.0 m</t>
  </si>
  <si>
    <t>Manhole 1.5-2.0m deep(GRP)</t>
  </si>
  <si>
    <t>Manhole with a depth of 2.0-2.5 m</t>
  </si>
  <si>
    <t>Manhole with depth 2.0-2.5m(GRP)</t>
  </si>
  <si>
    <t>Manhole with a depth of 2.5-3.0 m</t>
  </si>
  <si>
    <t>Manhole 2.5-3.0m deep(GRP)</t>
  </si>
  <si>
    <t>Manhole with a depth of 3.0-3.5 m</t>
  </si>
  <si>
    <t>Manhole 3.0-3.5m deep(GRP)</t>
  </si>
  <si>
    <t>Manhole with a depth of 3.5-4.0 m</t>
  </si>
  <si>
    <t>Manhole 3.5-4.0m deep(GRP)</t>
  </si>
  <si>
    <t>Increasing the depth difference by 0.5 for a circular manhole measuring inner diameter of 1200 mm (GRP)</t>
  </si>
  <si>
    <t>Increasing the depth difference by 1.00 for a circular manhole measuring 1200 mm inner diameter (GRP)</t>
  </si>
  <si>
    <t>Increase depth difference of 1.50 for a circular manhole measuring 1200 mm inner diameter (GRP)</t>
  </si>
  <si>
    <t>Increased 2.00 depth differential for circular manhole measuring 1200 mm inner diameter (GRP)</t>
  </si>
  <si>
    <t>Increase depth difference of 2.50 for circular manhole measuring 1200mm inner diameter (GRP)</t>
  </si>
  <si>
    <t>Increased 3.00 depth difference for a circular manhole measuring 1200 mm inner diameter (GRP)</t>
  </si>
  <si>
    <t>Circular manhole measuring 1500 mm inner diameter</t>
  </si>
  <si>
    <t>Increasing the depth difference by 0.5 for a circular manhole measuring 1500 mm inner diameter (GRP)</t>
  </si>
  <si>
    <t>Increasing the depth difference by 1.00 for a circular manhole measuring 1500 mm inner diameter (GRP)</t>
  </si>
  <si>
    <t>Increase depth difference of 1.50 for a circular manhole measuring 1500 mm inner diameter (GRP)</t>
  </si>
  <si>
    <t>Increased 2.00 depth differential for a circular manhole measuring 1500 mm inner diameter (GRP)</t>
  </si>
  <si>
    <t>Increase depth difference of 2.50 for circular manhole measuring 1500mm inner diameter (GRP)</t>
  </si>
  <si>
    <t>Increased 3.00 depth difference for a circular manhole measuring 1500 mm inner diameter (GRP)</t>
  </si>
  <si>
    <t>Circular manhole measuring 1800 mm inner diameter</t>
  </si>
  <si>
    <t>Circular manhole measuring 3000 mm inner diameter</t>
  </si>
  <si>
    <t>Flush Inlet Manholes (continued)</t>
  </si>
  <si>
    <t>Constructing concrete manholes for the entry of wastewater onto box drain pipes. This includes excavation, backfilling, compaction, waste removal, dewatering, sanitation concrete, concrete bases, walls, roof slabs, surrounding soil, reinforcement, formwork, concrete room frames, slabs, brickwork, masonry, cement bases, waterproofing, waterproofing, entrance covers and frames, safety rings, dividers and intersections according to the plans. Specifications and requirements of the concerned authority.</t>
  </si>
  <si>
    <t>Schemes no. DAM2-01-002-CH2-TS8--1-STR-DRW-0313 Rev A</t>
  </si>
  <si>
    <t>Manhole on box pipes 1000x1000mm wide</t>
  </si>
  <si>
    <t>Manhole with a depth of 0.0-1.5 m</t>
  </si>
  <si>
    <t>Manhole with a depth of more than -4.0 m</t>
  </si>
  <si>
    <t>Manhole on box pipes 1500x1500mm wide</t>
  </si>
  <si>
    <t>Concrete rooms</t>
  </si>
  <si>
    <t>Creating concrete chambers on all pipes of various diameters, including excavation, backfilling, compaction, waste removal, dewatering, cleaning concrete, reinforced concrete bases, walls, reinforcement, slabs, formwork, construction work, waterproofing, entrance covers and frames, safety rings, and dividers, in accordance with the requirements of the concerned authority, plans, and specifications.</t>
  </si>
  <si>
    <t>(Gully outfalls) Water drainage outfalls from collection basins</t>
  </si>
  <si>
    <t>Catch Basins</t>
  </si>
  <si>
    <t>Construction of outfalls to drain rainwater from collection basins, including protection, stone cladding (Riprap), all other bases, and edge and edge finishes in accordance with the advice of the landscaping engineer. It also includes slopes, earthworks, concrete works, construction works, connections, etc. According to the requirements of the concerned authority, plans and specifications</t>
  </si>
  <si>
    <t>(Gully outfalls to swales) Drainage outfalls to surface channels</t>
  </si>
  <si>
    <t>Ref.Drg. DAM3-01-001-CH2-TS8-1-STR-DRW 0300-Rev A01 (Curbs measured seperately)</t>
  </si>
  <si>
    <t>Outfalls from low brooders to drainage chambers/surface canals. (Bardware is measured in a separate item)</t>
  </si>
  <si>
    <t>Precast chambers for absorption pits equipped with a cast-in-place base, including earthworks, protection works, cover, frame, connections, and connection pipe, completely complete in all respects, as shown in plan No. (DAM3-01-001-CH2-TS8-1-STR-DRW-0301)</t>
  </si>
  <si>
    <t>Granular bedding material or powdered gravel is well compacted under and around the pipe and at different depths in accordance with the plans, specifications and requirements of the concerned authority.</t>
  </si>
  <si>
    <t>Pipes diameter from 201-300 mm</t>
  </si>
  <si>
    <t>Pipes diameter from 301-400 mm</t>
  </si>
  <si>
    <t>Pipes diameter from 401-500 mm</t>
  </si>
  <si>
    <t>Pipes diameter from 501-600 mm</t>
  </si>
  <si>
    <t>Pipes diameter from 601-700 mm</t>
  </si>
  <si>
    <t>Pipes diameter from 701-800 mm</t>
  </si>
  <si>
    <t>Backfill materials under and around pipes - Type (B)</t>
  </si>
  <si>
    <t>Concrete blocks under and around pipes in accordance with the procedures of the competent authorities, specifications and plans</t>
  </si>
  <si>
    <t>Firewall gateways</t>
  </si>
  <si>
    <t>Excavations from materials other than topsoil, rock, or artificial solids</t>
  </si>
  <si>
    <t>Maximum depth 1 meter</t>
  </si>
  <si>
    <t>Maximum depth from 1 - 2 meters</t>
  </si>
  <si>
    <t>Maximum depth from 2 - 5 meters</t>
  </si>
  <si>
    <t>The maximum depth is 5 - 10 metres</t>
  </si>
  <si>
    <t>Drilling accessories
Preparing the surfaces of the base layer to be excavated to begin permanent works</t>
  </si>
  <si>
    <t>Transporting surplus excavations to an approved location</t>
  </si>
  <si>
    <t>Backfills</t>
  </si>
  <si>
    <t>Backfilling using materials selected from the excavation product other than topsoil or rock.</t>
  </si>
  <si>
    <t>Backfilling with materials supplied from outside the city</t>
  </si>
  <si>
    <t>Concrete works on site
Concrete supply
Scheme No. (DAM3-01-001-CH2-TS8-1-STR-DRW-0358</t>
  </si>
  <si>
    <t>Concrete type (C15), OP cement, in hygiene concrete</t>
  </si>
  <si>
    <t>Concrete type (C20), OP cement, in construction</t>
  </si>
  <si>
    <t>Pouring concrete block</t>
  </si>
  <si>
    <t>So that the thickness of the blinding concrete does not exceed 100 mm</t>
  </si>
  <si>
    <t>Armament 
The base slab is 300 - 500 mm thick</t>
  </si>
  <si>
    <t>Base slab with thickness exceeding 500 mm</t>
  </si>
  <si>
    <t>Floor slab (at ground level) 150 - 300 mm thick</t>
  </si>
  <si>
    <t>Floor slab (at ground level) 500mm thick</t>
  </si>
  <si>
    <t>Suspended slab with a thickness of 150 - 300 mm</t>
  </si>
  <si>
    <t>Wall below the ground floor with a thickness of 150 - 300 mm</t>
  </si>
  <si>
    <t>A wall below the ground floor with a thickness of 300 - 500 mm</t>
  </si>
  <si>
    <t>A wall below the ground floor with a thickness exceeding 500 mm</t>
  </si>
  <si>
    <t>Parapet wall / wing wall with a thickness of 300 - 500 mm</t>
  </si>
  <si>
    <t>Concrete accessories
Rough brickwork finishes</t>
  </si>
  <si>
    <t>The vertical level is 0.2 - 0.4 m wide</t>
  </si>
  <si>
    <t>The vertical level is 0.4 - 1.22 m wide</t>
  </si>
  <si>
    <t>Vertical level with a width exceeding 1.22 metres</t>
  </si>
  <si>
    <t>Horizontal plane with a width exceeding 1.22 metres</t>
  </si>
  <si>
    <t>The incline level is 0.4 - 1.22 meters wide</t>
  </si>
  <si>
    <t>Finishes of the upper surface layers</t>
  </si>
  <si>
    <t>Power floating finishes</t>
  </si>
  <si>
    <t>Reinforced and adjustable steel bars BS EN 10080 BS4449</t>
  </si>
  <si>
    <t>8 mm in diameter</t>
  </si>
  <si>
    <t>t</t>
  </si>
  <si>
    <t>10 mm in diameter</t>
  </si>
  <si>
    <t>12 mm in diameter</t>
  </si>
  <si>
    <t>16 mm in diameter</t>
  </si>
  <si>
    <t>20 mm in diameter</t>
  </si>
  <si>
    <t>25 mm in diameter</t>
  </si>
  <si>
    <t>Waterproof insulation</t>
  </si>
  <si>
    <t>Lining of tanks (sinks).</t>
  </si>
  <si>
    <t>Inlet Shaft</t>
  </si>
  <si>
    <t>Excavations from materials other than surface soil, rock, or artificial solid materials</t>
  </si>
  <si>
    <t>Concrete type (C40), OP cement, in construction</t>
  </si>
  <si>
    <t>Scheme No.:DAM3-01-001-CH2-TS8-1-STR-DRW-0358</t>
  </si>
  <si>
    <t>He poured his kharsa nih</t>
  </si>
  <si>
    <t>Commodification</t>
  </si>
  <si>
    <t>Plates are hung with a thickness of 150-300 mm</t>
  </si>
  <si>
    <t>The wall below the ground floor is 150-300 mm thick</t>
  </si>
  <si>
    <t>Concrete accessories</t>
  </si>
  <si>
    <t>Rough brickwork finishes</t>
  </si>
  <si>
    <t>The vertical plane is 0.2-0.4 m wide</t>
  </si>
  <si>
    <t>The vertical plane is 0.4-1.22 meters wide</t>
  </si>
  <si>
    <t>The vertical plane is more than 1.22 meters wide</t>
  </si>
  <si>
    <t>Commas</t>
  </si>
  <si>
    <t>Construction breaks</t>
  </si>
  <si>
    <t>Armament</t>
  </si>
  <si>
    <t>Steel bars for reinforcement and adjustment BS EN 10080 BS 4449</t>
  </si>
  <si>
    <t>12mm cow</t>
  </si>
  <si>
    <t>طن</t>
  </si>
  <si>
    <t>Peripheral lining from all sides, including the slat, the insulating layer of insulation, the screed, and so on, according to the plans.</t>
  </si>
  <si>
    <t>Balata Al-Qaeda approach</t>
  </si>
  <si>
    <t>Excavations from materials other than average soil, rock, or artificial solid materials</t>
  </si>
  <si>
    <t>The maximum depth is 1-2 metres</t>
  </si>
  <si>
    <t>Drilling accessories</t>
  </si>
  <si>
    <t>Prepare the brightest base layer to be excavated to begin the hard work</t>
  </si>
  <si>
    <t>Backfilling using materials selected from the excavation results other than surface soil or rock</t>
  </si>
  <si>
    <t>Pouring the concrete block</t>
  </si>
  <si>
    <t>Suspended slab with thickness of 150-300 mm</t>
  </si>
  <si>
    <t>16mm Dowels</t>
  </si>
  <si>
    <t>Scheme No. DAM3-01-001-CH2-TS8-1-STR-DRW--0358</t>
  </si>
  <si>
    <t>Lining tanks</t>
  </si>
  <si>
    <t>Mesh barrier to trap floating litter (MS) according to plan and details</t>
  </si>
  <si>
    <t>Rock works</t>
  </si>
  <si>
    <t>Artificial swimming pool - geo-textile - under stone cladding</t>
  </si>
  <si>
    <t>Stone cladding works with a thickness of (0.3 m) around the facility supported by a filter layer with a thickness of (0.15 m)</t>
  </si>
  <si>
    <t>250mm diameter uPVC open drainage pipes laid and backfilled with gravel/in gravel backfilled trenches (trenches measured separately).</t>
  </si>
  <si>
    <t>160mm diameter uPVC open drainage pipes laid and backfilled with gravel/in gravel backfilled trenches (trenches measured separately).</t>
  </si>
  <si>
    <t xml:space="preserve"> m </t>
  </si>
  <si>
    <t>200mm diameter uPVC open drainage pipes laid and backfilled with gravel/in gravel backfilled trenches (trenches measured separately).</t>
  </si>
  <si>
    <t>Gravel/backfill using gravel</t>
  </si>
  <si>
    <t>Filter filter fabric as required. Packing with gravel/backfill using gravel within the filter fabric</t>
  </si>
  <si>
    <t>A deep basin to collect underground water through sewage at a depth of 2.5 - 3.0 m</t>
  </si>
  <si>
    <t>Ponds 12</t>
  </si>
  <si>
    <t>General preparation of the site land</t>
  </si>
  <si>
    <t>Drilling for the purpose of cutting and leveling at all depths for materials other than surface or rock</t>
  </si>
  <si>
    <t>Dispose of excess excavated material from an approved site in accordance with the engineer’s directions</t>
  </si>
  <si>
    <t>Backfilling using materials selected from the excavation product other than topsoil or rock</t>
  </si>
  <si>
    <t>Backfilling using imported materials other than topsoil or rock</t>
  </si>
  <si>
    <t>Diagrams No. DAM3-01-001CH2-TS8-STR-DRW-0332</t>
  </si>
  <si>
    <t>Lining with HDPE geotextile for insulation at the bottom and including a 500 mm thick coarse sand mattress.</t>
  </si>
  <si>
    <t>Siphon tubes with DI 90 bends Low levels for a sedimentation and deoiling facility, including side wall, low level area, compacted granular bed, coarse gravel compaction, earthworks, brickwork, reinforced concrete, waterproofing, finishing works, etc.</t>
  </si>
  <si>
    <t>item</t>
  </si>
  <si>
    <t>Energy dissipation facilities, including 600mm stone walls (Gabion Baffles), stone cladding works (Riprap), ground bed compaction, paving works with coarse gravel, earthworks, brickwork, reinforced concrete, waterproofing works, finishing works, etc.</t>
  </si>
  <si>
    <t>Scheme No.: DAM3-01-002-CH2-TS8-1-STR-DRW-0333</t>
  </si>
  <si>
    <t>The base slab is 300 - 500 mm thick</t>
  </si>
  <si>
    <t>Peripheral lining from all sides, including the filament, the insulating bitumen layer, screed leveling, etc. according to the plans.</t>
  </si>
  <si>
    <t>Entry road 5 m wide</t>
  </si>
  <si>
    <t>Entry corridor 3 m wide</t>
  </si>
  <si>
    <t>D.S 14</t>
  </si>
  <si>
    <t>Road crossings for sewage pipes with a diameter of 300 mm</t>
  </si>
  <si>
    <t>Road crossings for sewage pipes with a diameter of 500 mm</t>
  </si>
  <si>
    <t>Road crossings for wastewater pipes with a diameter of 800 mm</t>
  </si>
  <si>
    <t>Road crossings for drinking water pipes with a diameter of 250 mm</t>
  </si>
  <si>
    <t>Road crossings for drinking water pipes, diameter 500 mm</t>
  </si>
  <si>
    <t>Road crossings for drinking water pipes, diameter 800 mm</t>
  </si>
  <si>
    <t>Road crossings for irrigation water pipes with a diameter of 250 mm</t>
  </si>
  <si>
    <t>Road crossings for irrigation water pipes with a diameter of 500 mm</t>
  </si>
  <si>
    <t>Road crossings for irrigation water pipes with a diameter of 800 mm</t>
  </si>
  <si>
    <t>Packaging of cross-section pipes:</t>
  </si>
  <si>
    <t>Supply and installation of drinking water, irrigation and sewage pipes crossing the roads, with installation with surrounding supports and closing them on both sides according to the plans, specifications and requirements of the concerned authority.</t>
  </si>
  <si>
    <t>uPVC pipes 300mm diameter</t>
  </si>
  <si>
    <t>uPVC pipes 315mm diameter</t>
  </si>
  <si>
    <t>uPVC pipes 400mm diameter</t>
  </si>
  <si>
    <t>uPVC pipes 600mm diameter</t>
  </si>
  <si>
    <t>GRP pipes 600mm diameter</t>
  </si>
  <si>
    <t>GRP pipes 800mm diameter</t>
  </si>
  <si>
    <t>GRP pipes 1000mm diameter</t>
  </si>
  <si>
    <t>LS 15</t>
  </si>
  <si>
    <t>Phoenix Dactylifera(PD) (300-350 cm height)</t>
  </si>
  <si>
    <t>Shrubs and Vines, (2Lt pot, 30-40cm height)</t>
  </si>
  <si>
    <t>Atriplex canescens 2Lt pot, 30-40cm height</t>
  </si>
  <si>
    <t>Ref.Drg No.DAM3-01-001-AAD-TS8-1-LSP-DRW-0001</t>
  </si>
  <si>
    <t>Peltophorum Inerme</t>
  </si>
  <si>
    <t>Palm trees (in meters)</t>
  </si>
  <si>
    <t>Phoenix Dactylifera(PD)</t>
  </si>
  <si>
    <t>Shrubs and Vines</t>
  </si>
  <si>
    <t>Atriplex canescens</t>
  </si>
  <si>
    <t>Ref Doc. No. CS/DMm3-P2/AAD-615</t>
  </si>
  <si>
    <t>A 50 mm thick layer of gravel for green areas</t>
  </si>
  <si>
    <t>Ref. Planting Specifications</t>
  </si>
  <si>
    <t>Gravel bed with a thickness of 150 mm for the drainage network</t>
  </si>
  <si>
    <t>Semi-porous membrane</t>
  </si>
  <si>
    <t>Sweet soil/sand</t>
  </si>
  <si>
    <t>Cultivation soil</t>
  </si>
  <si>
    <t>Irrigation system for agricultural coordination works</t>
  </si>
  <si>
    <t>Design, supply and installation of an irrigation system for agricultural coordination works that works in an integrated manner in all aspects as approved by the owner in the following areas</t>
  </si>
  <si>
    <t>Arterial routes</t>
  </si>
  <si>
    <t>Integrated maintenance and preservation in all aspects</t>
  </si>
  <si>
    <t>Days</t>
  </si>
  <si>
    <t>Pipes with an outer diameter of 500 mm at a depth of 2.0 - 2.5 m</t>
  </si>
  <si>
    <t>Pipes with an outer diameter of 500 mm at a depth of 1.5 - 2.0 m</t>
  </si>
  <si>
    <t>Pipes with an outer diameter of 500 mm at a depth of 2.5 - 3.0 m</t>
  </si>
  <si>
    <t>Pipes with an outer diameter of 500 mm at a depth of 3.5 - 4.0 m</t>
  </si>
  <si>
    <t>Increased depth difference of 0.5 m for 500 mm diameter pipes</t>
  </si>
  <si>
    <t>Increased depth difference of 1.0 m for 500 mm diameter pipes</t>
  </si>
  <si>
    <t>Increased depth difference of 1.5 m for 500 mm diameter pipes</t>
  </si>
  <si>
    <t>Curbstone</t>
  </si>
  <si>
    <t>Site Clearance with disposal</t>
  </si>
  <si>
    <t>LTR</t>
  </si>
  <si>
    <t xml:space="preserve">Earthworks - Roads </t>
  </si>
  <si>
    <t>Supply &amp; Install Curbstone</t>
  </si>
  <si>
    <t>LM</t>
  </si>
  <si>
    <t>Bituminous construction - Local Roads</t>
  </si>
  <si>
    <t xml:space="preserve">MC1 Works </t>
  </si>
  <si>
    <t>Spray MC1</t>
  </si>
  <si>
    <t>Spray RC2</t>
  </si>
  <si>
    <t>Supply Asphalt Binder Course</t>
  </si>
  <si>
    <t>Binder Course Works 70 mm</t>
  </si>
  <si>
    <t>Apply Asphalt Binder Course 7 CM</t>
  </si>
  <si>
    <t>Apply Asphalt Wearing Course 7 CM</t>
  </si>
  <si>
    <t>Apply Asphalt Wearing Course 3-5 CM</t>
  </si>
  <si>
    <t>Apply Asphalt Binder Course 3-5 CM</t>
  </si>
  <si>
    <t>Wearing Course Works 50 mm</t>
  </si>
  <si>
    <t>Supply MC1</t>
  </si>
  <si>
    <t>Supply RC2</t>
  </si>
  <si>
    <t>Supply bituminous concrete 50 mm</t>
  </si>
  <si>
    <t>Manholes and pipework accessories-Telecom 7</t>
  </si>
  <si>
    <t>Plate Compactor</t>
  </si>
  <si>
    <t xml:space="preserve">Duct bank  </t>
  </si>
  <si>
    <t>Supply Plain Concrete C25</t>
  </si>
  <si>
    <t>Category (I): Piping works - pipes</t>
  </si>
  <si>
    <t xml:space="preserve">Excavation ( W= 1.0 &amp; d= 1.5 ) </t>
  </si>
  <si>
    <t>Trench Concrete workmanship</t>
  </si>
  <si>
    <t>Pipe Laying &amp; Protection</t>
  </si>
  <si>
    <t>Warning Tape 250 mic 305 m roll</t>
  </si>
  <si>
    <t>Roll</t>
  </si>
  <si>
    <t>Pipe Testing and Commissioning</t>
  </si>
  <si>
    <t>Testing &amp; Commissioning</t>
  </si>
  <si>
    <t xml:space="preserve">Excavation ( W= 1.0 &amp; d= 2.0 ) </t>
  </si>
  <si>
    <t>Excavation ( W= 1.0 &amp; d= 1.5 )</t>
  </si>
  <si>
    <t>UPVC Fitting 250 mm</t>
  </si>
  <si>
    <t>UPVC Pipe 300 mm</t>
  </si>
  <si>
    <t>UPVC Pipe 250 mm</t>
  </si>
  <si>
    <t>UPVC Fitting 300 mm</t>
  </si>
  <si>
    <t>Excavation ( W= 1.0 &amp; d= 2.0 )</t>
  </si>
  <si>
    <t>Steel Shoring D=2.5 M</t>
  </si>
  <si>
    <t>Steel Shoring D&gt;3.0 M</t>
  </si>
  <si>
    <t>Excavation ( W= 1.0 &amp; d= 2.5 )</t>
  </si>
  <si>
    <t>Excavation ( W= 1.0 &amp; d= 3.0 )</t>
  </si>
  <si>
    <t>Excavation ( W= 1.0 &amp; d= 3.5 )</t>
  </si>
  <si>
    <t>Excavation ( W= 1.0 &amp; d= 4.0 )</t>
  </si>
  <si>
    <t>GRP Pipe 350 mm</t>
  </si>
  <si>
    <t>GRP Pipe 400 mm</t>
  </si>
  <si>
    <t>GRP Pipe 450 mm</t>
  </si>
  <si>
    <t>GRP Pipe 500 mm</t>
  </si>
  <si>
    <t>GRP Pipe 600 mm</t>
  </si>
  <si>
    <t>GRP Pipe 700 mm</t>
  </si>
  <si>
    <t>GRP Pipe 800 mm</t>
  </si>
  <si>
    <t>GRP Fitting 350 mm</t>
  </si>
  <si>
    <t>GRP Fitting 400 mm</t>
  </si>
  <si>
    <t>GRP Fitting 450 mm</t>
  </si>
  <si>
    <t>GRP Fitting 500 mm</t>
  </si>
  <si>
    <t>GRP Fitting 600 mm</t>
  </si>
  <si>
    <t>GRP Fitting 700 mm</t>
  </si>
  <si>
    <t>GRP Fitting 800 mm</t>
  </si>
  <si>
    <t>Workmanship GRP pipe 600 mm</t>
  </si>
  <si>
    <t>Workmanship GRP pipe 350 mm</t>
  </si>
  <si>
    <t>Workmanship GRP pipe 400 mm</t>
  </si>
  <si>
    <t>Workmanship GRP pipe 450 mm</t>
  </si>
  <si>
    <t>Workmanship GRP pipe 500 mm</t>
  </si>
  <si>
    <t>Workmanship GRP pipe 700 mm</t>
  </si>
  <si>
    <t>Workmanship GRP pipe 800 mm</t>
  </si>
  <si>
    <t>Excavation ( W= 1.8 &amp; d= 3.5 )</t>
  </si>
  <si>
    <t>Excavation ( W= 1.8 &amp; d= 3.0 )</t>
  </si>
  <si>
    <t>Excavation ( W= 1.7 &amp; d= 3.5 )</t>
  </si>
  <si>
    <t>Excavation ( W= 1.7 &amp; d= 3.0 )</t>
  </si>
  <si>
    <t>Excavation ( W= 1.7 &amp; d= 2.5 )</t>
  </si>
  <si>
    <t>Excavation ( W= 1.7 &amp; d= 2.0 )</t>
  </si>
  <si>
    <t>Excavation ( W= 1.6 &amp; d= 3.0 )</t>
  </si>
  <si>
    <t>Excavation ( W= 1.6 &amp; d= 4.0 )</t>
  </si>
  <si>
    <t>Excavation ( W= 1.6 &amp; d= 3.5 )</t>
  </si>
  <si>
    <t>Excavation ( W= 1.6 &amp; d= 2.5 )</t>
  </si>
  <si>
    <t>Excavation ( W= 1.6 &amp; d= 2.0 )</t>
  </si>
  <si>
    <t>Excavation ( W= 1.5 &amp; d= 3.0 )</t>
  </si>
  <si>
    <t>Excavation ( W= 1.5 &amp; d= 4.0 )</t>
  </si>
  <si>
    <t>Excavation ( W= 1.5 &amp; d= 3.5 )</t>
  </si>
  <si>
    <t>Excavation ( W= 1.5 &amp; d= 2.5 )</t>
  </si>
  <si>
    <t>Excavation ( W= 1.5 &amp; d= 2.0 )</t>
  </si>
  <si>
    <t>Excavation ( W= 1.5 &amp; d= 1.5 )</t>
  </si>
  <si>
    <t>Excavation ( W= 1.25 &amp; d= 3.5 )</t>
  </si>
  <si>
    <t>Excavation ( W= 1.25 &amp; d= 3.0 )</t>
  </si>
  <si>
    <t>Excavation ( W= 1.25 &amp; d= 2.5 )</t>
  </si>
  <si>
    <t>Excavation ( W= 1.25 &amp; d= 2.0 )</t>
  </si>
  <si>
    <t>Excavation ( W= 1.20 &amp; d= 3.0 )</t>
  </si>
  <si>
    <t>Excavation ( W= 1.20 &amp; d= 4.0 )</t>
  </si>
  <si>
    <t>Excavation ( W= 1.20 &amp; d= 3.5 )</t>
  </si>
  <si>
    <t>Excavation ( W= 1.20 &amp; d= 2.5 )</t>
  </si>
  <si>
    <t>Excavation ( W= 1.20 &amp; d= 2.0 )</t>
  </si>
  <si>
    <t>UPVC Pipe 150 mm</t>
  </si>
  <si>
    <t>UPVC Fitting 150 mm</t>
  </si>
  <si>
    <t xml:space="preserve">Excavation ( W= 0.6 &amp; d= 1.5 ) </t>
  </si>
  <si>
    <t>Precast Box Conduit (500x500 mm)</t>
  </si>
  <si>
    <t>Precast Box Conduit Supply</t>
  </si>
  <si>
    <t>Precast Box Conduit (1000x500 mm)</t>
  </si>
  <si>
    <t>Excavation ( W= 1.7 &amp; d= 1.5 )</t>
  </si>
  <si>
    <t>Excavation ( W= 2.4 &amp; d= 3.5 )</t>
  </si>
  <si>
    <t>Excavation ( W= 2.4 &amp; d= 3.0 )</t>
  </si>
  <si>
    <t>Excavation ( W= 2.4 &amp; d= 2.5 )</t>
  </si>
  <si>
    <t>Excavation ( W= 2.4 &amp; d= 2.0 )</t>
  </si>
  <si>
    <t>Excavation ( W= 2.4 &amp; d= 1.5 )</t>
  </si>
  <si>
    <t>Excavation ( W= 2.4 &amp; d= 4.0 )</t>
  </si>
  <si>
    <t>Precast Box Conduit (1000x700 mm)</t>
  </si>
  <si>
    <t>Precast Box Conduit (1500x500 mm)</t>
  </si>
  <si>
    <t>Excavation ( W= 2.9 &amp; d= 2.5 )</t>
  </si>
  <si>
    <t>Excavation ( W= 2.9 &amp; d= 2.0 )</t>
  </si>
  <si>
    <t>Excavation ( W= 2.9 &amp; d= 1.5 )</t>
  </si>
  <si>
    <t>Excavation ( W= 2.9 &amp; d= 3.0 )</t>
  </si>
  <si>
    <t>Precast Box Conduit (1500x700 mm)</t>
  </si>
  <si>
    <t>Precast Box Conduit (1500x750 mm)</t>
  </si>
  <si>
    <t>Precast Box Conduit (1600x700 mm)</t>
  </si>
  <si>
    <t>Excavation ( W= 3.0 &amp; d= 4.0 )</t>
  </si>
  <si>
    <t>Excavation ( W= 3.0 &amp; d= 3.5 )</t>
  </si>
  <si>
    <t>Excavation ( W= 3.0 &amp; d= 3.0 )</t>
  </si>
  <si>
    <t>Excavation ( W= 3.0 &amp; d= 2.5 )</t>
  </si>
  <si>
    <t>Excavation ( W= 3.0 &amp; d= 2.0 )</t>
  </si>
  <si>
    <t>Precast Box Conduit (1600x800 mm)</t>
  </si>
  <si>
    <t>Precast Box Conduit (2000x700 mm)</t>
  </si>
  <si>
    <t>Excavation ( W= 3.4 &amp; d= 4.0 )</t>
  </si>
  <si>
    <t>Excavation ( W= 3.4 &amp; d= 3.5 )</t>
  </si>
  <si>
    <t>Excavation ( W= 3.4 &amp; d= 3.0 )</t>
  </si>
  <si>
    <t>Excavation ( W= 3.4 &amp; d= 2.5 )</t>
  </si>
  <si>
    <t>Excavation ( W= 3.4 &amp; d= 1.5 )</t>
  </si>
  <si>
    <t>Precast Box Conduit (2000x500 mm)</t>
  </si>
  <si>
    <t>Excavation ( W= 3.4 &amp; d= 2.0 )</t>
  </si>
  <si>
    <t>Precast Box Conduit (2000x800 mm)</t>
  </si>
  <si>
    <t>Precast Box Conduit (2500x700 mm)</t>
  </si>
  <si>
    <t>Excavation ( W= 3.9 &amp; d= 3.5 )</t>
  </si>
  <si>
    <t>Excavation ( W= 3.9 &amp; d= 3.0 )</t>
  </si>
  <si>
    <t>Precast Box Conduit (2500x800 mm)</t>
  </si>
  <si>
    <t>Precast Box Conduit (2000x750 mm)</t>
  </si>
  <si>
    <t>Precast Box Conduit (2000x600 mm)</t>
  </si>
  <si>
    <t>Precast Box Conduit (1800x500 mm)</t>
  </si>
  <si>
    <t>Excavation ( W= 3.2 &amp; d= 1.5 )</t>
  </si>
  <si>
    <t>Precast Box Conduit (3000x500 mm)</t>
  </si>
  <si>
    <t>Excavation ( W= 4.4 &amp; d= 1.5 )</t>
  </si>
  <si>
    <t>Pipes, 150 mm inner diameter, at a maximum depth of 1.5 m</t>
  </si>
  <si>
    <t>Depth  variation  increase  of  1.0  m  for 200 mm internal diameter pipes</t>
  </si>
  <si>
    <t>Depth  variation  increase  of  2.0  m  for 200 mm internal diameter pipes</t>
  </si>
  <si>
    <t>Depth  variation  increase  of  2.5  m  for 200 mm internal diameter pipes</t>
  </si>
  <si>
    <t>Depth  variation  increase  of  3.0  m  for 200 mm internal diameter pipes</t>
  </si>
  <si>
    <t>Depth  variation  increase  of  3.5  m  for 200 mm internal diameter pipes</t>
  </si>
  <si>
    <t>Depth  variation  increase  of  4.0  m  for 200 mm internal diameter pipes</t>
  </si>
  <si>
    <t>Depth  variation  increase  of  4.5  m  for 200 mm internal diameter pipes</t>
  </si>
  <si>
    <t>Depth  variation  increase  of  5.0  m  for 200 mm internal diameter pipes</t>
  </si>
  <si>
    <t>Pipes,  250  mm  inner  diameter,  at  a maximum depth of 2.0-2.5 m</t>
  </si>
  <si>
    <t>Pipes,  250  mm  inner  diameter,  at  a maximum depth of 2.5-3.0 m</t>
  </si>
  <si>
    <t>Pipes,  250  mm  inner  diameter,  at  a maximum depth of 3.0-3.5 m</t>
  </si>
  <si>
    <t>Pipes,  250  mm  inner  diameter,  at  a maximum depth of 3.5-4.0 m</t>
  </si>
  <si>
    <t>Pipes,  250  mm  inner  diameter,  at  a maximum depth of 4.0-4.5 m</t>
  </si>
  <si>
    <t>Pipes,  250  mm  inner  diameter,  at  a maximum depth of 4.5-5.0 m</t>
  </si>
  <si>
    <t>Pipes,  250  mm  inner  diameter,  at  a maximum depth of 5.0-5.5 m</t>
  </si>
  <si>
    <t>Pipes,  250  mm  inner  diameter,  at  a maximum depth of 5.5-6.0 m</t>
  </si>
  <si>
    <t>Pipes,  250  mm  inner  diameter,  at  a maximum depth of 6.0-6.5 m</t>
  </si>
  <si>
    <t>Pipes,  250  mm  inner  diameter,  at  a maximum depth of 6.5-7.0 m</t>
  </si>
  <si>
    <t>Pipes,  315  mm  inner  diameter,  at  a maximum depth of 2.0-2.5 m</t>
  </si>
  <si>
    <t>Pipes,  315  mm  inner  diameter,  at  a maximum depth of 2.5-3.0 m</t>
  </si>
  <si>
    <t>Pipes,  315  mm  inner  diameter,  at  a maximum depth of 3.0-3.5 m</t>
  </si>
  <si>
    <t>Pipes,  315  mm  inner  diameter,  at  a maximum depth of 3.5-4.0 m</t>
  </si>
  <si>
    <t>Pipes,  315  mm  inner  diameter,  at  a maximum depth of 4.0-4.5 m</t>
  </si>
  <si>
    <t>Pipes,  315  mm  inner  diameter,  at  a maximum depth of 4.5-5.0 m</t>
  </si>
  <si>
    <t>Pipes,  315  mm  inner  diameter,  at  a maximum depth of 5.5-6.0 m</t>
  </si>
  <si>
    <t>Pipes,  315  mm  inner  diameter,  at a maximum depth of 5.0-5.5 m</t>
  </si>
  <si>
    <t>400 mm inner diameter pipes</t>
  </si>
  <si>
    <t>500 mm inner diameter pipes</t>
  </si>
  <si>
    <t>At a depth of 3.5 - 4.00 m</t>
  </si>
  <si>
    <t>600 mm inner diameter pipes</t>
  </si>
  <si>
    <t>700 mm inner diameter pipes</t>
  </si>
  <si>
    <t>At a depth of 5.0 – 5.5 m</t>
  </si>
  <si>
    <t>At a depth of 5.5 – 6.0 m</t>
  </si>
  <si>
    <t>At a depth of 6.0 – 6.5 m</t>
  </si>
  <si>
    <t>At a depth of 6.5 – 7.0 m</t>
  </si>
  <si>
    <t>HDPE force main, 315 mm diameter, at a depth of 1.5 – 2.0 m</t>
  </si>
  <si>
    <t>HDPE force main, 315 mm diameter, at a depth of 2.0 – 2.5 m</t>
  </si>
  <si>
    <t>HDPE force main, 315 mm diameter, at a depth of 2.5 – 3.0 m</t>
  </si>
  <si>
    <t>HDPE force main, 630 mm diameter, at a depth of 2.0 – 2.5 m</t>
  </si>
  <si>
    <t>HDPE force main, 630 mm diameter, at a depth of 2.5 – 3.0 m</t>
  </si>
  <si>
    <t>HDPE force main, 250 mm diameter, at a depth of 2.0 – 2.5 m</t>
  </si>
  <si>
    <t>HDPE force main, 250 mm diameter, at a depth of 2.5 – 3.0 m</t>
  </si>
  <si>
    <t>HDPE force main, 200 mm diameter, at a depth of 2.0 – 2.5 m</t>
  </si>
  <si>
    <t>HDPE force main, 200 mm diameter, at a depth of 2.5 – 3.0 m</t>
  </si>
  <si>
    <t>HDPE force main, 280 mm diameter, at a depth of 1.5 – 2.0 m</t>
  </si>
  <si>
    <t>HDPE force main, 280 mm diameter, at a depth of 2.0 – 2.5 m</t>
  </si>
  <si>
    <t>HDPE force main, 280 mm diameter, at a depth of 2.5 – 3.0 m</t>
  </si>
  <si>
    <t>HDPE force main, 355 mm diameter, at a depth of 2.0 – 2.5 m</t>
  </si>
  <si>
    <t>HDPE force main, 355 mm diameter, at a depth of 2.5 – 3.0 m</t>
  </si>
  <si>
    <t>HDPE force main, 500 mm diameter, at a depth of 1.5 – 2.0 m</t>
  </si>
  <si>
    <t>HDPE force main, 500 mm diameter, at a depth of 2.0 – 2.5 m</t>
  </si>
  <si>
    <t>HDPE force main, 500 mm diameter, at a depth of 2.50 – 3.00 m</t>
  </si>
  <si>
    <t>HDPE force main, 500 mm diameter, at a depth of 3.0 – 3.5 m</t>
  </si>
  <si>
    <t>HDPE force main, 500 mm diameter, at a depth of 3.5 – 4.0 m</t>
  </si>
  <si>
    <t>Depth variation increase of 0.5 m for 630 mm diameter HDPE force main</t>
  </si>
  <si>
    <t>Depth variation  increase  of  0.5  m  for 200 mm internal diameter pipes</t>
  </si>
  <si>
    <t>Pipes, 150 mm inner diameter, at a maximum depth of 1.5-2.0 m</t>
  </si>
  <si>
    <t>Pipes, 150 mm inner diameter, at a maximum depth of 2.0-2.5 m</t>
  </si>
  <si>
    <t>Pipes, 150 mm inner diameter, at a maximum depth of 2.5-3.0 m</t>
  </si>
  <si>
    <t>Pipes, 200 mm inner diameter, at a maximum depth of 1.5 m</t>
  </si>
  <si>
    <t>Pipes, 200 mm inner diameter, at a maximum depth of 1.5-2.0 m</t>
  </si>
  <si>
    <t>Pipes, 200 mm inner diameter, at a maximum depth of 2.0-2.5 m</t>
  </si>
  <si>
    <t>Pipes, 200 mm inner diameter, at a maximum depth of 2.5-3.0 m</t>
  </si>
  <si>
    <t>Pipes, 200 mm inner diameter, at a maximum depth of 3.0-3.5 m</t>
  </si>
  <si>
    <t>Pipes, 200 mm inner diameter, at a maximum depth of 3.5-4.0 m</t>
  </si>
  <si>
    <t>Pipes, 200 mm inner diameter, at a maximum depth of 4.0-4.5 m</t>
  </si>
  <si>
    <t>Pipes, 200 mm inner diameter, at a maximum depth of 4.5-5.0 m</t>
  </si>
  <si>
    <t>Pipes, 200 mm inner diameter, at a maximum depth of 5.0-5.5 m</t>
  </si>
  <si>
    <t>Pipes, 200 mm inner diameter, at a maximum depth of 5.5-6.0 m</t>
  </si>
  <si>
    <t>Depth  variation  increase  of  1.5  m  for 200 mm internal diameter pipes</t>
  </si>
  <si>
    <r>
      <rPr>
        <b/>
        <sz val="11"/>
        <color theme="1"/>
        <rFont val="Calibri"/>
        <family val="2"/>
        <scheme val="minor"/>
      </rPr>
      <t>Category 1: Pipework – Pipes</t>
    </r>
    <r>
      <rPr>
        <sz val="11"/>
        <color theme="1"/>
        <rFont val="Calibri"/>
        <family val="2"/>
        <scheme val="minor"/>
      </rPr>
      <t xml:space="preserve">
Supply and installation of UPVC plastic pipes in the designated trenches, including drilling, backfilling, compaction, waste removal, protection of services and facilities, supports, warning tape, testing and operation upon completion according to the drawings, specifications and requirements of the relevant authority (backfilling works under the pipe, draining water, reinforcing and protecting the excavated surfaces to reach the required depths and disposing of groundwater resulting from the drainage around them are measured individually)</t>
    </r>
  </si>
  <si>
    <t>UPVC Pipe 200 mm</t>
  </si>
  <si>
    <t>UPVC Fitting 200 mm</t>
  </si>
  <si>
    <t>Excavation ( W= 1.0 &amp; d= 4.5 )</t>
  </si>
  <si>
    <t>Excavation ( W= 1.0 &amp; d= 5.0 )</t>
  </si>
  <si>
    <t>Excavation ( W= 1.0 &amp; d= 5.5 )</t>
  </si>
  <si>
    <t>Excavation ( W= 1.0 &amp; d= 6.0 )</t>
  </si>
  <si>
    <t>Excavation ( W= 1.0 &amp; d= 0.5 )</t>
  </si>
  <si>
    <t>Excavation ( W= 1.0 &amp; d= 6.5 )</t>
  </si>
  <si>
    <t>Excavation ( W= 1.0 &amp; d= 7.0 )</t>
  </si>
  <si>
    <t>UPVC Pipe 315 mm</t>
  </si>
  <si>
    <t>UPVC Fitting 315 mm</t>
  </si>
  <si>
    <r>
      <rPr>
        <b/>
        <sz val="11"/>
        <color theme="1"/>
        <rFont val="Calibri"/>
        <family val="2"/>
        <scheme val="minor"/>
      </rPr>
      <t>Category (I): Pipework - Pipes</t>
    </r>
    <r>
      <rPr>
        <sz val="11"/>
        <color theme="1"/>
        <rFont val="Calibri"/>
        <family val="2"/>
        <scheme val="minor"/>
      </rPr>
      <t xml:space="preserve">
Supply and installation of GRP pipes with a hardness of not less than 10,000 N/m2 in the designated trenches, including drilling, backfilling, compaction, waste removal, protection of services and facilities, supports, warning tape, testing and operation upon completion in accordance with the drawings, specifications and requirements  of  the  relevant  authority (backfilling under the  pipe,  draining water,  reinforcing  and  protecting  the excavated surfaces to reach the required depths  and  disposing  of  groundwater resulting   from   the   drainage   around
them are measured individually)</t>
    </r>
  </si>
  <si>
    <t>Excavation ( W= 1.20 &amp; d= 4.5 )</t>
  </si>
  <si>
    <t>Excavation ( W= 1.20 &amp; d= 5.0 )</t>
  </si>
  <si>
    <t>Excavation ( W= 1.20 &amp; d= 5.5 )</t>
  </si>
  <si>
    <t>Excavation ( W= 1.20 &amp; d= 7.0 )</t>
  </si>
  <si>
    <t>Excavation ( W= 1.50 &amp; d= 2.0 )</t>
  </si>
  <si>
    <t>Excavation ( W= 1.5 &amp; d= 5.0 )</t>
  </si>
  <si>
    <t>Excavation ( W= 1.5 &amp; d= 5.5 )</t>
  </si>
  <si>
    <t>Excavation ( W= 1.6 &amp; d= 4.5 )</t>
  </si>
  <si>
    <t>Excavation ( W= 1.6 &amp; d= 5.0 )</t>
  </si>
  <si>
    <t>Excavation ( W= 1.6 &amp; d= 5.5 )</t>
  </si>
  <si>
    <t>Excavation ( W= 1.6 &amp; d= 6.0 )</t>
  </si>
  <si>
    <t>Excavation ( W= 1.6 &amp; d= 7.5 )</t>
  </si>
  <si>
    <t>Excavation ( W= 1.7 &amp; d= 4.0 )</t>
  </si>
  <si>
    <t>Excavation ( W= 1.7 &amp; d= 4.5 )</t>
  </si>
  <si>
    <t>Excavation ( W= 1.7 &amp; d= 5.0 )</t>
  </si>
  <si>
    <t>Excavation ( W= 1.7 &amp; d= 7.0 )</t>
  </si>
  <si>
    <t>Excavation ( W= 1.7 &amp; d= 6.5 )</t>
  </si>
  <si>
    <t>Excavation ( W= 1.7 &amp; d= 6.0 )</t>
  </si>
  <si>
    <t>Excavation ( W= 1.7 &amp; d= 5.5 )</t>
  </si>
  <si>
    <t>250 mm solid HDPE Pipe DR 11</t>
  </si>
  <si>
    <t>280 mm solid HDPE Pipe DR 11</t>
  </si>
  <si>
    <t>315 mm solid HDPE Pipe DR 11</t>
  </si>
  <si>
    <t>355 mm solid HDPE Pipe DR 11</t>
  </si>
  <si>
    <t>500 mm solid HDPE Pipe DR 11</t>
  </si>
  <si>
    <t>500 mm HDPE Pipe Installation</t>
  </si>
  <si>
    <t>355 mm HDPE Pipe Installation</t>
  </si>
  <si>
    <t>200 mm HDPE Pipe Installation</t>
  </si>
  <si>
    <t>250 mm HDPE Pipe Installation</t>
  </si>
  <si>
    <t>280 mm HDPE Pipe Installation</t>
  </si>
  <si>
    <t>Depth variation increase of 1.0 m for 630 mm diameter HDPE force main</t>
  </si>
  <si>
    <t>Depth variation increase of 1.5 m for 630 mm diameter HDPE force main</t>
  </si>
  <si>
    <t>Depth variation increase of 0.5 m for 250 mm diameter HDPE force main</t>
  </si>
  <si>
    <t>Depth variation increase of 1.0 m for 250 mm diameter HDPE force main</t>
  </si>
  <si>
    <r>
      <rPr>
        <b/>
        <sz val="10"/>
        <color theme="1"/>
        <rFont val="Calibri"/>
        <family val="2"/>
        <scheme val="minor"/>
      </rPr>
      <t>Category  (1):  Pipe  Works  –  Pipes (continued)
(Force Mains</t>
    </r>
    <r>
      <rPr>
        <sz val="10"/>
        <color theme="1"/>
        <rFont val="Calibri"/>
        <family val="2"/>
        <scheme val="minor"/>
      </rPr>
      <t>)
Supply, installation, connection, testing, and commissioning of HDPE force mains in the designated trenches, including: Excavation, backfilling, compaction, disposal of waste, dewatering, flushing, installation of concrete thrust blocks, all in accordance with the procedures of the competent authority, specifications, and drawings (the backfilling works beneath and around the force main shall be subject to separate measurement)</t>
    </r>
  </si>
  <si>
    <t>Excavation ( W= 1.63 &amp; d= 2.5 )</t>
  </si>
  <si>
    <t>Excavation ( W= 1.63 &amp; d= 3.0 )</t>
  </si>
  <si>
    <t>Excavation ( W= 1.63 &amp; d= 0.5 )</t>
  </si>
  <si>
    <t>Excavation ( W= 1.63 &amp; d= 1.0 )</t>
  </si>
  <si>
    <t>UPVC Pipe 50 mm</t>
  </si>
  <si>
    <t>UPVC Fitting 50 mm</t>
  </si>
  <si>
    <t>Backfilling</t>
  </si>
  <si>
    <t>Backfilling Material</t>
  </si>
  <si>
    <t xml:space="preserve">Plain Concrete 30 cm </t>
  </si>
  <si>
    <t>Manhole Installation</t>
  </si>
  <si>
    <t>Precast Insulated Manhole 2*1*1</t>
  </si>
  <si>
    <t xml:space="preserve">Excavate &amp; Disposal (3*2*1.5) </t>
  </si>
  <si>
    <t>Backfilling 6 M³ &amp; Compaction</t>
  </si>
  <si>
    <t>225 mm solid HDPE Pipe DR 11</t>
  </si>
  <si>
    <t>225 mm HDPE Pipe Installation</t>
  </si>
  <si>
    <t>560 mm solid HDPE Pipe DR 11</t>
  </si>
  <si>
    <t>560 mm HDPE Pipe Installation</t>
  </si>
  <si>
    <t>Excavation ( W= 1.56 &amp; d= 2.5 )</t>
  </si>
  <si>
    <t>Excavation ( W= 1.56 &amp; d= 3.0 )</t>
  </si>
  <si>
    <t>Excavation ( W= 1.56 &amp; d= 2.0 )</t>
  </si>
  <si>
    <t>710 mm solid HDPE Pipe DR 11</t>
  </si>
  <si>
    <t>710 mm HDPE Pipe Installation</t>
  </si>
  <si>
    <t>Excavation ( W= 1.71 &amp; d= 2.5 )</t>
  </si>
  <si>
    <t>Excavation ( W= 1.71 &amp; d= 3.0 )</t>
  </si>
  <si>
    <t>Excavation ( W= 1.71 &amp; d= 4.0 )</t>
  </si>
  <si>
    <t>125 mm solid HDPE Pipe DR 11</t>
  </si>
  <si>
    <t>125 mm HDPE Pipe Installation</t>
  </si>
  <si>
    <t>160 mm HDPE Pipe Installation</t>
  </si>
  <si>
    <t>Supply &amp; Install fittings</t>
  </si>
  <si>
    <t>Supply Elbow 45°, diameter 200 mm</t>
  </si>
  <si>
    <t>Supply Elbow 22.5°, diameter 250 mm</t>
  </si>
  <si>
    <t>Supply  Elbow 45°, diameter 250 mm</t>
  </si>
  <si>
    <t>Supply Elbow 45°, diameter 355 mm</t>
  </si>
  <si>
    <t xml:space="preserve"> Supply 90° elbow, diameter 250 mm</t>
  </si>
  <si>
    <t xml:space="preserve"> Supply 90° elbow, diameter 355 mm</t>
  </si>
  <si>
    <t xml:space="preserve"> Supply Elbow 45°, diameter 560 mm</t>
  </si>
  <si>
    <t xml:space="preserve"> Supply Elbow 45°, diameter 710 mm</t>
  </si>
  <si>
    <t xml:space="preserve"> Supply Elbow 90°, diameter 710 mm</t>
  </si>
  <si>
    <t>M diff 710 mm elbow 22.5 &amp; elbow 45</t>
  </si>
  <si>
    <t>Supply Tee size 200x200x200 mm</t>
  </si>
  <si>
    <t>Supply Tee size 225x225x225 mm</t>
  </si>
  <si>
    <t>SupplyTee size 250x250x200 mm</t>
  </si>
  <si>
    <t>SupplyTee size 250x250x225 mm</t>
  </si>
  <si>
    <t>SupplyTee size 250x250x250 mm</t>
  </si>
  <si>
    <t>SupplyTee size 355x355x200 mm</t>
  </si>
  <si>
    <t>SupplyTee size 355x355x225 mm</t>
  </si>
  <si>
    <t>SupplyTee size 355x355x250 mm</t>
  </si>
  <si>
    <t>SupplyTee size 355x355x355 mm</t>
  </si>
  <si>
    <t>Supply Tee size 560x560x250 mm</t>
  </si>
  <si>
    <t>Supply Tee size 560x560x355 mm</t>
  </si>
  <si>
    <t>Supply Tee size 560x560x560 mm</t>
  </si>
  <si>
    <t>Supply Tee size 710x710x200 mm</t>
  </si>
  <si>
    <t>Supply Tee size 710x710x250 mm</t>
  </si>
  <si>
    <t>Supply Tee size 710x710x560 mm</t>
  </si>
  <si>
    <t>Supply Tee size 710x710x710 mm</t>
  </si>
  <si>
    <t>Supply Tee size 225x225x200 mm</t>
  </si>
  <si>
    <t>Supply Tee size 560x560x200 mm</t>
  </si>
  <si>
    <t>Supply 200 mm closed tube</t>
  </si>
  <si>
    <t>Supply 225 mm closed tube</t>
  </si>
  <si>
    <t>Supply 250 mm closed tube</t>
  </si>
  <si>
    <t>Supply 355 mm closed tube</t>
  </si>
  <si>
    <t>Supply 560 mm closed tube</t>
  </si>
  <si>
    <t>Valves</t>
  </si>
  <si>
    <t>Supply &amp; Install Valves</t>
  </si>
  <si>
    <t>Installation Valve 200mm</t>
  </si>
  <si>
    <t>Installation Valve 225mm</t>
  </si>
  <si>
    <t>Supply Gate Valve 250 MM</t>
  </si>
  <si>
    <t>Installation Valve 250mm</t>
  </si>
  <si>
    <t>Butterfly Valve for 355mm</t>
  </si>
  <si>
    <t>Installation Valve 355mm</t>
  </si>
  <si>
    <t>Supply Butterfly Valve 560 MM</t>
  </si>
  <si>
    <t>Installation Valve 560mm</t>
  </si>
  <si>
    <t>Supply Butterfly Valve 710 MM</t>
  </si>
  <si>
    <t>Installation Valve 710mm</t>
  </si>
  <si>
    <t>Supply Gate Valve 200 mm</t>
  </si>
  <si>
    <t>Supply Gate Valve 225 mm</t>
  </si>
  <si>
    <t>Fitting and Accessories 200</t>
  </si>
  <si>
    <t>Fitting and Accessories 225</t>
  </si>
  <si>
    <t>Fitting and Accessories 250</t>
  </si>
  <si>
    <t>Fitting and Accessories 355</t>
  </si>
  <si>
    <t>Fitting and Accessories 560</t>
  </si>
  <si>
    <t>Fitting and Accessories 710</t>
  </si>
  <si>
    <t>Supply &amp; Install 3-outlet fire nozzle</t>
  </si>
  <si>
    <t>LS</t>
  </si>
  <si>
    <t>Category (k): Pipe works - Valve rooms: On-site gate valve isolation rooms made of reinforced concrete on the pipeline as specified on the plans, and all that is required of excavation, equipment, and construction supplies, cutting and installing pipe pieces and backfills, and all of this must be accomplished according to the plans and specifications.</t>
  </si>
  <si>
    <t xml:space="preserve">Excavate &amp; Disposal (3*3*2.5) </t>
  </si>
  <si>
    <t>Valve Room Installation</t>
  </si>
  <si>
    <t>Concrete Ready-mix C35 SRC</t>
  </si>
  <si>
    <t>Workmanship plain concrete</t>
  </si>
  <si>
    <t>Workmanship RC concrete</t>
  </si>
  <si>
    <t>Supply &amp; apply Chamber Cover, frames</t>
  </si>
  <si>
    <t>Chamber Pipes Pieces</t>
  </si>
  <si>
    <t>Internal and external Insulation</t>
  </si>
  <si>
    <t>Supply &amp; apply external waterproofing</t>
  </si>
  <si>
    <t>Supply &amp; apply internal coating</t>
  </si>
  <si>
    <t xml:space="preserve">Excavate &amp; Disposal (3*3*0.5) </t>
  </si>
  <si>
    <t>Supply and apply chamber ladder</t>
  </si>
  <si>
    <t>Excavate &amp; Disposal (3*3*1.0)</t>
  </si>
  <si>
    <t xml:space="preserve">Excavate &amp; Disposal (3*3*1.5) </t>
  </si>
  <si>
    <t xml:space="preserve">Excavate &amp; Disposal (3*3*2.0) </t>
  </si>
  <si>
    <t xml:space="preserve">Excavate &amp; Disposal (3*3*3.0) </t>
  </si>
  <si>
    <t>Supply &amp; apply Flow Meter 355 mm</t>
  </si>
  <si>
    <t>Supply &amp; apply Flow Meter 560 mm</t>
  </si>
  <si>
    <t>Supply &amp; apply Flow Meter 710 mm</t>
  </si>
  <si>
    <t>Flow meter &amp; valve room installation</t>
  </si>
  <si>
    <t>Excavate &amp; Disposal (3*3*3.0)</t>
  </si>
  <si>
    <t>Backfilling (W=1.0, D=2.0)</t>
  </si>
  <si>
    <r>
      <t>Thrust Block (0.75 m</t>
    </r>
    <r>
      <rPr>
        <sz val="10"/>
        <color theme="1"/>
        <rFont val="Aptos Narrow"/>
        <family val="2"/>
      </rPr>
      <t>³</t>
    </r>
    <r>
      <rPr>
        <sz val="10"/>
        <color theme="1"/>
        <rFont val="Calibri"/>
        <family val="2"/>
      </rPr>
      <t>)</t>
    </r>
  </si>
  <si>
    <r>
      <t>Thrust Block (1.5 m</t>
    </r>
    <r>
      <rPr>
        <sz val="10"/>
        <color theme="1"/>
        <rFont val="Aptos Narrow"/>
        <family val="2"/>
      </rPr>
      <t>³</t>
    </r>
    <r>
      <rPr>
        <sz val="10"/>
        <color theme="1"/>
        <rFont val="Calibri"/>
        <family val="2"/>
      </rPr>
      <t>)</t>
    </r>
  </si>
  <si>
    <r>
      <t>Thrust Block (3.0 m</t>
    </r>
    <r>
      <rPr>
        <sz val="10"/>
        <color theme="1"/>
        <rFont val="Aptos Narrow"/>
        <family val="2"/>
      </rPr>
      <t>³</t>
    </r>
    <r>
      <rPr>
        <sz val="10"/>
        <color theme="1"/>
        <rFont val="Calibri"/>
        <family val="2"/>
      </rPr>
      <t>)</t>
    </r>
  </si>
  <si>
    <r>
      <t>Thrust Block (5.0 m</t>
    </r>
    <r>
      <rPr>
        <sz val="10"/>
        <color theme="1"/>
        <rFont val="Aptos Narrow"/>
        <family val="2"/>
      </rPr>
      <t>³</t>
    </r>
    <r>
      <rPr>
        <sz val="10"/>
        <color theme="1"/>
        <rFont val="Calibri"/>
        <family val="2"/>
      </rPr>
      <t>)</t>
    </r>
  </si>
  <si>
    <r>
      <t>Thrust Block (6.0 m</t>
    </r>
    <r>
      <rPr>
        <sz val="10"/>
        <color theme="1"/>
        <rFont val="Aptos Narrow"/>
        <family val="2"/>
      </rPr>
      <t>³</t>
    </r>
    <r>
      <rPr>
        <sz val="10"/>
        <color theme="1"/>
        <rFont val="Calibri"/>
        <family val="2"/>
      </rPr>
      <t>)</t>
    </r>
  </si>
  <si>
    <t>Workmanship Thrust Block</t>
  </si>
  <si>
    <t>Rock Excavation &amp; Disposal</t>
  </si>
  <si>
    <t>Backfilling &amp; Compaction</t>
  </si>
  <si>
    <t>Water Pump</t>
  </si>
  <si>
    <t>Electric Fire Pump</t>
  </si>
  <si>
    <t>Diesel Fire Pump</t>
  </si>
  <si>
    <t>Jockey Electric Fire Pump</t>
  </si>
  <si>
    <t>Supply &amp; apply Jockey elec fire pump 64 l/s</t>
  </si>
  <si>
    <t>Supply &amp; apply KW250 elec water pump 295 l/s</t>
  </si>
  <si>
    <t>Supply &amp; apply elec fire water pump 64 l/s</t>
  </si>
  <si>
    <t>Supply &amp; apply Diesel fire water pump 64 l/s</t>
  </si>
  <si>
    <t>Supply &amp; apply Submersible fire pump 10 l/s</t>
  </si>
  <si>
    <t>Submersible Electric Fire Pump</t>
  </si>
  <si>
    <t>Surge vessel</t>
  </si>
  <si>
    <t>Surge vessel and pipe work</t>
  </si>
  <si>
    <t xml:space="preserve">Excavate &amp; Disposal (3.5*3.5*2.5) </t>
  </si>
  <si>
    <t>Supply &amp; apply Flow Meter 800 mm</t>
  </si>
  <si>
    <t>Pumping Station Building (Remining Work)</t>
  </si>
  <si>
    <t>Supply&amp; apply painting for toilets &amp; Chloride</t>
  </si>
  <si>
    <t>Supply &amp; apply Steel ladders</t>
  </si>
  <si>
    <t>Supply &amp; Install doors and windows</t>
  </si>
  <si>
    <t>Reinforced Concrete Tank (Remining Works)</t>
  </si>
  <si>
    <t>500 KVA Generator</t>
  </si>
  <si>
    <t>500 KVA generator with umbrella tank</t>
  </si>
  <si>
    <t>Chlorination device</t>
  </si>
  <si>
    <t>Supply and apply Chlorination device</t>
  </si>
  <si>
    <t>Excavation &amp; Disposal for 30 Poles</t>
  </si>
  <si>
    <t>Backfilling &amp; Compaction for 30 Poles</t>
  </si>
  <si>
    <t>30 Lighting Poles</t>
  </si>
  <si>
    <t>Supply &amp; apply lighting Poles  with laminars</t>
  </si>
  <si>
    <t>Supply &amp; apply Poles Foundations</t>
  </si>
  <si>
    <t>Electric source (Junction Boxes, cables, .. Etc)</t>
  </si>
  <si>
    <r>
      <rPr>
        <b/>
        <sz val="11"/>
        <color theme="1"/>
        <rFont val="Calibri"/>
        <family val="2"/>
        <scheme val="minor"/>
      </rPr>
      <t>Valves</t>
    </r>
    <r>
      <rPr>
        <sz val="11"/>
        <color theme="1"/>
        <rFont val="Calibri"/>
        <family val="2"/>
        <scheme val="minor"/>
      </rPr>
      <t>: Supply, installation, and testing of valves, including collars, flange connections, flange rates, and spacers, in addition to bolts, nuts, and all the work required for pipes inside the room, along with all accessories (columns) and ribbed bolts, according to the specifications and the required standards.</t>
    </r>
  </si>
  <si>
    <t>100 kVA generator standby generator With an umbrella tank in accordance with what is stated in the specifications, plans and the authority’s approval.</t>
  </si>
  <si>
    <t>Supply Elbow 11.5°, diameter 125mm</t>
  </si>
  <si>
    <t>Supply Elbow 11.5°, diameter 160mm</t>
  </si>
  <si>
    <t>Supply Elbow 11.5°, diameter 280mm</t>
  </si>
  <si>
    <t>Supply Elbow 11.5°, diameter 500mm</t>
  </si>
  <si>
    <t>Supply Elbow 45°, diameter 125mm</t>
  </si>
  <si>
    <t>Supply Elbow 45°, diameter 160mm</t>
  </si>
  <si>
    <t>Supply Elbow 45°, diameter 280mm</t>
  </si>
  <si>
    <t>Supply Elbow 45°, diameter 500mm</t>
  </si>
  <si>
    <t>Supply Elbow 90°, diameter 125mm</t>
  </si>
  <si>
    <t>Supply Elbow 90°, diameter 280mm</t>
  </si>
  <si>
    <t>Supply Elbow 90°, diameter 630mm</t>
  </si>
  <si>
    <t>Supply Tee size mm 125x125x125</t>
  </si>
  <si>
    <t>Supply Tee size mm 160x160x125</t>
  </si>
  <si>
    <t>Supply Tee size mm 160x160x160</t>
  </si>
  <si>
    <t>Supply Tee size mm 280x280x125</t>
  </si>
  <si>
    <t>Supply Tee size mm 280x280x160</t>
  </si>
  <si>
    <t>Supply Tee size mm 280x280x280</t>
  </si>
  <si>
    <t>Supply Tee size mm 500x500x125</t>
  </si>
  <si>
    <t>Supply Tee size mm 500x500x280</t>
  </si>
  <si>
    <t>Supply Tee size mm 500x500x500</t>
  </si>
  <si>
    <t>Supply Tee size mm 630x630x630</t>
  </si>
  <si>
    <t>Category (K): Piping works - valve rooms</t>
  </si>
  <si>
    <t>Supply 125 mm closed tube</t>
  </si>
  <si>
    <t>Supply 160 mm closed tube</t>
  </si>
  <si>
    <t>Supply 280 mm closed tube</t>
  </si>
  <si>
    <t>Supply 500 mm closed tube</t>
  </si>
  <si>
    <t>Supply 630 mm closed tube</t>
  </si>
  <si>
    <t>Supply Reducer size 125x160 mm</t>
  </si>
  <si>
    <t>Supply Reducer size 280*125 mm</t>
  </si>
  <si>
    <t>Supply Reducer size 125x500 mm</t>
  </si>
  <si>
    <t>Supply Reducer size 280x500 mm</t>
  </si>
  <si>
    <t>Supply Reducer size 500x630 mm</t>
  </si>
  <si>
    <t>Butterfly Valves Butterfly water control valve</t>
  </si>
  <si>
    <t>Supply Gate Valve 125 mm</t>
  </si>
  <si>
    <t>Fitting and Accessories 125</t>
  </si>
  <si>
    <t>Installation Valve 125mm</t>
  </si>
  <si>
    <t>Supply Gate Valve 160 mm</t>
  </si>
  <si>
    <t>Fitting and Accessories 160</t>
  </si>
  <si>
    <t>Installation Valve 160mm</t>
  </si>
  <si>
    <t>Supply Gate Valve 280 MM</t>
  </si>
  <si>
    <t>Fitting and Accessories 280</t>
  </si>
  <si>
    <t>Installation Valve 280mm</t>
  </si>
  <si>
    <t>Supply Butterfly Valve 500 MM</t>
  </si>
  <si>
    <t>Fitting and Accessories 500</t>
  </si>
  <si>
    <t>Installation Valve 500mm</t>
  </si>
  <si>
    <t>Supply Butterfly Valve 630 MM</t>
  </si>
  <si>
    <t>Fitting and Accessories 630</t>
  </si>
  <si>
    <t>Installation Valve 630mm</t>
  </si>
  <si>
    <t>The cleaning room is on a pipe line with a diameter of 280 mm, and at a depth of 2.0-2.5 metres</t>
  </si>
  <si>
    <t>Cleaning room is on a 500mm diameter pipe line, at a depth of 3.0-3.5 metres</t>
  </si>
  <si>
    <t xml:space="preserve">Excavate &amp; Disposal (3*3*3.5) </t>
  </si>
  <si>
    <t>Cleaning Room Installation</t>
  </si>
  <si>
    <t>Supply &amp; apply Flow Meter 125 mm</t>
  </si>
  <si>
    <t>Supply &amp; apply Flow Meter 280 mm</t>
  </si>
  <si>
    <t>Supply &amp; apply Flow Meter 500 mm</t>
  </si>
  <si>
    <t>Category (L): Pipe works - supports, protection and accessories related to extension and excavation works.</t>
  </si>
  <si>
    <t>Backfilling (W=1.5, D=2.0)</t>
  </si>
  <si>
    <t>Backfilling (W=1.63, D=2.0)</t>
  </si>
  <si>
    <t xml:space="preserve"> Supply 90° elbow, diameter 315 mm</t>
  </si>
  <si>
    <t>Supply Elbow 11.25°, diameter 250 mm</t>
  </si>
  <si>
    <t>Supply Elbow 90°, diameter 500mm</t>
  </si>
  <si>
    <t>Supply Gate Valve 315 MM</t>
  </si>
  <si>
    <t>Fitting and Accessories 315</t>
  </si>
  <si>
    <t>Installation Valve 315mm</t>
  </si>
  <si>
    <t xml:space="preserve">Excavate &amp; Disposal (2.45*5.0*3.5) </t>
  </si>
  <si>
    <t>Supply Air Valve 250 MM</t>
  </si>
  <si>
    <t>Supply Air Valve 280 MM</t>
  </si>
  <si>
    <t>Supply Air Valve 315 MM</t>
  </si>
  <si>
    <t>Supply Air Valve 500 MM</t>
  </si>
  <si>
    <t>Supply Air Valve 630 MM</t>
  </si>
  <si>
    <t>Waterproofing Insulation</t>
  </si>
  <si>
    <t>Pipe culvert Installation</t>
  </si>
  <si>
    <t xml:space="preserve">Excavate &amp; Disposal (3.4*1.5) </t>
  </si>
  <si>
    <t xml:space="preserve">Excavate &amp; Disposal (2.5*2.5*2.0) </t>
  </si>
  <si>
    <t xml:space="preserve"> Concrete Base 30 cm </t>
  </si>
  <si>
    <t xml:space="preserve">Brick &amp; Masonery for Manhole Neck </t>
  </si>
  <si>
    <t>GRP manhole Dia 1200 mm D=1.5 m W Cover</t>
  </si>
  <si>
    <t>GRP manhole Dia 1200 mm D=2.0 m W Cover</t>
  </si>
  <si>
    <t>GRP manhole Dia 1200 mm D=2.5 m W Cover</t>
  </si>
  <si>
    <t>GRP manhole Dia 1200 mm D=3.0 m W Cover</t>
  </si>
  <si>
    <t>GRP manhole Dia 1200 mm D=3.5 m W Cover</t>
  </si>
  <si>
    <t>GRP manhole Dia 1200 mm D=4.0 m W Cover</t>
  </si>
  <si>
    <t>GRP manhole Dia 1500 mm D=1.5 m W Cover</t>
  </si>
  <si>
    <t>GRP manhole Dia 1500 mm D=2.0 m W Cover</t>
  </si>
  <si>
    <t>GRP manhole Dia 1500 mm D=2.5 m W Cover</t>
  </si>
  <si>
    <t>GRP manhole Dia 1500 mm D=3.0 m W Cover</t>
  </si>
  <si>
    <t>GRP manhole Dia 1500 mm D=3.5 m W Cover</t>
  </si>
  <si>
    <t>GRP manhole Dia 1500 mm D=4.0 m W Cover</t>
  </si>
  <si>
    <t>GRP manhole Dia 1800 mm D=2.0 m W Cover</t>
  </si>
  <si>
    <t>GRP manhole Dia 1800 mm D=2.5 m W Cover</t>
  </si>
  <si>
    <t>GRP manhole Dia 1800 mm D=3.0 m W Cover</t>
  </si>
  <si>
    <t>GRP manhole Dia 1800 mm D=3.5 m W Cover</t>
  </si>
  <si>
    <t xml:space="preserve">Excavate &amp; Disposal (2.5*2.5*2.5) </t>
  </si>
  <si>
    <t>Excavate &amp; Disposal (2.5*2.5*3.0)</t>
  </si>
  <si>
    <t>Excavate &amp; Disposal (2.5*2.5*3.5)</t>
  </si>
  <si>
    <t>Excavate &amp; Disposal (2.5*2.5*4.0)</t>
  </si>
  <si>
    <t>Excavate &amp; Disposal (2.5*2.5*4.5)</t>
  </si>
  <si>
    <t xml:space="preserve">Excavate &amp; Disposal (3.0*3.0*2.0) </t>
  </si>
  <si>
    <t>Excavate &amp; Disposal (3.0*3.0*2.5)</t>
  </si>
  <si>
    <t>Excavate &amp; Disposal (3.0*3.0*3.0)</t>
  </si>
  <si>
    <t>Excavate &amp; Disposal (3.0*3.0*3.5)</t>
  </si>
  <si>
    <t>Excavate &amp; Disposal (3.0*3.0*4.0)</t>
  </si>
  <si>
    <t>Excavate &amp; Disposal (3.0*3.0*4.5)</t>
  </si>
  <si>
    <t>Excavate &amp; Disposal (3.5*3.5*2.5)</t>
  </si>
  <si>
    <t>Excavate &amp; Disposal (3.5*3.5*3.0)</t>
  </si>
  <si>
    <t>Excavate &amp; Disposal (3.5*3.5*3.5)</t>
  </si>
  <si>
    <t>Excavate &amp; Disposal (3.5*3.5*4.0)</t>
  </si>
  <si>
    <t>Setting up site offices (Remining Works)</t>
  </si>
  <si>
    <t xml:space="preserve">Supply and applying Electric connections </t>
  </si>
  <si>
    <t xml:space="preserve">Supply and applying Mechnical connections </t>
  </si>
  <si>
    <t>Supply and Apply Plants with the Soil Mix</t>
  </si>
  <si>
    <t xml:space="preserve">Supply AC Unit </t>
  </si>
  <si>
    <t xml:space="preserve">Supply cabines Doors </t>
  </si>
  <si>
    <t>Maintenance of Offices (Remining Works)</t>
  </si>
  <si>
    <t xml:space="preserve">Maintaining the Offices Floor and slabs </t>
  </si>
  <si>
    <t>Maintaining the Offices Wall Paints</t>
  </si>
  <si>
    <t xml:space="preserve">Supply and apply furnitures </t>
  </si>
  <si>
    <t>Lab Technicians</t>
  </si>
  <si>
    <t>Months</t>
  </si>
  <si>
    <t>Hiring Two Technicians with Vechicle</t>
  </si>
  <si>
    <t xml:space="preserve">Excavate &amp; Disposal ( W= 1.7 M * d= 1 ) </t>
  </si>
  <si>
    <t>Trench RC Concrete workmanship</t>
  </si>
  <si>
    <t>GRP manhole Dia 1200 mm D=4.5 m W Cover</t>
  </si>
  <si>
    <t>GRP manhole Dia 1200 mm D=5.0 m W Cover</t>
  </si>
  <si>
    <t>GRP manhole Dia 1200 mm D=5.5 m W Cover</t>
  </si>
  <si>
    <t>GRP manhole Dia 1200 mm D=6.0 m W Cover</t>
  </si>
  <si>
    <t>Excavate &amp; Disposal (2.5*2.5*5.0)</t>
  </si>
  <si>
    <t>Excavate &amp; Disposal (2.5*2.5*5.5)</t>
  </si>
  <si>
    <t>Excavate &amp; Disposal (2.5*2.5*6.0)</t>
  </si>
  <si>
    <t>Excavate &amp; Disposal (2.5*2.5*6.5)</t>
  </si>
  <si>
    <t>Manhole Back drop PCs</t>
  </si>
  <si>
    <t>GRP manhole Dia 1500 mm D=4.5 m W Cover</t>
  </si>
  <si>
    <t>GRP manhole Dia 1500 mm D=5.0 m W Cover</t>
  </si>
  <si>
    <t>GRP manhole Dia 1500 mm D=5.5 m W Cover</t>
  </si>
  <si>
    <t>GRP manhole Dia 1500 mm D=6.0 m W Cover</t>
  </si>
  <si>
    <t>GRP manhole Dia 1500 mm D=6.5 m W Cover</t>
  </si>
  <si>
    <t>GRP manhole Dia 1500 mm D=7.0 m W Cover</t>
  </si>
  <si>
    <t>Excavate &amp; Disposal (3.0*3.0*5.0)</t>
  </si>
  <si>
    <t>Excavate &amp; Disposal (3.0*3.0*5.5)</t>
  </si>
  <si>
    <t>Excavate &amp; Disposal (3.0*3.0*6.0)</t>
  </si>
  <si>
    <t>Excavate &amp; Disposal (3.0*3.0*6.5)</t>
  </si>
  <si>
    <t>Excavate &amp; Disposal (3.0*3.0*7.0)</t>
  </si>
  <si>
    <t>Excavate &amp; Disposal (3.0*3.0*7.5)</t>
  </si>
  <si>
    <t>GRP manhole Dia 1800 mm D=4.0 m W Cover</t>
  </si>
  <si>
    <t>GRP manhole Dia 1800 mm D=4.5 m W Cover</t>
  </si>
  <si>
    <t>GRP manhole Dia 1800 mm D=5.0 m W Cover</t>
  </si>
  <si>
    <t>GRP manhole Dia 1800 mm D=5.5 m W Cover</t>
  </si>
  <si>
    <t>GRP manhole Dia 1800 mm D=6.0 m W Cover</t>
  </si>
  <si>
    <t>Excavate &amp; Disposal (3.5*3.5*4.5)</t>
  </si>
  <si>
    <t>Excavate &amp; Disposal (3.5*3.5*5.0)</t>
  </si>
  <si>
    <t>Excavate &amp; Disposal (3.5*3.5*5.5)</t>
  </si>
  <si>
    <t>Excavate &amp; Disposal (3.5*3.5*6.0)</t>
  </si>
  <si>
    <t>Excavate &amp; Disposal (3.5*3.5*6.5)</t>
  </si>
  <si>
    <t>GRP manhole Dia 2000 mm D=7.0 m W Cover</t>
  </si>
  <si>
    <t>GRP manhole Dia 2000 mm D=6.0 m W Cover</t>
  </si>
  <si>
    <t>Excavate &amp; Disposal (3.8*3.8*6.5)</t>
  </si>
  <si>
    <t>Excavate &amp; Disposal (3.8*3.8*7.5)</t>
  </si>
  <si>
    <t>Excavate &amp; Disposal (3.8*3.8*0.5)</t>
  </si>
  <si>
    <t>Granular bedding backfilling material</t>
  </si>
  <si>
    <t>Granular Material (W=1.0)</t>
  </si>
  <si>
    <t>Granular Material (W=1.2)</t>
  </si>
  <si>
    <t>Granular Material (W=1.5)</t>
  </si>
  <si>
    <t>Granular Material (W=1.6)</t>
  </si>
  <si>
    <t>Granular Material (W=1.7)</t>
  </si>
  <si>
    <t>PS1 sewage pumping station</t>
  </si>
  <si>
    <t xml:space="preserve">Sewage pumping station 428 l/s </t>
  </si>
  <si>
    <t>Variable-speed sewage pumps system</t>
  </si>
  <si>
    <t>Odour control system</t>
  </si>
  <si>
    <t>2 pumps discarge 86 l/s &amp; 325 l/s head 25 m</t>
  </si>
  <si>
    <t>Odor Control Unit &amp; Connection</t>
  </si>
  <si>
    <t>100 KVA generator with umbrella tank</t>
  </si>
  <si>
    <t>2 wells internal dimensions 12m, depth 11m</t>
  </si>
  <si>
    <t>100 kVA generator standby generator with an umbrella tank in accordance with what is stated in the specifications, plans and the authority’s approval.</t>
  </si>
  <si>
    <t xml:space="preserve">Concrete Wall </t>
  </si>
  <si>
    <t>Supply and apply construction joints</t>
  </si>
  <si>
    <t>Grid mesh 35mm raked bar SS 316</t>
  </si>
  <si>
    <t>Valve chamber remaining work</t>
  </si>
  <si>
    <t>Flow meter room remaining work</t>
  </si>
  <si>
    <t>Engine Control Center Building remaining work</t>
  </si>
  <si>
    <t>Excavate &amp; Disposal (D=1.50, W=1.00, B=1.00)</t>
  </si>
  <si>
    <t>Perimeter walls foundations</t>
  </si>
  <si>
    <t>Brick walls with posts (2.5m)</t>
  </si>
  <si>
    <t>Apply masonary works</t>
  </si>
  <si>
    <t>Supply concrete bricks 40*20*20</t>
  </si>
  <si>
    <t>Masonry mortar</t>
  </si>
  <si>
    <t>Main entry gates</t>
  </si>
  <si>
    <t>Supply &amp; apply sliding door</t>
  </si>
  <si>
    <t xml:space="preserve">Single door </t>
  </si>
  <si>
    <t>Supply &amp; apply single door</t>
  </si>
  <si>
    <t>Lighting Poles</t>
  </si>
  <si>
    <t>8 nos Flood Lights with single stand, 250 watts</t>
  </si>
  <si>
    <t>Excavate &amp; Disposal ( W= 1.5 M * d= 1.5 )</t>
  </si>
  <si>
    <t>Duct bank (0.25*0.25)</t>
  </si>
  <si>
    <t xml:space="preserve">Excavate &amp; Disposal ( W= 1.7 M * d= 1.5 ) </t>
  </si>
  <si>
    <t>Duct bank (0.40*0.25)</t>
  </si>
  <si>
    <t>Excavate &amp; Disposal ( W= 1.6 M * d= 1.5 )</t>
  </si>
  <si>
    <t>Base layer preparation</t>
  </si>
  <si>
    <t>Interlock tiles Supply</t>
  </si>
  <si>
    <t>Interlock tiles Installation</t>
  </si>
  <si>
    <t>Sand Supply</t>
  </si>
  <si>
    <t>Fix Interlock tiles (10 cm sand bedding)</t>
  </si>
  <si>
    <t>Excavation of drainage Channel</t>
  </si>
  <si>
    <t xml:space="preserve">Concrete Cutter </t>
  </si>
  <si>
    <t>Surface preperation</t>
  </si>
  <si>
    <t>Channel Installation with Connections</t>
  </si>
  <si>
    <t>Supply Floor Surface Channel with grating</t>
  </si>
  <si>
    <t xml:space="preserve">Supply Pipes Connections </t>
  </si>
  <si>
    <t>Skilled labor</t>
  </si>
  <si>
    <t>2 pumps discarge 55 l/s head 35 m</t>
  </si>
  <si>
    <t>Variable speed sewage pumps system</t>
  </si>
  <si>
    <t>In-line Booster Station V</t>
  </si>
  <si>
    <t>Valves, fittings and flow meters different sizes</t>
  </si>
  <si>
    <t>2 wells internal dimensions 3m, depth 9m</t>
  </si>
  <si>
    <t>In-line Booster Station K</t>
  </si>
  <si>
    <t xml:space="preserve">Engine Control Center Building </t>
  </si>
  <si>
    <t>2 wells internal dimensions 5m, depth 11m</t>
  </si>
  <si>
    <t>1 wells internal dimensions 4m, depth 11m</t>
  </si>
  <si>
    <t>2 pumps discarge 30 l/s &amp; 115 l/s head 17 m</t>
  </si>
  <si>
    <t>Excavation &amp; Disposal</t>
  </si>
  <si>
    <t>Pump Station</t>
  </si>
  <si>
    <t>Pump station inc connect pipes, fittings, valves</t>
  </si>
  <si>
    <t>3 pumps discarge 100 l/s head 22 m</t>
  </si>
  <si>
    <t>Concrete manhole Cover, frames</t>
  </si>
  <si>
    <t xml:space="preserve">Excavate &amp; Disposal (2.5*2.5*1.5) </t>
  </si>
  <si>
    <t>Concrete Manhole Installation</t>
  </si>
  <si>
    <t xml:space="preserve">Excavate &amp; Disposal (2.5*2.5*3.0) </t>
  </si>
  <si>
    <t>Excavate &amp; Disposal (2.5*2.5*4)</t>
  </si>
  <si>
    <t>Excavate &amp; Disposal (2.5*2.5*5)</t>
  </si>
  <si>
    <t xml:space="preserve">Excavate &amp; Disposal (3.0*3.0*1.5) </t>
  </si>
  <si>
    <t xml:space="preserve">Excavate &amp; Disposal (3.0*3.0*2.5) </t>
  </si>
  <si>
    <t>Chamber Installation</t>
  </si>
  <si>
    <t>Chamber Installation (3.3*2.2)</t>
  </si>
  <si>
    <t xml:space="preserve">Excavate &amp; Disposal (4.5*3.4*2.0) </t>
  </si>
  <si>
    <t>Chamber Installation (1.0*1.0)</t>
  </si>
  <si>
    <t xml:space="preserve">Excavate &amp; Disposal (2.2*2.2*1.0) </t>
  </si>
  <si>
    <t xml:space="preserve">Excavate &amp; Disposal (3.5*3.5*3.0) </t>
  </si>
  <si>
    <t>Chamber Installation (2.2*2.2*3)</t>
  </si>
  <si>
    <t>UPVC Pipe 160 mm</t>
  </si>
  <si>
    <t>UPVC Fitting 160 mm</t>
  </si>
  <si>
    <t>Pipe Laying</t>
  </si>
  <si>
    <t>Filter fabric</t>
  </si>
  <si>
    <t>Filter fabric sheets arround the Gravel</t>
  </si>
  <si>
    <t>Chamber Installation (2.5*2.5*3)</t>
  </si>
  <si>
    <t xml:space="preserve">Excavate &amp; Disposal (3.7*3.7*3.0) </t>
  </si>
  <si>
    <t>Hr</t>
  </si>
  <si>
    <t>Clearing</t>
  </si>
  <si>
    <t>Cutting &amp; Leveling</t>
  </si>
  <si>
    <t>Soil Disposal</t>
  </si>
  <si>
    <t>Trailer Dump Truck 24 m³</t>
  </si>
  <si>
    <t>Stockpile Operation</t>
  </si>
  <si>
    <t>Material Hauling</t>
  </si>
  <si>
    <t>Spreading  &amp;  leveling</t>
  </si>
  <si>
    <t>Compaction</t>
  </si>
  <si>
    <t>Imported backfilling material</t>
  </si>
  <si>
    <t>Earth Work</t>
  </si>
  <si>
    <t>Supply &amp; apply HDPE geotextile</t>
  </si>
  <si>
    <t>Sand BeddingHDPE Geotextile</t>
  </si>
  <si>
    <t>Sand Bedding (500 mm Thick)</t>
  </si>
  <si>
    <t>Excavate &amp; Disposal</t>
  </si>
  <si>
    <t>Siphon tubes with DI 90 bends</t>
  </si>
  <si>
    <t xml:space="preserve">Supply Siphon Tubes </t>
  </si>
  <si>
    <t>RC Wall</t>
  </si>
  <si>
    <t>Insulation &amp; Riprap Works</t>
  </si>
  <si>
    <t>Supply &amp; apply grouted riprap 30 cm</t>
  </si>
  <si>
    <t>Filling</t>
  </si>
  <si>
    <t>Ground bed Compaction</t>
  </si>
  <si>
    <t>Backfilling Filter Material (150 mm Thick)</t>
  </si>
  <si>
    <t>Supply Filter backfilling material</t>
  </si>
  <si>
    <t>Supply &amp; apply grouted riprap 25 cm</t>
  </si>
  <si>
    <t>Backfilling Sand Material (300 mm Thick)</t>
  </si>
  <si>
    <t>Supply Plain Concrete C15</t>
  </si>
  <si>
    <t>Concrete</t>
  </si>
  <si>
    <t>Screed mortar</t>
  </si>
  <si>
    <t>Screed workmanship</t>
  </si>
  <si>
    <t>Steel RFT</t>
  </si>
  <si>
    <t>Screed works</t>
  </si>
  <si>
    <t>Waterproofing works</t>
  </si>
  <si>
    <t>Supply Basecourse Type 1&amp;2</t>
  </si>
  <si>
    <t>Subbase Transportation 0-60 KM</t>
  </si>
  <si>
    <t>Apply Basecourse 16-20 cm (1 Layer)</t>
  </si>
  <si>
    <t>Asphalt Transportation 0-60 KM</t>
  </si>
  <si>
    <t>Supply &amp; Apply basecourse (20 cm)</t>
  </si>
  <si>
    <t>MC1</t>
  </si>
  <si>
    <t>Binder course depth (7 cm)</t>
  </si>
  <si>
    <t>RC</t>
  </si>
  <si>
    <t>Wearing course depth (5 cm)</t>
  </si>
  <si>
    <t>Culvert 3000 x 700 mm</t>
  </si>
  <si>
    <t>Culvert 2500 x 600 mm</t>
  </si>
  <si>
    <t>Culvert 3500 x 800 mm</t>
  </si>
  <si>
    <t>Culvert 2000 x 600 mm</t>
  </si>
  <si>
    <t>Culvert 2500 x 700 mm</t>
  </si>
  <si>
    <t>Culvert 3000 x 750 mm</t>
  </si>
  <si>
    <t>Culvert 3000 x 800 mm</t>
  </si>
  <si>
    <t>Culvert 2500 x 800 mm</t>
  </si>
  <si>
    <t>Culverts</t>
  </si>
  <si>
    <t>Excavation ( W= 1.2 &amp; d= 1.5 )</t>
  </si>
  <si>
    <t>UPVC Pipe 400 mm</t>
  </si>
  <si>
    <t>UPVC Pipe 600 mm</t>
  </si>
  <si>
    <t>UPVC Fitting 400 mm</t>
  </si>
  <si>
    <t>UPVC Fitting 600 mm</t>
  </si>
  <si>
    <t>Excavation ( W= 1.6 &amp; d= 1.5 )</t>
  </si>
  <si>
    <t>GRP Pipe 1000 mm</t>
  </si>
  <si>
    <t>Workmanship GRP pipe 1000 mm</t>
  </si>
  <si>
    <t>GRP Fitting 1000 mm</t>
  </si>
  <si>
    <t>Excavation ( W= 1.8 &amp; d= 2.0 )</t>
  </si>
  <si>
    <t>Excavation ( W= 2.0 &amp; d= 2.0 )</t>
  </si>
  <si>
    <t>Gravel bed with a thickness of 150 mm</t>
  </si>
  <si>
    <t>Supply the following plants and trees Ref.Dwg No.DAM3-01-001-CH2-TS7-1-LSP-TEN-0221</t>
  </si>
  <si>
    <t>Agricultural irrigation system</t>
  </si>
  <si>
    <t>Maintenance</t>
  </si>
  <si>
    <t>Integrated maintenance and preservation</t>
  </si>
  <si>
    <r>
      <rPr>
        <b/>
        <sz val="10"/>
        <color theme="1"/>
        <rFont val="Times New Roman"/>
        <family val="1"/>
      </rPr>
      <t>Project name:</t>
    </r>
    <r>
      <rPr>
        <b/>
        <sz val="10"/>
        <color rgb="FF0000FF"/>
        <rFont val="Times New Roman"/>
        <family val="1"/>
      </rPr>
      <t xml:space="preserve"> WO#</t>
    </r>
  </si>
  <si>
    <r>
      <rPr>
        <b/>
        <sz val="10"/>
        <color theme="1"/>
        <rFont val="Times New Roman"/>
        <family val="1"/>
      </rPr>
      <t>Project No.:</t>
    </r>
    <r>
      <rPr>
        <b/>
        <sz val="10"/>
        <color rgb="FF0000FF"/>
        <rFont val="Times New Roman"/>
        <family val="1"/>
      </rPr>
      <t xml:space="preserve">     WO#</t>
    </r>
  </si>
  <si>
    <r>
      <rPr>
        <b/>
        <sz val="10"/>
        <color theme="1"/>
        <rFont val="Times New Roman"/>
        <family val="1"/>
      </rPr>
      <t>Client:</t>
    </r>
    <r>
      <rPr>
        <b/>
        <sz val="10"/>
        <color rgb="FF0000FF"/>
        <rFont val="Times New Roman"/>
        <family val="1"/>
      </rPr>
      <t xml:space="preserve">               </t>
    </r>
  </si>
  <si>
    <t>overall BUDGET Summary</t>
  </si>
  <si>
    <t>PROJECT NAME:</t>
  </si>
  <si>
    <t>REV. DATE.:</t>
  </si>
  <si>
    <t>SITE LOCATION:</t>
  </si>
  <si>
    <t>REV. NO.:</t>
  </si>
  <si>
    <t>START DATE:</t>
  </si>
  <si>
    <t>PROJECT CODE:</t>
  </si>
  <si>
    <t>DURATION:</t>
  </si>
  <si>
    <t>16 MTH</t>
  </si>
  <si>
    <t>CONTRACT PRICE :</t>
  </si>
  <si>
    <t>FINISH DATE:</t>
  </si>
  <si>
    <t>BU Number:</t>
  </si>
  <si>
    <t>REV. FINISH DATE:</t>
  </si>
  <si>
    <t>No.</t>
  </si>
  <si>
    <t xml:space="preserve">Description </t>
  </si>
  <si>
    <t>Budget</t>
  </si>
  <si>
    <t>Remark</t>
  </si>
  <si>
    <t>Direct Cost</t>
  </si>
  <si>
    <t>Indirect Cost</t>
  </si>
  <si>
    <t>Contingency Reserve</t>
  </si>
  <si>
    <t xml:space="preserve">Total Amount </t>
  </si>
  <si>
    <t>Items</t>
  </si>
  <si>
    <t>Amount</t>
  </si>
  <si>
    <t>%</t>
  </si>
  <si>
    <t>A</t>
  </si>
  <si>
    <t>Contract Price</t>
  </si>
  <si>
    <t>B</t>
  </si>
  <si>
    <t>C</t>
  </si>
  <si>
    <t>D</t>
  </si>
  <si>
    <t>E= (B+C+D)</t>
  </si>
  <si>
    <t>Sub-Total</t>
  </si>
  <si>
    <t>F=(A+E)</t>
  </si>
  <si>
    <t>Gross Margin</t>
  </si>
  <si>
    <t>G</t>
  </si>
  <si>
    <t>Advance Payment Fees</t>
  </si>
  <si>
    <t>H</t>
  </si>
  <si>
    <t>Performance Bond Fees</t>
  </si>
  <si>
    <t>I</t>
  </si>
  <si>
    <t>LC Fees</t>
  </si>
  <si>
    <t>J</t>
  </si>
  <si>
    <t xml:space="preserve">CAR Insurance </t>
  </si>
  <si>
    <t>K</t>
  </si>
  <si>
    <t>Management Reserve</t>
  </si>
  <si>
    <t>L</t>
  </si>
  <si>
    <t>General and Administrative Expenses (G&amp;A)</t>
  </si>
  <si>
    <t>K=(F+G+H+I+J+K+L)</t>
  </si>
  <si>
    <t>Net Profit Margin</t>
  </si>
  <si>
    <t>S1-CNS-EP-MOD-2025.3</t>
  </si>
  <si>
    <t>MODON 3rd Industrial City Phase 1D – Part 2 – Dammam</t>
  </si>
  <si>
    <t>Eastern Region</t>
  </si>
  <si>
    <t>Resource Productivity (MH/UNIT)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</si>
</sst>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Red]#,##0.00"/>
    <numFmt numFmtId="165" formatCode="_(* #,##0.000_);_(* \(#,##0.000\);_(* &quot;-&quot;??_);_(@_)"/>
    <numFmt numFmtId="166" formatCode="0.000"/>
    <numFmt numFmtId="167" formatCode="#,##0.000;[Red]#,##0.000"/>
    <numFmt numFmtId="168" formatCode="_(* #,##0.000000_);_(* \(#,##0.000000\);_(* &quot;-&quot;??_);_(@_)"/>
    <numFmt numFmtId="169" formatCode="[$-409]d\-mmm\-yyyy;@"/>
    <numFmt numFmtId="170" formatCode="[$-409]mmm\-yy;@"/>
    <numFmt numFmtId="171" formatCode="_(* #,##0_);_(* \(#,##0\);_(* &quot;-&quot;??_);_(@_)"/>
    <numFmt numFmtId="172" formatCode="0.0%"/>
  </numFmts>
  <fonts count="43" x14ac:knownFonts="1">
    <font>
      <sz val="11"/>
      <color theme="1"/>
      <name val="Calibri"/>
      <family val="2"/>
      <scheme val="minor"/>
    </font>
    <font>
      <sz val="11"/>
      <color theme="1"/>
      <name val="Calibri"/>
      <family val="2"/>
      <scheme val="minor"/>
    </font>
    <font>
      <sz val="10"/>
      <name val="Arial"/>
      <family val="2"/>
    </font>
    <font>
      <sz val="14"/>
      <name val="Times New Roman"/>
      <family val="1"/>
    </font>
    <font>
      <b/>
      <sz val="14"/>
      <name val="Times New Roman"/>
      <family val="1"/>
    </font>
    <font>
      <sz val="11"/>
      <name val="Times New Roman"/>
      <family val="1"/>
    </font>
    <font>
      <sz val="11"/>
      <name val="Calibri"/>
      <family val="2"/>
      <scheme val="minor"/>
    </font>
    <font>
      <sz val="8"/>
      <name val="Calibri"/>
      <family val="2"/>
      <scheme val="minor"/>
    </font>
    <font>
      <sz val="18"/>
      <name val="Times New Roman"/>
      <family val="1"/>
    </font>
    <font>
      <sz val="10"/>
      <color theme="1"/>
      <name val="Calibri"/>
      <family val="2"/>
      <scheme val="minor"/>
    </font>
    <font>
      <b/>
      <sz val="10"/>
      <color theme="1"/>
      <name val="Times New Roman"/>
      <family val="1"/>
    </font>
    <font>
      <sz val="10"/>
      <color theme="1"/>
      <name val="Times New Roman"/>
      <family val="1"/>
    </font>
    <font>
      <b/>
      <sz val="10"/>
      <color theme="9" tint="-0.499984740745262"/>
      <name val="Times New Roman"/>
      <family val="1"/>
    </font>
    <font>
      <b/>
      <sz val="10"/>
      <color rgb="FF0000FF"/>
      <name val="Times New Roman"/>
      <family val="1"/>
    </font>
    <font>
      <b/>
      <sz val="10"/>
      <color theme="1"/>
      <name val="Calibri"/>
      <family val="2"/>
      <scheme val="minor"/>
    </font>
    <font>
      <b/>
      <sz val="10"/>
      <color theme="9" tint="-0.499984740745262"/>
      <name val="Calibri"/>
      <family val="2"/>
      <scheme val="minor"/>
    </font>
    <font>
      <b/>
      <sz val="10"/>
      <color rgb="FF0000FF"/>
      <name val="Calibri"/>
      <family val="2"/>
      <scheme val="minor"/>
    </font>
    <font>
      <sz val="8"/>
      <color theme="1"/>
      <name val="Times New Roman"/>
      <family val="1"/>
    </font>
    <font>
      <b/>
      <sz val="12"/>
      <color theme="1"/>
      <name val="Calibri"/>
      <family val="2"/>
      <scheme val="minor"/>
    </font>
    <font>
      <sz val="12"/>
      <color theme="1"/>
      <name val="Arial"/>
      <family val="2"/>
    </font>
    <font>
      <b/>
      <u/>
      <sz val="12"/>
      <color theme="1"/>
      <name val="Calibri"/>
      <family val="2"/>
      <scheme val="minor"/>
    </font>
    <font>
      <b/>
      <sz val="11"/>
      <color theme="1"/>
      <name val="Calibri"/>
      <family val="2"/>
      <scheme val="minor"/>
    </font>
    <font>
      <u/>
      <sz val="11"/>
      <color theme="1"/>
      <name val="Calibri"/>
      <family val="2"/>
      <scheme val="minor"/>
    </font>
    <font>
      <b/>
      <sz val="16"/>
      <name val="Times New Roman"/>
      <family val="1"/>
    </font>
    <font>
      <sz val="16"/>
      <name val="Times New Roman"/>
      <family val="1"/>
    </font>
    <font>
      <sz val="12"/>
      <color theme="1"/>
      <name val="Aptos Narrow"/>
      <family val="2"/>
    </font>
    <font>
      <sz val="12"/>
      <color theme="1"/>
      <name val="Calibri"/>
      <family val="2"/>
      <scheme val="minor"/>
    </font>
    <font>
      <sz val="11"/>
      <color theme="1"/>
      <name val="Times New Roman"/>
      <family val="1"/>
    </font>
    <font>
      <b/>
      <u/>
      <sz val="11"/>
      <color theme="1"/>
      <name val="Calibri"/>
      <family val="2"/>
      <scheme val="minor"/>
    </font>
    <font>
      <sz val="10"/>
      <color theme="1"/>
      <name val="Aptos Narrow"/>
      <family val="2"/>
    </font>
    <font>
      <sz val="10"/>
      <color theme="1"/>
      <name val="Calibri"/>
      <family val="2"/>
    </font>
    <font>
      <u/>
      <sz val="24"/>
      <color rgb="FF002060"/>
      <name val="Algerian"/>
      <family val="5"/>
    </font>
    <font>
      <u/>
      <sz val="38"/>
      <color rgb="FF002060"/>
      <name val="Algerian"/>
      <family val="5"/>
    </font>
    <font>
      <sz val="12"/>
      <name val="Arial"/>
      <family val="2"/>
    </font>
    <font>
      <sz val="11"/>
      <color theme="1"/>
      <name val="Arial Narrow"/>
      <family val="2"/>
    </font>
    <font>
      <b/>
      <u/>
      <sz val="10"/>
      <name val="Arial"/>
      <family val="2"/>
    </font>
    <font>
      <b/>
      <sz val="11"/>
      <color theme="0"/>
      <name val="Arial"/>
      <family val="2"/>
    </font>
    <font>
      <b/>
      <u/>
      <sz val="12"/>
      <color theme="0"/>
      <name val="Arial"/>
      <family val="2"/>
    </font>
    <font>
      <sz val="14"/>
      <name val="Arial"/>
      <family val="2"/>
    </font>
    <font>
      <b/>
      <u/>
      <sz val="14"/>
      <name val="Arial"/>
      <family val="2"/>
    </font>
    <font>
      <b/>
      <u/>
      <sz val="14"/>
      <color theme="1"/>
      <name val="Calibri"/>
      <family val="2"/>
      <scheme val="minor"/>
    </font>
    <font>
      <b/>
      <sz val="12"/>
      <name val="Arial"/>
      <family val="2"/>
    </font>
    <font>
      <b/>
      <sz val="12"/>
      <color rgb="FF160EB2"/>
      <name val="Arial"/>
      <family val="2"/>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298457"/>
        <bgColor indexed="64"/>
      </patternFill>
    </fill>
    <fill>
      <patternFill patternType="solid">
        <fgColor rgb="FF1F4E78"/>
        <bgColor indexed="64"/>
      </patternFill>
    </fill>
  </fills>
  <borders count="8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top style="double">
        <color indexed="64"/>
      </top>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thin">
        <color indexed="64"/>
      </top>
      <bottom style="double">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diagonal/>
    </border>
    <border>
      <left style="thin">
        <color auto="1"/>
      </left>
      <right style="medium">
        <color indexed="64"/>
      </right>
      <top/>
      <bottom/>
      <diagonal/>
    </border>
    <border>
      <left style="thin">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double">
        <color indexed="64"/>
      </right>
      <top style="hair">
        <color indexed="64"/>
      </top>
      <bottom style="thin">
        <color indexed="64"/>
      </bottom>
      <diagonal/>
    </border>
    <border>
      <left style="double">
        <color indexed="64"/>
      </left>
      <right style="double">
        <color indexed="64"/>
      </right>
      <top/>
      <bottom style="hair">
        <color indexed="64"/>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double">
        <color indexed="64"/>
      </left>
      <right style="double">
        <color indexed="64"/>
      </right>
      <top style="double">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1" fillId="0" borderId="0"/>
    <xf numFmtId="0" fontId="2" fillId="0" borderId="0"/>
    <xf numFmtId="0" fontId="1" fillId="0" borderId="0"/>
    <xf numFmtId="43" fontId="2" fillId="0" borderId="0" applyFont="0" applyFill="0" applyBorder="0" applyAlignment="0" applyProtection="0"/>
    <xf numFmtId="9" fontId="2" fillId="0" borderId="0" applyFont="0" applyFill="0" applyBorder="0" applyAlignment="0" applyProtection="0"/>
  </cellStyleXfs>
  <cellXfs count="435">
    <xf numFmtId="0" fontId="0" fillId="0" borderId="0" xfId="0"/>
    <xf numFmtId="0" fontId="0" fillId="0" borderId="0" xfId="0" applyAlignment="1">
      <alignment horizontal="center" vertical="center"/>
    </xf>
    <xf numFmtId="49" fontId="3" fillId="3" borderId="2" xfId="3" applyNumberFormat="1" applyFont="1" applyFill="1" applyBorder="1" applyAlignment="1" applyProtection="1">
      <alignment horizontal="center" vertical="center" wrapText="1"/>
      <protection locked="0" hidden="1"/>
    </xf>
    <xf numFmtId="49" fontId="3" fillId="3" borderId="13" xfId="3" applyNumberFormat="1" applyFont="1" applyFill="1" applyBorder="1" applyAlignment="1" applyProtection="1">
      <alignment horizontal="center" vertical="center" wrapText="1"/>
      <protection locked="0" hidden="1"/>
    </xf>
    <xf numFmtId="4" fontId="5" fillId="0" borderId="0" xfId="3" applyNumberFormat="1" applyFont="1" applyAlignment="1" applyProtection="1">
      <alignment vertical="center"/>
      <protection locked="0" hidden="1"/>
    </xf>
    <xf numFmtId="4" fontId="6" fillId="4" borderId="2" xfId="1" applyNumberFormat="1" applyFont="1" applyFill="1" applyBorder="1" applyAlignment="1">
      <alignment horizontal="center" vertical="center"/>
    </xf>
    <xf numFmtId="4" fontId="0" fillId="0" borderId="2" xfId="0" applyNumberFormat="1" applyBorder="1" applyAlignment="1">
      <alignment horizontal="center" vertical="center"/>
    </xf>
    <xf numFmtId="4" fontId="5" fillId="0" borderId="0" xfId="1" applyNumberFormat="1" applyFont="1" applyFill="1" applyAlignment="1" applyProtection="1">
      <alignment vertical="center"/>
      <protection locked="0" hidden="1"/>
    </xf>
    <xf numFmtId="0" fontId="5" fillId="0" borderId="0" xfId="3" applyFont="1" applyAlignment="1" applyProtection="1">
      <alignment vertical="center"/>
      <protection locked="0" hidden="1"/>
    </xf>
    <xf numFmtId="0" fontId="3" fillId="0" borderId="2" xfId="4" applyFont="1" applyBorder="1" applyAlignment="1" applyProtection="1">
      <alignment horizontal="center" vertical="center"/>
      <protection locked="0" hidden="1"/>
    </xf>
    <xf numFmtId="49" fontId="3" fillId="0" borderId="13" xfId="4" applyNumberFormat="1" applyFont="1" applyBorder="1" applyAlignment="1" applyProtection="1">
      <alignment horizontal="center" vertical="center"/>
      <protection locked="0" hidden="1"/>
    </xf>
    <xf numFmtId="4" fontId="5" fillId="0" borderId="0" xfId="4" applyNumberFormat="1" applyFont="1" applyAlignment="1" applyProtection="1">
      <alignment vertical="center"/>
      <protection locked="0" hidden="1"/>
    </xf>
    <xf numFmtId="0" fontId="5" fillId="0" borderId="0" xfId="4" applyFont="1" applyAlignment="1" applyProtection="1">
      <alignment vertical="center"/>
      <protection locked="0" hidden="1"/>
    </xf>
    <xf numFmtId="4" fontId="5" fillId="0" borderId="2" xfId="1" applyNumberFormat="1" applyFont="1" applyFill="1" applyBorder="1" applyAlignment="1" applyProtection="1">
      <alignment vertical="center"/>
      <protection locked="0" hidden="1"/>
    </xf>
    <xf numFmtId="0" fontId="3" fillId="0" borderId="0" xfId="4" applyFont="1" applyAlignment="1" applyProtection="1">
      <alignment horizontal="center" vertical="center"/>
      <protection locked="0" hidden="1"/>
    </xf>
    <xf numFmtId="49" fontId="3" fillId="0" borderId="0" xfId="4" applyNumberFormat="1" applyFont="1" applyAlignment="1" applyProtection="1">
      <alignment horizontal="center" vertical="center"/>
      <protection locked="0" hidden="1"/>
    </xf>
    <xf numFmtId="0" fontId="3" fillId="0" borderId="0" xfId="4" applyFont="1" applyAlignment="1" applyProtection="1">
      <alignment vertical="center" wrapText="1"/>
      <protection locked="0" hidden="1"/>
    </xf>
    <xf numFmtId="3" fontId="3" fillId="0" borderId="0" xfId="4" applyNumberFormat="1" applyFont="1" applyAlignment="1" applyProtection="1">
      <alignment horizontal="center" vertical="center"/>
      <protection locked="0" hidden="1"/>
    </xf>
    <xf numFmtId="43" fontId="8" fillId="0" borderId="0" xfId="1" applyFont="1" applyAlignment="1" applyProtection="1">
      <alignment vertical="center"/>
      <protection locked="0" hidden="1"/>
    </xf>
    <xf numFmtId="0" fontId="9" fillId="0" borderId="0" xfId="0" applyFont="1" applyAlignment="1">
      <alignment vertical="center"/>
    </xf>
    <xf numFmtId="0" fontId="10" fillId="0" borderId="0" xfId="0" applyFont="1" applyAlignment="1">
      <alignment horizontal="center" vertical="center"/>
    </xf>
    <xf numFmtId="0" fontId="12" fillId="0" borderId="0" xfId="0" applyFont="1" applyAlignment="1">
      <alignment vertical="center"/>
    </xf>
    <xf numFmtId="43" fontId="12" fillId="0" borderId="0" xfId="1" applyFont="1" applyAlignment="1">
      <alignment horizontal="center" vertical="center"/>
    </xf>
    <xf numFmtId="43" fontId="12" fillId="0" borderId="0" xfId="1" applyFont="1" applyAlignment="1">
      <alignment horizontal="center" vertical="center" wrapText="1"/>
    </xf>
    <xf numFmtId="43" fontId="11" fillId="0" borderId="0" xfId="1" applyFont="1" applyAlignment="1">
      <alignment horizontal="center" vertical="center"/>
    </xf>
    <xf numFmtId="0" fontId="13" fillId="0" borderId="0" xfId="0" applyFont="1" applyAlignment="1">
      <alignment horizontal="left" vertical="center" wrapText="1"/>
    </xf>
    <xf numFmtId="43" fontId="13" fillId="0" borderId="0" xfId="1" applyFont="1" applyAlignment="1">
      <alignment horizontal="center" vertical="center" wrapText="1"/>
    </xf>
    <xf numFmtId="2" fontId="10" fillId="0" borderId="2" xfId="0" applyNumberFormat="1" applyFont="1" applyBorder="1" applyAlignment="1">
      <alignment horizontal="left" vertical="center"/>
    </xf>
    <xf numFmtId="0" fontId="11" fillId="0" borderId="0" xfId="0" applyFont="1" applyAlignment="1">
      <alignment horizontal="center" vertical="center"/>
    </xf>
    <xf numFmtId="0" fontId="13" fillId="0" borderId="0" xfId="0" applyFont="1" applyAlignment="1">
      <alignment horizontal="left" vertical="center"/>
    </xf>
    <xf numFmtId="43" fontId="11" fillId="0" borderId="0" xfId="1" applyFont="1" applyFill="1" applyAlignment="1">
      <alignment horizontal="center" vertical="center"/>
    </xf>
    <xf numFmtId="43" fontId="11" fillId="4" borderId="0" xfId="1" applyFont="1" applyFill="1" applyAlignment="1">
      <alignment horizontal="center" vertical="center"/>
    </xf>
    <xf numFmtId="2" fontId="11" fillId="0" borderId="0" xfId="0" applyNumberFormat="1" applyFont="1" applyAlignment="1">
      <alignment horizontal="center" vertical="center"/>
    </xf>
    <xf numFmtId="43" fontId="10" fillId="5" borderId="21" xfId="1" applyFont="1" applyFill="1" applyBorder="1" applyAlignment="1">
      <alignment horizontal="center" vertical="center" wrapText="1"/>
    </xf>
    <xf numFmtId="43" fontId="10" fillId="5" borderId="22" xfId="1" applyFont="1" applyFill="1" applyBorder="1" applyAlignment="1">
      <alignment horizontal="center" vertical="center" wrapText="1"/>
    </xf>
    <xf numFmtId="43" fontId="10" fillId="5" borderId="20" xfId="1" applyFont="1" applyFill="1" applyBorder="1" applyAlignment="1">
      <alignment horizontal="center" vertical="center" wrapText="1"/>
    </xf>
    <xf numFmtId="43" fontId="10" fillId="5" borderId="33" xfId="1" applyFont="1" applyFill="1" applyBorder="1" applyAlignment="1">
      <alignment horizontal="center" vertical="center" wrapText="1"/>
    </xf>
    <xf numFmtId="0" fontId="11" fillId="0" borderId="29" xfId="0" applyFont="1" applyBorder="1" applyAlignment="1">
      <alignment horizontal="center" vertical="center"/>
    </xf>
    <xf numFmtId="2" fontId="11" fillId="0" borderId="30" xfId="0" applyNumberFormat="1" applyFont="1" applyBorder="1" applyAlignment="1">
      <alignment horizontal="center" vertical="center"/>
    </xf>
    <xf numFmtId="43" fontId="11" fillId="0" borderId="30" xfId="1" applyFont="1" applyBorder="1" applyAlignment="1">
      <alignment horizontal="center" vertical="center"/>
    </xf>
    <xf numFmtId="43" fontId="11" fillId="0" borderId="31" xfId="1" applyFont="1" applyBorder="1" applyAlignment="1">
      <alignment horizontal="center" vertical="center"/>
    </xf>
    <xf numFmtId="2" fontId="11" fillId="0" borderId="26" xfId="0" applyNumberFormat="1" applyFont="1" applyBorder="1" applyAlignment="1">
      <alignment horizontal="center" vertical="center"/>
    </xf>
    <xf numFmtId="164" fontId="11" fillId="2" borderId="30" xfId="1" applyNumberFormat="1" applyFont="1" applyFill="1" applyBorder="1" applyAlignment="1">
      <alignment horizontal="center" vertical="center"/>
    </xf>
    <xf numFmtId="43" fontId="11" fillId="2" borderId="31" xfId="1" applyFont="1" applyFill="1" applyBorder="1" applyAlignment="1">
      <alignment horizontal="center" vertical="center"/>
    </xf>
    <xf numFmtId="43" fontId="11" fillId="2" borderId="30" xfId="1" applyFont="1" applyFill="1" applyBorder="1" applyAlignment="1">
      <alignment horizontal="center" vertical="center"/>
    </xf>
    <xf numFmtId="0" fontId="9" fillId="4" borderId="29" xfId="0" applyFont="1" applyFill="1" applyBorder="1" applyAlignment="1">
      <alignment horizontal="center" vertical="center"/>
    </xf>
    <xf numFmtId="0" fontId="9" fillId="2" borderId="30" xfId="0" applyFont="1" applyFill="1" applyBorder="1" applyAlignment="1">
      <alignment horizontal="center" vertical="center"/>
    </xf>
    <xf numFmtId="2" fontId="9" fillId="2" borderId="29" xfId="1" applyNumberFormat="1" applyFont="1" applyFill="1" applyBorder="1" applyAlignment="1">
      <alignment horizontal="center" vertical="center"/>
    </xf>
    <xf numFmtId="2" fontId="9" fillId="2" borderId="30" xfId="0" applyNumberFormat="1" applyFont="1" applyFill="1" applyBorder="1" applyAlignment="1">
      <alignment horizontal="center" vertical="center"/>
    </xf>
    <xf numFmtId="43" fontId="9" fillId="2" borderId="30" xfId="1" applyFont="1" applyFill="1" applyBorder="1" applyAlignment="1">
      <alignment horizontal="center" vertical="center"/>
    </xf>
    <xf numFmtId="164" fontId="14" fillId="2" borderId="30" xfId="1" applyNumberFormat="1" applyFont="1" applyFill="1" applyBorder="1" applyAlignment="1">
      <alignment horizontal="center" vertical="center"/>
    </xf>
    <xf numFmtId="0" fontId="9" fillId="3" borderId="29" xfId="0" applyFont="1" applyFill="1" applyBorder="1" applyAlignment="1">
      <alignment horizontal="center" vertical="center"/>
    </xf>
    <xf numFmtId="0" fontId="9" fillId="3" borderId="30" xfId="0" applyFont="1" applyFill="1" applyBorder="1" applyAlignment="1">
      <alignment horizontal="center" vertical="center"/>
    </xf>
    <xf numFmtId="164" fontId="9" fillId="3" borderId="30" xfId="1" applyNumberFormat="1" applyFont="1" applyFill="1" applyBorder="1" applyAlignment="1">
      <alignment horizontal="center" vertical="center"/>
    </xf>
    <xf numFmtId="164" fontId="9" fillId="3" borderId="31" xfId="1" applyNumberFormat="1" applyFont="1" applyFill="1" applyBorder="1" applyAlignment="1">
      <alignment horizontal="center" vertical="center"/>
    </xf>
    <xf numFmtId="43" fontId="9" fillId="3" borderId="31" xfId="1" applyFont="1" applyFill="1" applyBorder="1" applyAlignment="1">
      <alignment horizontal="center" vertical="center"/>
    </xf>
    <xf numFmtId="2" fontId="9" fillId="3" borderId="29" xfId="1" applyNumberFormat="1" applyFont="1" applyFill="1" applyBorder="1" applyAlignment="1">
      <alignment horizontal="center" vertical="center"/>
    </xf>
    <xf numFmtId="164" fontId="9" fillId="3" borderId="30" xfId="0" applyNumberFormat="1" applyFont="1" applyFill="1" applyBorder="1" applyAlignment="1">
      <alignment horizontal="center" vertical="center" wrapText="1"/>
    </xf>
    <xf numFmtId="43" fontId="9" fillId="3" borderId="30" xfId="1" applyFont="1" applyFill="1" applyBorder="1" applyAlignment="1">
      <alignment horizontal="center" vertical="center"/>
    </xf>
    <xf numFmtId="0" fontId="9" fillId="4" borderId="30" xfId="0" applyFont="1" applyFill="1" applyBorder="1" applyAlignment="1">
      <alignment horizontal="center" vertical="center"/>
    </xf>
    <xf numFmtId="43" fontId="9" fillId="4" borderId="31" xfId="1" applyFont="1" applyFill="1" applyBorder="1" applyAlignment="1">
      <alignment horizontal="center" vertical="center"/>
    </xf>
    <xf numFmtId="2" fontId="9" fillId="4" borderId="29" xfId="1" applyNumberFormat="1" applyFont="1" applyFill="1" applyBorder="1" applyAlignment="1">
      <alignment horizontal="center" vertical="center"/>
    </xf>
    <xf numFmtId="164" fontId="9" fillId="0" borderId="0" xfId="0" applyNumberFormat="1" applyFont="1" applyAlignment="1">
      <alignment horizontal="center" vertical="center"/>
    </xf>
    <xf numFmtId="0" fontId="11" fillId="0" borderId="30" xfId="0" applyFont="1" applyBorder="1" applyAlignment="1">
      <alignment horizontal="left" vertical="center" wrapText="1"/>
    </xf>
    <xf numFmtId="0" fontId="9" fillId="2" borderId="30" xfId="0" applyFont="1" applyFill="1" applyBorder="1" applyAlignment="1">
      <alignment horizontal="left" vertical="center" wrapText="1"/>
    </xf>
    <xf numFmtId="0" fontId="11" fillId="0" borderId="25" xfId="0" applyFont="1" applyBorder="1" applyAlignment="1">
      <alignment horizontal="center" vertical="center"/>
    </xf>
    <xf numFmtId="0" fontId="11" fillId="0" borderId="26" xfId="0" applyFont="1" applyBorder="1" applyAlignment="1">
      <alignment horizontal="left" vertical="center" wrapText="1"/>
    </xf>
    <xf numFmtId="43" fontId="11" fillId="0" borderId="26" xfId="1" applyFont="1" applyBorder="1" applyAlignment="1">
      <alignment horizontal="center" vertical="center"/>
    </xf>
    <xf numFmtId="43" fontId="11" fillId="0" borderId="27" xfId="1" applyFont="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4" xfId="0" applyFont="1" applyFill="1" applyBorder="1" applyAlignment="1">
      <alignment horizontal="center" vertical="center"/>
    </xf>
    <xf numFmtId="43" fontId="10" fillId="4" borderId="4" xfId="1" applyFont="1" applyFill="1" applyBorder="1" applyAlignment="1">
      <alignment horizontal="center" vertical="center"/>
    </xf>
    <xf numFmtId="43" fontId="10" fillId="4" borderId="44" xfId="1" applyFont="1" applyFill="1" applyBorder="1" applyAlignment="1">
      <alignment horizontal="center" vertical="center"/>
    </xf>
    <xf numFmtId="43" fontId="10" fillId="4" borderId="7" xfId="1" applyFont="1" applyFill="1" applyBorder="1" applyAlignment="1">
      <alignment horizontal="center" vertical="center"/>
    </xf>
    <xf numFmtId="2" fontId="10" fillId="4" borderId="4" xfId="0" applyNumberFormat="1" applyFont="1" applyFill="1" applyBorder="1" applyAlignment="1">
      <alignment horizontal="center" vertical="center"/>
    </xf>
    <xf numFmtId="43" fontId="10" fillId="4" borderId="4" xfId="1" applyFont="1" applyFill="1" applyBorder="1" applyAlignment="1">
      <alignment horizontal="center" vertical="center" wrapText="1"/>
    </xf>
    <xf numFmtId="0" fontId="10" fillId="6" borderId="2" xfId="0" applyFont="1" applyFill="1" applyBorder="1" applyAlignment="1">
      <alignment horizontal="center" vertical="center" wrapText="1"/>
    </xf>
    <xf numFmtId="2" fontId="10" fillId="6" borderId="2" xfId="0" applyNumberFormat="1" applyFont="1" applyFill="1" applyBorder="1" applyAlignment="1">
      <alignment horizontal="center" vertical="center"/>
    </xf>
    <xf numFmtId="43" fontId="10" fillId="6" borderId="2" xfId="1" applyFont="1" applyFill="1" applyBorder="1" applyAlignment="1">
      <alignment horizontal="center" vertical="center"/>
    </xf>
    <xf numFmtId="43" fontId="10" fillId="6" borderId="14" xfId="1" applyFont="1" applyFill="1" applyBorder="1" applyAlignment="1">
      <alignment horizontal="center" vertical="center"/>
    </xf>
    <xf numFmtId="0" fontId="10" fillId="7" borderId="2" xfId="0" applyFont="1" applyFill="1" applyBorder="1" applyAlignment="1">
      <alignment horizontal="center" vertical="center"/>
    </xf>
    <xf numFmtId="164" fontId="10" fillId="7" borderId="14" xfId="1" applyNumberFormat="1" applyFont="1" applyFill="1" applyBorder="1" applyAlignment="1">
      <alignment horizontal="center" vertical="center"/>
    </xf>
    <xf numFmtId="2" fontId="10" fillId="7" borderId="2" xfId="0" applyNumberFormat="1" applyFont="1" applyFill="1" applyBorder="1" applyAlignment="1">
      <alignment horizontal="center" vertical="center"/>
    </xf>
    <xf numFmtId="43" fontId="10" fillId="7" borderId="2" xfId="1" applyFont="1" applyFill="1" applyBorder="1" applyAlignment="1">
      <alignment horizontal="center" vertical="center"/>
    </xf>
    <xf numFmtId="43" fontId="10" fillId="7" borderId="14" xfId="1" applyFont="1" applyFill="1" applyBorder="1" applyAlignment="1">
      <alignment horizontal="center" vertical="center"/>
    </xf>
    <xf numFmtId="164" fontId="11" fillId="0" borderId="32" xfId="1" applyNumberFormat="1" applyFont="1" applyBorder="1" applyAlignment="1">
      <alignment horizontal="center" vertical="center"/>
    </xf>
    <xf numFmtId="164" fontId="9" fillId="2" borderId="32" xfId="1" applyNumberFormat="1" applyFont="1" applyFill="1" applyBorder="1" applyAlignment="1">
      <alignment horizontal="center" vertical="center"/>
    </xf>
    <xf numFmtId="164" fontId="9" fillId="3" borderId="32" xfId="1" applyNumberFormat="1" applyFont="1" applyFill="1" applyBorder="1" applyAlignment="1">
      <alignment horizontal="center" vertical="center"/>
    </xf>
    <xf numFmtId="164" fontId="9" fillId="4" borderId="32" xfId="1" applyNumberFormat="1" applyFont="1" applyFill="1" applyBorder="1" applyAlignment="1">
      <alignment horizontal="center" vertical="center"/>
    </xf>
    <xf numFmtId="164" fontId="14" fillId="2" borderId="31" xfId="1" applyNumberFormat="1" applyFont="1" applyFill="1" applyBorder="1" applyAlignment="1">
      <alignment horizontal="center" vertical="center"/>
    </xf>
    <xf numFmtId="164" fontId="9" fillId="3" borderId="30" xfId="0" applyNumberFormat="1" applyFont="1" applyFill="1" applyBorder="1" applyAlignment="1">
      <alignment horizontal="center" vertical="center"/>
    </xf>
    <xf numFmtId="164" fontId="9" fillId="0" borderId="30" xfId="0" applyNumberFormat="1" applyFont="1" applyBorder="1" applyAlignment="1">
      <alignment horizontal="center" vertical="center" wrapText="1"/>
    </xf>
    <xf numFmtId="164" fontId="9" fillId="0" borderId="30" xfId="0" applyNumberFormat="1" applyFont="1" applyBorder="1" applyAlignment="1">
      <alignment horizontal="center" vertical="center"/>
    </xf>
    <xf numFmtId="164" fontId="9" fillId="0" borderId="31" xfId="0" applyNumberFormat="1" applyFont="1" applyBorder="1" applyAlignment="1">
      <alignment horizontal="center" vertical="center"/>
    </xf>
    <xf numFmtId="164" fontId="10" fillId="7" borderId="45" xfId="1" applyNumberFormat="1" applyFont="1" applyFill="1" applyBorder="1" applyAlignment="1">
      <alignment horizontal="center" vertical="center"/>
    </xf>
    <xf numFmtId="43" fontId="9" fillId="0" borderId="0" xfId="1" applyFont="1" applyAlignment="1">
      <alignment vertical="center"/>
    </xf>
    <xf numFmtId="0" fontId="11" fillId="0" borderId="0" xfId="0" applyFont="1" applyAlignment="1">
      <alignment vertical="center"/>
    </xf>
    <xf numFmtId="0" fontId="13" fillId="0" borderId="1" xfId="0" applyFont="1" applyBorder="1" applyAlignment="1">
      <alignment vertical="center" wrapText="1"/>
    </xf>
    <xf numFmtId="43" fontId="10" fillId="0" borderId="0" xfId="1" applyFont="1" applyAlignment="1">
      <alignment horizontal="center" vertical="center"/>
    </xf>
    <xf numFmtId="0" fontId="11" fillId="4" borderId="0" xfId="0" applyFont="1" applyFill="1" applyAlignment="1">
      <alignment vertical="center"/>
    </xf>
    <xf numFmtId="0" fontId="10" fillId="0" borderId="0" xfId="0" applyFont="1" applyAlignment="1">
      <alignment vertical="center"/>
    </xf>
    <xf numFmtId="0" fontId="9" fillId="4" borderId="0" xfId="0" applyFont="1" applyFill="1" applyAlignment="1">
      <alignment vertical="center"/>
    </xf>
    <xf numFmtId="0" fontId="9" fillId="3" borderId="0" xfId="0" applyFont="1" applyFill="1" applyAlignment="1">
      <alignment vertical="center"/>
    </xf>
    <xf numFmtId="164" fontId="9" fillId="0" borderId="0" xfId="0" applyNumberFormat="1" applyFont="1" applyAlignment="1">
      <alignment vertical="center"/>
    </xf>
    <xf numFmtId="164" fontId="11" fillId="0" borderId="50" xfId="1" applyNumberFormat="1" applyFont="1" applyBorder="1" applyAlignment="1">
      <alignment horizontal="center" vertical="center"/>
    </xf>
    <xf numFmtId="0" fontId="9" fillId="0" borderId="26" xfId="0" applyFont="1" applyBorder="1" applyAlignment="1">
      <alignment horizontal="center" vertical="center"/>
    </xf>
    <xf numFmtId="0" fontId="9" fillId="0" borderId="30" xfId="0" applyFont="1" applyBorder="1" applyAlignment="1">
      <alignment horizontal="center" vertical="center"/>
    </xf>
    <xf numFmtId="43" fontId="10" fillId="7" borderId="17" xfId="1" applyFont="1" applyFill="1" applyBorder="1" applyAlignment="1">
      <alignment horizontal="center" vertical="center"/>
    </xf>
    <xf numFmtId="43" fontId="11" fillId="0" borderId="25" xfId="1" applyFont="1" applyBorder="1" applyAlignment="1">
      <alignment horizontal="center" vertical="center"/>
    </xf>
    <xf numFmtId="43" fontId="11" fillId="0" borderId="29" xfId="1" applyFont="1" applyBorder="1" applyAlignment="1">
      <alignment horizontal="center" vertical="center"/>
    </xf>
    <xf numFmtId="43" fontId="10" fillId="7" borderId="12" xfId="1" applyFont="1" applyFill="1" applyBorder="1" applyAlignment="1">
      <alignment horizontal="center" vertical="center"/>
    </xf>
    <xf numFmtId="43" fontId="11" fillId="2" borderId="29" xfId="1" applyFont="1" applyFill="1" applyBorder="1" applyAlignment="1">
      <alignment horizontal="center" vertical="center"/>
    </xf>
    <xf numFmtId="43" fontId="11" fillId="3" borderId="29" xfId="1" applyFont="1" applyFill="1" applyBorder="1" applyAlignment="1">
      <alignment horizontal="center" vertical="center"/>
    </xf>
    <xf numFmtId="43" fontId="9" fillId="2" borderId="29" xfId="1" applyFont="1" applyFill="1" applyBorder="1" applyAlignment="1">
      <alignment horizontal="center" vertical="center"/>
    </xf>
    <xf numFmtId="43" fontId="9" fillId="3" borderId="29" xfId="1" applyFont="1" applyFill="1" applyBorder="1" applyAlignment="1">
      <alignment horizontal="center" vertical="center"/>
    </xf>
    <xf numFmtId="43" fontId="9" fillId="4" borderId="29" xfId="1" applyFont="1" applyFill="1" applyBorder="1" applyAlignment="1">
      <alignment horizontal="center" vertical="center"/>
    </xf>
    <xf numFmtId="43" fontId="10" fillId="6" borderId="12" xfId="1" applyFont="1" applyFill="1" applyBorder="1" applyAlignment="1">
      <alignment horizontal="center" vertical="center"/>
    </xf>
    <xf numFmtId="43" fontId="10" fillId="6" borderId="16" xfId="1" applyFont="1" applyFill="1" applyBorder="1" applyAlignment="1">
      <alignment horizontal="center" vertical="center"/>
    </xf>
    <xf numFmtId="43" fontId="10" fillId="7" borderId="16" xfId="1" applyFont="1" applyFill="1" applyBorder="1" applyAlignment="1">
      <alignment horizontal="center" vertical="center"/>
    </xf>
    <xf numFmtId="43" fontId="9" fillId="4" borderId="30" xfId="1" applyFont="1" applyFill="1" applyBorder="1" applyAlignment="1">
      <alignment horizontal="center" vertical="center"/>
    </xf>
    <xf numFmtId="43" fontId="13" fillId="0" borderId="0" xfId="1" applyFont="1" applyAlignment="1">
      <alignment vertical="center" wrapText="1"/>
    </xf>
    <xf numFmtId="43" fontId="11" fillId="0" borderId="26" xfId="1" applyFont="1" applyFill="1" applyBorder="1" applyAlignment="1">
      <alignment horizontal="center" vertical="center"/>
    </xf>
    <xf numFmtId="43" fontId="10" fillId="2" borderId="30" xfId="1" applyFont="1" applyFill="1" applyBorder="1" applyAlignment="1">
      <alignment horizontal="center" vertical="center"/>
    </xf>
    <xf numFmtId="166" fontId="11" fillId="0" borderId="0" xfId="0" applyNumberFormat="1" applyFont="1" applyAlignment="1">
      <alignment horizontal="center" vertical="center"/>
    </xf>
    <xf numFmtId="4" fontId="9" fillId="0" borderId="0" xfId="0" applyNumberFormat="1" applyFont="1" applyAlignment="1">
      <alignment vertical="center"/>
    </xf>
    <xf numFmtId="4" fontId="12" fillId="0" borderId="0" xfId="0" applyNumberFormat="1" applyFont="1" applyAlignment="1">
      <alignment vertical="center"/>
    </xf>
    <xf numFmtId="4" fontId="12" fillId="0" borderId="0" xfId="1" applyNumberFormat="1" applyFont="1" applyAlignment="1">
      <alignment vertical="center" wrapText="1"/>
    </xf>
    <xf numFmtId="4" fontId="11" fillId="0" borderId="0" xfId="1" applyNumberFormat="1" applyFont="1" applyAlignment="1">
      <alignment vertical="center"/>
    </xf>
    <xf numFmtId="4" fontId="10" fillId="4" borderId="4" xfId="1" applyNumberFormat="1" applyFont="1" applyFill="1" applyBorder="1" applyAlignment="1">
      <alignment vertical="center"/>
    </xf>
    <xf numFmtId="4" fontId="10" fillId="6" borderId="2" xfId="1" applyNumberFormat="1" applyFont="1" applyFill="1" applyBorder="1" applyAlignment="1">
      <alignment vertical="center"/>
    </xf>
    <xf numFmtId="4" fontId="10" fillId="7" borderId="2" xfId="1" applyNumberFormat="1" applyFont="1" applyFill="1" applyBorder="1" applyAlignment="1">
      <alignment vertical="center"/>
    </xf>
    <xf numFmtId="4" fontId="11" fillId="0" borderId="26" xfId="1" applyNumberFormat="1" applyFont="1" applyBorder="1" applyAlignment="1">
      <alignment vertical="center"/>
    </xf>
    <xf numFmtId="4" fontId="11" fillId="0" borderId="30" xfId="1" applyNumberFormat="1" applyFont="1" applyBorder="1" applyAlignment="1">
      <alignment vertical="center"/>
    </xf>
    <xf numFmtId="4" fontId="9" fillId="0" borderId="30" xfId="0" applyNumberFormat="1" applyFont="1" applyBorder="1" applyAlignment="1">
      <alignment horizontal="center" vertical="center"/>
    </xf>
    <xf numFmtId="4" fontId="9" fillId="2" borderId="30" xfId="1" applyNumberFormat="1" applyFont="1" applyFill="1" applyBorder="1" applyAlignment="1">
      <alignment vertical="center"/>
    </xf>
    <xf numFmtId="4" fontId="9" fillId="3" borderId="30" xfId="0" applyNumberFormat="1" applyFont="1" applyFill="1" applyBorder="1" applyAlignment="1">
      <alignment horizontal="center" vertical="center"/>
    </xf>
    <xf numFmtId="0" fontId="9" fillId="0" borderId="30" xfId="0" applyFont="1" applyBorder="1" applyAlignment="1">
      <alignment horizontal="left" vertical="center" wrapText="1"/>
    </xf>
    <xf numFmtId="43" fontId="14" fillId="0" borderId="0" xfId="1" applyFont="1" applyAlignment="1">
      <alignment vertical="center"/>
    </xf>
    <xf numFmtId="43" fontId="9" fillId="0" borderId="0" xfId="0" applyNumberFormat="1" applyFont="1" applyAlignment="1">
      <alignment vertical="center"/>
    </xf>
    <xf numFmtId="2" fontId="15" fillId="0" borderId="0" xfId="0" applyNumberFormat="1" applyFont="1" applyAlignment="1">
      <alignment vertical="center"/>
    </xf>
    <xf numFmtId="0" fontId="16" fillId="0" borderId="0" xfId="0" applyFont="1" applyAlignment="1">
      <alignment vertical="center" wrapText="1"/>
    </xf>
    <xf numFmtId="2" fontId="9" fillId="2" borderId="2" xfId="1" applyNumberFormat="1" applyFont="1" applyFill="1" applyBorder="1" applyAlignment="1">
      <alignment horizontal="center" vertical="center"/>
    </xf>
    <xf numFmtId="2" fontId="9" fillId="3" borderId="2" xfId="1" applyNumberFormat="1" applyFont="1" applyFill="1" applyBorder="1" applyAlignment="1">
      <alignment horizontal="center" vertical="center"/>
    </xf>
    <xf numFmtId="2" fontId="9" fillId="0" borderId="2" xfId="1" applyNumberFormat="1" applyFont="1" applyBorder="1" applyAlignment="1">
      <alignment horizontal="center" vertical="center"/>
    </xf>
    <xf numFmtId="2" fontId="9" fillId="0" borderId="0" xfId="1" applyNumberFormat="1" applyFont="1" applyAlignment="1">
      <alignment horizontal="center" vertical="center"/>
    </xf>
    <xf numFmtId="2" fontId="14" fillId="4" borderId="3" xfId="1" applyNumberFormat="1" applyFont="1" applyFill="1" applyBorder="1" applyAlignment="1">
      <alignment horizontal="center" vertical="center"/>
    </xf>
    <xf numFmtId="10" fontId="14" fillId="6" borderId="12" xfId="2" applyNumberFormat="1" applyFont="1" applyFill="1" applyBorder="1" applyAlignment="1">
      <alignment horizontal="center" vertical="center"/>
    </xf>
    <xf numFmtId="2" fontId="14" fillId="7" borderId="12" xfId="1" applyNumberFormat="1" applyFont="1" applyFill="1" applyBorder="1" applyAlignment="1">
      <alignment horizontal="center" vertical="center"/>
    </xf>
    <xf numFmtId="2" fontId="9" fillId="0" borderId="25" xfId="1" applyNumberFormat="1" applyFont="1" applyBorder="1" applyAlignment="1">
      <alignment horizontal="center" vertical="center"/>
    </xf>
    <xf numFmtId="2" fontId="9" fillId="0" borderId="29" xfId="1" applyNumberFormat="1" applyFont="1" applyBorder="1" applyAlignment="1">
      <alignment horizontal="center" vertical="center"/>
    </xf>
    <xf numFmtId="4" fontId="9" fillId="0" borderId="0" xfId="0" applyNumberFormat="1" applyFont="1" applyAlignment="1">
      <alignment horizontal="center" vertical="center"/>
    </xf>
    <xf numFmtId="4" fontId="10" fillId="0" borderId="0" xfId="0" applyNumberFormat="1" applyFont="1" applyAlignment="1">
      <alignment horizontal="center" vertical="center"/>
    </xf>
    <xf numFmtId="4" fontId="12" fillId="0" borderId="0" xfId="0" applyNumberFormat="1" applyFont="1" applyAlignment="1">
      <alignment horizontal="center" vertical="center"/>
    </xf>
    <xf numFmtId="4" fontId="12" fillId="0" borderId="0" xfId="1" applyNumberFormat="1" applyFont="1" applyAlignment="1">
      <alignment horizontal="center" vertical="center" wrapText="1"/>
    </xf>
    <xf numFmtId="4" fontId="10" fillId="0" borderId="0" xfId="1" applyNumberFormat="1" applyFont="1" applyAlignment="1">
      <alignment horizontal="center" vertical="center"/>
    </xf>
    <xf numFmtId="4" fontId="11" fillId="0" borderId="0" xfId="1" applyNumberFormat="1" applyFont="1" applyAlignment="1">
      <alignment horizontal="center" vertical="center"/>
    </xf>
    <xf numFmtId="4" fontId="10" fillId="5" borderId="24" xfId="1" applyNumberFormat="1" applyFont="1" applyFill="1" applyBorder="1" applyAlignment="1">
      <alignment horizontal="center" vertical="center"/>
    </xf>
    <xf numFmtId="4" fontId="10" fillId="5" borderId="21" xfId="1" applyNumberFormat="1" applyFont="1" applyFill="1" applyBorder="1" applyAlignment="1">
      <alignment horizontal="center" vertical="center"/>
    </xf>
    <xf numFmtId="4" fontId="10" fillId="5" borderId="23" xfId="1" applyNumberFormat="1" applyFont="1" applyFill="1" applyBorder="1" applyAlignment="1">
      <alignment horizontal="center" vertical="center"/>
    </xf>
    <xf numFmtId="4" fontId="10" fillId="7" borderId="30" xfId="1" applyNumberFormat="1" applyFont="1" applyFill="1" applyBorder="1" applyAlignment="1">
      <alignment horizontal="center" vertical="center"/>
    </xf>
    <xf numFmtId="4" fontId="10" fillId="8" borderId="31" xfId="1" applyNumberFormat="1" applyFont="1" applyFill="1" applyBorder="1" applyAlignment="1">
      <alignment horizontal="center" vertical="center"/>
    </xf>
    <xf numFmtId="4" fontId="11" fillId="0" borderId="31" xfId="1" applyNumberFormat="1" applyFont="1" applyBorder="1" applyAlignment="1">
      <alignment horizontal="center" vertical="center"/>
    </xf>
    <xf numFmtId="4" fontId="14" fillId="0" borderId="0" xfId="0" applyNumberFormat="1" applyFont="1" applyAlignment="1">
      <alignment horizontal="center" vertical="center"/>
    </xf>
    <xf numFmtId="43" fontId="10" fillId="4" borderId="3" xfId="1" applyFont="1" applyFill="1" applyBorder="1" applyAlignment="1">
      <alignment horizontal="center" vertical="center"/>
    </xf>
    <xf numFmtId="2" fontId="11" fillId="3" borderId="30" xfId="0" applyNumberFormat="1" applyFont="1" applyFill="1" applyBorder="1" applyAlignment="1">
      <alignment horizontal="left" vertical="center" wrapText="1"/>
    </xf>
    <xf numFmtId="9" fontId="9" fillId="3" borderId="30" xfId="2" applyFont="1" applyFill="1" applyBorder="1" applyAlignment="1">
      <alignment horizontal="center" vertical="center"/>
    </xf>
    <xf numFmtId="9" fontId="9" fillId="4" borderId="30" xfId="2" applyFont="1" applyFill="1" applyBorder="1" applyAlignment="1">
      <alignment horizontal="center" vertical="center"/>
    </xf>
    <xf numFmtId="43" fontId="17" fillId="0" borderId="0" xfId="1" applyFont="1" applyAlignment="1">
      <alignment horizontal="center" vertical="center"/>
    </xf>
    <xf numFmtId="0" fontId="9" fillId="0" borderId="0" xfId="0" applyFont="1" applyAlignment="1">
      <alignment horizontal="center" vertical="center"/>
    </xf>
    <xf numFmtId="0" fontId="11" fillId="4" borderId="0" xfId="0" applyFont="1" applyFill="1" applyAlignment="1">
      <alignment horizontal="center" vertical="center"/>
    </xf>
    <xf numFmtId="0" fontId="9" fillId="4" borderId="0" xfId="0" applyFont="1" applyFill="1" applyAlignment="1">
      <alignment horizontal="center" vertical="center"/>
    </xf>
    <xf numFmtId="0" fontId="9" fillId="3" borderId="0" xfId="0" applyFont="1" applyFill="1" applyAlignment="1">
      <alignment horizontal="center" vertical="center"/>
    </xf>
    <xf numFmtId="10" fontId="11" fillId="2" borderId="30" xfId="2" applyNumberFormat="1" applyFont="1" applyFill="1" applyBorder="1" applyAlignment="1">
      <alignment horizontal="center" vertical="center"/>
    </xf>
    <xf numFmtId="4" fontId="10" fillId="4" borderId="51" xfId="1" applyNumberFormat="1" applyFont="1" applyFill="1" applyBorder="1" applyAlignment="1">
      <alignment horizontal="center" vertical="center"/>
    </xf>
    <xf numFmtId="4" fontId="10" fillId="4" borderId="52" xfId="1" applyNumberFormat="1" applyFont="1" applyFill="1" applyBorder="1" applyAlignment="1">
      <alignment horizontal="center" vertical="center"/>
    </xf>
    <xf numFmtId="4" fontId="10" fillId="4" borderId="53" xfId="1" applyNumberFormat="1" applyFont="1" applyFill="1" applyBorder="1" applyAlignment="1">
      <alignment horizontal="center" vertical="center"/>
    </xf>
    <xf numFmtId="4" fontId="10" fillId="6" borderId="29" xfId="1" applyNumberFormat="1" applyFont="1" applyFill="1" applyBorder="1" applyAlignment="1">
      <alignment horizontal="center" vertical="center"/>
    </xf>
    <xf numFmtId="4" fontId="10" fillId="6" borderId="30" xfId="1" applyNumberFormat="1" applyFont="1" applyFill="1" applyBorder="1" applyAlignment="1">
      <alignment horizontal="center" vertical="center"/>
    </xf>
    <xf numFmtId="4" fontId="10" fillId="6" borderId="31" xfId="1" applyNumberFormat="1" applyFont="1" applyFill="1" applyBorder="1" applyAlignment="1">
      <alignment horizontal="center" vertical="center"/>
    </xf>
    <xf numFmtId="4" fontId="10" fillId="7" borderId="29" xfId="1" applyNumberFormat="1" applyFont="1" applyFill="1" applyBorder="1" applyAlignment="1">
      <alignment horizontal="center" vertical="center"/>
    </xf>
    <xf numFmtId="4" fontId="10" fillId="7" borderId="31" xfId="1" applyNumberFormat="1" applyFont="1" applyFill="1" applyBorder="1" applyAlignment="1">
      <alignment horizontal="center" vertical="center"/>
    </xf>
    <xf numFmtId="4" fontId="11" fillId="0" borderId="29" xfId="1" applyNumberFormat="1" applyFont="1" applyBorder="1" applyAlignment="1">
      <alignment horizontal="center" vertical="center"/>
    </xf>
    <xf numFmtId="4" fontId="11" fillId="0" borderId="30" xfId="1" applyNumberFormat="1" applyFont="1" applyBorder="1" applyAlignment="1">
      <alignment horizontal="center" vertical="center"/>
    </xf>
    <xf numFmtId="4" fontId="10" fillId="3" borderId="29" xfId="1" applyNumberFormat="1" applyFont="1" applyFill="1" applyBorder="1" applyAlignment="1">
      <alignment horizontal="center" vertical="center"/>
    </xf>
    <xf numFmtId="4" fontId="10" fillId="3" borderId="30" xfId="1" applyNumberFormat="1" applyFont="1" applyFill="1" applyBorder="1" applyAlignment="1">
      <alignment horizontal="center" vertical="center"/>
    </xf>
    <xf numFmtId="4" fontId="9" fillId="4" borderId="31" xfId="0" applyNumberFormat="1" applyFont="1" applyFill="1" applyBorder="1" applyAlignment="1">
      <alignment horizontal="center" vertical="center"/>
    </xf>
    <xf numFmtId="4" fontId="10" fillId="8" borderId="30" xfId="1" applyNumberFormat="1" applyFont="1" applyFill="1" applyBorder="1" applyAlignment="1">
      <alignment horizontal="center" vertical="center"/>
    </xf>
    <xf numFmtId="4" fontId="14" fillId="2" borderId="29" xfId="1" applyNumberFormat="1" applyFont="1" applyFill="1" applyBorder="1" applyAlignment="1">
      <alignment horizontal="center" vertical="center"/>
    </xf>
    <xf numFmtId="4" fontId="14" fillId="2" borderId="30" xfId="1" applyNumberFormat="1" applyFont="1" applyFill="1" applyBorder="1" applyAlignment="1">
      <alignment horizontal="center" vertical="center"/>
    </xf>
    <xf numFmtId="4" fontId="9" fillId="4" borderId="29" xfId="1" applyNumberFormat="1" applyFont="1" applyFill="1" applyBorder="1" applyAlignment="1">
      <alignment horizontal="center" vertical="center"/>
    </xf>
    <xf numFmtId="4" fontId="9" fillId="4" borderId="30" xfId="1" applyNumberFormat="1" applyFont="1" applyFill="1" applyBorder="1" applyAlignment="1">
      <alignment horizontal="center" vertical="center"/>
    </xf>
    <xf numFmtId="0" fontId="18" fillId="9" borderId="54" xfId="0" applyFont="1" applyFill="1" applyBorder="1" applyAlignment="1">
      <alignment horizontal="center" vertical="center"/>
    </xf>
    <xf numFmtId="2" fontId="19" fillId="0" borderId="26" xfId="0" applyNumberFormat="1" applyFont="1" applyBorder="1" applyAlignment="1">
      <alignment horizontal="center" vertical="center"/>
    </xf>
    <xf numFmtId="43" fontId="19" fillId="0" borderId="26" xfId="1" applyFont="1" applyBorder="1" applyAlignment="1">
      <alignment horizontal="center" vertical="center"/>
    </xf>
    <xf numFmtId="164" fontId="19" fillId="0" borderId="26" xfId="0" applyNumberFormat="1" applyFont="1" applyBorder="1" applyAlignment="1">
      <alignment horizontal="center" vertical="center"/>
    </xf>
    <xf numFmtId="164" fontId="19" fillId="0" borderId="26" xfId="0" applyNumberFormat="1" applyFont="1" applyBorder="1" applyAlignment="1">
      <alignment horizontal="center" vertical="center" wrapText="1"/>
    </xf>
    <xf numFmtId="43" fontId="19" fillId="0" borderId="26" xfId="1" applyFont="1" applyBorder="1" applyAlignment="1">
      <alignment horizontal="center" vertical="center" wrapText="1"/>
    </xf>
    <xf numFmtId="2" fontId="19" fillId="0" borderId="26" xfId="0" applyNumberFormat="1" applyFont="1" applyBorder="1" applyAlignment="1">
      <alignment horizontal="center" vertical="center" wrapText="1"/>
    </xf>
    <xf numFmtId="0" fontId="11" fillId="10" borderId="47" xfId="0" applyFont="1" applyFill="1" applyBorder="1" applyAlignment="1">
      <alignment horizontal="left" vertical="center" wrapText="1"/>
    </xf>
    <xf numFmtId="0" fontId="11" fillId="10" borderId="47" xfId="0" applyFont="1" applyFill="1" applyBorder="1" applyAlignment="1">
      <alignment horizontal="center" vertical="center"/>
    </xf>
    <xf numFmtId="43" fontId="11" fillId="10" borderId="46" xfId="1" applyFont="1" applyFill="1" applyBorder="1" applyAlignment="1">
      <alignment horizontal="center" vertical="center"/>
    </xf>
    <xf numFmtId="43" fontId="11" fillId="10" borderId="47" xfId="1" applyFont="1" applyFill="1" applyBorder="1" applyAlignment="1">
      <alignment horizontal="center" vertical="center"/>
    </xf>
    <xf numFmtId="43" fontId="11" fillId="10" borderId="48" xfId="1" applyFont="1" applyFill="1" applyBorder="1" applyAlignment="1">
      <alignment horizontal="center" vertical="center"/>
    </xf>
    <xf numFmtId="164" fontId="11" fillId="10" borderId="49" xfId="1" applyNumberFormat="1" applyFont="1" applyFill="1" applyBorder="1" applyAlignment="1">
      <alignment horizontal="center" vertical="center"/>
    </xf>
    <xf numFmtId="2" fontId="9" fillId="10" borderId="46" xfId="1" applyNumberFormat="1" applyFont="1" applyFill="1" applyBorder="1" applyAlignment="1">
      <alignment horizontal="center" vertical="center"/>
    </xf>
    <xf numFmtId="164" fontId="11" fillId="10" borderId="47" xfId="0" applyNumberFormat="1" applyFont="1" applyFill="1" applyBorder="1" applyAlignment="1">
      <alignment horizontal="center" vertical="center"/>
    </xf>
    <xf numFmtId="4" fontId="11" fillId="10" borderId="47" xfId="0" applyNumberFormat="1" applyFont="1" applyFill="1" applyBorder="1" applyAlignment="1">
      <alignment horizontal="center" vertical="center"/>
    </xf>
    <xf numFmtId="164" fontId="11" fillId="10" borderId="48" xfId="0" applyNumberFormat="1" applyFont="1" applyFill="1" applyBorder="1" applyAlignment="1">
      <alignment horizontal="center" vertical="center"/>
    </xf>
    <xf numFmtId="43" fontId="11" fillId="0" borderId="55" xfId="1" applyFont="1" applyBorder="1" applyAlignment="1">
      <alignment horizontal="center" vertical="center"/>
    </xf>
    <xf numFmtId="43" fontId="11" fillId="0" borderId="56" xfId="1" applyFont="1" applyBorder="1" applyAlignment="1">
      <alignment horizontal="center" vertical="center"/>
    </xf>
    <xf numFmtId="43" fontId="11" fillId="2" borderId="56" xfId="1" applyFont="1" applyFill="1" applyBorder="1" applyAlignment="1">
      <alignment horizontal="center" vertical="center"/>
    </xf>
    <xf numFmtId="43" fontId="11" fillId="3" borderId="56" xfId="1" applyFont="1" applyFill="1" applyBorder="1" applyAlignment="1">
      <alignment horizontal="center" vertical="center"/>
    </xf>
    <xf numFmtId="43" fontId="9" fillId="4" borderId="56" xfId="1" applyFont="1" applyFill="1" applyBorder="1" applyAlignment="1">
      <alignment horizontal="center" vertical="center"/>
    </xf>
    <xf numFmtId="43" fontId="11" fillId="10" borderId="57" xfId="1" applyFont="1" applyFill="1" applyBorder="1" applyAlignment="1">
      <alignment horizontal="center" vertical="center"/>
    </xf>
    <xf numFmtId="43" fontId="10" fillId="6" borderId="13" xfId="1" applyFont="1" applyFill="1" applyBorder="1" applyAlignment="1">
      <alignment horizontal="center" vertical="center"/>
    </xf>
    <xf numFmtId="43" fontId="10" fillId="7" borderId="13" xfId="1" applyFont="1" applyFill="1" applyBorder="1" applyAlignment="1">
      <alignment horizontal="center" vertical="center"/>
    </xf>
    <xf numFmtId="43" fontId="11" fillId="0" borderId="59" xfId="1" applyFont="1" applyBorder="1" applyAlignment="1">
      <alignment horizontal="center" vertical="center"/>
    </xf>
    <xf numFmtId="43" fontId="11" fillId="0" borderId="28" xfId="1" applyFont="1" applyBorder="1" applyAlignment="1">
      <alignment horizontal="center" vertical="center"/>
    </xf>
    <xf numFmtId="43" fontId="11" fillId="2" borderId="28" xfId="1" applyFont="1" applyFill="1" applyBorder="1" applyAlignment="1">
      <alignment horizontal="center" vertical="center"/>
    </xf>
    <xf numFmtId="43" fontId="9" fillId="3" borderId="28" xfId="1" applyFont="1" applyFill="1" applyBorder="1" applyAlignment="1">
      <alignment horizontal="center" vertical="center"/>
    </xf>
    <xf numFmtId="43" fontId="9" fillId="4" borderId="28" xfId="1" applyFont="1" applyFill="1" applyBorder="1" applyAlignment="1">
      <alignment horizontal="center" vertical="center"/>
    </xf>
    <xf numFmtId="43" fontId="11" fillId="10" borderId="60" xfId="1" applyFont="1" applyFill="1" applyBorder="1" applyAlignment="1">
      <alignment horizontal="center" vertical="center"/>
    </xf>
    <xf numFmtId="43" fontId="10" fillId="5" borderId="58" xfId="1" applyFont="1" applyFill="1" applyBorder="1" applyAlignment="1">
      <alignment horizontal="center" vertical="center"/>
    </xf>
    <xf numFmtId="43" fontId="10" fillId="5" borderId="45" xfId="1" applyFont="1" applyFill="1" applyBorder="1" applyAlignment="1">
      <alignment horizontal="center" vertical="center" wrapText="1"/>
    </xf>
    <xf numFmtId="43" fontId="10" fillId="5" borderId="61" xfId="1" applyFont="1" applyFill="1" applyBorder="1" applyAlignment="1">
      <alignment horizontal="center" vertical="center" wrapText="1"/>
    </xf>
    <xf numFmtId="43" fontId="10" fillId="4" borderId="58" xfId="1" applyFont="1" applyFill="1" applyBorder="1" applyAlignment="1">
      <alignment horizontal="center" vertical="center"/>
    </xf>
    <xf numFmtId="164" fontId="10" fillId="6" borderId="45" xfId="1" applyNumberFormat="1" applyFont="1" applyFill="1" applyBorder="1" applyAlignment="1">
      <alignment horizontal="center" vertical="center"/>
    </xf>
    <xf numFmtId="0" fontId="20" fillId="11" borderId="30" xfId="0" applyFont="1" applyFill="1" applyBorder="1" applyAlignment="1">
      <alignment horizontal="left" vertical="center" wrapText="1"/>
    </xf>
    <xf numFmtId="164" fontId="10" fillId="0" borderId="0" xfId="0" applyNumberFormat="1" applyFont="1" applyAlignment="1">
      <alignment vertical="center"/>
    </xf>
    <xf numFmtId="0" fontId="23" fillId="3" borderId="34" xfId="3" applyFont="1" applyFill="1" applyBorder="1" applyAlignment="1" applyProtection="1">
      <alignment horizontal="center" vertical="center" wrapText="1"/>
      <protection locked="0" hidden="1"/>
    </xf>
    <xf numFmtId="0" fontId="23" fillId="3" borderId="35" xfId="3" applyFont="1" applyFill="1" applyBorder="1" applyAlignment="1" applyProtection="1">
      <alignment horizontal="center" vertical="center" wrapText="1"/>
      <protection locked="0" hidden="1"/>
    </xf>
    <xf numFmtId="0" fontId="24" fillId="0" borderId="36" xfId="4" applyFont="1" applyBorder="1" applyAlignment="1" applyProtection="1">
      <alignment horizontal="center" vertical="center" wrapText="1"/>
      <protection locked="0" hidden="1"/>
    </xf>
    <xf numFmtId="3" fontId="24" fillId="0" borderId="37" xfId="4" applyNumberFormat="1" applyFont="1" applyBorder="1" applyAlignment="1" applyProtection="1">
      <alignment horizontal="center" vertical="center"/>
      <protection locked="0" hidden="1"/>
    </xf>
    <xf numFmtId="0" fontId="24" fillId="0" borderId="38" xfId="4" applyFont="1" applyBorder="1" applyAlignment="1" applyProtection="1">
      <alignment horizontal="center" vertical="center" wrapText="1"/>
      <protection locked="0" hidden="1"/>
    </xf>
    <xf numFmtId="3" fontId="24" fillId="0" borderId="39" xfId="4" applyNumberFormat="1" applyFont="1" applyBorder="1" applyAlignment="1" applyProtection="1">
      <alignment horizontal="center" vertical="center"/>
      <protection locked="0" hidden="1"/>
    </xf>
    <xf numFmtId="0" fontId="24" fillId="0" borderId="40" xfId="4" applyFont="1" applyBorder="1" applyAlignment="1" applyProtection="1">
      <alignment vertical="center" wrapText="1"/>
      <protection locked="0" hidden="1"/>
    </xf>
    <xf numFmtId="4" fontId="24" fillId="0" borderId="41" xfId="1" applyNumberFormat="1" applyFont="1" applyFill="1" applyBorder="1" applyAlignment="1" applyProtection="1">
      <alignment vertical="center"/>
      <protection locked="0" hidden="1"/>
    </xf>
    <xf numFmtId="0" fontId="24" fillId="0" borderId="42" xfId="4" applyFont="1" applyBorder="1" applyAlignment="1" applyProtection="1">
      <alignment vertical="center" wrapText="1"/>
      <protection locked="0" hidden="1"/>
    </xf>
    <xf numFmtId="3" fontId="24" fillId="0" borderId="43" xfId="4" applyNumberFormat="1" applyFont="1" applyBorder="1" applyAlignment="1" applyProtection="1">
      <alignment horizontal="center" vertical="center"/>
      <protection locked="0" hidden="1"/>
    </xf>
    <xf numFmtId="0" fontId="23" fillId="0" borderId="34" xfId="4" applyFont="1" applyBorder="1" applyAlignment="1" applyProtection="1">
      <alignment horizontal="center" vertical="center" wrapText="1"/>
      <protection locked="0" hidden="1"/>
    </xf>
    <xf numFmtId="3" fontId="23" fillId="0" borderId="35" xfId="4" applyNumberFormat="1" applyFont="1" applyBorder="1" applyAlignment="1" applyProtection="1">
      <alignment horizontal="center" vertical="center" wrapText="1"/>
      <protection locked="0" hidden="1"/>
    </xf>
    <xf numFmtId="43" fontId="10" fillId="0" borderId="0" xfId="1" applyFont="1" applyAlignment="1">
      <alignment vertical="center"/>
    </xf>
    <xf numFmtId="43" fontId="10" fillId="0" borderId="0" xfId="0" applyNumberFormat="1" applyFont="1" applyAlignment="1">
      <alignment vertical="center"/>
    </xf>
    <xf numFmtId="0" fontId="0" fillId="0" borderId="0" xfId="0" applyAlignment="1">
      <alignment vertical="center"/>
    </xf>
    <xf numFmtId="43" fontId="0" fillId="0" borderId="0" xfId="0" applyNumberFormat="1" applyAlignment="1">
      <alignment vertical="center"/>
    </xf>
    <xf numFmtId="9" fontId="0" fillId="0" borderId="0" xfId="2" applyFont="1" applyAlignment="1">
      <alignment vertical="center"/>
    </xf>
    <xf numFmtId="0" fontId="0" fillId="0" borderId="26" xfId="0" applyBorder="1" applyAlignment="1">
      <alignment vertical="center"/>
    </xf>
    <xf numFmtId="43" fontId="0" fillId="0" borderId="0" xfId="1" applyFont="1" applyAlignment="1">
      <alignment vertical="center"/>
    </xf>
    <xf numFmtId="0" fontId="21" fillId="0" borderId="0" xfId="0" applyFont="1" applyAlignment="1">
      <alignment vertical="center"/>
    </xf>
    <xf numFmtId="0" fontId="22" fillId="0" borderId="0" xfId="0" applyFont="1" applyAlignment="1">
      <alignment vertical="center"/>
    </xf>
    <xf numFmtId="43" fontId="19" fillId="0" borderId="26" xfId="1" applyFont="1" applyFill="1" applyBorder="1" applyAlignment="1">
      <alignment horizontal="center" vertical="center"/>
    </xf>
    <xf numFmtId="0" fontId="20" fillId="0" borderId="30" xfId="0" applyFont="1" applyBorder="1" applyAlignment="1">
      <alignment horizontal="left" vertical="center" wrapText="1"/>
    </xf>
    <xf numFmtId="0" fontId="9" fillId="11" borderId="30" xfId="0" applyFont="1" applyFill="1" applyBorder="1" applyAlignment="1">
      <alignment horizontal="center" vertical="center"/>
    </xf>
    <xf numFmtId="43" fontId="9" fillId="11" borderId="29" xfId="1" applyFont="1" applyFill="1" applyBorder="1" applyAlignment="1">
      <alignment horizontal="center" vertical="center"/>
    </xf>
    <xf numFmtId="43" fontId="9" fillId="11" borderId="30" xfId="1" applyFont="1" applyFill="1" applyBorder="1" applyAlignment="1">
      <alignment horizontal="center" vertical="center"/>
    </xf>
    <xf numFmtId="43" fontId="9" fillId="11" borderId="31" xfId="1" applyFont="1" applyFill="1" applyBorder="1" applyAlignment="1">
      <alignment horizontal="center" vertical="center"/>
    </xf>
    <xf numFmtId="43" fontId="9" fillId="11" borderId="56" xfId="1" applyFont="1" applyFill="1" applyBorder="1" applyAlignment="1">
      <alignment horizontal="center" vertical="center"/>
    </xf>
    <xf numFmtId="9" fontId="9" fillId="11" borderId="30" xfId="2" applyFont="1" applyFill="1" applyBorder="1" applyAlignment="1">
      <alignment horizontal="center" vertical="center"/>
    </xf>
    <xf numFmtId="43" fontId="9" fillId="11" borderId="28" xfId="1" applyFont="1" applyFill="1" applyBorder="1" applyAlignment="1">
      <alignment horizontal="center" vertical="center"/>
    </xf>
    <xf numFmtId="164" fontId="9" fillId="11" borderId="32" xfId="1" applyNumberFormat="1" applyFont="1" applyFill="1" applyBorder="1" applyAlignment="1">
      <alignment horizontal="center" vertical="center"/>
    </xf>
    <xf numFmtId="2" fontId="9" fillId="11" borderId="29" xfId="1" applyNumberFormat="1" applyFont="1" applyFill="1" applyBorder="1" applyAlignment="1">
      <alignment horizontal="center" vertical="center"/>
    </xf>
    <xf numFmtId="164" fontId="9" fillId="11" borderId="30" xfId="0" applyNumberFormat="1" applyFont="1" applyFill="1" applyBorder="1" applyAlignment="1">
      <alignment horizontal="center" vertical="center" wrapText="1"/>
    </xf>
    <xf numFmtId="2" fontId="11" fillId="11" borderId="30" xfId="0" applyNumberFormat="1" applyFont="1" applyFill="1" applyBorder="1" applyAlignment="1">
      <alignment horizontal="center" vertical="center"/>
    </xf>
    <xf numFmtId="164" fontId="9" fillId="11" borderId="30" xfId="0" applyNumberFormat="1" applyFont="1" applyFill="1" applyBorder="1" applyAlignment="1">
      <alignment horizontal="center" vertical="center"/>
    </xf>
    <xf numFmtId="4" fontId="9" fillId="11" borderId="30" xfId="0" applyNumberFormat="1" applyFont="1" applyFill="1" applyBorder="1" applyAlignment="1">
      <alignment horizontal="center" vertical="center"/>
    </xf>
    <xf numFmtId="164" fontId="9" fillId="11" borderId="31" xfId="0" applyNumberFormat="1" applyFont="1" applyFill="1" applyBorder="1" applyAlignment="1">
      <alignment horizontal="center" vertical="center"/>
    </xf>
    <xf numFmtId="0" fontId="20" fillId="11" borderId="30" xfId="0" applyFont="1" applyFill="1" applyBorder="1" applyAlignment="1">
      <alignment horizontal="left" vertical="center"/>
    </xf>
    <xf numFmtId="0" fontId="10" fillId="6" borderId="12" xfId="0" applyFont="1" applyFill="1" applyBorder="1" applyAlignment="1">
      <alignment horizontal="center" vertical="center"/>
    </xf>
    <xf numFmtId="0" fontId="10" fillId="6" borderId="2" xfId="0" applyFont="1" applyFill="1" applyBorder="1" applyAlignment="1">
      <alignment vertical="center" wrapText="1"/>
    </xf>
    <xf numFmtId="0" fontId="10" fillId="7" borderId="12" xfId="0" applyFont="1" applyFill="1" applyBorder="1" applyAlignment="1">
      <alignment horizontal="center" vertical="center"/>
    </xf>
    <xf numFmtId="0" fontId="10" fillId="7" borderId="2" xfId="0" applyFont="1" applyFill="1" applyBorder="1" applyAlignment="1">
      <alignment vertical="center"/>
    </xf>
    <xf numFmtId="0" fontId="11" fillId="0" borderId="26" xfId="0" applyFont="1" applyBorder="1" applyAlignment="1">
      <alignment horizontal="center" vertical="center"/>
    </xf>
    <xf numFmtId="0" fontId="11" fillId="0" borderId="30" xfId="0" applyFont="1" applyBorder="1" applyAlignment="1">
      <alignment horizontal="center" vertical="center"/>
    </xf>
    <xf numFmtId="0" fontId="9" fillId="11" borderId="29" xfId="0" applyFont="1" applyFill="1" applyBorder="1" applyAlignment="1">
      <alignment horizontal="center" vertical="center"/>
    </xf>
    <xf numFmtId="0" fontId="18" fillId="11" borderId="30" xfId="0" applyFont="1" applyFill="1" applyBorder="1" applyAlignment="1">
      <alignment horizontal="center" vertical="center"/>
    </xf>
    <xf numFmtId="0" fontId="18" fillId="4" borderId="30" xfId="0" applyFont="1" applyFill="1" applyBorder="1" applyAlignment="1">
      <alignment horizontal="center" vertical="center"/>
    </xf>
    <xf numFmtId="0" fontId="9" fillId="2" borderId="29" xfId="0" applyFont="1" applyFill="1" applyBorder="1" applyAlignment="1">
      <alignment horizontal="center" vertical="center"/>
    </xf>
    <xf numFmtId="49" fontId="9" fillId="2" borderId="30" xfId="0" applyNumberFormat="1" applyFont="1" applyFill="1" applyBorder="1" applyAlignment="1">
      <alignment horizontal="center" vertical="center"/>
    </xf>
    <xf numFmtId="43" fontId="9" fillId="2" borderId="30" xfId="0" applyNumberFormat="1" applyFont="1" applyFill="1" applyBorder="1" applyAlignment="1">
      <alignment horizontal="center" vertical="center"/>
    </xf>
    <xf numFmtId="0" fontId="11" fillId="10" borderId="46" xfId="0" applyFont="1" applyFill="1" applyBorder="1" applyAlignment="1">
      <alignment horizontal="center" vertical="center"/>
    </xf>
    <xf numFmtId="0" fontId="9" fillId="10" borderId="47" xfId="0" applyFont="1" applyFill="1" applyBorder="1" applyAlignment="1">
      <alignment horizontal="center" vertical="center"/>
    </xf>
    <xf numFmtId="0" fontId="10" fillId="4" borderId="5" xfId="0" applyFont="1" applyFill="1" applyBorder="1" applyAlignment="1">
      <alignment horizontal="center" vertical="center"/>
    </xf>
    <xf numFmtId="0" fontId="10" fillId="6" borderId="13" xfId="0" applyFont="1" applyFill="1" applyBorder="1" applyAlignment="1">
      <alignment horizontal="center" vertical="center"/>
    </xf>
    <xf numFmtId="0" fontId="10" fillId="7" borderId="13" xfId="0" applyFont="1" applyFill="1" applyBorder="1" applyAlignment="1">
      <alignment horizontal="center" vertical="center"/>
    </xf>
    <xf numFmtId="0" fontId="26" fillId="0" borderId="30" xfId="0" applyFont="1" applyBorder="1" applyAlignment="1">
      <alignment horizontal="left" vertical="center" wrapText="1"/>
    </xf>
    <xf numFmtId="0" fontId="0" fillId="0" borderId="30" xfId="0" applyBorder="1" applyAlignment="1">
      <alignment horizontal="left" vertical="center" wrapText="1"/>
    </xf>
    <xf numFmtId="0" fontId="0" fillId="4" borderId="29" xfId="0" applyFill="1" applyBorder="1" applyAlignment="1">
      <alignment horizontal="center" vertical="center"/>
    </xf>
    <xf numFmtId="0" fontId="21" fillId="4" borderId="30" xfId="0" applyFont="1" applyFill="1" applyBorder="1" applyAlignment="1">
      <alignment horizontal="center" vertical="center"/>
    </xf>
    <xf numFmtId="0" fontId="0" fillId="4" borderId="30" xfId="0" applyFill="1" applyBorder="1" applyAlignment="1">
      <alignment horizontal="center" vertical="center"/>
    </xf>
    <xf numFmtId="43" fontId="0" fillId="4" borderId="29" xfId="1" applyFont="1" applyFill="1" applyBorder="1" applyAlignment="1">
      <alignment horizontal="center" vertical="center"/>
    </xf>
    <xf numFmtId="43" fontId="0" fillId="4" borderId="30" xfId="1" applyFont="1" applyFill="1" applyBorder="1" applyAlignment="1">
      <alignment horizontal="center" vertical="center"/>
    </xf>
    <xf numFmtId="43" fontId="0" fillId="4" borderId="31" xfId="1" applyFont="1" applyFill="1" applyBorder="1" applyAlignment="1">
      <alignment horizontal="center" vertical="center"/>
    </xf>
    <xf numFmtId="43" fontId="0" fillId="4" borderId="56" xfId="1" applyFont="1" applyFill="1" applyBorder="1" applyAlignment="1">
      <alignment horizontal="center" vertical="center"/>
    </xf>
    <xf numFmtId="9" fontId="0" fillId="4" borderId="30" xfId="2" applyFont="1" applyFill="1" applyBorder="1" applyAlignment="1">
      <alignment horizontal="center" vertical="center"/>
    </xf>
    <xf numFmtId="43" fontId="0" fillId="4" borderId="28" xfId="1" applyFont="1" applyFill="1" applyBorder="1" applyAlignment="1">
      <alignment horizontal="center" vertical="center"/>
    </xf>
    <xf numFmtId="164" fontId="0" fillId="4" borderId="32" xfId="1" applyNumberFormat="1" applyFont="1" applyFill="1" applyBorder="1" applyAlignment="1">
      <alignment horizontal="center" vertical="center"/>
    </xf>
    <xf numFmtId="2" fontId="0" fillId="4" borderId="29" xfId="1" applyNumberFormat="1" applyFont="1" applyFill="1" applyBorder="1" applyAlignment="1">
      <alignment horizontal="center" vertical="center"/>
    </xf>
    <xf numFmtId="164" fontId="0" fillId="0" borderId="30" xfId="0" applyNumberFormat="1" applyBorder="1" applyAlignment="1">
      <alignment horizontal="center" vertical="center" wrapText="1"/>
    </xf>
    <xf numFmtId="2" fontId="27" fillId="0" borderId="30" xfId="0" applyNumberFormat="1" applyFont="1" applyBorder="1" applyAlignment="1">
      <alignment horizontal="center" vertical="center"/>
    </xf>
    <xf numFmtId="164" fontId="0" fillId="0" borderId="30" xfId="0" applyNumberFormat="1" applyBorder="1" applyAlignment="1">
      <alignment horizontal="center" vertical="center"/>
    </xf>
    <xf numFmtId="4" fontId="0" fillId="0" borderId="30" xfId="0" applyNumberFormat="1" applyBorder="1" applyAlignment="1">
      <alignment horizontal="center" vertical="center"/>
    </xf>
    <xf numFmtId="164" fontId="0" fillId="0" borderId="31" xfId="0" applyNumberFormat="1" applyBorder="1" applyAlignment="1">
      <alignment horizontal="center" vertical="center"/>
    </xf>
    <xf numFmtId="4" fontId="0" fillId="4" borderId="29" xfId="1" applyNumberFormat="1" applyFont="1" applyFill="1" applyBorder="1" applyAlignment="1">
      <alignment horizontal="center" vertical="center"/>
    </xf>
    <xf numFmtId="4" fontId="0" fillId="4" borderId="30" xfId="1" applyNumberFormat="1" applyFont="1" applyFill="1" applyBorder="1" applyAlignment="1">
      <alignment horizontal="center" vertical="center"/>
    </xf>
    <xf numFmtId="4" fontId="0" fillId="4" borderId="31" xfId="0" applyNumberFormat="1" applyFill="1" applyBorder="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14" fillId="2" borderId="30" xfId="0" applyFont="1" applyFill="1" applyBorder="1" applyAlignment="1">
      <alignment horizontal="left" vertical="center" wrapText="1"/>
    </xf>
    <xf numFmtId="0" fontId="28" fillId="0" borderId="30" xfId="0" applyFont="1" applyBorder="1" applyAlignment="1">
      <alignment horizontal="left" vertical="center" wrapText="1"/>
    </xf>
    <xf numFmtId="0" fontId="21" fillId="0" borderId="30" xfId="0" applyFont="1" applyBorder="1" applyAlignment="1">
      <alignment horizontal="left" vertical="center" wrapText="1"/>
    </xf>
    <xf numFmtId="167" fontId="9" fillId="0" borderId="30" xfId="0" applyNumberFormat="1" applyFont="1" applyBorder="1" applyAlignment="1">
      <alignment horizontal="center" vertical="center"/>
    </xf>
    <xf numFmtId="168" fontId="10" fillId="4" borderId="4" xfId="1" applyNumberFormat="1" applyFont="1" applyFill="1" applyBorder="1" applyAlignment="1">
      <alignment horizontal="center" vertical="center"/>
    </xf>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43" fontId="11" fillId="3" borderId="30" xfId="1" applyFont="1" applyFill="1" applyBorder="1" applyAlignment="1">
      <alignment horizontal="center" vertical="center"/>
    </xf>
    <xf numFmtId="0" fontId="2" fillId="0" borderId="0" xfId="6"/>
    <xf numFmtId="49" fontId="2" fillId="0" borderId="0" xfId="6" applyNumberFormat="1"/>
    <xf numFmtId="0" fontId="31" fillId="0" borderId="63" xfId="7" applyFont="1" applyBorder="1" applyAlignment="1" applyProtection="1">
      <alignment vertical="center"/>
      <protection locked="0"/>
    </xf>
    <xf numFmtId="0" fontId="32" fillId="0" borderId="0" xfId="7" applyFont="1" applyAlignment="1" applyProtection="1">
      <alignment vertical="center"/>
      <protection locked="0"/>
    </xf>
    <xf numFmtId="0" fontId="33" fillId="0" borderId="0" xfId="6" applyFont="1"/>
    <xf numFmtId="49" fontId="34" fillId="0" borderId="66" xfId="6" applyNumberFormat="1" applyFont="1" applyBorder="1" applyAlignment="1">
      <alignment vertical="center"/>
    </xf>
    <xf numFmtId="169" fontId="35" fillId="0" borderId="0" xfId="6" applyNumberFormat="1" applyFont="1" applyAlignment="1">
      <alignment horizontal="left" vertical="center"/>
    </xf>
    <xf numFmtId="4" fontId="34" fillId="0" borderId="0" xfId="6" applyNumberFormat="1" applyFont="1" applyAlignment="1">
      <alignment vertical="center"/>
    </xf>
    <xf numFmtId="169" fontId="35" fillId="0" borderId="67" xfId="6" applyNumberFormat="1" applyFont="1" applyBorder="1" applyAlignment="1">
      <alignment horizontal="left" vertical="center"/>
    </xf>
    <xf numFmtId="43" fontId="26" fillId="0" borderId="0" xfId="8" applyFont="1" applyBorder="1" applyAlignment="1">
      <alignment horizontal="center" vertical="center"/>
    </xf>
    <xf numFmtId="43" fontId="26" fillId="0" borderId="0" xfId="8" applyFont="1" applyAlignment="1">
      <alignment horizontal="center" vertical="center"/>
    </xf>
    <xf numFmtId="0" fontId="33" fillId="0" borderId="0" xfId="6" applyFont="1" applyAlignment="1">
      <alignment horizontal="center"/>
    </xf>
    <xf numFmtId="3" fontId="28" fillId="0" borderId="67" xfId="6" quotePrefix="1" applyNumberFormat="1" applyFont="1" applyBorder="1" applyAlignment="1">
      <alignment horizontal="left" vertical="center"/>
    </xf>
    <xf numFmtId="170" fontId="35" fillId="0" borderId="0" xfId="6" applyNumberFormat="1" applyFont="1" applyAlignment="1">
      <alignment horizontal="left" vertical="center"/>
    </xf>
    <xf numFmtId="0" fontId="28" fillId="0" borderId="67" xfId="6" quotePrefix="1" applyFont="1" applyBorder="1" applyAlignment="1">
      <alignment horizontal="left" vertical="center"/>
    </xf>
    <xf numFmtId="4" fontId="28" fillId="0" borderId="67" xfId="6" applyNumberFormat="1" applyFont="1" applyBorder="1" applyAlignment="1">
      <alignment horizontal="left" vertical="center"/>
    </xf>
    <xf numFmtId="0" fontId="28" fillId="0" borderId="0" xfId="6" quotePrefix="1" applyFont="1" applyAlignment="1">
      <alignment horizontal="left" vertical="center"/>
    </xf>
    <xf numFmtId="43" fontId="33" fillId="0" borderId="0" xfId="8" applyFont="1" applyBorder="1"/>
    <xf numFmtId="43" fontId="33" fillId="0" borderId="67" xfId="8" applyFont="1" applyBorder="1"/>
    <xf numFmtId="0" fontId="36" fillId="5" borderId="66" xfId="6" applyFont="1" applyFill="1" applyBorder="1" applyAlignment="1">
      <alignment vertical="center"/>
    </xf>
    <xf numFmtId="0" fontId="36" fillId="5" borderId="0" xfId="6" applyFont="1" applyFill="1" applyAlignment="1">
      <alignment vertical="center"/>
    </xf>
    <xf numFmtId="0" fontId="36" fillId="5" borderId="67" xfId="6" applyFont="1" applyFill="1" applyBorder="1" applyAlignment="1">
      <alignment vertical="center"/>
    </xf>
    <xf numFmtId="0" fontId="36" fillId="12" borderId="0" xfId="6" applyFont="1" applyFill="1" applyAlignment="1">
      <alignment vertical="center"/>
    </xf>
    <xf numFmtId="43" fontId="0" fillId="0" borderId="0" xfId="8" applyFont="1" applyAlignment="1">
      <alignment horizontal="center" vertical="center"/>
    </xf>
    <xf numFmtId="0" fontId="2" fillId="0" borderId="0" xfId="6" applyAlignment="1">
      <alignment horizontal="center"/>
    </xf>
    <xf numFmtId="0" fontId="37" fillId="0" borderId="66" xfId="6" applyFont="1" applyBorder="1" applyAlignment="1">
      <alignment horizontal="left" vertical="center"/>
    </xf>
    <xf numFmtId="0" fontId="37" fillId="0" borderId="0" xfId="6" applyFont="1" applyAlignment="1">
      <alignment horizontal="left" vertical="center"/>
    </xf>
    <xf numFmtId="0" fontId="37" fillId="0" borderId="67" xfId="6" applyFont="1" applyBorder="1" applyAlignment="1">
      <alignment horizontal="left" vertical="center"/>
    </xf>
    <xf numFmtId="0" fontId="2" fillId="0" borderId="66" xfId="6" applyBorder="1"/>
    <xf numFmtId="0" fontId="36" fillId="13" borderId="68" xfId="6" applyFont="1" applyFill="1" applyBorder="1" applyAlignment="1">
      <alignment horizontal="center" vertical="center"/>
    </xf>
    <xf numFmtId="0" fontId="36" fillId="13" borderId="16" xfId="6" applyFont="1" applyFill="1" applyBorder="1" applyAlignment="1">
      <alignment horizontal="center" vertical="center"/>
    </xf>
    <xf numFmtId="171" fontId="36" fillId="13" borderId="69" xfId="6" applyNumberFormat="1" applyFont="1" applyFill="1" applyBorder="1" applyAlignment="1">
      <alignment horizontal="center" vertical="center"/>
    </xf>
    <xf numFmtId="171" fontId="36" fillId="13" borderId="0" xfId="6" applyNumberFormat="1" applyFont="1" applyFill="1" applyAlignment="1">
      <alignment vertical="center"/>
    </xf>
    <xf numFmtId="0" fontId="36" fillId="13" borderId="0" xfId="6" applyFont="1" applyFill="1" applyAlignment="1">
      <alignment vertical="center"/>
    </xf>
    <xf numFmtId="0" fontId="33" fillId="0" borderId="42" xfId="6" applyFont="1" applyBorder="1" applyAlignment="1">
      <alignment horizontal="center" vertical="center"/>
    </xf>
    <xf numFmtId="0" fontId="33" fillId="0" borderId="70" xfId="0" applyFont="1" applyBorder="1" applyAlignment="1">
      <alignment vertical="center"/>
    </xf>
    <xf numFmtId="171" fontId="26" fillId="0" borderId="70" xfId="0" applyNumberFormat="1" applyFont="1" applyBorder="1" applyAlignment="1">
      <alignment vertical="center"/>
    </xf>
    <xf numFmtId="3" fontId="26" fillId="0" borderId="67" xfId="6" applyNumberFormat="1" applyFont="1" applyBorder="1" applyAlignment="1">
      <alignment vertical="center"/>
    </xf>
    <xf numFmtId="171" fontId="33" fillId="0" borderId="0" xfId="6" applyNumberFormat="1" applyFont="1"/>
    <xf numFmtId="0" fontId="38" fillId="0" borderId="0" xfId="6" applyFont="1"/>
    <xf numFmtId="0" fontId="33" fillId="0" borderId="36" xfId="6" applyFont="1" applyBorder="1" applyAlignment="1">
      <alignment horizontal="center" vertical="center"/>
    </xf>
    <xf numFmtId="0" fontId="39" fillId="0" borderId="71" xfId="6" applyFont="1" applyBorder="1" applyAlignment="1">
      <alignment vertical="center"/>
    </xf>
    <xf numFmtId="3" fontId="40" fillId="0" borderId="71" xfId="6" applyNumberFormat="1" applyFont="1" applyBorder="1" applyAlignment="1">
      <alignment horizontal="right" vertical="center"/>
    </xf>
    <xf numFmtId="3" fontId="26" fillId="0" borderId="72" xfId="6" applyNumberFormat="1" applyFont="1" applyBorder="1" applyAlignment="1">
      <alignment vertical="center"/>
    </xf>
    <xf numFmtId="0" fontId="36" fillId="13" borderId="73" xfId="6" applyFont="1" applyFill="1" applyBorder="1" applyAlignment="1">
      <alignment horizontal="center" vertical="center"/>
    </xf>
    <xf numFmtId="0" fontId="36" fillId="13" borderId="74" xfId="6" applyFont="1" applyFill="1" applyBorder="1" applyAlignment="1">
      <alignment horizontal="center" vertical="center"/>
    </xf>
    <xf numFmtId="171" fontId="36" fillId="13" borderId="75" xfId="6" applyNumberFormat="1" applyFont="1" applyFill="1" applyBorder="1" applyAlignment="1">
      <alignment horizontal="center" vertical="center"/>
    </xf>
    <xf numFmtId="0" fontId="33" fillId="0" borderId="0" xfId="6" applyFont="1" applyAlignment="1">
      <alignment vertical="center"/>
    </xf>
    <xf numFmtId="0" fontId="2" fillId="0" borderId="76" xfId="0" applyFont="1" applyBorder="1" applyAlignment="1">
      <alignment horizontal="center" vertical="center"/>
    </xf>
    <xf numFmtId="0" fontId="41" fillId="0" borderId="77" xfId="0" applyFont="1" applyBorder="1" applyAlignment="1">
      <alignment vertical="center"/>
    </xf>
    <xf numFmtId="43" fontId="41" fillId="0" borderId="78" xfId="8" applyFont="1" applyBorder="1" applyAlignment="1">
      <alignment vertical="center"/>
    </xf>
    <xf numFmtId="172" fontId="41" fillId="0" borderId="79" xfId="9" applyNumberFormat="1" applyFont="1" applyBorder="1" applyAlignment="1">
      <alignment horizontal="center" vertical="center"/>
    </xf>
    <xf numFmtId="0" fontId="2" fillId="0" borderId="42" xfId="0" applyFont="1" applyBorder="1" applyAlignment="1">
      <alignment horizontal="center" vertical="center"/>
    </xf>
    <xf numFmtId="0" fontId="33" fillId="0" borderId="0" xfId="0" applyFont="1" applyAlignment="1">
      <alignment vertical="center"/>
    </xf>
    <xf numFmtId="43" fontId="26" fillId="0" borderId="70" xfId="0" applyNumberFormat="1" applyFont="1" applyBorder="1" applyAlignment="1">
      <alignment vertical="center"/>
    </xf>
    <xf numFmtId="172" fontId="26" fillId="0" borderId="67" xfId="9" applyNumberFormat="1" applyFont="1" applyBorder="1" applyAlignment="1">
      <alignment horizontal="center" vertical="center"/>
    </xf>
    <xf numFmtId="0" fontId="2" fillId="0" borderId="36" xfId="0" applyFont="1" applyBorder="1" applyAlignment="1">
      <alignment horizontal="center" vertical="center"/>
    </xf>
    <xf numFmtId="0" fontId="41" fillId="0" borderId="1" xfId="0" applyFont="1" applyBorder="1" applyAlignment="1">
      <alignment vertical="center"/>
    </xf>
    <xf numFmtId="43" fontId="41" fillId="0" borderId="71" xfId="0" applyNumberFormat="1" applyFont="1" applyBorder="1" applyAlignment="1">
      <alignment vertical="center"/>
    </xf>
    <xf numFmtId="172" fontId="26" fillId="0" borderId="72" xfId="9" applyNumberFormat="1" applyFont="1" applyBorder="1" applyAlignment="1">
      <alignment horizontal="center" vertical="center"/>
    </xf>
    <xf numFmtId="0" fontId="42" fillId="0" borderId="1" xfId="0" applyFont="1" applyBorder="1" applyAlignment="1">
      <alignment vertical="center"/>
    </xf>
    <xf numFmtId="43" fontId="42" fillId="0" borderId="71" xfId="0" applyNumberFormat="1" applyFont="1" applyBorder="1" applyAlignment="1">
      <alignment vertical="center"/>
    </xf>
    <xf numFmtId="172" fontId="42" fillId="0" borderId="72" xfId="9" applyNumberFormat="1" applyFont="1" applyBorder="1" applyAlignment="1">
      <alignment horizontal="center" vertical="center"/>
    </xf>
    <xf numFmtId="10" fontId="26" fillId="0" borderId="67" xfId="9" applyNumberFormat="1" applyFont="1" applyBorder="1" applyAlignment="1">
      <alignment horizontal="center" vertical="center"/>
    </xf>
    <xf numFmtId="0" fontId="2" fillId="0" borderId="80" xfId="0" applyFont="1" applyBorder="1" applyAlignment="1">
      <alignment horizontal="center" vertical="center"/>
    </xf>
    <xf numFmtId="0" fontId="33" fillId="0" borderId="81" xfId="0" applyFont="1" applyBorder="1" applyAlignment="1">
      <alignment vertical="center"/>
    </xf>
    <xf numFmtId="43" fontId="26" fillId="0" borderId="82" xfId="0" applyNumberFormat="1" applyFont="1" applyBorder="1" applyAlignment="1">
      <alignment vertical="center"/>
    </xf>
    <xf numFmtId="172" fontId="26" fillId="0" borderId="83" xfId="9" applyNumberFormat="1" applyFont="1" applyBorder="1" applyAlignment="1">
      <alignment horizontal="center" vertical="center"/>
    </xf>
    <xf numFmtId="0" fontId="38" fillId="0" borderId="0" xfId="6" applyFont="1" applyAlignment="1">
      <alignment horizontal="center"/>
    </xf>
    <xf numFmtId="0" fontId="42" fillId="0" borderId="81" xfId="0" applyFont="1" applyBorder="1" applyAlignment="1">
      <alignment horizontal="left" vertical="center"/>
    </xf>
    <xf numFmtId="43" fontId="42" fillId="0" borderId="82" xfId="0" applyNumberFormat="1" applyFont="1" applyBorder="1" applyAlignment="1">
      <alignment vertical="center"/>
    </xf>
    <xf numFmtId="172" fontId="42" fillId="0" borderId="83" xfId="9" applyNumberFormat="1" applyFont="1" applyBorder="1" applyAlignment="1">
      <alignment horizontal="center" vertical="center"/>
    </xf>
    <xf numFmtId="172" fontId="26" fillId="0" borderId="67" xfId="2" applyNumberFormat="1" applyFont="1" applyBorder="1" applyAlignment="1">
      <alignment horizontal="center" vertical="center"/>
    </xf>
    <xf numFmtId="43" fontId="10" fillId="5" borderId="3" xfId="1" applyFont="1" applyFill="1" applyBorder="1" applyAlignment="1">
      <alignment horizontal="center" vertical="center"/>
    </xf>
    <xf numFmtId="43" fontId="10" fillId="5" borderId="12" xfId="1" applyFont="1" applyFill="1" applyBorder="1" applyAlignment="1">
      <alignment horizontal="center" vertical="center"/>
    </xf>
    <xf numFmtId="43" fontId="10" fillId="5" borderId="20" xfId="1" applyFont="1" applyFill="1" applyBorder="1" applyAlignment="1">
      <alignment horizontal="center" vertical="center"/>
    </xf>
    <xf numFmtId="43" fontId="10" fillId="5" borderId="2" xfId="1" applyFont="1" applyFill="1" applyBorder="1" applyAlignment="1">
      <alignment horizontal="center" vertical="center" wrapText="1"/>
    </xf>
    <xf numFmtId="43" fontId="10" fillId="5" borderId="21" xfId="1" applyFont="1" applyFill="1" applyBorder="1" applyAlignment="1">
      <alignment horizontal="center" vertical="center" wrapText="1"/>
    </xf>
    <xf numFmtId="43" fontId="10" fillId="5" borderId="13" xfId="1" applyFont="1" applyFill="1" applyBorder="1" applyAlignment="1">
      <alignment horizontal="center" vertical="center" wrapText="1"/>
    </xf>
    <xf numFmtId="43" fontId="10" fillId="5" borderId="16" xfId="1" applyFont="1" applyFill="1" applyBorder="1" applyAlignment="1">
      <alignment horizontal="center" vertical="center" wrapText="1"/>
    </xf>
    <xf numFmtId="43" fontId="10" fillId="5" borderId="6" xfId="1" applyFont="1" applyFill="1" applyBorder="1" applyAlignment="1">
      <alignment horizontal="center" vertical="center"/>
    </xf>
    <xf numFmtId="43" fontId="10" fillId="5" borderId="7" xfId="1" applyFont="1" applyFill="1" applyBorder="1" applyAlignment="1">
      <alignment horizontal="center" vertical="center"/>
    </xf>
    <xf numFmtId="43" fontId="10" fillId="5" borderId="15" xfId="1" applyFont="1" applyFill="1" applyBorder="1" applyAlignment="1">
      <alignment horizontal="center" vertical="center" wrapText="1"/>
    </xf>
    <xf numFmtId="43" fontId="10" fillId="5" borderId="17" xfId="1" applyFont="1" applyFill="1" applyBorder="1" applyAlignment="1">
      <alignment horizontal="center" vertical="center" wrapText="1"/>
    </xf>
    <xf numFmtId="2" fontId="10" fillId="5" borderId="2" xfId="0" applyNumberFormat="1" applyFont="1" applyFill="1" applyBorder="1" applyAlignment="1">
      <alignment horizontal="center" vertical="center"/>
    </xf>
    <xf numFmtId="2" fontId="10" fillId="5" borderId="21" xfId="0" applyNumberFormat="1" applyFont="1" applyFill="1" applyBorder="1" applyAlignment="1">
      <alignment horizontal="center" vertical="center"/>
    </xf>
    <xf numFmtId="2" fontId="10" fillId="5" borderId="2" xfId="0" applyNumberFormat="1" applyFont="1" applyFill="1" applyBorder="1" applyAlignment="1">
      <alignment horizontal="center" vertical="center" wrapText="1"/>
    </xf>
    <xf numFmtId="2" fontId="10" fillId="5" borderId="21" xfId="0" applyNumberFormat="1" applyFont="1" applyFill="1" applyBorder="1" applyAlignment="1">
      <alignment horizontal="center" vertical="center" wrapText="1"/>
    </xf>
    <xf numFmtId="0" fontId="10" fillId="0" borderId="0" xfId="0" applyFont="1" applyAlignment="1">
      <alignment horizontal="center" vertical="center"/>
    </xf>
    <xf numFmtId="43" fontId="12" fillId="0" borderId="0" xfId="1" applyFont="1" applyAlignment="1">
      <alignment horizontal="center" vertical="center" wrapText="1"/>
    </xf>
    <xf numFmtId="2" fontId="10" fillId="0" borderId="0" xfId="0" applyNumberFormat="1" applyFont="1" applyAlignment="1">
      <alignment horizontal="left" vertical="center"/>
    </xf>
    <xf numFmtId="43" fontId="10" fillId="5" borderId="14" xfId="1" applyFont="1" applyFill="1" applyBorder="1" applyAlignment="1">
      <alignment horizontal="center" vertical="center"/>
    </xf>
    <xf numFmtId="43" fontId="10" fillId="5" borderId="22" xfId="1" applyFont="1" applyFill="1" applyBorder="1" applyAlignment="1">
      <alignment horizontal="center" vertical="center"/>
    </xf>
    <xf numFmtId="4" fontId="10" fillId="5" borderId="10" xfId="1" applyNumberFormat="1" applyFont="1" applyFill="1" applyBorder="1" applyAlignment="1">
      <alignment horizontal="center" vertical="center"/>
    </xf>
    <xf numFmtId="4" fontId="10" fillId="5" borderId="9" xfId="1" applyNumberFormat="1" applyFont="1" applyFill="1" applyBorder="1" applyAlignment="1">
      <alignment horizontal="center" vertical="center"/>
    </xf>
    <xf numFmtId="4" fontId="10" fillId="5" borderId="11" xfId="1" applyNumberFormat="1" applyFont="1" applyFill="1" applyBorder="1" applyAlignment="1">
      <alignment horizontal="center" vertical="center"/>
    </xf>
    <xf numFmtId="4" fontId="10" fillId="5" borderId="18" xfId="1" applyNumberFormat="1" applyFont="1" applyFill="1" applyBorder="1" applyAlignment="1">
      <alignment horizontal="center" vertical="center"/>
    </xf>
    <xf numFmtId="4" fontId="10" fillId="5" borderId="1" xfId="1" applyNumberFormat="1" applyFont="1" applyFill="1" applyBorder="1" applyAlignment="1">
      <alignment horizontal="center" vertical="center"/>
    </xf>
    <xf numFmtId="4" fontId="10" fillId="5" borderId="19" xfId="1" applyNumberFormat="1"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21" xfId="0" applyFont="1" applyFill="1" applyBorder="1" applyAlignment="1">
      <alignment horizontal="center" vertical="center" wrapText="1"/>
    </xf>
    <xf numFmtId="0" fontId="10" fillId="5" borderId="5"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62" xfId="0" applyFont="1" applyFill="1" applyBorder="1" applyAlignment="1">
      <alignment horizontal="center" vertical="center"/>
    </xf>
    <xf numFmtId="2" fontId="10" fillId="5" borderId="5" xfId="0" applyNumberFormat="1" applyFont="1" applyFill="1" applyBorder="1" applyAlignment="1">
      <alignment horizontal="center" vertical="center"/>
    </xf>
    <xf numFmtId="2" fontId="10" fillId="5" borderId="7" xfId="0" applyNumberFormat="1" applyFont="1" applyFill="1" applyBorder="1" applyAlignment="1">
      <alignment horizontal="center" vertical="center"/>
    </xf>
    <xf numFmtId="2" fontId="10" fillId="5" borderId="8" xfId="0" applyNumberFormat="1" applyFont="1" applyFill="1" applyBorder="1" applyAlignment="1">
      <alignment horizontal="center" vertical="center"/>
    </xf>
    <xf numFmtId="165" fontId="10" fillId="5" borderId="7" xfId="1" applyNumberFormat="1" applyFont="1" applyFill="1" applyBorder="1" applyAlignment="1">
      <alignment horizontal="center" vertical="center"/>
    </xf>
    <xf numFmtId="43" fontId="10" fillId="5" borderId="8" xfId="1" applyFont="1" applyFill="1" applyBorder="1" applyAlignment="1">
      <alignment horizontal="center" vertical="center"/>
    </xf>
    <xf numFmtId="0" fontId="10" fillId="5" borderId="3"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10" fillId="5" borderId="20" xfId="0" applyFont="1" applyFill="1" applyBorder="1" applyAlignment="1">
      <alignment horizontal="center" vertical="center" wrapText="1"/>
    </xf>
    <xf numFmtId="43" fontId="10" fillId="5" borderId="14" xfId="1" applyFont="1" applyFill="1" applyBorder="1" applyAlignment="1">
      <alignment horizontal="center" vertical="center" wrapText="1"/>
    </xf>
    <xf numFmtId="4" fontId="10" fillId="5" borderId="2" xfId="1" applyNumberFormat="1" applyFont="1" applyFill="1" applyBorder="1" applyAlignment="1">
      <alignment horizontal="center" vertical="center" wrapText="1"/>
    </xf>
    <xf numFmtId="4" fontId="10" fillId="5" borderId="21" xfId="1" applyNumberFormat="1" applyFont="1" applyFill="1" applyBorder="1" applyAlignment="1">
      <alignment horizontal="center" vertical="center" wrapText="1"/>
    </xf>
    <xf numFmtId="43" fontId="0" fillId="0" borderId="0" xfId="1" applyFont="1" applyAlignment="1">
      <alignment horizontal="center" vertical="center"/>
    </xf>
    <xf numFmtId="0" fontId="31" fillId="0" borderId="64" xfId="7" applyFont="1" applyBorder="1" applyAlignment="1" applyProtection="1">
      <alignment horizontal="center" vertical="center"/>
      <protection locked="0"/>
    </xf>
    <xf numFmtId="0" fontId="31" fillId="0" borderId="65" xfId="7" applyFont="1" applyBorder="1" applyAlignment="1" applyProtection="1">
      <alignment horizontal="center" vertical="center"/>
      <protection locked="0"/>
    </xf>
  </cellXfs>
  <cellStyles count="10">
    <cellStyle name="Comma" xfId="1" builtinId="3"/>
    <cellStyle name="Comma 10 2" xfId="8" xr:uid="{84684DB6-35A4-436E-B7F1-2C755F5F03D6}"/>
    <cellStyle name="Normal" xfId="0" builtinId="0"/>
    <cellStyle name="Normal 2 2" xfId="4" xr:uid="{00000000-0005-0000-0000-000002000000}"/>
    <cellStyle name="Normal 3" xfId="5" xr:uid="{B506B7D3-AF0F-4419-BBCB-E2FE052D1361}"/>
    <cellStyle name="Normal 3 3" xfId="7" xr:uid="{9FA93E71-6F5F-464C-A1EE-8451A6C20D5D}"/>
    <cellStyle name="Normal 6 2 2" xfId="6" xr:uid="{8CD23D14-8D2D-4DFB-A1A3-2405330D9170}"/>
    <cellStyle name="Normal_RC-BOQ 2" xfId="3" xr:uid="{00000000-0005-0000-0000-000003000000}"/>
    <cellStyle name="Percent" xfId="2" builtinId="5"/>
    <cellStyle name="Percent 10 3" xfId="9" xr:uid="{6C058422-0692-4D92-A1F1-CE6B0BA7E61D}"/>
  </cellStyles>
  <dxfs count="5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5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64228</xdr:colOff>
      <xdr:row>0</xdr:row>
      <xdr:rowOff>56862</xdr:rowOff>
    </xdr:from>
    <xdr:to>
      <xdr:col>2</xdr:col>
      <xdr:colOff>2930841</xdr:colOff>
      <xdr:row>3</xdr:row>
      <xdr:rowOff>56292</xdr:rowOff>
    </xdr:to>
    <xdr:pic>
      <xdr:nvPicPr>
        <xdr:cNvPr id="2" name="Picture 1" descr="cid:image002.jpg@01D1380F.E464A100">
          <a:extLst>
            <a:ext uri="{FF2B5EF4-FFF2-40B4-BE49-F238E27FC236}">
              <a16:creationId xmlns:a16="http://schemas.microsoft.com/office/drawing/2014/main" id="{807E9677-992D-41B3-9EBE-4205A223E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28" y="56862"/>
          <a:ext cx="3571463" cy="742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105832</xdr:colOff>
      <xdr:row>0</xdr:row>
      <xdr:rowOff>306918</xdr:rowOff>
    </xdr:from>
    <xdr:to>
      <xdr:col>2</xdr:col>
      <xdr:colOff>1661508</xdr:colOff>
      <xdr:row>0</xdr:row>
      <xdr:rowOff>910168</xdr:rowOff>
    </xdr:to>
    <xdr:pic>
      <xdr:nvPicPr>
        <xdr:cNvPr id="2" name="Picture 1">
          <a:extLst>
            <a:ext uri="{FF2B5EF4-FFF2-40B4-BE49-F238E27FC236}">
              <a16:creationId xmlns:a16="http://schemas.microsoft.com/office/drawing/2014/main" id="{A4F01786-A426-43E5-A1E3-07833D89A810}"/>
            </a:ext>
          </a:extLst>
        </xdr:cNvPr>
        <xdr:cNvPicPr>
          <a:picLocks noChangeAspect="1"/>
        </xdr:cNvPicPr>
      </xdr:nvPicPr>
      <xdr:blipFill>
        <a:blip xmlns:r="http://schemas.openxmlformats.org/officeDocument/2006/relationships" r:embed="rId1"/>
        <a:stretch>
          <a:fillRect/>
        </a:stretch>
      </xdr:blipFill>
      <xdr:spPr>
        <a:xfrm>
          <a:off x="105832" y="811743"/>
          <a:ext cx="3032051" cy="6032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565"/>
  <sheetViews>
    <sheetView tabSelected="1" view="pageBreakPreview" zoomScale="80" zoomScaleNormal="40" zoomScaleSheetLayoutView="80" workbookViewId="0">
      <pane xSplit="4" ySplit="14" topLeftCell="Q26" activePane="bottomRight" state="frozen"/>
      <selection pane="topRight" activeCell="S31" sqref="S31"/>
      <selection pane="bottomLeft" activeCell="S31" sqref="S31"/>
      <selection pane="bottomRight" activeCell="AA41" sqref="AA41"/>
    </sheetView>
  </sheetViews>
  <sheetFormatPr defaultColWidth="8.85546875" defaultRowHeight="12.75" x14ac:dyDescent="0.25"/>
  <cols>
    <col min="1" max="1" width="14.42578125" style="19" customWidth="1"/>
    <col min="2" max="2" width="8.28515625" style="19" customWidth="1"/>
    <col min="3" max="3" width="58" style="19" customWidth="1"/>
    <col min="4" max="4" width="8.85546875" style="19" bestFit="1" customWidth="1"/>
    <col min="5" max="5" width="12.7109375" style="96" customWidth="1"/>
    <col min="6" max="6" width="15.7109375" style="96" customWidth="1"/>
    <col min="7" max="7" width="16.7109375" style="96" customWidth="1"/>
    <col min="8" max="9" width="16" style="96" customWidth="1"/>
    <col min="10" max="14" width="12.7109375" style="96" customWidth="1"/>
    <col min="15" max="15" width="15.140625" style="96" bestFit="1" customWidth="1"/>
    <col min="16" max="16" width="16.7109375" style="96" customWidth="1"/>
    <col min="17" max="17" width="15.140625" style="96" bestFit="1" customWidth="1"/>
    <col min="18" max="20" width="16.7109375" style="96" customWidth="1"/>
    <col min="21" max="21" width="12.7109375" style="19" customWidth="1"/>
    <col min="22" max="22" width="19.7109375" style="19" customWidth="1"/>
    <col min="23" max="23" width="38.85546875" style="19" customWidth="1"/>
    <col min="24" max="25" width="12.7109375" style="19" customWidth="1"/>
    <col min="26" max="26" width="12.7109375" style="125" customWidth="1"/>
    <col min="27" max="29" width="12.7109375" style="19" customWidth="1"/>
    <col min="30" max="30" width="15.7109375" style="19" customWidth="1"/>
    <col min="31" max="35" width="20.7109375" style="151" hidden="1" customWidth="1"/>
    <col min="36" max="36" width="11.28515625" style="19" customWidth="1"/>
    <col min="37" max="37" width="8" style="169" bestFit="1" customWidth="1"/>
    <col min="38" max="38" width="6.28515625" style="19" customWidth="1"/>
    <col min="39" max="39" width="6.42578125" style="19" customWidth="1"/>
    <col min="40" max="40" width="6.28515625" style="19" customWidth="1"/>
    <col min="41" max="16384" width="8.85546875" style="19"/>
  </cols>
  <sheetData>
    <row r="1" spans="1:37" ht="19.899999999999999" hidden="1" customHeight="1" x14ac:dyDescent="0.25"/>
    <row r="2" spans="1:37" ht="19.899999999999999" hidden="1" customHeight="1" x14ac:dyDescent="0.25"/>
    <row r="3" spans="1:37" s="97" customFormat="1" ht="19.899999999999999" hidden="1" customHeight="1" x14ac:dyDescent="0.25">
      <c r="B3" s="404" t="s">
        <v>0</v>
      </c>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152"/>
      <c r="AF3" s="152"/>
      <c r="AG3" s="152"/>
      <c r="AH3" s="152"/>
      <c r="AI3" s="152"/>
      <c r="AK3" s="28"/>
    </row>
    <row r="4" spans="1:37" s="97" customFormat="1" ht="19.899999999999999" hidden="1" customHeight="1" x14ac:dyDescent="0.25">
      <c r="A4" s="21"/>
      <c r="B4" s="21"/>
      <c r="C4" s="21"/>
      <c r="D4" s="21"/>
      <c r="E4" s="22"/>
      <c r="F4" s="22"/>
      <c r="G4" s="22"/>
      <c r="H4" s="22"/>
      <c r="I4" s="22"/>
      <c r="J4" s="22"/>
      <c r="K4" s="22"/>
      <c r="L4" s="22"/>
      <c r="M4" s="22"/>
      <c r="N4" s="22"/>
      <c r="O4" s="22"/>
      <c r="P4" s="22"/>
      <c r="Q4" s="22"/>
      <c r="R4" s="22"/>
      <c r="S4" s="22"/>
      <c r="T4" s="22"/>
      <c r="U4" s="22"/>
      <c r="V4" s="140"/>
      <c r="W4" s="21"/>
      <c r="X4" s="21"/>
      <c r="Y4" s="21"/>
      <c r="Z4" s="126"/>
      <c r="AA4" s="21"/>
      <c r="AB4" s="21"/>
      <c r="AC4" s="21"/>
      <c r="AD4" s="21"/>
      <c r="AE4" s="153"/>
      <c r="AF4" s="153"/>
      <c r="AG4" s="153"/>
      <c r="AH4" s="153"/>
      <c r="AI4" s="153"/>
      <c r="AK4" s="28"/>
    </row>
    <row r="5" spans="1:37" s="97" customFormat="1" ht="30" hidden="1" customHeight="1" x14ac:dyDescent="0.25">
      <c r="B5" s="405" t="s">
        <v>88</v>
      </c>
      <c r="C5" s="405"/>
      <c r="D5" s="405"/>
      <c r="E5" s="405"/>
      <c r="F5" s="405"/>
      <c r="G5" s="405"/>
      <c r="H5" s="405"/>
      <c r="I5" s="405"/>
      <c r="J5" s="405"/>
      <c r="K5" s="405"/>
      <c r="L5" s="405"/>
      <c r="M5" s="405"/>
      <c r="N5" s="405"/>
      <c r="O5" s="405"/>
      <c r="P5" s="405"/>
      <c r="Q5" s="405"/>
      <c r="R5" s="405"/>
      <c r="S5" s="405"/>
      <c r="T5" s="405"/>
      <c r="U5" s="405"/>
      <c r="V5" s="405"/>
      <c r="W5" s="405"/>
      <c r="X5" s="405"/>
      <c r="Y5" s="405"/>
      <c r="Z5" s="405"/>
      <c r="AA5" s="405"/>
      <c r="AB5" s="405"/>
      <c r="AC5" s="405"/>
      <c r="AD5" s="405"/>
      <c r="AE5" s="154"/>
      <c r="AF5" s="154"/>
      <c r="AG5" s="154"/>
      <c r="AH5" s="154"/>
      <c r="AI5" s="154"/>
      <c r="AK5" s="28"/>
    </row>
    <row r="6" spans="1:37" s="97" customFormat="1" ht="19.899999999999999" hidden="1" customHeight="1" x14ac:dyDescent="0.25">
      <c r="A6" s="23"/>
      <c r="B6" s="23"/>
      <c r="C6" s="23"/>
      <c r="D6" s="23"/>
      <c r="E6" s="23"/>
      <c r="F6" s="23"/>
      <c r="G6" s="23"/>
      <c r="H6" s="24"/>
      <c r="I6" s="24"/>
      <c r="J6" s="23"/>
      <c r="K6" s="23"/>
      <c r="L6" s="23"/>
      <c r="M6" s="23"/>
      <c r="N6" s="23"/>
      <c r="O6" s="23"/>
      <c r="P6" s="23"/>
      <c r="Q6" s="23"/>
      <c r="R6" s="23"/>
      <c r="S6" s="121"/>
      <c r="T6" s="96"/>
      <c r="U6" s="19"/>
      <c r="V6" s="141" t="s">
        <v>1</v>
      </c>
      <c r="W6" s="98"/>
      <c r="X6" s="23"/>
      <c r="Y6" s="23"/>
      <c r="Z6" s="127"/>
      <c r="AA6" s="23"/>
      <c r="AB6" s="23"/>
      <c r="AC6" s="23"/>
      <c r="AD6" s="23"/>
      <c r="AE6" s="154"/>
      <c r="AF6" s="154"/>
      <c r="AG6" s="154"/>
      <c r="AH6" s="154"/>
      <c r="AI6" s="154"/>
      <c r="AK6" s="28"/>
    </row>
    <row r="7" spans="1:37" s="97" customFormat="1" ht="19.899999999999999" hidden="1" customHeight="1" x14ac:dyDescent="0.25">
      <c r="A7" s="25"/>
      <c r="B7" s="20"/>
      <c r="C7" s="25" t="s">
        <v>1723</v>
      </c>
      <c r="D7" s="25"/>
      <c r="E7" s="26"/>
      <c r="F7" s="24"/>
      <c r="G7" s="24"/>
      <c r="H7" s="24"/>
      <c r="I7" s="24"/>
      <c r="J7" s="26"/>
      <c r="K7" s="26"/>
      <c r="L7" s="26"/>
      <c r="M7" s="26"/>
      <c r="N7" s="26"/>
      <c r="O7" s="24"/>
      <c r="P7" s="24"/>
      <c r="Q7" s="24"/>
      <c r="R7" s="24"/>
      <c r="S7" s="96"/>
      <c r="T7" s="96"/>
      <c r="U7" s="19"/>
      <c r="V7" s="142"/>
      <c r="W7" s="27" t="s">
        <v>2</v>
      </c>
      <c r="X7" s="32"/>
      <c r="Y7" s="32"/>
      <c r="Z7" s="406" t="s">
        <v>95</v>
      </c>
      <c r="AA7" s="406"/>
      <c r="AB7" s="406"/>
      <c r="AC7" s="406"/>
      <c r="AD7" s="99"/>
      <c r="AE7" s="155"/>
      <c r="AF7" s="155"/>
      <c r="AG7" s="155"/>
      <c r="AH7" s="155"/>
      <c r="AI7" s="155"/>
      <c r="AK7" s="28"/>
    </row>
    <row r="8" spans="1:37" s="97" customFormat="1" ht="19.899999999999999" hidden="1" customHeight="1" x14ac:dyDescent="0.25">
      <c r="A8" s="24"/>
      <c r="B8" s="20"/>
      <c r="C8" s="25" t="s">
        <v>1724</v>
      </c>
      <c r="D8" s="28"/>
      <c r="E8" s="24"/>
      <c r="F8" s="24"/>
      <c r="G8" s="24"/>
      <c r="H8" s="24"/>
      <c r="I8" s="24"/>
      <c r="J8" s="24"/>
      <c r="K8" s="24"/>
      <c r="L8" s="24"/>
      <c r="M8" s="24"/>
      <c r="N8" s="24"/>
      <c r="O8" s="24"/>
      <c r="P8" s="24"/>
      <c r="Q8" s="24"/>
      <c r="R8" s="24"/>
      <c r="S8" s="96"/>
      <c r="T8" s="96"/>
      <c r="U8" s="19"/>
      <c r="V8" s="143"/>
      <c r="W8" s="27" t="s">
        <v>3</v>
      </c>
      <c r="X8" s="32"/>
      <c r="Y8" s="32"/>
      <c r="Z8" s="406" t="s">
        <v>79</v>
      </c>
      <c r="AA8" s="406"/>
      <c r="AB8" s="406"/>
      <c r="AC8" s="406"/>
      <c r="AD8" s="24"/>
      <c r="AE8" s="156"/>
      <c r="AF8" s="156"/>
      <c r="AG8" s="156"/>
      <c r="AH8" s="156"/>
      <c r="AI8" s="156"/>
      <c r="AK8" s="28"/>
    </row>
    <row r="9" spans="1:37" s="97" customFormat="1" ht="19.899999999999999" hidden="1" customHeight="1" x14ac:dyDescent="0.25">
      <c r="A9" s="25"/>
      <c r="B9" s="20"/>
      <c r="C9" s="29" t="s">
        <v>1725</v>
      </c>
      <c r="D9" s="25"/>
      <c r="E9" s="26"/>
      <c r="F9" s="24"/>
      <c r="G9" s="24"/>
      <c r="H9" s="24"/>
      <c r="I9" s="24"/>
      <c r="J9" s="26"/>
      <c r="K9" s="26"/>
      <c r="L9" s="26"/>
      <c r="M9" s="26"/>
      <c r="N9" s="26"/>
      <c r="O9" s="24"/>
      <c r="P9" s="24"/>
      <c r="Q9" s="24"/>
      <c r="R9" s="24"/>
      <c r="S9" s="96"/>
      <c r="T9" s="96"/>
      <c r="U9" s="19"/>
      <c r="V9" s="144"/>
      <c r="W9" s="27" t="s">
        <v>4</v>
      </c>
      <c r="X9" s="32"/>
      <c r="Y9" s="32"/>
      <c r="Z9" s="406" t="s">
        <v>78</v>
      </c>
      <c r="AA9" s="406"/>
      <c r="AB9" s="406"/>
      <c r="AC9" s="406"/>
      <c r="AD9" s="24"/>
      <c r="AE9" s="156"/>
      <c r="AF9" s="156"/>
      <c r="AG9" s="156"/>
      <c r="AH9" s="156"/>
      <c r="AI9" s="156"/>
      <c r="AK9" s="28"/>
    </row>
    <row r="10" spans="1:37" s="97" customFormat="1" ht="19.899999999999999" hidden="1" customHeight="1" thickBot="1" x14ac:dyDescent="0.3">
      <c r="A10" s="30"/>
      <c r="B10" s="28"/>
      <c r="C10" s="25"/>
      <c r="D10" s="28"/>
      <c r="E10" s="31"/>
      <c r="F10" s="31"/>
      <c r="G10" s="30"/>
      <c r="H10" s="30"/>
      <c r="I10" s="30"/>
      <c r="J10" s="30"/>
      <c r="K10" s="30"/>
      <c r="L10" s="30"/>
      <c r="M10" s="30"/>
      <c r="N10" s="30"/>
      <c r="O10" s="30"/>
      <c r="P10" s="30"/>
      <c r="Q10" s="30"/>
      <c r="R10" s="30"/>
      <c r="S10" s="30"/>
      <c r="T10" s="30"/>
      <c r="U10" s="30"/>
      <c r="V10" s="145"/>
      <c r="W10" s="32"/>
      <c r="X10" s="124"/>
      <c r="Y10" s="124"/>
      <c r="Z10" s="128"/>
      <c r="AA10" s="24"/>
      <c r="AB10" s="24"/>
      <c r="AC10" s="24"/>
      <c r="AD10" s="24"/>
      <c r="AE10" s="168">
        <v>9.9999999999999998E-20</v>
      </c>
      <c r="AF10" s="156"/>
      <c r="AG10" s="156"/>
      <c r="AH10" s="156"/>
      <c r="AI10" s="156"/>
      <c r="AK10" s="28"/>
    </row>
    <row r="11" spans="1:37" s="97" customFormat="1" ht="19.899999999999999" customHeight="1" thickTop="1" x14ac:dyDescent="0.25">
      <c r="A11" s="389" t="s">
        <v>8</v>
      </c>
      <c r="B11" s="415" t="s">
        <v>5</v>
      </c>
      <c r="C11" s="415" t="s">
        <v>6</v>
      </c>
      <c r="D11" s="418" t="s">
        <v>7</v>
      </c>
      <c r="E11" s="396" t="s">
        <v>108</v>
      </c>
      <c r="F11" s="397"/>
      <c r="G11" s="424"/>
      <c r="H11" s="397"/>
      <c r="I11" s="425"/>
      <c r="J11" s="396" t="s">
        <v>9</v>
      </c>
      <c r="K11" s="397"/>
      <c r="L11" s="397"/>
      <c r="M11" s="397"/>
      <c r="N11" s="397"/>
      <c r="O11" s="397"/>
      <c r="P11" s="397"/>
      <c r="Q11" s="397"/>
      <c r="R11" s="397"/>
      <c r="S11" s="397"/>
      <c r="T11" s="397"/>
      <c r="U11" s="223"/>
      <c r="V11" s="426" t="s">
        <v>10</v>
      </c>
      <c r="W11" s="421" t="s">
        <v>11</v>
      </c>
      <c r="X11" s="422"/>
      <c r="Y11" s="422"/>
      <c r="Z11" s="422"/>
      <c r="AA11" s="422"/>
      <c r="AB11" s="422"/>
      <c r="AC11" s="422"/>
      <c r="AD11" s="423"/>
      <c r="AE11" s="409" t="s">
        <v>12</v>
      </c>
      <c r="AF11" s="410"/>
      <c r="AG11" s="410"/>
      <c r="AH11" s="410"/>
      <c r="AI11" s="411"/>
      <c r="AK11" s="28"/>
    </row>
    <row r="12" spans="1:37" s="97" customFormat="1" ht="19.899999999999999" customHeight="1" x14ac:dyDescent="0.25">
      <c r="A12" s="390"/>
      <c r="B12" s="416"/>
      <c r="C12" s="416"/>
      <c r="D12" s="419"/>
      <c r="E12" s="390" t="s">
        <v>109</v>
      </c>
      <c r="F12" s="392" t="s">
        <v>80</v>
      </c>
      <c r="G12" s="392"/>
      <c r="H12" s="392" t="s">
        <v>81</v>
      </c>
      <c r="I12" s="429"/>
      <c r="J12" s="398" t="s">
        <v>13</v>
      </c>
      <c r="K12" s="395"/>
      <c r="L12" s="395"/>
      <c r="M12" s="395"/>
      <c r="N12" s="399"/>
      <c r="O12" s="392" t="s">
        <v>86</v>
      </c>
      <c r="P12" s="392"/>
      <c r="Q12" s="394" t="s">
        <v>87</v>
      </c>
      <c r="R12" s="395"/>
      <c r="S12" s="395"/>
      <c r="T12" s="395"/>
      <c r="U12" s="224"/>
      <c r="V12" s="427"/>
      <c r="W12" s="400" t="s">
        <v>14</v>
      </c>
      <c r="X12" s="402" t="s">
        <v>15</v>
      </c>
      <c r="Y12" s="402" t="s">
        <v>16</v>
      </c>
      <c r="Z12" s="430" t="s">
        <v>17</v>
      </c>
      <c r="AA12" s="392" t="s">
        <v>1776</v>
      </c>
      <c r="AB12" s="392" t="s">
        <v>18</v>
      </c>
      <c r="AC12" s="392" t="s">
        <v>19</v>
      </c>
      <c r="AD12" s="407" t="s">
        <v>20</v>
      </c>
      <c r="AE12" s="412"/>
      <c r="AF12" s="413"/>
      <c r="AG12" s="413"/>
      <c r="AH12" s="413"/>
      <c r="AI12" s="414"/>
      <c r="AK12" s="28"/>
    </row>
    <row r="13" spans="1:37" s="28" customFormat="1" ht="39" customHeight="1" thickBot="1" x14ac:dyDescent="0.3">
      <c r="A13" s="391"/>
      <c r="B13" s="417"/>
      <c r="C13" s="417"/>
      <c r="D13" s="420"/>
      <c r="E13" s="391"/>
      <c r="F13" s="33" t="s">
        <v>82</v>
      </c>
      <c r="G13" s="33" t="s">
        <v>83</v>
      </c>
      <c r="H13" s="33" t="s">
        <v>84</v>
      </c>
      <c r="I13" s="34" t="s">
        <v>70</v>
      </c>
      <c r="J13" s="35" t="s">
        <v>85</v>
      </c>
      <c r="K13" s="36" t="s">
        <v>21</v>
      </c>
      <c r="L13" s="33" t="s">
        <v>157</v>
      </c>
      <c r="M13" s="33" t="s">
        <v>158</v>
      </c>
      <c r="N13" s="33" t="s">
        <v>22</v>
      </c>
      <c r="O13" s="33" t="s">
        <v>23</v>
      </c>
      <c r="P13" s="33" t="s">
        <v>24</v>
      </c>
      <c r="Q13" s="33" t="s">
        <v>25</v>
      </c>
      <c r="R13" s="33" t="s">
        <v>26</v>
      </c>
      <c r="S13" s="33" t="s">
        <v>159</v>
      </c>
      <c r="T13" s="36" t="s">
        <v>27</v>
      </c>
      <c r="U13" s="225" t="s">
        <v>28</v>
      </c>
      <c r="V13" s="428"/>
      <c r="W13" s="401"/>
      <c r="X13" s="403"/>
      <c r="Y13" s="403"/>
      <c r="Z13" s="431"/>
      <c r="AA13" s="393"/>
      <c r="AB13" s="393"/>
      <c r="AC13" s="393"/>
      <c r="AD13" s="408"/>
      <c r="AE13" s="157" t="s">
        <v>29</v>
      </c>
      <c r="AF13" s="158" t="s">
        <v>30</v>
      </c>
      <c r="AG13" s="158" t="s">
        <v>31</v>
      </c>
      <c r="AH13" s="158" t="s">
        <v>32</v>
      </c>
      <c r="AI13" s="159" t="s">
        <v>33</v>
      </c>
    </row>
    <row r="14" spans="1:37" s="100" customFormat="1" ht="25.15" customHeight="1" thickTop="1" x14ac:dyDescent="0.25">
      <c r="A14" s="69"/>
      <c r="B14" s="71"/>
      <c r="C14" s="70"/>
      <c r="D14" s="282"/>
      <c r="E14" s="164"/>
      <c r="F14" s="312"/>
      <c r="G14" s="72"/>
      <c r="H14" s="72"/>
      <c r="I14" s="73"/>
      <c r="J14" s="164"/>
      <c r="K14" s="74"/>
      <c r="L14" s="72"/>
      <c r="M14" s="72"/>
      <c r="N14" s="72"/>
      <c r="O14" s="72"/>
      <c r="P14" s="72"/>
      <c r="Q14" s="72"/>
      <c r="R14" s="72"/>
      <c r="S14" s="72"/>
      <c r="T14" s="74"/>
      <c r="U14" s="226"/>
      <c r="V14" s="146"/>
      <c r="W14" s="75"/>
      <c r="X14" s="75"/>
      <c r="Y14" s="75"/>
      <c r="Z14" s="129"/>
      <c r="AA14" s="76"/>
      <c r="AB14" s="76"/>
      <c r="AC14" s="72"/>
      <c r="AD14" s="73"/>
      <c r="AE14" s="174"/>
      <c r="AF14" s="175"/>
      <c r="AG14" s="175"/>
      <c r="AH14" s="175"/>
      <c r="AI14" s="176"/>
      <c r="AK14" s="170"/>
    </row>
    <row r="15" spans="1:37" s="101" customFormat="1" ht="25.15" customHeight="1" x14ac:dyDescent="0.25">
      <c r="A15" s="268"/>
      <c r="B15" s="269"/>
      <c r="C15" s="77" t="s">
        <v>34</v>
      </c>
      <c r="D15" s="283"/>
      <c r="E15" s="117">
        <v>1</v>
      </c>
      <c r="F15" s="79"/>
      <c r="G15" s="79">
        <f>G16+G35</f>
        <v>233776076.76352543</v>
      </c>
      <c r="H15" s="79"/>
      <c r="I15" s="80">
        <f>I16+I35</f>
        <v>158202758.68814877</v>
      </c>
      <c r="J15" s="117"/>
      <c r="K15" s="118"/>
      <c r="L15" s="79"/>
      <c r="M15" s="79"/>
      <c r="N15" s="79"/>
      <c r="O15" s="79"/>
      <c r="P15" s="79">
        <f>P16+P35</f>
        <v>233776076.76352543</v>
      </c>
      <c r="Q15" s="79"/>
      <c r="R15" s="79">
        <f>R16+R35</f>
        <v>158202758.68814877</v>
      </c>
      <c r="S15" s="79">
        <f>S16+S35</f>
        <v>0</v>
      </c>
      <c r="T15" s="215">
        <f>T16+T35</f>
        <v>158202758.68814877</v>
      </c>
      <c r="U15" s="227"/>
      <c r="V15" s="147"/>
      <c r="W15" s="79"/>
      <c r="X15" s="78"/>
      <c r="Y15" s="78"/>
      <c r="Z15" s="130"/>
      <c r="AA15" s="79"/>
      <c r="AB15" s="79"/>
      <c r="AC15" s="79"/>
      <c r="AD15" s="80"/>
      <c r="AE15" s="177"/>
      <c r="AF15" s="178"/>
      <c r="AG15" s="178"/>
      <c r="AH15" s="178"/>
      <c r="AI15" s="179"/>
      <c r="AK15" s="20"/>
    </row>
    <row r="16" spans="1:37" s="101" customFormat="1" ht="25.15" customHeight="1" x14ac:dyDescent="0.25">
      <c r="A16" s="270"/>
      <c r="B16" s="271"/>
      <c r="C16" s="81" t="s">
        <v>36</v>
      </c>
      <c r="D16" s="284"/>
      <c r="E16" s="111">
        <v>1</v>
      </c>
      <c r="F16" s="84"/>
      <c r="G16" s="84">
        <f>SUM(G17:G34)</f>
        <v>0</v>
      </c>
      <c r="H16" s="84"/>
      <c r="I16" s="85">
        <f>SUM(I17:I34)</f>
        <v>37202526.9595</v>
      </c>
      <c r="J16" s="111"/>
      <c r="K16" s="119"/>
      <c r="L16" s="84"/>
      <c r="M16" s="84"/>
      <c r="N16" s="84"/>
      <c r="O16" s="84"/>
      <c r="P16" s="84">
        <f>SUM(P17:P34)</f>
        <v>0</v>
      </c>
      <c r="Q16" s="84"/>
      <c r="R16" s="84">
        <f>SUM(R17:R34)</f>
        <v>37202526.9595</v>
      </c>
      <c r="S16" s="84">
        <f>SUM(S17:S34)</f>
        <v>0</v>
      </c>
      <c r="T16" s="216">
        <f>SUM(T17:T34)</f>
        <v>37202526.9595</v>
      </c>
      <c r="U16" s="95"/>
      <c r="V16" s="148"/>
      <c r="W16" s="83"/>
      <c r="X16" s="83"/>
      <c r="Y16" s="83"/>
      <c r="Z16" s="131"/>
      <c r="AA16" s="84"/>
      <c r="AB16" s="84"/>
      <c r="AC16" s="84"/>
      <c r="AD16" s="85"/>
      <c r="AE16" s="180"/>
      <c r="AF16" s="160"/>
      <c r="AG16" s="160"/>
      <c r="AH16" s="160"/>
      <c r="AI16" s="181"/>
      <c r="AK16" s="20"/>
    </row>
    <row r="17" spans="1:37" s="97" customFormat="1" ht="19.899999999999999" customHeight="1" x14ac:dyDescent="0.25">
      <c r="A17" s="65"/>
      <c r="B17" s="272" t="s">
        <v>37</v>
      </c>
      <c r="C17" s="66" t="s">
        <v>38</v>
      </c>
      <c r="D17" s="106" t="s">
        <v>35</v>
      </c>
      <c r="E17" s="109">
        <v>1</v>
      </c>
      <c r="F17" s="67"/>
      <c r="G17" s="67"/>
      <c r="H17" s="67">
        <v>19627660</v>
      </c>
      <c r="I17" s="68">
        <f t="shared" ref="I17" si="0">H17*E17</f>
        <v>19627660</v>
      </c>
      <c r="J17" s="109">
        <f>E17</f>
        <v>1</v>
      </c>
      <c r="K17" s="209">
        <f>E17</f>
        <v>1</v>
      </c>
      <c r="L17" s="122"/>
      <c r="M17" s="67">
        <f t="shared" ref="M17" si="1">K17-L17</f>
        <v>1</v>
      </c>
      <c r="N17" s="67"/>
      <c r="O17" s="67"/>
      <c r="P17" s="67"/>
      <c r="Q17" s="67">
        <v>19627660</v>
      </c>
      <c r="R17" s="67">
        <f>M17*Q17</f>
        <v>19627660</v>
      </c>
      <c r="S17" s="122"/>
      <c r="T17" s="217">
        <f t="shared" ref="T17" si="2">S17+R17</f>
        <v>19627660</v>
      </c>
      <c r="U17" s="105"/>
      <c r="V17" s="149"/>
      <c r="W17" s="41"/>
      <c r="X17" s="41"/>
      <c r="Y17" s="41"/>
      <c r="Z17" s="132"/>
      <c r="AA17" s="67"/>
      <c r="AB17" s="67"/>
      <c r="AC17" s="67"/>
      <c r="AD17" s="68"/>
      <c r="AE17" s="182"/>
      <c r="AF17" s="183"/>
      <c r="AG17" s="183"/>
      <c r="AH17" s="183"/>
      <c r="AI17" s="162"/>
      <c r="AK17" s="28"/>
    </row>
    <row r="18" spans="1:37" s="97" customFormat="1" ht="19.899999999999999" customHeight="1" x14ac:dyDescent="0.25">
      <c r="A18" s="37"/>
      <c r="B18" s="273" t="s">
        <v>39</v>
      </c>
      <c r="C18" s="63" t="s">
        <v>114</v>
      </c>
      <c r="D18" s="107" t="s">
        <v>35</v>
      </c>
      <c r="E18" s="110">
        <v>1</v>
      </c>
      <c r="F18" s="39"/>
      <c r="G18" s="39"/>
      <c r="H18" s="39">
        <v>2192647</v>
      </c>
      <c r="I18" s="40">
        <f t="shared" ref="I18:I34" si="3">H18*E18</f>
        <v>2192647</v>
      </c>
      <c r="J18" s="110">
        <f t="shared" ref="J18:J34" si="4">E18</f>
        <v>1</v>
      </c>
      <c r="K18" s="210">
        <f t="shared" ref="K18:K34" si="5">E18</f>
        <v>1</v>
      </c>
      <c r="L18" s="39"/>
      <c r="M18" s="39">
        <f t="shared" ref="M18:M34" si="6">K18-L18</f>
        <v>1</v>
      </c>
      <c r="N18" s="39"/>
      <c r="O18" s="39"/>
      <c r="P18" s="39"/>
      <c r="Q18" s="39">
        <v>2192647</v>
      </c>
      <c r="R18" s="67">
        <f t="shared" ref="R18:R34" si="7">M18*Q18</f>
        <v>2192647</v>
      </c>
      <c r="S18" s="39"/>
      <c r="T18" s="218">
        <f t="shared" ref="T18:T34" si="8">S18+R18</f>
        <v>2192647</v>
      </c>
      <c r="U18" s="86"/>
      <c r="V18" s="150"/>
      <c r="W18" s="38"/>
      <c r="X18" s="38"/>
      <c r="Y18" s="38"/>
      <c r="Z18" s="133"/>
      <c r="AA18" s="39"/>
      <c r="AB18" s="39"/>
      <c r="AC18" s="39"/>
      <c r="AD18" s="40"/>
      <c r="AE18" s="182"/>
      <c r="AF18" s="183"/>
      <c r="AG18" s="183"/>
      <c r="AH18" s="183"/>
      <c r="AI18" s="162"/>
      <c r="AK18" s="28"/>
    </row>
    <row r="19" spans="1:37" s="97" customFormat="1" ht="19.899999999999999" customHeight="1" x14ac:dyDescent="0.25">
      <c r="A19" s="37"/>
      <c r="B19" s="273" t="s">
        <v>41</v>
      </c>
      <c r="C19" s="63" t="s">
        <v>115</v>
      </c>
      <c r="D19" s="107" t="s">
        <v>35</v>
      </c>
      <c r="E19" s="110">
        <v>1</v>
      </c>
      <c r="F19" s="39"/>
      <c r="G19" s="39"/>
      <c r="H19" s="39">
        <v>593611.5</v>
      </c>
      <c r="I19" s="40">
        <f t="shared" si="3"/>
        <v>593611.5</v>
      </c>
      <c r="J19" s="110">
        <f t="shared" si="4"/>
        <v>1</v>
      </c>
      <c r="K19" s="210">
        <f t="shared" si="5"/>
        <v>1</v>
      </c>
      <c r="L19" s="39"/>
      <c r="M19" s="39">
        <f t="shared" si="6"/>
        <v>1</v>
      </c>
      <c r="N19" s="39"/>
      <c r="O19" s="39"/>
      <c r="P19" s="39"/>
      <c r="Q19" s="39">
        <v>593611.5</v>
      </c>
      <c r="R19" s="67">
        <f t="shared" si="7"/>
        <v>593611.5</v>
      </c>
      <c r="S19" s="39"/>
      <c r="T19" s="218">
        <f t="shared" si="8"/>
        <v>593611.5</v>
      </c>
      <c r="U19" s="86"/>
      <c r="V19" s="150"/>
      <c r="W19" s="38"/>
      <c r="X19" s="38"/>
      <c r="Y19" s="38"/>
      <c r="Z19" s="133"/>
      <c r="AA19" s="39"/>
      <c r="AB19" s="39"/>
      <c r="AC19" s="39"/>
      <c r="AD19" s="40"/>
      <c r="AE19" s="182"/>
      <c r="AF19" s="183"/>
      <c r="AG19" s="183"/>
      <c r="AH19" s="183"/>
      <c r="AI19" s="162"/>
      <c r="AK19" s="28"/>
    </row>
    <row r="20" spans="1:37" s="97" customFormat="1" ht="19.899999999999999" customHeight="1" x14ac:dyDescent="0.25">
      <c r="A20" s="37"/>
      <c r="B20" s="273" t="s">
        <v>42</v>
      </c>
      <c r="C20" s="63" t="s">
        <v>40</v>
      </c>
      <c r="D20" s="107" t="s">
        <v>35</v>
      </c>
      <c r="E20" s="110">
        <v>1</v>
      </c>
      <c r="F20" s="39"/>
      <c r="G20" s="39"/>
      <c r="H20" s="39">
        <v>2736630</v>
      </c>
      <c r="I20" s="40">
        <f t="shared" si="3"/>
        <v>2736630</v>
      </c>
      <c r="J20" s="110">
        <f t="shared" si="4"/>
        <v>1</v>
      </c>
      <c r="K20" s="210">
        <f t="shared" si="5"/>
        <v>1</v>
      </c>
      <c r="L20" s="39"/>
      <c r="M20" s="39">
        <f t="shared" si="6"/>
        <v>1</v>
      </c>
      <c r="N20" s="39"/>
      <c r="O20" s="39"/>
      <c r="P20" s="39"/>
      <c r="Q20" s="39">
        <v>2736630</v>
      </c>
      <c r="R20" s="67">
        <f t="shared" si="7"/>
        <v>2736630</v>
      </c>
      <c r="S20" s="39"/>
      <c r="T20" s="218">
        <f t="shared" si="8"/>
        <v>2736630</v>
      </c>
      <c r="U20" s="86"/>
      <c r="V20" s="150"/>
      <c r="W20" s="38"/>
      <c r="X20" s="38"/>
      <c r="Y20" s="38"/>
      <c r="Z20" s="133"/>
      <c r="AA20" s="39"/>
      <c r="AB20" s="39"/>
      <c r="AC20" s="39"/>
      <c r="AD20" s="40"/>
      <c r="AE20" s="182"/>
      <c r="AF20" s="183"/>
      <c r="AG20" s="183"/>
      <c r="AH20" s="183"/>
      <c r="AI20" s="162"/>
      <c r="AK20" s="28"/>
    </row>
    <row r="21" spans="1:37" s="97" customFormat="1" ht="19.899999999999999" customHeight="1" x14ac:dyDescent="0.25">
      <c r="A21" s="37"/>
      <c r="B21" s="273" t="s">
        <v>43</v>
      </c>
      <c r="C21" s="63" t="s">
        <v>48</v>
      </c>
      <c r="D21" s="107" t="s">
        <v>35</v>
      </c>
      <c r="E21" s="110">
        <v>1</v>
      </c>
      <c r="F21" s="39"/>
      <c r="G21" s="39"/>
      <c r="H21" s="39">
        <v>1262384.5</v>
      </c>
      <c r="I21" s="40">
        <f t="shared" si="3"/>
        <v>1262384.5</v>
      </c>
      <c r="J21" s="110">
        <f t="shared" si="4"/>
        <v>1</v>
      </c>
      <c r="K21" s="210">
        <f t="shared" si="5"/>
        <v>1</v>
      </c>
      <c r="L21" s="39"/>
      <c r="M21" s="39">
        <f t="shared" si="6"/>
        <v>1</v>
      </c>
      <c r="N21" s="39"/>
      <c r="O21" s="39">
        <f>F21</f>
        <v>0</v>
      </c>
      <c r="P21" s="39">
        <f>K21*O21</f>
        <v>0</v>
      </c>
      <c r="Q21" s="39">
        <v>1262384.5</v>
      </c>
      <c r="R21" s="67">
        <f t="shared" si="7"/>
        <v>1262384.5</v>
      </c>
      <c r="S21" s="39"/>
      <c r="T21" s="218">
        <f t="shared" si="8"/>
        <v>1262384.5</v>
      </c>
      <c r="U21" s="86"/>
      <c r="V21" s="150"/>
      <c r="W21" s="38"/>
      <c r="X21" s="38"/>
      <c r="Y21" s="38"/>
      <c r="Z21" s="133"/>
      <c r="AA21" s="39"/>
      <c r="AB21" s="39"/>
      <c r="AC21" s="39"/>
      <c r="AD21" s="40"/>
      <c r="AE21" s="182"/>
      <c r="AF21" s="183"/>
      <c r="AG21" s="183"/>
      <c r="AH21" s="183"/>
      <c r="AI21" s="162"/>
      <c r="AK21" s="28"/>
    </row>
    <row r="22" spans="1:37" s="97" customFormat="1" ht="19.899999999999999" customHeight="1" x14ac:dyDescent="0.25">
      <c r="A22" s="37"/>
      <c r="B22" s="273" t="s">
        <v>45</v>
      </c>
      <c r="C22" s="63" t="s">
        <v>127</v>
      </c>
      <c r="D22" s="107" t="s">
        <v>35</v>
      </c>
      <c r="E22" s="110">
        <v>1</v>
      </c>
      <c r="F22" s="39"/>
      <c r="G22" s="39"/>
      <c r="H22" s="39">
        <v>4174002</v>
      </c>
      <c r="I22" s="40">
        <f t="shared" si="3"/>
        <v>4174002</v>
      </c>
      <c r="J22" s="110">
        <f t="shared" si="4"/>
        <v>1</v>
      </c>
      <c r="K22" s="210">
        <f t="shared" si="5"/>
        <v>1</v>
      </c>
      <c r="L22" s="39"/>
      <c r="M22" s="39">
        <f t="shared" si="6"/>
        <v>1</v>
      </c>
      <c r="N22" s="39"/>
      <c r="O22" s="39"/>
      <c r="P22" s="39"/>
      <c r="Q22" s="39">
        <v>4174002</v>
      </c>
      <c r="R22" s="67">
        <f t="shared" si="7"/>
        <v>4174002</v>
      </c>
      <c r="S22" s="39"/>
      <c r="T22" s="218">
        <f t="shared" si="8"/>
        <v>4174002</v>
      </c>
      <c r="U22" s="86"/>
      <c r="V22" s="150"/>
      <c r="W22" s="38"/>
      <c r="X22" s="38"/>
      <c r="Y22" s="38"/>
      <c r="Z22" s="133"/>
      <c r="AA22" s="39"/>
      <c r="AB22" s="39"/>
      <c r="AC22" s="39"/>
      <c r="AD22" s="40"/>
      <c r="AE22" s="182"/>
      <c r="AF22" s="183"/>
      <c r="AG22" s="183"/>
      <c r="AH22" s="183"/>
      <c r="AI22" s="162"/>
      <c r="AK22" s="28"/>
    </row>
    <row r="23" spans="1:37" s="97" customFormat="1" ht="19.899999999999999" customHeight="1" x14ac:dyDescent="0.25">
      <c r="A23" s="37"/>
      <c r="B23" s="273" t="s">
        <v>46</v>
      </c>
      <c r="C23" s="63" t="s">
        <v>116</v>
      </c>
      <c r="D23" s="107" t="s">
        <v>35</v>
      </c>
      <c r="E23" s="110">
        <v>1</v>
      </c>
      <c r="F23" s="39"/>
      <c r="G23" s="39"/>
      <c r="H23" s="39">
        <v>546000</v>
      </c>
      <c r="I23" s="40">
        <f t="shared" si="3"/>
        <v>546000</v>
      </c>
      <c r="J23" s="110">
        <f t="shared" si="4"/>
        <v>1</v>
      </c>
      <c r="K23" s="210">
        <f t="shared" si="5"/>
        <v>1</v>
      </c>
      <c r="L23" s="39"/>
      <c r="M23" s="39">
        <f t="shared" si="6"/>
        <v>1</v>
      </c>
      <c r="N23" s="39"/>
      <c r="O23" s="39"/>
      <c r="P23" s="39"/>
      <c r="Q23" s="39">
        <v>546000</v>
      </c>
      <c r="R23" s="67">
        <f t="shared" si="7"/>
        <v>546000</v>
      </c>
      <c r="S23" s="39"/>
      <c r="T23" s="218">
        <f t="shared" si="8"/>
        <v>546000</v>
      </c>
      <c r="U23" s="86"/>
      <c r="V23" s="150"/>
      <c r="W23" s="38"/>
      <c r="X23" s="38"/>
      <c r="Y23" s="38"/>
      <c r="Z23" s="133"/>
      <c r="AA23" s="39"/>
      <c r="AB23" s="39"/>
      <c r="AC23" s="39"/>
      <c r="AD23" s="40"/>
      <c r="AE23" s="182"/>
      <c r="AF23" s="183"/>
      <c r="AG23" s="183"/>
      <c r="AH23" s="183"/>
      <c r="AI23" s="162"/>
      <c r="AK23" s="28"/>
    </row>
    <row r="24" spans="1:37" s="97" customFormat="1" ht="19.899999999999999" customHeight="1" x14ac:dyDescent="0.25">
      <c r="A24" s="37"/>
      <c r="B24" s="273" t="s">
        <v>47</v>
      </c>
      <c r="C24" s="63" t="s">
        <v>44</v>
      </c>
      <c r="D24" s="107" t="s">
        <v>35</v>
      </c>
      <c r="E24" s="110">
        <v>1</v>
      </c>
      <c r="F24" s="39"/>
      <c r="G24" s="39"/>
      <c r="H24" s="39">
        <v>54600</v>
      </c>
      <c r="I24" s="40">
        <f t="shared" si="3"/>
        <v>54600</v>
      </c>
      <c r="J24" s="110">
        <f t="shared" si="4"/>
        <v>1</v>
      </c>
      <c r="K24" s="210">
        <f t="shared" si="5"/>
        <v>1</v>
      </c>
      <c r="L24" s="39"/>
      <c r="M24" s="39">
        <f t="shared" si="6"/>
        <v>1</v>
      </c>
      <c r="N24" s="39"/>
      <c r="O24" s="39"/>
      <c r="P24" s="39"/>
      <c r="Q24" s="39">
        <v>54600</v>
      </c>
      <c r="R24" s="67">
        <f t="shared" si="7"/>
        <v>54600</v>
      </c>
      <c r="S24" s="39"/>
      <c r="T24" s="218">
        <f t="shared" si="8"/>
        <v>54600</v>
      </c>
      <c r="U24" s="86"/>
      <c r="V24" s="150"/>
      <c r="W24" s="38"/>
      <c r="X24" s="38"/>
      <c r="Y24" s="38"/>
      <c r="Z24" s="133"/>
      <c r="AA24" s="39"/>
      <c r="AB24" s="39"/>
      <c r="AC24" s="39"/>
      <c r="AD24" s="40"/>
      <c r="AE24" s="182"/>
      <c r="AF24" s="183"/>
      <c r="AG24" s="183"/>
      <c r="AH24" s="183"/>
      <c r="AI24" s="162"/>
      <c r="AK24" s="28"/>
    </row>
    <row r="25" spans="1:37" s="97" customFormat="1" ht="19.899999999999999" customHeight="1" x14ac:dyDescent="0.25">
      <c r="A25" s="37"/>
      <c r="B25" s="273" t="s">
        <v>49</v>
      </c>
      <c r="C25" s="63" t="s">
        <v>50</v>
      </c>
      <c r="D25" s="107" t="s">
        <v>35</v>
      </c>
      <c r="E25" s="110">
        <v>1</v>
      </c>
      <c r="F25" s="39"/>
      <c r="G25" s="39"/>
      <c r="H25" s="39">
        <v>108100</v>
      </c>
      <c r="I25" s="40">
        <f t="shared" si="3"/>
        <v>108100</v>
      </c>
      <c r="J25" s="110">
        <f t="shared" si="4"/>
        <v>1</v>
      </c>
      <c r="K25" s="210">
        <f t="shared" si="5"/>
        <v>1</v>
      </c>
      <c r="L25" s="39"/>
      <c r="M25" s="39">
        <f t="shared" si="6"/>
        <v>1</v>
      </c>
      <c r="N25" s="39"/>
      <c r="O25" s="39"/>
      <c r="P25" s="39"/>
      <c r="Q25" s="39">
        <v>108100</v>
      </c>
      <c r="R25" s="67">
        <f t="shared" si="7"/>
        <v>108100</v>
      </c>
      <c r="S25" s="39"/>
      <c r="T25" s="218">
        <f t="shared" si="8"/>
        <v>108100</v>
      </c>
      <c r="U25" s="86"/>
      <c r="V25" s="150"/>
      <c r="W25" s="38"/>
      <c r="X25" s="38"/>
      <c r="Y25" s="38"/>
      <c r="Z25" s="133"/>
      <c r="AA25" s="39"/>
      <c r="AB25" s="39"/>
      <c r="AC25" s="39"/>
      <c r="AD25" s="40"/>
      <c r="AE25" s="182"/>
      <c r="AF25" s="183"/>
      <c r="AG25" s="183"/>
      <c r="AH25" s="183"/>
      <c r="AI25" s="162"/>
      <c r="AK25" s="28"/>
    </row>
    <row r="26" spans="1:37" s="97" customFormat="1" ht="19.899999999999999" customHeight="1" x14ac:dyDescent="0.25">
      <c r="A26" s="37"/>
      <c r="B26" s="273" t="s">
        <v>51</v>
      </c>
      <c r="C26" s="63" t="s">
        <v>117</v>
      </c>
      <c r="D26" s="107" t="s">
        <v>35</v>
      </c>
      <c r="E26" s="110">
        <v>1</v>
      </c>
      <c r="F26" s="39"/>
      <c r="G26" s="39"/>
      <c r="H26" s="39">
        <v>519000</v>
      </c>
      <c r="I26" s="40">
        <f t="shared" si="3"/>
        <v>519000</v>
      </c>
      <c r="J26" s="110">
        <f t="shared" si="4"/>
        <v>1</v>
      </c>
      <c r="K26" s="210">
        <f t="shared" si="5"/>
        <v>1</v>
      </c>
      <c r="L26" s="39"/>
      <c r="M26" s="39">
        <f t="shared" si="6"/>
        <v>1</v>
      </c>
      <c r="N26" s="39"/>
      <c r="O26" s="39"/>
      <c r="P26" s="39"/>
      <c r="Q26" s="39">
        <v>519000</v>
      </c>
      <c r="R26" s="67">
        <f t="shared" si="7"/>
        <v>519000</v>
      </c>
      <c r="S26" s="39"/>
      <c r="T26" s="218">
        <f t="shared" si="8"/>
        <v>519000</v>
      </c>
      <c r="U26" s="86"/>
      <c r="V26" s="150"/>
      <c r="W26" s="38"/>
      <c r="X26" s="38"/>
      <c r="Y26" s="38"/>
      <c r="Z26" s="133"/>
      <c r="AA26" s="39"/>
      <c r="AB26" s="39"/>
      <c r="AC26" s="39"/>
      <c r="AD26" s="40"/>
      <c r="AE26" s="182"/>
      <c r="AF26" s="183"/>
      <c r="AG26" s="183"/>
      <c r="AH26" s="183"/>
      <c r="AI26" s="162"/>
      <c r="AK26" s="28"/>
    </row>
    <row r="27" spans="1:37" s="97" customFormat="1" ht="19.899999999999999" customHeight="1" x14ac:dyDescent="0.25">
      <c r="A27" s="37"/>
      <c r="B27" s="273" t="s">
        <v>52</v>
      </c>
      <c r="C27" s="63" t="s">
        <v>118</v>
      </c>
      <c r="D27" s="107" t="s">
        <v>35</v>
      </c>
      <c r="E27" s="110">
        <v>1</v>
      </c>
      <c r="F27" s="39"/>
      <c r="G27" s="39"/>
      <c r="H27" s="39">
        <v>893600</v>
      </c>
      <c r="I27" s="40">
        <f t="shared" si="3"/>
        <v>893600</v>
      </c>
      <c r="J27" s="110">
        <f t="shared" si="4"/>
        <v>1</v>
      </c>
      <c r="K27" s="210">
        <f t="shared" si="5"/>
        <v>1</v>
      </c>
      <c r="L27" s="39"/>
      <c r="M27" s="39">
        <f t="shared" si="6"/>
        <v>1</v>
      </c>
      <c r="N27" s="39"/>
      <c r="O27" s="39"/>
      <c r="P27" s="39"/>
      <c r="Q27" s="39">
        <v>893600</v>
      </c>
      <c r="R27" s="67">
        <f t="shared" si="7"/>
        <v>893600</v>
      </c>
      <c r="S27" s="39"/>
      <c r="T27" s="218">
        <f t="shared" si="8"/>
        <v>893600</v>
      </c>
      <c r="U27" s="86"/>
      <c r="V27" s="150"/>
      <c r="W27" s="38"/>
      <c r="X27" s="38"/>
      <c r="Y27" s="38"/>
      <c r="Z27" s="133"/>
      <c r="AA27" s="39"/>
      <c r="AB27" s="39"/>
      <c r="AC27" s="39"/>
      <c r="AD27" s="40"/>
      <c r="AE27" s="182"/>
      <c r="AF27" s="183"/>
      <c r="AG27" s="183"/>
      <c r="AH27" s="183"/>
      <c r="AI27" s="162"/>
      <c r="AK27" s="28"/>
    </row>
    <row r="28" spans="1:37" s="97" customFormat="1" ht="19.899999999999999" customHeight="1" x14ac:dyDescent="0.25">
      <c r="A28" s="37"/>
      <c r="B28" s="273" t="s">
        <v>54</v>
      </c>
      <c r="C28" s="63" t="s">
        <v>119</v>
      </c>
      <c r="D28" s="107" t="s">
        <v>35</v>
      </c>
      <c r="E28" s="110">
        <v>1</v>
      </c>
      <c r="F28" s="39"/>
      <c r="G28" s="39"/>
      <c r="H28" s="39">
        <v>514091</v>
      </c>
      <c r="I28" s="40">
        <f t="shared" si="3"/>
        <v>514091</v>
      </c>
      <c r="J28" s="110">
        <f t="shared" si="4"/>
        <v>1</v>
      </c>
      <c r="K28" s="210">
        <f t="shared" si="5"/>
        <v>1</v>
      </c>
      <c r="L28" s="39"/>
      <c r="M28" s="39">
        <f t="shared" si="6"/>
        <v>1</v>
      </c>
      <c r="N28" s="39"/>
      <c r="O28" s="39"/>
      <c r="P28" s="39"/>
      <c r="Q28" s="39">
        <v>514091</v>
      </c>
      <c r="R28" s="67">
        <f t="shared" si="7"/>
        <v>514091</v>
      </c>
      <c r="S28" s="39"/>
      <c r="T28" s="218">
        <f t="shared" si="8"/>
        <v>514091</v>
      </c>
      <c r="U28" s="86"/>
      <c r="V28" s="150"/>
      <c r="W28" s="38"/>
      <c r="X28" s="38"/>
      <c r="Y28" s="38"/>
      <c r="Z28" s="133"/>
      <c r="AA28" s="39"/>
      <c r="AB28" s="39"/>
      <c r="AC28" s="39"/>
      <c r="AD28" s="40"/>
      <c r="AE28" s="182"/>
      <c r="AF28" s="183"/>
      <c r="AG28" s="183"/>
      <c r="AH28" s="183"/>
      <c r="AI28" s="162"/>
      <c r="AK28" s="28"/>
    </row>
    <row r="29" spans="1:37" s="97" customFormat="1" ht="19.899999999999999" customHeight="1" x14ac:dyDescent="0.25">
      <c r="A29" s="37"/>
      <c r="B29" s="273" t="s">
        <v>55</v>
      </c>
      <c r="C29" s="63" t="s">
        <v>125</v>
      </c>
      <c r="D29" s="107" t="s">
        <v>35</v>
      </c>
      <c r="E29" s="110">
        <v>1</v>
      </c>
      <c r="F29" s="39"/>
      <c r="G29" s="39"/>
      <c r="H29" s="39">
        <v>288000</v>
      </c>
      <c r="I29" s="40">
        <f t="shared" ref="I29" si="9">H29*E29</f>
        <v>288000</v>
      </c>
      <c r="J29" s="110">
        <f t="shared" ref="J29" si="10">E29</f>
        <v>1</v>
      </c>
      <c r="K29" s="210">
        <f t="shared" ref="K29" si="11">E29</f>
        <v>1</v>
      </c>
      <c r="L29" s="39"/>
      <c r="M29" s="39">
        <f t="shared" ref="M29" si="12">K29-L29</f>
        <v>1</v>
      </c>
      <c r="N29" s="39"/>
      <c r="O29" s="39"/>
      <c r="P29" s="39"/>
      <c r="Q29" s="39">
        <v>288000</v>
      </c>
      <c r="R29" s="67">
        <f t="shared" ref="R29" si="13">M29*Q29</f>
        <v>288000</v>
      </c>
      <c r="S29" s="39"/>
      <c r="T29" s="218">
        <f t="shared" ref="T29" si="14">S29+R29</f>
        <v>288000</v>
      </c>
      <c r="U29" s="86"/>
      <c r="V29" s="150"/>
      <c r="W29" s="38"/>
      <c r="X29" s="38"/>
      <c r="Y29" s="38"/>
      <c r="Z29" s="133"/>
      <c r="AA29" s="39"/>
      <c r="AB29" s="39"/>
      <c r="AC29" s="39"/>
      <c r="AD29" s="40"/>
      <c r="AE29" s="182"/>
      <c r="AF29" s="183"/>
      <c r="AG29" s="183"/>
      <c r="AH29" s="183"/>
      <c r="AI29" s="162"/>
      <c r="AK29" s="28"/>
    </row>
    <row r="30" spans="1:37" s="97" customFormat="1" ht="19.899999999999999" customHeight="1" x14ac:dyDescent="0.25">
      <c r="A30" s="37"/>
      <c r="B30" s="273" t="s">
        <v>56</v>
      </c>
      <c r="C30" s="63" t="s">
        <v>60</v>
      </c>
      <c r="D30" s="107" t="s">
        <v>35</v>
      </c>
      <c r="E30" s="110">
        <v>1</v>
      </c>
      <c r="F30" s="39"/>
      <c r="G30" s="39"/>
      <c r="H30" s="39">
        <v>50000</v>
      </c>
      <c r="I30" s="40">
        <f t="shared" si="3"/>
        <v>50000</v>
      </c>
      <c r="J30" s="110">
        <f t="shared" si="4"/>
        <v>1</v>
      </c>
      <c r="K30" s="210">
        <f t="shared" si="5"/>
        <v>1</v>
      </c>
      <c r="L30" s="39"/>
      <c r="M30" s="39">
        <f t="shared" si="6"/>
        <v>1</v>
      </c>
      <c r="N30" s="39"/>
      <c r="O30" s="39"/>
      <c r="P30" s="39"/>
      <c r="Q30" s="39">
        <v>50000</v>
      </c>
      <c r="R30" s="67">
        <f t="shared" si="7"/>
        <v>50000</v>
      </c>
      <c r="S30" s="39"/>
      <c r="T30" s="218">
        <f t="shared" si="8"/>
        <v>50000</v>
      </c>
      <c r="U30" s="86"/>
      <c r="V30" s="150"/>
      <c r="W30" s="38"/>
      <c r="X30" s="38"/>
      <c r="Y30" s="38"/>
      <c r="Z30" s="133"/>
      <c r="AA30" s="39"/>
      <c r="AB30" s="39"/>
      <c r="AC30" s="39"/>
      <c r="AD30" s="40"/>
      <c r="AE30" s="182"/>
      <c r="AF30" s="183"/>
      <c r="AG30" s="183"/>
      <c r="AH30" s="183"/>
      <c r="AI30" s="162"/>
      <c r="AK30" s="28"/>
    </row>
    <row r="31" spans="1:37" s="97" customFormat="1" ht="19.899999999999999" customHeight="1" x14ac:dyDescent="0.25">
      <c r="A31" s="37"/>
      <c r="B31" s="273" t="s">
        <v>57</v>
      </c>
      <c r="C31" s="63" t="s">
        <v>58</v>
      </c>
      <c r="D31" s="107" t="s">
        <v>35</v>
      </c>
      <c r="E31" s="110">
        <v>1</v>
      </c>
      <c r="F31" s="39"/>
      <c r="G31" s="39"/>
      <c r="H31" s="39">
        <v>720000</v>
      </c>
      <c r="I31" s="40">
        <f t="shared" si="3"/>
        <v>720000</v>
      </c>
      <c r="J31" s="110">
        <f t="shared" si="4"/>
        <v>1</v>
      </c>
      <c r="K31" s="210">
        <f t="shared" si="5"/>
        <v>1</v>
      </c>
      <c r="L31" s="39"/>
      <c r="M31" s="39">
        <f t="shared" si="6"/>
        <v>1</v>
      </c>
      <c r="N31" s="39"/>
      <c r="O31" s="39"/>
      <c r="P31" s="39"/>
      <c r="Q31" s="39">
        <v>720000</v>
      </c>
      <c r="R31" s="67">
        <f t="shared" si="7"/>
        <v>720000</v>
      </c>
      <c r="S31" s="39"/>
      <c r="T31" s="218">
        <f t="shared" si="8"/>
        <v>720000</v>
      </c>
      <c r="U31" s="86"/>
      <c r="V31" s="150"/>
      <c r="W31" s="38"/>
      <c r="X31" s="38"/>
      <c r="Y31" s="38"/>
      <c r="Z31" s="133"/>
      <c r="AA31" s="39"/>
      <c r="AB31" s="39"/>
      <c r="AC31" s="39"/>
      <c r="AD31" s="40"/>
      <c r="AE31" s="182"/>
      <c r="AF31" s="183"/>
      <c r="AG31" s="183"/>
      <c r="AH31" s="183"/>
      <c r="AI31" s="162"/>
      <c r="AK31" s="28"/>
    </row>
    <row r="32" spans="1:37" s="97" customFormat="1" ht="19.899999999999999" customHeight="1" x14ac:dyDescent="0.25">
      <c r="A32" s="37"/>
      <c r="B32" s="273" t="s">
        <v>59</v>
      </c>
      <c r="C32" s="63" t="s">
        <v>96</v>
      </c>
      <c r="D32" s="107" t="s">
        <v>35</v>
      </c>
      <c r="E32" s="110">
        <v>1</v>
      </c>
      <c r="F32" s="39"/>
      <c r="G32" s="39"/>
      <c r="H32" s="39">
        <v>0</v>
      </c>
      <c r="I32" s="40">
        <f t="shared" si="3"/>
        <v>0</v>
      </c>
      <c r="J32" s="110">
        <f t="shared" si="4"/>
        <v>1</v>
      </c>
      <c r="K32" s="210">
        <f t="shared" si="5"/>
        <v>1</v>
      </c>
      <c r="L32" s="39"/>
      <c r="M32" s="39">
        <f t="shared" si="6"/>
        <v>1</v>
      </c>
      <c r="N32" s="39"/>
      <c r="O32" s="39"/>
      <c r="P32" s="39"/>
      <c r="Q32" s="39">
        <v>0</v>
      </c>
      <c r="R32" s="67">
        <f t="shared" si="7"/>
        <v>0</v>
      </c>
      <c r="S32" s="39"/>
      <c r="T32" s="218">
        <f t="shared" si="8"/>
        <v>0</v>
      </c>
      <c r="U32" s="86"/>
      <c r="V32" s="150"/>
      <c r="W32" s="38"/>
      <c r="X32" s="38"/>
      <c r="Y32" s="38"/>
      <c r="Z32" s="133"/>
      <c r="AA32" s="39"/>
      <c r="AB32" s="39"/>
      <c r="AC32" s="39"/>
      <c r="AD32" s="40"/>
      <c r="AE32" s="182"/>
      <c r="AF32" s="183"/>
      <c r="AG32" s="183"/>
      <c r="AH32" s="183"/>
      <c r="AI32" s="162"/>
      <c r="AK32" s="28"/>
    </row>
    <row r="33" spans="1:41" s="97" customFormat="1" ht="19.899999999999999" customHeight="1" x14ac:dyDescent="0.25">
      <c r="A33" s="37"/>
      <c r="B33" s="273" t="s">
        <v>61</v>
      </c>
      <c r="C33" s="63" t="s">
        <v>53</v>
      </c>
      <c r="D33" s="107" t="s">
        <v>35</v>
      </c>
      <c r="E33" s="110">
        <v>1</v>
      </c>
      <c r="F33" s="39"/>
      <c r="G33" s="39"/>
      <c r="H33" s="39">
        <v>584440.19189999998</v>
      </c>
      <c r="I33" s="40">
        <f t="shared" si="3"/>
        <v>584440.19189999998</v>
      </c>
      <c r="J33" s="110">
        <f t="shared" si="4"/>
        <v>1</v>
      </c>
      <c r="K33" s="210">
        <f t="shared" si="5"/>
        <v>1</v>
      </c>
      <c r="L33" s="39"/>
      <c r="M33" s="39">
        <f t="shared" si="6"/>
        <v>1</v>
      </c>
      <c r="N33" s="39"/>
      <c r="O33" s="39"/>
      <c r="P33" s="39"/>
      <c r="Q33" s="39">
        <v>584440.19189999998</v>
      </c>
      <c r="R33" s="67">
        <f t="shared" si="7"/>
        <v>584440.19189999998</v>
      </c>
      <c r="S33" s="39"/>
      <c r="T33" s="218">
        <f t="shared" si="8"/>
        <v>584440.19189999998</v>
      </c>
      <c r="U33" s="86"/>
      <c r="V33" s="150"/>
      <c r="W33" s="38"/>
      <c r="X33" s="38"/>
      <c r="Y33" s="38"/>
      <c r="Z33" s="133"/>
      <c r="AA33" s="39"/>
      <c r="AB33" s="39"/>
      <c r="AC33" s="39"/>
      <c r="AD33" s="40"/>
      <c r="AE33" s="182"/>
      <c r="AF33" s="183"/>
      <c r="AG33" s="183"/>
      <c r="AH33" s="183"/>
      <c r="AI33" s="162"/>
      <c r="AK33" s="28"/>
    </row>
    <row r="34" spans="1:41" s="97" customFormat="1" ht="19.899999999999999" customHeight="1" x14ac:dyDescent="0.25">
      <c r="A34" s="37"/>
      <c r="B34" s="273" t="s">
        <v>62</v>
      </c>
      <c r="C34" s="63" t="s">
        <v>126</v>
      </c>
      <c r="D34" s="107" t="s">
        <v>35</v>
      </c>
      <c r="E34" s="110">
        <v>1</v>
      </c>
      <c r="F34" s="39"/>
      <c r="G34" s="39"/>
      <c r="H34" s="39">
        <v>2337760.7675999999</v>
      </c>
      <c r="I34" s="40">
        <f t="shared" si="3"/>
        <v>2337760.7675999999</v>
      </c>
      <c r="J34" s="110">
        <f t="shared" si="4"/>
        <v>1</v>
      </c>
      <c r="K34" s="210">
        <f t="shared" si="5"/>
        <v>1</v>
      </c>
      <c r="L34" s="39"/>
      <c r="M34" s="39">
        <f t="shared" si="6"/>
        <v>1</v>
      </c>
      <c r="N34" s="39"/>
      <c r="O34" s="39"/>
      <c r="P34" s="39"/>
      <c r="Q34" s="39">
        <v>2337760.7675999999</v>
      </c>
      <c r="R34" s="67">
        <f t="shared" si="7"/>
        <v>2337760.7675999999</v>
      </c>
      <c r="S34" s="39"/>
      <c r="T34" s="218">
        <f t="shared" si="8"/>
        <v>2337760.7675999999</v>
      </c>
      <c r="U34" s="86"/>
      <c r="V34" s="150"/>
      <c r="W34" s="38"/>
      <c r="X34" s="38"/>
      <c r="Y34" s="38"/>
      <c r="Z34" s="133"/>
      <c r="AA34" s="39"/>
      <c r="AB34" s="39"/>
      <c r="AC34" s="39"/>
      <c r="AD34" s="40"/>
      <c r="AE34" s="182"/>
      <c r="AF34" s="183"/>
      <c r="AG34" s="183"/>
      <c r="AH34" s="183"/>
      <c r="AI34" s="162"/>
      <c r="AK34" s="28"/>
    </row>
    <row r="35" spans="1:41" s="101" customFormat="1" ht="25.15" customHeight="1" x14ac:dyDescent="0.25">
      <c r="A35" s="270"/>
      <c r="B35" s="271"/>
      <c r="C35" s="81" t="s">
        <v>75</v>
      </c>
      <c r="D35" s="81"/>
      <c r="E35" s="111"/>
      <c r="F35" s="84"/>
      <c r="G35" s="84">
        <f>+SUMIF($AK:$AK,"5",G:G)</f>
        <v>233776076.76352543</v>
      </c>
      <c r="H35" s="84"/>
      <c r="I35" s="84">
        <f>+SUMIF($AK:$AK,"5",I:I)</f>
        <v>121000231.72864877</v>
      </c>
      <c r="J35" s="111"/>
      <c r="K35" s="108"/>
      <c r="L35" s="84"/>
      <c r="M35" s="84"/>
      <c r="N35" s="84"/>
      <c r="O35" s="84"/>
      <c r="P35" s="84">
        <f>+SUMIF($AK:$AK,"5",P:P)</f>
        <v>233776076.76352543</v>
      </c>
      <c r="Q35" s="84"/>
      <c r="R35" s="84">
        <f>+SUMIF($AK:$AK,"5",R:R)</f>
        <v>121000231.72864877</v>
      </c>
      <c r="S35" s="84">
        <f>+SUMIF($AK:$AK,"5",S:S)</f>
        <v>0</v>
      </c>
      <c r="T35" s="216">
        <f>+SUMIF($AK:$AK,"5",T:T)</f>
        <v>121000231.72864877</v>
      </c>
      <c r="U35" s="95"/>
      <c r="V35" s="148"/>
      <c r="W35" s="84"/>
      <c r="X35" s="83"/>
      <c r="Y35" s="83"/>
      <c r="Z35" s="131"/>
      <c r="AA35" s="84"/>
      <c r="AB35" s="84"/>
      <c r="AC35" s="84"/>
      <c r="AD35" s="82">
        <f>+SUMIF($AK:$AK,"5",AD:AD)</f>
        <v>121000231.72864877</v>
      </c>
      <c r="AE35" s="180">
        <f>SUMIF($AK:$AK,5,AE:AE)</f>
        <v>219500</v>
      </c>
      <c r="AF35" s="160">
        <f>SUMIF($AK:$AK,5,AF:AF)</f>
        <v>219500</v>
      </c>
      <c r="AG35" s="160">
        <f>SUMIF($AK:$AK,5,AG:AG)</f>
        <v>219500</v>
      </c>
      <c r="AH35" s="160">
        <f>SUMIF($AK:$AK,5,AH:AH)</f>
        <v>219500</v>
      </c>
      <c r="AI35" s="181">
        <f>SUMIF($AK:$AK,5,AI:AI)</f>
        <v>878000</v>
      </c>
      <c r="AJ35" s="229"/>
      <c r="AK35" s="20"/>
      <c r="AL35" s="229"/>
      <c r="AM35" s="242"/>
      <c r="AN35" s="243"/>
    </row>
    <row r="36" spans="1:41" s="102" customFormat="1" ht="30" customHeight="1" x14ac:dyDescent="0.25">
      <c r="A36" s="274"/>
      <c r="B36" s="275"/>
      <c r="C36" s="267"/>
      <c r="D36" s="253"/>
      <c r="E36" s="254"/>
      <c r="F36" s="255"/>
      <c r="G36" s="255"/>
      <c r="H36" s="255"/>
      <c r="I36" s="256"/>
      <c r="J36" s="254"/>
      <c r="K36" s="257"/>
      <c r="L36" s="255"/>
      <c r="M36" s="255"/>
      <c r="N36" s="258"/>
      <c r="O36" s="255"/>
      <c r="P36" s="255"/>
      <c r="Q36" s="255"/>
      <c r="R36" s="255"/>
      <c r="S36" s="255"/>
      <c r="T36" s="259"/>
      <c r="U36" s="260"/>
      <c r="V36" s="261"/>
      <c r="W36" s="262"/>
      <c r="X36" s="263"/>
      <c r="Y36" s="264"/>
      <c r="Z36" s="265"/>
      <c r="AA36" s="264"/>
      <c r="AB36" s="264"/>
      <c r="AC36" s="264"/>
      <c r="AD36" s="266"/>
      <c r="AE36" s="190"/>
      <c r="AF36" s="191"/>
      <c r="AG36" s="191"/>
      <c r="AH36" s="191"/>
      <c r="AI36" s="186"/>
      <c r="AK36" s="171"/>
    </row>
    <row r="37" spans="1:41" ht="20.100000000000001" customHeight="1" x14ac:dyDescent="0.25">
      <c r="A37" s="277" t="s">
        <v>184</v>
      </c>
      <c r="B37" s="278">
        <v>1</v>
      </c>
      <c r="C37" s="64" t="s">
        <v>185</v>
      </c>
      <c r="D37" s="46" t="s">
        <v>186</v>
      </c>
      <c r="E37" s="114">
        <v>9.9999999999999978E-2</v>
      </c>
      <c r="F37" s="44">
        <v>617230</v>
      </c>
      <c r="G37" s="44">
        <f t="shared" ref="G37:G90" si="15">F37*E37</f>
        <v>61722.999999999985</v>
      </c>
      <c r="H37" s="44">
        <f t="shared" ref="H37:H90" si="16">AB37</f>
        <v>925000.00000000012</v>
      </c>
      <c r="I37" s="43">
        <f t="shared" ref="I37:I90" si="17">H37*E37</f>
        <v>92499.999999999985</v>
      </c>
      <c r="J37" s="112">
        <f t="shared" ref="J37:J90" si="18">E37</f>
        <v>9.9999999999999978E-2</v>
      </c>
      <c r="K37" s="211">
        <f t="shared" ref="K37:K90" si="19">J37</f>
        <v>9.9999999999999978E-2</v>
      </c>
      <c r="L37" s="44"/>
      <c r="M37" s="44">
        <f t="shared" ref="M37" si="20">K37-L37</f>
        <v>9.9999999999999978E-2</v>
      </c>
      <c r="N37" s="173">
        <f t="shared" ref="N37:N90" si="21">IFERROR(M37/K37,0)</f>
        <v>1</v>
      </c>
      <c r="O37" s="44">
        <f t="shared" ref="O37:O90" si="22">F37</f>
        <v>617230</v>
      </c>
      <c r="P37" s="44">
        <f t="shared" ref="P37:P90" si="23">K37*O37</f>
        <v>61722.999999999985</v>
      </c>
      <c r="Q37" s="44">
        <f t="shared" ref="Q37:Q90" si="24">AB37</f>
        <v>925000.00000000012</v>
      </c>
      <c r="R37" s="44">
        <f t="shared" ref="R37" si="25">M37*Q37</f>
        <v>92499.999999999985</v>
      </c>
      <c r="S37" s="123"/>
      <c r="T37" s="219">
        <f t="shared" ref="T37" si="26">S37+R37</f>
        <v>92499.999999999985</v>
      </c>
      <c r="U37" s="87"/>
      <c r="V37" s="47"/>
      <c r="W37" s="48"/>
      <c r="X37" s="48"/>
      <c r="Y37" s="48"/>
      <c r="Z37" s="135"/>
      <c r="AA37" s="49"/>
      <c r="AB37" s="50">
        <f t="shared" ref="AB37:AB90" si="27">AD37/AC37</f>
        <v>925000.00000000012</v>
      </c>
      <c r="AC37" s="42">
        <f t="shared" ref="AC37" si="28">M37+$AE$10</f>
        <v>9.9999999999999978E-2</v>
      </c>
      <c r="AD37" s="90">
        <f>AD38</f>
        <v>92499.999999999985</v>
      </c>
      <c r="AE37" s="188">
        <f t="shared" ref="AE37:AH37" si="29">AE38</f>
        <v>0</v>
      </c>
      <c r="AF37" s="189">
        <f t="shared" si="29"/>
        <v>0</v>
      </c>
      <c r="AG37" s="189">
        <f t="shared" si="29"/>
        <v>0</v>
      </c>
      <c r="AH37" s="189">
        <f t="shared" si="29"/>
        <v>0</v>
      </c>
      <c r="AI37" s="161">
        <f t="shared" ref="AI37" si="30">SUM(AE37:AH37)</f>
        <v>0</v>
      </c>
      <c r="AK37" s="169">
        <v>5</v>
      </c>
      <c r="AO37" s="19" t="s">
        <v>63</v>
      </c>
    </row>
    <row r="38" spans="1:41" s="103" customFormat="1" ht="19.899999999999999" customHeight="1" x14ac:dyDescent="0.25">
      <c r="A38" s="51"/>
      <c r="B38" s="52"/>
      <c r="C38" s="165"/>
      <c r="D38" s="52"/>
      <c r="E38" s="115"/>
      <c r="F38" s="58"/>
      <c r="G38" s="58"/>
      <c r="H38" s="58"/>
      <c r="I38" s="55"/>
      <c r="J38" s="113">
        <f>J37</f>
        <v>9.9999999999999978E-2</v>
      </c>
      <c r="K38" s="212">
        <f>K37</f>
        <v>9.9999999999999978E-2</v>
      </c>
      <c r="L38" s="58"/>
      <c r="M38" s="58">
        <f>K38-L38</f>
        <v>9.9999999999999978E-2</v>
      </c>
      <c r="N38" s="166"/>
      <c r="O38" s="58"/>
      <c r="P38" s="58"/>
      <c r="Q38" s="58"/>
      <c r="R38" s="58"/>
      <c r="S38" s="58"/>
      <c r="T38" s="220"/>
      <c r="U38" s="88"/>
      <c r="V38" s="56"/>
      <c r="W38" s="57" t="s">
        <v>1519</v>
      </c>
      <c r="X38" s="53"/>
      <c r="Y38" s="91" t="s">
        <v>1349</v>
      </c>
      <c r="Z38" s="136">
        <f>AD38/AC38</f>
        <v>925000.00000000012</v>
      </c>
      <c r="AA38" s="58"/>
      <c r="AB38" s="53">
        <f>AD38/AC38</f>
        <v>925000.00000000012</v>
      </c>
      <c r="AC38" s="53">
        <f>M38+$AE$10</f>
        <v>9.9999999999999978E-2</v>
      </c>
      <c r="AD38" s="54">
        <f>SUM(AD39:AD45)</f>
        <v>92499.999999999985</v>
      </c>
      <c r="AE38" s="184">
        <f>SUMIFS($AD$37:$AD$12971,$V$37:$V$12971,$V38,$X$37:$X$12971,AE$13)</f>
        <v>0</v>
      </c>
      <c r="AF38" s="185">
        <f>SUMIFS($AD$37:$AD$12971,$V$37:$V$12971,$V38,$X$37:$X$12971,AF$13)</f>
        <v>0</v>
      </c>
      <c r="AG38" s="185">
        <f>SUMIFS($AD$37:$AD$12971,$V$37:$V$12971,$V38,$X$37:$X$12971,AG$13)</f>
        <v>0</v>
      </c>
      <c r="AH38" s="187">
        <f>SUMIFS($AD$37:$AD$12971,$V$37:$V$12971,$V38,$X$37:$X$12971,AH$13)</f>
        <v>0</v>
      </c>
      <c r="AI38" s="161">
        <f t="shared" ref="AI38" si="31">SUM(AE38:AH38)</f>
        <v>0</v>
      </c>
      <c r="AK38" s="172"/>
    </row>
    <row r="39" spans="1:41" s="102" customFormat="1" ht="19.899999999999999" customHeight="1" x14ac:dyDescent="0.25">
      <c r="A39" s="45"/>
      <c r="B39" s="59"/>
      <c r="C39" s="137"/>
      <c r="D39" s="59"/>
      <c r="E39" s="116"/>
      <c r="F39" s="120"/>
      <c r="G39" s="120"/>
      <c r="H39" s="120"/>
      <c r="I39" s="60"/>
      <c r="J39" s="116"/>
      <c r="K39" s="213"/>
      <c r="L39" s="120"/>
      <c r="M39" s="120"/>
      <c r="N39" s="167"/>
      <c r="O39" s="120"/>
      <c r="P39" s="120"/>
      <c r="Q39" s="120"/>
      <c r="R39" s="120"/>
      <c r="S39" s="120"/>
      <c r="T39" s="221"/>
      <c r="U39" s="89"/>
      <c r="V39" s="61"/>
      <c r="W39" s="92" t="s">
        <v>1520</v>
      </c>
      <c r="X39" s="93" t="s">
        <v>32</v>
      </c>
      <c r="Y39" s="93" t="s">
        <v>1349</v>
      </c>
      <c r="Z39" s="134">
        <f>VLOOKUP(W39,Sheet2!$B:$D,3,FALSE)</f>
        <v>25000</v>
      </c>
      <c r="AA39" s="93">
        <f>1/10</f>
        <v>0.1</v>
      </c>
      <c r="AB39" s="93">
        <f t="shared" ref="AB39" si="32">AD39/AC38</f>
        <v>249999.99999999997</v>
      </c>
      <c r="AC39" s="93">
        <f>AC38/AA39</f>
        <v>0.99999999999999978</v>
      </c>
      <c r="AD39" s="94">
        <f t="shared" ref="AD39:AD45" si="33">AC39*Z39</f>
        <v>24999.999999999993</v>
      </c>
      <c r="AE39" s="190"/>
      <c r="AF39" s="191"/>
      <c r="AG39" s="191"/>
      <c r="AH39" s="191"/>
      <c r="AI39" s="186"/>
      <c r="AK39" s="171"/>
    </row>
    <row r="40" spans="1:41" s="102" customFormat="1" ht="19.899999999999999" customHeight="1" x14ac:dyDescent="0.25">
      <c r="A40" s="45"/>
      <c r="B40" s="59"/>
      <c r="C40" s="137"/>
      <c r="D40" s="59"/>
      <c r="E40" s="116"/>
      <c r="F40" s="120"/>
      <c r="G40" s="120"/>
      <c r="H40" s="120"/>
      <c r="I40" s="60"/>
      <c r="J40" s="116"/>
      <c r="K40" s="213"/>
      <c r="L40" s="120"/>
      <c r="M40" s="120"/>
      <c r="N40" s="167"/>
      <c r="O40" s="120"/>
      <c r="P40" s="120"/>
      <c r="Q40" s="120"/>
      <c r="R40" s="120"/>
      <c r="S40" s="120"/>
      <c r="T40" s="221"/>
      <c r="U40" s="89"/>
      <c r="V40" s="61"/>
      <c r="W40" s="92" t="s">
        <v>1521</v>
      </c>
      <c r="X40" s="93" t="s">
        <v>32</v>
      </c>
      <c r="Y40" s="93" t="s">
        <v>1349</v>
      </c>
      <c r="Z40" s="134">
        <f>VLOOKUP(W40,Sheet2!$B:$D,3,FALSE)</f>
        <v>35000</v>
      </c>
      <c r="AA40" s="93">
        <v>0.1</v>
      </c>
      <c r="AB40" s="93">
        <f>AD40/AC38</f>
        <v>350000</v>
      </c>
      <c r="AC40" s="93">
        <f>AC38/AA40</f>
        <v>0.99999999999999978</v>
      </c>
      <c r="AD40" s="94">
        <f t="shared" si="33"/>
        <v>34999.999999999993</v>
      </c>
      <c r="AE40" s="190"/>
      <c r="AF40" s="191"/>
      <c r="AG40" s="191"/>
      <c r="AH40" s="191"/>
      <c r="AI40" s="186"/>
      <c r="AK40" s="171"/>
    </row>
    <row r="41" spans="1:41" s="102" customFormat="1" ht="19.899999999999999" customHeight="1" x14ac:dyDescent="0.25">
      <c r="A41" s="45"/>
      <c r="B41" s="59"/>
      <c r="C41" s="137"/>
      <c r="D41" s="59"/>
      <c r="E41" s="116"/>
      <c r="F41" s="120"/>
      <c r="G41" s="120"/>
      <c r="H41" s="120"/>
      <c r="I41" s="60"/>
      <c r="J41" s="116"/>
      <c r="K41" s="213"/>
      <c r="L41" s="120"/>
      <c r="M41" s="120"/>
      <c r="N41" s="167"/>
      <c r="O41" s="120"/>
      <c r="P41" s="120"/>
      <c r="Q41" s="120"/>
      <c r="R41" s="120"/>
      <c r="S41" s="120"/>
      <c r="T41" s="221"/>
      <c r="U41" s="89"/>
      <c r="V41" s="61"/>
      <c r="W41" s="92" t="s">
        <v>1522</v>
      </c>
      <c r="X41" s="93" t="s">
        <v>32</v>
      </c>
      <c r="Y41" s="93" t="s">
        <v>1349</v>
      </c>
      <c r="Z41" s="134">
        <f>VLOOKUP(W41,Sheet2!$B:$D,3,FALSE)</f>
        <v>10000</v>
      </c>
      <c r="AA41" s="93">
        <v>0.1</v>
      </c>
      <c r="AB41" s="93">
        <f>AD41/AC38</f>
        <v>100000</v>
      </c>
      <c r="AC41" s="93">
        <f>AC38/AA41</f>
        <v>0.99999999999999978</v>
      </c>
      <c r="AD41" s="94">
        <f t="shared" si="33"/>
        <v>9999.9999999999982</v>
      </c>
      <c r="AE41" s="190"/>
      <c r="AF41" s="191"/>
      <c r="AG41" s="191"/>
      <c r="AH41" s="191"/>
      <c r="AI41" s="186"/>
      <c r="AK41" s="171"/>
    </row>
    <row r="42" spans="1:41" s="102" customFormat="1" ht="19.899999999999999" customHeight="1" x14ac:dyDescent="0.25">
      <c r="A42" s="45"/>
      <c r="B42" s="59"/>
      <c r="C42" s="137"/>
      <c r="D42" s="59"/>
      <c r="E42" s="116"/>
      <c r="F42" s="120"/>
      <c r="G42" s="120"/>
      <c r="H42" s="120"/>
      <c r="I42" s="60"/>
      <c r="J42" s="116"/>
      <c r="K42" s="213"/>
      <c r="L42" s="120"/>
      <c r="M42" s="120"/>
      <c r="N42" s="167"/>
      <c r="O42" s="120"/>
      <c r="P42" s="120"/>
      <c r="Q42" s="120"/>
      <c r="R42" s="120"/>
      <c r="S42" s="120"/>
      <c r="T42" s="221"/>
      <c r="U42" s="89"/>
      <c r="V42" s="61"/>
      <c r="W42" s="92" t="s">
        <v>1523</v>
      </c>
      <c r="X42" s="93" t="s">
        <v>30</v>
      </c>
      <c r="Y42" s="93" t="s">
        <v>1349</v>
      </c>
      <c r="Z42" s="134">
        <f>VLOOKUP(W42,Sheet2!$B:$D,3,FALSE)</f>
        <v>13000</v>
      </c>
      <c r="AA42" s="93">
        <v>0.1</v>
      </c>
      <c r="AB42" s="93">
        <f>AD42/AC38</f>
        <v>129999.99999999999</v>
      </c>
      <c r="AC42" s="93">
        <f>AC38/AA42</f>
        <v>0.99999999999999978</v>
      </c>
      <c r="AD42" s="94">
        <f t="shared" si="33"/>
        <v>12999.999999999996</v>
      </c>
      <c r="AE42" s="190"/>
      <c r="AF42" s="191"/>
      <c r="AG42" s="191"/>
      <c r="AH42" s="191"/>
      <c r="AI42" s="186"/>
      <c r="AK42" s="171"/>
    </row>
    <row r="43" spans="1:41" s="102" customFormat="1" ht="19.899999999999999" customHeight="1" x14ac:dyDescent="0.25">
      <c r="A43" s="45"/>
      <c r="B43" s="59"/>
      <c r="C43" s="137"/>
      <c r="D43" s="59"/>
      <c r="E43" s="116"/>
      <c r="F43" s="120"/>
      <c r="G43" s="120"/>
      <c r="H43" s="120"/>
      <c r="I43" s="60"/>
      <c r="J43" s="116"/>
      <c r="K43" s="213"/>
      <c r="L43" s="120"/>
      <c r="M43" s="120"/>
      <c r="N43" s="167"/>
      <c r="O43" s="120"/>
      <c r="P43" s="120"/>
      <c r="Q43" s="120"/>
      <c r="R43" s="120"/>
      <c r="S43" s="120"/>
      <c r="T43" s="221"/>
      <c r="U43" s="89"/>
      <c r="V43" s="61"/>
      <c r="W43" s="92" t="s">
        <v>1524</v>
      </c>
      <c r="X43" s="93" t="s">
        <v>30</v>
      </c>
      <c r="Y43" s="93" t="s">
        <v>1349</v>
      </c>
      <c r="Z43" s="134">
        <f>VLOOKUP(W43,Sheet2!$B:$D,3,FALSE)</f>
        <v>6500</v>
      </c>
      <c r="AA43" s="93">
        <v>0.1</v>
      </c>
      <c r="AB43" s="93">
        <f>AD43/AC38</f>
        <v>64999.999999999993</v>
      </c>
      <c r="AC43" s="93">
        <f>AC38/AA43</f>
        <v>0.99999999999999978</v>
      </c>
      <c r="AD43" s="94">
        <f t="shared" si="33"/>
        <v>6499.9999999999982</v>
      </c>
      <c r="AE43" s="190"/>
      <c r="AF43" s="191"/>
      <c r="AG43" s="191"/>
      <c r="AH43" s="191"/>
      <c r="AI43" s="186"/>
      <c r="AK43" s="171"/>
    </row>
    <row r="44" spans="1:41" s="102" customFormat="1" ht="19.899999999999999" customHeight="1" x14ac:dyDescent="0.25">
      <c r="A44" s="45"/>
      <c r="B44" s="59"/>
      <c r="C44" s="137"/>
      <c r="D44" s="59"/>
      <c r="E44" s="116"/>
      <c r="F44" s="120"/>
      <c r="G44" s="120"/>
      <c r="H44" s="120"/>
      <c r="I44" s="60"/>
      <c r="J44" s="116"/>
      <c r="K44" s="213"/>
      <c r="L44" s="120"/>
      <c r="M44" s="120"/>
      <c r="N44" s="167"/>
      <c r="O44" s="120"/>
      <c r="P44" s="120"/>
      <c r="Q44" s="120"/>
      <c r="R44" s="120"/>
      <c r="S44" s="120"/>
      <c r="T44" s="221"/>
      <c r="U44" s="89"/>
      <c r="V44" s="61"/>
      <c r="W44" s="92" t="s">
        <v>107</v>
      </c>
      <c r="X44" s="93" t="s">
        <v>31</v>
      </c>
      <c r="Y44" s="93" t="s">
        <v>93</v>
      </c>
      <c r="Z44" s="134">
        <f>VLOOKUP(W44,Sheet2!$B:$D,3,FALSE)</f>
        <v>17</v>
      </c>
      <c r="AA44" s="311">
        <v>1E-3</v>
      </c>
      <c r="AB44" s="93">
        <f>AD44/AC38</f>
        <v>17000</v>
      </c>
      <c r="AC44" s="93">
        <f>AC38/AA44</f>
        <v>99.999999999999972</v>
      </c>
      <c r="AD44" s="94">
        <f t="shared" si="33"/>
        <v>1699.9999999999995</v>
      </c>
      <c r="AE44" s="190"/>
      <c r="AF44" s="191"/>
      <c r="AG44" s="191"/>
      <c r="AH44" s="191"/>
      <c r="AI44" s="186"/>
      <c r="AK44" s="171"/>
    </row>
    <row r="45" spans="1:41" s="102" customFormat="1" ht="19.899999999999999" customHeight="1" x14ac:dyDescent="0.25">
      <c r="A45" s="45"/>
      <c r="B45" s="59"/>
      <c r="C45" s="137"/>
      <c r="D45" s="59"/>
      <c r="E45" s="116"/>
      <c r="F45" s="120"/>
      <c r="G45" s="120"/>
      <c r="H45" s="120"/>
      <c r="I45" s="60"/>
      <c r="J45" s="116"/>
      <c r="K45" s="213"/>
      <c r="L45" s="120"/>
      <c r="M45" s="120"/>
      <c r="N45" s="167"/>
      <c r="O45" s="120"/>
      <c r="P45" s="120"/>
      <c r="Q45" s="120"/>
      <c r="R45" s="120"/>
      <c r="S45" s="120"/>
      <c r="T45" s="221"/>
      <c r="U45" s="89"/>
      <c r="V45" s="61"/>
      <c r="W45" s="92" t="s">
        <v>112</v>
      </c>
      <c r="X45" s="93" t="s">
        <v>31</v>
      </c>
      <c r="Y45" s="93" t="s">
        <v>93</v>
      </c>
      <c r="Z45" s="134">
        <f>VLOOKUP(W45,Sheet2!$B:$D,3,FALSE)</f>
        <v>13</v>
      </c>
      <c r="AA45" s="311">
        <v>1E-3</v>
      </c>
      <c r="AB45" s="93">
        <f>AD45/AC38</f>
        <v>12999.999999999998</v>
      </c>
      <c r="AC45" s="93">
        <f>AC38/AA45</f>
        <v>99.999999999999972</v>
      </c>
      <c r="AD45" s="94">
        <f t="shared" si="33"/>
        <v>1299.9999999999995</v>
      </c>
      <c r="AE45" s="190"/>
      <c r="AF45" s="191"/>
      <c r="AG45" s="191"/>
      <c r="AH45" s="191"/>
      <c r="AI45" s="186"/>
      <c r="AK45" s="171"/>
    </row>
    <row r="46" spans="1:41" ht="20.100000000000001" customHeight="1" x14ac:dyDescent="0.25">
      <c r="A46" s="277" t="s">
        <v>184</v>
      </c>
      <c r="B46" s="278">
        <v>2</v>
      </c>
      <c r="C46" s="64" t="s">
        <v>187</v>
      </c>
      <c r="D46" s="46" t="s">
        <v>188</v>
      </c>
      <c r="E46" s="114">
        <v>294</v>
      </c>
      <c r="F46" s="44">
        <v>2374</v>
      </c>
      <c r="G46" s="44">
        <f t="shared" si="15"/>
        <v>697956</v>
      </c>
      <c r="H46" s="44">
        <f t="shared" si="16"/>
        <v>153.0612244897959</v>
      </c>
      <c r="I46" s="43">
        <f t="shared" si="17"/>
        <v>44999.999999999993</v>
      </c>
      <c r="J46" s="112">
        <f t="shared" si="18"/>
        <v>294</v>
      </c>
      <c r="K46" s="211">
        <f t="shared" si="19"/>
        <v>294</v>
      </c>
      <c r="L46" s="44"/>
      <c r="M46" s="44">
        <f t="shared" ref="M46" si="34">K46-L46</f>
        <v>294</v>
      </c>
      <c r="N46" s="173">
        <f t="shared" si="21"/>
        <v>1</v>
      </c>
      <c r="O46" s="44">
        <f t="shared" si="22"/>
        <v>2374</v>
      </c>
      <c r="P46" s="44">
        <f t="shared" si="23"/>
        <v>697956</v>
      </c>
      <c r="Q46" s="44">
        <f t="shared" si="24"/>
        <v>153.0612244897959</v>
      </c>
      <c r="R46" s="44">
        <f t="shared" ref="R46" si="35">M46*Q46</f>
        <v>44999.999999999993</v>
      </c>
      <c r="S46" s="123"/>
      <c r="T46" s="219">
        <f t="shared" ref="T46" si="36">S46+R46</f>
        <v>44999.999999999993</v>
      </c>
      <c r="U46" s="87"/>
      <c r="V46" s="47"/>
      <c r="W46" s="48"/>
      <c r="X46" s="48"/>
      <c r="Y46" s="48"/>
      <c r="Z46" s="135"/>
      <c r="AA46" s="49"/>
      <c r="AB46" s="50">
        <f t="shared" si="27"/>
        <v>153.0612244897959</v>
      </c>
      <c r="AC46" s="42">
        <f t="shared" ref="AC46" si="37">M46+$AE$10</f>
        <v>294</v>
      </c>
      <c r="AD46" s="90">
        <f>AD47</f>
        <v>45000</v>
      </c>
      <c r="AE46" s="188">
        <f t="shared" ref="AE46:AH46" si="38">AE47</f>
        <v>0</v>
      </c>
      <c r="AF46" s="189">
        <f t="shared" si="38"/>
        <v>0</v>
      </c>
      <c r="AG46" s="189">
        <f t="shared" si="38"/>
        <v>0</v>
      </c>
      <c r="AH46" s="189">
        <f t="shared" si="38"/>
        <v>0</v>
      </c>
      <c r="AI46" s="161">
        <f t="shared" ref="AI46" si="39">SUM(AE46:AH46)</f>
        <v>0</v>
      </c>
      <c r="AK46" s="169">
        <v>5</v>
      </c>
      <c r="AO46" s="19" t="s">
        <v>63</v>
      </c>
    </row>
    <row r="47" spans="1:41" s="103" customFormat="1" ht="19.899999999999999" customHeight="1" x14ac:dyDescent="0.25">
      <c r="A47" s="51"/>
      <c r="B47" s="52"/>
      <c r="C47" s="165"/>
      <c r="D47" s="52"/>
      <c r="E47" s="115"/>
      <c r="F47" s="58"/>
      <c r="G47" s="58"/>
      <c r="H47" s="58"/>
      <c r="I47" s="55"/>
      <c r="J47" s="113">
        <f>J46</f>
        <v>294</v>
      </c>
      <c r="K47" s="212">
        <f>K46</f>
        <v>294</v>
      </c>
      <c r="L47" s="58"/>
      <c r="M47" s="58">
        <f>K47-L47</f>
        <v>294</v>
      </c>
      <c r="N47" s="166"/>
      <c r="O47" s="58"/>
      <c r="P47" s="58"/>
      <c r="Q47" s="58"/>
      <c r="R47" s="58"/>
      <c r="S47" s="58"/>
      <c r="T47" s="220"/>
      <c r="U47" s="88"/>
      <c r="V47" s="56"/>
      <c r="W47" s="57" t="s">
        <v>1525</v>
      </c>
      <c r="X47" s="53"/>
      <c r="Y47" s="91" t="s">
        <v>1349</v>
      </c>
      <c r="Z47" s="136">
        <f>AD47/AC47</f>
        <v>153.0612244897959</v>
      </c>
      <c r="AA47" s="58"/>
      <c r="AB47" s="53">
        <f>AD47/AC47</f>
        <v>153.0612244897959</v>
      </c>
      <c r="AC47" s="53">
        <f>M47+$AE$10</f>
        <v>294</v>
      </c>
      <c r="AD47" s="54">
        <f>SUM(AD48:AD50)</f>
        <v>45000</v>
      </c>
      <c r="AE47" s="184">
        <f>SUMIFS($AD$37:$AD$12971,$V$37:$V$12971,$V47,$X$37:$X$12971,AE$13)</f>
        <v>0</v>
      </c>
      <c r="AF47" s="185">
        <f>SUMIFS($AD$37:$AD$12971,$V$37:$V$12971,$V47,$X$37:$X$12971,AF$13)</f>
        <v>0</v>
      </c>
      <c r="AG47" s="185">
        <f>SUMIFS($AD$37:$AD$12971,$V$37:$V$12971,$V47,$X$37:$X$12971,AG$13)</f>
        <v>0</v>
      </c>
      <c r="AH47" s="187">
        <f>SUMIFS($AD$37:$AD$12971,$V$37:$V$12971,$V47,$X$37:$X$12971,AH$13)</f>
        <v>0</v>
      </c>
      <c r="AI47" s="161">
        <f t="shared" ref="AI47" si="40">SUM(AE47:AH47)</f>
        <v>0</v>
      </c>
      <c r="AK47" s="172"/>
    </row>
    <row r="48" spans="1:41" s="102" customFormat="1" ht="19.899999999999999" customHeight="1" x14ac:dyDescent="0.25">
      <c r="A48" s="45"/>
      <c r="B48" s="59"/>
      <c r="C48" s="137"/>
      <c r="D48" s="59"/>
      <c r="E48" s="116"/>
      <c r="F48" s="120"/>
      <c r="G48" s="120"/>
      <c r="H48" s="120"/>
      <c r="I48" s="60"/>
      <c r="J48" s="116"/>
      <c r="K48" s="213"/>
      <c r="L48" s="120"/>
      <c r="M48" s="120"/>
      <c r="N48" s="167"/>
      <c r="O48" s="120"/>
      <c r="P48" s="120"/>
      <c r="Q48" s="120"/>
      <c r="R48" s="120"/>
      <c r="S48" s="120"/>
      <c r="T48" s="221"/>
      <c r="U48" s="89"/>
      <c r="V48" s="61"/>
      <c r="W48" s="92" t="s">
        <v>1526</v>
      </c>
      <c r="X48" s="93" t="s">
        <v>32</v>
      </c>
      <c r="Y48" s="93" t="s">
        <v>1349</v>
      </c>
      <c r="Z48" s="134">
        <f>VLOOKUP(W48,Sheet2!$B:$D,3,FALSE)</f>
        <v>25000</v>
      </c>
      <c r="AA48" s="93">
        <v>294</v>
      </c>
      <c r="AB48" s="93">
        <f t="shared" ref="AB48" si="41">AD48/AC47</f>
        <v>85.034013605442183</v>
      </c>
      <c r="AC48" s="93">
        <f>AC47/AA48</f>
        <v>1</v>
      </c>
      <c r="AD48" s="94">
        <f t="shared" ref="AD48:AD50" si="42">AC48*Z48</f>
        <v>25000</v>
      </c>
      <c r="AE48" s="190"/>
      <c r="AF48" s="191"/>
      <c r="AG48" s="191"/>
      <c r="AH48" s="191"/>
      <c r="AI48" s="186"/>
      <c r="AK48" s="171"/>
    </row>
    <row r="49" spans="1:41" s="102" customFormat="1" ht="19.899999999999999" customHeight="1" x14ac:dyDescent="0.25">
      <c r="A49" s="45"/>
      <c r="B49" s="59"/>
      <c r="C49" s="137"/>
      <c r="D49" s="59"/>
      <c r="E49" s="116"/>
      <c r="F49" s="120"/>
      <c r="G49" s="120"/>
      <c r="H49" s="120"/>
      <c r="I49" s="60"/>
      <c r="J49" s="116"/>
      <c r="K49" s="213"/>
      <c r="L49" s="120"/>
      <c r="M49" s="120"/>
      <c r="N49" s="167"/>
      <c r="O49" s="120"/>
      <c r="P49" s="120"/>
      <c r="Q49" s="120"/>
      <c r="R49" s="120"/>
      <c r="S49" s="120"/>
      <c r="T49" s="221"/>
      <c r="U49" s="89"/>
      <c r="V49" s="61"/>
      <c r="W49" s="92" t="s">
        <v>1527</v>
      </c>
      <c r="X49" s="93" t="s">
        <v>32</v>
      </c>
      <c r="Y49" s="93" t="s">
        <v>1349</v>
      </c>
      <c r="Z49" s="134">
        <f>VLOOKUP(W49,Sheet2!$B:$D,3,FALSE)</f>
        <v>11000</v>
      </c>
      <c r="AA49" s="93">
        <v>294</v>
      </c>
      <c r="AB49" s="93">
        <f>AD49/AC47</f>
        <v>37.414965986394556</v>
      </c>
      <c r="AC49" s="93">
        <f>AC47/AA49</f>
        <v>1</v>
      </c>
      <c r="AD49" s="94">
        <f t="shared" si="42"/>
        <v>11000</v>
      </c>
      <c r="AE49" s="190"/>
      <c r="AF49" s="191"/>
      <c r="AG49" s="191"/>
      <c r="AH49" s="191"/>
      <c r="AI49" s="186"/>
      <c r="AK49" s="171"/>
    </row>
    <row r="50" spans="1:41" s="102" customFormat="1" ht="19.899999999999999" customHeight="1" x14ac:dyDescent="0.25">
      <c r="A50" s="45"/>
      <c r="B50" s="59"/>
      <c r="C50" s="137"/>
      <c r="D50" s="59"/>
      <c r="E50" s="116"/>
      <c r="F50" s="120"/>
      <c r="G50" s="120"/>
      <c r="H50" s="120"/>
      <c r="I50" s="60"/>
      <c r="J50" s="116"/>
      <c r="K50" s="213"/>
      <c r="L50" s="120"/>
      <c r="M50" s="120"/>
      <c r="N50" s="167"/>
      <c r="O50" s="120"/>
      <c r="P50" s="120"/>
      <c r="Q50" s="120"/>
      <c r="R50" s="120"/>
      <c r="S50" s="120"/>
      <c r="T50" s="221"/>
      <c r="U50" s="89"/>
      <c r="V50" s="61"/>
      <c r="W50" s="92" t="s">
        <v>1528</v>
      </c>
      <c r="X50" s="93" t="s">
        <v>32</v>
      </c>
      <c r="Y50" s="93" t="s">
        <v>1349</v>
      </c>
      <c r="Z50" s="134">
        <f>VLOOKUP(W50,Sheet2!$B:$D,3,FALSE)</f>
        <v>9000</v>
      </c>
      <c r="AA50" s="93">
        <v>294</v>
      </c>
      <c r="AB50" s="93">
        <f>AD50/AC47</f>
        <v>30.612244897959183</v>
      </c>
      <c r="AC50" s="93">
        <f>AC47/AA50</f>
        <v>1</v>
      </c>
      <c r="AD50" s="94">
        <f t="shared" si="42"/>
        <v>9000</v>
      </c>
      <c r="AE50" s="190"/>
      <c r="AF50" s="191"/>
      <c r="AG50" s="191"/>
      <c r="AH50" s="191"/>
      <c r="AI50" s="186"/>
      <c r="AK50" s="171"/>
    </row>
    <row r="51" spans="1:41" ht="20.100000000000001" customHeight="1" x14ac:dyDescent="0.25">
      <c r="A51" s="277" t="s">
        <v>184</v>
      </c>
      <c r="B51" s="278">
        <v>3</v>
      </c>
      <c r="C51" s="64" t="s">
        <v>189</v>
      </c>
      <c r="D51" s="46" t="s">
        <v>186</v>
      </c>
      <c r="E51" s="114">
        <v>0.30000000000000004</v>
      </c>
      <c r="F51" s="44">
        <v>12588</v>
      </c>
      <c r="G51" s="44">
        <f t="shared" si="15"/>
        <v>3776.4000000000005</v>
      </c>
      <c r="H51" s="44">
        <f t="shared" si="16"/>
        <v>93999.999999999985</v>
      </c>
      <c r="I51" s="43">
        <f t="shared" si="17"/>
        <v>28200</v>
      </c>
      <c r="J51" s="112">
        <f t="shared" si="18"/>
        <v>0.30000000000000004</v>
      </c>
      <c r="K51" s="211">
        <f t="shared" si="19"/>
        <v>0.30000000000000004</v>
      </c>
      <c r="L51" s="44"/>
      <c r="M51" s="44">
        <f t="shared" ref="M51" si="43">K51-L51</f>
        <v>0.30000000000000004</v>
      </c>
      <c r="N51" s="173">
        <f t="shared" si="21"/>
        <v>1</v>
      </c>
      <c r="O51" s="44">
        <f t="shared" si="22"/>
        <v>12588</v>
      </c>
      <c r="P51" s="44">
        <f t="shared" si="23"/>
        <v>3776.4000000000005</v>
      </c>
      <c r="Q51" s="44">
        <f t="shared" si="24"/>
        <v>93999.999999999985</v>
      </c>
      <c r="R51" s="44">
        <f t="shared" ref="R51" si="44">M51*Q51</f>
        <v>28200</v>
      </c>
      <c r="S51" s="123"/>
      <c r="T51" s="219">
        <f t="shared" ref="T51" si="45">S51+R51</f>
        <v>28200</v>
      </c>
      <c r="U51" s="87"/>
      <c r="V51" s="47"/>
      <c r="W51" s="48"/>
      <c r="X51" s="48"/>
      <c r="Y51" s="48"/>
      <c r="Z51" s="135"/>
      <c r="AA51" s="49"/>
      <c r="AB51" s="50">
        <f t="shared" si="27"/>
        <v>93999.999999999985</v>
      </c>
      <c r="AC51" s="42">
        <f t="shared" ref="AC51" si="46">M51+$AE$10</f>
        <v>0.30000000000000004</v>
      </c>
      <c r="AD51" s="90">
        <f>AD52</f>
        <v>28200</v>
      </c>
      <c r="AE51" s="188">
        <f t="shared" ref="AE51:AH51" si="47">AE52</f>
        <v>0</v>
      </c>
      <c r="AF51" s="189">
        <f t="shared" si="47"/>
        <v>0</v>
      </c>
      <c r="AG51" s="189">
        <f t="shared" si="47"/>
        <v>0</v>
      </c>
      <c r="AH51" s="189">
        <f t="shared" si="47"/>
        <v>0</v>
      </c>
      <c r="AI51" s="161">
        <f t="shared" ref="AI51:AI52" si="48">SUM(AE51:AH51)</f>
        <v>0</v>
      </c>
      <c r="AK51" s="169">
        <v>5</v>
      </c>
      <c r="AO51" s="19" t="s">
        <v>63</v>
      </c>
    </row>
    <row r="52" spans="1:41" s="103" customFormat="1" ht="19.899999999999999" customHeight="1" x14ac:dyDescent="0.25">
      <c r="A52" s="51"/>
      <c r="B52" s="52"/>
      <c r="C52" s="165"/>
      <c r="D52" s="52"/>
      <c r="E52" s="115"/>
      <c r="F52" s="58"/>
      <c r="G52" s="58"/>
      <c r="H52" s="58"/>
      <c r="I52" s="55"/>
      <c r="J52" s="113">
        <f>J51</f>
        <v>0.30000000000000004</v>
      </c>
      <c r="K52" s="212">
        <f>K51</f>
        <v>0.30000000000000004</v>
      </c>
      <c r="L52" s="58"/>
      <c r="M52" s="58">
        <f>K52-L52</f>
        <v>0.30000000000000004</v>
      </c>
      <c r="N52" s="166"/>
      <c r="O52" s="58"/>
      <c r="P52" s="58"/>
      <c r="Q52" s="58"/>
      <c r="R52" s="58"/>
      <c r="S52" s="58"/>
      <c r="T52" s="220"/>
      <c r="U52" s="88"/>
      <c r="V52" s="56"/>
      <c r="W52" s="57" t="s">
        <v>189</v>
      </c>
      <c r="X52" s="53"/>
      <c r="Y52" s="91" t="s">
        <v>1349</v>
      </c>
      <c r="Z52" s="136">
        <f>AD52/AC52</f>
        <v>93999.999999999985</v>
      </c>
      <c r="AA52" s="58"/>
      <c r="AB52" s="53">
        <f>AD52/AC52</f>
        <v>93999.999999999985</v>
      </c>
      <c r="AC52" s="53">
        <f>M52+$AE$10</f>
        <v>0.30000000000000004</v>
      </c>
      <c r="AD52" s="54">
        <f>SUM(AD53)</f>
        <v>28200</v>
      </c>
      <c r="AE52" s="184">
        <f>SUMIFS($AD$37:$AD$12971,$V$37:$V$12971,$V52,$X$37:$X$12971,AE$13)</f>
        <v>0</v>
      </c>
      <c r="AF52" s="185">
        <f>SUMIFS($AD$37:$AD$12971,$V$37:$V$12971,$V52,$X$37:$X$12971,AF$13)</f>
        <v>0</v>
      </c>
      <c r="AG52" s="185">
        <f>SUMIFS($AD$37:$AD$12971,$V$37:$V$12971,$V52,$X$37:$X$12971,AG$13)</f>
        <v>0</v>
      </c>
      <c r="AH52" s="187">
        <f>SUMIFS($AD$37:$AD$12971,$V$37:$V$12971,$V52,$X$37:$X$12971,AH$13)</f>
        <v>0</v>
      </c>
      <c r="AI52" s="161">
        <f t="shared" si="48"/>
        <v>0</v>
      </c>
      <c r="AK52" s="172"/>
    </row>
    <row r="53" spans="1:41" s="102" customFormat="1" ht="19.899999999999999" customHeight="1" x14ac:dyDescent="0.25">
      <c r="A53" s="45"/>
      <c r="B53" s="59"/>
      <c r="C53" s="137"/>
      <c r="D53" s="59"/>
      <c r="E53" s="116"/>
      <c r="F53" s="120"/>
      <c r="G53" s="120"/>
      <c r="H53" s="120"/>
      <c r="I53" s="60"/>
      <c r="J53" s="116"/>
      <c r="K53" s="213"/>
      <c r="L53" s="120"/>
      <c r="M53" s="120"/>
      <c r="N53" s="167"/>
      <c r="O53" s="120"/>
      <c r="P53" s="120"/>
      <c r="Q53" s="120"/>
      <c r="R53" s="120"/>
      <c r="S53" s="120"/>
      <c r="T53" s="221"/>
      <c r="U53" s="89"/>
      <c r="V53" s="61"/>
      <c r="W53" s="92" t="s">
        <v>189</v>
      </c>
      <c r="X53" s="93" t="s">
        <v>32</v>
      </c>
      <c r="Y53" s="93" t="s">
        <v>1349</v>
      </c>
      <c r="Z53" s="134">
        <f>VLOOKUP(W53,Sheet2!$B:$D,3,FALSE)</f>
        <v>93999.999999999985</v>
      </c>
      <c r="AA53" s="93">
        <v>1</v>
      </c>
      <c r="AB53" s="93">
        <f t="shared" ref="AB53" si="49">AD53/AC52</f>
        <v>93999.999999999985</v>
      </c>
      <c r="AC53" s="93">
        <f>AC52/AA53</f>
        <v>0.30000000000000004</v>
      </c>
      <c r="AD53" s="94">
        <f t="shared" ref="AD53" si="50">AC53*Z53</f>
        <v>28200</v>
      </c>
      <c r="AE53" s="190"/>
      <c r="AF53" s="191"/>
      <c r="AG53" s="191"/>
      <c r="AH53" s="191"/>
      <c r="AI53" s="186"/>
      <c r="AK53" s="171"/>
    </row>
    <row r="54" spans="1:41" ht="20.100000000000001" customHeight="1" x14ac:dyDescent="0.25">
      <c r="A54" s="277" t="s">
        <v>184</v>
      </c>
      <c r="B54" s="278">
        <v>4</v>
      </c>
      <c r="C54" s="64" t="s">
        <v>190</v>
      </c>
      <c r="D54" s="46" t="s">
        <v>186</v>
      </c>
      <c r="E54" s="114">
        <v>0.5</v>
      </c>
      <c r="F54" s="44">
        <v>8812</v>
      </c>
      <c r="G54" s="44">
        <f t="shared" si="15"/>
        <v>4406</v>
      </c>
      <c r="H54" s="44">
        <f t="shared" si="16"/>
        <v>112800</v>
      </c>
      <c r="I54" s="43">
        <f t="shared" si="17"/>
        <v>56400</v>
      </c>
      <c r="J54" s="112">
        <f t="shared" si="18"/>
        <v>0.5</v>
      </c>
      <c r="K54" s="211">
        <f t="shared" si="19"/>
        <v>0.5</v>
      </c>
      <c r="L54" s="44"/>
      <c r="M54" s="44">
        <f t="shared" ref="M54" si="51">K54-L54</f>
        <v>0.5</v>
      </c>
      <c r="N54" s="173">
        <f t="shared" si="21"/>
        <v>1</v>
      </c>
      <c r="O54" s="44">
        <f t="shared" si="22"/>
        <v>8812</v>
      </c>
      <c r="P54" s="44">
        <f t="shared" si="23"/>
        <v>4406</v>
      </c>
      <c r="Q54" s="44">
        <f t="shared" si="24"/>
        <v>112800</v>
      </c>
      <c r="R54" s="44">
        <f t="shared" ref="R54" si="52">M54*Q54</f>
        <v>56400</v>
      </c>
      <c r="S54" s="123"/>
      <c r="T54" s="219">
        <f t="shared" ref="T54" si="53">S54+R54</f>
        <v>56400</v>
      </c>
      <c r="U54" s="87"/>
      <c r="V54" s="47"/>
      <c r="W54" s="48"/>
      <c r="X54" s="48"/>
      <c r="Y54" s="48"/>
      <c r="Z54" s="135"/>
      <c r="AA54" s="49"/>
      <c r="AB54" s="50">
        <f t="shared" si="27"/>
        <v>112800</v>
      </c>
      <c r="AC54" s="42">
        <f t="shared" ref="AC54" si="54">M54+$AE$10</f>
        <v>0.5</v>
      </c>
      <c r="AD54" s="90">
        <f>AD55</f>
        <v>56400</v>
      </c>
      <c r="AE54" s="188">
        <f t="shared" ref="AE54:AH54" si="55">AE55</f>
        <v>0</v>
      </c>
      <c r="AF54" s="189">
        <f t="shared" si="55"/>
        <v>0</v>
      </c>
      <c r="AG54" s="189">
        <f t="shared" si="55"/>
        <v>0</v>
      </c>
      <c r="AH54" s="189">
        <f t="shared" si="55"/>
        <v>0</v>
      </c>
      <c r="AI54" s="161">
        <f t="shared" ref="AI54:AI55" si="56">SUM(AE54:AH54)</f>
        <v>0</v>
      </c>
      <c r="AK54" s="169">
        <v>5</v>
      </c>
      <c r="AO54" s="19" t="s">
        <v>63</v>
      </c>
    </row>
    <row r="55" spans="1:41" s="103" customFormat="1" ht="19.899999999999999" customHeight="1" x14ac:dyDescent="0.25">
      <c r="A55" s="51"/>
      <c r="B55" s="52"/>
      <c r="C55" s="165"/>
      <c r="D55" s="52"/>
      <c r="E55" s="115"/>
      <c r="F55" s="58"/>
      <c r="G55" s="58"/>
      <c r="H55" s="58"/>
      <c r="I55" s="55"/>
      <c r="J55" s="113">
        <f>J54</f>
        <v>0.5</v>
      </c>
      <c r="K55" s="212">
        <f>K54</f>
        <v>0.5</v>
      </c>
      <c r="L55" s="58"/>
      <c r="M55" s="58">
        <f>K55-L55</f>
        <v>0.5</v>
      </c>
      <c r="N55" s="166"/>
      <c r="O55" s="58"/>
      <c r="P55" s="58"/>
      <c r="Q55" s="58"/>
      <c r="R55" s="58"/>
      <c r="S55" s="58"/>
      <c r="T55" s="220"/>
      <c r="U55" s="88"/>
      <c r="V55" s="56"/>
      <c r="W55" s="57" t="s">
        <v>190</v>
      </c>
      <c r="X55" s="53"/>
      <c r="Y55" s="91" t="s">
        <v>1349</v>
      </c>
      <c r="Z55" s="136">
        <f>AD55/AC55</f>
        <v>112800</v>
      </c>
      <c r="AA55" s="58"/>
      <c r="AB55" s="53">
        <f>AD55/AC55</f>
        <v>112800</v>
      </c>
      <c r="AC55" s="53">
        <f>M55+$AE$10</f>
        <v>0.5</v>
      </c>
      <c r="AD55" s="54">
        <f>SUM(AD56)</f>
        <v>56400</v>
      </c>
      <c r="AE55" s="184">
        <f>SUMIFS($AD$37:$AD$12971,$V$37:$V$12971,$V55,$X$37:$X$12971,AE$13)</f>
        <v>0</v>
      </c>
      <c r="AF55" s="185">
        <f>SUMIFS($AD$37:$AD$12971,$V$37:$V$12971,$V55,$X$37:$X$12971,AF$13)</f>
        <v>0</v>
      </c>
      <c r="AG55" s="185">
        <f>SUMIFS($AD$37:$AD$12971,$V$37:$V$12971,$V55,$X$37:$X$12971,AG$13)</f>
        <v>0</v>
      </c>
      <c r="AH55" s="187">
        <f>SUMIFS($AD$37:$AD$12971,$V$37:$V$12971,$V55,$X$37:$X$12971,AH$13)</f>
        <v>0</v>
      </c>
      <c r="AI55" s="161">
        <f t="shared" si="56"/>
        <v>0</v>
      </c>
      <c r="AK55" s="172"/>
    </row>
    <row r="56" spans="1:41" s="102" customFormat="1" ht="19.899999999999999" customHeight="1" x14ac:dyDescent="0.25">
      <c r="A56" s="45"/>
      <c r="B56" s="59"/>
      <c r="C56" s="137"/>
      <c r="D56" s="59"/>
      <c r="E56" s="116"/>
      <c r="F56" s="120"/>
      <c r="G56" s="120"/>
      <c r="H56" s="120"/>
      <c r="I56" s="60"/>
      <c r="J56" s="116"/>
      <c r="K56" s="213"/>
      <c r="L56" s="120"/>
      <c r="M56" s="120"/>
      <c r="N56" s="167"/>
      <c r="O56" s="120"/>
      <c r="P56" s="120"/>
      <c r="Q56" s="120"/>
      <c r="R56" s="120"/>
      <c r="S56" s="120"/>
      <c r="T56" s="221"/>
      <c r="U56" s="89"/>
      <c r="V56" s="61"/>
      <c r="W56" s="92" t="s">
        <v>190</v>
      </c>
      <c r="X56" s="93" t="s">
        <v>32</v>
      </c>
      <c r="Y56" s="93" t="s">
        <v>1349</v>
      </c>
      <c r="Z56" s="134">
        <f>VLOOKUP(W56,Sheet2!$B:$D,3,FALSE)</f>
        <v>112800</v>
      </c>
      <c r="AA56" s="93">
        <v>1</v>
      </c>
      <c r="AB56" s="93">
        <f t="shared" ref="AB56" si="57">AD56/AC55</f>
        <v>112800</v>
      </c>
      <c r="AC56" s="93">
        <f>AC55/AA56</f>
        <v>0.5</v>
      </c>
      <c r="AD56" s="94">
        <f t="shared" ref="AD56" si="58">AC56*Z56</f>
        <v>56400</v>
      </c>
      <c r="AE56" s="190"/>
      <c r="AF56" s="191"/>
      <c r="AG56" s="191"/>
      <c r="AH56" s="191"/>
      <c r="AI56" s="186"/>
      <c r="AK56" s="171"/>
    </row>
    <row r="57" spans="1:41" ht="20.100000000000001" customHeight="1" x14ac:dyDescent="0.25">
      <c r="A57" s="277" t="s">
        <v>184</v>
      </c>
      <c r="B57" s="278">
        <v>5</v>
      </c>
      <c r="C57" s="64" t="s">
        <v>191</v>
      </c>
      <c r="D57" s="46" t="s">
        <v>186</v>
      </c>
      <c r="E57" s="114">
        <v>0.30000000000000004</v>
      </c>
      <c r="F57" s="44">
        <v>10070</v>
      </c>
      <c r="G57" s="44">
        <f t="shared" si="15"/>
        <v>3021.0000000000005</v>
      </c>
      <c r="H57" s="44">
        <f t="shared" si="16"/>
        <v>93999.999999999985</v>
      </c>
      <c r="I57" s="43">
        <f t="shared" si="17"/>
        <v>28200</v>
      </c>
      <c r="J57" s="112">
        <f t="shared" si="18"/>
        <v>0.30000000000000004</v>
      </c>
      <c r="K57" s="211">
        <f t="shared" si="19"/>
        <v>0.30000000000000004</v>
      </c>
      <c r="L57" s="44"/>
      <c r="M57" s="44">
        <f t="shared" ref="M57" si="59">K57-L57</f>
        <v>0.30000000000000004</v>
      </c>
      <c r="N57" s="173">
        <f t="shared" si="21"/>
        <v>1</v>
      </c>
      <c r="O57" s="44">
        <f t="shared" si="22"/>
        <v>10070</v>
      </c>
      <c r="P57" s="44">
        <f t="shared" si="23"/>
        <v>3021.0000000000005</v>
      </c>
      <c r="Q57" s="44">
        <f t="shared" si="24"/>
        <v>93999.999999999985</v>
      </c>
      <c r="R57" s="44">
        <f t="shared" ref="R57" si="60">M57*Q57</f>
        <v>28200</v>
      </c>
      <c r="S57" s="123"/>
      <c r="T57" s="219">
        <f t="shared" ref="T57" si="61">S57+R57</f>
        <v>28200</v>
      </c>
      <c r="U57" s="87"/>
      <c r="V57" s="47"/>
      <c r="W57" s="48"/>
      <c r="X57" s="48"/>
      <c r="Y57" s="48"/>
      <c r="Z57" s="135"/>
      <c r="AA57" s="49"/>
      <c r="AB57" s="50">
        <f t="shared" si="27"/>
        <v>93999.999999999985</v>
      </c>
      <c r="AC57" s="42">
        <f t="shared" ref="AC57" si="62">M57+$AE$10</f>
        <v>0.30000000000000004</v>
      </c>
      <c r="AD57" s="90">
        <f>AD58</f>
        <v>28200</v>
      </c>
      <c r="AE57" s="188">
        <f t="shared" ref="AE57:AH57" si="63">AE58</f>
        <v>0</v>
      </c>
      <c r="AF57" s="189">
        <f t="shared" si="63"/>
        <v>0</v>
      </c>
      <c r="AG57" s="189">
        <f t="shared" si="63"/>
        <v>0</v>
      </c>
      <c r="AH57" s="189">
        <f t="shared" si="63"/>
        <v>0</v>
      </c>
      <c r="AI57" s="161">
        <f t="shared" ref="AI57:AI58" si="64">SUM(AE57:AH57)</f>
        <v>0</v>
      </c>
      <c r="AK57" s="169">
        <v>5</v>
      </c>
      <c r="AO57" s="19" t="s">
        <v>63</v>
      </c>
    </row>
    <row r="58" spans="1:41" s="103" customFormat="1" ht="19.899999999999999" customHeight="1" x14ac:dyDescent="0.25">
      <c r="A58" s="51"/>
      <c r="B58" s="52"/>
      <c r="C58" s="165"/>
      <c r="D58" s="52"/>
      <c r="E58" s="115"/>
      <c r="F58" s="58"/>
      <c r="G58" s="58"/>
      <c r="H58" s="58"/>
      <c r="I58" s="55"/>
      <c r="J58" s="113">
        <f>J57</f>
        <v>0.30000000000000004</v>
      </c>
      <c r="K58" s="212">
        <f>K57</f>
        <v>0.30000000000000004</v>
      </c>
      <c r="L58" s="58"/>
      <c r="M58" s="58">
        <f>K58-L58</f>
        <v>0.30000000000000004</v>
      </c>
      <c r="N58" s="166"/>
      <c r="O58" s="58"/>
      <c r="P58" s="58"/>
      <c r="Q58" s="58"/>
      <c r="R58" s="58"/>
      <c r="S58" s="58"/>
      <c r="T58" s="220"/>
      <c r="U58" s="88"/>
      <c r="V58" s="56"/>
      <c r="W58" s="57" t="s">
        <v>191</v>
      </c>
      <c r="X58" s="53"/>
      <c r="Y58" s="91" t="s">
        <v>1349</v>
      </c>
      <c r="Z58" s="136">
        <f>AD58/AC58</f>
        <v>93999.999999999985</v>
      </c>
      <c r="AA58" s="58"/>
      <c r="AB58" s="53">
        <f>AD58/AC58</f>
        <v>93999.999999999985</v>
      </c>
      <c r="AC58" s="53">
        <f>M58+$AE$10</f>
        <v>0.30000000000000004</v>
      </c>
      <c r="AD58" s="54">
        <f>SUM(AD59)</f>
        <v>28200</v>
      </c>
      <c r="AE58" s="184">
        <f>SUMIFS($AD$37:$AD$12971,$V$37:$V$12971,$V58,$X$37:$X$12971,AE$13)</f>
        <v>0</v>
      </c>
      <c r="AF58" s="185">
        <f>SUMIFS($AD$37:$AD$12971,$V$37:$V$12971,$V58,$X$37:$X$12971,AF$13)</f>
        <v>0</v>
      </c>
      <c r="AG58" s="185">
        <f>SUMIFS($AD$37:$AD$12971,$V$37:$V$12971,$V58,$X$37:$X$12971,AG$13)</f>
        <v>0</v>
      </c>
      <c r="AH58" s="187">
        <f>SUMIFS($AD$37:$AD$12971,$V$37:$V$12971,$V58,$X$37:$X$12971,AH$13)</f>
        <v>0</v>
      </c>
      <c r="AI58" s="161">
        <f t="shared" si="64"/>
        <v>0</v>
      </c>
      <c r="AK58" s="172"/>
    </row>
    <row r="59" spans="1:41" s="102" customFormat="1" ht="19.899999999999999" customHeight="1" x14ac:dyDescent="0.25">
      <c r="A59" s="45"/>
      <c r="B59" s="59"/>
      <c r="C59" s="137"/>
      <c r="D59" s="59"/>
      <c r="E59" s="116"/>
      <c r="F59" s="120"/>
      <c r="G59" s="120"/>
      <c r="H59" s="120"/>
      <c r="I59" s="60"/>
      <c r="J59" s="116"/>
      <c r="K59" s="213"/>
      <c r="L59" s="120"/>
      <c r="M59" s="120"/>
      <c r="N59" s="167"/>
      <c r="O59" s="120"/>
      <c r="P59" s="120"/>
      <c r="Q59" s="120"/>
      <c r="R59" s="120"/>
      <c r="S59" s="120"/>
      <c r="T59" s="221"/>
      <c r="U59" s="89"/>
      <c r="V59" s="61"/>
      <c r="W59" s="92" t="s">
        <v>191</v>
      </c>
      <c r="X59" s="93" t="s">
        <v>32</v>
      </c>
      <c r="Y59" s="93" t="s">
        <v>1349</v>
      </c>
      <c r="Z59" s="134">
        <f>VLOOKUP(W59,Sheet2!$B:$D,3,FALSE)</f>
        <v>93999.999999999985</v>
      </c>
      <c r="AA59" s="93">
        <v>1</v>
      </c>
      <c r="AB59" s="93">
        <f t="shared" ref="AB59" si="65">AD59/AC58</f>
        <v>93999.999999999985</v>
      </c>
      <c r="AC59" s="93">
        <f>AC58/AA59</f>
        <v>0.30000000000000004</v>
      </c>
      <c r="AD59" s="94">
        <f t="shared" ref="AD59" si="66">AC59*Z59</f>
        <v>28200</v>
      </c>
      <c r="AE59" s="190"/>
      <c r="AF59" s="191"/>
      <c r="AG59" s="191"/>
      <c r="AH59" s="191"/>
      <c r="AI59" s="186"/>
      <c r="AK59" s="171"/>
    </row>
    <row r="60" spans="1:41" ht="20.100000000000001" customHeight="1" x14ac:dyDescent="0.25">
      <c r="A60" s="277" t="s">
        <v>184</v>
      </c>
      <c r="B60" s="278">
        <v>6</v>
      </c>
      <c r="C60" s="64" t="s">
        <v>192</v>
      </c>
      <c r="D60" s="46" t="s">
        <v>186</v>
      </c>
      <c r="E60" s="114">
        <v>0.30000000000000004</v>
      </c>
      <c r="F60" s="44">
        <v>1727084</v>
      </c>
      <c r="G60" s="44">
        <f t="shared" si="15"/>
        <v>518125.20000000007</v>
      </c>
      <c r="H60" s="44">
        <f t="shared" si="16"/>
        <v>2000000.0000000005</v>
      </c>
      <c r="I60" s="43">
        <f t="shared" si="17"/>
        <v>600000.00000000023</v>
      </c>
      <c r="J60" s="112">
        <f t="shared" si="18"/>
        <v>0.30000000000000004</v>
      </c>
      <c r="K60" s="211">
        <f t="shared" si="19"/>
        <v>0.30000000000000004</v>
      </c>
      <c r="L60" s="44"/>
      <c r="M60" s="44">
        <f t="shared" ref="M60" si="67">K60-L60</f>
        <v>0.30000000000000004</v>
      </c>
      <c r="N60" s="173">
        <f t="shared" si="21"/>
        <v>1</v>
      </c>
      <c r="O60" s="44">
        <f t="shared" si="22"/>
        <v>1727084</v>
      </c>
      <c r="P60" s="44">
        <f t="shared" si="23"/>
        <v>518125.20000000007</v>
      </c>
      <c r="Q60" s="44">
        <f t="shared" si="24"/>
        <v>2000000.0000000005</v>
      </c>
      <c r="R60" s="44">
        <f t="shared" ref="R60" si="68">M60*Q60</f>
        <v>600000.00000000023</v>
      </c>
      <c r="S60" s="123"/>
      <c r="T60" s="219">
        <f t="shared" ref="T60" si="69">S60+R60</f>
        <v>600000.00000000023</v>
      </c>
      <c r="U60" s="87"/>
      <c r="V60" s="47"/>
      <c r="W60" s="48"/>
      <c r="X60" s="48"/>
      <c r="Y60" s="48"/>
      <c r="Z60" s="135"/>
      <c r="AA60" s="49"/>
      <c r="AB60" s="50">
        <f t="shared" si="27"/>
        <v>2000000.0000000005</v>
      </c>
      <c r="AC60" s="42">
        <f t="shared" ref="AC60" si="70">M60+$AE$10</f>
        <v>0.30000000000000004</v>
      </c>
      <c r="AD60" s="90">
        <f>AD61</f>
        <v>600000.00000000023</v>
      </c>
      <c r="AE60" s="188">
        <f t="shared" ref="AE60:AH60" si="71">AE61</f>
        <v>0</v>
      </c>
      <c r="AF60" s="189">
        <f t="shared" si="71"/>
        <v>0</v>
      </c>
      <c r="AG60" s="189">
        <f t="shared" si="71"/>
        <v>0</v>
      </c>
      <c r="AH60" s="189">
        <f t="shared" si="71"/>
        <v>0</v>
      </c>
      <c r="AI60" s="161">
        <f t="shared" ref="AI60:AI61" si="72">SUM(AE60:AH60)</f>
        <v>0</v>
      </c>
      <c r="AK60" s="169">
        <v>5</v>
      </c>
      <c r="AO60" s="19" t="s">
        <v>63</v>
      </c>
    </row>
    <row r="61" spans="1:41" s="103" customFormat="1" ht="19.899999999999999" customHeight="1" x14ac:dyDescent="0.25">
      <c r="A61" s="51"/>
      <c r="B61" s="52"/>
      <c r="C61" s="165"/>
      <c r="D61" s="52"/>
      <c r="E61" s="115"/>
      <c r="F61" s="58"/>
      <c r="G61" s="58"/>
      <c r="H61" s="58"/>
      <c r="I61" s="55"/>
      <c r="J61" s="113">
        <f>J60</f>
        <v>0.30000000000000004</v>
      </c>
      <c r="K61" s="212">
        <f>K60</f>
        <v>0.30000000000000004</v>
      </c>
      <c r="L61" s="58"/>
      <c r="M61" s="58">
        <f>K61-L61</f>
        <v>0.30000000000000004</v>
      </c>
      <c r="N61" s="166"/>
      <c r="O61" s="58"/>
      <c r="P61" s="58"/>
      <c r="Q61" s="58"/>
      <c r="R61" s="58"/>
      <c r="S61" s="58"/>
      <c r="T61" s="220"/>
      <c r="U61" s="88"/>
      <c r="V61" s="56"/>
      <c r="W61" s="57" t="s">
        <v>1529</v>
      </c>
      <c r="X61" s="53"/>
      <c r="Y61" s="91" t="s">
        <v>1349</v>
      </c>
      <c r="Z61" s="136">
        <f>AD61/AC61</f>
        <v>2000000.0000000005</v>
      </c>
      <c r="AA61" s="58"/>
      <c r="AB61" s="53">
        <f>AD61/AC61</f>
        <v>2000000.0000000005</v>
      </c>
      <c r="AC61" s="53">
        <f>M61+$AE$10</f>
        <v>0.30000000000000004</v>
      </c>
      <c r="AD61" s="54">
        <f>SUM(AD62:AD62)</f>
        <v>600000.00000000023</v>
      </c>
      <c r="AE61" s="184">
        <f>SUMIFS($AD$37:$AD$12971,$V$37:$V$12971,$V61,$X$37:$X$12971,AE$13)</f>
        <v>0</v>
      </c>
      <c r="AF61" s="185">
        <f>SUMIFS($AD$37:$AD$12971,$V$37:$V$12971,$V61,$X$37:$X$12971,AF$13)</f>
        <v>0</v>
      </c>
      <c r="AG61" s="185">
        <f>SUMIFS($AD$37:$AD$12971,$V$37:$V$12971,$V61,$X$37:$X$12971,AG$13)</f>
        <v>0</v>
      </c>
      <c r="AH61" s="187">
        <f>SUMIFS($AD$37:$AD$12971,$V$37:$V$12971,$V61,$X$37:$X$12971,AH$13)</f>
        <v>0</v>
      </c>
      <c r="AI61" s="161">
        <f t="shared" si="72"/>
        <v>0</v>
      </c>
      <c r="AK61" s="172"/>
    </row>
    <row r="62" spans="1:41" s="102" customFormat="1" ht="19.899999999999999" customHeight="1" x14ac:dyDescent="0.25">
      <c r="A62" s="45"/>
      <c r="B62" s="59"/>
      <c r="C62" s="137"/>
      <c r="D62" s="59"/>
      <c r="E62" s="116"/>
      <c r="F62" s="120"/>
      <c r="G62" s="120"/>
      <c r="H62" s="120"/>
      <c r="I62" s="60"/>
      <c r="J62" s="116"/>
      <c r="K62" s="213"/>
      <c r="L62" s="120"/>
      <c r="M62" s="120"/>
      <c r="N62" s="167"/>
      <c r="O62" s="120"/>
      <c r="P62" s="120"/>
      <c r="Q62" s="120"/>
      <c r="R62" s="120"/>
      <c r="S62" s="120"/>
      <c r="T62" s="221"/>
      <c r="U62" s="89"/>
      <c r="V62" s="61"/>
      <c r="W62" s="92" t="s">
        <v>1531</v>
      </c>
      <c r="X62" s="93" t="s">
        <v>32</v>
      </c>
      <c r="Y62" s="93" t="s">
        <v>1530</v>
      </c>
      <c r="Z62" s="134">
        <f>VLOOKUP(W62,Sheet2!$B:$D,3,FALSE)</f>
        <v>25000</v>
      </c>
      <c r="AA62" s="93">
        <f>0.3/24</f>
        <v>1.2499999999999999E-2</v>
      </c>
      <c r="AB62" s="93">
        <f t="shared" ref="AB62" si="73">AD62/AC61</f>
        <v>2000000.0000000005</v>
      </c>
      <c r="AC62" s="93">
        <f>AC61/AA62</f>
        <v>24.000000000000007</v>
      </c>
      <c r="AD62" s="94">
        <f t="shared" ref="AD62" si="74">AC62*Z62</f>
        <v>600000.00000000023</v>
      </c>
      <c r="AE62" s="190"/>
      <c r="AF62" s="191"/>
      <c r="AG62" s="191"/>
      <c r="AH62" s="191"/>
      <c r="AI62" s="186"/>
      <c r="AK62" s="171"/>
    </row>
    <row r="63" spans="1:41" ht="20.100000000000001" customHeight="1" x14ac:dyDescent="0.25">
      <c r="A63" s="277" t="s">
        <v>184</v>
      </c>
      <c r="B63" s="278">
        <v>7</v>
      </c>
      <c r="C63" s="64" t="s">
        <v>193</v>
      </c>
      <c r="D63" s="46" t="s">
        <v>186</v>
      </c>
      <c r="E63" s="114">
        <v>0.30000000000000004</v>
      </c>
      <c r="F63" s="44">
        <v>314702</v>
      </c>
      <c r="G63" s="44">
        <f t="shared" si="15"/>
        <v>94410.60000000002</v>
      </c>
      <c r="H63" s="44">
        <f t="shared" si="16"/>
        <v>99999.999999999985</v>
      </c>
      <c r="I63" s="43">
        <f t="shared" si="17"/>
        <v>30000</v>
      </c>
      <c r="J63" s="112">
        <f t="shared" si="18"/>
        <v>0.30000000000000004</v>
      </c>
      <c r="K63" s="211">
        <f t="shared" si="19"/>
        <v>0.30000000000000004</v>
      </c>
      <c r="L63" s="44"/>
      <c r="M63" s="44">
        <f t="shared" ref="M63" si="75">K63-L63</f>
        <v>0.30000000000000004</v>
      </c>
      <c r="N63" s="173">
        <f t="shared" si="21"/>
        <v>1</v>
      </c>
      <c r="O63" s="44">
        <f t="shared" si="22"/>
        <v>314702</v>
      </c>
      <c r="P63" s="44">
        <f t="shared" si="23"/>
        <v>94410.60000000002</v>
      </c>
      <c r="Q63" s="44">
        <f t="shared" si="24"/>
        <v>99999.999999999985</v>
      </c>
      <c r="R63" s="44">
        <f t="shared" ref="R63" si="76">M63*Q63</f>
        <v>30000</v>
      </c>
      <c r="S63" s="123"/>
      <c r="T63" s="219">
        <f t="shared" ref="T63" si="77">S63+R63</f>
        <v>30000</v>
      </c>
      <c r="U63" s="87"/>
      <c r="V63" s="47"/>
      <c r="W63" s="48"/>
      <c r="X63" s="48"/>
      <c r="Y63" s="48"/>
      <c r="Z63" s="135"/>
      <c r="AA63" s="49"/>
      <c r="AB63" s="50">
        <f t="shared" si="27"/>
        <v>99999.999999999985</v>
      </c>
      <c r="AC63" s="42">
        <f t="shared" ref="AC63" si="78">M63+$AE$10</f>
        <v>0.30000000000000004</v>
      </c>
      <c r="AD63" s="90">
        <f>AD64</f>
        <v>30000</v>
      </c>
      <c r="AE63" s="188">
        <f t="shared" ref="AE63:AH63" si="79">AE64</f>
        <v>0</v>
      </c>
      <c r="AF63" s="189">
        <f t="shared" si="79"/>
        <v>0</v>
      </c>
      <c r="AG63" s="189">
        <f t="shared" si="79"/>
        <v>0</v>
      </c>
      <c r="AH63" s="189">
        <f t="shared" si="79"/>
        <v>0</v>
      </c>
      <c r="AI63" s="161">
        <f t="shared" ref="AI63:AI64" si="80">SUM(AE63:AH63)</f>
        <v>0</v>
      </c>
      <c r="AK63" s="169">
        <v>5</v>
      </c>
      <c r="AO63" s="19" t="s">
        <v>63</v>
      </c>
    </row>
    <row r="64" spans="1:41" s="103" customFormat="1" ht="19.899999999999999" customHeight="1" x14ac:dyDescent="0.25">
      <c r="A64" s="51"/>
      <c r="B64" s="52"/>
      <c r="C64" s="165"/>
      <c r="D64" s="52"/>
      <c r="E64" s="115"/>
      <c r="F64" s="58"/>
      <c r="G64" s="58"/>
      <c r="H64" s="58"/>
      <c r="I64" s="55"/>
      <c r="J64" s="113">
        <f>J63</f>
        <v>0.30000000000000004</v>
      </c>
      <c r="K64" s="212">
        <f>K63</f>
        <v>0.30000000000000004</v>
      </c>
      <c r="L64" s="58"/>
      <c r="M64" s="58">
        <f>K64-L64</f>
        <v>0.30000000000000004</v>
      </c>
      <c r="N64" s="166"/>
      <c r="O64" s="58"/>
      <c r="P64" s="58"/>
      <c r="Q64" s="58"/>
      <c r="R64" s="58"/>
      <c r="S64" s="58"/>
      <c r="T64" s="220"/>
      <c r="U64" s="88"/>
      <c r="V64" s="56"/>
      <c r="W64" s="57" t="s">
        <v>193</v>
      </c>
      <c r="X64" s="53"/>
      <c r="Y64" s="91" t="s">
        <v>1349</v>
      </c>
      <c r="Z64" s="136">
        <f>AD64/AC64</f>
        <v>99999.999999999985</v>
      </c>
      <c r="AA64" s="58"/>
      <c r="AB64" s="53">
        <f>AD64/AC64</f>
        <v>99999.999999999985</v>
      </c>
      <c r="AC64" s="53">
        <f>M64+$AE$10</f>
        <v>0.30000000000000004</v>
      </c>
      <c r="AD64" s="54">
        <f>SUM(AD65:AD65)</f>
        <v>30000</v>
      </c>
      <c r="AE64" s="184">
        <f>SUMIFS($AD$37:$AD$12971,$V$37:$V$12971,$V64,$X$37:$X$12971,AE$13)</f>
        <v>0</v>
      </c>
      <c r="AF64" s="185">
        <f>SUMIFS($AD$37:$AD$12971,$V$37:$V$12971,$V64,$X$37:$X$12971,AF$13)</f>
        <v>0</v>
      </c>
      <c r="AG64" s="185">
        <f>SUMIFS($AD$37:$AD$12971,$V$37:$V$12971,$V64,$X$37:$X$12971,AG$13)</f>
        <v>0</v>
      </c>
      <c r="AH64" s="187">
        <f>SUMIFS($AD$37:$AD$12971,$V$37:$V$12971,$V64,$X$37:$X$12971,AH$13)</f>
        <v>0</v>
      </c>
      <c r="AI64" s="161">
        <f t="shared" si="80"/>
        <v>0</v>
      </c>
      <c r="AK64" s="172"/>
    </row>
    <row r="65" spans="1:41" s="102" customFormat="1" ht="19.899999999999999" customHeight="1" x14ac:dyDescent="0.25">
      <c r="A65" s="45"/>
      <c r="B65" s="59"/>
      <c r="C65" s="137"/>
      <c r="D65" s="59"/>
      <c r="E65" s="116"/>
      <c r="F65" s="120"/>
      <c r="G65" s="120"/>
      <c r="H65" s="120"/>
      <c r="I65" s="60"/>
      <c r="J65" s="116"/>
      <c r="K65" s="213"/>
      <c r="L65" s="120"/>
      <c r="M65" s="120"/>
      <c r="N65" s="167"/>
      <c r="O65" s="120"/>
      <c r="P65" s="120"/>
      <c r="Q65" s="120"/>
      <c r="R65" s="120"/>
      <c r="S65" s="120"/>
      <c r="T65" s="221"/>
      <c r="U65" s="89"/>
      <c r="V65" s="61"/>
      <c r="W65" s="92" t="s">
        <v>193</v>
      </c>
      <c r="X65" s="93" t="s">
        <v>32</v>
      </c>
      <c r="Y65" s="93" t="s">
        <v>1349</v>
      </c>
      <c r="Z65" s="134">
        <f>VLOOKUP(W65,Sheet2!$B:$D,3,FALSE)</f>
        <v>99999.999999999985</v>
      </c>
      <c r="AA65" s="93">
        <v>1</v>
      </c>
      <c r="AB65" s="93">
        <f t="shared" ref="AB65" si="81">AD65/AC64</f>
        <v>99999.999999999985</v>
      </c>
      <c r="AC65" s="93">
        <f>AC64/AA65</f>
        <v>0.30000000000000004</v>
      </c>
      <c r="AD65" s="94">
        <f t="shared" ref="AD65" si="82">AC65*Z65</f>
        <v>30000</v>
      </c>
      <c r="AE65" s="190"/>
      <c r="AF65" s="191"/>
      <c r="AG65" s="191"/>
      <c r="AH65" s="191"/>
      <c r="AI65" s="186"/>
      <c r="AK65" s="171"/>
    </row>
    <row r="66" spans="1:41" s="102" customFormat="1" ht="24.95" customHeight="1" x14ac:dyDescent="0.25">
      <c r="A66" s="45"/>
      <c r="B66" s="276"/>
      <c r="C66" s="252" t="s">
        <v>1012</v>
      </c>
      <c r="D66" s="59"/>
      <c r="E66" s="116"/>
      <c r="F66" s="120"/>
      <c r="G66" s="120"/>
      <c r="H66" s="120"/>
      <c r="I66" s="60"/>
      <c r="J66" s="116"/>
      <c r="K66" s="213"/>
      <c r="L66" s="120"/>
      <c r="M66" s="120"/>
      <c r="N66" s="167"/>
      <c r="O66" s="120"/>
      <c r="P66" s="120"/>
      <c r="Q66" s="120"/>
      <c r="R66" s="120"/>
      <c r="S66" s="120"/>
      <c r="T66" s="221"/>
      <c r="U66" s="89"/>
      <c r="V66" s="61"/>
      <c r="W66" s="92"/>
      <c r="X66" s="38"/>
      <c r="Y66" s="93"/>
      <c r="Z66" s="134"/>
      <c r="AA66" s="93"/>
      <c r="AB66" s="93"/>
      <c r="AC66" s="93"/>
      <c r="AD66" s="94"/>
      <c r="AE66" s="190"/>
      <c r="AF66" s="191"/>
      <c r="AG66" s="191"/>
      <c r="AH66" s="191"/>
      <c r="AI66" s="186"/>
      <c r="AK66" s="171"/>
    </row>
    <row r="67" spans="1:41" ht="20.100000000000001" customHeight="1" x14ac:dyDescent="0.25">
      <c r="A67" s="277" t="s">
        <v>194</v>
      </c>
      <c r="B67" s="278">
        <v>8</v>
      </c>
      <c r="C67" s="64" t="s">
        <v>195</v>
      </c>
      <c r="D67" s="46" t="s">
        <v>196</v>
      </c>
      <c r="E67" s="114">
        <v>4547.2300000000032</v>
      </c>
      <c r="F67" s="44">
        <v>4</v>
      </c>
      <c r="G67" s="44">
        <f t="shared" si="15"/>
        <v>18188.920000000013</v>
      </c>
      <c r="H67" s="44">
        <f t="shared" si="16"/>
        <v>0.46125359477124195</v>
      </c>
      <c r="I67" s="43">
        <f t="shared" si="17"/>
        <v>2097.426183751636</v>
      </c>
      <c r="J67" s="112">
        <f t="shared" si="18"/>
        <v>4547.2300000000032</v>
      </c>
      <c r="K67" s="211">
        <f t="shared" si="19"/>
        <v>4547.2300000000032</v>
      </c>
      <c r="L67" s="44"/>
      <c r="M67" s="44">
        <f t="shared" ref="M67" si="83">K67-L67</f>
        <v>4547.2300000000032</v>
      </c>
      <c r="N67" s="173">
        <f t="shared" si="21"/>
        <v>1</v>
      </c>
      <c r="O67" s="44">
        <f t="shared" si="22"/>
        <v>4</v>
      </c>
      <c r="P67" s="44">
        <f t="shared" si="23"/>
        <v>18188.920000000013</v>
      </c>
      <c r="Q67" s="44">
        <f t="shared" si="24"/>
        <v>0.46125359477124195</v>
      </c>
      <c r="R67" s="44">
        <f t="shared" ref="R67" si="84">M67*Q67</f>
        <v>2097.426183751636</v>
      </c>
      <c r="S67" s="123"/>
      <c r="T67" s="219">
        <f t="shared" ref="T67" si="85">S67+R67</f>
        <v>2097.426183751636</v>
      </c>
      <c r="U67" s="87"/>
      <c r="V67" s="47"/>
      <c r="W67" s="48"/>
      <c r="X67" s="48"/>
      <c r="Y67" s="48"/>
      <c r="Z67" s="135"/>
      <c r="AA67" s="49"/>
      <c r="AB67" s="50">
        <f t="shared" si="27"/>
        <v>0.46125359477124195</v>
      </c>
      <c r="AC67" s="42">
        <f t="shared" ref="AC67" si="86">M67+$AE$10</f>
        <v>4547.2300000000032</v>
      </c>
      <c r="AD67" s="90">
        <f>AD68</f>
        <v>2097.426183751636</v>
      </c>
      <c r="AE67" s="188">
        <f t="shared" ref="AE67:AH67" si="87">AE68</f>
        <v>0</v>
      </c>
      <c r="AF67" s="189">
        <f t="shared" si="87"/>
        <v>0</v>
      </c>
      <c r="AG67" s="189">
        <f t="shared" si="87"/>
        <v>0</v>
      </c>
      <c r="AH67" s="189">
        <f t="shared" si="87"/>
        <v>0</v>
      </c>
      <c r="AI67" s="161">
        <f t="shared" ref="AI67" si="88">SUM(AE67:AH67)</f>
        <v>0</v>
      </c>
      <c r="AK67" s="169">
        <v>5</v>
      </c>
      <c r="AO67" s="19" t="s">
        <v>63</v>
      </c>
    </row>
    <row r="68" spans="1:41" s="103" customFormat="1" ht="19.899999999999999" customHeight="1" x14ac:dyDescent="0.25">
      <c r="A68" s="51"/>
      <c r="B68" s="52"/>
      <c r="C68" s="165"/>
      <c r="D68" s="52"/>
      <c r="E68" s="115"/>
      <c r="F68" s="58"/>
      <c r="G68" s="58"/>
      <c r="H68" s="58"/>
      <c r="I68" s="55"/>
      <c r="J68" s="113">
        <f>J67</f>
        <v>4547.2300000000032</v>
      </c>
      <c r="K68" s="212">
        <f>K67</f>
        <v>4547.2300000000032</v>
      </c>
      <c r="L68" s="58"/>
      <c r="M68" s="58">
        <f>K68-L68</f>
        <v>4547.2300000000032</v>
      </c>
      <c r="N68" s="166"/>
      <c r="O68" s="58"/>
      <c r="P68" s="58"/>
      <c r="Q68" s="58"/>
      <c r="R68" s="58"/>
      <c r="S68" s="58"/>
      <c r="T68" s="220"/>
      <c r="U68" s="88"/>
      <c r="V68" s="56"/>
      <c r="W68" s="57" t="s">
        <v>1010</v>
      </c>
      <c r="X68" s="53"/>
      <c r="Y68" s="91" t="s">
        <v>64</v>
      </c>
      <c r="Z68" s="136">
        <f>AD68/AC68</f>
        <v>0.46125359477124195</v>
      </c>
      <c r="AA68" s="58"/>
      <c r="AB68" s="53">
        <f>AD68/AC68</f>
        <v>0.46125359477124195</v>
      </c>
      <c r="AC68" s="53">
        <f>M68+$AE$10</f>
        <v>4547.2300000000032</v>
      </c>
      <c r="AD68" s="54">
        <f>SUM(AD69:AD75)</f>
        <v>2097.426183751636</v>
      </c>
      <c r="AE68" s="184">
        <f>SUMIFS($AD$37:$AD$12971,$V$37:$V$12971,$V68,$X$37:$X$12971,AE$13)</f>
        <v>0</v>
      </c>
      <c r="AF68" s="185">
        <f>SUMIFS($AD$37:$AD$12971,$V$37:$V$12971,$V68,$X$37:$X$12971,AF$13)</f>
        <v>0</v>
      </c>
      <c r="AG68" s="185">
        <f>SUMIFS($AD$37:$AD$12971,$V$37:$V$12971,$V68,$X$37:$X$12971,AG$13)</f>
        <v>0</v>
      </c>
      <c r="AH68" s="187">
        <f>SUMIFS($AD$37:$AD$12971,$V$37:$V$12971,$V68,$X$37:$X$12971,AH$13)</f>
        <v>0</v>
      </c>
      <c r="AI68" s="161">
        <f t="shared" ref="AI68" si="89">SUM(AE68:AH68)</f>
        <v>0</v>
      </c>
      <c r="AK68" s="172"/>
    </row>
    <row r="69" spans="1:41" s="102" customFormat="1" ht="19.899999999999999" customHeight="1" x14ac:dyDescent="0.25">
      <c r="A69" s="45"/>
      <c r="B69" s="59"/>
      <c r="C69" s="137"/>
      <c r="D69" s="59"/>
      <c r="E69" s="116"/>
      <c r="F69" s="120"/>
      <c r="G69" s="120"/>
      <c r="H69" s="120"/>
      <c r="I69" s="60"/>
      <c r="J69" s="116"/>
      <c r="K69" s="213"/>
      <c r="L69" s="120"/>
      <c r="M69" s="120"/>
      <c r="N69" s="167"/>
      <c r="O69" s="120"/>
      <c r="P69" s="120"/>
      <c r="Q69" s="120"/>
      <c r="R69" s="120"/>
      <c r="S69" s="120"/>
      <c r="T69" s="221"/>
      <c r="U69" s="89"/>
      <c r="V69" s="61"/>
      <c r="W69" s="92" t="s">
        <v>94</v>
      </c>
      <c r="X69" s="93" t="s">
        <v>29</v>
      </c>
      <c r="Y69" s="93" t="s">
        <v>93</v>
      </c>
      <c r="Z69" s="134">
        <f>VLOOKUP(W69,Sheet2!$B:$D,3,FALSE)</f>
        <v>90.4</v>
      </c>
      <c r="AA69" s="93">
        <v>600</v>
      </c>
      <c r="AB69" s="93">
        <f t="shared" ref="AB69" si="90">AD69/AC68</f>
        <v>0.1506666666666667</v>
      </c>
      <c r="AC69" s="93">
        <f>AC68/AA69</f>
        <v>7.5787166666666721</v>
      </c>
      <c r="AD69" s="94">
        <f t="shared" ref="AD69:AD74" si="91">AC69*Z69</f>
        <v>685.11598666666725</v>
      </c>
      <c r="AE69" s="190"/>
      <c r="AF69" s="191"/>
      <c r="AG69" s="191"/>
      <c r="AH69" s="191"/>
      <c r="AI69" s="186"/>
      <c r="AK69" s="171"/>
    </row>
    <row r="70" spans="1:41" s="102" customFormat="1" ht="19.899999999999999" customHeight="1" x14ac:dyDescent="0.25">
      <c r="A70" s="45"/>
      <c r="B70" s="59"/>
      <c r="C70" s="137"/>
      <c r="D70" s="59"/>
      <c r="E70" s="116"/>
      <c r="F70" s="120"/>
      <c r="G70" s="120"/>
      <c r="H70" s="120"/>
      <c r="I70" s="60"/>
      <c r="J70" s="116"/>
      <c r="K70" s="213"/>
      <c r="L70" s="120"/>
      <c r="M70" s="120"/>
      <c r="N70" s="167"/>
      <c r="O70" s="120"/>
      <c r="P70" s="120"/>
      <c r="Q70" s="120"/>
      <c r="R70" s="120"/>
      <c r="S70" s="120"/>
      <c r="T70" s="221"/>
      <c r="U70" s="89"/>
      <c r="V70" s="61"/>
      <c r="W70" s="92" t="s">
        <v>65</v>
      </c>
      <c r="X70" s="93" t="s">
        <v>30</v>
      </c>
      <c r="Y70" s="93" t="s">
        <v>1011</v>
      </c>
      <c r="Z70" s="134">
        <f>VLOOKUP(W70,Sheet2!$B:$D,3,FALSE)</f>
        <v>1.76</v>
      </c>
      <c r="AA70" s="93">
        <f>AA69/21</f>
        <v>28.571428571428573</v>
      </c>
      <c r="AB70" s="93">
        <f>AD70/AC68</f>
        <v>6.1599999999999995E-2</v>
      </c>
      <c r="AC70" s="93">
        <f>AC68/AA70</f>
        <v>159.15305000000009</v>
      </c>
      <c r="AD70" s="94">
        <f t="shared" si="91"/>
        <v>280.10936800000019</v>
      </c>
      <c r="AE70" s="190"/>
      <c r="AF70" s="191"/>
      <c r="AG70" s="191"/>
      <c r="AH70" s="191"/>
      <c r="AI70" s="186"/>
      <c r="AK70" s="171"/>
    </row>
    <row r="71" spans="1:41" s="102" customFormat="1" ht="19.899999999999999" customHeight="1" x14ac:dyDescent="0.25">
      <c r="A71" s="45"/>
      <c r="B71" s="59"/>
      <c r="C71" s="137"/>
      <c r="D71" s="59"/>
      <c r="E71" s="116"/>
      <c r="F71" s="120"/>
      <c r="G71" s="120"/>
      <c r="H71" s="120"/>
      <c r="I71" s="60"/>
      <c r="J71" s="116"/>
      <c r="K71" s="213"/>
      <c r="L71" s="120"/>
      <c r="M71" s="120"/>
      <c r="N71" s="167"/>
      <c r="O71" s="120"/>
      <c r="P71" s="120"/>
      <c r="Q71" s="120"/>
      <c r="R71" s="120"/>
      <c r="S71" s="120"/>
      <c r="T71" s="221"/>
      <c r="U71" s="89"/>
      <c r="V71" s="61"/>
      <c r="W71" s="92" t="s">
        <v>134</v>
      </c>
      <c r="X71" s="93" t="s">
        <v>29</v>
      </c>
      <c r="Y71" s="93" t="s">
        <v>93</v>
      </c>
      <c r="Z71" s="134">
        <f>VLOOKUP(W71,Sheet2!$B:$D,3,FALSE)</f>
        <v>65.599999999999994</v>
      </c>
      <c r="AA71" s="93">
        <f>AA73*3</f>
        <v>1223.9999999999998</v>
      </c>
      <c r="AB71" s="93">
        <f>AD71/AC68</f>
        <v>5.3594771241830069E-2</v>
      </c>
      <c r="AC71" s="93">
        <f>AC68/AA71</f>
        <v>3.7150571895424869</v>
      </c>
      <c r="AD71" s="94">
        <f t="shared" si="91"/>
        <v>243.70775163398713</v>
      </c>
      <c r="AE71" s="190"/>
      <c r="AF71" s="191"/>
      <c r="AG71" s="191"/>
      <c r="AH71" s="191"/>
      <c r="AI71" s="186"/>
      <c r="AK71" s="171"/>
    </row>
    <row r="72" spans="1:41" s="102" customFormat="1" ht="19.899999999999999" customHeight="1" x14ac:dyDescent="0.25">
      <c r="A72" s="45"/>
      <c r="B72" s="59"/>
      <c r="C72" s="137"/>
      <c r="D72" s="59"/>
      <c r="E72" s="116"/>
      <c r="F72" s="120"/>
      <c r="G72" s="120"/>
      <c r="H72" s="120"/>
      <c r="I72" s="60"/>
      <c r="J72" s="116"/>
      <c r="K72" s="213"/>
      <c r="L72" s="120"/>
      <c r="M72" s="120"/>
      <c r="N72" s="167"/>
      <c r="O72" s="120"/>
      <c r="P72" s="120"/>
      <c r="Q72" s="120"/>
      <c r="R72" s="120"/>
      <c r="S72" s="120"/>
      <c r="T72" s="221"/>
      <c r="U72" s="89"/>
      <c r="V72" s="61"/>
      <c r="W72" s="92" t="s">
        <v>65</v>
      </c>
      <c r="X72" s="93" t="s">
        <v>30</v>
      </c>
      <c r="Y72" s="93" t="s">
        <v>1011</v>
      </c>
      <c r="Z72" s="134">
        <f>VLOOKUP(W72,Sheet2!$B:$D,3,FALSE)</f>
        <v>1.76</v>
      </c>
      <c r="AA72" s="93">
        <f>AA71/9</f>
        <v>135.99999999999997</v>
      </c>
      <c r="AB72" s="93">
        <f>AD72/AC68</f>
        <v>1.2941176470588237E-2</v>
      </c>
      <c r="AC72" s="93">
        <f>AC68/AA72</f>
        <v>33.435514705882383</v>
      </c>
      <c r="AD72" s="94">
        <f t="shared" si="91"/>
        <v>58.846505882352993</v>
      </c>
      <c r="AE72" s="190"/>
      <c r="AF72" s="191"/>
      <c r="AG72" s="191"/>
      <c r="AH72" s="191"/>
      <c r="AI72" s="186"/>
      <c r="AJ72" s="102">
        <v>122</v>
      </c>
      <c r="AK72" s="171">
        <f>AJ72/0.1</f>
        <v>1220</v>
      </c>
    </row>
    <row r="73" spans="1:41" s="102" customFormat="1" ht="19.899999999999999" customHeight="1" x14ac:dyDescent="0.25">
      <c r="A73" s="45"/>
      <c r="B73" s="59"/>
      <c r="C73" s="137"/>
      <c r="D73" s="59"/>
      <c r="E73" s="116"/>
      <c r="F73" s="120"/>
      <c r="G73" s="120"/>
      <c r="H73" s="120"/>
      <c r="I73" s="60"/>
      <c r="J73" s="116"/>
      <c r="K73" s="213"/>
      <c r="L73" s="120"/>
      <c r="M73" s="120"/>
      <c r="N73" s="167"/>
      <c r="O73" s="120"/>
      <c r="P73" s="120"/>
      <c r="Q73" s="120"/>
      <c r="R73" s="120"/>
      <c r="S73" s="120"/>
      <c r="T73" s="221"/>
      <c r="U73" s="89"/>
      <c r="V73" s="61"/>
      <c r="W73" s="92" t="s">
        <v>161</v>
      </c>
      <c r="X73" s="93" t="s">
        <v>29</v>
      </c>
      <c r="Y73" s="93" t="s">
        <v>93</v>
      </c>
      <c r="Z73" s="134">
        <f>VLOOKUP(W73,Sheet2!$B:$D,3,FALSE)</f>
        <v>48</v>
      </c>
      <c r="AA73" s="93">
        <f>((16*0.85)*3)/0.1</f>
        <v>407.99999999999994</v>
      </c>
      <c r="AB73" s="93">
        <f>AD73/AC68</f>
        <v>0.11764705882352944</v>
      </c>
      <c r="AC73" s="93">
        <f>AC68/AA73</f>
        <v>11.145171568627461</v>
      </c>
      <c r="AD73" s="94">
        <f t="shared" si="91"/>
        <v>534.96823529411813</v>
      </c>
      <c r="AE73" s="190"/>
      <c r="AF73" s="191"/>
      <c r="AG73" s="191"/>
      <c r="AH73" s="191"/>
      <c r="AI73" s="186"/>
      <c r="AK73" s="171"/>
    </row>
    <row r="74" spans="1:41" s="102" customFormat="1" ht="19.899999999999999" customHeight="1" x14ac:dyDescent="0.25">
      <c r="A74" s="45"/>
      <c r="B74" s="59"/>
      <c r="C74" s="137"/>
      <c r="D74" s="59"/>
      <c r="E74" s="116"/>
      <c r="F74" s="120"/>
      <c r="G74" s="120"/>
      <c r="H74" s="120"/>
      <c r="I74" s="60"/>
      <c r="J74" s="116"/>
      <c r="K74" s="213"/>
      <c r="L74" s="120"/>
      <c r="M74" s="120"/>
      <c r="N74" s="167"/>
      <c r="O74" s="120"/>
      <c r="P74" s="120"/>
      <c r="Q74" s="120"/>
      <c r="R74" s="120"/>
      <c r="S74" s="120"/>
      <c r="T74" s="221"/>
      <c r="U74" s="89"/>
      <c r="V74" s="61"/>
      <c r="W74" s="92" t="s">
        <v>65</v>
      </c>
      <c r="X74" s="93" t="s">
        <v>30</v>
      </c>
      <c r="Y74" s="93" t="s">
        <v>1011</v>
      </c>
      <c r="Z74" s="134">
        <f>VLOOKUP(W74,Sheet2!$B:$D,3,FALSE)</f>
        <v>1.76</v>
      </c>
      <c r="AA74" s="93">
        <f>AA73/10</f>
        <v>40.799999999999997</v>
      </c>
      <c r="AB74" s="93">
        <f>AD74/AC68</f>
        <v>4.3137254901960784E-2</v>
      </c>
      <c r="AC74" s="93">
        <f>AC68/AA74</f>
        <v>111.4517156862746</v>
      </c>
      <c r="AD74" s="94">
        <f t="shared" si="91"/>
        <v>196.15501960784329</v>
      </c>
      <c r="AE74" s="190"/>
      <c r="AF74" s="191"/>
      <c r="AG74" s="191"/>
      <c r="AH74" s="191"/>
      <c r="AI74" s="186"/>
      <c r="AK74" s="171"/>
    </row>
    <row r="75" spans="1:41" s="102" customFormat="1" ht="19.899999999999999" customHeight="1" x14ac:dyDescent="0.25">
      <c r="A75" s="45"/>
      <c r="B75" s="59"/>
      <c r="C75" s="137"/>
      <c r="D75" s="59"/>
      <c r="E75" s="116"/>
      <c r="F75" s="120"/>
      <c r="G75" s="120"/>
      <c r="H75" s="120"/>
      <c r="I75" s="60"/>
      <c r="J75" s="116"/>
      <c r="K75" s="213"/>
      <c r="L75" s="120"/>
      <c r="M75" s="120"/>
      <c r="N75" s="167"/>
      <c r="O75" s="120"/>
      <c r="P75" s="120"/>
      <c r="Q75" s="120"/>
      <c r="R75" s="120"/>
      <c r="S75" s="120"/>
      <c r="T75" s="221"/>
      <c r="U75" s="89"/>
      <c r="V75" s="61"/>
      <c r="W75" s="92" t="s">
        <v>112</v>
      </c>
      <c r="X75" s="93" t="s">
        <v>31</v>
      </c>
      <c r="Y75" s="93" t="s">
        <v>93</v>
      </c>
      <c r="Z75" s="134">
        <f>VLOOKUP(W75,Sheet2!$B:$D,3,FALSE)</f>
        <v>13</v>
      </c>
      <c r="AA75" s="93">
        <f>AA69</f>
        <v>600</v>
      </c>
      <c r="AB75" s="93">
        <f>AD75/AC68</f>
        <v>2.1666666666666667E-2</v>
      </c>
      <c r="AC75" s="93">
        <f>AC68/AA75</f>
        <v>7.5787166666666721</v>
      </c>
      <c r="AD75" s="94">
        <f t="shared" ref="AD75" si="92">AC75*Z75</f>
        <v>98.523316666666744</v>
      </c>
      <c r="AE75" s="190"/>
      <c r="AF75" s="191"/>
      <c r="AG75" s="191"/>
      <c r="AH75" s="191"/>
      <c r="AI75" s="186"/>
      <c r="AK75" s="171"/>
    </row>
    <row r="76" spans="1:41" ht="20.100000000000001" customHeight="1" x14ac:dyDescent="0.25">
      <c r="A76" s="277" t="s">
        <v>194</v>
      </c>
      <c r="B76" s="278">
        <v>9</v>
      </c>
      <c r="C76" s="64" t="s">
        <v>197</v>
      </c>
      <c r="D76" s="46" t="s">
        <v>97</v>
      </c>
      <c r="E76" s="114">
        <v>9616</v>
      </c>
      <c r="F76" s="44">
        <v>79</v>
      </c>
      <c r="G76" s="44">
        <f t="shared" si="15"/>
        <v>759664</v>
      </c>
      <c r="H76" s="44">
        <f t="shared" si="16"/>
        <v>45</v>
      </c>
      <c r="I76" s="43">
        <f t="shared" si="17"/>
        <v>432720</v>
      </c>
      <c r="J76" s="112">
        <f t="shared" si="18"/>
        <v>9616</v>
      </c>
      <c r="K76" s="211">
        <f t="shared" si="19"/>
        <v>9616</v>
      </c>
      <c r="L76" s="44"/>
      <c r="M76" s="44">
        <f t="shared" ref="M76" si="93">K76-L76</f>
        <v>9616</v>
      </c>
      <c r="N76" s="173">
        <f t="shared" si="21"/>
        <v>1</v>
      </c>
      <c r="O76" s="44">
        <f t="shared" si="22"/>
        <v>79</v>
      </c>
      <c r="P76" s="44">
        <f t="shared" si="23"/>
        <v>759664</v>
      </c>
      <c r="Q76" s="44">
        <f t="shared" si="24"/>
        <v>45</v>
      </c>
      <c r="R76" s="44">
        <f t="shared" ref="R76" si="94">M76*Q76</f>
        <v>432720</v>
      </c>
      <c r="S76" s="123"/>
      <c r="T76" s="219">
        <f t="shared" ref="T76" si="95">S76+R76</f>
        <v>432720</v>
      </c>
      <c r="U76" s="87"/>
      <c r="V76" s="47"/>
      <c r="W76" s="48"/>
      <c r="X76" s="48"/>
      <c r="Y76" s="48"/>
      <c r="Z76" s="135"/>
      <c r="AA76" s="49"/>
      <c r="AB76" s="50">
        <f t="shared" si="27"/>
        <v>45</v>
      </c>
      <c r="AC76" s="42">
        <f t="shared" ref="AC76" si="96">M76+$AE$10</f>
        <v>9616</v>
      </c>
      <c r="AD76" s="90">
        <f>AD77</f>
        <v>432720</v>
      </c>
      <c r="AE76" s="188">
        <f t="shared" ref="AE76:AH76" si="97">AE77</f>
        <v>0</v>
      </c>
      <c r="AF76" s="189">
        <f t="shared" si="97"/>
        <v>0</v>
      </c>
      <c r="AG76" s="189">
        <f t="shared" si="97"/>
        <v>0</v>
      </c>
      <c r="AH76" s="189">
        <f t="shared" si="97"/>
        <v>0</v>
      </c>
      <c r="AI76" s="161">
        <f t="shared" ref="AI76" si="98">SUM(AE76:AH76)</f>
        <v>0</v>
      </c>
      <c r="AK76" s="169">
        <v>5</v>
      </c>
      <c r="AO76" s="19" t="s">
        <v>63</v>
      </c>
    </row>
    <row r="77" spans="1:41" s="103" customFormat="1" ht="19.899999999999999" customHeight="1" x14ac:dyDescent="0.25">
      <c r="A77" s="51"/>
      <c r="B77" s="52"/>
      <c r="C77" s="165"/>
      <c r="D77" s="52"/>
      <c r="E77" s="115"/>
      <c r="F77" s="58"/>
      <c r="G77" s="58"/>
      <c r="H77" s="58"/>
      <c r="I77" s="55"/>
      <c r="J77" s="113">
        <f>J76</f>
        <v>9616</v>
      </c>
      <c r="K77" s="212">
        <f>K76</f>
        <v>9616</v>
      </c>
      <c r="L77" s="58"/>
      <c r="M77" s="58">
        <f>K77-L77</f>
        <v>9616</v>
      </c>
      <c r="N77" s="166"/>
      <c r="O77" s="58"/>
      <c r="P77" s="58"/>
      <c r="Q77" s="58"/>
      <c r="R77" s="58"/>
      <c r="S77" s="58"/>
      <c r="T77" s="220"/>
      <c r="U77" s="88"/>
      <c r="V77" s="56"/>
      <c r="W77" s="57" t="s">
        <v>1013</v>
      </c>
      <c r="X77" s="53"/>
      <c r="Y77" s="91" t="s">
        <v>68</v>
      </c>
      <c r="Z77" s="136">
        <f>AD77/AC77</f>
        <v>45</v>
      </c>
      <c r="AA77" s="58"/>
      <c r="AB77" s="53">
        <f>AD77/AC77</f>
        <v>45</v>
      </c>
      <c r="AC77" s="53">
        <f>M77+$AE$10</f>
        <v>9616</v>
      </c>
      <c r="AD77" s="54">
        <f>SUM(AD78:AD79)</f>
        <v>432720</v>
      </c>
      <c r="AE77" s="184">
        <f>SUMIFS($AD$37:$AD$12971,$V$37:$V$12971,$V77,$X$37:$X$12971,AE$13)</f>
        <v>0</v>
      </c>
      <c r="AF77" s="185">
        <f>SUMIFS($AD$37:$AD$12971,$V$37:$V$12971,$V77,$X$37:$X$12971,AF$13)</f>
        <v>0</v>
      </c>
      <c r="AG77" s="185">
        <f>SUMIFS($AD$37:$AD$12971,$V$37:$V$12971,$V77,$X$37:$X$12971,AG$13)</f>
        <v>0</v>
      </c>
      <c r="AH77" s="187">
        <f>SUMIFS($AD$37:$AD$12971,$V$37:$V$12971,$V77,$X$37:$X$12971,AH$13)</f>
        <v>0</v>
      </c>
      <c r="AI77" s="161">
        <f t="shared" ref="AI77" si="99">SUM(AE77:AH77)</f>
        <v>0</v>
      </c>
      <c r="AK77" s="172"/>
    </row>
    <row r="78" spans="1:41" s="102" customFormat="1" ht="19.899999999999999" customHeight="1" x14ac:dyDescent="0.25">
      <c r="A78" s="45"/>
      <c r="B78" s="59"/>
      <c r="C78" s="137"/>
      <c r="D78" s="59"/>
      <c r="E78" s="116"/>
      <c r="F78" s="120"/>
      <c r="G78" s="120"/>
      <c r="H78" s="120"/>
      <c r="I78" s="60"/>
      <c r="J78" s="116"/>
      <c r="K78" s="213"/>
      <c r="L78" s="120"/>
      <c r="M78" s="120"/>
      <c r="N78" s="167"/>
      <c r="O78" s="120"/>
      <c r="P78" s="120"/>
      <c r="Q78" s="120"/>
      <c r="R78" s="120"/>
      <c r="S78" s="120"/>
      <c r="T78" s="221"/>
      <c r="U78" s="89"/>
      <c r="V78" s="61"/>
      <c r="W78" s="92" t="s">
        <v>104</v>
      </c>
      <c r="X78" s="93" t="s">
        <v>30</v>
      </c>
      <c r="Y78" s="93" t="s">
        <v>1014</v>
      </c>
      <c r="Z78" s="134">
        <f>VLOOKUP(W78,Sheet2!$B:$D,3,FALSE)</f>
        <v>18</v>
      </c>
      <c r="AA78" s="93">
        <v>1</v>
      </c>
      <c r="AB78" s="93">
        <f t="shared" ref="AB78" si="100">AD78/AC77</f>
        <v>18</v>
      </c>
      <c r="AC78" s="93">
        <f>AC77/AA78</f>
        <v>9616</v>
      </c>
      <c r="AD78" s="94">
        <f t="shared" ref="AD78:AD79" si="101">AC78*Z78</f>
        <v>173088</v>
      </c>
      <c r="AE78" s="190"/>
      <c r="AF78" s="191"/>
      <c r="AG78" s="191"/>
      <c r="AH78" s="191"/>
      <c r="AI78" s="186"/>
      <c r="AK78" s="171"/>
    </row>
    <row r="79" spans="1:41" s="102" customFormat="1" ht="19.899999999999999" customHeight="1" x14ac:dyDescent="0.25">
      <c r="A79" s="45"/>
      <c r="B79" s="59"/>
      <c r="C79" s="137"/>
      <c r="D79" s="59"/>
      <c r="E79" s="116"/>
      <c r="F79" s="120"/>
      <c r="G79" s="120"/>
      <c r="H79" s="120"/>
      <c r="I79" s="60"/>
      <c r="J79" s="116"/>
      <c r="K79" s="213"/>
      <c r="L79" s="120"/>
      <c r="M79" s="120"/>
      <c r="N79" s="167"/>
      <c r="O79" s="120"/>
      <c r="P79" s="120"/>
      <c r="Q79" s="120"/>
      <c r="R79" s="120"/>
      <c r="S79" s="120"/>
      <c r="T79" s="221"/>
      <c r="U79" s="89"/>
      <c r="V79" s="61"/>
      <c r="W79" s="92" t="s">
        <v>105</v>
      </c>
      <c r="X79" s="93" t="s">
        <v>32</v>
      </c>
      <c r="Y79" s="93" t="s">
        <v>1014</v>
      </c>
      <c r="Z79" s="134">
        <f>VLOOKUP(W79,Sheet2!$B:$D,3,FALSE)</f>
        <v>27</v>
      </c>
      <c r="AA79" s="93">
        <v>1</v>
      </c>
      <c r="AB79" s="93">
        <f>AD79/AC77</f>
        <v>27</v>
      </c>
      <c r="AC79" s="93">
        <f>AC77/AA79</f>
        <v>9616</v>
      </c>
      <c r="AD79" s="94">
        <f t="shared" si="101"/>
        <v>259632</v>
      </c>
      <c r="AE79" s="190"/>
      <c r="AF79" s="191"/>
      <c r="AG79" s="191"/>
      <c r="AH79" s="191"/>
      <c r="AI79" s="186"/>
      <c r="AK79" s="171"/>
    </row>
    <row r="80" spans="1:41" s="102" customFormat="1" ht="24.95" customHeight="1" x14ac:dyDescent="0.25">
      <c r="A80" s="45" t="s">
        <v>198</v>
      </c>
      <c r="B80" s="276"/>
      <c r="C80" s="252" t="s">
        <v>1015</v>
      </c>
      <c r="D80" s="59"/>
      <c r="E80" s="116"/>
      <c r="F80" s="120"/>
      <c r="G80" s="120"/>
      <c r="H80" s="120"/>
      <c r="I80" s="60"/>
      <c r="J80" s="116"/>
      <c r="K80" s="213"/>
      <c r="L80" s="120"/>
      <c r="M80" s="120"/>
      <c r="N80" s="167"/>
      <c r="O80" s="120"/>
      <c r="P80" s="120"/>
      <c r="Q80" s="120"/>
      <c r="R80" s="120"/>
      <c r="S80" s="120"/>
      <c r="T80" s="221"/>
      <c r="U80" s="89"/>
      <c r="V80" s="61"/>
      <c r="W80" s="92"/>
      <c r="X80" s="38"/>
      <c r="Y80" s="93"/>
      <c r="Z80" s="134"/>
      <c r="AA80" s="93"/>
      <c r="AB80" s="93"/>
      <c r="AC80" s="93"/>
      <c r="AD80" s="94"/>
      <c r="AE80" s="190"/>
      <c r="AF80" s="191"/>
      <c r="AG80" s="191"/>
      <c r="AH80" s="191"/>
      <c r="AI80" s="186"/>
      <c r="AK80" s="171"/>
    </row>
    <row r="81" spans="1:41" ht="20.100000000000001" customHeight="1" x14ac:dyDescent="0.25">
      <c r="A81" s="277" t="s">
        <v>198</v>
      </c>
      <c r="B81" s="278">
        <v>1</v>
      </c>
      <c r="C81" s="64" t="s">
        <v>199</v>
      </c>
      <c r="D81" s="46" t="s">
        <v>196</v>
      </c>
      <c r="E81" s="114">
        <v>142.27999999999997</v>
      </c>
      <c r="F81" s="44">
        <v>5</v>
      </c>
      <c r="G81" s="44">
        <f t="shared" si="15"/>
        <v>711.39999999999986</v>
      </c>
      <c r="H81" s="44">
        <f t="shared" si="16"/>
        <v>3.4499999999999997</v>
      </c>
      <c r="I81" s="43">
        <f t="shared" si="17"/>
        <v>490.86599999999987</v>
      </c>
      <c r="J81" s="112">
        <f t="shared" si="18"/>
        <v>142.27999999999997</v>
      </c>
      <c r="K81" s="211">
        <f t="shared" si="19"/>
        <v>142.27999999999997</v>
      </c>
      <c r="L81" s="44"/>
      <c r="M81" s="44">
        <f t="shared" ref="M81" si="102">K81-L81</f>
        <v>142.27999999999997</v>
      </c>
      <c r="N81" s="173">
        <f t="shared" si="21"/>
        <v>1</v>
      </c>
      <c r="O81" s="44">
        <f t="shared" si="22"/>
        <v>5</v>
      </c>
      <c r="P81" s="44">
        <f t="shared" si="23"/>
        <v>711.39999999999986</v>
      </c>
      <c r="Q81" s="44">
        <f t="shared" si="24"/>
        <v>3.4499999999999997</v>
      </c>
      <c r="R81" s="44">
        <f t="shared" ref="R81" si="103">M81*Q81</f>
        <v>490.86599999999987</v>
      </c>
      <c r="S81" s="123"/>
      <c r="T81" s="219">
        <f t="shared" ref="T81" si="104">S81+R81</f>
        <v>490.86599999999987</v>
      </c>
      <c r="U81" s="87"/>
      <c r="V81" s="47"/>
      <c r="W81" s="48"/>
      <c r="X81" s="48"/>
      <c r="Y81" s="48"/>
      <c r="Z81" s="135"/>
      <c r="AA81" s="49"/>
      <c r="AB81" s="50">
        <f t="shared" si="27"/>
        <v>3.4499999999999997</v>
      </c>
      <c r="AC81" s="42">
        <f t="shared" ref="AC81" si="105">M81+$AE$10</f>
        <v>142.27999999999997</v>
      </c>
      <c r="AD81" s="90">
        <f>AD82</f>
        <v>490.86599999999987</v>
      </c>
      <c r="AE81" s="188">
        <f t="shared" ref="AE81:AH81" si="106">AE82</f>
        <v>0</v>
      </c>
      <c r="AF81" s="189">
        <f t="shared" si="106"/>
        <v>0</v>
      </c>
      <c r="AG81" s="189">
        <f t="shared" si="106"/>
        <v>0</v>
      </c>
      <c r="AH81" s="189">
        <f t="shared" si="106"/>
        <v>0</v>
      </c>
      <c r="AI81" s="161">
        <f t="shared" ref="AI81:AI82" si="107">SUM(AE81:AH81)</f>
        <v>0</v>
      </c>
      <c r="AK81" s="169">
        <v>5</v>
      </c>
      <c r="AO81" s="19" t="s">
        <v>63</v>
      </c>
    </row>
    <row r="82" spans="1:41" s="103" customFormat="1" ht="19.899999999999999" customHeight="1" x14ac:dyDescent="0.25">
      <c r="A82" s="51"/>
      <c r="B82" s="52"/>
      <c r="C82" s="165"/>
      <c r="D82" s="52"/>
      <c r="E82" s="115"/>
      <c r="F82" s="58"/>
      <c r="G82" s="58"/>
      <c r="H82" s="58"/>
      <c r="I82" s="55"/>
      <c r="J82" s="113">
        <f>J81</f>
        <v>142.27999999999997</v>
      </c>
      <c r="K82" s="212">
        <f>K81</f>
        <v>142.27999999999997</v>
      </c>
      <c r="L82" s="58"/>
      <c r="M82" s="58">
        <f>K82-L82</f>
        <v>142.27999999999997</v>
      </c>
      <c r="N82" s="166"/>
      <c r="O82" s="58"/>
      <c r="P82" s="58"/>
      <c r="Q82" s="58"/>
      <c r="R82" s="58"/>
      <c r="S82" s="58"/>
      <c r="T82" s="220"/>
      <c r="U82" s="88"/>
      <c r="V82" s="56"/>
      <c r="W82" s="57" t="s">
        <v>1016</v>
      </c>
      <c r="X82" s="53"/>
      <c r="Y82" s="91" t="s">
        <v>64</v>
      </c>
      <c r="Z82" s="136">
        <f>AD82/AC82</f>
        <v>3.4499999999999997</v>
      </c>
      <c r="AA82" s="58"/>
      <c r="AB82" s="53">
        <f>AD82/AC82</f>
        <v>3.4499999999999997</v>
      </c>
      <c r="AC82" s="53">
        <f>M82+$AE$10</f>
        <v>142.27999999999997</v>
      </c>
      <c r="AD82" s="54">
        <f>SUM(AD83:AD84)</f>
        <v>490.86599999999987</v>
      </c>
      <c r="AE82" s="184">
        <f>SUMIFS($AD$37:$AD$12971,$V$37:$V$12971,$V82,$X$37:$X$12971,AE$13)</f>
        <v>0</v>
      </c>
      <c r="AF82" s="185">
        <f>SUMIFS($AD$37:$AD$12971,$V$37:$V$12971,$V82,$X$37:$X$12971,AF$13)</f>
        <v>0</v>
      </c>
      <c r="AG82" s="185">
        <f>SUMIFS($AD$37:$AD$12971,$V$37:$V$12971,$V82,$X$37:$X$12971,AG$13)</f>
        <v>0</v>
      </c>
      <c r="AH82" s="187">
        <f>SUMIFS($AD$37:$AD$12971,$V$37:$V$12971,$V82,$X$37:$X$12971,AH$13)</f>
        <v>0</v>
      </c>
      <c r="AI82" s="161">
        <f t="shared" si="107"/>
        <v>0</v>
      </c>
      <c r="AK82" s="172"/>
    </row>
    <row r="83" spans="1:41" s="102" customFormat="1" ht="19.899999999999999" customHeight="1" x14ac:dyDescent="0.25">
      <c r="A83" s="45"/>
      <c r="B83" s="59"/>
      <c r="C83" s="137"/>
      <c r="D83" s="59"/>
      <c r="E83" s="116"/>
      <c r="F83" s="120"/>
      <c r="G83" s="120"/>
      <c r="H83" s="120"/>
      <c r="I83" s="60"/>
      <c r="J83" s="116"/>
      <c r="K83" s="213"/>
      <c r="L83" s="120"/>
      <c r="M83" s="120"/>
      <c r="N83" s="167"/>
      <c r="O83" s="120"/>
      <c r="P83" s="120"/>
      <c r="Q83" s="120"/>
      <c r="R83" s="120"/>
      <c r="S83" s="120"/>
      <c r="T83" s="221"/>
      <c r="U83" s="89"/>
      <c r="V83" s="61"/>
      <c r="W83" s="92" t="s">
        <v>1026</v>
      </c>
      <c r="X83" s="93" t="s">
        <v>30</v>
      </c>
      <c r="Y83" s="93" t="s">
        <v>67</v>
      </c>
      <c r="Z83" s="134">
        <f>VLOOKUP(W83,Sheet2!$B:$D,3,FALSE)</f>
        <v>2450</v>
      </c>
      <c r="AA83" s="93">
        <v>1000</v>
      </c>
      <c r="AB83" s="93">
        <f t="shared" ref="AB83" si="108">AD83/AC82</f>
        <v>2.4499999999999997</v>
      </c>
      <c r="AC83" s="93">
        <f>AC82/AA83</f>
        <v>0.14227999999999996</v>
      </c>
      <c r="AD83" s="94">
        <f t="shared" ref="AD83:AD84" si="109">AC83*Z83</f>
        <v>348.5859999999999</v>
      </c>
      <c r="AE83" s="190"/>
      <c r="AF83" s="191"/>
      <c r="AG83" s="191"/>
      <c r="AH83" s="191"/>
      <c r="AI83" s="186"/>
      <c r="AK83" s="171"/>
    </row>
    <row r="84" spans="1:41" s="102" customFormat="1" ht="19.899999999999999" customHeight="1" x14ac:dyDescent="0.25">
      <c r="A84" s="45"/>
      <c r="B84" s="59"/>
      <c r="C84" s="137"/>
      <c r="D84" s="59"/>
      <c r="E84" s="116"/>
      <c r="F84" s="120"/>
      <c r="G84" s="120"/>
      <c r="H84" s="120"/>
      <c r="I84" s="60"/>
      <c r="J84" s="116"/>
      <c r="K84" s="213"/>
      <c r="L84" s="120"/>
      <c r="M84" s="120"/>
      <c r="N84" s="167"/>
      <c r="O84" s="120"/>
      <c r="P84" s="120"/>
      <c r="Q84" s="120"/>
      <c r="R84" s="120"/>
      <c r="S84" s="120"/>
      <c r="T84" s="221"/>
      <c r="U84" s="89"/>
      <c r="V84" s="61"/>
      <c r="W84" s="92" t="s">
        <v>1017</v>
      </c>
      <c r="X84" s="93" t="s">
        <v>32</v>
      </c>
      <c r="Y84" s="93" t="s">
        <v>64</v>
      </c>
      <c r="Z84" s="134">
        <f>VLOOKUP(W84,Sheet2!$B:$D,3,FALSE)</f>
        <v>1</v>
      </c>
      <c r="AA84" s="93">
        <v>1</v>
      </c>
      <c r="AB84" s="93">
        <f>AD84/AC82</f>
        <v>1</v>
      </c>
      <c r="AC84" s="93">
        <f>AC82/AA84</f>
        <v>142.27999999999997</v>
      </c>
      <c r="AD84" s="94">
        <f t="shared" si="109"/>
        <v>142.27999999999997</v>
      </c>
      <c r="AE84" s="190"/>
      <c r="AF84" s="191"/>
      <c r="AG84" s="191"/>
      <c r="AH84" s="191"/>
      <c r="AI84" s="186"/>
      <c r="AK84" s="171"/>
    </row>
    <row r="85" spans="1:41" ht="25.5" x14ac:dyDescent="0.25">
      <c r="A85" s="277" t="s">
        <v>198</v>
      </c>
      <c r="B85" s="278">
        <v>2</v>
      </c>
      <c r="C85" s="64" t="s">
        <v>200</v>
      </c>
      <c r="D85" s="46" t="s">
        <v>201</v>
      </c>
      <c r="E85" s="114">
        <v>46.382400000000004</v>
      </c>
      <c r="F85" s="44">
        <v>1007</v>
      </c>
      <c r="G85" s="44">
        <f t="shared" si="15"/>
        <v>46707.076800000003</v>
      </c>
      <c r="H85" s="44">
        <f t="shared" si="16"/>
        <v>585.59999999999991</v>
      </c>
      <c r="I85" s="43">
        <f t="shared" si="17"/>
        <v>27161.533439999999</v>
      </c>
      <c r="J85" s="112">
        <f t="shared" si="18"/>
        <v>46.382400000000004</v>
      </c>
      <c r="K85" s="211">
        <f t="shared" si="19"/>
        <v>46.382400000000004</v>
      </c>
      <c r="L85" s="44"/>
      <c r="M85" s="44">
        <f t="shared" ref="M85" si="110">K85-L85</f>
        <v>46.382400000000004</v>
      </c>
      <c r="N85" s="173">
        <f t="shared" si="21"/>
        <v>1</v>
      </c>
      <c r="O85" s="44">
        <f t="shared" si="22"/>
        <v>1007</v>
      </c>
      <c r="P85" s="44">
        <f t="shared" si="23"/>
        <v>46707.076800000003</v>
      </c>
      <c r="Q85" s="44">
        <f t="shared" si="24"/>
        <v>585.59999999999991</v>
      </c>
      <c r="R85" s="44">
        <f t="shared" ref="R85" si="111">M85*Q85</f>
        <v>27161.533439999999</v>
      </c>
      <c r="S85" s="123"/>
      <c r="T85" s="219">
        <f t="shared" ref="T85" si="112">S85+R85</f>
        <v>27161.533439999999</v>
      </c>
      <c r="U85" s="87"/>
      <c r="V85" s="47"/>
      <c r="W85" s="48"/>
      <c r="X85" s="48"/>
      <c r="Y85" s="48"/>
      <c r="Z85" s="135"/>
      <c r="AA85" s="49"/>
      <c r="AB85" s="50">
        <f t="shared" si="27"/>
        <v>585.59999999999991</v>
      </c>
      <c r="AC85" s="42">
        <f t="shared" ref="AC85" si="113">M85+$AE$10</f>
        <v>46.382400000000004</v>
      </c>
      <c r="AD85" s="90">
        <f>AD86</f>
        <v>27161.533439999999</v>
      </c>
      <c r="AE85" s="188">
        <f t="shared" ref="AE85:AH85" si="114">AE86</f>
        <v>0</v>
      </c>
      <c r="AF85" s="189">
        <f t="shared" si="114"/>
        <v>0</v>
      </c>
      <c r="AG85" s="189">
        <f t="shared" si="114"/>
        <v>0</v>
      </c>
      <c r="AH85" s="189">
        <f t="shared" si="114"/>
        <v>0</v>
      </c>
      <c r="AI85" s="161">
        <f t="shared" ref="AI85:AI86" si="115">SUM(AE85:AH85)</f>
        <v>0</v>
      </c>
      <c r="AK85" s="169">
        <v>5</v>
      </c>
      <c r="AO85" s="19" t="s">
        <v>63</v>
      </c>
    </row>
    <row r="86" spans="1:41" s="103" customFormat="1" ht="19.899999999999999" customHeight="1" x14ac:dyDescent="0.25">
      <c r="A86" s="51"/>
      <c r="B86" s="52"/>
      <c r="C86" s="165"/>
      <c r="D86" s="52"/>
      <c r="E86" s="115"/>
      <c r="F86" s="58"/>
      <c r="G86" s="58"/>
      <c r="H86" s="58"/>
      <c r="I86" s="55"/>
      <c r="J86" s="113">
        <f>J85</f>
        <v>46.382400000000004</v>
      </c>
      <c r="K86" s="212">
        <f>K85</f>
        <v>46.382400000000004</v>
      </c>
      <c r="L86" s="58"/>
      <c r="M86" s="58">
        <f>K86-L86</f>
        <v>46.382400000000004</v>
      </c>
      <c r="N86" s="166"/>
      <c r="O86" s="58"/>
      <c r="P86" s="58"/>
      <c r="Q86" s="58"/>
      <c r="R86" s="58"/>
      <c r="S86" s="58"/>
      <c r="T86" s="220"/>
      <c r="U86" s="88"/>
      <c r="V86" s="56"/>
      <c r="W86" s="57" t="s">
        <v>1020</v>
      </c>
      <c r="X86" s="53"/>
      <c r="Y86" s="91" t="s">
        <v>66</v>
      </c>
      <c r="Z86" s="136">
        <f>AD86/AC86</f>
        <v>585.59999999999991</v>
      </c>
      <c r="AA86" s="58"/>
      <c r="AB86" s="53">
        <f>AD86/AC86</f>
        <v>585.59999999999991</v>
      </c>
      <c r="AC86" s="53">
        <f>M86+$AE$10</f>
        <v>46.382400000000004</v>
      </c>
      <c r="AD86" s="54">
        <f>SUM(AD87:AD89)</f>
        <v>27161.533439999999</v>
      </c>
      <c r="AE86" s="184">
        <f>SUMIFS($AD$37:$AD$12971,$V$37:$V$12971,$V86,$X$37:$X$12971,AE$13)</f>
        <v>0</v>
      </c>
      <c r="AF86" s="185">
        <f>SUMIFS($AD$37:$AD$12971,$V$37:$V$12971,$V86,$X$37:$X$12971,AF$13)</f>
        <v>0</v>
      </c>
      <c r="AG86" s="185">
        <f>SUMIFS($AD$37:$AD$12971,$V$37:$V$12971,$V86,$X$37:$X$12971,AG$13)</f>
        <v>0</v>
      </c>
      <c r="AH86" s="187">
        <f>SUMIFS($AD$37:$AD$12971,$V$37:$V$12971,$V86,$X$37:$X$12971,AH$13)</f>
        <v>0</v>
      </c>
      <c r="AI86" s="161">
        <f t="shared" si="115"/>
        <v>0</v>
      </c>
      <c r="AK86" s="172"/>
    </row>
    <row r="87" spans="1:41" s="102" customFormat="1" ht="19.899999999999999" customHeight="1" x14ac:dyDescent="0.25">
      <c r="A87" s="45"/>
      <c r="B87" s="59"/>
      <c r="C87" s="137"/>
      <c r="D87" s="59"/>
      <c r="E87" s="116"/>
      <c r="F87" s="120"/>
      <c r="G87" s="120"/>
      <c r="H87" s="120"/>
      <c r="I87" s="60"/>
      <c r="J87" s="116"/>
      <c r="K87" s="213"/>
      <c r="L87" s="120"/>
      <c r="M87" s="120"/>
      <c r="N87" s="167"/>
      <c r="O87" s="120"/>
      <c r="P87" s="120"/>
      <c r="Q87" s="120"/>
      <c r="R87" s="120"/>
      <c r="S87" s="120"/>
      <c r="T87" s="221"/>
      <c r="U87" s="89"/>
      <c r="V87" s="61"/>
      <c r="W87" s="92" t="s">
        <v>1019</v>
      </c>
      <c r="X87" s="93" t="s">
        <v>30</v>
      </c>
      <c r="Y87" s="93" t="s">
        <v>67</v>
      </c>
      <c r="Z87" s="134">
        <f>VLOOKUP(W87,Sheet2!$B:$D,3,FALSE)</f>
        <v>200</v>
      </c>
      <c r="AA87" s="93">
        <f>1/2.4</f>
        <v>0.41666666666666669</v>
      </c>
      <c r="AB87" s="93">
        <f t="shared" ref="AB87" si="116">AD87/AC86</f>
        <v>479.99999999999994</v>
      </c>
      <c r="AC87" s="93">
        <f>AC86/AA87</f>
        <v>111.31776000000001</v>
      </c>
      <c r="AD87" s="94">
        <f t="shared" ref="AD87:AD89" si="117">AC87*Z87</f>
        <v>22263.552</v>
      </c>
      <c r="AE87" s="190"/>
      <c r="AF87" s="191"/>
      <c r="AG87" s="191"/>
      <c r="AH87" s="191"/>
      <c r="AI87" s="186"/>
      <c r="AK87" s="171"/>
    </row>
    <row r="88" spans="1:41" s="102" customFormat="1" ht="19.899999999999999" customHeight="1" x14ac:dyDescent="0.25">
      <c r="A88" s="45"/>
      <c r="B88" s="59"/>
      <c r="C88" s="137"/>
      <c r="D88" s="59"/>
      <c r="E88" s="116"/>
      <c r="F88" s="120"/>
      <c r="G88" s="120"/>
      <c r="H88" s="120"/>
      <c r="I88" s="60"/>
      <c r="J88" s="116"/>
      <c r="K88" s="213"/>
      <c r="L88" s="120"/>
      <c r="M88" s="120"/>
      <c r="N88" s="167"/>
      <c r="O88" s="120"/>
      <c r="P88" s="120"/>
      <c r="Q88" s="120"/>
      <c r="R88" s="120"/>
      <c r="S88" s="120"/>
      <c r="T88" s="221"/>
      <c r="U88" s="89"/>
      <c r="V88" s="61"/>
      <c r="W88" s="92" t="s">
        <v>1692</v>
      </c>
      <c r="X88" s="93" t="s">
        <v>32</v>
      </c>
      <c r="Y88" s="93" t="s">
        <v>67</v>
      </c>
      <c r="Z88" s="134">
        <f>VLOOKUP(W88,Sheet2!$B:$D,3,FALSE)</f>
        <v>19</v>
      </c>
      <c r="AA88" s="93">
        <f>AA87</f>
        <v>0.41666666666666669</v>
      </c>
      <c r="AB88" s="93">
        <f>AD88/AC86</f>
        <v>45.599999999999994</v>
      </c>
      <c r="AC88" s="93">
        <f>AC86/AA88</f>
        <v>111.31776000000001</v>
      </c>
      <c r="AD88" s="94">
        <f t="shared" si="117"/>
        <v>2115.0374400000001</v>
      </c>
      <c r="AE88" s="190"/>
      <c r="AF88" s="191"/>
      <c r="AG88" s="191"/>
      <c r="AH88" s="191"/>
      <c r="AI88" s="186"/>
      <c r="AK88" s="171"/>
    </row>
    <row r="89" spans="1:41" s="102" customFormat="1" ht="19.899999999999999" customHeight="1" x14ac:dyDescent="0.25">
      <c r="A89" s="45"/>
      <c r="B89" s="59"/>
      <c r="C89" s="137"/>
      <c r="D89" s="59"/>
      <c r="E89" s="116"/>
      <c r="F89" s="120"/>
      <c r="G89" s="120"/>
      <c r="H89" s="120"/>
      <c r="I89" s="60"/>
      <c r="J89" s="116"/>
      <c r="K89" s="213"/>
      <c r="L89" s="120"/>
      <c r="M89" s="120"/>
      <c r="N89" s="167"/>
      <c r="O89" s="120"/>
      <c r="P89" s="120"/>
      <c r="Q89" s="120"/>
      <c r="R89" s="120"/>
      <c r="S89" s="120"/>
      <c r="T89" s="221"/>
      <c r="U89" s="89"/>
      <c r="V89" s="61"/>
      <c r="W89" s="92" t="s">
        <v>1021</v>
      </c>
      <c r="X89" s="93" t="s">
        <v>32</v>
      </c>
      <c r="Y89" s="93" t="s">
        <v>64</v>
      </c>
      <c r="Z89" s="134">
        <f>VLOOKUP(W89,Sheet2!$B:$D,3,FALSE)</f>
        <v>4.2</v>
      </c>
      <c r="AA89" s="93">
        <f>1*0.07</f>
        <v>7.0000000000000007E-2</v>
      </c>
      <c r="AB89" s="93">
        <f>AD89/AC86</f>
        <v>59.999999999999993</v>
      </c>
      <c r="AC89" s="93">
        <f>AC86/AA89</f>
        <v>662.60571428571427</v>
      </c>
      <c r="AD89" s="94">
        <f t="shared" si="117"/>
        <v>2782.944</v>
      </c>
      <c r="AE89" s="190"/>
      <c r="AF89" s="191"/>
      <c r="AG89" s="191"/>
      <c r="AH89" s="191"/>
      <c r="AI89" s="186"/>
      <c r="AK89" s="171"/>
    </row>
    <row r="90" spans="1:41" ht="38.25" x14ac:dyDescent="0.25">
      <c r="A90" s="277" t="s">
        <v>198</v>
      </c>
      <c r="B90" s="278">
        <v>3</v>
      </c>
      <c r="C90" s="64" t="s">
        <v>202</v>
      </c>
      <c r="D90" s="46" t="s">
        <v>201</v>
      </c>
      <c r="E90" s="114">
        <v>72.55</v>
      </c>
      <c r="F90" s="44">
        <v>1007</v>
      </c>
      <c r="G90" s="44">
        <f t="shared" si="15"/>
        <v>73057.849999999991</v>
      </c>
      <c r="H90" s="44">
        <f t="shared" si="16"/>
        <v>802.68888888888875</v>
      </c>
      <c r="I90" s="43">
        <f t="shared" si="17"/>
        <v>58235.078888888878</v>
      </c>
      <c r="J90" s="112">
        <f t="shared" si="18"/>
        <v>72.55</v>
      </c>
      <c r="K90" s="211">
        <f t="shared" si="19"/>
        <v>72.55</v>
      </c>
      <c r="L90" s="44"/>
      <c r="M90" s="44">
        <f t="shared" ref="M90" si="118">K90-L90</f>
        <v>72.55</v>
      </c>
      <c r="N90" s="173">
        <f t="shared" si="21"/>
        <v>1</v>
      </c>
      <c r="O90" s="44">
        <f t="shared" si="22"/>
        <v>1007</v>
      </c>
      <c r="P90" s="44">
        <f t="shared" si="23"/>
        <v>73057.849999999991</v>
      </c>
      <c r="Q90" s="44">
        <f t="shared" si="24"/>
        <v>802.68888888888875</v>
      </c>
      <c r="R90" s="44">
        <f t="shared" ref="R90" si="119">M90*Q90</f>
        <v>58235.078888888878</v>
      </c>
      <c r="S90" s="123"/>
      <c r="T90" s="219">
        <f t="shared" ref="T90" si="120">S90+R90</f>
        <v>58235.078888888878</v>
      </c>
      <c r="U90" s="87"/>
      <c r="V90" s="47"/>
      <c r="W90" s="48"/>
      <c r="X90" s="48"/>
      <c r="Y90" s="48"/>
      <c r="Z90" s="135"/>
      <c r="AA90" s="49"/>
      <c r="AB90" s="50">
        <f t="shared" si="27"/>
        <v>802.68888888888875</v>
      </c>
      <c r="AC90" s="42">
        <f t="shared" ref="AC90" si="121">M90+$AE$10</f>
        <v>72.55</v>
      </c>
      <c r="AD90" s="90">
        <f>AD91</f>
        <v>58235.078888888878</v>
      </c>
      <c r="AE90" s="188">
        <f t="shared" ref="AE90:AH90" si="122">AE91</f>
        <v>0</v>
      </c>
      <c r="AF90" s="189">
        <f t="shared" si="122"/>
        <v>0</v>
      </c>
      <c r="AG90" s="189">
        <f t="shared" si="122"/>
        <v>0</v>
      </c>
      <c r="AH90" s="189">
        <f t="shared" si="122"/>
        <v>0</v>
      </c>
      <c r="AI90" s="161">
        <f t="shared" ref="AI90:AI91" si="123">SUM(AE90:AH90)</f>
        <v>0</v>
      </c>
      <c r="AK90" s="169">
        <v>5</v>
      </c>
      <c r="AO90" s="19" t="s">
        <v>63</v>
      </c>
    </row>
    <row r="91" spans="1:41" s="103" customFormat="1" ht="19.899999999999999" customHeight="1" x14ac:dyDescent="0.25">
      <c r="A91" s="51"/>
      <c r="B91" s="52"/>
      <c r="C91" s="165"/>
      <c r="D91" s="52"/>
      <c r="E91" s="115"/>
      <c r="F91" s="58"/>
      <c r="G91" s="58"/>
      <c r="H91" s="58"/>
      <c r="I91" s="55"/>
      <c r="J91" s="113">
        <f>J90</f>
        <v>72.55</v>
      </c>
      <c r="K91" s="212">
        <f>K90</f>
        <v>72.55</v>
      </c>
      <c r="L91" s="58"/>
      <c r="M91" s="58">
        <f>K91-L91</f>
        <v>72.55</v>
      </c>
      <c r="N91" s="166"/>
      <c r="O91" s="58"/>
      <c r="P91" s="58"/>
      <c r="Q91" s="58"/>
      <c r="R91" s="58"/>
      <c r="S91" s="58"/>
      <c r="T91" s="220"/>
      <c r="U91" s="88"/>
      <c r="V91" s="56"/>
      <c r="W91" s="57" t="s">
        <v>1025</v>
      </c>
      <c r="X91" s="53"/>
      <c r="Y91" s="91" t="s">
        <v>66</v>
      </c>
      <c r="Z91" s="136">
        <f>AD91/AC91</f>
        <v>802.68888888888875</v>
      </c>
      <c r="AA91" s="58"/>
      <c r="AB91" s="53">
        <f>AD91/AC91</f>
        <v>802.68888888888875</v>
      </c>
      <c r="AC91" s="53">
        <f>M91+$AE$10</f>
        <v>72.55</v>
      </c>
      <c r="AD91" s="54">
        <f>SUM(AD92:AD97)</f>
        <v>58235.078888888878</v>
      </c>
      <c r="AE91" s="184">
        <f>SUMIFS($AD$37:$AD$12971,$V$37:$V$12971,$V91,$X$37:$X$12971,AE$13)</f>
        <v>0</v>
      </c>
      <c r="AF91" s="185">
        <f>SUMIFS($AD$37:$AD$12971,$V$37:$V$12971,$V91,$X$37:$X$12971,AF$13)</f>
        <v>0</v>
      </c>
      <c r="AG91" s="185">
        <f>SUMIFS($AD$37:$AD$12971,$V$37:$V$12971,$V91,$X$37:$X$12971,AG$13)</f>
        <v>0</v>
      </c>
      <c r="AH91" s="187">
        <f>SUMIFS($AD$37:$AD$12971,$V$37:$V$12971,$V91,$X$37:$X$12971,AH$13)</f>
        <v>0</v>
      </c>
      <c r="AI91" s="161">
        <f t="shared" si="123"/>
        <v>0</v>
      </c>
      <c r="AK91" s="172"/>
    </row>
    <row r="92" spans="1:41" s="102" customFormat="1" ht="19.899999999999999" customHeight="1" x14ac:dyDescent="0.25">
      <c r="A92" s="45"/>
      <c r="B92" s="59"/>
      <c r="C92" s="137"/>
      <c r="D92" s="59"/>
      <c r="E92" s="116"/>
      <c r="F92" s="120"/>
      <c r="G92" s="120"/>
      <c r="H92" s="120"/>
      <c r="I92" s="60"/>
      <c r="J92" s="116"/>
      <c r="K92" s="213"/>
      <c r="L92" s="120"/>
      <c r="M92" s="120"/>
      <c r="N92" s="167"/>
      <c r="O92" s="120"/>
      <c r="P92" s="120"/>
      <c r="Q92" s="120"/>
      <c r="R92" s="120"/>
      <c r="S92" s="120"/>
      <c r="T92" s="221"/>
      <c r="U92" s="89"/>
      <c r="V92" s="61"/>
      <c r="W92" s="92" t="s">
        <v>1027</v>
      </c>
      <c r="X92" s="93" t="s">
        <v>30</v>
      </c>
      <c r="Y92" s="93" t="s">
        <v>67</v>
      </c>
      <c r="Z92" s="134">
        <f>VLOOKUP(W92,Sheet2!$B:$D,3,FALSE)</f>
        <v>2550</v>
      </c>
      <c r="AA92" s="93">
        <f>900*0.05</f>
        <v>45</v>
      </c>
      <c r="AB92" s="93">
        <f>AD92/AC91</f>
        <v>56.666666666666671</v>
      </c>
      <c r="AC92" s="93">
        <f>AC91/AA92</f>
        <v>1.6122222222222222</v>
      </c>
      <c r="AD92" s="94">
        <f t="shared" ref="AD92:AD94" si="124">AC92*Z92</f>
        <v>4111.166666666667</v>
      </c>
      <c r="AE92" s="190"/>
      <c r="AF92" s="191"/>
      <c r="AG92" s="191"/>
      <c r="AH92" s="191"/>
      <c r="AI92" s="186"/>
      <c r="AK92" s="171"/>
    </row>
    <row r="93" spans="1:41" s="102" customFormat="1" ht="19.899999999999999" customHeight="1" x14ac:dyDescent="0.25">
      <c r="A93" s="45"/>
      <c r="B93" s="59"/>
      <c r="C93" s="137"/>
      <c r="D93" s="59"/>
      <c r="E93" s="116"/>
      <c r="F93" s="120"/>
      <c r="G93" s="120"/>
      <c r="H93" s="120"/>
      <c r="I93" s="60"/>
      <c r="J93" s="116"/>
      <c r="K93" s="213"/>
      <c r="L93" s="120"/>
      <c r="M93" s="120"/>
      <c r="N93" s="167"/>
      <c r="O93" s="120"/>
      <c r="P93" s="120"/>
      <c r="Q93" s="120"/>
      <c r="R93" s="120"/>
      <c r="S93" s="120"/>
      <c r="T93" s="221"/>
      <c r="U93" s="89"/>
      <c r="V93" s="61"/>
      <c r="W93" s="92" t="s">
        <v>1692</v>
      </c>
      <c r="X93" s="93" t="s">
        <v>32</v>
      </c>
      <c r="Y93" s="93" t="s">
        <v>67</v>
      </c>
      <c r="Z93" s="134">
        <f>VLOOKUP(W93,Sheet2!$B:$D,3,FALSE)</f>
        <v>19</v>
      </c>
      <c r="AA93" s="93">
        <f>AA92</f>
        <v>45</v>
      </c>
      <c r="AB93" s="93">
        <f>AD93/AC91</f>
        <v>0.42222222222222222</v>
      </c>
      <c r="AC93" s="93">
        <f>AC91/AA93</f>
        <v>1.6122222222222222</v>
      </c>
      <c r="AD93" s="94">
        <f t="shared" si="124"/>
        <v>30.632222222222222</v>
      </c>
      <c r="AE93" s="190"/>
      <c r="AF93" s="191"/>
      <c r="AG93" s="191"/>
      <c r="AH93" s="191"/>
      <c r="AI93" s="186"/>
      <c r="AK93" s="171"/>
    </row>
    <row r="94" spans="1:41" s="102" customFormat="1" ht="19.899999999999999" customHeight="1" x14ac:dyDescent="0.25">
      <c r="A94" s="45"/>
      <c r="B94" s="59"/>
      <c r="C94" s="137"/>
      <c r="D94" s="59"/>
      <c r="E94" s="116"/>
      <c r="F94" s="120"/>
      <c r="G94" s="120"/>
      <c r="H94" s="120"/>
      <c r="I94" s="60"/>
      <c r="J94" s="116"/>
      <c r="K94" s="213"/>
      <c r="L94" s="120"/>
      <c r="M94" s="120"/>
      <c r="N94" s="167"/>
      <c r="O94" s="120"/>
      <c r="P94" s="120"/>
      <c r="Q94" s="120"/>
      <c r="R94" s="120"/>
      <c r="S94" s="120"/>
      <c r="T94" s="221"/>
      <c r="U94" s="89"/>
      <c r="V94" s="61"/>
      <c r="W94" s="92" t="s">
        <v>1018</v>
      </c>
      <c r="X94" s="93" t="s">
        <v>32</v>
      </c>
      <c r="Y94" s="93" t="s">
        <v>64</v>
      </c>
      <c r="Z94" s="134">
        <f>VLOOKUP(W94,Sheet2!$B:$D,3,FALSE)</f>
        <v>1</v>
      </c>
      <c r="AA94" s="93">
        <f>1*0.05</f>
        <v>0.05</v>
      </c>
      <c r="AB94" s="93">
        <f>AD94/AC91</f>
        <v>19.999999999999996</v>
      </c>
      <c r="AC94" s="93">
        <f>AC91/AA94</f>
        <v>1450.9999999999998</v>
      </c>
      <c r="AD94" s="94">
        <f t="shared" si="124"/>
        <v>1450.9999999999998</v>
      </c>
      <c r="AE94" s="190"/>
      <c r="AF94" s="191"/>
      <c r="AG94" s="191"/>
      <c r="AH94" s="191"/>
      <c r="AI94" s="186"/>
      <c r="AK94" s="171"/>
    </row>
    <row r="95" spans="1:41" s="102" customFormat="1" ht="19.899999999999999" customHeight="1" x14ac:dyDescent="0.25">
      <c r="A95" s="45"/>
      <c r="B95" s="59"/>
      <c r="C95" s="137"/>
      <c r="D95" s="59"/>
      <c r="E95" s="116"/>
      <c r="F95" s="120"/>
      <c r="G95" s="120"/>
      <c r="H95" s="120"/>
      <c r="I95" s="60"/>
      <c r="J95" s="116"/>
      <c r="K95" s="213"/>
      <c r="L95" s="120"/>
      <c r="M95" s="120"/>
      <c r="N95" s="167"/>
      <c r="O95" s="120"/>
      <c r="P95" s="120"/>
      <c r="Q95" s="120"/>
      <c r="R95" s="120"/>
      <c r="S95" s="120"/>
      <c r="T95" s="221"/>
      <c r="U95" s="89"/>
      <c r="V95" s="61"/>
      <c r="W95" s="92" t="s">
        <v>1028</v>
      </c>
      <c r="X95" s="93" t="s">
        <v>30</v>
      </c>
      <c r="Y95" s="93" t="s">
        <v>67</v>
      </c>
      <c r="Z95" s="134">
        <f>VLOOKUP(W95,Sheet2!$B:$D,3,FALSE)</f>
        <v>250</v>
      </c>
      <c r="AA95" s="93">
        <f>1/2.4</f>
        <v>0.41666666666666669</v>
      </c>
      <c r="AB95" s="93">
        <f t="shared" ref="AB95" si="125">AD95/AC91</f>
        <v>599.99999999999989</v>
      </c>
      <c r="AC95" s="93">
        <f>AC91/AA95</f>
        <v>174.11999999999998</v>
      </c>
      <c r="AD95" s="94">
        <f t="shared" ref="AD95:AD97" si="126">AC95*Z95</f>
        <v>43529.999999999993</v>
      </c>
      <c r="AE95" s="190"/>
      <c r="AF95" s="191"/>
      <c r="AG95" s="191"/>
      <c r="AH95" s="191"/>
      <c r="AI95" s="186"/>
      <c r="AK95" s="171"/>
    </row>
    <row r="96" spans="1:41" s="102" customFormat="1" ht="19.899999999999999" customHeight="1" x14ac:dyDescent="0.25">
      <c r="A96" s="45"/>
      <c r="B96" s="59"/>
      <c r="C96" s="137"/>
      <c r="D96" s="59"/>
      <c r="E96" s="116"/>
      <c r="F96" s="120"/>
      <c r="G96" s="120"/>
      <c r="H96" s="120"/>
      <c r="I96" s="60"/>
      <c r="J96" s="116"/>
      <c r="K96" s="213"/>
      <c r="L96" s="120"/>
      <c r="M96" s="120"/>
      <c r="N96" s="167"/>
      <c r="O96" s="120"/>
      <c r="P96" s="120"/>
      <c r="Q96" s="120"/>
      <c r="R96" s="120"/>
      <c r="S96" s="120"/>
      <c r="T96" s="221"/>
      <c r="U96" s="89"/>
      <c r="V96" s="61"/>
      <c r="W96" s="92" t="s">
        <v>1692</v>
      </c>
      <c r="X96" s="93" t="s">
        <v>32</v>
      </c>
      <c r="Y96" s="93" t="s">
        <v>67</v>
      </c>
      <c r="Z96" s="134">
        <f>VLOOKUP(W96,Sheet2!$B:$D,3,FALSE)</f>
        <v>19</v>
      </c>
      <c r="AA96" s="93">
        <f>AA95</f>
        <v>0.41666666666666669</v>
      </c>
      <c r="AB96" s="93">
        <f>AD96/AC91</f>
        <v>45.6</v>
      </c>
      <c r="AC96" s="93">
        <f>AC91/AA96</f>
        <v>174.11999999999998</v>
      </c>
      <c r="AD96" s="94">
        <f t="shared" si="126"/>
        <v>3308.2799999999997</v>
      </c>
      <c r="AE96" s="190"/>
      <c r="AF96" s="191"/>
      <c r="AG96" s="191"/>
      <c r="AH96" s="191"/>
      <c r="AI96" s="186"/>
      <c r="AK96" s="171"/>
    </row>
    <row r="97" spans="1:41" s="102" customFormat="1" ht="19.899999999999999" customHeight="1" x14ac:dyDescent="0.25">
      <c r="A97" s="45"/>
      <c r="B97" s="59"/>
      <c r="C97" s="137"/>
      <c r="D97" s="59"/>
      <c r="E97" s="116"/>
      <c r="F97" s="120"/>
      <c r="G97" s="120"/>
      <c r="H97" s="120"/>
      <c r="I97" s="60"/>
      <c r="J97" s="116"/>
      <c r="K97" s="213"/>
      <c r="L97" s="120"/>
      <c r="M97" s="120"/>
      <c r="N97" s="167"/>
      <c r="O97" s="120"/>
      <c r="P97" s="120"/>
      <c r="Q97" s="120"/>
      <c r="R97" s="120"/>
      <c r="S97" s="120"/>
      <c r="T97" s="221"/>
      <c r="U97" s="89"/>
      <c r="V97" s="61"/>
      <c r="W97" s="92" t="s">
        <v>1023</v>
      </c>
      <c r="X97" s="93" t="s">
        <v>32</v>
      </c>
      <c r="Y97" s="93" t="s">
        <v>64</v>
      </c>
      <c r="Z97" s="134">
        <f>VLOOKUP(W97,Sheet2!$B:$D,3,FALSE)</f>
        <v>4</v>
      </c>
      <c r="AA97" s="93">
        <f>1*0.05</f>
        <v>0.05</v>
      </c>
      <c r="AB97" s="93">
        <f>AD97/AC91</f>
        <v>79.999999999999986</v>
      </c>
      <c r="AC97" s="93">
        <f>AC91/AA97</f>
        <v>1450.9999999999998</v>
      </c>
      <c r="AD97" s="94">
        <f t="shared" si="126"/>
        <v>5803.9999999999991</v>
      </c>
      <c r="AE97" s="190"/>
      <c r="AF97" s="191"/>
      <c r="AG97" s="191"/>
      <c r="AH97" s="191"/>
      <c r="AI97" s="186"/>
      <c r="AK97" s="171"/>
    </row>
    <row r="98" spans="1:41" s="306" customFormat="1" ht="24.95" customHeight="1" x14ac:dyDescent="0.25">
      <c r="A98" s="287" t="s">
        <v>198</v>
      </c>
      <c r="B98" s="288"/>
      <c r="C98" s="309" t="s">
        <v>1009</v>
      </c>
      <c r="D98" s="289"/>
      <c r="E98" s="290"/>
      <c r="F98" s="291"/>
      <c r="G98" s="291"/>
      <c r="H98" s="291"/>
      <c r="I98" s="292"/>
      <c r="J98" s="290"/>
      <c r="K98" s="293"/>
      <c r="L98" s="291"/>
      <c r="M98" s="291"/>
      <c r="N98" s="294"/>
      <c r="O98" s="291"/>
      <c r="P98" s="291"/>
      <c r="Q98" s="291"/>
      <c r="R98" s="291"/>
      <c r="S98" s="291"/>
      <c r="T98" s="295"/>
      <c r="U98" s="296"/>
      <c r="V98" s="297"/>
      <c r="W98" s="298"/>
      <c r="X98" s="299"/>
      <c r="Y98" s="300"/>
      <c r="Z98" s="301"/>
      <c r="AA98" s="300"/>
      <c r="AB98" s="300"/>
      <c r="AC98" s="300"/>
      <c r="AD98" s="302"/>
      <c r="AE98" s="303"/>
      <c r="AF98" s="304"/>
      <c r="AG98" s="304"/>
      <c r="AH98" s="304"/>
      <c r="AI98" s="305"/>
      <c r="AK98" s="307"/>
    </row>
    <row r="99" spans="1:41" s="306" customFormat="1" ht="90" x14ac:dyDescent="0.25">
      <c r="A99" s="287" t="s">
        <v>198</v>
      </c>
      <c r="B99" s="288"/>
      <c r="C99" s="286" t="s">
        <v>203</v>
      </c>
      <c r="D99" s="289"/>
      <c r="E99" s="290"/>
      <c r="F99" s="291"/>
      <c r="G99" s="291"/>
      <c r="H99" s="291"/>
      <c r="I99" s="292"/>
      <c r="J99" s="290"/>
      <c r="K99" s="293"/>
      <c r="L99" s="291"/>
      <c r="M99" s="291"/>
      <c r="N99" s="294"/>
      <c r="O99" s="291"/>
      <c r="P99" s="291"/>
      <c r="Q99" s="291"/>
      <c r="R99" s="291"/>
      <c r="S99" s="291"/>
      <c r="T99" s="295"/>
      <c r="U99" s="296"/>
      <c r="V99" s="297"/>
      <c r="W99" s="298"/>
      <c r="X99" s="299"/>
      <c r="Y99" s="300"/>
      <c r="Z99" s="301"/>
      <c r="AA99" s="300"/>
      <c r="AB99" s="300"/>
      <c r="AC99" s="300"/>
      <c r="AD99" s="302"/>
      <c r="AE99" s="303"/>
      <c r="AF99" s="304"/>
      <c r="AG99" s="304"/>
      <c r="AH99" s="304"/>
      <c r="AI99" s="305"/>
      <c r="AK99" s="307"/>
      <c r="AO99" s="306" t="s">
        <v>63</v>
      </c>
    </row>
    <row r="100" spans="1:41" ht="20.100000000000001" customHeight="1" x14ac:dyDescent="0.25">
      <c r="A100" s="277" t="s">
        <v>198</v>
      </c>
      <c r="B100" s="278">
        <v>4</v>
      </c>
      <c r="C100" s="64" t="s">
        <v>197</v>
      </c>
      <c r="D100" s="46" t="s">
        <v>97</v>
      </c>
      <c r="E100" s="114">
        <v>237.75</v>
      </c>
      <c r="F100" s="44">
        <v>72</v>
      </c>
      <c r="G100" s="44">
        <f t="shared" ref="G100:G193" si="127">F100*E100</f>
        <v>17118</v>
      </c>
      <c r="H100" s="44">
        <f t="shared" ref="H100:H193" si="128">AB100</f>
        <v>45</v>
      </c>
      <c r="I100" s="43">
        <f t="shared" ref="I100:I193" si="129">H100*E100</f>
        <v>10698.75</v>
      </c>
      <c r="J100" s="112">
        <f t="shared" ref="J100:J193" si="130">E100</f>
        <v>237.75</v>
      </c>
      <c r="K100" s="211">
        <f t="shared" ref="K100:K193" si="131">J100</f>
        <v>237.75</v>
      </c>
      <c r="L100" s="44"/>
      <c r="M100" s="44">
        <f t="shared" ref="M100:M211" si="132">K100-L100</f>
        <v>237.75</v>
      </c>
      <c r="N100" s="173">
        <f t="shared" ref="N100:N193" si="133">IFERROR(M100/K100,0)</f>
        <v>1</v>
      </c>
      <c r="O100" s="44">
        <f t="shared" ref="O100:O193" si="134">F100</f>
        <v>72</v>
      </c>
      <c r="P100" s="44">
        <f t="shared" ref="P100:P193" si="135">K100*O100</f>
        <v>17118</v>
      </c>
      <c r="Q100" s="44">
        <f t="shared" ref="Q100:Q193" si="136">AB100</f>
        <v>45</v>
      </c>
      <c r="R100" s="44">
        <f t="shared" ref="R100:R211" si="137">M100*Q100</f>
        <v>10698.75</v>
      </c>
      <c r="S100" s="123"/>
      <c r="T100" s="219">
        <f t="shared" ref="T100:T211" si="138">S100+R100</f>
        <v>10698.75</v>
      </c>
      <c r="U100" s="87"/>
      <c r="V100" s="47"/>
      <c r="W100" s="48"/>
      <c r="X100" s="48"/>
      <c r="Y100" s="48"/>
      <c r="Z100" s="135"/>
      <c r="AA100" s="49"/>
      <c r="AB100" s="50">
        <f t="shared" ref="AB100:AB193" si="139">AD100/AC100</f>
        <v>45</v>
      </c>
      <c r="AC100" s="42">
        <f t="shared" ref="AC100:AC211" si="140">M100+$AE$10</f>
        <v>237.75</v>
      </c>
      <c r="AD100" s="90">
        <f>AD101</f>
        <v>10698.75</v>
      </c>
      <c r="AE100" s="188">
        <f t="shared" ref="AE100:AH100" si="141">AE101</f>
        <v>0</v>
      </c>
      <c r="AF100" s="189">
        <f t="shared" si="141"/>
        <v>0</v>
      </c>
      <c r="AG100" s="189">
        <f t="shared" si="141"/>
        <v>0</v>
      </c>
      <c r="AH100" s="189">
        <f t="shared" si="141"/>
        <v>0</v>
      </c>
      <c r="AI100" s="161">
        <f t="shared" ref="AI100" si="142">SUM(AE100:AH100)</f>
        <v>0</v>
      </c>
      <c r="AK100" s="169">
        <v>5</v>
      </c>
      <c r="AO100" s="19" t="s">
        <v>63</v>
      </c>
    </row>
    <row r="101" spans="1:41" s="103" customFormat="1" ht="19.899999999999999" customHeight="1" x14ac:dyDescent="0.25">
      <c r="A101" s="51"/>
      <c r="B101" s="52"/>
      <c r="C101" s="165"/>
      <c r="D101" s="52"/>
      <c r="E101" s="115"/>
      <c r="F101" s="58"/>
      <c r="G101" s="58"/>
      <c r="H101" s="58"/>
      <c r="I101" s="55"/>
      <c r="J101" s="113">
        <f>J100</f>
        <v>237.75</v>
      </c>
      <c r="K101" s="212">
        <f>K100</f>
        <v>237.75</v>
      </c>
      <c r="L101" s="58"/>
      <c r="M101" s="58">
        <f>K101-L101</f>
        <v>237.75</v>
      </c>
      <c r="N101" s="166"/>
      <c r="O101" s="58"/>
      <c r="P101" s="58"/>
      <c r="Q101" s="58"/>
      <c r="R101" s="58"/>
      <c r="S101" s="58"/>
      <c r="T101" s="220"/>
      <c r="U101" s="88"/>
      <c r="V101" s="56"/>
      <c r="W101" s="57" t="s">
        <v>1013</v>
      </c>
      <c r="X101" s="53"/>
      <c r="Y101" s="91" t="s">
        <v>68</v>
      </c>
      <c r="Z101" s="136">
        <f>AD101/AC101</f>
        <v>45</v>
      </c>
      <c r="AA101" s="58"/>
      <c r="AB101" s="53">
        <f>AD101/AC101</f>
        <v>45</v>
      </c>
      <c r="AC101" s="53">
        <f>M101+$AE$10</f>
        <v>237.75</v>
      </c>
      <c r="AD101" s="54">
        <f>SUM(AD102:AD103)</f>
        <v>10698.75</v>
      </c>
      <c r="AE101" s="184">
        <f>SUMIFS($AD$37:$AD$12971,$V$37:$V$12971,$V101,$X$37:$X$12971,AE$13)</f>
        <v>0</v>
      </c>
      <c r="AF101" s="185">
        <f>SUMIFS($AD$37:$AD$12971,$V$37:$V$12971,$V101,$X$37:$X$12971,AF$13)</f>
        <v>0</v>
      </c>
      <c r="AG101" s="185">
        <f>SUMIFS($AD$37:$AD$12971,$V$37:$V$12971,$V101,$X$37:$X$12971,AG$13)</f>
        <v>0</v>
      </c>
      <c r="AH101" s="187">
        <f>SUMIFS($AD$37:$AD$12971,$V$37:$V$12971,$V101,$X$37:$X$12971,AH$13)</f>
        <v>0</v>
      </c>
      <c r="AI101" s="161">
        <f t="shared" ref="AI101" si="143">SUM(AE101:AH101)</f>
        <v>0</v>
      </c>
      <c r="AK101" s="172"/>
    </row>
    <row r="102" spans="1:41" s="102" customFormat="1" ht="19.899999999999999" customHeight="1" x14ac:dyDescent="0.25">
      <c r="A102" s="45"/>
      <c r="B102" s="59"/>
      <c r="C102" s="137"/>
      <c r="D102" s="59"/>
      <c r="E102" s="116"/>
      <c r="F102" s="120"/>
      <c r="G102" s="120"/>
      <c r="H102" s="120"/>
      <c r="I102" s="60"/>
      <c r="J102" s="116"/>
      <c r="K102" s="213"/>
      <c r="L102" s="120"/>
      <c r="M102" s="120"/>
      <c r="N102" s="167"/>
      <c r="O102" s="120"/>
      <c r="P102" s="120"/>
      <c r="Q102" s="120"/>
      <c r="R102" s="120"/>
      <c r="S102" s="120"/>
      <c r="T102" s="221"/>
      <c r="U102" s="89"/>
      <c r="V102" s="61"/>
      <c r="W102" s="92" t="s">
        <v>104</v>
      </c>
      <c r="X102" s="93" t="s">
        <v>30</v>
      </c>
      <c r="Y102" s="93" t="s">
        <v>1014</v>
      </c>
      <c r="Z102" s="134">
        <f>VLOOKUP(W102,Sheet2!$B:$D,3,FALSE)</f>
        <v>18</v>
      </c>
      <c r="AA102" s="93">
        <v>1</v>
      </c>
      <c r="AB102" s="93">
        <f t="shared" ref="AB102" si="144">AD102/AC101</f>
        <v>18</v>
      </c>
      <c r="AC102" s="93">
        <f>AC101/AA102</f>
        <v>237.75</v>
      </c>
      <c r="AD102" s="94">
        <f t="shared" ref="AD102:AD103" si="145">AC102*Z102</f>
        <v>4279.5</v>
      </c>
      <c r="AE102" s="190"/>
      <c r="AF102" s="191"/>
      <c r="AG102" s="191"/>
      <c r="AH102" s="191"/>
      <c r="AI102" s="186"/>
      <c r="AK102" s="171"/>
    </row>
    <row r="103" spans="1:41" s="102" customFormat="1" ht="19.899999999999999" customHeight="1" x14ac:dyDescent="0.25">
      <c r="A103" s="45"/>
      <c r="B103" s="59"/>
      <c r="C103" s="137"/>
      <c r="D103" s="59"/>
      <c r="E103" s="116"/>
      <c r="F103" s="120"/>
      <c r="G103" s="120"/>
      <c r="H103" s="120"/>
      <c r="I103" s="60"/>
      <c r="J103" s="116"/>
      <c r="K103" s="213"/>
      <c r="L103" s="120"/>
      <c r="M103" s="120"/>
      <c r="N103" s="167"/>
      <c r="O103" s="120"/>
      <c r="P103" s="120"/>
      <c r="Q103" s="120"/>
      <c r="R103" s="120"/>
      <c r="S103" s="120"/>
      <c r="T103" s="221"/>
      <c r="U103" s="89"/>
      <c r="V103" s="61"/>
      <c r="W103" s="92" t="s">
        <v>105</v>
      </c>
      <c r="X103" s="93" t="s">
        <v>32</v>
      </c>
      <c r="Y103" s="93" t="s">
        <v>1014</v>
      </c>
      <c r="Z103" s="134">
        <f>VLOOKUP(W103,Sheet2!$B:$D,3,FALSE)</f>
        <v>27</v>
      </c>
      <c r="AA103" s="93">
        <v>1</v>
      </c>
      <c r="AB103" s="93">
        <f>AD103/AC101</f>
        <v>27</v>
      </c>
      <c r="AC103" s="93">
        <f>AC101/AA103</f>
        <v>237.75</v>
      </c>
      <c r="AD103" s="94">
        <f t="shared" si="145"/>
        <v>6419.25</v>
      </c>
      <c r="AE103" s="190"/>
      <c r="AF103" s="191"/>
      <c r="AG103" s="191"/>
      <c r="AH103" s="191"/>
      <c r="AI103" s="186"/>
      <c r="AK103" s="171"/>
    </row>
    <row r="104" spans="1:41" s="306" customFormat="1" ht="24.95" customHeight="1" x14ac:dyDescent="0.25">
      <c r="A104" s="287"/>
      <c r="B104" s="288"/>
      <c r="C104" s="309" t="s">
        <v>1029</v>
      </c>
      <c r="D104" s="289"/>
      <c r="E104" s="290"/>
      <c r="F104" s="291"/>
      <c r="G104" s="291"/>
      <c r="H104" s="291"/>
      <c r="I104" s="292"/>
      <c r="J104" s="290"/>
      <c r="K104" s="293"/>
      <c r="L104" s="291"/>
      <c r="M104" s="291"/>
      <c r="N104" s="294"/>
      <c r="O104" s="291"/>
      <c r="P104" s="291"/>
      <c r="Q104" s="291"/>
      <c r="R104" s="291"/>
      <c r="S104" s="291"/>
      <c r="T104" s="295"/>
      <c r="U104" s="296"/>
      <c r="V104" s="297"/>
      <c r="W104" s="298"/>
      <c r="X104" s="299"/>
      <c r="Y104" s="300"/>
      <c r="Z104" s="301"/>
      <c r="AA104" s="300"/>
      <c r="AB104" s="300"/>
      <c r="AC104" s="300"/>
      <c r="AD104" s="302"/>
      <c r="AE104" s="303"/>
      <c r="AF104" s="304"/>
      <c r="AG104" s="304"/>
      <c r="AH104" s="304"/>
      <c r="AI104" s="305"/>
      <c r="AK104" s="307"/>
    </row>
    <row r="105" spans="1:41" s="306" customFormat="1" ht="24.95" customHeight="1" x14ac:dyDescent="0.25">
      <c r="A105" s="287"/>
      <c r="B105" s="288"/>
      <c r="C105" s="310" t="s">
        <v>205</v>
      </c>
      <c r="D105" s="289"/>
      <c r="E105" s="290"/>
      <c r="F105" s="291"/>
      <c r="G105" s="291"/>
      <c r="H105" s="291"/>
      <c r="I105" s="292"/>
      <c r="J105" s="290"/>
      <c r="K105" s="293"/>
      <c r="L105" s="291"/>
      <c r="M105" s="291"/>
      <c r="N105" s="294"/>
      <c r="O105" s="291"/>
      <c r="P105" s="291"/>
      <c r="Q105" s="291"/>
      <c r="R105" s="291"/>
      <c r="S105" s="291"/>
      <c r="T105" s="295"/>
      <c r="U105" s="296"/>
      <c r="V105" s="297"/>
      <c r="W105" s="298"/>
      <c r="X105" s="299"/>
      <c r="Y105" s="300"/>
      <c r="Z105" s="301"/>
      <c r="AA105" s="300"/>
      <c r="AB105" s="300"/>
      <c r="AC105" s="300"/>
      <c r="AD105" s="302"/>
      <c r="AE105" s="303"/>
      <c r="AF105" s="304"/>
      <c r="AG105" s="304"/>
      <c r="AH105" s="304"/>
      <c r="AI105" s="305"/>
      <c r="AK105" s="307"/>
    </row>
    <row r="106" spans="1:41" s="306" customFormat="1" ht="90" x14ac:dyDescent="0.25">
      <c r="A106" s="287"/>
      <c r="B106" s="288"/>
      <c r="C106" s="286" t="s">
        <v>206</v>
      </c>
      <c r="D106" s="289"/>
      <c r="E106" s="290"/>
      <c r="F106" s="291"/>
      <c r="G106" s="291"/>
      <c r="H106" s="291"/>
      <c r="I106" s="292"/>
      <c r="J106" s="290"/>
      <c r="K106" s="293"/>
      <c r="L106" s="291"/>
      <c r="M106" s="291"/>
      <c r="N106" s="294"/>
      <c r="O106" s="291"/>
      <c r="P106" s="291"/>
      <c r="Q106" s="291"/>
      <c r="R106" s="291"/>
      <c r="S106" s="291"/>
      <c r="T106" s="295"/>
      <c r="U106" s="296"/>
      <c r="V106" s="297"/>
      <c r="W106" s="298"/>
      <c r="X106" s="299"/>
      <c r="Y106" s="300"/>
      <c r="Z106" s="301"/>
      <c r="AA106" s="300"/>
      <c r="AB106" s="300"/>
      <c r="AC106" s="300"/>
      <c r="AD106" s="302"/>
      <c r="AE106" s="303"/>
      <c r="AF106" s="304"/>
      <c r="AG106" s="304"/>
      <c r="AH106" s="304"/>
      <c r="AI106" s="305"/>
      <c r="AK106" s="307"/>
    </row>
    <row r="107" spans="1:41" ht="20.100000000000001" customHeight="1" x14ac:dyDescent="0.25">
      <c r="A107" s="277" t="s">
        <v>204</v>
      </c>
      <c r="B107" s="278">
        <v>1</v>
      </c>
      <c r="C107" s="64" t="s">
        <v>207</v>
      </c>
      <c r="D107" s="46" t="s">
        <v>97</v>
      </c>
      <c r="E107" s="114">
        <v>44441.449999999939</v>
      </c>
      <c r="F107" s="44">
        <v>215</v>
      </c>
      <c r="G107" s="44">
        <f t="shared" si="127"/>
        <v>9554911.749999987</v>
      </c>
      <c r="H107" s="44">
        <f t="shared" si="128"/>
        <v>178.16781406535947</v>
      </c>
      <c r="I107" s="43">
        <f t="shared" si="129"/>
        <v>7918036.0003949581</v>
      </c>
      <c r="J107" s="112">
        <f t="shared" si="130"/>
        <v>44441.449999999939</v>
      </c>
      <c r="K107" s="211">
        <f t="shared" si="131"/>
        <v>44441.449999999939</v>
      </c>
      <c r="L107" s="44"/>
      <c r="M107" s="44">
        <f t="shared" si="132"/>
        <v>44441.449999999939</v>
      </c>
      <c r="N107" s="173">
        <f t="shared" si="133"/>
        <v>1</v>
      </c>
      <c r="O107" s="44">
        <f t="shared" si="134"/>
        <v>215</v>
      </c>
      <c r="P107" s="44">
        <f t="shared" si="135"/>
        <v>9554911.749999987</v>
      </c>
      <c r="Q107" s="44">
        <f t="shared" si="136"/>
        <v>178.16781406535947</v>
      </c>
      <c r="R107" s="44">
        <f t="shared" si="137"/>
        <v>7918036.0003949581</v>
      </c>
      <c r="S107" s="123"/>
      <c r="T107" s="219">
        <f t="shared" si="138"/>
        <v>7918036.0003949581</v>
      </c>
      <c r="U107" s="87"/>
      <c r="V107" s="47"/>
      <c r="W107" s="48"/>
      <c r="X107" s="48"/>
      <c r="Y107" s="48"/>
      <c r="Z107" s="135"/>
      <c r="AA107" s="49"/>
      <c r="AB107" s="50">
        <f t="shared" si="139"/>
        <v>178.16781406535947</v>
      </c>
      <c r="AC107" s="42">
        <f t="shared" si="140"/>
        <v>44441.449999999939</v>
      </c>
      <c r="AD107" s="90">
        <f>AD108+AD115+AD121</f>
        <v>7918036.000394959</v>
      </c>
      <c r="AE107" s="188">
        <f t="shared" ref="AE107:AH107" si="146">AE108+AE115+AE121</f>
        <v>0</v>
      </c>
      <c r="AF107" s="189">
        <f t="shared" si="146"/>
        <v>0</v>
      </c>
      <c r="AG107" s="189">
        <f t="shared" si="146"/>
        <v>0</v>
      </c>
      <c r="AH107" s="189">
        <f t="shared" si="146"/>
        <v>0</v>
      </c>
      <c r="AI107" s="161">
        <f t="shared" ref="AI107" si="147">SUM(AE107:AH107)</f>
        <v>0</v>
      </c>
      <c r="AK107" s="169">
        <v>5</v>
      </c>
      <c r="AO107" s="19" t="s">
        <v>63</v>
      </c>
    </row>
    <row r="108" spans="1:41" s="103" customFormat="1" ht="19.899999999999999" customHeight="1" x14ac:dyDescent="0.25">
      <c r="A108" s="51"/>
      <c r="B108" s="52"/>
      <c r="C108" s="165"/>
      <c r="D108" s="52"/>
      <c r="E108" s="115"/>
      <c r="F108" s="58"/>
      <c r="G108" s="58"/>
      <c r="H108" s="58"/>
      <c r="I108" s="55"/>
      <c r="J108" s="113">
        <f>J107</f>
        <v>44441.449999999939</v>
      </c>
      <c r="K108" s="212">
        <f>K107</f>
        <v>44441.449999999939</v>
      </c>
      <c r="L108" s="58"/>
      <c r="M108" s="58">
        <f>K108-L108</f>
        <v>44441.449999999939</v>
      </c>
      <c r="N108" s="166"/>
      <c r="O108" s="58"/>
      <c r="P108" s="58"/>
      <c r="Q108" s="58"/>
      <c r="R108" s="58"/>
      <c r="S108" s="58"/>
      <c r="T108" s="220"/>
      <c r="U108" s="88"/>
      <c r="V108" s="56"/>
      <c r="W108" s="57" t="s">
        <v>1532</v>
      </c>
      <c r="X108" s="53"/>
      <c r="Y108" s="91" t="s">
        <v>68</v>
      </c>
      <c r="Z108" s="136">
        <f>AD108/AC108</f>
        <v>7.9527466666666671</v>
      </c>
      <c r="AA108" s="58"/>
      <c r="AB108" s="53">
        <f>AD108/AC108</f>
        <v>7.9527466666666671</v>
      </c>
      <c r="AC108" s="53">
        <f>M108+$AE$10</f>
        <v>44441.449999999939</v>
      </c>
      <c r="AD108" s="54">
        <f>SUM(AD109:AD114)</f>
        <v>353431.59334933286</v>
      </c>
      <c r="AE108" s="184">
        <f>SUMIFS($AD$37:$AD$12971,$V$37:$V$12971,$V108,$X$37:$X$12971,AE$13)</f>
        <v>0</v>
      </c>
      <c r="AF108" s="185">
        <f>SUMIFS($AD$37:$AD$12971,$V$37:$V$12971,$V108,$X$37:$X$12971,AF$13)</f>
        <v>0</v>
      </c>
      <c r="AG108" s="185">
        <f>SUMIFS($AD$37:$AD$12971,$V$37:$V$12971,$V108,$X$37:$X$12971,AG$13)</f>
        <v>0</v>
      </c>
      <c r="AH108" s="187">
        <f>SUMIFS($AD$37:$AD$12971,$V$37:$V$12971,$V108,$X$37:$X$12971,AH$13)</f>
        <v>0</v>
      </c>
      <c r="AI108" s="161">
        <f t="shared" ref="AI108" si="148">SUM(AE108:AH108)</f>
        <v>0</v>
      </c>
      <c r="AK108" s="172"/>
    </row>
    <row r="109" spans="1:41" s="102" customFormat="1" ht="19.899999999999999" customHeight="1" x14ac:dyDescent="0.25">
      <c r="A109" s="45"/>
      <c r="B109" s="59"/>
      <c r="C109" s="137"/>
      <c r="D109" s="59"/>
      <c r="E109" s="116"/>
      <c r="F109" s="120"/>
      <c r="G109" s="120"/>
      <c r="H109" s="120"/>
      <c r="I109" s="60"/>
      <c r="J109" s="116"/>
      <c r="K109" s="213"/>
      <c r="L109" s="120"/>
      <c r="M109" s="120"/>
      <c r="N109" s="167"/>
      <c r="O109" s="120"/>
      <c r="P109" s="120"/>
      <c r="Q109" s="120"/>
      <c r="R109" s="120"/>
      <c r="S109" s="120"/>
      <c r="T109" s="221"/>
      <c r="U109" s="89"/>
      <c r="V109" s="61"/>
      <c r="W109" s="92" t="s">
        <v>129</v>
      </c>
      <c r="X109" s="93" t="s">
        <v>29</v>
      </c>
      <c r="Y109" s="93" t="s">
        <v>93</v>
      </c>
      <c r="Z109" s="134">
        <f>VLOOKUP(W109,Sheet2!$B:$D,3,FALSE)</f>
        <v>56</v>
      </c>
      <c r="AA109" s="93">
        <f>100/(1.7*1)</f>
        <v>58.82352941176471</v>
      </c>
      <c r="AB109" s="93">
        <f t="shared" ref="AB109" si="149">AD109/AC108</f>
        <v>0.95199999999999996</v>
      </c>
      <c r="AC109" s="93">
        <f>AC108/AA109</f>
        <v>755.50464999999895</v>
      </c>
      <c r="AD109" s="94">
        <f t="shared" ref="AD109:AD113" si="150">AC109*Z109</f>
        <v>42308.260399999941</v>
      </c>
      <c r="AE109" s="190"/>
      <c r="AF109" s="191"/>
      <c r="AG109" s="191"/>
      <c r="AH109" s="191"/>
      <c r="AI109" s="186"/>
      <c r="AK109" s="171"/>
    </row>
    <row r="110" spans="1:41" s="102" customFormat="1" ht="19.899999999999999" customHeight="1" x14ac:dyDescent="0.25">
      <c r="A110" s="45"/>
      <c r="B110" s="59"/>
      <c r="C110" s="137"/>
      <c r="D110" s="59"/>
      <c r="E110" s="116"/>
      <c r="F110" s="120"/>
      <c r="G110" s="120"/>
      <c r="H110" s="120"/>
      <c r="I110" s="60"/>
      <c r="J110" s="116"/>
      <c r="K110" s="213"/>
      <c r="L110" s="120"/>
      <c r="M110" s="120"/>
      <c r="N110" s="167"/>
      <c r="O110" s="120"/>
      <c r="P110" s="120"/>
      <c r="Q110" s="120"/>
      <c r="R110" s="120"/>
      <c r="S110" s="120"/>
      <c r="T110" s="221"/>
      <c r="U110" s="89"/>
      <c r="V110" s="61"/>
      <c r="W110" s="92" t="s">
        <v>65</v>
      </c>
      <c r="X110" s="93" t="s">
        <v>30</v>
      </c>
      <c r="Y110" s="93" t="s">
        <v>1011</v>
      </c>
      <c r="Z110" s="134">
        <f>VLOOKUP(W110,Sheet2!$B:$D,3,FALSE)</f>
        <v>1.76</v>
      </c>
      <c r="AA110" s="93">
        <f>AA109/14</f>
        <v>4.2016806722689077</v>
      </c>
      <c r="AB110" s="93">
        <f>AD110/AC108</f>
        <v>0.41888000000000003</v>
      </c>
      <c r="AC110" s="93">
        <f>AC108/AA110</f>
        <v>10577.065099999985</v>
      </c>
      <c r="AD110" s="94">
        <f t="shared" si="150"/>
        <v>18615.634575999975</v>
      </c>
      <c r="AE110" s="190"/>
      <c r="AF110" s="191"/>
      <c r="AG110" s="191"/>
      <c r="AH110" s="191"/>
      <c r="AI110" s="186"/>
      <c r="AK110" s="171"/>
    </row>
    <row r="111" spans="1:41" s="102" customFormat="1" ht="19.899999999999999" customHeight="1" x14ac:dyDescent="0.25">
      <c r="A111" s="45"/>
      <c r="B111" s="59"/>
      <c r="C111" s="137"/>
      <c r="D111" s="59"/>
      <c r="E111" s="116"/>
      <c r="F111" s="120"/>
      <c r="G111" s="120"/>
      <c r="H111" s="120"/>
      <c r="I111" s="60"/>
      <c r="J111" s="116"/>
      <c r="K111" s="213"/>
      <c r="L111" s="120"/>
      <c r="M111" s="120"/>
      <c r="N111" s="167"/>
      <c r="O111" s="120"/>
      <c r="P111" s="120"/>
      <c r="Q111" s="120"/>
      <c r="R111" s="120"/>
      <c r="S111" s="120"/>
      <c r="T111" s="221"/>
      <c r="U111" s="89"/>
      <c r="V111" s="61"/>
      <c r="W111" s="92" t="s">
        <v>161</v>
      </c>
      <c r="X111" s="93" t="s">
        <v>29</v>
      </c>
      <c r="Y111" s="93" t="s">
        <v>93</v>
      </c>
      <c r="Z111" s="134">
        <f>VLOOKUP(W111,Sheet2!$B:$D,3,FALSE)</f>
        <v>48</v>
      </c>
      <c r="AA111" s="93">
        <f>(16*0.85*1.5)/(1.7*1)</f>
        <v>12</v>
      </c>
      <c r="AB111" s="93">
        <f>AD111/AC108</f>
        <v>4</v>
      </c>
      <c r="AC111" s="93">
        <f>AC108/AA111</f>
        <v>3703.4541666666614</v>
      </c>
      <c r="AD111" s="94">
        <f>AC111*Z111</f>
        <v>177765.79999999976</v>
      </c>
      <c r="AE111" s="190"/>
      <c r="AF111" s="191"/>
      <c r="AG111" s="191"/>
      <c r="AH111" s="191"/>
      <c r="AI111" s="186"/>
      <c r="AK111" s="171"/>
    </row>
    <row r="112" spans="1:41" s="102" customFormat="1" ht="19.899999999999999" customHeight="1" x14ac:dyDescent="0.25">
      <c r="A112" s="45"/>
      <c r="B112" s="59"/>
      <c r="C112" s="137"/>
      <c r="D112" s="59"/>
      <c r="E112" s="116"/>
      <c r="F112" s="120"/>
      <c r="G112" s="120"/>
      <c r="H112" s="120"/>
      <c r="I112" s="60"/>
      <c r="J112" s="116"/>
      <c r="K112" s="213"/>
      <c r="L112" s="120"/>
      <c r="M112" s="120"/>
      <c r="N112" s="167"/>
      <c r="O112" s="120"/>
      <c r="P112" s="120"/>
      <c r="Q112" s="120"/>
      <c r="R112" s="120"/>
      <c r="S112" s="120"/>
      <c r="T112" s="221"/>
      <c r="U112" s="89"/>
      <c r="V112" s="61"/>
      <c r="W112" s="92" t="s">
        <v>65</v>
      </c>
      <c r="X112" s="93" t="s">
        <v>30</v>
      </c>
      <c r="Y112" s="93" t="s">
        <v>1011</v>
      </c>
      <c r="Z112" s="134">
        <f>VLOOKUP(W112,Sheet2!$B:$D,3,FALSE)</f>
        <v>1.76</v>
      </c>
      <c r="AA112" s="93">
        <f>AA111/10</f>
        <v>1.2</v>
      </c>
      <c r="AB112" s="93">
        <f>AD112/AC108</f>
        <v>1.466666666666667</v>
      </c>
      <c r="AC112" s="93">
        <f>AC108/AA112</f>
        <v>37034.541666666621</v>
      </c>
      <c r="AD112" s="94">
        <f>AC112*Z112</f>
        <v>65180.793333333255</v>
      </c>
      <c r="AE112" s="190"/>
      <c r="AF112" s="191"/>
      <c r="AG112" s="191"/>
      <c r="AH112" s="191"/>
      <c r="AI112" s="186"/>
      <c r="AK112" s="171"/>
    </row>
    <row r="113" spans="1:37" s="102" customFormat="1" ht="19.899999999999999" customHeight="1" x14ac:dyDescent="0.25">
      <c r="A113" s="45"/>
      <c r="B113" s="59"/>
      <c r="C113" s="137"/>
      <c r="D113" s="59"/>
      <c r="E113" s="116"/>
      <c r="F113" s="120"/>
      <c r="G113" s="120"/>
      <c r="H113" s="120"/>
      <c r="I113" s="60"/>
      <c r="J113" s="116"/>
      <c r="K113" s="213"/>
      <c r="L113" s="120"/>
      <c r="M113" s="120"/>
      <c r="N113" s="167"/>
      <c r="O113" s="120"/>
      <c r="P113" s="120"/>
      <c r="Q113" s="120"/>
      <c r="R113" s="120"/>
      <c r="S113" s="120"/>
      <c r="T113" s="221"/>
      <c r="U113" s="89"/>
      <c r="V113" s="61"/>
      <c r="W113" s="92" t="s">
        <v>148</v>
      </c>
      <c r="X113" s="93" t="s">
        <v>29</v>
      </c>
      <c r="Y113" s="93" t="s">
        <v>93</v>
      </c>
      <c r="Z113" s="134">
        <f>VLOOKUP(W113,Sheet2!$B:$D,3,FALSE)</f>
        <v>48</v>
      </c>
      <c r="AA113" s="93">
        <f>AA109</f>
        <v>58.82352941176471</v>
      </c>
      <c r="AB113" s="93">
        <f>AD113/AC108</f>
        <v>0.81599999999999995</v>
      </c>
      <c r="AC113" s="93">
        <f>AC108/AA113</f>
        <v>755.50464999999895</v>
      </c>
      <c r="AD113" s="94">
        <f t="shared" si="150"/>
        <v>36264.223199999949</v>
      </c>
      <c r="AE113" s="190"/>
      <c r="AF113" s="191"/>
      <c r="AG113" s="191"/>
      <c r="AH113" s="191"/>
      <c r="AI113" s="186"/>
      <c r="AK113" s="171"/>
    </row>
    <row r="114" spans="1:37" s="102" customFormat="1" ht="19.899999999999999" customHeight="1" x14ac:dyDescent="0.25">
      <c r="A114" s="45"/>
      <c r="B114" s="59"/>
      <c r="C114" s="137"/>
      <c r="D114" s="59"/>
      <c r="E114" s="116"/>
      <c r="F114" s="120"/>
      <c r="G114" s="120"/>
      <c r="H114" s="120"/>
      <c r="I114" s="60"/>
      <c r="J114" s="116"/>
      <c r="K114" s="213"/>
      <c r="L114" s="120"/>
      <c r="M114" s="120"/>
      <c r="N114" s="167"/>
      <c r="O114" s="120"/>
      <c r="P114" s="120"/>
      <c r="Q114" s="120"/>
      <c r="R114" s="120"/>
      <c r="S114" s="120"/>
      <c r="T114" s="221"/>
      <c r="U114" s="89"/>
      <c r="V114" s="61"/>
      <c r="W114" s="92" t="s">
        <v>65</v>
      </c>
      <c r="X114" s="93" t="s">
        <v>30</v>
      </c>
      <c r="Y114" s="93" t="s">
        <v>1011</v>
      </c>
      <c r="Z114" s="134">
        <f>VLOOKUP(W114,Sheet2!$B:$D,3,FALSE)</f>
        <v>1.76</v>
      </c>
      <c r="AA114" s="93">
        <f>AA113/10</f>
        <v>5.882352941176471</v>
      </c>
      <c r="AB114" s="93">
        <f>AD114/AC108</f>
        <v>0.29920000000000002</v>
      </c>
      <c r="AC114" s="93">
        <f>AC108/AA114</f>
        <v>7555.0464999999895</v>
      </c>
      <c r="AD114" s="94">
        <f t="shared" ref="AD114" si="151">AC114*Z114</f>
        <v>13296.881839999982</v>
      </c>
      <c r="AE114" s="190"/>
      <c r="AF114" s="191"/>
      <c r="AG114" s="191"/>
      <c r="AH114" s="191"/>
      <c r="AI114" s="186"/>
      <c r="AK114" s="171"/>
    </row>
    <row r="115" spans="1:37" s="103" customFormat="1" ht="19.899999999999999" customHeight="1" x14ac:dyDescent="0.25">
      <c r="A115" s="51"/>
      <c r="B115" s="52"/>
      <c r="C115" s="165"/>
      <c r="D115" s="52"/>
      <c r="E115" s="115"/>
      <c r="F115" s="58"/>
      <c r="G115" s="58"/>
      <c r="H115" s="58"/>
      <c r="I115" s="55"/>
      <c r="J115" s="113">
        <f>J107</f>
        <v>44441.449999999939</v>
      </c>
      <c r="K115" s="212">
        <f>K107</f>
        <v>44441.449999999939</v>
      </c>
      <c r="L115" s="58"/>
      <c r="M115" s="58">
        <f>K115-L115</f>
        <v>44441.449999999939</v>
      </c>
      <c r="N115" s="166"/>
      <c r="O115" s="58"/>
      <c r="P115" s="58"/>
      <c r="Q115" s="58"/>
      <c r="R115" s="58"/>
      <c r="S115" s="58"/>
      <c r="T115" s="220"/>
      <c r="U115" s="88"/>
      <c r="V115" s="56"/>
      <c r="W115" s="57" t="s">
        <v>1031</v>
      </c>
      <c r="X115" s="53"/>
      <c r="Y115" s="91" t="s">
        <v>68</v>
      </c>
      <c r="Z115" s="136">
        <f>AD115/AC115</f>
        <v>160.34</v>
      </c>
      <c r="AA115" s="58"/>
      <c r="AB115" s="53">
        <f>AD115/AC115</f>
        <v>160.34</v>
      </c>
      <c r="AC115" s="53">
        <f>M115+$AE$10</f>
        <v>44441.449999999939</v>
      </c>
      <c r="AD115" s="54">
        <f>SUM(AD116:AD120)</f>
        <v>7125742.0929999901</v>
      </c>
      <c r="AE115" s="184">
        <f>SUMIFS($AD$37:$AD$12971,$V$37:$V$12971,$V115,$X$37:$X$12971,AE$13)</f>
        <v>0</v>
      </c>
      <c r="AF115" s="185">
        <f>SUMIFS($AD$37:$AD$12971,$V$37:$V$12971,$V115,$X$37:$X$12971,AF$13)</f>
        <v>0</v>
      </c>
      <c r="AG115" s="185">
        <f>SUMIFS($AD$37:$AD$12971,$V$37:$V$12971,$V115,$X$37:$X$12971,AG$13)</f>
        <v>0</v>
      </c>
      <c r="AH115" s="187">
        <f>SUMIFS($AD$37:$AD$12971,$V$37:$V$12971,$V115,$X$37:$X$12971,AH$13)</f>
        <v>0</v>
      </c>
      <c r="AI115" s="161">
        <f t="shared" ref="AI115" si="152">SUM(AE115:AH115)</f>
        <v>0</v>
      </c>
      <c r="AK115" s="172"/>
    </row>
    <row r="116" spans="1:37" s="102" customFormat="1" ht="19.899999999999999" customHeight="1" x14ac:dyDescent="0.25">
      <c r="A116" s="45"/>
      <c r="B116" s="59"/>
      <c r="C116" s="137"/>
      <c r="D116" s="59"/>
      <c r="E116" s="116"/>
      <c r="F116" s="120"/>
      <c r="G116" s="120"/>
      <c r="H116" s="120"/>
      <c r="I116" s="60"/>
      <c r="J116" s="116"/>
      <c r="K116" s="213"/>
      <c r="L116" s="120"/>
      <c r="M116" s="120"/>
      <c r="N116" s="167"/>
      <c r="O116" s="120"/>
      <c r="P116" s="120"/>
      <c r="Q116" s="120"/>
      <c r="R116" s="120"/>
      <c r="S116" s="120"/>
      <c r="T116" s="221"/>
      <c r="U116" s="89"/>
      <c r="V116" s="61"/>
      <c r="W116" s="92" t="s">
        <v>1032</v>
      </c>
      <c r="X116" s="93" t="s">
        <v>30</v>
      </c>
      <c r="Y116" s="93" t="s">
        <v>66</v>
      </c>
      <c r="Z116" s="134">
        <f>VLOOKUP(W116,Sheet2!$B:$D,3,FALSE)</f>
        <v>250</v>
      </c>
      <c r="AA116" s="93">
        <f>1/(0.7*0.4)</f>
        <v>3.5714285714285716</v>
      </c>
      <c r="AB116" s="93">
        <f>AD116/AC115</f>
        <v>69.999999999999986</v>
      </c>
      <c r="AC116" s="93">
        <f>AC115/AA116</f>
        <v>12443.605999999982</v>
      </c>
      <c r="AD116" s="94">
        <f t="shared" ref="AD116" si="153">AC116*Z116</f>
        <v>3110901.4999999953</v>
      </c>
      <c r="AE116" s="190"/>
      <c r="AF116" s="191"/>
      <c r="AG116" s="191"/>
      <c r="AH116" s="191"/>
      <c r="AI116" s="186"/>
      <c r="AK116" s="171"/>
    </row>
    <row r="117" spans="1:37" s="102" customFormat="1" ht="19.899999999999999" customHeight="1" x14ac:dyDescent="0.25">
      <c r="A117" s="45"/>
      <c r="B117" s="59"/>
      <c r="C117" s="137"/>
      <c r="D117" s="59"/>
      <c r="E117" s="116"/>
      <c r="F117" s="120"/>
      <c r="G117" s="120"/>
      <c r="H117" s="120"/>
      <c r="I117" s="60"/>
      <c r="J117" s="116"/>
      <c r="K117" s="213"/>
      <c r="L117" s="120"/>
      <c r="M117" s="120"/>
      <c r="N117" s="167"/>
      <c r="O117" s="120"/>
      <c r="P117" s="120"/>
      <c r="Q117" s="120"/>
      <c r="R117" s="120"/>
      <c r="S117" s="120"/>
      <c r="T117" s="221"/>
      <c r="U117" s="89"/>
      <c r="V117" s="61"/>
      <c r="W117" s="92" t="s">
        <v>1270</v>
      </c>
      <c r="X117" s="93" t="s">
        <v>30</v>
      </c>
      <c r="Y117" s="93" t="s">
        <v>68</v>
      </c>
      <c r="Z117" s="134">
        <f>VLOOKUP(W117,Sheet2!$B:$D,3,FALSE)</f>
        <v>4</v>
      </c>
      <c r="AA117" s="93">
        <f>1/8</f>
        <v>0.125</v>
      </c>
      <c r="AB117" s="93">
        <f>AD117/AC115</f>
        <v>32</v>
      </c>
      <c r="AC117" s="93">
        <f>AC115/AA117</f>
        <v>355531.59999999951</v>
      </c>
      <c r="AD117" s="94">
        <f>AC117*Z117</f>
        <v>1422126.399999998</v>
      </c>
      <c r="AE117" s="190"/>
      <c r="AF117" s="191"/>
      <c r="AG117" s="191"/>
      <c r="AH117" s="191"/>
      <c r="AI117" s="186"/>
      <c r="AK117" s="171"/>
    </row>
    <row r="118" spans="1:37" s="102" customFormat="1" ht="19.899999999999999" customHeight="1" x14ac:dyDescent="0.25">
      <c r="A118" s="45"/>
      <c r="B118" s="59"/>
      <c r="C118" s="137"/>
      <c r="D118" s="59"/>
      <c r="E118" s="116"/>
      <c r="F118" s="120"/>
      <c r="G118" s="120"/>
      <c r="H118" s="120"/>
      <c r="I118" s="60"/>
      <c r="J118" s="116"/>
      <c r="K118" s="213"/>
      <c r="L118" s="120"/>
      <c r="M118" s="120"/>
      <c r="N118" s="167"/>
      <c r="O118" s="120"/>
      <c r="P118" s="120"/>
      <c r="Q118" s="120"/>
      <c r="R118" s="120"/>
      <c r="S118" s="120"/>
      <c r="T118" s="221"/>
      <c r="U118" s="89"/>
      <c r="V118" s="61"/>
      <c r="W118" s="92" t="s">
        <v>1271</v>
      </c>
      <c r="X118" s="93" t="s">
        <v>30</v>
      </c>
      <c r="Y118" s="93" t="s">
        <v>68</v>
      </c>
      <c r="Z118" s="134">
        <f>VLOOKUP(W118,Sheet2!$B:$D,3,FALSE)</f>
        <v>2</v>
      </c>
      <c r="AA118" s="93">
        <f>AA117</f>
        <v>0.125</v>
      </c>
      <c r="AB118" s="93">
        <f>AD118/AC115</f>
        <v>16</v>
      </c>
      <c r="AC118" s="93">
        <f>AC115/AA118</f>
        <v>355531.59999999951</v>
      </c>
      <c r="AD118" s="94">
        <f>AC118*Z118</f>
        <v>711063.19999999902</v>
      </c>
      <c r="AE118" s="190"/>
      <c r="AF118" s="191"/>
      <c r="AG118" s="191"/>
      <c r="AH118" s="191"/>
      <c r="AI118" s="186"/>
      <c r="AK118" s="171"/>
    </row>
    <row r="119" spans="1:37" s="102" customFormat="1" ht="19.899999999999999" customHeight="1" x14ac:dyDescent="0.25">
      <c r="A119" s="45"/>
      <c r="B119" s="59"/>
      <c r="C119" s="137"/>
      <c r="D119" s="59"/>
      <c r="E119" s="116"/>
      <c r="F119" s="120"/>
      <c r="G119" s="120"/>
      <c r="H119" s="120"/>
      <c r="I119" s="60"/>
      <c r="J119" s="116"/>
      <c r="K119" s="213"/>
      <c r="L119" s="120"/>
      <c r="M119" s="120"/>
      <c r="N119" s="167"/>
      <c r="O119" s="120"/>
      <c r="P119" s="120"/>
      <c r="Q119" s="120"/>
      <c r="R119" s="120"/>
      <c r="S119" s="120"/>
      <c r="T119" s="221"/>
      <c r="U119" s="89"/>
      <c r="V119" s="61"/>
      <c r="W119" s="92" t="s">
        <v>1035</v>
      </c>
      <c r="X119" s="93" t="s">
        <v>32</v>
      </c>
      <c r="Y119" s="93" t="s">
        <v>66</v>
      </c>
      <c r="Z119" s="134">
        <f>VLOOKUP(W119,Sheet2!$B:$D,3,FALSE)</f>
        <v>150</v>
      </c>
      <c r="AA119" s="93">
        <f>AA116</f>
        <v>3.5714285714285716</v>
      </c>
      <c r="AB119" s="93">
        <f>AD119/AC115</f>
        <v>42</v>
      </c>
      <c r="AC119" s="93">
        <f>AC115/AA119</f>
        <v>12443.605999999982</v>
      </c>
      <c r="AD119" s="94">
        <f t="shared" ref="AD119:AD120" si="154">AC119*Z119</f>
        <v>1866540.8999999973</v>
      </c>
      <c r="AE119" s="190"/>
      <c r="AF119" s="191"/>
      <c r="AG119" s="191"/>
      <c r="AH119" s="191"/>
      <c r="AI119" s="186"/>
      <c r="AK119" s="171"/>
    </row>
    <row r="120" spans="1:37" s="102" customFormat="1" ht="19.899999999999999" customHeight="1" x14ac:dyDescent="0.25">
      <c r="A120" s="45"/>
      <c r="B120" s="59"/>
      <c r="C120" s="137"/>
      <c r="D120" s="59"/>
      <c r="E120" s="116"/>
      <c r="F120" s="120"/>
      <c r="G120" s="120"/>
      <c r="H120" s="120"/>
      <c r="I120" s="60"/>
      <c r="J120" s="116"/>
      <c r="K120" s="213"/>
      <c r="L120" s="120"/>
      <c r="M120" s="120"/>
      <c r="N120" s="167"/>
      <c r="O120" s="120"/>
      <c r="P120" s="120"/>
      <c r="Q120" s="120"/>
      <c r="R120" s="120"/>
      <c r="S120" s="120"/>
      <c r="T120" s="221"/>
      <c r="U120" s="89"/>
      <c r="V120" s="61"/>
      <c r="W120" s="92" t="s">
        <v>107</v>
      </c>
      <c r="X120" s="93" t="s">
        <v>31</v>
      </c>
      <c r="Y120" s="93" t="s">
        <v>93</v>
      </c>
      <c r="Z120" s="134">
        <f>VLOOKUP(W120,Sheet2!$B:$D,3,FALSE)</f>
        <v>17</v>
      </c>
      <c r="AA120" s="93">
        <v>50</v>
      </c>
      <c r="AB120" s="93">
        <f>AD120/AC115</f>
        <v>0.33999999999999997</v>
      </c>
      <c r="AC120" s="93">
        <f>AC115/AA120</f>
        <v>888.82899999999881</v>
      </c>
      <c r="AD120" s="94">
        <f t="shared" si="154"/>
        <v>15110.092999999979</v>
      </c>
      <c r="AE120" s="190"/>
      <c r="AF120" s="191"/>
      <c r="AG120" s="191"/>
      <c r="AH120" s="191"/>
      <c r="AI120" s="186"/>
      <c r="AK120" s="171"/>
    </row>
    <row r="121" spans="1:37" s="103" customFormat="1" ht="19.899999999999999" customHeight="1" x14ac:dyDescent="0.25">
      <c r="A121" s="51"/>
      <c r="B121" s="52"/>
      <c r="C121" s="165"/>
      <c r="D121" s="52"/>
      <c r="E121" s="115"/>
      <c r="F121" s="58"/>
      <c r="G121" s="58"/>
      <c r="H121" s="58"/>
      <c r="I121" s="55"/>
      <c r="J121" s="113">
        <f>J107</f>
        <v>44441.449999999939</v>
      </c>
      <c r="K121" s="212">
        <f>K107</f>
        <v>44441.449999999939</v>
      </c>
      <c r="L121" s="58"/>
      <c r="M121" s="58">
        <f>K121-L121</f>
        <v>44441.449999999939</v>
      </c>
      <c r="N121" s="166"/>
      <c r="O121" s="58"/>
      <c r="P121" s="58"/>
      <c r="Q121" s="58"/>
      <c r="R121" s="58"/>
      <c r="S121" s="58"/>
      <c r="T121" s="220"/>
      <c r="U121" s="88"/>
      <c r="V121" s="56"/>
      <c r="W121" s="57" t="s">
        <v>1272</v>
      </c>
      <c r="X121" s="53"/>
      <c r="Y121" s="91" t="s">
        <v>68</v>
      </c>
      <c r="Z121" s="136">
        <f>AD121/AC121</f>
        <v>9.8750673986928117</v>
      </c>
      <c r="AA121" s="58"/>
      <c r="AB121" s="53">
        <f>AD121/AC121</f>
        <v>9.8750673986928117</v>
      </c>
      <c r="AC121" s="53">
        <f>M121+$AE$10</f>
        <v>44441.449999999939</v>
      </c>
      <c r="AD121" s="54">
        <f>SUM(AD122:AD131)</f>
        <v>438862.31404563604</v>
      </c>
      <c r="AE121" s="184">
        <f>SUMIFS($AD$37:$AD$12971,$V$37:$V$12971,$V121,$X$37:$X$12971,AE$13)</f>
        <v>0</v>
      </c>
      <c r="AF121" s="185">
        <f>SUMIFS($AD$37:$AD$12971,$V$37:$V$12971,$V121,$X$37:$X$12971,AF$13)</f>
        <v>0</v>
      </c>
      <c r="AG121" s="185">
        <f>SUMIFS($AD$37:$AD$12971,$V$37:$V$12971,$V121,$X$37:$X$12971,AG$13)</f>
        <v>0</v>
      </c>
      <c r="AH121" s="187">
        <f>SUMIFS($AD$37:$AD$12971,$V$37:$V$12971,$V121,$X$37:$X$12971,AH$13)</f>
        <v>0</v>
      </c>
      <c r="AI121" s="161">
        <f t="shared" ref="AI121" si="155">SUM(AE121:AH121)</f>
        <v>0</v>
      </c>
      <c r="AK121" s="172"/>
    </row>
    <row r="122" spans="1:37" s="102" customFormat="1" ht="19.899999999999999" customHeight="1" x14ac:dyDescent="0.25">
      <c r="A122" s="45"/>
      <c r="B122" s="59"/>
      <c r="C122" s="137"/>
      <c r="D122" s="59"/>
      <c r="E122" s="116"/>
      <c r="F122" s="120"/>
      <c r="G122" s="120"/>
      <c r="H122" s="120"/>
      <c r="I122" s="60"/>
      <c r="J122" s="116"/>
      <c r="K122" s="213"/>
      <c r="L122" s="120"/>
      <c r="M122" s="120"/>
      <c r="N122" s="167"/>
      <c r="O122" s="120"/>
      <c r="P122" s="120"/>
      <c r="Q122" s="120"/>
      <c r="R122" s="120"/>
      <c r="S122" s="120"/>
      <c r="T122" s="221"/>
      <c r="U122" s="89"/>
      <c r="V122" s="61"/>
      <c r="W122" s="92" t="s">
        <v>134</v>
      </c>
      <c r="X122" s="93" t="s">
        <v>29</v>
      </c>
      <c r="Y122" s="93" t="s">
        <v>93</v>
      </c>
      <c r="Z122" s="134">
        <f>VLOOKUP(W122,Sheet2!$B:$D,3,FALSE)</f>
        <v>65.599999999999994</v>
      </c>
      <c r="AA122" s="93">
        <f>100/((1.7*1)-(0.7*0.4))</f>
        <v>70.422535211267615</v>
      </c>
      <c r="AB122" s="93">
        <f>AD122/AC121</f>
        <v>0.93151999999999979</v>
      </c>
      <c r="AC122" s="93">
        <f>AC121/AA122</f>
        <v>631.06858999999906</v>
      </c>
      <c r="AD122" s="94">
        <f t="shared" ref="AD122:AD123" si="156">AC122*Z122</f>
        <v>41398.099503999932</v>
      </c>
      <c r="AE122" s="190"/>
      <c r="AF122" s="191"/>
      <c r="AG122" s="191"/>
      <c r="AH122" s="191"/>
      <c r="AI122" s="186"/>
      <c r="AK122" s="171"/>
    </row>
    <row r="123" spans="1:37" s="102" customFormat="1" ht="19.899999999999999" customHeight="1" x14ac:dyDescent="0.25">
      <c r="A123" s="45"/>
      <c r="B123" s="59"/>
      <c r="C123" s="137"/>
      <c r="D123" s="59"/>
      <c r="E123" s="116"/>
      <c r="F123" s="120"/>
      <c r="G123" s="120"/>
      <c r="H123" s="120"/>
      <c r="I123" s="60"/>
      <c r="J123" s="116"/>
      <c r="K123" s="213"/>
      <c r="L123" s="120"/>
      <c r="M123" s="120"/>
      <c r="N123" s="167"/>
      <c r="O123" s="120"/>
      <c r="P123" s="120"/>
      <c r="Q123" s="120"/>
      <c r="R123" s="120"/>
      <c r="S123" s="120"/>
      <c r="T123" s="221"/>
      <c r="U123" s="89"/>
      <c r="V123" s="61"/>
      <c r="W123" s="92" t="s">
        <v>65</v>
      </c>
      <c r="X123" s="93" t="s">
        <v>30</v>
      </c>
      <c r="Y123" s="93" t="s">
        <v>1011</v>
      </c>
      <c r="Z123" s="134">
        <f>VLOOKUP(W123,Sheet2!$B:$D,3,FALSE)</f>
        <v>1.76</v>
      </c>
      <c r="AA123" s="93">
        <f>AA122/9</f>
        <v>7.8247261345852905</v>
      </c>
      <c r="AB123" s="93">
        <f>AD123/AC121</f>
        <v>0.22492799999999999</v>
      </c>
      <c r="AC123" s="93">
        <f>AC121/AA123</f>
        <v>5679.6173099999914</v>
      </c>
      <c r="AD123" s="94">
        <f t="shared" si="156"/>
        <v>9996.1264655999857</v>
      </c>
      <c r="AE123" s="190"/>
      <c r="AF123" s="191"/>
      <c r="AG123" s="191"/>
      <c r="AH123" s="191"/>
      <c r="AI123" s="186"/>
      <c r="AK123" s="171"/>
    </row>
    <row r="124" spans="1:37" s="102" customFormat="1" ht="19.899999999999999" customHeight="1" x14ac:dyDescent="0.25">
      <c r="A124" s="45"/>
      <c r="B124" s="59"/>
      <c r="C124" s="137"/>
      <c r="D124" s="59"/>
      <c r="E124" s="116"/>
      <c r="F124" s="120"/>
      <c r="G124" s="120"/>
      <c r="H124" s="120"/>
      <c r="I124" s="60"/>
      <c r="J124" s="116"/>
      <c r="K124" s="213"/>
      <c r="L124" s="120"/>
      <c r="M124" s="120"/>
      <c r="N124" s="167"/>
      <c r="O124" s="120"/>
      <c r="P124" s="120"/>
      <c r="Q124" s="120"/>
      <c r="R124" s="120"/>
      <c r="S124" s="120"/>
      <c r="T124" s="221"/>
      <c r="U124" s="89"/>
      <c r="V124" s="61"/>
      <c r="W124" s="92" t="s">
        <v>161</v>
      </c>
      <c r="X124" s="93" t="s">
        <v>29</v>
      </c>
      <c r="Y124" s="93" t="s">
        <v>93</v>
      </c>
      <c r="Z124" s="134">
        <f>VLOOKUP(W124,Sheet2!$B:$D,3,FALSE)</f>
        <v>48</v>
      </c>
      <c r="AA124" s="93">
        <f>(16*0.85*1.5)/((1.7*1)-(0.7*0.4))</f>
        <v>14.366197183098592</v>
      </c>
      <c r="AB124" s="93">
        <f>AD124/AC121</f>
        <v>3.341176470588235</v>
      </c>
      <c r="AC124" s="93">
        <f>AC121/AA124</f>
        <v>3093.4734803921524</v>
      </c>
      <c r="AD124" s="94">
        <f>AC124*Z124</f>
        <v>148486.72705882331</v>
      </c>
      <c r="AE124" s="190"/>
      <c r="AF124" s="191"/>
      <c r="AG124" s="191"/>
      <c r="AH124" s="191"/>
      <c r="AI124" s="186"/>
      <c r="AK124" s="171"/>
    </row>
    <row r="125" spans="1:37" s="102" customFormat="1" ht="19.899999999999999" customHeight="1" x14ac:dyDescent="0.25">
      <c r="A125" s="45"/>
      <c r="B125" s="59"/>
      <c r="C125" s="137"/>
      <c r="D125" s="59"/>
      <c r="E125" s="116"/>
      <c r="F125" s="120"/>
      <c r="G125" s="120"/>
      <c r="H125" s="120"/>
      <c r="I125" s="60"/>
      <c r="J125" s="116"/>
      <c r="K125" s="213"/>
      <c r="L125" s="120"/>
      <c r="M125" s="120"/>
      <c r="N125" s="167"/>
      <c r="O125" s="120"/>
      <c r="P125" s="120"/>
      <c r="Q125" s="120"/>
      <c r="R125" s="120"/>
      <c r="S125" s="120"/>
      <c r="T125" s="221"/>
      <c r="U125" s="89"/>
      <c r="V125" s="61"/>
      <c r="W125" s="92" t="s">
        <v>65</v>
      </c>
      <c r="X125" s="93" t="s">
        <v>30</v>
      </c>
      <c r="Y125" s="93" t="s">
        <v>1011</v>
      </c>
      <c r="Z125" s="134">
        <f>VLOOKUP(W125,Sheet2!$B:$D,3,FALSE)</f>
        <v>1.76</v>
      </c>
      <c r="AA125" s="93">
        <f>AA124/10</f>
        <v>1.4366197183098592</v>
      </c>
      <c r="AB125" s="93">
        <f>AD125/AC121</f>
        <v>1.2250980392156863</v>
      </c>
      <c r="AC125" s="93">
        <f>AC121/AA125</f>
        <v>30934.734803921525</v>
      </c>
      <c r="AD125" s="94">
        <f>AC125*Z125</f>
        <v>54445.133254901884</v>
      </c>
      <c r="AE125" s="190"/>
      <c r="AF125" s="191"/>
      <c r="AG125" s="191"/>
      <c r="AH125" s="191"/>
      <c r="AI125" s="186"/>
      <c r="AK125" s="171"/>
    </row>
    <row r="126" spans="1:37" s="102" customFormat="1" ht="19.899999999999999" customHeight="1" x14ac:dyDescent="0.25">
      <c r="A126" s="45"/>
      <c r="B126" s="59"/>
      <c r="C126" s="137"/>
      <c r="D126" s="59"/>
      <c r="E126" s="116"/>
      <c r="F126" s="120"/>
      <c r="G126" s="120"/>
      <c r="H126" s="120"/>
      <c r="I126" s="60"/>
      <c r="J126" s="116"/>
      <c r="K126" s="213"/>
      <c r="L126" s="120"/>
      <c r="M126" s="120"/>
      <c r="N126" s="167"/>
      <c r="O126" s="120"/>
      <c r="P126" s="120"/>
      <c r="Q126" s="120"/>
      <c r="R126" s="120"/>
      <c r="S126" s="120"/>
      <c r="T126" s="221"/>
      <c r="U126" s="89"/>
      <c r="V126" s="61"/>
      <c r="W126" s="92" t="s">
        <v>173</v>
      </c>
      <c r="X126" s="93" t="s">
        <v>29</v>
      </c>
      <c r="Y126" s="93" t="s">
        <v>93</v>
      </c>
      <c r="Z126" s="134">
        <f>VLOOKUP(W126,Sheet2!$B:$D,3,FALSE)</f>
        <v>36</v>
      </c>
      <c r="AA126" s="93">
        <f>50/((1.7*1)-(0.7*0.4))</f>
        <v>35.211267605633807</v>
      </c>
      <c r="AB126" s="93">
        <f>AD126/AC121</f>
        <v>1.0224</v>
      </c>
      <c r="AC126" s="93">
        <f>AC121/AA126</f>
        <v>1262.1371799999981</v>
      </c>
      <c r="AD126" s="94">
        <f>AC126*Z126</f>
        <v>45436.938479999932</v>
      </c>
      <c r="AE126" s="190"/>
      <c r="AF126" s="191"/>
      <c r="AG126" s="191"/>
      <c r="AH126" s="191"/>
      <c r="AI126" s="186"/>
      <c r="AK126" s="171"/>
    </row>
    <row r="127" spans="1:37" s="102" customFormat="1" ht="19.899999999999999" customHeight="1" x14ac:dyDescent="0.25">
      <c r="A127" s="45"/>
      <c r="B127" s="59"/>
      <c r="C127" s="137"/>
      <c r="D127" s="59"/>
      <c r="E127" s="116"/>
      <c r="F127" s="120"/>
      <c r="G127" s="120"/>
      <c r="H127" s="120"/>
      <c r="I127" s="60"/>
      <c r="J127" s="116"/>
      <c r="K127" s="213"/>
      <c r="L127" s="120"/>
      <c r="M127" s="120"/>
      <c r="N127" s="167"/>
      <c r="O127" s="120"/>
      <c r="P127" s="120"/>
      <c r="Q127" s="120"/>
      <c r="R127" s="120"/>
      <c r="S127" s="120"/>
      <c r="T127" s="221"/>
      <c r="U127" s="89"/>
      <c r="V127" s="61"/>
      <c r="W127" s="92" t="s">
        <v>65</v>
      </c>
      <c r="X127" s="93" t="s">
        <v>30</v>
      </c>
      <c r="Y127" s="93" t="s">
        <v>1011</v>
      </c>
      <c r="Z127" s="134">
        <f>VLOOKUP(W127,Sheet2!$B:$D,3,FALSE)</f>
        <v>1.76</v>
      </c>
      <c r="AA127" s="93">
        <f>AA126/9</f>
        <v>3.9123630672926453</v>
      </c>
      <c r="AB127" s="93">
        <f>AD127/AC121</f>
        <v>0.44985599999999998</v>
      </c>
      <c r="AC127" s="93">
        <f>AC121/AA127</f>
        <v>11359.234619999983</v>
      </c>
      <c r="AD127" s="94">
        <f>AC127*Z127</f>
        <v>19992.252931199971</v>
      </c>
      <c r="AE127" s="190"/>
      <c r="AF127" s="191"/>
      <c r="AG127" s="191"/>
      <c r="AH127" s="191"/>
      <c r="AI127" s="186"/>
      <c r="AK127" s="171"/>
    </row>
    <row r="128" spans="1:37" s="102" customFormat="1" ht="19.899999999999999" customHeight="1" x14ac:dyDescent="0.25">
      <c r="A128" s="45"/>
      <c r="B128" s="59"/>
      <c r="C128" s="137"/>
      <c r="D128" s="59"/>
      <c r="E128" s="116"/>
      <c r="F128" s="120"/>
      <c r="G128" s="120"/>
      <c r="H128" s="120"/>
      <c r="I128" s="60"/>
      <c r="J128" s="116"/>
      <c r="K128" s="213"/>
      <c r="L128" s="120"/>
      <c r="M128" s="120"/>
      <c r="N128" s="167"/>
      <c r="O128" s="120"/>
      <c r="P128" s="120"/>
      <c r="Q128" s="120"/>
      <c r="R128" s="120"/>
      <c r="S128" s="120"/>
      <c r="T128" s="221"/>
      <c r="U128" s="89"/>
      <c r="V128" s="61"/>
      <c r="W128" s="92" t="s">
        <v>148</v>
      </c>
      <c r="X128" s="93" t="s">
        <v>29</v>
      </c>
      <c r="Y128" s="93" t="s">
        <v>93</v>
      </c>
      <c r="Z128" s="134">
        <f>VLOOKUP(W128,Sheet2!$B:$D,3,FALSE)</f>
        <v>48</v>
      </c>
      <c r="AA128" s="93">
        <f>7.2/(1.7*1*0.1)</f>
        <v>42.352941176470587</v>
      </c>
      <c r="AB128" s="93">
        <f>AD128/AC121</f>
        <v>1.1333333333333335</v>
      </c>
      <c r="AC128" s="93">
        <f>AC121/AA128</f>
        <v>1049.3120138888876</v>
      </c>
      <c r="AD128" s="94">
        <f t="shared" ref="AD128:AD129" si="157">AC128*Z128</f>
        <v>50366.976666666604</v>
      </c>
      <c r="AE128" s="190"/>
      <c r="AF128" s="191"/>
      <c r="AG128" s="191"/>
      <c r="AH128" s="191"/>
      <c r="AI128" s="186"/>
      <c r="AK128" s="171"/>
    </row>
    <row r="129" spans="1:41" s="102" customFormat="1" ht="19.899999999999999" customHeight="1" x14ac:dyDescent="0.25">
      <c r="A129" s="45"/>
      <c r="B129" s="59"/>
      <c r="C129" s="137"/>
      <c r="D129" s="59"/>
      <c r="E129" s="116"/>
      <c r="F129" s="120"/>
      <c r="G129" s="120"/>
      <c r="H129" s="120"/>
      <c r="I129" s="60"/>
      <c r="J129" s="116"/>
      <c r="K129" s="213"/>
      <c r="L129" s="120"/>
      <c r="M129" s="120"/>
      <c r="N129" s="167"/>
      <c r="O129" s="120"/>
      <c r="P129" s="120"/>
      <c r="Q129" s="120"/>
      <c r="R129" s="120"/>
      <c r="S129" s="120"/>
      <c r="T129" s="221"/>
      <c r="U129" s="89"/>
      <c r="V129" s="61"/>
      <c r="W129" s="92" t="s">
        <v>65</v>
      </c>
      <c r="X129" s="93" t="s">
        <v>30</v>
      </c>
      <c r="Y129" s="93" t="s">
        <v>1011</v>
      </c>
      <c r="Z129" s="134">
        <f>VLOOKUP(W129,Sheet2!$B:$D,3,FALSE)</f>
        <v>1.76</v>
      </c>
      <c r="AA129" s="93">
        <f>AA128/10</f>
        <v>4.2352941176470589</v>
      </c>
      <c r="AB129" s="93">
        <f>AD129/AC121</f>
        <v>0.41555555555555557</v>
      </c>
      <c r="AC129" s="93">
        <f>AC121/AA129</f>
        <v>10493.120138888875</v>
      </c>
      <c r="AD129" s="94">
        <f t="shared" si="157"/>
        <v>18467.89144444442</v>
      </c>
      <c r="AE129" s="190"/>
      <c r="AF129" s="191"/>
      <c r="AG129" s="191"/>
      <c r="AH129" s="191"/>
      <c r="AI129" s="186"/>
      <c r="AK129" s="171"/>
    </row>
    <row r="130" spans="1:41" s="102" customFormat="1" ht="19.899999999999999" customHeight="1" x14ac:dyDescent="0.25">
      <c r="A130" s="45"/>
      <c r="B130" s="59"/>
      <c r="C130" s="137"/>
      <c r="D130" s="59"/>
      <c r="E130" s="116"/>
      <c r="F130" s="120"/>
      <c r="G130" s="120"/>
      <c r="H130" s="120"/>
      <c r="I130" s="60"/>
      <c r="J130" s="116"/>
      <c r="K130" s="213"/>
      <c r="L130" s="120"/>
      <c r="M130" s="120"/>
      <c r="N130" s="167"/>
      <c r="O130" s="120"/>
      <c r="P130" s="120"/>
      <c r="Q130" s="120"/>
      <c r="R130" s="120"/>
      <c r="S130" s="120"/>
      <c r="T130" s="221"/>
      <c r="U130" s="89"/>
      <c r="V130" s="61"/>
      <c r="W130" s="92" t="s">
        <v>1030</v>
      </c>
      <c r="X130" s="93" t="s">
        <v>29</v>
      </c>
      <c r="Y130" s="93" t="s">
        <v>93</v>
      </c>
      <c r="Z130" s="134">
        <f>VLOOKUP(W130,Sheet2!$B:$D,3,FALSE)</f>
        <v>23</v>
      </c>
      <c r="AA130" s="93">
        <v>25</v>
      </c>
      <c r="AB130" s="93">
        <f>AD130/AC121</f>
        <v>0.92</v>
      </c>
      <c r="AC130" s="93">
        <f>AC121/AA130</f>
        <v>1777.6579999999976</v>
      </c>
      <c r="AD130" s="94">
        <f t="shared" ref="AD130:AD131" si="158">AC130*Z130</f>
        <v>40886.133999999947</v>
      </c>
      <c r="AE130" s="190"/>
      <c r="AF130" s="191"/>
      <c r="AG130" s="191"/>
      <c r="AH130" s="191"/>
      <c r="AI130" s="186"/>
      <c r="AK130" s="171"/>
    </row>
    <row r="131" spans="1:41" s="102" customFormat="1" ht="19.899999999999999" customHeight="1" x14ac:dyDescent="0.25">
      <c r="A131" s="45"/>
      <c r="B131" s="59"/>
      <c r="C131" s="137"/>
      <c r="D131" s="59"/>
      <c r="E131" s="116"/>
      <c r="F131" s="120"/>
      <c r="G131" s="120"/>
      <c r="H131" s="120"/>
      <c r="I131" s="60"/>
      <c r="J131" s="116"/>
      <c r="K131" s="213"/>
      <c r="L131" s="120"/>
      <c r="M131" s="120"/>
      <c r="N131" s="167"/>
      <c r="O131" s="120"/>
      <c r="P131" s="120"/>
      <c r="Q131" s="120"/>
      <c r="R131" s="120"/>
      <c r="S131" s="120"/>
      <c r="T131" s="221"/>
      <c r="U131" s="89"/>
      <c r="V131" s="61"/>
      <c r="W131" s="92" t="s">
        <v>65</v>
      </c>
      <c r="X131" s="93" t="s">
        <v>30</v>
      </c>
      <c r="Y131" s="93" t="s">
        <v>1011</v>
      </c>
      <c r="Z131" s="134">
        <f>VLOOKUP(W131,Sheet2!$B:$D,3,FALSE)</f>
        <v>1.76</v>
      </c>
      <c r="AA131" s="93">
        <f>AA130/3</f>
        <v>8.3333333333333339</v>
      </c>
      <c r="AB131" s="93">
        <f>AD131/AC121</f>
        <v>0.21119999999999997</v>
      </c>
      <c r="AC131" s="93">
        <f>AC121/AA131</f>
        <v>5332.973999999992</v>
      </c>
      <c r="AD131" s="94">
        <f t="shared" si="158"/>
        <v>9386.0342399999863</v>
      </c>
      <c r="AE131" s="190"/>
      <c r="AF131" s="191"/>
      <c r="AG131" s="191"/>
      <c r="AH131" s="191"/>
      <c r="AI131" s="186"/>
      <c r="AK131" s="171"/>
    </row>
    <row r="132" spans="1:41" ht="20.100000000000001" customHeight="1" x14ac:dyDescent="0.25">
      <c r="A132" s="277" t="s">
        <v>204</v>
      </c>
      <c r="B132" s="278">
        <v>2</v>
      </c>
      <c r="C132" s="64" t="s">
        <v>208</v>
      </c>
      <c r="D132" s="46" t="s">
        <v>97</v>
      </c>
      <c r="E132" s="114">
        <v>3346.3551499999994</v>
      </c>
      <c r="F132" s="44">
        <v>435</v>
      </c>
      <c r="G132" s="44">
        <f t="shared" si="127"/>
        <v>1455664.4902499998</v>
      </c>
      <c r="H132" s="44">
        <f t="shared" si="128"/>
        <v>304.78933406535953</v>
      </c>
      <c r="I132" s="43">
        <f t="shared" si="129"/>
        <v>1019933.3577146861</v>
      </c>
      <c r="J132" s="112">
        <f t="shared" si="130"/>
        <v>3346.3551499999994</v>
      </c>
      <c r="K132" s="211">
        <f t="shared" si="131"/>
        <v>3346.3551499999994</v>
      </c>
      <c r="L132" s="44"/>
      <c r="M132" s="44">
        <f t="shared" si="132"/>
        <v>3346.3551499999994</v>
      </c>
      <c r="N132" s="173">
        <f t="shared" si="133"/>
        <v>1</v>
      </c>
      <c r="O132" s="44">
        <f t="shared" si="134"/>
        <v>435</v>
      </c>
      <c r="P132" s="44">
        <f t="shared" si="135"/>
        <v>1455664.4902499998</v>
      </c>
      <c r="Q132" s="44">
        <f t="shared" si="136"/>
        <v>304.78933406535953</v>
      </c>
      <c r="R132" s="44">
        <f t="shared" si="137"/>
        <v>1019933.3577146861</v>
      </c>
      <c r="S132" s="123"/>
      <c r="T132" s="219">
        <f t="shared" si="138"/>
        <v>1019933.3577146861</v>
      </c>
      <c r="U132" s="87"/>
      <c r="V132" s="47"/>
      <c r="W132" s="48"/>
      <c r="X132" s="48"/>
      <c r="Y132" s="48"/>
      <c r="Z132" s="135"/>
      <c r="AA132" s="49"/>
      <c r="AB132" s="50">
        <f t="shared" si="139"/>
        <v>304.78933406535953</v>
      </c>
      <c r="AC132" s="42">
        <f t="shared" si="140"/>
        <v>3346.3551499999994</v>
      </c>
      <c r="AD132" s="90">
        <f>AD133+AD140+AD147</f>
        <v>1019933.3577146861</v>
      </c>
      <c r="AE132" s="188">
        <f>AE133+AE140+AE147</f>
        <v>0</v>
      </c>
      <c r="AF132" s="189">
        <f>AF133+AF140+AF147</f>
        <v>0</v>
      </c>
      <c r="AG132" s="189">
        <f>AG133+AG140+AG147</f>
        <v>0</v>
      </c>
      <c r="AH132" s="189">
        <f>AH133+AH140+AH147</f>
        <v>0</v>
      </c>
      <c r="AI132" s="161">
        <f t="shared" ref="AI132" si="159">SUM(AE132:AH132)</f>
        <v>0</v>
      </c>
      <c r="AK132" s="169">
        <v>5</v>
      </c>
      <c r="AO132" s="19" t="s">
        <v>63</v>
      </c>
    </row>
    <row r="133" spans="1:41" s="103" customFormat="1" ht="19.899999999999999" customHeight="1" x14ac:dyDescent="0.25">
      <c r="A133" s="51"/>
      <c r="B133" s="52"/>
      <c r="C133" s="165"/>
      <c r="D133" s="52"/>
      <c r="E133" s="115"/>
      <c r="F133" s="58"/>
      <c r="G133" s="58"/>
      <c r="H133" s="58"/>
      <c r="I133" s="55"/>
      <c r="J133" s="113">
        <f>J132</f>
        <v>3346.3551499999994</v>
      </c>
      <c r="K133" s="212">
        <f>K132</f>
        <v>3346.3551499999994</v>
      </c>
      <c r="L133" s="58"/>
      <c r="M133" s="58">
        <f>K133-L133</f>
        <v>3346.3551499999994</v>
      </c>
      <c r="N133" s="166"/>
      <c r="O133" s="58"/>
      <c r="P133" s="58"/>
      <c r="Q133" s="58"/>
      <c r="R133" s="58"/>
      <c r="S133" s="58"/>
      <c r="T133" s="220"/>
      <c r="U133" s="88"/>
      <c r="V133" s="56"/>
      <c r="W133" s="57" t="s">
        <v>1532</v>
      </c>
      <c r="X133" s="53"/>
      <c r="Y133" s="91" t="s">
        <v>68</v>
      </c>
      <c r="Z133" s="136">
        <f>AD133/AC133</f>
        <v>8.5742666666666665</v>
      </c>
      <c r="AA133" s="58"/>
      <c r="AB133" s="53">
        <f>AD133/AC133</f>
        <v>8.5742666666666665</v>
      </c>
      <c r="AC133" s="53">
        <f>M133+$AE$10</f>
        <v>3346.3551499999994</v>
      </c>
      <c r="AD133" s="54">
        <f>SUM(AD134:AD139)</f>
        <v>28692.541417473327</v>
      </c>
      <c r="AE133" s="184">
        <f>SUMIFS($AD$37:$AD$12971,$V$37:$V$12971,$V133,$X$37:$X$12971,AE$13)</f>
        <v>0</v>
      </c>
      <c r="AF133" s="185">
        <f>SUMIFS($AD$37:$AD$12971,$V$37:$V$12971,$V133,$X$37:$X$12971,AF$13)</f>
        <v>0</v>
      </c>
      <c r="AG133" s="185">
        <f>SUMIFS($AD$37:$AD$12971,$V$37:$V$12971,$V133,$X$37:$X$12971,AG$13)</f>
        <v>0</v>
      </c>
      <c r="AH133" s="187">
        <f>SUMIFS($AD$37:$AD$12971,$V$37:$V$12971,$V133,$X$37:$X$12971,AH$13)</f>
        <v>0</v>
      </c>
      <c r="AI133" s="161">
        <f t="shared" ref="AI133" si="160">SUM(AE133:AH133)</f>
        <v>0</v>
      </c>
      <c r="AK133" s="172"/>
    </row>
    <row r="134" spans="1:41" s="102" customFormat="1" ht="19.899999999999999" customHeight="1" x14ac:dyDescent="0.25">
      <c r="A134" s="45"/>
      <c r="B134" s="59"/>
      <c r="C134" s="137"/>
      <c r="D134" s="59"/>
      <c r="E134" s="116"/>
      <c r="F134" s="120"/>
      <c r="G134" s="120"/>
      <c r="H134" s="120"/>
      <c r="I134" s="60"/>
      <c r="J134" s="116"/>
      <c r="K134" s="213"/>
      <c r="L134" s="120"/>
      <c r="M134" s="120"/>
      <c r="N134" s="167"/>
      <c r="O134" s="120"/>
      <c r="P134" s="120"/>
      <c r="Q134" s="120"/>
      <c r="R134" s="120"/>
      <c r="S134" s="120"/>
      <c r="T134" s="221"/>
      <c r="U134" s="89"/>
      <c r="V134" s="61"/>
      <c r="W134" s="92" t="s">
        <v>129</v>
      </c>
      <c r="X134" s="93" t="s">
        <v>29</v>
      </c>
      <c r="Y134" s="93" t="s">
        <v>93</v>
      </c>
      <c r="Z134" s="134">
        <f>VLOOKUP(W134,Sheet2!$B:$D,3,FALSE)</f>
        <v>56</v>
      </c>
      <c r="AA134" s="93">
        <f>80/(1.7*1)</f>
        <v>47.058823529411768</v>
      </c>
      <c r="AB134" s="93">
        <f t="shared" ref="AB134" si="161">AD134/AC133</f>
        <v>1.19</v>
      </c>
      <c r="AC134" s="93">
        <f>AC133/AA134</f>
        <v>71.110046937499988</v>
      </c>
      <c r="AD134" s="94">
        <f t="shared" ref="AD134:AD135" si="162">AC134*Z134</f>
        <v>3982.1626284999993</v>
      </c>
      <c r="AE134" s="190"/>
      <c r="AF134" s="191"/>
      <c r="AG134" s="191"/>
      <c r="AH134" s="191"/>
      <c r="AI134" s="186"/>
      <c r="AK134" s="171"/>
    </row>
    <row r="135" spans="1:41" s="102" customFormat="1" ht="19.899999999999999" customHeight="1" x14ac:dyDescent="0.25">
      <c r="A135" s="45"/>
      <c r="B135" s="59"/>
      <c r="C135" s="137"/>
      <c r="D135" s="59"/>
      <c r="E135" s="116"/>
      <c r="F135" s="120"/>
      <c r="G135" s="120"/>
      <c r="H135" s="120"/>
      <c r="I135" s="60"/>
      <c r="J135" s="116"/>
      <c r="K135" s="213"/>
      <c r="L135" s="120"/>
      <c r="M135" s="120"/>
      <c r="N135" s="167"/>
      <c r="O135" s="120"/>
      <c r="P135" s="120"/>
      <c r="Q135" s="120"/>
      <c r="R135" s="120"/>
      <c r="S135" s="120"/>
      <c r="T135" s="221"/>
      <c r="U135" s="89"/>
      <c r="V135" s="61"/>
      <c r="W135" s="92" t="s">
        <v>65</v>
      </c>
      <c r="X135" s="93" t="s">
        <v>30</v>
      </c>
      <c r="Y135" s="93" t="s">
        <v>1011</v>
      </c>
      <c r="Z135" s="134">
        <f>VLOOKUP(W135,Sheet2!$B:$D,3,FALSE)</f>
        <v>1.76</v>
      </c>
      <c r="AA135" s="93">
        <f>AA134/14</f>
        <v>3.3613445378151261</v>
      </c>
      <c r="AB135" s="93">
        <f>AD135/AC133</f>
        <v>0.52360000000000007</v>
      </c>
      <c r="AC135" s="93">
        <f>AC133/AA135</f>
        <v>995.54065712499983</v>
      </c>
      <c r="AD135" s="94">
        <f t="shared" si="162"/>
        <v>1752.1515565399998</v>
      </c>
      <c r="AE135" s="190"/>
      <c r="AF135" s="191"/>
      <c r="AG135" s="191"/>
      <c r="AH135" s="191"/>
      <c r="AI135" s="186"/>
      <c r="AK135" s="171"/>
    </row>
    <row r="136" spans="1:41" s="102" customFormat="1" ht="19.899999999999999" customHeight="1" x14ac:dyDescent="0.25">
      <c r="A136" s="45"/>
      <c r="B136" s="59"/>
      <c r="C136" s="137"/>
      <c r="D136" s="59"/>
      <c r="E136" s="116"/>
      <c r="F136" s="120"/>
      <c r="G136" s="120"/>
      <c r="H136" s="120"/>
      <c r="I136" s="60"/>
      <c r="J136" s="116"/>
      <c r="K136" s="213"/>
      <c r="L136" s="120"/>
      <c r="M136" s="120"/>
      <c r="N136" s="167"/>
      <c r="O136" s="120"/>
      <c r="P136" s="120"/>
      <c r="Q136" s="120"/>
      <c r="R136" s="120"/>
      <c r="S136" s="120"/>
      <c r="T136" s="221"/>
      <c r="U136" s="89"/>
      <c r="V136" s="61"/>
      <c r="W136" s="92" t="s">
        <v>161</v>
      </c>
      <c r="X136" s="93" t="s">
        <v>29</v>
      </c>
      <c r="Y136" s="93" t="s">
        <v>93</v>
      </c>
      <c r="Z136" s="134">
        <f>VLOOKUP(W136,Sheet2!$B:$D,3,FALSE)</f>
        <v>48</v>
      </c>
      <c r="AA136" s="93">
        <f>(16*0.85*1.5)/(1.7*1)</f>
        <v>12</v>
      </c>
      <c r="AB136" s="93">
        <f>AD136/AC133</f>
        <v>4</v>
      </c>
      <c r="AC136" s="93">
        <f>AC133/AA136</f>
        <v>278.86292916666662</v>
      </c>
      <c r="AD136" s="94">
        <f>AC136*Z136</f>
        <v>13385.420599999998</v>
      </c>
      <c r="AE136" s="190"/>
      <c r="AF136" s="191"/>
      <c r="AG136" s="191"/>
      <c r="AH136" s="191"/>
      <c r="AI136" s="186"/>
      <c r="AK136" s="171"/>
    </row>
    <row r="137" spans="1:41" s="102" customFormat="1" ht="19.899999999999999" customHeight="1" x14ac:dyDescent="0.25">
      <c r="A137" s="45"/>
      <c r="B137" s="59"/>
      <c r="C137" s="137"/>
      <c r="D137" s="59"/>
      <c r="E137" s="116"/>
      <c r="F137" s="120"/>
      <c r="G137" s="120"/>
      <c r="H137" s="120"/>
      <c r="I137" s="60"/>
      <c r="J137" s="116"/>
      <c r="K137" s="213"/>
      <c r="L137" s="120"/>
      <c r="M137" s="120"/>
      <c r="N137" s="167"/>
      <c r="O137" s="120"/>
      <c r="P137" s="120"/>
      <c r="Q137" s="120"/>
      <c r="R137" s="120"/>
      <c r="S137" s="120"/>
      <c r="T137" s="221"/>
      <c r="U137" s="89"/>
      <c r="V137" s="61"/>
      <c r="W137" s="92" t="s">
        <v>65</v>
      </c>
      <c r="X137" s="93" t="s">
        <v>30</v>
      </c>
      <c r="Y137" s="93" t="s">
        <v>1011</v>
      </c>
      <c r="Z137" s="134">
        <f>VLOOKUP(W137,Sheet2!$B:$D,3,FALSE)</f>
        <v>1.76</v>
      </c>
      <c r="AA137" s="93">
        <f>AA136/10</f>
        <v>1.2</v>
      </c>
      <c r="AB137" s="93">
        <f>AD137/AC133</f>
        <v>1.4666666666666666</v>
      </c>
      <c r="AC137" s="93">
        <f>AC133/AA137</f>
        <v>2788.6292916666662</v>
      </c>
      <c r="AD137" s="94">
        <f>AC137*Z137</f>
        <v>4907.9875533333325</v>
      </c>
      <c r="AE137" s="190"/>
      <c r="AF137" s="191"/>
      <c r="AG137" s="191"/>
      <c r="AH137" s="191"/>
      <c r="AI137" s="186"/>
      <c r="AK137" s="171"/>
    </row>
    <row r="138" spans="1:41" s="102" customFormat="1" ht="19.899999999999999" customHeight="1" x14ac:dyDescent="0.25">
      <c r="A138" s="45"/>
      <c r="B138" s="59"/>
      <c r="C138" s="137"/>
      <c r="D138" s="59"/>
      <c r="E138" s="116"/>
      <c r="F138" s="120"/>
      <c r="G138" s="120"/>
      <c r="H138" s="120"/>
      <c r="I138" s="60"/>
      <c r="J138" s="116"/>
      <c r="K138" s="213"/>
      <c r="L138" s="120"/>
      <c r="M138" s="120"/>
      <c r="N138" s="167"/>
      <c r="O138" s="120"/>
      <c r="P138" s="120"/>
      <c r="Q138" s="120"/>
      <c r="R138" s="120"/>
      <c r="S138" s="120"/>
      <c r="T138" s="221"/>
      <c r="U138" s="89"/>
      <c r="V138" s="61"/>
      <c r="W138" s="92" t="s">
        <v>148</v>
      </c>
      <c r="X138" s="93" t="s">
        <v>29</v>
      </c>
      <c r="Y138" s="93" t="s">
        <v>93</v>
      </c>
      <c r="Z138" s="134">
        <f>VLOOKUP(W138,Sheet2!$B:$D,3,FALSE)</f>
        <v>48</v>
      </c>
      <c r="AA138" s="93">
        <f>AA134</f>
        <v>47.058823529411768</v>
      </c>
      <c r="AB138" s="93">
        <f>AD138/AC133</f>
        <v>1.02</v>
      </c>
      <c r="AC138" s="93">
        <f>AC133/AA138</f>
        <v>71.110046937499988</v>
      </c>
      <c r="AD138" s="94">
        <f t="shared" ref="AD138:AD139" si="163">AC138*Z138</f>
        <v>3413.2822529999994</v>
      </c>
      <c r="AE138" s="190"/>
      <c r="AF138" s="191"/>
      <c r="AG138" s="191"/>
      <c r="AH138" s="191"/>
      <c r="AI138" s="186"/>
      <c r="AK138" s="171"/>
    </row>
    <row r="139" spans="1:41" s="102" customFormat="1" ht="19.899999999999999" customHeight="1" x14ac:dyDescent="0.25">
      <c r="A139" s="45"/>
      <c r="B139" s="59"/>
      <c r="C139" s="137"/>
      <c r="D139" s="59"/>
      <c r="E139" s="116"/>
      <c r="F139" s="120"/>
      <c r="G139" s="120"/>
      <c r="H139" s="120"/>
      <c r="I139" s="60"/>
      <c r="J139" s="116"/>
      <c r="K139" s="213"/>
      <c r="L139" s="120"/>
      <c r="M139" s="120"/>
      <c r="N139" s="167"/>
      <c r="O139" s="120"/>
      <c r="P139" s="120"/>
      <c r="Q139" s="120"/>
      <c r="R139" s="120"/>
      <c r="S139" s="120"/>
      <c r="T139" s="221"/>
      <c r="U139" s="89"/>
      <c r="V139" s="61"/>
      <c r="W139" s="92" t="s">
        <v>65</v>
      </c>
      <c r="X139" s="93" t="s">
        <v>30</v>
      </c>
      <c r="Y139" s="93" t="s">
        <v>1011</v>
      </c>
      <c r="Z139" s="134">
        <f>VLOOKUP(W139,Sheet2!$B:$D,3,FALSE)</f>
        <v>1.76</v>
      </c>
      <c r="AA139" s="93">
        <f>AA138/10</f>
        <v>4.7058823529411766</v>
      </c>
      <c r="AB139" s="93">
        <f>AD139/AC133</f>
        <v>0.37400000000000005</v>
      </c>
      <c r="AC139" s="93">
        <f>AC133/AA139</f>
        <v>711.10046937499988</v>
      </c>
      <c r="AD139" s="94">
        <f t="shared" si="163"/>
        <v>1251.5368260999999</v>
      </c>
      <c r="AE139" s="190"/>
      <c r="AF139" s="191"/>
      <c r="AG139" s="191"/>
      <c r="AH139" s="191"/>
      <c r="AI139" s="186"/>
      <c r="AK139" s="171"/>
    </row>
    <row r="140" spans="1:41" s="103" customFormat="1" ht="19.899999999999999" customHeight="1" x14ac:dyDescent="0.25">
      <c r="A140" s="51"/>
      <c r="B140" s="52"/>
      <c r="C140" s="165"/>
      <c r="D140" s="52"/>
      <c r="E140" s="115"/>
      <c r="F140" s="58"/>
      <c r="G140" s="58"/>
      <c r="H140" s="58"/>
      <c r="I140" s="55"/>
      <c r="J140" s="113">
        <f>J132</f>
        <v>3346.3551499999994</v>
      </c>
      <c r="K140" s="212">
        <f>K132</f>
        <v>3346.3551499999994</v>
      </c>
      <c r="L140" s="58"/>
      <c r="M140" s="58">
        <f>K140-L140</f>
        <v>3346.3551499999994</v>
      </c>
      <c r="N140" s="166"/>
      <c r="O140" s="58"/>
      <c r="P140" s="58"/>
      <c r="Q140" s="58"/>
      <c r="R140" s="58"/>
      <c r="S140" s="58"/>
      <c r="T140" s="220"/>
      <c r="U140" s="88"/>
      <c r="V140" s="56"/>
      <c r="W140" s="57" t="s">
        <v>1031</v>
      </c>
      <c r="X140" s="53"/>
      <c r="Y140" s="91" t="s">
        <v>68</v>
      </c>
      <c r="Z140" s="136">
        <f>AD140/AC140</f>
        <v>286.34000000000003</v>
      </c>
      <c r="AA140" s="58"/>
      <c r="AB140" s="53">
        <f>AD140/AC140</f>
        <v>286.34000000000003</v>
      </c>
      <c r="AC140" s="53">
        <f>M140+$AE$10</f>
        <v>3346.3551499999994</v>
      </c>
      <c r="AD140" s="54">
        <f>SUM(AD141:AD146)</f>
        <v>958195.33365099994</v>
      </c>
      <c r="AE140" s="184">
        <f>SUMIFS($AD$37:$AD$12971,$V$37:$V$12971,$V140,$X$37:$X$12971,AE$13)</f>
        <v>0</v>
      </c>
      <c r="AF140" s="185">
        <f>SUMIFS($AD$37:$AD$12971,$V$37:$V$12971,$V140,$X$37:$X$12971,AF$13)</f>
        <v>0</v>
      </c>
      <c r="AG140" s="185">
        <f>SUMIFS($AD$37:$AD$12971,$V$37:$V$12971,$V140,$X$37:$X$12971,AG$13)</f>
        <v>0</v>
      </c>
      <c r="AH140" s="187">
        <f>SUMIFS($AD$37:$AD$12971,$V$37:$V$12971,$V140,$X$37:$X$12971,AH$13)</f>
        <v>0</v>
      </c>
      <c r="AI140" s="161">
        <f t="shared" ref="AI140" si="164">SUM(AE140:AH140)</f>
        <v>0</v>
      </c>
      <c r="AK140" s="172"/>
    </row>
    <row r="141" spans="1:41" s="102" customFormat="1" ht="19.899999999999999" customHeight="1" x14ac:dyDescent="0.25">
      <c r="A141" s="45"/>
      <c r="B141" s="59"/>
      <c r="C141" s="137"/>
      <c r="D141" s="59"/>
      <c r="E141" s="116"/>
      <c r="F141" s="120"/>
      <c r="G141" s="120"/>
      <c r="H141" s="120"/>
      <c r="I141" s="60"/>
      <c r="J141" s="116"/>
      <c r="K141" s="213"/>
      <c r="L141" s="120"/>
      <c r="M141" s="120"/>
      <c r="N141" s="167"/>
      <c r="O141" s="120"/>
      <c r="P141" s="120"/>
      <c r="Q141" s="120"/>
      <c r="R141" s="120"/>
      <c r="S141" s="120"/>
      <c r="T141" s="221"/>
      <c r="U141" s="89"/>
      <c r="V141" s="61"/>
      <c r="W141" s="92" t="s">
        <v>1353</v>
      </c>
      <c r="X141" s="93" t="s">
        <v>30</v>
      </c>
      <c r="Y141" s="93" t="s">
        <v>66</v>
      </c>
      <c r="Z141" s="134">
        <f>VLOOKUP(W141,Sheet2!$B:$D,3,FALSE)</f>
        <v>350</v>
      </c>
      <c r="AA141" s="93">
        <f>1/(0.7*0.4)</f>
        <v>3.5714285714285716</v>
      </c>
      <c r="AB141" s="93">
        <f>AD141/AC140</f>
        <v>98</v>
      </c>
      <c r="AC141" s="93">
        <f>AC140/AA141</f>
        <v>936.97944199999984</v>
      </c>
      <c r="AD141" s="94">
        <f t="shared" ref="AD141" si="165">AC141*Z141</f>
        <v>327942.80469999992</v>
      </c>
      <c r="AE141" s="190"/>
      <c r="AF141" s="191"/>
      <c r="AG141" s="191"/>
      <c r="AH141" s="191"/>
      <c r="AI141" s="186"/>
      <c r="AK141" s="171"/>
    </row>
    <row r="142" spans="1:41" s="102" customFormat="1" ht="19.899999999999999" customHeight="1" x14ac:dyDescent="0.25">
      <c r="A142" s="45"/>
      <c r="B142" s="59"/>
      <c r="C142" s="137"/>
      <c r="D142" s="59"/>
      <c r="E142" s="116"/>
      <c r="F142" s="120"/>
      <c r="G142" s="120"/>
      <c r="H142" s="120"/>
      <c r="I142" s="60"/>
      <c r="J142" s="116"/>
      <c r="K142" s="213"/>
      <c r="L142" s="120"/>
      <c r="M142" s="120"/>
      <c r="N142" s="167"/>
      <c r="O142" s="120"/>
      <c r="P142" s="120"/>
      <c r="Q142" s="120"/>
      <c r="R142" s="120"/>
      <c r="S142" s="120"/>
      <c r="T142" s="221"/>
      <c r="U142" s="89"/>
      <c r="V142" s="61"/>
      <c r="W142" s="92" t="s">
        <v>99</v>
      </c>
      <c r="X142" s="93" t="s">
        <v>30</v>
      </c>
      <c r="Y142" s="93" t="s">
        <v>67</v>
      </c>
      <c r="Z142" s="134">
        <f>VLOOKUP(W142,Sheet2!$B:$D,3,FALSE)</f>
        <v>2500</v>
      </c>
      <c r="AA142" s="93">
        <f>AA141/0.08</f>
        <v>44.642857142857146</v>
      </c>
      <c r="AB142" s="93">
        <f>AD142/AC140</f>
        <v>56</v>
      </c>
      <c r="AC142" s="93">
        <f>AC140/AA142</f>
        <v>74.958355359999985</v>
      </c>
      <c r="AD142" s="94">
        <f t="shared" ref="AD142" si="166">AC142*Z142</f>
        <v>187395.88839999997</v>
      </c>
      <c r="AE142" s="190"/>
      <c r="AF142" s="191"/>
      <c r="AG142" s="191"/>
      <c r="AH142" s="191"/>
      <c r="AI142" s="186"/>
      <c r="AK142" s="171"/>
    </row>
    <row r="143" spans="1:41" s="102" customFormat="1" ht="19.899999999999999" customHeight="1" x14ac:dyDescent="0.25">
      <c r="A143" s="45"/>
      <c r="B143" s="59"/>
      <c r="C143" s="137"/>
      <c r="D143" s="59"/>
      <c r="E143" s="116"/>
      <c r="F143" s="120"/>
      <c r="G143" s="120"/>
      <c r="H143" s="120"/>
      <c r="I143" s="60"/>
      <c r="J143" s="116"/>
      <c r="K143" s="213"/>
      <c r="L143" s="120"/>
      <c r="M143" s="120"/>
      <c r="N143" s="167"/>
      <c r="O143" s="120"/>
      <c r="P143" s="120"/>
      <c r="Q143" s="120"/>
      <c r="R143" s="120"/>
      <c r="S143" s="120"/>
      <c r="T143" s="221"/>
      <c r="U143" s="89"/>
      <c r="V143" s="61"/>
      <c r="W143" s="92" t="s">
        <v>1270</v>
      </c>
      <c r="X143" s="93" t="s">
        <v>30</v>
      </c>
      <c r="Y143" s="93" t="s">
        <v>68</v>
      </c>
      <c r="Z143" s="134">
        <f>VLOOKUP(W143,Sheet2!$B:$D,3,FALSE)</f>
        <v>4</v>
      </c>
      <c r="AA143" s="93">
        <f>1/8</f>
        <v>0.125</v>
      </c>
      <c r="AB143" s="93">
        <f>AD143/AC140</f>
        <v>32</v>
      </c>
      <c r="AC143" s="93">
        <f>AC140/AA143</f>
        <v>26770.841199999995</v>
      </c>
      <c r="AD143" s="94">
        <f>AC143*Z143</f>
        <v>107083.36479999998</v>
      </c>
      <c r="AE143" s="190"/>
      <c r="AF143" s="191"/>
      <c r="AG143" s="191"/>
      <c r="AH143" s="191"/>
      <c r="AI143" s="186"/>
      <c r="AK143" s="171"/>
    </row>
    <row r="144" spans="1:41" s="102" customFormat="1" ht="19.899999999999999" customHeight="1" x14ac:dyDescent="0.25">
      <c r="A144" s="45"/>
      <c r="B144" s="59"/>
      <c r="C144" s="137"/>
      <c r="D144" s="59"/>
      <c r="E144" s="116"/>
      <c r="F144" s="120"/>
      <c r="G144" s="120"/>
      <c r="H144" s="120"/>
      <c r="I144" s="60"/>
      <c r="J144" s="116"/>
      <c r="K144" s="213"/>
      <c r="L144" s="120"/>
      <c r="M144" s="120"/>
      <c r="N144" s="167"/>
      <c r="O144" s="120"/>
      <c r="P144" s="120"/>
      <c r="Q144" s="120"/>
      <c r="R144" s="120"/>
      <c r="S144" s="120"/>
      <c r="T144" s="221"/>
      <c r="U144" s="89"/>
      <c r="V144" s="61"/>
      <c r="W144" s="92" t="s">
        <v>1271</v>
      </c>
      <c r="X144" s="93" t="s">
        <v>30</v>
      </c>
      <c r="Y144" s="93" t="s">
        <v>68</v>
      </c>
      <c r="Z144" s="134">
        <f>VLOOKUP(W144,Sheet2!$B:$D,3,FALSE)</f>
        <v>2</v>
      </c>
      <c r="AA144" s="93">
        <f>AA143</f>
        <v>0.125</v>
      </c>
      <c r="AB144" s="93">
        <f>AD144/AC140</f>
        <v>16</v>
      </c>
      <c r="AC144" s="93">
        <f>AC140/AA144</f>
        <v>26770.841199999995</v>
      </c>
      <c r="AD144" s="94">
        <f>AC144*Z144</f>
        <v>53541.682399999991</v>
      </c>
      <c r="AE144" s="190"/>
      <c r="AF144" s="191"/>
      <c r="AG144" s="191"/>
      <c r="AH144" s="191"/>
      <c r="AI144" s="186"/>
      <c r="AK144" s="171"/>
    </row>
    <row r="145" spans="1:37" s="102" customFormat="1" ht="19.899999999999999" customHeight="1" x14ac:dyDescent="0.25">
      <c r="A145" s="45"/>
      <c r="B145" s="59"/>
      <c r="C145" s="137"/>
      <c r="D145" s="59"/>
      <c r="E145" s="116"/>
      <c r="F145" s="120"/>
      <c r="G145" s="120"/>
      <c r="H145" s="120"/>
      <c r="I145" s="60"/>
      <c r="J145" s="116"/>
      <c r="K145" s="213"/>
      <c r="L145" s="120"/>
      <c r="M145" s="120"/>
      <c r="N145" s="167"/>
      <c r="O145" s="120"/>
      <c r="P145" s="120"/>
      <c r="Q145" s="120"/>
      <c r="R145" s="120"/>
      <c r="S145" s="120"/>
      <c r="T145" s="221"/>
      <c r="U145" s="89"/>
      <c r="V145" s="61"/>
      <c r="W145" s="92" t="s">
        <v>1533</v>
      </c>
      <c r="X145" s="93" t="s">
        <v>32</v>
      </c>
      <c r="Y145" s="93" t="s">
        <v>66</v>
      </c>
      <c r="Z145" s="134">
        <f>VLOOKUP(W145,Sheet2!$B:$D,3,FALSE)</f>
        <v>300</v>
      </c>
      <c r="AA145" s="93">
        <f>AA141</f>
        <v>3.5714285714285716</v>
      </c>
      <c r="AB145" s="93">
        <f>AD145/AC140</f>
        <v>84</v>
      </c>
      <c r="AC145" s="93">
        <f>AC140/AA145</f>
        <v>936.97944199999984</v>
      </c>
      <c r="AD145" s="94">
        <f t="shared" ref="AD145:AD146" si="167">AC145*Z145</f>
        <v>281093.83259999997</v>
      </c>
      <c r="AE145" s="190"/>
      <c r="AF145" s="191"/>
      <c r="AG145" s="191"/>
      <c r="AH145" s="191"/>
      <c r="AI145" s="186"/>
      <c r="AK145" s="171"/>
    </row>
    <row r="146" spans="1:37" s="102" customFormat="1" ht="19.899999999999999" customHeight="1" x14ac:dyDescent="0.25">
      <c r="A146" s="45"/>
      <c r="B146" s="59"/>
      <c r="C146" s="137"/>
      <c r="D146" s="59"/>
      <c r="E146" s="116"/>
      <c r="F146" s="120"/>
      <c r="G146" s="120"/>
      <c r="H146" s="120"/>
      <c r="I146" s="60"/>
      <c r="J146" s="116"/>
      <c r="K146" s="213"/>
      <c r="L146" s="120"/>
      <c r="M146" s="120"/>
      <c r="N146" s="167"/>
      <c r="O146" s="120"/>
      <c r="P146" s="120"/>
      <c r="Q146" s="120"/>
      <c r="R146" s="120"/>
      <c r="S146" s="120"/>
      <c r="T146" s="221"/>
      <c r="U146" s="89"/>
      <c r="V146" s="61"/>
      <c r="W146" s="92" t="s">
        <v>107</v>
      </c>
      <c r="X146" s="93" t="s">
        <v>31</v>
      </c>
      <c r="Y146" s="93" t="s">
        <v>93</v>
      </c>
      <c r="Z146" s="134">
        <f>VLOOKUP(W146,Sheet2!$B:$D,3,FALSE)</f>
        <v>17</v>
      </c>
      <c r="AA146" s="93">
        <v>50</v>
      </c>
      <c r="AB146" s="93">
        <f>AD146/AC140</f>
        <v>0.34</v>
      </c>
      <c r="AC146" s="93">
        <f>AC140/AA146</f>
        <v>66.927102999999988</v>
      </c>
      <c r="AD146" s="94">
        <f t="shared" si="167"/>
        <v>1137.7607509999998</v>
      </c>
      <c r="AE146" s="190"/>
      <c r="AF146" s="191"/>
      <c r="AG146" s="191"/>
      <c r="AH146" s="191"/>
      <c r="AI146" s="186"/>
      <c r="AK146" s="171"/>
    </row>
    <row r="147" spans="1:37" s="103" customFormat="1" ht="19.899999999999999" customHeight="1" x14ac:dyDescent="0.25">
      <c r="A147" s="51"/>
      <c r="B147" s="52"/>
      <c r="C147" s="165"/>
      <c r="D147" s="52"/>
      <c r="E147" s="115"/>
      <c r="F147" s="58"/>
      <c r="G147" s="58"/>
      <c r="H147" s="58"/>
      <c r="I147" s="55"/>
      <c r="J147" s="113">
        <f>J132</f>
        <v>3346.3551499999994</v>
      </c>
      <c r="K147" s="212">
        <f>K132</f>
        <v>3346.3551499999994</v>
      </c>
      <c r="L147" s="58"/>
      <c r="M147" s="58">
        <f>K147-L147</f>
        <v>3346.3551499999994</v>
      </c>
      <c r="N147" s="166"/>
      <c r="O147" s="58"/>
      <c r="P147" s="58"/>
      <c r="Q147" s="58"/>
      <c r="R147" s="58"/>
      <c r="S147" s="58"/>
      <c r="T147" s="220"/>
      <c r="U147" s="88"/>
      <c r="V147" s="56"/>
      <c r="W147" s="57" t="s">
        <v>1272</v>
      </c>
      <c r="X147" s="53"/>
      <c r="Y147" s="91" t="s">
        <v>68</v>
      </c>
      <c r="Z147" s="136">
        <f>AD147/AC147</f>
        <v>9.8750673986928081</v>
      </c>
      <c r="AA147" s="58"/>
      <c r="AB147" s="53">
        <f>AD147/AC147</f>
        <v>9.8750673986928081</v>
      </c>
      <c r="AC147" s="53">
        <f>M147+$AE$10</f>
        <v>3346.3551499999994</v>
      </c>
      <c r="AD147" s="54">
        <f>SUM(AD148:AD157)</f>
        <v>33045.482646212775</v>
      </c>
      <c r="AE147" s="184">
        <f>SUMIFS($AD$37:$AD$12971,$V$37:$V$12971,$V147,$X$37:$X$12971,AE$13)</f>
        <v>0</v>
      </c>
      <c r="AF147" s="185">
        <f>SUMIFS($AD$37:$AD$12971,$V$37:$V$12971,$V147,$X$37:$X$12971,AF$13)</f>
        <v>0</v>
      </c>
      <c r="AG147" s="185">
        <f>SUMIFS($AD$37:$AD$12971,$V$37:$V$12971,$V147,$X$37:$X$12971,AG$13)</f>
        <v>0</v>
      </c>
      <c r="AH147" s="187">
        <f>SUMIFS($AD$37:$AD$12971,$V$37:$V$12971,$V147,$X$37:$X$12971,AH$13)</f>
        <v>0</v>
      </c>
      <c r="AI147" s="161">
        <f t="shared" ref="AI147" si="168">SUM(AE147:AH147)</f>
        <v>0</v>
      </c>
      <c r="AK147" s="172"/>
    </row>
    <row r="148" spans="1:37" s="102" customFormat="1" ht="19.899999999999999" customHeight="1" x14ac:dyDescent="0.25">
      <c r="A148" s="45"/>
      <c r="B148" s="59"/>
      <c r="C148" s="137"/>
      <c r="D148" s="59"/>
      <c r="E148" s="116"/>
      <c r="F148" s="120"/>
      <c r="G148" s="120"/>
      <c r="H148" s="120"/>
      <c r="I148" s="60"/>
      <c r="J148" s="116"/>
      <c r="K148" s="213"/>
      <c r="L148" s="120"/>
      <c r="M148" s="120"/>
      <c r="N148" s="167"/>
      <c r="O148" s="120"/>
      <c r="P148" s="120"/>
      <c r="Q148" s="120"/>
      <c r="R148" s="120"/>
      <c r="S148" s="120"/>
      <c r="T148" s="221"/>
      <c r="U148" s="89"/>
      <c r="V148" s="61"/>
      <c r="W148" s="92" t="s">
        <v>134</v>
      </c>
      <c r="X148" s="93" t="s">
        <v>29</v>
      </c>
      <c r="Y148" s="93" t="s">
        <v>93</v>
      </c>
      <c r="Z148" s="134">
        <f>VLOOKUP(W148,Sheet2!$B:$D,3,FALSE)</f>
        <v>65.599999999999994</v>
      </c>
      <c r="AA148" s="93">
        <f>100/((1.7*1)-(0.7*0.4))</f>
        <v>70.422535211267615</v>
      </c>
      <c r="AB148" s="93">
        <f>AD148/AC147</f>
        <v>0.9315199999999999</v>
      </c>
      <c r="AC148" s="93">
        <f>AC147/AA148</f>
        <v>47.518243129999988</v>
      </c>
      <c r="AD148" s="94">
        <f t="shared" ref="AD148:AD149" si="169">AC148*Z148</f>
        <v>3117.196749327999</v>
      </c>
      <c r="AE148" s="190"/>
      <c r="AF148" s="191"/>
      <c r="AG148" s="191"/>
      <c r="AH148" s="191"/>
      <c r="AI148" s="186"/>
      <c r="AK148" s="171"/>
    </row>
    <row r="149" spans="1:37" s="102" customFormat="1" ht="19.899999999999999" customHeight="1" x14ac:dyDescent="0.25">
      <c r="A149" s="45"/>
      <c r="B149" s="59"/>
      <c r="C149" s="137"/>
      <c r="D149" s="59"/>
      <c r="E149" s="116"/>
      <c r="F149" s="120"/>
      <c r="G149" s="120"/>
      <c r="H149" s="120"/>
      <c r="I149" s="60"/>
      <c r="J149" s="116"/>
      <c r="K149" s="213"/>
      <c r="L149" s="120"/>
      <c r="M149" s="120"/>
      <c r="N149" s="167"/>
      <c r="O149" s="120"/>
      <c r="P149" s="120"/>
      <c r="Q149" s="120"/>
      <c r="R149" s="120"/>
      <c r="S149" s="120"/>
      <c r="T149" s="221"/>
      <c r="U149" s="89"/>
      <c r="V149" s="61"/>
      <c r="W149" s="92" t="s">
        <v>65</v>
      </c>
      <c r="X149" s="93" t="s">
        <v>30</v>
      </c>
      <c r="Y149" s="93" t="s">
        <v>1011</v>
      </c>
      <c r="Z149" s="134">
        <f>VLOOKUP(W149,Sheet2!$B:$D,3,FALSE)</f>
        <v>1.76</v>
      </c>
      <c r="AA149" s="93">
        <f>AA148/9</f>
        <v>7.8247261345852905</v>
      </c>
      <c r="AB149" s="93">
        <f>AD149/AC147</f>
        <v>0.22492799999999999</v>
      </c>
      <c r="AC149" s="93">
        <f>AC147/AA149</f>
        <v>427.66418816999987</v>
      </c>
      <c r="AD149" s="94">
        <f t="shared" si="169"/>
        <v>752.68897117919983</v>
      </c>
      <c r="AE149" s="190"/>
      <c r="AF149" s="191"/>
      <c r="AG149" s="191"/>
      <c r="AH149" s="191"/>
      <c r="AI149" s="186"/>
      <c r="AK149" s="171"/>
    </row>
    <row r="150" spans="1:37" s="102" customFormat="1" ht="19.899999999999999" customHeight="1" x14ac:dyDescent="0.25">
      <c r="A150" s="45"/>
      <c r="B150" s="59"/>
      <c r="C150" s="137"/>
      <c r="D150" s="59"/>
      <c r="E150" s="116"/>
      <c r="F150" s="120"/>
      <c r="G150" s="120"/>
      <c r="H150" s="120"/>
      <c r="I150" s="60"/>
      <c r="J150" s="116"/>
      <c r="K150" s="213"/>
      <c r="L150" s="120"/>
      <c r="M150" s="120"/>
      <c r="N150" s="167"/>
      <c r="O150" s="120"/>
      <c r="P150" s="120"/>
      <c r="Q150" s="120"/>
      <c r="R150" s="120"/>
      <c r="S150" s="120"/>
      <c r="T150" s="221"/>
      <c r="U150" s="89"/>
      <c r="V150" s="61"/>
      <c r="W150" s="92" t="s">
        <v>161</v>
      </c>
      <c r="X150" s="93" t="s">
        <v>29</v>
      </c>
      <c r="Y150" s="93" t="s">
        <v>93</v>
      </c>
      <c r="Z150" s="134">
        <f>VLOOKUP(W150,Sheet2!$B:$D,3,FALSE)</f>
        <v>48</v>
      </c>
      <c r="AA150" s="93">
        <f>(16*0.85*1.5)/((1.7*1)-(0.7*0.4))</f>
        <v>14.366197183098592</v>
      </c>
      <c r="AB150" s="93">
        <f>AD150/AC147</f>
        <v>3.341176470588235</v>
      </c>
      <c r="AC150" s="93">
        <f>AC147/AA150</f>
        <v>232.93256436274504</v>
      </c>
      <c r="AD150" s="94">
        <f>AC150*Z150</f>
        <v>11180.763089411761</v>
      </c>
      <c r="AE150" s="190"/>
      <c r="AF150" s="191"/>
      <c r="AG150" s="191"/>
      <c r="AH150" s="191"/>
      <c r="AI150" s="186"/>
      <c r="AK150" s="171"/>
    </row>
    <row r="151" spans="1:37" s="102" customFormat="1" ht="19.899999999999999" customHeight="1" x14ac:dyDescent="0.25">
      <c r="A151" s="45"/>
      <c r="B151" s="59"/>
      <c r="C151" s="137"/>
      <c r="D151" s="59"/>
      <c r="E151" s="116"/>
      <c r="F151" s="120"/>
      <c r="G151" s="120"/>
      <c r="H151" s="120"/>
      <c r="I151" s="60"/>
      <c r="J151" s="116"/>
      <c r="K151" s="213"/>
      <c r="L151" s="120"/>
      <c r="M151" s="120"/>
      <c r="N151" s="167"/>
      <c r="O151" s="120"/>
      <c r="P151" s="120"/>
      <c r="Q151" s="120"/>
      <c r="R151" s="120"/>
      <c r="S151" s="120"/>
      <c r="T151" s="221"/>
      <c r="U151" s="89"/>
      <c r="V151" s="61"/>
      <c r="W151" s="92" t="s">
        <v>65</v>
      </c>
      <c r="X151" s="93" t="s">
        <v>30</v>
      </c>
      <c r="Y151" s="93" t="s">
        <v>1011</v>
      </c>
      <c r="Z151" s="134">
        <f>VLOOKUP(W151,Sheet2!$B:$D,3,FALSE)</f>
        <v>1.76</v>
      </c>
      <c r="AA151" s="93">
        <f>AA150/10</f>
        <v>1.4366197183098592</v>
      </c>
      <c r="AB151" s="93">
        <f>AD151/AC147</f>
        <v>1.2250980392156863</v>
      </c>
      <c r="AC151" s="93">
        <f>AC147/AA151</f>
        <v>2329.3256436274505</v>
      </c>
      <c r="AD151" s="94">
        <f>AC151*Z151</f>
        <v>4099.6131327843132</v>
      </c>
      <c r="AE151" s="190"/>
      <c r="AF151" s="191"/>
      <c r="AG151" s="191"/>
      <c r="AH151" s="191"/>
      <c r="AI151" s="186"/>
      <c r="AK151" s="171"/>
    </row>
    <row r="152" spans="1:37" s="102" customFormat="1" ht="19.899999999999999" customHeight="1" x14ac:dyDescent="0.25">
      <c r="A152" s="45"/>
      <c r="B152" s="59"/>
      <c r="C152" s="137"/>
      <c r="D152" s="59"/>
      <c r="E152" s="116"/>
      <c r="F152" s="120"/>
      <c r="G152" s="120"/>
      <c r="H152" s="120"/>
      <c r="I152" s="60"/>
      <c r="J152" s="116"/>
      <c r="K152" s="213"/>
      <c r="L152" s="120"/>
      <c r="M152" s="120"/>
      <c r="N152" s="167"/>
      <c r="O152" s="120"/>
      <c r="P152" s="120"/>
      <c r="Q152" s="120"/>
      <c r="R152" s="120"/>
      <c r="S152" s="120"/>
      <c r="T152" s="221"/>
      <c r="U152" s="89"/>
      <c r="V152" s="61"/>
      <c r="W152" s="92" t="s">
        <v>173</v>
      </c>
      <c r="X152" s="93" t="s">
        <v>29</v>
      </c>
      <c r="Y152" s="93" t="s">
        <v>93</v>
      </c>
      <c r="Z152" s="134">
        <f>VLOOKUP(W152,Sheet2!$B:$D,3,FALSE)</f>
        <v>36</v>
      </c>
      <c r="AA152" s="93">
        <f>50/((1.7*1)-(0.7*0.4))</f>
        <v>35.211267605633807</v>
      </c>
      <c r="AB152" s="93">
        <f>AD152/AC147</f>
        <v>1.0224</v>
      </c>
      <c r="AC152" s="93">
        <f>AC147/AA152</f>
        <v>95.036486259999975</v>
      </c>
      <c r="AD152" s="94">
        <f>AC152*Z152</f>
        <v>3421.313505359999</v>
      </c>
      <c r="AE152" s="190"/>
      <c r="AF152" s="191"/>
      <c r="AG152" s="191"/>
      <c r="AH152" s="191"/>
      <c r="AI152" s="186"/>
      <c r="AK152" s="171"/>
    </row>
    <row r="153" spans="1:37" s="102" customFormat="1" ht="19.899999999999999" customHeight="1" x14ac:dyDescent="0.25">
      <c r="A153" s="45"/>
      <c r="B153" s="59"/>
      <c r="C153" s="137"/>
      <c r="D153" s="59"/>
      <c r="E153" s="116"/>
      <c r="F153" s="120"/>
      <c r="G153" s="120"/>
      <c r="H153" s="120"/>
      <c r="I153" s="60"/>
      <c r="J153" s="116"/>
      <c r="K153" s="213"/>
      <c r="L153" s="120"/>
      <c r="M153" s="120"/>
      <c r="N153" s="167"/>
      <c r="O153" s="120"/>
      <c r="P153" s="120"/>
      <c r="Q153" s="120"/>
      <c r="R153" s="120"/>
      <c r="S153" s="120"/>
      <c r="T153" s="221"/>
      <c r="U153" s="89"/>
      <c r="V153" s="61"/>
      <c r="W153" s="92" t="s">
        <v>65</v>
      </c>
      <c r="X153" s="93" t="s">
        <v>30</v>
      </c>
      <c r="Y153" s="93" t="s">
        <v>1011</v>
      </c>
      <c r="Z153" s="134">
        <f>VLOOKUP(W153,Sheet2!$B:$D,3,FALSE)</f>
        <v>1.76</v>
      </c>
      <c r="AA153" s="93">
        <f>AA152/9</f>
        <v>3.9123630672926453</v>
      </c>
      <c r="AB153" s="93">
        <f>AD153/AC147</f>
        <v>0.44985599999999998</v>
      </c>
      <c r="AC153" s="93">
        <f>AC147/AA153</f>
        <v>855.32837633999975</v>
      </c>
      <c r="AD153" s="94">
        <f>AC153*Z153</f>
        <v>1505.3779423583997</v>
      </c>
      <c r="AE153" s="190"/>
      <c r="AF153" s="191"/>
      <c r="AG153" s="191"/>
      <c r="AH153" s="191"/>
      <c r="AI153" s="186"/>
      <c r="AK153" s="171"/>
    </row>
    <row r="154" spans="1:37" s="102" customFormat="1" ht="19.899999999999999" customHeight="1" x14ac:dyDescent="0.25">
      <c r="A154" s="45"/>
      <c r="B154" s="59"/>
      <c r="C154" s="137"/>
      <c r="D154" s="59"/>
      <c r="E154" s="116"/>
      <c r="F154" s="120"/>
      <c r="G154" s="120"/>
      <c r="H154" s="120"/>
      <c r="I154" s="60"/>
      <c r="J154" s="116"/>
      <c r="K154" s="213"/>
      <c r="L154" s="120"/>
      <c r="M154" s="120"/>
      <c r="N154" s="167"/>
      <c r="O154" s="120"/>
      <c r="P154" s="120"/>
      <c r="Q154" s="120"/>
      <c r="R154" s="120"/>
      <c r="S154" s="120"/>
      <c r="T154" s="221"/>
      <c r="U154" s="89"/>
      <c r="V154" s="61"/>
      <c r="W154" s="92" t="s">
        <v>148</v>
      </c>
      <c r="X154" s="93" t="s">
        <v>29</v>
      </c>
      <c r="Y154" s="93" t="s">
        <v>93</v>
      </c>
      <c r="Z154" s="134">
        <f>VLOOKUP(W154,Sheet2!$B:$D,3,FALSE)</f>
        <v>48</v>
      </c>
      <c r="AA154" s="93">
        <f>7.2/(1.7*1*0.1)</f>
        <v>42.352941176470587</v>
      </c>
      <c r="AB154" s="93">
        <f>AD154/AC147</f>
        <v>1.1333333333333333</v>
      </c>
      <c r="AC154" s="93">
        <f>AC147/AA154</f>
        <v>79.011163263888875</v>
      </c>
      <c r="AD154" s="94">
        <f t="shared" ref="AD154:AD155" si="170">AC154*Z154</f>
        <v>3792.535836666666</v>
      </c>
      <c r="AE154" s="190"/>
      <c r="AF154" s="191"/>
      <c r="AG154" s="191"/>
      <c r="AH154" s="191"/>
      <c r="AI154" s="186"/>
      <c r="AK154" s="171"/>
    </row>
    <row r="155" spans="1:37" s="102" customFormat="1" ht="19.899999999999999" customHeight="1" x14ac:dyDescent="0.25">
      <c r="A155" s="45"/>
      <c r="B155" s="59"/>
      <c r="C155" s="137"/>
      <c r="D155" s="59"/>
      <c r="E155" s="116"/>
      <c r="F155" s="120"/>
      <c r="G155" s="120"/>
      <c r="H155" s="120"/>
      <c r="I155" s="60"/>
      <c r="J155" s="116"/>
      <c r="K155" s="213"/>
      <c r="L155" s="120"/>
      <c r="M155" s="120"/>
      <c r="N155" s="167"/>
      <c r="O155" s="120"/>
      <c r="P155" s="120"/>
      <c r="Q155" s="120"/>
      <c r="R155" s="120"/>
      <c r="S155" s="120"/>
      <c r="T155" s="221"/>
      <c r="U155" s="89"/>
      <c r="V155" s="61"/>
      <c r="W155" s="92" t="s">
        <v>65</v>
      </c>
      <c r="X155" s="93" t="s">
        <v>30</v>
      </c>
      <c r="Y155" s="93" t="s">
        <v>1011</v>
      </c>
      <c r="Z155" s="134">
        <f>VLOOKUP(W155,Sheet2!$B:$D,3,FALSE)</f>
        <v>1.76</v>
      </c>
      <c r="AA155" s="93">
        <f>AA154/10</f>
        <v>4.2352941176470589</v>
      </c>
      <c r="AB155" s="93">
        <f>AD155/AC147</f>
        <v>0.41555555555555557</v>
      </c>
      <c r="AC155" s="93">
        <f>AC147/AA155</f>
        <v>790.11163263888875</v>
      </c>
      <c r="AD155" s="94">
        <f t="shared" si="170"/>
        <v>1390.5964734444442</v>
      </c>
      <c r="AE155" s="190"/>
      <c r="AF155" s="191"/>
      <c r="AG155" s="191"/>
      <c r="AH155" s="191"/>
      <c r="AI155" s="186"/>
      <c r="AK155" s="171"/>
    </row>
    <row r="156" spans="1:37" s="102" customFormat="1" ht="19.899999999999999" customHeight="1" x14ac:dyDescent="0.25">
      <c r="A156" s="45"/>
      <c r="B156" s="59"/>
      <c r="C156" s="137"/>
      <c r="D156" s="59"/>
      <c r="E156" s="116"/>
      <c r="F156" s="120"/>
      <c r="G156" s="120"/>
      <c r="H156" s="120"/>
      <c r="I156" s="60"/>
      <c r="J156" s="116"/>
      <c r="K156" s="213"/>
      <c r="L156" s="120"/>
      <c r="M156" s="120"/>
      <c r="N156" s="167"/>
      <c r="O156" s="120"/>
      <c r="P156" s="120"/>
      <c r="Q156" s="120"/>
      <c r="R156" s="120"/>
      <c r="S156" s="120"/>
      <c r="T156" s="221"/>
      <c r="U156" s="89"/>
      <c r="V156" s="61"/>
      <c r="W156" s="92" t="s">
        <v>1030</v>
      </c>
      <c r="X156" s="93" t="s">
        <v>29</v>
      </c>
      <c r="Y156" s="93" t="s">
        <v>93</v>
      </c>
      <c r="Z156" s="134">
        <f>VLOOKUP(W156,Sheet2!$B:$D,3,FALSE)</f>
        <v>23</v>
      </c>
      <c r="AA156" s="93">
        <v>25</v>
      </c>
      <c r="AB156" s="93">
        <f>AD156/AC147</f>
        <v>0.92</v>
      </c>
      <c r="AC156" s="93">
        <f>AC147/AA156</f>
        <v>133.85420599999998</v>
      </c>
      <c r="AD156" s="94">
        <f t="shared" ref="AD156:AD157" si="171">AC156*Z156</f>
        <v>3078.6467379999995</v>
      </c>
      <c r="AE156" s="190"/>
      <c r="AF156" s="191"/>
      <c r="AG156" s="191"/>
      <c r="AH156" s="191"/>
      <c r="AI156" s="186"/>
      <c r="AK156" s="171"/>
    </row>
    <row r="157" spans="1:37" s="102" customFormat="1" ht="19.899999999999999" customHeight="1" x14ac:dyDescent="0.25">
      <c r="A157" s="45"/>
      <c r="B157" s="59"/>
      <c r="C157" s="137"/>
      <c r="D157" s="59"/>
      <c r="E157" s="116"/>
      <c r="F157" s="120"/>
      <c r="G157" s="120"/>
      <c r="H157" s="120"/>
      <c r="I157" s="60"/>
      <c r="J157" s="116"/>
      <c r="K157" s="213"/>
      <c r="L157" s="120"/>
      <c r="M157" s="120"/>
      <c r="N157" s="167"/>
      <c r="O157" s="120"/>
      <c r="P157" s="120"/>
      <c r="Q157" s="120"/>
      <c r="R157" s="120"/>
      <c r="S157" s="120"/>
      <c r="T157" s="221"/>
      <c r="U157" s="89"/>
      <c r="V157" s="61"/>
      <c r="W157" s="92" t="s">
        <v>65</v>
      </c>
      <c r="X157" s="93" t="s">
        <v>30</v>
      </c>
      <c r="Y157" s="93" t="s">
        <v>1011</v>
      </c>
      <c r="Z157" s="134">
        <f>VLOOKUP(W157,Sheet2!$B:$D,3,FALSE)</f>
        <v>1.76</v>
      </c>
      <c r="AA157" s="93">
        <f>AA156/3</f>
        <v>8.3333333333333339</v>
      </c>
      <c r="AB157" s="93">
        <f>AD157/AC147</f>
        <v>0.21119999999999997</v>
      </c>
      <c r="AC157" s="93">
        <f>AC147/AA157</f>
        <v>401.56261799999987</v>
      </c>
      <c r="AD157" s="94">
        <f t="shared" si="171"/>
        <v>706.75020767999979</v>
      </c>
      <c r="AE157" s="190"/>
      <c r="AF157" s="191"/>
      <c r="AG157" s="191"/>
      <c r="AH157" s="191"/>
      <c r="AI157" s="186"/>
      <c r="AK157" s="171"/>
    </row>
    <row r="158" spans="1:37" s="306" customFormat="1" ht="15" x14ac:dyDescent="0.25">
      <c r="A158" s="287" t="s">
        <v>204</v>
      </c>
      <c r="B158" s="288"/>
      <c r="C158" s="310" t="s">
        <v>209</v>
      </c>
      <c r="D158" s="289"/>
      <c r="E158" s="290"/>
      <c r="F158" s="291"/>
      <c r="G158" s="291"/>
      <c r="H158" s="291"/>
      <c r="I158" s="292"/>
      <c r="J158" s="290"/>
      <c r="K158" s="293"/>
      <c r="L158" s="291"/>
      <c r="M158" s="291"/>
      <c r="N158" s="294"/>
      <c r="O158" s="291"/>
      <c r="P158" s="291"/>
      <c r="Q158" s="291"/>
      <c r="R158" s="291"/>
      <c r="S158" s="291"/>
      <c r="T158" s="295"/>
      <c r="U158" s="296"/>
      <c r="V158" s="297"/>
      <c r="W158" s="298"/>
      <c r="X158" s="299"/>
      <c r="Y158" s="300"/>
      <c r="Z158" s="301"/>
      <c r="AA158" s="300"/>
      <c r="AB158" s="300"/>
      <c r="AC158" s="300"/>
      <c r="AD158" s="302"/>
      <c r="AE158" s="303"/>
      <c r="AF158" s="304"/>
      <c r="AG158" s="304"/>
      <c r="AH158" s="304"/>
      <c r="AI158" s="305"/>
      <c r="AK158" s="307"/>
    </row>
    <row r="159" spans="1:37" s="306" customFormat="1" ht="90" x14ac:dyDescent="0.25">
      <c r="A159" s="287"/>
      <c r="B159" s="288"/>
      <c r="C159" s="286" t="s">
        <v>210</v>
      </c>
      <c r="D159" s="289"/>
      <c r="E159" s="290"/>
      <c r="F159" s="291"/>
      <c r="G159" s="291"/>
      <c r="H159" s="291"/>
      <c r="I159" s="292"/>
      <c r="J159" s="290"/>
      <c r="K159" s="293"/>
      <c r="L159" s="291"/>
      <c r="M159" s="291"/>
      <c r="N159" s="294"/>
      <c r="O159" s="291"/>
      <c r="P159" s="291"/>
      <c r="Q159" s="291"/>
      <c r="R159" s="291"/>
      <c r="S159" s="291"/>
      <c r="T159" s="295"/>
      <c r="U159" s="296"/>
      <c r="V159" s="297"/>
      <c r="W159" s="298"/>
      <c r="X159" s="299"/>
      <c r="Y159" s="300"/>
      <c r="Z159" s="301"/>
      <c r="AA159" s="300"/>
      <c r="AB159" s="300"/>
      <c r="AC159" s="300"/>
      <c r="AD159" s="302"/>
      <c r="AE159" s="303"/>
      <c r="AF159" s="304"/>
      <c r="AG159" s="304"/>
      <c r="AH159" s="304"/>
      <c r="AI159" s="305"/>
      <c r="AK159" s="307"/>
    </row>
    <row r="160" spans="1:37" ht="20.100000000000001" customHeight="1" x14ac:dyDescent="0.25">
      <c r="A160" s="277" t="s">
        <v>204</v>
      </c>
      <c r="B160" s="278"/>
      <c r="C160" s="64" t="s">
        <v>211</v>
      </c>
      <c r="D160" s="46" t="s">
        <v>7</v>
      </c>
      <c r="E160" s="114"/>
      <c r="F160" s="44"/>
      <c r="G160" s="44">
        <f t="shared" si="127"/>
        <v>0</v>
      </c>
      <c r="H160" s="44">
        <f t="shared" si="128"/>
        <v>0</v>
      </c>
      <c r="I160" s="43">
        <f t="shared" si="129"/>
        <v>0</v>
      </c>
      <c r="J160" s="112">
        <f t="shared" si="130"/>
        <v>0</v>
      </c>
      <c r="K160" s="211">
        <f t="shared" si="131"/>
        <v>0</v>
      </c>
      <c r="L160" s="44"/>
      <c r="M160" s="44">
        <f t="shared" si="132"/>
        <v>0</v>
      </c>
      <c r="N160" s="173">
        <f t="shared" si="133"/>
        <v>0</v>
      </c>
      <c r="O160" s="44">
        <f t="shared" si="134"/>
        <v>0</v>
      </c>
      <c r="P160" s="44">
        <f t="shared" si="135"/>
        <v>0</v>
      </c>
      <c r="Q160" s="44">
        <f t="shared" si="136"/>
        <v>0</v>
      </c>
      <c r="R160" s="44">
        <f t="shared" si="137"/>
        <v>0</v>
      </c>
      <c r="S160" s="123"/>
      <c r="T160" s="219">
        <f t="shared" si="138"/>
        <v>0</v>
      </c>
      <c r="U160" s="87"/>
      <c r="V160" s="47"/>
      <c r="W160" s="48"/>
      <c r="X160" s="48"/>
      <c r="Y160" s="48"/>
      <c r="Z160" s="135"/>
      <c r="AA160" s="49"/>
      <c r="AB160" s="50">
        <f t="shared" si="139"/>
        <v>0</v>
      </c>
      <c r="AC160" s="42">
        <f t="shared" si="140"/>
        <v>9.9999999999999998E-20</v>
      </c>
      <c r="AD160" s="90"/>
      <c r="AE160" s="188"/>
      <c r="AF160" s="189"/>
      <c r="AG160" s="189"/>
      <c r="AH160" s="189"/>
      <c r="AI160" s="161"/>
    </row>
    <row r="161" spans="1:41" s="306" customFormat="1" ht="20.100000000000001" customHeight="1" x14ac:dyDescent="0.25">
      <c r="A161" s="287" t="s">
        <v>204</v>
      </c>
      <c r="B161" s="288"/>
      <c r="C161" s="310" t="s">
        <v>212</v>
      </c>
      <c r="D161" s="289"/>
      <c r="E161" s="290"/>
      <c r="F161" s="291"/>
      <c r="G161" s="291">
        <f t="shared" si="127"/>
        <v>0</v>
      </c>
      <c r="H161" s="291">
        <f t="shared" si="128"/>
        <v>0</v>
      </c>
      <c r="I161" s="292">
        <f t="shared" si="129"/>
        <v>0</v>
      </c>
      <c r="J161" s="290">
        <f t="shared" si="130"/>
        <v>0</v>
      </c>
      <c r="K161" s="293">
        <f t="shared" si="131"/>
        <v>0</v>
      </c>
      <c r="L161" s="291"/>
      <c r="M161" s="291">
        <f t="shared" si="132"/>
        <v>0</v>
      </c>
      <c r="N161" s="294">
        <f t="shared" si="133"/>
        <v>0</v>
      </c>
      <c r="O161" s="291">
        <f t="shared" si="134"/>
        <v>0</v>
      </c>
      <c r="P161" s="291">
        <f t="shared" si="135"/>
        <v>0</v>
      </c>
      <c r="Q161" s="291">
        <f t="shared" si="136"/>
        <v>0</v>
      </c>
      <c r="R161" s="291">
        <f t="shared" si="137"/>
        <v>0</v>
      </c>
      <c r="S161" s="291"/>
      <c r="T161" s="295">
        <f t="shared" si="138"/>
        <v>0</v>
      </c>
      <c r="U161" s="296"/>
      <c r="V161" s="297"/>
      <c r="W161" s="298"/>
      <c r="X161" s="299"/>
      <c r="Y161" s="300"/>
      <c r="Z161" s="301"/>
      <c r="AA161" s="300"/>
      <c r="AB161" s="300">
        <f t="shared" si="139"/>
        <v>0</v>
      </c>
      <c r="AC161" s="300">
        <f t="shared" si="140"/>
        <v>9.9999999999999998E-20</v>
      </c>
      <c r="AD161" s="302"/>
      <c r="AE161" s="303"/>
      <c r="AF161" s="304"/>
      <c r="AG161" s="304"/>
      <c r="AH161" s="304"/>
      <c r="AI161" s="305"/>
      <c r="AK161" s="307"/>
    </row>
    <row r="162" spans="1:41" s="306" customFormat="1" ht="75" x14ac:dyDescent="0.25">
      <c r="A162" s="287" t="s">
        <v>204</v>
      </c>
      <c r="B162" s="288"/>
      <c r="C162" s="286" t="s">
        <v>213</v>
      </c>
      <c r="D162" s="289"/>
      <c r="E162" s="290"/>
      <c r="F162" s="291"/>
      <c r="G162" s="291">
        <f t="shared" si="127"/>
        <v>0</v>
      </c>
      <c r="H162" s="291">
        <f t="shared" si="128"/>
        <v>0</v>
      </c>
      <c r="I162" s="292">
        <f t="shared" si="129"/>
        <v>0</v>
      </c>
      <c r="J162" s="290">
        <f t="shared" si="130"/>
        <v>0</v>
      </c>
      <c r="K162" s="293">
        <f t="shared" si="131"/>
        <v>0</v>
      </c>
      <c r="L162" s="291"/>
      <c r="M162" s="291">
        <f t="shared" si="132"/>
        <v>0</v>
      </c>
      <c r="N162" s="294">
        <f t="shared" si="133"/>
        <v>0</v>
      </c>
      <c r="O162" s="291">
        <f t="shared" si="134"/>
        <v>0</v>
      </c>
      <c r="P162" s="291">
        <f t="shared" si="135"/>
        <v>0</v>
      </c>
      <c r="Q162" s="291">
        <f t="shared" si="136"/>
        <v>0</v>
      </c>
      <c r="R162" s="291">
        <f t="shared" si="137"/>
        <v>0</v>
      </c>
      <c r="S162" s="291"/>
      <c r="T162" s="295">
        <f t="shared" si="138"/>
        <v>0</v>
      </c>
      <c r="U162" s="296"/>
      <c r="V162" s="297"/>
      <c r="W162" s="298"/>
      <c r="X162" s="299"/>
      <c r="Y162" s="300"/>
      <c r="Z162" s="301"/>
      <c r="AA162" s="300"/>
      <c r="AB162" s="300">
        <f t="shared" si="139"/>
        <v>0</v>
      </c>
      <c r="AC162" s="300">
        <f t="shared" si="140"/>
        <v>9.9999999999999998E-20</v>
      </c>
      <c r="AD162" s="302"/>
      <c r="AE162" s="303"/>
      <c r="AF162" s="304"/>
      <c r="AG162" s="304"/>
      <c r="AH162" s="304"/>
      <c r="AI162" s="305"/>
      <c r="AK162" s="307"/>
    </row>
    <row r="163" spans="1:41" ht="20.100000000000001" customHeight="1" x14ac:dyDescent="0.25">
      <c r="A163" s="277" t="s">
        <v>204</v>
      </c>
      <c r="B163" s="278">
        <v>3</v>
      </c>
      <c r="C163" s="64" t="s">
        <v>214</v>
      </c>
      <c r="D163" s="46" t="s">
        <v>215</v>
      </c>
      <c r="E163" s="114">
        <v>437</v>
      </c>
      <c r="F163" s="44">
        <v>14980</v>
      </c>
      <c r="G163" s="44">
        <f t="shared" si="127"/>
        <v>6546260</v>
      </c>
      <c r="H163" s="44">
        <f t="shared" si="128"/>
        <v>8034.0792941176469</v>
      </c>
      <c r="I163" s="43">
        <f t="shared" si="129"/>
        <v>3510892.6515294118</v>
      </c>
      <c r="J163" s="112">
        <f t="shared" si="130"/>
        <v>437</v>
      </c>
      <c r="K163" s="211">
        <f t="shared" si="131"/>
        <v>437</v>
      </c>
      <c r="L163" s="44"/>
      <c r="M163" s="44">
        <f t="shared" si="132"/>
        <v>437</v>
      </c>
      <c r="N163" s="173">
        <f t="shared" si="133"/>
        <v>1</v>
      </c>
      <c r="O163" s="44">
        <f t="shared" si="134"/>
        <v>14980</v>
      </c>
      <c r="P163" s="44">
        <f t="shared" si="135"/>
        <v>6546260</v>
      </c>
      <c r="Q163" s="44">
        <f t="shared" si="136"/>
        <v>8034.0792941176469</v>
      </c>
      <c r="R163" s="44">
        <f t="shared" si="137"/>
        <v>3510892.6515294118</v>
      </c>
      <c r="S163" s="123"/>
      <c r="T163" s="219">
        <f t="shared" si="138"/>
        <v>3510892.6515294118</v>
      </c>
      <c r="U163" s="87"/>
      <c r="V163" s="47"/>
      <c r="W163" s="48"/>
      <c r="X163" s="48"/>
      <c r="Y163" s="48"/>
      <c r="Z163" s="135"/>
      <c r="AA163" s="49"/>
      <c r="AB163" s="50">
        <f t="shared" si="139"/>
        <v>8034.0792941176469</v>
      </c>
      <c r="AC163" s="42">
        <f t="shared" si="140"/>
        <v>437</v>
      </c>
      <c r="AD163" s="90">
        <f>AD164+AD173+AD176+AD179</f>
        <v>3510892.6515294118</v>
      </c>
      <c r="AE163" s="188">
        <f t="shared" ref="AE163:AH163" si="172">AE164+AE173+AE176+AE179</f>
        <v>0</v>
      </c>
      <c r="AF163" s="189">
        <f t="shared" si="172"/>
        <v>0</v>
      </c>
      <c r="AG163" s="189">
        <f t="shared" si="172"/>
        <v>0</v>
      </c>
      <c r="AH163" s="189">
        <f t="shared" si="172"/>
        <v>0</v>
      </c>
      <c r="AI163" s="161">
        <f t="shared" ref="AI163:AI164" si="173">SUM(AE163:AH163)</f>
        <v>0</v>
      </c>
      <c r="AK163" s="169">
        <v>5</v>
      </c>
      <c r="AO163" s="19" t="s">
        <v>63</v>
      </c>
    </row>
    <row r="164" spans="1:41" s="103" customFormat="1" ht="19.899999999999999" customHeight="1" x14ac:dyDescent="0.25">
      <c r="A164" s="51"/>
      <c r="B164" s="52"/>
      <c r="C164" s="165"/>
      <c r="D164" s="52"/>
      <c r="E164" s="115"/>
      <c r="F164" s="58"/>
      <c r="G164" s="58"/>
      <c r="H164" s="58"/>
      <c r="I164" s="55"/>
      <c r="J164" s="113">
        <f>J163</f>
        <v>437</v>
      </c>
      <c r="K164" s="212">
        <f>K163</f>
        <v>437</v>
      </c>
      <c r="L164" s="58"/>
      <c r="M164" s="58">
        <f>K164-L164</f>
        <v>437</v>
      </c>
      <c r="N164" s="166"/>
      <c r="O164" s="58"/>
      <c r="P164" s="58"/>
      <c r="Q164" s="58"/>
      <c r="R164" s="58"/>
      <c r="S164" s="58"/>
      <c r="T164" s="220"/>
      <c r="U164" s="88"/>
      <c r="V164" s="56"/>
      <c r="W164" s="57" t="s">
        <v>1277</v>
      </c>
      <c r="X164" s="53"/>
      <c r="Y164" s="91" t="s">
        <v>35</v>
      </c>
      <c r="Z164" s="136">
        <f>AD164/AC164</f>
        <v>48.786776470588229</v>
      </c>
      <c r="AA164" s="58"/>
      <c r="AB164" s="53">
        <f>AD164/AC164</f>
        <v>48.786776470588229</v>
      </c>
      <c r="AC164" s="53">
        <f>M164+$AE$10</f>
        <v>437</v>
      </c>
      <c r="AD164" s="54">
        <f>SUM(AD165:AD172)</f>
        <v>21319.821317647056</v>
      </c>
      <c r="AE164" s="184">
        <f>SUMIFS($AD$37:$AD$12971,$V$37:$V$12971,$V164,$X$37:$X$12971,AE$13)</f>
        <v>0</v>
      </c>
      <c r="AF164" s="185">
        <f>SUMIFS($AD$37:$AD$12971,$V$37:$V$12971,$V164,$X$37:$X$12971,AF$13)</f>
        <v>0</v>
      </c>
      <c r="AG164" s="185">
        <f>SUMIFS($AD$37:$AD$12971,$V$37:$V$12971,$V164,$X$37:$X$12971,AG$13)</f>
        <v>0</v>
      </c>
      <c r="AH164" s="187">
        <f>SUMIFS($AD$37:$AD$12971,$V$37:$V$12971,$V164,$X$37:$X$12971,AH$13)</f>
        <v>0</v>
      </c>
      <c r="AI164" s="161">
        <f t="shared" si="173"/>
        <v>0</v>
      </c>
      <c r="AK164" s="172"/>
    </row>
    <row r="165" spans="1:41" s="102" customFormat="1" ht="19.899999999999999" customHeight="1" x14ac:dyDescent="0.25">
      <c r="A165" s="45"/>
      <c r="B165" s="59"/>
      <c r="C165" s="137"/>
      <c r="D165" s="59"/>
      <c r="E165" s="116"/>
      <c r="F165" s="120"/>
      <c r="G165" s="120"/>
      <c r="H165" s="120"/>
      <c r="I165" s="60"/>
      <c r="J165" s="116"/>
      <c r="K165" s="213"/>
      <c r="L165" s="120"/>
      <c r="M165" s="120"/>
      <c r="N165" s="167"/>
      <c r="O165" s="120"/>
      <c r="P165" s="120"/>
      <c r="Q165" s="120"/>
      <c r="R165" s="120"/>
      <c r="S165" s="120"/>
      <c r="T165" s="221"/>
      <c r="U165" s="89"/>
      <c r="V165" s="61"/>
      <c r="W165" s="92" t="s">
        <v>129</v>
      </c>
      <c r="X165" s="93" t="s">
        <v>29</v>
      </c>
      <c r="Y165" s="93" t="s">
        <v>93</v>
      </c>
      <c r="Z165" s="134">
        <f>VLOOKUP(W165,Sheet2!$B:$D,3,FALSE)</f>
        <v>56</v>
      </c>
      <c r="AA165" s="93">
        <f>80/(3*2*1.5)</f>
        <v>8.8888888888888893</v>
      </c>
      <c r="AB165" s="93">
        <f t="shared" ref="AB165" si="174">AD165/AC164</f>
        <v>6.2999999999999989</v>
      </c>
      <c r="AC165" s="93">
        <f>AC164/AA165</f>
        <v>49.162499999999994</v>
      </c>
      <c r="AD165" s="94">
        <f t="shared" ref="AD165:AD166" si="175">AC165*Z165</f>
        <v>2753.0999999999995</v>
      </c>
      <c r="AE165" s="190"/>
      <c r="AF165" s="191"/>
      <c r="AG165" s="191"/>
      <c r="AH165" s="191"/>
      <c r="AI165" s="186"/>
      <c r="AK165" s="171"/>
    </row>
    <row r="166" spans="1:41" s="102" customFormat="1" ht="19.899999999999999" customHeight="1" x14ac:dyDescent="0.25">
      <c r="A166" s="45"/>
      <c r="B166" s="59"/>
      <c r="C166" s="137"/>
      <c r="D166" s="59"/>
      <c r="E166" s="116"/>
      <c r="F166" s="120"/>
      <c r="G166" s="120"/>
      <c r="H166" s="120"/>
      <c r="I166" s="60"/>
      <c r="J166" s="116"/>
      <c r="K166" s="213"/>
      <c r="L166" s="120"/>
      <c r="M166" s="120"/>
      <c r="N166" s="167"/>
      <c r="O166" s="120"/>
      <c r="P166" s="120"/>
      <c r="Q166" s="120"/>
      <c r="R166" s="120"/>
      <c r="S166" s="120"/>
      <c r="T166" s="221"/>
      <c r="U166" s="89"/>
      <c r="V166" s="61"/>
      <c r="W166" s="92" t="s">
        <v>65</v>
      </c>
      <c r="X166" s="93" t="s">
        <v>30</v>
      </c>
      <c r="Y166" s="93" t="s">
        <v>1011</v>
      </c>
      <c r="Z166" s="134">
        <f>VLOOKUP(W166,Sheet2!$B:$D,3,FALSE)</f>
        <v>1.76</v>
      </c>
      <c r="AA166" s="93">
        <f>AA165/14</f>
        <v>0.634920634920635</v>
      </c>
      <c r="AB166" s="93">
        <f>AD166/AC164</f>
        <v>2.7719999999999994</v>
      </c>
      <c r="AC166" s="93">
        <f>AC164/AA166</f>
        <v>688.27499999999986</v>
      </c>
      <c r="AD166" s="94">
        <f t="shared" si="175"/>
        <v>1211.3639999999998</v>
      </c>
      <c r="AE166" s="190"/>
      <c r="AF166" s="191"/>
      <c r="AG166" s="191"/>
      <c r="AH166" s="191"/>
      <c r="AI166" s="186"/>
      <c r="AK166" s="171"/>
    </row>
    <row r="167" spans="1:41" s="102" customFormat="1" ht="19.899999999999999" customHeight="1" x14ac:dyDescent="0.25">
      <c r="A167" s="45"/>
      <c r="B167" s="59"/>
      <c r="C167" s="137"/>
      <c r="D167" s="59"/>
      <c r="E167" s="116"/>
      <c r="F167" s="120"/>
      <c r="G167" s="120"/>
      <c r="H167" s="120"/>
      <c r="I167" s="60"/>
      <c r="J167" s="116"/>
      <c r="K167" s="213"/>
      <c r="L167" s="120"/>
      <c r="M167" s="120"/>
      <c r="N167" s="167"/>
      <c r="O167" s="120"/>
      <c r="P167" s="120"/>
      <c r="Q167" s="120"/>
      <c r="R167" s="120"/>
      <c r="S167" s="120"/>
      <c r="T167" s="221"/>
      <c r="U167" s="89"/>
      <c r="V167" s="61"/>
      <c r="W167" s="92" t="s">
        <v>161</v>
      </c>
      <c r="X167" s="93" t="s">
        <v>29</v>
      </c>
      <c r="Y167" s="93" t="s">
        <v>93</v>
      </c>
      <c r="Z167" s="134">
        <f>VLOOKUP(W167,Sheet2!$B:$D,3,FALSE)</f>
        <v>48</v>
      </c>
      <c r="AA167" s="93">
        <f>(16*0.85*1.5)/(3*2*1.5)</f>
        <v>2.2666666666666666</v>
      </c>
      <c r="AB167" s="93">
        <f>AD167/AC164</f>
        <v>21.176470588235297</v>
      </c>
      <c r="AC167" s="93">
        <f>AC164/AA167</f>
        <v>192.79411764705884</v>
      </c>
      <c r="AD167" s="94">
        <f>AC167*Z167</f>
        <v>9254.1176470588252</v>
      </c>
      <c r="AE167" s="190"/>
      <c r="AF167" s="191"/>
      <c r="AG167" s="191"/>
      <c r="AH167" s="191"/>
      <c r="AI167" s="186"/>
      <c r="AK167" s="171"/>
    </row>
    <row r="168" spans="1:41" s="102" customFormat="1" ht="19.899999999999999" customHeight="1" x14ac:dyDescent="0.25">
      <c r="A168" s="45"/>
      <c r="B168" s="59"/>
      <c r="C168" s="137"/>
      <c r="D168" s="59"/>
      <c r="E168" s="116"/>
      <c r="F168" s="120"/>
      <c r="G168" s="120"/>
      <c r="H168" s="120"/>
      <c r="I168" s="60"/>
      <c r="J168" s="116"/>
      <c r="K168" s="213"/>
      <c r="L168" s="120"/>
      <c r="M168" s="120"/>
      <c r="N168" s="167"/>
      <c r="O168" s="120"/>
      <c r="P168" s="120"/>
      <c r="Q168" s="120"/>
      <c r="R168" s="120"/>
      <c r="S168" s="120"/>
      <c r="T168" s="221"/>
      <c r="U168" s="89"/>
      <c r="V168" s="61"/>
      <c r="W168" s="92" t="s">
        <v>65</v>
      </c>
      <c r="X168" s="93" t="s">
        <v>30</v>
      </c>
      <c r="Y168" s="93" t="s">
        <v>1011</v>
      </c>
      <c r="Z168" s="134">
        <f>VLOOKUP(W168,Sheet2!$B:$D,3,FALSE)</f>
        <v>1.76</v>
      </c>
      <c r="AA168" s="93">
        <f>AA167/10</f>
        <v>0.22666666666666666</v>
      </c>
      <c r="AB168" s="93">
        <f>AD168/AC164</f>
        <v>7.764705882352942</v>
      </c>
      <c r="AC168" s="93">
        <f>AC164/AA168</f>
        <v>1927.9411764705883</v>
      </c>
      <c r="AD168" s="94">
        <f>AC168*Z168</f>
        <v>3393.1764705882356</v>
      </c>
      <c r="AE168" s="190"/>
      <c r="AF168" s="191"/>
      <c r="AG168" s="191"/>
      <c r="AH168" s="191"/>
      <c r="AI168" s="186"/>
      <c r="AK168" s="171"/>
    </row>
    <row r="169" spans="1:41" s="102" customFormat="1" ht="19.899999999999999" customHeight="1" x14ac:dyDescent="0.25">
      <c r="A169" s="45"/>
      <c r="B169" s="59"/>
      <c r="C169" s="137"/>
      <c r="D169" s="59"/>
      <c r="E169" s="116"/>
      <c r="F169" s="120"/>
      <c r="G169" s="120"/>
      <c r="H169" s="120"/>
      <c r="I169" s="60"/>
      <c r="J169" s="116"/>
      <c r="K169" s="213"/>
      <c r="L169" s="120"/>
      <c r="M169" s="120"/>
      <c r="N169" s="167"/>
      <c r="O169" s="120"/>
      <c r="P169" s="120"/>
      <c r="Q169" s="120"/>
      <c r="R169" s="120"/>
      <c r="S169" s="120"/>
      <c r="T169" s="221"/>
      <c r="U169" s="89"/>
      <c r="V169" s="61"/>
      <c r="W169" s="92" t="s">
        <v>1030</v>
      </c>
      <c r="X169" s="93" t="s">
        <v>29</v>
      </c>
      <c r="Y169" s="93" t="s">
        <v>93</v>
      </c>
      <c r="Z169" s="134">
        <f>VLOOKUP(W169,Sheet2!$B:$D,3,FALSE)</f>
        <v>23</v>
      </c>
      <c r="AA169" s="93">
        <f>50/(3*2)</f>
        <v>8.3333333333333339</v>
      </c>
      <c r="AB169" s="93">
        <f>AD169/AC164</f>
        <v>2.76</v>
      </c>
      <c r="AC169" s="93">
        <f>AC164/AA169</f>
        <v>52.44</v>
      </c>
      <c r="AD169" s="94">
        <f t="shared" ref="AD169:AD172" si="176">AC169*Z169</f>
        <v>1206.1199999999999</v>
      </c>
      <c r="AE169" s="190"/>
      <c r="AF169" s="191"/>
      <c r="AG169" s="191"/>
      <c r="AH169" s="191"/>
      <c r="AI169" s="186"/>
      <c r="AK169" s="171"/>
    </row>
    <row r="170" spans="1:41" s="102" customFormat="1" ht="19.899999999999999" customHeight="1" x14ac:dyDescent="0.25">
      <c r="A170" s="45"/>
      <c r="B170" s="59"/>
      <c r="C170" s="137"/>
      <c r="D170" s="59"/>
      <c r="E170" s="116"/>
      <c r="F170" s="120"/>
      <c r="G170" s="120"/>
      <c r="H170" s="120"/>
      <c r="I170" s="60"/>
      <c r="J170" s="116"/>
      <c r="K170" s="213"/>
      <c r="L170" s="120"/>
      <c r="M170" s="120"/>
      <c r="N170" s="167"/>
      <c r="O170" s="120"/>
      <c r="P170" s="120"/>
      <c r="Q170" s="120"/>
      <c r="R170" s="120"/>
      <c r="S170" s="120"/>
      <c r="T170" s="221"/>
      <c r="U170" s="89"/>
      <c r="V170" s="61"/>
      <c r="W170" s="92" t="s">
        <v>65</v>
      </c>
      <c r="X170" s="93" t="s">
        <v>30</v>
      </c>
      <c r="Y170" s="93" t="s">
        <v>1011</v>
      </c>
      <c r="Z170" s="134">
        <f>VLOOKUP(W170,Sheet2!$B:$D,3,FALSE)</f>
        <v>1.76</v>
      </c>
      <c r="AA170" s="93">
        <f>AA169/3</f>
        <v>2.7777777777777781</v>
      </c>
      <c r="AB170" s="93">
        <f>AD170/AC164</f>
        <v>0.63359999999999994</v>
      </c>
      <c r="AC170" s="93">
        <f>AC164/AA170</f>
        <v>157.32</v>
      </c>
      <c r="AD170" s="94">
        <f t="shared" si="176"/>
        <v>276.88319999999999</v>
      </c>
      <c r="AE170" s="190"/>
      <c r="AF170" s="191"/>
      <c r="AG170" s="191"/>
      <c r="AH170" s="191"/>
      <c r="AI170" s="186"/>
      <c r="AK170" s="171"/>
    </row>
    <row r="171" spans="1:41" s="102" customFormat="1" ht="19.899999999999999" customHeight="1" x14ac:dyDescent="0.25">
      <c r="A171" s="45"/>
      <c r="B171" s="59"/>
      <c r="C171" s="137"/>
      <c r="D171" s="59"/>
      <c r="E171" s="116"/>
      <c r="F171" s="120"/>
      <c r="G171" s="120"/>
      <c r="H171" s="120"/>
      <c r="I171" s="60"/>
      <c r="J171" s="116"/>
      <c r="K171" s="213"/>
      <c r="L171" s="120"/>
      <c r="M171" s="120"/>
      <c r="N171" s="167"/>
      <c r="O171" s="120"/>
      <c r="P171" s="120"/>
      <c r="Q171" s="120"/>
      <c r="R171" s="120"/>
      <c r="S171" s="120"/>
      <c r="T171" s="221"/>
      <c r="U171" s="89"/>
      <c r="V171" s="61"/>
      <c r="W171" s="92" t="s">
        <v>148</v>
      </c>
      <c r="X171" s="93" t="s">
        <v>29</v>
      </c>
      <c r="Y171" s="93" t="s">
        <v>93</v>
      </c>
      <c r="Z171" s="134">
        <f>VLOOKUP(W171,Sheet2!$B:$D,3,FALSE)</f>
        <v>48</v>
      </c>
      <c r="AA171" s="93">
        <f>AA165</f>
        <v>8.8888888888888893</v>
      </c>
      <c r="AB171" s="93">
        <f>AD171/AC164</f>
        <v>5.3999999999999995</v>
      </c>
      <c r="AC171" s="93">
        <f>AC164/AA171</f>
        <v>49.162499999999994</v>
      </c>
      <c r="AD171" s="94">
        <f t="shared" si="176"/>
        <v>2359.7999999999997</v>
      </c>
      <c r="AE171" s="190"/>
      <c r="AF171" s="191"/>
      <c r="AG171" s="191"/>
      <c r="AH171" s="191"/>
      <c r="AI171" s="186"/>
      <c r="AK171" s="171"/>
    </row>
    <row r="172" spans="1:41" s="102" customFormat="1" ht="19.899999999999999" customHeight="1" x14ac:dyDescent="0.25">
      <c r="A172" s="45"/>
      <c r="B172" s="59"/>
      <c r="C172" s="137"/>
      <c r="D172" s="59"/>
      <c r="E172" s="116"/>
      <c r="F172" s="120"/>
      <c r="G172" s="120"/>
      <c r="H172" s="120"/>
      <c r="I172" s="60"/>
      <c r="J172" s="116"/>
      <c r="K172" s="213"/>
      <c r="L172" s="120"/>
      <c r="M172" s="120"/>
      <c r="N172" s="167"/>
      <c r="O172" s="120"/>
      <c r="P172" s="120"/>
      <c r="Q172" s="120"/>
      <c r="R172" s="120"/>
      <c r="S172" s="120"/>
      <c r="T172" s="221"/>
      <c r="U172" s="89"/>
      <c r="V172" s="61"/>
      <c r="W172" s="92" t="s">
        <v>65</v>
      </c>
      <c r="X172" s="93" t="s">
        <v>30</v>
      </c>
      <c r="Y172" s="93" t="s">
        <v>1011</v>
      </c>
      <c r="Z172" s="134">
        <f>VLOOKUP(W172,Sheet2!$B:$D,3,FALSE)</f>
        <v>1.76</v>
      </c>
      <c r="AA172" s="93">
        <f>AA171/10</f>
        <v>0.88888888888888895</v>
      </c>
      <c r="AB172" s="93">
        <f>AD172/AC164</f>
        <v>1.9799999999999998</v>
      </c>
      <c r="AC172" s="93">
        <f>AC164/AA172</f>
        <v>491.62499999999994</v>
      </c>
      <c r="AD172" s="94">
        <f t="shared" si="176"/>
        <v>865.25999999999988</v>
      </c>
      <c r="AE172" s="190"/>
      <c r="AF172" s="191"/>
      <c r="AG172" s="191"/>
      <c r="AH172" s="191"/>
      <c r="AI172" s="186"/>
      <c r="AK172" s="171"/>
    </row>
    <row r="173" spans="1:41" s="103" customFormat="1" ht="19.899999999999999" customHeight="1" x14ac:dyDescent="0.25">
      <c r="A173" s="51"/>
      <c r="B173" s="52"/>
      <c r="C173" s="165"/>
      <c r="D173" s="52"/>
      <c r="E173" s="115"/>
      <c r="F173" s="58"/>
      <c r="G173" s="58"/>
      <c r="H173" s="58"/>
      <c r="I173" s="55"/>
      <c r="J173" s="113">
        <f>J163</f>
        <v>437</v>
      </c>
      <c r="K173" s="212">
        <f>K163</f>
        <v>437</v>
      </c>
      <c r="L173" s="58"/>
      <c r="M173" s="58">
        <f>K173-L173</f>
        <v>437</v>
      </c>
      <c r="N173" s="166"/>
      <c r="O173" s="58"/>
      <c r="P173" s="58"/>
      <c r="Q173" s="58"/>
      <c r="R173" s="58"/>
      <c r="S173" s="58"/>
      <c r="T173" s="220"/>
      <c r="U173" s="88"/>
      <c r="V173" s="56"/>
      <c r="W173" s="57" t="s">
        <v>1274</v>
      </c>
      <c r="X173" s="53"/>
      <c r="Y173" s="91" t="s">
        <v>35</v>
      </c>
      <c r="Z173" s="136">
        <f>AD173/AC173</f>
        <v>403.2</v>
      </c>
      <c r="AA173" s="58"/>
      <c r="AB173" s="53">
        <f>AD173/AC173</f>
        <v>403.2</v>
      </c>
      <c r="AC173" s="53">
        <f>M173+$AE$10</f>
        <v>437</v>
      </c>
      <c r="AD173" s="54">
        <f>SUM(AD174:AD175)</f>
        <v>176198.39999999999</v>
      </c>
      <c r="AE173" s="184">
        <f>SUMIFS($AD$37:$AD$12971,$V$37:$V$12971,$V173,$X$37:$X$12971,AE$13)</f>
        <v>0</v>
      </c>
      <c r="AF173" s="185">
        <f>SUMIFS($AD$37:$AD$12971,$V$37:$V$12971,$V173,$X$37:$X$12971,AF$13)</f>
        <v>0</v>
      </c>
      <c r="AG173" s="185">
        <f>SUMIFS($AD$37:$AD$12971,$V$37:$V$12971,$V173,$X$37:$X$12971,AG$13)</f>
        <v>0</v>
      </c>
      <c r="AH173" s="187">
        <f>SUMIFS($AD$37:$AD$12971,$V$37:$V$12971,$V173,$X$37:$X$12971,AH$13)</f>
        <v>0</v>
      </c>
      <c r="AI173" s="161">
        <f t="shared" ref="AI173" si="177">SUM(AE173:AH173)</f>
        <v>0</v>
      </c>
      <c r="AK173" s="172"/>
    </row>
    <row r="174" spans="1:41" s="102" customFormat="1" ht="19.899999999999999" customHeight="1" x14ac:dyDescent="0.25">
      <c r="A174" s="45"/>
      <c r="B174" s="59"/>
      <c r="C174" s="137"/>
      <c r="D174" s="59"/>
      <c r="E174" s="116"/>
      <c r="F174" s="120"/>
      <c r="G174" s="120"/>
      <c r="H174" s="120"/>
      <c r="I174" s="60"/>
      <c r="J174" s="116"/>
      <c r="K174" s="213"/>
      <c r="L174" s="120"/>
      <c r="M174" s="120"/>
      <c r="N174" s="167"/>
      <c r="O174" s="120"/>
      <c r="P174" s="120"/>
      <c r="Q174" s="120"/>
      <c r="R174" s="120"/>
      <c r="S174" s="120"/>
      <c r="T174" s="221"/>
      <c r="U174" s="89"/>
      <c r="V174" s="61"/>
      <c r="W174" s="92" t="s">
        <v>1032</v>
      </c>
      <c r="X174" s="93" t="s">
        <v>30</v>
      </c>
      <c r="Y174" s="93" t="s">
        <v>66</v>
      </c>
      <c r="Z174" s="134">
        <f>VLOOKUP(W174,Sheet2!$B:$D,3,FALSE)</f>
        <v>250</v>
      </c>
      <c r="AA174" s="93">
        <f>1/(2.4*1.4*0.3)</f>
        <v>0.99206349206349209</v>
      </c>
      <c r="AB174" s="93">
        <f t="shared" ref="AB174" si="178">AD174/AC173</f>
        <v>252</v>
      </c>
      <c r="AC174" s="93">
        <f>AC173/AA174</f>
        <v>440.49599999999998</v>
      </c>
      <c r="AD174" s="94">
        <f t="shared" ref="AD174:AD175" si="179">AC174*Z174</f>
        <v>110124</v>
      </c>
      <c r="AE174" s="190"/>
      <c r="AF174" s="191"/>
      <c r="AG174" s="191"/>
      <c r="AH174" s="191"/>
      <c r="AI174" s="186"/>
      <c r="AK174" s="171"/>
    </row>
    <row r="175" spans="1:41" s="102" customFormat="1" ht="19.899999999999999" customHeight="1" x14ac:dyDescent="0.25">
      <c r="A175" s="45"/>
      <c r="B175" s="59"/>
      <c r="C175" s="137"/>
      <c r="D175" s="59"/>
      <c r="E175" s="116"/>
      <c r="F175" s="120"/>
      <c r="G175" s="120"/>
      <c r="H175" s="120"/>
      <c r="I175" s="60"/>
      <c r="J175" s="116"/>
      <c r="K175" s="213"/>
      <c r="L175" s="120"/>
      <c r="M175" s="120"/>
      <c r="N175" s="167"/>
      <c r="O175" s="120"/>
      <c r="P175" s="120"/>
      <c r="Q175" s="120"/>
      <c r="R175" s="120"/>
      <c r="S175" s="120"/>
      <c r="T175" s="221"/>
      <c r="U175" s="89"/>
      <c r="V175" s="61"/>
      <c r="W175" s="92" t="s">
        <v>1035</v>
      </c>
      <c r="X175" s="93" t="s">
        <v>32</v>
      </c>
      <c r="Y175" s="93" t="s">
        <v>66</v>
      </c>
      <c r="Z175" s="134">
        <f>VLOOKUP(W175,Sheet2!$B:$D,3,FALSE)</f>
        <v>150</v>
      </c>
      <c r="AA175" s="93">
        <f>AA174</f>
        <v>0.99206349206349209</v>
      </c>
      <c r="AB175" s="93">
        <f>AD175/AC173</f>
        <v>151.19999999999999</v>
      </c>
      <c r="AC175" s="93">
        <f>AC173/AA175</f>
        <v>440.49599999999998</v>
      </c>
      <c r="AD175" s="94">
        <f t="shared" si="179"/>
        <v>66074.399999999994</v>
      </c>
      <c r="AE175" s="190"/>
      <c r="AF175" s="191"/>
      <c r="AG175" s="191"/>
      <c r="AH175" s="191"/>
      <c r="AI175" s="186"/>
      <c r="AK175" s="171"/>
    </row>
    <row r="176" spans="1:41" s="103" customFormat="1" ht="19.899999999999999" customHeight="1" x14ac:dyDescent="0.25">
      <c r="A176" s="51"/>
      <c r="B176" s="52"/>
      <c r="C176" s="165"/>
      <c r="D176" s="52"/>
      <c r="E176" s="115"/>
      <c r="F176" s="58"/>
      <c r="G176" s="58"/>
      <c r="H176" s="58"/>
      <c r="I176" s="55"/>
      <c r="J176" s="113">
        <f>J163</f>
        <v>437</v>
      </c>
      <c r="K176" s="212">
        <f>K163</f>
        <v>437</v>
      </c>
      <c r="L176" s="58"/>
      <c r="M176" s="58">
        <f>K176-L176</f>
        <v>437</v>
      </c>
      <c r="N176" s="166"/>
      <c r="O176" s="58"/>
      <c r="P176" s="58"/>
      <c r="Q176" s="58"/>
      <c r="R176" s="58"/>
      <c r="S176" s="58"/>
      <c r="T176" s="220"/>
      <c r="U176" s="88"/>
      <c r="V176" s="56"/>
      <c r="W176" s="57" t="s">
        <v>1275</v>
      </c>
      <c r="X176" s="53"/>
      <c r="Y176" s="91" t="s">
        <v>35</v>
      </c>
      <c r="Z176" s="136">
        <f>AD176/AC176</f>
        <v>7484</v>
      </c>
      <c r="AA176" s="58"/>
      <c r="AB176" s="53">
        <f>AD176/AC176</f>
        <v>7484</v>
      </c>
      <c r="AC176" s="53">
        <f>M176+$AE$10</f>
        <v>437</v>
      </c>
      <c r="AD176" s="54">
        <f>SUM(AD177:AD178)</f>
        <v>3270508</v>
      </c>
      <c r="AE176" s="184">
        <f>SUMIFS($AD$37:$AD$12971,$V$37:$V$12971,$V176,$X$37:$X$12971,AE$13)</f>
        <v>0</v>
      </c>
      <c r="AF176" s="185">
        <f>SUMIFS($AD$37:$AD$12971,$V$37:$V$12971,$V176,$X$37:$X$12971,AF$13)</f>
        <v>0</v>
      </c>
      <c r="AG176" s="185">
        <f>SUMIFS($AD$37:$AD$12971,$V$37:$V$12971,$V176,$X$37:$X$12971,AG$13)</f>
        <v>0</v>
      </c>
      <c r="AH176" s="187">
        <f>SUMIFS($AD$37:$AD$12971,$V$37:$V$12971,$V176,$X$37:$X$12971,AH$13)</f>
        <v>0</v>
      </c>
      <c r="AI176" s="161">
        <f t="shared" ref="AI176" si="180">SUM(AE176:AH176)</f>
        <v>0</v>
      </c>
      <c r="AK176" s="172"/>
    </row>
    <row r="177" spans="1:37" s="102" customFormat="1" ht="19.899999999999999" customHeight="1" x14ac:dyDescent="0.25">
      <c r="A177" s="45"/>
      <c r="B177" s="59"/>
      <c r="C177" s="137"/>
      <c r="D177" s="59"/>
      <c r="E177" s="116"/>
      <c r="F177" s="120"/>
      <c r="G177" s="120"/>
      <c r="H177" s="120"/>
      <c r="I177" s="60"/>
      <c r="J177" s="116"/>
      <c r="K177" s="213"/>
      <c r="L177" s="120"/>
      <c r="M177" s="120"/>
      <c r="N177" s="167"/>
      <c r="O177" s="120"/>
      <c r="P177" s="120"/>
      <c r="Q177" s="120"/>
      <c r="R177" s="120"/>
      <c r="S177" s="120"/>
      <c r="T177" s="221"/>
      <c r="U177" s="89"/>
      <c r="V177" s="61"/>
      <c r="W177" s="92" t="s">
        <v>1276</v>
      </c>
      <c r="X177" s="93" t="s">
        <v>30</v>
      </c>
      <c r="Y177" s="93" t="s">
        <v>35</v>
      </c>
      <c r="Z177" s="134">
        <f>VLOOKUP(W177,Sheet2!$B:$D,3,FALSE)</f>
        <v>7450</v>
      </c>
      <c r="AA177" s="93">
        <v>1</v>
      </c>
      <c r="AB177" s="93">
        <f t="shared" ref="AB177" si="181">AD177/AC176</f>
        <v>7450</v>
      </c>
      <c r="AC177" s="93">
        <f>AC176/AA177</f>
        <v>437</v>
      </c>
      <c r="AD177" s="94">
        <f t="shared" ref="AD177:AD178" si="182">AC177*Z177</f>
        <v>3255650</v>
      </c>
      <c r="AE177" s="190"/>
      <c r="AF177" s="191"/>
      <c r="AG177" s="191"/>
      <c r="AH177" s="191"/>
      <c r="AI177" s="186"/>
      <c r="AK177" s="171"/>
    </row>
    <row r="178" spans="1:37" s="102" customFormat="1" ht="19.899999999999999" customHeight="1" x14ac:dyDescent="0.25">
      <c r="A178" s="45"/>
      <c r="B178" s="59"/>
      <c r="C178" s="137"/>
      <c r="D178" s="59"/>
      <c r="E178" s="116"/>
      <c r="F178" s="120"/>
      <c r="G178" s="120"/>
      <c r="H178" s="120"/>
      <c r="I178" s="60"/>
      <c r="J178" s="116"/>
      <c r="K178" s="213"/>
      <c r="L178" s="120"/>
      <c r="M178" s="120"/>
      <c r="N178" s="167"/>
      <c r="O178" s="120"/>
      <c r="P178" s="120"/>
      <c r="Q178" s="120"/>
      <c r="R178" s="120"/>
      <c r="S178" s="120"/>
      <c r="T178" s="221"/>
      <c r="U178" s="89"/>
      <c r="V178" s="61"/>
      <c r="W178" s="92" t="s">
        <v>107</v>
      </c>
      <c r="X178" s="93" t="s">
        <v>31</v>
      </c>
      <c r="Y178" s="93" t="s">
        <v>93</v>
      </c>
      <c r="Z178" s="134">
        <f>VLOOKUP(W178,Sheet2!$B:$D,3,FALSE)</f>
        <v>17</v>
      </c>
      <c r="AA178" s="93">
        <f>AA177/2</f>
        <v>0.5</v>
      </c>
      <c r="AB178" s="93">
        <f>AD178/AC176</f>
        <v>34</v>
      </c>
      <c r="AC178" s="93">
        <f>AC176/AA178</f>
        <v>874</v>
      </c>
      <c r="AD178" s="94">
        <f t="shared" si="182"/>
        <v>14858</v>
      </c>
      <c r="AE178" s="190"/>
      <c r="AF178" s="191"/>
      <c r="AG178" s="191"/>
      <c r="AH178" s="191"/>
      <c r="AI178" s="186"/>
      <c r="AK178" s="171"/>
    </row>
    <row r="179" spans="1:37" s="103" customFormat="1" ht="19.899999999999999" customHeight="1" x14ac:dyDescent="0.25">
      <c r="A179" s="51"/>
      <c r="B179" s="52"/>
      <c r="C179" s="165"/>
      <c r="D179" s="52"/>
      <c r="E179" s="115"/>
      <c r="F179" s="58"/>
      <c r="G179" s="58"/>
      <c r="H179" s="58"/>
      <c r="I179" s="55"/>
      <c r="J179" s="113">
        <f>J163</f>
        <v>437</v>
      </c>
      <c r="K179" s="212">
        <f>K163</f>
        <v>437</v>
      </c>
      <c r="L179" s="58"/>
      <c r="M179" s="58">
        <f>K179-L179</f>
        <v>437</v>
      </c>
      <c r="N179" s="166"/>
      <c r="O179" s="58"/>
      <c r="P179" s="58"/>
      <c r="Q179" s="58"/>
      <c r="R179" s="58"/>
      <c r="S179" s="58"/>
      <c r="T179" s="220"/>
      <c r="U179" s="88"/>
      <c r="V179" s="56"/>
      <c r="W179" s="57" t="s">
        <v>1278</v>
      </c>
      <c r="X179" s="53"/>
      <c r="Y179" s="91" t="s">
        <v>35</v>
      </c>
      <c r="Z179" s="136">
        <f>AD179/AC179</f>
        <v>98.092517647058813</v>
      </c>
      <c r="AA179" s="58"/>
      <c r="AB179" s="53">
        <f>AD179/AC179</f>
        <v>98.092517647058813</v>
      </c>
      <c r="AC179" s="53">
        <f>M179+$AE$10</f>
        <v>437</v>
      </c>
      <c r="AD179" s="54">
        <f>SUM(AD180:AD190)</f>
        <v>42866.430211764702</v>
      </c>
      <c r="AE179" s="184">
        <f>SUMIFS($AD$37:$AD$12971,$V$37:$V$12971,$V179,$X$37:$X$12971,AE$13)</f>
        <v>0</v>
      </c>
      <c r="AF179" s="185">
        <f>SUMIFS($AD$37:$AD$12971,$V$37:$V$12971,$V179,$X$37:$X$12971,AF$13)</f>
        <v>0</v>
      </c>
      <c r="AG179" s="185">
        <f>SUMIFS($AD$37:$AD$12971,$V$37:$V$12971,$V179,$X$37:$X$12971,AG$13)</f>
        <v>0</v>
      </c>
      <c r="AH179" s="187">
        <f>SUMIFS($AD$37:$AD$12971,$V$37:$V$12971,$V179,$X$37:$X$12971,AH$13)</f>
        <v>0</v>
      </c>
      <c r="AI179" s="161">
        <f t="shared" ref="AI179" si="183">SUM(AE179:AH179)</f>
        <v>0</v>
      </c>
      <c r="AK179" s="172"/>
    </row>
    <row r="180" spans="1:37" s="102" customFormat="1" ht="19.899999999999999" customHeight="1" x14ac:dyDescent="0.25">
      <c r="A180" s="45"/>
      <c r="B180" s="59"/>
      <c r="C180" s="137"/>
      <c r="D180" s="59"/>
      <c r="E180" s="116"/>
      <c r="F180" s="120"/>
      <c r="G180" s="120"/>
      <c r="H180" s="120"/>
      <c r="I180" s="60"/>
      <c r="J180" s="116"/>
      <c r="K180" s="213"/>
      <c r="L180" s="120"/>
      <c r="M180" s="120"/>
      <c r="N180" s="167"/>
      <c r="O180" s="120"/>
      <c r="P180" s="120"/>
      <c r="Q180" s="120"/>
      <c r="R180" s="120"/>
      <c r="S180" s="120"/>
      <c r="T180" s="221"/>
      <c r="U180" s="89"/>
      <c r="V180" s="61"/>
      <c r="W180" s="92" t="s">
        <v>1273</v>
      </c>
      <c r="X180" s="93" t="s">
        <v>30</v>
      </c>
      <c r="Y180" s="93" t="s">
        <v>66</v>
      </c>
      <c r="Z180" s="134">
        <f>VLOOKUP(W180,Sheet2!$B:$D,3,FALSE)</f>
        <v>10</v>
      </c>
      <c r="AA180" s="93">
        <f>1/6</f>
        <v>0.16666666666666666</v>
      </c>
      <c r="AB180" s="93">
        <f>AD180/AC179</f>
        <v>60</v>
      </c>
      <c r="AC180" s="93">
        <f>AC179/AA180</f>
        <v>2622</v>
      </c>
      <c r="AD180" s="94">
        <f t="shared" ref="AD180:AD182" si="184">AC180*Z180</f>
        <v>26220</v>
      </c>
      <c r="AE180" s="190"/>
      <c r="AF180" s="191"/>
      <c r="AG180" s="191"/>
      <c r="AH180" s="191"/>
      <c r="AI180" s="186"/>
      <c r="AK180" s="171"/>
    </row>
    <row r="181" spans="1:37" s="102" customFormat="1" ht="19.899999999999999" customHeight="1" x14ac:dyDescent="0.25">
      <c r="A181" s="45"/>
      <c r="B181" s="59"/>
      <c r="C181" s="137"/>
      <c r="D181" s="59"/>
      <c r="E181" s="116"/>
      <c r="F181" s="120"/>
      <c r="G181" s="120"/>
      <c r="H181" s="120"/>
      <c r="I181" s="60"/>
      <c r="J181" s="116"/>
      <c r="K181" s="213"/>
      <c r="L181" s="120"/>
      <c r="M181" s="120"/>
      <c r="N181" s="167"/>
      <c r="O181" s="120"/>
      <c r="P181" s="120"/>
      <c r="Q181" s="120"/>
      <c r="R181" s="120"/>
      <c r="S181" s="120"/>
      <c r="T181" s="221"/>
      <c r="U181" s="89"/>
      <c r="V181" s="61"/>
      <c r="W181" s="92" t="s">
        <v>134</v>
      </c>
      <c r="X181" s="93" t="s">
        <v>29</v>
      </c>
      <c r="Y181" s="93" t="s">
        <v>93</v>
      </c>
      <c r="Z181" s="134">
        <f>VLOOKUP(W181,Sheet2!$B:$D,3,FALSE)</f>
        <v>65.599999999999994</v>
      </c>
      <c r="AA181" s="93">
        <f>100/6</f>
        <v>16.666666666666668</v>
      </c>
      <c r="AB181" s="93">
        <f t="shared" ref="AB181" si="185">AD181/AC179</f>
        <v>3.9359999999999995</v>
      </c>
      <c r="AC181" s="93">
        <f>AC179/AA181</f>
        <v>26.22</v>
      </c>
      <c r="AD181" s="94">
        <f t="shared" si="184"/>
        <v>1720.0319999999997</v>
      </c>
      <c r="AE181" s="190"/>
      <c r="AF181" s="191"/>
      <c r="AG181" s="191"/>
      <c r="AH181" s="191"/>
      <c r="AI181" s="186"/>
      <c r="AK181" s="171"/>
    </row>
    <row r="182" spans="1:37" s="102" customFormat="1" ht="19.899999999999999" customHeight="1" x14ac:dyDescent="0.25">
      <c r="A182" s="45"/>
      <c r="B182" s="59"/>
      <c r="C182" s="137"/>
      <c r="D182" s="59"/>
      <c r="E182" s="116"/>
      <c r="F182" s="120"/>
      <c r="G182" s="120"/>
      <c r="H182" s="120"/>
      <c r="I182" s="60"/>
      <c r="J182" s="116"/>
      <c r="K182" s="213"/>
      <c r="L182" s="120"/>
      <c r="M182" s="120"/>
      <c r="N182" s="167"/>
      <c r="O182" s="120"/>
      <c r="P182" s="120"/>
      <c r="Q182" s="120"/>
      <c r="R182" s="120"/>
      <c r="S182" s="120"/>
      <c r="T182" s="221"/>
      <c r="U182" s="89"/>
      <c r="V182" s="61"/>
      <c r="W182" s="92" t="s">
        <v>65</v>
      </c>
      <c r="X182" s="93" t="s">
        <v>30</v>
      </c>
      <c r="Y182" s="93" t="s">
        <v>1011</v>
      </c>
      <c r="Z182" s="134">
        <f>VLOOKUP(W182,Sheet2!$B:$D,3,FALSE)</f>
        <v>1.76</v>
      </c>
      <c r="AA182" s="93">
        <f>AA181/9</f>
        <v>1.8518518518518521</v>
      </c>
      <c r="AB182" s="93">
        <f>AD182/AC179</f>
        <v>0.9503999999999998</v>
      </c>
      <c r="AC182" s="93">
        <f>AC179/AA182</f>
        <v>235.97999999999996</v>
      </c>
      <c r="AD182" s="94">
        <f t="shared" si="184"/>
        <v>415.32479999999993</v>
      </c>
      <c r="AE182" s="190"/>
      <c r="AF182" s="191"/>
      <c r="AG182" s="191"/>
      <c r="AH182" s="191"/>
      <c r="AI182" s="186"/>
      <c r="AK182" s="171"/>
    </row>
    <row r="183" spans="1:37" s="102" customFormat="1" ht="19.899999999999999" customHeight="1" x14ac:dyDescent="0.25">
      <c r="A183" s="45"/>
      <c r="B183" s="59"/>
      <c r="C183" s="137"/>
      <c r="D183" s="59"/>
      <c r="E183" s="116"/>
      <c r="F183" s="120"/>
      <c r="G183" s="120"/>
      <c r="H183" s="120"/>
      <c r="I183" s="60"/>
      <c r="J183" s="116"/>
      <c r="K183" s="213"/>
      <c r="L183" s="120"/>
      <c r="M183" s="120"/>
      <c r="N183" s="167"/>
      <c r="O183" s="120"/>
      <c r="P183" s="120"/>
      <c r="Q183" s="120"/>
      <c r="R183" s="120"/>
      <c r="S183" s="120"/>
      <c r="T183" s="221"/>
      <c r="U183" s="89"/>
      <c r="V183" s="61"/>
      <c r="W183" s="92" t="s">
        <v>161</v>
      </c>
      <c r="X183" s="93" t="s">
        <v>29</v>
      </c>
      <c r="Y183" s="93" t="s">
        <v>93</v>
      </c>
      <c r="Z183" s="134">
        <f>VLOOKUP(W183,Sheet2!$B:$D,3,FALSE)</f>
        <v>48</v>
      </c>
      <c r="AA183" s="93">
        <f>(16*0.85*1.5)/(6)</f>
        <v>3.4</v>
      </c>
      <c r="AB183" s="93">
        <f>AD183/AC179</f>
        <v>14.117647058823531</v>
      </c>
      <c r="AC183" s="93">
        <f>AC179/AA183</f>
        <v>128.52941176470588</v>
      </c>
      <c r="AD183" s="94">
        <f>AC183*Z183</f>
        <v>6169.4117647058829</v>
      </c>
      <c r="AE183" s="190"/>
      <c r="AF183" s="191"/>
      <c r="AG183" s="191"/>
      <c r="AH183" s="191"/>
      <c r="AI183" s="186"/>
      <c r="AK183" s="171"/>
    </row>
    <row r="184" spans="1:37" s="102" customFormat="1" ht="19.899999999999999" customHeight="1" x14ac:dyDescent="0.25">
      <c r="A184" s="45"/>
      <c r="B184" s="59"/>
      <c r="C184" s="137"/>
      <c r="D184" s="59"/>
      <c r="E184" s="116"/>
      <c r="F184" s="120"/>
      <c r="G184" s="120"/>
      <c r="H184" s="120"/>
      <c r="I184" s="60"/>
      <c r="J184" s="116"/>
      <c r="K184" s="213"/>
      <c r="L184" s="120"/>
      <c r="M184" s="120"/>
      <c r="N184" s="167"/>
      <c r="O184" s="120"/>
      <c r="P184" s="120"/>
      <c r="Q184" s="120"/>
      <c r="R184" s="120"/>
      <c r="S184" s="120"/>
      <c r="T184" s="221"/>
      <c r="U184" s="89"/>
      <c r="V184" s="61"/>
      <c r="W184" s="92" t="s">
        <v>65</v>
      </c>
      <c r="X184" s="93" t="s">
        <v>30</v>
      </c>
      <c r="Y184" s="93" t="s">
        <v>1011</v>
      </c>
      <c r="Z184" s="134">
        <f>VLOOKUP(W184,Sheet2!$B:$D,3,FALSE)</f>
        <v>1.76</v>
      </c>
      <c r="AA184" s="93">
        <f>AA183/10</f>
        <v>0.33999999999999997</v>
      </c>
      <c r="AB184" s="93">
        <f>AD184/AC179</f>
        <v>5.1764705882352953</v>
      </c>
      <c r="AC184" s="93">
        <f>AC179/AA184</f>
        <v>1285.294117647059</v>
      </c>
      <c r="AD184" s="94">
        <f>AC184*Z184</f>
        <v>2262.1176470588239</v>
      </c>
      <c r="AE184" s="190"/>
      <c r="AF184" s="191"/>
      <c r="AG184" s="191"/>
      <c r="AH184" s="191"/>
      <c r="AI184" s="186"/>
      <c r="AK184" s="171"/>
    </row>
    <row r="185" spans="1:37" s="102" customFormat="1" ht="19.899999999999999" customHeight="1" x14ac:dyDescent="0.25">
      <c r="A185" s="45"/>
      <c r="B185" s="59"/>
      <c r="C185" s="137"/>
      <c r="D185" s="59"/>
      <c r="E185" s="116"/>
      <c r="F185" s="120"/>
      <c r="G185" s="120"/>
      <c r="H185" s="120"/>
      <c r="I185" s="60"/>
      <c r="J185" s="116"/>
      <c r="K185" s="213"/>
      <c r="L185" s="120"/>
      <c r="M185" s="120"/>
      <c r="N185" s="167"/>
      <c r="O185" s="120"/>
      <c r="P185" s="120"/>
      <c r="Q185" s="120"/>
      <c r="R185" s="120"/>
      <c r="S185" s="120"/>
      <c r="T185" s="221"/>
      <c r="U185" s="89"/>
      <c r="V185" s="61"/>
      <c r="W185" s="92" t="s">
        <v>173</v>
      </c>
      <c r="X185" s="93" t="s">
        <v>29</v>
      </c>
      <c r="Y185" s="93" t="s">
        <v>93</v>
      </c>
      <c r="Z185" s="134">
        <f>VLOOKUP(W185,Sheet2!$B:$D,3,FALSE)</f>
        <v>36</v>
      </c>
      <c r="AA185" s="93">
        <f>50/6</f>
        <v>8.3333333333333339</v>
      </c>
      <c r="AB185" s="93">
        <f>AD185/AC179</f>
        <v>4.3199999999999994</v>
      </c>
      <c r="AC185" s="93">
        <f>AC179/AA185</f>
        <v>52.44</v>
      </c>
      <c r="AD185" s="94">
        <f>AC185*Z185</f>
        <v>1887.84</v>
      </c>
      <c r="AE185" s="190"/>
      <c r="AF185" s="191"/>
      <c r="AG185" s="191"/>
      <c r="AH185" s="191"/>
      <c r="AI185" s="186"/>
      <c r="AK185" s="171"/>
    </row>
    <row r="186" spans="1:37" s="102" customFormat="1" ht="19.899999999999999" customHeight="1" x14ac:dyDescent="0.25">
      <c r="A186" s="45"/>
      <c r="B186" s="59"/>
      <c r="C186" s="137"/>
      <c r="D186" s="59"/>
      <c r="E186" s="116"/>
      <c r="F186" s="120"/>
      <c r="G186" s="120"/>
      <c r="H186" s="120"/>
      <c r="I186" s="60"/>
      <c r="J186" s="116"/>
      <c r="K186" s="213"/>
      <c r="L186" s="120"/>
      <c r="M186" s="120"/>
      <c r="N186" s="167"/>
      <c r="O186" s="120"/>
      <c r="P186" s="120"/>
      <c r="Q186" s="120"/>
      <c r="R186" s="120"/>
      <c r="S186" s="120"/>
      <c r="T186" s="221"/>
      <c r="U186" s="89"/>
      <c r="V186" s="61"/>
      <c r="W186" s="92" t="s">
        <v>65</v>
      </c>
      <c r="X186" s="93" t="s">
        <v>30</v>
      </c>
      <c r="Y186" s="93" t="s">
        <v>1011</v>
      </c>
      <c r="Z186" s="134">
        <f>VLOOKUP(W186,Sheet2!$B:$D,3,FALSE)</f>
        <v>1.76</v>
      </c>
      <c r="AA186" s="93">
        <f>AA185/9</f>
        <v>0.92592592592592604</v>
      </c>
      <c r="AB186" s="93">
        <f>AD186/AC179</f>
        <v>1.9007999999999996</v>
      </c>
      <c r="AC186" s="93">
        <f>AC179/AA186</f>
        <v>471.95999999999992</v>
      </c>
      <c r="AD186" s="94">
        <f>AC186*Z186</f>
        <v>830.64959999999985</v>
      </c>
      <c r="AE186" s="190"/>
      <c r="AF186" s="191"/>
      <c r="AG186" s="191"/>
      <c r="AH186" s="191"/>
      <c r="AI186" s="186"/>
      <c r="AK186" s="171"/>
    </row>
    <row r="187" spans="1:37" s="102" customFormat="1" ht="19.899999999999999" customHeight="1" x14ac:dyDescent="0.25">
      <c r="A187" s="45"/>
      <c r="B187" s="59"/>
      <c r="C187" s="137"/>
      <c r="D187" s="59"/>
      <c r="E187" s="116"/>
      <c r="F187" s="120"/>
      <c r="G187" s="120"/>
      <c r="H187" s="120"/>
      <c r="I187" s="60"/>
      <c r="J187" s="116"/>
      <c r="K187" s="213"/>
      <c r="L187" s="120"/>
      <c r="M187" s="120"/>
      <c r="N187" s="167"/>
      <c r="O187" s="120"/>
      <c r="P187" s="120"/>
      <c r="Q187" s="120"/>
      <c r="R187" s="120"/>
      <c r="S187" s="120"/>
      <c r="T187" s="221"/>
      <c r="U187" s="89"/>
      <c r="V187" s="61"/>
      <c r="W187" s="92" t="s">
        <v>148</v>
      </c>
      <c r="X187" s="93" t="s">
        <v>29</v>
      </c>
      <c r="Y187" s="93" t="s">
        <v>93</v>
      </c>
      <c r="Z187" s="134">
        <f>VLOOKUP(W187,Sheet2!$B:$D,3,FALSE)</f>
        <v>48</v>
      </c>
      <c r="AA187" s="93">
        <v>10</v>
      </c>
      <c r="AB187" s="93">
        <f>AD187/AC179</f>
        <v>4.8000000000000007</v>
      </c>
      <c r="AC187" s="93">
        <f>AC179/AA187</f>
        <v>43.7</v>
      </c>
      <c r="AD187" s="94">
        <f t="shared" ref="AD187:AD188" si="186">AC187*Z187</f>
        <v>2097.6000000000004</v>
      </c>
      <c r="AE187" s="190"/>
      <c r="AF187" s="191"/>
      <c r="AG187" s="191"/>
      <c r="AH187" s="191"/>
      <c r="AI187" s="186"/>
      <c r="AK187" s="171"/>
    </row>
    <row r="188" spans="1:37" s="102" customFormat="1" ht="19.899999999999999" customHeight="1" x14ac:dyDescent="0.25">
      <c r="A188" s="45"/>
      <c r="B188" s="59"/>
      <c r="C188" s="137"/>
      <c r="D188" s="59"/>
      <c r="E188" s="116"/>
      <c r="F188" s="120"/>
      <c r="G188" s="120"/>
      <c r="H188" s="120"/>
      <c r="I188" s="60"/>
      <c r="J188" s="116"/>
      <c r="K188" s="213"/>
      <c r="L188" s="120"/>
      <c r="M188" s="120"/>
      <c r="N188" s="167"/>
      <c r="O188" s="120"/>
      <c r="P188" s="120"/>
      <c r="Q188" s="120"/>
      <c r="R188" s="120"/>
      <c r="S188" s="120"/>
      <c r="T188" s="221"/>
      <c r="U188" s="89"/>
      <c r="V188" s="61"/>
      <c r="W188" s="92" t="s">
        <v>65</v>
      </c>
      <c r="X188" s="93" t="s">
        <v>30</v>
      </c>
      <c r="Y188" s="93" t="s">
        <v>1011</v>
      </c>
      <c r="Z188" s="134">
        <f>VLOOKUP(W188,Sheet2!$B:$D,3,FALSE)</f>
        <v>1.76</v>
      </c>
      <c r="AA188" s="93">
        <f>AA187/10</f>
        <v>1</v>
      </c>
      <c r="AB188" s="93">
        <f>AD188/AC179</f>
        <v>1.76</v>
      </c>
      <c r="AC188" s="93">
        <f>AC179/AA188</f>
        <v>437</v>
      </c>
      <c r="AD188" s="94">
        <f t="shared" si="186"/>
        <v>769.12</v>
      </c>
      <c r="AE188" s="190"/>
      <c r="AF188" s="191"/>
      <c r="AG188" s="191"/>
      <c r="AH188" s="191"/>
      <c r="AI188" s="186"/>
      <c r="AK188" s="171"/>
    </row>
    <row r="189" spans="1:37" s="102" customFormat="1" ht="19.899999999999999" customHeight="1" x14ac:dyDescent="0.25">
      <c r="A189" s="45"/>
      <c r="B189" s="59"/>
      <c r="C189" s="137"/>
      <c r="D189" s="59"/>
      <c r="E189" s="116"/>
      <c r="F189" s="120"/>
      <c r="G189" s="120"/>
      <c r="H189" s="120"/>
      <c r="I189" s="60"/>
      <c r="J189" s="116"/>
      <c r="K189" s="213"/>
      <c r="L189" s="120"/>
      <c r="M189" s="120"/>
      <c r="N189" s="167"/>
      <c r="O189" s="120"/>
      <c r="P189" s="120"/>
      <c r="Q189" s="120"/>
      <c r="R189" s="120"/>
      <c r="S189" s="120"/>
      <c r="T189" s="221"/>
      <c r="U189" s="89"/>
      <c r="V189" s="61"/>
      <c r="W189" s="92" t="s">
        <v>1030</v>
      </c>
      <c r="X189" s="93" t="s">
        <v>29</v>
      </c>
      <c r="Y189" s="93" t="s">
        <v>93</v>
      </c>
      <c r="Z189" s="134">
        <f>VLOOKUP(W189,Sheet2!$B:$D,3,FALSE)</f>
        <v>23</v>
      </c>
      <c r="AA189" s="93">
        <v>25</v>
      </c>
      <c r="AB189" s="93">
        <f>AD189/AC179</f>
        <v>0.92</v>
      </c>
      <c r="AC189" s="93">
        <f>AC179/AA189</f>
        <v>17.48</v>
      </c>
      <c r="AD189" s="94">
        <f t="shared" ref="AD189:AD190" si="187">AC189*Z189</f>
        <v>402.04</v>
      </c>
      <c r="AE189" s="190"/>
      <c r="AF189" s="191"/>
      <c r="AG189" s="191"/>
      <c r="AH189" s="191"/>
      <c r="AI189" s="186"/>
      <c r="AK189" s="171"/>
    </row>
    <row r="190" spans="1:37" s="102" customFormat="1" ht="19.899999999999999" customHeight="1" x14ac:dyDescent="0.25">
      <c r="A190" s="45"/>
      <c r="B190" s="59"/>
      <c r="C190" s="137"/>
      <c r="D190" s="59"/>
      <c r="E190" s="116"/>
      <c r="F190" s="120"/>
      <c r="G190" s="120"/>
      <c r="H190" s="120"/>
      <c r="I190" s="60"/>
      <c r="J190" s="116"/>
      <c r="K190" s="213"/>
      <c r="L190" s="120"/>
      <c r="M190" s="120"/>
      <c r="N190" s="167"/>
      <c r="O190" s="120"/>
      <c r="P190" s="120"/>
      <c r="Q190" s="120"/>
      <c r="R190" s="120"/>
      <c r="S190" s="120"/>
      <c r="T190" s="221"/>
      <c r="U190" s="89"/>
      <c r="V190" s="61"/>
      <c r="W190" s="92" t="s">
        <v>65</v>
      </c>
      <c r="X190" s="93" t="s">
        <v>30</v>
      </c>
      <c r="Y190" s="93" t="s">
        <v>1011</v>
      </c>
      <c r="Z190" s="134">
        <f>VLOOKUP(W190,Sheet2!$B:$D,3,FALSE)</f>
        <v>1.76</v>
      </c>
      <c r="AA190" s="93">
        <f>AA189/3</f>
        <v>8.3333333333333339</v>
      </c>
      <c r="AB190" s="93">
        <f>AD190/AC179</f>
        <v>0.2112</v>
      </c>
      <c r="AC190" s="93">
        <f>AC179/AA190</f>
        <v>52.44</v>
      </c>
      <c r="AD190" s="94">
        <f t="shared" si="187"/>
        <v>92.294399999999996</v>
      </c>
      <c r="AE190" s="190"/>
      <c r="AF190" s="191"/>
      <c r="AG190" s="191"/>
      <c r="AH190" s="191"/>
      <c r="AI190" s="186"/>
      <c r="AK190" s="171"/>
    </row>
    <row r="191" spans="1:37" s="306" customFormat="1" ht="20.100000000000001" customHeight="1" x14ac:dyDescent="0.25">
      <c r="A191" s="287" t="s">
        <v>216</v>
      </c>
      <c r="B191" s="288"/>
      <c r="C191" s="310" t="s">
        <v>217</v>
      </c>
      <c r="D191" s="289"/>
      <c r="E191" s="290"/>
      <c r="F191" s="291"/>
      <c r="G191" s="291">
        <f t="shared" si="127"/>
        <v>0</v>
      </c>
      <c r="H191" s="291">
        <f t="shared" si="128"/>
        <v>0</v>
      </c>
      <c r="I191" s="292">
        <f t="shared" si="129"/>
        <v>0</v>
      </c>
      <c r="J191" s="290">
        <f t="shared" si="130"/>
        <v>0</v>
      </c>
      <c r="K191" s="293">
        <f t="shared" si="131"/>
        <v>0</v>
      </c>
      <c r="L191" s="291"/>
      <c r="M191" s="291">
        <f t="shared" si="132"/>
        <v>0</v>
      </c>
      <c r="N191" s="294">
        <f t="shared" si="133"/>
        <v>0</v>
      </c>
      <c r="O191" s="291">
        <f t="shared" si="134"/>
        <v>0</v>
      </c>
      <c r="P191" s="291">
        <f t="shared" si="135"/>
        <v>0</v>
      </c>
      <c r="Q191" s="291">
        <f t="shared" si="136"/>
        <v>0</v>
      </c>
      <c r="R191" s="291">
        <f t="shared" si="137"/>
        <v>0</v>
      </c>
      <c r="S191" s="291"/>
      <c r="T191" s="295">
        <f t="shared" si="138"/>
        <v>0</v>
      </c>
      <c r="U191" s="296"/>
      <c r="V191" s="297"/>
      <c r="W191" s="298"/>
      <c r="X191" s="299"/>
      <c r="Y191" s="300"/>
      <c r="Z191" s="301"/>
      <c r="AA191" s="300"/>
      <c r="AB191" s="300">
        <f t="shared" si="139"/>
        <v>0</v>
      </c>
      <c r="AC191" s="300">
        <f t="shared" si="140"/>
        <v>9.9999999999999998E-20</v>
      </c>
      <c r="AD191" s="302"/>
      <c r="AE191" s="303"/>
      <c r="AF191" s="304"/>
      <c r="AG191" s="304"/>
      <c r="AH191" s="304"/>
      <c r="AI191" s="305"/>
      <c r="AK191" s="307"/>
    </row>
    <row r="192" spans="1:37" s="306" customFormat="1" ht="137.25" customHeight="1" x14ac:dyDescent="0.25">
      <c r="A192" s="287" t="s">
        <v>216</v>
      </c>
      <c r="B192" s="288"/>
      <c r="C192" s="286" t="s">
        <v>218</v>
      </c>
      <c r="D192" s="289"/>
      <c r="E192" s="290"/>
      <c r="F192" s="291"/>
      <c r="G192" s="291">
        <f t="shared" si="127"/>
        <v>0</v>
      </c>
      <c r="H192" s="291">
        <f t="shared" si="128"/>
        <v>0</v>
      </c>
      <c r="I192" s="292">
        <f t="shared" si="129"/>
        <v>0</v>
      </c>
      <c r="J192" s="290">
        <f t="shared" si="130"/>
        <v>0</v>
      </c>
      <c r="K192" s="293">
        <f t="shared" si="131"/>
        <v>0</v>
      </c>
      <c r="L192" s="291"/>
      <c r="M192" s="291">
        <f t="shared" si="132"/>
        <v>0</v>
      </c>
      <c r="N192" s="294">
        <f t="shared" si="133"/>
        <v>0</v>
      </c>
      <c r="O192" s="291">
        <f t="shared" si="134"/>
        <v>0</v>
      </c>
      <c r="P192" s="291">
        <f t="shared" si="135"/>
        <v>0</v>
      </c>
      <c r="Q192" s="291">
        <f t="shared" si="136"/>
        <v>0</v>
      </c>
      <c r="R192" s="291">
        <f t="shared" si="137"/>
        <v>0</v>
      </c>
      <c r="S192" s="291"/>
      <c r="T192" s="295">
        <f t="shared" si="138"/>
        <v>0</v>
      </c>
      <c r="U192" s="296"/>
      <c r="V192" s="297"/>
      <c r="W192" s="298"/>
      <c r="X192" s="299"/>
      <c r="Y192" s="300"/>
      <c r="Z192" s="301"/>
      <c r="AA192" s="300"/>
      <c r="AB192" s="300">
        <f t="shared" si="139"/>
        <v>0</v>
      </c>
      <c r="AC192" s="300">
        <f t="shared" si="140"/>
        <v>9.9999999999999998E-20</v>
      </c>
      <c r="AD192" s="302"/>
      <c r="AE192" s="303"/>
      <c r="AF192" s="304"/>
      <c r="AG192" s="304"/>
      <c r="AH192" s="304"/>
      <c r="AI192" s="305"/>
      <c r="AK192" s="307"/>
    </row>
    <row r="193" spans="1:41" ht="20.100000000000001" customHeight="1" x14ac:dyDescent="0.25">
      <c r="A193" s="277" t="s">
        <v>216</v>
      </c>
      <c r="B193" s="278"/>
      <c r="C193" s="64" t="s">
        <v>219</v>
      </c>
      <c r="D193" s="46" t="s">
        <v>97</v>
      </c>
      <c r="E193" s="114">
        <v>4087.2532749999991</v>
      </c>
      <c r="F193" s="44">
        <v>252</v>
      </c>
      <c r="G193" s="44">
        <f t="shared" si="127"/>
        <v>1029987.8252999998</v>
      </c>
      <c r="H193" s="44">
        <f t="shared" si="128"/>
        <v>128.16606274509803</v>
      </c>
      <c r="I193" s="43">
        <f t="shared" si="129"/>
        <v>523847.15969875728</v>
      </c>
      <c r="J193" s="112">
        <f t="shared" si="130"/>
        <v>4087.2532749999991</v>
      </c>
      <c r="K193" s="211">
        <f t="shared" si="131"/>
        <v>4087.2532749999991</v>
      </c>
      <c r="L193" s="44"/>
      <c r="M193" s="44">
        <f t="shared" si="132"/>
        <v>4087.2532749999991</v>
      </c>
      <c r="N193" s="173">
        <f t="shared" si="133"/>
        <v>1</v>
      </c>
      <c r="O193" s="44">
        <f t="shared" si="134"/>
        <v>252</v>
      </c>
      <c r="P193" s="44">
        <f t="shared" si="135"/>
        <v>1029987.8252999998</v>
      </c>
      <c r="Q193" s="44">
        <f t="shared" si="136"/>
        <v>128.16606274509803</v>
      </c>
      <c r="R193" s="44">
        <f t="shared" si="137"/>
        <v>523847.15969875728</v>
      </c>
      <c r="S193" s="123"/>
      <c r="T193" s="219">
        <f t="shared" si="138"/>
        <v>523847.15969875728</v>
      </c>
      <c r="U193" s="87"/>
      <c r="V193" s="47"/>
      <c r="W193" s="48"/>
      <c r="X193" s="48"/>
      <c r="Y193" s="48"/>
      <c r="Z193" s="135"/>
      <c r="AA193" s="49"/>
      <c r="AB193" s="50">
        <f t="shared" si="139"/>
        <v>128.16606274509803</v>
      </c>
      <c r="AC193" s="42">
        <f t="shared" si="140"/>
        <v>4087.2532749999991</v>
      </c>
      <c r="AD193" s="90">
        <f>AD194+AD203+AD209</f>
        <v>523847.15969875734</v>
      </c>
      <c r="AE193" s="188">
        <f t="shared" ref="AE193:AH193" si="188">AE194+AE203+AE209</f>
        <v>0</v>
      </c>
      <c r="AF193" s="189">
        <f t="shared" si="188"/>
        <v>0</v>
      </c>
      <c r="AG193" s="189">
        <f t="shared" si="188"/>
        <v>0</v>
      </c>
      <c r="AH193" s="189">
        <f t="shared" si="188"/>
        <v>0</v>
      </c>
      <c r="AI193" s="161">
        <f t="shared" ref="AI193" si="189">SUM(AE193:AH193)</f>
        <v>0</v>
      </c>
      <c r="AK193" s="169">
        <v>5</v>
      </c>
      <c r="AO193" s="19" t="s">
        <v>63</v>
      </c>
    </row>
    <row r="194" spans="1:41" s="103" customFormat="1" ht="19.899999999999999" customHeight="1" x14ac:dyDescent="0.25">
      <c r="A194" s="51"/>
      <c r="B194" s="52"/>
      <c r="C194" s="165"/>
      <c r="D194" s="52"/>
      <c r="E194" s="115"/>
      <c r="F194" s="58"/>
      <c r="G194" s="58"/>
      <c r="H194" s="58"/>
      <c r="I194" s="55"/>
      <c r="J194" s="113">
        <f>J193</f>
        <v>4087.2532749999991</v>
      </c>
      <c r="K194" s="212">
        <f>K193</f>
        <v>4087.2532749999991</v>
      </c>
      <c r="L194" s="58"/>
      <c r="M194" s="58">
        <f>K194-L194</f>
        <v>4087.2532749999991</v>
      </c>
      <c r="N194" s="166"/>
      <c r="O194" s="58"/>
      <c r="P194" s="58"/>
      <c r="Q194" s="58"/>
      <c r="R194" s="58"/>
      <c r="S194" s="58"/>
      <c r="T194" s="220"/>
      <c r="U194" s="88"/>
      <c r="V194" s="56"/>
      <c r="W194" s="57" t="s">
        <v>1042</v>
      </c>
      <c r="X194" s="53"/>
      <c r="Y194" s="91" t="s">
        <v>68</v>
      </c>
      <c r="Z194" s="136">
        <f>AD194/AC194</f>
        <v>7.5827294117647046</v>
      </c>
      <c r="AA194" s="58"/>
      <c r="AB194" s="53">
        <f>AD194/AC194</f>
        <v>7.5827294117647046</v>
      </c>
      <c r="AC194" s="53">
        <f>M194+$AE$10</f>
        <v>4087.2532749999991</v>
      </c>
      <c r="AD194" s="54">
        <f>SUM(AD195:AD202)</f>
        <v>30992.535621674106</v>
      </c>
      <c r="AE194" s="184">
        <f>SUMIFS($AD$37:$AD$12971,$V$37:$V$12971,$V194,$X$37:$X$12971,AE$13)</f>
        <v>0</v>
      </c>
      <c r="AF194" s="185">
        <f>SUMIFS($AD$37:$AD$12971,$V$37:$V$12971,$V194,$X$37:$X$12971,AF$13)</f>
        <v>0</v>
      </c>
      <c r="AG194" s="185">
        <f>SUMIFS($AD$37:$AD$12971,$V$37:$V$12971,$V194,$X$37:$X$12971,AG$13)</f>
        <v>0</v>
      </c>
      <c r="AH194" s="187">
        <f>SUMIFS($AD$37:$AD$12971,$V$37:$V$12971,$V194,$X$37:$X$12971,AH$13)</f>
        <v>0</v>
      </c>
      <c r="AI194" s="161">
        <f t="shared" ref="AI194" si="190">SUM(AE194:AH194)</f>
        <v>0</v>
      </c>
      <c r="AK194" s="172"/>
    </row>
    <row r="195" spans="1:41" s="102" customFormat="1" ht="19.899999999999999" customHeight="1" x14ac:dyDescent="0.25">
      <c r="A195" s="45"/>
      <c r="B195" s="59"/>
      <c r="C195" s="137"/>
      <c r="D195" s="59"/>
      <c r="E195" s="116"/>
      <c r="F195" s="120"/>
      <c r="G195" s="120"/>
      <c r="H195" s="120"/>
      <c r="I195" s="60"/>
      <c r="J195" s="116"/>
      <c r="K195" s="213"/>
      <c r="L195" s="120"/>
      <c r="M195" s="120"/>
      <c r="N195" s="167"/>
      <c r="O195" s="120"/>
      <c r="P195" s="120"/>
      <c r="Q195" s="120"/>
      <c r="R195" s="120"/>
      <c r="S195" s="120"/>
      <c r="T195" s="221"/>
      <c r="U195" s="89"/>
      <c r="V195" s="61"/>
      <c r="W195" s="92" t="s">
        <v>129</v>
      </c>
      <c r="X195" s="93" t="s">
        <v>29</v>
      </c>
      <c r="Y195" s="93" t="s">
        <v>93</v>
      </c>
      <c r="Z195" s="134">
        <f>VLOOKUP(W195,Sheet2!$B:$D,3,FALSE)</f>
        <v>56</v>
      </c>
      <c r="AA195" s="93">
        <f>100/(1*1.5)</f>
        <v>66.666666666666671</v>
      </c>
      <c r="AB195" s="93">
        <f t="shared" ref="AB195" si="191">AD195/AC194</f>
        <v>0.84</v>
      </c>
      <c r="AC195" s="93">
        <f>AC194/AA195</f>
        <v>61.308799124999986</v>
      </c>
      <c r="AD195" s="94">
        <f t="shared" ref="AD195:AD196" si="192">AC195*Z195</f>
        <v>3433.292750999999</v>
      </c>
      <c r="AE195" s="190"/>
      <c r="AF195" s="191"/>
      <c r="AG195" s="191"/>
      <c r="AH195" s="191"/>
      <c r="AI195" s="186"/>
      <c r="AK195" s="171"/>
    </row>
    <row r="196" spans="1:41" s="102" customFormat="1" ht="19.899999999999999" customHeight="1" x14ac:dyDescent="0.25">
      <c r="A196" s="45"/>
      <c r="B196" s="59"/>
      <c r="C196" s="137"/>
      <c r="D196" s="59"/>
      <c r="E196" s="116"/>
      <c r="F196" s="120"/>
      <c r="G196" s="120"/>
      <c r="H196" s="120"/>
      <c r="I196" s="60"/>
      <c r="J196" s="116"/>
      <c r="K196" s="213"/>
      <c r="L196" s="120"/>
      <c r="M196" s="120"/>
      <c r="N196" s="167"/>
      <c r="O196" s="120"/>
      <c r="P196" s="120"/>
      <c r="Q196" s="120"/>
      <c r="R196" s="120"/>
      <c r="S196" s="120"/>
      <c r="T196" s="221"/>
      <c r="U196" s="89"/>
      <c r="V196" s="61"/>
      <c r="W196" s="92" t="s">
        <v>65</v>
      </c>
      <c r="X196" s="93" t="s">
        <v>30</v>
      </c>
      <c r="Y196" s="93" t="s">
        <v>1011</v>
      </c>
      <c r="Z196" s="134">
        <f>VLOOKUP(W196,Sheet2!$B:$D,3,FALSE)</f>
        <v>1.76</v>
      </c>
      <c r="AA196" s="93">
        <f>AA195/14</f>
        <v>4.7619047619047619</v>
      </c>
      <c r="AB196" s="93">
        <f>AD196/AC194</f>
        <v>0.36960000000000004</v>
      </c>
      <c r="AC196" s="93">
        <f>AC194/AA196</f>
        <v>858.32318774999987</v>
      </c>
      <c r="AD196" s="94">
        <f t="shared" si="192"/>
        <v>1510.6488104399998</v>
      </c>
      <c r="AE196" s="190"/>
      <c r="AF196" s="191"/>
      <c r="AG196" s="191"/>
      <c r="AH196" s="191"/>
      <c r="AI196" s="186"/>
      <c r="AK196" s="171"/>
    </row>
    <row r="197" spans="1:41" s="102" customFormat="1" ht="19.899999999999999" customHeight="1" x14ac:dyDescent="0.25">
      <c r="A197" s="45"/>
      <c r="B197" s="59"/>
      <c r="C197" s="137"/>
      <c r="D197" s="59"/>
      <c r="E197" s="116"/>
      <c r="F197" s="120"/>
      <c r="G197" s="120"/>
      <c r="H197" s="120"/>
      <c r="I197" s="60"/>
      <c r="J197" s="116"/>
      <c r="K197" s="213"/>
      <c r="L197" s="120"/>
      <c r="M197" s="120"/>
      <c r="N197" s="167"/>
      <c r="O197" s="120"/>
      <c r="P197" s="120"/>
      <c r="Q197" s="120"/>
      <c r="R197" s="120"/>
      <c r="S197" s="120"/>
      <c r="T197" s="221"/>
      <c r="U197" s="89"/>
      <c r="V197" s="61"/>
      <c r="W197" s="92" t="s">
        <v>161</v>
      </c>
      <c r="X197" s="93" t="s">
        <v>29</v>
      </c>
      <c r="Y197" s="93" t="s">
        <v>93</v>
      </c>
      <c r="Z197" s="134">
        <f>VLOOKUP(W197,Sheet2!$B:$D,3,FALSE)</f>
        <v>48</v>
      </c>
      <c r="AA197" s="93">
        <f>(16*0.85*1.5)/(1*1.5)</f>
        <v>13.6</v>
      </c>
      <c r="AB197" s="93">
        <f>AD197/AC194</f>
        <v>3.5294117647058822</v>
      </c>
      <c r="AC197" s="93">
        <f>AC194/AA197</f>
        <v>300.53332904411758</v>
      </c>
      <c r="AD197" s="94">
        <f>AC197*Z197</f>
        <v>14425.599794117643</v>
      </c>
      <c r="AE197" s="190"/>
      <c r="AF197" s="191"/>
      <c r="AG197" s="191"/>
      <c r="AH197" s="191"/>
      <c r="AI197" s="186"/>
      <c r="AK197" s="171"/>
    </row>
    <row r="198" spans="1:41" s="102" customFormat="1" ht="19.899999999999999" customHeight="1" x14ac:dyDescent="0.25">
      <c r="A198" s="45"/>
      <c r="B198" s="59"/>
      <c r="C198" s="137"/>
      <c r="D198" s="59"/>
      <c r="E198" s="116"/>
      <c r="F198" s="120"/>
      <c r="G198" s="120"/>
      <c r="H198" s="120"/>
      <c r="I198" s="60"/>
      <c r="J198" s="116"/>
      <c r="K198" s="213"/>
      <c r="L198" s="120"/>
      <c r="M198" s="120"/>
      <c r="N198" s="167"/>
      <c r="O198" s="120"/>
      <c r="P198" s="120"/>
      <c r="Q198" s="120"/>
      <c r="R198" s="120"/>
      <c r="S198" s="120"/>
      <c r="T198" s="221"/>
      <c r="U198" s="89"/>
      <c r="V198" s="61"/>
      <c r="W198" s="92" t="s">
        <v>65</v>
      </c>
      <c r="X198" s="93" t="s">
        <v>30</v>
      </c>
      <c r="Y198" s="93" t="s">
        <v>1011</v>
      </c>
      <c r="Z198" s="134">
        <f>VLOOKUP(W198,Sheet2!$B:$D,3,FALSE)</f>
        <v>1.76</v>
      </c>
      <c r="AA198" s="93">
        <f>AA197/10</f>
        <v>1.3599999999999999</v>
      </c>
      <c r="AB198" s="93">
        <f>AD198/AC194</f>
        <v>1.2941176470588236</v>
      </c>
      <c r="AC198" s="93">
        <f>AC194/AA198</f>
        <v>3005.3332904411759</v>
      </c>
      <c r="AD198" s="94">
        <f>AC198*Z198</f>
        <v>5289.3865911764697</v>
      </c>
      <c r="AE198" s="190"/>
      <c r="AF198" s="191"/>
      <c r="AG198" s="191"/>
      <c r="AH198" s="191"/>
      <c r="AI198" s="186"/>
      <c r="AK198" s="171"/>
    </row>
    <row r="199" spans="1:41" s="102" customFormat="1" ht="19.899999999999999" customHeight="1" x14ac:dyDescent="0.25">
      <c r="A199" s="45"/>
      <c r="B199" s="59"/>
      <c r="C199" s="137"/>
      <c r="D199" s="59"/>
      <c r="E199" s="116"/>
      <c r="F199" s="120"/>
      <c r="G199" s="120"/>
      <c r="H199" s="120"/>
      <c r="I199" s="60"/>
      <c r="J199" s="116"/>
      <c r="K199" s="213"/>
      <c r="L199" s="120"/>
      <c r="M199" s="120"/>
      <c r="N199" s="167"/>
      <c r="O199" s="120"/>
      <c r="P199" s="120"/>
      <c r="Q199" s="120"/>
      <c r="R199" s="120"/>
      <c r="S199" s="120"/>
      <c r="T199" s="221"/>
      <c r="U199" s="89"/>
      <c r="V199" s="61"/>
      <c r="W199" s="92" t="s">
        <v>1030</v>
      </c>
      <c r="X199" s="93" t="s">
        <v>29</v>
      </c>
      <c r="Y199" s="93" t="s">
        <v>93</v>
      </c>
      <c r="Z199" s="134">
        <f>VLOOKUP(W199,Sheet2!$B:$D,3,FALSE)</f>
        <v>23</v>
      </c>
      <c r="AA199" s="93">
        <v>50</v>
      </c>
      <c r="AB199" s="93">
        <f>AD199/AC194</f>
        <v>0.45999999999999996</v>
      </c>
      <c r="AC199" s="93">
        <f>AC194/AA199</f>
        <v>81.745065499999981</v>
      </c>
      <c r="AD199" s="94">
        <f t="shared" ref="AD199:AD202" si="193">AC199*Z199</f>
        <v>1880.1365064999995</v>
      </c>
      <c r="AE199" s="190"/>
      <c r="AF199" s="191"/>
      <c r="AG199" s="191"/>
      <c r="AH199" s="191"/>
      <c r="AI199" s="186"/>
      <c r="AK199" s="171"/>
    </row>
    <row r="200" spans="1:41" s="102" customFormat="1" ht="19.899999999999999" customHeight="1" x14ac:dyDescent="0.25">
      <c r="A200" s="45"/>
      <c r="B200" s="59"/>
      <c r="C200" s="137"/>
      <c r="D200" s="59"/>
      <c r="E200" s="116"/>
      <c r="F200" s="120"/>
      <c r="G200" s="120"/>
      <c r="H200" s="120"/>
      <c r="I200" s="60"/>
      <c r="J200" s="116"/>
      <c r="K200" s="213"/>
      <c r="L200" s="120"/>
      <c r="M200" s="120"/>
      <c r="N200" s="167"/>
      <c r="O200" s="120"/>
      <c r="P200" s="120"/>
      <c r="Q200" s="120"/>
      <c r="R200" s="120"/>
      <c r="S200" s="120"/>
      <c r="T200" s="221"/>
      <c r="U200" s="89"/>
      <c r="V200" s="61"/>
      <c r="W200" s="92" t="s">
        <v>65</v>
      </c>
      <c r="X200" s="93" t="s">
        <v>30</v>
      </c>
      <c r="Y200" s="93" t="s">
        <v>1011</v>
      </c>
      <c r="Z200" s="134">
        <f>VLOOKUP(W200,Sheet2!$B:$D,3,FALSE)</f>
        <v>1.76</v>
      </c>
      <c r="AA200" s="93">
        <f>AA199/3</f>
        <v>16.666666666666668</v>
      </c>
      <c r="AB200" s="93">
        <f>AD200/AC194</f>
        <v>0.1056</v>
      </c>
      <c r="AC200" s="93">
        <f>AC194/AA200</f>
        <v>245.23519649999994</v>
      </c>
      <c r="AD200" s="94">
        <f t="shared" si="193"/>
        <v>431.61394583999993</v>
      </c>
      <c r="AE200" s="190"/>
      <c r="AF200" s="191"/>
      <c r="AG200" s="191"/>
      <c r="AH200" s="191"/>
      <c r="AI200" s="186"/>
      <c r="AK200" s="171"/>
    </row>
    <row r="201" spans="1:41" s="102" customFormat="1" ht="19.899999999999999" customHeight="1" x14ac:dyDescent="0.25">
      <c r="A201" s="45"/>
      <c r="B201" s="59"/>
      <c r="C201" s="137"/>
      <c r="D201" s="59"/>
      <c r="E201" s="116"/>
      <c r="F201" s="120"/>
      <c r="G201" s="120"/>
      <c r="H201" s="120"/>
      <c r="I201" s="60"/>
      <c r="J201" s="116"/>
      <c r="K201" s="213"/>
      <c r="L201" s="120"/>
      <c r="M201" s="120"/>
      <c r="N201" s="167"/>
      <c r="O201" s="120"/>
      <c r="P201" s="120"/>
      <c r="Q201" s="120"/>
      <c r="R201" s="120"/>
      <c r="S201" s="120"/>
      <c r="T201" s="221"/>
      <c r="U201" s="89"/>
      <c r="V201" s="61"/>
      <c r="W201" s="92" t="s">
        <v>148</v>
      </c>
      <c r="X201" s="93" t="s">
        <v>29</v>
      </c>
      <c r="Y201" s="93" t="s">
        <v>93</v>
      </c>
      <c r="Z201" s="134">
        <f>VLOOKUP(W201,Sheet2!$B:$D,3,FALSE)</f>
        <v>48</v>
      </c>
      <c r="AA201" s="93">
        <f>AA195</f>
        <v>66.666666666666671</v>
      </c>
      <c r="AB201" s="93">
        <f>AD201/AC194</f>
        <v>0.72</v>
      </c>
      <c r="AC201" s="93">
        <f>AC194/AA201</f>
        <v>61.308799124999986</v>
      </c>
      <c r="AD201" s="94">
        <f t="shared" si="193"/>
        <v>2942.8223579999994</v>
      </c>
      <c r="AE201" s="190"/>
      <c r="AF201" s="191"/>
      <c r="AG201" s="191"/>
      <c r="AH201" s="191"/>
      <c r="AI201" s="186"/>
      <c r="AK201" s="171"/>
    </row>
    <row r="202" spans="1:41" s="102" customFormat="1" ht="19.899999999999999" customHeight="1" x14ac:dyDescent="0.25">
      <c r="A202" s="45"/>
      <c r="B202" s="59"/>
      <c r="C202" s="137"/>
      <c r="D202" s="59"/>
      <c r="E202" s="116"/>
      <c r="F202" s="120"/>
      <c r="G202" s="120"/>
      <c r="H202" s="120"/>
      <c r="I202" s="60"/>
      <c r="J202" s="116"/>
      <c r="K202" s="213"/>
      <c r="L202" s="120"/>
      <c r="M202" s="120"/>
      <c r="N202" s="167"/>
      <c r="O202" s="120"/>
      <c r="P202" s="120"/>
      <c r="Q202" s="120"/>
      <c r="R202" s="120"/>
      <c r="S202" s="120"/>
      <c r="T202" s="221"/>
      <c r="U202" s="89"/>
      <c r="V202" s="61"/>
      <c r="W202" s="92" t="s">
        <v>65</v>
      </c>
      <c r="X202" s="93" t="s">
        <v>30</v>
      </c>
      <c r="Y202" s="93" t="s">
        <v>1011</v>
      </c>
      <c r="Z202" s="134">
        <f>VLOOKUP(W202,Sheet2!$B:$D,3,FALSE)</f>
        <v>1.76</v>
      </c>
      <c r="AA202" s="93">
        <f>AA201/10</f>
        <v>6.666666666666667</v>
      </c>
      <c r="AB202" s="93">
        <f>AD202/AC194</f>
        <v>0.26400000000000001</v>
      </c>
      <c r="AC202" s="93">
        <f>AC194/AA202</f>
        <v>613.08799124999985</v>
      </c>
      <c r="AD202" s="94">
        <f t="shared" si="193"/>
        <v>1079.0348645999998</v>
      </c>
      <c r="AE202" s="190"/>
      <c r="AF202" s="191"/>
      <c r="AG202" s="191"/>
      <c r="AH202" s="191"/>
      <c r="AI202" s="186"/>
      <c r="AK202" s="171"/>
    </row>
    <row r="203" spans="1:41" s="103" customFormat="1" ht="19.899999999999999" customHeight="1" x14ac:dyDescent="0.25">
      <c r="A203" s="51"/>
      <c r="B203" s="52"/>
      <c r="C203" s="165"/>
      <c r="D203" s="52"/>
      <c r="E203" s="115"/>
      <c r="F203" s="58"/>
      <c r="G203" s="58"/>
      <c r="H203" s="58"/>
      <c r="I203" s="55"/>
      <c r="J203" s="113">
        <f>J193</f>
        <v>4087.2532749999991</v>
      </c>
      <c r="K203" s="212">
        <f>K193</f>
        <v>4087.2532749999991</v>
      </c>
      <c r="L203" s="58"/>
      <c r="M203" s="58">
        <f>K203-L203</f>
        <v>4087.2532749999991</v>
      </c>
      <c r="N203" s="166"/>
      <c r="O203" s="58"/>
      <c r="P203" s="58"/>
      <c r="Q203" s="58"/>
      <c r="R203" s="58"/>
      <c r="S203" s="58"/>
      <c r="T203" s="220"/>
      <c r="U203" s="88"/>
      <c r="V203" s="56"/>
      <c r="W203" s="57" t="s">
        <v>1036</v>
      </c>
      <c r="X203" s="53"/>
      <c r="Y203" s="91" t="s">
        <v>68</v>
      </c>
      <c r="Z203" s="136">
        <f>AD203/AC203</f>
        <v>115.58333333333334</v>
      </c>
      <c r="AA203" s="58"/>
      <c r="AB203" s="53">
        <f>AD203/AC203</f>
        <v>115.58333333333334</v>
      </c>
      <c r="AC203" s="53">
        <f>M203+$AE$10</f>
        <v>4087.2532749999991</v>
      </c>
      <c r="AD203" s="54">
        <f>SUM(AD204:AD208)</f>
        <v>472418.35770208325</v>
      </c>
      <c r="AE203" s="184">
        <f>SUMIFS($AD$37:$AD$12971,$V$37:$V$12971,$V203,$X$37:$X$12971,AE$13)</f>
        <v>0</v>
      </c>
      <c r="AF203" s="185">
        <f>SUMIFS($AD$37:$AD$12971,$V$37:$V$12971,$V203,$X$37:$X$12971,AF$13)</f>
        <v>0</v>
      </c>
      <c r="AG203" s="185">
        <f>SUMIFS($AD$37:$AD$12971,$V$37:$V$12971,$V203,$X$37:$X$12971,AG$13)</f>
        <v>0</v>
      </c>
      <c r="AH203" s="187">
        <f>SUMIFS($AD$37:$AD$12971,$V$37:$V$12971,$V203,$X$37:$X$12971,AH$13)</f>
        <v>0</v>
      </c>
      <c r="AI203" s="161">
        <f t="shared" ref="AI203" si="194">SUM(AE203:AH203)</f>
        <v>0</v>
      </c>
      <c r="AK203" s="172"/>
    </row>
    <row r="204" spans="1:41" s="102" customFormat="1" ht="19.899999999999999" customHeight="1" x14ac:dyDescent="0.25">
      <c r="A204" s="45"/>
      <c r="B204" s="59"/>
      <c r="C204" s="137"/>
      <c r="D204" s="59"/>
      <c r="E204" s="116"/>
      <c r="F204" s="120"/>
      <c r="G204" s="120"/>
      <c r="H204" s="120"/>
      <c r="I204" s="60"/>
      <c r="J204" s="116"/>
      <c r="K204" s="213"/>
      <c r="L204" s="120"/>
      <c r="M204" s="120"/>
      <c r="N204" s="167"/>
      <c r="O204" s="120"/>
      <c r="P204" s="120"/>
      <c r="Q204" s="120"/>
      <c r="R204" s="120"/>
      <c r="S204" s="120"/>
      <c r="T204" s="221"/>
      <c r="U204" s="89"/>
      <c r="V204" s="61"/>
      <c r="W204" s="92" t="s">
        <v>172</v>
      </c>
      <c r="X204" s="93" t="s">
        <v>30</v>
      </c>
      <c r="Y204" s="93" t="s">
        <v>68</v>
      </c>
      <c r="Z204" s="134">
        <f>VLOOKUP(W204,Sheet2!$B:$D,3,FALSE)</f>
        <v>50</v>
      </c>
      <c r="AA204" s="93">
        <v>1</v>
      </c>
      <c r="AB204" s="93">
        <f>AD204/AC203</f>
        <v>50</v>
      </c>
      <c r="AC204" s="93">
        <f>AC203/AA204</f>
        <v>4087.2532749999991</v>
      </c>
      <c r="AD204" s="94">
        <f t="shared" ref="AD204" si="195">AC204*Z204</f>
        <v>204362.66374999995</v>
      </c>
      <c r="AE204" s="190"/>
      <c r="AF204" s="191"/>
      <c r="AG204" s="191"/>
      <c r="AH204" s="191"/>
      <c r="AI204" s="186"/>
      <c r="AK204" s="171"/>
    </row>
    <row r="205" spans="1:41" s="102" customFormat="1" ht="19.899999999999999" customHeight="1" x14ac:dyDescent="0.25">
      <c r="A205" s="45"/>
      <c r="B205" s="59"/>
      <c r="C205" s="137"/>
      <c r="D205" s="59"/>
      <c r="E205" s="116"/>
      <c r="F205" s="120"/>
      <c r="G205" s="120"/>
      <c r="H205" s="120"/>
      <c r="I205" s="60"/>
      <c r="J205" s="116"/>
      <c r="K205" s="213"/>
      <c r="L205" s="120"/>
      <c r="M205" s="120"/>
      <c r="N205" s="167"/>
      <c r="O205" s="120"/>
      <c r="P205" s="120"/>
      <c r="Q205" s="120"/>
      <c r="R205" s="120"/>
      <c r="S205" s="120"/>
      <c r="T205" s="221"/>
      <c r="U205" s="89"/>
      <c r="V205" s="61"/>
      <c r="W205" s="92" t="s">
        <v>1258</v>
      </c>
      <c r="X205" s="93" t="s">
        <v>32</v>
      </c>
      <c r="Y205" s="93" t="s">
        <v>68</v>
      </c>
      <c r="Z205" s="134">
        <f>VLOOKUP(W205,Sheet2!$B:$D,3,FALSE)</f>
        <v>25</v>
      </c>
      <c r="AA205" s="93">
        <v>1</v>
      </c>
      <c r="AB205" s="93">
        <f>AD205/AC203</f>
        <v>25</v>
      </c>
      <c r="AC205" s="93">
        <f>AC203/AA205</f>
        <v>4087.2532749999991</v>
      </c>
      <c r="AD205" s="94">
        <f>AC205*Z205</f>
        <v>102181.33187499997</v>
      </c>
      <c r="AE205" s="190"/>
      <c r="AF205" s="191"/>
      <c r="AG205" s="191"/>
      <c r="AH205" s="191"/>
      <c r="AI205" s="186"/>
      <c r="AK205" s="171"/>
    </row>
    <row r="206" spans="1:41" s="102" customFormat="1" ht="19.899999999999999" customHeight="1" x14ac:dyDescent="0.25">
      <c r="A206" s="45"/>
      <c r="B206" s="59"/>
      <c r="C206" s="137"/>
      <c r="D206" s="59"/>
      <c r="E206" s="116"/>
      <c r="F206" s="120"/>
      <c r="G206" s="120"/>
      <c r="H206" s="120"/>
      <c r="I206" s="60"/>
      <c r="J206" s="116"/>
      <c r="K206" s="213"/>
      <c r="L206" s="120"/>
      <c r="M206" s="120"/>
      <c r="N206" s="167"/>
      <c r="O206" s="120"/>
      <c r="P206" s="120"/>
      <c r="Q206" s="120"/>
      <c r="R206" s="120"/>
      <c r="S206" s="120"/>
      <c r="T206" s="221"/>
      <c r="U206" s="89"/>
      <c r="V206" s="61"/>
      <c r="W206" s="92" t="s">
        <v>1032</v>
      </c>
      <c r="X206" s="93" t="s">
        <v>30</v>
      </c>
      <c r="Y206" s="93" t="s">
        <v>66</v>
      </c>
      <c r="Z206" s="134">
        <f>VLOOKUP(W206,Sheet2!$B:$D,3,FALSE)</f>
        <v>250</v>
      </c>
      <c r="AA206" s="93">
        <f>1/(1*0.1)</f>
        <v>10</v>
      </c>
      <c r="AB206" s="93">
        <f>AD206/AC203</f>
        <v>25.000000000000004</v>
      </c>
      <c r="AC206" s="93">
        <f>AC203/AA206</f>
        <v>408.72532749999993</v>
      </c>
      <c r="AD206" s="94">
        <f>AC206*Z206</f>
        <v>102181.33187499999</v>
      </c>
      <c r="AE206" s="190"/>
      <c r="AF206" s="191"/>
      <c r="AG206" s="191"/>
      <c r="AH206" s="191"/>
      <c r="AI206" s="186"/>
      <c r="AK206" s="171"/>
    </row>
    <row r="207" spans="1:41" s="102" customFormat="1" ht="19.899999999999999" customHeight="1" x14ac:dyDescent="0.25">
      <c r="A207" s="45"/>
      <c r="B207" s="59"/>
      <c r="C207" s="137"/>
      <c r="D207" s="59"/>
      <c r="E207" s="116"/>
      <c r="F207" s="120"/>
      <c r="G207" s="120"/>
      <c r="H207" s="120"/>
      <c r="I207" s="60"/>
      <c r="J207" s="116"/>
      <c r="K207" s="213"/>
      <c r="L207" s="120"/>
      <c r="M207" s="120"/>
      <c r="N207" s="167"/>
      <c r="O207" s="120"/>
      <c r="P207" s="120"/>
      <c r="Q207" s="120"/>
      <c r="R207" s="120"/>
      <c r="S207" s="120"/>
      <c r="T207" s="221"/>
      <c r="U207" s="89"/>
      <c r="V207" s="61"/>
      <c r="W207" s="92" t="s">
        <v>1035</v>
      </c>
      <c r="X207" s="93" t="s">
        <v>32</v>
      </c>
      <c r="Y207" s="93" t="s">
        <v>66</v>
      </c>
      <c r="Z207" s="134">
        <f>VLOOKUP(W207,Sheet2!$B:$D,3,FALSE)</f>
        <v>150</v>
      </c>
      <c r="AA207" s="93">
        <f>AA206</f>
        <v>10</v>
      </c>
      <c r="AB207" s="93">
        <f>AD207/AC203</f>
        <v>15.000000000000002</v>
      </c>
      <c r="AC207" s="93">
        <f>AC203/AA207</f>
        <v>408.72532749999993</v>
      </c>
      <c r="AD207" s="94">
        <f t="shared" ref="AD207:AD208" si="196">AC207*Z207</f>
        <v>61308.79912499999</v>
      </c>
      <c r="AE207" s="190"/>
      <c r="AF207" s="191"/>
      <c r="AG207" s="191"/>
      <c r="AH207" s="191"/>
      <c r="AI207" s="186"/>
      <c r="AK207" s="171"/>
    </row>
    <row r="208" spans="1:41" s="102" customFormat="1" ht="19.899999999999999" customHeight="1" x14ac:dyDescent="0.25">
      <c r="A208" s="45"/>
      <c r="B208" s="59"/>
      <c r="C208" s="137"/>
      <c r="D208" s="59"/>
      <c r="E208" s="116"/>
      <c r="F208" s="120"/>
      <c r="G208" s="120"/>
      <c r="H208" s="120"/>
      <c r="I208" s="60"/>
      <c r="J208" s="116"/>
      <c r="K208" s="213"/>
      <c r="L208" s="120"/>
      <c r="M208" s="120"/>
      <c r="N208" s="167"/>
      <c r="O208" s="120"/>
      <c r="P208" s="120"/>
      <c r="Q208" s="120"/>
      <c r="R208" s="120"/>
      <c r="S208" s="120"/>
      <c r="T208" s="221"/>
      <c r="U208" s="89"/>
      <c r="V208" s="61"/>
      <c r="W208" s="92" t="s">
        <v>1037</v>
      </c>
      <c r="X208" s="93" t="s">
        <v>30</v>
      </c>
      <c r="Y208" s="93" t="s">
        <v>1038</v>
      </c>
      <c r="Z208" s="134">
        <f>VLOOKUP(W208,Sheet2!$B:$D,3,FALSE)</f>
        <v>175</v>
      </c>
      <c r="AA208" s="93">
        <v>300</v>
      </c>
      <c r="AB208" s="93">
        <f>AD208/AC203</f>
        <v>0.58333333333333337</v>
      </c>
      <c r="AC208" s="93">
        <f>AC203/AA208</f>
        <v>13.62417758333333</v>
      </c>
      <c r="AD208" s="94">
        <f t="shared" si="196"/>
        <v>2384.2310770833328</v>
      </c>
      <c r="AE208" s="190"/>
      <c r="AF208" s="191"/>
      <c r="AG208" s="191"/>
      <c r="AH208" s="191"/>
      <c r="AI208" s="186"/>
      <c r="AK208" s="171"/>
    </row>
    <row r="209" spans="1:41" s="103" customFormat="1" ht="19.899999999999999" customHeight="1" x14ac:dyDescent="0.25">
      <c r="A209" s="51"/>
      <c r="B209" s="52"/>
      <c r="C209" s="165"/>
      <c r="D209" s="52"/>
      <c r="E209" s="115"/>
      <c r="F209" s="58"/>
      <c r="G209" s="58"/>
      <c r="H209" s="58"/>
      <c r="I209" s="55"/>
      <c r="J209" s="113">
        <f>J193</f>
        <v>4087.2532749999991</v>
      </c>
      <c r="K209" s="212">
        <f>K193</f>
        <v>4087.2532749999991</v>
      </c>
      <c r="L209" s="58"/>
      <c r="M209" s="58">
        <f>K209-L209</f>
        <v>4087.2532749999991</v>
      </c>
      <c r="N209" s="166"/>
      <c r="O209" s="58"/>
      <c r="P209" s="58"/>
      <c r="Q209" s="58"/>
      <c r="R209" s="58"/>
      <c r="S209" s="58"/>
      <c r="T209" s="220"/>
      <c r="U209" s="88"/>
      <c r="V209" s="56"/>
      <c r="W209" s="57" t="s">
        <v>1040</v>
      </c>
      <c r="X209" s="53"/>
      <c r="Y209" s="91" t="s">
        <v>68</v>
      </c>
      <c r="Z209" s="136">
        <f>AD209/AC209</f>
        <v>5</v>
      </c>
      <c r="AA209" s="58"/>
      <c r="AB209" s="53">
        <f>AD209/AC209</f>
        <v>5</v>
      </c>
      <c r="AC209" s="53">
        <f>M209+$AE$10</f>
        <v>4087.2532749999991</v>
      </c>
      <c r="AD209" s="54">
        <f>SUM(AD210)</f>
        <v>20436.266374999996</v>
      </c>
      <c r="AE209" s="184">
        <f>SUMIFS($AD$37:$AD$12971,$V$37:$V$12971,$V209,$X$37:$X$12971,AE$13)</f>
        <v>0</v>
      </c>
      <c r="AF209" s="185">
        <f>SUMIFS($AD$37:$AD$12971,$V$37:$V$12971,$V209,$X$37:$X$12971,AF$13)</f>
        <v>0</v>
      </c>
      <c r="AG209" s="185">
        <f>SUMIFS($AD$37:$AD$12971,$V$37:$V$12971,$V209,$X$37:$X$12971,AG$13)</f>
        <v>0</v>
      </c>
      <c r="AH209" s="187">
        <f>SUMIFS($AD$37:$AD$12971,$V$37:$V$12971,$V209,$X$37:$X$12971,AH$13)</f>
        <v>0</v>
      </c>
      <c r="AI209" s="161">
        <f t="shared" ref="AI209" si="197">SUM(AE209:AH209)</f>
        <v>0</v>
      </c>
      <c r="AK209" s="172"/>
    </row>
    <row r="210" spans="1:41" s="102" customFormat="1" ht="19.899999999999999" customHeight="1" x14ac:dyDescent="0.25">
      <c r="A210" s="45"/>
      <c r="B210" s="59"/>
      <c r="C210" s="137"/>
      <c r="D210" s="59"/>
      <c r="E210" s="116"/>
      <c r="F210" s="120"/>
      <c r="G210" s="120"/>
      <c r="H210" s="120"/>
      <c r="I210" s="60"/>
      <c r="J210" s="116"/>
      <c r="K210" s="213"/>
      <c r="L210" s="120"/>
      <c r="M210" s="120"/>
      <c r="N210" s="167"/>
      <c r="O210" s="120"/>
      <c r="P210" s="120"/>
      <c r="Q210" s="120"/>
      <c r="R210" s="120"/>
      <c r="S210" s="120"/>
      <c r="T210" s="221"/>
      <c r="U210" s="89"/>
      <c r="V210" s="61"/>
      <c r="W210" s="92" t="s">
        <v>1039</v>
      </c>
      <c r="X210" s="93" t="s">
        <v>32</v>
      </c>
      <c r="Y210" s="93" t="s">
        <v>68</v>
      </c>
      <c r="Z210" s="134">
        <f>VLOOKUP(W210,Sheet2!$B:$D,3,FALSE)</f>
        <v>5</v>
      </c>
      <c r="AA210" s="93">
        <v>1</v>
      </c>
      <c r="AB210" s="93">
        <f>AD210/AC209</f>
        <v>5</v>
      </c>
      <c r="AC210" s="93">
        <f>AC209/AA210</f>
        <v>4087.2532749999991</v>
      </c>
      <c r="AD210" s="94">
        <f t="shared" ref="AD210" si="198">AC210*Z210</f>
        <v>20436.266374999996</v>
      </c>
      <c r="AE210" s="190"/>
      <c r="AF210" s="191"/>
      <c r="AG210" s="191"/>
      <c r="AH210" s="191"/>
      <c r="AI210" s="186"/>
      <c r="AK210" s="171"/>
    </row>
    <row r="211" spans="1:41" ht="20.100000000000001" customHeight="1" x14ac:dyDescent="0.25">
      <c r="A211" s="277" t="s">
        <v>216</v>
      </c>
      <c r="B211" s="278"/>
      <c r="C211" s="64" t="s">
        <v>220</v>
      </c>
      <c r="D211" s="46" t="s">
        <v>97</v>
      </c>
      <c r="E211" s="114">
        <v>173.54162500000052</v>
      </c>
      <c r="F211" s="44">
        <v>263</v>
      </c>
      <c r="G211" s="44">
        <f t="shared" ref="G211:G521" si="199">F211*E211</f>
        <v>45641.447375000134</v>
      </c>
      <c r="H211" s="44">
        <f t="shared" ref="H211:H521" si="200">AB211</f>
        <v>130.50510588235292</v>
      </c>
      <c r="I211" s="43">
        <f t="shared" ref="I211:I521" si="201">H211*E211</f>
        <v>22648.068145620651</v>
      </c>
      <c r="J211" s="112">
        <f t="shared" ref="J211:J521" si="202">E211</f>
        <v>173.54162500000052</v>
      </c>
      <c r="K211" s="211">
        <f t="shared" ref="K211:K521" si="203">J211</f>
        <v>173.54162500000052</v>
      </c>
      <c r="L211" s="44"/>
      <c r="M211" s="44">
        <f t="shared" si="132"/>
        <v>173.54162500000052</v>
      </c>
      <c r="N211" s="173">
        <f t="shared" ref="N211:N521" si="204">IFERROR(M211/K211,0)</f>
        <v>1</v>
      </c>
      <c r="O211" s="44">
        <f t="shared" ref="O211:O521" si="205">F211</f>
        <v>263</v>
      </c>
      <c r="P211" s="44">
        <f t="shared" ref="P211:P521" si="206">K211*O211</f>
        <v>45641.447375000134</v>
      </c>
      <c r="Q211" s="44">
        <f t="shared" ref="Q211:Q521" si="207">AB211</f>
        <v>130.50510588235292</v>
      </c>
      <c r="R211" s="44">
        <f t="shared" si="137"/>
        <v>22648.068145620651</v>
      </c>
      <c r="S211" s="123"/>
      <c r="T211" s="219">
        <f t="shared" si="138"/>
        <v>22648.068145620651</v>
      </c>
      <c r="U211" s="87"/>
      <c r="V211" s="47"/>
      <c r="W211" s="48"/>
      <c r="X211" s="48"/>
      <c r="Y211" s="48"/>
      <c r="Z211" s="135"/>
      <c r="AA211" s="49"/>
      <c r="AB211" s="50">
        <f t="shared" ref="AB211:AB521" si="208">AD211/AC211</f>
        <v>130.50510588235292</v>
      </c>
      <c r="AC211" s="42">
        <f t="shared" si="140"/>
        <v>173.54162500000052</v>
      </c>
      <c r="AD211" s="90">
        <f>AD212+AD221+AD227</f>
        <v>22648.068145620655</v>
      </c>
      <c r="AE211" s="188">
        <f t="shared" ref="AE211" si="209">AE212+AE221+AE227</f>
        <v>0</v>
      </c>
      <c r="AF211" s="189">
        <f t="shared" ref="AF211" si="210">AF212+AF221+AF227</f>
        <v>0</v>
      </c>
      <c r="AG211" s="189">
        <f t="shared" ref="AG211" si="211">AG212+AG221+AG227</f>
        <v>0</v>
      </c>
      <c r="AH211" s="189">
        <f t="shared" ref="AH211" si="212">AH212+AH221+AH227</f>
        <v>0</v>
      </c>
      <c r="AI211" s="161">
        <f t="shared" ref="AI211:AI248" si="213">SUM(AE211:AH211)</f>
        <v>0</v>
      </c>
      <c r="AK211" s="169">
        <v>5</v>
      </c>
      <c r="AO211" s="19" t="s">
        <v>63</v>
      </c>
    </row>
    <row r="212" spans="1:41" s="103" customFormat="1" ht="19.899999999999999" customHeight="1" x14ac:dyDescent="0.25">
      <c r="A212" s="51"/>
      <c r="B212" s="52"/>
      <c r="C212" s="165"/>
      <c r="D212" s="52"/>
      <c r="E212" s="115"/>
      <c r="F212" s="58"/>
      <c r="G212" s="58"/>
      <c r="H212" s="58"/>
      <c r="I212" s="55"/>
      <c r="J212" s="113">
        <f>J211</f>
        <v>173.54162500000052</v>
      </c>
      <c r="K212" s="212">
        <f>K211</f>
        <v>173.54162500000052</v>
      </c>
      <c r="L212" s="58"/>
      <c r="M212" s="58">
        <f>K212-L212</f>
        <v>173.54162500000052</v>
      </c>
      <c r="N212" s="166"/>
      <c r="O212" s="58"/>
      <c r="P212" s="58"/>
      <c r="Q212" s="58"/>
      <c r="R212" s="58"/>
      <c r="S212" s="58"/>
      <c r="T212" s="220"/>
      <c r="U212" s="88"/>
      <c r="V212" s="56"/>
      <c r="W212" s="57" t="s">
        <v>1047</v>
      </c>
      <c r="X212" s="53"/>
      <c r="Y212" s="91" t="s">
        <v>68</v>
      </c>
      <c r="Z212" s="136">
        <f>AD212/AC212</f>
        <v>9.9217725490196091</v>
      </c>
      <c r="AA212" s="58"/>
      <c r="AB212" s="53">
        <f>AD212/AC212</f>
        <v>9.9217725490196091</v>
      </c>
      <c r="AC212" s="53">
        <f>M212+$AE$10</f>
        <v>173.54162500000052</v>
      </c>
      <c r="AD212" s="54">
        <f>SUM(AD213:AD220)</f>
        <v>1721.8405310372602</v>
      </c>
      <c r="AE212" s="184">
        <f>SUMIFS($AD$37:$AD$12971,$V$37:$V$12971,$V212,$X$37:$X$12971,AE$13)</f>
        <v>0</v>
      </c>
      <c r="AF212" s="185">
        <f>SUMIFS($AD$37:$AD$12971,$V$37:$V$12971,$V212,$X$37:$X$12971,AF$13)</f>
        <v>0</v>
      </c>
      <c r="AG212" s="185">
        <f>SUMIFS($AD$37:$AD$12971,$V$37:$V$12971,$V212,$X$37:$X$12971,AG$13)</f>
        <v>0</v>
      </c>
      <c r="AH212" s="187">
        <f>SUMIFS($AD$37:$AD$12971,$V$37:$V$12971,$V212,$X$37:$X$12971,AH$13)</f>
        <v>0</v>
      </c>
      <c r="AI212" s="161">
        <f t="shared" ref="AI212" si="214">SUM(AE212:AH212)</f>
        <v>0</v>
      </c>
      <c r="AK212" s="172"/>
    </row>
    <row r="213" spans="1:41" s="102" customFormat="1" ht="19.899999999999999" customHeight="1" x14ac:dyDescent="0.25">
      <c r="A213" s="45"/>
      <c r="B213" s="59"/>
      <c r="C213" s="137"/>
      <c r="D213" s="59"/>
      <c r="E213" s="116"/>
      <c r="F213" s="120"/>
      <c r="G213" s="120"/>
      <c r="H213" s="120"/>
      <c r="I213" s="60"/>
      <c r="J213" s="116"/>
      <c r="K213" s="213"/>
      <c r="L213" s="120"/>
      <c r="M213" s="120"/>
      <c r="N213" s="167"/>
      <c r="O213" s="120"/>
      <c r="P213" s="120"/>
      <c r="Q213" s="120"/>
      <c r="R213" s="120"/>
      <c r="S213" s="120"/>
      <c r="T213" s="221"/>
      <c r="U213" s="89"/>
      <c r="V213" s="61"/>
      <c r="W213" s="92" t="s">
        <v>129</v>
      </c>
      <c r="X213" s="93" t="s">
        <v>29</v>
      </c>
      <c r="Y213" s="93" t="s">
        <v>93</v>
      </c>
      <c r="Z213" s="134">
        <f>VLOOKUP(W213,Sheet2!$B:$D,3,FALSE)</f>
        <v>56</v>
      </c>
      <c r="AA213" s="93">
        <f>100/(1*2)</f>
        <v>50</v>
      </c>
      <c r="AB213" s="93">
        <f t="shared" ref="AB213" si="215">AD213/AC212</f>
        <v>1.1199999999999999</v>
      </c>
      <c r="AC213" s="93">
        <f>AC212/AA213</f>
        <v>3.4708325000000104</v>
      </c>
      <c r="AD213" s="94">
        <f t="shared" ref="AD213:AD214" si="216">AC213*Z213</f>
        <v>194.36662000000058</v>
      </c>
      <c r="AE213" s="190"/>
      <c r="AF213" s="191"/>
      <c r="AG213" s="191"/>
      <c r="AH213" s="191"/>
      <c r="AI213" s="186"/>
      <c r="AK213" s="171"/>
    </row>
    <row r="214" spans="1:41" s="102" customFormat="1" ht="19.899999999999999" customHeight="1" x14ac:dyDescent="0.25">
      <c r="A214" s="45"/>
      <c r="B214" s="59"/>
      <c r="C214" s="137"/>
      <c r="D214" s="59"/>
      <c r="E214" s="116"/>
      <c r="F214" s="120"/>
      <c r="G214" s="120"/>
      <c r="H214" s="120"/>
      <c r="I214" s="60"/>
      <c r="J214" s="116"/>
      <c r="K214" s="213"/>
      <c r="L214" s="120"/>
      <c r="M214" s="120"/>
      <c r="N214" s="167"/>
      <c r="O214" s="120"/>
      <c r="P214" s="120"/>
      <c r="Q214" s="120"/>
      <c r="R214" s="120"/>
      <c r="S214" s="120"/>
      <c r="T214" s="221"/>
      <c r="U214" s="89"/>
      <c r="V214" s="61"/>
      <c r="W214" s="92" t="s">
        <v>65</v>
      </c>
      <c r="X214" s="93" t="s">
        <v>30</v>
      </c>
      <c r="Y214" s="93" t="s">
        <v>1011</v>
      </c>
      <c r="Z214" s="134">
        <f>VLOOKUP(W214,Sheet2!$B:$D,3,FALSE)</f>
        <v>1.76</v>
      </c>
      <c r="AA214" s="93">
        <f>AA213/14</f>
        <v>3.5714285714285716</v>
      </c>
      <c r="AB214" s="93">
        <f>AD214/AC212</f>
        <v>0.49280000000000002</v>
      </c>
      <c r="AC214" s="93">
        <f>AC212/AA214</f>
        <v>48.591655000000145</v>
      </c>
      <c r="AD214" s="94">
        <f t="shared" si="216"/>
        <v>85.52131280000026</v>
      </c>
      <c r="AE214" s="190"/>
      <c r="AF214" s="191"/>
      <c r="AG214" s="191"/>
      <c r="AH214" s="191"/>
      <c r="AI214" s="186"/>
      <c r="AK214" s="171"/>
    </row>
    <row r="215" spans="1:41" s="102" customFormat="1" ht="19.899999999999999" customHeight="1" x14ac:dyDescent="0.25">
      <c r="A215" s="45"/>
      <c r="B215" s="59"/>
      <c r="C215" s="137"/>
      <c r="D215" s="59"/>
      <c r="E215" s="116"/>
      <c r="F215" s="120"/>
      <c r="G215" s="120"/>
      <c r="H215" s="120"/>
      <c r="I215" s="60"/>
      <c r="J215" s="116"/>
      <c r="K215" s="213"/>
      <c r="L215" s="120"/>
      <c r="M215" s="120"/>
      <c r="N215" s="167"/>
      <c r="O215" s="120"/>
      <c r="P215" s="120"/>
      <c r="Q215" s="120"/>
      <c r="R215" s="120"/>
      <c r="S215" s="120"/>
      <c r="T215" s="221"/>
      <c r="U215" s="89"/>
      <c r="V215" s="61"/>
      <c r="W215" s="92" t="s">
        <v>161</v>
      </c>
      <c r="X215" s="93" t="s">
        <v>29</v>
      </c>
      <c r="Y215" s="93" t="s">
        <v>93</v>
      </c>
      <c r="Z215" s="134">
        <f>VLOOKUP(W215,Sheet2!$B:$D,3,FALSE)</f>
        <v>48</v>
      </c>
      <c r="AA215" s="93">
        <f>(16*0.85*1.5)/(1*2)</f>
        <v>10.199999999999999</v>
      </c>
      <c r="AB215" s="93">
        <f>AD215/AC212</f>
        <v>4.7058823529411766</v>
      </c>
      <c r="AC215" s="93">
        <f>AC212/AA215</f>
        <v>17.01388480392162</v>
      </c>
      <c r="AD215" s="94">
        <f>AC215*Z215</f>
        <v>816.66647058823776</v>
      </c>
      <c r="AE215" s="190"/>
      <c r="AF215" s="191"/>
      <c r="AG215" s="191"/>
      <c r="AH215" s="191"/>
      <c r="AI215" s="186"/>
      <c r="AK215" s="171"/>
    </row>
    <row r="216" spans="1:41" s="102" customFormat="1" ht="19.899999999999999" customHeight="1" x14ac:dyDescent="0.25">
      <c r="A216" s="45"/>
      <c r="B216" s="59"/>
      <c r="C216" s="137"/>
      <c r="D216" s="59"/>
      <c r="E216" s="116"/>
      <c r="F216" s="120"/>
      <c r="G216" s="120"/>
      <c r="H216" s="120"/>
      <c r="I216" s="60"/>
      <c r="J216" s="116"/>
      <c r="K216" s="213"/>
      <c r="L216" s="120"/>
      <c r="M216" s="120"/>
      <c r="N216" s="167"/>
      <c r="O216" s="120"/>
      <c r="P216" s="120"/>
      <c r="Q216" s="120"/>
      <c r="R216" s="120"/>
      <c r="S216" s="120"/>
      <c r="T216" s="221"/>
      <c r="U216" s="89"/>
      <c r="V216" s="61"/>
      <c r="W216" s="92" t="s">
        <v>65</v>
      </c>
      <c r="X216" s="93" t="s">
        <v>30</v>
      </c>
      <c r="Y216" s="93" t="s">
        <v>1011</v>
      </c>
      <c r="Z216" s="134">
        <f>VLOOKUP(W216,Sheet2!$B:$D,3,FALSE)</f>
        <v>1.76</v>
      </c>
      <c r="AA216" s="93">
        <f>AA215/10</f>
        <v>1.02</v>
      </c>
      <c r="AB216" s="93">
        <f>AD216/AC212</f>
        <v>1.7254901960784312</v>
      </c>
      <c r="AC216" s="93">
        <f>AC212/AA216</f>
        <v>170.13884803921619</v>
      </c>
      <c r="AD216" s="94">
        <f>AC216*Z216</f>
        <v>299.4443725490205</v>
      </c>
      <c r="AE216" s="190"/>
      <c r="AF216" s="191"/>
      <c r="AG216" s="191"/>
      <c r="AH216" s="191"/>
      <c r="AI216" s="186"/>
      <c r="AK216" s="171"/>
    </row>
    <row r="217" spans="1:41" s="102" customFormat="1" ht="19.899999999999999" customHeight="1" x14ac:dyDescent="0.25">
      <c r="A217" s="45"/>
      <c r="B217" s="59"/>
      <c r="C217" s="137"/>
      <c r="D217" s="59"/>
      <c r="E217" s="116"/>
      <c r="F217" s="120"/>
      <c r="G217" s="120"/>
      <c r="H217" s="120"/>
      <c r="I217" s="60"/>
      <c r="J217" s="116"/>
      <c r="K217" s="213"/>
      <c r="L217" s="120"/>
      <c r="M217" s="120"/>
      <c r="N217" s="167"/>
      <c r="O217" s="120"/>
      <c r="P217" s="120"/>
      <c r="Q217" s="120"/>
      <c r="R217" s="120"/>
      <c r="S217" s="120"/>
      <c r="T217" s="221"/>
      <c r="U217" s="89"/>
      <c r="V217" s="61"/>
      <c r="W217" s="92" t="s">
        <v>1030</v>
      </c>
      <c r="X217" s="93" t="s">
        <v>29</v>
      </c>
      <c r="Y217" s="93" t="s">
        <v>93</v>
      </c>
      <c r="Z217" s="134">
        <f>VLOOKUP(W217,Sheet2!$B:$D,3,FALSE)</f>
        <v>23</v>
      </c>
      <c r="AA217" s="93">
        <v>50</v>
      </c>
      <c r="AB217" s="93">
        <f>AD217/AC212</f>
        <v>0.46</v>
      </c>
      <c r="AC217" s="93">
        <f>AC212/AA217</f>
        <v>3.4708325000000104</v>
      </c>
      <c r="AD217" s="94">
        <f t="shared" ref="AD217:AD220" si="217">AC217*Z217</f>
        <v>79.829147500000246</v>
      </c>
      <c r="AE217" s="190"/>
      <c r="AF217" s="191"/>
      <c r="AG217" s="191"/>
      <c r="AH217" s="191"/>
      <c r="AI217" s="186"/>
      <c r="AK217" s="171"/>
    </row>
    <row r="218" spans="1:41" s="102" customFormat="1" ht="19.899999999999999" customHeight="1" x14ac:dyDescent="0.25">
      <c r="A218" s="45"/>
      <c r="B218" s="59"/>
      <c r="C218" s="137"/>
      <c r="D218" s="59"/>
      <c r="E218" s="116"/>
      <c r="F218" s="120"/>
      <c r="G218" s="120"/>
      <c r="H218" s="120"/>
      <c r="I218" s="60"/>
      <c r="J218" s="116"/>
      <c r="K218" s="213"/>
      <c r="L218" s="120"/>
      <c r="M218" s="120"/>
      <c r="N218" s="167"/>
      <c r="O218" s="120"/>
      <c r="P218" s="120"/>
      <c r="Q218" s="120"/>
      <c r="R218" s="120"/>
      <c r="S218" s="120"/>
      <c r="T218" s="221"/>
      <c r="U218" s="89"/>
      <c r="V218" s="61"/>
      <c r="W218" s="92" t="s">
        <v>65</v>
      </c>
      <c r="X218" s="93" t="s">
        <v>30</v>
      </c>
      <c r="Y218" s="93" t="s">
        <v>1011</v>
      </c>
      <c r="Z218" s="134">
        <f>VLOOKUP(W218,Sheet2!$B:$D,3,FALSE)</f>
        <v>1.76</v>
      </c>
      <c r="AA218" s="93">
        <f>AA217/3</f>
        <v>16.666666666666668</v>
      </c>
      <c r="AB218" s="93">
        <f>AD218/AC212</f>
        <v>0.1056</v>
      </c>
      <c r="AC218" s="93">
        <f>AC212/AA218</f>
        <v>10.412497500000031</v>
      </c>
      <c r="AD218" s="94">
        <f t="shared" si="217"/>
        <v>18.325995600000056</v>
      </c>
      <c r="AE218" s="190"/>
      <c r="AF218" s="191"/>
      <c r="AG218" s="191"/>
      <c r="AH218" s="191"/>
      <c r="AI218" s="186"/>
      <c r="AK218" s="171"/>
    </row>
    <row r="219" spans="1:41" s="102" customFormat="1" ht="19.899999999999999" customHeight="1" x14ac:dyDescent="0.25">
      <c r="A219" s="45"/>
      <c r="B219" s="59"/>
      <c r="C219" s="137"/>
      <c r="D219" s="59"/>
      <c r="E219" s="116"/>
      <c r="F219" s="120"/>
      <c r="G219" s="120"/>
      <c r="H219" s="120"/>
      <c r="I219" s="60"/>
      <c r="J219" s="116"/>
      <c r="K219" s="213"/>
      <c r="L219" s="120"/>
      <c r="M219" s="120"/>
      <c r="N219" s="167"/>
      <c r="O219" s="120"/>
      <c r="P219" s="120"/>
      <c r="Q219" s="120"/>
      <c r="R219" s="120"/>
      <c r="S219" s="120"/>
      <c r="T219" s="221"/>
      <c r="U219" s="89"/>
      <c r="V219" s="61"/>
      <c r="W219" s="92" t="s">
        <v>148</v>
      </c>
      <c r="X219" s="93" t="s">
        <v>29</v>
      </c>
      <c r="Y219" s="93" t="s">
        <v>93</v>
      </c>
      <c r="Z219" s="134">
        <f>VLOOKUP(W219,Sheet2!$B:$D,3,FALSE)</f>
        <v>48</v>
      </c>
      <c r="AA219" s="93">
        <f>AA213</f>
        <v>50</v>
      </c>
      <c r="AB219" s="93">
        <f>AD219/AC212</f>
        <v>0.96</v>
      </c>
      <c r="AC219" s="93">
        <f>AC212/AA219</f>
        <v>3.4708325000000104</v>
      </c>
      <c r="AD219" s="94">
        <f t="shared" si="217"/>
        <v>166.59996000000049</v>
      </c>
      <c r="AE219" s="190"/>
      <c r="AF219" s="191"/>
      <c r="AG219" s="191"/>
      <c r="AH219" s="191"/>
      <c r="AI219" s="186"/>
      <c r="AK219" s="171"/>
    </row>
    <row r="220" spans="1:41" s="102" customFormat="1" ht="19.899999999999999" customHeight="1" x14ac:dyDescent="0.25">
      <c r="A220" s="45"/>
      <c r="B220" s="59"/>
      <c r="C220" s="137"/>
      <c r="D220" s="59"/>
      <c r="E220" s="116"/>
      <c r="F220" s="120"/>
      <c r="G220" s="120"/>
      <c r="H220" s="120"/>
      <c r="I220" s="60"/>
      <c r="J220" s="116"/>
      <c r="K220" s="213"/>
      <c r="L220" s="120"/>
      <c r="M220" s="120"/>
      <c r="N220" s="167"/>
      <c r="O220" s="120"/>
      <c r="P220" s="120"/>
      <c r="Q220" s="120"/>
      <c r="R220" s="120"/>
      <c r="S220" s="120"/>
      <c r="T220" s="221"/>
      <c r="U220" s="89"/>
      <c r="V220" s="61"/>
      <c r="W220" s="92" t="s">
        <v>65</v>
      </c>
      <c r="X220" s="93" t="s">
        <v>30</v>
      </c>
      <c r="Y220" s="93" t="s">
        <v>1011</v>
      </c>
      <c r="Z220" s="134">
        <f>VLOOKUP(W220,Sheet2!$B:$D,3,FALSE)</f>
        <v>1.76</v>
      </c>
      <c r="AA220" s="93">
        <f>AA219/10</f>
        <v>5</v>
      </c>
      <c r="AB220" s="93">
        <f>AD220/AC212</f>
        <v>0.35199999999999998</v>
      </c>
      <c r="AC220" s="93">
        <f>AC212/AA220</f>
        <v>34.708325000000102</v>
      </c>
      <c r="AD220" s="94">
        <f t="shared" si="217"/>
        <v>61.086652000000178</v>
      </c>
      <c r="AE220" s="190"/>
      <c r="AF220" s="191"/>
      <c r="AG220" s="191"/>
      <c r="AH220" s="191"/>
      <c r="AI220" s="186"/>
      <c r="AK220" s="171"/>
    </row>
    <row r="221" spans="1:41" s="103" customFormat="1" ht="19.899999999999999" customHeight="1" x14ac:dyDescent="0.25">
      <c r="A221" s="51"/>
      <c r="B221" s="52"/>
      <c r="C221" s="165"/>
      <c r="D221" s="52"/>
      <c r="E221" s="115"/>
      <c r="F221" s="58"/>
      <c r="G221" s="58"/>
      <c r="H221" s="58"/>
      <c r="I221" s="55"/>
      <c r="J221" s="113">
        <f>J211</f>
        <v>173.54162500000052</v>
      </c>
      <c r="K221" s="212">
        <f>K211</f>
        <v>173.54162500000052</v>
      </c>
      <c r="L221" s="58"/>
      <c r="M221" s="58">
        <f>K221-L221</f>
        <v>173.54162500000052</v>
      </c>
      <c r="N221" s="166"/>
      <c r="O221" s="58"/>
      <c r="P221" s="58"/>
      <c r="Q221" s="58"/>
      <c r="R221" s="58"/>
      <c r="S221" s="58"/>
      <c r="T221" s="220"/>
      <c r="U221" s="88"/>
      <c r="V221" s="56"/>
      <c r="W221" s="57" t="s">
        <v>1036</v>
      </c>
      <c r="X221" s="53"/>
      <c r="Y221" s="91" t="s">
        <v>68</v>
      </c>
      <c r="Z221" s="136">
        <f>AD221/AC221</f>
        <v>115.58333333333333</v>
      </c>
      <c r="AA221" s="58"/>
      <c r="AB221" s="53">
        <f>AD221/AC221</f>
        <v>115.58333333333333</v>
      </c>
      <c r="AC221" s="53">
        <f>M221+$AE$10</f>
        <v>173.54162500000052</v>
      </c>
      <c r="AD221" s="54">
        <f>SUM(AD222:AD226)</f>
        <v>20058.519489583392</v>
      </c>
      <c r="AE221" s="184">
        <f>SUMIFS($AD$37:$AD$12971,$V$37:$V$12971,$V221,$X$37:$X$12971,AE$13)</f>
        <v>0</v>
      </c>
      <c r="AF221" s="185">
        <f>SUMIFS($AD$37:$AD$12971,$V$37:$V$12971,$V221,$X$37:$X$12971,AF$13)</f>
        <v>0</v>
      </c>
      <c r="AG221" s="185">
        <f>SUMIFS($AD$37:$AD$12971,$V$37:$V$12971,$V221,$X$37:$X$12971,AG$13)</f>
        <v>0</v>
      </c>
      <c r="AH221" s="187">
        <f>SUMIFS($AD$37:$AD$12971,$V$37:$V$12971,$V221,$X$37:$X$12971,AH$13)</f>
        <v>0</v>
      </c>
      <c r="AI221" s="161">
        <f t="shared" ref="AI221" si="218">SUM(AE221:AH221)</f>
        <v>0</v>
      </c>
      <c r="AK221" s="172"/>
    </row>
    <row r="222" spans="1:41" s="102" customFormat="1" ht="19.899999999999999" customHeight="1" x14ac:dyDescent="0.25">
      <c r="A222" s="45"/>
      <c r="B222" s="59"/>
      <c r="C222" s="137"/>
      <c r="D222" s="59"/>
      <c r="E222" s="116"/>
      <c r="F222" s="120"/>
      <c r="G222" s="120"/>
      <c r="H222" s="120"/>
      <c r="I222" s="60"/>
      <c r="J222" s="116"/>
      <c r="K222" s="213"/>
      <c r="L222" s="120"/>
      <c r="M222" s="120"/>
      <c r="N222" s="167"/>
      <c r="O222" s="120"/>
      <c r="P222" s="120"/>
      <c r="Q222" s="120"/>
      <c r="R222" s="120"/>
      <c r="S222" s="120"/>
      <c r="T222" s="221"/>
      <c r="U222" s="89"/>
      <c r="V222" s="61"/>
      <c r="W222" s="92" t="s">
        <v>172</v>
      </c>
      <c r="X222" s="93" t="s">
        <v>30</v>
      </c>
      <c r="Y222" s="93" t="s">
        <v>68</v>
      </c>
      <c r="Z222" s="134">
        <f>VLOOKUP(W222,Sheet2!$B:$D,3,FALSE)</f>
        <v>50</v>
      </c>
      <c r="AA222" s="93">
        <v>1</v>
      </c>
      <c r="AB222" s="93">
        <f>AD222/AC221</f>
        <v>50</v>
      </c>
      <c r="AC222" s="93">
        <f>AC221/AA222</f>
        <v>173.54162500000052</v>
      </c>
      <c r="AD222" s="94">
        <f t="shared" ref="AD222" si="219">AC222*Z222</f>
        <v>8677.0812500000266</v>
      </c>
      <c r="AE222" s="190"/>
      <c r="AF222" s="191"/>
      <c r="AG222" s="191"/>
      <c r="AH222" s="191"/>
      <c r="AI222" s="186"/>
      <c r="AK222" s="171"/>
    </row>
    <row r="223" spans="1:41" s="102" customFormat="1" ht="19.899999999999999" customHeight="1" x14ac:dyDescent="0.25">
      <c r="A223" s="45"/>
      <c r="B223" s="59"/>
      <c r="C223" s="137"/>
      <c r="D223" s="59"/>
      <c r="E223" s="116"/>
      <c r="F223" s="120"/>
      <c r="G223" s="120"/>
      <c r="H223" s="120"/>
      <c r="I223" s="60"/>
      <c r="J223" s="116"/>
      <c r="K223" s="213"/>
      <c r="L223" s="120"/>
      <c r="M223" s="120"/>
      <c r="N223" s="167"/>
      <c r="O223" s="120"/>
      <c r="P223" s="120"/>
      <c r="Q223" s="120"/>
      <c r="R223" s="120"/>
      <c r="S223" s="120"/>
      <c r="T223" s="221"/>
      <c r="U223" s="89"/>
      <c r="V223" s="61"/>
      <c r="W223" s="92" t="s">
        <v>1258</v>
      </c>
      <c r="X223" s="93" t="s">
        <v>32</v>
      </c>
      <c r="Y223" s="93" t="s">
        <v>68</v>
      </c>
      <c r="Z223" s="134">
        <f>VLOOKUP(W223,Sheet2!$B:$D,3,FALSE)</f>
        <v>25</v>
      </c>
      <c r="AA223" s="93">
        <v>1</v>
      </c>
      <c r="AB223" s="93">
        <f>AD223/AC221</f>
        <v>25</v>
      </c>
      <c r="AC223" s="93">
        <f>AC221/AA223</f>
        <v>173.54162500000052</v>
      </c>
      <c r="AD223" s="94">
        <f>AC223*Z223</f>
        <v>4338.5406250000133</v>
      </c>
      <c r="AE223" s="190"/>
      <c r="AF223" s="191"/>
      <c r="AG223" s="191"/>
      <c r="AH223" s="191"/>
      <c r="AI223" s="186"/>
      <c r="AK223" s="171"/>
    </row>
    <row r="224" spans="1:41" s="102" customFormat="1" ht="19.899999999999999" customHeight="1" x14ac:dyDescent="0.25">
      <c r="A224" s="45"/>
      <c r="B224" s="59"/>
      <c r="C224" s="137"/>
      <c r="D224" s="59"/>
      <c r="E224" s="116"/>
      <c r="F224" s="120"/>
      <c r="G224" s="120"/>
      <c r="H224" s="120"/>
      <c r="I224" s="60"/>
      <c r="J224" s="116"/>
      <c r="K224" s="213"/>
      <c r="L224" s="120"/>
      <c r="M224" s="120"/>
      <c r="N224" s="167"/>
      <c r="O224" s="120"/>
      <c r="P224" s="120"/>
      <c r="Q224" s="120"/>
      <c r="R224" s="120"/>
      <c r="S224" s="120"/>
      <c r="T224" s="221"/>
      <c r="U224" s="89"/>
      <c r="V224" s="61"/>
      <c r="W224" s="92" t="s">
        <v>1032</v>
      </c>
      <c r="X224" s="93" t="s">
        <v>30</v>
      </c>
      <c r="Y224" s="93" t="s">
        <v>66</v>
      </c>
      <c r="Z224" s="134">
        <f>VLOOKUP(W224,Sheet2!$B:$D,3,FALSE)</f>
        <v>250</v>
      </c>
      <c r="AA224" s="93">
        <f>1/(1*0.1)</f>
        <v>10</v>
      </c>
      <c r="AB224" s="93">
        <f>AD224/AC221</f>
        <v>24.999999999999996</v>
      </c>
      <c r="AC224" s="93">
        <f>AC221/AA224</f>
        <v>17.354162500000051</v>
      </c>
      <c r="AD224" s="94">
        <f>AC224*Z224</f>
        <v>4338.5406250000124</v>
      </c>
      <c r="AE224" s="190"/>
      <c r="AF224" s="191"/>
      <c r="AG224" s="191"/>
      <c r="AH224" s="191"/>
      <c r="AI224" s="186"/>
      <c r="AK224" s="171"/>
    </row>
    <row r="225" spans="1:41" s="102" customFormat="1" ht="19.899999999999999" customHeight="1" x14ac:dyDescent="0.25">
      <c r="A225" s="45"/>
      <c r="B225" s="59"/>
      <c r="C225" s="137"/>
      <c r="D225" s="59"/>
      <c r="E225" s="116"/>
      <c r="F225" s="120"/>
      <c r="G225" s="120"/>
      <c r="H225" s="120"/>
      <c r="I225" s="60"/>
      <c r="J225" s="116"/>
      <c r="K225" s="213"/>
      <c r="L225" s="120"/>
      <c r="M225" s="120"/>
      <c r="N225" s="167"/>
      <c r="O225" s="120"/>
      <c r="P225" s="120"/>
      <c r="Q225" s="120"/>
      <c r="R225" s="120"/>
      <c r="S225" s="120"/>
      <c r="T225" s="221"/>
      <c r="U225" s="89"/>
      <c r="V225" s="61"/>
      <c r="W225" s="92" t="s">
        <v>1035</v>
      </c>
      <c r="X225" s="93" t="s">
        <v>32</v>
      </c>
      <c r="Y225" s="93" t="s">
        <v>66</v>
      </c>
      <c r="Z225" s="134">
        <f>VLOOKUP(W225,Sheet2!$B:$D,3,FALSE)</f>
        <v>150</v>
      </c>
      <c r="AA225" s="93">
        <f>AA224</f>
        <v>10</v>
      </c>
      <c r="AB225" s="93">
        <f>AD225/AC221</f>
        <v>14.999999999999998</v>
      </c>
      <c r="AC225" s="93">
        <f>AC221/AA225</f>
        <v>17.354162500000051</v>
      </c>
      <c r="AD225" s="94">
        <f t="shared" ref="AD225:AD226" si="220">AC225*Z225</f>
        <v>2603.1243750000076</v>
      </c>
      <c r="AE225" s="190"/>
      <c r="AF225" s="191"/>
      <c r="AG225" s="191"/>
      <c r="AH225" s="191"/>
      <c r="AI225" s="186"/>
      <c r="AK225" s="171"/>
    </row>
    <row r="226" spans="1:41" s="102" customFormat="1" ht="19.899999999999999" customHeight="1" x14ac:dyDescent="0.25">
      <c r="A226" s="45"/>
      <c r="B226" s="59"/>
      <c r="C226" s="137"/>
      <c r="D226" s="59"/>
      <c r="E226" s="116"/>
      <c r="F226" s="120"/>
      <c r="G226" s="120"/>
      <c r="H226" s="120"/>
      <c r="I226" s="60"/>
      <c r="J226" s="116"/>
      <c r="K226" s="213"/>
      <c r="L226" s="120"/>
      <c r="M226" s="120"/>
      <c r="N226" s="167"/>
      <c r="O226" s="120"/>
      <c r="P226" s="120"/>
      <c r="Q226" s="120"/>
      <c r="R226" s="120"/>
      <c r="S226" s="120"/>
      <c r="T226" s="221"/>
      <c r="U226" s="89"/>
      <c r="V226" s="61"/>
      <c r="W226" s="92" t="s">
        <v>1037</v>
      </c>
      <c r="X226" s="93" t="s">
        <v>30</v>
      </c>
      <c r="Y226" s="93" t="s">
        <v>1038</v>
      </c>
      <c r="Z226" s="134">
        <f>VLOOKUP(W226,Sheet2!$B:$D,3,FALSE)</f>
        <v>175</v>
      </c>
      <c r="AA226" s="93">
        <v>300</v>
      </c>
      <c r="AB226" s="93">
        <f>AD226/AC221</f>
        <v>0.58333333333333337</v>
      </c>
      <c r="AC226" s="93">
        <f>AC221/AA226</f>
        <v>0.57847208333333511</v>
      </c>
      <c r="AD226" s="94">
        <f t="shared" si="220"/>
        <v>101.23261458333364</v>
      </c>
      <c r="AE226" s="190"/>
      <c r="AF226" s="191"/>
      <c r="AG226" s="191"/>
      <c r="AH226" s="191"/>
      <c r="AI226" s="186"/>
      <c r="AK226" s="171"/>
    </row>
    <row r="227" spans="1:41" s="103" customFormat="1" ht="19.899999999999999" customHeight="1" x14ac:dyDescent="0.25">
      <c r="A227" s="51"/>
      <c r="B227" s="52"/>
      <c r="C227" s="165"/>
      <c r="D227" s="52"/>
      <c r="E227" s="115"/>
      <c r="F227" s="58"/>
      <c r="G227" s="58"/>
      <c r="H227" s="58"/>
      <c r="I227" s="55"/>
      <c r="J227" s="113">
        <f>J211</f>
        <v>173.54162500000052</v>
      </c>
      <c r="K227" s="212">
        <f>K211</f>
        <v>173.54162500000052</v>
      </c>
      <c r="L227" s="58"/>
      <c r="M227" s="58">
        <f>K227-L227</f>
        <v>173.54162500000052</v>
      </c>
      <c r="N227" s="166"/>
      <c r="O227" s="58"/>
      <c r="P227" s="58"/>
      <c r="Q227" s="58"/>
      <c r="R227" s="58"/>
      <c r="S227" s="58"/>
      <c r="T227" s="220"/>
      <c r="U227" s="88"/>
      <c r="V227" s="56"/>
      <c r="W227" s="57" t="s">
        <v>1040</v>
      </c>
      <c r="X227" s="53"/>
      <c r="Y227" s="91" t="s">
        <v>68</v>
      </c>
      <c r="Z227" s="136">
        <f>AD227/AC227</f>
        <v>5</v>
      </c>
      <c r="AA227" s="58"/>
      <c r="AB227" s="53">
        <f>AD227/AC227</f>
        <v>5</v>
      </c>
      <c r="AC227" s="53">
        <f>M227+$AE$10</f>
        <v>173.54162500000052</v>
      </c>
      <c r="AD227" s="54">
        <f>SUM(AD228)</f>
        <v>867.70812500000261</v>
      </c>
      <c r="AE227" s="184">
        <f>SUMIFS($AD$37:$AD$12971,$V$37:$V$12971,$V227,$X$37:$X$12971,AE$13)</f>
        <v>0</v>
      </c>
      <c r="AF227" s="185">
        <f>SUMIFS($AD$37:$AD$12971,$V$37:$V$12971,$V227,$X$37:$X$12971,AF$13)</f>
        <v>0</v>
      </c>
      <c r="AG227" s="185">
        <f>SUMIFS($AD$37:$AD$12971,$V$37:$V$12971,$V227,$X$37:$X$12971,AG$13)</f>
        <v>0</v>
      </c>
      <c r="AH227" s="187">
        <f>SUMIFS($AD$37:$AD$12971,$V$37:$V$12971,$V227,$X$37:$X$12971,AH$13)</f>
        <v>0</v>
      </c>
      <c r="AI227" s="161">
        <f t="shared" ref="AI227" si="221">SUM(AE227:AH227)</f>
        <v>0</v>
      </c>
      <c r="AK227" s="172"/>
    </row>
    <row r="228" spans="1:41" s="102" customFormat="1" ht="19.899999999999999" customHeight="1" x14ac:dyDescent="0.25">
      <c r="A228" s="45"/>
      <c r="B228" s="59"/>
      <c r="C228" s="137"/>
      <c r="D228" s="59"/>
      <c r="E228" s="116"/>
      <c r="F228" s="120"/>
      <c r="G228" s="120"/>
      <c r="H228" s="120"/>
      <c r="I228" s="60"/>
      <c r="J228" s="116"/>
      <c r="K228" s="213"/>
      <c r="L228" s="120"/>
      <c r="M228" s="120"/>
      <c r="N228" s="167"/>
      <c r="O228" s="120"/>
      <c r="P228" s="120"/>
      <c r="Q228" s="120"/>
      <c r="R228" s="120"/>
      <c r="S228" s="120"/>
      <c r="T228" s="221"/>
      <c r="U228" s="89"/>
      <c r="V228" s="61"/>
      <c r="W228" s="92" t="s">
        <v>1039</v>
      </c>
      <c r="X228" s="93" t="s">
        <v>32</v>
      </c>
      <c r="Y228" s="93" t="s">
        <v>68</v>
      </c>
      <c r="Z228" s="134">
        <f>VLOOKUP(W228,Sheet2!$B:$D,3,FALSE)</f>
        <v>5</v>
      </c>
      <c r="AA228" s="93">
        <v>1</v>
      </c>
      <c r="AB228" s="93">
        <f>AD228/AC227</f>
        <v>5</v>
      </c>
      <c r="AC228" s="93">
        <f>AC227/AA228</f>
        <v>173.54162500000052</v>
      </c>
      <c r="AD228" s="94">
        <f t="shared" ref="AD228" si="222">AC228*Z228</f>
        <v>867.70812500000261</v>
      </c>
      <c r="AE228" s="190"/>
      <c r="AF228" s="191"/>
      <c r="AG228" s="191"/>
      <c r="AH228" s="191"/>
      <c r="AI228" s="186"/>
      <c r="AK228" s="171"/>
    </row>
    <row r="229" spans="1:41" ht="20.100000000000001" customHeight="1" x14ac:dyDescent="0.25">
      <c r="A229" s="277" t="s">
        <v>216</v>
      </c>
      <c r="B229" s="278"/>
      <c r="C229" s="64" t="s">
        <v>221</v>
      </c>
      <c r="D229" s="46" t="s">
        <v>97</v>
      </c>
      <c r="E229" s="114">
        <v>66.71412499999991</v>
      </c>
      <c r="F229" s="44">
        <v>278</v>
      </c>
      <c r="G229" s="44">
        <f t="shared" si="199"/>
        <v>18546.526749999975</v>
      </c>
      <c r="H229" s="44">
        <f t="shared" si="200"/>
        <v>167.84414901960787</v>
      </c>
      <c r="I229" s="43">
        <f t="shared" si="201"/>
        <v>11197.575538212732</v>
      </c>
      <c r="J229" s="112">
        <f t="shared" si="202"/>
        <v>66.71412499999991</v>
      </c>
      <c r="K229" s="211">
        <f t="shared" si="203"/>
        <v>66.71412499999991</v>
      </c>
      <c r="L229" s="44"/>
      <c r="M229" s="44">
        <f t="shared" ref="M229:M522" si="223">K229-L229</f>
        <v>66.71412499999991</v>
      </c>
      <c r="N229" s="173">
        <f t="shared" si="204"/>
        <v>1</v>
      </c>
      <c r="O229" s="44">
        <f t="shared" si="205"/>
        <v>278</v>
      </c>
      <c r="P229" s="44">
        <f t="shared" si="206"/>
        <v>18546.526749999975</v>
      </c>
      <c r="Q229" s="44">
        <f t="shared" si="207"/>
        <v>167.84414901960787</v>
      </c>
      <c r="R229" s="44">
        <f t="shared" ref="R229:R522" si="224">M229*Q229</f>
        <v>11197.575538212732</v>
      </c>
      <c r="S229" s="123"/>
      <c r="T229" s="219">
        <f t="shared" ref="T229:T522" si="225">S229+R229</f>
        <v>11197.575538212732</v>
      </c>
      <c r="U229" s="87"/>
      <c r="V229" s="47"/>
      <c r="W229" s="48"/>
      <c r="X229" s="48"/>
      <c r="Y229" s="48"/>
      <c r="Z229" s="135"/>
      <c r="AA229" s="49"/>
      <c r="AB229" s="50">
        <f t="shared" si="208"/>
        <v>167.84414901960787</v>
      </c>
      <c r="AC229" s="42">
        <f t="shared" ref="AC229:AC522" si="226">M229+$AE$10</f>
        <v>66.71412499999991</v>
      </c>
      <c r="AD229" s="90">
        <f>AD230+AD240+AD246</f>
        <v>11197.575538212732</v>
      </c>
      <c r="AE229" s="188">
        <f t="shared" ref="AE229:AH229" si="227">AE230+AE240+AE246</f>
        <v>0</v>
      </c>
      <c r="AF229" s="189">
        <f t="shared" si="227"/>
        <v>0</v>
      </c>
      <c r="AG229" s="189">
        <f t="shared" si="227"/>
        <v>0</v>
      </c>
      <c r="AH229" s="189">
        <f t="shared" si="227"/>
        <v>0</v>
      </c>
      <c r="AI229" s="161">
        <f t="shared" si="213"/>
        <v>0</v>
      </c>
      <c r="AK229" s="169">
        <v>5</v>
      </c>
      <c r="AO229" s="19" t="s">
        <v>63</v>
      </c>
    </row>
    <row r="230" spans="1:41" s="103" customFormat="1" ht="19.899999999999999" customHeight="1" x14ac:dyDescent="0.25">
      <c r="A230" s="51"/>
      <c r="B230" s="52"/>
      <c r="C230" s="165"/>
      <c r="D230" s="52"/>
      <c r="E230" s="115"/>
      <c r="F230" s="58"/>
      <c r="G230" s="58"/>
      <c r="H230" s="58"/>
      <c r="I230" s="55"/>
      <c r="J230" s="113">
        <f>J229</f>
        <v>66.71412499999991</v>
      </c>
      <c r="K230" s="212">
        <f>K229</f>
        <v>66.71412499999991</v>
      </c>
      <c r="L230" s="58"/>
      <c r="M230" s="58">
        <f>K230-L230</f>
        <v>66.71412499999991</v>
      </c>
      <c r="N230" s="166"/>
      <c r="O230" s="58"/>
      <c r="P230" s="58"/>
      <c r="Q230" s="58"/>
      <c r="R230" s="58"/>
      <c r="S230" s="58"/>
      <c r="T230" s="220"/>
      <c r="U230" s="88"/>
      <c r="V230" s="56"/>
      <c r="W230" s="57" t="s">
        <v>1050</v>
      </c>
      <c r="X230" s="53"/>
      <c r="Y230" s="91" t="s">
        <v>68</v>
      </c>
      <c r="Z230" s="136">
        <f>AD230/AC230</f>
        <v>47.260815686274505</v>
      </c>
      <c r="AA230" s="58"/>
      <c r="AB230" s="53">
        <f>AD230/AC230</f>
        <v>47.260815686274505</v>
      </c>
      <c r="AC230" s="53">
        <f>M230+$AE$10</f>
        <v>66.71412499999991</v>
      </c>
      <c r="AD230" s="54">
        <f>SUM(AD231:AD239)</f>
        <v>3152.9639652960741</v>
      </c>
      <c r="AE230" s="184">
        <f>SUMIFS($AD$37:$AD$12971,$V$37:$V$12971,$V230,$X$37:$X$12971,AE$13)</f>
        <v>0</v>
      </c>
      <c r="AF230" s="185">
        <f>SUMIFS($AD$37:$AD$12971,$V$37:$V$12971,$V230,$X$37:$X$12971,AF$13)</f>
        <v>0</v>
      </c>
      <c r="AG230" s="185">
        <f>SUMIFS($AD$37:$AD$12971,$V$37:$V$12971,$V230,$X$37:$X$12971,AG$13)</f>
        <v>0</v>
      </c>
      <c r="AH230" s="187">
        <f>SUMIFS($AD$37:$AD$12971,$V$37:$V$12971,$V230,$X$37:$X$12971,AH$13)</f>
        <v>0</v>
      </c>
      <c r="AI230" s="161">
        <f t="shared" ref="AI230" si="228">SUM(AE230:AH230)</f>
        <v>0</v>
      </c>
      <c r="AK230" s="172"/>
    </row>
    <row r="231" spans="1:41" s="102" customFormat="1" ht="19.899999999999999" customHeight="1" x14ac:dyDescent="0.25">
      <c r="A231" s="45"/>
      <c r="B231" s="59"/>
      <c r="C231" s="137"/>
      <c r="D231" s="59"/>
      <c r="E231" s="116"/>
      <c r="F231" s="120"/>
      <c r="G231" s="120"/>
      <c r="H231" s="120"/>
      <c r="I231" s="60"/>
      <c r="J231" s="116"/>
      <c r="K231" s="213"/>
      <c r="L231" s="120"/>
      <c r="M231" s="120"/>
      <c r="N231" s="167"/>
      <c r="O231" s="120"/>
      <c r="P231" s="120"/>
      <c r="Q231" s="120"/>
      <c r="R231" s="120"/>
      <c r="S231" s="120"/>
      <c r="T231" s="221"/>
      <c r="U231" s="89"/>
      <c r="V231" s="61"/>
      <c r="W231" s="92" t="s">
        <v>129</v>
      </c>
      <c r="X231" s="93" t="s">
        <v>29</v>
      </c>
      <c r="Y231" s="93" t="s">
        <v>93</v>
      </c>
      <c r="Z231" s="134">
        <f>VLOOKUP(W231,Sheet2!$B:$D,3,FALSE)</f>
        <v>56</v>
      </c>
      <c r="AA231" s="93">
        <f>100/(1*2.5)</f>
        <v>40</v>
      </c>
      <c r="AB231" s="93">
        <f t="shared" ref="AB231" si="229">AD231/AC230</f>
        <v>1.4000000000000001</v>
      </c>
      <c r="AC231" s="93">
        <f>AC230/AA231</f>
        <v>1.6678531249999977</v>
      </c>
      <c r="AD231" s="94">
        <f t="shared" ref="AD231:AD232" si="230">AC231*Z231</f>
        <v>93.399774999999877</v>
      </c>
      <c r="AE231" s="190"/>
      <c r="AF231" s="191"/>
      <c r="AG231" s="191"/>
      <c r="AH231" s="191"/>
      <c r="AI231" s="186"/>
      <c r="AK231" s="171"/>
    </row>
    <row r="232" spans="1:41" s="102" customFormat="1" ht="19.899999999999999" customHeight="1" x14ac:dyDescent="0.25">
      <c r="A232" s="45"/>
      <c r="B232" s="59"/>
      <c r="C232" s="137"/>
      <c r="D232" s="59"/>
      <c r="E232" s="116"/>
      <c r="F232" s="120"/>
      <c r="G232" s="120"/>
      <c r="H232" s="120"/>
      <c r="I232" s="60"/>
      <c r="J232" s="116"/>
      <c r="K232" s="213"/>
      <c r="L232" s="120"/>
      <c r="M232" s="120"/>
      <c r="N232" s="167"/>
      <c r="O232" s="120"/>
      <c r="P232" s="120"/>
      <c r="Q232" s="120"/>
      <c r="R232" s="120"/>
      <c r="S232" s="120"/>
      <c r="T232" s="221"/>
      <c r="U232" s="89"/>
      <c r="V232" s="61"/>
      <c r="W232" s="92" t="s">
        <v>65</v>
      </c>
      <c r="X232" s="93" t="s">
        <v>30</v>
      </c>
      <c r="Y232" s="93" t="s">
        <v>1011</v>
      </c>
      <c r="Z232" s="134">
        <f>VLOOKUP(W232,Sheet2!$B:$D,3,FALSE)</f>
        <v>1.76</v>
      </c>
      <c r="AA232" s="93">
        <f>AA231/14</f>
        <v>2.8571428571428572</v>
      </c>
      <c r="AB232" s="93">
        <f>AD232/AC230</f>
        <v>0.6160000000000001</v>
      </c>
      <c r="AC232" s="93">
        <f>AC230/AA232</f>
        <v>23.349943749999969</v>
      </c>
      <c r="AD232" s="94">
        <f t="shared" si="230"/>
        <v>41.095900999999948</v>
      </c>
      <c r="AE232" s="190"/>
      <c r="AF232" s="191"/>
      <c r="AG232" s="191"/>
      <c r="AH232" s="191"/>
      <c r="AI232" s="186"/>
      <c r="AK232" s="171"/>
    </row>
    <row r="233" spans="1:41" s="102" customFormat="1" ht="19.899999999999999" customHeight="1" x14ac:dyDescent="0.25">
      <c r="A233" s="45"/>
      <c r="B233" s="59"/>
      <c r="C233" s="137"/>
      <c r="D233" s="59"/>
      <c r="E233" s="116"/>
      <c r="F233" s="120"/>
      <c r="G233" s="120"/>
      <c r="H233" s="120"/>
      <c r="I233" s="60"/>
      <c r="J233" s="116"/>
      <c r="K233" s="213"/>
      <c r="L233" s="120"/>
      <c r="M233" s="120"/>
      <c r="N233" s="167"/>
      <c r="O233" s="120"/>
      <c r="P233" s="120"/>
      <c r="Q233" s="120"/>
      <c r="R233" s="120"/>
      <c r="S233" s="120"/>
      <c r="T233" s="221"/>
      <c r="U233" s="89"/>
      <c r="V233" s="61"/>
      <c r="W233" s="92" t="s">
        <v>161</v>
      </c>
      <c r="X233" s="93" t="s">
        <v>29</v>
      </c>
      <c r="Y233" s="93" t="s">
        <v>93</v>
      </c>
      <c r="Z233" s="134">
        <f>VLOOKUP(W233,Sheet2!$B:$D,3,FALSE)</f>
        <v>48</v>
      </c>
      <c r="AA233" s="93">
        <f>(16*0.85*1.5)/(1*2.5)</f>
        <v>8.16</v>
      </c>
      <c r="AB233" s="93">
        <f>AD233/AC230</f>
        <v>5.882352941176471</v>
      </c>
      <c r="AC233" s="93">
        <f>AC230/AA233</f>
        <v>8.1757506127450874</v>
      </c>
      <c r="AD233" s="94">
        <f>AC233*Z233</f>
        <v>392.4360294117642</v>
      </c>
      <c r="AE233" s="190"/>
      <c r="AF233" s="191"/>
      <c r="AG233" s="191"/>
      <c r="AH233" s="191"/>
      <c r="AI233" s="186"/>
      <c r="AK233" s="171"/>
    </row>
    <row r="234" spans="1:41" s="102" customFormat="1" ht="19.899999999999999" customHeight="1" x14ac:dyDescent="0.25">
      <c r="A234" s="45"/>
      <c r="B234" s="59"/>
      <c r="C234" s="137"/>
      <c r="D234" s="59"/>
      <c r="E234" s="116"/>
      <c r="F234" s="120"/>
      <c r="G234" s="120"/>
      <c r="H234" s="120"/>
      <c r="I234" s="60"/>
      <c r="J234" s="116"/>
      <c r="K234" s="213"/>
      <c r="L234" s="120"/>
      <c r="M234" s="120"/>
      <c r="N234" s="167"/>
      <c r="O234" s="120"/>
      <c r="P234" s="120"/>
      <c r="Q234" s="120"/>
      <c r="R234" s="120"/>
      <c r="S234" s="120"/>
      <c r="T234" s="221"/>
      <c r="U234" s="89"/>
      <c r="V234" s="61"/>
      <c r="W234" s="92" t="s">
        <v>65</v>
      </c>
      <c r="X234" s="93" t="s">
        <v>30</v>
      </c>
      <c r="Y234" s="93" t="s">
        <v>1011</v>
      </c>
      <c r="Z234" s="134">
        <f>VLOOKUP(W234,Sheet2!$B:$D,3,FALSE)</f>
        <v>1.76</v>
      </c>
      <c r="AA234" s="93">
        <f>AA233/10</f>
        <v>0.81600000000000006</v>
      </c>
      <c r="AB234" s="93">
        <f>AD234/AC230</f>
        <v>2.1568627450980391</v>
      </c>
      <c r="AC234" s="93">
        <f>AC230/AA234</f>
        <v>81.757506127450867</v>
      </c>
      <c r="AD234" s="94">
        <f>AC234*Z234</f>
        <v>143.89321078431354</v>
      </c>
      <c r="AE234" s="190"/>
      <c r="AF234" s="191"/>
      <c r="AG234" s="191"/>
      <c r="AH234" s="191"/>
      <c r="AI234" s="186"/>
      <c r="AK234" s="171"/>
    </row>
    <row r="235" spans="1:41" s="102" customFormat="1" ht="19.899999999999999" customHeight="1" x14ac:dyDescent="0.25">
      <c r="A235" s="45"/>
      <c r="B235" s="59"/>
      <c r="C235" s="137"/>
      <c r="D235" s="59"/>
      <c r="E235" s="116"/>
      <c r="F235" s="120"/>
      <c r="G235" s="120"/>
      <c r="H235" s="120"/>
      <c r="I235" s="60"/>
      <c r="J235" s="116"/>
      <c r="K235" s="213"/>
      <c r="L235" s="120"/>
      <c r="M235" s="120"/>
      <c r="N235" s="167"/>
      <c r="O235" s="120"/>
      <c r="P235" s="120"/>
      <c r="Q235" s="120"/>
      <c r="R235" s="120"/>
      <c r="S235" s="120"/>
      <c r="T235" s="221"/>
      <c r="U235" s="89"/>
      <c r="V235" s="61"/>
      <c r="W235" s="92" t="s">
        <v>1030</v>
      </c>
      <c r="X235" s="93" t="s">
        <v>29</v>
      </c>
      <c r="Y235" s="93" t="s">
        <v>93</v>
      </c>
      <c r="Z235" s="134">
        <f>VLOOKUP(W235,Sheet2!$B:$D,3,FALSE)</f>
        <v>23</v>
      </c>
      <c r="AA235" s="93">
        <v>50</v>
      </c>
      <c r="AB235" s="93">
        <f>AD235/AC230</f>
        <v>0.46</v>
      </c>
      <c r="AC235" s="93">
        <f>AC230/AA235</f>
        <v>1.3342824999999983</v>
      </c>
      <c r="AD235" s="94">
        <f t="shared" ref="AD235:AD239" si="231">AC235*Z235</f>
        <v>30.688497499999961</v>
      </c>
      <c r="AE235" s="190"/>
      <c r="AF235" s="191"/>
      <c r="AG235" s="191"/>
      <c r="AH235" s="191"/>
      <c r="AI235" s="186"/>
      <c r="AK235" s="171"/>
    </row>
    <row r="236" spans="1:41" s="102" customFormat="1" ht="19.899999999999999" customHeight="1" x14ac:dyDescent="0.25">
      <c r="A236" s="45"/>
      <c r="B236" s="59"/>
      <c r="C236" s="137"/>
      <c r="D236" s="59"/>
      <c r="E236" s="116"/>
      <c r="F236" s="120"/>
      <c r="G236" s="120"/>
      <c r="H236" s="120"/>
      <c r="I236" s="60"/>
      <c r="J236" s="116"/>
      <c r="K236" s="213"/>
      <c r="L236" s="120"/>
      <c r="M236" s="120"/>
      <c r="N236" s="167"/>
      <c r="O236" s="120"/>
      <c r="P236" s="120"/>
      <c r="Q236" s="120"/>
      <c r="R236" s="120"/>
      <c r="S236" s="120"/>
      <c r="T236" s="221"/>
      <c r="U236" s="89"/>
      <c r="V236" s="61"/>
      <c r="W236" s="92" t="s">
        <v>65</v>
      </c>
      <c r="X236" s="93" t="s">
        <v>30</v>
      </c>
      <c r="Y236" s="93" t="s">
        <v>1011</v>
      </c>
      <c r="Z236" s="134">
        <f>VLOOKUP(W236,Sheet2!$B:$D,3,FALSE)</f>
        <v>1.76</v>
      </c>
      <c r="AA236" s="93">
        <f>AA235/3</f>
        <v>16.666666666666668</v>
      </c>
      <c r="AB236" s="93">
        <f>AD236/AC230</f>
        <v>0.10559999999999999</v>
      </c>
      <c r="AC236" s="93">
        <f>AC230/AA236</f>
        <v>4.0028474999999943</v>
      </c>
      <c r="AD236" s="94">
        <f t="shared" si="231"/>
        <v>7.0450115999999898</v>
      </c>
      <c r="AE236" s="190"/>
      <c r="AF236" s="191"/>
      <c r="AG236" s="191"/>
      <c r="AH236" s="191"/>
      <c r="AI236" s="186"/>
      <c r="AK236" s="171"/>
    </row>
    <row r="237" spans="1:41" s="102" customFormat="1" ht="19.899999999999999" customHeight="1" x14ac:dyDescent="0.25">
      <c r="A237" s="45"/>
      <c r="B237" s="59"/>
      <c r="C237" s="137"/>
      <c r="D237" s="59"/>
      <c r="E237" s="116"/>
      <c r="F237" s="120"/>
      <c r="G237" s="120"/>
      <c r="H237" s="120"/>
      <c r="I237" s="60"/>
      <c r="J237" s="116"/>
      <c r="K237" s="213"/>
      <c r="L237" s="120"/>
      <c r="M237" s="120"/>
      <c r="N237" s="167"/>
      <c r="O237" s="120"/>
      <c r="P237" s="120"/>
      <c r="Q237" s="120"/>
      <c r="R237" s="120"/>
      <c r="S237" s="120"/>
      <c r="T237" s="221"/>
      <c r="U237" s="89"/>
      <c r="V237" s="61"/>
      <c r="W237" s="92" t="s">
        <v>148</v>
      </c>
      <c r="X237" s="93" t="s">
        <v>29</v>
      </c>
      <c r="Y237" s="93" t="s">
        <v>93</v>
      </c>
      <c r="Z237" s="134">
        <f>VLOOKUP(W237,Sheet2!$B:$D,3,FALSE)</f>
        <v>48</v>
      </c>
      <c r="AA237" s="93">
        <f>AA231</f>
        <v>40</v>
      </c>
      <c r="AB237" s="93">
        <f>AD237/AC230</f>
        <v>1.2</v>
      </c>
      <c r="AC237" s="93">
        <f>AC230/AA237</f>
        <v>1.6678531249999977</v>
      </c>
      <c r="AD237" s="94">
        <f t="shared" si="231"/>
        <v>80.056949999999887</v>
      </c>
      <c r="AE237" s="190"/>
      <c r="AF237" s="191"/>
      <c r="AG237" s="191"/>
      <c r="AH237" s="191"/>
      <c r="AI237" s="186"/>
      <c r="AK237" s="171"/>
    </row>
    <row r="238" spans="1:41" s="102" customFormat="1" ht="19.899999999999999" customHeight="1" x14ac:dyDescent="0.25">
      <c r="A238" s="45"/>
      <c r="B238" s="59"/>
      <c r="C238" s="137"/>
      <c r="D238" s="59"/>
      <c r="E238" s="116"/>
      <c r="F238" s="120"/>
      <c r="G238" s="120"/>
      <c r="H238" s="120"/>
      <c r="I238" s="60"/>
      <c r="J238" s="116"/>
      <c r="K238" s="213"/>
      <c r="L238" s="120"/>
      <c r="M238" s="120"/>
      <c r="N238" s="167"/>
      <c r="O238" s="120"/>
      <c r="P238" s="120"/>
      <c r="Q238" s="120"/>
      <c r="R238" s="120"/>
      <c r="S238" s="120"/>
      <c r="T238" s="221"/>
      <c r="U238" s="89"/>
      <c r="V238" s="61"/>
      <c r="W238" s="92" t="s">
        <v>65</v>
      </c>
      <c r="X238" s="93" t="s">
        <v>30</v>
      </c>
      <c r="Y238" s="93" t="s">
        <v>1011</v>
      </c>
      <c r="Z238" s="134">
        <f>VLOOKUP(W238,Sheet2!$B:$D,3,FALSE)</f>
        <v>1.76</v>
      </c>
      <c r="AA238" s="93">
        <f>AA237/10</f>
        <v>4</v>
      </c>
      <c r="AB238" s="93">
        <f>AD238/AC230</f>
        <v>0.44</v>
      </c>
      <c r="AC238" s="93">
        <f>AC230/AA238</f>
        <v>16.678531249999978</v>
      </c>
      <c r="AD238" s="94">
        <f t="shared" si="231"/>
        <v>29.354214999999961</v>
      </c>
      <c r="AE238" s="190"/>
      <c r="AF238" s="191"/>
      <c r="AG238" s="191"/>
      <c r="AH238" s="191"/>
      <c r="AI238" s="186"/>
      <c r="AK238" s="171"/>
    </row>
    <row r="239" spans="1:41" s="102" customFormat="1" ht="19.899999999999999" customHeight="1" x14ac:dyDescent="0.25">
      <c r="A239" s="45"/>
      <c r="B239" s="59"/>
      <c r="C239" s="137"/>
      <c r="D239" s="59"/>
      <c r="E239" s="116"/>
      <c r="F239" s="120"/>
      <c r="G239" s="120"/>
      <c r="H239" s="120"/>
      <c r="I239" s="60"/>
      <c r="J239" s="116"/>
      <c r="K239" s="213"/>
      <c r="L239" s="120"/>
      <c r="M239" s="120"/>
      <c r="N239" s="167"/>
      <c r="O239" s="120"/>
      <c r="P239" s="120"/>
      <c r="Q239" s="120"/>
      <c r="R239" s="120"/>
      <c r="S239" s="120"/>
      <c r="T239" s="221"/>
      <c r="U239" s="89"/>
      <c r="V239" s="61"/>
      <c r="W239" s="92" t="s">
        <v>1048</v>
      </c>
      <c r="X239" s="93" t="s">
        <v>30</v>
      </c>
      <c r="Y239" s="93" t="s">
        <v>68</v>
      </c>
      <c r="Z239" s="134">
        <f>VLOOKUP(W239,Sheet2!$B:$D,3,FALSE)</f>
        <v>35</v>
      </c>
      <c r="AA239" s="93">
        <v>1</v>
      </c>
      <c r="AB239" s="93">
        <f>AD239/AC230</f>
        <v>35</v>
      </c>
      <c r="AC239" s="93">
        <f>AC230/AA239</f>
        <v>66.71412499999991</v>
      </c>
      <c r="AD239" s="94">
        <f t="shared" si="231"/>
        <v>2334.994374999997</v>
      </c>
      <c r="AE239" s="190"/>
      <c r="AF239" s="191"/>
      <c r="AG239" s="191"/>
      <c r="AH239" s="191"/>
      <c r="AI239" s="186"/>
      <c r="AK239" s="171"/>
    </row>
    <row r="240" spans="1:41" s="103" customFormat="1" ht="19.899999999999999" customHeight="1" x14ac:dyDescent="0.25">
      <c r="A240" s="51"/>
      <c r="B240" s="52"/>
      <c r="C240" s="165"/>
      <c r="D240" s="52"/>
      <c r="E240" s="115"/>
      <c r="F240" s="58"/>
      <c r="G240" s="58"/>
      <c r="H240" s="58"/>
      <c r="I240" s="55"/>
      <c r="J240" s="113">
        <f>J229</f>
        <v>66.71412499999991</v>
      </c>
      <c r="K240" s="212">
        <f>K229</f>
        <v>66.71412499999991</v>
      </c>
      <c r="L240" s="58"/>
      <c r="M240" s="58">
        <f>K240-L240</f>
        <v>66.71412499999991</v>
      </c>
      <c r="N240" s="166"/>
      <c r="O240" s="58"/>
      <c r="P240" s="58"/>
      <c r="Q240" s="58"/>
      <c r="R240" s="58"/>
      <c r="S240" s="58"/>
      <c r="T240" s="220"/>
      <c r="U240" s="88"/>
      <c r="V240" s="56"/>
      <c r="W240" s="57" t="s">
        <v>1036</v>
      </c>
      <c r="X240" s="53"/>
      <c r="Y240" s="91" t="s">
        <v>68</v>
      </c>
      <c r="Z240" s="136">
        <f>AD240/AC240</f>
        <v>115.58333333333334</v>
      </c>
      <c r="AA240" s="58"/>
      <c r="AB240" s="53">
        <f>AD240/AC240</f>
        <v>115.58333333333334</v>
      </c>
      <c r="AC240" s="53">
        <f>M240+$AE$10</f>
        <v>66.71412499999991</v>
      </c>
      <c r="AD240" s="54">
        <f>SUM(AD241:AD245)</f>
        <v>7711.0409479166574</v>
      </c>
      <c r="AE240" s="184">
        <f>SUMIFS($AD$37:$AD$12971,$V$37:$V$12971,$V240,$X$37:$X$12971,AE$13)</f>
        <v>0</v>
      </c>
      <c r="AF240" s="185">
        <f>SUMIFS($AD$37:$AD$12971,$V$37:$V$12971,$V240,$X$37:$X$12971,AF$13)</f>
        <v>0</v>
      </c>
      <c r="AG240" s="185">
        <f>SUMIFS($AD$37:$AD$12971,$V$37:$V$12971,$V240,$X$37:$X$12971,AG$13)</f>
        <v>0</v>
      </c>
      <c r="AH240" s="187">
        <f>SUMIFS($AD$37:$AD$12971,$V$37:$V$12971,$V240,$X$37:$X$12971,AH$13)</f>
        <v>0</v>
      </c>
      <c r="AI240" s="161">
        <f t="shared" ref="AI240" si="232">SUM(AE240:AH240)</f>
        <v>0</v>
      </c>
      <c r="AK240" s="172"/>
    </row>
    <row r="241" spans="1:41" s="102" customFormat="1" ht="19.899999999999999" customHeight="1" x14ac:dyDescent="0.25">
      <c r="A241" s="45"/>
      <c r="B241" s="59"/>
      <c r="C241" s="137"/>
      <c r="D241" s="59"/>
      <c r="E241" s="116"/>
      <c r="F241" s="120"/>
      <c r="G241" s="120"/>
      <c r="H241" s="120"/>
      <c r="I241" s="60"/>
      <c r="J241" s="116"/>
      <c r="K241" s="213"/>
      <c r="L241" s="120"/>
      <c r="M241" s="120"/>
      <c r="N241" s="167"/>
      <c r="O241" s="120"/>
      <c r="P241" s="120"/>
      <c r="Q241" s="120"/>
      <c r="R241" s="120"/>
      <c r="S241" s="120"/>
      <c r="T241" s="221"/>
      <c r="U241" s="89"/>
      <c r="V241" s="61"/>
      <c r="W241" s="92" t="s">
        <v>172</v>
      </c>
      <c r="X241" s="93" t="s">
        <v>30</v>
      </c>
      <c r="Y241" s="93" t="s">
        <v>68</v>
      </c>
      <c r="Z241" s="134">
        <f>VLOOKUP(W241,Sheet2!$B:$D,3,FALSE)</f>
        <v>50</v>
      </c>
      <c r="AA241" s="93">
        <v>1</v>
      </c>
      <c r="AB241" s="93">
        <f>AD241/AC240</f>
        <v>50</v>
      </c>
      <c r="AC241" s="93">
        <f>AC240/AA241</f>
        <v>66.71412499999991</v>
      </c>
      <c r="AD241" s="94">
        <f t="shared" ref="AD241" si="233">AC241*Z241</f>
        <v>3335.7062499999956</v>
      </c>
      <c r="AE241" s="190"/>
      <c r="AF241" s="191"/>
      <c r="AG241" s="191"/>
      <c r="AH241" s="191"/>
      <c r="AI241" s="186"/>
      <c r="AK241" s="171"/>
    </row>
    <row r="242" spans="1:41" s="102" customFormat="1" ht="19.899999999999999" customHeight="1" x14ac:dyDescent="0.25">
      <c r="A242" s="45"/>
      <c r="B242" s="59"/>
      <c r="C242" s="137"/>
      <c r="D242" s="59"/>
      <c r="E242" s="116"/>
      <c r="F242" s="120"/>
      <c r="G242" s="120"/>
      <c r="H242" s="120"/>
      <c r="I242" s="60"/>
      <c r="J242" s="116"/>
      <c r="K242" s="213"/>
      <c r="L242" s="120"/>
      <c r="M242" s="120"/>
      <c r="N242" s="167"/>
      <c r="O242" s="120"/>
      <c r="P242" s="120"/>
      <c r="Q242" s="120"/>
      <c r="R242" s="120"/>
      <c r="S242" s="120"/>
      <c r="T242" s="221"/>
      <c r="U242" s="89"/>
      <c r="V242" s="61"/>
      <c r="W242" s="92" t="s">
        <v>1258</v>
      </c>
      <c r="X242" s="93" t="s">
        <v>32</v>
      </c>
      <c r="Y242" s="93" t="s">
        <v>68</v>
      </c>
      <c r="Z242" s="134">
        <f>VLOOKUP(W242,Sheet2!$B:$D,3,FALSE)</f>
        <v>25</v>
      </c>
      <c r="AA242" s="93">
        <v>1</v>
      </c>
      <c r="AB242" s="93">
        <f>AD242/AC240</f>
        <v>25</v>
      </c>
      <c r="AC242" s="93">
        <f>AC240/AA242</f>
        <v>66.71412499999991</v>
      </c>
      <c r="AD242" s="94">
        <f>AC242*Z242</f>
        <v>1667.8531249999978</v>
      </c>
      <c r="AE242" s="190"/>
      <c r="AF242" s="191"/>
      <c r="AG242" s="191"/>
      <c r="AH242" s="191"/>
      <c r="AI242" s="186"/>
      <c r="AK242" s="171"/>
    </row>
    <row r="243" spans="1:41" s="102" customFormat="1" ht="19.899999999999999" customHeight="1" x14ac:dyDescent="0.25">
      <c r="A243" s="45"/>
      <c r="B243" s="59"/>
      <c r="C243" s="137"/>
      <c r="D243" s="59"/>
      <c r="E243" s="116"/>
      <c r="F243" s="120"/>
      <c r="G243" s="120"/>
      <c r="H243" s="120"/>
      <c r="I243" s="60"/>
      <c r="J243" s="116"/>
      <c r="K243" s="213"/>
      <c r="L243" s="120"/>
      <c r="M243" s="120"/>
      <c r="N243" s="167"/>
      <c r="O243" s="120"/>
      <c r="P243" s="120"/>
      <c r="Q243" s="120"/>
      <c r="R243" s="120"/>
      <c r="S243" s="120"/>
      <c r="T243" s="221"/>
      <c r="U243" s="89"/>
      <c r="V243" s="61"/>
      <c r="W243" s="92" t="s">
        <v>1032</v>
      </c>
      <c r="X243" s="93" t="s">
        <v>30</v>
      </c>
      <c r="Y243" s="93" t="s">
        <v>66</v>
      </c>
      <c r="Z243" s="134">
        <f>VLOOKUP(W243,Sheet2!$B:$D,3,FALSE)</f>
        <v>250</v>
      </c>
      <c r="AA243" s="93">
        <f>1/(1*0.1)</f>
        <v>10</v>
      </c>
      <c r="AB243" s="93">
        <f>AD243/AC240</f>
        <v>25</v>
      </c>
      <c r="AC243" s="93">
        <f>AC240/AA243</f>
        <v>6.6714124999999909</v>
      </c>
      <c r="AD243" s="94">
        <f>AC243*Z243</f>
        <v>1667.8531249999978</v>
      </c>
      <c r="AE243" s="190"/>
      <c r="AF243" s="191"/>
      <c r="AG243" s="191"/>
      <c r="AH243" s="191"/>
      <c r="AI243" s="186"/>
      <c r="AK243" s="171"/>
    </row>
    <row r="244" spans="1:41" s="102" customFormat="1" ht="19.899999999999999" customHeight="1" x14ac:dyDescent="0.25">
      <c r="A244" s="45"/>
      <c r="B244" s="59"/>
      <c r="C244" s="137"/>
      <c r="D244" s="59"/>
      <c r="E244" s="116"/>
      <c r="F244" s="120"/>
      <c r="G244" s="120"/>
      <c r="H244" s="120"/>
      <c r="I244" s="60"/>
      <c r="J244" s="116"/>
      <c r="K244" s="213"/>
      <c r="L244" s="120"/>
      <c r="M244" s="120"/>
      <c r="N244" s="167"/>
      <c r="O244" s="120"/>
      <c r="P244" s="120"/>
      <c r="Q244" s="120"/>
      <c r="R244" s="120"/>
      <c r="S244" s="120"/>
      <c r="T244" s="221"/>
      <c r="U244" s="89"/>
      <c r="V244" s="61"/>
      <c r="W244" s="92" t="s">
        <v>1035</v>
      </c>
      <c r="X244" s="93" t="s">
        <v>32</v>
      </c>
      <c r="Y244" s="93" t="s">
        <v>66</v>
      </c>
      <c r="Z244" s="134">
        <f>VLOOKUP(W244,Sheet2!$B:$D,3,FALSE)</f>
        <v>150</v>
      </c>
      <c r="AA244" s="93">
        <f>AA243</f>
        <v>10</v>
      </c>
      <c r="AB244" s="93">
        <f>AD244/AC240</f>
        <v>15</v>
      </c>
      <c r="AC244" s="93">
        <f>AC240/AA244</f>
        <v>6.6714124999999909</v>
      </c>
      <c r="AD244" s="94">
        <f t="shared" ref="AD244:AD245" si="234">AC244*Z244</f>
        <v>1000.7118749999986</v>
      </c>
      <c r="AE244" s="190"/>
      <c r="AF244" s="191"/>
      <c r="AG244" s="191"/>
      <c r="AH244" s="191"/>
      <c r="AI244" s="186"/>
      <c r="AK244" s="171"/>
    </row>
    <row r="245" spans="1:41" s="102" customFormat="1" ht="19.899999999999999" customHeight="1" x14ac:dyDescent="0.25">
      <c r="A245" s="45"/>
      <c r="B245" s="59"/>
      <c r="C245" s="137"/>
      <c r="D245" s="59"/>
      <c r="E245" s="116"/>
      <c r="F245" s="120"/>
      <c r="G245" s="120"/>
      <c r="H245" s="120"/>
      <c r="I245" s="60"/>
      <c r="J245" s="116"/>
      <c r="K245" s="213"/>
      <c r="L245" s="120"/>
      <c r="M245" s="120"/>
      <c r="N245" s="167"/>
      <c r="O245" s="120"/>
      <c r="P245" s="120"/>
      <c r="Q245" s="120"/>
      <c r="R245" s="120"/>
      <c r="S245" s="120"/>
      <c r="T245" s="221"/>
      <c r="U245" s="89"/>
      <c r="V245" s="61"/>
      <c r="W245" s="92" t="s">
        <v>1037</v>
      </c>
      <c r="X245" s="93" t="s">
        <v>30</v>
      </c>
      <c r="Y245" s="93" t="s">
        <v>1038</v>
      </c>
      <c r="Z245" s="134">
        <f>VLOOKUP(W245,Sheet2!$B:$D,3,FALSE)</f>
        <v>175</v>
      </c>
      <c r="AA245" s="93">
        <v>300</v>
      </c>
      <c r="AB245" s="93">
        <f>AD245/AC240</f>
        <v>0.58333333333333326</v>
      </c>
      <c r="AC245" s="93">
        <f>AC240/AA245</f>
        <v>0.22238041666666636</v>
      </c>
      <c r="AD245" s="94">
        <f t="shared" si="234"/>
        <v>38.91657291666661</v>
      </c>
      <c r="AE245" s="190"/>
      <c r="AF245" s="191"/>
      <c r="AG245" s="191"/>
      <c r="AH245" s="191"/>
      <c r="AI245" s="186"/>
      <c r="AK245" s="171"/>
    </row>
    <row r="246" spans="1:41" s="103" customFormat="1" ht="19.899999999999999" customHeight="1" x14ac:dyDescent="0.25">
      <c r="A246" s="51"/>
      <c r="B246" s="52"/>
      <c r="C246" s="165"/>
      <c r="D246" s="52"/>
      <c r="E246" s="115"/>
      <c r="F246" s="58"/>
      <c r="G246" s="58"/>
      <c r="H246" s="58"/>
      <c r="I246" s="55"/>
      <c r="J246" s="113">
        <f>J229</f>
        <v>66.71412499999991</v>
      </c>
      <c r="K246" s="212">
        <f>K229</f>
        <v>66.71412499999991</v>
      </c>
      <c r="L246" s="58"/>
      <c r="M246" s="58">
        <f>K246-L246</f>
        <v>66.71412499999991</v>
      </c>
      <c r="N246" s="166"/>
      <c r="O246" s="58"/>
      <c r="P246" s="58"/>
      <c r="Q246" s="58"/>
      <c r="R246" s="58"/>
      <c r="S246" s="58"/>
      <c r="T246" s="220"/>
      <c r="U246" s="88"/>
      <c r="V246" s="56"/>
      <c r="W246" s="57" t="s">
        <v>1040</v>
      </c>
      <c r="X246" s="53"/>
      <c r="Y246" s="91" t="s">
        <v>68</v>
      </c>
      <c r="Z246" s="136">
        <f>AD246/AC246</f>
        <v>5</v>
      </c>
      <c r="AA246" s="58"/>
      <c r="AB246" s="53">
        <f>AD246/AC246</f>
        <v>5</v>
      </c>
      <c r="AC246" s="53">
        <f>M246+$AE$10</f>
        <v>66.71412499999991</v>
      </c>
      <c r="AD246" s="54">
        <f>SUM(AD247)</f>
        <v>333.57062499999955</v>
      </c>
      <c r="AE246" s="184">
        <f>SUMIFS($AD$37:$AD$12971,$V$37:$V$12971,$V246,$X$37:$X$12971,AE$13)</f>
        <v>0</v>
      </c>
      <c r="AF246" s="185">
        <f>SUMIFS($AD$37:$AD$12971,$V$37:$V$12971,$V246,$X$37:$X$12971,AF$13)</f>
        <v>0</v>
      </c>
      <c r="AG246" s="185">
        <f>SUMIFS($AD$37:$AD$12971,$V$37:$V$12971,$V246,$X$37:$X$12971,AG$13)</f>
        <v>0</v>
      </c>
      <c r="AH246" s="187">
        <f>SUMIFS($AD$37:$AD$12971,$V$37:$V$12971,$V246,$X$37:$X$12971,AH$13)</f>
        <v>0</v>
      </c>
      <c r="AI246" s="161">
        <f t="shared" ref="AI246" si="235">SUM(AE246:AH246)</f>
        <v>0</v>
      </c>
      <c r="AK246" s="172"/>
    </row>
    <row r="247" spans="1:41" s="102" customFormat="1" ht="19.899999999999999" customHeight="1" x14ac:dyDescent="0.25">
      <c r="A247" s="45"/>
      <c r="B247" s="59"/>
      <c r="C247" s="137"/>
      <c r="D247" s="59"/>
      <c r="E247" s="116"/>
      <c r="F247" s="120"/>
      <c r="G247" s="120"/>
      <c r="H247" s="120"/>
      <c r="I247" s="60"/>
      <c r="J247" s="116"/>
      <c r="K247" s="213"/>
      <c r="L247" s="120"/>
      <c r="M247" s="120"/>
      <c r="N247" s="167"/>
      <c r="O247" s="120"/>
      <c r="P247" s="120"/>
      <c r="Q247" s="120"/>
      <c r="R247" s="120"/>
      <c r="S247" s="120"/>
      <c r="T247" s="221"/>
      <c r="U247" s="89"/>
      <c r="V247" s="61"/>
      <c r="W247" s="92" t="s">
        <v>1039</v>
      </c>
      <c r="X247" s="93" t="s">
        <v>32</v>
      </c>
      <c r="Y247" s="93" t="s">
        <v>68</v>
      </c>
      <c r="Z247" s="134">
        <f>VLOOKUP(W247,Sheet2!$B:$D,3,FALSE)</f>
        <v>5</v>
      </c>
      <c r="AA247" s="93">
        <v>1</v>
      </c>
      <c r="AB247" s="93">
        <f>AD247/AC246</f>
        <v>5</v>
      </c>
      <c r="AC247" s="93">
        <f>AC246/AA247</f>
        <v>66.71412499999991</v>
      </c>
      <c r="AD247" s="94">
        <f t="shared" ref="AD247" si="236">AC247*Z247</f>
        <v>333.57062499999955</v>
      </c>
      <c r="AE247" s="190"/>
      <c r="AF247" s="191"/>
      <c r="AG247" s="191"/>
      <c r="AH247" s="191"/>
      <c r="AI247" s="186"/>
      <c r="AK247" s="171"/>
    </row>
    <row r="248" spans="1:41" ht="20.100000000000001" customHeight="1" x14ac:dyDescent="0.25">
      <c r="A248" s="277" t="s">
        <v>216</v>
      </c>
      <c r="B248" s="278"/>
      <c r="C248" s="64" t="s">
        <v>222</v>
      </c>
      <c r="D248" s="46" t="s">
        <v>97</v>
      </c>
      <c r="E248" s="114">
        <v>1467.4565000000002</v>
      </c>
      <c r="F248" s="44">
        <v>277</v>
      </c>
      <c r="G248" s="44">
        <f t="shared" si="199"/>
        <v>406485.45050000004</v>
      </c>
      <c r="H248" s="44">
        <f t="shared" si="200"/>
        <v>156.16606274509803</v>
      </c>
      <c r="I248" s="43">
        <f t="shared" si="201"/>
        <v>229166.90385470199</v>
      </c>
      <c r="J248" s="112">
        <f t="shared" si="202"/>
        <v>1467.4565000000002</v>
      </c>
      <c r="K248" s="211">
        <f t="shared" si="203"/>
        <v>1467.4565000000002</v>
      </c>
      <c r="L248" s="44"/>
      <c r="M248" s="44">
        <f t="shared" si="223"/>
        <v>1467.4565000000002</v>
      </c>
      <c r="N248" s="173">
        <f t="shared" si="204"/>
        <v>1</v>
      </c>
      <c r="O248" s="44">
        <f t="shared" si="205"/>
        <v>277</v>
      </c>
      <c r="P248" s="44">
        <f t="shared" si="206"/>
        <v>406485.45050000004</v>
      </c>
      <c r="Q248" s="44">
        <f t="shared" si="207"/>
        <v>156.16606274509803</v>
      </c>
      <c r="R248" s="44">
        <f t="shared" si="224"/>
        <v>229166.90385470199</v>
      </c>
      <c r="S248" s="123"/>
      <c r="T248" s="219">
        <f t="shared" si="225"/>
        <v>229166.90385470199</v>
      </c>
      <c r="U248" s="87"/>
      <c r="V248" s="47"/>
      <c r="W248" s="48"/>
      <c r="X248" s="48"/>
      <c r="Y248" s="48"/>
      <c r="Z248" s="135"/>
      <c r="AA248" s="49"/>
      <c r="AB248" s="50">
        <f t="shared" si="208"/>
        <v>156.16606274509803</v>
      </c>
      <c r="AC248" s="42">
        <f t="shared" si="226"/>
        <v>1467.4565000000002</v>
      </c>
      <c r="AD248" s="90">
        <f>AD249+AD258+AD264</f>
        <v>229166.90385470199</v>
      </c>
      <c r="AE248" s="188">
        <f t="shared" ref="AE248" si="237">AE249+AE258+AE264</f>
        <v>0</v>
      </c>
      <c r="AF248" s="189">
        <f t="shared" ref="AF248" si="238">AF249+AF258+AF264</f>
        <v>0</v>
      </c>
      <c r="AG248" s="189">
        <f t="shared" ref="AG248" si="239">AG249+AG258+AG264</f>
        <v>0</v>
      </c>
      <c r="AH248" s="189">
        <f t="shared" ref="AH248" si="240">AH249+AH258+AH264</f>
        <v>0</v>
      </c>
      <c r="AI248" s="161">
        <f t="shared" si="213"/>
        <v>0</v>
      </c>
      <c r="AK248" s="169">
        <v>5</v>
      </c>
      <c r="AO248" s="19" t="s">
        <v>63</v>
      </c>
    </row>
    <row r="249" spans="1:41" s="103" customFormat="1" ht="19.899999999999999" customHeight="1" x14ac:dyDescent="0.25">
      <c r="A249" s="51"/>
      <c r="B249" s="52"/>
      <c r="C249" s="165"/>
      <c r="D249" s="52"/>
      <c r="E249" s="115"/>
      <c r="F249" s="58"/>
      <c r="G249" s="58"/>
      <c r="H249" s="58"/>
      <c r="I249" s="55"/>
      <c r="J249" s="113">
        <f>J248</f>
        <v>1467.4565000000002</v>
      </c>
      <c r="K249" s="212">
        <f>K248</f>
        <v>1467.4565000000002</v>
      </c>
      <c r="L249" s="58"/>
      <c r="M249" s="58">
        <f>K249-L249</f>
        <v>1467.4565000000002</v>
      </c>
      <c r="N249" s="166"/>
      <c r="O249" s="58"/>
      <c r="P249" s="58"/>
      <c r="Q249" s="58"/>
      <c r="R249" s="58"/>
      <c r="S249" s="58"/>
      <c r="T249" s="220"/>
      <c r="U249" s="88"/>
      <c r="V249" s="56"/>
      <c r="W249" s="57" t="s">
        <v>1042</v>
      </c>
      <c r="X249" s="53"/>
      <c r="Y249" s="91" t="s">
        <v>68</v>
      </c>
      <c r="Z249" s="136">
        <f>AD249/AC249</f>
        <v>7.5827294117647073</v>
      </c>
      <c r="AA249" s="58"/>
      <c r="AB249" s="53">
        <f>AD249/AC249</f>
        <v>7.5827294117647073</v>
      </c>
      <c r="AC249" s="53">
        <f>M249+$AE$10</f>
        <v>1467.4565000000002</v>
      </c>
      <c r="AD249" s="54">
        <f>SUM(AD250:AD257)</f>
        <v>11127.325563035298</v>
      </c>
      <c r="AE249" s="184">
        <f>SUMIFS($AD$37:$AD$12971,$V$37:$V$12971,$V249,$X$37:$X$12971,AE$13)</f>
        <v>0</v>
      </c>
      <c r="AF249" s="185">
        <f>SUMIFS($AD$37:$AD$12971,$V$37:$V$12971,$V249,$X$37:$X$12971,AF$13)</f>
        <v>0</v>
      </c>
      <c r="AG249" s="185">
        <f>SUMIFS($AD$37:$AD$12971,$V$37:$V$12971,$V249,$X$37:$X$12971,AG$13)</f>
        <v>0</v>
      </c>
      <c r="AH249" s="187">
        <f>SUMIFS($AD$37:$AD$12971,$V$37:$V$12971,$V249,$X$37:$X$12971,AH$13)</f>
        <v>0</v>
      </c>
      <c r="AI249" s="161">
        <f t="shared" ref="AI249" si="241">SUM(AE249:AH249)</f>
        <v>0</v>
      </c>
      <c r="AK249" s="172"/>
    </row>
    <row r="250" spans="1:41" s="102" customFormat="1" ht="19.899999999999999" customHeight="1" x14ac:dyDescent="0.25">
      <c r="A250" s="45"/>
      <c r="B250" s="59"/>
      <c r="C250" s="137"/>
      <c r="D250" s="59"/>
      <c r="E250" s="116"/>
      <c r="F250" s="120"/>
      <c r="G250" s="120"/>
      <c r="H250" s="120"/>
      <c r="I250" s="60"/>
      <c r="J250" s="116"/>
      <c r="K250" s="213"/>
      <c r="L250" s="120"/>
      <c r="M250" s="120"/>
      <c r="N250" s="167"/>
      <c r="O250" s="120"/>
      <c r="P250" s="120"/>
      <c r="Q250" s="120"/>
      <c r="R250" s="120"/>
      <c r="S250" s="120"/>
      <c r="T250" s="221"/>
      <c r="U250" s="89"/>
      <c r="V250" s="61"/>
      <c r="W250" s="92" t="s">
        <v>129</v>
      </c>
      <c r="X250" s="93" t="s">
        <v>29</v>
      </c>
      <c r="Y250" s="93" t="s">
        <v>93</v>
      </c>
      <c r="Z250" s="134">
        <f>VLOOKUP(W250,Sheet2!$B:$D,3,FALSE)</f>
        <v>56</v>
      </c>
      <c r="AA250" s="93">
        <f>100/(1*1.5)</f>
        <v>66.666666666666671</v>
      </c>
      <c r="AB250" s="93">
        <f t="shared" ref="AB250" si="242">AD250/AC249</f>
        <v>0.84</v>
      </c>
      <c r="AC250" s="93">
        <f>AC249/AA250</f>
        <v>22.011847500000002</v>
      </c>
      <c r="AD250" s="94">
        <f t="shared" ref="AD250:AD251" si="243">AC250*Z250</f>
        <v>1232.6634600000002</v>
      </c>
      <c r="AE250" s="190"/>
      <c r="AF250" s="191"/>
      <c r="AG250" s="191"/>
      <c r="AH250" s="191"/>
      <c r="AI250" s="186"/>
      <c r="AK250" s="171"/>
    </row>
    <row r="251" spans="1:41" s="102" customFormat="1" ht="19.899999999999999" customHeight="1" x14ac:dyDescent="0.25">
      <c r="A251" s="45"/>
      <c r="B251" s="59"/>
      <c r="C251" s="137"/>
      <c r="D251" s="59"/>
      <c r="E251" s="116"/>
      <c r="F251" s="120"/>
      <c r="G251" s="120"/>
      <c r="H251" s="120"/>
      <c r="I251" s="60"/>
      <c r="J251" s="116"/>
      <c r="K251" s="213"/>
      <c r="L251" s="120"/>
      <c r="M251" s="120"/>
      <c r="N251" s="167"/>
      <c r="O251" s="120"/>
      <c r="P251" s="120"/>
      <c r="Q251" s="120"/>
      <c r="R251" s="120"/>
      <c r="S251" s="120"/>
      <c r="T251" s="221"/>
      <c r="U251" s="89"/>
      <c r="V251" s="61"/>
      <c r="W251" s="92" t="s">
        <v>65</v>
      </c>
      <c r="X251" s="93" t="s">
        <v>30</v>
      </c>
      <c r="Y251" s="93" t="s">
        <v>1011</v>
      </c>
      <c r="Z251" s="134">
        <f>VLOOKUP(W251,Sheet2!$B:$D,3,FALSE)</f>
        <v>1.76</v>
      </c>
      <c r="AA251" s="93">
        <f>AA250/14</f>
        <v>4.7619047619047619</v>
      </c>
      <c r="AB251" s="93">
        <f>AD251/AC249</f>
        <v>0.36960000000000004</v>
      </c>
      <c r="AC251" s="93">
        <f>AC249/AA251</f>
        <v>308.16586500000005</v>
      </c>
      <c r="AD251" s="94">
        <f t="shared" si="243"/>
        <v>542.37192240000013</v>
      </c>
      <c r="AE251" s="190"/>
      <c r="AF251" s="191"/>
      <c r="AG251" s="191"/>
      <c r="AH251" s="191"/>
      <c r="AI251" s="186"/>
      <c r="AK251" s="171"/>
    </row>
    <row r="252" spans="1:41" s="102" customFormat="1" ht="19.899999999999999" customHeight="1" x14ac:dyDescent="0.25">
      <c r="A252" s="45"/>
      <c r="B252" s="59"/>
      <c r="C252" s="137"/>
      <c r="D252" s="59"/>
      <c r="E252" s="116"/>
      <c r="F252" s="120"/>
      <c r="G252" s="120"/>
      <c r="H252" s="120"/>
      <c r="I252" s="60"/>
      <c r="J252" s="116"/>
      <c r="K252" s="213"/>
      <c r="L252" s="120"/>
      <c r="M252" s="120"/>
      <c r="N252" s="167"/>
      <c r="O252" s="120"/>
      <c r="P252" s="120"/>
      <c r="Q252" s="120"/>
      <c r="R252" s="120"/>
      <c r="S252" s="120"/>
      <c r="T252" s="221"/>
      <c r="U252" s="89"/>
      <c r="V252" s="61"/>
      <c r="W252" s="92" t="s">
        <v>161</v>
      </c>
      <c r="X252" s="93" t="s">
        <v>29</v>
      </c>
      <c r="Y252" s="93" t="s">
        <v>93</v>
      </c>
      <c r="Z252" s="134">
        <f>VLOOKUP(W252,Sheet2!$B:$D,3,FALSE)</f>
        <v>48</v>
      </c>
      <c r="AA252" s="93">
        <f>(16*0.85*1.5)/(1*1.5)</f>
        <v>13.6</v>
      </c>
      <c r="AB252" s="93">
        <f>AD252/AC249</f>
        <v>3.5294117647058827</v>
      </c>
      <c r="AC252" s="93">
        <f>AC249/AA252</f>
        <v>107.90121323529414</v>
      </c>
      <c r="AD252" s="94">
        <f>AC252*Z252</f>
        <v>5179.258235294119</v>
      </c>
      <c r="AE252" s="190"/>
      <c r="AF252" s="191"/>
      <c r="AG252" s="191"/>
      <c r="AH252" s="191"/>
      <c r="AI252" s="186"/>
      <c r="AK252" s="171"/>
    </row>
    <row r="253" spans="1:41" s="102" customFormat="1" ht="19.899999999999999" customHeight="1" x14ac:dyDescent="0.25">
      <c r="A253" s="45"/>
      <c r="B253" s="59"/>
      <c r="C253" s="137"/>
      <c r="D253" s="59"/>
      <c r="E253" s="116"/>
      <c r="F253" s="120"/>
      <c r="G253" s="120"/>
      <c r="H253" s="120"/>
      <c r="I253" s="60"/>
      <c r="J253" s="116"/>
      <c r="K253" s="213"/>
      <c r="L253" s="120"/>
      <c r="M253" s="120"/>
      <c r="N253" s="167"/>
      <c r="O253" s="120"/>
      <c r="P253" s="120"/>
      <c r="Q253" s="120"/>
      <c r="R253" s="120"/>
      <c r="S253" s="120"/>
      <c r="T253" s="221"/>
      <c r="U253" s="89"/>
      <c r="V253" s="61"/>
      <c r="W253" s="92" t="s">
        <v>65</v>
      </c>
      <c r="X253" s="93" t="s">
        <v>30</v>
      </c>
      <c r="Y253" s="93" t="s">
        <v>1011</v>
      </c>
      <c r="Z253" s="134">
        <f>VLOOKUP(W253,Sheet2!$B:$D,3,FALSE)</f>
        <v>1.76</v>
      </c>
      <c r="AA253" s="93">
        <f>AA252/10</f>
        <v>1.3599999999999999</v>
      </c>
      <c r="AB253" s="93">
        <f>AD253/AC249</f>
        <v>1.2941176470588238</v>
      </c>
      <c r="AC253" s="93">
        <f>AC249/AA253</f>
        <v>1079.0121323529415</v>
      </c>
      <c r="AD253" s="94">
        <f>AC253*Z253</f>
        <v>1899.0613529411771</v>
      </c>
      <c r="AE253" s="190"/>
      <c r="AF253" s="191"/>
      <c r="AG253" s="191"/>
      <c r="AH253" s="191"/>
      <c r="AI253" s="186"/>
      <c r="AK253" s="171"/>
    </row>
    <row r="254" spans="1:41" s="102" customFormat="1" ht="19.899999999999999" customHeight="1" x14ac:dyDescent="0.25">
      <c r="A254" s="45"/>
      <c r="B254" s="59"/>
      <c r="C254" s="137"/>
      <c r="D254" s="59"/>
      <c r="E254" s="116"/>
      <c r="F254" s="120"/>
      <c r="G254" s="120"/>
      <c r="H254" s="120"/>
      <c r="I254" s="60"/>
      <c r="J254" s="116"/>
      <c r="K254" s="213"/>
      <c r="L254" s="120"/>
      <c r="M254" s="120"/>
      <c r="N254" s="167"/>
      <c r="O254" s="120"/>
      <c r="P254" s="120"/>
      <c r="Q254" s="120"/>
      <c r="R254" s="120"/>
      <c r="S254" s="120"/>
      <c r="T254" s="221"/>
      <c r="U254" s="89"/>
      <c r="V254" s="61"/>
      <c r="W254" s="92" t="s">
        <v>1030</v>
      </c>
      <c r="X254" s="93" t="s">
        <v>29</v>
      </c>
      <c r="Y254" s="93" t="s">
        <v>93</v>
      </c>
      <c r="Z254" s="134">
        <f>VLOOKUP(W254,Sheet2!$B:$D,3,FALSE)</f>
        <v>23</v>
      </c>
      <c r="AA254" s="93">
        <v>50</v>
      </c>
      <c r="AB254" s="93">
        <f>AD254/AC249</f>
        <v>0.46</v>
      </c>
      <c r="AC254" s="93">
        <f>AC249/AA254</f>
        <v>29.349130000000006</v>
      </c>
      <c r="AD254" s="94">
        <f t="shared" ref="AD254:AD257" si="244">AC254*Z254</f>
        <v>675.02999000000011</v>
      </c>
      <c r="AE254" s="190"/>
      <c r="AF254" s="191"/>
      <c r="AG254" s="191"/>
      <c r="AH254" s="191"/>
      <c r="AI254" s="186"/>
      <c r="AK254" s="171"/>
    </row>
    <row r="255" spans="1:41" s="102" customFormat="1" ht="19.899999999999999" customHeight="1" x14ac:dyDescent="0.25">
      <c r="A255" s="45"/>
      <c r="B255" s="59"/>
      <c r="C255" s="137"/>
      <c r="D255" s="59"/>
      <c r="E255" s="116"/>
      <c r="F255" s="120"/>
      <c r="G255" s="120"/>
      <c r="H255" s="120"/>
      <c r="I255" s="60"/>
      <c r="J255" s="116"/>
      <c r="K255" s="213"/>
      <c r="L255" s="120"/>
      <c r="M255" s="120"/>
      <c r="N255" s="167"/>
      <c r="O255" s="120"/>
      <c r="P255" s="120"/>
      <c r="Q255" s="120"/>
      <c r="R255" s="120"/>
      <c r="S255" s="120"/>
      <c r="T255" s="221"/>
      <c r="U255" s="89"/>
      <c r="V255" s="61"/>
      <c r="W255" s="92" t="s">
        <v>65</v>
      </c>
      <c r="X255" s="93" t="s">
        <v>30</v>
      </c>
      <c r="Y255" s="93" t="s">
        <v>1011</v>
      </c>
      <c r="Z255" s="134">
        <f>VLOOKUP(W255,Sheet2!$B:$D,3,FALSE)</f>
        <v>1.76</v>
      </c>
      <c r="AA255" s="93">
        <f>AA254/3</f>
        <v>16.666666666666668</v>
      </c>
      <c r="AB255" s="93">
        <f>AD255/AC249</f>
        <v>0.1056</v>
      </c>
      <c r="AC255" s="93">
        <f>AC249/AA255</f>
        <v>88.047390000000007</v>
      </c>
      <c r="AD255" s="94">
        <f t="shared" si="244"/>
        <v>154.96340640000003</v>
      </c>
      <c r="AE255" s="190"/>
      <c r="AF255" s="191"/>
      <c r="AG255" s="191"/>
      <c r="AH255" s="191"/>
      <c r="AI255" s="186"/>
      <c r="AK255" s="171"/>
    </row>
    <row r="256" spans="1:41" s="102" customFormat="1" ht="19.899999999999999" customHeight="1" x14ac:dyDescent="0.25">
      <c r="A256" s="45"/>
      <c r="B256" s="59"/>
      <c r="C256" s="137"/>
      <c r="D256" s="59"/>
      <c r="E256" s="116"/>
      <c r="F256" s="120"/>
      <c r="G256" s="120"/>
      <c r="H256" s="120"/>
      <c r="I256" s="60"/>
      <c r="J256" s="116"/>
      <c r="K256" s="213"/>
      <c r="L256" s="120"/>
      <c r="M256" s="120"/>
      <c r="N256" s="167"/>
      <c r="O256" s="120"/>
      <c r="P256" s="120"/>
      <c r="Q256" s="120"/>
      <c r="R256" s="120"/>
      <c r="S256" s="120"/>
      <c r="T256" s="221"/>
      <c r="U256" s="89"/>
      <c r="V256" s="61"/>
      <c r="W256" s="92" t="s">
        <v>148</v>
      </c>
      <c r="X256" s="93" t="s">
        <v>29</v>
      </c>
      <c r="Y256" s="93" t="s">
        <v>93</v>
      </c>
      <c r="Z256" s="134">
        <f>VLOOKUP(W256,Sheet2!$B:$D,3,FALSE)</f>
        <v>48</v>
      </c>
      <c r="AA256" s="93">
        <f>AA250</f>
        <v>66.666666666666671</v>
      </c>
      <c r="AB256" s="93">
        <f>AD256/AC249</f>
        <v>0.72</v>
      </c>
      <c r="AC256" s="93">
        <f>AC249/AA256</f>
        <v>22.011847500000002</v>
      </c>
      <c r="AD256" s="94">
        <f t="shared" si="244"/>
        <v>1056.5686800000001</v>
      </c>
      <c r="AE256" s="190"/>
      <c r="AF256" s="191"/>
      <c r="AG256" s="191"/>
      <c r="AH256" s="191"/>
      <c r="AI256" s="186"/>
      <c r="AK256" s="171"/>
    </row>
    <row r="257" spans="1:41" s="102" customFormat="1" ht="19.899999999999999" customHeight="1" x14ac:dyDescent="0.25">
      <c r="A257" s="45"/>
      <c r="B257" s="59"/>
      <c r="C257" s="137"/>
      <c r="D257" s="59"/>
      <c r="E257" s="116"/>
      <c r="F257" s="120"/>
      <c r="G257" s="120"/>
      <c r="H257" s="120"/>
      <c r="I257" s="60"/>
      <c r="J257" s="116"/>
      <c r="K257" s="213"/>
      <c r="L257" s="120"/>
      <c r="M257" s="120"/>
      <c r="N257" s="167"/>
      <c r="O257" s="120"/>
      <c r="P257" s="120"/>
      <c r="Q257" s="120"/>
      <c r="R257" s="120"/>
      <c r="S257" s="120"/>
      <c r="T257" s="221"/>
      <c r="U257" s="89"/>
      <c r="V257" s="61"/>
      <c r="W257" s="92" t="s">
        <v>65</v>
      </c>
      <c r="X257" s="93" t="s">
        <v>30</v>
      </c>
      <c r="Y257" s="93" t="s">
        <v>1011</v>
      </c>
      <c r="Z257" s="134">
        <f>VLOOKUP(W257,Sheet2!$B:$D,3,FALSE)</f>
        <v>1.76</v>
      </c>
      <c r="AA257" s="93">
        <f>AA256/10</f>
        <v>6.666666666666667</v>
      </c>
      <c r="AB257" s="93">
        <f>AD257/AC249</f>
        <v>0.26399999999999996</v>
      </c>
      <c r="AC257" s="93">
        <f>AC249/AA257</f>
        <v>220.11847500000002</v>
      </c>
      <c r="AD257" s="94">
        <f t="shared" si="244"/>
        <v>387.40851600000002</v>
      </c>
      <c r="AE257" s="190"/>
      <c r="AF257" s="191"/>
      <c r="AG257" s="191"/>
      <c r="AH257" s="191"/>
      <c r="AI257" s="186"/>
      <c r="AK257" s="171"/>
    </row>
    <row r="258" spans="1:41" s="103" customFormat="1" ht="19.899999999999999" customHeight="1" x14ac:dyDescent="0.25">
      <c r="A258" s="51"/>
      <c r="B258" s="52"/>
      <c r="C258" s="165"/>
      <c r="D258" s="52"/>
      <c r="E258" s="115"/>
      <c r="F258" s="58"/>
      <c r="G258" s="58"/>
      <c r="H258" s="58"/>
      <c r="I258" s="55"/>
      <c r="J258" s="113">
        <f>J248</f>
        <v>1467.4565000000002</v>
      </c>
      <c r="K258" s="212">
        <f>K248</f>
        <v>1467.4565000000002</v>
      </c>
      <c r="L258" s="58"/>
      <c r="M258" s="58">
        <f>K258-L258</f>
        <v>1467.4565000000002</v>
      </c>
      <c r="N258" s="166"/>
      <c r="O258" s="58"/>
      <c r="P258" s="58"/>
      <c r="Q258" s="58"/>
      <c r="R258" s="58"/>
      <c r="S258" s="58"/>
      <c r="T258" s="220"/>
      <c r="U258" s="88"/>
      <c r="V258" s="56"/>
      <c r="W258" s="57" t="s">
        <v>1036</v>
      </c>
      <c r="X258" s="53"/>
      <c r="Y258" s="91" t="s">
        <v>68</v>
      </c>
      <c r="Z258" s="136">
        <f>AD258/AC258</f>
        <v>143.58333333333331</v>
      </c>
      <c r="AA258" s="58"/>
      <c r="AB258" s="53">
        <f>AD258/AC258</f>
        <v>143.58333333333331</v>
      </c>
      <c r="AC258" s="53">
        <f>M258+$AE$10</f>
        <v>1467.4565000000002</v>
      </c>
      <c r="AD258" s="54">
        <f>SUM(AD259:AD263)</f>
        <v>210702.29579166669</v>
      </c>
      <c r="AE258" s="184">
        <f>SUMIFS($AD$37:$AD$12971,$V$37:$V$12971,$V258,$X$37:$X$12971,AE$13)</f>
        <v>0</v>
      </c>
      <c r="AF258" s="185">
        <f>SUMIFS($AD$37:$AD$12971,$V$37:$V$12971,$V258,$X$37:$X$12971,AF$13)</f>
        <v>0</v>
      </c>
      <c r="AG258" s="185">
        <f>SUMIFS($AD$37:$AD$12971,$V$37:$V$12971,$V258,$X$37:$X$12971,AG$13)</f>
        <v>0</v>
      </c>
      <c r="AH258" s="187">
        <f>SUMIFS($AD$37:$AD$12971,$V$37:$V$12971,$V258,$X$37:$X$12971,AH$13)</f>
        <v>0</v>
      </c>
      <c r="AI258" s="161">
        <f t="shared" ref="AI258" si="245">SUM(AE258:AH258)</f>
        <v>0</v>
      </c>
      <c r="AK258" s="172"/>
    </row>
    <row r="259" spans="1:41" s="102" customFormat="1" ht="19.899999999999999" customHeight="1" x14ac:dyDescent="0.25">
      <c r="A259" s="45"/>
      <c r="B259" s="59"/>
      <c r="C259" s="137"/>
      <c r="D259" s="59"/>
      <c r="E259" s="116"/>
      <c r="F259" s="120"/>
      <c r="G259" s="120"/>
      <c r="H259" s="120"/>
      <c r="I259" s="60"/>
      <c r="J259" s="116"/>
      <c r="K259" s="213"/>
      <c r="L259" s="120"/>
      <c r="M259" s="120"/>
      <c r="N259" s="167"/>
      <c r="O259" s="120"/>
      <c r="P259" s="120"/>
      <c r="Q259" s="120"/>
      <c r="R259" s="120"/>
      <c r="S259" s="120"/>
      <c r="T259" s="221"/>
      <c r="U259" s="89"/>
      <c r="V259" s="61"/>
      <c r="W259" s="92" t="s">
        <v>1279</v>
      </c>
      <c r="X259" s="93" t="s">
        <v>30</v>
      </c>
      <c r="Y259" s="93" t="s">
        <v>68</v>
      </c>
      <c r="Z259" s="134">
        <f>VLOOKUP(W259,Sheet2!$B:$D,3,FALSE)</f>
        <v>75</v>
      </c>
      <c r="AA259" s="93">
        <v>1</v>
      </c>
      <c r="AB259" s="93">
        <f>AD259/AC258</f>
        <v>75</v>
      </c>
      <c r="AC259" s="93">
        <f>AC258/AA259</f>
        <v>1467.4565000000002</v>
      </c>
      <c r="AD259" s="94">
        <f t="shared" ref="AD259" si="246">AC259*Z259</f>
        <v>110059.23750000002</v>
      </c>
      <c r="AE259" s="190"/>
      <c r="AF259" s="191"/>
      <c r="AG259" s="191"/>
      <c r="AH259" s="191"/>
      <c r="AI259" s="186"/>
      <c r="AK259" s="171"/>
    </row>
    <row r="260" spans="1:41" s="102" customFormat="1" ht="19.899999999999999" customHeight="1" x14ac:dyDescent="0.25">
      <c r="A260" s="45"/>
      <c r="B260" s="59"/>
      <c r="C260" s="137"/>
      <c r="D260" s="59"/>
      <c r="E260" s="116"/>
      <c r="F260" s="120"/>
      <c r="G260" s="120"/>
      <c r="H260" s="120"/>
      <c r="I260" s="60"/>
      <c r="J260" s="116"/>
      <c r="K260" s="213"/>
      <c r="L260" s="120"/>
      <c r="M260" s="120"/>
      <c r="N260" s="167"/>
      <c r="O260" s="120"/>
      <c r="P260" s="120"/>
      <c r="Q260" s="120"/>
      <c r="R260" s="120"/>
      <c r="S260" s="120"/>
      <c r="T260" s="221"/>
      <c r="U260" s="89"/>
      <c r="V260" s="61"/>
      <c r="W260" s="92" t="s">
        <v>1280</v>
      </c>
      <c r="X260" s="93" t="s">
        <v>32</v>
      </c>
      <c r="Y260" s="93" t="s">
        <v>68</v>
      </c>
      <c r="Z260" s="134">
        <f>VLOOKUP(W260,Sheet2!$B:$D,3,FALSE)</f>
        <v>28</v>
      </c>
      <c r="AA260" s="93">
        <v>1</v>
      </c>
      <c r="AB260" s="93">
        <f>AD260/AC258</f>
        <v>28</v>
      </c>
      <c r="AC260" s="93">
        <f>AC258/AA260</f>
        <v>1467.4565000000002</v>
      </c>
      <c r="AD260" s="94">
        <f>AC260*Z260</f>
        <v>41088.782000000007</v>
      </c>
      <c r="AE260" s="190"/>
      <c r="AF260" s="191"/>
      <c r="AG260" s="191"/>
      <c r="AH260" s="191"/>
      <c r="AI260" s="186"/>
      <c r="AK260" s="171"/>
    </row>
    <row r="261" spans="1:41" s="102" customFormat="1" ht="19.899999999999999" customHeight="1" x14ac:dyDescent="0.25">
      <c r="A261" s="45"/>
      <c r="B261" s="59"/>
      <c r="C261" s="137"/>
      <c r="D261" s="59"/>
      <c r="E261" s="116"/>
      <c r="F261" s="120"/>
      <c r="G261" s="120"/>
      <c r="H261" s="120"/>
      <c r="I261" s="60"/>
      <c r="J261" s="116"/>
      <c r="K261" s="213"/>
      <c r="L261" s="120"/>
      <c r="M261" s="120"/>
      <c r="N261" s="167"/>
      <c r="O261" s="120"/>
      <c r="P261" s="120"/>
      <c r="Q261" s="120"/>
      <c r="R261" s="120"/>
      <c r="S261" s="120"/>
      <c r="T261" s="221"/>
      <c r="U261" s="89"/>
      <c r="V261" s="61"/>
      <c r="W261" s="92" t="s">
        <v>1032</v>
      </c>
      <c r="X261" s="93" t="s">
        <v>30</v>
      </c>
      <c r="Y261" s="93" t="s">
        <v>66</v>
      </c>
      <c r="Z261" s="134">
        <f>VLOOKUP(W261,Sheet2!$B:$D,3,FALSE)</f>
        <v>250</v>
      </c>
      <c r="AA261" s="93">
        <f>1/(1*0.1)</f>
        <v>10</v>
      </c>
      <c r="AB261" s="93">
        <f>AD261/AC258</f>
        <v>25</v>
      </c>
      <c r="AC261" s="93">
        <f>AC258/AA261</f>
        <v>146.74565000000001</v>
      </c>
      <c r="AD261" s="94">
        <f>AC261*Z261</f>
        <v>36686.412500000006</v>
      </c>
      <c r="AE261" s="190"/>
      <c r="AF261" s="191"/>
      <c r="AG261" s="191"/>
      <c r="AH261" s="191"/>
      <c r="AI261" s="186"/>
      <c r="AK261" s="171"/>
    </row>
    <row r="262" spans="1:41" s="102" customFormat="1" ht="19.899999999999999" customHeight="1" x14ac:dyDescent="0.25">
      <c r="A262" s="45"/>
      <c r="B262" s="59"/>
      <c r="C262" s="137"/>
      <c r="D262" s="59"/>
      <c r="E262" s="116"/>
      <c r="F262" s="120"/>
      <c r="G262" s="120"/>
      <c r="H262" s="120"/>
      <c r="I262" s="60"/>
      <c r="J262" s="116"/>
      <c r="K262" s="213"/>
      <c r="L262" s="120"/>
      <c r="M262" s="120"/>
      <c r="N262" s="167"/>
      <c r="O262" s="120"/>
      <c r="P262" s="120"/>
      <c r="Q262" s="120"/>
      <c r="R262" s="120"/>
      <c r="S262" s="120"/>
      <c r="T262" s="221"/>
      <c r="U262" s="89"/>
      <c r="V262" s="61"/>
      <c r="W262" s="92" t="s">
        <v>1035</v>
      </c>
      <c r="X262" s="93" t="s">
        <v>32</v>
      </c>
      <c r="Y262" s="93" t="s">
        <v>66</v>
      </c>
      <c r="Z262" s="134">
        <f>VLOOKUP(W262,Sheet2!$B:$D,3,FALSE)</f>
        <v>150</v>
      </c>
      <c r="AA262" s="93">
        <f>AA261</f>
        <v>10</v>
      </c>
      <c r="AB262" s="93">
        <f>AD262/AC258</f>
        <v>15</v>
      </c>
      <c r="AC262" s="93">
        <f>AC258/AA262</f>
        <v>146.74565000000001</v>
      </c>
      <c r="AD262" s="94">
        <f t="shared" ref="AD262:AD263" si="247">AC262*Z262</f>
        <v>22011.847500000003</v>
      </c>
      <c r="AE262" s="190"/>
      <c r="AF262" s="191"/>
      <c r="AG262" s="191"/>
      <c r="AH262" s="191"/>
      <c r="AI262" s="186"/>
      <c r="AK262" s="171"/>
    </row>
    <row r="263" spans="1:41" s="102" customFormat="1" ht="19.899999999999999" customHeight="1" x14ac:dyDescent="0.25">
      <c r="A263" s="45"/>
      <c r="B263" s="59"/>
      <c r="C263" s="137"/>
      <c r="D263" s="59"/>
      <c r="E263" s="116"/>
      <c r="F263" s="120"/>
      <c r="G263" s="120"/>
      <c r="H263" s="120"/>
      <c r="I263" s="60"/>
      <c r="J263" s="116"/>
      <c r="K263" s="213"/>
      <c r="L263" s="120"/>
      <c r="M263" s="120"/>
      <c r="N263" s="167"/>
      <c r="O263" s="120"/>
      <c r="P263" s="120"/>
      <c r="Q263" s="120"/>
      <c r="R263" s="120"/>
      <c r="S263" s="120"/>
      <c r="T263" s="221"/>
      <c r="U263" s="89"/>
      <c r="V263" s="61"/>
      <c r="W263" s="92" t="s">
        <v>1037</v>
      </c>
      <c r="X263" s="93" t="s">
        <v>30</v>
      </c>
      <c r="Y263" s="93" t="s">
        <v>1038</v>
      </c>
      <c r="Z263" s="134">
        <f>VLOOKUP(W263,Sheet2!$B:$D,3,FALSE)</f>
        <v>175</v>
      </c>
      <c r="AA263" s="93">
        <v>300</v>
      </c>
      <c r="AB263" s="93">
        <f>AD263/AC258</f>
        <v>0.58333333333333337</v>
      </c>
      <c r="AC263" s="93">
        <f>AC258/AA263</f>
        <v>4.8915216666666677</v>
      </c>
      <c r="AD263" s="94">
        <f t="shared" si="247"/>
        <v>856.0162916666668</v>
      </c>
      <c r="AE263" s="190"/>
      <c r="AF263" s="191"/>
      <c r="AG263" s="191"/>
      <c r="AH263" s="191"/>
      <c r="AI263" s="186"/>
      <c r="AK263" s="171"/>
    </row>
    <row r="264" spans="1:41" s="103" customFormat="1" ht="19.899999999999999" customHeight="1" x14ac:dyDescent="0.25">
      <c r="A264" s="51"/>
      <c r="B264" s="52"/>
      <c r="C264" s="165"/>
      <c r="D264" s="52"/>
      <c r="E264" s="115"/>
      <c r="F264" s="58"/>
      <c r="G264" s="58"/>
      <c r="H264" s="58"/>
      <c r="I264" s="55"/>
      <c r="J264" s="113">
        <f>J248</f>
        <v>1467.4565000000002</v>
      </c>
      <c r="K264" s="212">
        <f>K248</f>
        <v>1467.4565000000002</v>
      </c>
      <c r="L264" s="58"/>
      <c r="M264" s="58">
        <f>K264-L264</f>
        <v>1467.4565000000002</v>
      </c>
      <c r="N264" s="166"/>
      <c r="O264" s="58"/>
      <c r="P264" s="58"/>
      <c r="Q264" s="58"/>
      <c r="R264" s="58"/>
      <c r="S264" s="58"/>
      <c r="T264" s="220"/>
      <c r="U264" s="88"/>
      <c r="V264" s="56"/>
      <c r="W264" s="57" t="s">
        <v>1040</v>
      </c>
      <c r="X264" s="53"/>
      <c r="Y264" s="91" t="s">
        <v>68</v>
      </c>
      <c r="Z264" s="136">
        <f>AD264/AC264</f>
        <v>5</v>
      </c>
      <c r="AA264" s="58"/>
      <c r="AB264" s="53">
        <f>AD264/AC264</f>
        <v>5</v>
      </c>
      <c r="AC264" s="53">
        <f>M264+$AE$10</f>
        <v>1467.4565000000002</v>
      </c>
      <c r="AD264" s="54">
        <f>SUM(AD265)</f>
        <v>7337.2825000000012</v>
      </c>
      <c r="AE264" s="184">
        <f>SUMIFS($AD$37:$AD$12971,$V$37:$V$12971,$V264,$X$37:$X$12971,AE$13)</f>
        <v>0</v>
      </c>
      <c r="AF264" s="185">
        <f>SUMIFS($AD$37:$AD$12971,$V$37:$V$12971,$V264,$X$37:$X$12971,AF$13)</f>
        <v>0</v>
      </c>
      <c r="AG264" s="185">
        <f>SUMIFS($AD$37:$AD$12971,$V$37:$V$12971,$V264,$X$37:$X$12971,AG$13)</f>
        <v>0</v>
      </c>
      <c r="AH264" s="187">
        <f>SUMIFS($AD$37:$AD$12971,$V$37:$V$12971,$V264,$X$37:$X$12971,AH$13)</f>
        <v>0</v>
      </c>
      <c r="AI264" s="161">
        <f t="shared" ref="AI264" si="248">SUM(AE264:AH264)</f>
        <v>0</v>
      </c>
      <c r="AK264" s="172"/>
    </row>
    <row r="265" spans="1:41" s="102" customFormat="1" ht="19.899999999999999" customHeight="1" x14ac:dyDescent="0.25">
      <c r="A265" s="45"/>
      <c r="B265" s="59"/>
      <c r="C265" s="137"/>
      <c r="D265" s="59"/>
      <c r="E265" s="116"/>
      <c r="F265" s="120"/>
      <c r="G265" s="120"/>
      <c r="H265" s="120"/>
      <c r="I265" s="60"/>
      <c r="J265" s="116"/>
      <c r="K265" s="213"/>
      <c r="L265" s="120"/>
      <c r="M265" s="120"/>
      <c r="N265" s="167"/>
      <c r="O265" s="120"/>
      <c r="P265" s="120"/>
      <c r="Q265" s="120"/>
      <c r="R265" s="120"/>
      <c r="S265" s="120"/>
      <c r="T265" s="221"/>
      <c r="U265" s="89"/>
      <c r="V265" s="61"/>
      <c r="W265" s="92" t="s">
        <v>1039</v>
      </c>
      <c r="X265" s="93" t="s">
        <v>32</v>
      </c>
      <c r="Y265" s="93" t="s">
        <v>68</v>
      </c>
      <c r="Z265" s="134">
        <f>VLOOKUP(W265,Sheet2!$B:$D,3,FALSE)</f>
        <v>5</v>
      </c>
      <c r="AA265" s="93">
        <v>1</v>
      </c>
      <c r="AB265" s="93">
        <f>AD265/AC264</f>
        <v>5</v>
      </c>
      <c r="AC265" s="93">
        <f>AC264/AA265</f>
        <v>1467.4565000000002</v>
      </c>
      <c r="AD265" s="94">
        <f t="shared" ref="AD265" si="249">AC265*Z265</f>
        <v>7337.2825000000012</v>
      </c>
      <c r="AE265" s="190"/>
      <c r="AF265" s="191"/>
      <c r="AG265" s="191"/>
      <c r="AH265" s="191"/>
      <c r="AI265" s="186"/>
      <c r="AK265" s="171"/>
    </row>
    <row r="266" spans="1:41" ht="20.100000000000001" customHeight="1" x14ac:dyDescent="0.25">
      <c r="A266" s="277" t="s">
        <v>216</v>
      </c>
      <c r="B266" s="278"/>
      <c r="C266" s="64" t="s">
        <v>223</v>
      </c>
      <c r="D266" s="46" t="s">
        <v>97</v>
      </c>
      <c r="E266" s="114">
        <v>1179.5279</v>
      </c>
      <c r="F266" s="44">
        <v>290</v>
      </c>
      <c r="G266" s="44">
        <f t="shared" si="199"/>
        <v>342063.09100000001</v>
      </c>
      <c r="H266" s="44">
        <f t="shared" si="200"/>
        <v>158.50510588235292</v>
      </c>
      <c r="I266" s="43">
        <f t="shared" si="201"/>
        <v>186961.1946806894</v>
      </c>
      <c r="J266" s="112">
        <f t="shared" si="202"/>
        <v>1179.5279</v>
      </c>
      <c r="K266" s="211">
        <f t="shared" si="203"/>
        <v>1179.5279</v>
      </c>
      <c r="L266" s="44"/>
      <c r="M266" s="44">
        <f t="shared" si="223"/>
        <v>1179.5279</v>
      </c>
      <c r="N266" s="173">
        <f t="shared" si="204"/>
        <v>1</v>
      </c>
      <c r="O266" s="44">
        <f t="shared" si="205"/>
        <v>290</v>
      </c>
      <c r="P266" s="44">
        <f t="shared" si="206"/>
        <v>342063.09100000001</v>
      </c>
      <c r="Q266" s="44">
        <f t="shared" si="207"/>
        <v>158.50510588235292</v>
      </c>
      <c r="R266" s="44">
        <f t="shared" si="224"/>
        <v>186961.1946806894</v>
      </c>
      <c r="S266" s="123"/>
      <c r="T266" s="219">
        <f t="shared" si="225"/>
        <v>186961.1946806894</v>
      </c>
      <c r="U266" s="87"/>
      <c r="V266" s="47"/>
      <c r="W266" s="48"/>
      <c r="X266" s="48"/>
      <c r="Y266" s="48"/>
      <c r="Z266" s="135"/>
      <c r="AA266" s="49"/>
      <c r="AB266" s="50">
        <f t="shared" si="208"/>
        <v>158.50510588235292</v>
      </c>
      <c r="AC266" s="42">
        <f t="shared" si="226"/>
        <v>1179.5279</v>
      </c>
      <c r="AD266" s="90">
        <f>AD267+AD276+AD282</f>
        <v>186961.1946806894</v>
      </c>
      <c r="AE266" s="188">
        <f t="shared" ref="AE266" si="250">AE267+AE276+AE282</f>
        <v>0</v>
      </c>
      <c r="AF266" s="189">
        <f t="shared" ref="AF266" si="251">AF267+AF276+AF282</f>
        <v>0</v>
      </c>
      <c r="AG266" s="189">
        <f t="shared" ref="AG266" si="252">AG267+AG276+AG282</f>
        <v>0</v>
      </c>
      <c r="AH266" s="189">
        <f t="shared" ref="AH266" si="253">AH267+AH276+AH282</f>
        <v>0</v>
      </c>
      <c r="AI266" s="161">
        <f t="shared" ref="AI266" si="254">SUM(AE266:AH266)</f>
        <v>0</v>
      </c>
      <c r="AK266" s="169">
        <v>5</v>
      </c>
      <c r="AO266" s="19" t="s">
        <v>63</v>
      </c>
    </row>
    <row r="267" spans="1:41" s="103" customFormat="1" ht="19.899999999999999" customHeight="1" x14ac:dyDescent="0.25">
      <c r="A267" s="51"/>
      <c r="B267" s="52"/>
      <c r="C267" s="165"/>
      <c r="D267" s="52"/>
      <c r="E267" s="115"/>
      <c r="F267" s="58"/>
      <c r="G267" s="58"/>
      <c r="H267" s="58"/>
      <c r="I267" s="55"/>
      <c r="J267" s="113">
        <f>J266</f>
        <v>1179.5279</v>
      </c>
      <c r="K267" s="212">
        <f>K266</f>
        <v>1179.5279</v>
      </c>
      <c r="L267" s="58"/>
      <c r="M267" s="58">
        <f>K267-L267</f>
        <v>1179.5279</v>
      </c>
      <c r="N267" s="166"/>
      <c r="O267" s="58"/>
      <c r="P267" s="58"/>
      <c r="Q267" s="58"/>
      <c r="R267" s="58"/>
      <c r="S267" s="58"/>
      <c r="T267" s="220"/>
      <c r="U267" s="88"/>
      <c r="V267" s="56"/>
      <c r="W267" s="57" t="s">
        <v>1047</v>
      </c>
      <c r="X267" s="53"/>
      <c r="Y267" s="91" t="s">
        <v>68</v>
      </c>
      <c r="Z267" s="136">
        <f>AD267/AC267</f>
        <v>9.9217725490196091</v>
      </c>
      <c r="AA267" s="58"/>
      <c r="AB267" s="53">
        <f>AD267/AC267</f>
        <v>9.9217725490196091</v>
      </c>
      <c r="AC267" s="53">
        <f>M267+$AE$10</f>
        <v>1179.5279</v>
      </c>
      <c r="AD267" s="54">
        <f>SUM(AD268:AD275)</f>
        <v>11703.007539022747</v>
      </c>
      <c r="AE267" s="184">
        <f>SUMIFS($AD$37:$AD$12971,$V$37:$V$12971,$V267,$X$37:$X$12971,AE$13)</f>
        <v>0</v>
      </c>
      <c r="AF267" s="185">
        <f>SUMIFS($AD$37:$AD$12971,$V$37:$V$12971,$V267,$X$37:$X$12971,AF$13)</f>
        <v>0</v>
      </c>
      <c r="AG267" s="185">
        <f>SUMIFS($AD$37:$AD$12971,$V$37:$V$12971,$V267,$X$37:$X$12971,AG$13)</f>
        <v>0</v>
      </c>
      <c r="AH267" s="187">
        <f>SUMIFS($AD$37:$AD$12971,$V$37:$V$12971,$V267,$X$37:$X$12971,AH$13)</f>
        <v>0</v>
      </c>
      <c r="AI267" s="161">
        <f t="shared" ref="AI267" si="255">SUM(AE267:AH267)</f>
        <v>0</v>
      </c>
      <c r="AK267" s="172"/>
    </row>
    <row r="268" spans="1:41" s="102" customFormat="1" ht="19.899999999999999" customHeight="1" x14ac:dyDescent="0.25">
      <c r="A268" s="45"/>
      <c r="B268" s="59"/>
      <c r="C268" s="137"/>
      <c r="D268" s="59"/>
      <c r="E268" s="116"/>
      <c r="F268" s="120"/>
      <c r="G268" s="120"/>
      <c r="H268" s="120"/>
      <c r="I268" s="60"/>
      <c r="J268" s="116"/>
      <c r="K268" s="213"/>
      <c r="L268" s="120"/>
      <c r="M268" s="120"/>
      <c r="N268" s="167"/>
      <c r="O268" s="120"/>
      <c r="P268" s="120"/>
      <c r="Q268" s="120"/>
      <c r="R268" s="120"/>
      <c r="S268" s="120"/>
      <c r="T268" s="221"/>
      <c r="U268" s="89"/>
      <c r="V268" s="61"/>
      <c r="W268" s="92" t="s">
        <v>129</v>
      </c>
      <c r="X268" s="93" t="s">
        <v>29</v>
      </c>
      <c r="Y268" s="93" t="s">
        <v>93</v>
      </c>
      <c r="Z268" s="134">
        <f>VLOOKUP(W268,Sheet2!$B:$D,3,FALSE)</f>
        <v>56</v>
      </c>
      <c r="AA268" s="93">
        <f>100/(1*2)</f>
        <v>50</v>
      </c>
      <c r="AB268" s="93">
        <f t="shared" ref="AB268" si="256">AD268/AC267</f>
        <v>1.1200000000000001</v>
      </c>
      <c r="AC268" s="93">
        <f>AC267/AA268</f>
        <v>23.590558000000001</v>
      </c>
      <c r="AD268" s="94">
        <f t="shared" ref="AD268:AD269" si="257">AC268*Z268</f>
        <v>1321.0712480000002</v>
      </c>
      <c r="AE268" s="190"/>
      <c r="AF268" s="191"/>
      <c r="AG268" s="191"/>
      <c r="AH268" s="191"/>
      <c r="AI268" s="186"/>
      <c r="AK268" s="171"/>
    </row>
    <row r="269" spans="1:41" s="102" customFormat="1" ht="19.899999999999999" customHeight="1" x14ac:dyDescent="0.25">
      <c r="A269" s="45"/>
      <c r="B269" s="59"/>
      <c r="C269" s="137"/>
      <c r="D269" s="59"/>
      <c r="E269" s="116"/>
      <c r="F269" s="120"/>
      <c r="G269" s="120"/>
      <c r="H269" s="120"/>
      <c r="I269" s="60"/>
      <c r="J269" s="116"/>
      <c r="K269" s="213"/>
      <c r="L269" s="120"/>
      <c r="M269" s="120"/>
      <c r="N269" s="167"/>
      <c r="O269" s="120"/>
      <c r="P269" s="120"/>
      <c r="Q269" s="120"/>
      <c r="R269" s="120"/>
      <c r="S269" s="120"/>
      <c r="T269" s="221"/>
      <c r="U269" s="89"/>
      <c r="V269" s="61"/>
      <c r="W269" s="92" t="s">
        <v>65</v>
      </c>
      <c r="X269" s="93" t="s">
        <v>30</v>
      </c>
      <c r="Y269" s="93" t="s">
        <v>1011</v>
      </c>
      <c r="Z269" s="134">
        <f>VLOOKUP(W269,Sheet2!$B:$D,3,FALSE)</f>
        <v>1.76</v>
      </c>
      <c r="AA269" s="93">
        <f>AA268/14</f>
        <v>3.5714285714285716</v>
      </c>
      <c r="AB269" s="93">
        <f>AD269/AC267</f>
        <v>0.49279999999999996</v>
      </c>
      <c r="AC269" s="93">
        <f>AC267/AA269</f>
        <v>330.26781199999999</v>
      </c>
      <c r="AD269" s="94">
        <f t="shared" si="257"/>
        <v>581.27134911999997</v>
      </c>
      <c r="AE269" s="190"/>
      <c r="AF269" s="191"/>
      <c r="AG269" s="191"/>
      <c r="AH269" s="191"/>
      <c r="AI269" s="186"/>
      <c r="AK269" s="171"/>
    </row>
    <row r="270" spans="1:41" s="102" customFormat="1" ht="19.899999999999999" customHeight="1" x14ac:dyDescent="0.25">
      <c r="A270" s="45"/>
      <c r="B270" s="59"/>
      <c r="C270" s="137"/>
      <c r="D270" s="59"/>
      <c r="E270" s="116"/>
      <c r="F270" s="120"/>
      <c r="G270" s="120"/>
      <c r="H270" s="120"/>
      <c r="I270" s="60"/>
      <c r="J270" s="116"/>
      <c r="K270" s="213"/>
      <c r="L270" s="120"/>
      <c r="M270" s="120"/>
      <c r="N270" s="167"/>
      <c r="O270" s="120"/>
      <c r="P270" s="120"/>
      <c r="Q270" s="120"/>
      <c r="R270" s="120"/>
      <c r="S270" s="120"/>
      <c r="T270" s="221"/>
      <c r="U270" s="89"/>
      <c r="V270" s="61"/>
      <c r="W270" s="92" t="s">
        <v>161</v>
      </c>
      <c r="X270" s="93" t="s">
        <v>29</v>
      </c>
      <c r="Y270" s="93" t="s">
        <v>93</v>
      </c>
      <c r="Z270" s="134">
        <f>VLOOKUP(W270,Sheet2!$B:$D,3,FALSE)</f>
        <v>48</v>
      </c>
      <c r="AA270" s="93">
        <f>(16*0.85*1.5)/(1*2)</f>
        <v>10.199999999999999</v>
      </c>
      <c r="AB270" s="93">
        <f>AD270/AC267</f>
        <v>4.7058823529411766</v>
      </c>
      <c r="AC270" s="93">
        <f>AC267/AA270</f>
        <v>115.63999019607844</v>
      </c>
      <c r="AD270" s="94">
        <f>AC270*Z270</f>
        <v>5550.7195294117655</v>
      </c>
      <c r="AE270" s="190"/>
      <c r="AF270" s="191"/>
      <c r="AG270" s="191"/>
      <c r="AH270" s="191"/>
      <c r="AI270" s="186"/>
      <c r="AK270" s="171"/>
    </row>
    <row r="271" spans="1:41" s="102" customFormat="1" ht="19.899999999999999" customHeight="1" x14ac:dyDescent="0.25">
      <c r="A271" s="45"/>
      <c r="B271" s="59"/>
      <c r="C271" s="137"/>
      <c r="D271" s="59"/>
      <c r="E271" s="116"/>
      <c r="F271" s="120"/>
      <c r="G271" s="120"/>
      <c r="H271" s="120"/>
      <c r="I271" s="60"/>
      <c r="J271" s="116"/>
      <c r="K271" s="213"/>
      <c r="L271" s="120"/>
      <c r="M271" s="120"/>
      <c r="N271" s="167"/>
      <c r="O271" s="120"/>
      <c r="P271" s="120"/>
      <c r="Q271" s="120"/>
      <c r="R271" s="120"/>
      <c r="S271" s="120"/>
      <c r="T271" s="221"/>
      <c r="U271" s="89"/>
      <c r="V271" s="61"/>
      <c r="W271" s="92" t="s">
        <v>65</v>
      </c>
      <c r="X271" s="93" t="s">
        <v>30</v>
      </c>
      <c r="Y271" s="93" t="s">
        <v>1011</v>
      </c>
      <c r="Z271" s="134">
        <f>VLOOKUP(W271,Sheet2!$B:$D,3,FALSE)</f>
        <v>1.76</v>
      </c>
      <c r="AA271" s="93">
        <f>AA270/10</f>
        <v>1.02</v>
      </c>
      <c r="AB271" s="93">
        <f>AD271/AC267</f>
        <v>1.7254901960784315</v>
      </c>
      <c r="AC271" s="93">
        <f>AC267/AA271</f>
        <v>1156.3999019607843</v>
      </c>
      <c r="AD271" s="94">
        <f>AC271*Z271</f>
        <v>2035.2638274509804</v>
      </c>
      <c r="AE271" s="190"/>
      <c r="AF271" s="191"/>
      <c r="AG271" s="191"/>
      <c r="AH271" s="191"/>
      <c r="AI271" s="186"/>
      <c r="AK271" s="171"/>
    </row>
    <row r="272" spans="1:41" s="102" customFormat="1" ht="19.899999999999999" customHeight="1" x14ac:dyDescent="0.25">
      <c r="A272" s="45"/>
      <c r="B272" s="59"/>
      <c r="C272" s="137"/>
      <c r="D272" s="59"/>
      <c r="E272" s="116"/>
      <c r="F272" s="120"/>
      <c r="G272" s="120"/>
      <c r="H272" s="120"/>
      <c r="I272" s="60"/>
      <c r="J272" s="116"/>
      <c r="K272" s="213"/>
      <c r="L272" s="120"/>
      <c r="M272" s="120"/>
      <c r="N272" s="167"/>
      <c r="O272" s="120"/>
      <c r="P272" s="120"/>
      <c r="Q272" s="120"/>
      <c r="R272" s="120"/>
      <c r="S272" s="120"/>
      <c r="T272" s="221"/>
      <c r="U272" s="89"/>
      <c r="V272" s="61"/>
      <c r="W272" s="92" t="s">
        <v>1030</v>
      </c>
      <c r="X272" s="93" t="s">
        <v>29</v>
      </c>
      <c r="Y272" s="93" t="s">
        <v>93</v>
      </c>
      <c r="Z272" s="134">
        <f>VLOOKUP(W272,Sheet2!$B:$D,3,FALSE)</f>
        <v>23</v>
      </c>
      <c r="AA272" s="93">
        <v>50</v>
      </c>
      <c r="AB272" s="93">
        <f>AD272/AC267</f>
        <v>0.46</v>
      </c>
      <c r="AC272" s="93">
        <f>AC267/AA272</f>
        <v>23.590558000000001</v>
      </c>
      <c r="AD272" s="94">
        <f t="shared" ref="AD272:AD275" si="258">AC272*Z272</f>
        <v>542.58283400000005</v>
      </c>
      <c r="AE272" s="190"/>
      <c r="AF272" s="191"/>
      <c r="AG272" s="191"/>
      <c r="AH272" s="191"/>
      <c r="AI272" s="186"/>
      <c r="AK272" s="171"/>
    </row>
    <row r="273" spans="1:41" s="102" customFormat="1" ht="19.899999999999999" customHeight="1" x14ac:dyDescent="0.25">
      <c r="A273" s="45"/>
      <c r="B273" s="59"/>
      <c r="C273" s="137"/>
      <c r="D273" s="59"/>
      <c r="E273" s="116"/>
      <c r="F273" s="120"/>
      <c r="G273" s="120"/>
      <c r="H273" s="120"/>
      <c r="I273" s="60"/>
      <c r="J273" s="116"/>
      <c r="K273" s="213"/>
      <c r="L273" s="120"/>
      <c r="M273" s="120"/>
      <c r="N273" s="167"/>
      <c r="O273" s="120"/>
      <c r="P273" s="120"/>
      <c r="Q273" s="120"/>
      <c r="R273" s="120"/>
      <c r="S273" s="120"/>
      <c r="T273" s="221"/>
      <c r="U273" s="89"/>
      <c r="V273" s="61"/>
      <c r="W273" s="92" t="s">
        <v>65</v>
      </c>
      <c r="X273" s="93" t="s">
        <v>30</v>
      </c>
      <c r="Y273" s="93" t="s">
        <v>1011</v>
      </c>
      <c r="Z273" s="134">
        <f>VLOOKUP(W273,Sheet2!$B:$D,3,FALSE)</f>
        <v>1.76</v>
      </c>
      <c r="AA273" s="93">
        <f>AA272/3</f>
        <v>16.666666666666668</v>
      </c>
      <c r="AB273" s="93">
        <f>AD273/AC267</f>
        <v>0.10560000000000001</v>
      </c>
      <c r="AC273" s="93">
        <f>AC267/AA273</f>
        <v>70.771674000000004</v>
      </c>
      <c r="AD273" s="94">
        <f t="shared" si="258"/>
        <v>124.55814624000001</v>
      </c>
      <c r="AE273" s="190"/>
      <c r="AF273" s="191"/>
      <c r="AG273" s="191"/>
      <c r="AH273" s="191"/>
      <c r="AI273" s="186"/>
      <c r="AK273" s="171"/>
    </row>
    <row r="274" spans="1:41" s="102" customFormat="1" ht="19.899999999999999" customHeight="1" x14ac:dyDescent="0.25">
      <c r="A274" s="45"/>
      <c r="B274" s="59"/>
      <c r="C274" s="137"/>
      <c r="D274" s="59"/>
      <c r="E274" s="116"/>
      <c r="F274" s="120"/>
      <c r="G274" s="120"/>
      <c r="H274" s="120"/>
      <c r="I274" s="60"/>
      <c r="J274" s="116"/>
      <c r="K274" s="213"/>
      <c r="L274" s="120"/>
      <c r="M274" s="120"/>
      <c r="N274" s="167"/>
      <c r="O274" s="120"/>
      <c r="P274" s="120"/>
      <c r="Q274" s="120"/>
      <c r="R274" s="120"/>
      <c r="S274" s="120"/>
      <c r="T274" s="221"/>
      <c r="U274" s="89"/>
      <c r="V274" s="61"/>
      <c r="W274" s="92" t="s">
        <v>148</v>
      </c>
      <c r="X274" s="93" t="s">
        <v>29</v>
      </c>
      <c r="Y274" s="93" t="s">
        <v>93</v>
      </c>
      <c r="Z274" s="134">
        <f>VLOOKUP(W274,Sheet2!$B:$D,3,FALSE)</f>
        <v>48</v>
      </c>
      <c r="AA274" s="93">
        <f>AA268</f>
        <v>50</v>
      </c>
      <c r="AB274" s="93">
        <f>AD274/AC267</f>
        <v>0.96000000000000008</v>
      </c>
      <c r="AC274" s="93">
        <f>AC267/AA274</f>
        <v>23.590558000000001</v>
      </c>
      <c r="AD274" s="94">
        <f t="shared" si="258"/>
        <v>1132.3467840000001</v>
      </c>
      <c r="AE274" s="190"/>
      <c r="AF274" s="191"/>
      <c r="AG274" s="191"/>
      <c r="AH274" s="191"/>
      <c r="AI274" s="186"/>
      <c r="AK274" s="171"/>
    </row>
    <row r="275" spans="1:41" s="102" customFormat="1" ht="19.899999999999999" customHeight="1" x14ac:dyDescent="0.25">
      <c r="A275" s="45"/>
      <c r="B275" s="59"/>
      <c r="C275" s="137"/>
      <c r="D275" s="59"/>
      <c r="E275" s="116"/>
      <c r="F275" s="120"/>
      <c r="G275" s="120"/>
      <c r="H275" s="120"/>
      <c r="I275" s="60"/>
      <c r="J275" s="116"/>
      <c r="K275" s="213"/>
      <c r="L275" s="120"/>
      <c r="M275" s="120"/>
      <c r="N275" s="167"/>
      <c r="O275" s="120"/>
      <c r="P275" s="120"/>
      <c r="Q275" s="120"/>
      <c r="R275" s="120"/>
      <c r="S275" s="120"/>
      <c r="T275" s="221"/>
      <c r="U275" s="89"/>
      <c r="V275" s="61"/>
      <c r="W275" s="92" t="s">
        <v>65</v>
      </c>
      <c r="X275" s="93" t="s">
        <v>30</v>
      </c>
      <c r="Y275" s="93" t="s">
        <v>1011</v>
      </c>
      <c r="Z275" s="134">
        <f>VLOOKUP(W275,Sheet2!$B:$D,3,FALSE)</f>
        <v>1.76</v>
      </c>
      <c r="AA275" s="93">
        <f>AA274/10</f>
        <v>5</v>
      </c>
      <c r="AB275" s="93">
        <f>AD275/AC267</f>
        <v>0.35200000000000004</v>
      </c>
      <c r="AC275" s="93">
        <f>AC267/AA275</f>
        <v>235.90558000000001</v>
      </c>
      <c r="AD275" s="94">
        <f t="shared" si="258"/>
        <v>415.19382080000003</v>
      </c>
      <c r="AE275" s="190"/>
      <c r="AF275" s="191"/>
      <c r="AG275" s="191"/>
      <c r="AH275" s="191"/>
      <c r="AI275" s="186"/>
      <c r="AK275" s="171"/>
    </row>
    <row r="276" spans="1:41" s="103" customFormat="1" ht="19.899999999999999" customHeight="1" x14ac:dyDescent="0.25">
      <c r="A276" s="51"/>
      <c r="B276" s="52"/>
      <c r="C276" s="165"/>
      <c r="D276" s="52"/>
      <c r="E276" s="115"/>
      <c r="F276" s="58"/>
      <c r="G276" s="58"/>
      <c r="H276" s="58"/>
      <c r="I276" s="55"/>
      <c r="J276" s="113">
        <f>J266</f>
        <v>1179.5279</v>
      </c>
      <c r="K276" s="212">
        <f>K266</f>
        <v>1179.5279</v>
      </c>
      <c r="L276" s="58"/>
      <c r="M276" s="58">
        <f>K276-L276</f>
        <v>1179.5279</v>
      </c>
      <c r="N276" s="166"/>
      <c r="O276" s="58"/>
      <c r="P276" s="58"/>
      <c r="Q276" s="58"/>
      <c r="R276" s="58"/>
      <c r="S276" s="58"/>
      <c r="T276" s="220"/>
      <c r="U276" s="88"/>
      <c r="V276" s="56"/>
      <c r="W276" s="57" t="s">
        <v>1036</v>
      </c>
      <c r="X276" s="53"/>
      <c r="Y276" s="91" t="s">
        <v>68</v>
      </c>
      <c r="Z276" s="136">
        <f>AD276/AC276</f>
        <v>143.58333333333331</v>
      </c>
      <c r="AA276" s="58"/>
      <c r="AB276" s="53">
        <f>AD276/AC276</f>
        <v>143.58333333333331</v>
      </c>
      <c r="AC276" s="53">
        <f>M276+$AE$10</f>
        <v>1179.5279</v>
      </c>
      <c r="AD276" s="54">
        <f>SUM(AD277:AD281)</f>
        <v>169360.54764166666</v>
      </c>
      <c r="AE276" s="184">
        <f>SUMIFS($AD$37:$AD$12971,$V$37:$V$12971,$V276,$X$37:$X$12971,AE$13)</f>
        <v>0</v>
      </c>
      <c r="AF276" s="185">
        <f>SUMIFS($AD$37:$AD$12971,$V$37:$V$12971,$V276,$X$37:$X$12971,AF$13)</f>
        <v>0</v>
      </c>
      <c r="AG276" s="185">
        <f>SUMIFS($AD$37:$AD$12971,$V$37:$V$12971,$V276,$X$37:$X$12971,AG$13)</f>
        <v>0</v>
      </c>
      <c r="AH276" s="187">
        <f>SUMIFS($AD$37:$AD$12971,$V$37:$V$12971,$V276,$X$37:$X$12971,AH$13)</f>
        <v>0</v>
      </c>
      <c r="AI276" s="161">
        <f t="shared" ref="AI276" si="259">SUM(AE276:AH276)</f>
        <v>0</v>
      </c>
      <c r="AK276" s="172"/>
    </row>
    <row r="277" spans="1:41" s="102" customFormat="1" ht="19.899999999999999" customHeight="1" x14ac:dyDescent="0.25">
      <c r="A277" s="45"/>
      <c r="B277" s="59"/>
      <c r="C277" s="137"/>
      <c r="D277" s="59"/>
      <c r="E277" s="116"/>
      <c r="F277" s="120"/>
      <c r="G277" s="120"/>
      <c r="H277" s="120"/>
      <c r="I277" s="60"/>
      <c r="J277" s="116"/>
      <c r="K277" s="213"/>
      <c r="L277" s="120"/>
      <c r="M277" s="120"/>
      <c r="N277" s="167"/>
      <c r="O277" s="120"/>
      <c r="P277" s="120"/>
      <c r="Q277" s="120"/>
      <c r="R277" s="120"/>
      <c r="S277" s="120"/>
      <c r="T277" s="221"/>
      <c r="U277" s="89"/>
      <c r="V277" s="61"/>
      <c r="W277" s="92" t="s">
        <v>1279</v>
      </c>
      <c r="X277" s="93" t="s">
        <v>30</v>
      </c>
      <c r="Y277" s="93" t="s">
        <v>68</v>
      </c>
      <c r="Z277" s="134">
        <f>VLOOKUP(W277,Sheet2!$B:$D,3,FALSE)</f>
        <v>75</v>
      </c>
      <c r="AA277" s="93">
        <v>1</v>
      </c>
      <c r="AB277" s="93">
        <f>AD277/AC276</f>
        <v>75</v>
      </c>
      <c r="AC277" s="93">
        <f>AC276/AA277</f>
        <v>1179.5279</v>
      </c>
      <c r="AD277" s="94">
        <f t="shared" ref="AD277" si="260">AC277*Z277</f>
        <v>88464.592499999999</v>
      </c>
      <c r="AE277" s="190"/>
      <c r="AF277" s="191"/>
      <c r="AG277" s="191"/>
      <c r="AH277" s="191"/>
      <c r="AI277" s="186"/>
      <c r="AK277" s="171"/>
    </row>
    <row r="278" spans="1:41" s="102" customFormat="1" ht="19.899999999999999" customHeight="1" x14ac:dyDescent="0.25">
      <c r="A278" s="45"/>
      <c r="B278" s="59"/>
      <c r="C278" s="137"/>
      <c r="D278" s="59"/>
      <c r="E278" s="116"/>
      <c r="F278" s="120"/>
      <c r="G278" s="120"/>
      <c r="H278" s="120"/>
      <c r="I278" s="60"/>
      <c r="J278" s="116"/>
      <c r="K278" s="213"/>
      <c r="L278" s="120"/>
      <c r="M278" s="120"/>
      <c r="N278" s="167"/>
      <c r="O278" s="120"/>
      <c r="P278" s="120"/>
      <c r="Q278" s="120"/>
      <c r="R278" s="120"/>
      <c r="S278" s="120"/>
      <c r="T278" s="221"/>
      <c r="U278" s="89"/>
      <c r="V278" s="61"/>
      <c r="W278" s="92" t="s">
        <v>1280</v>
      </c>
      <c r="X278" s="93" t="s">
        <v>32</v>
      </c>
      <c r="Y278" s="93" t="s">
        <v>68</v>
      </c>
      <c r="Z278" s="134">
        <f>VLOOKUP(W278,Sheet2!$B:$D,3,FALSE)</f>
        <v>28</v>
      </c>
      <c r="AA278" s="93">
        <v>1</v>
      </c>
      <c r="AB278" s="93">
        <f>AD278/AC276</f>
        <v>27.999999999999996</v>
      </c>
      <c r="AC278" s="93">
        <f>AC276/AA278</f>
        <v>1179.5279</v>
      </c>
      <c r="AD278" s="94">
        <f>AC278*Z278</f>
        <v>33026.781199999998</v>
      </c>
      <c r="AE278" s="190"/>
      <c r="AF278" s="191"/>
      <c r="AG278" s="191"/>
      <c r="AH278" s="191"/>
      <c r="AI278" s="186"/>
      <c r="AK278" s="171"/>
    </row>
    <row r="279" spans="1:41" s="102" customFormat="1" ht="19.899999999999999" customHeight="1" x14ac:dyDescent="0.25">
      <c r="A279" s="45"/>
      <c r="B279" s="59"/>
      <c r="C279" s="137"/>
      <c r="D279" s="59"/>
      <c r="E279" s="116"/>
      <c r="F279" s="120"/>
      <c r="G279" s="120"/>
      <c r="H279" s="120"/>
      <c r="I279" s="60"/>
      <c r="J279" s="116"/>
      <c r="K279" s="213"/>
      <c r="L279" s="120"/>
      <c r="M279" s="120"/>
      <c r="N279" s="167"/>
      <c r="O279" s="120"/>
      <c r="P279" s="120"/>
      <c r="Q279" s="120"/>
      <c r="R279" s="120"/>
      <c r="S279" s="120"/>
      <c r="T279" s="221"/>
      <c r="U279" s="89"/>
      <c r="V279" s="61"/>
      <c r="W279" s="92" t="s">
        <v>1032</v>
      </c>
      <c r="X279" s="93" t="s">
        <v>30</v>
      </c>
      <c r="Y279" s="93" t="s">
        <v>66</v>
      </c>
      <c r="Z279" s="134">
        <f>VLOOKUP(W279,Sheet2!$B:$D,3,FALSE)</f>
        <v>250</v>
      </c>
      <c r="AA279" s="93">
        <f>1/(1*0.1)</f>
        <v>10</v>
      </c>
      <c r="AB279" s="93">
        <f>AD279/AC276</f>
        <v>25</v>
      </c>
      <c r="AC279" s="93">
        <f>AC276/AA279</f>
        <v>117.95279000000001</v>
      </c>
      <c r="AD279" s="94">
        <f>AC279*Z279</f>
        <v>29488.197500000002</v>
      </c>
      <c r="AE279" s="190"/>
      <c r="AF279" s="191"/>
      <c r="AG279" s="191"/>
      <c r="AH279" s="191"/>
      <c r="AI279" s="186"/>
      <c r="AK279" s="171"/>
    </row>
    <row r="280" spans="1:41" s="102" customFormat="1" ht="19.899999999999999" customHeight="1" x14ac:dyDescent="0.25">
      <c r="A280" s="45"/>
      <c r="B280" s="59"/>
      <c r="C280" s="137"/>
      <c r="D280" s="59"/>
      <c r="E280" s="116"/>
      <c r="F280" s="120"/>
      <c r="G280" s="120"/>
      <c r="H280" s="120"/>
      <c r="I280" s="60"/>
      <c r="J280" s="116"/>
      <c r="K280" s="213"/>
      <c r="L280" s="120"/>
      <c r="M280" s="120"/>
      <c r="N280" s="167"/>
      <c r="O280" s="120"/>
      <c r="P280" s="120"/>
      <c r="Q280" s="120"/>
      <c r="R280" s="120"/>
      <c r="S280" s="120"/>
      <c r="T280" s="221"/>
      <c r="U280" s="89"/>
      <c r="V280" s="61"/>
      <c r="W280" s="92" t="s">
        <v>1035</v>
      </c>
      <c r="X280" s="93" t="s">
        <v>32</v>
      </c>
      <c r="Y280" s="93" t="s">
        <v>66</v>
      </c>
      <c r="Z280" s="134">
        <f>VLOOKUP(W280,Sheet2!$B:$D,3,FALSE)</f>
        <v>150</v>
      </c>
      <c r="AA280" s="93">
        <f>AA279</f>
        <v>10</v>
      </c>
      <c r="AB280" s="93">
        <f>AD280/AC276</f>
        <v>15</v>
      </c>
      <c r="AC280" s="93">
        <f>AC276/AA280</f>
        <v>117.95279000000001</v>
      </c>
      <c r="AD280" s="94">
        <f t="shared" ref="AD280:AD281" si="261">AC280*Z280</f>
        <v>17692.9185</v>
      </c>
      <c r="AE280" s="190"/>
      <c r="AF280" s="191"/>
      <c r="AG280" s="191"/>
      <c r="AH280" s="191"/>
      <c r="AI280" s="186"/>
      <c r="AK280" s="171"/>
    </row>
    <row r="281" spans="1:41" s="102" customFormat="1" ht="19.899999999999999" customHeight="1" x14ac:dyDescent="0.25">
      <c r="A281" s="45"/>
      <c r="B281" s="59"/>
      <c r="C281" s="137"/>
      <c r="D281" s="59"/>
      <c r="E281" s="116"/>
      <c r="F281" s="120"/>
      <c r="G281" s="120"/>
      <c r="H281" s="120"/>
      <c r="I281" s="60"/>
      <c r="J281" s="116"/>
      <c r="K281" s="213"/>
      <c r="L281" s="120"/>
      <c r="M281" s="120"/>
      <c r="N281" s="167"/>
      <c r="O281" s="120"/>
      <c r="P281" s="120"/>
      <c r="Q281" s="120"/>
      <c r="R281" s="120"/>
      <c r="S281" s="120"/>
      <c r="T281" s="221"/>
      <c r="U281" s="89"/>
      <c r="V281" s="61"/>
      <c r="W281" s="92" t="s">
        <v>1037</v>
      </c>
      <c r="X281" s="93" t="s">
        <v>30</v>
      </c>
      <c r="Y281" s="93" t="s">
        <v>1038</v>
      </c>
      <c r="Z281" s="134">
        <f>VLOOKUP(W281,Sheet2!$B:$D,3,FALSE)</f>
        <v>175</v>
      </c>
      <c r="AA281" s="93">
        <v>300</v>
      </c>
      <c r="AB281" s="93">
        <f>AD281/AC276</f>
        <v>0.58333333333333337</v>
      </c>
      <c r="AC281" s="93">
        <f>AC276/AA281</f>
        <v>3.9317596666666668</v>
      </c>
      <c r="AD281" s="94">
        <f t="shared" si="261"/>
        <v>688.05794166666669</v>
      </c>
      <c r="AE281" s="190"/>
      <c r="AF281" s="191"/>
      <c r="AG281" s="191"/>
      <c r="AH281" s="191"/>
      <c r="AI281" s="186"/>
      <c r="AK281" s="171"/>
    </row>
    <row r="282" spans="1:41" s="103" customFormat="1" ht="19.899999999999999" customHeight="1" x14ac:dyDescent="0.25">
      <c r="A282" s="51"/>
      <c r="B282" s="52"/>
      <c r="C282" s="165"/>
      <c r="D282" s="52"/>
      <c r="E282" s="115"/>
      <c r="F282" s="58"/>
      <c r="G282" s="58"/>
      <c r="H282" s="58"/>
      <c r="I282" s="55"/>
      <c r="J282" s="113">
        <f>J266</f>
        <v>1179.5279</v>
      </c>
      <c r="K282" s="212">
        <f>K266</f>
        <v>1179.5279</v>
      </c>
      <c r="L282" s="58"/>
      <c r="M282" s="58">
        <f>K282-L282</f>
        <v>1179.5279</v>
      </c>
      <c r="N282" s="166"/>
      <c r="O282" s="58"/>
      <c r="P282" s="58"/>
      <c r="Q282" s="58"/>
      <c r="R282" s="58"/>
      <c r="S282" s="58"/>
      <c r="T282" s="220"/>
      <c r="U282" s="88"/>
      <c r="V282" s="56"/>
      <c r="W282" s="57" t="s">
        <v>1040</v>
      </c>
      <c r="X282" s="53"/>
      <c r="Y282" s="91" t="s">
        <v>68</v>
      </c>
      <c r="Z282" s="136">
        <f>AD282/AC282</f>
        <v>5</v>
      </c>
      <c r="AA282" s="58"/>
      <c r="AB282" s="53">
        <f>AD282/AC282</f>
        <v>5</v>
      </c>
      <c r="AC282" s="53">
        <f>M282+$AE$10</f>
        <v>1179.5279</v>
      </c>
      <c r="AD282" s="54">
        <f>SUM(AD283)</f>
        <v>5897.6395000000002</v>
      </c>
      <c r="AE282" s="184">
        <f>SUMIFS($AD$37:$AD$12971,$V$37:$V$12971,$V282,$X$37:$X$12971,AE$13)</f>
        <v>0</v>
      </c>
      <c r="AF282" s="185">
        <f>SUMIFS($AD$37:$AD$12971,$V$37:$V$12971,$V282,$X$37:$X$12971,AF$13)</f>
        <v>0</v>
      </c>
      <c r="AG282" s="185">
        <f>SUMIFS($AD$37:$AD$12971,$V$37:$V$12971,$V282,$X$37:$X$12971,AG$13)</f>
        <v>0</v>
      </c>
      <c r="AH282" s="187">
        <f>SUMIFS($AD$37:$AD$12971,$V$37:$V$12971,$V282,$X$37:$X$12971,AH$13)</f>
        <v>0</v>
      </c>
      <c r="AI282" s="161">
        <f t="shared" ref="AI282" si="262">SUM(AE282:AH282)</f>
        <v>0</v>
      </c>
      <c r="AK282" s="172"/>
    </row>
    <row r="283" spans="1:41" s="102" customFormat="1" ht="19.899999999999999" customHeight="1" x14ac:dyDescent="0.25">
      <c r="A283" s="45"/>
      <c r="B283" s="59"/>
      <c r="C283" s="137"/>
      <c r="D283" s="59"/>
      <c r="E283" s="116"/>
      <c r="F283" s="120"/>
      <c r="G283" s="120"/>
      <c r="H283" s="120"/>
      <c r="I283" s="60"/>
      <c r="J283" s="116"/>
      <c r="K283" s="213"/>
      <c r="L283" s="120"/>
      <c r="M283" s="120"/>
      <c r="N283" s="167"/>
      <c r="O283" s="120"/>
      <c r="P283" s="120"/>
      <c r="Q283" s="120"/>
      <c r="R283" s="120"/>
      <c r="S283" s="120"/>
      <c r="T283" s="221"/>
      <c r="U283" s="89"/>
      <c r="V283" s="61"/>
      <c r="W283" s="92" t="s">
        <v>1039</v>
      </c>
      <c r="X283" s="93" t="s">
        <v>32</v>
      </c>
      <c r="Y283" s="93" t="s">
        <v>68</v>
      </c>
      <c r="Z283" s="134">
        <f>VLOOKUP(W283,Sheet2!$B:$D,3,FALSE)</f>
        <v>5</v>
      </c>
      <c r="AA283" s="93">
        <v>1</v>
      </c>
      <c r="AB283" s="93">
        <f>AD283/AC282</f>
        <v>5</v>
      </c>
      <c r="AC283" s="93">
        <f>AC282/AA283</f>
        <v>1179.5279</v>
      </c>
      <c r="AD283" s="94">
        <f t="shared" ref="AD283" si="263">AC283*Z283</f>
        <v>5897.6395000000002</v>
      </c>
      <c r="AE283" s="190"/>
      <c r="AF283" s="191"/>
      <c r="AG283" s="191"/>
      <c r="AH283" s="191"/>
      <c r="AI283" s="186"/>
      <c r="AK283" s="171"/>
    </row>
    <row r="284" spans="1:41" ht="20.100000000000001" customHeight="1" x14ac:dyDescent="0.25">
      <c r="A284" s="277" t="s">
        <v>216</v>
      </c>
      <c r="B284" s="278"/>
      <c r="C284" s="64" t="s">
        <v>224</v>
      </c>
      <c r="D284" s="46" t="s">
        <v>97</v>
      </c>
      <c r="E284" s="114"/>
      <c r="F284" s="44">
        <v>0</v>
      </c>
      <c r="G284" s="44">
        <f t="shared" si="199"/>
        <v>0</v>
      </c>
      <c r="H284" s="44">
        <f t="shared" si="200"/>
        <v>0</v>
      </c>
      <c r="I284" s="43">
        <f t="shared" si="201"/>
        <v>0</v>
      </c>
      <c r="J284" s="112">
        <f t="shared" si="202"/>
        <v>0</v>
      </c>
      <c r="K284" s="211">
        <f t="shared" si="203"/>
        <v>0</v>
      </c>
      <c r="L284" s="44"/>
      <c r="M284" s="44">
        <f t="shared" si="223"/>
        <v>0</v>
      </c>
      <c r="N284" s="173">
        <f t="shared" si="204"/>
        <v>0</v>
      </c>
      <c r="O284" s="44">
        <f t="shared" si="205"/>
        <v>0</v>
      </c>
      <c r="P284" s="44">
        <f t="shared" si="206"/>
        <v>0</v>
      </c>
      <c r="Q284" s="44">
        <f t="shared" si="207"/>
        <v>0</v>
      </c>
      <c r="R284" s="44">
        <f t="shared" si="224"/>
        <v>0</v>
      </c>
      <c r="S284" s="123"/>
      <c r="T284" s="219">
        <f t="shared" si="225"/>
        <v>0</v>
      </c>
      <c r="U284" s="87"/>
      <c r="V284" s="47"/>
      <c r="W284" s="48"/>
      <c r="X284" s="48"/>
      <c r="Y284" s="48"/>
      <c r="Z284" s="135"/>
      <c r="AA284" s="49"/>
      <c r="AB284" s="50">
        <f t="shared" si="208"/>
        <v>0</v>
      </c>
      <c r="AC284" s="42">
        <f t="shared" si="226"/>
        <v>9.9999999999999998E-20</v>
      </c>
      <c r="AD284" s="90"/>
      <c r="AE284" s="188"/>
      <c r="AF284" s="189"/>
      <c r="AG284" s="189"/>
      <c r="AH284" s="189"/>
      <c r="AI284" s="161"/>
    </row>
    <row r="285" spans="1:41" ht="20.100000000000001" customHeight="1" x14ac:dyDescent="0.25">
      <c r="A285" s="277" t="s">
        <v>216</v>
      </c>
      <c r="B285" s="278"/>
      <c r="C285" s="64" t="s">
        <v>225</v>
      </c>
      <c r="D285" s="46" t="s">
        <v>97</v>
      </c>
      <c r="E285" s="114">
        <v>1365.2587000000012</v>
      </c>
      <c r="F285" s="44">
        <v>307</v>
      </c>
      <c r="G285" s="44">
        <f t="shared" si="199"/>
        <v>419134.42090000038</v>
      </c>
      <c r="H285" s="44">
        <f t="shared" si="200"/>
        <v>178.16606274509803</v>
      </c>
      <c r="I285" s="43">
        <f t="shared" si="201"/>
        <v>243242.76720749118</v>
      </c>
      <c r="J285" s="112">
        <f t="shared" si="202"/>
        <v>1365.2587000000012</v>
      </c>
      <c r="K285" s="211">
        <f t="shared" si="203"/>
        <v>1365.2587000000012</v>
      </c>
      <c r="L285" s="44"/>
      <c r="M285" s="44">
        <f t="shared" si="223"/>
        <v>1365.2587000000012</v>
      </c>
      <c r="N285" s="173">
        <f t="shared" si="204"/>
        <v>1</v>
      </c>
      <c r="O285" s="44">
        <f t="shared" si="205"/>
        <v>307</v>
      </c>
      <c r="P285" s="44">
        <f t="shared" si="206"/>
        <v>419134.42090000038</v>
      </c>
      <c r="Q285" s="44">
        <f t="shared" si="207"/>
        <v>178.16606274509803</v>
      </c>
      <c r="R285" s="44">
        <f t="shared" si="224"/>
        <v>243242.76720749118</v>
      </c>
      <c r="S285" s="123"/>
      <c r="T285" s="219">
        <f t="shared" si="225"/>
        <v>243242.76720749118</v>
      </c>
      <c r="U285" s="87"/>
      <c r="V285" s="47"/>
      <c r="W285" s="48"/>
      <c r="X285" s="48"/>
      <c r="Y285" s="48"/>
      <c r="Z285" s="135"/>
      <c r="AA285" s="49"/>
      <c r="AB285" s="50">
        <f t="shared" si="208"/>
        <v>178.16606274509803</v>
      </c>
      <c r="AC285" s="42">
        <f t="shared" si="226"/>
        <v>1365.2587000000012</v>
      </c>
      <c r="AD285" s="90">
        <f>AD286+AD295+AD301</f>
        <v>243242.76720749118</v>
      </c>
      <c r="AE285" s="188">
        <f t="shared" ref="AE285" si="264">AE286+AE295+AE301</f>
        <v>0</v>
      </c>
      <c r="AF285" s="189">
        <f t="shared" ref="AF285" si="265">AF286+AF295+AF301</f>
        <v>0</v>
      </c>
      <c r="AG285" s="189">
        <f t="shared" ref="AG285" si="266">AG286+AG295+AG301</f>
        <v>0</v>
      </c>
      <c r="AH285" s="189">
        <f t="shared" ref="AH285" si="267">AH286+AH295+AH301</f>
        <v>0</v>
      </c>
      <c r="AI285" s="161">
        <f t="shared" ref="AI285:AI303" si="268">SUM(AE285:AH285)</f>
        <v>0</v>
      </c>
      <c r="AK285" s="169">
        <v>5</v>
      </c>
      <c r="AO285" s="19" t="s">
        <v>63</v>
      </c>
    </row>
    <row r="286" spans="1:41" s="103" customFormat="1" ht="19.899999999999999" customHeight="1" x14ac:dyDescent="0.25">
      <c r="A286" s="51"/>
      <c r="B286" s="52"/>
      <c r="C286" s="165"/>
      <c r="D286" s="52"/>
      <c r="E286" s="115"/>
      <c r="F286" s="58"/>
      <c r="G286" s="58"/>
      <c r="H286" s="58"/>
      <c r="I286" s="55"/>
      <c r="J286" s="113">
        <f>J285</f>
        <v>1365.2587000000012</v>
      </c>
      <c r="K286" s="212">
        <f>K285</f>
        <v>1365.2587000000012</v>
      </c>
      <c r="L286" s="58"/>
      <c r="M286" s="58">
        <f>K286-L286</f>
        <v>1365.2587000000012</v>
      </c>
      <c r="N286" s="166"/>
      <c r="O286" s="58"/>
      <c r="P286" s="58"/>
      <c r="Q286" s="58"/>
      <c r="R286" s="58"/>
      <c r="S286" s="58"/>
      <c r="T286" s="220"/>
      <c r="U286" s="88"/>
      <c r="V286" s="56"/>
      <c r="W286" s="57" t="s">
        <v>1042</v>
      </c>
      <c r="X286" s="53"/>
      <c r="Y286" s="91" t="s">
        <v>68</v>
      </c>
      <c r="Z286" s="136">
        <f>AD286/AC286</f>
        <v>7.5827294117647064</v>
      </c>
      <c r="AA286" s="58"/>
      <c r="AB286" s="53">
        <f>AD286/AC286</f>
        <v>7.5827294117647064</v>
      </c>
      <c r="AC286" s="53">
        <f>M286+$AE$10</f>
        <v>1365.2587000000012</v>
      </c>
      <c r="AD286" s="54">
        <f>SUM(AD287:AD294)</f>
        <v>10352.387299157657</v>
      </c>
      <c r="AE286" s="184">
        <f>SUMIFS($AD$37:$AD$12971,$V$37:$V$12971,$V286,$X$37:$X$12971,AE$13)</f>
        <v>0</v>
      </c>
      <c r="AF286" s="185">
        <f>SUMIFS($AD$37:$AD$12971,$V$37:$V$12971,$V286,$X$37:$X$12971,AF$13)</f>
        <v>0</v>
      </c>
      <c r="AG286" s="185">
        <f>SUMIFS($AD$37:$AD$12971,$V$37:$V$12971,$V286,$X$37:$X$12971,AG$13)</f>
        <v>0</v>
      </c>
      <c r="AH286" s="187">
        <f>SUMIFS($AD$37:$AD$12971,$V$37:$V$12971,$V286,$X$37:$X$12971,AH$13)</f>
        <v>0</v>
      </c>
      <c r="AI286" s="161">
        <f t="shared" ref="AI286" si="269">SUM(AE286:AH286)</f>
        <v>0</v>
      </c>
      <c r="AK286" s="172"/>
    </row>
    <row r="287" spans="1:41" s="102" customFormat="1" ht="19.899999999999999" customHeight="1" x14ac:dyDescent="0.25">
      <c r="A287" s="45"/>
      <c r="B287" s="59"/>
      <c r="C287" s="137"/>
      <c r="D287" s="59"/>
      <c r="E287" s="116"/>
      <c r="F287" s="120"/>
      <c r="G287" s="120"/>
      <c r="H287" s="120"/>
      <c r="I287" s="60"/>
      <c r="J287" s="116"/>
      <c r="K287" s="213"/>
      <c r="L287" s="120"/>
      <c r="M287" s="120"/>
      <c r="N287" s="167"/>
      <c r="O287" s="120"/>
      <c r="P287" s="120"/>
      <c r="Q287" s="120"/>
      <c r="R287" s="120"/>
      <c r="S287" s="120"/>
      <c r="T287" s="221"/>
      <c r="U287" s="89"/>
      <c r="V287" s="61"/>
      <c r="W287" s="92" t="s">
        <v>129</v>
      </c>
      <c r="X287" s="93" t="s">
        <v>29</v>
      </c>
      <c r="Y287" s="93" t="s">
        <v>93</v>
      </c>
      <c r="Z287" s="134">
        <f>VLOOKUP(W287,Sheet2!$B:$D,3,FALSE)</f>
        <v>56</v>
      </c>
      <c r="AA287" s="93">
        <f>100/(1*1.5)</f>
        <v>66.666666666666671</v>
      </c>
      <c r="AB287" s="93">
        <f t="shared" ref="AB287" si="270">AD287/AC286</f>
        <v>0.84</v>
      </c>
      <c r="AC287" s="93">
        <f>AC286/AA287</f>
        <v>20.478880500000017</v>
      </c>
      <c r="AD287" s="94">
        <f t="shared" ref="AD287:AD288" si="271">AC287*Z287</f>
        <v>1146.817308000001</v>
      </c>
      <c r="AE287" s="190"/>
      <c r="AF287" s="191"/>
      <c r="AG287" s="191"/>
      <c r="AH287" s="191"/>
      <c r="AI287" s="186"/>
      <c r="AK287" s="171"/>
    </row>
    <row r="288" spans="1:41" s="102" customFormat="1" ht="19.899999999999999" customHeight="1" x14ac:dyDescent="0.25">
      <c r="A288" s="45"/>
      <c r="B288" s="59"/>
      <c r="C288" s="137"/>
      <c r="D288" s="59"/>
      <c r="E288" s="116"/>
      <c r="F288" s="120"/>
      <c r="G288" s="120"/>
      <c r="H288" s="120"/>
      <c r="I288" s="60"/>
      <c r="J288" s="116"/>
      <c r="K288" s="213"/>
      <c r="L288" s="120"/>
      <c r="M288" s="120"/>
      <c r="N288" s="167"/>
      <c r="O288" s="120"/>
      <c r="P288" s="120"/>
      <c r="Q288" s="120"/>
      <c r="R288" s="120"/>
      <c r="S288" s="120"/>
      <c r="T288" s="221"/>
      <c r="U288" s="89"/>
      <c r="V288" s="61"/>
      <c r="W288" s="92" t="s">
        <v>65</v>
      </c>
      <c r="X288" s="93" t="s">
        <v>30</v>
      </c>
      <c r="Y288" s="93" t="s">
        <v>1011</v>
      </c>
      <c r="Z288" s="134">
        <f>VLOOKUP(W288,Sheet2!$B:$D,3,FALSE)</f>
        <v>1.76</v>
      </c>
      <c r="AA288" s="93">
        <f>AA287/14</f>
        <v>4.7619047619047619</v>
      </c>
      <c r="AB288" s="93">
        <f>AD288/AC286</f>
        <v>0.36959999999999998</v>
      </c>
      <c r="AC288" s="93">
        <f>AC286/AA288</f>
        <v>286.70432700000026</v>
      </c>
      <c r="AD288" s="94">
        <f t="shared" si="271"/>
        <v>504.59961552000044</v>
      </c>
      <c r="AE288" s="190"/>
      <c r="AF288" s="191"/>
      <c r="AG288" s="191"/>
      <c r="AH288" s="191"/>
      <c r="AI288" s="186"/>
      <c r="AK288" s="171"/>
    </row>
    <row r="289" spans="1:41" s="102" customFormat="1" ht="19.899999999999999" customHeight="1" x14ac:dyDescent="0.25">
      <c r="A289" s="45"/>
      <c r="B289" s="59"/>
      <c r="C289" s="137"/>
      <c r="D289" s="59"/>
      <c r="E289" s="116"/>
      <c r="F289" s="120"/>
      <c r="G289" s="120"/>
      <c r="H289" s="120"/>
      <c r="I289" s="60"/>
      <c r="J289" s="116"/>
      <c r="K289" s="213"/>
      <c r="L289" s="120"/>
      <c r="M289" s="120"/>
      <c r="N289" s="167"/>
      <c r="O289" s="120"/>
      <c r="P289" s="120"/>
      <c r="Q289" s="120"/>
      <c r="R289" s="120"/>
      <c r="S289" s="120"/>
      <c r="T289" s="221"/>
      <c r="U289" s="89"/>
      <c r="V289" s="61"/>
      <c r="W289" s="92" t="s">
        <v>161</v>
      </c>
      <c r="X289" s="93" t="s">
        <v>29</v>
      </c>
      <c r="Y289" s="93" t="s">
        <v>93</v>
      </c>
      <c r="Z289" s="134">
        <f>VLOOKUP(W289,Sheet2!$B:$D,3,FALSE)</f>
        <v>48</v>
      </c>
      <c r="AA289" s="93">
        <f>(16*0.85*1.5)/(1*1.5)</f>
        <v>13.6</v>
      </c>
      <c r="AB289" s="93">
        <f>AD289/AC286</f>
        <v>3.5294117647058822</v>
      </c>
      <c r="AC289" s="93">
        <f>AC286/AA289</f>
        <v>100.38666911764714</v>
      </c>
      <c r="AD289" s="94">
        <f>AC289*Z289</f>
        <v>4818.5601176470627</v>
      </c>
      <c r="AE289" s="190"/>
      <c r="AF289" s="191"/>
      <c r="AG289" s="191"/>
      <c r="AH289" s="191"/>
      <c r="AI289" s="186"/>
      <c r="AK289" s="171"/>
    </row>
    <row r="290" spans="1:41" s="102" customFormat="1" ht="19.899999999999999" customHeight="1" x14ac:dyDescent="0.25">
      <c r="A290" s="45"/>
      <c r="B290" s="59"/>
      <c r="C290" s="137"/>
      <c r="D290" s="59"/>
      <c r="E290" s="116"/>
      <c r="F290" s="120"/>
      <c r="G290" s="120"/>
      <c r="H290" s="120"/>
      <c r="I290" s="60"/>
      <c r="J290" s="116"/>
      <c r="K290" s="213"/>
      <c r="L290" s="120"/>
      <c r="M290" s="120"/>
      <c r="N290" s="167"/>
      <c r="O290" s="120"/>
      <c r="P290" s="120"/>
      <c r="Q290" s="120"/>
      <c r="R290" s="120"/>
      <c r="S290" s="120"/>
      <c r="T290" s="221"/>
      <c r="U290" s="89"/>
      <c r="V290" s="61"/>
      <c r="W290" s="92" t="s">
        <v>65</v>
      </c>
      <c r="X290" s="93" t="s">
        <v>30</v>
      </c>
      <c r="Y290" s="93" t="s">
        <v>1011</v>
      </c>
      <c r="Z290" s="134">
        <f>VLOOKUP(W290,Sheet2!$B:$D,3,FALSE)</f>
        <v>1.76</v>
      </c>
      <c r="AA290" s="93">
        <f>AA289/10</f>
        <v>1.3599999999999999</v>
      </c>
      <c r="AB290" s="93">
        <f>AD290/AC286</f>
        <v>1.2941176470588238</v>
      </c>
      <c r="AC290" s="93">
        <f>AC286/AA290</f>
        <v>1003.8666911764716</v>
      </c>
      <c r="AD290" s="94">
        <f>AC290*Z290</f>
        <v>1766.8053764705901</v>
      </c>
      <c r="AE290" s="190"/>
      <c r="AF290" s="191"/>
      <c r="AG290" s="191"/>
      <c r="AH290" s="191"/>
      <c r="AI290" s="186"/>
      <c r="AK290" s="171"/>
    </row>
    <row r="291" spans="1:41" s="102" customFormat="1" ht="19.899999999999999" customHeight="1" x14ac:dyDescent="0.25">
      <c r="A291" s="45"/>
      <c r="B291" s="59"/>
      <c r="C291" s="137"/>
      <c r="D291" s="59"/>
      <c r="E291" s="116"/>
      <c r="F291" s="120"/>
      <c r="G291" s="120"/>
      <c r="H291" s="120"/>
      <c r="I291" s="60"/>
      <c r="J291" s="116"/>
      <c r="K291" s="213"/>
      <c r="L291" s="120"/>
      <c r="M291" s="120"/>
      <c r="N291" s="167"/>
      <c r="O291" s="120"/>
      <c r="P291" s="120"/>
      <c r="Q291" s="120"/>
      <c r="R291" s="120"/>
      <c r="S291" s="120"/>
      <c r="T291" s="221"/>
      <c r="U291" s="89"/>
      <c r="V291" s="61"/>
      <c r="W291" s="92" t="s">
        <v>1030</v>
      </c>
      <c r="X291" s="93" t="s">
        <v>29</v>
      </c>
      <c r="Y291" s="93" t="s">
        <v>93</v>
      </c>
      <c r="Z291" s="134">
        <f>VLOOKUP(W291,Sheet2!$B:$D,3,FALSE)</f>
        <v>23</v>
      </c>
      <c r="AA291" s="93">
        <v>50</v>
      </c>
      <c r="AB291" s="93">
        <f>AD291/AC286</f>
        <v>0.46</v>
      </c>
      <c r="AC291" s="93">
        <f>AC286/AA291</f>
        <v>27.305174000000026</v>
      </c>
      <c r="AD291" s="94">
        <f t="shared" ref="AD291:AD294" si="272">AC291*Z291</f>
        <v>628.01900200000057</v>
      </c>
      <c r="AE291" s="190"/>
      <c r="AF291" s="191"/>
      <c r="AG291" s="191"/>
      <c r="AH291" s="191"/>
      <c r="AI291" s="186"/>
      <c r="AK291" s="171"/>
    </row>
    <row r="292" spans="1:41" s="102" customFormat="1" ht="19.899999999999999" customHeight="1" x14ac:dyDescent="0.25">
      <c r="A292" s="45"/>
      <c r="B292" s="59"/>
      <c r="C292" s="137"/>
      <c r="D292" s="59"/>
      <c r="E292" s="116"/>
      <c r="F292" s="120"/>
      <c r="G292" s="120"/>
      <c r="H292" s="120"/>
      <c r="I292" s="60"/>
      <c r="J292" s="116"/>
      <c r="K292" s="213"/>
      <c r="L292" s="120"/>
      <c r="M292" s="120"/>
      <c r="N292" s="167"/>
      <c r="O292" s="120"/>
      <c r="P292" s="120"/>
      <c r="Q292" s="120"/>
      <c r="R292" s="120"/>
      <c r="S292" s="120"/>
      <c r="T292" s="221"/>
      <c r="U292" s="89"/>
      <c r="V292" s="61"/>
      <c r="W292" s="92" t="s">
        <v>65</v>
      </c>
      <c r="X292" s="93" t="s">
        <v>30</v>
      </c>
      <c r="Y292" s="93" t="s">
        <v>1011</v>
      </c>
      <c r="Z292" s="134">
        <f>VLOOKUP(W292,Sheet2!$B:$D,3,FALSE)</f>
        <v>1.76</v>
      </c>
      <c r="AA292" s="93">
        <f>AA291/3</f>
        <v>16.666666666666668</v>
      </c>
      <c r="AB292" s="93">
        <f>AD292/AC286</f>
        <v>0.1056</v>
      </c>
      <c r="AC292" s="93">
        <f>AC286/AA292</f>
        <v>81.915522000000067</v>
      </c>
      <c r="AD292" s="94">
        <f t="shared" si="272"/>
        <v>144.17131872000013</v>
      </c>
      <c r="AE292" s="190"/>
      <c r="AF292" s="191"/>
      <c r="AG292" s="191"/>
      <c r="AH292" s="191"/>
      <c r="AI292" s="186"/>
      <c r="AK292" s="171"/>
    </row>
    <row r="293" spans="1:41" s="102" customFormat="1" ht="19.899999999999999" customHeight="1" x14ac:dyDescent="0.25">
      <c r="A293" s="45"/>
      <c r="B293" s="59"/>
      <c r="C293" s="137"/>
      <c r="D293" s="59"/>
      <c r="E293" s="116"/>
      <c r="F293" s="120"/>
      <c r="G293" s="120"/>
      <c r="H293" s="120"/>
      <c r="I293" s="60"/>
      <c r="J293" s="116"/>
      <c r="K293" s="213"/>
      <c r="L293" s="120"/>
      <c r="M293" s="120"/>
      <c r="N293" s="167"/>
      <c r="O293" s="120"/>
      <c r="P293" s="120"/>
      <c r="Q293" s="120"/>
      <c r="R293" s="120"/>
      <c r="S293" s="120"/>
      <c r="T293" s="221"/>
      <c r="U293" s="89"/>
      <c r="V293" s="61"/>
      <c r="W293" s="92" t="s">
        <v>148</v>
      </c>
      <c r="X293" s="93" t="s">
        <v>29</v>
      </c>
      <c r="Y293" s="93" t="s">
        <v>93</v>
      </c>
      <c r="Z293" s="134">
        <f>VLOOKUP(W293,Sheet2!$B:$D,3,FALSE)</f>
        <v>48</v>
      </c>
      <c r="AA293" s="93">
        <f>AA287</f>
        <v>66.666666666666671</v>
      </c>
      <c r="AB293" s="93">
        <f>AD293/AC286</f>
        <v>0.72</v>
      </c>
      <c r="AC293" s="93">
        <f>AC286/AA293</f>
        <v>20.478880500000017</v>
      </c>
      <c r="AD293" s="94">
        <f t="shared" si="272"/>
        <v>982.9862640000008</v>
      </c>
      <c r="AE293" s="190"/>
      <c r="AF293" s="191"/>
      <c r="AG293" s="191"/>
      <c r="AH293" s="191"/>
      <c r="AI293" s="186"/>
      <c r="AK293" s="171"/>
    </row>
    <row r="294" spans="1:41" s="102" customFormat="1" ht="19.899999999999999" customHeight="1" x14ac:dyDescent="0.25">
      <c r="A294" s="45"/>
      <c r="B294" s="59"/>
      <c r="C294" s="137"/>
      <c r="D294" s="59"/>
      <c r="E294" s="116"/>
      <c r="F294" s="120"/>
      <c r="G294" s="120"/>
      <c r="H294" s="120"/>
      <c r="I294" s="60"/>
      <c r="J294" s="116"/>
      <c r="K294" s="213"/>
      <c r="L294" s="120"/>
      <c r="M294" s="120"/>
      <c r="N294" s="167"/>
      <c r="O294" s="120"/>
      <c r="P294" s="120"/>
      <c r="Q294" s="120"/>
      <c r="R294" s="120"/>
      <c r="S294" s="120"/>
      <c r="T294" s="221"/>
      <c r="U294" s="89"/>
      <c r="V294" s="61"/>
      <c r="W294" s="92" t="s">
        <v>65</v>
      </c>
      <c r="X294" s="93" t="s">
        <v>30</v>
      </c>
      <c r="Y294" s="93" t="s">
        <v>1011</v>
      </c>
      <c r="Z294" s="134">
        <f>VLOOKUP(W294,Sheet2!$B:$D,3,FALSE)</f>
        <v>1.76</v>
      </c>
      <c r="AA294" s="93">
        <f>AA293/10</f>
        <v>6.666666666666667</v>
      </c>
      <c r="AB294" s="93">
        <f>AD294/AC286</f>
        <v>0.26399999999999996</v>
      </c>
      <c r="AC294" s="93">
        <f>AC286/AA294</f>
        <v>204.78880500000017</v>
      </c>
      <c r="AD294" s="94">
        <f t="shared" si="272"/>
        <v>360.42829680000028</v>
      </c>
      <c r="AE294" s="190"/>
      <c r="AF294" s="191"/>
      <c r="AG294" s="191"/>
      <c r="AH294" s="191"/>
      <c r="AI294" s="186"/>
      <c r="AK294" s="171"/>
    </row>
    <row r="295" spans="1:41" s="103" customFormat="1" ht="19.899999999999999" customHeight="1" x14ac:dyDescent="0.25">
      <c r="A295" s="51"/>
      <c r="B295" s="52"/>
      <c r="C295" s="165"/>
      <c r="D295" s="52"/>
      <c r="E295" s="115"/>
      <c r="F295" s="58"/>
      <c r="G295" s="58"/>
      <c r="H295" s="58"/>
      <c r="I295" s="55"/>
      <c r="J295" s="113">
        <f>J285</f>
        <v>1365.2587000000012</v>
      </c>
      <c r="K295" s="212">
        <f>K285</f>
        <v>1365.2587000000012</v>
      </c>
      <c r="L295" s="58"/>
      <c r="M295" s="58">
        <f>K295-L295</f>
        <v>1365.2587000000012</v>
      </c>
      <c r="N295" s="166"/>
      <c r="O295" s="58"/>
      <c r="P295" s="58"/>
      <c r="Q295" s="58"/>
      <c r="R295" s="58"/>
      <c r="S295" s="58"/>
      <c r="T295" s="220"/>
      <c r="U295" s="88"/>
      <c r="V295" s="56"/>
      <c r="W295" s="57" t="s">
        <v>1036</v>
      </c>
      <c r="X295" s="53"/>
      <c r="Y295" s="91" t="s">
        <v>68</v>
      </c>
      <c r="Z295" s="136">
        <f>AD295/AC295</f>
        <v>165.58333333333334</v>
      </c>
      <c r="AA295" s="58"/>
      <c r="AB295" s="53">
        <f>AD295/AC295</f>
        <v>165.58333333333334</v>
      </c>
      <c r="AC295" s="53">
        <f>M295+$AE$10</f>
        <v>1365.2587000000012</v>
      </c>
      <c r="AD295" s="54">
        <f>SUM(AD296:AD300)</f>
        <v>226064.08640833353</v>
      </c>
      <c r="AE295" s="184">
        <f>SUMIFS($AD$37:$AD$12971,$V$37:$V$12971,$V295,$X$37:$X$12971,AE$13)</f>
        <v>0</v>
      </c>
      <c r="AF295" s="185">
        <f>SUMIFS($AD$37:$AD$12971,$V$37:$V$12971,$V295,$X$37:$X$12971,AF$13)</f>
        <v>0</v>
      </c>
      <c r="AG295" s="185">
        <f>SUMIFS($AD$37:$AD$12971,$V$37:$V$12971,$V295,$X$37:$X$12971,AG$13)</f>
        <v>0</v>
      </c>
      <c r="AH295" s="187">
        <f>SUMIFS($AD$37:$AD$12971,$V$37:$V$12971,$V295,$X$37:$X$12971,AH$13)</f>
        <v>0</v>
      </c>
      <c r="AI295" s="161">
        <f t="shared" ref="AI295" si="273">SUM(AE295:AH295)</f>
        <v>0</v>
      </c>
      <c r="AK295" s="172"/>
    </row>
    <row r="296" spans="1:41" s="102" customFormat="1" ht="19.899999999999999" customHeight="1" x14ac:dyDescent="0.25">
      <c r="A296" s="45"/>
      <c r="B296" s="59"/>
      <c r="C296" s="137"/>
      <c r="D296" s="59"/>
      <c r="E296" s="116"/>
      <c r="F296" s="120"/>
      <c r="G296" s="120"/>
      <c r="H296" s="120"/>
      <c r="I296" s="60"/>
      <c r="J296" s="116"/>
      <c r="K296" s="213"/>
      <c r="L296" s="120"/>
      <c r="M296" s="120"/>
      <c r="N296" s="167"/>
      <c r="O296" s="120"/>
      <c r="P296" s="120"/>
      <c r="Q296" s="120"/>
      <c r="R296" s="120"/>
      <c r="S296" s="120"/>
      <c r="T296" s="221"/>
      <c r="U296" s="89"/>
      <c r="V296" s="61"/>
      <c r="W296" s="92" t="s">
        <v>1251</v>
      </c>
      <c r="X296" s="93" t="s">
        <v>30</v>
      </c>
      <c r="Y296" s="93" t="s">
        <v>68</v>
      </c>
      <c r="Z296" s="134">
        <f>VLOOKUP(W296,Sheet2!$B:$D,3,FALSE)</f>
        <v>95</v>
      </c>
      <c r="AA296" s="93">
        <v>1</v>
      </c>
      <c r="AB296" s="93">
        <f>AD296/AC295</f>
        <v>95</v>
      </c>
      <c r="AC296" s="93">
        <f>AC295/AA296</f>
        <v>1365.2587000000012</v>
      </c>
      <c r="AD296" s="94">
        <f t="shared" ref="AD296" si="274">AC296*Z296</f>
        <v>129699.57650000011</v>
      </c>
      <c r="AE296" s="190"/>
      <c r="AF296" s="191"/>
      <c r="AG296" s="191"/>
      <c r="AH296" s="191"/>
      <c r="AI296" s="186"/>
      <c r="AK296" s="171"/>
    </row>
    <row r="297" spans="1:41" s="102" customFormat="1" ht="19.899999999999999" customHeight="1" x14ac:dyDescent="0.25">
      <c r="A297" s="45"/>
      <c r="B297" s="59"/>
      <c r="C297" s="137"/>
      <c r="D297" s="59"/>
      <c r="E297" s="116"/>
      <c r="F297" s="120"/>
      <c r="G297" s="120"/>
      <c r="H297" s="120"/>
      <c r="I297" s="60"/>
      <c r="J297" s="116"/>
      <c r="K297" s="213"/>
      <c r="L297" s="120"/>
      <c r="M297" s="120"/>
      <c r="N297" s="167"/>
      <c r="O297" s="120"/>
      <c r="P297" s="120"/>
      <c r="Q297" s="120"/>
      <c r="R297" s="120"/>
      <c r="S297" s="120"/>
      <c r="T297" s="221"/>
      <c r="U297" s="89"/>
      <c r="V297" s="61"/>
      <c r="W297" s="92" t="s">
        <v>1259</v>
      </c>
      <c r="X297" s="93" t="s">
        <v>32</v>
      </c>
      <c r="Y297" s="93" t="s">
        <v>68</v>
      </c>
      <c r="Z297" s="134">
        <f>VLOOKUP(W297,Sheet2!$B:$D,3,FALSE)</f>
        <v>30</v>
      </c>
      <c r="AA297" s="93">
        <v>1</v>
      </c>
      <c r="AB297" s="93">
        <f>AD297/AC295</f>
        <v>30</v>
      </c>
      <c r="AC297" s="93">
        <f>AC295/AA297</f>
        <v>1365.2587000000012</v>
      </c>
      <c r="AD297" s="94">
        <f>AC297*Z297</f>
        <v>40957.761000000035</v>
      </c>
      <c r="AE297" s="190"/>
      <c r="AF297" s="191"/>
      <c r="AG297" s="191"/>
      <c r="AH297" s="191"/>
      <c r="AI297" s="186"/>
      <c r="AK297" s="171"/>
    </row>
    <row r="298" spans="1:41" s="102" customFormat="1" ht="19.899999999999999" customHeight="1" x14ac:dyDescent="0.25">
      <c r="A298" s="45"/>
      <c r="B298" s="59"/>
      <c r="C298" s="137"/>
      <c r="D298" s="59"/>
      <c r="E298" s="116"/>
      <c r="F298" s="120"/>
      <c r="G298" s="120"/>
      <c r="H298" s="120"/>
      <c r="I298" s="60"/>
      <c r="J298" s="116"/>
      <c r="K298" s="213"/>
      <c r="L298" s="120"/>
      <c r="M298" s="120"/>
      <c r="N298" s="167"/>
      <c r="O298" s="120"/>
      <c r="P298" s="120"/>
      <c r="Q298" s="120"/>
      <c r="R298" s="120"/>
      <c r="S298" s="120"/>
      <c r="T298" s="221"/>
      <c r="U298" s="89"/>
      <c r="V298" s="61"/>
      <c r="W298" s="92" t="s">
        <v>1032</v>
      </c>
      <c r="X298" s="93" t="s">
        <v>30</v>
      </c>
      <c r="Y298" s="93" t="s">
        <v>66</v>
      </c>
      <c r="Z298" s="134">
        <f>VLOOKUP(W298,Sheet2!$B:$D,3,FALSE)</f>
        <v>250</v>
      </c>
      <c r="AA298" s="93">
        <f>1/(1*0.1)</f>
        <v>10</v>
      </c>
      <c r="AB298" s="93">
        <f>AD298/AC295</f>
        <v>24.999999999999996</v>
      </c>
      <c r="AC298" s="93">
        <f>AC295/AA298</f>
        <v>136.52587000000011</v>
      </c>
      <c r="AD298" s="94">
        <f>AC298*Z298</f>
        <v>34131.467500000028</v>
      </c>
      <c r="AE298" s="190"/>
      <c r="AF298" s="191"/>
      <c r="AG298" s="191"/>
      <c r="AH298" s="191"/>
      <c r="AI298" s="186"/>
      <c r="AK298" s="171"/>
    </row>
    <row r="299" spans="1:41" s="102" customFormat="1" ht="19.899999999999999" customHeight="1" x14ac:dyDescent="0.25">
      <c r="A299" s="45"/>
      <c r="B299" s="59"/>
      <c r="C299" s="137"/>
      <c r="D299" s="59"/>
      <c r="E299" s="116"/>
      <c r="F299" s="120"/>
      <c r="G299" s="120"/>
      <c r="H299" s="120"/>
      <c r="I299" s="60"/>
      <c r="J299" s="116"/>
      <c r="K299" s="213"/>
      <c r="L299" s="120"/>
      <c r="M299" s="120"/>
      <c r="N299" s="167"/>
      <c r="O299" s="120"/>
      <c r="P299" s="120"/>
      <c r="Q299" s="120"/>
      <c r="R299" s="120"/>
      <c r="S299" s="120"/>
      <c r="T299" s="221"/>
      <c r="U299" s="89"/>
      <c r="V299" s="61"/>
      <c r="W299" s="92" t="s">
        <v>1035</v>
      </c>
      <c r="X299" s="93" t="s">
        <v>32</v>
      </c>
      <c r="Y299" s="93" t="s">
        <v>66</v>
      </c>
      <c r="Z299" s="134">
        <f>VLOOKUP(W299,Sheet2!$B:$D,3,FALSE)</f>
        <v>150</v>
      </c>
      <c r="AA299" s="93">
        <f>AA298</f>
        <v>10</v>
      </c>
      <c r="AB299" s="93">
        <f>AD299/AC295</f>
        <v>15</v>
      </c>
      <c r="AC299" s="93">
        <f>AC295/AA299</f>
        <v>136.52587000000011</v>
      </c>
      <c r="AD299" s="94">
        <f t="shared" ref="AD299:AD300" si="275">AC299*Z299</f>
        <v>20478.880500000017</v>
      </c>
      <c r="AE299" s="190"/>
      <c r="AF299" s="191"/>
      <c r="AG299" s="191"/>
      <c r="AH299" s="191"/>
      <c r="AI299" s="186"/>
      <c r="AK299" s="171"/>
    </row>
    <row r="300" spans="1:41" s="102" customFormat="1" ht="19.899999999999999" customHeight="1" x14ac:dyDescent="0.25">
      <c r="A300" s="45"/>
      <c r="B300" s="59"/>
      <c r="C300" s="137"/>
      <c r="D300" s="59"/>
      <c r="E300" s="116"/>
      <c r="F300" s="120"/>
      <c r="G300" s="120"/>
      <c r="H300" s="120"/>
      <c r="I300" s="60"/>
      <c r="J300" s="116"/>
      <c r="K300" s="213"/>
      <c r="L300" s="120"/>
      <c r="M300" s="120"/>
      <c r="N300" s="167"/>
      <c r="O300" s="120"/>
      <c r="P300" s="120"/>
      <c r="Q300" s="120"/>
      <c r="R300" s="120"/>
      <c r="S300" s="120"/>
      <c r="T300" s="221"/>
      <c r="U300" s="89"/>
      <c r="V300" s="61"/>
      <c r="W300" s="92" t="s">
        <v>1037</v>
      </c>
      <c r="X300" s="93" t="s">
        <v>30</v>
      </c>
      <c r="Y300" s="93" t="s">
        <v>1038</v>
      </c>
      <c r="Z300" s="134">
        <f>VLOOKUP(W300,Sheet2!$B:$D,3,FALSE)</f>
        <v>175</v>
      </c>
      <c r="AA300" s="93">
        <v>300</v>
      </c>
      <c r="AB300" s="93">
        <f>AD300/AC295</f>
        <v>0.58333333333333337</v>
      </c>
      <c r="AC300" s="93">
        <f>AC295/AA300</f>
        <v>4.5508623333333373</v>
      </c>
      <c r="AD300" s="94">
        <f t="shared" si="275"/>
        <v>796.40090833333409</v>
      </c>
      <c r="AE300" s="190"/>
      <c r="AF300" s="191"/>
      <c r="AG300" s="191"/>
      <c r="AH300" s="191"/>
      <c r="AI300" s="186"/>
      <c r="AK300" s="171"/>
    </row>
    <row r="301" spans="1:41" s="103" customFormat="1" ht="19.899999999999999" customHeight="1" x14ac:dyDescent="0.25">
      <c r="A301" s="51"/>
      <c r="B301" s="52"/>
      <c r="C301" s="165"/>
      <c r="D301" s="52"/>
      <c r="E301" s="115"/>
      <c r="F301" s="58"/>
      <c r="G301" s="58"/>
      <c r="H301" s="58"/>
      <c r="I301" s="55"/>
      <c r="J301" s="113">
        <f>J285</f>
        <v>1365.2587000000012</v>
      </c>
      <c r="K301" s="212">
        <f>K285</f>
        <v>1365.2587000000012</v>
      </c>
      <c r="L301" s="58"/>
      <c r="M301" s="58">
        <f>K301-L301</f>
        <v>1365.2587000000012</v>
      </c>
      <c r="N301" s="166"/>
      <c r="O301" s="58"/>
      <c r="P301" s="58"/>
      <c r="Q301" s="58"/>
      <c r="R301" s="58"/>
      <c r="S301" s="58"/>
      <c r="T301" s="220"/>
      <c r="U301" s="88"/>
      <c r="V301" s="56"/>
      <c r="W301" s="57" t="s">
        <v>1040</v>
      </c>
      <c r="X301" s="53"/>
      <c r="Y301" s="91" t="s">
        <v>68</v>
      </c>
      <c r="Z301" s="136">
        <f>AD301/AC301</f>
        <v>5</v>
      </c>
      <c r="AA301" s="58"/>
      <c r="AB301" s="53">
        <f>AD301/AC301</f>
        <v>5</v>
      </c>
      <c r="AC301" s="53">
        <f>M301+$AE$10</f>
        <v>1365.2587000000012</v>
      </c>
      <c r="AD301" s="54">
        <f>SUM(AD302)</f>
        <v>6826.2935000000061</v>
      </c>
      <c r="AE301" s="184">
        <f>SUMIFS($AD$37:$AD$12971,$V$37:$V$12971,$V301,$X$37:$X$12971,AE$13)</f>
        <v>0</v>
      </c>
      <c r="AF301" s="185">
        <f>SUMIFS($AD$37:$AD$12971,$V$37:$V$12971,$V301,$X$37:$X$12971,AF$13)</f>
        <v>0</v>
      </c>
      <c r="AG301" s="185">
        <f>SUMIFS($AD$37:$AD$12971,$V$37:$V$12971,$V301,$X$37:$X$12971,AG$13)</f>
        <v>0</v>
      </c>
      <c r="AH301" s="187">
        <f>SUMIFS($AD$37:$AD$12971,$V$37:$V$12971,$V301,$X$37:$X$12971,AH$13)</f>
        <v>0</v>
      </c>
      <c r="AI301" s="161">
        <f t="shared" ref="AI301" si="276">SUM(AE301:AH301)</f>
        <v>0</v>
      </c>
      <c r="AK301" s="172"/>
    </row>
    <row r="302" spans="1:41" s="102" customFormat="1" ht="19.899999999999999" customHeight="1" x14ac:dyDescent="0.25">
      <c r="A302" s="45"/>
      <c r="B302" s="59"/>
      <c r="C302" s="137"/>
      <c r="D302" s="59"/>
      <c r="E302" s="116"/>
      <c r="F302" s="120"/>
      <c r="G302" s="120"/>
      <c r="H302" s="120"/>
      <c r="I302" s="60"/>
      <c r="J302" s="116"/>
      <c r="K302" s="213"/>
      <c r="L302" s="120"/>
      <c r="M302" s="120"/>
      <c r="N302" s="167"/>
      <c r="O302" s="120"/>
      <c r="P302" s="120"/>
      <c r="Q302" s="120"/>
      <c r="R302" s="120"/>
      <c r="S302" s="120"/>
      <c r="T302" s="221"/>
      <c r="U302" s="89"/>
      <c r="V302" s="61"/>
      <c r="W302" s="92" t="s">
        <v>1039</v>
      </c>
      <c r="X302" s="93" t="s">
        <v>32</v>
      </c>
      <c r="Y302" s="93" t="s">
        <v>68</v>
      </c>
      <c r="Z302" s="134">
        <f>VLOOKUP(W302,Sheet2!$B:$D,3,FALSE)</f>
        <v>5</v>
      </c>
      <c r="AA302" s="93">
        <v>1</v>
      </c>
      <c r="AB302" s="93">
        <f>AD302/AC301</f>
        <v>5</v>
      </c>
      <c r="AC302" s="93">
        <f>AC301/AA302</f>
        <v>1365.2587000000012</v>
      </c>
      <c r="AD302" s="94">
        <f t="shared" ref="AD302" si="277">AC302*Z302</f>
        <v>6826.2935000000061</v>
      </c>
      <c r="AE302" s="190"/>
      <c r="AF302" s="191"/>
      <c r="AG302" s="191"/>
      <c r="AH302" s="191"/>
      <c r="AI302" s="186"/>
      <c r="AK302" s="171"/>
    </row>
    <row r="303" spans="1:41" ht="20.100000000000001" customHeight="1" x14ac:dyDescent="0.25">
      <c r="A303" s="277" t="s">
        <v>216</v>
      </c>
      <c r="B303" s="278"/>
      <c r="C303" s="64" t="s">
        <v>226</v>
      </c>
      <c r="D303" s="46" t="s">
        <v>97</v>
      </c>
      <c r="E303" s="114">
        <v>333.02459999999974</v>
      </c>
      <c r="F303" s="44">
        <v>325</v>
      </c>
      <c r="G303" s="44">
        <f t="shared" si="199"/>
        <v>108232.99499999991</v>
      </c>
      <c r="H303" s="44">
        <f t="shared" si="200"/>
        <v>180.50510588235295</v>
      </c>
      <c r="I303" s="43">
        <f t="shared" si="201"/>
        <v>60112.640684428188</v>
      </c>
      <c r="J303" s="112">
        <f t="shared" si="202"/>
        <v>333.02459999999974</v>
      </c>
      <c r="K303" s="211">
        <f t="shared" si="203"/>
        <v>333.02459999999974</v>
      </c>
      <c r="L303" s="44"/>
      <c r="M303" s="44">
        <f t="shared" si="223"/>
        <v>333.02459999999974</v>
      </c>
      <c r="N303" s="173">
        <f t="shared" si="204"/>
        <v>1</v>
      </c>
      <c r="O303" s="44">
        <f t="shared" si="205"/>
        <v>325</v>
      </c>
      <c r="P303" s="44">
        <f t="shared" si="206"/>
        <v>108232.99499999991</v>
      </c>
      <c r="Q303" s="44">
        <f t="shared" si="207"/>
        <v>180.50510588235295</v>
      </c>
      <c r="R303" s="44">
        <f t="shared" si="224"/>
        <v>60112.640684428188</v>
      </c>
      <c r="S303" s="123"/>
      <c r="T303" s="219">
        <f t="shared" si="225"/>
        <v>60112.640684428188</v>
      </c>
      <c r="U303" s="87"/>
      <c r="V303" s="47"/>
      <c r="W303" s="48"/>
      <c r="X303" s="48"/>
      <c r="Y303" s="48"/>
      <c r="Z303" s="135"/>
      <c r="AA303" s="49"/>
      <c r="AB303" s="50">
        <f t="shared" si="208"/>
        <v>180.50510588235295</v>
      </c>
      <c r="AC303" s="42">
        <f t="shared" si="226"/>
        <v>333.02459999999974</v>
      </c>
      <c r="AD303" s="90">
        <f>AD304+AD313+AD319</f>
        <v>60112.640684428188</v>
      </c>
      <c r="AE303" s="188">
        <f t="shared" ref="AE303" si="278">AE304+AE313+AE319</f>
        <v>0</v>
      </c>
      <c r="AF303" s="189">
        <f t="shared" ref="AF303" si="279">AF304+AF313+AF319</f>
        <v>0</v>
      </c>
      <c r="AG303" s="189">
        <f t="shared" ref="AG303" si="280">AG304+AG313+AG319</f>
        <v>0</v>
      </c>
      <c r="AH303" s="189">
        <f t="shared" ref="AH303" si="281">AH304+AH313+AH319</f>
        <v>0</v>
      </c>
      <c r="AI303" s="161">
        <f t="shared" si="268"/>
        <v>0</v>
      </c>
      <c r="AK303" s="169">
        <v>5</v>
      </c>
      <c r="AO303" s="19" t="s">
        <v>63</v>
      </c>
    </row>
    <row r="304" spans="1:41" s="103" customFormat="1" ht="19.899999999999999" customHeight="1" x14ac:dyDescent="0.25">
      <c r="A304" s="51"/>
      <c r="B304" s="52"/>
      <c r="C304" s="165"/>
      <c r="D304" s="52"/>
      <c r="E304" s="115"/>
      <c r="F304" s="58"/>
      <c r="G304" s="58"/>
      <c r="H304" s="58"/>
      <c r="I304" s="55"/>
      <c r="J304" s="113">
        <f>J303</f>
        <v>333.02459999999974</v>
      </c>
      <c r="K304" s="212">
        <f>K303</f>
        <v>333.02459999999974</v>
      </c>
      <c r="L304" s="58"/>
      <c r="M304" s="58">
        <f>K304-L304</f>
        <v>333.02459999999974</v>
      </c>
      <c r="N304" s="166"/>
      <c r="O304" s="58"/>
      <c r="P304" s="58"/>
      <c r="Q304" s="58"/>
      <c r="R304" s="58"/>
      <c r="S304" s="58"/>
      <c r="T304" s="220"/>
      <c r="U304" s="88"/>
      <c r="V304" s="56"/>
      <c r="W304" s="57" t="s">
        <v>1047</v>
      </c>
      <c r="X304" s="53"/>
      <c r="Y304" s="91" t="s">
        <v>68</v>
      </c>
      <c r="Z304" s="136">
        <f>AD304/AC304</f>
        <v>9.9217725490196091</v>
      </c>
      <c r="AA304" s="58"/>
      <c r="AB304" s="53">
        <f>AD304/AC304</f>
        <v>9.9217725490196091</v>
      </c>
      <c r="AC304" s="53">
        <f>M304+$AE$10</f>
        <v>333.02459999999974</v>
      </c>
      <c r="AD304" s="54">
        <f>SUM(AD305:AD312)</f>
        <v>3304.1943344282331</v>
      </c>
      <c r="AE304" s="184">
        <f>SUMIFS($AD$37:$AD$12971,$V$37:$V$12971,$V304,$X$37:$X$12971,AE$13)</f>
        <v>0</v>
      </c>
      <c r="AF304" s="185">
        <f>SUMIFS($AD$37:$AD$12971,$V$37:$V$12971,$V304,$X$37:$X$12971,AF$13)</f>
        <v>0</v>
      </c>
      <c r="AG304" s="185">
        <f>SUMIFS($AD$37:$AD$12971,$V$37:$V$12971,$V304,$X$37:$X$12971,AG$13)</f>
        <v>0</v>
      </c>
      <c r="AH304" s="187">
        <f>SUMIFS($AD$37:$AD$12971,$V$37:$V$12971,$V304,$X$37:$X$12971,AH$13)</f>
        <v>0</v>
      </c>
      <c r="AI304" s="161">
        <f t="shared" ref="AI304" si="282">SUM(AE304:AH304)</f>
        <v>0</v>
      </c>
      <c r="AK304" s="172"/>
    </row>
    <row r="305" spans="1:37" s="102" customFormat="1" ht="19.899999999999999" customHeight="1" x14ac:dyDescent="0.25">
      <c r="A305" s="45"/>
      <c r="B305" s="59"/>
      <c r="C305" s="137"/>
      <c r="D305" s="59"/>
      <c r="E305" s="116"/>
      <c r="F305" s="120"/>
      <c r="G305" s="120"/>
      <c r="H305" s="120"/>
      <c r="I305" s="60"/>
      <c r="J305" s="116"/>
      <c r="K305" s="213"/>
      <c r="L305" s="120"/>
      <c r="M305" s="120"/>
      <c r="N305" s="167"/>
      <c r="O305" s="120"/>
      <c r="P305" s="120"/>
      <c r="Q305" s="120"/>
      <c r="R305" s="120"/>
      <c r="S305" s="120"/>
      <c r="T305" s="221"/>
      <c r="U305" s="89"/>
      <c r="V305" s="61"/>
      <c r="W305" s="92" t="s">
        <v>129</v>
      </c>
      <c r="X305" s="93" t="s">
        <v>29</v>
      </c>
      <c r="Y305" s="93" t="s">
        <v>93</v>
      </c>
      <c r="Z305" s="134">
        <f>VLOOKUP(W305,Sheet2!$B:$D,3,FALSE)</f>
        <v>56</v>
      </c>
      <c r="AA305" s="93">
        <f>100/(1*2)</f>
        <v>50</v>
      </c>
      <c r="AB305" s="93">
        <f t="shared" ref="AB305" si="283">AD305/AC304</f>
        <v>1.1200000000000001</v>
      </c>
      <c r="AC305" s="93">
        <f>AC304/AA305</f>
        <v>6.6604919999999943</v>
      </c>
      <c r="AD305" s="94">
        <f t="shared" ref="AD305:AD306" si="284">AC305*Z305</f>
        <v>372.98755199999971</v>
      </c>
      <c r="AE305" s="190"/>
      <c r="AF305" s="191"/>
      <c r="AG305" s="191"/>
      <c r="AH305" s="191"/>
      <c r="AI305" s="186"/>
      <c r="AK305" s="171"/>
    </row>
    <row r="306" spans="1:37" s="102" customFormat="1" ht="19.899999999999999" customHeight="1" x14ac:dyDescent="0.25">
      <c r="A306" s="45"/>
      <c r="B306" s="59"/>
      <c r="C306" s="137"/>
      <c r="D306" s="59"/>
      <c r="E306" s="116"/>
      <c r="F306" s="120"/>
      <c r="G306" s="120"/>
      <c r="H306" s="120"/>
      <c r="I306" s="60"/>
      <c r="J306" s="116"/>
      <c r="K306" s="213"/>
      <c r="L306" s="120"/>
      <c r="M306" s="120"/>
      <c r="N306" s="167"/>
      <c r="O306" s="120"/>
      <c r="P306" s="120"/>
      <c r="Q306" s="120"/>
      <c r="R306" s="120"/>
      <c r="S306" s="120"/>
      <c r="T306" s="221"/>
      <c r="U306" s="89"/>
      <c r="V306" s="61"/>
      <c r="W306" s="92" t="s">
        <v>65</v>
      </c>
      <c r="X306" s="93" t="s">
        <v>30</v>
      </c>
      <c r="Y306" s="93" t="s">
        <v>1011</v>
      </c>
      <c r="Z306" s="134">
        <f>VLOOKUP(W306,Sheet2!$B:$D,3,FALSE)</f>
        <v>1.76</v>
      </c>
      <c r="AA306" s="93">
        <f>AA305/14</f>
        <v>3.5714285714285716</v>
      </c>
      <c r="AB306" s="93">
        <f>AD306/AC304</f>
        <v>0.49280000000000002</v>
      </c>
      <c r="AC306" s="93">
        <f>AC304/AA306</f>
        <v>93.246887999999927</v>
      </c>
      <c r="AD306" s="94">
        <f t="shared" si="284"/>
        <v>164.11452287999987</v>
      </c>
      <c r="AE306" s="190"/>
      <c r="AF306" s="191"/>
      <c r="AG306" s="191"/>
      <c r="AH306" s="191"/>
      <c r="AI306" s="186"/>
      <c r="AK306" s="171"/>
    </row>
    <row r="307" spans="1:37" s="102" customFormat="1" ht="19.899999999999999" customHeight="1" x14ac:dyDescent="0.25">
      <c r="A307" s="45"/>
      <c r="B307" s="59"/>
      <c r="C307" s="137"/>
      <c r="D307" s="59"/>
      <c r="E307" s="116"/>
      <c r="F307" s="120"/>
      <c r="G307" s="120"/>
      <c r="H307" s="120"/>
      <c r="I307" s="60"/>
      <c r="J307" s="116"/>
      <c r="K307" s="213"/>
      <c r="L307" s="120"/>
      <c r="M307" s="120"/>
      <c r="N307" s="167"/>
      <c r="O307" s="120"/>
      <c r="P307" s="120"/>
      <c r="Q307" s="120"/>
      <c r="R307" s="120"/>
      <c r="S307" s="120"/>
      <c r="T307" s="221"/>
      <c r="U307" s="89"/>
      <c r="V307" s="61"/>
      <c r="W307" s="92" t="s">
        <v>161</v>
      </c>
      <c r="X307" s="93" t="s">
        <v>29</v>
      </c>
      <c r="Y307" s="93" t="s">
        <v>93</v>
      </c>
      <c r="Z307" s="134">
        <f>VLOOKUP(W307,Sheet2!$B:$D,3,FALSE)</f>
        <v>48</v>
      </c>
      <c r="AA307" s="93">
        <f>(16*0.85*1.5)/(1*2)</f>
        <v>10.199999999999999</v>
      </c>
      <c r="AB307" s="93">
        <f>AD307/AC304</f>
        <v>4.7058823529411766</v>
      </c>
      <c r="AC307" s="93">
        <f>AC304/AA307</f>
        <v>32.649470588235268</v>
      </c>
      <c r="AD307" s="94">
        <f>AC307*Z307</f>
        <v>1567.174588235293</v>
      </c>
      <c r="AE307" s="190"/>
      <c r="AF307" s="191"/>
      <c r="AG307" s="191"/>
      <c r="AH307" s="191"/>
      <c r="AI307" s="186"/>
      <c r="AK307" s="171"/>
    </row>
    <row r="308" spans="1:37" s="102" customFormat="1" ht="19.899999999999999" customHeight="1" x14ac:dyDescent="0.25">
      <c r="A308" s="45"/>
      <c r="B308" s="59"/>
      <c r="C308" s="137"/>
      <c r="D308" s="59"/>
      <c r="E308" s="116"/>
      <c r="F308" s="120"/>
      <c r="G308" s="120"/>
      <c r="H308" s="120"/>
      <c r="I308" s="60"/>
      <c r="J308" s="116"/>
      <c r="K308" s="213"/>
      <c r="L308" s="120"/>
      <c r="M308" s="120"/>
      <c r="N308" s="167"/>
      <c r="O308" s="120"/>
      <c r="P308" s="120"/>
      <c r="Q308" s="120"/>
      <c r="R308" s="120"/>
      <c r="S308" s="120"/>
      <c r="T308" s="221"/>
      <c r="U308" s="89"/>
      <c r="V308" s="61"/>
      <c r="W308" s="92" t="s">
        <v>65</v>
      </c>
      <c r="X308" s="93" t="s">
        <v>30</v>
      </c>
      <c r="Y308" s="93" t="s">
        <v>1011</v>
      </c>
      <c r="Z308" s="134">
        <f>VLOOKUP(W308,Sheet2!$B:$D,3,FALSE)</f>
        <v>1.76</v>
      </c>
      <c r="AA308" s="93">
        <f>AA307/10</f>
        <v>1.02</v>
      </c>
      <c r="AB308" s="93">
        <f>AD308/AC304</f>
        <v>1.7254901960784312</v>
      </c>
      <c r="AC308" s="93">
        <f>AC304/AA308</f>
        <v>326.49470588235266</v>
      </c>
      <c r="AD308" s="94">
        <f>AC308*Z308</f>
        <v>574.63068235294065</v>
      </c>
      <c r="AE308" s="190"/>
      <c r="AF308" s="191"/>
      <c r="AG308" s="191"/>
      <c r="AH308" s="191"/>
      <c r="AI308" s="186"/>
      <c r="AK308" s="171"/>
    </row>
    <row r="309" spans="1:37" s="102" customFormat="1" ht="19.899999999999999" customHeight="1" x14ac:dyDescent="0.25">
      <c r="A309" s="45"/>
      <c r="B309" s="59"/>
      <c r="C309" s="137"/>
      <c r="D309" s="59"/>
      <c r="E309" s="116"/>
      <c r="F309" s="120"/>
      <c r="G309" s="120"/>
      <c r="H309" s="120"/>
      <c r="I309" s="60"/>
      <c r="J309" s="116"/>
      <c r="K309" s="213"/>
      <c r="L309" s="120"/>
      <c r="M309" s="120"/>
      <c r="N309" s="167"/>
      <c r="O309" s="120"/>
      <c r="P309" s="120"/>
      <c r="Q309" s="120"/>
      <c r="R309" s="120"/>
      <c r="S309" s="120"/>
      <c r="T309" s="221"/>
      <c r="U309" s="89"/>
      <c r="V309" s="61"/>
      <c r="W309" s="92" t="s">
        <v>1030</v>
      </c>
      <c r="X309" s="93" t="s">
        <v>29</v>
      </c>
      <c r="Y309" s="93" t="s">
        <v>93</v>
      </c>
      <c r="Z309" s="134">
        <f>VLOOKUP(W309,Sheet2!$B:$D,3,FALSE)</f>
        <v>23</v>
      </c>
      <c r="AA309" s="93">
        <v>50</v>
      </c>
      <c r="AB309" s="93">
        <f>AD309/AC304</f>
        <v>0.45999999999999996</v>
      </c>
      <c r="AC309" s="93">
        <f>AC304/AA309</f>
        <v>6.6604919999999943</v>
      </c>
      <c r="AD309" s="94">
        <f t="shared" ref="AD309:AD312" si="285">AC309*Z309</f>
        <v>153.19131599999986</v>
      </c>
      <c r="AE309" s="190"/>
      <c r="AF309" s="191"/>
      <c r="AG309" s="191"/>
      <c r="AH309" s="191"/>
      <c r="AI309" s="186"/>
      <c r="AK309" s="171"/>
    </row>
    <row r="310" spans="1:37" s="102" customFormat="1" ht="19.899999999999999" customHeight="1" x14ac:dyDescent="0.25">
      <c r="A310" s="45"/>
      <c r="B310" s="59"/>
      <c r="C310" s="137"/>
      <c r="D310" s="59"/>
      <c r="E310" s="116"/>
      <c r="F310" s="120"/>
      <c r="G310" s="120"/>
      <c r="H310" s="120"/>
      <c r="I310" s="60"/>
      <c r="J310" s="116"/>
      <c r="K310" s="213"/>
      <c r="L310" s="120"/>
      <c r="M310" s="120"/>
      <c r="N310" s="167"/>
      <c r="O310" s="120"/>
      <c r="P310" s="120"/>
      <c r="Q310" s="120"/>
      <c r="R310" s="120"/>
      <c r="S310" s="120"/>
      <c r="T310" s="221"/>
      <c r="U310" s="89"/>
      <c r="V310" s="61"/>
      <c r="W310" s="92" t="s">
        <v>65</v>
      </c>
      <c r="X310" s="93" t="s">
        <v>30</v>
      </c>
      <c r="Y310" s="93" t="s">
        <v>1011</v>
      </c>
      <c r="Z310" s="134">
        <f>VLOOKUP(W310,Sheet2!$B:$D,3,FALSE)</f>
        <v>1.76</v>
      </c>
      <c r="AA310" s="93">
        <f>AA309/3</f>
        <v>16.666666666666668</v>
      </c>
      <c r="AB310" s="93">
        <f>AD310/AC304</f>
        <v>0.1056</v>
      </c>
      <c r="AC310" s="93">
        <f>AC304/AA310</f>
        <v>19.981475999999983</v>
      </c>
      <c r="AD310" s="94">
        <f t="shared" si="285"/>
        <v>35.167397759999972</v>
      </c>
      <c r="AE310" s="190"/>
      <c r="AF310" s="191"/>
      <c r="AG310" s="191"/>
      <c r="AH310" s="191"/>
      <c r="AI310" s="186"/>
      <c r="AK310" s="171"/>
    </row>
    <row r="311" spans="1:37" s="102" customFormat="1" ht="19.899999999999999" customHeight="1" x14ac:dyDescent="0.25">
      <c r="A311" s="45"/>
      <c r="B311" s="59"/>
      <c r="C311" s="137"/>
      <c r="D311" s="59"/>
      <c r="E311" s="116"/>
      <c r="F311" s="120"/>
      <c r="G311" s="120"/>
      <c r="H311" s="120"/>
      <c r="I311" s="60"/>
      <c r="J311" s="116"/>
      <c r="K311" s="213"/>
      <c r="L311" s="120"/>
      <c r="M311" s="120"/>
      <c r="N311" s="167"/>
      <c r="O311" s="120"/>
      <c r="P311" s="120"/>
      <c r="Q311" s="120"/>
      <c r="R311" s="120"/>
      <c r="S311" s="120"/>
      <c r="T311" s="221"/>
      <c r="U311" s="89"/>
      <c r="V311" s="61"/>
      <c r="W311" s="92" t="s">
        <v>148</v>
      </c>
      <c r="X311" s="93" t="s">
        <v>29</v>
      </c>
      <c r="Y311" s="93" t="s">
        <v>93</v>
      </c>
      <c r="Z311" s="134">
        <f>VLOOKUP(W311,Sheet2!$B:$D,3,FALSE)</f>
        <v>48</v>
      </c>
      <c r="AA311" s="93">
        <f>AA305</f>
        <v>50</v>
      </c>
      <c r="AB311" s="93">
        <f>AD311/AC304</f>
        <v>0.96</v>
      </c>
      <c r="AC311" s="93">
        <f>AC304/AA311</f>
        <v>6.6604919999999943</v>
      </c>
      <c r="AD311" s="94">
        <f t="shared" si="285"/>
        <v>319.70361599999973</v>
      </c>
      <c r="AE311" s="190"/>
      <c r="AF311" s="191"/>
      <c r="AG311" s="191"/>
      <c r="AH311" s="191"/>
      <c r="AI311" s="186"/>
      <c r="AK311" s="171"/>
    </row>
    <row r="312" spans="1:37" s="102" customFormat="1" ht="19.899999999999999" customHeight="1" x14ac:dyDescent="0.25">
      <c r="A312" s="45"/>
      <c r="B312" s="59"/>
      <c r="C312" s="137"/>
      <c r="D312" s="59"/>
      <c r="E312" s="116"/>
      <c r="F312" s="120"/>
      <c r="G312" s="120"/>
      <c r="H312" s="120"/>
      <c r="I312" s="60"/>
      <c r="J312" s="116"/>
      <c r="K312" s="213"/>
      <c r="L312" s="120"/>
      <c r="M312" s="120"/>
      <c r="N312" s="167"/>
      <c r="O312" s="120"/>
      <c r="P312" s="120"/>
      <c r="Q312" s="120"/>
      <c r="R312" s="120"/>
      <c r="S312" s="120"/>
      <c r="T312" s="221"/>
      <c r="U312" s="89"/>
      <c r="V312" s="61"/>
      <c r="W312" s="92" t="s">
        <v>65</v>
      </c>
      <c r="X312" s="93" t="s">
        <v>30</v>
      </c>
      <c r="Y312" s="93" t="s">
        <v>1011</v>
      </c>
      <c r="Z312" s="134">
        <f>VLOOKUP(W312,Sheet2!$B:$D,3,FALSE)</f>
        <v>1.76</v>
      </c>
      <c r="AA312" s="93">
        <f>AA311/10</f>
        <v>5</v>
      </c>
      <c r="AB312" s="93">
        <f>AD312/AC304</f>
        <v>0.35200000000000004</v>
      </c>
      <c r="AC312" s="93">
        <f>AC304/AA312</f>
        <v>66.60491999999995</v>
      </c>
      <c r="AD312" s="94">
        <f t="shared" si="285"/>
        <v>117.22465919999992</v>
      </c>
      <c r="AE312" s="190"/>
      <c r="AF312" s="191"/>
      <c r="AG312" s="191"/>
      <c r="AH312" s="191"/>
      <c r="AI312" s="186"/>
      <c r="AK312" s="171"/>
    </row>
    <row r="313" spans="1:37" s="103" customFormat="1" ht="19.899999999999999" customHeight="1" x14ac:dyDescent="0.25">
      <c r="A313" s="51"/>
      <c r="B313" s="52"/>
      <c r="C313" s="165"/>
      <c r="D313" s="52"/>
      <c r="E313" s="115"/>
      <c r="F313" s="58"/>
      <c r="G313" s="58"/>
      <c r="H313" s="58"/>
      <c r="I313" s="55"/>
      <c r="J313" s="113">
        <f>J303</f>
        <v>333.02459999999974</v>
      </c>
      <c r="K313" s="212">
        <f>K303</f>
        <v>333.02459999999974</v>
      </c>
      <c r="L313" s="58"/>
      <c r="M313" s="58">
        <f>K313-L313</f>
        <v>333.02459999999974</v>
      </c>
      <c r="N313" s="166"/>
      <c r="O313" s="58"/>
      <c r="P313" s="58"/>
      <c r="Q313" s="58"/>
      <c r="R313" s="58"/>
      <c r="S313" s="58"/>
      <c r="T313" s="220"/>
      <c r="U313" s="88"/>
      <c r="V313" s="56"/>
      <c r="W313" s="57" t="s">
        <v>1036</v>
      </c>
      <c r="X313" s="53"/>
      <c r="Y313" s="91" t="s">
        <v>68</v>
      </c>
      <c r="Z313" s="136">
        <f>AD313/AC313</f>
        <v>165.58333333333334</v>
      </c>
      <c r="AA313" s="58"/>
      <c r="AB313" s="53">
        <f>AD313/AC313</f>
        <v>165.58333333333334</v>
      </c>
      <c r="AC313" s="53">
        <f>M313+$AE$10</f>
        <v>333.02459999999974</v>
      </c>
      <c r="AD313" s="54">
        <f>SUM(AD314:AD318)</f>
        <v>55143.323349999955</v>
      </c>
      <c r="AE313" s="184">
        <f>SUMIFS($AD$37:$AD$12971,$V$37:$V$12971,$V313,$X$37:$X$12971,AE$13)</f>
        <v>0</v>
      </c>
      <c r="AF313" s="185">
        <f>SUMIFS($AD$37:$AD$12971,$V$37:$V$12971,$V313,$X$37:$X$12971,AF$13)</f>
        <v>0</v>
      </c>
      <c r="AG313" s="185">
        <f>SUMIFS($AD$37:$AD$12971,$V$37:$V$12971,$V313,$X$37:$X$12971,AG$13)</f>
        <v>0</v>
      </c>
      <c r="AH313" s="187">
        <f>SUMIFS($AD$37:$AD$12971,$V$37:$V$12971,$V313,$X$37:$X$12971,AH$13)</f>
        <v>0</v>
      </c>
      <c r="AI313" s="161">
        <f t="shared" ref="AI313" si="286">SUM(AE313:AH313)</f>
        <v>0</v>
      </c>
      <c r="AK313" s="172"/>
    </row>
    <row r="314" spans="1:37" s="102" customFormat="1" ht="19.899999999999999" customHeight="1" x14ac:dyDescent="0.25">
      <c r="A314" s="45"/>
      <c r="B314" s="59"/>
      <c r="C314" s="137"/>
      <c r="D314" s="59"/>
      <c r="E314" s="116"/>
      <c r="F314" s="120"/>
      <c r="G314" s="120"/>
      <c r="H314" s="120"/>
      <c r="I314" s="60"/>
      <c r="J314" s="116"/>
      <c r="K314" s="213"/>
      <c r="L314" s="120"/>
      <c r="M314" s="120"/>
      <c r="N314" s="167"/>
      <c r="O314" s="120"/>
      <c r="P314" s="120"/>
      <c r="Q314" s="120"/>
      <c r="R314" s="120"/>
      <c r="S314" s="120"/>
      <c r="T314" s="221"/>
      <c r="U314" s="89"/>
      <c r="V314" s="61"/>
      <c r="W314" s="92" t="s">
        <v>1251</v>
      </c>
      <c r="X314" s="93" t="s">
        <v>30</v>
      </c>
      <c r="Y314" s="93" t="s">
        <v>68</v>
      </c>
      <c r="Z314" s="134">
        <f>VLOOKUP(W314,Sheet2!$B:$D,3,FALSE)</f>
        <v>95</v>
      </c>
      <c r="AA314" s="93">
        <v>1</v>
      </c>
      <c r="AB314" s="93">
        <f>AD314/AC313</f>
        <v>95</v>
      </c>
      <c r="AC314" s="93">
        <f>AC313/AA314</f>
        <v>333.02459999999974</v>
      </c>
      <c r="AD314" s="94">
        <f t="shared" ref="AD314" si="287">AC314*Z314</f>
        <v>31637.336999999974</v>
      </c>
      <c r="AE314" s="190"/>
      <c r="AF314" s="191"/>
      <c r="AG314" s="191"/>
      <c r="AH314" s="191"/>
      <c r="AI314" s="186"/>
      <c r="AK314" s="171"/>
    </row>
    <row r="315" spans="1:37" s="102" customFormat="1" ht="19.899999999999999" customHeight="1" x14ac:dyDescent="0.25">
      <c r="A315" s="45"/>
      <c r="B315" s="59"/>
      <c r="C315" s="137"/>
      <c r="D315" s="59"/>
      <c r="E315" s="116"/>
      <c r="F315" s="120"/>
      <c r="G315" s="120"/>
      <c r="H315" s="120"/>
      <c r="I315" s="60"/>
      <c r="J315" s="116"/>
      <c r="K315" s="213"/>
      <c r="L315" s="120"/>
      <c r="M315" s="120"/>
      <c r="N315" s="167"/>
      <c r="O315" s="120"/>
      <c r="P315" s="120"/>
      <c r="Q315" s="120"/>
      <c r="R315" s="120"/>
      <c r="S315" s="120"/>
      <c r="T315" s="221"/>
      <c r="U315" s="89"/>
      <c r="V315" s="61"/>
      <c r="W315" s="92" t="s">
        <v>1259</v>
      </c>
      <c r="X315" s="93" t="s">
        <v>32</v>
      </c>
      <c r="Y315" s="93" t="s">
        <v>68</v>
      </c>
      <c r="Z315" s="134">
        <f>VLOOKUP(W315,Sheet2!$B:$D,3,FALSE)</f>
        <v>30</v>
      </c>
      <c r="AA315" s="93">
        <v>1</v>
      </c>
      <c r="AB315" s="93">
        <f>AD315/AC313</f>
        <v>30</v>
      </c>
      <c r="AC315" s="93">
        <f>AC313/AA315</f>
        <v>333.02459999999974</v>
      </c>
      <c r="AD315" s="94">
        <f>AC315*Z315</f>
        <v>9990.7379999999921</v>
      </c>
      <c r="AE315" s="190"/>
      <c r="AF315" s="191"/>
      <c r="AG315" s="191"/>
      <c r="AH315" s="191"/>
      <c r="AI315" s="186"/>
      <c r="AK315" s="171"/>
    </row>
    <row r="316" spans="1:37" s="102" customFormat="1" ht="19.899999999999999" customHeight="1" x14ac:dyDescent="0.25">
      <c r="A316" s="45"/>
      <c r="B316" s="59"/>
      <c r="C316" s="137"/>
      <c r="D316" s="59"/>
      <c r="E316" s="116"/>
      <c r="F316" s="120"/>
      <c r="G316" s="120"/>
      <c r="H316" s="120"/>
      <c r="I316" s="60"/>
      <c r="J316" s="116"/>
      <c r="K316" s="213"/>
      <c r="L316" s="120"/>
      <c r="M316" s="120"/>
      <c r="N316" s="167"/>
      <c r="O316" s="120"/>
      <c r="P316" s="120"/>
      <c r="Q316" s="120"/>
      <c r="R316" s="120"/>
      <c r="S316" s="120"/>
      <c r="T316" s="221"/>
      <c r="U316" s="89"/>
      <c r="V316" s="61"/>
      <c r="W316" s="92" t="s">
        <v>1032</v>
      </c>
      <c r="X316" s="93" t="s">
        <v>30</v>
      </c>
      <c r="Y316" s="93" t="s">
        <v>66</v>
      </c>
      <c r="Z316" s="134">
        <f>VLOOKUP(W316,Sheet2!$B:$D,3,FALSE)</f>
        <v>250</v>
      </c>
      <c r="AA316" s="93">
        <f>1/(1*0.1)</f>
        <v>10</v>
      </c>
      <c r="AB316" s="93">
        <f>AD316/AC313</f>
        <v>25.000000000000004</v>
      </c>
      <c r="AC316" s="93">
        <f>AC313/AA316</f>
        <v>33.302459999999975</v>
      </c>
      <c r="AD316" s="94">
        <f>AC316*Z316</f>
        <v>8325.6149999999943</v>
      </c>
      <c r="AE316" s="190"/>
      <c r="AF316" s="191"/>
      <c r="AG316" s="191"/>
      <c r="AH316" s="191"/>
      <c r="AI316" s="186"/>
      <c r="AK316" s="171"/>
    </row>
    <row r="317" spans="1:37" s="102" customFormat="1" ht="19.899999999999999" customHeight="1" x14ac:dyDescent="0.25">
      <c r="A317" s="45"/>
      <c r="B317" s="59"/>
      <c r="C317" s="137"/>
      <c r="D317" s="59"/>
      <c r="E317" s="116"/>
      <c r="F317" s="120"/>
      <c r="G317" s="120"/>
      <c r="H317" s="120"/>
      <c r="I317" s="60"/>
      <c r="J317" s="116"/>
      <c r="K317" s="213"/>
      <c r="L317" s="120"/>
      <c r="M317" s="120"/>
      <c r="N317" s="167"/>
      <c r="O317" s="120"/>
      <c r="P317" s="120"/>
      <c r="Q317" s="120"/>
      <c r="R317" s="120"/>
      <c r="S317" s="120"/>
      <c r="T317" s="221"/>
      <c r="U317" s="89"/>
      <c r="V317" s="61"/>
      <c r="W317" s="92" t="s">
        <v>1035</v>
      </c>
      <c r="X317" s="93" t="s">
        <v>32</v>
      </c>
      <c r="Y317" s="93" t="s">
        <v>66</v>
      </c>
      <c r="Z317" s="134">
        <f>VLOOKUP(W317,Sheet2!$B:$D,3,FALSE)</f>
        <v>150</v>
      </c>
      <c r="AA317" s="93">
        <f>AA316</f>
        <v>10</v>
      </c>
      <c r="AB317" s="93">
        <f>AD317/AC313</f>
        <v>15</v>
      </c>
      <c r="AC317" s="93">
        <f>AC313/AA317</f>
        <v>33.302459999999975</v>
      </c>
      <c r="AD317" s="94">
        <f t="shared" ref="AD317:AD318" si="288">AC317*Z317</f>
        <v>4995.368999999996</v>
      </c>
      <c r="AE317" s="190"/>
      <c r="AF317" s="191"/>
      <c r="AG317" s="191"/>
      <c r="AH317" s="191"/>
      <c r="AI317" s="186"/>
      <c r="AK317" s="171"/>
    </row>
    <row r="318" spans="1:37" s="102" customFormat="1" ht="19.899999999999999" customHeight="1" x14ac:dyDescent="0.25">
      <c r="A318" s="45"/>
      <c r="B318" s="59"/>
      <c r="C318" s="137"/>
      <c r="D318" s="59"/>
      <c r="E318" s="116"/>
      <c r="F318" s="120"/>
      <c r="G318" s="120"/>
      <c r="H318" s="120"/>
      <c r="I318" s="60"/>
      <c r="J318" s="116"/>
      <c r="K318" s="213"/>
      <c r="L318" s="120"/>
      <c r="M318" s="120"/>
      <c r="N318" s="167"/>
      <c r="O318" s="120"/>
      <c r="P318" s="120"/>
      <c r="Q318" s="120"/>
      <c r="R318" s="120"/>
      <c r="S318" s="120"/>
      <c r="T318" s="221"/>
      <c r="U318" s="89"/>
      <c r="V318" s="61"/>
      <c r="W318" s="92" t="s">
        <v>1037</v>
      </c>
      <c r="X318" s="93" t="s">
        <v>30</v>
      </c>
      <c r="Y318" s="93" t="s">
        <v>1038</v>
      </c>
      <c r="Z318" s="134">
        <f>VLOOKUP(W318,Sheet2!$B:$D,3,FALSE)</f>
        <v>175</v>
      </c>
      <c r="AA318" s="93">
        <v>300</v>
      </c>
      <c r="AB318" s="93">
        <f>AD318/AC313</f>
        <v>0.58333333333333326</v>
      </c>
      <c r="AC318" s="93">
        <f>AC313/AA318</f>
        <v>1.1100819999999991</v>
      </c>
      <c r="AD318" s="94">
        <f t="shared" si="288"/>
        <v>194.26434999999984</v>
      </c>
      <c r="AE318" s="190"/>
      <c r="AF318" s="191"/>
      <c r="AG318" s="191"/>
      <c r="AH318" s="191"/>
      <c r="AI318" s="186"/>
      <c r="AK318" s="171"/>
    </row>
    <row r="319" spans="1:37" s="103" customFormat="1" ht="19.899999999999999" customHeight="1" x14ac:dyDescent="0.25">
      <c r="A319" s="51"/>
      <c r="B319" s="52"/>
      <c r="C319" s="165"/>
      <c r="D319" s="52"/>
      <c r="E319" s="115"/>
      <c r="F319" s="58"/>
      <c r="G319" s="58"/>
      <c r="H319" s="58"/>
      <c r="I319" s="55"/>
      <c r="J319" s="113">
        <f>J303</f>
        <v>333.02459999999974</v>
      </c>
      <c r="K319" s="212">
        <f>K303</f>
        <v>333.02459999999974</v>
      </c>
      <c r="L319" s="58"/>
      <c r="M319" s="58">
        <f>K319-L319</f>
        <v>333.02459999999974</v>
      </c>
      <c r="N319" s="166"/>
      <c r="O319" s="58"/>
      <c r="P319" s="58"/>
      <c r="Q319" s="58"/>
      <c r="R319" s="58"/>
      <c r="S319" s="58"/>
      <c r="T319" s="220"/>
      <c r="U319" s="88"/>
      <c r="V319" s="56"/>
      <c r="W319" s="57" t="s">
        <v>1040</v>
      </c>
      <c r="X319" s="53"/>
      <c r="Y319" s="91" t="s">
        <v>68</v>
      </c>
      <c r="Z319" s="136">
        <f>AD319/AC319</f>
        <v>5</v>
      </c>
      <c r="AA319" s="58"/>
      <c r="AB319" s="53">
        <f>AD319/AC319</f>
        <v>5</v>
      </c>
      <c r="AC319" s="53">
        <f>M319+$AE$10</f>
        <v>333.02459999999974</v>
      </c>
      <c r="AD319" s="54">
        <f>SUM(AD320)</f>
        <v>1665.1229999999987</v>
      </c>
      <c r="AE319" s="184">
        <f>SUMIFS($AD$37:$AD$12971,$V$37:$V$12971,$V319,$X$37:$X$12971,AE$13)</f>
        <v>0</v>
      </c>
      <c r="AF319" s="185">
        <f>SUMIFS($AD$37:$AD$12971,$V$37:$V$12971,$V319,$X$37:$X$12971,AF$13)</f>
        <v>0</v>
      </c>
      <c r="AG319" s="185">
        <f>SUMIFS($AD$37:$AD$12971,$V$37:$V$12971,$V319,$X$37:$X$12971,AG$13)</f>
        <v>0</v>
      </c>
      <c r="AH319" s="187">
        <f>SUMIFS($AD$37:$AD$12971,$V$37:$V$12971,$V319,$X$37:$X$12971,AH$13)</f>
        <v>0</v>
      </c>
      <c r="AI319" s="161">
        <f t="shared" ref="AI319" si="289">SUM(AE319:AH319)</f>
        <v>0</v>
      </c>
      <c r="AK319" s="172"/>
    </row>
    <row r="320" spans="1:37" s="102" customFormat="1" ht="19.899999999999999" customHeight="1" x14ac:dyDescent="0.25">
      <c r="A320" s="45"/>
      <c r="B320" s="59"/>
      <c r="C320" s="137"/>
      <c r="D320" s="59"/>
      <c r="E320" s="116"/>
      <c r="F320" s="120"/>
      <c r="G320" s="120"/>
      <c r="H320" s="120"/>
      <c r="I320" s="60"/>
      <c r="J320" s="116"/>
      <c r="K320" s="213"/>
      <c r="L320" s="120"/>
      <c r="M320" s="120"/>
      <c r="N320" s="167"/>
      <c r="O320" s="120"/>
      <c r="P320" s="120"/>
      <c r="Q320" s="120"/>
      <c r="R320" s="120"/>
      <c r="S320" s="120"/>
      <c r="T320" s="221"/>
      <c r="U320" s="89"/>
      <c r="V320" s="61"/>
      <c r="W320" s="92" t="s">
        <v>1039</v>
      </c>
      <c r="X320" s="93" t="s">
        <v>32</v>
      </c>
      <c r="Y320" s="93" t="s">
        <v>68</v>
      </c>
      <c r="Z320" s="134">
        <f>VLOOKUP(W320,Sheet2!$B:$D,3,FALSE)</f>
        <v>5</v>
      </c>
      <c r="AA320" s="93">
        <v>1</v>
      </c>
      <c r="AB320" s="93">
        <f>AD320/AC319</f>
        <v>5</v>
      </c>
      <c r="AC320" s="93">
        <f>AC319/AA320</f>
        <v>333.02459999999974</v>
      </c>
      <c r="AD320" s="94">
        <f t="shared" ref="AD320" si="290">AC320*Z320</f>
        <v>1665.1229999999987</v>
      </c>
      <c r="AE320" s="190"/>
      <c r="AF320" s="191"/>
      <c r="AG320" s="191"/>
      <c r="AH320" s="191"/>
      <c r="AI320" s="186"/>
      <c r="AK320" s="171"/>
    </row>
    <row r="321" spans="1:41" ht="20.100000000000001" customHeight="1" x14ac:dyDescent="0.25">
      <c r="A321" s="277" t="s">
        <v>216</v>
      </c>
      <c r="B321" s="278"/>
      <c r="C321" s="64" t="s">
        <v>227</v>
      </c>
      <c r="D321" s="46" t="s">
        <v>97</v>
      </c>
      <c r="E321" s="114">
        <v>65.051999999999964</v>
      </c>
      <c r="F321" s="44">
        <v>344</v>
      </c>
      <c r="G321" s="44">
        <f t="shared" si="199"/>
        <v>22377.887999999988</v>
      </c>
      <c r="H321" s="44">
        <f t="shared" si="200"/>
        <v>217.84414901960784</v>
      </c>
      <c r="I321" s="43">
        <f t="shared" si="201"/>
        <v>14171.197582023522</v>
      </c>
      <c r="J321" s="112">
        <f t="shared" si="202"/>
        <v>65.051999999999964</v>
      </c>
      <c r="K321" s="211">
        <f t="shared" si="203"/>
        <v>65.051999999999964</v>
      </c>
      <c r="L321" s="44"/>
      <c r="M321" s="44">
        <f t="shared" si="223"/>
        <v>65.051999999999964</v>
      </c>
      <c r="N321" s="173">
        <f t="shared" si="204"/>
        <v>1</v>
      </c>
      <c r="O321" s="44">
        <f t="shared" si="205"/>
        <v>344</v>
      </c>
      <c r="P321" s="44">
        <f t="shared" si="206"/>
        <v>22377.887999999988</v>
      </c>
      <c r="Q321" s="44">
        <f t="shared" si="207"/>
        <v>217.84414901960784</v>
      </c>
      <c r="R321" s="44">
        <f t="shared" si="224"/>
        <v>14171.197582023522</v>
      </c>
      <c r="S321" s="123"/>
      <c r="T321" s="219">
        <f t="shared" si="225"/>
        <v>14171.197582023522</v>
      </c>
      <c r="U321" s="87"/>
      <c r="V321" s="47"/>
      <c r="W321" s="48"/>
      <c r="X321" s="48"/>
      <c r="Y321" s="48"/>
      <c r="Z321" s="135"/>
      <c r="AA321" s="49"/>
      <c r="AB321" s="50">
        <f t="shared" si="208"/>
        <v>217.84414901960784</v>
      </c>
      <c r="AC321" s="42">
        <f t="shared" si="226"/>
        <v>65.051999999999964</v>
      </c>
      <c r="AD321" s="90">
        <f>AD322+AD332+AD338</f>
        <v>14171.197582023522</v>
      </c>
      <c r="AE321" s="188">
        <f t="shared" ref="AE321" si="291">AE322+AE332+AE338</f>
        <v>0</v>
      </c>
      <c r="AF321" s="189">
        <f t="shared" ref="AF321" si="292">AF322+AF332+AF338</f>
        <v>0</v>
      </c>
      <c r="AG321" s="189">
        <f t="shared" ref="AG321" si="293">AG322+AG332+AG338</f>
        <v>0</v>
      </c>
      <c r="AH321" s="189">
        <f t="shared" ref="AH321" si="294">AH322+AH332+AH338</f>
        <v>0</v>
      </c>
      <c r="AI321" s="161">
        <f t="shared" ref="AI321" si="295">SUM(AE321:AH321)</f>
        <v>0</v>
      </c>
      <c r="AK321" s="169">
        <v>5</v>
      </c>
      <c r="AO321" s="19" t="s">
        <v>63</v>
      </c>
    </row>
    <row r="322" spans="1:41" s="103" customFormat="1" ht="19.899999999999999" customHeight="1" x14ac:dyDescent="0.25">
      <c r="A322" s="51"/>
      <c r="B322" s="52"/>
      <c r="C322" s="165"/>
      <c r="D322" s="52"/>
      <c r="E322" s="115"/>
      <c r="F322" s="58"/>
      <c r="G322" s="58"/>
      <c r="H322" s="58"/>
      <c r="I322" s="55"/>
      <c r="J322" s="113">
        <f>J321</f>
        <v>65.051999999999964</v>
      </c>
      <c r="K322" s="212">
        <f>K321</f>
        <v>65.051999999999964</v>
      </c>
      <c r="L322" s="58"/>
      <c r="M322" s="58">
        <f>K322-L322</f>
        <v>65.051999999999964</v>
      </c>
      <c r="N322" s="166"/>
      <c r="O322" s="58"/>
      <c r="P322" s="58"/>
      <c r="Q322" s="58"/>
      <c r="R322" s="58"/>
      <c r="S322" s="58"/>
      <c r="T322" s="220"/>
      <c r="U322" s="88"/>
      <c r="V322" s="56"/>
      <c r="W322" s="57" t="s">
        <v>1050</v>
      </c>
      <c r="X322" s="53"/>
      <c r="Y322" s="91" t="s">
        <v>68</v>
      </c>
      <c r="Z322" s="136">
        <f>AD322/AC322</f>
        <v>47.260815686274512</v>
      </c>
      <c r="AA322" s="58"/>
      <c r="AB322" s="53">
        <f>AD322/AC322</f>
        <v>47.260815686274512</v>
      </c>
      <c r="AC322" s="53">
        <f>M322+$AE$10</f>
        <v>65.051999999999964</v>
      </c>
      <c r="AD322" s="54">
        <f>SUM(AD323:AD331)</f>
        <v>3074.4105820235277</v>
      </c>
      <c r="AE322" s="184">
        <f>SUMIFS($AD$37:$AD$12971,$V$37:$V$12971,$V322,$X$37:$X$12971,AE$13)</f>
        <v>0</v>
      </c>
      <c r="AF322" s="185">
        <f>SUMIFS($AD$37:$AD$12971,$V$37:$V$12971,$V322,$X$37:$X$12971,AF$13)</f>
        <v>0</v>
      </c>
      <c r="AG322" s="185">
        <f>SUMIFS($AD$37:$AD$12971,$V$37:$V$12971,$V322,$X$37:$X$12971,AG$13)</f>
        <v>0</v>
      </c>
      <c r="AH322" s="187">
        <f>SUMIFS($AD$37:$AD$12971,$V$37:$V$12971,$V322,$X$37:$X$12971,AH$13)</f>
        <v>0</v>
      </c>
      <c r="AI322" s="161">
        <f t="shared" ref="AI322" si="296">SUM(AE322:AH322)</f>
        <v>0</v>
      </c>
      <c r="AK322" s="172"/>
    </row>
    <row r="323" spans="1:41" s="102" customFormat="1" ht="19.899999999999999" customHeight="1" x14ac:dyDescent="0.25">
      <c r="A323" s="45"/>
      <c r="B323" s="59"/>
      <c r="C323" s="137"/>
      <c r="D323" s="59"/>
      <c r="E323" s="116"/>
      <c r="F323" s="120"/>
      <c r="G323" s="120"/>
      <c r="H323" s="120"/>
      <c r="I323" s="60"/>
      <c r="J323" s="116"/>
      <c r="K323" s="213"/>
      <c r="L323" s="120"/>
      <c r="M323" s="120"/>
      <c r="N323" s="167"/>
      <c r="O323" s="120"/>
      <c r="P323" s="120"/>
      <c r="Q323" s="120"/>
      <c r="R323" s="120"/>
      <c r="S323" s="120"/>
      <c r="T323" s="221"/>
      <c r="U323" s="89"/>
      <c r="V323" s="61"/>
      <c r="W323" s="92" t="s">
        <v>129</v>
      </c>
      <c r="X323" s="93" t="s">
        <v>29</v>
      </c>
      <c r="Y323" s="93" t="s">
        <v>93</v>
      </c>
      <c r="Z323" s="134">
        <f>VLOOKUP(W323,Sheet2!$B:$D,3,FALSE)</f>
        <v>56</v>
      </c>
      <c r="AA323" s="93">
        <f>100/(1*2.5)</f>
        <v>40</v>
      </c>
      <c r="AB323" s="93">
        <f t="shared" ref="AB323" si="297">AD323/AC322</f>
        <v>1.4000000000000001</v>
      </c>
      <c r="AC323" s="93">
        <f>AC322/AA323</f>
        <v>1.6262999999999992</v>
      </c>
      <c r="AD323" s="94">
        <f t="shared" ref="AD323:AD324" si="298">AC323*Z323</f>
        <v>91.072799999999958</v>
      </c>
      <c r="AE323" s="190"/>
      <c r="AF323" s="191"/>
      <c r="AG323" s="191"/>
      <c r="AH323" s="191"/>
      <c r="AI323" s="186"/>
      <c r="AK323" s="171"/>
    </row>
    <row r="324" spans="1:41" s="102" customFormat="1" ht="19.899999999999999" customHeight="1" x14ac:dyDescent="0.25">
      <c r="A324" s="45"/>
      <c r="B324" s="59"/>
      <c r="C324" s="137"/>
      <c r="D324" s="59"/>
      <c r="E324" s="116"/>
      <c r="F324" s="120"/>
      <c r="G324" s="120"/>
      <c r="H324" s="120"/>
      <c r="I324" s="60"/>
      <c r="J324" s="116"/>
      <c r="K324" s="213"/>
      <c r="L324" s="120"/>
      <c r="M324" s="120"/>
      <c r="N324" s="167"/>
      <c r="O324" s="120"/>
      <c r="P324" s="120"/>
      <c r="Q324" s="120"/>
      <c r="R324" s="120"/>
      <c r="S324" s="120"/>
      <c r="T324" s="221"/>
      <c r="U324" s="89"/>
      <c r="V324" s="61"/>
      <c r="W324" s="92" t="s">
        <v>65</v>
      </c>
      <c r="X324" s="93" t="s">
        <v>30</v>
      </c>
      <c r="Y324" s="93" t="s">
        <v>1011</v>
      </c>
      <c r="Z324" s="134">
        <f>VLOOKUP(W324,Sheet2!$B:$D,3,FALSE)</f>
        <v>1.76</v>
      </c>
      <c r="AA324" s="93">
        <f>AA323/14</f>
        <v>2.8571428571428572</v>
      </c>
      <c r="AB324" s="93">
        <f>AD324/AC322</f>
        <v>0.61599999999999999</v>
      </c>
      <c r="AC324" s="93">
        <f>AC322/AA324</f>
        <v>22.768199999999986</v>
      </c>
      <c r="AD324" s="94">
        <f t="shared" si="298"/>
        <v>40.072031999999979</v>
      </c>
      <c r="AE324" s="190"/>
      <c r="AF324" s="191"/>
      <c r="AG324" s="191"/>
      <c r="AH324" s="191"/>
      <c r="AI324" s="186"/>
      <c r="AK324" s="171"/>
    </row>
    <row r="325" spans="1:41" s="102" customFormat="1" ht="19.899999999999999" customHeight="1" x14ac:dyDescent="0.25">
      <c r="A325" s="45"/>
      <c r="B325" s="59"/>
      <c r="C325" s="137"/>
      <c r="D325" s="59"/>
      <c r="E325" s="116"/>
      <c r="F325" s="120"/>
      <c r="G325" s="120"/>
      <c r="H325" s="120"/>
      <c r="I325" s="60"/>
      <c r="J325" s="116"/>
      <c r="K325" s="213"/>
      <c r="L325" s="120"/>
      <c r="M325" s="120"/>
      <c r="N325" s="167"/>
      <c r="O325" s="120"/>
      <c r="P325" s="120"/>
      <c r="Q325" s="120"/>
      <c r="R325" s="120"/>
      <c r="S325" s="120"/>
      <c r="T325" s="221"/>
      <c r="U325" s="89"/>
      <c r="V325" s="61"/>
      <c r="W325" s="92" t="s">
        <v>161</v>
      </c>
      <c r="X325" s="93" t="s">
        <v>29</v>
      </c>
      <c r="Y325" s="93" t="s">
        <v>93</v>
      </c>
      <c r="Z325" s="134">
        <f>VLOOKUP(W325,Sheet2!$B:$D,3,FALSE)</f>
        <v>48</v>
      </c>
      <c r="AA325" s="93">
        <f>(16*0.85*1.5)/(1*2.5)</f>
        <v>8.16</v>
      </c>
      <c r="AB325" s="93">
        <f>AD325/AC322</f>
        <v>5.8823529411764701</v>
      </c>
      <c r="AC325" s="93">
        <f>AC322/AA325</f>
        <v>7.972058823529407</v>
      </c>
      <c r="AD325" s="94">
        <f>AC325*Z325</f>
        <v>382.65882352941151</v>
      </c>
      <c r="AE325" s="190"/>
      <c r="AF325" s="191"/>
      <c r="AG325" s="191"/>
      <c r="AH325" s="191"/>
      <c r="AI325" s="186"/>
      <c r="AK325" s="171"/>
    </row>
    <row r="326" spans="1:41" s="102" customFormat="1" ht="19.899999999999999" customHeight="1" x14ac:dyDescent="0.25">
      <c r="A326" s="45"/>
      <c r="B326" s="59"/>
      <c r="C326" s="137"/>
      <c r="D326" s="59"/>
      <c r="E326" s="116"/>
      <c r="F326" s="120"/>
      <c r="G326" s="120"/>
      <c r="H326" s="120"/>
      <c r="I326" s="60"/>
      <c r="J326" s="116"/>
      <c r="K326" s="213"/>
      <c r="L326" s="120"/>
      <c r="M326" s="120"/>
      <c r="N326" s="167"/>
      <c r="O326" s="120"/>
      <c r="P326" s="120"/>
      <c r="Q326" s="120"/>
      <c r="R326" s="120"/>
      <c r="S326" s="120"/>
      <c r="T326" s="221"/>
      <c r="U326" s="89"/>
      <c r="V326" s="61"/>
      <c r="W326" s="92" t="s">
        <v>65</v>
      </c>
      <c r="X326" s="93" t="s">
        <v>30</v>
      </c>
      <c r="Y326" s="93" t="s">
        <v>1011</v>
      </c>
      <c r="Z326" s="134">
        <f>VLOOKUP(W326,Sheet2!$B:$D,3,FALSE)</f>
        <v>1.76</v>
      </c>
      <c r="AA326" s="93">
        <f>AA325/10</f>
        <v>0.81600000000000006</v>
      </c>
      <c r="AB326" s="93">
        <f>AD326/AC322</f>
        <v>2.1568627450980391</v>
      </c>
      <c r="AC326" s="93">
        <f>AC322/AA326</f>
        <v>79.720588235294073</v>
      </c>
      <c r="AD326" s="94">
        <f>AC326*Z326</f>
        <v>140.30823529411757</v>
      </c>
      <c r="AE326" s="190"/>
      <c r="AF326" s="191"/>
      <c r="AG326" s="191"/>
      <c r="AH326" s="191"/>
      <c r="AI326" s="186"/>
      <c r="AK326" s="171"/>
    </row>
    <row r="327" spans="1:41" s="102" customFormat="1" ht="19.899999999999999" customHeight="1" x14ac:dyDescent="0.25">
      <c r="A327" s="45"/>
      <c r="B327" s="59"/>
      <c r="C327" s="137"/>
      <c r="D327" s="59"/>
      <c r="E327" s="116"/>
      <c r="F327" s="120"/>
      <c r="G327" s="120"/>
      <c r="H327" s="120"/>
      <c r="I327" s="60"/>
      <c r="J327" s="116"/>
      <c r="K327" s="213"/>
      <c r="L327" s="120"/>
      <c r="M327" s="120"/>
      <c r="N327" s="167"/>
      <c r="O327" s="120"/>
      <c r="P327" s="120"/>
      <c r="Q327" s="120"/>
      <c r="R327" s="120"/>
      <c r="S327" s="120"/>
      <c r="T327" s="221"/>
      <c r="U327" s="89"/>
      <c r="V327" s="61"/>
      <c r="W327" s="92" t="s">
        <v>1030</v>
      </c>
      <c r="X327" s="93" t="s">
        <v>29</v>
      </c>
      <c r="Y327" s="93" t="s">
        <v>93</v>
      </c>
      <c r="Z327" s="134">
        <f>VLOOKUP(W327,Sheet2!$B:$D,3,FALSE)</f>
        <v>23</v>
      </c>
      <c r="AA327" s="93">
        <v>50</v>
      </c>
      <c r="AB327" s="93">
        <f>AD327/AC322</f>
        <v>0.46</v>
      </c>
      <c r="AC327" s="93">
        <f>AC322/AA327</f>
        <v>1.3010399999999993</v>
      </c>
      <c r="AD327" s="94">
        <f t="shared" ref="AD327:AD331" si="299">AC327*Z327</f>
        <v>29.923919999999985</v>
      </c>
      <c r="AE327" s="190"/>
      <c r="AF327" s="191"/>
      <c r="AG327" s="191"/>
      <c r="AH327" s="191"/>
      <c r="AI327" s="186"/>
      <c r="AK327" s="171"/>
    </row>
    <row r="328" spans="1:41" s="102" customFormat="1" ht="19.899999999999999" customHeight="1" x14ac:dyDescent="0.25">
      <c r="A328" s="45"/>
      <c r="B328" s="59"/>
      <c r="C328" s="137"/>
      <c r="D328" s="59"/>
      <c r="E328" s="116"/>
      <c r="F328" s="120"/>
      <c r="G328" s="120"/>
      <c r="H328" s="120"/>
      <c r="I328" s="60"/>
      <c r="J328" s="116"/>
      <c r="K328" s="213"/>
      <c r="L328" s="120"/>
      <c r="M328" s="120"/>
      <c r="N328" s="167"/>
      <c r="O328" s="120"/>
      <c r="P328" s="120"/>
      <c r="Q328" s="120"/>
      <c r="R328" s="120"/>
      <c r="S328" s="120"/>
      <c r="T328" s="221"/>
      <c r="U328" s="89"/>
      <c r="V328" s="61"/>
      <c r="W328" s="92" t="s">
        <v>65</v>
      </c>
      <c r="X328" s="93" t="s">
        <v>30</v>
      </c>
      <c r="Y328" s="93" t="s">
        <v>1011</v>
      </c>
      <c r="Z328" s="134">
        <f>VLOOKUP(W328,Sheet2!$B:$D,3,FALSE)</f>
        <v>1.76</v>
      </c>
      <c r="AA328" s="93">
        <f>AA327/3</f>
        <v>16.666666666666668</v>
      </c>
      <c r="AB328" s="93">
        <f>AD328/AC322</f>
        <v>0.1056</v>
      </c>
      <c r="AC328" s="93">
        <f>AC322/AA328</f>
        <v>3.9031199999999977</v>
      </c>
      <c r="AD328" s="94">
        <f t="shared" si="299"/>
        <v>6.8694911999999961</v>
      </c>
      <c r="AE328" s="190"/>
      <c r="AF328" s="191"/>
      <c r="AG328" s="191"/>
      <c r="AH328" s="191"/>
      <c r="AI328" s="186"/>
      <c r="AK328" s="171"/>
    </row>
    <row r="329" spans="1:41" s="102" customFormat="1" ht="19.899999999999999" customHeight="1" x14ac:dyDescent="0.25">
      <c r="A329" s="45"/>
      <c r="B329" s="59"/>
      <c r="C329" s="137"/>
      <c r="D329" s="59"/>
      <c r="E329" s="116"/>
      <c r="F329" s="120"/>
      <c r="G329" s="120"/>
      <c r="H329" s="120"/>
      <c r="I329" s="60"/>
      <c r="J329" s="116"/>
      <c r="K329" s="213"/>
      <c r="L329" s="120"/>
      <c r="M329" s="120"/>
      <c r="N329" s="167"/>
      <c r="O329" s="120"/>
      <c r="P329" s="120"/>
      <c r="Q329" s="120"/>
      <c r="R329" s="120"/>
      <c r="S329" s="120"/>
      <c r="T329" s="221"/>
      <c r="U329" s="89"/>
      <c r="V329" s="61"/>
      <c r="W329" s="92" t="s">
        <v>148</v>
      </c>
      <c r="X329" s="93" t="s">
        <v>29</v>
      </c>
      <c r="Y329" s="93" t="s">
        <v>93</v>
      </c>
      <c r="Z329" s="134">
        <f>VLOOKUP(W329,Sheet2!$B:$D,3,FALSE)</f>
        <v>48</v>
      </c>
      <c r="AA329" s="93">
        <f>AA323</f>
        <v>40</v>
      </c>
      <c r="AB329" s="93">
        <f>AD329/AC322</f>
        <v>1.2000000000000002</v>
      </c>
      <c r="AC329" s="93">
        <f>AC322/AA329</f>
        <v>1.6262999999999992</v>
      </c>
      <c r="AD329" s="94">
        <f t="shared" si="299"/>
        <v>78.062399999999968</v>
      </c>
      <c r="AE329" s="190"/>
      <c r="AF329" s="191"/>
      <c r="AG329" s="191"/>
      <c r="AH329" s="191"/>
      <c r="AI329" s="186"/>
      <c r="AK329" s="171"/>
    </row>
    <row r="330" spans="1:41" s="102" customFormat="1" ht="19.899999999999999" customHeight="1" x14ac:dyDescent="0.25">
      <c r="A330" s="45"/>
      <c r="B330" s="59"/>
      <c r="C330" s="137"/>
      <c r="D330" s="59"/>
      <c r="E330" s="116"/>
      <c r="F330" s="120"/>
      <c r="G330" s="120"/>
      <c r="H330" s="120"/>
      <c r="I330" s="60"/>
      <c r="J330" s="116"/>
      <c r="K330" s="213"/>
      <c r="L330" s="120"/>
      <c r="M330" s="120"/>
      <c r="N330" s="167"/>
      <c r="O330" s="120"/>
      <c r="P330" s="120"/>
      <c r="Q330" s="120"/>
      <c r="R330" s="120"/>
      <c r="S330" s="120"/>
      <c r="T330" s="221"/>
      <c r="U330" s="89"/>
      <c r="V330" s="61"/>
      <c r="W330" s="92" t="s">
        <v>65</v>
      </c>
      <c r="X330" s="93" t="s">
        <v>30</v>
      </c>
      <c r="Y330" s="93" t="s">
        <v>1011</v>
      </c>
      <c r="Z330" s="134">
        <f>VLOOKUP(W330,Sheet2!$B:$D,3,FALSE)</f>
        <v>1.76</v>
      </c>
      <c r="AA330" s="93">
        <f>AA329/10</f>
        <v>4</v>
      </c>
      <c r="AB330" s="93">
        <f>AD330/AC322</f>
        <v>0.44</v>
      </c>
      <c r="AC330" s="93">
        <f>AC322/AA330</f>
        <v>16.262999999999991</v>
      </c>
      <c r="AD330" s="94">
        <f t="shared" si="299"/>
        <v>28.622879999999984</v>
      </c>
      <c r="AE330" s="190"/>
      <c r="AF330" s="191"/>
      <c r="AG330" s="191"/>
      <c r="AH330" s="191"/>
      <c r="AI330" s="186"/>
      <c r="AK330" s="171"/>
    </row>
    <row r="331" spans="1:41" s="102" customFormat="1" ht="19.899999999999999" customHeight="1" x14ac:dyDescent="0.25">
      <c r="A331" s="45"/>
      <c r="B331" s="59"/>
      <c r="C331" s="137"/>
      <c r="D331" s="59"/>
      <c r="E331" s="116"/>
      <c r="F331" s="120"/>
      <c r="G331" s="120"/>
      <c r="H331" s="120"/>
      <c r="I331" s="60"/>
      <c r="J331" s="116"/>
      <c r="K331" s="213"/>
      <c r="L331" s="120"/>
      <c r="M331" s="120"/>
      <c r="N331" s="167"/>
      <c r="O331" s="120"/>
      <c r="P331" s="120"/>
      <c r="Q331" s="120"/>
      <c r="R331" s="120"/>
      <c r="S331" s="120"/>
      <c r="T331" s="221"/>
      <c r="U331" s="89"/>
      <c r="V331" s="61"/>
      <c r="W331" s="92" t="s">
        <v>1048</v>
      </c>
      <c r="X331" s="93" t="s">
        <v>30</v>
      </c>
      <c r="Y331" s="93" t="s">
        <v>68</v>
      </c>
      <c r="Z331" s="134">
        <f>VLOOKUP(W331,Sheet2!$B:$D,3,FALSE)</f>
        <v>35</v>
      </c>
      <c r="AA331" s="93">
        <v>1</v>
      </c>
      <c r="AB331" s="93">
        <f>AD331/AC322</f>
        <v>35</v>
      </c>
      <c r="AC331" s="93">
        <f>AC322/AA331</f>
        <v>65.051999999999964</v>
      </c>
      <c r="AD331" s="94">
        <f t="shared" si="299"/>
        <v>2276.8199999999988</v>
      </c>
      <c r="AE331" s="190"/>
      <c r="AF331" s="191"/>
      <c r="AG331" s="191"/>
      <c r="AH331" s="191"/>
      <c r="AI331" s="186"/>
      <c r="AK331" s="171"/>
    </row>
    <row r="332" spans="1:41" s="103" customFormat="1" ht="19.899999999999999" customHeight="1" x14ac:dyDescent="0.25">
      <c r="A332" s="51"/>
      <c r="B332" s="52"/>
      <c r="C332" s="165"/>
      <c r="D332" s="52"/>
      <c r="E332" s="115"/>
      <c r="F332" s="58"/>
      <c r="G332" s="58"/>
      <c r="H332" s="58"/>
      <c r="I332" s="55"/>
      <c r="J332" s="113">
        <f>J321</f>
        <v>65.051999999999964</v>
      </c>
      <c r="K332" s="212">
        <f>K321</f>
        <v>65.051999999999964</v>
      </c>
      <c r="L332" s="58"/>
      <c r="M332" s="58">
        <f>K332-L332</f>
        <v>65.051999999999964</v>
      </c>
      <c r="N332" s="166"/>
      <c r="O332" s="58"/>
      <c r="P332" s="58"/>
      <c r="Q332" s="58"/>
      <c r="R332" s="58"/>
      <c r="S332" s="58"/>
      <c r="T332" s="220"/>
      <c r="U332" s="88"/>
      <c r="V332" s="56"/>
      <c r="W332" s="57" t="s">
        <v>1036</v>
      </c>
      <c r="X332" s="53"/>
      <c r="Y332" s="91" t="s">
        <v>68</v>
      </c>
      <c r="Z332" s="136">
        <f>AD332/AC332</f>
        <v>165.58333333333334</v>
      </c>
      <c r="AA332" s="58"/>
      <c r="AB332" s="53">
        <f>AD332/AC332</f>
        <v>165.58333333333334</v>
      </c>
      <c r="AC332" s="53">
        <f>M332+$AE$10</f>
        <v>65.051999999999964</v>
      </c>
      <c r="AD332" s="54">
        <f>SUM(AD333:AD337)</f>
        <v>10771.526999999995</v>
      </c>
      <c r="AE332" s="184">
        <f>SUMIFS($AD$37:$AD$12971,$V$37:$V$12971,$V332,$X$37:$X$12971,AE$13)</f>
        <v>0</v>
      </c>
      <c r="AF332" s="185">
        <f>SUMIFS($AD$37:$AD$12971,$V$37:$V$12971,$V332,$X$37:$X$12971,AF$13)</f>
        <v>0</v>
      </c>
      <c r="AG332" s="185">
        <f>SUMIFS($AD$37:$AD$12971,$V$37:$V$12971,$V332,$X$37:$X$12971,AG$13)</f>
        <v>0</v>
      </c>
      <c r="AH332" s="187">
        <f>SUMIFS($AD$37:$AD$12971,$V$37:$V$12971,$V332,$X$37:$X$12971,AH$13)</f>
        <v>0</v>
      </c>
      <c r="AI332" s="161">
        <f t="shared" ref="AI332" si="300">SUM(AE332:AH332)</f>
        <v>0</v>
      </c>
      <c r="AK332" s="172"/>
    </row>
    <row r="333" spans="1:41" s="102" customFormat="1" ht="19.899999999999999" customHeight="1" x14ac:dyDescent="0.25">
      <c r="A333" s="45"/>
      <c r="B333" s="59"/>
      <c r="C333" s="137"/>
      <c r="D333" s="59"/>
      <c r="E333" s="116"/>
      <c r="F333" s="120"/>
      <c r="G333" s="120"/>
      <c r="H333" s="120"/>
      <c r="I333" s="60"/>
      <c r="J333" s="116"/>
      <c r="K333" s="213"/>
      <c r="L333" s="120"/>
      <c r="M333" s="120"/>
      <c r="N333" s="167"/>
      <c r="O333" s="120"/>
      <c r="P333" s="120"/>
      <c r="Q333" s="120"/>
      <c r="R333" s="120"/>
      <c r="S333" s="120"/>
      <c r="T333" s="221"/>
      <c r="U333" s="89"/>
      <c r="V333" s="61"/>
      <c r="W333" s="92" t="s">
        <v>1251</v>
      </c>
      <c r="X333" s="93" t="s">
        <v>30</v>
      </c>
      <c r="Y333" s="93" t="s">
        <v>68</v>
      </c>
      <c r="Z333" s="134">
        <f>VLOOKUP(W333,Sheet2!$B:$D,3,FALSE)</f>
        <v>95</v>
      </c>
      <c r="AA333" s="93">
        <v>1</v>
      </c>
      <c r="AB333" s="93">
        <f>AD333/AC332</f>
        <v>95</v>
      </c>
      <c r="AC333" s="93">
        <f>AC332/AA333</f>
        <v>65.051999999999964</v>
      </c>
      <c r="AD333" s="94">
        <f t="shared" ref="AD333" si="301">AC333*Z333</f>
        <v>6179.9399999999969</v>
      </c>
      <c r="AE333" s="190"/>
      <c r="AF333" s="191"/>
      <c r="AG333" s="191"/>
      <c r="AH333" s="191"/>
      <c r="AI333" s="186"/>
      <c r="AK333" s="171"/>
    </row>
    <row r="334" spans="1:41" s="102" customFormat="1" ht="19.899999999999999" customHeight="1" x14ac:dyDescent="0.25">
      <c r="A334" s="45"/>
      <c r="B334" s="59"/>
      <c r="C334" s="137"/>
      <c r="D334" s="59"/>
      <c r="E334" s="116"/>
      <c r="F334" s="120"/>
      <c r="G334" s="120"/>
      <c r="H334" s="120"/>
      <c r="I334" s="60"/>
      <c r="J334" s="116"/>
      <c r="K334" s="213"/>
      <c r="L334" s="120"/>
      <c r="M334" s="120"/>
      <c r="N334" s="167"/>
      <c r="O334" s="120"/>
      <c r="P334" s="120"/>
      <c r="Q334" s="120"/>
      <c r="R334" s="120"/>
      <c r="S334" s="120"/>
      <c r="T334" s="221"/>
      <c r="U334" s="89"/>
      <c r="V334" s="61"/>
      <c r="W334" s="92" t="s">
        <v>1259</v>
      </c>
      <c r="X334" s="93" t="s">
        <v>32</v>
      </c>
      <c r="Y334" s="93" t="s">
        <v>68</v>
      </c>
      <c r="Z334" s="134">
        <f>VLOOKUP(W334,Sheet2!$B:$D,3,FALSE)</f>
        <v>30</v>
      </c>
      <c r="AA334" s="93">
        <v>1</v>
      </c>
      <c r="AB334" s="93">
        <f>AD334/AC332</f>
        <v>30</v>
      </c>
      <c r="AC334" s="93">
        <f>AC332/AA334</f>
        <v>65.051999999999964</v>
      </c>
      <c r="AD334" s="94">
        <f>AC334*Z334</f>
        <v>1951.559999999999</v>
      </c>
      <c r="AE334" s="190"/>
      <c r="AF334" s="191"/>
      <c r="AG334" s="191"/>
      <c r="AH334" s="191"/>
      <c r="AI334" s="186"/>
      <c r="AK334" s="171"/>
    </row>
    <row r="335" spans="1:41" s="102" customFormat="1" ht="19.899999999999999" customHeight="1" x14ac:dyDescent="0.25">
      <c r="A335" s="45"/>
      <c r="B335" s="59"/>
      <c r="C335" s="137"/>
      <c r="D335" s="59"/>
      <c r="E335" s="116"/>
      <c r="F335" s="120"/>
      <c r="G335" s="120"/>
      <c r="H335" s="120"/>
      <c r="I335" s="60"/>
      <c r="J335" s="116"/>
      <c r="K335" s="213"/>
      <c r="L335" s="120"/>
      <c r="M335" s="120"/>
      <c r="N335" s="167"/>
      <c r="O335" s="120"/>
      <c r="P335" s="120"/>
      <c r="Q335" s="120"/>
      <c r="R335" s="120"/>
      <c r="S335" s="120"/>
      <c r="T335" s="221"/>
      <c r="U335" s="89"/>
      <c r="V335" s="61"/>
      <c r="W335" s="92" t="s">
        <v>1032</v>
      </c>
      <c r="X335" s="93" t="s">
        <v>30</v>
      </c>
      <c r="Y335" s="93" t="s">
        <v>66</v>
      </c>
      <c r="Z335" s="134">
        <f>VLOOKUP(W335,Sheet2!$B:$D,3,FALSE)</f>
        <v>250</v>
      </c>
      <c r="AA335" s="93">
        <f>1/(1*0.1)</f>
        <v>10</v>
      </c>
      <c r="AB335" s="93">
        <f>AD335/AC332</f>
        <v>25.000000000000004</v>
      </c>
      <c r="AC335" s="93">
        <f>AC332/AA335</f>
        <v>6.5051999999999968</v>
      </c>
      <c r="AD335" s="94">
        <f>AC335*Z335</f>
        <v>1626.2999999999993</v>
      </c>
      <c r="AE335" s="190"/>
      <c r="AF335" s="191"/>
      <c r="AG335" s="191"/>
      <c r="AH335" s="191"/>
      <c r="AI335" s="186"/>
      <c r="AK335" s="171"/>
    </row>
    <row r="336" spans="1:41" s="102" customFormat="1" ht="19.899999999999999" customHeight="1" x14ac:dyDescent="0.25">
      <c r="A336" s="45"/>
      <c r="B336" s="59"/>
      <c r="C336" s="137"/>
      <c r="D336" s="59"/>
      <c r="E336" s="116"/>
      <c r="F336" s="120"/>
      <c r="G336" s="120"/>
      <c r="H336" s="120"/>
      <c r="I336" s="60"/>
      <c r="J336" s="116"/>
      <c r="K336" s="213"/>
      <c r="L336" s="120"/>
      <c r="M336" s="120"/>
      <c r="N336" s="167"/>
      <c r="O336" s="120"/>
      <c r="P336" s="120"/>
      <c r="Q336" s="120"/>
      <c r="R336" s="120"/>
      <c r="S336" s="120"/>
      <c r="T336" s="221"/>
      <c r="U336" s="89"/>
      <c r="V336" s="61"/>
      <c r="W336" s="92" t="s">
        <v>1035</v>
      </c>
      <c r="X336" s="93" t="s">
        <v>32</v>
      </c>
      <c r="Y336" s="93" t="s">
        <v>66</v>
      </c>
      <c r="Z336" s="134">
        <f>VLOOKUP(W336,Sheet2!$B:$D,3,FALSE)</f>
        <v>150</v>
      </c>
      <c r="AA336" s="93">
        <f>AA335</f>
        <v>10</v>
      </c>
      <c r="AB336" s="93">
        <f>AD336/AC332</f>
        <v>15</v>
      </c>
      <c r="AC336" s="93">
        <f>AC332/AA336</f>
        <v>6.5051999999999968</v>
      </c>
      <c r="AD336" s="94">
        <f t="shared" ref="AD336:AD337" si="302">AC336*Z336</f>
        <v>975.77999999999952</v>
      </c>
      <c r="AE336" s="190"/>
      <c r="AF336" s="191"/>
      <c r="AG336" s="191"/>
      <c r="AH336" s="191"/>
      <c r="AI336" s="186"/>
      <c r="AK336" s="171"/>
    </row>
    <row r="337" spans="1:41" s="102" customFormat="1" ht="19.899999999999999" customHeight="1" x14ac:dyDescent="0.25">
      <c r="A337" s="45"/>
      <c r="B337" s="59"/>
      <c r="C337" s="137"/>
      <c r="D337" s="59"/>
      <c r="E337" s="116"/>
      <c r="F337" s="120"/>
      <c r="G337" s="120"/>
      <c r="H337" s="120"/>
      <c r="I337" s="60"/>
      <c r="J337" s="116"/>
      <c r="K337" s="213"/>
      <c r="L337" s="120"/>
      <c r="M337" s="120"/>
      <c r="N337" s="167"/>
      <c r="O337" s="120"/>
      <c r="P337" s="120"/>
      <c r="Q337" s="120"/>
      <c r="R337" s="120"/>
      <c r="S337" s="120"/>
      <c r="T337" s="221"/>
      <c r="U337" s="89"/>
      <c r="V337" s="61"/>
      <c r="W337" s="92" t="s">
        <v>1037</v>
      </c>
      <c r="X337" s="93" t="s">
        <v>30</v>
      </c>
      <c r="Y337" s="93" t="s">
        <v>1038</v>
      </c>
      <c r="Z337" s="134">
        <f>VLOOKUP(W337,Sheet2!$B:$D,3,FALSE)</f>
        <v>175</v>
      </c>
      <c r="AA337" s="93">
        <v>300</v>
      </c>
      <c r="AB337" s="93">
        <f>AD337/AC332</f>
        <v>0.58333333333333337</v>
      </c>
      <c r="AC337" s="93">
        <f>AC332/AA337</f>
        <v>0.21683999999999989</v>
      </c>
      <c r="AD337" s="94">
        <f t="shared" si="302"/>
        <v>37.946999999999981</v>
      </c>
      <c r="AE337" s="190"/>
      <c r="AF337" s="191"/>
      <c r="AG337" s="191"/>
      <c r="AH337" s="191"/>
      <c r="AI337" s="186"/>
      <c r="AK337" s="171"/>
    </row>
    <row r="338" spans="1:41" s="103" customFormat="1" ht="19.899999999999999" customHeight="1" x14ac:dyDescent="0.25">
      <c r="A338" s="51"/>
      <c r="B338" s="52"/>
      <c r="C338" s="165"/>
      <c r="D338" s="52"/>
      <c r="E338" s="115"/>
      <c r="F338" s="58"/>
      <c r="G338" s="58"/>
      <c r="H338" s="58"/>
      <c r="I338" s="55"/>
      <c r="J338" s="113">
        <f>J321</f>
        <v>65.051999999999964</v>
      </c>
      <c r="K338" s="212">
        <f>K321</f>
        <v>65.051999999999964</v>
      </c>
      <c r="L338" s="58"/>
      <c r="M338" s="58">
        <f>K338-L338</f>
        <v>65.051999999999964</v>
      </c>
      <c r="N338" s="166"/>
      <c r="O338" s="58"/>
      <c r="P338" s="58"/>
      <c r="Q338" s="58"/>
      <c r="R338" s="58"/>
      <c r="S338" s="58"/>
      <c r="T338" s="220"/>
      <c r="U338" s="88"/>
      <c r="V338" s="56"/>
      <c r="W338" s="57" t="s">
        <v>1040</v>
      </c>
      <c r="X338" s="53"/>
      <c r="Y338" s="91" t="s">
        <v>68</v>
      </c>
      <c r="Z338" s="136">
        <f>AD338/AC338</f>
        <v>5</v>
      </c>
      <c r="AA338" s="58"/>
      <c r="AB338" s="53">
        <f>AD338/AC338</f>
        <v>5</v>
      </c>
      <c r="AC338" s="53">
        <f>M338+$AE$10</f>
        <v>65.051999999999964</v>
      </c>
      <c r="AD338" s="54">
        <f>SUM(AD339)</f>
        <v>325.25999999999982</v>
      </c>
      <c r="AE338" s="184">
        <f>SUMIFS($AD$37:$AD$12971,$V$37:$V$12971,$V338,$X$37:$X$12971,AE$13)</f>
        <v>0</v>
      </c>
      <c r="AF338" s="185">
        <f>SUMIFS($AD$37:$AD$12971,$V$37:$V$12971,$V338,$X$37:$X$12971,AF$13)</f>
        <v>0</v>
      </c>
      <c r="AG338" s="185">
        <f>SUMIFS($AD$37:$AD$12971,$V$37:$V$12971,$V338,$X$37:$X$12971,AG$13)</f>
        <v>0</v>
      </c>
      <c r="AH338" s="187">
        <f>SUMIFS($AD$37:$AD$12971,$V$37:$V$12971,$V338,$X$37:$X$12971,AH$13)</f>
        <v>0</v>
      </c>
      <c r="AI338" s="161">
        <f t="shared" ref="AI338" si="303">SUM(AE338:AH338)</f>
        <v>0</v>
      </c>
      <c r="AK338" s="172"/>
    </row>
    <row r="339" spans="1:41" s="102" customFormat="1" ht="19.899999999999999" customHeight="1" x14ac:dyDescent="0.25">
      <c r="A339" s="45"/>
      <c r="B339" s="59"/>
      <c r="C339" s="137"/>
      <c r="D339" s="59"/>
      <c r="E339" s="116"/>
      <c r="F339" s="120"/>
      <c r="G339" s="120"/>
      <c r="H339" s="120"/>
      <c r="I339" s="60"/>
      <c r="J339" s="116"/>
      <c r="K339" s="213"/>
      <c r="L339" s="120"/>
      <c r="M339" s="120"/>
      <c r="N339" s="167"/>
      <c r="O339" s="120"/>
      <c r="P339" s="120"/>
      <c r="Q339" s="120"/>
      <c r="R339" s="120"/>
      <c r="S339" s="120"/>
      <c r="T339" s="221"/>
      <c r="U339" s="89"/>
      <c r="V339" s="61"/>
      <c r="W339" s="92" t="s">
        <v>1039</v>
      </c>
      <c r="X339" s="93" t="s">
        <v>32</v>
      </c>
      <c r="Y339" s="93" t="s">
        <v>68</v>
      </c>
      <c r="Z339" s="134">
        <f>VLOOKUP(W339,Sheet2!$B:$D,3,FALSE)</f>
        <v>5</v>
      </c>
      <c r="AA339" s="93">
        <v>1</v>
      </c>
      <c r="AB339" s="93">
        <f>AD339/AC338</f>
        <v>5</v>
      </c>
      <c r="AC339" s="93">
        <f>AC338/AA339</f>
        <v>65.051999999999964</v>
      </c>
      <c r="AD339" s="94">
        <f t="shared" ref="AD339" si="304">AC339*Z339</f>
        <v>325.25999999999982</v>
      </c>
      <c r="AE339" s="190"/>
      <c r="AF339" s="191"/>
      <c r="AG339" s="191"/>
      <c r="AH339" s="191"/>
      <c r="AI339" s="186"/>
      <c r="AK339" s="171"/>
    </row>
    <row r="340" spans="1:41" ht="20.100000000000001" customHeight="1" x14ac:dyDescent="0.25">
      <c r="A340" s="277" t="s">
        <v>216</v>
      </c>
      <c r="B340" s="278"/>
      <c r="C340" s="64" t="s">
        <v>228</v>
      </c>
      <c r="D340" s="46" t="s">
        <v>97</v>
      </c>
      <c r="E340" s="114">
        <v>1032.0553500000015</v>
      </c>
      <c r="F340" s="44">
        <v>1038</v>
      </c>
      <c r="G340" s="44">
        <f t="shared" si="199"/>
        <v>1071273.4533000016</v>
      </c>
      <c r="H340" s="44">
        <f t="shared" si="200"/>
        <v>289.50510588235289</v>
      </c>
      <c r="I340" s="43">
        <f t="shared" si="201"/>
        <v>298785.29337819922</v>
      </c>
      <c r="J340" s="112">
        <f t="shared" si="202"/>
        <v>1032.0553500000015</v>
      </c>
      <c r="K340" s="211">
        <f t="shared" si="203"/>
        <v>1032.0553500000015</v>
      </c>
      <c r="L340" s="44"/>
      <c r="M340" s="44">
        <f t="shared" si="223"/>
        <v>1032.0553500000015</v>
      </c>
      <c r="N340" s="173">
        <f t="shared" si="204"/>
        <v>1</v>
      </c>
      <c r="O340" s="44">
        <f t="shared" si="205"/>
        <v>1038</v>
      </c>
      <c r="P340" s="44">
        <f t="shared" si="206"/>
        <v>1071273.4533000016</v>
      </c>
      <c r="Q340" s="44">
        <f t="shared" si="207"/>
        <v>289.50510588235289</v>
      </c>
      <c r="R340" s="44">
        <f t="shared" si="224"/>
        <v>298785.29337819922</v>
      </c>
      <c r="S340" s="123"/>
      <c r="T340" s="219">
        <f t="shared" si="225"/>
        <v>298785.29337819922</v>
      </c>
      <c r="U340" s="87"/>
      <c r="V340" s="47"/>
      <c r="W340" s="48"/>
      <c r="X340" s="48"/>
      <c r="Y340" s="48"/>
      <c r="Z340" s="135"/>
      <c r="AA340" s="49"/>
      <c r="AB340" s="50">
        <f t="shared" si="208"/>
        <v>289.50510588235289</v>
      </c>
      <c r="AC340" s="42">
        <f t="shared" si="226"/>
        <v>1032.0553500000015</v>
      </c>
      <c r="AD340" s="90">
        <f>AD341+AD350+AD356</f>
        <v>298785.29337819922</v>
      </c>
      <c r="AE340" s="188">
        <f t="shared" ref="AE340:AH340" si="305">AE341+AE350+AE356</f>
        <v>0</v>
      </c>
      <c r="AF340" s="189">
        <f t="shared" si="305"/>
        <v>0</v>
      </c>
      <c r="AG340" s="189">
        <f t="shared" si="305"/>
        <v>0</v>
      </c>
      <c r="AH340" s="189">
        <f t="shared" si="305"/>
        <v>0</v>
      </c>
      <c r="AI340" s="161">
        <f t="shared" ref="AI340" si="306">SUM(AE340:AH340)</f>
        <v>0</v>
      </c>
      <c r="AK340" s="169">
        <v>5</v>
      </c>
      <c r="AO340" s="19" t="s">
        <v>63</v>
      </c>
    </row>
    <row r="341" spans="1:41" s="103" customFormat="1" ht="19.899999999999999" customHeight="1" x14ac:dyDescent="0.25">
      <c r="A341" s="51"/>
      <c r="B341" s="52"/>
      <c r="C341" s="165"/>
      <c r="D341" s="52"/>
      <c r="E341" s="115"/>
      <c r="F341" s="58"/>
      <c r="G341" s="58"/>
      <c r="H341" s="58"/>
      <c r="I341" s="55"/>
      <c r="J341" s="113">
        <f>J340</f>
        <v>1032.0553500000015</v>
      </c>
      <c r="K341" s="212">
        <f>K340</f>
        <v>1032.0553500000015</v>
      </c>
      <c r="L341" s="58"/>
      <c r="M341" s="58">
        <f>K341-L341</f>
        <v>1032.0553500000015</v>
      </c>
      <c r="N341" s="166"/>
      <c r="O341" s="58"/>
      <c r="P341" s="58"/>
      <c r="Q341" s="58"/>
      <c r="R341" s="58"/>
      <c r="S341" s="58"/>
      <c r="T341" s="220"/>
      <c r="U341" s="88"/>
      <c r="V341" s="56"/>
      <c r="W341" s="57" t="s">
        <v>1047</v>
      </c>
      <c r="X341" s="53"/>
      <c r="Y341" s="91" t="s">
        <v>68</v>
      </c>
      <c r="Z341" s="136">
        <f>AD341/AC341</f>
        <v>9.9217725490196091</v>
      </c>
      <c r="AA341" s="58"/>
      <c r="AB341" s="53">
        <f>AD341/AC341</f>
        <v>9.9217725490196091</v>
      </c>
      <c r="AC341" s="53">
        <f>M341+$AE$10</f>
        <v>1032.0553500000015</v>
      </c>
      <c r="AD341" s="54">
        <f>SUM(AD342:AD349)</f>
        <v>10239.818440698838</v>
      </c>
      <c r="AE341" s="184">
        <f>SUMIFS($AD$37:$AD$12971,$V$37:$V$12971,$V341,$X$37:$X$12971,AE$13)</f>
        <v>0</v>
      </c>
      <c r="AF341" s="185">
        <f>SUMIFS($AD$37:$AD$12971,$V$37:$V$12971,$V341,$X$37:$X$12971,AF$13)</f>
        <v>0</v>
      </c>
      <c r="AG341" s="185">
        <f>SUMIFS($AD$37:$AD$12971,$V$37:$V$12971,$V341,$X$37:$X$12971,AG$13)</f>
        <v>0</v>
      </c>
      <c r="AH341" s="187">
        <f>SUMIFS($AD$37:$AD$12971,$V$37:$V$12971,$V341,$X$37:$X$12971,AH$13)</f>
        <v>0</v>
      </c>
      <c r="AI341" s="161">
        <f t="shared" ref="AI341" si="307">SUM(AE341:AH341)</f>
        <v>0</v>
      </c>
      <c r="AK341" s="172"/>
    </row>
    <row r="342" spans="1:41" s="102" customFormat="1" ht="19.899999999999999" customHeight="1" x14ac:dyDescent="0.25">
      <c r="A342" s="45"/>
      <c r="B342" s="59"/>
      <c r="C342" s="137"/>
      <c r="D342" s="59"/>
      <c r="E342" s="116"/>
      <c r="F342" s="120"/>
      <c r="G342" s="120"/>
      <c r="H342" s="120"/>
      <c r="I342" s="60"/>
      <c r="J342" s="116"/>
      <c r="K342" s="213"/>
      <c r="L342" s="120"/>
      <c r="M342" s="120"/>
      <c r="N342" s="167"/>
      <c r="O342" s="120"/>
      <c r="P342" s="120"/>
      <c r="Q342" s="120"/>
      <c r="R342" s="120"/>
      <c r="S342" s="120"/>
      <c r="T342" s="221"/>
      <c r="U342" s="89"/>
      <c r="V342" s="61"/>
      <c r="W342" s="92" t="s">
        <v>129</v>
      </c>
      <c r="X342" s="93" t="s">
        <v>29</v>
      </c>
      <c r="Y342" s="93" t="s">
        <v>93</v>
      </c>
      <c r="Z342" s="134">
        <f>VLOOKUP(W342,Sheet2!$B:$D,3,FALSE)</f>
        <v>56</v>
      </c>
      <c r="AA342" s="93">
        <f>100/(1*2)</f>
        <v>50</v>
      </c>
      <c r="AB342" s="93">
        <f t="shared" ref="AB342" si="308">AD342/AC341</f>
        <v>1.1200000000000001</v>
      </c>
      <c r="AC342" s="93">
        <f>AC341/AA342</f>
        <v>20.64110700000003</v>
      </c>
      <c r="AD342" s="94">
        <f t="shared" ref="AD342:AD343" si="309">AC342*Z342</f>
        <v>1155.9019920000017</v>
      </c>
      <c r="AE342" s="190"/>
      <c r="AF342" s="191"/>
      <c r="AG342" s="191"/>
      <c r="AH342" s="191"/>
      <c r="AI342" s="186"/>
      <c r="AK342" s="171"/>
    </row>
    <row r="343" spans="1:41" s="102" customFormat="1" ht="19.899999999999999" customHeight="1" x14ac:dyDescent="0.25">
      <c r="A343" s="45"/>
      <c r="B343" s="59"/>
      <c r="C343" s="137"/>
      <c r="D343" s="59"/>
      <c r="E343" s="116"/>
      <c r="F343" s="120"/>
      <c r="G343" s="120"/>
      <c r="H343" s="120"/>
      <c r="I343" s="60"/>
      <c r="J343" s="116"/>
      <c r="K343" s="213"/>
      <c r="L343" s="120"/>
      <c r="M343" s="120"/>
      <c r="N343" s="167"/>
      <c r="O343" s="120"/>
      <c r="P343" s="120"/>
      <c r="Q343" s="120"/>
      <c r="R343" s="120"/>
      <c r="S343" s="120"/>
      <c r="T343" s="221"/>
      <c r="U343" s="89"/>
      <c r="V343" s="61"/>
      <c r="W343" s="92" t="s">
        <v>65</v>
      </c>
      <c r="X343" s="93" t="s">
        <v>30</v>
      </c>
      <c r="Y343" s="93" t="s">
        <v>1011</v>
      </c>
      <c r="Z343" s="134">
        <f>VLOOKUP(W343,Sheet2!$B:$D,3,FALSE)</f>
        <v>1.76</v>
      </c>
      <c r="AA343" s="93">
        <f>AA342/14</f>
        <v>3.5714285714285716</v>
      </c>
      <c r="AB343" s="93">
        <f>AD343/AC341</f>
        <v>0.49280000000000002</v>
      </c>
      <c r="AC343" s="93">
        <f>AC341/AA343</f>
        <v>288.97549800000041</v>
      </c>
      <c r="AD343" s="94">
        <f t="shared" si="309"/>
        <v>508.59687648000073</v>
      </c>
      <c r="AE343" s="190"/>
      <c r="AF343" s="191"/>
      <c r="AG343" s="191"/>
      <c r="AH343" s="191"/>
      <c r="AI343" s="186"/>
      <c r="AK343" s="171"/>
    </row>
    <row r="344" spans="1:41" s="102" customFormat="1" ht="19.899999999999999" customHeight="1" x14ac:dyDescent="0.25">
      <c r="A344" s="45"/>
      <c r="B344" s="59"/>
      <c r="C344" s="137"/>
      <c r="D344" s="59"/>
      <c r="E344" s="116"/>
      <c r="F344" s="120"/>
      <c r="G344" s="120"/>
      <c r="H344" s="120"/>
      <c r="I344" s="60"/>
      <c r="J344" s="116"/>
      <c r="K344" s="213"/>
      <c r="L344" s="120"/>
      <c r="M344" s="120"/>
      <c r="N344" s="167"/>
      <c r="O344" s="120"/>
      <c r="P344" s="120"/>
      <c r="Q344" s="120"/>
      <c r="R344" s="120"/>
      <c r="S344" s="120"/>
      <c r="T344" s="221"/>
      <c r="U344" s="89"/>
      <c r="V344" s="61"/>
      <c r="W344" s="92" t="s">
        <v>161</v>
      </c>
      <c r="X344" s="93" t="s">
        <v>29</v>
      </c>
      <c r="Y344" s="93" t="s">
        <v>93</v>
      </c>
      <c r="Z344" s="134">
        <f>VLOOKUP(W344,Sheet2!$B:$D,3,FALSE)</f>
        <v>48</v>
      </c>
      <c r="AA344" s="93">
        <f>(16*0.85*1.5)/(1*2)</f>
        <v>10.199999999999999</v>
      </c>
      <c r="AB344" s="93">
        <f>AD344/AC341</f>
        <v>4.7058823529411766</v>
      </c>
      <c r="AC344" s="93">
        <f>AC341/AA344</f>
        <v>101.18189705882368</v>
      </c>
      <c r="AD344" s="94">
        <f>AC344*Z344</f>
        <v>4856.7310588235368</v>
      </c>
      <c r="AE344" s="190"/>
      <c r="AF344" s="191"/>
      <c r="AG344" s="191"/>
      <c r="AH344" s="191"/>
      <c r="AI344" s="186"/>
      <c r="AK344" s="171"/>
    </row>
    <row r="345" spans="1:41" s="102" customFormat="1" ht="19.899999999999999" customHeight="1" x14ac:dyDescent="0.25">
      <c r="A345" s="45"/>
      <c r="B345" s="59"/>
      <c r="C345" s="137"/>
      <c r="D345" s="59"/>
      <c r="E345" s="116"/>
      <c r="F345" s="120"/>
      <c r="G345" s="120"/>
      <c r="H345" s="120"/>
      <c r="I345" s="60"/>
      <c r="J345" s="116"/>
      <c r="K345" s="213"/>
      <c r="L345" s="120"/>
      <c r="M345" s="120"/>
      <c r="N345" s="167"/>
      <c r="O345" s="120"/>
      <c r="P345" s="120"/>
      <c r="Q345" s="120"/>
      <c r="R345" s="120"/>
      <c r="S345" s="120"/>
      <c r="T345" s="221"/>
      <c r="U345" s="89"/>
      <c r="V345" s="61"/>
      <c r="W345" s="92" t="s">
        <v>65</v>
      </c>
      <c r="X345" s="93" t="s">
        <v>30</v>
      </c>
      <c r="Y345" s="93" t="s">
        <v>1011</v>
      </c>
      <c r="Z345" s="134">
        <f>VLOOKUP(W345,Sheet2!$B:$D,3,FALSE)</f>
        <v>1.76</v>
      </c>
      <c r="AA345" s="93">
        <f>AA344/10</f>
        <v>1.02</v>
      </c>
      <c r="AB345" s="93">
        <f>AD345/AC341</f>
        <v>1.7254901960784312</v>
      </c>
      <c r="AC345" s="93">
        <f>AC341/AA345</f>
        <v>1011.8189705882367</v>
      </c>
      <c r="AD345" s="94">
        <f>AC345*Z345</f>
        <v>1780.8013882352966</v>
      </c>
      <c r="AE345" s="190"/>
      <c r="AF345" s="191"/>
      <c r="AG345" s="191"/>
      <c r="AH345" s="191"/>
      <c r="AI345" s="186"/>
      <c r="AK345" s="171"/>
    </row>
    <row r="346" spans="1:41" s="102" customFormat="1" ht="19.899999999999999" customHeight="1" x14ac:dyDescent="0.25">
      <c r="A346" s="45"/>
      <c r="B346" s="59"/>
      <c r="C346" s="137"/>
      <c r="D346" s="59"/>
      <c r="E346" s="116"/>
      <c r="F346" s="120"/>
      <c r="G346" s="120"/>
      <c r="H346" s="120"/>
      <c r="I346" s="60"/>
      <c r="J346" s="116"/>
      <c r="K346" s="213"/>
      <c r="L346" s="120"/>
      <c r="M346" s="120"/>
      <c r="N346" s="167"/>
      <c r="O346" s="120"/>
      <c r="P346" s="120"/>
      <c r="Q346" s="120"/>
      <c r="R346" s="120"/>
      <c r="S346" s="120"/>
      <c r="T346" s="221"/>
      <c r="U346" s="89"/>
      <c r="V346" s="61"/>
      <c r="W346" s="92" t="s">
        <v>1030</v>
      </c>
      <c r="X346" s="93" t="s">
        <v>29</v>
      </c>
      <c r="Y346" s="93" t="s">
        <v>93</v>
      </c>
      <c r="Z346" s="134">
        <f>VLOOKUP(W346,Sheet2!$B:$D,3,FALSE)</f>
        <v>23</v>
      </c>
      <c r="AA346" s="93">
        <v>50</v>
      </c>
      <c r="AB346" s="93">
        <f>AD346/AC341</f>
        <v>0.46</v>
      </c>
      <c r="AC346" s="93">
        <f>AC341/AA346</f>
        <v>20.64110700000003</v>
      </c>
      <c r="AD346" s="94">
        <f t="shared" ref="AD346:AD349" si="310">AC346*Z346</f>
        <v>474.74546100000072</v>
      </c>
      <c r="AE346" s="190"/>
      <c r="AF346" s="191"/>
      <c r="AG346" s="191"/>
      <c r="AH346" s="191"/>
      <c r="AI346" s="186"/>
      <c r="AK346" s="171"/>
    </row>
    <row r="347" spans="1:41" s="102" customFormat="1" ht="19.899999999999999" customHeight="1" x14ac:dyDescent="0.25">
      <c r="A347" s="45"/>
      <c r="B347" s="59"/>
      <c r="C347" s="137"/>
      <c r="D347" s="59"/>
      <c r="E347" s="116"/>
      <c r="F347" s="120"/>
      <c r="G347" s="120"/>
      <c r="H347" s="120"/>
      <c r="I347" s="60"/>
      <c r="J347" s="116"/>
      <c r="K347" s="213"/>
      <c r="L347" s="120"/>
      <c r="M347" s="120"/>
      <c r="N347" s="167"/>
      <c r="O347" s="120"/>
      <c r="P347" s="120"/>
      <c r="Q347" s="120"/>
      <c r="R347" s="120"/>
      <c r="S347" s="120"/>
      <c r="T347" s="221"/>
      <c r="U347" s="89"/>
      <c r="V347" s="61"/>
      <c r="W347" s="92" t="s">
        <v>65</v>
      </c>
      <c r="X347" s="93" t="s">
        <v>30</v>
      </c>
      <c r="Y347" s="93" t="s">
        <v>1011</v>
      </c>
      <c r="Z347" s="134">
        <f>VLOOKUP(W347,Sheet2!$B:$D,3,FALSE)</f>
        <v>1.76</v>
      </c>
      <c r="AA347" s="93">
        <f>AA346/3</f>
        <v>16.666666666666668</v>
      </c>
      <c r="AB347" s="93">
        <f>AD347/AC341</f>
        <v>0.10559999999999999</v>
      </c>
      <c r="AC347" s="93">
        <f>AC341/AA347</f>
        <v>61.92332100000008</v>
      </c>
      <c r="AD347" s="94">
        <f t="shared" si="310"/>
        <v>108.98504496000014</v>
      </c>
      <c r="AE347" s="190"/>
      <c r="AF347" s="191"/>
      <c r="AG347" s="191"/>
      <c r="AH347" s="191"/>
      <c r="AI347" s="186"/>
      <c r="AK347" s="171"/>
    </row>
    <row r="348" spans="1:41" s="102" customFormat="1" ht="19.899999999999999" customHeight="1" x14ac:dyDescent="0.25">
      <c r="A348" s="45"/>
      <c r="B348" s="59"/>
      <c r="C348" s="137"/>
      <c r="D348" s="59"/>
      <c r="E348" s="116"/>
      <c r="F348" s="120"/>
      <c r="G348" s="120"/>
      <c r="H348" s="120"/>
      <c r="I348" s="60"/>
      <c r="J348" s="116"/>
      <c r="K348" s="213"/>
      <c r="L348" s="120"/>
      <c r="M348" s="120"/>
      <c r="N348" s="167"/>
      <c r="O348" s="120"/>
      <c r="P348" s="120"/>
      <c r="Q348" s="120"/>
      <c r="R348" s="120"/>
      <c r="S348" s="120"/>
      <c r="T348" s="221"/>
      <c r="U348" s="89"/>
      <c r="V348" s="61"/>
      <c r="W348" s="92" t="s">
        <v>148</v>
      </c>
      <c r="X348" s="93" t="s">
        <v>29</v>
      </c>
      <c r="Y348" s="93" t="s">
        <v>93</v>
      </c>
      <c r="Z348" s="134">
        <f>VLOOKUP(W348,Sheet2!$B:$D,3,FALSE)</f>
        <v>48</v>
      </c>
      <c r="AA348" s="93">
        <f>AA342</f>
        <v>50</v>
      </c>
      <c r="AB348" s="93">
        <f>AD348/AC341</f>
        <v>0.96</v>
      </c>
      <c r="AC348" s="93">
        <f>AC341/AA348</f>
        <v>20.64110700000003</v>
      </c>
      <c r="AD348" s="94">
        <f t="shared" si="310"/>
        <v>990.77313600000139</v>
      </c>
      <c r="AE348" s="190"/>
      <c r="AF348" s="191"/>
      <c r="AG348" s="191"/>
      <c r="AH348" s="191"/>
      <c r="AI348" s="186"/>
      <c r="AK348" s="171"/>
    </row>
    <row r="349" spans="1:41" s="102" customFormat="1" ht="19.899999999999999" customHeight="1" x14ac:dyDescent="0.25">
      <c r="A349" s="45"/>
      <c r="B349" s="59"/>
      <c r="C349" s="137"/>
      <c r="D349" s="59"/>
      <c r="E349" s="116"/>
      <c r="F349" s="120"/>
      <c r="G349" s="120"/>
      <c r="H349" s="120"/>
      <c r="I349" s="60"/>
      <c r="J349" s="116"/>
      <c r="K349" s="213"/>
      <c r="L349" s="120"/>
      <c r="M349" s="120"/>
      <c r="N349" s="167"/>
      <c r="O349" s="120"/>
      <c r="P349" s="120"/>
      <c r="Q349" s="120"/>
      <c r="R349" s="120"/>
      <c r="S349" s="120"/>
      <c r="T349" s="221"/>
      <c r="U349" s="89"/>
      <c r="V349" s="61"/>
      <c r="W349" s="92" t="s">
        <v>65</v>
      </c>
      <c r="X349" s="93" t="s">
        <v>30</v>
      </c>
      <c r="Y349" s="93" t="s">
        <v>1011</v>
      </c>
      <c r="Z349" s="134">
        <f>VLOOKUP(W349,Sheet2!$B:$D,3,FALSE)</f>
        <v>1.76</v>
      </c>
      <c r="AA349" s="93">
        <f>AA348/10</f>
        <v>5</v>
      </c>
      <c r="AB349" s="93">
        <f>AD349/AC341</f>
        <v>0.35199999999999998</v>
      </c>
      <c r="AC349" s="93">
        <f>AC341/AA349</f>
        <v>206.41107000000028</v>
      </c>
      <c r="AD349" s="94">
        <f t="shared" si="310"/>
        <v>363.28348320000049</v>
      </c>
      <c r="AE349" s="190"/>
      <c r="AF349" s="191"/>
      <c r="AG349" s="191"/>
      <c r="AH349" s="191"/>
      <c r="AI349" s="186"/>
      <c r="AK349" s="171"/>
    </row>
    <row r="350" spans="1:41" s="103" customFormat="1" ht="19.899999999999999" customHeight="1" x14ac:dyDescent="0.25">
      <c r="A350" s="51"/>
      <c r="B350" s="52"/>
      <c r="C350" s="165"/>
      <c r="D350" s="52"/>
      <c r="E350" s="115"/>
      <c r="F350" s="58"/>
      <c r="G350" s="58"/>
      <c r="H350" s="58"/>
      <c r="I350" s="55"/>
      <c r="J350" s="113">
        <f>J340</f>
        <v>1032.0553500000015</v>
      </c>
      <c r="K350" s="212">
        <f>K340</f>
        <v>1032.0553500000015</v>
      </c>
      <c r="L350" s="58"/>
      <c r="M350" s="58">
        <f>K350-L350</f>
        <v>1032.0553500000015</v>
      </c>
      <c r="N350" s="166"/>
      <c r="O350" s="58"/>
      <c r="P350" s="58"/>
      <c r="Q350" s="58"/>
      <c r="R350" s="58"/>
      <c r="S350" s="58"/>
      <c r="T350" s="220"/>
      <c r="U350" s="88"/>
      <c r="V350" s="56"/>
      <c r="W350" s="57" t="s">
        <v>1036</v>
      </c>
      <c r="X350" s="53"/>
      <c r="Y350" s="91" t="s">
        <v>68</v>
      </c>
      <c r="Z350" s="136">
        <f>AD350/AC350</f>
        <v>274.58333333333331</v>
      </c>
      <c r="AA350" s="58"/>
      <c r="AB350" s="53">
        <f>AD350/AC350</f>
        <v>274.58333333333331</v>
      </c>
      <c r="AC350" s="53">
        <f>M350+$AE$10</f>
        <v>1032.0553500000015</v>
      </c>
      <c r="AD350" s="54">
        <f>SUM(AD351:AD355)</f>
        <v>283385.19818750035</v>
      </c>
      <c r="AE350" s="184">
        <f>SUMIFS($AD$37:$AD$12971,$V$37:$V$12971,$V350,$X$37:$X$12971,AE$13)</f>
        <v>0</v>
      </c>
      <c r="AF350" s="185">
        <f>SUMIFS($AD$37:$AD$12971,$V$37:$V$12971,$V350,$X$37:$X$12971,AF$13)</f>
        <v>0</v>
      </c>
      <c r="AG350" s="185">
        <f>SUMIFS($AD$37:$AD$12971,$V$37:$V$12971,$V350,$X$37:$X$12971,AG$13)</f>
        <v>0</v>
      </c>
      <c r="AH350" s="187">
        <f>SUMIFS($AD$37:$AD$12971,$V$37:$V$12971,$V350,$X$37:$X$12971,AH$13)</f>
        <v>0</v>
      </c>
      <c r="AI350" s="161">
        <f t="shared" ref="AI350" si="311">SUM(AE350:AH350)</f>
        <v>0</v>
      </c>
      <c r="AK350" s="172"/>
    </row>
    <row r="351" spans="1:41" s="102" customFormat="1" ht="19.899999999999999" customHeight="1" x14ac:dyDescent="0.25">
      <c r="A351" s="45"/>
      <c r="B351" s="59"/>
      <c r="C351" s="137"/>
      <c r="D351" s="59"/>
      <c r="E351" s="116"/>
      <c r="F351" s="120"/>
      <c r="G351" s="120"/>
      <c r="H351" s="120"/>
      <c r="I351" s="60"/>
      <c r="J351" s="116"/>
      <c r="K351" s="213"/>
      <c r="L351" s="120"/>
      <c r="M351" s="120"/>
      <c r="N351" s="167"/>
      <c r="O351" s="120"/>
      <c r="P351" s="120"/>
      <c r="Q351" s="120"/>
      <c r="R351" s="120"/>
      <c r="S351" s="120"/>
      <c r="T351" s="221"/>
      <c r="U351" s="89"/>
      <c r="V351" s="61"/>
      <c r="W351" s="92" t="s">
        <v>1254</v>
      </c>
      <c r="X351" s="93" t="s">
        <v>30</v>
      </c>
      <c r="Y351" s="93" t="s">
        <v>68</v>
      </c>
      <c r="Z351" s="134">
        <f>VLOOKUP(W351,Sheet2!$B:$D,3,FALSE)</f>
        <v>190</v>
      </c>
      <c r="AA351" s="93">
        <v>1</v>
      </c>
      <c r="AB351" s="93">
        <f>AD351/AC350</f>
        <v>190</v>
      </c>
      <c r="AC351" s="93">
        <f>AC350/AA351</f>
        <v>1032.0553500000015</v>
      </c>
      <c r="AD351" s="94">
        <f t="shared" ref="AD351" si="312">AC351*Z351</f>
        <v>196090.51650000029</v>
      </c>
      <c r="AE351" s="190"/>
      <c r="AF351" s="191"/>
      <c r="AG351" s="191"/>
      <c r="AH351" s="191"/>
      <c r="AI351" s="186"/>
      <c r="AK351" s="171"/>
    </row>
    <row r="352" spans="1:41" s="102" customFormat="1" ht="19.899999999999999" customHeight="1" x14ac:dyDescent="0.25">
      <c r="A352" s="45"/>
      <c r="B352" s="59"/>
      <c r="C352" s="137"/>
      <c r="D352" s="59"/>
      <c r="E352" s="116"/>
      <c r="F352" s="120"/>
      <c r="G352" s="120"/>
      <c r="H352" s="120"/>
      <c r="I352" s="60"/>
      <c r="J352" s="116"/>
      <c r="K352" s="213"/>
      <c r="L352" s="120"/>
      <c r="M352" s="120"/>
      <c r="N352" s="167"/>
      <c r="O352" s="120"/>
      <c r="P352" s="120"/>
      <c r="Q352" s="120"/>
      <c r="R352" s="120"/>
      <c r="S352" s="120"/>
      <c r="T352" s="221"/>
      <c r="U352" s="89"/>
      <c r="V352" s="61"/>
      <c r="W352" s="92" t="s">
        <v>1257</v>
      </c>
      <c r="X352" s="93" t="s">
        <v>32</v>
      </c>
      <c r="Y352" s="93" t="s">
        <v>68</v>
      </c>
      <c r="Z352" s="134">
        <f>VLOOKUP(W352,Sheet2!$B:$D,3,FALSE)</f>
        <v>44</v>
      </c>
      <c r="AA352" s="93">
        <v>1</v>
      </c>
      <c r="AB352" s="93">
        <f>AD352/AC350</f>
        <v>44</v>
      </c>
      <c r="AC352" s="93">
        <f>AC350/AA352</f>
        <v>1032.0553500000015</v>
      </c>
      <c r="AD352" s="94">
        <f>AC352*Z352</f>
        <v>45410.43540000006</v>
      </c>
      <c r="AE352" s="190"/>
      <c r="AF352" s="191"/>
      <c r="AG352" s="191"/>
      <c r="AH352" s="191"/>
      <c r="AI352" s="186"/>
      <c r="AK352" s="171"/>
    </row>
    <row r="353" spans="1:41" s="102" customFormat="1" ht="19.899999999999999" customHeight="1" x14ac:dyDescent="0.25">
      <c r="A353" s="45"/>
      <c r="B353" s="59"/>
      <c r="C353" s="137"/>
      <c r="D353" s="59"/>
      <c r="E353" s="116"/>
      <c r="F353" s="120"/>
      <c r="G353" s="120"/>
      <c r="H353" s="120"/>
      <c r="I353" s="60"/>
      <c r="J353" s="116"/>
      <c r="K353" s="213"/>
      <c r="L353" s="120"/>
      <c r="M353" s="120"/>
      <c r="N353" s="167"/>
      <c r="O353" s="120"/>
      <c r="P353" s="120"/>
      <c r="Q353" s="120"/>
      <c r="R353" s="120"/>
      <c r="S353" s="120"/>
      <c r="T353" s="221"/>
      <c r="U353" s="89"/>
      <c r="V353" s="61"/>
      <c r="W353" s="92" t="s">
        <v>1032</v>
      </c>
      <c r="X353" s="93" t="s">
        <v>30</v>
      </c>
      <c r="Y353" s="93" t="s">
        <v>66</v>
      </c>
      <c r="Z353" s="134">
        <f>VLOOKUP(W353,Sheet2!$B:$D,3,FALSE)</f>
        <v>250</v>
      </c>
      <c r="AA353" s="93">
        <f>1/(1*0.1)</f>
        <v>10</v>
      </c>
      <c r="AB353" s="93">
        <f>AD353/AC350</f>
        <v>24.999999999999996</v>
      </c>
      <c r="AC353" s="93">
        <f>AC350/AA353</f>
        <v>103.20553500000014</v>
      </c>
      <c r="AD353" s="94">
        <f>AC353*Z353</f>
        <v>25801.383750000034</v>
      </c>
      <c r="AE353" s="190"/>
      <c r="AF353" s="191"/>
      <c r="AG353" s="191"/>
      <c r="AH353" s="191"/>
      <c r="AI353" s="186"/>
      <c r="AK353" s="171"/>
    </row>
    <row r="354" spans="1:41" s="102" customFormat="1" ht="19.899999999999999" customHeight="1" x14ac:dyDescent="0.25">
      <c r="A354" s="45"/>
      <c r="B354" s="59"/>
      <c r="C354" s="137"/>
      <c r="D354" s="59"/>
      <c r="E354" s="116"/>
      <c r="F354" s="120"/>
      <c r="G354" s="120"/>
      <c r="H354" s="120"/>
      <c r="I354" s="60"/>
      <c r="J354" s="116"/>
      <c r="K354" s="213"/>
      <c r="L354" s="120"/>
      <c r="M354" s="120"/>
      <c r="N354" s="167"/>
      <c r="O354" s="120"/>
      <c r="P354" s="120"/>
      <c r="Q354" s="120"/>
      <c r="R354" s="120"/>
      <c r="S354" s="120"/>
      <c r="T354" s="221"/>
      <c r="U354" s="89"/>
      <c r="V354" s="61"/>
      <c r="W354" s="92" t="s">
        <v>1035</v>
      </c>
      <c r="X354" s="93" t="s">
        <v>32</v>
      </c>
      <c r="Y354" s="93" t="s">
        <v>66</v>
      </c>
      <c r="Z354" s="134">
        <f>VLOOKUP(W354,Sheet2!$B:$D,3,FALSE)</f>
        <v>150</v>
      </c>
      <c r="AA354" s="93">
        <f>AA353</f>
        <v>10</v>
      </c>
      <c r="AB354" s="93">
        <f>AD354/AC350</f>
        <v>15</v>
      </c>
      <c r="AC354" s="93">
        <f>AC350/AA354</f>
        <v>103.20553500000014</v>
      </c>
      <c r="AD354" s="94">
        <f t="shared" ref="AD354:AD355" si="313">AC354*Z354</f>
        <v>15480.830250000021</v>
      </c>
      <c r="AE354" s="190"/>
      <c r="AF354" s="191"/>
      <c r="AG354" s="191"/>
      <c r="AH354" s="191"/>
      <c r="AI354" s="186"/>
      <c r="AK354" s="171"/>
    </row>
    <row r="355" spans="1:41" s="102" customFormat="1" ht="19.899999999999999" customHeight="1" x14ac:dyDescent="0.25">
      <c r="A355" s="45"/>
      <c r="B355" s="59"/>
      <c r="C355" s="137"/>
      <c r="D355" s="59"/>
      <c r="E355" s="116"/>
      <c r="F355" s="120"/>
      <c r="G355" s="120"/>
      <c r="H355" s="120"/>
      <c r="I355" s="60"/>
      <c r="J355" s="116"/>
      <c r="K355" s="213"/>
      <c r="L355" s="120"/>
      <c r="M355" s="120"/>
      <c r="N355" s="167"/>
      <c r="O355" s="120"/>
      <c r="P355" s="120"/>
      <c r="Q355" s="120"/>
      <c r="R355" s="120"/>
      <c r="S355" s="120"/>
      <c r="T355" s="221"/>
      <c r="U355" s="89"/>
      <c r="V355" s="61"/>
      <c r="W355" s="92" t="s">
        <v>1037</v>
      </c>
      <c r="X355" s="93" t="s">
        <v>30</v>
      </c>
      <c r="Y355" s="93" t="s">
        <v>1038</v>
      </c>
      <c r="Z355" s="134">
        <f>VLOOKUP(W355,Sheet2!$B:$D,3,FALSE)</f>
        <v>175</v>
      </c>
      <c r="AA355" s="93">
        <v>300</v>
      </c>
      <c r="AB355" s="93">
        <f>AD355/AC350</f>
        <v>0.58333333333333337</v>
      </c>
      <c r="AC355" s="93">
        <f>AC350/AA355</f>
        <v>3.4401845000000049</v>
      </c>
      <c r="AD355" s="94">
        <f t="shared" si="313"/>
        <v>602.03228750000085</v>
      </c>
      <c r="AE355" s="190"/>
      <c r="AF355" s="191"/>
      <c r="AG355" s="191"/>
      <c r="AH355" s="191"/>
      <c r="AI355" s="186"/>
      <c r="AK355" s="171"/>
    </row>
    <row r="356" spans="1:41" s="103" customFormat="1" ht="19.899999999999999" customHeight="1" x14ac:dyDescent="0.25">
      <c r="A356" s="51"/>
      <c r="B356" s="52"/>
      <c r="C356" s="165"/>
      <c r="D356" s="52"/>
      <c r="E356" s="115"/>
      <c r="F356" s="58"/>
      <c r="G356" s="58"/>
      <c r="H356" s="58"/>
      <c r="I356" s="55"/>
      <c r="J356" s="113">
        <f>J340</f>
        <v>1032.0553500000015</v>
      </c>
      <c r="K356" s="212">
        <f>K340</f>
        <v>1032.0553500000015</v>
      </c>
      <c r="L356" s="58"/>
      <c r="M356" s="58">
        <f>K356-L356</f>
        <v>1032.0553500000015</v>
      </c>
      <c r="N356" s="166"/>
      <c r="O356" s="58"/>
      <c r="P356" s="58"/>
      <c r="Q356" s="58"/>
      <c r="R356" s="58"/>
      <c r="S356" s="58"/>
      <c r="T356" s="220"/>
      <c r="U356" s="88"/>
      <c r="V356" s="56"/>
      <c r="W356" s="57" t="s">
        <v>1040</v>
      </c>
      <c r="X356" s="53"/>
      <c r="Y356" s="91" t="s">
        <v>68</v>
      </c>
      <c r="Z356" s="136">
        <f>AD356/AC356</f>
        <v>5</v>
      </c>
      <c r="AA356" s="58"/>
      <c r="AB356" s="53">
        <f>AD356/AC356</f>
        <v>5</v>
      </c>
      <c r="AC356" s="53">
        <f>M356+$AE$10</f>
        <v>1032.0553500000015</v>
      </c>
      <c r="AD356" s="54">
        <f>SUM(AD357)</f>
        <v>5160.2767500000073</v>
      </c>
      <c r="AE356" s="184">
        <f>SUMIFS($AD$37:$AD$12971,$V$37:$V$12971,$V356,$X$37:$X$12971,AE$13)</f>
        <v>0</v>
      </c>
      <c r="AF356" s="185">
        <f>SUMIFS($AD$37:$AD$12971,$V$37:$V$12971,$V356,$X$37:$X$12971,AF$13)</f>
        <v>0</v>
      </c>
      <c r="AG356" s="185">
        <f>SUMIFS($AD$37:$AD$12971,$V$37:$V$12971,$V356,$X$37:$X$12971,AG$13)</f>
        <v>0</v>
      </c>
      <c r="AH356" s="187">
        <f>SUMIFS($AD$37:$AD$12971,$V$37:$V$12971,$V356,$X$37:$X$12971,AH$13)</f>
        <v>0</v>
      </c>
      <c r="AI356" s="161">
        <f t="shared" ref="AI356" si="314">SUM(AE356:AH356)</f>
        <v>0</v>
      </c>
      <c r="AK356" s="172"/>
    </row>
    <row r="357" spans="1:41" s="102" customFormat="1" ht="19.899999999999999" customHeight="1" x14ac:dyDescent="0.25">
      <c r="A357" s="45"/>
      <c r="B357" s="59"/>
      <c r="C357" s="137"/>
      <c r="D357" s="59"/>
      <c r="E357" s="116"/>
      <c r="F357" s="120"/>
      <c r="G357" s="120"/>
      <c r="H357" s="120"/>
      <c r="I357" s="60"/>
      <c r="J357" s="116"/>
      <c r="K357" s="213"/>
      <c r="L357" s="120"/>
      <c r="M357" s="120"/>
      <c r="N357" s="167"/>
      <c r="O357" s="120"/>
      <c r="P357" s="120"/>
      <c r="Q357" s="120"/>
      <c r="R357" s="120"/>
      <c r="S357" s="120"/>
      <c r="T357" s="221"/>
      <c r="U357" s="89"/>
      <c r="V357" s="61"/>
      <c r="W357" s="92" t="s">
        <v>1039</v>
      </c>
      <c r="X357" s="93" t="s">
        <v>32</v>
      </c>
      <c r="Y357" s="93" t="s">
        <v>68</v>
      </c>
      <c r="Z357" s="134">
        <f>VLOOKUP(W357,Sheet2!$B:$D,3,FALSE)</f>
        <v>5</v>
      </c>
      <c r="AA357" s="93">
        <v>1</v>
      </c>
      <c r="AB357" s="93">
        <f>AD357/AC356</f>
        <v>5</v>
      </c>
      <c r="AC357" s="93">
        <f>AC356/AA357</f>
        <v>1032.0553500000015</v>
      </c>
      <c r="AD357" s="94">
        <f t="shared" ref="AD357" si="315">AC357*Z357</f>
        <v>5160.2767500000073</v>
      </c>
      <c r="AE357" s="190"/>
      <c r="AF357" s="191"/>
      <c r="AG357" s="191"/>
      <c r="AH357" s="191"/>
      <c r="AI357" s="186"/>
      <c r="AK357" s="171"/>
    </row>
    <row r="358" spans="1:41" ht="20.100000000000001" customHeight="1" x14ac:dyDescent="0.25">
      <c r="A358" s="277" t="s">
        <v>216</v>
      </c>
      <c r="B358" s="278"/>
      <c r="C358" s="64" t="s">
        <v>229</v>
      </c>
      <c r="D358" s="46" t="s">
        <v>97</v>
      </c>
      <c r="E358" s="114">
        <v>154.83474999999976</v>
      </c>
      <c r="F358" s="44">
        <v>1052</v>
      </c>
      <c r="G358" s="44">
        <f t="shared" si="199"/>
        <v>162886.15699999974</v>
      </c>
      <c r="H358" s="44">
        <f t="shared" si="200"/>
        <v>326.84414901960787</v>
      </c>
      <c r="I358" s="43">
        <f t="shared" si="201"/>
        <v>50606.832102413653</v>
      </c>
      <c r="J358" s="112">
        <f t="shared" si="202"/>
        <v>154.83474999999976</v>
      </c>
      <c r="K358" s="211">
        <f t="shared" si="203"/>
        <v>154.83474999999976</v>
      </c>
      <c r="L358" s="44"/>
      <c r="M358" s="44">
        <f t="shared" si="223"/>
        <v>154.83474999999976</v>
      </c>
      <c r="N358" s="173">
        <f t="shared" si="204"/>
        <v>1</v>
      </c>
      <c r="O358" s="44">
        <f t="shared" si="205"/>
        <v>1052</v>
      </c>
      <c r="P358" s="44">
        <f t="shared" si="206"/>
        <v>162886.15699999974</v>
      </c>
      <c r="Q358" s="44">
        <f t="shared" si="207"/>
        <v>326.84414901960787</v>
      </c>
      <c r="R358" s="44">
        <f t="shared" si="224"/>
        <v>50606.832102413653</v>
      </c>
      <c r="S358" s="123"/>
      <c r="T358" s="219">
        <f t="shared" si="225"/>
        <v>50606.832102413653</v>
      </c>
      <c r="U358" s="87"/>
      <c r="V358" s="47"/>
      <c r="W358" s="48"/>
      <c r="X358" s="48"/>
      <c r="Y358" s="48"/>
      <c r="Z358" s="135"/>
      <c r="AA358" s="49"/>
      <c r="AB358" s="50">
        <f t="shared" si="208"/>
        <v>326.84414901960787</v>
      </c>
      <c r="AC358" s="42">
        <f t="shared" si="226"/>
        <v>154.83474999999976</v>
      </c>
      <c r="AD358" s="90">
        <f>AD359+AD369+AD375</f>
        <v>50606.832102413653</v>
      </c>
      <c r="AE358" s="188">
        <f t="shared" ref="AE358" si="316">AE359+AE369+AE375</f>
        <v>0</v>
      </c>
      <c r="AF358" s="189">
        <f t="shared" ref="AF358" si="317">AF359+AF369+AF375</f>
        <v>0</v>
      </c>
      <c r="AG358" s="189">
        <f t="shared" ref="AG358" si="318">AG359+AG369+AG375</f>
        <v>0</v>
      </c>
      <c r="AH358" s="189">
        <f t="shared" ref="AH358" si="319">AH359+AH369+AH375</f>
        <v>0</v>
      </c>
      <c r="AI358" s="161">
        <f t="shared" ref="AI358" si="320">SUM(AE358:AH358)</f>
        <v>0</v>
      </c>
      <c r="AK358" s="169">
        <v>5</v>
      </c>
      <c r="AO358" s="19" t="s">
        <v>63</v>
      </c>
    </row>
    <row r="359" spans="1:41" s="103" customFormat="1" ht="19.899999999999999" customHeight="1" x14ac:dyDescent="0.25">
      <c r="A359" s="51"/>
      <c r="B359" s="52"/>
      <c r="C359" s="165"/>
      <c r="D359" s="52"/>
      <c r="E359" s="115"/>
      <c r="F359" s="58"/>
      <c r="G359" s="58"/>
      <c r="H359" s="58"/>
      <c r="I359" s="55"/>
      <c r="J359" s="113">
        <f>J358</f>
        <v>154.83474999999976</v>
      </c>
      <c r="K359" s="212">
        <f>K358</f>
        <v>154.83474999999976</v>
      </c>
      <c r="L359" s="58"/>
      <c r="M359" s="58">
        <f>K359-L359</f>
        <v>154.83474999999976</v>
      </c>
      <c r="N359" s="166"/>
      <c r="O359" s="58"/>
      <c r="P359" s="58"/>
      <c r="Q359" s="58"/>
      <c r="R359" s="58"/>
      <c r="S359" s="58"/>
      <c r="T359" s="220"/>
      <c r="U359" s="88"/>
      <c r="V359" s="56"/>
      <c r="W359" s="57" t="s">
        <v>1050</v>
      </c>
      <c r="X359" s="53"/>
      <c r="Y359" s="91" t="s">
        <v>68</v>
      </c>
      <c r="Z359" s="136">
        <f>AD359/AC359</f>
        <v>47.260815686274512</v>
      </c>
      <c r="AA359" s="58"/>
      <c r="AB359" s="53">
        <f>AD359/AC359</f>
        <v>47.260815686274512</v>
      </c>
      <c r="AC359" s="53">
        <f>M359+$AE$10</f>
        <v>154.83474999999976</v>
      </c>
      <c r="AD359" s="54">
        <f>SUM(AD360:AD368)</f>
        <v>7317.6165815803806</v>
      </c>
      <c r="AE359" s="184">
        <f>SUMIFS($AD$37:$AD$12971,$V$37:$V$12971,$V359,$X$37:$X$12971,AE$13)</f>
        <v>0</v>
      </c>
      <c r="AF359" s="185">
        <f>SUMIFS($AD$37:$AD$12971,$V$37:$V$12971,$V359,$X$37:$X$12971,AF$13)</f>
        <v>0</v>
      </c>
      <c r="AG359" s="185">
        <f>SUMIFS($AD$37:$AD$12971,$V$37:$V$12971,$V359,$X$37:$X$12971,AG$13)</f>
        <v>0</v>
      </c>
      <c r="AH359" s="187">
        <f>SUMIFS($AD$37:$AD$12971,$V$37:$V$12971,$V359,$X$37:$X$12971,AH$13)</f>
        <v>0</v>
      </c>
      <c r="AI359" s="161">
        <f t="shared" ref="AI359" si="321">SUM(AE359:AH359)</f>
        <v>0</v>
      </c>
      <c r="AK359" s="172"/>
    </row>
    <row r="360" spans="1:41" s="102" customFormat="1" ht="19.899999999999999" customHeight="1" x14ac:dyDescent="0.25">
      <c r="A360" s="45"/>
      <c r="B360" s="59"/>
      <c r="C360" s="137"/>
      <c r="D360" s="59"/>
      <c r="E360" s="116"/>
      <c r="F360" s="120"/>
      <c r="G360" s="120"/>
      <c r="H360" s="120"/>
      <c r="I360" s="60"/>
      <c r="J360" s="116"/>
      <c r="K360" s="213"/>
      <c r="L360" s="120"/>
      <c r="M360" s="120"/>
      <c r="N360" s="167"/>
      <c r="O360" s="120"/>
      <c r="P360" s="120"/>
      <c r="Q360" s="120"/>
      <c r="R360" s="120"/>
      <c r="S360" s="120"/>
      <c r="T360" s="221"/>
      <c r="U360" s="89"/>
      <c r="V360" s="61"/>
      <c r="W360" s="92" t="s">
        <v>129</v>
      </c>
      <c r="X360" s="93" t="s">
        <v>29</v>
      </c>
      <c r="Y360" s="93" t="s">
        <v>93</v>
      </c>
      <c r="Z360" s="134">
        <f>VLOOKUP(W360,Sheet2!$B:$D,3,FALSE)</f>
        <v>56</v>
      </c>
      <c r="AA360" s="93">
        <f>100/(1*2.5)</f>
        <v>40</v>
      </c>
      <c r="AB360" s="93">
        <f t="shared" ref="AB360" si="322">AD360/AC359</f>
        <v>1.4000000000000001</v>
      </c>
      <c r="AC360" s="93">
        <f>AC359/AA360</f>
        <v>3.8708687499999939</v>
      </c>
      <c r="AD360" s="94">
        <f t="shared" ref="AD360:AD361" si="323">AC360*Z360</f>
        <v>216.76864999999967</v>
      </c>
      <c r="AE360" s="190"/>
      <c r="AF360" s="191"/>
      <c r="AG360" s="191"/>
      <c r="AH360" s="191"/>
      <c r="AI360" s="186"/>
      <c r="AK360" s="171"/>
    </row>
    <row r="361" spans="1:41" s="102" customFormat="1" ht="19.899999999999999" customHeight="1" x14ac:dyDescent="0.25">
      <c r="A361" s="45"/>
      <c r="B361" s="59"/>
      <c r="C361" s="137"/>
      <c r="D361" s="59"/>
      <c r="E361" s="116"/>
      <c r="F361" s="120"/>
      <c r="G361" s="120"/>
      <c r="H361" s="120"/>
      <c r="I361" s="60"/>
      <c r="J361" s="116"/>
      <c r="K361" s="213"/>
      <c r="L361" s="120"/>
      <c r="M361" s="120"/>
      <c r="N361" s="167"/>
      <c r="O361" s="120"/>
      <c r="P361" s="120"/>
      <c r="Q361" s="120"/>
      <c r="R361" s="120"/>
      <c r="S361" s="120"/>
      <c r="T361" s="221"/>
      <c r="U361" s="89"/>
      <c r="V361" s="61"/>
      <c r="W361" s="92" t="s">
        <v>65</v>
      </c>
      <c r="X361" s="93" t="s">
        <v>30</v>
      </c>
      <c r="Y361" s="93" t="s">
        <v>1011</v>
      </c>
      <c r="Z361" s="134">
        <f>VLOOKUP(W361,Sheet2!$B:$D,3,FALSE)</f>
        <v>1.76</v>
      </c>
      <c r="AA361" s="93">
        <f>AA360/14</f>
        <v>2.8571428571428572</v>
      </c>
      <c r="AB361" s="93">
        <f>AD361/AC359</f>
        <v>0.61599999999999999</v>
      </c>
      <c r="AC361" s="93">
        <f>AC359/AA361</f>
        <v>54.192162499999917</v>
      </c>
      <c r="AD361" s="94">
        <f t="shared" si="323"/>
        <v>95.378205999999849</v>
      </c>
      <c r="AE361" s="190"/>
      <c r="AF361" s="191"/>
      <c r="AG361" s="191"/>
      <c r="AH361" s="191"/>
      <c r="AI361" s="186"/>
      <c r="AK361" s="171"/>
    </row>
    <row r="362" spans="1:41" s="102" customFormat="1" ht="19.899999999999999" customHeight="1" x14ac:dyDescent="0.25">
      <c r="A362" s="45"/>
      <c r="B362" s="59"/>
      <c r="C362" s="137"/>
      <c r="D362" s="59"/>
      <c r="E362" s="116"/>
      <c r="F362" s="120"/>
      <c r="G362" s="120"/>
      <c r="H362" s="120"/>
      <c r="I362" s="60"/>
      <c r="J362" s="116"/>
      <c r="K362" s="213"/>
      <c r="L362" s="120"/>
      <c r="M362" s="120"/>
      <c r="N362" s="167"/>
      <c r="O362" s="120"/>
      <c r="P362" s="120"/>
      <c r="Q362" s="120"/>
      <c r="R362" s="120"/>
      <c r="S362" s="120"/>
      <c r="T362" s="221"/>
      <c r="U362" s="89"/>
      <c r="V362" s="61"/>
      <c r="W362" s="92" t="s">
        <v>161</v>
      </c>
      <c r="X362" s="93" t="s">
        <v>29</v>
      </c>
      <c r="Y362" s="93" t="s">
        <v>93</v>
      </c>
      <c r="Z362" s="134">
        <f>VLOOKUP(W362,Sheet2!$B:$D,3,FALSE)</f>
        <v>48</v>
      </c>
      <c r="AA362" s="93">
        <f>(16*0.85*1.5)/(1*2.5)</f>
        <v>8.16</v>
      </c>
      <c r="AB362" s="93">
        <f>AD362/AC359</f>
        <v>5.8823529411764701</v>
      </c>
      <c r="AC362" s="93">
        <f>AC359/AA362</f>
        <v>18.97484681372546</v>
      </c>
      <c r="AD362" s="94">
        <f>AC362*Z362</f>
        <v>910.79264705882201</v>
      </c>
      <c r="AE362" s="190"/>
      <c r="AF362" s="191"/>
      <c r="AG362" s="191"/>
      <c r="AH362" s="191"/>
      <c r="AI362" s="186"/>
      <c r="AK362" s="171"/>
    </row>
    <row r="363" spans="1:41" s="102" customFormat="1" ht="19.899999999999999" customHeight="1" x14ac:dyDescent="0.25">
      <c r="A363" s="45"/>
      <c r="B363" s="59"/>
      <c r="C363" s="137"/>
      <c r="D363" s="59"/>
      <c r="E363" s="116"/>
      <c r="F363" s="120"/>
      <c r="G363" s="120"/>
      <c r="H363" s="120"/>
      <c r="I363" s="60"/>
      <c r="J363" s="116"/>
      <c r="K363" s="213"/>
      <c r="L363" s="120"/>
      <c r="M363" s="120"/>
      <c r="N363" s="167"/>
      <c r="O363" s="120"/>
      <c r="P363" s="120"/>
      <c r="Q363" s="120"/>
      <c r="R363" s="120"/>
      <c r="S363" s="120"/>
      <c r="T363" s="221"/>
      <c r="U363" s="89"/>
      <c r="V363" s="61"/>
      <c r="W363" s="92" t="s">
        <v>65</v>
      </c>
      <c r="X363" s="93" t="s">
        <v>30</v>
      </c>
      <c r="Y363" s="93" t="s">
        <v>1011</v>
      </c>
      <c r="Z363" s="134">
        <f>VLOOKUP(W363,Sheet2!$B:$D,3,FALSE)</f>
        <v>1.76</v>
      </c>
      <c r="AA363" s="93">
        <f>AA362/10</f>
        <v>0.81600000000000006</v>
      </c>
      <c r="AB363" s="93">
        <f>AD363/AC359</f>
        <v>2.1568627450980391</v>
      </c>
      <c r="AC363" s="93">
        <f>AC359/AA363</f>
        <v>189.7484681372546</v>
      </c>
      <c r="AD363" s="94">
        <f>AC363*Z363</f>
        <v>333.9573039215681</v>
      </c>
      <c r="AE363" s="190"/>
      <c r="AF363" s="191"/>
      <c r="AG363" s="191"/>
      <c r="AH363" s="191"/>
      <c r="AI363" s="186"/>
      <c r="AK363" s="171"/>
    </row>
    <row r="364" spans="1:41" s="102" customFormat="1" ht="19.899999999999999" customHeight="1" x14ac:dyDescent="0.25">
      <c r="A364" s="45"/>
      <c r="B364" s="59"/>
      <c r="C364" s="137"/>
      <c r="D364" s="59"/>
      <c r="E364" s="116"/>
      <c r="F364" s="120"/>
      <c r="G364" s="120"/>
      <c r="H364" s="120"/>
      <c r="I364" s="60"/>
      <c r="J364" s="116"/>
      <c r="K364" s="213"/>
      <c r="L364" s="120"/>
      <c r="M364" s="120"/>
      <c r="N364" s="167"/>
      <c r="O364" s="120"/>
      <c r="P364" s="120"/>
      <c r="Q364" s="120"/>
      <c r="R364" s="120"/>
      <c r="S364" s="120"/>
      <c r="T364" s="221"/>
      <c r="U364" s="89"/>
      <c r="V364" s="61"/>
      <c r="W364" s="92" t="s">
        <v>1030</v>
      </c>
      <c r="X364" s="93" t="s">
        <v>29</v>
      </c>
      <c r="Y364" s="93" t="s">
        <v>93</v>
      </c>
      <c r="Z364" s="134">
        <f>VLOOKUP(W364,Sheet2!$B:$D,3,FALSE)</f>
        <v>23</v>
      </c>
      <c r="AA364" s="93">
        <v>50</v>
      </c>
      <c r="AB364" s="93">
        <f>AD364/AC359</f>
        <v>0.45999999999999996</v>
      </c>
      <c r="AC364" s="93">
        <f>AC359/AA364</f>
        <v>3.0966949999999951</v>
      </c>
      <c r="AD364" s="94">
        <f t="shared" ref="AD364:AD368" si="324">AC364*Z364</f>
        <v>71.223984999999885</v>
      </c>
      <c r="AE364" s="190"/>
      <c r="AF364" s="191"/>
      <c r="AG364" s="191"/>
      <c r="AH364" s="191"/>
      <c r="AI364" s="186"/>
      <c r="AK364" s="171"/>
    </row>
    <row r="365" spans="1:41" s="102" customFormat="1" ht="19.899999999999999" customHeight="1" x14ac:dyDescent="0.25">
      <c r="A365" s="45"/>
      <c r="B365" s="59"/>
      <c r="C365" s="137"/>
      <c r="D365" s="59"/>
      <c r="E365" s="116"/>
      <c r="F365" s="120"/>
      <c r="G365" s="120"/>
      <c r="H365" s="120"/>
      <c r="I365" s="60"/>
      <c r="J365" s="116"/>
      <c r="K365" s="213"/>
      <c r="L365" s="120"/>
      <c r="M365" s="120"/>
      <c r="N365" s="167"/>
      <c r="O365" s="120"/>
      <c r="P365" s="120"/>
      <c r="Q365" s="120"/>
      <c r="R365" s="120"/>
      <c r="S365" s="120"/>
      <c r="T365" s="221"/>
      <c r="U365" s="89"/>
      <c r="V365" s="61"/>
      <c r="W365" s="92" t="s">
        <v>65</v>
      </c>
      <c r="X365" s="93" t="s">
        <v>30</v>
      </c>
      <c r="Y365" s="93" t="s">
        <v>1011</v>
      </c>
      <c r="Z365" s="134">
        <f>VLOOKUP(W365,Sheet2!$B:$D,3,FALSE)</f>
        <v>1.76</v>
      </c>
      <c r="AA365" s="93">
        <f>AA364/3</f>
        <v>16.666666666666668</v>
      </c>
      <c r="AB365" s="93">
        <f>AD365/AC359</f>
        <v>0.10560000000000001</v>
      </c>
      <c r="AC365" s="93">
        <f>AC359/AA365</f>
        <v>9.2900849999999853</v>
      </c>
      <c r="AD365" s="94">
        <f t="shared" si="324"/>
        <v>16.350549599999976</v>
      </c>
      <c r="AE365" s="190"/>
      <c r="AF365" s="191"/>
      <c r="AG365" s="191"/>
      <c r="AH365" s="191"/>
      <c r="AI365" s="186"/>
      <c r="AK365" s="171"/>
    </row>
    <row r="366" spans="1:41" s="102" customFormat="1" ht="19.899999999999999" customHeight="1" x14ac:dyDescent="0.25">
      <c r="A366" s="45"/>
      <c r="B366" s="59"/>
      <c r="C366" s="137"/>
      <c r="D366" s="59"/>
      <c r="E366" s="116"/>
      <c r="F366" s="120"/>
      <c r="G366" s="120"/>
      <c r="H366" s="120"/>
      <c r="I366" s="60"/>
      <c r="J366" s="116"/>
      <c r="K366" s="213"/>
      <c r="L366" s="120"/>
      <c r="M366" s="120"/>
      <c r="N366" s="167"/>
      <c r="O366" s="120"/>
      <c r="P366" s="120"/>
      <c r="Q366" s="120"/>
      <c r="R366" s="120"/>
      <c r="S366" s="120"/>
      <c r="T366" s="221"/>
      <c r="U366" s="89"/>
      <c r="V366" s="61"/>
      <c r="W366" s="92" t="s">
        <v>148</v>
      </c>
      <c r="X366" s="93" t="s">
        <v>29</v>
      </c>
      <c r="Y366" s="93" t="s">
        <v>93</v>
      </c>
      <c r="Z366" s="134">
        <f>VLOOKUP(W366,Sheet2!$B:$D,3,FALSE)</f>
        <v>48</v>
      </c>
      <c r="AA366" s="93">
        <f>AA360</f>
        <v>40</v>
      </c>
      <c r="AB366" s="93">
        <f>AD366/AC359</f>
        <v>1.2</v>
      </c>
      <c r="AC366" s="93">
        <f>AC359/AA366</f>
        <v>3.8708687499999939</v>
      </c>
      <c r="AD366" s="94">
        <f t="shared" si="324"/>
        <v>185.8016999999997</v>
      </c>
      <c r="AE366" s="190"/>
      <c r="AF366" s="191"/>
      <c r="AG366" s="191"/>
      <c r="AH366" s="191"/>
      <c r="AI366" s="186"/>
      <c r="AK366" s="171"/>
    </row>
    <row r="367" spans="1:41" s="102" customFormat="1" ht="19.899999999999999" customHeight="1" x14ac:dyDescent="0.25">
      <c r="A367" s="45"/>
      <c r="B367" s="59"/>
      <c r="C367" s="137"/>
      <c r="D367" s="59"/>
      <c r="E367" s="116"/>
      <c r="F367" s="120"/>
      <c r="G367" s="120"/>
      <c r="H367" s="120"/>
      <c r="I367" s="60"/>
      <c r="J367" s="116"/>
      <c r="K367" s="213"/>
      <c r="L367" s="120"/>
      <c r="M367" s="120"/>
      <c r="N367" s="167"/>
      <c r="O367" s="120"/>
      <c r="P367" s="120"/>
      <c r="Q367" s="120"/>
      <c r="R367" s="120"/>
      <c r="S367" s="120"/>
      <c r="T367" s="221"/>
      <c r="U367" s="89"/>
      <c r="V367" s="61"/>
      <c r="W367" s="92" t="s">
        <v>65</v>
      </c>
      <c r="X367" s="93" t="s">
        <v>30</v>
      </c>
      <c r="Y367" s="93" t="s">
        <v>1011</v>
      </c>
      <c r="Z367" s="134">
        <f>VLOOKUP(W367,Sheet2!$B:$D,3,FALSE)</f>
        <v>1.76</v>
      </c>
      <c r="AA367" s="93">
        <f>AA366/10</f>
        <v>4</v>
      </c>
      <c r="AB367" s="93">
        <f>AD367/AC359</f>
        <v>0.43999999999999995</v>
      </c>
      <c r="AC367" s="93">
        <f>AC359/AA367</f>
        <v>38.70868749999994</v>
      </c>
      <c r="AD367" s="94">
        <f t="shared" si="324"/>
        <v>68.127289999999888</v>
      </c>
      <c r="AE367" s="190"/>
      <c r="AF367" s="191"/>
      <c r="AG367" s="191"/>
      <c r="AH367" s="191"/>
      <c r="AI367" s="186"/>
      <c r="AK367" s="171"/>
    </row>
    <row r="368" spans="1:41" s="102" customFormat="1" ht="19.899999999999999" customHeight="1" x14ac:dyDescent="0.25">
      <c r="A368" s="45"/>
      <c r="B368" s="59"/>
      <c r="C368" s="137"/>
      <c r="D368" s="59"/>
      <c r="E368" s="116"/>
      <c r="F368" s="120"/>
      <c r="G368" s="120"/>
      <c r="H368" s="120"/>
      <c r="I368" s="60"/>
      <c r="J368" s="116"/>
      <c r="K368" s="213"/>
      <c r="L368" s="120"/>
      <c r="M368" s="120"/>
      <c r="N368" s="167"/>
      <c r="O368" s="120"/>
      <c r="P368" s="120"/>
      <c r="Q368" s="120"/>
      <c r="R368" s="120"/>
      <c r="S368" s="120"/>
      <c r="T368" s="221"/>
      <c r="U368" s="89"/>
      <c r="V368" s="61"/>
      <c r="W368" s="92" t="s">
        <v>1048</v>
      </c>
      <c r="X368" s="93" t="s">
        <v>30</v>
      </c>
      <c r="Y368" s="93" t="s">
        <v>68</v>
      </c>
      <c r="Z368" s="134">
        <f>VLOOKUP(W368,Sheet2!$B:$D,3,FALSE)</f>
        <v>35</v>
      </c>
      <c r="AA368" s="93">
        <v>1</v>
      </c>
      <c r="AB368" s="93">
        <f>AD368/AC359</f>
        <v>35</v>
      </c>
      <c r="AC368" s="93">
        <f>AC359/AA368</f>
        <v>154.83474999999976</v>
      </c>
      <c r="AD368" s="94">
        <f t="shared" si="324"/>
        <v>5419.2162499999913</v>
      </c>
      <c r="AE368" s="190"/>
      <c r="AF368" s="191"/>
      <c r="AG368" s="191"/>
      <c r="AH368" s="191"/>
      <c r="AI368" s="186"/>
      <c r="AK368" s="171"/>
    </row>
    <row r="369" spans="1:41" s="103" customFormat="1" ht="19.899999999999999" customHeight="1" x14ac:dyDescent="0.25">
      <c r="A369" s="51"/>
      <c r="B369" s="52"/>
      <c r="C369" s="165"/>
      <c r="D369" s="52"/>
      <c r="E369" s="115"/>
      <c r="F369" s="58"/>
      <c r="G369" s="58"/>
      <c r="H369" s="58"/>
      <c r="I369" s="55"/>
      <c r="J369" s="113">
        <f>J358</f>
        <v>154.83474999999976</v>
      </c>
      <c r="K369" s="212">
        <f>K358</f>
        <v>154.83474999999976</v>
      </c>
      <c r="L369" s="58"/>
      <c r="M369" s="58">
        <f>K369-L369</f>
        <v>154.83474999999976</v>
      </c>
      <c r="N369" s="166"/>
      <c r="O369" s="58"/>
      <c r="P369" s="58"/>
      <c r="Q369" s="58"/>
      <c r="R369" s="58"/>
      <c r="S369" s="58"/>
      <c r="T369" s="220"/>
      <c r="U369" s="88"/>
      <c r="V369" s="56"/>
      <c r="W369" s="57" t="s">
        <v>1036</v>
      </c>
      <c r="X369" s="53"/>
      <c r="Y369" s="91" t="s">
        <v>68</v>
      </c>
      <c r="Z369" s="136">
        <f>AD369/AC369</f>
        <v>274.58333333333331</v>
      </c>
      <c r="AA369" s="58"/>
      <c r="AB369" s="53">
        <f>AD369/AC369</f>
        <v>274.58333333333331</v>
      </c>
      <c r="AC369" s="53">
        <f>M369+$AE$10</f>
        <v>154.83474999999976</v>
      </c>
      <c r="AD369" s="54">
        <f>SUM(AD370:AD374)</f>
        <v>42515.041770833268</v>
      </c>
      <c r="AE369" s="184">
        <f>SUMIFS($AD$37:$AD$12971,$V$37:$V$12971,$V369,$X$37:$X$12971,AE$13)</f>
        <v>0</v>
      </c>
      <c r="AF369" s="185">
        <f>SUMIFS($AD$37:$AD$12971,$V$37:$V$12971,$V369,$X$37:$X$12971,AF$13)</f>
        <v>0</v>
      </c>
      <c r="AG369" s="185">
        <f>SUMIFS($AD$37:$AD$12971,$V$37:$V$12971,$V369,$X$37:$X$12971,AG$13)</f>
        <v>0</v>
      </c>
      <c r="AH369" s="187">
        <f>SUMIFS($AD$37:$AD$12971,$V$37:$V$12971,$V369,$X$37:$X$12971,AH$13)</f>
        <v>0</v>
      </c>
      <c r="AI369" s="161">
        <f t="shared" ref="AI369" si="325">SUM(AE369:AH369)</f>
        <v>0</v>
      </c>
      <c r="AK369" s="172"/>
    </row>
    <row r="370" spans="1:41" s="102" customFormat="1" ht="19.899999999999999" customHeight="1" x14ac:dyDescent="0.25">
      <c r="A370" s="45"/>
      <c r="B370" s="59"/>
      <c r="C370" s="137"/>
      <c r="D370" s="59"/>
      <c r="E370" s="116"/>
      <c r="F370" s="120"/>
      <c r="G370" s="120"/>
      <c r="H370" s="120"/>
      <c r="I370" s="60"/>
      <c r="J370" s="116"/>
      <c r="K370" s="213"/>
      <c r="L370" s="120"/>
      <c r="M370" s="120"/>
      <c r="N370" s="167"/>
      <c r="O370" s="120"/>
      <c r="P370" s="120"/>
      <c r="Q370" s="120"/>
      <c r="R370" s="120"/>
      <c r="S370" s="120"/>
      <c r="T370" s="221"/>
      <c r="U370" s="89"/>
      <c r="V370" s="61"/>
      <c r="W370" s="92" t="s">
        <v>1254</v>
      </c>
      <c r="X370" s="93" t="s">
        <v>30</v>
      </c>
      <c r="Y370" s="93" t="s">
        <v>68</v>
      </c>
      <c r="Z370" s="134">
        <f>VLOOKUP(W370,Sheet2!$B:$D,3,FALSE)</f>
        <v>190</v>
      </c>
      <c r="AA370" s="93">
        <v>1</v>
      </c>
      <c r="AB370" s="93">
        <f>AD370/AC369</f>
        <v>190</v>
      </c>
      <c r="AC370" s="93">
        <f>AC369/AA370</f>
        <v>154.83474999999976</v>
      </c>
      <c r="AD370" s="94">
        <f t="shared" ref="AD370" si="326">AC370*Z370</f>
        <v>29418.602499999954</v>
      </c>
      <c r="AE370" s="190"/>
      <c r="AF370" s="191"/>
      <c r="AG370" s="191"/>
      <c r="AH370" s="191"/>
      <c r="AI370" s="186"/>
      <c r="AK370" s="171"/>
    </row>
    <row r="371" spans="1:41" s="102" customFormat="1" ht="19.899999999999999" customHeight="1" x14ac:dyDescent="0.25">
      <c r="A371" s="45"/>
      <c r="B371" s="59"/>
      <c r="C371" s="137"/>
      <c r="D371" s="59"/>
      <c r="E371" s="116"/>
      <c r="F371" s="120"/>
      <c r="G371" s="120"/>
      <c r="H371" s="120"/>
      <c r="I371" s="60"/>
      <c r="J371" s="116"/>
      <c r="K371" s="213"/>
      <c r="L371" s="120"/>
      <c r="M371" s="120"/>
      <c r="N371" s="167"/>
      <c r="O371" s="120"/>
      <c r="P371" s="120"/>
      <c r="Q371" s="120"/>
      <c r="R371" s="120"/>
      <c r="S371" s="120"/>
      <c r="T371" s="221"/>
      <c r="U371" s="89"/>
      <c r="V371" s="61"/>
      <c r="W371" s="92" t="s">
        <v>1257</v>
      </c>
      <c r="X371" s="93" t="s">
        <v>32</v>
      </c>
      <c r="Y371" s="93" t="s">
        <v>68</v>
      </c>
      <c r="Z371" s="134">
        <f>VLOOKUP(W371,Sheet2!$B:$D,3,FALSE)</f>
        <v>44</v>
      </c>
      <c r="AA371" s="93">
        <v>1</v>
      </c>
      <c r="AB371" s="93">
        <f>AD371/AC369</f>
        <v>44</v>
      </c>
      <c r="AC371" s="93">
        <f>AC369/AA371</f>
        <v>154.83474999999976</v>
      </c>
      <c r="AD371" s="94">
        <f>AC371*Z371</f>
        <v>6812.7289999999894</v>
      </c>
      <c r="AE371" s="190"/>
      <c r="AF371" s="191"/>
      <c r="AG371" s="191"/>
      <c r="AH371" s="191"/>
      <c r="AI371" s="186"/>
      <c r="AK371" s="171"/>
    </row>
    <row r="372" spans="1:41" s="102" customFormat="1" ht="19.899999999999999" customHeight="1" x14ac:dyDescent="0.25">
      <c r="A372" s="45"/>
      <c r="B372" s="59"/>
      <c r="C372" s="137"/>
      <c r="D372" s="59"/>
      <c r="E372" s="116"/>
      <c r="F372" s="120"/>
      <c r="G372" s="120"/>
      <c r="H372" s="120"/>
      <c r="I372" s="60"/>
      <c r="J372" s="116"/>
      <c r="K372" s="213"/>
      <c r="L372" s="120"/>
      <c r="M372" s="120"/>
      <c r="N372" s="167"/>
      <c r="O372" s="120"/>
      <c r="P372" s="120"/>
      <c r="Q372" s="120"/>
      <c r="R372" s="120"/>
      <c r="S372" s="120"/>
      <c r="T372" s="221"/>
      <c r="U372" s="89"/>
      <c r="V372" s="61"/>
      <c r="W372" s="92" t="s">
        <v>1032</v>
      </c>
      <c r="X372" s="93" t="s">
        <v>30</v>
      </c>
      <c r="Y372" s="93" t="s">
        <v>66</v>
      </c>
      <c r="Z372" s="134">
        <f>VLOOKUP(W372,Sheet2!$B:$D,3,FALSE)</f>
        <v>250</v>
      </c>
      <c r="AA372" s="93">
        <f>1/(1*0.1)</f>
        <v>10</v>
      </c>
      <c r="AB372" s="93">
        <f>AD372/AC369</f>
        <v>25</v>
      </c>
      <c r="AC372" s="93">
        <f>AC369/AA372</f>
        <v>15.483474999999975</v>
      </c>
      <c r="AD372" s="94">
        <f>AC372*Z372</f>
        <v>3870.8687499999937</v>
      </c>
      <c r="AE372" s="190"/>
      <c r="AF372" s="191"/>
      <c r="AG372" s="191"/>
      <c r="AH372" s="191"/>
      <c r="AI372" s="186"/>
      <c r="AK372" s="171"/>
    </row>
    <row r="373" spans="1:41" s="102" customFormat="1" ht="19.899999999999999" customHeight="1" x14ac:dyDescent="0.25">
      <c r="A373" s="45"/>
      <c r="B373" s="59"/>
      <c r="C373" s="137"/>
      <c r="D373" s="59"/>
      <c r="E373" s="116"/>
      <c r="F373" s="120"/>
      <c r="G373" s="120"/>
      <c r="H373" s="120"/>
      <c r="I373" s="60"/>
      <c r="J373" s="116"/>
      <c r="K373" s="213"/>
      <c r="L373" s="120"/>
      <c r="M373" s="120"/>
      <c r="N373" s="167"/>
      <c r="O373" s="120"/>
      <c r="P373" s="120"/>
      <c r="Q373" s="120"/>
      <c r="R373" s="120"/>
      <c r="S373" s="120"/>
      <c r="T373" s="221"/>
      <c r="U373" s="89"/>
      <c r="V373" s="61"/>
      <c r="W373" s="92" t="s">
        <v>1035</v>
      </c>
      <c r="X373" s="93" t="s">
        <v>32</v>
      </c>
      <c r="Y373" s="93" t="s">
        <v>66</v>
      </c>
      <c r="Z373" s="134">
        <f>VLOOKUP(W373,Sheet2!$B:$D,3,FALSE)</f>
        <v>150</v>
      </c>
      <c r="AA373" s="93">
        <f>AA372</f>
        <v>10</v>
      </c>
      <c r="AB373" s="93">
        <f>AD373/AC369</f>
        <v>14.999999999999998</v>
      </c>
      <c r="AC373" s="93">
        <f>AC369/AA373</f>
        <v>15.483474999999975</v>
      </c>
      <c r="AD373" s="94">
        <f t="shared" ref="AD373:AD374" si="327">AC373*Z373</f>
        <v>2322.5212499999961</v>
      </c>
      <c r="AE373" s="190"/>
      <c r="AF373" s="191"/>
      <c r="AG373" s="191"/>
      <c r="AH373" s="191"/>
      <c r="AI373" s="186"/>
      <c r="AK373" s="171"/>
    </row>
    <row r="374" spans="1:41" s="102" customFormat="1" ht="19.899999999999999" customHeight="1" x14ac:dyDescent="0.25">
      <c r="A374" s="45"/>
      <c r="B374" s="59"/>
      <c r="C374" s="137"/>
      <c r="D374" s="59"/>
      <c r="E374" s="116"/>
      <c r="F374" s="120"/>
      <c r="G374" s="120"/>
      <c r="H374" s="120"/>
      <c r="I374" s="60"/>
      <c r="J374" s="116"/>
      <c r="K374" s="213"/>
      <c r="L374" s="120"/>
      <c r="M374" s="120"/>
      <c r="N374" s="167"/>
      <c r="O374" s="120"/>
      <c r="P374" s="120"/>
      <c r="Q374" s="120"/>
      <c r="R374" s="120"/>
      <c r="S374" s="120"/>
      <c r="T374" s="221"/>
      <c r="U374" s="89"/>
      <c r="V374" s="61"/>
      <c r="W374" s="92" t="s">
        <v>1037</v>
      </c>
      <c r="X374" s="93" t="s">
        <v>30</v>
      </c>
      <c r="Y374" s="93" t="s">
        <v>1038</v>
      </c>
      <c r="Z374" s="134">
        <f>VLOOKUP(W374,Sheet2!$B:$D,3,FALSE)</f>
        <v>175</v>
      </c>
      <c r="AA374" s="93">
        <v>300</v>
      </c>
      <c r="AB374" s="93">
        <f>AD374/AC369</f>
        <v>0.58333333333333337</v>
      </c>
      <c r="AC374" s="93">
        <f>AC369/AA374</f>
        <v>0.51611583333333255</v>
      </c>
      <c r="AD374" s="94">
        <f t="shared" si="327"/>
        <v>90.320270833333197</v>
      </c>
      <c r="AE374" s="190"/>
      <c r="AF374" s="191"/>
      <c r="AG374" s="191"/>
      <c r="AH374" s="191"/>
      <c r="AI374" s="186"/>
      <c r="AK374" s="171"/>
    </row>
    <row r="375" spans="1:41" s="103" customFormat="1" ht="19.899999999999999" customHeight="1" x14ac:dyDescent="0.25">
      <c r="A375" s="51"/>
      <c r="B375" s="52"/>
      <c r="C375" s="165"/>
      <c r="D375" s="52"/>
      <c r="E375" s="115"/>
      <c r="F375" s="58"/>
      <c r="G375" s="58"/>
      <c r="H375" s="58"/>
      <c r="I375" s="55"/>
      <c r="J375" s="113">
        <f>J358</f>
        <v>154.83474999999976</v>
      </c>
      <c r="K375" s="212">
        <f>K358</f>
        <v>154.83474999999976</v>
      </c>
      <c r="L375" s="58"/>
      <c r="M375" s="58">
        <f>K375-L375</f>
        <v>154.83474999999976</v>
      </c>
      <c r="N375" s="166"/>
      <c r="O375" s="58"/>
      <c r="P375" s="58"/>
      <c r="Q375" s="58"/>
      <c r="R375" s="58"/>
      <c r="S375" s="58"/>
      <c r="T375" s="220"/>
      <c r="U375" s="88"/>
      <c r="V375" s="56"/>
      <c r="W375" s="57" t="s">
        <v>1040</v>
      </c>
      <c r="X375" s="53"/>
      <c r="Y375" s="91" t="s">
        <v>68</v>
      </c>
      <c r="Z375" s="136">
        <f>AD375/AC375</f>
        <v>5</v>
      </c>
      <c r="AA375" s="58"/>
      <c r="AB375" s="53">
        <f>AD375/AC375</f>
        <v>5</v>
      </c>
      <c r="AC375" s="53">
        <f>M375+$AE$10</f>
        <v>154.83474999999976</v>
      </c>
      <c r="AD375" s="54">
        <f>SUM(AD376)</f>
        <v>774.17374999999879</v>
      </c>
      <c r="AE375" s="184">
        <f>SUMIFS($AD$37:$AD$12971,$V$37:$V$12971,$V375,$X$37:$X$12971,AE$13)</f>
        <v>0</v>
      </c>
      <c r="AF375" s="185">
        <f>SUMIFS($AD$37:$AD$12971,$V$37:$V$12971,$V375,$X$37:$X$12971,AF$13)</f>
        <v>0</v>
      </c>
      <c r="AG375" s="185">
        <f>SUMIFS($AD$37:$AD$12971,$V$37:$V$12971,$V375,$X$37:$X$12971,AG$13)</f>
        <v>0</v>
      </c>
      <c r="AH375" s="187">
        <f>SUMIFS($AD$37:$AD$12971,$V$37:$V$12971,$V375,$X$37:$X$12971,AH$13)</f>
        <v>0</v>
      </c>
      <c r="AI375" s="161">
        <f t="shared" ref="AI375" si="328">SUM(AE375:AH375)</f>
        <v>0</v>
      </c>
      <c r="AK375" s="172"/>
    </row>
    <row r="376" spans="1:41" s="102" customFormat="1" ht="19.899999999999999" customHeight="1" x14ac:dyDescent="0.25">
      <c r="A376" s="45"/>
      <c r="B376" s="59"/>
      <c r="C376" s="137"/>
      <c r="D376" s="59"/>
      <c r="E376" s="116"/>
      <c r="F376" s="120"/>
      <c r="G376" s="120"/>
      <c r="H376" s="120"/>
      <c r="I376" s="60"/>
      <c r="J376" s="116"/>
      <c r="K376" s="213"/>
      <c r="L376" s="120"/>
      <c r="M376" s="120"/>
      <c r="N376" s="167"/>
      <c r="O376" s="120"/>
      <c r="P376" s="120"/>
      <c r="Q376" s="120"/>
      <c r="R376" s="120"/>
      <c r="S376" s="120"/>
      <c r="T376" s="221"/>
      <c r="U376" s="89"/>
      <c r="V376" s="61"/>
      <c r="W376" s="92" t="s">
        <v>1039</v>
      </c>
      <c r="X376" s="93" t="s">
        <v>32</v>
      </c>
      <c r="Y376" s="93" t="s">
        <v>68</v>
      </c>
      <c r="Z376" s="134">
        <f>VLOOKUP(W376,Sheet2!$B:$D,3,FALSE)</f>
        <v>5</v>
      </c>
      <c r="AA376" s="93">
        <v>1</v>
      </c>
      <c r="AB376" s="93">
        <f>AD376/AC375</f>
        <v>5</v>
      </c>
      <c r="AC376" s="93">
        <f>AC375/AA376</f>
        <v>154.83474999999976</v>
      </c>
      <c r="AD376" s="94">
        <f t="shared" ref="AD376" si="329">AC376*Z376</f>
        <v>774.17374999999879</v>
      </c>
      <c r="AE376" s="190"/>
      <c r="AF376" s="191"/>
      <c r="AG376" s="191"/>
      <c r="AH376" s="191"/>
      <c r="AI376" s="186"/>
      <c r="AK376" s="171"/>
    </row>
    <row r="377" spans="1:41" ht="20.100000000000001" customHeight="1" x14ac:dyDescent="0.25">
      <c r="A377" s="277" t="s">
        <v>216</v>
      </c>
      <c r="B377" s="278"/>
      <c r="C377" s="64" t="s">
        <v>230</v>
      </c>
      <c r="D377" s="46" t="s">
        <v>97</v>
      </c>
      <c r="E377" s="114">
        <v>302.19242500000018</v>
      </c>
      <c r="F377" s="44">
        <v>1060</v>
      </c>
      <c r="G377" s="44">
        <f t="shared" si="199"/>
        <v>320323.97050000017</v>
      </c>
      <c r="H377" s="44">
        <f t="shared" si="200"/>
        <v>354.18319215686273</v>
      </c>
      <c r="I377" s="43">
        <f t="shared" si="201"/>
        <v>107031.4777321234</v>
      </c>
      <c r="J377" s="112">
        <f t="shared" si="202"/>
        <v>302.19242500000018</v>
      </c>
      <c r="K377" s="211">
        <f t="shared" si="203"/>
        <v>302.19242500000018</v>
      </c>
      <c r="L377" s="44"/>
      <c r="M377" s="44">
        <f t="shared" si="223"/>
        <v>302.19242500000018</v>
      </c>
      <c r="N377" s="173">
        <f t="shared" si="204"/>
        <v>1</v>
      </c>
      <c r="O377" s="44">
        <f t="shared" si="205"/>
        <v>1060</v>
      </c>
      <c r="P377" s="44">
        <f t="shared" si="206"/>
        <v>320323.97050000017</v>
      </c>
      <c r="Q377" s="44">
        <f t="shared" si="207"/>
        <v>354.18319215686273</v>
      </c>
      <c r="R377" s="44">
        <f t="shared" si="224"/>
        <v>107031.4777321234</v>
      </c>
      <c r="S377" s="123"/>
      <c r="T377" s="219">
        <f t="shared" si="225"/>
        <v>107031.4777321234</v>
      </c>
      <c r="U377" s="87"/>
      <c r="V377" s="47"/>
      <c r="W377" s="48"/>
      <c r="X377" s="48"/>
      <c r="Y377" s="48"/>
      <c r="Z377" s="135"/>
      <c r="AA377" s="49"/>
      <c r="AB377" s="50">
        <f t="shared" si="208"/>
        <v>354.18319215686273</v>
      </c>
      <c r="AC377" s="42">
        <f t="shared" si="226"/>
        <v>302.19242500000018</v>
      </c>
      <c r="AD377" s="90">
        <f>AD378+AD388+AD394</f>
        <v>107031.4777321234</v>
      </c>
      <c r="AE377" s="188">
        <f t="shared" ref="AE377" si="330">AE378+AE388+AE394</f>
        <v>0</v>
      </c>
      <c r="AF377" s="189">
        <f t="shared" ref="AF377" si="331">AF378+AF388+AF394</f>
        <v>0</v>
      </c>
      <c r="AG377" s="189">
        <f t="shared" ref="AG377" si="332">AG378+AG388+AG394</f>
        <v>0</v>
      </c>
      <c r="AH377" s="189">
        <f t="shared" ref="AH377" si="333">AH378+AH388+AH394</f>
        <v>0</v>
      </c>
      <c r="AI377" s="161">
        <f t="shared" ref="AI377" si="334">SUM(AE377:AH377)</f>
        <v>0</v>
      </c>
      <c r="AK377" s="169">
        <v>5</v>
      </c>
      <c r="AO377" s="19" t="s">
        <v>63</v>
      </c>
    </row>
    <row r="378" spans="1:41" s="103" customFormat="1" ht="19.899999999999999" customHeight="1" x14ac:dyDescent="0.25">
      <c r="A378" s="51"/>
      <c r="B378" s="52"/>
      <c r="C378" s="165"/>
      <c r="D378" s="52"/>
      <c r="E378" s="115"/>
      <c r="F378" s="58"/>
      <c r="G378" s="58"/>
      <c r="H378" s="58"/>
      <c r="I378" s="55"/>
      <c r="J378" s="113">
        <f>J377</f>
        <v>302.19242500000018</v>
      </c>
      <c r="K378" s="212">
        <f>K377</f>
        <v>302.19242500000018</v>
      </c>
      <c r="L378" s="58"/>
      <c r="M378" s="58">
        <f>K378-L378</f>
        <v>302.19242500000018</v>
      </c>
      <c r="N378" s="166"/>
      <c r="O378" s="58"/>
      <c r="P378" s="58"/>
      <c r="Q378" s="58"/>
      <c r="R378" s="58"/>
      <c r="S378" s="58"/>
      <c r="T378" s="220"/>
      <c r="U378" s="88"/>
      <c r="V378" s="56"/>
      <c r="W378" s="57" t="s">
        <v>1051</v>
      </c>
      <c r="X378" s="53"/>
      <c r="Y378" s="91" t="s">
        <v>68</v>
      </c>
      <c r="Z378" s="136">
        <f>AD378/AC378</f>
        <v>74.599858823529416</v>
      </c>
      <c r="AA378" s="58"/>
      <c r="AB378" s="53">
        <f>AD378/AC378</f>
        <v>74.599858823529416</v>
      </c>
      <c r="AC378" s="53">
        <f>M378+$AE$10</f>
        <v>302.19242500000018</v>
      </c>
      <c r="AD378" s="54">
        <f>SUM(AD379:AD387)</f>
        <v>22543.512242540015</v>
      </c>
      <c r="AE378" s="184">
        <f>SUMIFS($AD$37:$AD$12971,$V$37:$V$12971,$V378,$X$37:$X$12971,AE$13)</f>
        <v>0</v>
      </c>
      <c r="AF378" s="185">
        <f>SUMIFS($AD$37:$AD$12971,$V$37:$V$12971,$V378,$X$37:$X$12971,AF$13)</f>
        <v>0</v>
      </c>
      <c r="AG378" s="185">
        <f>SUMIFS($AD$37:$AD$12971,$V$37:$V$12971,$V378,$X$37:$X$12971,AG$13)</f>
        <v>0</v>
      </c>
      <c r="AH378" s="187">
        <f>SUMIFS($AD$37:$AD$12971,$V$37:$V$12971,$V378,$X$37:$X$12971,AH$13)</f>
        <v>0</v>
      </c>
      <c r="AI378" s="161">
        <f t="shared" ref="AI378" si="335">SUM(AE378:AH378)</f>
        <v>0</v>
      </c>
      <c r="AK378" s="172"/>
    </row>
    <row r="379" spans="1:41" s="102" customFormat="1" ht="19.899999999999999" customHeight="1" x14ac:dyDescent="0.25">
      <c r="A379" s="45"/>
      <c r="B379" s="59"/>
      <c r="C379" s="137"/>
      <c r="D379" s="59"/>
      <c r="E379" s="116"/>
      <c r="F379" s="120"/>
      <c r="G379" s="120"/>
      <c r="H379" s="120"/>
      <c r="I379" s="60"/>
      <c r="J379" s="116"/>
      <c r="K379" s="213"/>
      <c r="L379" s="120"/>
      <c r="M379" s="120"/>
      <c r="N379" s="167"/>
      <c r="O379" s="120"/>
      <c r="P379" s="120"/>
      <c r="Q379" s="120"/>
      <c r="R379" s="120"/>
      <c r="S379" s="120"/>
      <c r="T379" s="221"/>
      <c r="U379" s="89"/>
      <c r="V379" s="61"/>
      <c r="W379" s="92" t="s">
        <v>129</v>
      </c>
      <c r="X379" s="93" t="s">
        <v>29</v>
      </c>
      <c r="Y379" s="93" t="s">
        <v>93</v>
      </c>
      <c r="Z379" s="134">
        <f>VLOOKUP(W379,Sheet2!$B:$D,3,FALSE)</f>
        <v>56</v>
      </c>
      <c r="AA379" s="93">
        <f>100/(1*3)</f>
        <v>33.333333333333336</v>
      </c>
      <c r="AB379" s="93">
        <f t="shared" ref="AB379" si="336">AD379/AC378</f>
        <v>1.6799999999999997</v>
      </c>
      <c r="AC379" s="93">
        <f>AC378/AA379</f>
        <v>9.0657727500000043</v>
      </c>
      <c r="AD379" s="94">
        <f t="shared" ref="AD379:AD380" si="337">AC379*Z379</f>
        <v>507.68327400000021</v>
      </c>
      <c r="AE379" s="190"/>
      <c r="AF379" s="191"/>
      <c r="AG379" s="191"/>
      <c r="AH379" s="191"/>
      <c r="AI379" s="186"/>
      <c r="AK379" s="171"/>
    </row>
    <row r="380" spans="1:41" s="102" customFormat="1" ht="19.899999999999999" customHeight="1" x14ac:dyDescent="0.25">
      <c r="A380" s="45"/>
      <c r="B380" s="59"/>
      <c r="C380" s="137"/>
      <c r="D380" s="59"/>
      <c r="E380" s="116"/>
      <c r="F380" s="120"/>
      <c r="G380" s="120"/>
      <c r="H380" s="120"/>
      <c r="I380" s="60"/>
      <c r="J380" s="116"/>
      <c r="K380" s="213"/>
      <c r="L380" s="120"/>
      <c r="M380" s="120"/>
      <c r="N380" s="167"/>
      <c r="O380" s="120"/>
      <c r="P380" s="120"/>
      <c r="Q380" s="120"/>
      <c r="R380" s="120"/>
      <c r="S380" s="120"/>
      <c r="T380" s="221"/>
      <c r="U380" s="89"/>
      <c r="V380" s="61"/>
      <c r="W380" s="92" t="s">
        <v>65</v>
      </c>
      <c r="X380" s="93" t="s">
        <v>30</v>
      </c>
      <c r="Y380" s="93" t="s">
        <v>1011</v>
      </c>
      <c r="Z380" s="134">
        <f>VLOOKUP(W380,Sheet2!$B:$D,3,FALSE)</f>
        <v>1.76</v>
      </c>
      <c r="AA380" s="93">
        <f>AA379/14</f>
        <v>2.3809523809523809</v>
      </c>
      <c r="AB380" s="93">
        <f>AD380/AC378</f>
        <v>0.73919999999999997</v>
      </c>
      <c r="AC380" s="93">
        <f>AC378/AA380</f>
        <v>126.92081850000008</v>
      </c>
      <c r="AD380" s="94">
        <f t="shared" si="337"/>
        <v>223.38064056000013</v>
      </c>
      <c r="AE380" s="190"/>
      <c r="AF380" s="191"/>
      <c r="AG380" s="191"/>
      <c r="AH380" s="191"/>
      <c r="AI380" s="186"/>
      <c r="AK380" s="171"/>
    </row>
    <row r="381" spans="1:41" s="102" customFormat="1" ht="19.899999999999999" customHeight="1" x14ac:dyDescent="0.25">
      <c r="A381" s="45"/>
      <c r="B381" s="59"/>
      <c r="C381" s="137"/>
      <c r="D381" s="59"/>
      <c r="E381" s="116"/>
      <c r="F381" s="120"/>
      <c r="G381" s="120"/>
      <c r="H381" s="120"/>
      <c r="I381" s="60"/>
      <c r="J381" s="116"/>
      <c r="K381" s="213"/>
      <c r="L381" s="120"/>
      <c r="M381" s="120"/>
      <c r="N381" s="167"/>
      <c r="O381" s="120"/>
      <c r="P381" s="120"/>
      <c r="Q381" s="120"/>
      <c r="R381" s="120"/>
      <c r="S381" s="120"/>
      <c r="T381" s="221"/>
      <c r="U381" s="89"/>
      <c r="V381" s="61"/>
      <c r="W381" s="92" t="s">
        <v>161</v>
      </c>
      <c r="X381" s="93" t="s">
        <v>29</v>
      </c>
      <c r="Y381" s="93" t="s">
        <v>93</v>
      </c>
      <c r="Z381" s="134">
        <f>VLOOKUP(W381,Sheet2!$B:$D,3,FALSE)</f>
        <v>48</v>
      </c>
      <c r="AA381" s="93">
        <f>(16*0.85*1.5)/(1*3)</f>
        <v>6.8</v>
      </c>
      <c r="AB381" s="93">
        <f>AD381/AC378</f>
        <v>7.0588235294117654</v>
      </c>
      <c r="AC381" s="93">
        <f>AC378/AA381</f>
        <v>44.440062500000032</v>
      </c>
      <c r="AD381" s="94">
        <f>AC381*Z381</f>
        <v>2133.1230000000014</v>
      </c>
      <c r="AE381" s="190"/>
      <c r="AF381" s="191"/>
      <c r="AG381" s="191"/>
      <c r="AH381" s="191"/>
      <c r="AI381" s="186"/>
      <c r="AK381" s="171"/>
    </row>
    <row r="382" spans="1:41" s="102" customFormat="1" ht="19.899999999999999" customHeight="1" x14ac:dyDescent="0.25">
      <c r="A382" s="45"/>
      <c r="B382" s="59"/>
      <c r="C382" s="137"/>
      <c r="D382" s="59"/>
      <c r="E382" s="116"/>
      <c r="F382" s="120"/>
      <c r="G382" s="120"/>
      <c r="H382" s="120"/>
      <c r="I382" s="60"/>
      <c r="J382" s="116"/>
      <c r="K382" s="213"/>
      <c r="L382" s="120"/>
      <c r="M382" s="120"/>
      <c r="N382" s="167"/>
      <c r="O382" s="120"/>
      <c r="P382" s="120"/>
      <c r="Q382" s="120"/>
      <c r="R382" s="120"/>
      <c r="S382" s="120"/>
      <c r="T382" s="221"/>
      <c r="U382" s="89"/>
      <c r="V382" s="61"/>
      <c r="W382" s="92" t="s">
        <v>65</v>
      </c>
      <c r="X382" s="93" t="s">
        <v>30</v>
      </c>
      <c r="Y382" s="93" t="s">
        <v>1011</v>
      </c>
      <c r="Z382" s="134">
        <f>VLOOKUP(W382,Sheet2!$B:$D,3,FALSE)</f>
        <v>1.76</v>
      </c>
      <c r="AA382" s="93">
        <f>AA381/10</f>
        <v>0.67999999999999994</v>
      </c>
      <c r="AB382" s="93">
        <f>AD382/AC378</f>
        <v>2.5882352941176476</v>
      </c>
      <c r="AC382" s="93">
        <f>AC378/AA382</f>
        <v>444.40062500000033</v>
      </c>
      <c r="AD382" s="94">
        <f>AC382*Z382</f>
        <v>782.14510000000064</v>
      </c>
      <c r="AE382" s="190"/>
      <c r="AF382" s="191"/>
      <c r="AG382" s="191"/>
      <c r="AH382" s="191"/>
      <c r="AI382" s="186"/>
      <c r="AK382" s="171"/>
    </row>
    <row r="383" spans="1:41" s="102" customFormat="1" ht="19.899999999999999" customHeight="1" x14ac:dyDescent="0.25">
      <c r="A383" s="45"/>
      <c r="B383" s="59"/>
      <c r="C383" s="137"/>
      <c r="D383" s="59"/>
      <c r="E383" s="116"/>
      <c r="F383" s="120"/>
      <c r="G383" s="120"/>
      <c r="H383" s="120"/>
      <c r="I383" s="60"/>
      <c r="J383" s="116"/>
      <c r="K383" s="213"/>
      <c r="L383" s="120"/>
      <c r="M383" s="120"/>
      <c r="N383" s="167"/>
      <c r="O383" s="120"/>
      <c r="P383" s="120"/>
      <c r="Q383" s="120"/>
      <c r="R383" s="120"/>
      <c r="S383" s="120"/>
      <c r="T383" s="221"/>
      <c r="U383" s="89"/>
      <c r="V383" s="61"/>
      <c r="W383" s="92" t="s">
        <v>1030</v>
      </c>
      <c r="X383" s="93" t="s">
        <v>29</v>
      </c>
      <c r="Y383" s="93" t="s">
        <v>93</v>
      </c>
      <c r="Z383" s="134">
        <f>VLOOKUP(W383,Sheet2!$B:$D,3,FALSE)</f>
        <v>23</v>
      </c>
      <c r="AA383" s="93">
        <v>50</v>
      </c>
      <c r="AB383" s="93">
        <f>AD383/AC378</f>
        <v>0.45999999999999996</v>
      </c>
      <c r="AC383" s="93">
        <f>AC378/AA383</f>
        <v>6.0438485000000037</v>
      </c>
      <c r="AD383" s="94">
        <f t="shared" ref="AD383:AD387" si="338">AC383*Z383</f>
        <v>139.00851550000007</v>
      </c>
      <c r="AE383" s="190"/>
      <c r="AF383" s="191"/>
      <c r="AG383" s="191"/>
      <c r="AH383" s="191"/>
      <c r="AI383" s="186"/>
      <c r="AK383" s="171"/>
    </row>
    <row r="384" spans="1:41" s="102" customFormat="1" ht="19.899999999999999" customHeight="1" x14ac:dyDescent="0.25">
      <c r="A384" s="45"/>
      <c r="B384" s="59"/>
      <c r="C384" s="137"/>
      <c r="D384" s="59"/>
      <c r="E384" s="116"/>
      <c r="F384" s="120"/>
      <c r="G384" s="120"/>
      <c r="H384" s="120"/>
      <c r="I384" s="60"/>
      <c r="J384" s="116"/>
      <c r="K384" s="213"/>
      <c r="L384" s="120"/>
      <c r="M384" s="120"/>
      <c r="N384" s="167"/>
      <c r="O384" s="120"/>
      <c r="P384" s="120"/>
      <c r="Q384" s="120"/>
      <c r="R384" s="120"/>
      <c r="S384" s="120"/>
      <c r="T384" s="221"/>
      <c r="U384" s="89"/>
      <c r="V384" s="61"/>
      <c r="W384" s="92" t="s">
        <v>65</v>
      </c>
      <c r="X384" s="93" t="s">
        <v>30</v>
      </c>
      <c r="Y384" s="93" t="s">
        <v>1011</v>
      </c>
      <c r="Z384" s="134">
        <f>VLOOKUP(W384,Sheet2!$B:$D,3,FALSE)</f>
        <v>1.76</v>
      </c>
      <c r="AA384" s="93">
        <f>AA383/3</f>
        <v>16.666666666666668</v>
      </c>
      <c r="AB384" s="93">
        <f>AD384/AC378</f>
        <v>0.10559999999999999</v>
      </c>
      <c r="AC384" s="93">
        <f>AC378/AA384</f>
        <v>18.131545500000009</v>
      </c>
      <c r="AD384" s="94">
        <f t="shared" si="338"/>
        <v>31.911520080000017</v>
      </c>
      <c r="AE384" s="190"/>
      <c r="AF384" s="191"/>
      <c r="AG384" s="191"/>
      <c r="AH384" s="191"/>
      <c r="AI384" s="186"/>
      <c r="AK384" s="171"/>
    </row>
    <row r="385" spans="1:37" s="102" customFormat="1" ht="19.899999999999999" customHeight="1" x14ac:dyDescent="0.25">
      <c r="A385" s="45"/>
      <c r="B385" s="59"/>
      <c r="C385" s="137"/>
      <c r="D385" s="59"/>
      <c r="E385" s="116"/>
      <c r="F385" s="120"/>
      <c r="G385" s="120"/>
      <c r="H385" s="120"/>
      <c r="I385" s="60"/>
      <c r="J385" s="116"/>
      <c r="K385" s="213"/>
      <c r="L385" s="120"/>
      <c r="M385" s="120"/>
      <c r="N385" s="167"/>
      <c r="O385" s="120"/>
      <c r="P385" s="120"/>
      <c r="Q385" s="120"/>
      <c r="R385" s="120"/>
      <c r="S385" s="120"/>
      <c r="T385" s="221"/>
      <c r="U385" s="89"/>
      <c r="V385" s="61"/>
      <c r="W385" s="92" t="s">
        <v>148</v>
      </c>
      <c r="X385" s="93" t="s">
        <v>29</v>
      </c>
      <c r="Y385" s="93" t="s">
        <v>93</v>
      </c>
      <c r="Z385" s="134">
        <f>VLOOKUP(W385,Sheet2!$B:$D,3,FALSE)</f>
        <v>48</v>
      </c>
      <c r="AA385" s="93">
        <f>AA379</f>
        <v>33.333333333333336</v>
      </c>
      <c r="AB385" s="93">
        <f>AD385/AC378</f>
        <v>1.4399999999999997</v>
      </c>
      <c r="AC385" s="93">
        <f>AC378/AA385</f>
        <v>9.0657727500000043</v>
      </c>
      <c r="AD385" s="94">
        <f t="shared" si="338"/>
        <v>435.1570920000002</v>
      </c>
      <c r="AE385" s="190"/>
      <c r="AF385" s="191"/>
      <c r="AG385" s="191"/>
      <c r="AH385" s="191"/>
      <c r="AI385" s="186"/>
      <c r="AK385" s="171"/>
    </row>
    <row r="386" spans="1:37" s="102" customFormat="1" ht="19.899999999999999" customHeight="1" x14ac:dyDescent="0.25">
      <c r="A386" s="45"/>
      <c r="B386" s="59"/>
      <c r="C386" s="137"/>
      <c r="D386" s="59"/>
      <c r="E386" s="116"/>
      <c r="F386" s="120"/>
      <c r="G386" s="120"/>
      <c r="H386" s="120"/>
      <c r="I386" s="60"/>
      <c r="J386" s="116"/>
      <c r="K386" s="213"/>
      <c r="L386" s="120"/>
      <c r="M386" s="120"/>
      <c r="N386" s="167"/>
      <c r="O386" s="120"/>
      <c r="P386" s="120"/>
      <c r="Q386" s="120"/>
      <c r="R386" s="120"/>
      <c r="S386" s="120"/>
      <c r="T386" s="221"/>
      <c r="U386" s="89"/>
      <c r="V386" s="61"/>
      <c r="W386" s="92" t="s">
        <v>65</v>
      </c>
      <c r="X386" s="93" t="s">
        <v>30</v>
      </c>
      <c r="Y386" s="93" t="s">
        <v>1011</v>
      </c>
      <c r="Z386" s="134">
        <f>VLOOKUP(W386,Sheet2!$B:$D,3,FALSE)</f>
        <v>1.76</v>
      </c>
      <c r="AA386" s="93">
        <f>AA385/10</f>
        <v>3.3333333333333335</v>
      </c>
      <c r="AB386" s="93">
        <f>AD386/AC378</f>
        <v>0.52800000000000002</v>
      </c>
      <c r="AC386" s="93">
        <f>AC378/AA386</f>
        <v>90.65772750000005</v>
      </c>
      <c r="AD386" s="94">
        <f t="shared" si="338"/>
        <v>159.5576004000001</v>
      </c>
      <c r="AE386" s="190"/>
      <c r="AF386" s="191"/>
      <c r="AG386" s="191"/>
      <c r="AH386" s="191"/>
      <c r="AI386" s="186"/>
      <c r="AK386" s="171"/>
    </row>
    <row r="387" spans="1:37" s="102" customFormat="1" ht="19.899999999999999" customHeight="1" x14ac:dyDescent="0.25">
      <c r="A387" s="45"/>
      <c r="B387" s="59"/>
      <c r="C387" s="137"/>
      <c r="D387" s="59"/>
      <c r="E387" s="116"/>
      <c r="F387" s="120"/>
      <c r="G387" s="120"/>
      <c r="H387" s="120"/>
      <c r="I387" s="60"/>
      <c r="J387" s="116"/>
      <c r="K387" s="213"/>
      <c r="L387" s="120"/>
      <c r="M387" s="120"/>
      <c r="N387" s="167"/>
      <c r="O387" s="120"/>
      <c r="P387" s="120"/>
      <c r="Q387" s="120"/>
      <c r="R387" s="120"/>
      <c r="S387" s="120"/>
      <c r="T387" s="221"/>
      <c r="U387" s="89"/>
      <c r="V387" s="61"/>
      <c r="W387" s="92" t="s">
        <v>1049</v>
      </c>
      <c r="X387" s="93" t="s">
        <v>30</v>
      </c>
      <c r="Y387" s="93" t="s">
        <v>68</v>
      </c>
      <c r="Z387" s="134">
        <f>VLOOKUP(W387,Sheet2!$B:$D,3,FALSE)</f>
        <v>60</v>
      </c>
      <c r="AA387" s="93">
        <v>1</v>
      </c>
      <c r="AB387" s="93">
        <f>AD387/AC378</f>
        <v>60</v>
      </c>
      <c r="AC387" s="93">
        <f>AC378/AA387</f>
        <v>302.19242500000018</v>
      </c>
      <c r="AD387" s="94">
        <f t="shared" si="338"/>
        <v>18131.545500000011</v>
      </c>
      <c r="AE387" s="190"/>
      <c r="AF387" s="191"/>
      <c r="AG387" s="191"/>
      <c r="AH387" s="191"/>
      <c r="AI387" s="186"/>
      <c r="AK387" s="171"/>
    </row>
    <row r="388" spans="1:37" s="103" customFormat="1" ht="19.899999999999999" customHeight="1" x14ac:dyDescent="0.25">
      <c r="A388" s="51"/>
      <c r="B388" s="52"/>
      <c r="C388" s="165"/>
      <c r="D388" s="52"/>
      <c r="E388" s="115"/>
      <c r="F388" s="58"/>
      <c r="G388" s="58"/>
      <c r="H388" s="58"/>
      <c r="I388" s="55"/>
      <c r="J388" s="113">
        <f>J377</f>
        <v>302.19242500000018</v>
      </c>
      <c r="K388" s="212">
        <f>K377</f>
        <v>302.19242500000018</v>
      </c>
      <c r="L388" s="58"/>
      <c r="M388" s="58">
        <f>K388-L388</f>
        <v>302.19242500000018</v>
      </c>
      <c r="N388" s="166"/>
      <c r="O388" s="58"/>
      <c r="P388" s="58"/>
      <c r="Q388" s="58"/>
      <c r="R388" s="58"/>
      <c r="S388" s="58"/>
      <c r="T388" s="220"/>
      <c r="U388" s="88"/>
      <c r="V388" s="56"/>
      <c r="W388" s="57" t="s">
        <v>1036</v>
      </c>
      <c r="X388" s="53"/>
      <c r="Y388" s="91" t="s">
        <v>68</v>
      </c>
      <c r="Z388" s="136">
        <f>AD388/AC388</f>
        <v>274.58333333333331</v>
      </c>
      <c r="AA388" s="58"/>
      <c r="AB388" s="53">
        <f>AD388/AC388</f>
        <v>274.58333333333331</v>
      </c>
      <c r="AC388" s="53">
        <f>M388+$AE$10</f>
        <v>302.19242500000018</v>
      </c>
      <c r="AD388" s="54">
        <f>SUM(AD389:AD393)</f>
        <v>82977.003364583376</v>
      </c>
      <c r="AE388" s="184">
        <f>SUMIFS($AD$37:$AD$12971,$V$37:$V$12971,$V388,$X$37:$X$12971,AE$13)</f>
        <v>0</v>
      </c>
      <c r="AF388" s="185">
        <f>SUMIFS($AD$37:$AD$12971,$V$37:$V$12971,$V388,$X$37:$X$12971,AF$13)</f>
        <v>0</v>
      </c>
      <c r="AG388" s="185">
        <f>SUMIFS($AD$37:$AD$12971,$V$37:$V$12971,$V388,$X$37:$X$12971,AG$13)</f>
        <v>0</v>
      </c>
      <c r="AH388" s="187">
        <f>SUMIFS($AD$37:$AD$12971,$V$37:$V$12971,$V388,$X$37:$X$12971,AH$13)</f>
        <v>0</v>
      </c>
      <c r="AI388" s="161">
        <f t="shared" ref="AI388" si="339">SUM(AE388:AH388)</f>
        <v>0</v>
      </c>
      <c r="AK388" s="172"/>
    </row>
    <row r="389" spans="1:37" s="102" customFormat="1" ht="19.899999999999999" customHeight="1" x14ac:dyDescent="0.25">
      <c r="A389" s="45"/>
      <c r="B389" s="59"/>
      <c r="C389" s="137"/>
      <c r="D389" s="59"/>
      <c r="E389" s="116"/>
      <c r="F389" s="120"/>
      <c r="G389" s="120"/>
      <c r="H389" s="120"/>
      <c r="I389" s="60"/>
      <c r="J389" s="116"/>
      <c r="K389" s="213"/>
      <c r="L389" s="120"/>
      <c r="M389" s="120"/>
      <c r="N389" s="167"/>
      <c r="O389" s="120"/>
      <c r="P389" s="120"/>
      <c r="Q389" s="120"/>
      <c r="R389" s="120"/>
      <c r="S389" s="120"/>
      <c r="T389" s="221"/>
      <c r="U389" s="89"/>
      <c r="V389" s="61"/>
      <c r="W389" s="92" t="s">
        <v>1254</v>
      </c>
      <c r="X389" s="93" t="s">
        <v>30</v>
      </c>
      <c r="Y389" s="93" t="s">
        <v>68</v>
      </c>
      <c r="Z389" s="134">
        <f>VLOOKUP(W389,Sheet2!$B:$D,3,FALSE)</f>
        <v>190</v>
      </c>
      <c r="AA389" s="93">
        <v>1</v>
      </c>
      <c r="AB389" s="93">
        <f>AD389/AC388</f>
        <v>190</v>
      </c>
      <c r="AC389" s="93">
        <f>AC388/AA389</f>
        <v>302.19242500000018</v>
      </c>
      <c r="AD389" s="94">
        <f t="shared" ref="AD389" si="340">AC389*Z389</f>
        <v>57416.560750000033</v>
      </c>
      <c r="AE389" s="190"/>
      <c r="AF389" s="191"/>
      <c r="AG389" s="191"/>
      <c r="AH389" s="191"/>
      <c r="AI389" s="186"/>
      <c r="AK389" s="171"/>
    </row>
    <row r="390" spans="1:37" s="102" customFormat="1" ht="19.899999999999999" customHeight="1" x14ac:dyDescent="0.25">
      <c r="A390" s="45"/>
      <c r="B390" s="59"/>
      <c r="C390" s="137"/>
      <c r="D390" s="59"/>
      <c r="E390" s="116"/>
      <c r="F390" s="120"/>
      <c r="G390" s="120"/>
      <c r="H390" s="120"/>
      <c r="I390" s="60"/>
      <c r="J390" s="116"/>
      <c r="K390" s="213"/>
      <c r="L390" s="120"/>
      <c r="M390" s="120"/>
      <c r="N390" s="167"/>
      <c r="O390" s="120"/>
      <c r="P390" s="120"/>
      <c r="Q390" s="120"/>
      <c r="R390" s="120"/>
      <c r="S390" s="120"/>
      <c r="T390" s="221"/>
      <c r="U390" s="89"/>
      <c r="V390" s="61"/>
      <c r="W390" s="92" t="s">
        <v>1257</v>
      </c>
      <c r="X390" s="93" t="s">
        <v>32</v>
      </c>
      <c r="Y390" s="93" t="s">
        <v>68</v>
      </c>
      <c r="Z390" s="134">
        <f>VLOOKUP(W390,Sheet2!$B:$D,3,FALSE)</f>
        <v>44</v>
      </c>
      <c r="AA390" s="93">
        <v>1</v>
      </c>
      <c r="AB390" s="93">
        <f>AD390/AC388</f>
        <v>44</v>
      </c>
      <c r="AC390" s="93">
        <f>AC388/AA390</f>
        <v>302.19242500000018</v>
      </c>
      <c r="AD390" s="94">
        <f>AC390*Z390</f>
        <v>13296.466700000008</v>
      </c>
      <c r="AE390" s="190"/>
      <c r="AF390" s="191"/>
      <c r="AG390" s="191"/>
      <c r="AH390" s="191"/>
      <c r="AI390" s="186"/>
      <c r="AK390" s="171"/>
    </row>
    <row r="391" spans="1:37" s="102" customFormat="1" ht="19.899999999999999" customHeight="1" x14ac:dyDescent="0.25">
      <c r="A391" s="45"/>
      <c r="B391" s="59"/>
      <c r="C391" s="137"/>
      <c r="D391" s="59"/>
      <c r="E391" s="116"/>
      <c r="F391" s="120"/>
      <c r="G391" s="120"/>
      <c r="H391" s="120"/>
      <c r="I391" s="60"/>
      <c r="J391" s="116"/>
      <c r="K391" s="213"/>
      <c r="L391" s="120"/>
      <c r="M391" s="120"/>
      <c r="N391" s="167"/>
      <c r="O391" s="120"/>
      <c r="P391" s="120"/>
      <c r="Q391" s="120"/>
      <c r="R391" s="120"/>
      <c r="S391" s="120"/>
      <c r="T391" s="221"/>
      <c r="U391" s="89"/>
      <c r="V391" s="61"/>
      <c r="W391" s="92" t="s">
        <v>1032</v>
      </c>
      <c r="X391" s="93" t="s">
        <v>30</v>
      </c>
      <c r="Y391" s="93" t="s">
        <v>66</v>
      </c>
      <c r="Z391" s="134">
        <f>VLOOKUP(W391,Sheet2!$B:$D,3,FALSE)</f>
        <v>250</v>
      </c>
      <c r="AA391" s="93">
        <f>1/(1*0.1)</f>
        <v>10</v>
      </c>
      <c r="AB391" s="93">
        <f>AD391/AC388</f>
        <v>25</v>
      </c>
      <c r="AC391" s="93">
        <f>AC388/AA391</f>
        <v>30.219242500000018</v>
      </c>
      <c r="AD391" s="94">
        <f>AC391*Z391</f>
        <v>7554.8106250000046</v>
      </c>
      <c r="AE391" s="190"/>
      <c r="AF391" s="191"/>
      <c r="AG391" s="191"/>
      <c r="AH391" s="191"/>
      <c r="AI391" s="186"/>
      <c r="AK391" s="171"/>
    </row>
    <row r="392" spans="1:37" s="102" customFormat="1" ht="19.899999999999999" customHeight="1" x14ac:dyDescent="0.25">
      <c r="A392" s="45"/>
      <c r="B392" s="59"/>
      <c r="C392" s="137"/>
      <c r="D392" s="59"/>
      <c r="E392" s="116"/>
      <c r="F392" s="120"/>
      <c r="G392" s="120"/>
      <c r="H392" s="120"/>
      <c r="I392" s="60"/>
      <c r="J392" s="116"/>
      <c r="K392" s="213"/>
      <c r="L392" s="120"/>
      <c r="M392" s="120"/>
      <c r="N392" s="167"/>
      <c r="O392" s="120"/>
      <c r="P392" s="120"/>
      <c r="Q392" s="120"/>
      <c r="R392" s="120"/>
      <c r="S392" s="120"/>
      <c r="T392" s="221"/>
      <c r="U392" s="89"/>
      <c r="V392" s="61"/>
      <c r="W392" s="92" t="s">
        <v>1035</v>
      </c>
      <c r="X392" s="93" t="s">
        <v>32</v>
      </c>
      <c r="Y392" s="93" t="s">
        <v>66</v>
      </c>
      <c r="Z392" s="134">
        <f>VLOOKUP(W392,Sheet2!$B:$D,3,FALSE)</f>
        <v>150</v>
      </c>
      <c r="AA392" s="93">
        <f>AA391</f>
        <v>10</v>
      </c>
      <c r="AB392" s="93">
        <f>AD392/AC388</f>
        <v>15</v>
      </c>
      <c r="AC392" s="93">
        <f>AC388/AA392</f>
        <v>30.219242500000018</v>
      </c>
      <c r="AD392" s="94">
        <f t="shared" ref="AD392:AD393" si="341">AC392*Z392</f>
        <v>4532.8863750000028</v>
      </c>
      <c r="AE392" s="190"/>
      <c r="AF392" s="191"/>
      <c r="AG392" s="191"/>
      <c r="AH392" s="191"/>
      <c r="AI392" s="186"/>
      <c r="AK392" s="171"/>
    </row>
    <row r="393" spans="1:37" s="102" customFormat="1" ht="19.899999999999999" customHeight="1" x14ac:dyDescent="0.25">
      <c r="A393" s="45"/>
      <c r="B393" s="59"/>
      <c r="C393" s="137"/>
      <c r="D393" s="59"/>
      <c r="E393" s="116"/>
      <c r="F393" s="120"/>
      <c r="G393" s="120"/>
      <c r="H393" s="120"/>
      <c r="I393" s="60"/>
      <c r="J393" s="116"/>
      <c r="K393" s="213"/>
      <c r="L393" s="120"/>
      <c r="M393" s="120"/>
      <c r="N393" s="167"/>
      <c r="O393" s="120"/>
      <c r="P393" s="120"/>
      <c r="Q393" s="120"/>
      <c r="R393" s="120"/>
      <c r="S393" s="120"/>
      <c r="T393" s="221"/>
      <c r="U393" s="89"/>
      <c r="V393" s="61"/>
      <c r="W393" s="92" t="s">
        <v>1037</v>
      </c>
      <c r="X393" s="93" t="s">
        <v>30</v>
      </c>
      <c r="Y393" s="93" t="s">
        <v>1038</v>
      </c>
      <c r="Z393" s="134">
        <f>VLOOKUP(W393,Sheet2!$B:$D,3,FALSE)</f>
        <v>175</v>
      </c>
      <c r="AA393" s="93">
        <v>300</v>
      </c>
      <c r="AB393" s="93">
        <f>AD393/AC388</f>
        <v>0.58333333333333326</v>
      </c>
      <c r="AC393" s="93">
        <f>AC388/AA393</f>
        <v>1.0073080833333339</v>
      </c>
      <c r="AD393" s="94">
        <f t="shared" si="341"/>
        <v>176.27891458333343</v>
      </c>
      <c r="AE393" s="190"/>
      <c r="AF393" s="191"/>
      <c r="AG393" s="191"/>
      <c r="AH393" s="191"/>
      <c r="AI393" s="186"/>
      <c r="AK393" s="171"/>
    </row>
    <row r="394" spans="1:37" s="103" customFormat="1" ht="19.899999999999999" customHeight="1" x14ac:dyDescent="0.25">
      <c r="A394" s="51"/>
      <c r="B394" s="52"/>
      <c r="C394" s="165"/>
      <c r="D394" s="52"/>
      <c r="E394" s="115"/>
      <c r="F394" s="58"/>
      <c r="G394" s="58"/>
      <c r="H394" s="58"/>
      <c r="I394" s="55"/>
      <c r="J394" s="113">
        <f>J377</f>
        <v>302.19242500000018</v>
      </c>
      <c r="K394" s="212">
        <f>K377</f>
        <v>302.19242500000018</v>
      </c>
      <c r="L394" s="58"/>
      <c r="M394" s="58">
        <f>K394-L394</f>
        <v>302.19242500000018</v>
      </c>
      <c r="N394" s="166"/>
      <c r="O394" s="58"/>
      <c r="P394" s="58"/>
      <c r="Q394" s="58"/>
      <c r="R394" s="58"/>
      <c r="S394" s="58"/>
      <c r="T394" s="220"/>
      <c r="U394" s="88"/>
      <c r="V394" s="56"/>
      <c r="W394" s="57" t="s">
        <v>1040</v>
      </c>
      <c r="X394" s="53"/>
      <c r="Y394" s="91" t="s">
        <v>68</v>
      </c>
      <c r="Z394" s="136">
        <f>AD394/AC394</f>
        <v>5</v>
      </c>
      <c r="AA394" s="58"/>
      <c r="AB394" s="53">
        <f>AD394/AC394</f>
        <v>5</v>
      </c>
      <c r="AC394" s="53">
        <f>M394+$AE$10</f>
        <v>302.19242500000018</v>
      </c>
      <c r="AD394" s="54">
        <f>SUM(AD395)</f>
        <v>1510.9621250000009</v>
      </c>
      <c r="AE394" s="184">
        <f>SUMIFS($AD$37:$AD$12971,$V$37:$V$12971,$V394,$X$37:$X$12971,AE$13)</f>
        <v>0</v>
      </c>
      <c r="AF394" s="185">
        <f>SUMIFS($AD$37:$AD$12971,$V$37:$V$12971,$V394,$X$37:$X$12971,AF$13)</f>
        <v>0</v>
      </c>
      <c r="AG394" s="185">
        <f>SUMIFS($AD$37:$AD$12971,$V$37:$V$12971,$V394,$X$37:$X$12971,AG$13)</f>
        <v>0</v>
      </c>
      <c r="AH394" s="187">
        <f>SUMIFS($AD$37:$AD$12971,$V$37:$V$12971,$V394,$X$37:$X$12971,AH$13)</f>
        <v>0</v>
      </c>
      <c r="AI394" s="161">
        <f t="shared" ref="AI394" si="342">SUM(AE394:AH394)</f>
        <v>0</v>
      </c>
      <c r="AK394" s="172"/>
    </row>
    <row r="395" spans="1:37" s="102" customFormat="1" ht="19.899999999999999" customHeight="1" x14ac:dyDescent="0.25">
      <c r="A395" s="45"/>
      <c r="B395" s="59"/>
      <c r="C395" s="137"/>
      <c r="D395" s="59"/>
      <c r="E395" s="116"/>
      <c r="F395" s="120"/>
      <c r="G395" s="120"/>
      <c r="H395" s="120"/>
      <c r="I395" s="60"/>
      <c r="J395" s="116"/>
      <c r="K395" s="213"/>
      <c r="L395" s="120"/>
      <c r="M395" s="120"/>
      <c r="N395" s="167"/>
      <c r="O395" s="120"/>
      <c r="P395" s="120"/>
      <c r="Q395" s="120"/>
      <c r="R395" s="120"/>
      <c r="S395" s="120"/>
      <c r="T395" s="221"/>
      <c r="U395" s="89"/>
      <c r="V395" s="61"/>
      <c r="W395" s="92" t="s">
        <v>1039</v>
      </c>
      <c r="X395" s="93" t="s">
        <v>32</v>
      </c>
      <c r="Y395" s="93" t="s">
        <v>68</v>
      </c>
      <c r="Z395" s="134">
        <f>VLOOKUP(W395,Sheet2!$B:$D,3,FALSE)</f>
        <v>5</v>
      </c>
      <c r="AA395" s="93">
        <v>1</v>
      </c>
      <c r="AB395" s="93">
        <f>AD395/AC394</f>
        <v>5</v>
      </c>
      <c r="AC395" s="93">
        <f>AC394/AA395</f>
        <v>302.19242500000018</v>
      </c>
      <c r="AD395" s="94">
        <f t="shared" ref="AD395" si="343">AC395*Z395</f>
        <v>1510.9621250000009</v>
      </c>
      <c r="AE395" s="190"/>
      <c r="AF395" s="191"/>
      <c r="AG395" s="191"/>
      <c r="AH395" s="191"/>
      <c r="AI395" s="186"/>
      <c r="AK395" s="171"/>
    </row>
    <row r="396" spans="1:37" ht="20.100000000000001" customHeight="1" x14ac:dyDescent="0.25">
      <c r="A396" s="277" t="s">
        <v>216</v>
      </c>
      <c r="B396" s="278"/>
      <c r="C396" s="64" t="s">
        <v>231</v>
      </c>
      <c r="D396" s="46" t="s">
        <v>97</v>
      </c>
      <c r="E396" s="114"/>
      <c r="F396" s="44">
        <v>0</v>
      </c>
      <c r="G396" s="44">
        <f t="shared" si="199"/>
        <v>0</v>
      </c>
      <c r="H396" s="44">
        <f t="shared" si="200"/>
        <v>0</v>
      </c>
      <c r="I396" s="43">
        <f t="shared" si="201"/>
        <v>0</v>
      </c>
      <c r="J396" s="112">
        <f t="shared" si="202"/>
        <v>0</v>
      </c>
      <c r="K396" s="211">
        <f t="shared" si="203"/>
        <v>0</v>
      </c>
      <c r="L396" s="44"/>
      <c r="M396" s="44">
        <f t="shared" si="223"/>
        <v>0</v>
      </c>
      <c r="N396" s="173">
        <f t="shared" si="204"/>
        <v>0</v>
      </c>
      <c r="O396" s="44">
        <f t="shared" si="205"/>
        <v>0</v>
      </c>
      <c r="P396" s="44">
        <f t="shared" si="206"/>
        <v>0</v>
      </c>
      <c r="Q396" s="44">
        <f t="shared" si="207"/>
        <v>0</v>
      </c>
      <c r="R396" s="44">
        <f t="shared" si="224"/>
        <v>0</v>
      </c>
      <c r="S396" s="123"/>
      <c r="T396" s="219">
        <f t="shared" si="225"/>
        <v>0</v>
      </c>
      <c r="U396" s="87"/>
      <c r="V396" s="47"/>
      <c r="W396" s="48"/>
      <c r="X396" s="48"/>
      <c r="Y396" s="48"/>
      <c r="Z396" s="135"/>
      <c r="AA396" s="49"/>
      <c r="AB396" s="50">
        <f t="shared" si="208"/>
        <v>0</v>
      </c>
      <c r="AC396" s="42">
        <f t="shared" si="226"/>
        <v>9.9999999999999998E-20</v>
      </c>
      <c r="AD396" s="90"/>
      <c r="AE396" s="188"/>
      <c r="AF396" s="189"/>
      <c r="AG396" s="189"/>
      <c r="AH396" s="189"/>
      <c r="AI396" s="161"/>
    </row>
    <row r="397" spans="1:37" ht="20.100000000000001" customHeight="1" x14ac:dyDescent="0.25">
      <c r="A397" s="277" t="s">
        <v>216</v>
      </c>
      <c r="B397" s="278"/>
      <c r="C397" s="64" t="s">
        <v>232</v>
      </c>
      <c r="D397" s="46" t="s">
        <v>97</v>
      </c>
      <c r="E397" s="114"/>
      <c r="F397" s="44">
        <v>0</v>
      </c>
      <c r="G397" s="44">
        <f t="shared" si="199"/>
        <v>0</v>
      </c>
      <c r="H397" s="44">
        <f t="shared" si="200"/>
        <v>0</v>
      </c>
      <c r="I397" s="43">
        <f t="shared" si="201"/>
        <v>0</v>
      </c>
      <c r="J397" s="112">
        <f t="shared" si="202"/>
        <v>0</v>
      </c>
      <c r="K397" s="211">
        <f t="shared" si="203"/>
        <v>0</v>
      </c>
      <c r="L397" s="44"/>
      <c r="M397" s="44">
        <f t="shared" si="223"/>
        <v>0</v>
      </c>
      <c r="N397" s="173">
        <f t="shared" si="204"/>
        <v>0</v>
      </c>
      <c r="O397" s="44">
        <f t="shared" si="205"/>
        <v>0</v>
      </c>
      <c r="P397" s="44">
        <f t="shared" si="206"/>
        <v>0</v>
      </c>
      <c r="Q397" s="44">
        <f t="shared" si="207"/>
        <v>0</v>
      </c>
      <c r="R397" s="44">
        <f t="shared" si="224"/>
        <v>0</v>
      </c>
      <c r="S397" s="123"/>
      <c r="T397" s="219">
        <f t="shared" si="225"/>
        <v>0</v>
      </c>
      <c r="U397" s="87"/>
      <c r="V397" s="47"/>
      <c r="W397" s="48"/>
      <c r="X397" s="48"/>
      <c r="Y397" s="48"/>
      <c r="Z397" s="135"/>
      <c r="AA397" s="49"/>
      <c r="AB397" s="50">
        <f t="shared" si="208"/>
        <v>0</v>
      </c>
      <c r="AC397" s="42">
        <f t="shared" si="226"/>
        <v>9.9999999999999998E-20</v>
      </c>
      <c r="AD397" s="90"/>
      <c r="AE397" s="188"/>
      <c r="AF397" s="189"/>
      <c r="AG397" s="189"/>
      <c r="AH397" s="189"/>
      <c r="AI397" s="161"/>
    </row>
    <row r="398" spans="1:37" ht="20.100000000000001" customHeight="1" x14ac:dyDescent="0.25">
      <c r="A398" s="277" t="s">
        <v>216</v>
      </c>
      <c r="B398" s="278"/>
      <c r="C398" s="64" t="s">
        <v>233</v>
      </c>
      <c r="D398" s="46" t="s">
        <v>97</v>
      </c>
      <c r="E398" s="114"/>
      <c r="F398" s="44">
        <v>0</v>
      </c>
      <c r="G398" s="44">
        <f t="shared" si="199"/>
        <v>0</v>
      </c>
      <c r="H398" s="44">
        <f t="shared" si="200"/>
        <v>0</v>
      </c>
      <c r="I398" s="43">
        <f t="shared" si="201"/>
        <v>0</v>
      </c>
      <c r="J398" s="112">
        <f t="shared" si="202"/>
        <v>0</v>
      </c>
      <c r="K398" s="211">
        <f t="shared" si="203"/>
        <v>0</v>
      </c>
      <c r="L398" s="44"/>
      <c r="M398" s="44">
        <f t="shared" si="223"/>
        <v>0</v>
      </c>
      <c r="N398" s="173">
        <f t="shared" si="204"/>
        <v>0</v>
      </c>
      <c r="O398" s="44">
        <f t="shared" si="205"/>
        <v>0</v>
      </c>
      <c r="P398" s="44">
        <f t="shared" si="206"/>
        <v>0</v>
      </c>
      <c r="Q398" s="44">
        <f t="shared" si="207"/>
        <v>0</v>
      </c>
      <c r="R398" s="44">
        <f t="shared" si="224"/>
        <v>0</v>
      </c>
      <c r="S398" s="123"/>
      <c r="T398" s="219">
        <f t="shared" si="225"/>
        <v>0</v>
      </c>
      <c r="U398" s="87"/>
      <c r="V398" s="47"/>
      <c r="W398" s="48"/>
      <c r="X398" s="48"/>
      <c r="Y398" s="48"/>
      <c r="Z398" s="135"/>
      <c r="AA398" s="49"/>
      <c r="AB398" s="50">
        <f t="shared" si="208"/>
        <v>0</v>
      </c>
      <c r="AC398" s="42">
        <f t="shared" si="226"/>
        <v>9.9999999999999998E-20</v>
      </c>
      <c r="AD398" s="90"/>
      <c r="AE398" s="188"/>
      <c r="AF398" s="189"/>
      <c r="AG398" s="189"/>
      <c r="AH398" s="189"/>
      <c r="AI398" s="161"/>
    </row>
    <row r="399" spans="1:37" ht="20.100000000000001" customHeight="1" x14ac:dyDescent="0.25">
      <c r="A399" s="277" t="s">
        <v>216</v>
      </c>
      <c r="B399" s="278"/>
      <c r="C399" s="64" t="s">
        <v>234</v>
      </c>
      <c r="D399" s="46" t="s">
        <v>97</v>
      </c>
      <c r="E399" s="114"/>
      <c r="F399" s="44">
        <v>0</v>
      </c>
      <c r="G399" s="44">
        <f t="shared" si="199"/>
        <v>0</v>
      </c>
      <c r="H399" s="44">
        <f t="shared" si="200"/>
        <v>0</v>
      </c>
      <c r="I399" s="43">
        <f t="shared" si="201"/>
        <v>0</v>
      </c>
      <c r="J399" s="112">
        <f t="shared" si="202"/>
        <v>0</v>
      </c>
      <c r="K399" s="211">
        <f t="shared" si="203"/>
        <v>0</v>
      </c>
      <c r="L399" s="44"/>
      <c r="M399" s="44">
        <f t="shared" si="223"/>
        <v>0</v>
      </c>
      <c r="N399" s="173">
        <f t="shared" si="204"/>
        <v>0</v>
      </c>
      <c r="O399" s="44">
        <f t="shared" si="205"/>
        <v>0</v>
      </c>
      <c r="P399" s="44">
        <f t="shared" si="206"/>
        <v>0</v>
      </c>
      <c r="Q399" s="44">
        <f t="shared" si="207"/>
        <v>0</v>
      </c>
      <c r="R399" s="44">
        <f t="shared" si="224"/>
        <v>0</v>
      </c>
      <c r="S399" s="123"/>
      <c r="T399" s="219">
        <f t="shared" si="225"/>
        <v>0</v>
      </c>
      <c r="U399" s="87"/>
      <c r="V399" s="47"/>
      <c r="W399" s="48"/>
      <c r="X399" s="48"/>
      <c r="Y399" s="48"/>
      <c r="Z399" s="135"/>
      <c r="AA399" s="49"/>
      <c r="AB399" s="50">
        <f t="shared" si="208"/>
        <v>0</v>
      </c>
      <c r="AC399" s="42">
        <f t="shared" si="226"/>
        <v>9.9999999999999998E-20</v>
      </c>
      <c r="AD399" s="90"/>
      <c r="AE399" s="188"/>
      <c r="AF399" s="189"/>
      <c r="AG399" s="189"/>
      <c r="AH399" s="189"/>
      <c r="AI399" s="161"/>
    </row>
    <row r="400" spans="1:37" ht="20.100000000000001" customHeight="1" x14ac:dyDescent="0.25">
      <c r="A400" s="277" t="s">
        <v>216</v>
      </c>
      <c r="B400" s="278"/>
      <c r="C400" s="64" t="s">
        <v>235</v>
      </c>
      <c r="D400" s="46" t="s">
        <v>97</v>
      </c>
      <c r="E400" s="114"/>
      <c r="F400" s="44">
        <v>0</v>
      </c>
      <c r="G400" s="44">
        <f t="shared" si="199"/>
        <v>0</v>
      </c>
      <c r="H400" s="44">
        <f t="shared" si="200"/>
        <v>0</v>
      </c>
      <c r="I400" s="43">
        <f t="shared" si="201"/>
        <v>0</v>
      </c>
      <c r="J400" s="112">
        <f t="shared" si="202"/>
        <v>0</v>
      </c>
      <c r="K400" s="211">
        <f t="shared" si="203"/>
        <v>0</v>
      </c>
      <c r="L400" s="44"/>
      <c r="M400" s="44">
        <f t="shared" si="223"/>
        <v>0</v>
      </c>
      <c r="N400" s="173">
        <f t="shared" si="204"/>
        <v>0</v>
      </c>
      <c r="O400" s="44">
        <f t="shared" si="205"/>
        <v>0</v>
      </c>
      <c r="P400" s="44">
        <f t="shared" si="206"/>
        <v>0</v>
      </c>
      <c r="Q400" s="44">
        <f t="shared" si="207"/>
        <v>0</v>
      </c>
      <c r="R400" s="44">
        <f t="shared" si="224"/>
        <v>0</v>
      </c>
      <c r="S400" s="123"/>
      <c r="T400" s="219">
        <f t="shared" si="225"/>
        <v>0</v>
      </c>
      <c r="U400" s="87"/>
      <c r="V400" s="47"/>
      <c r="W400" s="48"/>
      <c r="X400" s="48"/>
      <c r="Y400" s="48"/>
      <c r="Z400" s="135"/>
      <c r="AA400" s="49"/>
      <c r="AB400" s="50">
        <f t="shared" si="208"/>
        <v>0</v>
      </c>
      <c r="AC400" s="42">
        <f t="shared" si="226"/>
        <v>9.9999999999999998E-20</v>
      </c>
      <c r="AD400" s="90"/>
      <c r="AE400" s="188"/>
      <c r="AF400" s="189"/>
      <c r="AG400" s="189"/>
      <c r="AH400" s="189"/>
      <c r="AI400" s="161"/>
    </row>
    <row r="401" spans="1:41" ht="20.100000000000001" customHeight="1" x14ac:dyDescent="0.25">
      <c r="A401" s="277" t="s">
        <v>216</v>
      </c>
      <c r="B401" s="278"/>
      <c r="C401" s="64" t="s">
        <v>236</v>
      </c>
      <c r="D401" s="46" t="s">
        <v>97</v>
      </c>
      <c r="E401" s="114"/>
      <c r="F401" s="44">
        <v>0</v>
      </c>
      <c r="G401" s="44">
        <f t="shared" si="199"/>
        <v>0</v>
      </c>
      <c r="H401" s="44">
        <f t="shared" si="200"/>
        <v>0</v>
      </c>
      <c r="I401" s="43">
        <f t="shared" si="201"/>
        <v>0</v>
      </c>
      <c r="J401" s="112">
        <f t="shared" si="202"/>
        <v>0</v>
      </c>
      <c r="K401" s="211">
        <f t="shared" si="203"/>
        <v>0</v>
      </c>
      <c r="L401" s="44"/>
      <c r="M401" s="44">
        <f t="shared" si="223"/>
        <v>0</v>
      </c>
      <c r="N401" s="173">
        <f t="shared" si="204"/>
        <v>0</v>
      </c>
      <c r="O401" s="44">
        <f t="shared" si="205"/>
        <v>0</v>
      </c>
      <c r="P401" s="44">
        <f t="shared" si="206"/>
        <v>0</v>
      </c>
      <c r="Q401" s="44">
        <f t="shared" si="207"/>
        <v>0</v>
      </c>
      <c r="R401" s="44">
        <f t="shared" si="224"/>
        <v>0</v>
      </c>
      <c r="S401" s="123"/>
      <c r="T401" s="219">
        <f t="shared" si="225"/>
        <v>0</v>
      </c>
      <c r="U401" s="87"/>
      <c r="V401" s="47"/>
      <c r="W401" s="48"/>
      <c r="X401" s="48"/>
      <c r="Y401" s="48"/>
      <c r="Z401" s="135"/>
      <c r="AA401" s="49"/>
      <c r="AB401" s="50">
        <f t="shared" si="208"/>
        <v>0</v>
      </c>
      <c r="AC401" s="42">
        <f t="shared" si="226"/>
        <v>9.9999999999999998E-20</v>
      </c>
      <c r="AD401" s="90"/>
      <c r="AE401" s="188"/>
      <c r="AF401" s="189"/>
      <c r="AG401" s="189"/>
      <c r="AH401" s="189"/>
      <c r="AI401" s="161"/>
    </row>
    <row r="402" spans="1:41" ht="20.100000000000001" customHeight="1" x14ac:dyDescent="0.25">
      <c r="A402" s="277" t="s">
        <v>216</v>
      </c>
      <c r="B402" s="278"/>
      <c r="C402" s="64" t="s">
        <v>237</v>
      </c>
      <c r="D402" s="46" t="s">
        <v>97</v>
      </c>
      <c r="E402" s="114"/>
      <c r="F402" s="44">
        <v>0</v>
      </c>
      <c r="G402" s="44">
        <f t="shared" si="199"/>
        <v>0</v>
      </c>
      <c r="H402" s="44">
        <f t="shared" si="200"/>
        <v>0</v>
      </c>
      <c r="I402" s="43">
        <f t="shared" si="201"/>
        <v>0</v>
      </c>
      <c r="J402" s="112">
        <f t="shared" si="202"/>
        <v>0</v>
      </c>
      <c r="K402" s="211">
        <f t="shared" si="203"/>
        <v>0</v>
      </c>
      <c r="L402" s="44"/>
      <c r="M402" s="44">
        <f t="shared" si="223"/>
        <v>0</v>
      </c>
      <c r="N402" s="173">
        <f t="shared" si="204"/>
        <v>0</v>
      </c>
      <c r="O402" s="44">
        <f t="shared" si="205"/>
        <v>0</v>
      </c>
      <c r="P402" s="44">
        <f t="shared" si="206"/>
        <v>0</v>
      </c>
      <c r="Q402" s="44">
        <f t="shared" si="207"/>
        <v>0</v>
      </c>
      <c r="R402" s="44">
        <f t="shared" si="224"/>
        <v>0</v>
      </c>
      <c r="S402" s="123"/>
      <c r="T402" s="219">
        <f t="shared" si="225"/>
        <v>0</v>
      </c>
      <c r="U402" s="87"/>
      <c r="V402" s="47"/>
      <c r="W402" s="48"/>
      <c r="X402" s="48"/>
      <c r="Y402" s="48"/>
      <c r="Z402" s="135"/>
      <c r="AA402" s="49"/>
      <c r="AB402" s="50">
        <f t="shared" si="208"/>
        <v>0</v>
      </c>
      <c r="AC402" s="42">
        <f t="shared" si="226"/>
        <v>9.9999999999999998E-20</v>
      </c>
      <c r="AD402" s="90"/>
      <c r="AE402" s="188"/>
      <c r="AF402" s="189"/>
      <c r="AG402" s="189"/>
      <c r="AH402" s="189"/>
      <c r="AI402" s="161"/>
    </row>
    <row r="403" spans="1:41" ht="20.100000000000001" customHeight="1" x14ac:dyDescent="0.25">
      <c r="A403" s="277" t="s">
        <v>216</v>
      </c>
      <c r="B403" s="278"/>
      <c r="C403" s="64" t="s">
        <v>238</v>
      </c>
      <c r="D403" s="46" t="s">
        <v>97</v>
      </c>
      <c r="E403" s="114">
        <v>435.89909999999963</v>
      </c>
      <c r="F403" s="44">
        <v>1714</v>
      </c>
      <c r="G403" s="44">
        <f t="shared" si="199"/>
        <v>747131.05739999935</v>
      </c>
      <c r="H403" s="44">
        <f t="shared" si="200"/>
        <v>653.14456250980402</v>
      </c>
      <c r="I403" s="43">
        <f t="shared" si="201"/>
        <v>284705.12696791708</v>
      </c>
      <c r="J403" s="112">
        <f t="shared" si="202"/>
        <v>435.89909999999963</v>
      </c>
      <c r="K403" s="211">
        <f t="shared" si="203"/>
        <v>435.89909999999963</v>
      </c>
      <c r="L403" s="44"/>
      <c r="M403" s="44">
        <f t="shared" si="223"/>
        <v>435.89909999999963</v>
      </c>
      <c r="N403" s="173">
        <f t="shared" si="204"/>
        <v>1</v>
      </c>
      <c r="O403" s="44">
        <f t="shared" si="205"/>
        <v>1714</v>
      </c>
      <c r="P403" s="44">
        <f t="shared" si="206"/>
        <v>747131.05739999935</v>
      </c>
      <c r="Q403" s="44">
        <f t="shared" si="207"/>
        <v>653.14456250980402</v>
      </c>
      <c r="R403" s="44">
        <f t="shared" si="224"/>
        <v>284705.12696791708</v>
      </c>
      <c r="S403" s="123"/>
      <c r="T403" s="219">
        <f t="shared" si="225"/>
        <v>284705.12696791708</v>
      </c>
      <c r="U403" s="87"/>
      <c r="V403" s="47"/>
      <c r="W403" s="48"/>
      <c r="X403" s="48"/>
      <c r="Y403" s="48"/>
      <c r="Z403" s="135"/>
      <c r="AA403" s="49"/>
      <c r="AB403" s="50">
        <f t="shared" si="208"/>
        <v>653.14456250980402</v>
      </c>
      <c r="AC403" s="42">
        <f t="shared" si="226"/>
        <v>435.89909999999963</v>
      </c>
      <c r="AD403" s="90">
        <f>AD404+AD413+AD419</f>
        <v>284705.12696791708</v>
      </c>
      <c r="AE403" s="188">
        <f t="shared" ref="AE403:AH403" si="344">AE404+AE413+AE419</f>
        <v>0</v>
      </c>
      <c r="AF403" s="189">
        <f t="shared" si="344"/>
        <v>0</v>
      </c>
      <c r="AG403" s="189">
        <f t="shared" si="344"/>
        <v>0</v>
      </c>
      <c r="AH403" s="189">
        <f t="shared" si="344"/>
        <v>0</v>
      </c>
      <c r="AI403" s="161">
        <f t="shared" ref="AI403" si="345">SUM(AE403:AH403)</f>
        <v>0</v>
      </c>
      <c r="AK403" s="169">
        <v>5</v>
      </c>
      <c r="AO403" s="19" t="s">
        <v>63</v>
      </c>
    </row>
    <row r="404" spans="1:41" s="103" customFormat="1" ht="19.899999999999999" customHeight="1" x14ac:dyDescent="0.25">
      <c r="A404" s="51"/>
      <c r="B404" s="52"/>
      <c r="C404" s="165"/>
      <c r="D404" s="52"/>
      <c r="E404" s="115"/>
      <c r="F404" s="58"/>
      <c r="G404" s="58"/>
      <c r="H404" s="58"/>
      <c r="I404" s="55"/>
      <c r="J404" s="113">
        <f>J403</f>
        <v>435.89909999999963</v>
      </c>
      <c r="K404" s="212">
        <f>K403</f>
        <v>435.89909999999963</v>
      </c>
      <c r="L404" s="58"/>
      <c r="M404" s="58">
        <f>K404-L404</f>
        <v>435.89909999999963</v>
      </c>
      <c r="N404" s="166"/>
      <c r="O404" s="58"/>
      <c r="P404" s="58"/>
      <c r="Q404" s="58"/>
      <c r="R404" s="58"/>
      <c r="S404" s="58"/>
      <c r="T404" s="220"/>
      <c r="U404" s="88"/>
      <c r="V404" s="56"/>
      <c r="W404" s="57" t="s">
        <v>1285</v>
      </c>
      <c r="X404" s="53"/>
      <c r="Y404" s="91" t="s">
        <v>68</v>
      </c>
      <c r="Z404" s="136">
        <f>AD404/AC404</f>
        <v>15.16122917647059</v>
      </c>
      <c r="AA404" s="58"/>
      <c r="AB404" s="53">
        <f>AD404/AC404</f>
        <v>15.16122917647059</v>
      </c>
      <c r="AC404" s="53">
        <f>M404+$AE$10</f>
        <v>435.89909999999963</v>
      </c>
      <c r="AD404" s="54">
        <f>SUM(AD405:AD412)</f>
        <v>6608.7661529172656</v>
      </c>
      <c r="AE404" s="184">
        <f>SUMIFS($AD$37:$AD$12971,$V$37:$V$12971,$V404,$X$37:$X$12971,AE$13)</f>
        <v>0</v>
      </c>
      <c r="AF404" s="185">
        <f>SUMIFS($AD$37:$AD$12971,$V$37:$V$12971,$V404,$X$37:$X$12971,AF$13)</f>
        <v>0</v>
      </c>
      <c r="AG404" s="185">
        <f>SUMIFS($AD$37:$AD$12971,$V$37:$V$12971,$V404,$X$37:$X$12971,AG$13)</f>
        <v>0</v>
      </c>
      <c r="AH404" s="187">
        <f>SUMIFS($AD$37:$AD$12971,$V$37:$V$12971,$V404,$X$37:$X$12971,AH$13)</f>
        <v>0</v>
      </c>
      <c r="AI404" s="161">
        <f t="shared" ref="AI404" si="346">SUM(AE404:AH404)</f>
        <v>0</v>
      </c>
      <c r="AK404" s="172"/>
    </row>
    <row r="405" spans="1:41" s="102" customFormat="1" ht="19.899999999999999" customHeight="1" x14ac:dyDescent="0.25">
      <c r="A405" s="45"/>
      <c r="B405" s="59"/>
      <c r="C405" s="137"/>
      <c r="D405" s="59"/>
      <c r="E405" s="116"/>
      <c r="F405" s="120"/>
      <c r="G405" s="120"/>
      <c r="H405" s="120"/>
      <c r="I405" s="60"/>
      <c r="J405" s="116"/>
      <c r="K405" s="213"/>
      <c r="L405" s="120"/>
      <c r="M405" s="120"/>
      <c r="N405" s="167"/>
      <c r="O405" s="120"/>
      <c r="P405" s="120"/>
      <c r="Q405" s="120"/>
      <c r="R405" s="120"/>
      <c r="S405" s="120"/>
      <c r="T405" s="221"/>
      <c r="U405" s="89"/>
      <c r="V405" s="61"/>
      <c r="W405" s="92" t="s">
        <v>129</v>
      </c>
      <c r="X405" s="93" t="s">
        <v>29</v>
      </c>
      <c r="Y405" s="93" t="s">
        <v>93</v>
      </c>
      <c r="Z405" s="134">
        <f>VLOOKUP(W405,Sheet2!$B:$D,3,FALSE)</f>
        <v>56</v>
      </c>
      <c r="AA405" s="93">
        <f>100/(1.56*2)</f>
        <v>32.051282051282051</v>
      </c>
      <c r="AB405" s="93">
        <f t="shared" ref="AB405" si="347">AD405/AC404</f>
        <v>1.7471999999999999</v>
      </c>
      <c r="AC405" s="93">
        <f>AC404/AA405</f>
        <v>13.600051919999988</v>
      </c>
      <c r="AD405" s="94">
        <f t="shared" ref="AD405:AD406" si="348">AC405*Z405</f>
        <v>761.60290751999935</v>
      </c>
      <c r="AE405" s="190"/>
      <c r="AF405" s="191"/>
      <c r="AG405" s="191"/>
      <c r="AH405" s="191"/>
      <c r="AI405" s="186"/>
      <c r="AK405" s="171"/>
    </row>
    <row r="406" spans="1:41" s="102" customFormat="1" ht="19.899999999999999" customHeight="1" x14ac:dyDescent="0.25">
      <c r="A406" s="45"/>
      <c r="B406" s="59"/>
      <c r="C406" s="137"/>
      <c r="D406" s="59"/>
      <c r="E406" s="116"/>
      <c r="F406" s="120"/>
      <c r="G406" s="120"/>
      <c r="H406" s="120"/>
      <c r="I406" s="60"/>
      <c r="J406" s="116"/>
      <c r="K406" s="213"/>
      <c r="L406" s="120"/>
      <c r="M406" s="120"/>
      <c r="N406" s="167"/>
      <c r="O406" s="120"/>
      <c r="P406" s="120"/>
      <c r="Q406" s="120"/>
      <c r="R406" s="120"/>
      <c r="S406" s="120"/>
      <c r="T406" s="221"/>
      <c r="U406" s="89"/>
      <c r="V406" s="61"/>
      <c r="W406" s="92" t="s">
        <v>65</v>
      </c>
      <c r="X406" s="93" t="s">
        <v>30</v>
      </c>
      <c r="Y406" s="93" t="s">
        <v>1011</v>
      </c>
      <c r="Z406" s="134">
        <f>VLOOKUP(W406,Sheet2!$B:$D,3,FALSE)</f>
        <v>1.76</v>
      </c>
      <c r="AA406" s="93">
        <f>AA405/14</f>
        <v>2.2893772893772892</v>
      </c>
      <c r="AB406" s="93">
        <f>AD406/AC404</f>
        <v>0.76876800000000012</v>
      </c>
      <c r="AC406" s="93">
        <f>AC404/AA406</f>
        <v>190.40072687999987</v>
      </c>
      <c r="AD406" s="94">
        <f t="shared" si="348"/>
        <v>335.10527930879977</v>
      </c>
      <c r="AE406" s="190"/>
      <c r="AF406" s="191"/>
      <c r="AG406" s="191"/>
      <c r="AH406" s="191"/>
      <c r="AI406" s="186"/>
      <c r="AK406" s="171"/>
    </row>
    <row r="407" spans="1:41" s="102" customFormat="1" ht="19.899999999999999" customHeight="1" x14ac:dyDescent="0.25">
      <c r="A407" s="45"/>
      <c r="B407" s="59"/>
      <c r="C407" s="137"/>
      <c r="D407" s="59"/>
      <c r="E407" s="116"/>
      <c r="F407" s="120"/>
      <c r="G407" s="120"/>
      <c r="H407" s="120"/>
      <c r="I407" s="60"/>
      <c r="J407" s="116"/>
      <c r="K407" s="213"/>
      <c r="L407" s="120"/>
      <c r="M407" s="120"/>
      <c r="N407" s="167"/>
      <c r="O407" s="120"/>
      <c r="P407" s="120"/>
      <c r="Q407" s="120"/>
      <c r="R407" s="120"/>
      <c r="S407" s="120"/>
      <c r="T407" s="221"/>
      <c r="U407" s="89"/>
      <c r="V407" s="61"/>
      <c r="W407" s="92" t="s">
        <v>161</v>
      </c>
      <c r="X407" s="93" t="s">
        <v>29</v>
      </c>
      <c r="Y407" s="93" t="s">
        <v>93</v>
      </c>
      <c r="Z407" s="134">
        <f>VLOOKUP(W407,Sheet2!$B:$D,3,FALSE)</f>
        <v>48</v>
      </c>
      <c r="AA407" s="93">
        <f>(16*0.85*1.5)/(1.56*2)</f>
        <v>6.5384615384615374</v>
      </c>
      <c r="AB407" s="93">
        <f>AD407/AC404</f>
        <v>7.3411764705882359</v>
      </c>
      <c r="AC407" s="93">
        <f>AC404/AA407</f>
        <v>66.666921176470538</v>
      </c>
      <c r="AD407" s="94">
        <f>AC407*Z407</f>
        <v>3200.0122164705858</v>
      </c>
      <c r="AE407" s="190"/>
      <c r="AF407" s="191"/>
      <c r="AG407" s="191"/>
      <c r="AH407" s="191"/>
      <c r="AI407" s="186"/>
      <c r="AK407" s="171"/>
    </row>
    <row r="408" spans="1:41" s="102" customFormat="1" ht="19.899999999999999" customHeight="1" x14ac:dyDescent="0.25">
      <c r="A408" s="45"/>
      <c r="B408" s="59"/>
      <c r="C408" s="137"/>
      <c r="D408" s="59"/>
      <c r="E408" s="116"/>
      <c r="F408" s="120"/>
      <c r="G408" s="120"/>
      <c r="H408" s="120"/>
      <c r="I408" s="60"/>
      <c r="J408" s="116"/>
      <c r="K408" s="213"/>
      <c r="L408" s="120"/>
      <c r="M408" s="120"/>
      <c r="N408" s="167"/>
      <c r="O408" s="120"/>
      <c r="P408" s="120"/>
      <c r="Q408" s="120"/>
      <c r="R408" s="120"/>
      <c r="S408" s="120"/>
      <c r="T408" s="221"/>
      <c r="U408" s="89"/>
      <c r="V408" s="61"/>
      <c r="W408" s="92" t="s">
        <v>65</v>
      </c>
      <c r="X408" s="93" t="s">
        <v>30</v>
      </c>
      <c r="Y408" s="93" t="s">
        <v>1011</v>
      </c>
      <c r="Z408" s="134">
        <f>VLOOKUP(W408,Sheet2!$B:$D,3,FALSE)</f>
        <v>1.76</v>
      </c>
      <c r="AA408" s="93">
        <f>AA407/10</f>
        <v>0.65384615384615374</v>
      </c>
      <c r="AB408" s="93">
        <f>AD408/AC404</f>
        <v>2.6917647058823535</v>
      </c>
      <c r="AC408" s="93">
        <f>AC404/AA408</f>
        <v>666.66921176470544</v>
      </c>
      <c r="AD408" s="94">
        <f>AC408*Z408</f>
        <v>1173.3378127058816</v>
      </c>
      <c r="AE408" s="190"/>
      <c r="AF408" s="191"/>
      <c r="AG408" s="191"/>
      <c r="AH408" s="191"/>
      <c r="AI408" s="186"/>
      <c r="AK408" s="171"/>
    </row>
    <row r="409" spans="1:41" s="102" customFormat="1" ht="19.899999999999999" customHeight="1" x14ac:dyDescent="0.25">
      <c r="A409" s="45"/>
      <c r="B409" s="59"/>
      <c r="C409" s="137"/>
      <c r="D409" s="59"/>
      <c r="E409" s="116"/>
      <c r="F409" s="120"/>
      <c r="G409" s="120"/>
      <c r="H409" s="120"/>
      <c r="I409" s="60"/>
      <c r="J409" s="116"/>
      <c r="K409" s="213"/>
      <c r="L409" s="120"/>
      <c r="M409" s="120"/>
      <c r="N409" s="167"/>
      <c r="O409" s="120"/>
      <c r="P409" s="120"/>
      <c r="Q409" s="120"/>
      <c r="R409" s="120"/>
      <c r="S409" s="120"/>
      <c r="T409" s="221"/>
      <c r="U409" s="89"/>
      <c r="V409" s="61"/>
      <c r="W409" s="92" t="s">
        <v>1030</v>
      </c>
      <c r="X409" s="93" t="s">
        <v>29</v>
      </c>
      <c r="Y409" s="93" t="s">
        <v>93</v>
      </c>
      <c r="Z409" s="134">
        <f>VLOOKUP(W409,Sheet2!$B:$D,3,FALSE)</f>
        <v>23</v>
      </c>
      <c r="AA409" s="93">
        <v>50</v>
      </c>
      <c r="AB409" s="93">
        <f>AD409/AC404</f>
        <v>0.45999999999999996</v>
      </c>
      <c r="AC409" s="93">
        <f>AC404/AA409</f>
        <v>8.7179819999999921</v>
      </c>
      <c r="AD409" s="94">
        <f t="shared" ref="AD409:AD412" si="349">AC409*Z409</f>
        <v>200.5135859999998</v>
      </c>
      <c r="AE409" s="190"/>
      <c r="AF409" s="191"/>
      <c r="AG409" s="191"/>
      <c r="AH409" s="191"/>
      <c r="AI409" s="186"/>
      <c r="AK409" s="171"/>
    </row>
    <row r="410" spans="1:41" s="102" customFormat="1" ht="19.899999999999999" customHeight="1" x14ac:dyDescent="0.25">
      <c r="A410" s="45"/>
      <c r="B410" s="59"/>
      <c r="C410" s="137"/>
      <c r="D410" s="59"/>
      <c r="E410" s="116"/>
      <c r="F410" s="120"/>
      <c r="G410" s="120"/>
      <c r="H410" s="120"/>
      <c r="I410" s="60"/>
      <c r="J410" s="116"/>
      <c r="K410" s="213"/>
      <c r="L410" s="120"/>
      <c r="M410" s="120"/>
      <c r="N410" s="167"/>
      <c r="O410" s="120"/>
      <c r="P410" s="120"/>
      <c r="Q410" s="120"/>
      <c r="R410" s="120"/>
      <c r="S410" s="120"/>
      <c r="T410" s="221"/>
      <c r="U410" s="89"/>
      <c r="V410" s="61"/>
      <c r="W410" s="92" t="s">
        <v>65</v>
      </c>
      <c r="X410" s="93" t="s">
        <v>30</v>
      </c>
      <c r="Y410" s="93" t="s">
        <v>1011</v>
      </c>
      <c r="Z410" s="134">
        <f>VLOOKUP(W410,Sheet2!$B:$D,3,FALSE)</f>
        <v>1.76</v>
      </c>
      <c r="AA410" s="93">
        <f>AA409/3</f>
        <v>16.666666666666668</v>
      </c>
      <c r="AB410" s="93">
        <f>AD410/AC404</f>
        <v>0.10559999999999999</v>
      </c>
      <c r="AC410" s="93">
        <f>AC404/AA410</f>
        <v>26.153945999999976</v>
      </c>
      <c r="AD410" s="94">
        <f t="shared" si="349"/>
        <v>46.030944959999957</v>
      </c>
      <c r="AE410" s="190"/>
      <c r="AF410" s="191"/>
      <c r="AG410" s="191"/>
      <c r="AH410" s="191"/>
      <c r="AI410" s="186"/>
      <c r="AK410" s="171"/>
    </row>
    <row r="411" spans="1:41" s="102" customFormat="1" ht="19.899999999999999" customHeight="1" x14ac:dyDescent="0.25">
      <c r="A411" s="45"/>
      <c r="B411" s="59"/>
      <c r="C411" s="137"/>
      <c r="D411" s="59"/>
      <c r="E411" s="116"/>
      <c r="F411" s="120"/>
      <c r="G411" s="120"/>
      <c r="H411" s="120"/>
      <c r="I411" s="60"/>
      <c r="J411" s="116"/>
      <c r="K411" s="213"/>
      <c r="L411" s="120"/>
      <c r="M411" s="120"/>
      <c r="N411" s="167"/>
      <c r="O411" s="120"/>
      <c r="P411" s="120"/>
      <c r="Q411" s="120"/>
      <c r="R411" s="120"/>
      <c r="S411" s="120"/>
      <c r="T411" s="221"/>
      <c r="U411" s="89"/>
      <c r="V411" s="61"/>
      <c r="W411" s="92" t="s">
        <v>148</v>
      </c>
      <c r="X411" s="93" t="s">
        <v>29</v>
      </c>
      <c r="Y411" s="93" t="s">
        <v>93</v>
      </c>
      <c r="Z411" s="134">
        <f>VLOOKUP(W411,Sheet2!$B:$D,3,FALSE)</f>
        <v>48</v>
      </c>
      <c r="AA411" s="93">
        <f>AA405</f>
        <v>32.051282051282051</v>
      </c>
      <c r="AB411" s="93">
        <f>AD411/AC404</f>
        <v>1.4976</v>
      </c>
      <c r="AC411" s="93">
        <f>AC404/AA411</f>
        <v>13.600051919999988</v>
      </c>
      <c r="AD411" s="94">
        <f t="shared" si="349"/>
        <v>652.80249215999947</v>
      </c>
      <c r="AE411" s="190"/>
      <c r="AF411" s="191"/>
      <c r="AG411" s="191"/>
      <c r="AH411" s="191"/>
      <c r="AI411" s="186"/>
      <c r="AK411" s="171"/>
    </row>
    <row r="412" spans="1:41" s="102" customFormat="1" ht="19.899999999999999" customHeight="1" x14ac:dyDescent="0.25">
      <c r="A412" s="45"/>
      <c r="B412" s="59"/>
      <c r="C412" s="137"/>
      <c r="D412" s="59"/>
      <c r="E412" s="116"/>
      <c r="F412" s="120"/>
      <c r="G412" s="120"/>
      <c r="H412" s="120"/>
      <c r="I412" s="60"/>
      <c r="J412" s="116"/>
      <c r="K412" s="213"/>
      <c r="L412" s="120"/>
      <c r="M412" s="120"/>
      <c r="N412" s="167"/>
      <c r="O412" s="120"/>
      <c r="P412" s="120"/>
      <c r="Q412" s="120"/>
      <c r="R412" s="120"/>
      <c r="S412" s="120"/>
      <c r="T412" s="221"/>
      <c r="U412" s="89"/>
      <c r="V412" s="61"/>
      <c r="W412" s="92" t="s">
        <v>65</v>
      </c>
      <c r="X412" s="93" t="s">
        <v>30</v>
      </c>
      <c r="Y412" s="93" t="s">
        <v>1011</v>
      </c>
      <c r="Z412" s="134">
        <f>VLOOKUP(W412,Sheet2!$B:$D,3,FALSE)</f>
        <v>1.76</v>
      </c>
      <c r="AA412" s="93">
        <f>AA411/10</f>
        <v>3.2051282051282053</v>
      </c>
      <c r="AB412" s="93">
        <f>AD412/AC404</f>
        <v>0.54911999999999994</v>
      </c>
      <c r="AC412" s="93">
        <f>AC404/AA412</f>
        <v>136.00051919999987</v>
      </c>
      <c r="AD412" s="94">
        <f t="shared" si="349"/>
        <v>239.36091379199976</v>
      </c>
      <c r="AE412" s="190"/>
      <c r="AF412" s="191"/>
      <c r="AG412" s="191"/>
      <c r="AH412" s="191"/>
      <c r="AI412" s="186"/>
      <c r="AK412" s="171"/>
    </row>
    <row r="413" spans="1:41" s="103" customFormat="1" ht="19.899999999999999" customHeight="1" x14ac:dyDescent="0.25">
      <c r="A413" s="51"/>
      <c r="B413" s="52"/>
      <c r="C413" s="165"/>
      <c r="D413" s="52"/>
      <c r="E413" s="115"/>
      <c r="F413" s="58"/>
      <c r="G413" s="58"/>
      <c r="H413" s="58"/>
      <c r="I413" s="55"/>
      <c r="J413" s="113">
        <f>J403</f>
        <v>435.89909999999963</v>
      </c>
      <c r="K413" s="212">
        <f>K403</f>
        <v>435.89909999999963</v>
      </c>
      <c r="L413" s="58"/>
      <c r="M413" s="58">
        <f>K413-L413</f>
        <v>435.89909999999963</v>
      </c>
      <c r="N413" s="166"/>
      <c r="O413" s="58"/>
      <c r="P413" s="58"/>
      <c r="Q413" s="58"/>
      <c r="R413" s="58"/>
      <c r="S413" s="58"/>
      <c r="T413" s="220"/>
      <c r="U413" s="88"/>
      <c r="V413" s="56"/>
      <c r="W413" s="57" t="s">
        <v>1036</v>
      </c>
      <c r="X413" s="53"/>
      <c r="Y413" s="91" t="s">
        <v>68</v>
      </c>
      <c r="Z413" s="136">
        <f>AD413/AC413</f>
        <v>632.98333333333335</v>
      </c>
      <c r="AA413" s="58"/>
      <c r="AB413" s="53">
        <f>AD413/AC413</f>
        <v>632.98333333333335</v>
      </c>
      <c r="AC413" s="53">
        <f>M413+$AE$10</f>
        <v>435.89909999999963</v>
      </c>
      <c r="AD413" s="54">
        <f>SUM(AD414:AD418)</f>
        <v>275916.86531499977</v>
      </c>
      <c r="AE413" s="184">
        <f>SUMIFS($AD$37:$AD$12971,$V$37:$V$12971,$V413,$X$37:$X$12971,AE$13)</f>
        <v>0</v>
      </c>
      <c r="AF413" s="185">
        <f>SUMIFS($AD$37:$AD$12971,$V$37:$V$12971,$V413,$X$37:$X$12971,AF$13)</f>
        <v>0</v>
      </c>
      <c r="AG413" s="185">
        <f>SUMIFS($AD$37:$AD$12971,$V$37:$V$12971,$V413,$X$37:$X$12971,AG$13)</f>
        <v>0</v>
      </c>
      <c r="AH413" s="187">
        <f>SUMIFS($AD$37:$AD$12971,$V$37:$V$12971,$V413,$X$37:$X$12971,AH$13)</f>
        <v>0</v>
      </c>
      <c r="AI413" s="161">
        <f t="shared" ref="AI413" si="350">SUM(AE413:AH413)</f>
        <v>0</v>
      </c>
      <c r="AK413" s="172"/>
    </row>
    <row r="414" spans="1:41" s="102" customFormat="1" ht="19.899999999999999" customHeight="1" x14ac:dyDescent="0.25">
      <c r="A414" s="45"/>
      <c r="B414" s="59"/>
      <c r="C414" s="137"/>
      <c r="D414" s="59"/>
      <c r="E414" s="116"/>
      <c r="F414" s="120"/>
      <c r="G414" s="120"/>
      <c r="H414" s="120"/>
      <c r="I414" s="60"/>
      <c r="J414" s="116"/>
      <c r="K414" s="213"/>
      <c r="L414" s="120"/>
      <c r="M414" s="120"/>
      <c r="N414" s="167"/>
      <c r="O414" s="120"/>
      <c r="P414" s="120"/>
      <c r="Q414" s="120"/>
      <c r="R414" s="120"/>
      <c r="S414" s="120"/>
      <c r="T414" s="221"/>
      <c r="U414" s="89"/>
      <c r="V414" s="61"/>
      <c r="W414" s="92" t="s">
        <v>1281</v>
      </c>
      <c r="X414" s="93" t="s">
        <v>30</v>
      </c>
      <c r="Y414" s="93" t="s">
        <v>68</v>
      </c>
      <c r="Z414" s="134">
        <f>VLOOKUP(W414,Sheet2!$B:$D,3,FALSE)</f>
        <v>510</v>
      </c>
      <c r="AA414" s="93">
        <v>1</v>
      </c>
      <c r="AB414" s="93">
        <f>AD414/AC413</f>
        <v>510</v>
      </c>
      <c r="AC414" s="93">
        <f>AC413/AA414</f>
        <v>435.89909999999963</v>
      </c>
      <c r="AD414" s="94">
        <f t="shared" ref="AD414" si="351">AC414*Z414</f>
        <v>222308.54099999982</v>
      </c>
      <c r="AE414" s="190"/>
      <c r="AF414" s="191"/>
      <c r="AG414" s="191"/>
      <c r="AH414" s="191"/>
      <c r="AI414" s="186"/>
      <c r="AK414" s="171"/>
    </row>
    <row r="415" spans="1:41" s="102" customFormat="1" ht="19.899999999999999" customHeight="1" x14ac:dyDescent="0.25">
      <c r="A415" s="45"/>
      <c r="B415" s="59"/>
      <c r="C415" s="137"/>
      <c r="D415" s="59"/>
      <c r="E415" s="116"/>
      <c r="F415" s="120"/>
      <c r="G415" s="120"/>
      <c r="H415" s="120"/>
      <c r="I415" s="60"/>
      <c r="J415" s="116"/>
      <c r="K415" s="213"/>
      <c r="L415" s="120"/>
      <c r="M415" s="120"/>
      <c r="N415" s="167"/>
      <c r="O415" s="120"/>
      <c r="P415" s="120"/>
      <c r="Q415" s="120"/>
      <c r="R415" s="120"/>
      <c r="S415" s="120"/>
      <c r="T415" s="221"/>
      <c r="U415" s="89"/>
      <c r="V415" s="61"/>
      <c r="W415" s="92" t="s">
        <v>1282</v>
      </c>
      <c r="X415" s="93" t="s">
        <v>32</v>
      </c>
      <c r="Y415" s="93" t="s">
        <v>68</v>
      </c>
      <c r="Z415" s="134">
        <f>VLOOKUP(W415,Sheet2!$B:$D,3,FALSE)</f>
        <v>60</v>
      </c>
      <c r="AA415" s="93">
        <v>1</v>
      </c>
      <c r="AB415" s="93">
        <f>AD415/AC413</f>
        <v>60</v>
      </c>
      <c r="AC415" s="93">
        <f>AC413/AA415</f>
        <v>435.89909999999963</v>
      </c>
      <c r="AD415" s="94">
        <f>AC415*Z415</f>
        <v>26153.945999999978</v>
      </c>
      <c r="AE415" s="190"/>
      <c r="AF415" s="191"/>
      <c r="AG415" s="191"/>
      <c r="AH415" s="191"/>
      <c r="AI415" s="186"/>
      <c r="AK415" s="171"/>
    </row>
    <row r="416" spans="1:41" s="102" customFormat="1" ht="19.899999999999999" customHeight="1" x14ac:dyDescent="0.25">
      <c r="A416" s="45"/>
      <c r="B416" s="59"/>
      <c r="C416" s="137"/>
      <c r="D416" s="59"/>
      <c r="E416" s="116"/>
      <c r="F416" s="120"/>
      <c r="G416" s="120"/>
      <c r="H416" s="120"/>
      <c r="I416" s="60"/>
      <c r="J416" s="116"/>
      <c r="K416" s="213"/>
      <c r="L416" s="120"/>
      <c r="M416" s="120"/>
      <c r="N416" s="167"/>
      <c r="O416" s="120"/>
      <c r="P416" s="120"/>
      <c r="Q416" s="120"/>
      <c r="R416" s="120"/>
      <c r="S416" s="120"/>
      <c r="T416" s="221"/>
      <c r="U416" s="89"/>
      <c r="V416" s="61"/>
      <c r="W416" s="92" t="s">
        <v>1032</v>
      </c>
      <c r="X416" s="93" t="s">
        <v>30</v>
      </c>
      <c r="Y416" s="93" t="s">
        <v>66</v>
      </c>
      <c r="Z416" s="134">
        <f>VLOOKUP(W416,Sheet2!$B:$D,3,FALSE)</f>
        <v>250</v>
      </c>
      <c r="AA416" s="93">
        <f>1/(1.56*0.1)</f>
        <v>6.4102564102564088</v>
      </c>
      <c r="AB416" s="93">
        <f>AD416/AC413</f>
        <v>39.000000000000007</v>
      </c>
      <c r="AC416" s="93">
        <f>AC413/AA416</f>
        <v>68.000259599999964</v>
      </c>
      <c r="AD416" s="94">
        <f>AC416*Z416</f>
        <v>17000.06489999999</v>
      </c>
      <c r="AE416" s="190"/>
      <c r="AF416" s="191"/>
      <c r="AG416" s="191"/>
      <c r="AH416" s="191"/>
      <c r="AI416" s="186"/>
      <c r="AK416" s="171"/>
    </row>
    <row r="417" spans="1:41" s="102" customFormat="1" ht="19.899999999999999" customHeight="1" x14ac:dyDescent="0.25">
      <c r="A417" s="45"/>
      <c r="B417" s="59"/>
      <c r="C417" s="137"/>
      <c r="D417" s="59"/>
      <c r="E417" s="116"/>
      <c r="F417" s="120"/>
      <c r="G417" s="120"/>
      <c r="H417" s="120"/>
      <c r="I417" s="60"/>
      <c r="J417" s="116"/>
      <c r="K417" s="213"/>
      <c r="L417" s="120"/>
      <c r="M417" s="120"/>
      <c r="N417" s="167"/>
      <c r="O417" s="120"/>
      <c r="P417" s="120"/>
      <c r="Q417" s="120"/>
      <c r="R417" s="120"/>
      <c r="S417" s="120"/>
      <c r="T417" s="221"/>
      <c r="U417" s="89"/>
      <c r="V417" s="61"/>
      <c r="W417" s="92" t="s">
        <v>1035</v>
      </c>
      <c r="X417" s="93" t="s">
        <v>32</v>
      </c>
      <c r="Y417" s="93" t="s">
        <v>66</v>
      </c>
      <c r="Z417" s="134">
        <f>VLOOKUP(W417,Sheet2!$B:$D,3,FALSE)</f>
        <v>150</v>
      </c>
      <c r="AA417" s="93">
        <f>AA416</f>
        <v>6.4102564102564088</v>
      </c>
      <c r="AB417" s="93">
        <f>AD417/AC413</f>
        <v>23.400000000000009</v>
      </c>
      <c r="AC417" s="93">
        <f>AC413/AA417</f>
        <v>68.000259599999964</v>
      </c>
      <c r="AD417" s="94">
        <f t="shared" ref="AD417:AD418" si="352">AC417*Z417</f>
        <v>10200.038939999995</v>
      </c>
      <c r="AE417" s="190"/>
      <c r="AF417" s="191"/>
      <c r="AG417" s="191"/>
      <c r="AH417" s="191"/>
      <c r="AI417" s="186"/>
      <c r="AK417" s="171"/>
    </row>
    <row r="418" spans="1:41" s="102" customFormat="1" ht="19.899999999999999" customHeight="1" x14ac:dyDescent="0.25">
      <c r="A418" s="45"/>
      <c r="B418" s="59"/>
      <c r="C418" s="137"/>
      <c r="D418" s="59"/>
      <c r="E418" s="116"/>
      <c r="F418" s="120"/>
      <c r="G418" s="120"/>
      <c r="H418" s="120"/>
      <c r="I418" s="60"/>
      <c r="J418" s="116"/>
      <c r="K418" s="213"/>
      <c r="L418" s="120"/>
      <c r="M418" s="120"/>
      <c r="N418" s="167"/>
      <c r="O418" s="120"/>
      <c r="P418" s="120"/>
      <c r="Q418" s="120"/>
      <c r="R418" s="120"/>
      <c r="S418" s="120"/>
      <c r="T418" s="221"/>
      <c r="U418" s="89"/>
      <c r="V418" s="61"/>
      <c r="W418" s="92" t="s">
        <v>1037</v>
      </c>
      <c r="X418" s="93" t="s">
        <v>30</v>
      </c>
      <c r="Y418" s="93" t="s">
        <v>1038</v>
      </c>
      <c r="Z418" s="134">
        <f>VLOOKUP(W418,Sheet2!$B:$D,3,FALSE)</f>
        <v>175</v>
      </c>
      <c r="AA418" s="93">
        <v>300</v>
      </c>
      <c r="AB418" s="93">
        <f>AD418/AC413</f>
        <v>0.58333333333333337</v>
      </c>
      <c r="AC418" s="93">
        <f>AC413/AA418</f>
        <v>1.4529969999999988</v>
      </c>
      <c r="AD418" s="94">
        <f t="shared" si="352"/>
        <v>254.2744749999998</v>
      </c>
      <c r="AE418" s="190"/>
      <c r="AF418" s="191"/>
      <c r="AG418" s="191"/>
      <c r="AH418" s="191"/>
      <c r="AI418" s="186"/>
      <c r="AK418" s="171"/>
    </row>
    <row r="419" spans="1:41" s="103" customFormat="1" ht="19.899999999999999" customHeight="1" x14ac:dyDescent="0.25">
      <c r="A419" s="51"/>
      <c r="B419" s="52"/>
      <c r="C419" s="165"/>
      <c r="D419" s="52"/>
      <c r="E419" s="115"/>
      <c r="F419" s="58"/>
      <c r="G419" s="58"/>
      <c r="H419" s="58"/>
      <c r="I419" s="55"/>
      <c r="J419" s="113">
        <f>J403</f>
        <v>435.89909999999963</v>
      </c>
      <c r="K419" s="212">
        <f>K403</f>
        <v>435.89909999999963</v>
      </c>
      <c r="L419" s="58"/>
      <c r="M419" s="58">
        <f>K419-L419</f>
        <v>435.89909999999963</v>
      </c>
      <c r="N419" s="166"/>
      <c r="O419" s="58"/>
      <c r="P419" s="58"/>
      <c r="Q419" s="58"/>
      <c r="R419" s="58"/>
      <c r="S419" s="58"/>
      <c r="T419" s="220"/>
      <c r="U419" s="88"/>
      <c r="V419" s="56"/>
      <c r="W419" s="57" t="s">
        <v>1040</v>
      </c>
      <c r="X419" s="53"/>
      <c r="Y419" s="91" t="s">
        <v>68</v>
      </c>
      <c r="Z419" s="136">
        <f>AD419/AC419</f>
        <v>5</v>
      </c>
      <c r="AA419" s="58"/>
      <c r="AB419" s="53">
        <f>AD419/AC419</f>
        <v>5</v>
      </c>
      <c r="AC419" s="53">
        <f>M419+$AE$10</f>
        <v>435.89909999999963</v>
      </c>
      <c r="AD419" s="54">
        <f>SUM(AD420)</f>
        <v>2179.4954999999982</v>
      </c>
      <c r="AE419" s="184">
        <f>SUMIFS($AD$37:$AD$12971,$V$37:$V$12971,$V419,$X$37:$X$12971,AE$13)</f>
        <v>0</v>
      </c>
      <c r="AF419" s="185">
        <f>SUMIFS($AD$37:$AD$12971,$V$37:$V$12971,$V419,$X$37:$X$12971,AF$13)</f>
        <v>0</v>
      </c>
      <c r="AG419" s="185">
        <f>SUMIFS($AD$37:$AD$12971,$V$37:$V$12971,$V419,$X$37:$X$12971,AG$13)</f>
        <v>0</v>
      </c>
      <c r="AH419" s="187">
        <f>SUMIFS($AD$37:$AD$12971,$V$37:$V$12971,$V419,$X$37:$X$12971,AH$13)</f>
        <v>0</v>
      </c>
      <c r="AI419" s="161">
        <f t="shared" ref="AI419" si="353">SUM(AE419:AH419)</f>
        <v>0</v>
      </c>
      <c r="AK419" s="172"/>
    </row>
    <row r="420" spans="1:41" s="102" customFormat="1" ht="19.899999999999999" customHeight="1" x14ac:dyDescent="0.25">
      <c r="A420" s="45"/>
      <c r="B420" s="59"/>
      <c r="C420" s="137"/>
      <c r="D420" s="59"/>
      <c r="E420" s="116"/>
      <c r="F420" s="120"/>
      <c r="G420" s="120"/>
      <c r="H420" s="120"/>
      <c r="I420" s="60"/>
      <c r="J420" s="116"/>
      <c r="K420" s="213"/>
      <c r="L420" s="120"/>
      <c r="M420" s="120"/>
      <c r="N420" s="167"/>
      <c r="O420" s="120"/>
      <c r="P420" s="120"/>
      <c r="Q420" s="120"/>
      <c r="R420" s="120"/>
      <c r="S420" s="120"/>
      <c r="T420" s="221"/>
      <c r="U420" s="89"/>
      <c r="V420" s="61"/>
      <c r="W420" s="92" t="s">
        <v>1039</v>
      </c>
      <c r="X420" s="93" t="s">
        <v>32</v>
      </c>
      <c r="Y420" s="93" t="s">
        <v>68</v>
      </c>
      <c r="Z420" s="134">
        <f>VLOOKUP(W420,Sheet2!$B:$D,3,FALSE)</f>
        <v>5</v>
      </c>
      <c r="AA420" s="93">
        <v>1</v>
      </c>
      <c r="AB420" s="93">
        <f>AD420/AC419</f>
        <v>5</v>
      </c>
      <c r="AC420" s="93">
        <f>AC419/AA420</f>
        <v>435.89909999999963</v>
      </c>
      <c r="AD420" s="94">
        <f t="shared" ref="AD420" si="354">AC420*Z420</f>
        <v>2179.4954999999982</v>
      </c>
      <c r="AE420" s="190"/>
      <c r="AF420" s="191"/>
      <c r="AG420" s="191"/>
      <c r="AH420" s="191"/>
      <c r="AI420" s="186"/>
      <c r="AK420" s="171"/>
    </row>
    <row r="421" spans="1:41" ht="20.100000000000001" customHeight="1" x14ac:dyDescent="0.25">
      <c r="A421" s="277" t="s">
        <v>216</v>
      </c>
      <c r="B421" s="278"/>
      <c r="C421" s="64" t="s">
        <v>239</v>
      </c>
      <c r="D421" s="46" t="s">
        <v>97</v>
      </c>
      <c r="E421" s="114">
        <v>126.0560999999999</v>
      </c>
      <c r="F421" s="44">
        <v>1777</v>
      </c>
      <c r="G421" s="44">
        <f t="shared" si="199"/>
        <v>224001.68969999981</v>
      </c>
      <c r="H421" s="44">
        <f t="shared" si="200"/>
        <v>691.79346980392165</v>
      </c>
      <c r="I421" s="43">
        <f t="shared" si="201"/>
        <v>87204.786808950055</v>
      </c>
      <c r="J421" s="112">
        <f t="shared" si="202"/>
        <v>126.0560999999999</v>
      </c>
      <c r="K421" s="211">
        <f t="shared" si="203"/>
        <v>126.0560999999999</v>
      </c>
      <c r="L421" s="44"/>
      <c r="M421" s="44">
        <f t="shared" si="223"/>
        <v>126.0560999999999</v>
      </c>
      <c r="N421" s="173">
        <f t="shared" si="204"/>
        <v>1</v>
      </c>
      <c r="O421" s="44">
        <f t="shared" si="205"/>
        <v>1777</v>
      </c>
      <c r="P421" s="44">
        <f t="shared" si="206"/>
        <v>224001.68969999981</v>
      </c>
      <c r="Q421" s="44">
        <f t="shared" si="207"/>
        <v>691.79346980392165</v>
      </c>
      <c r="R421" s="44">
        <f t="shared" si="224"/>
        <v>87204.786808950055</v>
      </c>
      <c r="S421" s="123"/>
      <c r="T421" s="219">
        <f t="shared" si="225"/>
        <v>87204.786808950055</v>
      </c>
      <c r="U421" s="87"/>
      <c r="V421" s="47"/>
      <c r="W421" s="48"/>
      <c r="X421" s="48"/>
      <c r="Y421" s="48"/>
      <c r="Z421" s="135"/>
      <c r="AA421" s="49"/>
      <c r="AB421" s="50">
        <f t="shared" si="208"/>
        <v>691.79346980392165</v>
      </c>
      <c r="AC421" s="42">
        <f t="shared" si="226"/>
        <v>126.0560999999999</v>
      </c>
      <c r="AD421" s="90">
        <f>AD422+AD432+AD438</f>
        <v>87204.786808950055</v>
      </c>
      <c r="AE421" s="188">
        <f t="shared" ref="AE421" si="355">AE422+AE432+AE438</f>
        <v>0</v>
      </c>
      <c r="AF421" s="189">
        <f t="shared" ref="AF421" si="356">AF422+AF432+AF438</f>
        <v>0</v>
      </c>
      <c r="AG421" s="189">
        <f t="shared" ref="AG421" si="357">AG422+AG432+AG438</f>
        <v>0</v>
      </c>
      <c r="AH421" s="189">
        <f t="shared" ref="AH421" si="358">AH422+AH432+AH438</f>
        <v>0</v>
      </c>
      <c r="AI421" s="161">
        <f t="shared" ref="AI421" si="359">SUM(AE421:AH421)</f>
        <v>0</v>
      </c>
      <c r="AK421" s="169">
        <v>5</v>
      </c>
      <c r="AO421" s="19" t="s">
        <v>63</v>
      </c>
    </row>
    <row r="422" spans="1:41" s="103" customFormat="1" ht="19.899999999999999" customHeight="1" x14ac:dyDescent="0.25">
      <c r="A422" s="51"/>
      <c r="B422" s="52"/>
      <c r="C422" s="165"/>
      <c r="D422" s="52"/>
      <c r="E422" s="115"/>
      <c r="F422" s="58"/>
      <c r="G422" s="58"/>
      <c r="H422" s="58"/>
      <c r="I422" s="55"/>
      <c r="J422" s="113">
        <f>J421</f>
        <v>126.0560999999999</v>
      </c>
      <c r="K422" s="212">
        <f>K421</f>
        <v>126.0560999999999</v>
      </c>
      <c r="L422" s="58"/>
      <c r="M422" s="58">
        <f>K422-L422</f>
        <v>126.0560999999999</v>
      </c>
      <c r="N422" s="166"/>
      <c r="O422" s="58"/>
      <c r="P422" s="58"/>
      <c r="Q422" s="58"/>
      <c r="R422" s="58"/>
      <c r="S422" s="58"/>
      <c r="T422" s="220"/>
      <c r="U422" s="88"/>
      <c r="V422" s="56"/>
      <c r="W422" s="57" t="s">
        <v>1283</v>
      </c>
      <c r="X422" s="53"/>
      <c r="Y422" s="91" t="s">
        <v>68</v>
      </c>
      <c r="Z422" s="136">
        <f>AD422/AC422</f>
        <v>53.810136470588233</v>
      </c>
      <c r="AA422" s="58"/>
      <c r="AB422" s="53">
        <f>AD422/AC422</f>
        <v>53.810136470588233</v>
      </c>
      <c r="AC422" s="53">
        <f>M422+$AE$10</f>
        <v>126.0560999999999</v>
      </c>
      <c r="AD422" s="54">
        <f>SUM(AD423:AD431)</f>
        <v>6783.0959439501121</v>
      </c>
      <c r="AE422" s="184">
        <f>SUMIFS($AD$37:$AD$12971,$V$37:$V$12971,$V422,$X$37:$X$12971,AE$13)</f>
        <v>0</v>
      </c>
      <c r="AF422" s="185">
        <f>SUMIFS($AD$37:$AD$12971,$V$37:$V$12971,$V422,$X$37:$X$12971,AF$13)</f>
        <v>0</v>
      </c>
      <c r="AG422" s="185">
        <f>SUMIFS($AD$37:$AD$12971,$V$37:$V$12971,$V422,$X$37:$X$12971,AG$13)</f>
        <v>0</v>
      </c>
      <c r="AH422" s="187">
        <f>SUMIFS($AD$37:$AD$12971,$V$37:$V$12971,$V422,$X$37:$X$12971,AH$13)</f>
        <v>0</v>
      </c>
      <c r="AI422" s="161">
        <f t="shared" ref="AI422" si="360">SUM(AE422:AH422)</f>
        <v>0</v>
      </c>
      <c r="AK422" s="172"/>
    </row>
    <row r="423" spans="1:41" s="102" customFormat="1" ht="19.899999999999999" customHeight="1" x14ac:dyDescent="0.25">
      <c r="A423" s="45"/>
      <c r="B423" s="59"/>
      <c r="C423" s="137"/>
      <c r="D423" s="59"/>
      <c r="E423" s="116"/>
      <c r="F423" s="120"/>
      <c r="G423" s="120"/>
      <c r="H423" s="120"/>
      <c r="I423" s="60"/>
      <c r="J423" s="116"/>
      <c r="K423" s="213"/>
      <c r="L423" s="120"/>
      <c r="M423" s="120"/>
      <c r="N423" s="167"/>
      <c r="O423" s="120"/>
      <c r="P423" s="120"/>
      <c r="Q423" s="120"/>
      <c r="R423" s="120"/>
      <c r="S423" s="120"/>
      <c r="T423" s="221"/>
      <c r="U423" s="89"/>
      <c r="V423" s="61"/>
      <c r="W423" s="92" t="s">
        <v>129</v>
      </c>
      <c r="X423" s="93" t="s">
        <v>29</v>
      </c>
      <c r="Y423" s="93" t="s">
        <v>93</v>
      </c>
      <c r="Z423" s="134">
        <f>VLOOKUP(W423,Sheet2!$B:$D,3,FALSE)</f>
        <v>56</v>
      </c>
      <c r="AA423" s="93">
        <f>100/(1.56*2.5)</f>
        <v>25.641025641025639</v>
      </c>
      <c r="AB423" s="93">
        <f t="shared" ref="AB423" si="361">AD423/AC422</f>
        <v>2.1840000000000002</v>
      </c>
      <c r="AC423" s="93">
        <f>AC422/AA423</f>
        <v>4.9161878999999962</v>
      </c>
      <c r="AD423" s="94">
        <f t="shared" ref="AD423:AD424" si="362">AC423*Z423</f>
        <v>275.30652239999978</v>
      </c>
      <c r="AE423" s="190"/>
      <c r="AF423" s="191"/>
      <c r="AG423" s="191"/>
      <c r="AH423" s="191"/>
      <c r="AI423" s="186"/>
      <c r="AK423" s="171"/>
    </row>
    <row r="424" spans="1:41" s="102" customFormat="1" ht="19.899999999999999" customHeight="1" x14ac:dyDescent="0.25">
      <c r="A424" s="45"/>
      <c r="B424" s="59"/>
      <c r="C424" s="137"/>
      <c r="D424" s="59"/>
      <c r="E424" s="116"/>
      <c r="F424" s="120"/>
      <c r="G424" s="120"/>
      <c r="H424" s="120"/>
      <c r="I424" s="60"/>
      <c r="J424" s="116"/>
      <c r="K424" s="213"/>
      <c r="L424" s="120"/>
      <c r="M424" s="120"/>
      <c r="N424" s="167"/>
      <c r="O424" s="120"/>
      <c r="P424" s="120"/>
      <c r="Q424" s="120"/>
      <c r="R424" s="120"/>
      <c r="S424" s="120"/>
      <c r="T424" s="221"/>
      <c r="U424" s="89"/>
      <c r="V424" s="61"/>
      <c r="W424" s="92" t="s">
        <v>65</v>
      </c>
      <c r="X424" s="93" t="s">
        <v>30</v>
      </c>
      <c r="Y424" s="93" t="s">
        <v>1011</v>
      </c>
      <c r="Z424" s="134">
        <f>VLOOKUP(W424,Sheet2!$B:$D,3,FALSE)</f>
        <v>1.76</v>
      </c>
      <c r="AA424" s="93">
        <f>AA423/14</f>
        <v>1.8315018315018314</v>
      </c>
      <c r="AB424" s="93">
        <f>AD424/AC422</f>
        <v>0.96096000000000004</v>
      </c>
      <c r="AC424" s="93">
        <f>AC422/AA424</f>
        <v>68.826630599999945</v>
      </c>
      <c r="AD424" s="94">
        <f t="shared" si="362"/>
        <v>121.13486985599991</v>
      </c>
      <c r="AE424" s="190"/>
      <c r="AF424" s="191"/>
      <c r="AG424" s="191"/>
      <c r="AH424" s="191"/>
      <c r="AI424" s="186"/>
      <c r="AK424" s="171"/>
    </row>
    <row r="425" spans="1:41" s="102" customFormat="1" ht="19.899999999999999" customHeight="1" x14ac:dyDescent="0.25">
      <c r="A425" s="45"/>
      <c r="B425" s="59"/>
      <c r="C425" s="137"/>
      <c r="D425" s="59"/>
      <c r="E425" s="116"/>
      <c r="F425" s="120"/>
      <c r="G425" s="120"/>
      <c r="H425" s="120"/>
      <c r="I425" s="60"/>
      <c r="J425" s="116"/>
      <c r="K425" s="213"/>
      <c r="L425" s="120"/>
      <c r="M425" s="120"/>
      <c r="N425" s="167"/>
      <c r="O425" s="120"/>
      <c r="P425" s="120"/>
      <c r="Q425" s="120"/>
      <c r="R425" s="120"/>
      <c r="S425" s="120"/>
      <c r="T425" s="221"/>
      <c r="U425" s="89"/>
      <c r="V425" s="61"/>
      <c r="W425" s="92" t="s">
        <v>161</v>
      </c>
      <c r="X425" s="93" t="s">
        <v>29</v>
      </c>
      <c r="Y425" s="93" t="s">
        <v>93</v>
      </c>
      <c r="Z425" s="134">
        <f>VLOOKUP(W425,Sheet2!$B:$D,3,FALSE)</f>
        <v>48</v>
      </c>
      <c r="AA425" s="93">
        <f>(16*0.85*1.5)/(1.56*2.5)</f>
        <v>5.2307692307692299</v>
      </c>
      <c r="AB425" s="93">
        <f>AD425/AC422</f>
        <v>9.1764705882352953</v>
      </c>
      <c r="AC425" s="93">
        <f>AC422/AA425</f>
        <v>24.098960294117632</v>
      </c>
      <c r="AD425" s="94">
        <f>AC425*Z425</f>
        <v>1156.7500941176463</v>
      </c>
      <c r="AE425" s="190"/>
      <c r="AF425" s="191"/>
      <c r="AG425" s="191"/>
      <c r="AH425" s="191"/>
      <c r="AI425" s="186"/>
      <c r="AK425" s="171"/>
    </row>
    <row r="426" spans="1:41" s="102" customFormat="1" ht="19.899999999999999" customHeight="1" x14ac:dyDescent="0.25">
      <c r="A426" s="45"/>
      <c r="B426" s="59"/>
      <c r="C426" s="137"/>
      <c r="D426" s="59"/>
      <c r="E426" s="116"/>
      <c r="F426" s="120"/>
      <c r="G426" s="120"/>
      <c r="H426" s="120"/>
      <c r="I426" s="60"/>
      <c r="J426" s="116"/>
      <c r="K426" s="213"/>
      <c r="L426" s="120"/>
      <c r="M426" s="120"/>
      <c r="N426" s="167"/>
      <c r="O426" s="120"/>
      <c r="P426" s="120"/>
      <c r="Q426" s="120"/>
      <c r="R426" s="120"/>
      <c r="S426" s="120"/>
      <c r="T426" s="221"/>
      <c r="U426" s="89"/>
      <c r="V426" s="61"/>
      <c r="W426" s="92" t="s">
        <v>65</v>
      </c>
      <c r="X426" s="93" t="s">
        <v>30</v>
      </c>
      <c r="Y426" s="93" t="s">
        <v>1011</v>
      </c>
      <c r="Z426" s="134">
        <f>VLOOKUP(W426,Sheet2!$B:$D,3,FALSE)</f>
        <v>1.76</v>
      </c>
      <c r="AA426" s="93">
        <f>AA425/10</f>
        <v>0.52307692307692299</v>
      </c>
      <c r="AB426" s="93">
        <f>AD426/AC422</f>
        <v>3.3647058823529417</v>
      </c>
      <c r="AC426" s="93">
        <f>AC422/AA426</f>
        <v>240.98960294117632</v>
      </c>
      <c r="AD426" s="94">
        <f>AC426*Z426</f>
        <v>424.14170117647029</v>
      </c>
      <c r="AE426" s="190"/>
      <c r="AF426" s="191"/>
      <c r="AG426" s="191"/>
      <c r="AH426" s="191"/>
      <c r="AI426" s="186"/>
      <c r="AK426" s="171"/>
    </row>
    <row r="427" spans="1:41" s="102" customFormat="1" ht="19.899999999999999" customHeight="1" x14ac:dyDescent="0.25">
      <c r="A427" s="45"/>
      <c r="B427" s="59"/>
      <c r="C427" s="137"/>
      <c r="D427" s="59"/>
      <c r="E427" s="116"/>
      <c r="F427" s="120"/>
      <c r="G427" s="120"/>
      <c r="H427" s="120"/>
      <c r="I427" s="60"/>
      <c r="J427" s="116"/>
      <c r="K427" s="213"/>
      <c r="L427" s="120"/>
      <c r="M427" s="120"/>
      <c r="N427" s="167"/>
      <c r="O427" s="120"/>
      <c r="P427" s="120"/>
      <c r="Q427" s="120"/>
      <c r="R427" s="120"/>
      <c r="S427" s="120"/>
      <c r="T427" s="221"/>
      <c r="U427" s="89"/>
      <c r="V427" s="61"/>
      <c r="W427" s="92" t="s">
        <v>1030</v>
      </c>
      <c r="X427" s="93" t="s">
        <v>29</v>
      </c>
      <c r="Y427" s="93" t="s">
        <v>93</v>
      </c>
      <c r="Z427" s="134">
        <f>VLOOKUP(W427,Sheet2!$B:$D,3,FALSE)</f>
        <v>23</v>
      </c>
      <c r="AA427" s="93">
        <v>50</v>
      </c>
      <c r="AB427" s="93">
        <f>AD427/AC422</f>
        <v>0.46</v>
      </c>
      <c r="AC427" s="93">
        <f>AC422/AA427</f>
        <v>2.5211219999999979</v>
      </c>
      <c r="AD427" s="94">
        <f t="shared" ref="AD427:AD431" si="363">AC427*Z427</f>
        <v>57.985805999999954</v>
      </c>
      <c r="AE427" s="190"/>
      <c r="AF427" s="191"/>
      <c r="AG427" s="191"/>
      <c r="AH427" s="191"/>
      <c r="AI427" s="186"/>
      <c r="AK427" s="171"/>
    </row>
    <row r="428" spans="1:41" s="102" customFormat="1" ht="19.899999999999999" customHeight="1" x14ac:dyDescent="0.25">
      <c r="A428" s="45"/>
      <c r="B428" s="59"/>
      <c r="C428" s="137"/>
      <c r="D428" s="59"/>
      <c r="E428" s="116"/>
      <c r="F428" s="120"/>
      <c r="G428" s="120"/>
      <c r="H428" s="120"/>
      <c r="I428" s="60"/>
      <c r="J428" s="116"/>
      <c r="K428" s="213"/>
      <c r="L428" s="120"/>
      <c r="M428" s="120"/>
      <c r="N428" s="167"/>
      <c r="O428" s="120"/>
      <c r="P428" s="120"/>
      <c r="Q428" s="120"/>
      <c r="R428" s="120"/>
      <c r="S428" s="120"/>
      <c r="T428" s="221"/>
      <c r="U428" s="89"/>
      <c r="V428" s="61"/>
      <c r="W428" s="92" t="s">
        <v>65</v>
      </c>
      <c r="X428" s="93" t="s">
        <v>30</v>
      </c>
      <c r="Y428" s="93" t="s">
        <v>1011</v>
      </c>
      <c r="Z428" s="134">
        <f>VLOOKUP(W428,Sheet2!$B:$D,3,FALSE)</f>
        <v>1.76</v>
      </c>
      <c r="AA428" s="93">
        <f>AA427/3</f>
        <v>16.666666666666668</v>
      </c>
      <c r="AB428" s="93">
        <f>AD428/AC422</f>
        <v>0.1056</v>
      </c>
      <c r="AC428" s="93">
        <f>AC422/AA428</f>
        <v>7.5633659999999932</v>
      </c>
      <c r="AD428" s="94">
        <f t="shared" si="363"/>
        <v>13.311524159999989</v>
      </c>
      <c r="AE428" s="190"/>
      <c r="AF428" s="191"/>
      <c r="AG428" s="191"/>
      <c r="AH428" s="191"/>
      <c r="AI428" s="186"/>
      <c r="AK428" s="171"/>
    </row>
    <row r="429" spans="1:41" s="102" customFormat="1" ht="19.899999999999999" customHeight="1" x14ac:dyDescent="0.25">
      <c r="A429" s="45"/>
      <c r="B429" s="59"/>
      <c r="C429" s="137"/>
      <c r="D429" s="59"/>
      <c r="E429" s="116"/>
      <c r="F429" s="120"/>
      <c r="G429" s="120"/>
      <c r="H429" s="120"/>
      <c r="I429" s="60"/>
      <c r="J429" s="116"/>
      <c r="K429" s="213"/>
      <c r="L429" s="120"/>
      <c r="M429" s="120"/>
      <c r="N429" s="167"/>
      <c r="O429" s="120"/>
      <c r="P429" s="120"/>
      <c r="Q429" s="120"/>
      <c r="R429" s="120"/>
      <c r="S429" s="120"/>
      <c r="T429" s="221"/>
      <c r="U429" s="89"/>
      <c r="V429" s="61"/>
      <c r="W429" s="92" t="s">
        <v>148</v>
      </c>
      <c r="X429" s="93" t="s">
        <v>29</v>
      </c>
      <c r="Y429" s="93" t="s">
        <v>93</v>
      </c>
      <c r="Z429" s="134">
        <f>VLOOKUP(W429,Sheet2!$B:$D,3,FALSE)</f>
        <v>48</v>
      </c>
      <c r="AA429" s="93">
        <f>AA423</f>
        <v>25.641025641025639</v>
      </c>
      <c r="AB429" s="93">
        <f>AD429/AC422</f>
        <v>1.8719999999999999</v>
      </c>
      <c r="AC429" s="93">
        <f>AC422/AA429</f>
        <v>4.9161878999999962</v>
      </c>
      <c r="AD429" s="94">
        <f t="shared" si="363"/>
        <v>235.9770191999998</v>
      </c>
      <c r="AE429" s="190"/>
      <c r="AF429" s="191"/>
      <c r="AG429" s="191"/>
      <c r="AH429" s="191"/>
      <c r="AI429" s="186"/>
      <c r="AK429" s="171"/>
    </row>
    <row r="430" spans="1:41" s="102" customFormat="1" ht="19.899999999999999" customHeight="1" x14ac:dyDescent="0.25">
      <c r="A430" s="45"/>
      <c r="B430" s="59"/>
      <c r="C430" s="137"/>
      <c r="D430" s="59"/>
      <c r="E430" s="116"/>
      <c r="F430" s="120"/>
      <c r="G430" s="120"/>
      <c r="H430" s="120"/>
      <c r="I430" s="60"/>
      <c r="J430" s="116"/>
      <c r="K430" s="213"/>
      <c r="L430" s="120"/>
      <c r="M430" s="120"/>
      <c r="N430" s="167"/>
      <c r="O430" s="120"/>
      <c r="P430" s="120"/>
      <c r="Q430" s="120"/>
      <c r="R430" s="120"/>
      <c r="S430" s="120"/>
      <c r="T430" s="221"/>
      <c r="U430" s="89"/>
      <c r="V430" s="61"/>
      <c r="W430" s="92" t="s">
        <v>65</v>
      </c>
      <c r="X430" s="93" t="s">
        <v>30</v>
      </c>
      <c r="Y430" s="93" t="s">
        <v>1011</v>
      </c>
      <c r="Z430" s="134">
        <f>VLOOKUP(W430,Sheet2!$B:$D,3,FALSE)</f>
        <v>1.76</v>
      </c>
      <c r="AA430" s="93">
        <f>AA429/10</f>
        <v>2.5641025641025639</v>
      </c>
      <c r="AB430" s="93">
        <f>AD430/AC422</f>
        <v>0.68640000000000001</v>
      </c>
      <c r="AC430" s="93">
        <f>AC422/AA430</f>
        <v>49.161878999999963</v>
      </c>
      <c r="AD430" s="94">
        <f t="shared" si="363"/>
        <v>86.524907039999931</v>
      </c>
      <c r="AE430" s="190"/>
      <c r="AF430" s="191"/>
      <c r="AG430" s="191"/>
      <c r="AH430" s="191"/>
      <c r="AI430" s="186"/>
      <c r="AK430" s="171"/>
    </row>
    <row r="431" spans="1:41" s="102" customFormat="1" ht="19.899999999999999" customHeight="1" x14ac:dyDescent="0.25">
      <c r="A431" s="45"/>
      <c r="B431" s="59"/>
      <c r="C431" s="137"/>
      <c r="D431" s="59"/>
      <c r="E431" s="116"/>
      <c r="F431" s="120"/>
      <c r="G431" s="120"/>
      <c r="H431" s="120"/>
      <c r="I431" s="60"/>
      <c r="J431" s="116"/>
      <c r="K431" s="213"/>
      <c r="L431" s="120"/>
      <c r="M431" s="120"/>
      <c r="N431" s="167"/>
      <c r="O431" s="120"/>
      <c r="P431" s="120"/>
      <c r="Q431" s="120"/>
      <c r="R431" s="120"/>
      <c r="S431" s="120"/>
      <c r="T431" s="221"/>
      <c r="U431" s="89"/>
      <c r="V431" s="61"/>
      <c r="W431" s="92" t="s">
        <v>1048</v>
      </c>
      <c r="X431" s="93" t="s">
        <v>30</v>
      </c>
      <c r="Y431" s="93" t="s">
        <v>68</v>
      </c>
      <c r="Z431" s="134">
        <f>VLOOKUP(W431,Sheet2!$B:$D,3,FALSE)</f>
        <v>35</v>
      </c>
      <c r="AA431" s="93">
        <v>1</v>
      </c>
      <c r="AB431" s="93">
        <f>AD431/AC422</f>
        <v>35</v>
      </c>
      <c r="AC431" s="93">
        <f>AC422/AA431</f>
        <v>126.0560999999999</v>
      </c>
      <c r="AD431" s="94">
        <f t="shared" si="363"/>
        <v>4411.9634999999962</v>
      </c>
      <c r="AE431" s="190"/>
      <c r="AF431" s="191"/>
      <c r="AG431" s="191"/>
      <c r="AH431" s="191"/>
      <c r="AI431" s="186"/>
      <c r="AK431" s="171"/>
    </row>
    <row r="432" spans="1:41" s="103" customFormat="1" ht="19.899999999999999" customHeight="1" x14ac:dyDescent="0.25">
      <c r="A432" s="51"/>
      <c r="B432" s="52"/>
      <c r="C432" s="165"/>
      <c r="D432" s="52"/>
      <c r="E432" s="115"/>
      <c r="F432" s="58"/>
      <c r="G432" s="58"/>
      <c r="H432" s="58"/>
      <c r="I432" s="55"/>
      <c r="J432" s="113">
        <f>J421</f>
        <v>126.0560999999999</v>
      </c>
      <c r="K432" s="212">
        <f>K421</f>
        <v>126.0560999999999</v>
      </c>
      <c r="L432" s="58"/>
      <c r="M432" s="58">
        <f>K432-L432</f>
        <v>126.0560999999999</v>
      </c>
      <c r="N432" s="166"/>
      <c r="O432" s="58"/>
      <c r="P432" s="58"/>
      <c r="Q432" s="58"/>
      <c r="R432" s="58"/>
      <c r="S432" s="58"/>
      <c r="T432" s="220"/>
      <c r="U432" s="88"/>
      <c r="V432" s="56"/>
      <c r="W432" s="57" t="s">
        <v>1036</v>
      </c>
      <c r="X432" s="53"/>
      <c r="Y432" s="91" t="s">
        <v>68</v>
      </c>
      <c r="Z432" s="136">
        <f>AD432/AC432</f>
        <v>632.98333333333335</v>
      </c>
      <c r="AA432" s="58"/>
      <c r="AB432" s="53">
        <f>AD432/AC432</f>
        <v>632.98333333333335</v>
      </c>
      <c r="AC432" s="53">
        <f>M432+$AE$10</f>
        <v>126.0560999999999</v>
      </c>
      <c r="AD432" s="54">
        <f>SUM(AD433:AD437)</f>
        <v>79791.410364999945</v>
      </c>
      <c r="AE432" s="184">
        <f>SUMIFS($AD$37:$AD$12971,$V$37:$V$12971,$V432,$X$37:$X$12971,AE$13)</f>
        <v>0</v>
      </c>
      <c r="AF432" s="185">
        <f>SUMIFS($AD$37:$AD$12971,$V$37:$V$12971,$V432,$X$37:$X$12971,AF$13)</f>
        <v>0</v>
      </c>
      <c r="AG432" s="185">
        <f>SUMIFS($AD$37:$AD$12971,$V$37:$V$12971,$V432,$X$37:$X$12971,AG$13)</f>
        <v>0</v>
      </c>
      <c r="AH432" s="187">
        <f>SUMIFS($AD$37:$AD$12971,$V$37:$V$12971,$V432,$X$37:$X$12971,AH$13)</f>
        <v>0</v>
      </c>
      <c r="AI432" s="161">
        <f t="shared" ref="AI432" si="364">SUM(AE432:AH432)</f>
        <v>0</v>
      </c>
      <c r="AK432" s="172"/>
    </row>
    <row r="433" spans="1:41" s="102" customFormat="1" ht="19.899999999999999" customHeight="1" x14ac:dyDescent="0.25">
      <c r="A433" s="45"/>
      <c r="B433" s="59"/>
      <c r="C433" s="137"/>
      <c r="D433" s="59"/>
      <c r="E433" s="116"/>
      <c r="F433" s="120"/>
      <c r="G433" s="120"/>
      <c r="H433" s="120"/>
      <c r="I433" s="60"/>
      <c r="J433" s="116"/>
      <c r="K433" s="213"/>
      <c r="L433" s="120"/>
      <c r="M433" s="120"/>
      <c r="N433" s="167"/>
      <c r="O433" s="120"/>
      <c r="P433" s="120"/>
      <c r="Q433" s="120"/>
      <c r="R433" s="120"/>
      <c r="S433" s="120"/>
      <c r="T433" s="221"/>
      <c r="U433" s="89"/>
      <c r="V433" s="61"/>
      <c r="W433" s="92" t="s">
        <v>1281</v>
      </c>
      <c r="X433" s="93" t="s">
        <v>30</v>
      </c>
      <c r="Y433" s="93" t="s">
        <v>68</v>
      </c>
      <c r="Z433" s="134">
        <f>VLOOKUP(W433,Sheet2!$B:$D,3,FALSE)</f>
        <v>510</v>
      </c>
      <c r="AA433" s="93">
        <v>1</v>
      </c>
      <c r="AB433" s="93">
        <f>AD433/AC432</f>
        <v>510</v>
      </c>
      <c r="AC433" s="93">
        <f>AC432/AA433</f>
        <v>126.0560999999999</v>
      </c>
      <c r="AD433" s="94">
        <f t="shared" ref="AD433" si="365">AC433*Z433</f>
        <v>64288.610999999946</v>
      </c>
      <c r="AE433" s="190"/>
      <c r="AF433" s="191"/>
      <c r="AG433" s="191"/>
      <c r="AH433" s="191"/>
      <c r="AI433" s="186"/>
      <c r="AK433" s="171"/>
    </row>
    <row r="434" spans="1:41" s="102" customFormat="1" ht="19.899999999999999" customHeight="1" x14ac:dyDescent="0.25">
      <c r="A434" s="45"/>
      <c r="B434" s="59"/>
      <c r="C434" s="137"/>
      <c r="D434" s="59"/>
      <c r="E434" s="116"/>
      <c r="F434" s="120"/>
      <c r="G434" s="120"/>
      <c r="H434" s="120"/>
      <c r="I434" s="60"/>
      <c r="J434" s="116"/>
      <c r="K434" s="213"/>
      <c r="L434" s="120"/>
      <c r="M434" s="120"/>
      <c r="N434" s="167"/>
      <c r="O434" s="120"/>
      <c r="P434" s="120"/>
      <c r="Q434" s="120"/>
      <c r="R434" s="120"/>
      <c r="S434" s="120"/>
      <c r="T434" s="221"/>
      <c r="U434" s="89"/>
      <c r="V434" s="61"/>
      <c r="W434" s="92" t="s">
        <v>1282</v>
      </c>
      <c r="X434" s="93" t="s">
        <v>32</v>
      </c>
      <c r="Y434" s="93" t="s">
        <v>68</v>
      </c>
      <c r="Z434" s="134">
        <f>VLOOKUP(W434,Sheet2!$B:$D,3,FALSE)</f>
        <v>60</v>
      </c>
      <c r="AA434" s="93">
        <v>1</v>
      </c>
      <c r="AB434" s="93">
        <f>AD434/AC432</f>
        <v>60.000000000000007</v>
      </c>
      <c r="AC434" s="93">
        <f>AC432/AA434</f>
        <v>126.0560999999999</v>
      </c>
      <c r="AD434" s="94">
        <f>AC434*Z434</f>
        <v>7563.3659999999945</v>
      </c>
      <c r="AE434" s="190"/>
      <c r="AF434" s="191"/>
      <c r="AG434" s="191"/>
      <c r="AH434" s="191"/>
      <c r="AI434" s="186"/>
      <c r="AK434" s="171"/>
    </row>
    <row r="435" spans="1:41" s="102" customFormat="1" ht="19.899999999999999" customHeight="1" x14ac:dyDescent="0.25">
      <c r="A435" s="45"/>
      <c r="B435" s="59"/>
      <c r="C435" s="137"/>
      <c r="D435" s="59"/>
      <c r="E435" s="116"/>
      <c r="F435" s="120"/>
      <c r="G435" s="120"/>
      <c r="H435" s="120"/>
      <c r="I435" s="60"/>
      <c r="J435" s="116"/>
      <c r="K435" s="213"/>
      <c r="L435" s="120"/>
      <c r="M435" s="120"/>
      <c r="N435" s="167"/>
      <c r="O435" s="120"/>
      <c r="P435" s="120"/>
      <c r="Q435" s="120"/>
      <c r="R435" s="120"/>
      <c r="S435" s="120"/>
      <c r="T435" s="221"/>
      <c r="U435" s="89"/>
      <c r="V435" s="61"/>
      <c r="W435" s="92" t="s">
        <v>1032</v>
      </c>
      <c r="X435" s="93" t="s">
        <v>30</v>
      </c>
      <c r="Y435" s="93" t="s">
        <v>66</v>
      </c>
      <c r="Z435" s="134">
        <f>VLOOKUP(W435,Sheet2!$B:$D,3,FALSE)</f>
        <v>250</v>
      </c>
      <c r="AA435" s="93">
        <f>1/(1.56*0.1)</f>
        <v>6.4102564102564088</v>
      </c>
      <c r="AB435" s="93">
        <f>AD435/AC432</f>
        <v>39.000000000000007</v>
      </c>
      <c r="AC435" s="93">
        <f>AC432/AA435</f>
        <v>19.664751599999988</v>
      </c>
      <c r="AD435" s="94">
        <f>AC435*Z435</f>
        <v>4916.1878999999972</v>
      </c>
      <c r="AE435" s="190"/>
      <c r="AF435" s="191"/>
      <c r="AG435" s="191"/>
      <c r="AH435" s="191"/>
      <c r="AI435" s="186"/>
      <c r="AK435" s="171"/>
    </row>
    <row r="436" spans="1:41" s="102" customFormat="1" ht="19.899999999999999" customHeight="1" x14ac:dyDescent="0.25">
      <c r="A436" s="45"/>
      <c r="B436" s="59"/>
      <c r="C436" s="137"/>
      <c r="D436" s="59"/>
      <c r="E436" s="116"/>
      <c r="F436" s="120"/>
      <c r="G436" s="120"/>
      <c r="H436" s="120"/>
      <c r="I436" s="60"/>
      <c r="J436" s="116"/>
      <c r="K436" s="213"/>
      <c r="L436" s="120"/>
      <c r="M436" s="120"/>
      <c r="N436" s="167"/>
      <c r="O436" s="120"/>
      <c r="P436" s="120"/>
      <c r="Q436" s="120"/>
      <c r="R436" s="120"/>
      <c r="S436" s="120"/>
      <c r="T436" s="221"/>
      <c r="U436" s="89"/>
      <c r="V436" s="61"/>
      <c r="W436" s="92" t="s">
        <v>1035</v>
      </c>
      <c r="X436" s="93" t="s">
        <v>32</v>
      </c>
      <c r="Y436" s="93" t="s">
        <v>66</v>
      </c>
      <c r="Z436" s="134">
        <f>VLOOKUP(W436,Sheet2!$B:$D,3,FALSE)</f>
        <v>150</v>
      </c>
      <c r="AA436" s="93">
        <f>AA435</f>
        <v>6.4102564102564088</v>
      </c>
      <c r="AB436" s="93">
        <f>AD436/AC432</f>
        <v>23.400000000000002</v>
      </c>
      <c r="AC436" s="93">
        <f>AC432/AA436</f>
        <v>19.664751599999988</v>
      </c>
      <c r="AD436" s="94">
        <f t="shared" ref="AD436:AD437" si="366">AC436*Z436</f>
        <v>2949.7127399999981</v>
      </c>
      <c r="AE436" s="190"/>
      <c r="AF436" s="191"/>
      <c r="AG436" s="191"/>
      <c r="AH436" s="191"/>
      <c r="AI436" s="186"/>
      <c r="AK436" s="171"/>
    </row>
    <row r="437" spans="1:41" s="102" customFormat="1" ht="19.899999999999999" customHeight="1" x14ac:dyDescent="0.25">
      <c r="A437" s="45"/>
      <c r="B437" s="59"/>
      <c r="C437" s="137"/>
      <c r="D437" s="59"/>
      <c r="E437" s="116"/>
      <c r="F437" s="120"/>
      <c r="G437" s="120"/>
      <c r="H437" s="120"/>
      <c r="I437" s="60"/>
      <c r="J437" s="116"/>
      <c r="K437" s="213"/>
      <c r="L437" s="120"/>
      <c r="M437" s="120"/>
      <c r="N437" s="167"/>
      <c r="O437" s="120"/>
      <c r="P437" s="120"/>
      <c r="Q437" s="120"/>
      <c r="R437" s="120"/>
      <c r="S437" s="120"/>
      <c r="T437" s="221"/>
      <c r="U437" s="89"/>
      <c r="V437" s="61"/>
      <c r="W437" s="92" t="s">
        <v>1037</v>
      </c>
      <c r="X437" s="93" t="s">
        <v>30</v>
      </c>
      <c r="Y437" s="93" t="s">
        <v>1038</v>
      </c>
      <c r="Z437" s="134">
        <f>VLOOKUP(W437,Sheet2!$B:$D,3,FALSE)</f>
        <v>175</v>
      </c>
      <c r="AA437" s="93">
        <v>300</v>
      </c>
      <c r="AB437" s="93">
        <f>AD437/AC432</f>
        <v>0.58333333333333337</v>
      </c>
      <c r="AC437" s="93">
        <f>AC432/AA437</f>
        <v>0.42018699999999964</v>
      </c>
      <c r="AD437" s="94">
        <f t="shared" si="366"/>
        <v>73.532724999999942</v>
      </c>
      <c r="AE437" s="190"/>
      <c r="AF437" s="191"/>
      <c r="AG437" s="191"/>
      <c r="AH437" s="191"/>
      <c r="AI437" s="186"/>
      <c r="AK437" s="171"/>
    </row>
    <row r="438" spans="1:41" s="103" customFormat="1" ht="19.899999999999999" customHeight="1" x14ac:dyDescent="0.25">
      <c r="A438" s="51"/>
      <c r="B438" s="52"/>
      <c r="C438" s="165"/>
      <c r="D438" s="52"/>
      <c r="E438" s="115"/>
      <c r="F438" s="58"/>
      <c r="G438" s="58"/>
      <c r="H438" s="58"/>
      <c r="I438" s="55"/>
      <c r="J438" s="113">
        <f>J421</f>
        <v>126.0560999999999</v>
      </c>
      <c r="K438" s="212">
        <f>K421</f>
        <v>126.0560999999999</v>
      </c>
      <c r="L438" s="58"/>
      <c r="M438" s="58">
        <f>K438-L438</f>
        <v>126.0560999999999</v>
      </c>
      <c r="N438" s="166"/>
      <c r="O438" s="58"/>
      <c r="P438" s="58"/>
      <c r="Q438" s="58"/>
      <c r="R438" s="58"/>
      <c r="S438" s="58"/>
      <c r="T438" s="220"/>
      <c r="U438" s="88"/>
      <c r="V438" s="56"/>
      <c r="W438" s="57" t="s">
        <v>1040</v>
      </c>
      <c r="X438" s="53"/>
      <c r="Y438" s="91" t="s">
        <v>68</v>
      </c>
      <c r="Z438" s="136">
        <f>AD438/AC438</f>
        <v>5</v>
      </c>
      <c r="AA438" s="58"/>
      <c r="AB438" s="53">
        <f>AD438/AC438</f>
        <v>5</v>
      </c>
      <c r="AC438" s="53">
        <f>M438+$AE$10</f>
        <v>126.0560999999999</v>
      </c>
      <c r="AD438" s="54">
        <f>SUM(AD439)</f>
        <v>630.28049999999951</v>
      </c>
      <c r="AE438" s="184">
        <f>SUMIFS($AD$37:$AD$12971,$V$37:$V$12971,$V438,$X$37:$X$12971,AE$13)</f>
        <v>0</v>
      </c>
      <c r="AF438" s="185">
        <f>SUMIFS($AD$37:$AD$12971,$V$37:$V$12971,$V438,$X$37:$X$12971,AF$13)</f>
        <v>0</v>
      </c>
      <c r="AG438" s="185">
        <f>SUMIFS($AD$37:$AD$12971,$V$37:$V$12971,$V438,$X$37:$X$12971,AG$13)</f>
        <v>0</v>
      </c>
      <c r="AH438" s="187">
        <f>SUMIFS($AD$37:$AD$12971,$V$37:$V$12971,$V438,$X$37:$X$12971,AH$13)</f>
        <v>0</v>
      </c>
      <c r="AI438" s="161">
        <f t="shared" ref="AI438" si="367">SUM(AE438:AH438)</f>
        <v>0</v>
      </c>
      <c r="AK438" s="172"/>
    </row>
    <row r="439" spans="1:41" s="102" customFormat="1" ht="19.899999999999999" customHeight="1" x14ac:dyDescent="0.25">
      <c r="A439" s="45"/>
      <c r="B439" s="59"/>
      <c r="C439" s="137"/>
      <c r="D439" s="59"/>
      <c r="E439" s="116"/>
      <c r="F439" s="120"/>
      <c r="G439" s="120"/>
      <c r="H439" s="120"/>
      <c r="I439" s="60"/>
      <c r="J439" s="116"/>
      <c r="K439" s="213"/>
      <c r="L439" s="120"/>
      <c r="M439" s="120"/>
      <c r="N439" s="167"/>
      <c r="O439" s="120"/>
      <c r="P439" s="120"/>
      <c r="Q439" s="120"/>
      <c r="R439" s="120"/>
      <c r="S439" s="120"/>
      <c r="T439" s="221"/>
      <c r="U439" s="89"/>
      <c r="V439" s="61"/>
      <c r="W439" s="92" t="s">
        <v>1039</v>
      </c>
      <c r="X439" s="93" t="s">
        <v>32</v>
      </c>
      <c r="Y439" s="93" t="s">
        <v>68</v>
      </c>
      <c r="Z439" s="134">
        <f>VLOOKUP(W439,Sheet2!$B:$D,3,FALSE)</f>
        <v>5</v>
      </c>
      <c r="AA439" s="93">
        <v>1</v>
      </c>
      <c r="AB439" s="93">
        <f>AD439/AC438</f>
        <v>5</v>
      </c>
      <c r="AC439" s="93">
        <f>AC438/AA439</f>
        <v>126.0560999999999</v>
      </c>
      <c r="AD439" s="94">
        <f t="shared" ref="AD439" si="368">AC439*Z439</f>
        <v>630.28049999999951</v>
      </c>
      <c r="AE439" s="190"/>
      <c r="AF439" s="191"/>
      <c r="AG439" s="191"/>
      <c r="AH439" s="191"/>
      <c r="AI439" s="186"/>
      <c r="AK439" s="171"/>
    </row>
    <row r="440" spans="1:41" ht="20.100000000000001" customHeight="1" x14ac:dyDescent="0.25">
      <c r="A440" s="277" t="s">
        <v>216</v>
      </c>
      <c r="B440" s="278"/>
      <c r="C440" s="64" t="s">
        <v>240</v>
      </c>
      <c r="D440" s="46" t="s">
        <v>97</v>
      </c>
      <c r="E440" s="114">
        <v>143.43394999999964</v>
      </c>
      <c r="F440" s="44">
        <v>1845</v>
      </c>
      <c r="G440" s="44">
        <f t="shared" si="199"/>
        <v>264635.63774999935</v>
      </c>
      <c r="H440" s="44">
        <f t="shared" si="200"/>
        <v>720.44237709803929</v>
      </c>
      <c r="I440" s="43">
        <f t="shared" si="201"/>
        <v>103335.89589456105</v>
      </c>
      <c r="J440" s="112">
        <f t="shared" si="202"/>
        <v>143.43394999999964</v>
      </c>
      <c r="K440" s="211">
        <f t="shared" si="203"/>
        <v>143.43394999999964</v>
      </c>
      <c r="L440" s="44"/>
      <c r="M440" s="44">
        <f t="shared" si="223"/>
        <v>143.43394999999964</v>
      </c>
      <c r="N440" s="173">
        <f t="shared" si="204"/>
        <v>1</v>
      </c>
      <c r="O440" s="44">
        <f t="shared" si="205"/>
        <v>1845</v>
      </c>
      <c r="P440" s="44">
        <f t="shared" si="206"/>
        <v>264635.63774999935</v>
      </c>
      <c r="Q440" s="44">
        <f t="shared" si="207"/>
        <v>720.44237709803929</v>
      </c>
      <c r="R440" s="44">
        <f t="shared" si="224"/>
        <v>103335.89589456105</v>
      </c>
      <c r="S440" s="123"/>
      <c r="T440" s="219">
        <f t="shared" si="225"/>
        <v>103335.89589456105</v>
      </c>
      <c r="U440" s="87"/>
      <c r="V440" s="47"/>
      <c r="W440" s="48"/>
      <c r="X440" s="48"/>
      <c r="Y440" s="48"/>
      <c r="Z440" s="135"/>
      <c r="AA440" s="49"/>
      <c r="AB440" s="50">
        <f t="shared" si="208"/>
        <v>720.44237709803929</v>
      </c>
      <c r="AC440" s="42">
        <f t="shared" si="226"/>
        <v>143.43394999999964</v>
      </c>
      <c r="AD440" s="90">
        <f>AD441+AD451+AD457</f>
        <v>103335.89589456105</v>
      </c>
      <c r="AE440" s="188">
        <f t="shared" ref="AE440" si="369">AE441+AE451+AE457</f>
        <v>0</v>
      </c>
      <c r="AF440" s="189">
        <f t="shared" ref="AF440" si="370">AF441+AF451+AF457</f>
        <v>0</v>
      </c>
      <c r="AG440" s="189">
        <f t="shared" ref="AG440" si="371">AG441+AG451+AG457</f>
        <v>0</v>
      </c>
      <c r="AH440" s="189">
        <f t="shared" ref="AH440" si="372">AH441+AH451+AH457</f>
        <v>0</v>
      </c>
      <c r="AI440" s="161">
        <f t="shared" ref="AI440" si="373">SUM(AE440:AH440)</f>
        <v>0</v>
      </c>
      <c r="AK440" s="169">
        <v>5</v>
      </c>
      <c r="AO440" s="19" t="s">
        <v>63</v>
      </c>
    </row>
    <row r="441" spans="1:41" s="103" customFormat="1" ht="19.899999999999999" customHeight="1" x14ac:dyDescent="0.25">
      <c r="A441" s="51"/>
      <c r="B441" s="52"/>
      <c r="C441" s="165"/>
      <c r="D441" s="52"/>
      <c r="E441" s="115"/>
      <c r="F441" s="58"/>
      <c r="G441" s="58"/>
      <c r="H441" s="58"/>
      <c r="I441" s="55"/>
      <c r="J441" s="113">
        <f>J440</f>
        <v>143.43394999999964</v>
      </c>
      <c r="K441" s="212">
        <f>K440</f>
        <v>143.43394999999964</v>
      </c>
      <c r="L441" s="58"/>
      <c r="M441" s="58">
        <f>K441-L441</f>
        <v>143.43394999999964</v>
      </c>
      <c r="N441" s="166"/>
      <c r="O441" s="58"/>
      <c r="P441" s="58"/>
      <c r="Q441" s="58"/>
      <c r="R441" s="58"/>
      <c r="S441" s="58"/>
      <c r="T441" s="220"/>
      <c r="U441" s="88"/>
      <c r="V441" s="56"/>
      <c r="W441" s="57" t="s">
        <v>1284</v>
      </c>
      <c r="X441" s="53"/>
      <c r="Y441" s="91" t="s">
        <v>68</v>
      </c>
      <c r="Z441" s="136">
        <f>AD441/AC441</f>
        <v>82.459043764705882</v>
      </c>
      <c r="AA441" s="58"/>
      <c r="AB441" s="53">
        <f>AD441/AC441</f>
        <v>82.459043764705882</v>
      </c>
      <c r="AC441" s="53">
        <f>M441+$AE$10</f>
        <v>143.43394999999964</v>
      </c>
      <c r="AD441" s="54">
        <f>SUM(AD442:AD450)</f>
        <v>11827.426360394606</v>
      </c>
      <c r="AE441" s="184">
        <f>SUMIFS($AD$37:$AD$12971,$V$37:$V$12971,$V441,$X$37:$X$12971,AE$13)</f>
        <v>0</v>
      </c>
      <c r="AF441" s="185">
        <f>SUMIFS($AD$37:$AD$12971,$V$37:$V$12971,$V441,$X$37:$X$12971,AF$13)</f>
        <v>0</v>
      </c>
      <c r="AG441" s="185">
        <f>SUMIFS($AD$37:$AD$12971,$V$37:$V$12971,$V441,$X$37:$X$12971,AG$13)</f>
        <v>0</v>
      </c>
      <c r="AH441" s="187">
        <f>SUMIFS($AD$37:$AD$12971,$V$37:$V$12971,$V441,$X$37:$X$12971,AH$13)</f>
        <v>0</v>
      </c>
      <c r="AI441" s="161">
        <f t="shared" ref="AI441" si="374">SUM(AE441:AH441)</f>
        <v>0</v>
      </c>
      <c r="AK441" s="172"/>
    </row>
    <row r="442" spans="1:41" s="102" customFormat="1" ht="19.899999999999999" customHeight="1" x14ac:dyDescent="0.25">
      <c r="A442" s="45"/>
      <c r="B442" s="59"/>
      <c r="C442" s="137"/>
      <c r="D442" s="59"/>
      <c r="E442" s="116"/>
      <c r="F442" s="120"/>
      <c r="G442" s="120"/>
      <c r="H442" s="120"/>
      <c r="I442" s="60"/>
      <c r="J442" s="116"/>
      <c r="K442" s="213"/>
      <c r="L442" s="120"/>
      <c r="M442" s="120"/>
      <c r="N442" s="167"/>
      <c r="O442" s="120"/>
      <c r="P442" s="120"/>
      <c r="Q442" s="120"/>
      <c r="R442" s="120"/>
      <c r="S442" s="120"/>
      <c r="T442" s="221"/>
      <c r="U442" s="89"/>
      <c r="V442" s="61"/>
      <c r="W442" s="92" t="s">
        <v>129</v>
      </c>
      <c r="X442" s="93" t="s">
        <v>29</v>
      </c>
      <c r="Y442" s="93" t="s">
        <v>93</v>
      </c>
      <c r="Z442" s="134">
        <f>VLOOKUP(W442,Sheet2!$B:$D,3,FALSE)</f>
        <v>56</v>
      </c>
      <c r="AA442" s="93">
        <f>100/(1.56*3)</f>
        <v>21.36752136752137</v>
      </c>
      <c r="AB442" s="93">
        <f t="shared" ref="AB442" si="375">AD442/AC441</f>
        <v>2.6207999999999996</v>
      </c>
      <c r="AC442" s="93">
        <f>AC441/AA442</f>
        <v>6.7127088599999825</v>
      </c>
      <c r="AD442" s="94">
        <f t="shared" ref="AD442:AD443" si="376">AC442*Z442</f>
        <v>375.911696159999</v>
      </c>
      <c r="AE442" s="190"/>
      <c r="AF442" s="191"/>
      <c r="AG442" s="191"/>
      <c r="AH442" s="191"/>
      <c r="AI442" s="186"/>
      <c r="AK442" s="171"/>
    </row>
    <row r="443" spans="1:41" s="102" customFormat="1" ht="19.899999999999999" customHeight="1" x14ac:dyDescent="0.25">
      <c r="A443" s="45"/>
      <c r="B443" s="59"/>
      <c r="C443" s="137"/>
      <c r="D443" s="59"/>
      <c r="E443" s="116"/>
      <c r="F443" s="120"/>
      <c r="G443" s="120"/>
      <c r="H443" s="120"/>
      <c r="I443" s="60"/>
      <c r="J443" s="116"/>
      <c r="K443" s="213"/>
      <c r="L443" s="120"/>
      <c r="M443" s="120"/>
      <c r="N443" s="167"/>
      <c r="O443" s="120"/>
      <c r="P443" s="120"/>
      <c r="Q443" s="120"/>
      <c r="R443" s="120"/>
      <c r="S443" s="120"/>
      <c r="T443" s="221"/>
      <c r="U443" s="89"/>
      <c r="V443" s="61"/>
      <c r="W443" s="92" t="s">
        <v>65</v>
      </c>
      <c r="X443" s="93" t="s">
        <v>30</v>
      </c>
      <c r="Y443" s="93" t="s">
        <v>1011</v>
      </c>
      <c r="Z443" s="134">
        <f>VLOOKUP(W443,Sheet2!$B:$D,3,FALSE)</f>
        <v>1.76</v>
      </c>
      <c r="AA443" s="93">
        <f>AA442/14</f>
        <v>1.5262515262515264</v>
      </c>
      <c r="AB443" s="93">
        <f>AD443/AC441</f>
        <v>1.153152</v>
      </c>
      <c r="AC443" s="93">
        <f>AC441/AA443</f>
        <v>93.977924039999763</v>
      </c>
      <c r="AD443" s="94">
        <f t="shared" si="376"/>
        <v>165.40114631039958</v>
      </c>
      <c r="AE443" s="190"/>
      <c r="AF443" s="191"/>
      <c r="AG443" s="191"/>
      <c r="AH443" s="191"/>
      <c r="AI443" s="186"/>
      <c r="AK443" s="171"/>
    </row>
    <row r="444" spans="1:41" s="102" customFormat="1" ht="19.899999999999999" customHeight="1" x14ac:dyDescent="0.25">
      <c r="A444" s="45"/>
      <c r="B444" s="59"/>
      <c r="C444" s="137"/>
      <c r="D444" s="59"/>
      <c r="E444" s="116"/>
      <c r="F444" s="120"/>
      <c r="G444" s="120"/>
      <c r="H444" s="120"/>
      <c r="I444" s="60"/>
      <c r="J444" s="116"/>
      <c r="K444" s="213"/>
      <c r="L444" s="120"/>
      <c r="M444" s="120"/>
      <c r="N444" s="167"/>
      <c r="O444" s="120"/>
      <c r="P444" s="120"/>
      <c r="Q444" s="120"/>
      <c r="R444" s="120"/>
      <c r="S444" s="120"/>
      <c r="T444" s="221"/>
      <c r="U444" s="89"/>
      <c r="V444" s="61"/>
      <c r="W444" s="92" t="s">
        <v>161</v>
      </c>
      <c r="X444" s="93" t="s">
        <v>29</v>
      </c>
      <c r="Y444" s="93" t="s">
        <v>93</v>
      </c>
      <c r="Z444" s="134">
        <f>VLOOKUP(W444,Sheet2!$B:$D,3,FALSE)</f>
        <v>48</v>
      </c>
      <c r="AA444" s="93">
        <f>(16*0.85*1.5)/(1.56*3)</f>
        <v>4.3589743589743586</v>
      </c>
      <c r="AB444" s="93">
        <f>AD444/AC441</f>
        <v>11.011764705882355</v>
      </c>
      <c r="AC444" s="93">
        <f>AC441/AA444</f>
        <v>32.905435588235214</v>
      </c>
      <c r="AD444" s="94">
        <f>AC444*Z444</f>
        <v>1579.4609082352904</v>
      </c>
      <c r="AE444" s="190"/>
      <c r="AF444" s="191"/>
      <c r="AG444" s="191"/>
      <c r="AH444" s="191"/>
      <c r="AI444" s="186"/>
      <c r="AK444" s="171"/>
    </row>
    <row r="445" spans="1:41" s="102" customFormat="1" ht="19.899999999999999" customHeight="1" x14ac:dyDescent="0.25">
      <c r="A445" s="45"/>
      <c r="B445" s="59"/>
      <c r="C445" s="137"/>
      <c r="D445" s="59"/>
      <c r="E445" s="116"/>
      <c r="F445" s="120"/>
      <c r="G445" s="120"/>
      <c r="H445" s="120"/>
      <c r="I445" s="60"/>
      <c r="J445" s="116"/>
      <c r="K445" s="213"/>
      <c r="L445" s="120"/>
      <c r="M445" s="120"/>
      <c r="N445" s="167"/>
      <c r="O445" s="120"/>
      <c r="P445" s="120"/>
      <c r="Q445" s="120"/>
      <c r="R445" s="120"/>
      <c r="S445" s="120"/>
      <c r="T445" s="221"/>
      <c r="U445" s="89"/>
      <c r="V445" s="61"/>
      <c r="W445" s="92" t="s">
        <v>65</v>
      </c>
      <c r="X445" s="93" t="s">
        <v>30</v>
      </c>
      <c r="Y445" s="93" t="s">
        <v>1011</v>
      </c>
      <c r="Z445" s="134">
        <f>VLOOKUP(W445,Sheet2!$B:$D,3,FALSE)</f>
        <v>1.76</v>
      </c>
      <c r="AA445" s="93">
        <f>AA444/10</f>
        <v>0.43589743589743585</v>
      </c>
      <c r="AB445" s="93">
        <f>AD445/AC441</f>
        <v>4.0376470588235298</v>
      </c>
      <c r="AC445" s="93">
        <f>AC441/AA445</f>
        <v>329.05435588235213</v>
      </c>
      <c r="AD445" s="94">
        <f>AC445*Z445</f>
        <v>579.13566635293978</v>
      </c>
      <c r="AE445" s="190"/>
      <c r="AF445" s="191"/>
      <c r="AG445" s="191"/>
      <c r="AH445" s="191"/>
      <c r="AI445" s="186"/>
      <c r="AK445" s="171"/>
    </row>
    <row r="446" spans="1:41" s="102" customFormat="1" ht="19.899999999999999" customHeight="1" x14ac:dyDescent="0.25">
      <c r="A446" s="45"/>
      <c r="B446" s="59"/>
      <c r="C446" s="137"/>
      <c r="D446" s="59"/>
      <c r="E446" s="116"/>
      <c r="F446" s="120"/>
      <c r="G446" s="120"/>
      <c r="H446" s="120"/>
      <c r="I446" s="60"/>
      <c r="J446" s="116"/>
      <c r="K446" s="213"/>
      <c r="L446" s="120"/>
      <c r="M446" s="120"/>
      <c r="N446" s="167"/>
      <c r="O446" s="120"/>
      <c r="P446" s="120"/>
      <c r="Q446" s="120"/>
      <c r="R446" s="120"/>
      <c r="S446" s="120"/>
      <c r="T446" s="221"/>
      <c r="U446" s="89"/>
      <c r="V446" s="61"/>
      <c r="W446" s="92" t="s">
        <v>1030</v>
      </c>
      <c r="X446" s="93" t="s">
        <v>29</v>
      </c>
      <c r="Y446" s="93" t="s">
        <v>93</v>
      </c>
      <c r="Z446" s="134">
        <f>VLOOKUP(W446,Sheet2!$B:$D,3,FALSE)</f>
        <v>23</v>
      </c>
      <c r="AA446" s="93">
        <v>50</v>
      </c>
      <c r="AB446" s="93">
        <f>AD446/AC441</f>
        <v>0.46</v>
      </c>
      <c r="AC446" s="93">
        <f>AC441/AA446</f>
        <v>2.8686789999999927</v>
      </c>
      <c r="AD446" s="94">
        <f t="shared" ref="AD446:AD450" si="377">AC446*Z446</f>
        <v>65.979616999999834</v>
      </c>
      <c r="AE446" s="190"/>
      <c r="AF446" s="191"/>
      <c r="AG446" s="191"/>
      <c r="AH446" s="191"/>
      <c r="AI446" s="186"/>
      <c r="AK446" s="171"/>
    </row>
    <row r="447" spans="1:41" s="102" customFormat="1" ht="19.899999999999999" customHeight="1" x14ac:dyDescent="0.25">
      <c r="A447" s="45"/>
      <c r="B447" s="59"/>
      <c r="C447" s="137"/>
      <c r="D447" s="59"/>
      <c r="E447" s="116"/>
      <c r="F447" s="120"/>
      <c r="G447" s="120"/>
      <c r="H447" s="120"/>
      <c r="I447" s="60"/>
      <c r="J447" s="116"/>
      <c r="K447" s="213"/>
      <c r="L447" s="120"/>
      <c r="M447" s="120"/>
      <c r="N447" s="167"/>
      <c r="O447" s="120"/>
      <c r="P447" s="120"/>
      <c r="Q447" s="120"/>
      <c r="R447" s="120"/>
      <c r="S447" s="120"/>
      <c r="T447" s="221"/>
      <c r="U447" s="89"/>
      <c r="V447" s="61"/>
      <c r="W447" s="92" t="s">
        <v>65</v>
      </c>
      <c r="X447" s="93" t="s">
        <v>30</v>
      </c>
      <c r="Y447" s="93" t="s">
        <v>1011</v>
      </c>
      <c r="Z447" s="134">
        <f>VLOOKUP(W447,Sheet2!$B:$D,3,FALSE)</f>
        <v>1.76</v>
      </c>
      <c r="AA447" s="93">
        <f>AA446/3</f>
        <v>16.666666666666668</v>
      </c>
      <c r="AB447" s="93">
        <f>AD447/AC441</f>
        <v>0.10559999999999999</v>
      </c>
      <c r="AC447" s="93">
        <f>AC441/AA447</f>
        <v>8.6060369999999775</v>
      </c>
      <c r="AD447" s="94">
        <f t="shared" si="377"/>
        <v>15.14662511999996</v>
      </c>
      <c r="AE447" s="190"/>
      <c r="AF447" s="191"/>
      <c r="AG447" s="191"/>
      <c r="AH447" s="191"/>
      <c r="AI447" s="186"/>
      <c r="AK447" s="171"/>
    </row>
    <row r="448" spans="1:41" s="102" customFormat="1" ht="19.899999999999999" customHeight="1" x14ac:dyDescent="0.25">
      <c r="A448" s="45"/>
      <c r="B448" s="59"/>
      <c r="C448" s="137"/>
      <c r="D448" s="59"/>
      <c r="E448" s="116"/>
      <c r="F448" s="120"/>
      <c r="G448" s="120"/>
      <c r="H448" s="120"/>
      <c r="I448" s="60"/>
      <c r="J448" s="116"/>
      <c r="K448" s="213"/>
      <c r="L448" s="120"/>
      <c r="M448" s="120"/>
      <c r="N448" s="167"/>
      <c r="O448" s="120"/>
      <c r="P448" s="120"/>
      <c r="Q448" s="120"/>
      <c r="R448" s="120"/>
      <c r="S448" s="120"/>
      <c r="T448" s="221"/>
      <c r="U448" s="89"/>
      <c r="V448" s="61"/>
      <c r="W448" s="92" t="s">
        <v>148</v>
      </c>
      <c r="X448" s="93" t="s">
        <v>29</v>
      </c>
      <c r="Y448" s="93" t="s">
        <v>93</v>
      </c>
      <c r="Z448" s="134">
        <f>VLOOKUP(W448,Sheet2!$B:$D,3,FALSE)</f>
        <v>48</v>
      </c>
      <c r="AA448" s="93">
        <f>AA442</f>
        <v>21.36752136752137</v>
      </c>
      <c r="AB448" s="93">
        <f>AD448/AC441</f>
        <v>2.2464</v>
      </c>
      <c r="AC448" s="93">
        <f>AC441/AA448</f>
        <v>6.7127088599999825</v>
      </c>
      <c r="AD448" s="94">
        <f t="shared" si="377"/>
        <v>322.21002527999917</v>
      </c>
      <c r="AE448" s="190"/>
      <c r="AF448" s="191"/>
      <c r="AG448" s="191"/>
      <c r="AH448" s="191"/>
      <c r="AI448" s="186"/>
      <c r="AK448" s="171"/>
    </row>
    <row r="449" spans="1:41" s="102" customFormat="1" ht="19.899999999999999" customHeight="1" x14ac:dyDescent="0.25">
      <c r="A449" s="45"/>
      <c r="B449" s="59"/>
      <c r="C449" s="137"/>
      <c r="D449" s="59"/>
      <c r="E449" s="116"/>
      <c r="F449" s="120"/>
      <c r="G449" s="120"/>
      <c r="H449" s="120"/>
      <c r="I449" s="60"/>
      <c r="J449" s="116"/>
      <c r="K449" s="213"/>
      <c r="L449" s="120"/>
      <c r="M449" s="120"/>
      <c r="N449" s="167"/>
      <c r="O449" s="120"/>
      <c r="P449" s="120"/>
      <c r="Q449" s="120"/>
      <c r="R449" s="120"/>
      <c r="S449" s="120"/>
      <c r="T449" s="221"/>
      <c r="U449" s="89"/>
      <c r="V449" s="61"/>
      <c r="W449" s="92" t="s">
        <v>65</v>
      </c>
      <c r="X449" s="93" t="s">
        <v>30</v>
      </c>
      <c r="Y449" s="93" t="s">
        <v>1011</v>
      </c>
      <c r="Z449" s="134">
        <f>VLOOKUP(W449,Sheet2!$B:$D,3,FALSE)</f>
        <v>1.76</v>
      </c>
      <c r="AA449" s="93">
        <f>AA448/10</f>
        <v>2.1367521367521372</v>
      </c>
      <c r="AB449" s="93">
        <f>AD449/AC441</f>
        <v>0.82367999999999997</v>
      </c>
      <c r="AC449" s="93">
        <f>AC441/AA449</f>
        <v>67.127088599999823</v>
      </c>
      <c r="AD449" s="94">
        <f t="shared" si="377"/>
        <v>118.1436759359997</v>
      </c>
      <c r="AE449" s="190"/>
      <c r="AF449" s="191"/>
      <c r="AG449" s="191"/>
      <c r="AH449" s="191"/>
      <c r="AI449" s="186"/>
      <c r="AK449" s="171"/>
    </row>
    <row r="450" spans="1:41" s="102" customFormat="1" ht="19.899999999999999" customHeight="1" x14ac:dyDescent="0.25">
      <c r="A450" s="45"/>
      <c r="B450" s="59"/>
      <c r="C450" s="137"/>
      <c r="D450" s="59"/>
      <c r="E450" s="116"/>
      <c r="F450" s="120"/>
      <c r="G450" s="120"/>
      <c r="H450" s="120"/>
      <c r="I450" s="60"/>
      <c r="J450" s="116"/>
      <c r="K450" s="213"/>
      <c r="L450" s="120"/>
      <c r="M450" s="120"/>
      <c r="N450" s="167"/>
      <c r="O450" s="120"/>
      <c r="P450" s="120"/>
      <c r="Q450" s="120"/>
      <c r="R450" s="120"/>
      <c r="S450" s="120"/>
      <c r="T450" s="221"/>
      <c r="U450" s="89"/>
      <c r="V450" s="61"/>
      <c r="W450" s="92" t="s">
        <v>1049</v>
      </c>
      <c r="X450" s="93" t="s">
        <v>30</v>
      </c>
      <c r="Y450" s="93" t="s">
        <v>68</v>
      </c>
      <c r="Z450" s="134">
        <f>VLOOKUP(W450,Sheet2!$B:$D,3,FALSE)</f>
        <v>60</v>
      </c>
      <c r="AA450" s="93">
        <v>1</v>
      </c>
      <c r="AB450" s="93">
        <f>AD450/AC441</f>
        <v>60</v>
      </c>
      <c r="AC450" s="93">
        <f>AC441/AA450</f>
        <v>143.43394999999964</v>
      </c>
      <c r="AD450" s="94">
        <f t="shared" si="377"/>
        <v>8606.0369999999784</v>
      </c>
      <c r="AE450" s="190"/>
      <c r="AF450" s="191"/>
      <c r="AG450" s="191"/>
      <c r="AH450" s="191"/>
      <c r="AI450" s="186"/>
      <c r="AK450" s="171"/>
    </row>
    <row r="451" spans="1:41" s="103" customFormat="1" ht="19.899999999999999" customHeight="1" x14ac:dyDescent="0.25">
      <c r="A451" s="51"/>
      <c r="B451" s="52"/>
      <c r="C451" s="165"/>
      <c r="D451" s="52"/>
      <c r="E451" s="115"/>
      <c r="F451" s="58"/>
      <c r="G451" s="58"/>
      <c r="H451" s="58"/>
      <c r="I451" s="55"/>
      <c r="J451" s="113">
        <f>J440</f>
        <v>143.43394999999964</v>
      </c>
      <c r="K451" s="212">
        <f>K440</f>
        <v>143.43394999999964</v>
      </c>
      <c r="L451" s="58"/>
      <c r="M451" s="58">
        <f>K451-L451</f>
        <v>143.43394999999964</v>
      </c>
      <c r="N451" s="166"/>
      <c r="O451" s="58"/>
      <c r="P451" s="58"/>
      <c r="Q451" s="58"/>
      <c r="R451" s="58"/>
      <c r="S451" s="58"/>
      <c r="T451" s="220"/>
      <c r="U451" s="88"/>
      <c r="V451" s="56"/>
      <c r="W451" s="57" t="s">
        <v>1036</v>
      </c>
      <c r="X451" s="53"/>
      <c r="Y451" s="91" t="s">
        <v>68</v>
      </c>
      <c r="Z451" s="136">
        <f>AD451/AC451</f>
        <v>632.98333333333335</v>
      </c>
      <c r="AA451" s="58"/>
      <c r="AB451" s="53">
        <f>AD451/AC451</f>
        <v>632.98333333333335</v>
      </c>
      <c r="AC451" s="53">
        <f>M451+$AE$10</f>
        <v>143.43394999999964</v>
      </c>
      <c r="AD451" s="54">
        <f>SUM(AD452:AD456)</f>
        <v>90791.299784166447</v>
      </c>
      <c r="AE451" s="184">
        <f>SUMIFS($AD$37:$AD$12971,$V$37:$V$12971,$V451,$X$37:$X$12971,AE$13)</f>
        <v>0</v>
      </c>
      <c r="AF451" s="185">
        <f>SUMIFS($AD$37:$AD$12971,$V$37:$V$12971,$V451,$X$37:$X$12971,AF$13)</f>
        <v>0</v>
      </c>
      <c r="AG451" s="185">
        <f>SUMIFS($AD$37:$AD$12971,$V$37:$V$12971,$V451,$X$37:$X$12971,AG$13)</f>
        <v>0</v>
      </c>
      <c r="AH451" s="187">
        <f>SUMIFS($AD$37:$AD$12971,$V$37:$V$12971,$V451,$X$37:$X$12971,AH$13)</f>
        <v>0</v>
      </c>
      <c r="AI451" s="161">
        <f t="shared" ref="AI451" si="378">SUM(AE451:AH451)</f>
        <v>0</v>
      </c>
      <c r="AK451" s="172"/>
    </row>
    <row r="452" spans="1:41" s="102" customFormat="1" ht="19.899999999999999" customHeight="1" x14ac:dyDescent="0.25">
      <c r="A452" s="45"/>
      <c r="B452" s="59"/>
      <c r="C452" s="137"/>
      <c r="D452" s="59"/>
      <c r="E452" s="116"/>
      <c r="F452" s="120"/>
      <c r="G452" s="120"/>
      <c r="H452" s="120"/>
      <c r="I452" s="60"/>
      <c r="J452" s="116"/>
      <c r="K452" s="213"/>
      <c r="L452" s="120"/>
      <c r="M452" s="120"/>
      <c r="N452" s="167"/>
      <c r="O452" s="120"/>
      <c r="P452" s="120"/>
      <c r="Q452" s="120"/>
      <c r="R452" s="120"/>
      <c r="S452" s="120"/>
      <c r="T452" s="221"/>
      <c r="U452" s="89"/>
      <c r="V452" s="61"/>
      <c r="W452" s="92" t="s">
        <v>1281</v>
      </c>
      <c r="X452" s="93" t="s">
        <v>30</v>
      </c>
      <c r="Y452" s="93" t="s">
        <v>68</v>
      </c>
      <c r="Z452" s="134">
        <f>VLOOKUP(W452,Sheet2!$B:$D,3,FALSE)</f>
        <v>510</v>
      </c>
      <c r="AA452" s="93">
        <v>1</v>
      </c>
      <c r="AB452" s="93">
        <f>AD452/AC451</f>
        <v>510</v>
      </c>
      <c r="AC452" s="93">
        <f>AC451/AA452</f>
        <v>143.43394999999964</v>
      </c>
      <c r="AD452" s="94">
        <f t="shared" ref="AD452" si="379">AC452*Z452</f>
        <v>73151.314499999819</v>
      </c>
      <c r="AE452" s="190"/>
      <c r="AF452" s="191"/>
      <c r="AG452" s="191"/>
      <c r="AH452" s="191"/>
      <c r="AI452" s="186"/>
      <c r="AK452" s="171"/>
    </row>
    <row r="453" spans="1:41" s="102" customFormat="1" ht="19.899999999999999" customHeight="1" x14ac:dyDescent="0.25">
      <c r="A453" s="45"/>
      <c r="B453" s="59"/>
      <c r="C453" s="137"/>
      <c r="D453" s="59"/>
      <c r="E453" s="116"/>
      <c r="F453" s="120"/>
      <c r="G453" s="120"/>
      <c r="H453" s="120"/>
      <c r="I453" s="60"/>
      <c r="J453" s="116"/>
      <c r="K453" s="213"/>
      <c r="L453" s="120"/>
      <c r="M453" s="120"/>
      <c r="N453" s="167"/>
      <c r="O453" s="120"/>
      <c r="P453" s="120"/>
      <c r="Q453" s="120"/>
      <c r="R453" s="120"/>
      <c r="S453" s="120"/>
      <c r="T453" s="221"/>
      <c r="U453" s="89"/>
      <c r="V453" s="61"/>
      <c r="W453" s="92" t="s">
        <v>1282</v>
      </c>
      <c r="X453" s="93" t="s">
        <v>32</v>
      </c>
      <c r="Y453" s="93" t="s">
        <v>68</v>
      </c>
      <c r="Z453" s="134">
        <f>VLOOKUP(W453,Sheet2!$B:$D,3,FALSE)</f>
        <v>60</v>
      </c>
      <c r="AA453" s="93">
        <v>1</v>
      </c>
      <c r="AB453" s="93">
        <f>AD453/AC451</f>
        <v>60</v>
      </c>
      <c r="AC453" s="93">
        <f>AC451/AA453</f>
        <v>143.43394999999964</v>
      </c>
      <c r="AD453" s="94">
        <f>AC453*Z453</f>
        <v>8606.0369999999784</v>
      </c>
      <c r="AE453" s="190"/>
      <c r="AF453" s="191"/>
      <c r="AG453" s="191"/>
      <c r="AH453" s="191"/>
      <c r="AI453" s="186"/>
      <c r="AK453" s="171"/>
    </row>
    <row r="454" spans="1:41" s="102" customFormat="1" ht="19.899999999999999" customHeight="1" x14ac:dyDescent="0.25">
      <c r="A454" s="45"/>
      <c r="B454" s="59"/>
      <c r="C454" s="137"/>
      <c r="D454" s="59"/>
      <c r="E454" s="116"/>
      <c r="F454" s="120"/>
      <c r="G454" s="120"/>
      <c r="H454" s="120"/>
      <c r="I454" s="60"/>
      <c r="J454" s="116"/>
      <c r="K454" s="213"/>
      <c r="L454" s="120"/>
      <c r="M454" s="120"/>
      <c r="N454" s="167"/>
      <c r="O454" s="120"/>
      <c r="P454" s="120"/>
      <c r="Q454" s="120"/>
      <c r="R454" s="120"/>
      <c r="S454" s="120"/>
      <c r="T454" s="221"/>
      <c r="U454" s="89"/>
      <c r="V454" s="61"/>
      <c r="W454" s="92" t="s">
        <v>1032</v>
      </c>
      <c r="X454" s="93" t="s">
        <v>30</v>
      </c>
      <c r="Y454" s="93" t="s">
        <v>66</v>
      </c>
      <c r="Z454" s="134">
        <f>VLOOKUP(W454,Sheet2!$B:$D,3,FALSE)</f>
        <v>250</v>
      </c>
      <c r="AA454" s="93">
        <f>1/(1.56*0.1)</f>
        <v>6.4102564102564088</v>
      </c>
      <c r="AB454" s="93">
        <f>AD454/AC451</f>
        <v>39.000000000000014</v>
      </c>
      <c r="AC454" s="93">
        <f>AC451/AA454</f>
        <v>22.37569619999995</v>
      </c>
      <c r="AD454" s="94">
        <f>AC454*Z454</f>
        <v>5593.9240499999878</v>
      </c>
      <c r="AE454" s="190"/>
      <c r="AF454" s="191"/>
      <c r="AG454" s="191"/>
      <c r="AH454" s="191"/>
      <c r="AI454" s="186"/>
      <c r="AK454" s="171"/>
    </row>
    <row r="455" spans="1:41" s="102" customFormat="1" ht="19.899999999999999" customHeight="1" x14ac:dyDescent="0.25">
      <c r="A455" s="45"/>
      <c r="B455" s="59"/>
      <c r="C455" s="137"/>
      <c r="D455" s="59"/>
      <c r="E455" s="116"/>
      <c r="F455" s="120"/>
      <c r="G455" s="120"/>
      <c r="H455" s="120"/>
      <c r="I455" s="60"/>
      <c r="J455" s="116"/>
      <c r="K455" s="213"/>
      <c r="L455" s="120"/>
      <c r="M455" s="120"/>
      <c r="N455" s="167"/>
      <c r="O455" s="120"/>
      <c r="P455" s="120"/>
      <c r="Q455" s="120"/>
      <c r="R455" s="120"/>
      <c r="S455" s="120"/>
      <c r="T455" s="221"/>
      <c r="U455" s="89"/>
      <c r="V455" s="61"/>
      <c r="W455" s="92" t="s">
        <v>1035</v>
      </c>
      <c r="X455" s="93" t="s">
        <v>32</v>
      </c>
      <c r="Y455" s="93" t="s">
        <v>66</v>
      </c>
      <c r="Z455" s="134">
        <f>VLOOKUP(W455,Sheet2!$B:$D,3,FALSE)</f>
        <v>150</v>
      </c>
      <c r="AA455" s="93">
        <f>AA454</f>
        <v>6.4102564102564088</v>
      </c>
      <c r="AB455" s="93">
        <f>AD455/AC451</f>
        <v>23.400000000000006</v>
      </c>
      <c r="AC455" s="93">
        <f>AC451/AA455</f>
        <v>22.37569619999995</v>
      </c>
      <c r="AD455" s="94">
        <f t="shared" ref="AD455:AD456" si="380">AC455*Z455</f>
        <v>3356.3544299999926</v>
      </c>
      <c r="AE455" s="190"/>
      <c r="AF455" s="191"/>
      <c r="AG455" s="191"/>
      <c r="AH455" s="191"/>
      <c r="AI455" s="186"/>
      <c r="AK455" s="171"/>
    </row>
    <row r="456" spans="1:41" s="102" customFormat="1" ht="19.899999999999999" customHeight="1" x14ac:dyDescent="0.25">
      <c r="A456" s="45"/>
      <c r="B456" s="59"/>
      <c r="C456" s="137"/>
      <c r="D456" s="59"/>
      <c r="E456" s="116"/>
      <c r="F456" s="120"/>
      <c r="G456" s="120"/>
      <c r="H456" s="120"/>
      <c r="I456" s="60"/>
      <c r="J456" s="116"/>
      <c r="K456" s="213"/>
      <c r="L456" s="120"/>
      <c r="M456" s="120"/>
      <c r="N456" s="167"/>
      <c r="O456" s="120"/>
      <c r="P456" s="120"/>
      <c r="Q456" s="120"/>
      <c r="R456" s="120"/>
      <c r="S456" s="120"/>
      <c r="T456" s="221"/>
      <c r="U456" s="89"/>
      <c r="V456" s="61"/>
      <c r="W456" s="92" t="s">
        <v>1037</v>
      </c>
      <c r="X456" s="93" t="s">
        <v>30</v>
      </c>
      <c r="Y456" s="93" t="s">
        <v>1038</v>
      </c>
      <c r="Z456" s="134">
        <f>VLOOKUP(W456,Sheet2!$B:$D,3,FALSE)</f>
        <v>175</v>
      </c>
      <c r="AA456" s="93">
        <v>300</v>
      </c>
      <c r="AB456" s="93">
        <f>AD456/AC451</f>
        <v>0.58333333333333326</v>
      </c>
      <c r="AC456" s="93">
        <f>AC451/AA456</f>
        <v>0.47811316666666548</v>
      </c>
      <c r="AD456" s="94">
        <f t="shared" si="380"/>
        <v>83.669804166666452</v>
      </c>
      <c r="AE456" s="190"/>
      <c r="AF456" s="191"/>
      <c r="AG456" s="191"/>
      <c r="AH456" s="191"/>
      <c r="AI456" s="186"/>
      <c r="AK456" s="171"/>
    </row>
    <row r="457" spans="1:41" s="103" customFormat="1" ht="19.899999999999999" customHeight="1" x14ac:dyDescent="0.25">
      <c r="A457" s="51"/>
      <c r="B457" s="52"/>
      <c r="C457" s="165"/>
      <c r="D457" s="52"/>
      <c r="E457" s="115"/>
      <c r="F457" s="58"/>
      <c r="G457" s="58"/>
      <c r="H457" s="58"/>
      <c r="I457" s="55"/>
      <c r="J457" s="113">
        <f>J440</f>
        <v>143.43394999999964</v>
      </c>
      <c r="K457" s="212">
        <f>K440</f>
        <v>143.43394999999964</v>
      </c>
      <c r="L457" s="58"/>
      <c r="M457" s="58">
        <f>K457-L457</f>
        <v>143.43394999999964</v>
      </c>
      <c r="N457" s="166"/>
      <c r="O457" s="58"/>
      <c r="P457" s="58"/>
      <c r="Q457" s="58"/>
      <c r="R457" s="58"/>
      <c r="S457" s="58"/>
      <c r="T457" s="220"/>
      <c r="U457" s="88"/>
      <c r="V457" s="56"/>
      <c r="W457" s="57" t="s">
        <v>1040</v>
      </c>
      <c r="X457" s="53"/>
      <c r="Y457" s="91" t="s">
        <v>68</v>
      </c>
      <c r="Z457" s="136">
        <f>AD457/AC457</f>
        <v>5</v>
      </c>
      <c r="AA457" s="58"/>
      <c r="AB457" s="53">
        <f>AD457/AC457</f>
        <v>5</v>
      </c>
      <c r="AC457" s="53">
        <f>M457+$AE$10</f>
        <v>143.43394999999964</v>
      </c>
      <c r="AD457" s="54">
        <f>SUM(AD458)</f>
        <v>717.1697499999982</v>
      </c>
      <c r="AE457" s="184">
        <f>SUMIFS($AD$37:$AD$12971,$V$37:$V$12971,$V457,$X$37:$X$12971,AE$13)</f>
        <v>0</v>
      </c>
      <c r="AF457" s="185">
        <f>SUMIFS($AD$37:$AD$12971,$V$37:$V$12971,$V457,$X$37:$X$12971,AF$13)</f>
        <v>0</v>
      </c>
      <c r="AG457" s="185">
        <f>SUMIFS($AD$37:$AD$12971,$V$37:$V$12971,$V457,$X$37:$X$12971,AG$13)</f>
        <v>0</v>
      </c>
      <c r="AH457" s="187">
        <f>SUMIFS($AD$37:$AD$12971,$V$37:$V$12971,$V457,$X$37:$X$12971,AH$13)</f>
        <v>0</v>
      </c>
      <c r="AI457" s="161">
        <f t="shared" ref="AI457" si="381">SUM(AE457:AH457)</f>
        <v>0</v>
      </c>
      <c r="AK457" s="172"/>
    </row>
    <row r="458" spans="1:41" s="102" customFormat="1" ht="19.899999999999999" customHeight="1" x14ac:dyDescent="0.25">
      <c r="A458" s="45"/>
      <c r="B458" s="59"/>
      <c r="C458" s="137"/>
      <c r="D458" s="59"/>
      <c r="E458" s="116"/>
      <c r="F458" s="120"/>
      <c r="G458" s="120"/>
      <c r="H458" s="120"/>
      <c r="I458" s="60"/>
      <c r="J458" s="116"/>
      <c r="K458" s="213"/>
      <c r="L458" s="120"/>
      <c r="M458" s="120"/>
      <c r="N458" s="167"/>
      <c r="O458" s="120"/>
      <c r="P458" s="120"/>
      <c r="Q458" s="120"/>
      <c r="R458" s="120"/>
      <c r="S458" s="120"/>
      <c r="T458" s="221"/>
      <c r="U458" s="89"/>
      <c r="V458" s="61"/>
      <c r="W458" s="92" t="s">
        <v>1039</v>
      </c>
      <c r="X458" s="93" t="s">
        <v>32</v>
      </c>
      <c r="Y458" s="93" t="s">
        <v>68</v>
      </c>
      <c r="Z458" s="134">
        <f>VLOOKUP(W458,Sheet2!$B:$D,3,FALSE)</f>
        <v>5</v>
      </c>
      <c r="AA458" s="93">
        <v>1</v>
      </c>
      <c r="AB458" s="93">
        <f>AD458/AC457</f>
        <v>5</v>
      </c>
      <c r="AC458" s="93">
        <f>AC457/AA458</f>
        <v>143.43394999999964</v>
      </c>
      <c r="AD458" s="94">
        <f t="shared" ref="AD458" si="382">AC458*Z458</f>
        <v>717.1697499999982</v>
      </c>
      <c r="AE458" s="190"/>
      <c r="AF458" s="191"/>
      <c r="AG458" s="191"/>
      <c r="AH458" s="191"/>
      <c r="AI458" s="186"/>
      <c r="AK458" s="171"/>
    </row>
    <row r="459" spans="1:41" ht="20.100000000000001" customHeight="1" x14ac:dyDescent="0.25">
      <c r="A459" s="277" t="s">
        <v>216</v>
      </c>
      <c r="B459" s="278"/>
      <c r="C459" s="64" t="s">
        <v>241</v>
      </c>
      <c r="D459" s="46" t="s">
        <v>97</v>
      </c>
      <c r="E459" s="114"/>
      <c r="F459" s="44">
        <v>0</v>
      </c>
      <c r="G459" s="44">
        <f t="shared" si="199"/>
        <v>0</v>
      </c>
      <c r="H459" s="44">
        <f t="shared" si="200"/>
        <v>0</v>
      </c>
      <c r="I459" s="43">
        <f t="shared" si="201"/>
        <v>0</v>
      </c>
      <c r="J459" s="112">
        <f t="shared" si="202"/>
        <v>0</v>
      </c>
      <c r="K459" s="211">
        <f t="shared" si="203"/>
        <v>0</v>
      </c>
      <c r="L459" s="44"/>
      <c r="M459" s="44">
        <f t="shared" si="223"/>
        <v>0</v>
      </c>
      <c r="N459" s="173">
        <f t="shared" si="204"/>
        <v>0</v>
      </c>
      <c r="O459" s="44">
        <f t="shared" si="205"/>
        <v>0</v>
      </c>
      <c r="P459" s="44">
        <f t="shared" si="206"/>
        <v>0</v>
      </c>
      <c r="Q459" s="44">
        <f t="shared" si="207"/>
        <v>0</v>
      </c>
      <c r="R459" s="44">
        <f t="shared" si="224"/>
        <v>0</v>
      </c>
      <c r="S459" s="123"/>
      <c r="T459" s="219">
        <f t="shared" si="225"/>
        <v>0</v>
      </c>
      <c r="U459" s="87"/>
      <c r="V459" s="47"/>
      <c r="W459" s="48"/>
      <c r="X459" s="48"/>
      <c r="Y459" s="48"/>
      <c r="Z459" s="135"/>
      <c r="AA459" s="49"/>
      <c r="AB459" s="50">
        <f t="shared" si="208"/>
        <v>0</v>
      </c>
      <c r="AC459" s="42">
        <f t="shared" si="226"/>
        <v>9.9999999999999998E-20</v>
      </c>
      <c r="AD459" s="90"/>
      <c r="AE459" s="188"/>
      <c r="AF459" s="189"/>
      <c r="AG459" s="189"/>
      <c r="AH459" s="189"/>
      <c r="AI459" s="161"/>
    </row>
    <row r="460" spans="1:41" ht="20.100000000000001" customHeight="1" x14ac:dyDescent="0.25">
      <c r="A460" s="277" t="s">
        <v>216</v>
      </c>
      <c r="B460" s="278"/>
      <c r="C460" s="64" t="s">
        <v>242</v>
      </c>
      <c r="D460" s="46" t="s">
        <v>97</v>
      </c>
      <c r="E460" s="114"/>
      <c r="F460" s="44">
        <v>0</v>
      </c>
      <c r="G460" s="44">
        <f t="shared" si="199"/>
        <v>0</v>
      </c>
      <c r="H460" s="44">
        <f t="shared" si="200"/>
        <v>0</v>
      </c>
      <c r="I460" s="43">
        <f t="shared" si="201"/>
        <v>0</v>
      </c>
      <c r="J460" s="112">
        <f t="shared" si="202"/>
        <v>0</v>
      </c>
      <c r="K460" s="211">
        <f t="shared" si="203"/>
        <v>0</v>
      </c>
      <c r="L460" s="44"/>
      <c r="M460" s="44">
        <f t="shared" si="223"/>
        <v>0</v>
      </c>
      <c r="N460" s="173">
        <f t="shared" si="204"/>
        <v>0</v>
      </c>
      <c r="O460" s="44">
        <f t="shared" si="205"/>
        <v>0</v>
      </c>
      <c r="P460" s="44">
        <f t="shared" si="206"/>
        <v>0</v>
      </c>
      <c r="Q460" s="44">
        <f t="shared" si="207"/>
        <v>0</v>
      </c>
      <c r="R460" s="44">
        <f t="shared" si="224"/>
        <v>0</v>
      </c>
      <c r="S460" s="123"/>
      <c r="T460" s="219">
        <f t="shared" si="225"/>
        <v>0</v>
      </c>
      <c r="U460" s="87"/>
      <c r="V460" s="47"/>
      <c r="W460" s="48"/>
      <c r="X460" s="48"/>
      <c r="Y460" s="48"/>
      <c r="Z460" s="135"/>
      <c r="AA460" s="49"/>
      <c r="AB460" s="50">
        <f t="shared" si="208"/>
        <v>0</v>
      </c>
      <c r="AC460" s="42">
        <f t="shared" si="226"/>
        <v>9.9999999999999998E-20</v>
      </c>
      <c r="AD460" s="90"/>
      <c r="AE460" s="188"/>
      <c r="AF460" s="189"/>
      <c r="AG460" s="189"/>
      <c r="AH460" s="189"/>
      <c r="AI460" s="161"/>
    </row>
    <row r="461" spans="1:41" ht="20.100000000000001" customHeight="1" x14ac:dyDescent="0.25">
      <c r="A461" s="277" t="s">
        <v>216</v>
      </c>
      <c r="B461" s="278"/>
      <c r="C461" s="64" t="s">
        <v>243</v>
      </c>
      <c r="D461" s="46" t="s">
        <v>97</v>
      </c>
      <c r="E461" s="114"/>
      <c r="F461" s="44">
        <v>0</v>
      </c>
      <c r="G461" s="44">
        <f t="shared" si="199"/>
        <v>0</v>
      </c>
      <c r="H461" s="44">
        <f t="shared" si="200"/>
        <v>0</v>
      </c>
      <c r="I461" s="43">
        <f t="shared" si="201"/>
        <v>0</v>
      </c>
      <c r="J461" s="112">
        <f t="shared" si="202"/>
        <v>0</v>
      </c>
      <c r="K461" s="211">
        <f t="shared" si="203"/>
        <v>0</v>
      </c>
      <c r="L461" s="44"/>
      <c r="M461" s="44">
        <f t="shared" si="223"/>
        <v>0</v>
      </c>
      <c r="N461" s="173">
        <f t="shared" si="204"/>
        <v>0</v>
      </c>
      <c r="O461" s="44">
        <f t="shared" si="205"/>
        <v>0</v>
      </c>
      <c r="P461" s="44">
        <f t="shared" si="206"/>
        <v>0</v>
      </c>
      <c r="Q461" s="44">
        <f t="shared" si="207"/>
        <v>0</v>
      </c>
      <c r="R461" s="44">
        <f t="shared" si="224"/>
        <v>0</v>
      </c>
      <c r="S461" s="123"/>
      <c r="T461" s="219">
        <f t="shared" si="225"/>
        <v>0</v>
      </c>
      <c r="U461" s="87"/>
      <c r="V461" s="47"/>
      <c r="W461" s="48"/>
      <c r="X461" s="48"/>
      <c r="Y461" s="48"/>
      <c r="Z461" s="135"/>
      <c r="AA461" s="49"/>
      <c r="AB461" s="50">
        <f t="shared" si="208"/>
        <v>0</v>
      </c>
      <c r="AC461" s="42">
        <f t="shared" si="226"/>
        <v>9.9999999999999998E-20</v>
      </c>
      <c r="AD461" s="90"/>
      <c r="AE461" s="188"/>
      <c r="AF461" s="189"/>
      <c r="AG461" s="189"/>
      <c r="AH461" s="189"/>
      <c r="AI461" s="161"/>
    </row>
    <row r="462" spans="1:41" ht="20.100000000000001" customHeight="1" x14ac:dyDescent="0.25">
      <c r="A462" s="277" t="s">
        <v>216</v>
      </c>
      <c r="B462" s="278"/>
      <c r="C462" s="64" t="s">
        <v>244</v>
      </c>
      <c r="D462" s="46" t="s">
        <v>97</v>
      </c>
      <c r="E462" s="114"/>
      <c r="F462" s="44">
        <v>0</v>
      </c>
      <c r="G462" s="44">
        <f t="shared" si="199"/>
        <v>0</v>
      </c>
      <c r="H462" s="44">
        <f t="shared" si="200"/>
        <v>0</v>
      </c>
      <c r="I462" s="43">
        <f t="shared" si="201"/>
        <v>0</v>
      </c>
      <c r="J462" s="112">
        <f t="shared" si="202"/>
        <v>0</v>
      </c>
      <c r="K462" s="211">
        <f t="shared" si="203"/>
        <v>0</v>
      </c>
      <c r="L462" s="44"/>
      <c r="M462" s="44">
        <f t="shared" si="223"/>
        <v>0</v>
      </c>
      <c r="N462" s="173">
        <f t="shared" si="204"/>
        <v>0</v>
      </c>
      <c r="O462" s="44">
        <f t="shared" si="205"/>
        <v>0</v>
      </c>
      <c r="P462" s="44">
        <f t="shared" si="206"/>
        <v>0</v>
      </c>
      <c r="Q462" s="44">
        <f t="shared" si="207"/>
        <v>0</v>
      </c>
      <c r="R462" s="44">
        <f t="shared" si="224"/>
        <v>0</v>
      </c>
      <c r="S462" s="123"/>
      <c r="T462" s="219">
        <f t="shared" si="225"/>
        <v>0</v>
      </c>
      <c r="U462" s="87"/>
      <c r="V462" s="47"/>
      <c r="W462" s="48"/>
      <c r="X462" s="48"/>
      <c r="Y462" s="48"/>
      <c r="Z462" s="135"/>
      <c r="AA462" s="49"/>
      <c r="AB462" s="50">
        <f t="shared" si="208"/>
        <v>0</v>
      </c>
      <c r="AC462" s="42">
        <f t="shared" si="226"/>
        <v>9.9999999999999998E-20</v>
      </c>
      <c r="AD462" s="90"/>
      <c r="AE462" s="188"/>
      <c r="AF462" s="189"/>
      <c r="AG462" s="189"/>
      <c r="AH462" s="189"/>
      <c r="AI462" s="161"/>
    </row>
    <row r="463" spans="1:41" ht="20.100000000000001" customHeight="1" x14ac:dyDescent="0.25">
      <c r="A463" s="277" t="s">
        <v>216</v>
      </c>
      <c r="B463" s="278"/>
      <c r="C463" s="64" t="s">
        <v>245</v>
      </c>
      <c r="D463" s="46" t="s">
        <v>97</v>
      </c>
      <c r="E463" s="114"/>
      <c r="F463" s="44">
        <v>0</v>
      </c>
      <c r="G463" s="44">
        <f t="shared" si="199"/>
        <v>0</v>
      </c>
      <c r="H463" s="44">
        <f t="shared" si="200"/>
        <v>0</v>
      </c>
      <c r="I463" s="43">
        <f t="shared" si="201"/>
        <v>0</v>
      </c>
      <c r="J463" s="112">
        <f t="shared" si="202"/>
        <v>0</v>
      </c>
      <c r="K463" s="211">
        <f t="shared" si="203"/>
        <v>0</v>
      </c>
      <c r="L463" s="44"/>
      <c r="M463" s="44">
        <f t="shared" si="223"/>
        <v>0</v>
      </c>
      <c r="N463" s="173">
        <f t="shared" si="204"/>
        <v>0</v>
      </c>
      <c r="O463" s="44">
        <f t="shared" si="205"/>
        <v>0</v>
      </c>
      <c r="P463" s="44">
        <f t="shared" si="206"/>
        <v>0</v>
      </c>
      <c r="Q463" s="44">
        <f t="shared" si="207"/>
        <v>0</v>
      </c>
      <c r="R463" s="44">
        <f t="shared" si="224"/>
        <v>0</v>
      </c>
      <c r="S463" s="123"/>
      <c r="T463" s="219">
        <f t="shared" si="225"/>
        <v>0</v>
      </c>
      <c r="U463" s="87"/>
      <c r="V463" s="47"/>
      <c r="W463" s="48"/>
      <c r="X463" s="48"/>
      <c r="Y463" s="48"/>
      <c r="Z463" s="135"/>
      <c r="AA463" s="49"/>
      <c r="AB463" s="50">
        <f t="shared" si="208"/>
        <v>0</v>
      </c>
      <c r="AC463" s="42">
        <f t="shared" si="226"/>
        <v>9.9999999999999998E-20</v>
      </c>
      <c r="AD463" s="90"/>
      <c r="AE463" s="188"/>
      <c r="AF463" s="189"/>
      <c r="AG463" s="189"/>
      <c r="AH463" s="189"/>
      <c r="AI463" s="161"/>
    </row>
    <row r="464" spans="1:41" ht="20.100000000000001" customHeight="1" x14ac:dyDescent="0.25">
      <c r="A464" s="277" t="s">
        <v>216</v>
      </c>
      <c r="B464" s="278"/>
      <c r="C464" s="64" t="s">
        <v>246</v>
      </c>
      <c r="D464" s="46" t="s">
        <v>97</v>
      </c>
      <c r="E464" s="114">
        <v>577.77259999999933</v>
      </c>
      <c r="F464" s="44">
        <v>2605</v>
      </c>
      <c r="G464" s="44">
        <f t="shared" si="199"/>
        <v>1505097.6229999983</v>
      </c>
      <c r="H464" s="44">
        <f t="shared" si="200"/>
        <v>1471.547752156863</v>
      </c>
      <c r="I464" s="43">
        <f t="shared" si="201"/>
        <v>850219.97078782541</v>
      </c>
      <c r="J464" s="112">
        <f t="shared" si="202"/>
        <v>577.77259999999933</v>
      </c>
      <c r="K464" s="211">
        <f t="shared" si="203"/>
        <v>577.77259999999933</v>
      </c>
      <c r="L464" s="44"/>
      <c r="M464" s="44">
        <f t="shared" si="223"/>
        <v>577.77259999999933</v>
      </c>
      <c r="N464" s="173">
        <f t="shared" si="204"/>
        <v>1</v>
      </c>
      <c r="O464" s="44">
        <f t="shared" si="205"/>
        <v>2605</v>
      </c>
      <c r="P464" s="44">
        <f t="shared" si="206"/>
        <v>1505097.6229999983</v>
      </c>
      <c r="Q464" s="44">
        <f t="shared" si="207"/>
        <v>1471.547752156863</v>
      </c>
      <c r="R464" s="44">
        <f t="shared" si="224"/>
        <v>850219.97078782541</v>
      </c>
      <c r="S464" s="123"/>
      <c r="T464" s="219">
        <f t="shared" si="225"/>
        <v>850219.97078782541</v>
      </c>
      <c r="U464" s="87"/>
      <c r="V464" s="47"/>
      <c r="W464" s="48"/>
      <c r="X464" s="48"/>
      <c r="Y464" s="48"/>
      <c r="Z464" s="135"/>
      <c r="AA464" s="49"/>
      <c r="AB464" s="50">
        <f t="shared" si="208"/>
        <v>1471.547752156863</v>
      </c>
      <c r="AC464" s="42">
        <f t="shared" si="226"/>
        <v>577.77259999999933</v>
      </c>
      <c r="AD464" s="90">
        <f>AD465+AD475+AD481</f>
        <v>850219.9707878253</v>
      </c>
      <c r="AE464" s="188">
        <f t="shared" ref="AE464" si="383">AE465+AE475+AE481</f>
        <v>0</v>
      </c>
      <c r="AF464" s="189">
        <f t="shared" ref="AF464" si="384">AF465+AF475+AF481</f>
        <v>0</v>
      </c>
      <c r="AG464" s="189">
        <f t="shared" ref="AG464" si="385">AG465+AG475+AG481</f>
        <v>0</v>
      </c>
      <c r="AH464" s="189">
        <f t="shared" ref="AH464" si="386">AH465+AH475+AH481</f>
        <v>0</v>
      </c>
      <c r="AI464" s="161">
        <f t="shared" ref="AI464" si="387">SUM(AE464:AH464)</f>
        <v>0</v>
      </c>
      <c r="AK464" s="169">
        <v>5</v>
      </c>
      <c r="AO464" s="19" t="s">
        <v>63</v>
      </c>
    </row>
    <row r="465" spans="1:37" s="103" customFormat="1" ht="19.899999999999999" customHeight="1" x14ac:dyDescent="0.25">
      <c r="A465" s="51"/>
      <c r="B465" s="52"/>
      <c r="C465" s="165"/>
      <c r="D465" s="52"/>
      <c r="E465" s="115"/>
      <c r="F465" s="58"/>
      <c r="G465" s="58"/>
      <c r="H465" s="58"/>
      <c r="I465" s="55"/>
      <c r="J465" s="113">
        <f>J464</f>
        <v>577.77259999999933</v>
      </c>
      <c r="K465" s="212">
        <f>K464</f>
        <v>577.77259999999933</v>
      </c>
      <c r="L465" s="58"/>
      <c r="M465" s="58">
        <f>K465-L465</f>
        <v>577.77259999999933</v>
      </c>
      <c r="N465" s="166"/>
      <c r="O465" s="58"/>
      <c r="P465" s="58"/>
      <c r="Q465" s="58"/>
      <c r="R465" s="58"/>
      <c r="S465" s="58"/>
      <c r="T465" s="220"/>
      <c r="U465" s="88"/>
      <c r="V465" s="56"/>
      <c r="W465" s="57" t="s">
        <v>1288</v>
      </c>
      <c r="X465" s="53"/>
      <c r="Y465" s="91" t="s">
        <v>68</v>
      </c>
      <c r="Z465" s="136">
        <f>AD465/AC465</f>
        <v>55.564418823529415</v>
      </c>
      <c r="AA465" s="58"/>
      <c r="AB465" s="53">
        <f>AD465/AC465</f>
        <v>55.564418823529415</v>
      </c>
      <c r="AC465" s="53">
        <f>M465+$AE$10</f>
        <v>577.77259999999933</v>
      </c>
      <c r="AD465" s="54">
        <f>SUM(AD466:AD474)</f>
        <v>32103.598731159494</v>
      </c>
      <c r="AE465" s="184">
        <f>SUMIFS($AD$37:$AD$12971,$V$37:$V$12971,$V465,$X$37:$X$12971,AE$13)</f>
        <v>0</v>
      </c>
      <c r="AF465" s="185">
        <f>SUMIFS($AD$37:$AD$12971,$V$37:$V$12971,$V465,$X$37:$X$12971,AF$13)</f>
        <v>0</v>
      </c>
      <c r="AG465" s="185">
        <f>SUMIFS($AD$37:$AD$12971,$V$37:$V$12971,$V465,$X$37:$X$12971,AG$13)</f>
        <v>0</v>
      </c>
      <c r="AH465" s="187">
        <f>SUMIFS($AD$37:$AD$12971,$V$37:$V$12971,$V465,$X$37:$X$12971,AH$13)</f>
        <v>0</v>
      </c>
      <c r="AI465" s="161">
        <f t="shared" ref="AI465" si="388">SUM(AE465:AH465)</f>
        <v>0</v>
      </c>
      <c r="AK465" s="172"/>
    </row>
    <row r="466" spans="1:37" s="102" customFormat="1" ht="19.899999999999999" customHeight="1" x14ac:dyDescent="0.25">
      <c r="A466" s="45"/>
      <c r="B466" s="59"/>
      <c r="C466" s="137"/>
      <c r="D466" s="59"/>
      <c r="E466" s="116"/>
      <c r="F466" s="120"/>
      <c r="G466" s="120"/>
      <c r="H466" s="120"/>
      <c r="I466" s="60"/>
      <c r="J466" s="116"/>
      <c r="K466" s="213"/>
      <c r="L466" s="120"/>
      <c r="M466" s="120"/>
      <c r="N466" s="167"/>
      <c r="O466" s="120"/>
      <c r="P466" s="120"/>
      <c r="Q466" s="120"/>
      <c r="R466" s="120"/>
      <c r="S466" s="120"/>
      <c r="T466" s="221"/>
      <c r="U466" s="89"/>
      <c r="V466" s="61"/>
      <c r="W466" s="92" t="s">
        <v>129</v>
      </c>
      <c r="X466" s="93" t="s">
        <v>29</v>
      </c>
      <c r="Y466" s="93" t="s">
        <v>93</v>
      </c>
      <c r="Z466" s="134">
        <f>VLOOKUP(W466,Sheet2!$B:$D,3,FALSE)</f>
        <v>56</v>
      </c>
      <c r="AA466" s="93">
        <f>100/(1.71*2.5)</f>
        <v>23.391812865497073</v>
      </c>
      <c r="AB466" s="93">
        <f t="shared" ref="AB466" si="389">AD466/AC465</f>
        <v>2.3940000000000001</v>
      </c>
      <c r="AC466" s="93">
        <f>AC465/AA466</f>
        <v>24.699778649999974</v>
      </c>
      <c r="AD466" s="94">
        <f t="shared" ref="AD466:AD467" si="390">AC466*Z466</f>
        <v>1383.1876043999985</v>
      </c>
      <c r="AE466" s="190"/>
      <c r="AF466" s="191"/>
      <c r="AG466" s="191"/>
      <c r="AH466" s="191"/>
      <c r="AI466" s="186"/>
      <c r="AK466" s="171"/>
    </row>
    <row r="467" spans="1:37" s="102" customFormat="1" ht="19.899999999999999" customHeight="1" x14ac:dyDescent="0.25">
      <c r="A467" s="45"/>
      <c r="B467" s="59"/>
      <c r="C467" s="137"/>
      <c r="D467" s="59"/>
      <c r="E467" s="116"/>
      <c r="F467" s="120"/>
      <c r="G467" s="120"/>
      <c r="H467" s="120"/>
      <c r="I467" s="60"/>
      <c r="J467" s="116"/>
      <c r="K467" s="213"/>
      <c r="L467" s="120"/>
      <c r="M467" s="120"/>
      <c r="N467" s="167"/>
      <c r="O467" s="120"/>
      <c r="P467" s="120"/>
      <c r="Q467" s="120"/>
      <c r="R467" s="120"/>
      <c r="S467" s="120"/>
      <c r="T467" s="221"/>
      <c r="U467" s="89"/>
      <c r="V467" s="61"/>
      <c r="W467" s="92" t="s">
        <v>65</v>
      </c>
      <c r="X467" s="93" t="s">
        <v>30</v>
      </c>
      <c r="Y467" s="93" t="s">
        <v>1011</v>
      </c>
      <c r="Z467" s="134">
        <f>VLOOKUP(W467,Sheet2!$B:$D,3,FALSE)</f>
        <v>1.76</v>
      </c>
      <c r="AA467" s="93">
        <f>AA466/14</f>
        <v>1.6708437761069337</v>
      </c>
      <c r="AB467" s="93">
        <f>AD467/AC465</f>
        <v>1.0533600000000001</v>
      </c>
      <c r="AC467" s="93">
        <f>AC465/AA467</f>
        <v>345.79690109999967</v>
      </c>
      <c r="AD467" s="94">
        <f t="shared" si="390"/>
        <v>608.60254593599939</v>
      </c>
      <c r="AE467" s="190"/>
      <c r="AF467" s="191"/>
      <c r="AG467" s="191"/>
      <c r="AH467" s="191"/>
      <c r="AI467" s="186"/>
      <c r="AK467" s="171"/>
    </row>
    <row r="468" spans="1:37" s="102" customFormat="1" ht="19.899999999999999" customHeight="1" x14ac:dyDescent="0.25">
      <c r="A468" s="45"/>
      <c r="B468" s="59"/>
      <c r="C468" s="137"/>
      <c r="D468" s="59"/>
      <c r="E468" s="116"/>
      <c r="F468" s="120"/>
      <c r="G468" s="120"/>
      <c r="H468" s="120"/>
      <c r="I468" s="60"/>
      <c r="J468" s="116"/>
      <c r="K468" s="213"/>
      <c r="L468" s="120"/>
      <c r="M468" s="120"/>
      <c r="N468" s="167"/>
      <c r="O468" s="120"/>
      <c r="P468" s="120"/>
      <c r="Q468" s="120"/>
      <c r="R468" s="120"/>
      <c r="S468" s="120"/>
      <c r="T468" s="221"/>
      <c r="U468" s="89"/>
      <c r="V468" s="61"/>
      <c r="W468" s="92" t="s">
        <v>161</v>
      </c>
      <c r="X468" s="93" t="s">
        <v>29</v>
      </c>
      <c r="Y468" s="93" t="s">
        <v>93</v>
      </c>
      <c r="Z468" s="134">
        <f>VLOOKUP(W468,Sheet2!$B:$D,3,FALSE)</f>
        <v>48</v>
      </c>
      <c r="AA468" s="93">
        <f>(16*0.85*1.5)/(1.71*2.5)</f>
        <v>4.7719298245614024</v>
      </c>
      <c r="AB468" s="93">
        <f>AD468/AC465</f>
        <v>10.058823529411766</v>
      </c>
      <c r="AC468" s="93">
        <f>AC465/AA468</f>
        <v>121.0773463235293</v>
      </c>
      <c r="AD468" s="94">
        <f>AC468*Z468</f>
        <v>5811.7126235294063</v>
      </c>
      <c r="AE468" s="190"/>
      <c r="AF468" s="191"/>
      <c r="AG468" s="191"/>
      <c r="AH468" s="191"/>
      <c r="AI468" s="186"/>
      <c r="AK468" s="171"/>
    </row>
    <row r="469" spans="1:37" s="102" customFormat="1" ht="19.899999999999999" customHeight="1" x14ac:dyDescent="0.25">
      <c r="A469" s="45"/>
      <c r="B469" s="59"/>
      <c r="C469" s="137"/>
      <c r="D469" s="59"/>
      <c r="E469" s="116"/>
      <c r="F469" s="120"/>
      <c r="G469" s="120"/>
      <c r="H469" s="120"/>
      <c r="I469" s="60"/>
      <c r="J469" s="116"/>
      <c r="K469" s="213"/>
      <c r="L469" s="120"/>
      <c r="M469" s="120"/>
      <c r="N469" s="167"/>
      <c r="O469" s="120"/>
      <c r="P469" s="120"/>
      <c r="Q469" s="120"/>
      <c r="R469" s="120"/>
      <c r="S469" s="120"/>
      <c r="T469" s="221"/>
      <c r="U469" s="89"/>
      <c r="V469" s="61"/>
      <c r="W469" s="92" t="s">
        <v>65</v>
      </c>
      <c r="X469" s="93" t="s">
        <v>30</v>
      </c>
      <c r="Y469" s="93" t="s">
        <v>1011</v>
      </c>
      <c r="Z469" s="134">
        <f>VLOOKUP(W469,Sheet2!$B:$D,3,FALSE)</f>
        <v>1.76</v>
      </c>
      <c r="AA469" s="93">
        <f>AA468/10</f>
        <v>0.47719298245614022</v>
      </c>
      <c r="AB469" s="93">
        <f>AD469/AC465</f>
        <v>3.6882352941176477</v>
      </c>
      <c r="AC469" s="93">
        <f>AC465/AA469</f>
        <v>1210.7734632352931</v>
      </c>
      <c r="AD469" s="94">
        <f>AC469*Z469</f>
        <v>2130.9612952941156</v>
      </c>
      <c r="AE469" s="190"/>
      <c r="AF469" s="191"/>
      <c r="AG469" s="191"/>
      <c r="AH469" s="191"/>
      <c r="AI469" s="186"/>
      <c r="AK469" s="171"/>
    </row>
    <row r="470" spans="1:37" s="102" customFormat="1" ht="19.899999999999999" customHeight="1" x14ac:dyDescent="0.25">
      <c r="A470" s="45"/>
      <c r="B470" s="59"/>
      <c r="C470" s="137"/>
      <c r="D470" s="59"/>
      <c r="E470" s="116"/>
      <c r="F470" s="120"/>
      <c r="G470" s="120"/>
      <c r="H470" s="120"/>
      <c r="I470" s="60"/>
      <c r="J470" s="116"/>
      <c r="K470" s="213"/>
      <c r="L470" s="120"/>
      <c r="M470" s="120"/>
      <c r="N470" s="167"/>
      <c r="O470" s="120"/>
      <c r="P470" s="120"/>
      <c r="Q470" s="120"/>
      <c r="R470" s="120"/>
      <c r="S470" s="120"/>
      <c r="T470" s="221"/>
      <c r="U470" s="89"/>
      <c r="V470" s="61"/>
      <c r="W470" s="92" t="s">
        <v>1030</v>
      </c>
      <c r="X470" s="93" t="s">
        <v>29</v>
      </c>
      <c r="Y470" s="93" t="s">
        <v>93</v>
      </c>
      <c r="Z470" s="134">
        <f>VLOOKUP(W470,Sheet2!$B:$D,3,FALSE)</f>
        <v>23</v>
      </c>
      <c r="AA470" s="93">
        <v>50</v>
      </c>
      <c r="AB470" s="93">
        <f>AD470/AC465</f>
        <v>0.46</v>
      </c>
      <c r="AC470" s="93">
        <f>AC465/AA470</f>
        <v>11.555451999999987</v>
      </c>
      <c r="AD470" s="94">
        <f t="shared" ref="AD470:AD474" si="391">AC470*Z470</f>
        <v>265.77539599999972</v>
      </c>
      <c r="AE470" s="190"/>
      <c r="AF470" s="191"/>
      <c r="AG470" s="191"/>
      <c r="AH470" s="191"/>
      <c r="AI470" s="186"/>
      <c r="AK470" s="171"/>
    </row>
    <row r="471" spans="1:37" s="102" customFormat="1" ht="19.899999999999999" customHeight="1" x14ac:dyDescent="0.25">
      <c r="A471" s="45"/>
      <c r="B471" s="59"/>
      <c r="C471" s="137"/>
      <c r="D471" s="59"/>
      <c r="E471" s="116"/>
      <c r="F471" s="120"/>
      <c r="G471" s="120"/>
      <c r="H471" s="120"/>
      <c r="I471" s="60"/>
      <c r="J471" s="116"/>
      <c r="K471" s="213"/>
      <c r="L471" s="120"/>
      <c r="M471" s="120"/>
      <c r="N471" s="167"/>
      <c r="O471" s="120"/>
      <c r="P471" s="120"/>
      <c r="Q471" s="120"/>
      <c r="R471" s="120"/>
      <c r="S471" s="120"/>
      <c r="T471" s="221"/>
      <c r="U471" s="89"/>
      <c r="V471" s="61"/>
      <c r="W471" s="92" t="s">
        <v>65</v>
      </c>
      <c r="X471" s="93" t="s">
        <v>30</v>
      </c>
      <c r="Y471" s="93" t="s">
        <v>1011</v>
      </c>
      <c r="Z471" s="134">
        <f>VLOOKUP(W471,Sheet2!$B:$D,3,FALSE)</f>
        <v>1.76</v>
      </c>
      <c r="AA471" s="93">
        <f>AA470/3</f>
        <v>16.666666666666668</v>
      </c>
      <c r="AB471" s="93">
        <f>AD471/AC465</f>
        <v>0.10559999999999999</v>
      </c>
      <c r="AC471" s="93">
        <f>AC465/AA471</f>
        <v>34.666355999999958</v>
      </c>
      <c r="AD471" s="94">
        <f t="shared" si="391"/>
        <v>61.012786559999924</v>
      </c>
      <c r="AE471" s="190"/>
      <c r="AF471" s="191"/>
      <c r="AG471" s="191"/>
      <c r="AH471" s="191"/>
      <c r="AI471" s="186"/>
      <c r="AK471" s="171"/>
    </row>
    <row r="472" spans="1:37" s="102" customFormat="1" ht="19.899999999999999" customHeight="1" x14ac:dyDescent="0.25">
      <c r="A472" s="45"/>
      <c r="B472" s="59"/>
      <c r="C472" s="137"/>
      <c r="D472" s="59"/>
      <c r="E472" s="116"/>
      <c r="F472" s="120"/>
      <c r="G472" s="120"/>
      <c r="H472" s="120"/>
      <c r="I472" s="60"/>
      <c r="J472" s="116"/>
      <c r="K472" s="213"/>
      <c r="L472" s="120"/>
      <c r="M472" s="120"/>
      <c r="N472" s="167"/>
      <c r="O472" s="120"/>
      <c r="P472" s="120"/>
      <c r="Q472" s="120"/>
      <c r="R472" s="120"/>
      <c r="S472" s="120"/>
      <c r="T472" s="221"/>
      <c r="U472" s="89"/>
      <c r="V472" s="61"/>
      <c r="W472" s="92" t="s">
        <v>148</v>
      </c>
      <c r="X472" s="93" t="s">
        <v>29</v>
      </c>
      <c r="Y472" s="93" t="s">
        <v>93</v>
      </c>
      <c r="Z472" s="134">
        <f>VLOOKUP(W472,Sheet2!$B:$D,3,FALSE)</f>
        <v>48</v>
      </c>
      <c r="AA472" s="93">
        <f>AA466</f>
        <v>23.391812865497073</v>
      </c>
      <c r="AB472" s="93">
        <f>AD472/AC465</f>
        <v>2.0520000000000005</v>
      </c>
      <c r="AC472" s="93">
        <f>AC465/AA472</f>
        <v>24.699778649999974</v>
      </c>
      <c r="AD472" s="94">
        <f t="shared" si="391"/>
        <v>1185.5893751999988</v>
      </c>
      <c r="AE472" s="190"/>
      <c r="AF472" s="191"/>
      <c r="AG472" s="191"/>
      <c r="AH472" s="191"/>
      <c r="AI472" s="186"/>
      <c r="AK472" s="171"/>
    </row>
    <row r="473" spans="1:37" s="102" customFormat="1" ht="19.899999999999999" customHeight="1" x14ac:dyDescent="0.25">
      <c r="A473" s="45"/>
      <c r="B473" s="59"/>
      <c r="C473" s="137"/>
      <c r="D473" s="59"/>
      <c r="E473" s="116"/>
      <c r="F473" s="120"/>
      <c r="G473" s="120"/>
      <c r="H473" s="120"/>
      <c r="I473" s="60"/>
      <c r="J473" s="116"/>
      <c r="K473" s="213"/>
      <c r="L473" s="120"/>
      <c r="M473" s="120"/>
      <c r="N473" s="167"/>
      <c r="O473" s="120"/>
      <c r="P473" s="120"/>
      <c r="Q473" s="120"/>
      <c r="R473" s="120"/>
      <c r="S473" s="120"/>
      <c r="T473" s="221"/>
      <c r="U473" s="89"/>
      <c r="V473" s="61"/>
      <c r="W473" s="92" t="s">
        <v>65</v>
      </c>
      <c r="X473" s="93" t="s">
        <v>30</v>
      </c>
      <c r="Y473" s="93" t="s">
        <v>1011</v>
      </c>
      <c r="Z473" s="134">
        <f>VLOOKUP(W473,Sheet2!$B:$D,3,FALSE)</f>
        <v>1.76</v>
      </c>
      <c r="AA473" s="93">
        <f>AA472/10</f>
        <v>2.3391812865497075</v>
      </c>
      <c r="AB473" s="93">
        <f>AD473/AC465</f>
        <v>0.75240000000000007</v>
      </c>
      <c r="AC473" s="93">
        <f>AC465/AA473</f>
        <v>246.99778649999973</v>
      </c>
      <c r="AD473" s="94">
        <f t="shared" si="391"/>
        <v>434.71610423999954</v>
      </c>
      <c r="AE473" s="190"/>
      <c r="AF473" s="191"/>
      <c r="AG473" s="191"/>
      <c r="AH473" s="191"/>
      <c r="AI473" s="186"/>
      <c r="AK473" s="171"/>
    </row>
    <row r="474" spans="1:37" s="102" customFormat="1" ht="19.899999999999999" customHeight="1" x14ac:dyDescent="0.25">
      <c r="A474" s="45"/>
      <c r="B474" s="59"/>
      <c r="C474" s="137"/>
      <c r="D474" s="59"/>
      <c r="E474" s="116"/>
      <c r="F474" s="120"/>
      <c r="G474" s="120"/>
      <c r="H474" s="120"/>
      <c r="I474" s="60"/>
      <c r="J474" s="116"/>
      <c r="K474" s="213"/>
      <c r="L474" s="120"/>
      <c r="M474" s="120"/>
      <c r="N474" s="167"/>
      <c r="O474" s="120"/>
      <c r="P474" s="120"/>
      <c r="Q474" s="120"/>
      <c r="R474" s="120"/>
      <c r="S474" s="120"/>
      <c r="T474" s="221"/>
      <c r="U474" s="89"/>
      <c r="V474" s="61"/>
      <c r="W474" s="92" t="s">
        <v>1048</v>
      </c>
      <c r="X474" s="93" t="s">
        <v>30</v>
      </c>
      <c r="Y474" s="93" t="s">
        <v>68</v>
      </c>
      <c r="Z474" s="134">
        <f>VLOOKUP(W474,Sheet2!$B:$D,3,FALSE)</f>
        <v>35</v>
      </c>
      <c r="AA474" s="93">
        <v>1</v>
      </c>
      <c r="AB474" s="93">
        <f>AD474/AC465</f>
        <v>35</v>
      </c>
      <c r="AC474" s="93">
        <f>AC465/AA474</f>
        <v>577.77259999999933</v>
      </c>
      <c r="AD474" s="94">
        <f t="shared" si="391"/>
        <v>20222.040999999976</v>
      </c>
      <c r="AE474" s="190"/>
      <c r="AF474" s="191"/>
      <c r="AG474" s="191"/>
      <c r="AH474" s="191"/>
      <c r="AI474" s="186"/>
      <c r="AK474" s="171"/>
    </row>
    <row r="475" spans="1:37" s="103" customFormat="1" ht="19.899999999999999" customHeight="1" x14ac:dyDescent="0.25">
      <c r="A475" s="51"/>
      <c r="B475" s="52"/>
      <c r="C475" s="165"/>
      <c r="D475" s="52"/>
      <c r="E475" s="115"/>
      <c r="F475" s="58"/>
      <c r="G475" s="58"/>
      <c r="H475" s="58"/>
      <c r="I475" s="55"/>
      <c r="J475" s="113">
        <f>J464</f>
        <v>577.77259999999933</v>
      </c>
      <c r="K475" s="212">
        <f>K464</f>
        <v>577.77259999999933</v>
      </c>
      <c r="L475" s="58"/>
      <c r="M475" s="58">
        <f>K475-L475</f>
        <v>577.77259999999933</v>
      </c>
      <c r="N475" s="166"/>
      <c r="O475" s="58"/>
      <c r="P475" s="58"/>
      <c r="Q475" s="58"/>
      <c r="R475" s="58"/>
      <c r="S475" s="58"/>
      <c r="T475" s="220"/>
      <c r="U475" s="88"/>
      <c r="V475" s="56"/>
      <c r="W475" s="57" t="s">
        <v>1036</v>
      </c>
      <c r="X475" s="53"/>
      <c r="Y475" s="91" t="s">
        <v>68</v>
      </c>
      <c r="Z475" s="136">
        <f>AD475/AC475</f>
        <v>1410.9833333333336</v>
      </c>
      <c r="AA475" s="58"/>
      <c r="AB475" s="53">
        <f>AD475/AC475</f>
        <v>1410.9833333333336</v>
      </c>
      <c r="AC475" s="53">
        <f>M475+$AE$10</f>
        <v>577.77259999999933</v>
      </c>
      <c r="AD475" s="54">
        <f>SUM(AD476:AD480)</f>
        <v>815227.50905666582</v>
      </c>
      <c r="AE475" s="184">
        <f>SUMIFS($AD$37:$AD$12971,$V$37:$V$12971,$V475,$X$37:$X$12971,AE$13)</f>
        <v>0</v>
      </c>
      <c r="AF475" s="185">
        <f>SUMIFS($AD$37:$AD$12971,$V$37:$V$12971,$V475,$X$37:$X$12971,AF$13)</f>
        <v>0</v>
      </c>
      <c r="AG475" s="185">
        <f>SUMIFS($AD$37:$AD$12971,$V$37:$V$12971,$V475,$X$37:$X$12971,AG$13)</f>
        <v>0</v>
      </c>
      <c r="AH475" s="187">
        <f>SUMIFS($AD$37:$AD$12971,$V$37:$V$12971,$V475,$X$37:$X$12971,AH$13)</f>
        <v>0</v>
      </c>
      <c r="AI475" s="161">
        <f t="shared" ref="AI475" si="392">SUM(AE475:AH475)</f>
        <v>0</v>
      </c>
      <c r="AK475" s="172"/>
    </row>
    <row r="476" spans="1:37" s="102" customFormat="1" ht="19.899999999999999" customHeight="1" x14ac:dyDescent="0.25">
      <c r="A476" s="45"/>
      <c r="B476" s="59"/>
      <c r="C476" s="137"/>
      <c r="D476" s="59"/>
      <c r="E476" s="116"/>
      <c r="F476" s="120"/>
      <c r="G476" s="120"/>
      <c r="H476" s="120"/>
      <c r="I476" s="60"/>
      <c r="J476" s="116"/>
      <c r="K476" s="213"/>
      <c r="L476" s="120"/>
      <c r="M476" s="120"/>
      <c r="N476" s="167"/>
      <c r="O476" s="120"/>
      <c r="P476" s="120"/>
      <c r="Q476" s="120"/>
      <c r="R476" s="120"/>
      <c r="S476" s="120"/>
      <c r="T476" s="221"/>
      <c r="U476" s="89"/>
      <c r="V476" s="61"/>
      <c r="W476" s="92" t="s">
        <v>1286</v>
      </c>
      <c r="X476" s="93" t="s">
        <v>30</v>
      </c>
      <c r="Y476" s="93" t="s">
        <v>68</v>
      </c>
      <c r="Z476" s="134">
        <f>VLOOKUP(W476,Sheet2!$B:$D,3,FALSE)</f>
        <v>1222</v>
      </c>
      <c r="AA476" s="93">
        <v>1</v>
      </c>
      <c r="AB476" s="93">
        <f>AD476/AC475</f>
        <v>1222</v>
      </c>
      <c r="AC476" s="93">
        <f>AC475/AA476</f>
        <v>577.77259999999933</v>
      </c>
      <c r="AD476" s="94">
        <f t="shared" ref="AD476" si="393">AC476*Z476</f>
        <v>706038.11719999916</v>
      </c>
      <c r="AE476" s="190"/>
      <c r="AF476" s="191"/>
      <c r="AG476" s="191"/>
      <c r="AH476" s="191"/>
      <c r="AI476" s="186"/>
      <c r="AK476" s="171"/>
    </row>
    <row r="477" spans="1:37" s="102" customFormat="1" ht="19.899999999999999" customHeight="1" x14ac:dyDescent="0.25">
      <c r="A477" s="45"/>
      <c r="B477" s="59"/>
      <c r="C477" s="137"/>
      <c r="D477" s="59"/>
      <c r="E477" s="116"/>
      <c r="F477" s="120"/>
      <c r="G477" s="120"/>
      <c r="H477" s="120"/>
      <c r="I477" s="60"/>
      <c r="J477" s="116"/>
      <c r="K477" s="213"/>
      <c r="L477" s="120"/>
      <c r="M477" s="120"/>
      <c r="N477" s="167"/>
      <c r="O477" s="120"/>
      <c r="P477" s="120"/>
      <c r="Q477" s="120"/>
      <c r="R477" s="120"/>
      <c r="S477" s="120"/>
      <c r="T477" s="221"/>
      <c r="U477" s="89"/>
      <c r="V477" s="61"/>
      <c r="W477" s="92" t="s">
        <v>1287</v>
      </c>
      <c r="X477" s="93" t="s">
        <v>32</v>
      </c>
      <c r="Y477" s="93" t="s">
        <v>68</v>
      </c>
      <c r="Z477" s="134">
        <f>VLOOKUP(W477,Sheet2!$B:$D,3,FALSE)</f>
        <v>120</v>
      </c>
      <c r="AA477" s="93">
        <v>1</v>
      </c>
      <c r="AB477" s="93">
        <f>AD477/AC475</f>
        <v>119.99999999999999</v>
      </c>
      <c r="AC477" s="93">
        <f>AC475/AA477</f>
        <v>577.77259999999933</v>
      </c>
      <c r="AD477" s="94">
        <f>AC477*Z477</f>
        <v>69332.711999999912</v>
      </c>
      <c r="AE477" s="190"/>
      <c r="AF477" s="191"/>
      <c r="AG477" s="191"/>
      <c r="AH477" s="191"/>
      <c r="AI477" s="186"/>
      <c r="AK477" s="171"/>
    </row>
    <row r="478" spans="1:37" s="102" customFormat="1" ht="19.899999999999999" customHeight="1" x14ac:dyDescent="0.25">
      <c r="A478" s="45"/>
      <c r="B478" s="59"/>
      <c r="C478" s="137"/>
      <c r="D478" s="59"/>
      <c r="E478" s="116"/>
      <c r="F478" s="120"/>
      <c r="G478" s="120"/>
      <c r="H478" s="120"/>
      <c r="I478" s="60"/>
      <c r="J478" s="116"/>
      <c r="K478" s="213"/>
      <c r="L478" s="120"/>
      <c r="M478" s="120"/>
      <c r="N478" s="167"/>
      <c r="O478" s="120"/>
      <c r="P478" s="120"/>
      <c r="Q478" s="120"/>
      <c r="R478" s="120"/>
      <c r="S478" s="120"/>
      <c r="T478" s="221"/>
      <c r="U478" s="89"/>
      <c r="V478" s="61"/>
      <c r="W478" s="92" t="s">
        <v>1032</v>
      </c>
      <c r="X478" s="93" t="s">
        <v>30</v>
      </c>
      <c r="Y478" s="93" t="s">
        <v>66</v>
      </c>
      <c r="Z478" s="134">
        <f>VLOOKUP(W478,Sheet2!$B:$D,3,FALSE)</f>
        <v>250</v>
      </c>
      <c r="AA478" s="93">
        <f>1/(1.71*0.1)</f>
        <v>5.8479532163742682</v>
      </c>
      <c r="AB478" s="93">
        <f>AD478/AC475</f>
        <v>42.750000000000007</v>
      </c>
      <c r="AC478" s="93">
        <f>AC475/AA478</f>
        <v>98.799114599999896</v>
      </c>
      <c r="AD478" s="94">
        <f>AC478*Z478</f>
        <v>24699.778649999975</v>
      </c>
      <c r="AE478" s="190"/>
      <c r="AF478" s="191"/>
      <c r="AG478" s="191"/>
      <c r="AH478" s="191"/>
      <c r="AI478" s="186"/>
      <c r="AK478" s="171"/>
    </row>
    <row r="479" spans="1:37" s="102" customFormat="1" ht="19.899999999999999" customHeight="1" x14ac:dyDescent="0.25">
      <c r="A479" s="45"/>
      <c r="B479" s="59"/>
      <c r="C479" s="137"/>
      <c r="D479" s="59"/>
      <c r="E479" s="116"/>
      <c r="F479" s="120"/>
      <c r="G479" s="120"/>
      <c r="H479" s="120"/>
      <c r="I479" s="60"/>
      <c r="J479" s="116"/>
      <c r="K479" s="213"/>
      <c r="L479" s="120"/>
      <c r="M479" s="120"/>
      <c r="N479" s="167"/>
      <c r="O479" s="120"/>
      <c r="P479" s="120"/>
      <c r="Q479" s="120"/>
      <c r="R479" s="120"/>
      <c r="S479" s="120"/>
      <c r="T479" s="221"/>
      <c r="U479" s="89"/>
      <c r="V479" s="61"/>
      <c r="W479" s="92" t="s">
        <v>1035</v>
      </c>
      <c r="X479" s="93" t="s">
        <v>32</v>
      </c>
      <c r="Y479" s="93" t="s">
        <v>66</v>
      </c>
      <c r="Z479" s="134">
        <f>VLOOKUP(W479,Sheet2!$B:$D,3,FALSE)</f>
        <v>150</v>
      </c>
      <c r="AA479" s="93">
        <f>AA478</f>
        <v>5.8479532163742682</v>
      </c>
      <c r="AB479" s="93">
        <f>AD479/AC475</f>
        <v>25.650000000000002</v>
      </c>
      <c r="AC479" s="93">
        <f>AC475/AA479</f>
        <v>98.799114599999896</v>
      </c>
      <c r="AD479" s="94">
        <f t="shared" ref="AD479:AD480" si="394">AC479*Z479</f>
        <v>14819.867189999984</v>
      </c>
      <c r="AE479" s="190"/>
      <c r="AF479" s="191"/>
      <c r="AG479" s="191"/>
      <c r="AH479" s="191"/>
      <c r="AI479" s="186"/>
      <c r="AK479" s="171"/>
    </row>
    <row r="480" spans="1:37" s="102" customFormat="1" ht="19.899999999999999" customHeight="1" x14ac:dyDescent="0.25">
      <c r="A480" s="45"/>
      <c r="B480" s="59"/>
      <c r="C480" s="137"/>
      <c r="D480" s="59"/>
      <c r="E480" s="116"/>
      <c r="F480" s="120"/>
      <c r="G480" s="120"/>
      <c r="H480" s="120"/>
      <c r="I480" s="60"/>
      <c r="J480" s="116"/>
      <c r="K480" s="213"/>
      <c r="L480" s="120"/>
      <c r="M480" s="120"/>
      <c r="N480" s="167"/>
      <c r="O480" s="120"/>
      <c r="P480" s="120"/>
      <c r="Q480" s="120"/>
      <c r="R480" s="120"/>
      <c r="S480" s="120"/>
      <c r="T480" s="221"/>
      <c r="U480" s="89"/>
      <c r="V480" s="61"/>
      <c r="W480" s="92" t="s">
        <v>1037</v>
      </c>
      <c r="X480" s="93" t="s">
        <v>30</v>
      </c>
      <c r="Y480" s="93" t="s">
        <v>1038</v>
      </c>
      <c r="Z480" s="134">
        <f>VLOOKUP(W480,Sheet2!$B:$D,3,FALSE)</f>
        <v>175</v>
      </c>
      <c r="AA480" s="93">
        <v>300</v>
      </c>
      <c r="AB480" s="93">
        <f>AD480/AC475</f>
        <v>0.58333333333333337</v>
      </c>
      <c r="AC480" s="93">
        <f>AC475/AA480</f>
        <v>1.9259086666666645</v>
      </c>
      <c r="AD480" s="94">
        <f t="shared" si="394"/>
        <v>337.03401666666628</v>
      </c>
      <c r="AE480" s="190"/>
      <c r="AF480" s="191"/>
      <c r="AG480" s="191"/>
      <c r="AH480" s="191"/>
      <c r="AI480" s="186"/>
      <c r="AK480" s="171"/>
    </row>
    <row r="481" spans="1:41" s="103" customFormat="1" ht="19.899999999999999" customHeight="1" x14ac:dyDescent="0.25">
      <c r="A481" s="51"/>
      <c r="B481" s="52"/>
      <c r="C481" s="165"/>
      <c r="D481" s="52"/>
      <c r="E481" s="115"/>
      <c r="F481" s="58"/>
      <c r="G481" s="58"/>
      <c r="H481" s="58"/>
      <c r="I481" s="55"/>
      <c r="J481" s="113">
        <f>J464</f>
        <v>577.77259999999933</v>
      </c>
      <c r="K481" s="212">
        <f>K464</f>
        <v>577.77259999999933</v>
      </c>
      <c r="L481" s="58"/>
      <c r="M481" s="58">
        <f>K481-L481</f>
        <v>577.77259999999933</v>
      </c>
      <c r="N481" s="166"/>
      <c r="O481" s="58"/>
      <c r="P481" s="58"/>
      <c r="Q481" s="58"/>
      <c r="R481" s="58"/>
      <c r="S481" s="58"/>
      <c r="T481" s="220"/>
      <c r="U481" s="88"/>
      <c r="V481" s="56"/>
      <c r="W481" s="57" t="s">
        <v>1040</v>
      </c>
      <c r="X481" s="53"/>
      <c r="Y481" s="91" t="s">
        <v>68</v>
      </c>
      <c r="Z481" s="136">
        <f>AD481/AC481</f>
        <v>5</v>
      </c>
      <c r="AA481" s="58"/>
      <c r="AB481" s="53">
        <f>AD481/AC481</f>
        <v>5</v>
      </c>
      <c r="AC481" s="53">
        <f>M481+$AE$10</f>
        <v>577.77259999999933</v>
      </c>
      <c r="AD481" s="54">
        <f>SUM(AD482)</f>
        <v>2888.8629999999966</v>
      </c>
      <c r="AE481" s="184">
        <f>SUMIFS($AD$37:$AD$12971,$V$37:$V$12971,$V481,$X$37:$X$12971,AE$13)</f>
        <v>0</v>
      </c>
      <c r="AF481" s="185">
        <f>SUMIFS($AD$37:$AD$12971,$V$37:$V$12971,$V481,$X$37:$X$12971,AF$13)</f>
        <v>0</v>
      </c>
      <c r="AG481" s="185">
        <f>SUMIFS($AD$37:$AD$12971,$V$37:$V$12971,$V481,$X$37:$X$12971,AG$13)</f>
        <v>0</v>
      </c>
      <c r="AH481" s="187">
        <f>SUMIFS($AD$37:$AD$12971,$V$37:$V$12971,$V481,$X$37:$X$12971,AH$13)</f>
        <v>0</v>
      </c>
      <c r="AI481" s="161">
        <f t="shared" ref="AI481" si="395">SUM(AE481:AH481)</f>
        <v>0</v>
      </c>
      <c r="AK481" s="172"/>
    </row>
    <row r="482" spans="1:41" s="102" customFormat="1" ht="19.899999999999999" customHeight="1" x14ac:dyDescent="0.25">
      <c r="A482" s="45"/>
      <c r="B482" s="59"/>
      <c r="C482" s="137"/>
      <c r="D482" s="59"/>
      <c r="E482" s="116"/>
      <c r="F482" s="120"/>
      <c r="G482" s="120"/>
      <c r="H482" s="120"/>
      <c r="I482" s="60"/>
      <c r="J482" s="116"/>
      <c r="K482" s="213"/>
      <c r="L482" s="120"/>
      <c r="M482" s="120"/>
      <c r="N482" s="167"/>
      <c r="O482" s="120"/>
      <c r="P482" s="120"/>
      <c r="Q482" s="120"/>
      <c r="R482" s="120"/>
      <c r="S482" s="120"/>
      <c r="T482" s="221"/>
      <c r="U482" s="89"/>
      <c r="V482" s="61"/>
      <c r="W482" s="92" t="s">
        <v>1039</v>
      </c>
      <c r="X482" s="93" t="s">
        <v>32</v>
      </c>
      <c r="Y482" s="93" t="s">
        <v>68</v>
      </c>
      <c r="Z482" s="134">
        <f>VLOOKUP(W482,Sheet2!$B:$D,3,FALSE)</f>
        <v>5</v>
      </c>
      <c r="AA482" s="93">
        <v>1</v>
      </c>
      <c r="AB482" s="93">
        <f>AD482/AC481</f>
        <v>5</v>
      </c>
      <c r="AC482" s="93">
        <f>AC481/AA482</f>
        <v>577.77259999999933</v>
      </c>
      <c r="AD482" s="94">
        <f t="shared" ref="AD482" si="396">AC482*Z482</f>
        <v>2888.8629999999966</v>
      </c>
      <c r="AE482" s="190"/>
      <c r="AF482" s="191"/>
      <c r="AG482" s="191"/>
      <c r="AH482" s="191"/>
      <c r="AI482" s="186"/>
      <c r="AK482" s="171"/>
    </row>
    <row r="483" spans="1:41" ht="20.100000000000001" customHeight="1" x14ac:dyDescent="0.25">
      <c r="A483" s="277" t="s">
        <v>216</v>
      </c>
      <c r="B483" s="278"/>
      <c r="C483" s="64" t="s">
        <v>247</v>
      </c>
      <c r="D483" s="46" t="s">
        <v>97</v>
      </c>
      <c r="E483" s="114">
        <v>3.8841000000000001</v>
      </c>
      <c r="F483" s="44">
        <v>2690</v>
      </c>
      <c r="G483" s="44">
        <f t="shared" si="199"/>
        <v>10448.229000000001</v>
      </c>
      <c r="H483" s="44">
        <f t="shared" si="200"/>
        <v>1500.5475159215687</v>
      </c>
      <c r="I483" s="43">
        <f t="shared" si="201"/>
        <v>5828.2766065909655</v>
      </c>
      <c r="J483" s="112">
        <f t="shared" si="202"/>
        <v>3.8841000000000001</v>
      </c>
      <c r="K483" s="211">
        <f t="shared" si="203"/>
        <v>3.8841000000000001</v>
      </c>
      <c r="L483" s="44"/>
      <c r="M483" s="44">
        <f t="shared" si="223"/>
        <v>3.8841000000000001</v>
      </c>
      <c r="N483" s="173">
        <f t="shared" si="204"/>
        <v>1</v>
      </c>
      <c r="O483" s="44">
        <f t="shared" si="205"/>
        <v>2690</v>
      </c>
      <c r="P483" s="44">
        <f t="shared" si="206"/>
        <v>10448.229000000001</v>
      </c>
      <c r="Q483" s="44">
        <f t="shared" si="207"/>
        <v>1500.5475159215687</v>
      </c>
      <c r="R483" s="44">
        <f t="shared" si="224"/>
        <v>5828.2766065909655</v>
      </c>
      <c r="S483" s="123"/>
      <c r="T483" s="219">
        <f t="shared" si="225"/>
        <v>5828.2766065909655</v>
      </c>
      <c r="U483" s="87"/>
      <c r="V483" s="47"/>
      <c r="W483" s="48"/>
      <c r="X483" s="48"/>
      <c r="Y483" s="48"/>
      <c r="Z483" s="135"/>
      <c r="AA483" s="49"/>
      <c r="AB483" s="50">
        <f t="shared" si="208"/>
        <v>1500.5475159215687</v>
      </c>
      <c r="AC483" s="42">
        <f t="shared" si="226"/>
        <v>3.8841000000000001</v>
      </c>
      <c r="AD483" s="90">
        <f>AD484+AD494+AD500</f>
        <v>5828.2766065909655</v>
      </c>
      <c r="AE483" s="188">
        <f t="shared" ref="AE483" si="397">AE484+AE494+AE500</f>
        <v>0</v>
      </c>
      <c r="AF483" s="189">
        <f t="shared" ref="AF483" si="398">AF484+AF494+AF500</f>
        <v>0</v>
      </c>
      <c r="AG483" s="189">
        <f t="shared" ref="AG483" si="399">AG484+AG494+AG500</f>
        <v>0</v>
      </c>
      <c r="AH483" s="189">
        <f t="shared" ref="AH483" si="400">AH484+AH494+AH500</f>
        <v>0</v>
      </c>
      <c r="AI483" s="161">
        <f t="shared" ref="AI483" si="401">SUM(AE483:AH483)</f>
        <v>0</v>
      </c>
      <c r="AK483" s="169">
        <v>5</v>
      </c>
      <c r="AO483" s="19" t="s">
        <v>63</v>
      </c>
    </row>
    <row r="484" spans="1:41" s="103" customFormat="1" ht="19.899999999999999" customHeight="1" x14ac:dyDescent="0.25">
      <c r="A484" s="51"/>
      <c r="B484" s="52"/>
      <c r="C484" s="165"/>
      <c r="D484" s="52"/>
      <c r="E484" s="115"/>
      <c r="F484" s="58"/>
      <c r="G484" s="58"/>
      <c r="H484" s="58"/>
      <c r="I484" s="55"/>
      <c r="J484" s="113">
        <f>J483</f>
        <v>3.8841000000000001</v>
      </c>
      <c r="K484" s="212">
        <f>K483</f>
        <v>3.8841000000000001</v>
      </c>
      <c r="L484" s="58"/>
      <c r="M484" s="58">
        <f>K484-L484</f>
        <v>3.8841000000000001</v>
      </c>
      <c r="N484" s="166"/>
      <c r="O484" s="58"/>
      <c r="P484" s="58"/>
      <c r="Q484" s="58"/>
      <c r="R484" s="58"/>
      <c r="S484" s="58"/>
      <c r="T484" s="220"/>
      <c r="U484" s="88"/>
      <c r="V484" s="56"/>
      <c r="W484" s="57" t="s">
        <v>1289</v>
      </c>
      <c r="X484" s="53"/>
      <c r="Y484" s="91" t="s">
        <v>68</v>
      </c>
      <c r="Z484" s="136">
        <f>AD484/AC484</f>
        <v>84.564182588235283</v>
      </c>
      <c r="AA484" s="58"/>
      <c r="AB484" s="53">
        <f>AD484/AC484</f>
        <v>84.564182588235283</v>
      </c>
      <c r="AC484" s="53">
        <f>M484+$AE$10</f>
        <v>3.8841000000000001</v>
      </c>
      <c r="AD484" s="54">
        <f>SUM(AD485:AD493)</f>
        <v>328.45574159096469</v>
      </c>
      <c r="AE484" s="184">
        <f>SUMIFS($AD$37:$AD$12971,$V$37:$V$12971,$V484,$X$37:$X$12971,AE$13)</f>
        <v>0</v>
      </c>
      <c r="AF484" s="185">
        <f>SUMIFS($AD$37:$AD$12971,$V$37:$V$12971,$V484,$X$37:$X$12971,AF$13)</f>
        <v>0</v>
      </c>
      <c r="AG484" s="185">
        <f>SUMIFS($AD$37:$AD$12971,$V$37:$V$12971,$V484,$X$37:$X$12971,AG$13)</f>
        <v>0</v>
      </c>
      <c r="AH484" s="187">
        <f>SUMIFS($AD$37:$AD$12971,$V$37:$V$12971,$V484,$X$37:$X$12971,AH$13)</f>
        <v>0</v>
      </c>
      <c r="AI484" s="161">
        <f t="shared" ref="AI484" si="402">SUM(AE484:AH484)</f>
        <v>0</v>
      </c>
      <c r="AK484" s="172"/>
    </row>
    <row r="485" spans="1:41" s="102" customFormat="1" ht="19.899999999999999" customHeight="1" x14ac:dyDescent="0.25">
      <c r="A485" s="45"/>
      <c r="B485" s="59"/>
      <c r="C485" s="137"/>
      <c r="D485" s="59"/>
      <c r="E485" s="116"/>
      <c r="F485" s="120"/>
      <c r="G485" s="120"/>
      <c r="H485" s="120"/>
      <c r="I485" s="60"/>
      <c r="J485" s="116"/>
      <c r="K485" s="213"/>
      <c r="L485" s="120"/>
      <c r="M485" s="120"/>
      <c r="N485" s="167"/>
      <c r="O485" s="120"/>
      <c r="P485" s="120"/>
      <c r="Q485" s="120"/>
      <c r="R485" s="120"/>
      <c r="S485" s="120"/>
      <c r="T485" s="221"/>
      <c r="U485" s="89"/>
      <c r="V485" s="61"/>
      <c r="W485" s="92" t="s">
        <v>129</v>
      </c>
      <c r="X485" s="93" t="s">
        <v>29</v>
      </c>
      <c r="Y485" s="93" t="s">
        <v>93</v>
      </c>
      <c r="Z485" s="134">
        <f>VLOOKUP(W485,Sheet2!$B:$D,3,FALSE)</f>
        <v>56</v>
      </c>
      <c r="AA485" s="93">
        <f>100/(1.71*3)</f>
        <v>19.49317738791423</v>
      </c>
      <c r="AB485" s="93">
        <f t="shared" ref="AB485" si="403">AD485/AC484</f>
        <v>2.8727999999999998</v>
      </c>
      <c r="AC485" s="93">
        <f>AC484/AA485</f>
        <v>0.19925433000000001</v>
      </c>
      <c r="AD485" s="94">
        <f t="shared" ref="AD485:AD486" si="404">AC485*Z485</f>
        <v>11.15824248</v>
      </c>
      <c r="AE485" s="190"/>
      <c r="AF485" s="191"/>
      <c r="AG485" s="191"/>
      <c r="AH485" s="191"/>
      <c r="AI485" s="186"/>
      <c r="AK485" s="171"/>
    </row>
    <row r="486" spans="1:41" s="102" customFormat="1" ht="19.899999999999999" customHeight="1" x14ac:dyDescent="0.25">
      <c r="A486" s="45"/>
      <c r="B486" s="59"/>
      <c r="C486" s="137"/>
      <c r="D486" s="59"/>
      <c r="E486" s="116"/>
      <c r="F486" s="120"/>
      <c r="G486" s="120"/>
      <c r="H486" s="120"/>
      <c r="I486" s="60"/>
      <c r="J486" s="116"/>
      <c r="K486" s="213"/>
      <c r="L486" s="120"/>
      <c r="M486" s="120"/>
      <c r="N486" s="167"/>
      <c r="O486" s="120"/>
      <c r="P486" s="120"/>
      <c r="Q486" s="120"/>
      <c r="R486" s="120"/>
      <c r="S486" s="120"/>
      <c r="T486" s="221"/>
      <c r="U486" s="89"/>
      <c r="V486" s="61"/>
      <c r="W486" s="92" t="s">
        <v>65</v>
      </c>
      <c r="X486" s="93" t="s">
        <v>30</v>
      </c>
      <c r="Y486" s="93" t="s">
        <v>1011</v>
      </c>
      <c r="Z486" s="134">
        <f>VLOOKUP(W486,Sheet2!$B:$D,3,FALSE)</f>
        <v>1.76</v>
      </c>
      <c r="AA486" s="93">
        <f>AA485/14</f>
        <v>1.3923698134224449</v>
      </c>
      <c r="AB486" s="93">
        <f>AD486/AC484</f>
        <v>1.2640319999999998</v>
      </c>
      <c r="AC486" s="93">
        <f>AC484/AA486</f>
        <v>2.78956062</v>
      </c>
      <c r="AD486" s="94">
        <f t="shared" si="404"/>
        <v>4.9096266911999997</v>
      </c>
      <c r="AE486" s="190"/>
      <c r="AF486" s="191"/>
      <c r="AG486" s="191"/>
      <c r="AH486" s="191"/>
      <c r="AI486" s="186"/>
      <c r="AK486" s="171"/>
    </row>
    <row r="487" spans="1:41" s="102" customFormat="1" ht="19.899999999999999" customHeight="1" x14ac:dyDescent="0.25">
      <c r="A487" s="45"/>
      <c r="B487" s="59"/>
      <c r="C487" s="137"/>
      <c r="D487" s="59"/>
      <c r="E487" s="116"/>
      <c r="F487" s="120"/>
      <c r="G487" s="120"/>
      <c r="H487" s="120"/>
      <c r="I487" s="60"/>
      <c r="J487" s="116"/>
      <c r="K487" s="213"/>
      <c r="L487" s="120"/>
      <c r="M487" s="120"/>
      <c r="N487" s="167"/>
      <c r="O487" s="120"/>
      <c r="P487" s="120"/>
      <c r="Q487" s="120"/>
      <c r="R487" s="120"/>
      <c r="S487" s="120"/>
      <c r="T487" s="221"/>
      <c r="U487" s="89"/>
      <c r="V487" s="61"/>
      <c r="W487" s="92" t="s">
        <v>161</v>
      </c>
      <c r="X487" s="93" t="s">
        <v>29</v>
      </c>
      <c r="Y487" s="93" t="s">
        <v>93</v>
      </c>
      <c r="Z487" s="134">
        <f>VLOOKUP(W487,Sheet2!$B:$D,3,FALSE)</f>
        <v>48</v>
      </c>
      <c r="AA487" s="93">
        <f>(16*0.85*1.5)/(1.71*3)</f>
        <v>3.9766081871345027</v>
      </c>
      <c r="AB487" s="93">
        <f>AD487/AC484</f>
        <v>12.070588235294117</v>
      </c>
      <c r="AC487" s="93">
        <f>AC484/AA487</f>
        <v>0.97673691176470601</v>
      </c>
      <c r="AD487" s="94">
        <f>AC487*Z487</f>
        <v>46.883371764705885</v>
      </c>
      <c r="AE487" s="190"/>
      <c r="AF487" s="191"/>
      <c r="AG487" s="191"/>
      <c r="AH487" s="191"/>
      <c r="AI487" s="186"/>
      <c r="AK487" s="171"/>
    </row>
    <row r="488" spans="1:41" s="102" customFormat="1" ht="19.899999999999999" customHeight="1" x14ac:dyDescent="0.25">
      <c r="A488" s="45"/>
      <c r="B488" s="59"/>
      <c r="C488" s="137"/>
      <c r="D488" s="59"/>
      <c r="E488" s="116"/>
      <c r="F488" s="120"/>
      <c r="G488" s="120"/>
      <c r="H488" s="120"/>
      <c r="I488" s="60"/>
      <c r="J488" s="116"/>
      <c r="K488" s="213"/>
      <c r="L488" s="120"/>
      <c r="M488" s="120"/>
      <c r="N488" s="167"/>
      <c r="O488" s="120"/>
      <c r="P488" s="120"/>
      <c r="Q488" s="120"/>
      <c r="R488" s="120"/>
      <c r="S488" s="120"/>
      <c r="T488" s="221"/>
      <c r="U488" s="89"/>
      <c r="V488" s="61"/>
      <c r="W488" s="92" t="s">
        <v>65</v>
      </c>
      <c r="X488" s="93" t="s">
        <v>30</v>
      </c>
      <c r="Y488" s="93" t="s">
        <v>1011</v>
      </c>
      <c r="Z488" s="134">
        <f>VLOOKUP(W488,Sheet2!$B:$D,3,FALSE)</f>
        <v>1.76</v>
      </c>
      <c r="AA488" s="93">
        <f>AA487/10</f>
        <v>0.39766081871345027</v>
      </c>
      <c r="AB488" s="93">
        <f>AD488/AC484</f>
        <v>4.4258823529411773</v>
      </c>
      <c r="AC488" s="93">
        <f>AC484/AA488</f>
        <v>9.7673691176470605</v>
      </c>
      <c r="AD488" s="94">
        <f>AC488*Z488</f>
        <v>17.190569647058826</v>
      </c>
      <c r="AE488" s="190"/>
      <c r="AF488" s="191"/>
      <c r="AG488" s="191"/>
      <c r="AH488" s="191"/>
      <c r="AI488" s="186"/>
      <c r="AK488" s="171"/>
    </row>
    <row r="489" spans="1:41" s="102" customFormat="1" ht="19.899999999999999" customHeight="1" x14ac:dyDescent="0.25">
      <c r="A489" s="45"/>
      <c r="B489" s="59"/>
      <c r="C489" s="137"/>
      <c r="D489" s="59"/>
      <c r="E489" s="116"/>
      <c r="F489" s="120"/>
      <c r="G489" s="120"/>
      <c r="H489" s="120"/>
      <c r="I489" s="60"/>
      <c r="J489" s="116"/>
      <c r="K489" s="213"/>
      <c r="L489" s="120"/>
      <c r="M489" s="120"/>
      <c r="N489" s="167"/>
      <c r="O489" s="120"/>
      <c r="P489" s="120"/>
      <c r="Q489" s="120"/>
      <c r="R489" s="120"/>
      <c r="S489" s="120"/>
      <c r="T489" s="221"/>
      <c r="U489" s="89"/>
      <c r="V489" s="61"/>
      <c r="W489" s="92" t="s">
        <v>1030</v>
      </c>
      <c r="X489" s="93" t="s">
        <v>29</v>
      </c>
      <c r="Y489" s="93" t="s">
        <v>93</v>
      </c>
      <c r="Z489" s="134">
        <f>VLOOKUP(W489,Sheet2!$B:$D,3,FALSE)</f>
        <v>23</v>
      </c>
      <c r="AA489" s="93">
        <v>50</v>
      </c>
      <c r="AB489" s="93">
        <f>AD489/AC484</f>
        <v>0.45999999999999996</v>
      </c>
      <c r="AC489" s="93">
        <f>AC484/AA489</f>
        <v>7.7682000000000001E-2</v>
      </c>
      <c r="AD489" s="94">
        <f t="shared" ref="AD489:AD493" si="405">AC489*Z489</f>
        <v>1.786686</v>
      </c>
      <c r="AE489" s="190"/>
      <c r="AF489" s="191"/>
      <c r="AG489" s="191"/>
      <c r="AH489" s="191"/>
      <c r="AI489" s="186"/>
      <c r="AK489" s="171"/>
    </row>
    <row r="490" spans="1:41" s="102" customFormat="1" ht="19.899999999999999" customHeight="1" x14ac:dyDescent="0.25">
      <c r="A490" s="45"/>
      <c r="B490" s="59"/>
      <c r="C490" s="137"/>
      <c r="D490" s="59"/>
      <c r="E490" s="116"/>
      <c r="F490" s="120"/>
      <c r="G490" s="120"/>
      <c r="H490" s="120"/>
      <c r="I490" s="60"/>
      <c r="J490" s="116"/>
      <c r="K490" s="213"/>
      <c r="L490" s="120"/>
      <c r="M490" s="120"/>
      <c r="N490" s="167"/>
      <c r="O490" s="120"/>
      <c r="P490" s="120"/>
      <c r="Q490" s="120"/>
      <c r="R490" s="120"/>
      <c r="S490" s="120"/>
      <c r="T490" s="221"/>
      <c r="U490" s="89"/>
      <c r="V490" s="61"/>
      <c r="W490" s="92" t="s">
        <v>65</v>
      </c>
      <c r="X490" s="93" t="s">
        <v>30</v>
      </c>
      <c r="Y490" s="93" t="s">
        <v>1011</v>
      </c>
      <c r="Z490" s="134">
        <f>VLOOKUP(W490,Sheet2!$B:$D,3,FALSE)</f>
        <v>1.76</v>
      </c>
      <c r="AA490" s="93">
        <f>AA489/3</f>
        <v>16.666666666666668</v>
      </c>
      <c r="AB490" s="93">
        <f>AD490/AC484</f>
        <v>0.1056</v>
      </c>
      <c r="AC490" s="93">
        <f>AC484/AA490</f>
        <v>0.233046</v>
      </c>
      <c r="AD490" s="94">
        <f t="shared" si="405"/>
        <v>0.41016096000000002</v>
      </c>
      <c r="AE490" s="190"/>
      <c r="AF490" s="191"/>
      <c r="AG490" s="191"/>
      <c r="AH490" s="191"/>
      <c r="AI490" s="186"/>
      <c r="AK490" s="171"/>
    </row>
    <row r="491" spans="1:41" s="102" customFormat="1" ht="19.899999999999999" customHeight="1" x14ac:dyDescent="0.25">
      <c r="A491" s="45"/>
      <c r="B491" s="59"/>
      <c r="C491" s="137"/>
      <c r="D491" s="59"/>
      <c r="E491" s="116"/>
      <c r="F491" s="120"/>
      <c r="G491" s="120"/>
      <c r="H491" s="120"/>
      <c r="I491" s="60"/>
      <c r="J491" s="116"/>
      <c r="K491" s="213"/>
      <c r="L491" s="120"/>
      <c r="M491" s="120"/>
      <c r="N491" s="167"/>
      <c r="O491" s="120"/>
      <c r="P491" s="120"/>
      <c r="Q491" s="120"/>
      <c r="R491" s="120"/>
      <c r="S491" s="120"/>
      <c r="T491" s="221"/>
      <c r="U491" s="89"/>
      <c r="V491" s="61"/>
      <c r="W491" s="92" t="s">
        <v>148</v>
      </c>
      <c r="X491" s="93" t="s">
        <v>29</v>
      </c>
      <c r="Y491" s="93" t="s">
        <v>93</v>
      </c>
      <c r="Z491" s="134">
        <f>VLOOKUP(W491,Sheet2!$B:$D,3,FALSE)</f>
        <v>48</v>
      </c>
      <c r="AA491" s="93">
        <f>AA485</f>
        <v>19.49317738791423</v>
      </c>
      <c r="AB491" s="93">
        <f>AD491/AC484</f>
        <v>2.4623999999999997</v>
      </c>
      <c r="AC491" s="93">
        <f>AC484/AA491</f>
        <v>0.19925433000000001</v>
      </c>
      <c r="AD491" s="94">
        <f t="shared" si="405"/>
        <v>9.5642078399999999</v>
      </c>
      <c r="AE491" s="190"/>
      <c r="AF491" s="191"/>
      <c r="AG491" s="191"/>
      <c r="AH491" s="191"/>
      <c r="AI491" s="186"/>
      <c r="AK491" s="171"/>
    </row>
    <row r="492" spans="1:41" s="102" customFormat="1" ht="19.899999999999999" customHeight="1" x14ac:dyDescent="0.25">
      <c r="A492" s="45"/>
      <c r="B492" s="59"/>
      <c r="C492" s="137"/>
      <c r="D492" s="59"/>
      <c r="E492" s="116"/>
      <c r="F492" s="120"/>
      <c r="G492" s="120"/>
      <c r="H492" s="120"/>
      <c r="I492" s="60"/>
      <c r="J492" s="116"/>
      <c r="K492" s="213"/>
      <c r="L492" s="120"/>
      <c r="M492" s="120"/>
      <c r="N492" s="167"/>
      <c r="O492" s="120"/>
      <c r="P492" s="120"/>
      <c r="Q492" s="120"/>
      <c r="R492" s="120"/>
      <c r="S492" s="120"/>
      <c r="T492" s="221"/>
      <c r="U492" s="89"/>
      <c r="V492" s="61"/>
      <c r="W492" s="92" t="s">
        <v>65</v>
      </c>
      <c r="X492" s="93" t="s">
        <v>30</v>
      </c>
      <c r="Y492" s="93" t="s">
        <v>1011</v>
      </c>
      <c r="Z492" s="134">
        <f>VLOOKUP(W492,Sheet2!$B:$D,3,FALSE)</f>
        <v>1.76</v>
      </c>
      <c r="AA492" s="93">
        <f>AA491/10</f>
        <v>1.9493177387914229</v>
      </c>
      <c r="AB492" s="93">
        <f>AD492/AC484</f>
        <v>0.90288000000000013</v>
      </c>
      <c r="AC492" s="93">
        <f>AC484/AA492</f>
        <v>1.9925433000000001</v>
      </c>
      <c r="AD492" s="94">
        <f t="shared" si="405"/>
        <v>3.5068762080000004</v>
      </c>
      <c r="AE492" s="190"/>
      <c r="AF492" s="191"/>
      <c r="AG492" s="191"/>
      <c r="AH492" s="191"/>
      <c r="AI492" s="186"/>
      <c r="AK492" s="171"/>
    </row>
    <row r="493" spans="1:41" s="102" customFormat="1" ht="19.899999999999999" customHeight="1" x14ac:dyDescent="0.25">
      <c r="A493" s="45"/>
      <c r="B493" s="59"/>
      <c r="C493" s="137"/>
      <c r="D493" s="59"/>
      <c r="E493" s="116"/>
      <c r="F493" s="120"/>
      <c r="G493" s="120"/>
      <c r="H493" s="120"/>
      <c r="I493" s="60"/>
      <c r="J493" s="116"/>
      <c r="K493" s="213"/>
      <c r="L493" s="120"/>
      <c r="M493" s="120"/>
      <c r="N493" s="167"/>
      <c r="O493" s="120"/>
      <c r="P493" s="120"/>
      <c r="Q493" s="120"/>
      <c r="R493" s="120"/>
      <c r="S493" s="120"/>
      <c r="T493" s="221"/>
      <c r="U493" s="89"/>
      <c r="V493" s="61"/>
      <c r="W493" s="92" t="s">
        <v>1049</v>
      </c>
      <c r="X493" s="93" t="s">
        <v>30</v>
      </c>
      <c r="Y493" s="93" t="s">
        <v>68</v>
      </c>
      <c r="Z493" s="134">
        <f>VLOOKUP(W493,Sheet2!$B:$D,3,FALSE)</f>
        <v>60</v>
      </c>
      <c r="AA493" s="93">
        <v>1</v>
      </c>
      <c r="AB493" s="93">
        <f>AD493/AC484</f>
        <v>59.999999999999993</v>
      </c>
      <c r="AC493" s="93">
        <f>AC484/AA493</f>
        <v>3.8841000000000001</v>
      </c>
      <c r="AD493" s="94">
        <f t="shared" si="405"/>
        <v>233.04599999999999</v>
      </c>
      <c r="AE493" s="190"/>
      <c r="AF493" s="191"/>
      <c r="AG493" s="191"/>
      <c r="AH493" s="191"/>
      <c r="AI493" s="186"/>
      <c r="AK493" s="171"/>
    </row>
    <row r="494" spans="1:41" s="103" customFormat="1" ht="19.899999999999999" customHeight="1" x14ac:dyDescent="0.25">
      <c r="A494" s="51"/>
      <c r="B494" s="52"/>
      <c r="C494" s="165"/>
      <c r="D494" s="52"/>
      <c r="E494" s="115"/>
      <c r="F494" s="58"/>
      <c r="G494" s="58"/>
      <c r="H494" s="58"/>
      <c r="I494" s="55"/>
      <c r="J494" s="113">
        <f>J483</f>
        <v>3.8841000000000001</v>
      </c>
      <c r="K494" s="212">
        <f>K483</f>
        <v>3.8841000000000001</v>
      </c>
      <c r="L494" s="58"/>
      <c r="M494" s="58">
        <f>K494-L494</f>
        <v>3.8841000000000001</v>
      </c>
      <c r="N494" s="166"/>
      <c r="O494" s="58"/>
      <c r="P494" s="58"/>
      <c r="Q494" s="58"/>
      <c r="R494" s="58"/>
      <c r="S494" s="58"/>
      <c r="T494" s="220"/>
      <c r="U494" s="88"/>
      <c r="V494" s="56"/>
      <c r="W494" s="57" t="s">
        <v>1036</v>
      </c>
      <c r="X494" s="53"/>
      <c r="Y494" s="91" t="s">
        <v>68</v>
      </c>
      <c r="Z494" s="136">
        <f>AD494/AC494</f>
        <v>1410.9833333333333</v>
      </c>
      <c r="AA494" s="58"/>
      <c r="AB494" s="53">
        <f>AD494/AC494</f>
        <v>1410.9833333333333</v>
      </c>
      <c r="AC494" s="53">
        <f>M494+$AE$10</f>
        <v>3.8841000000000001</v>
      </c>
      <c r="AD494" s="54">
        <f>SUM(AD495:AD499)</f>
        <v>5480.4003650000004</v>
      </c>
      <c r="AE494" s="184">
        <f>SUMIFS($AD$37:$AD$12971,$V$37:$V$12971,$V494,$X$37:$X$12971,AE$13)</f>
        <v>0</v>
      </c>
      <c r="AF494" s="185">
        <f>SUMIFS($AD$37:$AD$12971,$V$37:$V$12971,$V494,$X$37:$X$12971,AF$13)</f>
        <v>0</v>
      </c>
      <c r="AG494" s="185">
        <f>SUMIFS($AD$37:$AD$12971,$V$37:$V$12971,$V494,$X$37:$X$12971,AG$13)</f>
        <v>0</v>
      </c>
      <c r="AH494" s="187">
        <f>SUMIFS($AD$37:$AD$12971,$V$37:$V$12971,$V494,$X$37:$X$12971,AH$13)</f>
        <v>0</v>
      </c>
      <c r="AI494" s="161">
        <f t="shared" ref="AI494" si="406">SUM(AE494:AH494)</f>
        <v>0</v>
      </c>
      <c r="AK494" s="172"/>
    </row>
    <row r="495" spans="1:41" s="102" customFormat="1" ht="19.899999999999999" customHeight="1" x14ac:dyDescent="0.25">
      <c r="A495" s="45"/>
      <c r="B495" s="59"/>
      <c r="C495" s="137"/>
      <c r="D495" s="59"/>
      <c r="E495" s="116"/>
      <c r="F495" s="120"/>
      <c r="G495" s="120"/>
      <c r="H495" s="120"/>
      <c r="I495" s="60"/>
      <c r="J495" s="116"/>
      <c r="K495" s="213"/>
      <c r="L495" s="120"/>
      <c r="M495" s="120"/>
      <c r="N495" s="167"/>
      <c r="O495" s="120"/>
      <c r="P495" s="120"/>
      <c r="Q495" s="120"/>
      <c r="R495" s="120"/>
      <c r="S495" s="120"/>
      <c r="T495" s="221"/>
      <c r="U495" s="89"/>
      <c r="V495" s="61"/>
      <c r="W495" s="92" t="s">
        <v>1286</v>
      </c>
      <c r="X495" s="93" t="s">
        <v>30</v>
      </c>
      <c r="Y495" s="93" t="s">
        <v>68</v>
      </c>
      <c r="Z495" s="134">
        <f>VLOOKUP(W495,Sheet2!$B:$D,3,FALSE)</f>
        <v>1222</v>
      </c>
      <c r="AA495" s="93">
        <v>1</v>
      </c>
      <c r="AB495" s="93">
        <f>AD495/AC494</f>
        <v>1222</v>
      </c>
      <c r="AC495" s="93">
        <f>AC494/AA495</f>
        <v>3.8841000000000001</v>
      </c>
      <c r="AD495" s="94">
        <f t="shared" ref="AD495" si="407">AC495*Z495</f>
        <v>4746.3702000000003</v>
      </c>
      <c r="AE495" s="190"/>
      <c r="AF495" s="191"/>
      <c r="AG495" s="191"/>
      <c r="AH495" s="191"/>
      <c r="AI495" s="186"/>
      <c r="AK495" s="171"/>
    </row>
    <row r="496" spans="1:41" s="102" customFormat="1" ht="19.899999999999999" customHeight="1" x14ac:dyDescent="0.25">
      <c r="A496" s="45"/>
      <c r="B496" s="59"/>
      <c r="C496" s="137"/>
      <c r="D496" s="59"/>
      <c r="E496" s="116"/>
      <c r="F496" s="120"/>
      <c r="G496" s="120"/>
      <c r="H496" s="120"/>
      <c r="I496" s="60"/>
      <c r="J496" s="116"/>
      <c r="K496" s="213"/>
      <c r="L496" s="120"/>
      <c r="M496" s="120"/>
      <c r="N496" s="167"/>
      <c r="O496" s="120"/>
      <c r="P496" s="120"/>
      <c r="Q496" s="120"/>
      <c r="R496" s="120"/>
      <c r="S496" s="120"/>
      <c r="T496" s="221"/>
      <c r="U496" s="89"/>
      <c r="V496" s="61"/>
      <c r="W496" s="92" t="s">
        <v>1287</v>
      </c>
      <c r="X496" s="93" t="s">
        <v>32</v>
      </c>
      <c r="Y496" s="93" t="s">
        <v>68</v>
      </c>
      <c r="Z496" s="134">
        <f>VLOOKUP(W496,Sheet2!$B:$D,3,FALSE)</f>
        <v>120</v>
      </c>
      <c r="AA496" s="93">
        <v>1</v>
      </c>
      <c r="AB496" s="93">
        <f>AD496/AC494</f>
        <v>119.99999999999999</v>
      </c>
      <c r="AC496" s="93">
        <f>AC494/AA496</f>
        <v>3.8841000000000001</v>
      </c>
      <c r="AD496" s="94">
        <f>AC496*Z496</f>
        <v>466.09199999999998</v>
      </c>
      <c r="AE496" s="190"/>
      <c r="AF496" s="191"/>
      <c r="AG496" s="191"/>
      <c r="AH496" s="191"/>
      <c r="AI496" s="186"/>
      <c r="AK496" s="171"/>
    </row>
    <row r="497" spans="1:41" s="102" customFormat="1" ht="19.899999999999999" customHeight="1" x14ac:dyDescent="0.25">
      <c r="A497" s="45"/>
      <c r="B497" s="59"/>
      <c r="C497" s="137"/>
      <c r="D497" s="59"/>
      <c r="E497" s="116"/>
      <c r="F497" s="120"/>
      <c r="G497" s="120"/>
      <c r="H497" s="120"/>
      <c r="I497" s="60"/>
      <c r="J497" s="116"/>
      <c r="K497" s="213"/>
      <c r="L497" s="120"/>
      <c r="M497" s="120"/>
      <c r="N497" s="167"/>
      <c r="O497" s="120"/>
      <c r="P497" s="120"/>
      <c r="Q497" s="120"/>
      <c r="R497" s="120"/>
      <c r="S497" s="120"/>
      <c r="T497" s="221"/>
      <c r="U497" s="89"/>
      <c r="V497" s="61"/>
      <c r="W497" s="92" t="s">
        <v>1032</v>
      </c>
      <c r="X497" s="93" t="s">
        <v>30</v>
      </c>
      <c r="Y497" s="93" t="s">
        <v>66</v>
      </c>
      <c r="Z497" s="134">
        <f>VLOOKUP(W497,Sheet2!$B:$D,3,FALSE)</f>
        <v>250</v>
      </c>
      <c r="AA497" s="93">
        <f>1/(1.71*0.1)</f>
        <v>5.8479532163742682</v>
      </c>
      <c r="AB497" s="93">
        <f>AD497/AC494</f>
        <v>42.750000000000007</v>
      </c>
      <c r="AC497" s="93">
        <f>AC494/AA497</f>
        <v>0.66418110000000008</v>
      </c>
      <c r="AD497" s="94">
        <f>AC497*Z497</f>
        <v>166.04527500000003</v>
      </c>
      <c r="AE497" s="190"/>
      <c r="AF497" s="191"/>
      <c r="AG497" s="191"/>
      <c r="AH497" s="191"/>
      <c r="AI497" s="186"/>
      <c r="AK497" s="171"/>
    </row>
    <row r="498" spans="1:41" s="102" customFormat="1" ht="19.899999999999999" customHeight="1" x14ac:dyDescent="0.25">
      <c r="A498" s="45"/>
      <c r="B498" s="59"/>
      <c r="C498" s="137"/>
      <c r="D498" s="59"/>
      <c r="E498" s="116"/>
      <c r="F498" s="120"/>
      <c r="G498" s="120"/>
      <c r="H498" s="120"/>
      <c r="I498" s="60"/>
      <c r="J498" s="116"/>
      <c r="K498" s="213"/>
      <c r="L498" s="120"/>
      <c r="M498" s="120"/>
      <c r="N498" s="167"/>
      <c r="O498" s="120"/>
      <c r="P498" s="120"/>
      <c r="Q498" s="120"/>
      <c r="R498" s="120"/>
      <c r="S498" s="120"/>
      <c r="T498" s="221"/>
      <c r="U498" s="89"/>
      <c r="V498" s="61"/>
      <c r="W498" s="92" t="s">
        <v>1035</v>
      </c>
      <c r="X498" s="93" t="s">
        <v>32</v>
      </c>
      <c r="Y498" s="93" t="s">
        <v>66</v>
      </c>
      <c r="Z498" s="134">
        <f>VLOOKUP(W498,Sheet2!$B:$D,3,FALSE)</f>
        <v>150</v>
      </c>
      <c r="AA498" s="93">
        <f>AA497</f>
        <v>5.8479532163742682</v>
      </c>
      <c r="AB498" s="93">
        <f>AD498/AC494</f>
        <v>25.650000000000002</v>
      </c>
      <c r="AC498" s="93">
        <f>AC494/AA498</f>
        <v>0.66418110000000008</v>
      </c>
      <c r="AD498" s="94">
        <f t="shared" ref="AD498:AD499" si="408">AC498*Z498</f>
        <v>99.627165000000005</v>
      </c>
      <c r="AE498" s="190"/>
      <c r="AF498" s="191"/>
      <c r="AG498" s="191"/>
      <c r="AH498" s="191"/>
      <c r="AI498" s="186"/>
      <c r="AK498" s="171"/>
    </row>
    <row r="499" spans="1:41" s="102" customFormat="1" ht="19.899999999999999" customHeight="1" x14ac:dyDescent="0.25">
      <c r="A499" s="45"/>
      <c r="B499" s="59"/>
      <c r="C499" s="137"/>
      <c r="D499" s="59"/>
      <c r="E499" s="116"/>
      <c r="F499" s="120"/>
      <c r="G499" s="120"/>
      <c r="H499" s="120"/>
      <c r="I499" s="60"/>
      <c r="J499" s="116"/>
      <c r="K499" s="213"/>
      <c r="L499" s="120"/>
      <c r="M499" s="120"/>
      <c r="N499" s="167"/>
      <c r="O499" s="120"/>
      <c r="P499" s="120"/>
      <c r="Q499" s="120"/>
      <c r="R499" s="120"/>
      <c r="S499" s="120"/>
      <c r="T499" s="221"/>
      <c r="U499" s="89"/>
      <c r="V499" s="61"/>
      <c r="W499" s="92" t="s">
        <v>1037</v>
      </c>
      <c r="X499" s="93" t="s">
        <v>30</v>
      </c>
      <c r="Y499" s="93" t="s">
        <v>1038</v>
      </c>
      <c r="Z499" s="134">
        <f>VLOOKUP(W499,Sheet2!$B:$D,3,FALSE)</f>
        <v>175</v>
      </c>
      <c r="AA499" s="93">
        <v>300</v>
      </c>
      <c r="AB499" s="93">
        <f>AD499/AC494</f>
        <v>0.58333333333333337</v>
      </c>
      <c r="AC499" s="93">
        <f>AC494/AA499</f>
        <v>1.2947E-2</v>
      </c>
      <c r="AD499" s="94">
        <f t="shared" si="408"/>
        <v>2.2657250000000002</v>
      </c>
      <c r="AE499" s="190"/>
      <c r="AF499" s="191"/>
      <c r="AG499" s="191"/>
      <c r="AH499" s="191"/>
      <c r="AI499" s="186"/>
      <c r="AK499" s="171"/>
    </row>
    <row r="500" spans="1:41" s="103" customFormat="1" ht="19.899999999999999" customHeight="1" x14ac:dyDescent="0.25">
      <c r="A500" s="51"/>
      <c r="B500" s="52"/>
      <c r="C500" s="165"/>
      <c r="D500" s="52"/>
      <c r="E500" s="115"/>
      <c r="F500" s="58"/>
      <c r="G500" s="58"/>
      <c r="H500" s="58"/>
      <c r="I500" s="55"/>
      <c r="J500" s="113">
        <f>J483</f>
        <v>3.8841000000000001</v>
      </c>
      <c r="K500" s="212">
        <f>K483</f>
        <v>3.8841000000000001</v>
      </c>
      <c r="L500" s="58"/>
      <c r="M500" s="58">
        <f>K500-L500</f>
        <v>3.8841000000000001</v>
      </c>
      <c r="N500" s="166"/>
      <c r="O500" s="58"/>
      <c r="P500" s="58"/>
      <c r="Q500" s="58"/>
      <c r="R500" s="58"/>
      <c r="S500" s="58"/>
      <c r="T500" s="220"/>
      <c r="U500" s="88"/>
      <c r="V500" s="56"/>
      <c r="W500" s="57" t="s">
        <v>1040</v>
      </c>
      <c r="X500" s="53"/>
      <c r="Y500" s="91" t="s">
        <v>68</v>
      </c>
      <c r="Z500" s="136">
        <f>AD500/AC500</f>
        <v>5</v>
      </c>
      <c r="AA500" s="58"/>
      <c r="AB500" s="53">
        <f>AD500/AC500</f>
        <v>5</v>
      </c>
      <c r="AC500" s="53">
        <f>M500+$AE$10</f>
        <v>3.8841000000000001</v>
      </c>
      <c r="AD500" s="54">
        <f>SUM(AD501)</f>
        <v>19.420500000000001</v>
      </c>
      <c r="AE500" s="184">
        <f>SUMIFS($AD$37:$AD$12971,$V$37:$V$12971,$V500,$X$37:$X$12971,AE$13)</f>
        <v>0</v>
      </c>
      <c r="AF500" s="185">
        <f>SUMIFS($AD$37:$AD$12971,$V$37:$V$12971,$V500,$X$37:$X$12971,AF$13)</f>
        <v>0</v>
      </c>
      <c r="AG500" s="185">
        <f>SUMIFS($AD$37:$AD$12971,$V$37:$V$12971,$V500,$X$37:$X$12971,AG$13)</f>
        <v>0</v>
      </c>
      <c r="AH500" s="187">
        <f>SUMIFS($AD$37:$AD$12971,$V$37:$V$12971,$V500,$X$37:$X$12971,AH$13)</f>
        <v>0</v>
      </c>
      <c r="AI500" s="161">
        <f t="shared" ref="AI500" si="409">SUM(AE500:AH500)</f>
        <v>0</v>
      </c>
      <c r="AK500" s="172"/>
    </row>
    <row r="501" spans="1:41" s="102" customFormat="1" ht="19.899999999999999" customHeight="1" x14ac:dyDescent="0.25">
      <c r="A501" s="45"/>
      <c r="B501" s="59"/>
      <c r="C501" s="137"/>
      <c r="D501" s="59"/>
      <c r="E501" s="116"/>
      <c r="F501" s="120"/>
      <c r="G501" s="120"/>
      <c r="H501" s="120"/>
      <c r="I501" s="60"/>
      <c r="J501" s="116"/>
      <c r="K501" s="213"/>
      <c r="L501" s="120"/>
      <c r="M501" s="120"/>
      <c r="N501" s="167"/>
      <c r="O501" s="120"/>
      <c r="P501" s="120"/>
      <c r="Q501" s="120"/>
      <c r="R501" s="120"/>
      <c r="S501" s="120"/>
      <c r="T501" s="221"/>
      <c r="U501" s="89"/>
      <c r="V501" s="61"/>
      <c r="W501" s="92" t="s">
        <v>1039</v>
      </c>
      <c r="X501" s="93" t="s">
        <v>32</v>
      </c>
      <c r="Y501" s="93" t="s">
        <v>68</v>
      </c>
      <c r="Z501" s="134">
        <f>VLOOKUP(W501,Sheet2!$B:$D,3,FALSE)</f>
        <v>5</v>
      </c>
      <c r="AA501" s="93">
        <v>1</v>
      </c>
      <c r="AB501" s="93">
        <f>AD501/AC500</f>
        <v>5</v>
      </c>
      <c r="AC501" s="93">
        <f>AC500/AA501</f>
        <v>3.8841000000000001</v>
      </c>
      <c r="AD501" s="94">
        <f t="shared" ref="AD501" si="410">AC501*Z501</f>
        <v>19.420500000000001</v>
      </c>
      <c r="AE501" s="190"/>
      <c r="AF501" s="191"/>
      <c r="AG501" s="191"/>
      <c r="AH501" s="191"/>
      <c r="AI501" s="186"/>
      <c r="AK501" s="171"/>
    </row>
    <row r="502" spans="1:41" ht="20.100000000000001" customHeight="1" x14ac:dyDescent="0.25">
      <c r="A502" s="277" t="s">
        <v>216</v>
      </c>
      <c r="B502" s="278"/>
      <c r="C502" s="64" t="s">
        <v>248</v>
      </c>
      <c r="D502" s="46" t="s">
        <v>97</v>
      </c>
      <c r="E502" s="114">
        <v>88.410299999999893</v>
      </c>
      <c r="F502" s="44">
        <v>2777</v>
      </c>
      <c r="G502" s="44">
        <f t="shared" si="199"/>
        <v>245515.4030999997</v>
      </c>
      <c r="H502" s="44">
        <f t="shared" si="200"/>
        <v>1508.5470434509807</v>
      </c>
      <c r="I502" s="43">
        <f t="shared" si="201"/>
        <v>133371.09667561407</v>
      </c>
      <c r="J502" s="112">
        <f t="shared" si="202"/>
        <v>88.410299999999893</v>
      </c>
      <c r="K502" s="211">
        <f t="shared" si="203"/>
        <v>88.410299999999893</v>
      </c>
      <c r="L502" s="44"/>
      <c r="M502" s="44">
        <f t="shared" si="223"/>
        <v>88.410299999999893</v>
      </c>
      <c r="N502" s="173">
        <f t="shared" si="204"/>
        <v>1</v>
      </c>
      <c r="O502" s="44">
        <f t="shared" si="205"/>
        <v>2777</v>
      </c>
      <c r="P502" s="44">
        <f t="shared" si="206"/>
        <v>245515.4030999997</v>
      </c>
      <c r="Q502" s="44">
        <f t="shared" si="207"/>
        <v>1508.5470434509807</v>
      </c>
      <c r="R502" s="44">
        <f t="shared" si="224"/>
        <v>133371.09667561407</v>
      </c>
      <c r="S502" s="123"/>
      <c r="T502" s="219">
        <f t="shared" si="225"/>
        <v>133371.09667561407</v>
      </c>
      <c r="U502" s="87"/>
      <c r="V502" s="47"/>
      <c r="W502" s="48"/>
      <c r="X502" s="48"/>
      <c r="Y502" s="48"/>
      <c r="Z502" s="135"/>
      <c r="AA502" s="49"/>
      <c r="AB502" s="50">
        <f t="shared" si="208"/>
        <v>1508.5470434509807</v>
      </c>
      <c r="AC502" s="42">
        <f t="shared" si="226"/>
        <v>88.410299999999893</v>
      </c>
      <c r="AD502" s="90">
        <f>AD503+AD513+AD519</f>
        <v>133371.09667561407</v>
      </c>
      <c r="AE502" s="188">
        <f t="shared" ref="AE502" si="411">AE503+AE513+AE519</f>
        <v>0</v>
      </c>
      <c r="AF502" s="189">
        <f t="shared" ref="AF502" si="412">AF503+AF513+AF519</f>
        <v>0</v>
      </c>
      <c r="AG502" s="189">
        <f t="shared" ref="AG502" si="413">AG503+AG513+AG519</f>
        <v>0</v>
      </c>
      <c r="AH502" s="189">
        <f t="shared" ref="AH502" si="414">AH503+AH513+AH519</f>
        <v>0</v>
      </c>
      <c r="AI502" s="161">
        <f t="shared" ref="AI502" si="415">SUM(AE502:AH502)</f>
        <v>0</v>
      </c>
      <c r="AK502" s="169">
        <v>5</v>
      </c>
      <c r="AO502" s="19" t="s">
        <v>63</v>
      </c>
    </row>
    <row r="503" spans="1:41" s="103" customFormat="1" ht="19.899999999999999" customHeight="1" x14ac:dyDescent="0.25">
      <c r="A503" s="51"/>
      <c r="B503" s="52"/>
      <c r="C503" s="165"/>
      <c r="D503" s="52"/>
      <c r="E503" s="115"/>
      <c r="F503" s="58"/>
      <c r="G503" s="58"/>
      <c r="H503" s="58"/>
      <c r="I503" s="55"/>
      <c r="J503" s="113">
        <f>J502</f>
        <v>88.410299999999893</v>
      </c>
      <c r="K503" s="212">
        <f>K502</f>
        <v>88.410299999999893</v>
      </c>
      <c r="L503" s="58"/>
      <c r="M503" s="58">
        <f>K503-L503</f>
        <v>88.410299999999893</v>
      </c>
      <c r="N503" s="166"/>
      <c r="O503" s="58"/>
      <c r="P503" s="58"/>
      <c r="Q503" s="58"/>
      <c r="R503" s="58"/>
      <c r="S503" s="58"/>
      <c r="T503" s="220"/>
      <c r="U503" s="88"/>
      <c r="V503" s="56"/>
      <c r="W503" s="57" t="s">
        <v>1290</v>
      </c>
      <c r="X503" s="53"/>
      <c r="Y503" s="91" t="s">
        <v>68</v>
      </c>
      <c r="Z503" s="136">
        <f>AD503/AC503</f>
        <v>92.563710117647048</v>
      </c>
      <c r="AA503" s="58"/>
      <c r="AB503" s="53">
        <f>AD503/AC503</f>
        <v>92.563710117647048</v>
      </c>
      <c r="AC503" s="53">
        <f>M503+$AE$10</f>
        <v>88.410299999999893</v>
      </c>
      <c r="AD503" s="54">
        <f>SUM(AD504:AD512)</f>
        <v>8183.5853806142013</v>
      </c>
      <c r="AE503" s="184">
        <f>SUMIFS($AD$37:$AD$12971,$V$37:$V$12971,$V503,$X$37:$X$12971,AE$13)</f>
        <v>0</v>
      </c>
      <c r="AF503" s="185">
        <f>SUMIFS($AD$37:$AD$12971,$V$37:$V$12971,$V503,$X$37:$X$12971,AF$13)</f>
        <v>0</v>
      </c>
      <c r="AG503" s="185">
        <f>SUMIFS($AD$37:$AD$12971,$V$37:$V$12971,$V503,$X$37:$X$12971,AG$13)</f>
        <v>0</v>
      </c>
      <c r="AH503" s="187">
        <f>SUMIFS($AD$37:$AD$12971,$V$37:$V$12971,$V503,$X$37:$X$12971,AH$13)</f>
        <v>0</v>
      </c>
      <c r="AI503" s="161">
        <f t="shared" ref="AI503" si="416">SUM(AE503:AH503)</f>
        <v>0</v>
      </c>
      <c r="AK503" s="172"/>
    </row>
    <row r="504" spans="1:41" s="102" customFormat="1" ht="19.899999999999999" customHeight="1" x14ac:dyDescent="0.25">
      <c r="A504" s="45"/>
      <c r="B504" s="59"/>
      <c r="C504" s="137"/>
      <c r="D504" s="59"/>
      <c r="E504" s="116"/>
      <c r="F504" s="120"/>
      <c r="G504" s="120"/>
      <c r="H504" s="120"/>
      <c r="I504" s="60"/>
      <c r="J504" s="116"/>
      <c r="K504" s="213"/>
      <c r="L504" s="120"/>
      <c r="M504" s="120"/>
      <c r="N504" s="167"/>
      <c r="O504" s="120"/>
      <c r="P504" s="120"/>
      <c r="Q504" s="120"/>
      <c r="R504" s="120"/>
      <c r="S504" s="120"/>
      <c r="T504" s="221"/>
      <c r="U504" s="89"/>
      <c r="V504" s="61"/>
      <c r="W504" s="92" t="s">
        <v>129</v>
      </c>
      <c r="X504" s="93" t="s">
        <v>29</v>
      </c>
      <c r="Y504" s="93" t="s">
        <v>93</v>
      </c>
      <c r="Z504" s="134">
        <f>VLOOKUP(W504,Sheet2!$B:$D,3,FALSE)</f>
        <v>56</v>
      </c>
      <c r="AA504" s="93">
        <f>100/(1.71*4)</f>
        <v>14.619883040935672</v>
      </c>
      <c r="AB504" s="93">
        <f t="shared" ref="AB504" si="417">AD504/AC503</f>
        <v>3.8304</v>
      </c>
      <c r="AC504" s="93">
        <f>AC503/AA504</f>
        <v>6.0472645199999926</v>
      </c>
      <c r="AD504" s="94">
        <f t="shared" ref="AD504:AD505" si="418">AC504*Z504</f>
        <v>338.64681311999959</v>
      </c>
      <c r="AE504" s="190"/>
      <c r="AF504" s="191"/>
      <c r="AG504" s="191"/>
      <c r="AH504" s="191"/>
      <c r="AI504" s="186"/>
      <c r="AK504" s="171"/>
    </row>
    <row r="505" spans="1:41" s="102" customFormat="1" ht="19.899999999999999" customHeight="1" x14ac:dyDescent="0.25">
      <c r="A505" s="45"/>
      <c r="B505" s="59"/>
      <c r="C505" s="137"/>
      <c r="D505" s="59"/>
      <c r="E505" s="116"/>
      <c r="F505" s="120"/>
      <c r="G505" s="120"/>
      <c r="H505" s="120"/>
      <c r="I505" s="60"/>
      <c r="J505" s="116"/>
      <c r="K505" s="213"/>
      <c r="L505" s="120"/>
      <c r="M505" s="120"/>
      <c r="N505" s="167"/>
      <c r="O505" s="120"/>
      <c r="P505" s="120"/>
      <c r="Q505" s="120"/>
      <c r="R505" s="120"/>
      <c r="S505" s="120"/>
      <c r="T505" s="221"/>
      <c r="U505" s="89"/>
      <c r="V505" s="61"/>
      <c r="W505" s="92" t="s">
        <v>65</v>
      </c>
      <c r="X505" s="93" t="s">
        <v>30</v>
      </c>
      <c r="Y505" s="93" t="s">
        <v>1011</v>
      </c>
      <c r="Z505" s="134">
        <f>VLOOKUP(W505,Sheet2!$B:$D,3,FALSE)</f>
        <v>1.76</v>
      </c>
      <c r="AA505" s="93">
        <f>AA504/14</f>
        <v>1.0442773600668338</v>
      </c>
      <c r="AB505" s="93">
        <f>AD505/AC503</f>
        <v>1.685376</v>
      </c>
      <c r="AC505" s="93">
        <f>AC503/AA505</f>
        <v>84.661703279999898</v>
      </c>
      <c r="AD505" s="94">
        <f t="shared" si="418"/>
        <v>149.00459777279983</v>
      </c>
      <c r="AE505" s="190"/>
      <c r="AF505" s="191"/>
      <c r="AG505" s="191"/>
      <c r="AH505" s="191"/>
      <c r="AI505" s="186"/>
      <c r="AK505" s="171"/>
    </row>
    <row r="506" spans="1:41" s="102" customFormat="1" ht="19.899999999999999" customHeight="1" x14ac:dyDescent="0.25">
      <c r="A506" s="45"/>
      <c r="B506" s="59"/>
      <c r="C506" s="137"/>
      <c r="D506" s="59"/>
      <c r="E506" s="116"/>
      <c r="F506" s="120"/>
      <c r="G506" s="120"/>
      <c r="H506" s="120"/>
      <c r="I506" s="60"/>
      <c r="J506" s="116"/>
      <c r="K506" s="213"/>
      <c r="L506" s="120"/>
      <c r="M506" s="120"/>
      <c r="N506" s="167"/>
      <c r="O506" s="120"/>
      <c r="P506" s="120"/>
      <c r="Q506" s="120"/>
      <c r="R506" s="120"/>
      <c r="S506" s="120"/>
      <c r="T506" s="221"/>
      <c r="U506" s="89"/>
      <c r="V506" s="61"/>
      <c r="W506" s="92" t="s">
        <v>161</v>
      </c>
      <c r="X506" s="93" t="s">
        <v>29</v>
      </c>
      <c r="Y506" s="93" t="s">
        <v>93</v>
      </c>
      <c r="Z506" s="134">
        <f>VLOOKUP(W506,Sheet2!$B:$D,3,FALSE)</f>
        <v>48</v>
      </c>
      <c r="AA506" s="93">
        <f>(16*0.85*1.5)/(1.71*4)</f>
        <v>2.9824561403508771</v>
      </c>
      <c r="AB506" s="93">
        <f>AD506/AC503</f>
        <v>16.094117647058823</v>
      </c>
      <c r="AC506" s="93">
        <f>AC503/AA506</f>
        <v>29.64345352941173</v>
      </c>
      <c r="AD506" s="94">
        <f>AC506*Z506</f>
        <v>1422.885769411763</v>
      </c>
      <c r="AE506" s="190"/>
      <c r="AF506" s="191"/>
      <c r="AG506" s="191"/>
      <c r="AH506" s="191"/>
      <c r="AI506" s="186"/>
      <c r="AK506" s="171"/>
    </row>
    <row r="507" spans="1:41" s="102" customFormat="1" ht="19.899999999999999" customHeight="1" x14ac:dyDescent="0.25">
      <c r="A507" s="45"/>
      <c r="B507" s="59"/>
      <c r="C507" s="137"/>
      <c r="D507" s="59"/>
      <c r="E507" s="116"/>
      <c r="F507" s="120"/>
      <c r="G507" s="120"/>
      <c r="H507" s="120"/>
      <c r="I507" s="60"/>
      <c r="J507" s="116"/>
      <c r="K507" s="213"/>
      <c r="L507" s="120"/>
      <c r="M507" s="120"/>
      <c r="N507" s="167"/>
      <c r="O507" s="120"/>
      <c r="P507" s="120"/>
      <c r="Q507" s="120"/>
      <c r="R507" s="120"/>
      <c r="S507" s="120"/>
      <c r="T507" s="221"/>
      <c r="U507" s="89"/>
      <c r="V507" s="61"/>
      <c r="W507" s="92" t="s">
        <v>65</v>
      </c>
      <c r="X507" s="93" t="s">
        <v>30</v>
      </c>
      <c r="Y507" s="93" t="s">
        <v>1011</v>
      </c>
      <c r="Z507" s="134">
        <f>VLOOKUP(W507,Sheet2!$B:$D,3,FALSE)</f>
        <v>1.76</v>
      </c>
      <c r="AA507" s="93">
        <f>AA506/10</f>
        <v>0.2982456140350877</v>
      </c>
      <c r="AB507" s="93">
        <f>AD507/AC503</f>
        <v>5.9011764705882355</v>
      </c>
      <c r="AC507" s="93">
        <f>AC503/AA507</f>
        <v>296.43453529411732</v>
      </c>
      <c r="AD507" s="94">
        <f>AC507*Z507</f>
        <v>521.72478211764644</v>
      </c>
      <c r="AE507" s="190"/>
      <c r="AF507" s="191"/>
      <c r="AG507" s="191"/>
      <c r="AH507" s="191"/>
      <c r="AI507" s="186"/>
      <c r="AK507" s="171"/>
    </row>
    <row r="508" spans="1:41" s="102" customFormat="1" ht="19.899999999999999" customHeight="1" x14ac:dyDescent="0.25">
      <c r="A508" s="45"/>
      <c r="B508" s="59"/>
      <c r="C508" s="137"/>
      <c r="D508" s="59"/>
      <c r="E508" s="116"/>
      <c r="F508" s="120"/>
      <c r="G508" s="120"/>
      <c r="H508" s="120"/>
      <c r="I508" s="60"/>
      <c r="J508" s="116"/>
      <c r="K508" s="213"/>
      <c r="L508" s="120"/>
      <c r="M508" s="120"/>
      <c r="N508" s="167"/>
      <c r="O508" s="120"/>
      <c r="P508" s="120"/>
      <c r="Q508" s="120"/>
      <c r="R508" s="120"/>
      <c r="S508" s="120"/>
      <c r="T508" s="221"/>
      <c r="U508" s="89"/>
      <c r="V508" s="61"/>
      <c r="W508" s="92" t="s">
        <v>1030</v>
      </c>
      <c r="X508" s="93" t="s">
        <v>29</v>
      </c>
      <c r="Y508" s="93" t="s">
        <v>93</v>
      </c>
      <c r="Z508" s="134">
        <f>VLOOKUP(W508,Sheet2!$B:$D,3,FALSE)</f>
        <v>23</v>
      </c>
      <c r="AA508" s="93">
        <v>50</v>
      </c>
      <c r="AB508" s="93">
        <f>AD508/AC503</f>
        <v>0.46000000000000008</v>
      </c>
      <c r="AC508" s="93">
        <f>AC503/AA508</f>
        <v>1.7682059999999979</v>
      </c>
      <c r="AD508" s="94">
        <f t="shared" ref="AD508:AD512" si="419">AC508*Z508</f>
        <v>40.668737999999955</v>
      </c>
      <c r="AE508" s="190"/>
      <c r="AF508" s="191"/>
      <c r="AG508" s="191"/>
      <c r="AH508" s="191"/>
      <c r="AI508" s="186"/>
      <c r="AK508" s="171"/>
    </row>
    <row r="509" spans="1:41" s="102" customFormat="1" ht="19.899999999999999" customHeight="1" x14ac:dyDescent="0.25">
      <c r="A509" s="45"/>
      <c r="B509" s="59"/>
      <c r="C509" s="137"/>
      <c r="D509" s="59"/>
      <c r="E509" s="116"/>
      <c r="F509" s="120"/>
      <c r="G509" s="120"/>
      <c r="H509" s="120"/>
      <c r="I509" s="60"/>
      <c r="J509" s="116"/>
      <c r="K509" s="213"/>
      <c r="L509" s="120"/>
      <c r="M509" s="120"/>
      <c r="N509" s="167"/>
      <c r="O509" s="120"/>
      <c r="P509" s="120"/>
      <c r="Q509" s="120"/>
      <c r="R509" s="120"/>
      <c r="S509" s="120"/>
      <c r="T509" s="221"/>
      <c r="U509" s="89"/>
      <c r="V509" s="61"/>
      <c r="W509" s="92" t="s">
        <v>65</v>
      </c>
      <c r="X509" s="93" t="s">
        <v>30</v>
      </c>
      <c r="Y509" s="93" t="s">
        <v>1011</v>
      </c>
      <c r="Z509" s="134">
        <f>VLOOKUP(W509,Sheet2!$B:$D,3,FALSE)</f>
        <v>1.76</v>
      </c>
      <c r="AA509" s="93">
        <f>AA508/3</f>
        <v>16.666666666666668</v>
      </c>
      <c r="AB509" s="93">
        <f>AD509/AC503</f>
        <v>0.1056</v>
      </c>
      <c r="AC509" s="93">
        <f>AC503/AA509</f>
        <v>5.3046179999999934</v>
      </c>
      <c r="AD509" s="94">
        <f t="shared" si="419"/>
        <v>9.3361276799999882</v>
      </c>
      <c r="AE509" s="190"/>
      <c r="AF509" s="191"/>
      <c r="AG509" s="191"/>
      <c r="AH509" s="191"/>
      <c r="AI509" s="186"/>
      <c r="AK509" s="171"/>
    </row>
    <row r="510" spans="1:41" s="102" customFormat="1" ht="19.899999999999999" customHeight="1" x14ac:dyDescent="0.25">
      <c r="A510" s="45"/>
      <c r="B510" s="59"/>
      <c r="C510" s="137"/>
      <c r="D510" s="59"/>
      <c r="E510" s="116"/>
      <c r="F510" s="120"/>
      <c r="G510" s="120"/>
      <c r="H510" s="120"/>
      <c r="I510" s="60"/>
      <c r="J510" s="116"/>
      <c r="K510" s="213"/>
      <c r="L510" s="120"/>
      <c r="M510" s="120"/>
      <c r="N510" s="167"/>
      <c r="O510" s="120"/>
      <c r="P510" s="120"/>
      <c r="Q510" s="120"/>
      <c r="R510" s="120"/>
      <c r="S510" s="120"/>
      <c r="T510" s="221"/>
      <c r="U510" s="89"/>
      <c r="V510" s="61"/>
      <c r="W510" s="92" t="s">
        <v>148</v>
      </c>
      <c r="X510" s="93" t="s">
        <v>29</v>
      </c>
      <c r="Y510" s="93" t="s">
        <v>93</v>
      </c>
      <c r="Z510" s="134">
        <f>VLOOKUP(W510,Sheet2!$B:$D,3,FALSE)</f>
        <v>48</v>
      </c>
      <c r="AA510" s="93">
        <f>AA504</f>
        <v>14.619883040935672</v>
      </c>
      <c r="AB510" s="93">
        <f>AD510/AC503</f>
        <v>3.2831999999999999</v>
      </c>
      <c r="AC510" s="93">
        <f>AC503/AA510</f>
        <v>6.0472645199999926</v>
      </c>
      <c r="AD510" s="94">
        <f t="shared" si="419"/>
        <v>290.26869695999966</v>
      </c>
      <c r="AE510" s="190"/>
      <c r="AF510" s="191"/>
      <c r="AG510" s="191"/>
      <c r="AH510" s="191"/>
      <c r="AI510" s="186"/>
      <c r="AK510" s="171"/>
    </row>
    <row r="511" spans="1:41" s="102" customFormat="1" ht="19.899999999999999" customHeight="1" x14ac:dyDescent="0.25">
      <c r="A511" s="45"/>
      <c r="B511" s="59"/>
      <c r="C511" s="137"/>
      <c r="D511" s="59"/>
      <c r="E511" s="116"/>
      <c r="F511" s="120"/>
      <c r="G511" s="120"/>
      <c r="H511" s="120"/>
      <c r="I511" s="60"/>
      <c r="J511" s="116"/>
      <c r="K511" s="213"/>
      <c r="L511" s="120"/>
      <c r="M511" s="120"/>
      <c r="N511" s="167"/>
      <c r="O511" s="120"/>
      <c r="P511" s="120"/>
      <c r="Q511" s="120"/>
      <c r="R511" s="120"/>
      <c r="S511" s="120"/>
      <c r="T511" s="221"/>
      <c r="U511" s="89"/>
      <c r="V511" s="61"/>
      <c r="W511" s="92" t="s">
        <v>65</v>
      </c>
      <c r="X511" s="93" t="s">
        <v>30</v>
      </c>
      <c r="Y511" s="93" t="s">
        <v>1011</v>
      </c>
      <c r="Z511" s="134">
        <f>VLOOKUP(W511,Sheet2!$B:$D,3,FALSE)</f>
        <v>1.76</v>
      </c>
      <c r="AA511" s="93">
        <f>AA510/10</f>
        <v>1.4619883040935673</v>
      </c>
      <c r="AB511" s="93">
        <f>AD511/AC503</f>
        <v>1.20384</v>
      </c>
      <c r="AC511" s="93">
        <f>AC503/AA511</f>
        <v>60.472645199999924</v>
      </c>
      <c r="AD511" s="94">
        <f t="shared" si="419"/>
        <v>106.43185555199987</v>
      </c>
      <c r="AE511" s="190"/>
      <c r="AF511" s="191"/>
      <c r="AG511" s="191"/>
      <c r="AH511" s="191"/>
      <c r="AI511" s="186"/>
      <c r="AK511" s="171"/>
    </row>
    <row r="512" spans="1:41" s="102" customFormat="1" ht="19.899999999999999" customHeight="1" x14ac:dyDescent="0.25">
      <c r="A512" s="45"/>
      <c r="B512" s="59"/>
      <c r="C512" s="137"/>
      <c r="D512" s="59"/>
      <c r="E512" s="116"/>
      <c r="F512" s="120"/>
      <c r="G512" s="120"/>
      <c r="H512" s="120"/>
      <c r="I512" s="60"/>
      <c r="J512" s="116"/>
      <c r="K512" s="213"/>
      <c r="L512" s="120"/>
      <c r="M512" s="120"/>
      <c r="N512" s="167"/>
      <c r="O512" s="120"/>
      <c r="P512" s="120"/>
      <c r="Q512" s="120"/>
      <c r="R512" s="120"/>
      <c r="S512" s="120"/>
      <c r="T512" s="221"/>
      <c r="U512" s="89"/>
      <c r="V512" s="61"/>
      <c r="W512" s="92" t="s">
        <v>1049</v>
      </c>
      <c r="X512" s="93" t="s">
        <v>30</v>
      </c>
      <c r="Y512" s="93" t="s">
        <v>68</v>
      </c>
      <c r="Z512" s="134">
        <f>VLOOKUP(W512,Sheet2!$B:$D,3,FALSE)</f>
        <v>60</v>
      </c>
      <c r="AA512" s="93">
        <v>1</v>
      </c>
      <c r="AB512" s="93">
        <f>AD512/AC503</f>
        <v>59.999999999999993</v>
      </c>
      <c r="AC512" s="93">
        <f>AC503/AA512</f>
        <v>88.410299999999893</v>
      </c>
      <c r="AD512" s="94">
        <f t="shared" si="419"/>
        <v>5304.6179999999931</v>
      </c>
      <c r="AE512" s="190"/>
      <c r="AF512" s="191"/>
      <c r="AG512" s="191"/>
      <c r="AH512" s="191"/>
      <c r="AI512" s="186"/>
      <c r="AK512" s="171"/>
    </row>
    <row r="513" spans="1:37" s="103" customFormat="1" ht="19.899999999999999" customHeight="1" x14ac:dyDescent="0.25">
      <c r="A513" s="51"/>
      <c r="B513" s="52"/>
      <c r="C513" s="165"/>
      <c r="D513" s="52"/>
      <c r="E513" s="115"/>
      <c r="F513" s="58"/>
      <c r="G513" s="58"/>
      <c r="H513" s="58"/>
      <c r="I513" s="55"/>
      <c r="J513" s="113">
        <f>J502</f>
        <v>88.410299999999893</v>
      </c>
      <c r="K513" s="212">
        <f>K502</f>
        <v>88.410299999999893</v>
      </c>
      <c r="L513" s="58"/>
      <c r="M513" s="58">
        <f>K513-L513</f>
        <v>88.410299999999893</v>
      </c>
      <c r="N513" s="166"/>
      <c r="O513" s="58"/>
      <c r="P513" s="58"/>
      <c r="Q513" s="58"/>
      <c r="R513" s="58"/>
      <c r="S513" s="58"/>
      <c r="T513" s="220"/>
      <c r="U513" s="88"/>
      <c r="V513" s="56"/>
      <c r="W513" s="57" t="s">
        <v>1036</v>
      </c>
      <c r="X513" s="53"/>
      <c r="Y513" s="91" t="s">
        <v>68</v>
      </c>
      <c r="Z513" s="136">
        <f>AD513/AC513</f>
        <v>1410.9833333333333</v>
      </c>
      <c r="AA513" s="58"/>
      <c r="AB513" s="53">
        <f>AD513/AC513</f>
        <v>1410.9833333333333</v>
      </c>
      <c r="AC513" s="53">
        <f>M513+$AE$10</f>
        <v>88.410299999999893</v>
      </c>
      <c r="AD513" s="54">
        <f>SUM(AD514:AD518)</f>
        <v>124745.45979499986</v>
      </c>
      <c r="AE513" s="184">
        <f>SUMIFS($AD$37:$AD$12971,$V$37:$V$12971,$V513,$X$37:$X$12971,AE$13)</f>
        <v>0</v>
      </c>
      <c r="AF513" s="185">
        <f>SUMIFS($AD$37:$AD$12971,$V$37:$V$12971,$V513,$X$37:$X$12971,AF$13)</f>
        <v>0</v>
      </c>
      <c r="AG513" s="185">
        <f>SUMIFS($AD$37:$AD$12971,$V$37:$V$12971,$V513,$X$37:$X$12971,AG$13)</f>
        <v>0</v>
      </c>
      <c r="AH513" s="187">
        <f>SUMIFS($AD$37:$AD$12971,$V$37:$V$12971,$V513,$X$37:$X$12971,AH$13)</f>
        <v>0</v>
      </c>
      <c r="AI513" s="161">
        <f t="shared" ref="AI513" si="420">SUM(AE513:AH513)</f>
        <v>0</v>
      </c>
      <c r="AK513" s="172"/>
    </row>
    <row r="514" spans="1:37" s="102" customFormat="1" ht="19.899999999999999" customHeight="1" x14ac:dyDescent="0.25">
      <c r="A514" s="45"/>
      <c r="B514" s="59"/>
      <c r="C514" s="137"/>
      <c r="D514" s="59"/>
      <c r="E514" s="116"/>
      <c r="F514" s="120"/>
      <c r="G514" s="120"/>
      <c r="H514" s="120"/>
      <c r="I514" s="60"/>
      <c r="J514" s="116"/>
      <c r="K514" s="213"/>
      <c r="L514" s="120"/>
      <c r="M514" s="120"/>
      <c r="N514" s="167"/>
      <c r="O514" s="120"/>
      <c r="P514" s="120"/>
      <c r="Q514" s="120"/>
      <c r="R514" s="120"/>
      <c r="S514" s="120"/>
      <c r="T514" s="221"/>
      <c r="U514" s="89"/>
      <c r="V514" s="61"/>
      <c r="W514" s="92" t="s">
        <v>1286</v>
      </c>
      <c r="X514" s="93" t="s">
        <v>30</v>
      </c>
      <c r="Y514" s="93" t="s">
        <v>68</v>
      </c>
      <c r="Z514" s="134">
        <f>VLOOKUP(W514,Sheet2!$B:$D,3,FALSE)</f>
        <v>1222</v>
      </c>
      <c r="AA514" s="93">
        <v>1</v>
      </c>
      <c r="AB514" s="93">
        <f>AD514/AC513</f>
        <v>1222</v>
      </c>
      <c r="AC514" s="93">
        <f>AC513/AA514</f>
        <v>88.410299999999893</v>
      </c>
      <c r="AD514" s="94">
        <f t="shared" ref="AD514" si="421">AC514*Z514</f>
        <v>108037.38659999987</v>
      </c>
      <c r="AE514" s="190"/>
      <c r="AF514" s="191"/>
      <c r="AG514" s="191"/>
      <c r="AH514" s="191"/>
      <c r="AI514" s="186"/>
      <c r="AK514" s="171"/>
    </row>
    <row r="515" spans="1:37" s="102" customFormat="1" ht="19.899999999999999" customHeight="1" x14ac:dyDescent="0.25">
      <c r="A515" s="45"/>
      <c r="B515" s="59"/>
      <c r="C515" s="137"/>
      <c r="D515" s="59"/>
      <c r="E515" s="116"/>
      <c r="F515" s="120"/>
      <c r="G515" s="120"/>
      <c r="H515" s="120"/>
      <c r="I515" s="60"/>
      <c r="J515" s="116"/>
      <c r="K515" s="213"/>
      <c r="L515" s="120"/>
      <c r="M515" s="120"/>
      <c r="N515" s="167"/>
      <c r="O515" s="120"/>
      <c r="P515" s="120"/>
      <c r="Q515" s="120"/>
      <c r="R515" s="120"/>
      <c r="S515" s="120"/>
      <c r="T515" s="221"/>
      <c r="U515" s="89"/>
      <c r="V515" s="61"/>
      <c r="W515" s="92" t="s">
        <v>1287</v>
      </c>
      <c r="X515" s="93" t="s">
        <v>32</v>
      </c>
      <c r="Y515" s="93" t="s">
        <v>68</v>
      </c>
      <c r="Z515" s="134">
        <f>VLOOKUP(W515,Sheet2!$B:$D,3,FALSE)</f>
        <v>120</v>
      </c>
      <c r="AA515" s="93">
        <v>1</v>
      </c>
      <c r="AB515" s="93">
        <f>AD515/AC513</f>
        <v>119.99999999999999</v>
      </c>
      <c r="AC515" s="93">
        <f>AC513/AA515</f>
        <v>88.410299999999893</v>
      </c>
      <c r="AD515" s="94">
        <f>AC515*Z515</f>
        <v>10609.235999999986</v>
      </c>
      <c r="AE515" s="190"/>
      <c r="AF515" s="191"/>
      <c r="AG515" s="191"/>
      <c r="AH515" s="191"/>
      <c r="AI515" s="186"/>
      <c r="AK515" s="171"/>
    </row>
    <row r="516" spans="1:37" s="102" customFormat="1" ht="19.899999999999999" customHeight="1" x14ac:dyDescent="0.25">
      <c r="A516" s="45"/>
      <c r="B516" s="59"/>
      <c r="C516" s="137"/>
      <c r="D516" s="59"/>
      <c r="E516" s="116"/>
      <c r="F516" s="120"/>
      <c r="G516" s="120"/>
      <c r="H516" s="120"/>
      <c r="I516" s="60"/>
      <c r="J516" s="116"/>
      <c r="K516" s="213"/>
      <c r="L516" s="120"/>
      <c r="M516" s="120"/>
      <c r="N516" s="167"/>
      <c r="O516" s="120"/>
      <c r="P516" s="120"/>
      <c r="Q516" s="120"/>
      <c r="R516" s="120"/>
      <c r="S516" s="120"/>
      <c r="T516" s="221"/>
      <c r="U516" s="89"/>
      <c r="V516" s="61"/>
      <c r="W516" s="92" t="s">
        <v>1032</v>
      </c>
      <c r="X516" s="93" t="s">
        <v>30</v>
      </c>
      <c r="Y516" s="93" t="s">
        <v>66</v>
      </c>
      <c r="Z516" s="134">
        <f>VLOOKUP(W516,Sheet2!$B:$D,3,FALSE)</f>
        <v>250</v>
      </c>
      <c r="AA516" s="93">
        <f>1/(1.71*0.1)</f>
        <v>5.8479532163742682</v>
      </c>
      <c r="AB516" s="93">
        <f>AD516/AC513</f>
        <v>42.750000000000007</v>
      </c>
      <c r="AC516" s="93">
        <f>AC513/AA516</f>
        <v>15.118161299999983</v>
      </c>
      <c r="AD516" s="94">
        <f>AC516*Z516</f>
        <v>3779.5403249999958</v>
      </c>
      <c r="AE516" s="190"/>
      <c r="AF516" s="191"/>
      <c r="AG516" s="191"/>
      <c r="AH516" s="191"/>
      <c r="AI516" s="186"/>
      <c r="AK516" s="171"/>
    </row>
    <row r="517" spans="1:37" s="102" customFormat="1" ht="19.899999999999999" customHeight="1" x14ac:dyDescent="0.25">
      <c r="A517" s="45"/>
      <c r="B517" s="59"/>
      <c r="C517" s="137"/>
      <c r="D517" s="59"/>
      <c r="E517" s="116"/>
      <c r="F517" s="120"/>
      <c r="G517" s="120"/>
      <c r="H517" s="120"/>
      <c r="I517" s="60"/>
      <c r="J517" s="116"/>
      <c r="K517" s="213"/>
      <c r="L517" s="120"/>
      <c r="M517" s="120"/>
      <c r="N517" s="167"/>
      <c r="O517" s="120"/>
      <c r="P517" s="120"/>
      <c r="Q517" s="120"/>
      <c r="R517" s="120"/>
      <c r="S517" s="120"/>
      <c r="T517" s="221"/>
      <c r="U517" s="89"/>
      <c r="V517" s="61"/>
      <c r="W517" s="92" t="s">
        <v>1035</v>
      </c>
      <c r="X517" s="93" t="s">
        <v>32</v>
      </c>
      <c r="Y517" s="93" t="s">
        <v>66</v>
      </c>
      <c r="Z517" s="134">
        <f>VLOOKUP(W517,Sheet2!$B:$D,3,FALSE)</f>
        <v>150</v>
      </c>
      <c r="AA517" s="93">
        <f>AA516</f>
        <v>5.8479532163742682</v>
      </c>
      <c r="AB517" s="93">
        <f>AD517/AC513</f>
        <v>25.650000000000002</v>
      </c>
      <c r="AC517" s="93">
        <f>AC513/AA517</f>
        <v>15.118161299999983</v>
      </c>
      <c r="AD517" s="94">
        <f t="shared" ref="AD517:AD518" si="422">AC517*Z517</f>
        <v>2267.7241949999975</v>
      </c>
      <c r="AE517" s="190"/>
      <c r="AF517" s="191"/>
      <c r="AG517" s="191"/>
      <c r="AH517" s="191"/>
      <c r="AI517" s="186"/>
      <c r="AK517" s="171"/>
    </row>
    <row r="518" spans="1:37" s="102" customFormat="1" ht="19.899999999999999" customHeight="1" x14ac:dyDescent="0.25">
      <c r="A518" s="45"/>
      <c r="B518" s="59"/>
      <c r="C518" s="137"/>
      <c r="D518" s="59"/>
      <c r="E518" s="116"/>
      <c r="F518" s="120"/>
      <c r="G518" s="120"/>
      <c r="H518" s="120"/>
      <c r="I518" s="60"/>
      <c r="J518" s="116"/>
      <c r="K518" s="213"/>
      <c r="L518" s="120"/>
      <c r="M518" s="120"/>
      <c r="N518" s="167"/>
      <c r="O518" s="120"/>
      <c r="P518" s="120"/>
      <c r="Q518" s="120"/>
      <c r="R518" s="120"/>
      <c r="S518" s="120"/>
      <c r="T518" s="221"/>
      <c r="U518" s="89"/>
      <c r="V518" s="61"/>
      <c r="W518" s="92" t="s">
        <v>1037</v>
      </c>
      <c r="X518" s="93" t="s">
        <v>30</v>
      </c>
      <c r="Y518" s="93" t="s">
        <v>1038</v>
      </c>
      <c r="Z518" s="134">
        <f>VLOOKUP(W518,Sheet2!$B:$D,3,FALSE)</f>
        <v>175</v>
      </c>
      <c r="AA518" s="93">
        <v>300</v>
      </c>
      <c r="AB518" s="93">
        <f>AD518/AC513</f>
        <v>0.58333333333333337</v>
      </c>
      <c r="AC518" s="93">
        <f>AC513/AA518</f>
        <v>0.29470099999999966</v>
      </c>
      <c r="AD518" s="94">
        <f t="shared" si="422"/>
        <v>51.57267499999994</v>
      </c>
      <c r="AE518" s="190"/>
      <c r="AF518" s="191"/>
      <c r="AG518" s="191"/>
      <c r="AH518" s="191"/>
      <c r="AI518" s="186"/>
      <c r="AK518" s="171"/>
    </row>
    <row r="519" spans="1:37" s="103" customFormat="1" ht="19.899999999999999" customHeight="1" x14ac:dyDescent="0.25">
      <c r="A519" s="51"/>
      <c r="B519" s="52"/>
      <c r="C519" s="165"/>
      <c r="D519" s="52"/>
      <c r="E519" s="115"/>
      <c r="F519" s="58"/>
      <c r="G519" s="58"/>
      <c r="H519" s="58"/>
      <c r="I519" s="55"/>
      <c r="J519" s="113">
        <f>J502</f>
        <v>88.410299999999893</v>
      </c>
      <c r="K519" s="212">
        <f>K502</f>
        <v>88.410299999999893</v>
      </c>
      <c r="L519" s="58"/>
      <c r="M519" s="58">
        <f>K519-L519</f>
        <v>88.410299999999893</v>
      </c>
      <c r="N519" s="166"/>
      <c r="O519" s="58"/>
      <c r="P519" s="58"/>
      <c r="Q519" s="58"/>
      <c r="R519" s="58"/>
      <c r="S519" s="58"/>
      <c r="T519" s="220"/>
      <c r="U519" s="88"/>
      <c r="V519" s="56"/>
      <c r="W519" s="57" t="s">
        <v>1040</v>
      </c>
      <c r="X519" s="53"/>
      <c r="Y519" s="91" t="s">
        <v>68</v>
      </c>
      <c r="Z519" s="136">
        <f>AD519/AC519</f>
        <v>5</v>
      </c>
      <c r="AA519" s="58"/>
      <c r="AB519" s="53">
        <f>AD519/AC519</f>
        <v>5</v>
      </c>
      <c r="AC519" s="53">
        <f>M519+$AE$10</f>
        <v>88.410299999999893</v>
      </c>
      <c r="AD519" s="54">
        <f>SUM(AD520)</f>
        <v>442.05149999999946</v>
      </c>
      <c r="AE519" s="184">
        <f>SUMIFS($AD$37:$AD$12971,$V$37:$V$12971,$V519,$X$37:$X$12971,AE$13)</f>
        <v>0</v>
      </c>
      <c r="AF519" s="185">
        <f>SUMIFS($AD$37:$AD$12971,$V$37:$V$12971,$V519,$X$37:$X$12971,AF$13)</f>
        <v>0</v>
      </c>
      <c r="AG519" s="185">
        <f>SUMIFS($AD$37:$AD$12971,$V$37:$V$12971,$V519,$X$37:$X$12971,AG$13)</f>
        <v>0</v>
      </c>
      <c r="AH519" s="187">
        <f>SUMIFS($AD$37:$AD$12971,$V$37:$V$12971,$V519,$X$37:$X$12971,AH$13)</f>
        <v>0</v>
      </c>
      <c r="AI519" s="161">
        <f t="shared" ref="AI519" si="423">SUM(AE519:AH519)</f>
        <v>0</v>
      </c>
      <c r="AK519" s="172"/>
    </row>
    <row r="520" spans="1:37" s="102" customFormat="1" ht="19.899999999999999" customHeight="1" x14ac:dyDescent="0.25">
      <c r="A520" s="45"/>
      <c r="B520" s="59"/>
      <c r="C520" s="137"/>
      <c r="D520" s="59"/>
      <c r="E520" s="116"/>
      <c r="F520" s="120"/>
      <c r="G520" s="120"/>
      <c r="H520" s="120"/>
      <c r="I520" s="60"/>
      <c r="J520" s="116"/>
      <c r="K520" s="213"/>
      <c r="L520" s="120"/>
      <c r="M520" s="120"/>
      <c r="N520" s="167"/>
      <c r="O520" s="120"/>
      <c r="P520" s="120"/>
      <c r="Q520" s="120"/>
      <c r="R520" s="120"/>
      <c r="S520" s="120"/>
      <c r="T520" s="221"/>
      <c r="U520" s="89"/>
      <c r="V520" s="61"/>
      <c r="W520" s="92" t="s">
        <v>1039</v>
      </c>
      <c r="X520" s="93" t="s">
        <v>32</v>
      </c>
      <c r="Y520" s="93" t="s">
        <v>68</v>
      </c>
      <c r="Z520" s="134">
        <f>VLOOKUP(W520,Sheet2!$B:$D,3,FALSE)</f>
        <v>5</v>
      </c>
      <c r="AA520" s="93">
        <v>1</v>
      </c>
      <c r="AB520" s="93">
        <f>AD520/AC519</f>
        <v>5</v>
      </c>
      <c r="AC520" s="93">
        <f>AC519/AA520</f>
        <v>88.410299999999893</v>
      </c>
      <c r="AD520" s="94">
        <f t="shared" ref="AD520" si="424">AC520*Z520</f>
        <v>442.05149999999946</v>
      </c>
      <c r="AE520" s="190"/>
      <c r="AF520" s="191"/>
      <c r="AG520" s="191"/>
      <c r="AH520" s="191"/>
      <c r="AI520" s="186"/>
      <c r="AK520" s="171"/>
    </row>
    <row r="521" spans="1:37" ht="20.100000000000001" customHeight="1" x14ac:dyDescent="0.25">
      <c r="A521" s="277" t="s">
        <v>216</v>
      </c>
      <c r="B521" s="278"/>
      <c r="C521" s="64" t="s">
        <v>249</v>
      </c>
      <c r="D521" s="46" t="s">
        <v>97</v>
      </c>
      <c r="E521" s="114"/>
      <c r="F521" s="44">
        <v>0</v>
      </c>
      <c r="G521" s="44">
        <f t="shared" si="199"/>
        <v>0</v>
      </c>
      <c r="H521" s="44">
        <f t="shared" si="200"/>
        <v>0</v>
      </c>
      <c r="I521" s="43">
        <f t="shared" si="201"/>
        <v>0</v>
      </c>
      <c r="J521" s="112">
        <f t="shared" si="202"/>
        <v>0</v>
      </c>
      <c r="K521" s="211">
        <f t="shared" si="203"/>
        <v>0</v>
      </c>
      <c r="L521" s="44"/>
      <c r="M521" s="44">
        <f t="shared" si="223"/>
        <v>0</v>
      </c>
      <c r="N521" s="173">
        <f t="shared" si="204"/>
        <v>0</v>
      </c>
      <c r="O521" s="44">
        <f t="shared" si="205"/>
        <v>0</v>
      </c>
      <c r="P521" s="44">
        <f t="shared" si="206"/>
        <v>0</v>
      </c>
      <c r="Q521" s="44">
        <f t="shared" si="207"/>
        <v>0</v>
      </c>
      <c r="R521" s="44">
        <f t="shared" si="224"/>
        <v>0</v>
      </c>
      <c r="S521" s="123"/>
      <c r="T521" s="219">
        <f t="shared" si="225"/>
        <v>0</v>
      </c>
      <c r="U521" s="87"/>
      <c r="V521" s="47"/>
      <c r="W521" s="48"/>
      <c r="X521" s="48"/>
      <c r="Y521" s="48"/>
      <c r="Z521" s="135"/>
      <c r="AA521" s="49"/>
      <c r="AB521" s="50">
        <f t="shared" si="208"/>
        <v>0</v>
      </c>
      <c r="AC521" s="42">
        <f t="shared" si="226"/>
        <v>9.9999999999999998E-20</v>
      </c>
      <c r="AD521" s="90"/>
      <c r="AE521" s="188"/>
      <c r="AF521" s="189"/>
      <c r="AG521" s="189"/>
      <c r="AH521" s="189"/>
      <c r="AI521" s="161"/>
    </row>
    <row r="522" spans="1:37" ht="20.100000000000001" customHeight="1" x14ac:dyDescent="0.25">
      <c r="A522" s="277" t="s">
        <v>216</v>
      </c>
      <c r="B522" s="278"/>
      <c r="C522" s="64" t="s">
        <v>250</v>
      </c>
      <c r="D522" s="46" t="s">
        <v>97</v>
      </c>
      <c r="E522" s="114"/>
      <c r="F522" s="44">
        <v>0</v>
      </c>
      <c r="G522" s="44">
        <f t="shared" ref="G522:G1777" si="425">F522*E522</f>
        <v>0</v>
      </c>
      <c r="H522" s="44">
        <f t="shared" ref="H522:H1777" si="426">AB522</f>
        <v>0</v>
      </c>
      <c r="I522" s="43">
        <f t="shared" ref="I522:I1777" si="427">H522*E522</f>
        <v>0</v>
      </c>
      <c r="J522" s="112">
        <f t="shared" ref="J522:J1777" si="428">E522</f>
        <v>0</v>
      </c>
      <c r="K522" s="211">
        <f t="shared" ref="K522:K1777" si="429">J522</f>
        <v>0</v>
      </c>
      <c r="L522" s="44"/>
      <c r="M522" s="44">
        <f t="shared" si="223"/>
        <v>0</v>
      </c>
      <c r="N522" s="173">
        <f t="shared" ref="N522:N1777" si="430">IFERROR(M522/K522,0)</f>
        <v>0</v>
      </c>
      <c r="O522" s="44">
        <f t="shared" ref="O522:O1777" si="431">F522</f>
        <v>0</v>
      </c>
      <c r="P522" s="44">
        <f t="shared" ref="P522:P1777" si="432">K522*O522</f>
        <v>0</v>
      </c>
      <c r="Q522" s="44">
        <f t="shared" ref="Q522:Q1777" si="433">AB522</f>
        <v>0</v>
      </c>
      <c r="R522" s="44">
        <f t="shared" si="224"/>
        <v>0</v>
      </c>
      <c r="S522" s="123"/>
      <c r="T522" s="219">
        <f t="shared" si="225"/>
        <v>0</v>
      </c>
      <c r="U522" s="87"/>
      <c r="V522" s="47"/>
      <c r="W522" s="48"/>
      <c r="X522" s="48"/>
      <c r="Y522" s="48"/>
      <c r="Z522" s="135"/>
      <c r="AA522" s="49"/>
      <c r="AB522" s="50">
        <f t="shared" ref="AB522:AB1777" si="434">AD522/AC522</f>
        <v>0</v>
      </c>
      <c r="AC522" s="42">
        <f t="shared" si="226"/>
        <v>9.9999999999999998E-20</v>
      </c>
      <c r="AD522" s="90"/>
      <c r="AE522" s="188"/>
      <c r="AF522" s="189"/>
      <c r="AG522" s="189"/>
      <c r="AH522" s="189"/>
      <c r="AI522" s="161"/>
    </row>
    <row r="523" spans="1:37" ht="20.100000000000001" customHeight="1" x14ac:dyDescent="0.25">
      <c r="A523" s="277" t="s">
        <v>216</v>
      </c>
      <c r="B523" s="278"/>
      <c r="C523" s="64" t="s">
        <v>251</v>
      </c>
      <c r="D523" s="46" t="s">
        <v>97</v>
      </c>
      <c r="E523" s="114"/>
      <c r="F523" s="44">
        <v>0</v>
      </c>
      <c r="G523" s="44">
        <f t="shared" si="425"/>
        <v>0</v>
      </c>
      <c r="H523" s="44">
        <f t="shared" si="426"/>
        <v>0</v>
      </c>
      <c r="I523" s="43">
        <f t="shared" si="427"/>
        <v>0</v>
      </c>
      <c r="J523" s="112">
        <f t="shared" si="428"/>
        <v>0</v>
      </c>
      <c r="K523" s="211">
        <f t="shared" si="429"/>
        <v>0</v>
      </c>
      <c r="L523" s="44"/>
      <c r="M523" s="44">
        <f t="shared" ref="M523:M1778" si="435">K523-L523</f>
        <v>0</v>
      </c>
      <c r="N523" s="173">
        <f t="shared" si="430"/>
        <v>0</v>
      </c>
      <c r="O523" s="44">
        <f t="shared" si="431"/>
        <v>0</v>
      </c>
      <c r="P523" s="44">
        <f t="shared" si="432"/>
        <v>0</v>
      </c>
      <c r="Q523" s="44">
        <f t="shared" si="433"/>
        <v>0</v>
      </c>
      <c r="R523" s="44">
        <f t="shared" ref="R523:R1778" si="436">M523*Q523</f>
        <v>0</v>
      </c>
      <c r="S523" s="123"/>
      <c r="T523" s="219">
        <f t="shared" ref="T523:T1778" si="437">S523+R523</f>
        <v>0</v>
      </c>
      <c r="U523" s="87"/>
      <c r="V523" s="47"/>
      <c r="W523" s="48"/>
      <c r="X523" s="48"/>
      <c r="Y523" s="48"/>
      <c r="Z523" s="135"/>
      <c r="AA523" s="49"/>
      <c r="AB523" s="50">
        <f t="shared" si="434"/>
        <v>0</v>
      </c>
      <c r="AC523" s="42">
        <f t="shared" ref="AC523:AC1778" si="438">M523+$AE$10</f>
        <v>9.9999999999999998E-20</v>
      </c>
      <c r="AD523" s="90"/>
      <c r="AE523" s="188"/>
      <c r="AF523" s="189"/>
      <c r="AG523" s="189"/>
      <c r="AH523" s="189"/>
      <c r="AI523" s="161"/>
    </row>
    <row r="524" spans="1:37" ht="20.100000000000001" customHeight="1" x14ac:dyDescent="0.25">
      <c r="A524" s="277" t="s">
        <v>216</v>
      </c>
      <c r="B524" s="278"/>
      <c r="C524" s="64" t="s">
        <v>252</v>
      </c>
      <c r="D524" s="46" t="s">
        <v>97</v>
      </c>
      <c r="E524" s="114"/>
      <c r="F524" s="44">
        <v>0</v>
      </c>
      <c r="G524" s="44">
        <f t="shared" si="425"/>
        <v>0</v>
      </c>
      <c r="H524" s="44">
        <f t="shared" si="426"/>
        <v>0</v>
      </c>
      <c r="I524" s="43">
        <f t="shared" si="427"/>
        <v>0</v>
      </c>
      <c r="J524" s="112">
        <f t="shared" si="428"/>
        <v>0</v>
      </c>
      <c r="K524" s="211">
        <f t="shared" si="429"/>
        <v>0</v>
      </c>
      <c r="L524" s="44"/>
      <c r="M524" s="44">
        <f t="shared" si="435"/>
        <v>0</v>
      </c>
      <c r="N524" s="173">
        <f t="shared" si="430"/>
        <v>0</v>
      </c>
      <c r="O524" s="44">
        <f t="shared" si="431"/>
        <v>0</v>
      </c>
      <c r="P524" s="44">
        <f t="shared" si="432"/>
        <v>0</v>
      </c>
      <c r="Q524" s="44">
        <f t="shared" si="433"/>
        <v>0</v>
      </c>
      <c r="R524" s="44">
        <f t="shared" si="436"/>
        <v>0</v>
      </c>
      <c r="S524" s="123"/>
      <c r="T524" s="219">
        <f t="shared" si="437"/>
        <v>0</v>
      </c>
      <c r="U524" s="87"/>
      <c r="V524" s="47"/>
      <c r="W524" s="48"/>
      <c r="X524" s="48"/>
      <c r="Y524" s="48"/>
      <c r="Z524" s="135"/>
      <c r="AA524" s="49"/>
      <c r="AB524" s="50">
        <f t="shared" si="434"/>
        <v>0</v>
      </c>
      <c r="AC524" s="42">
        <f t="shared" si="438"/>
        <v>9.9999999999999998E-20</v>
      </c>
      <c r="AD524" s="90"/>
      <c r="AE524" s="188"/>
      <c r="AF524" s="189"/>
      <c r="AG524" s="189"/>
      <c r="AH524" s="189"/>
      <c r="AI524" s="161"/>
    </row>
    <row r="525" spans="1:37" ht="20.100000000000001" customHeight="1" x14ac:dyDescent="0.25">
      <c r="A525" s="277" t="s">
        <v>216</v>
      </c>
      <c r="B525" s="278"/>
      <c r="C525" s="64" t="s">
        <v>253</v>
      </c>
      <c r="D525" s="46" t="s">
        <v>97</v>
      </c>
      <c r="E525" s="114"/>
      <c r="F525" s="44">
        <v>0</v>
      </c>
      <c r="G525" s="44">
        <f t="shared" si="425"/>
        <v>0</v>
      </c>
      <c r="H525" s="44">
        <f t="shared" si="426"/>
        <v>0</v>
      </c>
      <c r="I525" s="43">
        <f t="shared" si="427"/>
        <v>0</v>
      </c>
      <c r="J525" s="112">
        <f t="shared" si="428"/>
        <v>0</v>
      </c>
      <c r="K525" s="211">
        <f t="shared" si="429"/>
        <v>0</v>
      </c>
      <c r="L525" s="44"/>
      <c r="M525" s="44">
        <f t="shared" si="435"/>
        <v>0</v>
      </c>
      <c r="N525" s="173">
        <f t="shared" si="430"/>
        <v>0</v>
      </c>
      <c r="O525" s="44">
        <f t="shared" si="431"/>
        <v>0</v>
      </c>
      <c r="P525" s="44">
        <f t="shared" si="432"/>
        <v>0</v>
      </c>
      <c r="Q525" s="44">
        <f t="shared" si="433"/>
        <v>0</v>
      </c>
      <c r="R525" s="44">
        <f t="shared" si="436"/>
        <v>0</v>
      </c>
      <c r="S525" s="123"/>
      <c r="T525" s="219">
        <f t="shared" si="437"/>
        <v>0</v>
      </c>
      <c r="U525" s="87"/>
      <c r="V525" s="47"/>
      <c r="W525" s="48"/>
      <c r="X525" s="48"/>
      <c r="Y525" s="48"/>
      <c r="Z525" s="135"/>
      <c r="AA525" s="49"/>
      <c r="AB525" s="50">
        <f t="shared" si="434"/>
        <v>0</v>
      </c>
      <c r="AC525" s="42">
        <f t="shared" si="438"/>
        <v>9.9999999999999998E-20</v>
      </c>
      <c r="AD525" s="90"/>
      <c r="AE525" s="188"/>
      <c r="AF525" s="189"/>
      <c r="AG525" s="189"/>
      <c r="AH525" s="189"/>
      <c r="AI525" s="161"/>
    </row>
    <row r="526" spans="1:37" ht="20.100000000000001" customHeight="1" x14ac:dyDescent="0.25">
      <c r="A526" s="277" t="s">
        <v>216</v>
      </c>
      <c r="B526" s="278"/>
      <c r="C526" s="64" t="s">
        <v>254</v>
      </c>
      <c r="D526" s="46" t="s">
        <v>97</v>
      </c>
      <c r="E526" s="114"/>
      <c r="F526" s="44">
        <v>0</v>
      </c>
      <c r="G526" s="44">
        <f t="shared" si="425"/>
        <v>0</v>
      </c>
      <c r="H526" s="44">
        <f t="shared" si="426"/>
        <v>0</v>
      </c>
      <c r="I526" s="43">
        <f t="shared" si="427"/>
        <v>0</v>
      </c>
      <c r="J526" s="112">
        <f t="shared" si="428"/>
        <v>0</v>
      </c>
      <c r="K526" s="211">
        <f t="shared" si="429"/>
        <v>0</v>
      </c>
      <c r="L526" s="44"/>
      <c r="M526" s="44">
        <f t="shared" si="435"/>
        <v>0</v>
      </c>
      <c r="N526" s="173">
        <f t="shared" si="430"/>
        <v>0</v>
      </c>
      <c r="O526" s="44">
        <f t="shared" si="431"/>
        <v>0</v>
      </c>
      <c r="P526" s="44">
        <f t="shared" si="432"/>
        <v>0</v>
      </c>
      <c r="Q526" s="44">
        <f t="shared" si="433"/>
        <v>0</v>
      </c>
      <c r="R526" s="44">
        <f t="shared" si="436"/>
        <v>0</v>
      </c>
      <c r="S526" s="123"/>
      <c r="T526" s="219">
        <f t="shared" si="437"/>
        <v>0</v>
      </c>
      <c r="U526" s="87"/>
      <c r="V526" s="47"/>
      <c r="W526" s="48"/>
      <c r="X526" s="48"/>
      <c r="Y526" s="48"/>
      <c r="Z526" s="135"/>
      <c r="AA526" s="49"/>
      <c r="AB526" s="50">
        <f t="shared" si="434"/>
        <v>0</v>
      </c>
      <c r="AC526" s="42">
        <f t="shared" si="438"/>
        <v>9.9999999999999998E-20</v>
      </c>
      <c r="AD526" s="90"/>
      <c r="AE526" s="188"/>
      <c r="AF526" s="189"/>
      <c r="AG526" s="189"/>
      <c r="AH526" s="189"/>
      <c r="AI526" s="161"/>
    </row>
    <row r="527" spans="1:37" s="306" customFormat="1" ht="45" x14ac:dyDescent="0.25">
      <c r="A527" s="287" t="s">
        <v>216</v>
      </c>
      <c r="B527" s="288"/>
      <c r="C527" s="286" t="s">
        <v>255</v>
      </c>
      <c r="D527" s="289"/>
      <c r="E527" s="290"/>
      <c r="F527" s="291"/>
      <c r="G527" s="291">
        <f t="shared" si="425"/>
        <v>0</v>
      </c>
      <c r="H527" s="291">
        <f t="shared" si="426"/>
        <v>0</v>
      </c>
      <c r="I527" s="292">
        <f t="shared" si="427"/>
        <v>0</v>
      </c>
      <c r="J527" s="290">
        <f t="shared" si="428"/>
        <v>0</v>
      </c>
      <c r="K527" s="293">
        <f t="shared" si="429"/>
        <v>0</v>
      </c>
      <c r="L527" s="291"/>
      <c r="M527" s="291">
        <f t="shared" si="435"/>
        <v>0</v>
      </c>
      <c r="N527" s="294">
        <f t="shared" si="430"/>
        <v>0</v>
      </c>
      <c r="O527" s="291">
        <f t="shared" si="431"/>
        <v>0</v>
      </c>
      <c r="P527" s="291">
        <f t="shared" si="432"/>
        <v>0</v>
      </c>
      <c r="Q527" s="291">
        <f t="shared" si="433"/>
        <v>0</v>
      </c>
      <c r="R527" s="291">
        <f t="shared" si="436"/>
        <v>0</v>
      </c>
      <c r="S527" s="291"/>
      <c r="T527" s="295">
        <f t="shared" si="437"/>
        <v>0</v>
      </c>
      <c r="U527" s="296"/>
      <c r="V527" s="297"/>
      <c r="W527" s="298"/>
      <c r="X527" s="299"/>
      <c r="Y527" s="300"/>
      <c r="Z527" s="301"/>
      <c r="AA527" s="300"/>
      <c r="AB527" s="300">
        <f t="shared" si="434"/>
        <v>0</v>
      </c>
      <c r="AC527" s="300">
        <f t="shared" si="438"/>
        <v>9.9999999999999998E-20</v>
      </c>
      <c r="AD527" s="302"/>
      <c r="AE527" s="303"/>
      <c r="AF527" s="304"/>
      <c r="AG527" s="304"/>
      <c r="AH527" s="304"/>
      <c r="AI527" s="305"/>
      <c r="AK527" s="307"/>
    </row>
    <row r="528" spans="1:37" s="306" customFormat="1" ht="20.100000000000001" customHeight="1" x14ac:dyDescent="0.25">
      <c r="A528" s="287" t="s">
        <v>216</v>
      </c>
      <c r="B528" s="288"/>
      <c r="C528" s="286" t="s">
        <v>256</v>
      </c>
      <c r="D528" s="289"/>
      <c r="E528" s="290"/>
      <c r="F528" s="291"/>
      <c r="G528" s="291">
        <f t="shared" si="425"/>
        <v>0</v>
      </c>
      <c r="H528" s="291">
        <f t="shared" si="426"/>
        <v>0</v>
      </c>
      <c r="I528" s="292">
        <f t="shared" si="427"/>
        <v>0</v>
      </c>
      <c r="J528" s="290">
        <f t="shared" si="428"/>
        <v>0</v>
      </c>
      <c r="K528" s="293">
        <f t="shared" si="429"/>
        <v>0</v>
      </c>
      <c r="L528" s="291"/>
      <c r="M528" s="291">
        <f t="shared" si="435"/>
        <v>0</v>
      </c>
      <c r="N528" s="294">
        <f t="shared" si="430"/>
        <v>0</v>
      </c>
      <c r="O528" s="291">
        <f t="shared" si="431"/>
        <v>0</v>
      </c>
      <c r="P528" s="291">
        <f t="shared" si="432"/>
        <v>0</v>
      </c>
      <c r="Q528" s="291">
        <f t="shared" si="433"/>
        <v>0</v>
      </c>
      <c r="R528" s="291">
        <f t="shared" si="436"/>
        <v>0</v>
      </c>
      <c r="S528" s="291"/>
      <c r="T528" s="295">
        <f t="shared" si="437"/>
        <v>0</v>
      </c>
      <c r="U528" s="296"/>
      <c r="V528" s="297"/>
      <c r="W528" s="298"/>
      <c r="X528" s="299"/>
      <c r="Y528" s="300"/>
      <c r="Z528" s="301"/>
      <c r="AA528" s="300"/>
      <c r="AB528" s="300">
        <f t="shared" si="434"/>
        <v>0</v>
      </c>
      <c r="AC528" s="300">
        <f t="shared" si="438"/>
        <v>9.9999999999999998E-20</v>
      </c>
      <c r="AD528" s="302"/>
      <c r="AE528" s="303"/>
      <c r="AF528" s="304"/>
      <c r="AG528" s="304"/>
      <c r="AH528" s="304"/>
      <c r="AI528" s="305"/>
      <c r="AK528" s="307"/>
    </row>
    <row r="529" spans="1:41" ht="20.100000000000001" customHeight="1" x14ac:dyDescent="0.25">
      <c r="A529" s="277" t="s">
        <v>216</v>
      </c>
      <c r="B529" s="278"/>
      <c r="C529" s="64" t="s">
        <v>257</v>
      </c>
      <c r="D529" s="46" t="s">
        <v>215</v>
      </c>
      <c r="E529" s="114">
        <v>23.70000000000006</v>
      </c>
      <c r="F529" s="44">
        <v>1391</v>
      </c>
      <c r="G529" s="44">
        <f t="shared" si="425"/>
        <v>32966.700000000084</v>
      </c>
      <c r="H529" s="44">
        <f t="shared" si="426"/>
        <v>320</v>
      </c>
      <c r="I529" s="43">
        <f t="shared" si="427"/>
        <v>7584.0000000000191</v>
      </c>
      <c r="J529" s="112">
        <f t="shared" si="428"/>
        <v>23.70000000000006</v>
      </c>
      <c r="K529" s="211">
        <f t="shared" si="429"/>
        <v>23.70000000000006</v>
      </c>
      <c r="L529" s="44"/>
      <c r="M529" s="44">
        <f t="shared" si="435"/>
        <v>23.70000000000006</v>
      </c>
      <c r="N529" s="173">
        <f t="shared" si="430"/>
        <v>1</v>
      </c>
      <c r="O529" s="44">
        <f t="shared" si="431"/>
        <v>1391</v>
      </c>
      <c r="P529" s="44">
        <f t="shared" si="432"/>
        <v>32966.700000000084</v>
      </c>
      <c r="Q529" s="44">
        <f t="shared" si="433"/>
        <v>320</v>
      </c>
      <c r="R529" s="44">
        <f t="shared" si="436"/>
        <v>7584.0000000000191</v>
      </c>
      <c r="S529" s="123"/>
      <c r="T529" s="219">
        <f t="shared" si="437"/>
        <v>7584.0000000000191</v>
      </c>
      <c r="U529" s="87"/>
      <c r="V529" s="47"/>
      <c r="W529" s="48"/>
      <c r="X529" s="48"/>
      <c r="Y529" s="48"/>
      <c r="Z529" s="135"/>
      <c r="AA529" s="49"/>
      <c r="AB529" s="50">
        <f t="shared" si="434"/>
        <v>320</v>
      </c>
      <c r="AC529" s="42">
        <f t="shared" si="438"/>
        <v>23.70000000000006</v>
      </c>
      <c r="AD529" s="90">
        <f>AD530</f>
        <v>7584.0000000000191</v>
      </c>
      <c r="AE529" s="188">
        <f t="shared" ref="AE529:AH529" si="439">AE530</f>
        <v>0</v>
      </c>
      <c r="AF529" s="189">
        <f t="shared" si="439"/>
        <v>0</v>
      </c>
      <c r="AG529" s="189">
        <f t="shared" si="439"/>
        <v>0</v>
      </c>
      <c r="AH529" s="189">
        <f t="shared" si="439"/>
        <v>0</v>
      </c>
      <c r="AI529" s="161">
        <f t="shared" ref="AI529" si="440">SUM(AE529:AH529)</f>
        <v>0</v>
      </c>
      <c r="AK529" s="169">
        <v>5</v>
      </c>
      <c r="AO529" s="19" t="s">
        <v>63</v>
      </c>
    </row>
    <row r="530" spans="1:41" s="103" customFormat="1" ht="19.899999999999999" customHeight="1" x14ac:dyDescent="0.25">
      <c r="A530" s="51"/>
      <c r="B530" s="52"/>
      <c r="C530" s="165"/>
      <c r="D530" s="52"/>
      <c r="E530" s="115"/>
      <c r="F530" s="58"/>
      <c r="G530" s="58"/>
      <c r="H530" s="58"/>
      <c r="I530" s="55"/>
      <c r="J530" s="113">
        <f>J529</f>
        <v>23.70000000000006</v>
      </c>
      <c r="K530" s="212">
        <f>K529</f>
        <v>23.70000000000006</v>
      </c>
      <c r="L530" s="58"/>
      <c r="M530" s="58">
        <f>K530-L530</f>
        <v>23.70000000000006</v>
      </c>
      <c r="N530" s="166"/>
      <c r="O530" s="58"/>
      <c r="P530" s="58"/>
      <c r="Q530" s="58"/>
      <c r="R530" s="58"/>
      <c r="S530" s="58"/>
      <c r="T530" s="220"/>
      <c r="U530" s="88"/>
      <c r="V530" s="56"/>
      <c r="W530" s="57" t="s">
        <v>1294</v>
      </c>
      <c r="X530" s="53"/>
      <c r="Y530" s="91" t="s">
        <v>35</v>
      </c>
      <c r="Z530" s="136">
        <f>AD530/AC530</f>
        <v>320</v>
      </c>
      <c r="AA530" s="58"/>
      <c r="AB530" s="53">
        <f>AD530/AC530</f>
        <v>320</v>
      </c>
      <c r="AC530" s="53">
        <f>M530+$AE$10</f>
        <v>23.70000000000006</v>
      </c>
      <c r="AD530" s="54">
        <f>SUM(AD531:AD533)</f>
        <v>7584.0000000000191</v>
      </c>
      <c r="AE530" s="184">
        <f>SUMIFS($AD$37:$AD$12971,$V$37:$V$12971,$V530,$X$37:$X$12971,AE$13)</f>
        <v>0</v>
      </c>
      <c r="AF530" s="185">
        <f>SUMIFS($AD$37:$AD$12971,$V$37:$V$12971,$V530,$X$37:$X$12971,AF$13)</f>
        <v>0</v>
      </c>
      <c r="AG530" s="185">
        <f>SUMIFS($AD$37:$AD$12971,$V$37:$V$12971,$V530,$X$37:$X$12971,AG$13)</f>
        <v>0</v>
      </c>
      <c r="AH530" s="187">
        <f>SUMIFS($AD$37:$AD$12971,$V$37:$V$12971,$V530,$X$37:$X$12971,AH$13)</f>
        <v>0</v>
      </c>
      <c r="AI530" s="161">
        <f t="shared" ref="AI530" si="441">SUM(AE530:AH530)</f>
        <v>0</v>
      </c>
      <c r="AK530" s="172"/>
    </row>
    <row r="531" spans="1:41" s="102" customFormat="1" ht="19.899999999999999" customHeight="1" x14ac:dyDescent="0.25">
      <c r="A531" s="45"/>
      <c r="B531" s="59"/>
      <c r="C531" s="137"/>
      <c r="D531" s="59"/>
      <c r="E531" s="116"/>
      <c r="F531" s="120"/>
      <c r="G531" s="120"/>
      <c r="H531" s="120"/>
      <c r="I531" s="60"/>
      <c r="J531" s="116"/>
      <c r="K531" s="213"/>
      <c r="L531" s="120"/>
      <c r="M531" s="120"/>
      <c r="N531" s="167"/>
      <c r="O531" s="120"/>
      <c r="P531" s="120"/>
      <c r="Q531" s="120"/>
      <c r="R531" s="120"/>
      <c r="S531" s="120"/>
      <c r="T531" s="221"/>
      <c r="U531" s="89"/>
      <c r="V531" s="61"/>
      <c r="W531" s="92" t="s">
        <v>1295</v>
      </c>
      <c r="X531" s="93" t="s">
        <v>30</v>
      </c>
      <c r="Y531" s="93" t="s">
        <v>35</v>
      </c>
      <c r="Z531" s="134">
        <f>VLOOKUP(W531,Sheet2!$B:$D,3,FALSE)</f>
        <v>260</v>
      </c>
      <c r="AA531" s="93">
        <v>1</v>
      </c>
      <c r="AB531" s="93">
        <f t="shared" ref="AB531" si="442">AD531/AC530</f>
        <v>260</v>
      </c>
      <c r="AC531" s="93">
        <f>AC530/AA531</f>
        <v>23.70000000000006</v>
      </c>
      <c r="AD531" s="94">
        <f t="shared" ref="AD531:AD532" si="443">AC531*Z531</f>
        <v>6162.0000000000155</v>
      </c>
      <c r="AE531" s="190"/>
      <c r="AF531" s="191"/>
      <c r="AG531" s="191"/>
      <c r="AH531" s="191"/>
      <c r="AI531" s="186"/>
      <c r="AK531" s="171"/>
    </row>
    <row r="532" spans="1:41" s="102" customFormat="1" ht="19.899999999999999" customHeight="1" x14ac:dyDescent="0.25">
      <c r="A532" s="45"/>
      <c r="B532" s="59"/>
      <c r="C532" s="137"/>
      <c r="D532" s="59"/>
      <c r="E532" s="116"/>
      <c r="F532" s="120"/>
      <c r="G532" s="120"/>
      <c r="H532" s="120"/>
      <c r="I532" s="60"/>
      <c r="J532" s="116"/>
      <c r="K532" s="213"/>
      <c r="L532" s="120"/>
      <c r="M532" s="120"/>
      <c r="N532" s="167"/>
      <c r="O532" s="120"/>
      <c r="P532" s="120"/>
      <c r="Q532" s="120"/>
      <c r="R532" s="120"/>
      <c r="S532" s="120"/>
      <c r="T532" s="221"/>
      <c r="U532" s="89"/>
      <c r="V532" s="61"/>
      <c r="W532" s="92" t="s">
        <v>107</v>
      </c>
      <c r="X532" s="93" t="s">
        <v>31</v>
      </c>
      <c r="Y532" s="93" t="s">
        <v>93</v>
      </c>
      <c r="Z532" s="134">
        <f>VLOOKUP(W532,Sheet2!$B:$D,3,FALSE)</f>
        <v>17</v>
      </c>
      <c r="AA532" s="93">
        <v>0.5</v>
      </c>
      <c r="AB532" s="93">
        <f>AD532/AC530</f>
        <v>34</v>
      </c>
      <c r="AC532" s="93">
        <f>AC530/AA532</f>
        <v>47.400000000000119</v>
      </c>
      <c r="AD532" s="94">
        <f t="shared" si="443"/>
        <v>805.800000000002</v>
      </c>
      <c r="AE532" s="190"/>
      <c r="AF532" s="191"/>
      <c r="AG532" s="191"/>
      <c r="AH532" s="191"/>
      <c r="AI532" s="186"/>
      <c r="AK532" s="171"/>
    </row>
    <row r="533" spans="1:41" s="102" customFormat="1" ht="19.899999999999999" customHeight="1" x14ac:dyDescent="0.25">
      <c r="A533" s="45"/>
      <c r="B533" s="59"/>
      <c r="C533" s="137"/>
      <c r="D533" s="59"/>
      <c r="E533" s="116"/>
      <c r="F533" s="120"/>
      <c r="G533" s="120"/>
      <c r="H533" s="120"/>
      <c r="I533" s="60"/>
      <c r="J533" s="116"/>
      <c r="K533" s="213"/>
      <c r="L533" s="120"/>
      <c r="M533" s="120"/>
      <c r="N533" s="167"/>
      <c r="O533" s="120"/>
      <c r="P533" s="120"/>
      <c r="Q533" s="120"/>
      <c r="R533" s="120"/>
      <c r="S533" s="120"/>
      <c r="T533" s="221"/>
      <c r="U533" s="89"/>
      <c r="V533" s="61"/>
      <c r="W533" s="92" t="s">
        <v>112</v>
      </c>
      <c r="X533" s="93" t="s">
        <v>31</v>
      </c>
      <c r="Y533" s="93" t="s">
        <v>93</v>
      </c>
      <c r="Z533" s="134">
        <f>VLOOKUP(W533,Sheet2!$B:$D,3,FALSE)</f>
        <v>13</v>
      </c>
      <c r="AA533" s="93">
        <f>AA532</f>
        <v>0.5</v>
      </c>
      <c r="AB533" s="93">
        <f>AD533/AC530</f>
        <v>26</v>
      </c>
      <c r="AC533" s="93">
        <f>AC530/AA533</f>
        <v>47.400000000000119</v>
      </c>
      <c r="AD533" s="94">
        <f>AC533*Z533</f>
        <v>616.20000000000152</v>
      </c>
      <c r="AE533" s="190"/>
      <c r="AF533" s="191"/>
      <c r="AG533" s="191"/>
      <c r="AH533" s="191"/>
      <c r="AI533" s="186"/>
      <c r="AK533" s="171"/>
    </row>
    <row r="534" spans="1:41" ht="20.100000000000001" customHeight="1" x14ac:dyDescent="0.25">
      <c r="A534" s="277" t="s">
        <v>216</v>
      </c>
      <c r="B534" s="278"/>
      <c r="C534" s="64" t="s">
        <v>258</v>
      </c>
      <c r="D534" s="46" t="s">
        <v>215</v>
      </c>
      <c r="E534" s="114">
        <v>1.78</v>
      </c>
      <c r="F534" s="44">
        <v>1546</v>
      </c>
      <c r="G534" s="44">
        <f t="shared" si="425"/>
        <v>2751.88</v>
      </c>
      <c r="H534" s="44">
        <f t="shared" si="426"/>
        <v>372</v>
      </c>
      <c r="I534" s="43">
        <f t="shared" si="427"/>
        <v>662.16</v>
      </c>
      <c r="J534" s="112">
        <f t="shared" si="428"/>
        <v>1.78</v>
      </c>
      <c r="K534" s="211">
        <f t="shared" si="429"/>
        <v>1.78</v>
      </c>
      <c r="L534" s="44"/>
      <c r="M534" s="44">
        <f t="shared" si="435"/>
        <v>1.78</v>
      </c>
      <c r="N534" s="173">
        <f t="shared" si="430"/>
        <v>1</v>
      </c>
      <c r="O534" s="44">
        <f t="shared" si="431"/>
        <v>1546</v>
      </c>
      <c r="P534" s="44">
        <f t="shared" si="432"/>
        <v>2751.88</v>
      </c>
      <c r="Q534" s="44">
        <f t="shared" si="433"/>
        <v>372</v>
      </c>
      <c r="R534" s="44">
        <f t="shared" si="436"/>
        <v>662.16</v>
      </c>
      <c r="S534" s="123"/>
      <c r="T534" s="219">
        <f t="shared" si="437"/>
        <v>662.16</v>
      </c>
      <c r="U534" s="87"/>
      <c r="V534" s="47"/>
      <c r="W534" s="48"/>
      <c r="X534" s="48"/>
      <c r="Y534" s="48"/>
      <c r="Z534" s="135"/>
      <c r="AA534" s="49"/>
      <c r="AB534" s="50">
        <f t="shared" si="434"/>
        <v>372</v>
      </c>
      <c r="AC534" s="42">
        <f t="shared" si="438"/>
        <v>1.78</v>
      </c>
      <c r="AD534" s="90">
        <f>AD535</f>
        <v>662.16</v>
      </c>
      <c r="AE534" s="188">
        <f t="shared" ref="AE534" si="444">AE535</f>
        <v>0</v>
      </c>
      <c r="AF534" s="189">
        <f t="shared" ref="AF534" si="445">AF535</f>
        <v>0</v>
      </c>
      <c r="AG534" s="189">
        <f t="shared" ref="AG534" si="446">AG535</f>
        <v>0</v>
      </c>
      <c r="AH534" s="189">
        <f t="shared" ref="AH534" si="447">AH535</f>
        <v>0</v>
      </c>
      <c r="AI534" s="161">
        <f t="shared" ref="AI534" si="448">SUM(AE534:AH534)</f>
        <v>0</v>
      </c>
      <c r="AK534" s="169">
        <v>5</v>
      </c>
      <c r="AO534" s="19" t="s">
        <v>63</v>
      </c>
    </row>
    <row r="535" spans="1:41" s="103" customFormat="1" ht="19.899999999999999" customHeight="1" x14ac:dyDescent="0.25">
      <c r="A535" s="51"/>
      <c r="B535" s="52"/>
      <c r="C535" s="165"/>
      <c r="D535" s="52"/>
      <c r="E535" s="115"/>
      <c r="F535" s="58"/>
      <c r="G535" s="58"/>
      <c r="H535" s="58"/>
      <c r="I535" s="55"/>
      <c r="J535" s="113">
        <f>J534</f>
        <v>1.78</v>
      </c>
      <c r="K535" s="212">
        <f>K534</f>
        <v>1.78</v>
      </c>
      <c r="L535" s="58"/>
      <c r="M535" s="58">
        <f>K535-L535</f>
        <v>1.78</v>
      </c>
      <c r="N535" s="166"/>
      <c r="O535" s="58"/>
      <c r="P535" s="58"/>
      <c r="Q535" s="58"/>
      <c r="R535" s="58"/>
      <c r="S535" s="58"/>
      <c r="T535" s="220"/>
      <c r="U535" s="88"/>
      <c r="V535" s="56"/>
      <c r="W535" s="57" t="s">
        <v>1294</v>
      </c>
      <c r="X535" s="53"/>
      <c r="Y535" s="91" t="s">
        <v>35</v>
      </c>
      <c r="Z535" s="136">
        <f>AD535/AC535</f>
        <v>372</v>
      </c>
      <c r="AA535" s="58"/>
      <c r="AB535" s="53">
        <f>AD535/AC535</f>
        <v>372</v>
      </c>
      <c r="AC535" s="53">
        <f>M535+$AE$10</f>
        <v>1.78</v>
      </c>
      <c r="AD535" s="54">
        <f>SUM(AD536:AD538)</f>
        <v>662.16</v>
      </c>
      <c r="AE535" s="184">
        <f>SUMIFS($AD$37:$AD$12971,$V$37:$V$12971,$V535,$X$37:$X$12971,AE$13)</f>
        <v>0</v>
      </c>
      <c r="AF535" s="185">
        <f>SUMIFS($AD$37:$AD$12971,$V$37:$V$12971,$V535,$X$37:$X$12971,AF$13)</f>
        <v>0</v>
      </c>
      <c r="AG535" s="185">
        <f>SUMIFS($AD$37:$AD$12971,$V$37:$V$12971,$V535,$X$37:$X$12971,AG$13)</f>
        <v>0</v>
      </c>
      <c r="AH535" s="187">
        <f>SUMIFS($AD$37:$AD$12971,$V$37:$V$12971,$V535,$X$37:$X$12971,AH$13)</f>
        <v>0</v>
      </c>
      <c r="AI535" s="161">
        <f t="shared" ref="AI535" si="449">SUM(AE535:AH535)</f>
        <v>0</v>
      </c>
      <c r="AK535" s="172"/>
    </row>
    <row r="536" spans="1:41" s="102" customFormat="1" ht="19.899999999999999" customHeight="1" x14ac:dyDescent="0.25">
      <c r="A536" s="45"/>
      <c r="B536" s="59"/>
      <c r="C536" s="137"/>
      <c r="D536" s="59"/>
      <c r="E536" s="116"/>
      <c r="F536" s="120"/>
      <c r="G536" s="120"/>
      <c r="H536" s="120"/>
      <c r="I536" s="60"/>
      <c r="J536" s="116"/>
      <c r="K536" s="213"/>
      <c r="L536" s="120"/>
      <c r="M536" s="120"/>
      <c r="N536" s="167"/>
      <c r="O536" s="120"/>
      <c r="P536" s="120"/>
      <c r="Q536" s="120"/>
      <c r="R536" s="120"/>
      <c r="S536" s="120"/>
      <c r="T536" s="221"/>
      <c r="U536" s="89"/>
      <c r="V536" s="61"/>
      <c r="W536" s="92" t="s">
        <v>1296</v>
      </c>
      <c r="X536" s="93" t="s">
        <v>30</v>
      </c>
      <c r="Y536" s="93" t="s">
        <v>35</v>
      </c>
      <c r="Z536" s="134">
        <f>VLOOKUP(W536,Sheet2!$B:$D,3,FALSE)</f>
        <v>312</v>
      </c>
      <c r="AA536" s="93">
        <v>1</v>
      </c>
      <c r="AB536" s="93">
        <f t="shared" ref="AB536" si="450">AD536/AC535</f>
        <v>312</v>
      </c>
      <c r="AC536" s="93">
        <f>AC535/AA536</f>
        <v>1.78</v>
      </c>
      <c r="AD536" s="94">
        <f t="shared" ref="AD536:AD537" si="451">AC536*Z536</f>
        <v>555.36</v>
      </c>
      <c r="AE536" s="190"/>
      <c r="AF536" s="191"/>
      <c r="AG536" s="191"/>
      <c r="AH536" s="191"/>
      <c r="AI536" s="186"/>
      <c r="AK536" s="171"/>
    </row>
    <row r="537" spans="1:41" s="102" customFormat="1" ht="19.899999999999999" customHeight="1" x14ac:dyDescent="0.25">
      <c r="A537" s="45"/>
      <c r="B537" s="59"/>
      <c r="C537" s="137"/>
      <c r="D537" s="59"/>
      <c r="E537" s="116"/>
      <c r="F537" s="120"/>
      <c r="G537" s="120"/>
      <c r="H537" s="120"/>
      <c r="I537" s="60"/>
      <c r="J537" s="116"/>
      <c r="K537" s="213"/>
      <c r="L537" s="120"/>
      <c r="M537" s="120"/>
      <c r="N537" s="167"/>
      <c r="O537" s="120"/>
      <c r="P537" s="120"/>
      <c r="Q537" s="120"/>
      <c r="R537" s="120"/>
      <c r="S537" s="120"/>
      <c r="T537" s="221"/>
      <c r="U537" s="89"/>
      <c r="V537" s="61"/>
      <c r="W537" s="92" t="s">
        <v>107</v>
      </c>
      <c r="X537" s="93" t="s">
        <v>31</v>
      </c>
      <c r="Y537" s="93" t="s">
        <v>93</v>
      </c>
      <c r="Z537" s="134">
        <f>VLOOKUP(W537,Sheet2!$B:$D,3,FALSE)</f>
        <v>17</v>
      </c>
      <c r="AA537" s="93">
        <v>0.5</v>
      </c>
      <c r="AB537" s="93">
        <f>AD537/AC535</f>
        <v>34</v>
      </c>
      <c r="AC537" s="93">
        <f>AC535/AA537</f>
        <v>3.56</v>
      </c>
      <c r="AD537" s="94">
        <f t="shared" si="451"/>
        <v>60.52</v>
      </c>
      <c r="AE537" s="190"/>
      <c r="AF537" s="191"/>
      <c r="AG537" s="191"/>
      <c r="AH537" s="191"/>
      <c r="AI537" s="186"/>
      <c r="AK537" s="171"/>
    </row>
    <row r="538" spans="1:41" s="102" customFormat="1" ht="19.899999999999999" customHeight="1" x14ac:dyDescent="0.25">
      <c r="A538" s="45"/>
      <c r="B538" s="59"/>
      <c r="C538" s="137"/>
      <c r="D538" s="59"/>
      <c r="E538" s="116"/>
      <c r="F538" s="120"/>
      <c r="G538" s="120"/>
      <c r="H538" s="120"/>
      <c r="I538" s="60"/>
      <c r="J538" s="116"/>
      <c r="K538" s="213"/>
      <c r="L538" s="120"/>
      <c r="M538" s="120"/>
      <c r="N538" s="167"/>
      <c r="O538" s="120"/>
      <c r="P538" s="120"/>
      <c r="Q538" s="120"/>
      <c r="R538" s="120"/>
      <c r="S538" s="120"/>
      <c r="T538" s="221"/>
      <c r="U538" s="89"/>
      <c r="V538" s="61"/>
      <c r="W538" s="92" t="s">
        <v>112</v>
      </c>
      <c r="X538" s="93" t="s">
        <v>31</v>
      </c>
      <c r="Y538" s="93" t="s">
        <v>93</v>
      </c>
      <c r="Z538" s="134">
        <f>VLOOKUP(W538,Sheet2!$B:$D,3,FALSE)</f>
        <v>13</v>
      </c>
      <c r="AA538" s="93">
        <f>AA537</f>
        <v>0.5</v>
      </c>
      <c r="AB538" s="93">
        <f>AD538/AC535</f>
        <v>26</v>
      </c>
      <c r="AC538" s="93">
        <f>AC535/AA538</f>
        <v>3.56</v>
      </c>
      <c r="AD538" s="94">
        <f>AC538*Z538</f>
        <v>46.28</v>
      </c>
      <c r="AE538" s="190"/>
      <c r="AF538" s="191"/>
      <c r="AG538" s="191"/>
      <c r="AH538" s="191"/>
      <c r="AI538" s="186"/>
      <c r="AK538" s="171"/>
    </row>
    <row r="539" spans="1:41" ht="20.100000000000001" customHeight="1" x14ac:dyDescent="0.25">
      <c r="A539" s="277" t="s">
        <v>216</v>
      </c>
      <c r="B539" s="278"/>
      <c r="C539" s="64" t="s">
        <v>259</v>
      </c>
      <c r="D539" s="46" t="s">
        <v>215</v>
      </c>
      <c r="E539" s="114">
        <v>11.600000000000023</v>
      </c>
      <c r="F539" s="44">
        <v>1554</v>
      </c>
      <c r="G539" s="44">
        <f t="shared" si="425"/>
        <v>18026.400000000034</v>
      </c>
      <c r="H539" s="44">
        <f t="shared" si="426"/>
        <v>395.40000000000003</v>
      </c>
      <c r="I539" s="43">
        <f t="shared" si="427"/>
        <v>4586.6400000000094</v>
      </c>
      <c r="J539" s="112">
        <f t="shared" si="428"/>
        <v>11.600000000000023</v>
      </c>
      <c r="K539" s="211">
        <f t="shared" si="429"/>
        <v>11.600000000000023</v>
      </c>
      <c r="L539" s="44"/>
      <c r="M539" s="44">
        <f t="shared" si="435"/>
        <v>11.600000000000023</v>
      </c>
      <c r="N539" s="173">
        <f t="shared" si="430"/>
        <v>1</v>
      </c>
      <c r="O539" s="44">
        <f t="shared" si="431"/>
        <v>1554</v>
      </c>
      <c r="P539" s="44">
        <f t="shared" si="432"/>
        <v>18026.400000000034</v>
      </c>
      <c r="Q539" s="44">
        <f t="shared" si="433"/>
        <v>395.40000000000003</v>
      </c>
      <c r="R539" s="44">
        <f t="shared" si="436"/>
        <v>4586.6400000000094</v>
      </c>
      <c r="S539" s="123"/>
      <c r="T539" s="219">
        <f t="shared" si="437"/>
        <v>4586.6400000000094</v>
      </c>
      <c r="U539" s="87"/>
      <c r="V539" s="47"/>
      <c r="W539" s="48"/>
      <c r="X539" s="48"/>
      <c r="Y539" s="48"/>
      <c r="Z539" s="135"/>
      <c r="AA539" s="49"/>
      <c r="AB539" s="50">
        <f t="shared" si="434"/>
        <v>395.40000000000003</v>
      </c>
      <c r="AC539" s="42">
        <f t="shared" si="438"/>
        <v>11.600000000000023</v>
      </c>
      <c r="AD539" s="90">
        <f>AD540</f>
        <v>4586.6400000000094</v>
      </c>
      <c r="AE539" s="188">
        <f t="shared" ref="AE539" si="452">AE540</f>
        <v>0</v>
      </c>
      <c r="AF539" s="189">
        <f t="shared" ref="AF539" si="453">AF540</f>
        <v>0</v>
      </c>
      <c r="AG539" s="189">
        <f t="shared" ref="AG539" si="454">AG540</f>
        <v>0</v>
      </c>
      <c r="AH539" s="189">
        <f t="shared" ref="AH539" si="455">AH540</f>
        <v>0</v>
      </c>
      <c r="AI539" s="161">
        <f t="shared" ref="AI539" si="456">SUM(AE539:AH539)</f>
        <v>0</v>
      </c>
      <c r="AK539" s="169">
        <v>5</v>
      </c>
      <c r="AO539" s="19" t="s">
        <v>63</v>
      </c>
    </row>
    <row r="540" spans="1:41" s="103" customFormat="1" ht="19.899999999999999" customHeight="1" x14ac:dyDescent="0.25">
      <c r="A540" s="51"/>
      <c r="B540" s="52"/>
      <c r="C540" s="165"/>
      <c r="D540" s="52"/>
      <c r="E540" s="115"/>
      <c r="F540" s="58"/>
      <c r="G540" s="58"/>
      <c r="H540" s="58"/>
      <c r="I540" s="55"/>
      <c r="J540" s="113">
        <f>J539</f>
        <v>11.600000000000023</v>
      </c>
      <c r="K540" s="212">
        <f>K539</f>
        <v>11.600000000000023</v>
      </c>
      <c r="L540" s="58"/>
      <c r="M540" s="58">
        <f>K540-L540</f>
        <v>11.600000000000023</v>
      </c>
      <c r="N540" s="166"/>
      <c r="O540" s="58"/>
      <c r="P540" s="58"/>
      <c r="Q540" s="58"/>
      <c r="R540" s="58"/>
      <c r="S540" s="58"/>
      <c r="T540" s="220"/>
      <c r="U540" s="88"/>
      <c r="V540" s="56"/>
      <c r="W540" s="57" t="s">
        <v>1294</v>
      </c>
      <c r="X540" s="53"/>
      <c r="Y540" s="91" t="s">
        <v>35</v>
      </c>
      <c r="Z540" s="136">
        <f>AD540/AC540</f>
        <v>395.40000000000003</v>
      </c>
      <c r="AA540" s="58"/>
      <c r="AB540" s="53">
        <f>AD540/AC540</f>
        <v>395.40000000000003</v>
      </c>
      <c r="AC540" s="53">
        <f>M540+$AE$10</f>
        <v>11.600000000000023</v>
      </c>
      <c r="AD540" s="54">
        <f>SUM(AD541:AD543)</f>
        <v>4586.6400000000094</v>
      </c>
      <c r="AE540" s="184">
        <f>SUMIFS($AD$37:$AD$12971,$V$37:$V$12971,$V540,$X$37:$X$12971,AE$13)</f>
        <v>0</v>
      </c>
      <c r="AF540" s="185">
        <f>SUMIFS($AD$37:$AD$12971,$V$37:$V$12971,$V540,$X$37:$X$12971,AF$13)</f>
        <v>0</v>
      </c>
      <c r="AG540" s="185">
        <f>SUMIFS($AD$37:$AD$12971,$V$37:$V$12971,$V540,$X$37:$X$12971,AG$13)</f>
        <v>0</v>
      </c>
      <c r="AH540" s="187">
        <f>SUMIFS($AD$37:$AD$12971,$V$37:$V$12971,$V540,$X$37:$X$12971,AH$13)</f>
        <v>0</v>
      </c>
      <c r="AI540" s="161">
        <f t="shared" ref="AI540" si="457">SUM(AE540:AH540)</f>
        <v>0</v>
      </c>
      <c r="AK540" s="172"/>
    </row>
    <row r="541" spans="1:41" s="102" customFormat="1" ht="19.899999999999999" customHeight="1" x14ac:dyDescent="0.25">
      <c r="A541" s="45"/>
      <c r="B541" s="59"/>
      <c r="C541" s="137"/>
      <c r="D541" s="59"/>
      <c r="E541" s="116"/>
      <c r="F541" s="120"/>
      <c r="G541" s="120"/>
      <c r="H541" s="120"/>
      <c r="I541" s="60"/>
      <c r="J541" s="116"/>
      <c r="K541" s="213"/>
      <c r="L541" s="120"/>
      <c r="M541" s="120"/>
      <c r="N541" s="167"/>
      <c r="O541" s="120"/>
      <c r="P541" s="120"/>
      <c r="Q541" s="120"/>
      <c r="R541" s="120"/>
      <c r="S541" s="120"/>
      <c r="T541" s="221"/>
      <c r="U541" s="89"/>
      <c r="V541" s="61"/>
      <c r="W541" s="92" t="s">
        <v>1297</v>
      </c>
      <c r="X541" s="93" t="s">
        <v>30</v>
      </c>
      <c r="Y541" s="93" t="s">
        <v>35</v>
      </c>
      <c r="Z541" s="134">
        <f>VLOOKUP(W541,Sheet2!$B:$D,3,FALSE)</f>
        <v>335.40000000000003</v>
      </c>
      <c r="AA541" s="93">
        <v>1</v>
      </c>
      <c r="AB541" s="93">
        <f t="shared" ref="AB541" si="458">AD541/AC540</f>
        <v>335.40000000000003</v>
      </c>
      <c r="AC541" s="93">
        <f>AC540/AA541</f>
        <v>11.600000000000023</v>
      </c>
      <c r="AD541" s="94">
        <f t="shared" ref="AD541:AD542" si="459">AC541*Z541</f>
        <v>3890.6400000000081</v>
      </c>
      <c r="AE541" s="190"/>
      <c r="AF541" s="191"/>
      <c r="AG541" s="191"/>
      <c r="AH541" s="191"/>
      <c r="AI541" s="186"/>
      <c r="AK541" s="171"/>
    </row>
    <row r="542" spans="1:41" s="102" customFormat="1" ht="19.899999999999999" customHeight="1" x14ac:dyDescent="0.25">
      <c r="A542" s="45"/>
      <c r="B542" s="59"/>
      <c r="C542" s="137"/>
      <c r="D542" s="59"/>
      <c r="E542" s="116"/>
      <c r="F542" s="120"/>
      <c r="G542" s="120"/>
      <c r="H542" s="120"/>
      <c r="I542" s="60"/>
      <c r="J542" s="116"/>
      <c r="K542" s="213"/>
      <c r="L542" s="120"/>
      <c r="M542" s="120"/>
      <c r="N542" s="167"/>
      <c r="O542" s="120"/>
      <c r="P542" s="120"/>
      <c r="Q542" s="120"/>
      <c r="R542" s="120"/>
      <c r="S542" s="120"/>
      <c r="T542" s="221"/>
      <c r="U542" s="89"/>
      <c r="V542" s="61"/>
      <c r="W542" s="92" t="s">
        <v>107</v>
      </c>
      <c r="X542" s="93" t="s">
        <v>31</v>
      </c>
      <c r="Y542" s="93" t="s">
        <v>93</v>
      </c>
      <c r="Z542" s="134">
        <f>VLOOKUP(W542,Sheet2!$B:$D,3,FALSE)</f>
        <v>17</v>
      </c>
      <c r="AA542" s="93">
        <v>0.5</v>
      </c>
      <c r="AB542" s="93">
        <f>AD542/AC540</f>
        <v>34</v>
      </c>
      <c r="AC542" s="93">
        <f>AC540/AA542</f>
        <v>23.200000000000045</v>
      </c>
      <c r="AD542" s="94">
        <f t="shared" si="459"/>
        <v>394.40000000000077</v>
      </c>
      <c r="AE542" s="190"/>
      <c r="AF542" s="191"/>
      <c r="AG542" s="191"/>
      <c r="AH542" s="191"/>
      <c r="AI542" s="186"/>
      <c r="AK542" s="171"/>
    </row>
    <row r="543" spans="1:41" s="102" customFormat="1" ht="19.899999999999999" customHeight="1" x14ac:dyDescent="0.25">
      <c r="A543" s="45"/>
      <c r="B543" s="59"/>
      <c r="C543" s="137"/>
      <c r="D543" s="59"/>
      <c r="E543" s="116"/>
      <c r="F543" s="120"/>
      <c r="G543" s="120"/>
      <c r="H543" s="120"/>
      <c r="I543" s="60"/>
      <c r="J543" s="116"/>
      <c r="K543" s="213"/>
      <c r="L543" s="120"/>
      <c r="M543" s="120"/>
      <c r="N543" s="167"/>
      <c r="O543" s="120"/>
      <c r="P543" s="120"/>
      <c r="Q543" s="120"/>
      <c r="R543" s="120"/>
      <c r="S543" s="120"/>
      <c r="T543" s="221"/>
      <c r="U543" s="89"/>
      <c r="V543" s="61"/>
      <c r="W543" s="92" t="s">
        <v>112</v>
      </c>
      <c r="X543" s="93" t="s">
        <v>31</v>
      </c>
      <c r="Y543" s="93" t="s">
        <v>93</v>
      </c>
      <c r="Z543" s="134">
        <f>VLOOKUP(W543,Sheet2!$B:$D,3,FALSE)</f>
        <v>13</v>
      </c>
      <c r="AA543" s="93">
        <f>AA542</f>
        <v>0.5</v>
      </c>
      <c r="AB543" s="93">
        <f>AD543/AC540</f>
        <v>26</v>
      </c>
      <c r="AC543" s="93">
        <f>AC540/AA543</f>
        <v>23.200000000000045</v>
      </c>
      <c r="AD543" s="94">
        <f>AC543*Z543</f>
        <v>301.60000000000059</v>
      </c>
      <c r="AE543" s="190"/>
      <c r="AF543" s="191"/>
      <c r="AG543" s="191"/>
      <c r="AH543" s="191"/>
      <c r="AI543" s="186"/>
      <c r="AK543" s="171"/>
    </row>
    <row r="544" spans="1:41" ht="20.100000000000001" customHeight="1" x14ac:dyDescent="0.25">
      <c r="A544" s="277" t="s">
        <v>216</v>
      </c>
      <c r="B544" s="278"/>
      <c r="C544" s="64" t="s">
        <v>260</v>
      </c>
      <c r="D544" s="46" t="s">
        <v>215</v>
      </c>
      <c r="E544" s="114">
        <v>25</v>
      </c>
      <c r="F544" s="44">
        <v>1964</v>
      </c>
      <c r="G544" s="44">
        <f t="shared" si="425"/>
        <v>49100</v>
      </c>
      <c r="H544" s="44">
        <f t="shared" si="426"/>
        <v>895</v>
      </c>
      <c r="I544" s="43">
        <f t="shared" si="427"/>
        <v>22375</v>
      </c>
      <c r="J544" s="112">
        <f t="shared" si="428"/>
        <v>25</v>
      </c>
      <c r="K544" s="211">
        <f t="shared" si="429"/>
        <v>25</v>
      </c>
      <c r="L544" s="44"/>
      <c r="M544" s="44">
        <f t="shared" si="435"/>
        <v>25</v>
      </c>
      <c r="N544" s="173">
        <f t="shared" si="430"/>
        <v>1</v>
      </c>
      <c r="O544" s="44">
        <f t="shared" si="431"/>
        <v>1964</v>
      </c>
      <c r="P544" s="44">
        <f t="shared" si="432"/>
        <v>49100</v>
      </c>
      <c r="Q544" s="44">
        <f t="shared" si="433"/>
        <v>895</v>
      </c>
      <c r="R544" s="44">
        <f t="shared" si="436"/>
        <v>22375</v>
      </c>
      <c r="S544" s="123"/>
      <c r="T544" s="219">
        <f t="shared" si="437"/>
        <v>22375</v>
      </c>
      <c r="U544" s="87"/>
      <c r="V544" s="47"/>
      <c r="W544" s="48"/>
      <c r="X544" s="48"/>
      <c r="Y544" s="48"/>
      <c r="Z544" s="135"/>
      <c r="AA544" s="49"/>
      <c r="AB544" s="50">
        <f t="shared" si="434"/>
        <v>895</v>
      </c>
      <c r="AC544" s="42">
        <f t="shared" si="438"/>
        <v>25</v>
      </c>
      <c r="AD544" s="90">
        <f>AD545</f>
        <v>22375</v>
      </c>
      <c r="AE544" s="188">
        <f t="shared" ref="AE544" si="460">AE545</f>
        <v>0</v>
      </c>
      <c r="AF544" s="189">
        <f t="shared" ref="AF544" si="461">AF545</f>
        <v>0</v>
      </c>
      <c r="AG544" s="189">
        <f t="shared" ref="AG544" si="462">AG545</f>
        <v>0</v>
      </c>
      <c r="AH544" s="189">
        <f t="shared" ref="AH544" si="463">AH545</f>
        <v>0</v>
      </c>
      <c r="AI544" s="161">
        <f t="shared" ref="AI544" si="464">SUM(AE544:AH544)</f>
        <v>0</v>
      </c>
      <c r="AK544" s="169">
        <v>5</v>
      </c>
      <c r="AO544" s="19" t="s">
        <v>63</v>
      </c>
    </row>
    <row r="545" spans="1:41" s="103" customFormat="1" ht="19.899999999999999" customHeight="1" x14ac:dyDescent="0.25">
      <c r="A545" s="51"/>
      <c r="B545" s="52"/>
      <c r="C545" s="165"/>
      <c r="D545" s="52"/>
      <c r="E545" s="115"/>
      <c r="F545" s="58"/>
      <c r="G545" s="58"/>
      <c r="H545" s="58"/>
      <c r="I545" s="55"/>
      <c r="J545" s="113">
        <f>J544</f>
        <v>25</v>
      </c>
      <c r="K545" s="212">
        <f>K544</f>
        <v>25</v>
      </c>
      <c r="L545" s="58"/>
      <c r="M545" s="58">
        <f>K545-L545</f>
        <v>25</v>
      </c>
      <c r="N545" s="166"/>
      <c r="O545" s="58"/>
      <c r="P545" s="58"/>
      <c r="Q545" s="58"/>
      <c r="R545" s="58"/>
      <c r="S545" s="58"/>
      <c r="T545" s="220"/>
      <c r="U545" s="88"/>
      <c r="V545" s="56"/>
      <c r="W545" s="57" t="s">
        <v>1294</v>
      </c>
      <c r="X545" s="53"/>
      <c r="Y545" s="91" t="s">
        <v>35</v>
      </c>
      <c r="Z545" s="136">
        <f>AD545/AC545</f>
        <v>895</v>
      </c>
      <c r="AA545" s="58"/>
      <c r="AB545" s="53">
        <f>AD545/AC545</f>
        <v>895</v>
      </c>
      <c r="AC545" s="53">
        <f>M545+$AE$10</f>
        <v>25</v>
      </c>
      <c r="AD545" s="54">
        <f>SUM(AD546:AD548)</f>
        <v>22375</v>
      </c>
      <c r="AE545" s="184">
        <f>SUMIFS($AD$37:$AD$12971,$V$37:$V$12971,$V545,$X$37:$X$12971,AE$13)</f>
        <v>0</v>
      </c>
      <c r="AF545" s="185">
        <f>SUMIFS($AD$37:$AD$12971,$V$37:$V$12971,$V545,$X$37:$X$12971,AF$13)</f>
        <v>0</v>
      </c>
      <c r="AG545" s="185">
        <f>SUMIFS($AD$37:$AD$12971,$V$37:$V$12971,$V545,$X$37:$X$12971,AG$13)</f>
        <v>0</v>
      </c>
      <c r="AH545" s="187">
        <f>SUMIFS($AD$37:$AD$12971,$V$37:$V$12971,$V545,$X$37:$X$12971,AH$13)</f>
        <v>0</v>
      </c>
      <c r="AI545" s="161">
        <f t="shared" ref="AI545" si="465">SUM(AE545:AH545)</f>
        <v>0</v>
      </c>
      <c r="AK545" s="172"/>
    </row>
    <row r="546" spans="1:41" s="102" customFormat="1" ht="19.899999999999999" customHeight="1" x14ac:dyDescent="0.25">
      <c r="A546" s="45"/>
      <c r="B546" s="59"/>
      <c r="C546" s="137"/>
      <c r="D546" s="59"/>
      <c r="E546" s="116"/>
      <c r="F546" s="120"/>
      <c r="G546" s="120"/>
      <c r="H546" s="120"/>
      <c r="I546" s="60"/>
      <c r="J546" s="116"/>
      <c r="K546" s="213"/>
      <c r="L546" s="120"/>
      <c r="M546" s="120"/>
      <c r="N546" s="167"/>
      <c r="O546" s="120"/>
      <c r="P546" s="120"/>
      <c r="Q546" s="120"/>
      <c r="R546" s="120"/>
      <c r="S546" s="120"/>
      <c r="T546" s="221"/>
      <c r="U546" s="89"/>
      <c r="V546" s="61"/>
      <c r="W546" s="92" t="s">
        <v>1298</v>
      </c>
      <c r="X546" s="93" t="s">
        <v>30</v>
      </c>
      <c r="Y546" s="93" t="s">
        <v>35</v>
      </c>
      <c r="Z546" s="134">
        <f>VLOOKUP(W546,Sheet2!$B:$D,3,FALSE)</f>
        <v>835</v>
      </c>
      <c r="AA546" s="93">
        <v>1</v>
      </c>
      <c r="AB546" s="93">
        <f t="shared" ref="AB546" si="466">AD546/AC545</f>
        <v>835</v>
      </c>
      <c r="AC546" s="93">
        <f>AC545/AA546</f>
        <v>25</v>
      </c>
      <c r="AD546" s="94">
        <f t="shared" ref="AD546:AD547" si="467">AC546*Z546</f>
        <v>20875</v>
      </c>
      <c r="AE546" s="190"/>
      <c r="AF546" s="191"/>
      <c r="AG546" s="191"/>
      <c r="AH546" s="191"/>
      <c r="AI546" s="186"/>
      <c r="AK546" s="171"/>
    </row>
    <row r="547" spans="1:41" s="102" customFormat="1" ht="19.899999999999999" customHeight="1" x14ac:dyDescent="0.25">
      <c r="A547" s="45"/>
      <c r="B547" s="59"/>
      <c r="C547" s="137"/>
      <c r="D547" s="59"/>
      <c r="E547" s="116"/>
      <c r="F547" s="120"/>
      <c r="G547" s="120"/>
      <c r="H547" s="120"/>
      <c r="I547" s="60"/>
      <c r="J547" s="116"/>
      <c r="K547" s="213"/>
      <c r="L547" s="120"/>
      <c r="M547" s="120"/>
      <c r="N547" s="167"/>
      <c r="O547" s="120"/>
      <c r="P547" s="120"/>
      <c r="Q547" s="120"/>
      <c r="R547" s="120"/>
      <c r="S547" s="120"/>
      <c r="T547" s="221"/>
      <c r="U547" s="89"/>
      <c r="V547" s="61"/>
      <c r="W547" s="92" t="s">
        <v>107</v>
      </c>
      <c r="X547" s="93" t="s">
        <v>31</v>
      </c>
      <c r="Y547" s="93" t="s">
        <v>93</v>
      </c>
      <c r="Z547" s="134">
        <f>VLOOKUP(W547,Sheet2!$B:$D,3,FALSE)</f>
        <v>17</v>
      </c>
      <c r="AA547" s="93">
        <v>0.5</v>
      </c>
      <c r="AB547" s="93">
        <f>AD547/AC545</f>
        <v>34</v>
      </c>
      <c r="AC547" s="93">
        <f>AC545/AA547</f>
        <v>50</v>
      </c>
      <c r="AD547" s="94">
        <f t="shared" si="467"/>
        <v>850</v>
      </c>
      <c r="AE547" s="190"/>
      <c r="AF547" s="191"/>
      <c r="AG547" s="191"/>
      <c r="AH547" s="191"/>
      <c r="AI547" s="186"/>
      <c r="AK547" s="171"/>
    </row>
    <row r="548" spans="1:41" s="102" customFormat="1" ht="19.899999999999999" customHeight="1" x14ac:dyDescent="0.25">
      <c r="A548" s="45"/>
      <c r="B548" s="59"/>
      <c r="C548" s="137"/>
      <c r="D548" s="59"/>
      <c r="E548" s="116"/>
      <c r="F548" s="120"/>
      <c r="G548" s="120"/>
      <c r="H548" s="120"/>
      <c r="I548" s="60"/>
      <c r="J548" s="116"/>
      <c r="K548" s="213"/>
      <c r="L548" s="120"/>
      <c r="M548" s="120"/>
      <c r="N548" s="167"/>
      <c r="O548" s="120"/>
      <c r="P548" s="120"/>
      <c r="Q548" s="120"/>
      <c r="R548" s="120"/>
      <c r="S548" s="120"/>
      <c r="T548" s="221"/>
      <c r="U548" s="89"/>
      <c r="V548" s="61"/>
      <c r="W548" s="92" t="s">
        <v>112</v>
      </c>
      <c r="X548" s="93" t="s">
        <v>31</v>
      </c>
      <c r="Y548" s="93" t="s">
        <v>93</v>
      </c>
      <c r="Z548" s="134">
        <f>VLOOKUP(W548,Sheet2!$B:$D,3,FALSE)</f>
        <v>13</v>
      </c>
      <c r="AA548" s="93">
        <f>AA547</f>
        <v>0.5</v>
      </c>
      <c r="AB548" s="93">
        <f>AD548/AC545</f>
        <v>26</v>
      </c>
      <c r="AC548" s="93">
        <f>AC545/AA548</f>
        <v>50</v>
      </c>
      <c r="AD548" s="94">
        <f>AC548*Z548</f>
        <v>650</v>
      </c>
      <c r="AE548" s="190"/>
      <c r="AF548" s="191"/>
      <c r="AG548" s="191"/>
      <c r="AH548" s="191"/>
      <c r="AI548" s="186"/>
      <c r="AK548" s="171"/>
    </row>
    <row r="549" spans="1:41" ht="20.100000000000001" customHeight="1" x14ac:dyDescent="0.25">
      <c r="A549" s="277" t="s">
        <v>216</v>
      </c>
      <c r="B549" s="278"/>
      <c r="C549" s="64" t="s">
        <v>261</v>
      </c>
      <c r="D549" s="46" t="s">
        <v>215</v>
      </c>
      <c r="E549" s="114">
        <v>1.3499999999999996</v>
      </c>
      <c r="F549" s="44">
        <v>1554</v>
      </c>
      <c r="G549" s="44">
        <f t="shared" si="425"/>
        <v>2097.8999999999996</v>
      </c>
      <c r="H549" s="44">
        <f t="shared" si="426"/>
        <v>415</v>
      </c>
      <c r="I549" s="43">
        <f t="shared" si="427"/>
        <v>560.24999999999989</v>
      </c>
      <c r="J549" s="112">
        <f t="shared" si="428"/>
        <v>1.3499999999999996</v>
      </c>
      <c r="K549" s="211">
        <f t="shared" si="429"/>
        <v>1.3499999999999996</v>
      </c>
      <c r="L549" s="44"/>
      <c r="M549" s="44">
        <f t="shared" si="435"/>
        <v>1.3499999999999996</v>
      </c>
      <c r="N549" s="173">
        <f t="shared" si="430"/>
        <v>1</v>
      </c>
      <c r="O549" s="44">
        <f t="shared" si="431"/>
        <v>1554</v>
      </c>
      <c r="P549" s="44">
        <f t="shared" si="432"/>
        <v>2097.8999999999996</v>
      </c>
      <c r="Q549" s="44">
        <f t="shared" si="433"/>
        <v>415</v>
      </c>
      <c r="R549" s="44">
        <f t="shared" si="436"/>
        <v>560.24999999999989</v>
      </c>
      <c r="S549" s="123"/>
      <c r="T549" s="219">
        <f t="shared" si="437"/>
        <v>560.24999999999989</v>
      </c>
      <c r="U549" s="87"/>
      <c r="V549" s="47"/>
      <c r="W549" s="48"/>
      <c r="X549" s="48"/>
      <c r="Y549" s="48"/>
      <c r="Z549" s="135"/>
      <c r="AA549" s="49"/>
      <c r="AB549" s="50">
        <f t="shared" si="434"/>
        <v>415</v>
      </c>
      <c r="AC549" s="42">
        <f t="shared" si="438"/>
        <v>1.3499999999999996</v>
      </c>
      <c r="AD549" s="90">
        <f>AD550</f>
        <v>560.24999999999989</v>
      </c>
      <c r="AE549" s="188">
        <f t="shared" ref="AE549" si="468">AE550</f>
        <v>0</v>
      </c>
      <c r="AF549" s="189">
        <f t="shared" ref="AF549" si="469">AF550</f>
        <v>0</v>
      </c>
      <c r="AG549" s="189">
        <f t="shared" ref="AG549" si="470">AG550</f>
        <v>0</v>
      </c>
      <c r="AH549" s="189">
        <f t="shared" ref="AH549" si="471">AH550</f>
        <v>0</v>
      </c>
      <c r="AI549" s="161">
        <f t="shared" ref="AI549" si="472">SUM(AE549:AH549)</f>
        <v>0</v>
      </c>
      <c r="AK549" s="169">
        <v>5</v>
      </c>
      <c r="AO549" s="19" t="s">
        <v>63</v>
      </c>
    </row>
    <row r="550" spans="1:41" s="103" customFormat="1" ht="19.899999999999999" customHeight="1" x14ac:dyDescent="0.25">
      <c r="A550" s="51"/>
      <c r="B550" s="52"/>
      <c r="C550" s="165"/>
      <c r="D550" s="52"/>
      <c r="E550" s="115"/>
      <c r="F550" s="58"/>
      <c r="G550" s="58"/>
      <c r="H550" s="58"/>
      <c r="I550" s="55"/>
      <c r="J550" s="113">
        <f>J549</f>
        <v>1.3499999999999996</v>
      </c>
      <c r="K550" s="212">
        <f>K549</f>
        <v>1.3499999999999996</v>
      </c>
      <c r="L550" s="58"/>
      <c r="M550" s="58">
        <f>K550-L550</f>
        <v>1.3499999999999996</v>
      </c>
      <c r="N550" s="166"/>
      <c r="O550" s="58"/>
      <c r="P550" s="58"/>
      <c r="Q550" s="58"/>
      <c r="R550" s="58"/>
      <c r="S550" s="58"/>
      <c r="T550" s="220"/>
      <c r="U550" s="88"/>
      <c r="V550" s="56"/>
      <c r="W550" s="57" t="s">
        <v>1294</v>
      </c>
      <c r="X550" s="53"/>
      <c r="Y550" s="91" t="s">
        <v>35</v>
      </c>
      <c r="Z550" s="136">
        <f>AD550/AC550</f>
        <v>415</v>
      </c>
      <c r="AA550" s="58"/>
      <c r="AB550" s="53">
        <f>AD550/AC550</f>
        <v>415</v>
      </c>
      <c r="AC550" s="53">
        <f>M550+$AE$10</f>
        <v>1.3499999999999996</v>
      </c>
      <c r="AD550" s="54">
        <f>SUM(AD551:AD553)</f>
        <v>560.24999999999989</v>
      </c>
      <c r="AE550" s="184">
        <f>SUMIFS($AD$37:$AD$12971,$V$37:$V$12971,$V550,$X$37:$X$12971,AE$13)</f>
        <v>0</v>
      </c>
      <c r="AF550" s="185">
        <f>SUMIFS($AD$37:$AD$12971,$V$37:$V$12971,$V550,$X$37:$X$12971,AF$13)</f>
        <v>0</v>
      </c>
      <c r="AG550" s="185">
        <f>SUMIFS($AD$37:$AD$12971,$V$37:$V$12971,$V550,$X$37:$X$12971,AG$13)</f>
        <v>0</v>
      </c>
      <c r="AH550" s="187">
        <f>SUMIFS($AD$37:$AD$12971,$V$37:$V$12971,$V550,$X$37:$X$12971,AH$13)</f>
        <v>0</v>
      </c>
      <c r="AI550" s="161">
        <f t="shared" ref="AI550" si="473">SUM(AE550:AH550)</f>
        <v>0</v>
      </c>
      <c r="AK550" s="172"/>
    </row>
    <row r="551" spans="1:41" s="102" customFormat="1" ht="19.899999999999999" customHeight="1" x14ac:dyDescent="0.25">
      <c r="A551" s="45"/>
      <c r="B551" s="59"/>
      <c r="C551" s="137"/>
      <c r="D551" s="59"/>
      <c r="E551" s="116"/>
      <c r="F551" s="120"/>
      <c r="G551" s="120"/>
      <c r="H551" s="120"/>
      <c r="I551" s="60"/>
      <c r="J551" s="116"/>
      <c r="K551" s="213"/>
      <c r="L551" s="120"/>
      <c r="M551" s="120"/>
      <c r="N551" s="167"/>
      <c r="O551" s="120"/>
      <c r="P551" s="120"/>
      <c r="Q551" s="120"/>
      <c r="R551" s="120"/>
      <c r="S551" s="120"/>
      <c r="T551" s="221"/>
      <c r="U551" s="89"/>
      <c r="V551" s="61"/>
      <c r="W551" s="92" t="s">
        <v>1299</v>
      </c>
      <c r="X551" s="93" t="s">
        <v>30</v>
      </c>
      <c r="Y551" s="93" t="s">
        <v>35</v>
      </c>
      <c r="Z551" s="134">
        <f>VLOOKUP(W551,Sheet2!$B:$D,3,FALSE)</f>
        <v>355</v>
      </c>
      <c r="AA551" s="93">
        <v>1</v>
      </c>
      <c r="AB551" s="93">
        <f t="shared" ref="AB551" si="474">AD551/AC550</f>
        <v>355</v>
      </c>
      <c r="AC551" s="93">
        <f>AC550/AA551</f>
        <v>1.3499999999999996</v>
      </c>
      <c r="AD551" s="94">
        <f t="shared" ref="AD551:AD552" si="475">AC551*Z551</f>
        <v>479.24999999999989</v>
      </c>
      <c r="AE551" s="190"/>
      <c r="AF551" s="191"/>
      <c r="AG551" s="191"/>
      <c r="AH551" s="191"/>
      <c r="AI551" s="186"/>
      <c r="AK551" s="171"/>
    </row>
    <row r="552" spans="1:41" s="102" customFormat="1" ht="19.899999999999999" customHeight="1" x14ac:dyDescent="0.25">
      <c r="A552" s="45"/>
      <c r="B552" s="59"/>
      <c r="C552" s="137"/>
      <c r="D552" s="59"/>
      <c r="E552" s="116"/>
      <c r="F552" s="120"/>
      <c r="G552" s="120"/>
      <c r="H552" s="120"/>
      <c r="I552" s="60"/>
      <c r="J552" s="116"/>
      <c r="K552" s="213"/>
      <c r="L552" s="120"/>
      <c r="M552" s="120"/>
      <c r="N552" s="167"/>
      <c r="O552" s="120"/>
      <c r="P552" s="120"/>
      <c r="Q552" s="120"/>
      <c r="R552" s="120"/>
      <c r="S552" s="120"/>
      <c r="T552" s="221"/>
      <c r="U552" s="89"/>
      <c r="V552" s="61"/>
      <c r="W552" s="92" t="s">
        <v>107</v>
      </c>
      <c r="X552" s="93" t="s">
        <v>31</v>
      </c>
      <c r="Y552" s="93" t="s">
        <v>93</v>
      </c>
      <c r="Z552" s="134">
        <f>VLOOKUP(W552,Sheet2!$B:$D,3,FALSE)</f>
        <v>17</v>
      </c>
      <c r="AA552" s="93">
        <v>0.5</v>
      </c>
      <c r="AB552" s="93">
        <f>AD552/AC550</f>
        <v>34</v>
      </c>
      <c r="AC552" s="93">
        <f>AC550/AA552</f>
        <v>2.6999999999999993</v>
      </c>
      <c r="AD552" s="94">
        <f t="shared" si="475"/>
        <v>45.899999999999991</v>
      </c>
      <c r="AE552" s="190"/>
      <c r="AF552" s="191"/>
      <c r="AG552" s="191"/>
      <c r="AH552" s="191"/>
      <c r="AI552" s="186"/>
      <c r="AK552" s="171"/>
    </row>
    <row r="553" spans="1:41" s="102" customFormat="1" ht="19.899999999999999" customHeight="1" x14ac:dyDescent="0.25">
      <c r="A553" s="45"/>
      <c r="B553" s="59"/>
      <c r="C553" s="137"/>
      <c r="D553" s="59"/>
      <c r="E553" s="116"/>
      <c r="F553" s="120"/>
      <c r="G553" s="120"/>
      <c r="H553" s="120"/>
      <c r="I553" s="60"/>
      <c r="J553" s="116"/>
      <c r="K553" s="213"/>
      <c r="L553" s="120"/>
      <c r="M553" s="120"/>
      <c r="N553" s="167"/>
      <c r="O553" s="120"/>
      <c r="P553" s="120"/>
      <c r="Q553" s="120"/>
      <c r="R553" s="120"/>
      <c r="S553" s="120"/>
      <c r="T553" s="221"/>
      <c r="U553" s="89"/>
      <c r="V553" s="61"/>
      <c r="W553" s="92" t="s">
        <v>112</v>
      </c>
      <c r="X553" s="93" t="s">
        <v>31</v>
      </c>
      <c r="Y553" s="93" t="s">
        <v>93</v>
      </c>
      <c r="Z553" s="134">
        <f>VLOOKUP(W553,Sheet2!$B:$D,3,FALSE)</f>
        <v>13</v>
      </c>
      <c r="AA553" s="93">
        <f>AA552</f>
        <v>0.5</v>
      </c>
      <c r="AB553" s="93">
        <f>AD553/AC550</f>
        <v>26.000000000000004</v>
      </c>
      <c r="AC553" s="93">
        <f>AC550/AA553</f>
        <v>2.6999999999999993</v>
      </c>
      <c r="AD553" s="94">
        <f>AC553*Z553</f>
        <v>35.099999999999994</v>
      </c>
      <c r="AE553" s="190"/>
      <c r="AF553" s="191"/>
      <c r="AG553" s="191"/>
      <c r="AH553" s="191"/>
      <c r="AI553" s="186"/>
      <c r="AK553" s="171"/>
    </row>
    <row r="554" spans="1:41" ht="20.100000000000001" customHeight="1" x14ac:dyDescent="0.25">
      <c r="A554" s="277" t="s">
        <v>216</v>
      </c>
      <c r="B554" s="278"/>
      <c r="C554" s="64" t="s">
        <v>262</v>
      </c>
      <c r="D554" s="46" t="s">
        <v>215</v>
      </c>
      <c r="E554" s="114">
        <v>1.5</v>
      </c>
      <c r="F554" s="44">
        <v>1964</v>
      </c>
      <c r="G554" s="44">
        <f t="shared" si="425"/>
        <v>2946</v>
      </c>
      <c r="H554" s="44">
        <f t="shared" si="426"/>
        <v>1005.7142857142858</v>
      </c>
      <c r="I554" s="43">
        <f t="shared" si="427"/>
        <v>1508.5714285714287</v>
      </c>
      <c r="J554" s="112">
        <f t="shared" si="428"/>
        <v>1.5</v>
      </c>
      <c r="K554" s="211">
        <f t="shared" si="429"/>
        <v>1.5</v>
      </c>
      <c r="L554" s="44"/>
      <c r="M554" s="44">
        <f t="shared" si="435"/>
        <v>1.5</v>
      </c>
      <c r="N554" s="173">
        <f t="shared" si="430"/>
        <v>1</v>
      </c>
      <c r="O554" s="44">
        <f t="shared" si="431"/>
        <v>1964</v>
      </c>
      <c r="P554" s="44">
        <f t="shared" si="432"/>
        <v>2946</v>
      </c>
      <c r="Q554" s="44">
        <f t="shared" si="433"/>
        <v>1005.7142857142858</v>
      </c>
      <c r="R554" s="44">
        <f t="shared" si="436"/>
        <v>1508.5714285714287</v>
      </c>
      <c r="S554" s="123"/>
      <c r="T554" s="219">
        <f t="shared" si="437"/>
        <v>1508.5714285714287</v>
      </c>
      <c r="U554" s="87"/>
      <c r="V554" s="47"/>
      <c r="W554" s="48"/>
      <c r="X554" s="48"/>
      <c r="Y554" s="48"/>
      <c r="Z554" s="135"/>
      <c r="AA554" s="49"/>
      <c r="AB554" s="50">
        <f t="shared" si="434"/>
        <v>1005.7142857142858</v>
      </c>
      <c r="AC554" s="42">
        <f t="shared" si="438"/>
        <v>1.5</v>
      </c>
      <c r="AD554" s="90">
        <f>AD555</f>
        <v>1508.5714285714287</v>
      </c>
      <c r="AE554" s="188">
        <f t="shared" ref="AE554" si="476">AE555</f>
        <v>0</v>
      </c>
      <c r="AF554" s="189">
        <f t="shared" ref="AF554" si="477">AF555</f>
        <v>0</v>
      </c>
      <c r="AG554" s="189">
        <f t="shared" ref="AG554" si="478">AG555</f>
        <v>0</v>
      </c>
      <c r="AH554" s="189">
        <f t="shared" ref="AH554" si="479">AH555</f>
        <v>0</v>
      </c>
      <c r="AI554" s="161">
        <f t="shared" ref="AI554" si="480">SUM(AE554:AH554)</f>
        <v>0</v>
      </c>
      <c r="AK554" s="169">
        <v>5</v>
      </c>
      <c r="AO554" s="19" t="s">
        <v>63</v>
      </c>
    </row>
    <row r="555" spans="1:41" s="103" customFormat="1" ht="19.899999999999999" customHeight="1" x14ac:dyDescent="0.25">
      <c r="A555" s="51"/>
      <c r="B555" s="52"/>
      <c r="C555" s="165"/>
      <c r="D555" s="52"/>
      <c r="E555" s="115"/>
      <c r="F555" s="58"/>
      <c r="G555" s="58"/>
      <c r="H555" s="58"/>
      <c r="I555" s="55"/>
      <c r="J555" s="113">
        <f>J554</f>
        <v>1.5</v>
      </c>
      <c r="K555" s="212">
        <f>K554</f>
        <v>1.5</v>
      </c>
      <c r="L555" s="58"/>
      <c r="M555" s="58">
        <f>K555-L555</f>
        <v>1.5</v>
      </c>
      <c r="N555" s="166"/>
      <c r="O555" s="58"/>
      <c r="P555" s="58"/>
      <c r="Q555" s="58"/>
      <c r="R555" s="58"/>
      <c r="S555" s="58"/>
      <c r="T555" s="220"/>
      <c r="U555" s="88"/>
      <c r="V555" s="56"/>
      <c r="W555" s="57" t="s">
        <v>1294</v>
      </c>
      <c r="X555" s="53"/>
      <c r="Y555" s="91" t="s">
        <v>35</v>
      </c>
      <c r="Z555" s="136">
        <f>AD555/AC555</f>
        <v>1005.7142857142858</v>
      </c>
      <c r="AA555" s="58"/>
      <c r="AB555" s="53">
        <f>AD555/AC555</f>
        <v>1005.7142857142858</v>
      </c>
      <c r="AC555" s="53">
        <f>M555+$AE$10</f>
        <v>1.5</v>
      </c>
      <c r="AD555" s="54">
        <f>SUM(AD556:AD558)</f>
        <v>1508.5714285714287</v>
      </c>
      <c r="AE555" s="184">
        <f>SUMIFS($AD$37:$AD$12971,$V$37:$V$12971,$V555,$X$37:$X$12971,AE$13)</f>
        <v>0</v>
      </c>
      <c r="AF555" s="185">
        <f>SUMIFS($AD$37:$AD$12971,$V$37:$V$12971,$V555,$X$37:$X$12971,AF$13)</f>
        <v>0</v>
      </c>
      <c r="AG555" s="185">
        <f>SUMIFS($AD$37:$AD$12971,$V$37:$V$12971,$V555,$X$37:$X$12971,AG$13)</f>
        <v>0</v>
      </c>
      <c r="AH555" s="187">
        <f>SUMIFS($AD$37:$AD$12971,$V$37:$V$12971,$V555,$X$37:$X$12971,AH$13)</f>
        <v>0</v>
      </c>
      <c r="AI555" s="161">
        <f t="shared" ref="AI555" si="481">SUM(AE555:AH555)</f>
        <v>0</v>
      </c>
      <c r="AK555" s="172"/>
    </row>
    <row r="556" spans="1:41" s="102" customFormat="1" ht="19.899999999999999" customHeight="1" x14ac:dyDescent="0.25">
      <c r="A556" s="45"/>
      <c r="B556" s="59"/>
      <c r="C556" s="137"/>
      <c r="D556" s="59"/>
      <c r="E556" s="116"/>
      <c r="F556" s="120"/>
      <c r="G556" s="120"/>
      <c r="H556" s="120"/>
      <c r="I556" s="60"/>
      <c r="J556" s="116"/>
      <c r="K556" s="213"/>
      <c r="L556" s="120"/>
      <c r="M556" s="120"/>
      <c r="N556" s="167"/>
      <c r="O556" s="120"/>
      <c r="P556" s="120"/>
      <c r="Q556" s="120"/>
      <c r="R556" s="120"/>
      <c r="S556" s="120"/>
      <c r="T556" s="221"/>
      <c r="U556" s="89"/>
      <c r="V556" s="61"/>
      <c r="W556" s="92" t="s">
        <v>1300</v>
      </c>
      <c r="X556" s="93" t="s">
        <v>30</v>
      </c>
      <c r="Y556" s="93" t="s">
        <v>35</v>
      </c>
      <c r="Z556" s="134">
        <f>VLOOKUP(W556,Sheet2!$B:$D,3,FALSE)</f>
        <v>920</v>
      </c>
      <c r="AA556" s="93">
        <v>1</v>
      </c>
      <c r="AB556" s="93">
        <f t="shared" ref="AB556" si="482">AD556/AC555</f>
        <v>920</v>
      </c>
      <c r="AC556" s="93">
        <f>AC555/AA556</f>
        <v>1.5</v>
      </c>
      <c r="AD556" s="94">
        <f t="shared" ref="AD556:AD557" si="483">AC556*Z556</f>
        <v>1380</v>
      </c>
      <c r="AE556" s="190"/>
      <c r="AF556" s="191"/>
      <c r="AG556" s="191"/>
      <c r="AH556" s="191"/>
      <c r="AI556" s="186"/>
      <c r="AK556" s="171"/>
    </row>
    <row r="557" spans="1:41" s="102" customFormat="1" ht="19.899999999999999" customHeight="1" x14ac:dyDescent="0.25">
      <c r="A557" s="45"/>
      <c r="B557" s="59"/>
      <c r="C557" s="137"/>
      <c r="D557" s="59"/>
      <c r="E557" s="116"/>
      <c r="F557" s="120"/>
      <c r="G557" s="120"/>
      <c r="H557" s="120"/>
      <c r="I557" s="60"/>
      <c r="J557" s="116"/>
      <c r="K557" s="213"/>
      <c r="L557" s="120"/>
      <c r="M557" s="120"/>
      <c r="N557" s="167"/>
      <c r="O557" s="120"/>
      <c r="P557" s="120"/>
      <c r="Q557" s="120"/>
      <c r="R557" s="120"/>
      <c r="S557" s="120"/>
      <c r="T557" s="221"/>
      <c r="U557" s="89"/>
      <c r="V557" s="61"/>
      <c r="W557" s="92" t="s">
        <v>107</v>
      </c>
      <c r="X557" s="93" t="s">
        <v>31</v>
      </c>
      <c r="Y557" s="93" t="s">
        <v>93</v>
      </c>
      <c r="Z557" s="134">
        <f>VLOOKUP(W557,Sheet2!$B:$D,3,FALSE)</f>
        <v>17</v>
      </c>
      <c r="AA557" s="93">
        <v>0.35</v>
      </c>
      <c r="AB557" s="93">
        <f>AD557/AC555</f>
        <v>48.571428571428577</v>
      </c>
      <c r="AC557" s="93">
        <f>AC555/AA557</f>
        <v>4.2857142857142856</v>
      </c>
      <c r="AD557" s="94">
        <f t="shared" si="483"/>
        <v>72.857142857142861</v>
      </c>
      <c r="AE557" s="190"/>
      <c r="AF557" s="191"/>
      <c r="AG557" s="191"/>
      <c r="AH557" s="191"/>
      <c r="AI557" s="186"/>
      <c r="AK557" s="171"/>
    </row>
    <row r="558" spans="1:41" s="102" customFormat="1" ht="19.899999999999999" customHeight="1" x14ac:dyDescent="0.25">
      <c r="A558" s="45"/>
      <c r="B558" s="59"/>
      <c r="C558" s="137"/>
      <c r="D558" s="59"/>
      <c r="E558" s="116"/>
      <c r="F558" s="120"/>
      <c r="G558" s="120"/>
      <c r="H558" s="120"/>
      <c r="I558" s="60"/>
      <c r="J558" s="116"/>
      <c r="K558" s="213"/>
      <c r="L558" s="120"/>
      <c r="M558" s="120"/>
      <c r="N558" s="167"/>
      <c r="O558" s="120"/>
      <c r="P558" s="120"/>
      <c r="Q558" s="120"/>
      <c r="R558" s="120"/>
      <c r="S558" s="120"/>
      <c r="T558" s="221"/>
      <c r="U558" s="89"/>
      <c r="V558" s="61"/>
      <c r="W558" s="92" t="s">
        <v>112</v>
      </c>
      <c r="X558" s="93" t="s">
        <v>31</v>
      </c>
      <c r="Y558" s="93" t="s">
        <v>93</v>
      </c>
      <c r="Z558" s="134">
        <f>VLOOKUP(W558,Sheet2!$B:$D,3,FALSE)</f>
        <v>13</v>
      </c>
      <c r="AA558" s="93">
        <f>AA557</f>
        <v>0.35</v>
      </c>
      <c r="AB558" s="93">
        <f>AD558/AC555</f>
        <v>37.142857142857146</v>
      </c>
      <c r="AC558" s="93">
        <f>AC555/AA558</f>
        <v>4.2857142857142856</v>
      </c>
      <c r="AD558" s="94">
        <f>AC558*Z558</f>
        <v>55.714285714285715</v>
      </c>
      <c r="AE558" s="190"/>
      <c r="AF558" s="191"/>
      <c r="AG558" s="191"/>
      <c r="AH558" s="191"/>
      <c r="AI558" s="186"/>
      <c r="AK558" s="171"/>
    </row>
    <row r="559" spans="1:41" ht="20.100000000000001" customHeight="1" x14ac:dyDescent="0.25">
      <c r="A559" s="277" t="s">
        <v>216</v>
      </c>
      <c r="B559" s="278"/>
      <c r="C559" s="64" t="s">
        <v>263</v>
      </c>
      <c r="D559" s="46" t="s">
        <v>215</v>
      </c>
      <c r="E559" s="114">
        <v>5.1499999999999915</v>
      </c>
      <c r="F559" s="44">
        <v>3436</v>
      </c>
      <c r="G559" s="44">
        <f t="shared" si="425"/>
        <v>17695.399999999972</v>
      </c>
      <c r="H559" s="44">
        <f t="shared" si="426"/>
        <v>2050</v>
      </c>
      <c r="I559" s="43">
        <f t="shared" si="427"/>
        <v>10557.499999999982</v>
      </c>
      <c r="J559" s="112">
        <f t="shared" si="428"/>
        <v>5.1499999999999915</v>
      </c>
      <c r="K559" s="211">
        <f t="shared" si="429"/>
        <v>5.1499999999999915</v>
      </c>
      <c r="L559" s="44"/>
      <c r="M559" s="44">
        <f t="shared" si="435"/>
        <v>5.1499999999999915</v>
      </c>
      <c r="N559" s="173">
        <f t="shared" si="430"/>
        <v>1</v>
      </c>
      <c r="O559" s="44">
        <f t="shared" si="431"/>
        <v>3436</v>
      </c>
      <c r="P559" s="44">
        <f t="shared" si="432"/>
        <v>17695.399999999972</v>
      </c>
      <c r="Q559" s="44">
        <f t="shared" si="433"/>
        <v>2050</v>
      </c>
      <c r="R559" s="44">
        <f t="shared" si="436"/>
        <v>10557.499999999982</v>
      </c>
      <c r="S559" s="123"/>
      <c r="T559" s="219">
        <f t="shared" si="437"/>
        <v>10557.499999999982</v>
      </c>
      <c r="U559" s="87"/>
      <c r="V559" s="47"/>
      <c r="W559" s="48"/>
      <c r="X559" s="48"/>
      <c r="Y559" s="48"/>
      <c r="Z559" s="135"/>
      <c r="AA559" s="49"/>
      <c r="AB559" s="50">
        <f t="shared" si="434"/>
        <v>2050</v>
      </c>
      <c r="AC559" s="42">
        <f t="shared" si="438"/>
        <v>5.1499999999999915</v>
      </c>
      <c r="AD559" s="90">
        <f>AD560</f>
        <v>10557.499999999982</v>
      </c>
      <c r="AE559" s="188">
        <f t="shared" ref="AE559" si="484">AE560</f>
        <v>0</v>
      </c>
      <c r="AF559" s="189">
        <f t="shared" ref="AF559" si="485">AF560</f>
        <v>0</v>
      </c>
      <c r="AG559" s="189">
        <f t="shared" ref="AG559" si="486">AG560</f>
        <v>0</v>
      </c>
      <c r="AH559" s="189">
        <f t="shared" ref="AH559" si="487">AH560</f>
        <v>0</v>
      </c>
      <c r="AI559" s="161">
        <f t="shared" ref="AI559" si="488">SUM(AE559:AH559)</f>
        <v>0</v>
      </c>
      <c r="AK559" s="169">
        <v>5</v>
      </c>
      <c r="AO559" s="19" t="s">
        <v>63</v>
      </c>
    </row>
    <row r="560" spans="1:41" s="103" customFormat="1" ht="19.899999999999999" customHeight="1" x14ac:dyDescent="0.25">
      <c r="A560" s="51"/>
      <c r="B560" s="52"/>
      <c r="C560" s="165"/>
      <c r="D560" s="52"/>
      <c r="E560" s="115"/>
      <c r="F560" s="58"/>
      <c r="G560" s="58"/>
      <c r="H560" s="58"/>
      <c r="I560" s="55"/>
      <c r="J560" s="113">
        <f>J559</f>
        <v>5.1499999999999915</v>
      </c>
      <c r="K560" s="212">
        <f>K559</f>
        <v>5.1499999999999915</v>
      </c>
      <c r="L560" s="58"/>
      <c r="M560" s="58">
        <f>K560-L560</f>
        <v>5.1499999999999915</v>
      </c>
      <c r="N560" s="166"/>
      <c r="O560" s="58"/>
      <c r="P560" s="58"/>
      <c r="Q560" s="58"/>
      <c r="R560" s="58"/>
      <c r="S560" s="58"/>
      <c r="T560" s="220"/>
      <c r="U560" s="88"/>
      <c r="V560" s="56"/>
      <c r="W560" s="57" t="s">
        <v>1294</v>
      </c>
      <c r="X560" s="53"/>
      <c r="Y560" s="91" t="s">
        <v>35</v>
      </c>
      <c r="Z560" s="136">
        <f>AD560/AC560</f>
        <v>2050</v>
      </c>
      <c r="AA560" s="58"/>
      <c r="AB560" s="53">
        <f>AD560/AC560</f>
        <v>2050</v>
      </c>
      <c r="AC560" s="53">
        <f>M560+$AE$10</f>
        <v>5.1499999999999915</v>
      </c>
      <c r="AD560" s="54">
        <f>SUM(AD561:AD563)</f>
        <v>10557.499999999982</v>
      </c>
      <c r="AE560" s="184">
        <f>SUMIFS($AD$37:$AD$12971,$V$37:$V$12971,$V560,$X$37:$X$12971,AE$13)</f>
        <v>0</v>
      </c>
      <c r="AF560" s="185">
        <f>SUMIFS($AD$37:$AD$12971,$V$37:$V$12971,$V560,$X$37:$X$12971,AF$13)</f>
        <v>0</v>
      </c>
      <c r="AG560" s="185">
        <f>SUMIFS($AD$37:$AD$12971,$V$37:$V$12971,$V560,$X$37:$X$12971,AG$13)</f>
        <v>0</v>
      </c>
      <c r="AH560" s="187">
        <f>SUMIFS($AD$37:$AD$12971,$V$37:$V$12971,$V560,$X$37:$X$12971,AH$13)</f>
        <v>0</v>
      </c>
      <c r="AI560" s="161">
        <f t="shared" ref="AI560" si="489">SUM(AE560:AH560)</f>
        <v>0</v>
      </c>
      <c r="AK560" s="172"/>
    </row>
    <row r="561" spans="1:41" s="102" customFormat="1" ht="19.899999999999999" customHeight="1" x14ac:dyDescent="0.25">
      <c r="A561" s="45"/>
      <c r="B561" s="59"/>
      <c r="C561" s="137"/>
      <c r="D561" s="59"/>
      <c r="E561" s="116"/>
      <c r="F561" s="120"/>
      <c r="G561" s="120"/>
      <c r="H561" s="120"/>
      <c r="I561" s="60"/>
      <c r="J561" s="116"/>
      <c r="K561" s="213"/>
      <c r="L561" s="120"/>
      <c r="M561" s="120"/>
      <c r="N561" s="167"/>
      <c r="O561" s="120"/>
      <c r="P561" s="120"/>
      <c r="Q561" s="120"/>
      <c r="R561" s="120"/>
      <c r="S561" s="120"/>
      <c r="T561" s="221"/>
      <c r="U561" s="89"/>
      <c r="V561" s="61"/>
      <c r="W561" s="92" t="s">
        <v>1301</v>
      </c>
      <c r="X561" s="93" t="s">
        <v>30</v>
      </c>
      <c r="Y561" s="93" t="s">
        <v>35</v>
      </c>
      <c r="Z561" s="134">
        <f>VLOOKUP(W561,Sheet2!$B:$D,3,FALSE)</f>
        <v>1950</v>
      </c>
      <c r="AA561" s="93">
        <v>1</v>
      </c>
      <c r="AB561" s="93">
        <f t="shared" ref="AB561" si="490">AD561/AC560</f>
        <v>1950</v>
      </c>
      <c r="AC561" s="93">
        <f>AC560/AA561</f>
        <v>5.1499999999999915</v>
      </c>
      <c r="AD561" s="94">
        <f t="shared" ref="AD561:AD562" si="491">AC561*Z561</f>
        <v>10042.499999999984</v>
      </c>
      <c r="AE561" s="190"/>
      <c r="AF561" s="191"/>
      <c r="AG561" s="191"/>
      <c r="AH561" s="191"/>
      <c r="AI561" s="186"/>
      <c r="AK561" s="171"/>
    </row>
    <row r="562" spans="1:41" s="102" customFormat="1" ht="19.899999999999999" customHeight="1" x14ac:dyDescent="0.25">
      <c r="A562" s="45"/>
      <c r="B562" s="59"/>
      <c r="C562" s="137"/>
      <c r="D562" s="59"/>
      <c r="E562" s="116"/>
      <c r="F562" s="120"/>
      <c r="G562" s="120"/>
      <c r="H562" s="120"/>
      <c r="I562" s="60"/>
      <c r="J562" s="116"/>
      <c r="K562" s="213"/>
      <c r="L562" s="120"/>
      <c r="M562" s="120"/>
      <c r="N562" s="167"/>
      <c r="O562" s="120"/>
      <c r="P562" s="120"/>
      <c r="Q562" s="120"/>
      <c r="R562" s="120"/>
      <c r="S562" s="120"/>
      <c r="T562" s="221"/>
      <c r="U562" s="89"/>
      <c r="V562" s="61"/>
      <c r="W562" s="92" t="s">
        <v>107</v>
      </c>
      <c r="X562" s="93" t="s">
        <v>31</v>
      </c>
      <c r="Y562" s="93" t="s">
        <v>93</v>
      </c>
      <c r="Z562" s="134">
        <f>VLOOKUP(W562,Sheet2!$B:$D,3,FALSE)</f>
        <v>17</v>
      </c>
      <c r="AA562" s="93">
        <v>0.3</v>
      </c>
      <c r="AB562" s="93">
        <f>AD562/AC560</f>
        <v>56.666666666666671</v>
      </c>
      <c r="AC562" s="93">
        <f>AC560/AA562</f>
        <v>17.166666666666639</v>
      </c>
      <c r="AD562" s="94">
        <f t="shared" si="491"/>
        <v>291.83333333333286</v>
      </c>
      <c r="AE562" s="190"/>
      <c r="AF562" s="191"/>
      <c r="AG562" s="191"/>
      <c r="AH562" s="191"/>
      <c r="AI562" s="186"/>
      <c r="AK562" s="171"/>
    </row>
    <row r="563" spans="1:41" s="102" customFormat="1" ht="19.899999999999999" customHeight="1" x14ac:dyDescent="0.25">
      <c r="A563" s="45"/>
      <c r="B563" s="59"/>
      <c r="C563" s="137"/>
      <c r="D563" s="59"/>
      <c r="E563" s="116"/>
      <c r="F563" s="120"/>
      <c r="G563" s="120"/>
      <c r="H563" s="120"/>
      <c r="I563" s="60"/>
      <c r="J563" s="116"/>
      <c r="K563" s="213"/>
      <c r="L563" s="120"/>
      <c r="M563" s="120"/>
      <c r="N563" s="167"/>
      <c r="O563" s="120"/>
      <c r="P563" s="120"/>
      <c r="Q563" s="120"/>
      <c r="R563" s="120"/>
      <c r="S563" s="120"/>
      <c r="T563" s="221"/>
      <c r="U563" s="89"/>
      <c r="V563" s="61"/>
      <c r="W563" s="92" t="s">
        <v>112</v>
      </c>
      <c r="X563" s="93" t="s">
        <v>31</v>
      </c>
      <c r="Y563" s="93" t="s">
        <v>93</v>
      </c>
      <c r="Z563" s="134">
        <f>VLOOKUP(W563,Sheet2!$B:$D,3,FALSE)</f>
        <v>13</v>
      </c>
      <c r="AA563" s="93">
        <f>AA562</f>
        <v>0.3</v>
      </c>
      <c r="AB563" s="93">
        <f>AD563/AC560</f>
        <v>43.333333333333336</v>
      </c>
      <c r="AC563" s="93">
        <f>AC560/AA563</f>
        <v>17.166666666666639</v>
      </c>
      <c r="AD563" s="94">
        <f>AC563*Z563</f>
        <v>223.16666666666632</v>
      </c>
      <c r="AE563" s="190"/>
      <c r="AF563" s="191"/>
      <c r="AG563" s="191"/>
      <c r="AH563" s="191"/>
      <c r="AI563" s="186"/>
      <c r="AK563" s="171"/>
    </row>
    <row r="564" spans="1:41" ht="20.100000000000001" customHeight="1" x14ac:dyDescent="0.25">
      <c r="A564" s="277" t="s">
        <v>216</v>
      </c>
      <c r="B564" s="278"/>
      <c r="C564" s="64" t="s">
        <v>264</v>
      </c>
      <c r="D564" s="46" t="s">
        <v>215</v>
      </c>
      <c r="E564" s="114">
        <v>4.3375000000000057</v>
      </c>
      <c r="F564" s="44">
        <v>4821</v>
      </c>
      <c r="G564" s="44">
        <f t="shared" si="425"/>
        <v>20911.087500000027</v>
      </c>
      <c r="H564" s="44">
        <f t="shared" si="426"/>
        <v>3621.9999999999995</v>
      </c>
      <c r="I564" s="43">
        <f t="shared" si="427"/>
        <v>15710.425000000019</v>
      </c>
      <c r="J564" s="112">
        <f t="shared" si="428"/>
        <v>4.3375000000000057</v>
      </c>
      <c r="K564" s="211">
        <f t="shared" si="429"/>
        <v>4.3375000000000057</v>
      </c>
      <c r="L564" s="44"/>
      <c r="M564" s="44">
        <f t="shared" si="435"/>
        <v>4.3375000000000057</v>
      </c>
      <c r="N564" s="173">
        <f t="shared" si="430"/>
        <v>1</v>
      </c>
      <c r="O564" s="44">
        <f t="shared" si="431"/>
        <v>4821</v>
      </c>
      <c r="P564" s="44">
        <f t="shared" si="432"/>
        <v>20911.087500000027</v>
      </c>
      <c r="Q564" s="44">
        <f t="shared" si="433"/>
        <v>3621.9999999999995</v>
      </c>
      <c r="R564" s="44">
        <f t="shared" si="436"/>
        <v>15710.425000000019</v>
      </c>
      <c r="S564" s="123"/>
      <c r="T564" s="219">
        <f t="shared" si="437"/>
        <v>15710.425000000019</v>
      </c>
      <c r="U564" s="87"/>
      <c r="V564" s="47"/>
      <c r="W564" s="48"/>
      <c r="X564" s="48"/>
      <c r="Y564" s="48"/>
      <c r="Z564" s="135"/>
      <c r="AA564" s="49"/>
      <c r="AB564" s="50">
        <f t="shared" si="434"/>
        <v>3621.9999999999995</v>
      </c>
      <c r="AC564" s="42">
        <f t="shared" si="438"/>
        <v>4.3375000000000057</v>
      </c>
      <c r="AD564" s="90">
        <f>AD565</f>
        <v>15710.425000000019</v>
      </c>
      <c r="AE564" s="188">
        <f t="shared" ref="AE564" si="492">AE565</f>
        <v>0</v>
      </c>
      <c r="AF564" s="189">
        <f t="shared" ref="AF564" si="493">AF565</f>
        <v>0</v>
      </c>
      <c r="AG564" s="189">
        <f t="shared" ref="AG564" si="494">AG565</f>
        <v>0</v>
      </c>
      <c r="AH564" s="189">
        <f t="shared" ref="AH564" si="495">AH565</f>
        <v>0</v>
      </c>
      <c r="AI564" s="161">
        <f t="shared" ref="AI564" si="496">SUM(AE564:AH564)</f>
        <v>0</v>
      </c>
      <c r="AK564" s="169">
        <v>5</v>
      </c>
      <c r="AO564" s="19" t="s">
        <v>63</v>
      </c>
    </row>
    <row r="565" spans="1:41" s="103" customFormat="1" ht="19.899999999999999" customHeight="1" x14ac:dyDescent="0.25">
      <c r="A565" s="51"/>
      <c r="B565" s="52"/>
      <c r="C565" s="165"/>
      <c r="D565" s="52"/>
      <c r="E565" s="115"/>
      <c r="F565" s="58"/>
      <c r="G565" s="58"/>
      <c r="H565" s="58"/>
      <c r="I565" s="55"/>
      <c r="J565" s="113">
        <f>J564</f>
        <v>4.3375000000000057</v>
      </c>
      <c r="K565" s="212">
        <f>K564</f>
        <v>4.3375000000000057</v>
      </c>
      <c r="L565" s="58"/>
      <c r="M565" s="58">
        <f>K565-L565</f>
        <v>4.3375000000000057</v>
      </c>
      <c r="N565" s="166"/>
      <c r="O565" s="58"/>
      <c r="P565" s="58"/>
      <c r="Q565" s="58"/>
      <c r="R565" s="58"/>
      <c r="S565" s="58"/>
      <c r="T565" s="220"/>
      <c r="U565" s="88"/>
      <c r="V565" s="56"/>
      <c r="W565" s="57" t="s">
        <v>1294</v>
      </c>
      <c r="X565" s="53"/>
      <c r="Y565" s="91" t="s">
        <v>35</v>
      </c>
      <c r="Z565" s="136">
        <f>AD565/AC565</f>
        <v>3621.9999999999995</v>
      </c>
      <c r="AA565" s="58"/>
      <c r="AB565" s="53">
        <f>AD565/AC565</f>
        <v>3621.9999999999995</v>
      </c>
      <c r="AC565" s="53">
        <f>M565+$AE$10</f>
        <v>4.3375000000000057</v>
      </c>
      <c r="AD565" s="54">
        <f>SUM(AD566:AD568)</f>
        <v>15710.425000000019</v>
      </c>
      <c r="AE565" s="184">
        <f>SUMIFS($AD$37:$AD$12971,$V$37:$V$12971,$V565,$X$37:$X$12971,AE$13)</f>
        <v>0</v>
      </c>
      <c r="AF565" s="185">
        <f>SUMIFS($AD$37:$AD$12971,$V$37:$V$12971,$V565,$X$37:$X$12971,AF$13)</f>
        <v>0</v>
      </c>
      <c r="AG565" s="185">
        <f>SUMIFS($AD$37:$AD$12971,$V$37:$V$12971,$V565,$X$37:$X$12971,AG$13)</f>
        <v>0</v>
      </c>
      <c r="AH565" s="187">
        <f>SUMIFS($AD$37:$AD$12971,$V$37:$V$12971,$V565,$X$37:$X$12971,AH$13)</f>
        <v>0</v>
      </c>
      <c r="AI565" s="161">
        <f t="shared" ref="AI565" si="497">SUM(AE565:AH565)</f>
        <v>0</v>
      </c>
      <c r="AK565" s="172"/>
    </row>
    <row r="566" spans="1:41" s="102" customFormat="1" ht="19.899999999999999" customHeight="1" x14ac:dyDescent="0.25">
      <c r="A566" s="45"/>
      <c r="B566" s="59"/>
      <c r="C566" s="137"/>
      <c r="D566" s="59"/>
      <c r="E566" s="116"/>
      <c r="F566" s="120"/>
      <c r="G566" s="120"/>
      <c r="H566" s="120"/>
      <c r="I566" s="60"/>
      <c r="J566" s="116"/>
      <c r="K566" s="213"/>
      <c r="L566" s="120"/>
      <c r="M566" s="120"/>
      <c r="N566" s="167"/>
      <c r="O566" s="120"/>
      <c r="P566" s="120"/>
      <c r="Q566" s="120"/>
      <c r="R566" s="120"/>
      <c r="S566" s="120"/>
      <c r="T566" s="221"/>
      <c r="U566" s="89"/>
      <c r="V566" s="61"/>
      <c r="W566" s="92" t="s">
        <v>1302</v>
      </c>
      <c r="X566" s="93" t="s">
        <v>30</v>
      </c>
      <c r="Y566" s="93" t="s">
        <v>35</v>
      </c>
      <c r="Z566" s="134">
        <f>VLOOKUP(W566,Sheet2!$B:$D,3,FALSE)</f>
        <v>3472</v>
      </c>
      <c r="AA566" s="93">
        <v>1</v>
      </c>
      <c r="AB566" s="93">
        <f t="shared" ref="AB566" si="498">AD566/AC565</f>
        <v>3472</v>
      </c>
      <c r="AC566" s="93">
        <f>AC565/AA566</f>
        <v>4.3375000000000057</v>
      </c>
      <c r="AD566" s="94">
        <f t="shared" ref="AD566:AD567" si="499">AC566*Z566</f>
        <v>15059.800000000019</v>
      </c>
      <c r="AE566" s="190"/>
      <c r="AF566" s="191"/>
      <c r="AG566" s="191"/>
      <c r="AH566" s="191"/>
      <c r="AI566" s="186"/>
      <c r="AK566" s="171"/>
    </row>
    <row r="567" spans="1:41" s="102" customFormat="1" ht="19.899999999999999" customHeight="1" x14ac:dyDescent="0.25">
      <c r="A567" s="45"/>
      <c r="B567" s="59"/>
      <c r="C567" s="137"/>
      <c r="D567" s="59"/>
      <c r="E567" s="116"/>
      <c r="F567" s="120"/>
      <c r="G567" s="120"/>
      <c r="H567" s="120"/>
      <c r="I567" s="60"/>
      <c r="J567" s="116"/>
      <c r="K567" s="213"/>
      <c r="L567" s="120"/>
      <c r="M567" s="120"/>
      <c r="N567" s="167"/>
      <c r="O567" s="120"/>
      <c r="P567" s="120"/>
      <c r="Q567" s="120"/>
      <c r="R567" s="120"/>
      <c r="S567" s="120"/>
      <c r="T567" s="221"/>
      <c r="U567" s="89"/>
      <c r="V567" s="61"/>
      <c r="W567" s="92" t="s">
        <v>107</v>
      </c>
      <c r="X567" s="93" t="s">
        <v>31</v>
      </c>
      <c r="Y567" s="93" t="s">
        <v>93</v>
      </c>
      <c r="Z567" s="134">
        <f>VLOOKUP(W567,Sheet2!$B:$D,3,FALSE)</f>
        <v>17</v>
      </c>
      <c r="AA567" s="93">
        <v>0.2</v>
      </c>
      <c r="AB567" s="93">
        <f>AD567/AC565</f>
        <v>85</v>
      </c>
      <c r="AC567" s="93">
        <f>AC565/AA567</f>
        <v>21.687500000000028</v>
      </c>
      <c r="AD567" s="94">
        <f t="shared" si="499"/>
        <v>368.68750000000045</v>
      </c>
      <c r="AE567" s="190"/>
      <c r="AF567" s="191"/>
      <c r="AG567" s="191"/>
      <c r="AH567" s="191"/>
      <c r="AI567" s="186"/>
      <c r="AK567" s="171"/>
    </row>
    <row r="568" spans="1:41" s="102" customFormat="1" ht="19.899999999999999" customHeight="1" x14ac:dyDescent="0.25">
      <c r="A568" s="45"/>
      <c r="B568" s="59"/>
      <c r="C568" s="137"/>
      <c r="D568" s="59"/>
      <c r="E568" s="116"/>
      <c r="F568" s="120"/>
      <c r="G568" s="120"/>
      <c r="H568" s="120"/>
      <c r="I568" s="60"/>
      <c r="J568" s="116"/>
      <c r="K568" s="213"/>
      <c r="L568" s="120"/>
      <c r="M568" s="120"/>
      <c r="N568" s="167"/>
      <c r="O568" s="120"/>
      <c r="P568" s="120"/>
      <c r="Q568" s="120"/>
      <c r="R568" s="120"/>
      <c r="S568" s="120"/>
      <c r="T568" s="221"/>
      <c r="U568" s="89"/>
      <c r="V568" s="61"/>
      <c r="W568" s="92" t="s">
        <v>112</v>
      </c>
      <c r="X568" s="93" t="s">
        <v>31</v>
      </c>
      <c r="Y568" s="93" t="s">
        <v>93</v>
      </c>
      <c r="Z568" s="134">
        <f>VLOOKUP(W568,Sheet2!$B:$D,3,FALSE)</f>
        <v>13</v>
      </c>
      <c r="AA568" s="93">
        <f>AA567</f>
        <v>0.2</v>
      </c>
      <c r="AB568" s="93">
        <f>AD568/AC565</f>
        <v>65</v>
      </c>
      <c r="AC568" s="93">
        <f>AC565/AA568</f>
        <v>21.687500000000028</v>
      </c>
      <c r="AD568" s="94">
        <f>AC568*Z568</f>
        <v>281.93750000000034</v>
      </c>
      <c r="AE568" s="190"/>
      <c r="AF568" s="191"/>
      <c r="AG568" s="191"/>
      <c r="AH568" s="191"/>
      <c r="AI568" s="186"/>
      <c r="AK568" s="171"/>
    </row>
    <row r="569" spans="1:41" ht="20.100000000000001" customHeight="1" x14ac:dyDescent="0.25">
      <c r="A569" s="277" t="s">
        <v>216</v>
      </c>
      <c r="B569" s="278"/>
      <c r="C569" s="64" t="s">
        <v>265</v>
      </c>
      <c r="D569" s="46" t="s">
        <v>215</v>
      </c>
      <c r="E569" s="114">
        <v>0.24000000000000021</v>
      </c>
      <c r="F569" s="44">
        <v>4821</v>
      </c>
      <c r="G569" s="44">
        <f t="shared" si="425"/>
        <v>1157.0400000000011</v>
      </c>
      <c r="H569" s="44">
        <f t="shared" si="426"/>
        <v>4350</v>
      </c>
      <c r="I569" s="43">
        <f t="shared" si="427"/>
        <v>1044.0000000000009</v>
      </c>
      <c r="J569" s="112">
        <f t="shared" si="428"/>
        <v>0.24000000000000021</v>
      </c>
      <c r="K569" s="211">
        <f t="shared" si="429"/>
        <v>0.24000000000000021</v>
      </c>
      <c r="L569" s="44"/>
      <c r="M569" s="44">
        <f t="shared" si="435"/>
        <v>0.24000000000000021</v>
      </c>
      <c r="N569" s="173">
        <f t="shared" si="430"/>
        <v>1</v>
      </c>
      <c r="O569" s="44">
        <f t="shared" si="431"/>
        <v>4821</v>
      </c>
      <c r="P569" s="44">
        <f t="shared" si="432"/>
        <v>1157.0400000000011</v>
      </c>
      <c r="Q569" s="44">
        <f t="shared" si="433"/>
        <v>4350</v>
      </c>
      <c r="R569" s="44">
        <f t="shared" si="436"/>
        <v>1044.0000000000009</v>
      </c>
      <c r="S569" s="123"/>
      <c r="T569" s="219">
        <f t="shared" si="437"/>
        <v>1044.0000000000009</v>
      </c>
      <c r="U569" s="87"/>
      <c r="V569" s="47"/>
      <c r="W569" s="48"/>
      <c r="X569" s="48"/>
      <c r="Y569" s="48"/>
      <c r="Z569" s="135"/>
      <c r="AA569" s="49"/>
      <c r="AB569" s="50">
        <f t="shared" si="434"/>
        <v>4350</v>
      </c>
      <c r="AC569" s="42">
        <f t="shared" si="438"/>
        <v>0.24000000000000021</v>
      </c>
      <c r="AD569" s="90">
        <f>AD570</f>
        <v>1044.0000000000009</v>
      </c>
      <c r="AE569" s="188">
        <f t="shared" ref="AE569" si="500">AE570</f>
        <v>0</v>
      </c>
      <c r="AF569" s="189">
        <f t="shared" ref="AF569" si="501">AF570</f>
        <v>0</v>
      </c>
      <c r="AG569" s="189">
        <f t="shared" ref="AG569" si="502">AG570</f>
        <v>0</v>
      </c>
      <c r="AH569" s="189">
        <f t="shared" ref="AH569" si="503">AH570</f>
        <v>0</v>
      </c>
      <c r="AI569" s="161">
        <f t="shared" ref="AI569:AI574" si="504">SUM(AE569:AH569)</f>
        <v>0</v>
      </c>
      <c r="AK569" s="169">
        <v>5</v>
      </c>
      <c r="AO569" s="19" t="s">
        <v>63</v>
      </c>
    </row>
    <row r="570" spans="1:41" s="103" customFormat="1" ht="19.899999999999999" customHeight="1" x14ac:dyDescent="0.25">
      <c r="A570" s="51"/>
      <c r="B570" s="52"/>
      <c r="C570" s="165"/>
      <c r="D570" s="52"/>
      <c r="E570" s="115"/>
      <c r="F570" s="58"/>
      <c r="G570" s="58"/>
      <c r="H570" s="58"/>
      <c r="I570" s="55"/>
      <c r="J570" s="113">
        <f>J569</f>
        <v>0.24000000000000021</v>
      </c>
      <c r="K570" s="212">
        <f>K569</f>
        <v>0.24000000000000021</v>
      </c>
      <c r="L570" s="58"/>
      <c r="M570" s="58">
        <f>K570-L570</f>
        <v>0.24000000000000021</v>
      </c>
      <c r="N570" s="166"/>
      <c r="O570" s="58"/>
      <c r="P570" s="58"/>
      <c r="Q570" s="58"/>
      <c r="R570" s="58"/>
      <c r="S570" s="58"/>
      <c r="T570" s="220"/>
      <c r="U570" s="88"/>
      <c r="V570" s="56"/>
      <c r="W570" s="57" t="s">
        <v>1294</v>
      </c>
      <c r="X570" s="53"/>
      <c r="Y570" s="91" t="s">
        <v>35</v>
      </c>
      <c r="Z570" s="136">
        <f>AD570/AC570</f>
        <v>4350</v>
      </c>
      <c r="AA570" s="58"/>
      <c r="AB570" s="53">
        <f>AD570/AC570</f>
        <v>4350</v>
      </c>
      <c r="AC570" s="53">
        <f>M570+$AE$10</f>
        <v>0.24000000000000021</v>
      </c>
      <c r="AD570" s="54">
        <f>SUM(AD571:AD573)</f>
        <v>1044.0000000000009</v>
      </c>
      <c r="AE570" s="184">
        <f>SUMIFS($AD$37:$AD$12971,$V$37:$V$12971,$V570,$X$37:$X$12971,AE$13)</f>
        <v>0</v>
      </c>
      <c r="AF570" s="185">
        <f>SUMIFS($AD$37:$AD$12971,$V$37:$V$12971,$V570,$X$37:$X$12971,AF$13)</f>
        <v>0</v>
      </c>
      <c r="AG570" s="185">
        <f>SUMIFS($AD$37:$AD$12971,$V$37:$V$12971,$V570,$X$37:$X$12971,AG$13)</f>
        <v>0</v>
      </c>
      <c r="AH570" s="187">
        <f>SUMIFS($AD$37:$AD$12971,$V$37:$V$12971,$V570,$X$37:$X$12971,AH$13)</f>
        <v>0</v>
      </c>
      <c r="AI570" s="161">
        <f t="shared" ref="AI570" si="505">SUM(AE570:AH570)</f>
        <v>0</v>
      </c>
      <c r="AK570" s="172"/>
    </row>
    <row r="571" spans="1:41" s="102" customFormat="1" ht="19.899999999999999" customHeight="1" x14ac:dyDescent="0.25">
      <c r="A571" s="45"/>
      <c r="B571" s="59"/>
      <c r="C571" s="137"/>
      <c r="D571" s="59"/>
      <c r="E571" s="116"/>
      <c r="F571" s="120"/>
      <c r="G571" s="120"/>
      <c r="H571" s="120"/>
      <c r="I571" s="60"/>
      <c r="J571" s="116"/>
      <c r="K571" s="213"/>
      <c r="L571" s="120"/>
      <c r="M571" s="120"/>
      <c r="N571" s="167"/>
      <c r="O571" s="120"/>
      <c r="P571" s="120"/>
      <c r="Q571" s="120"/>
      <c r="R571" s="120"/>
      <c r="S571" s="120"/>
      <c r="T571" s="221"/>
      <c r="U571" s="89"/>
      <c r="V571" s="61"/>
      <c r="W571" s="92" t="s">
        <v>1303</v>
      </c>
      <c r="X571" s="93" t="s">
        <v>30</v>
      </c>
      <c r="Y571" s="93" t="s">
        <v>35</v>
      </c>
      <c r="Z571" s="134">
        <f>VLOOKUP(W571,Sheet2!$B:$D,3,FALSE)</f>
        <v>4200</v>
      </c>
      <c r="AA571" s="93">
        <v>1</v>
      </c>
      <c r="AB571" s="93">
        <f t="shared" ref="AB571" si="506">AD571/AC570</f>
        <v>4200</v>
      </c>
      <c r="AC571" s="93">
        <f>AC570/AA571</f>
        <v>0.24000000000000021</v>
      </c>
      <c r="AD571" s="94">
        <f t="shared" ref="AD571:AD572" si="507">AC571*Z571</f>
        <v>1008.0000000000009</v>
      </c>
      <c r="AE571" s="190"/>
      <c r="AF571" s="191"/>
      <c r="AG571" s="191"/>
      <c r="AH571" s="191"/>
      <c r="AI571" s="186"/>
      <c r="AK571" s="171"/>
    </row>
    <row r="572" spans="1:41" s="102" customFormat="1" ht="19.899999999999999" customHeight="1" x14ac:dyDescent="0.25">
      <c r="A572" s="45"/>
      <c r="B572" s="59"/>
      <c r="C572" s="137"/>
      <c r="D572" s="59"/>
      <c r="E572" s="116"/>
      <c r="F572" s="120"/>
      <c r="G572" s="120"/>
      <c r="H572" s="120"/>
      <c r="I572" s="60"/>
      <c r="J572" s="116"/>
      <c r="K572" s="213"/>
      <c r="L572" s="120"/>
      <c r="M572" s="120"/>
      <c r="N572" s="167"/>
      <c r="O572" s="120"/>
      <c r="P572" s="120"/>
      <c r="Q572" s="120"/>
      <c r="R572" s="120"/>
      <c r="S572" s="120"/>
      <c r="T572" s="221"/>
      <c r="U572" s="89"/>
      <c r="V572" s="61"/>
      <c r="W572" s="92" t="s">
        <v>107</v>
      </c>
      <c r="X572" s="93" t="s">
        <v>31</v>
      </c>
      <c r="Y572" s="93" t="s">
        <v>93</v>
      </c>
      <c r="Z572" s="134">
        <f>VLOOKUP(W572,Sheet2!$B:$D,3,FALSE)</f>
        <v>17</v>
      </c>
      <c r="AA572" s="93">
        <v>0.2</v>
      </c>
      <c r="AB572" s="93">
        <f>AD572/AC570</f>
        <v>85.000000000000014</v>
      </c>
      <c r="AC572" s="93">
        <f>AC570/AA572</f>
        <v>1.2000000000000011</v>
      </c>
      <c r="AD572" s="94">
        <f t="shared" si="507"/>
        <v>20.40000000000002</v>
      </c>
      <c r="AE572" s="190"/>
      <c r="AF572" s="191"/>
      <c r="AG572" s="191"/>
      <c r="AH572" s="191"/>
      <c r="AI572" s="186"/>
      <c r="AK572" s="171"/>
    </row>
    <row r="573" spans="1:41" s="102" customFormat="1" ht="19.899999999999999" customHeight="1" x14ac:dyDescent="0.25">
      <c r="A573" s="45"/>
      <c r="B573" s="59"/>
      <c r="C573" s="137"/>
      <c r="D573" s="59"/>
      <c r="E573" s="116"/>
      <c r="F573" s="120"/>
      <c r="G573" s="120"/>
      <c r="H573" s="120"/>
      <c r="I573" s="60"/>
      <c r="J573" s="116"/>
      <c r="K573" s="213"/>
      <c r="L573" s="120"/>
      <c r="M573" s="120"/>
      <c r="N573" s="167"/>
      <c r="O573" s="120"/>
      <c r="P573" s="120"/>
      <c r="Q573" s="120"/>
      <c r="R573" s="120"/>
      <c r="S573" s="120"/>
      <c r="T573" s="221"/>
      <c r="U573" s="89"/>
      <c r="V573" s="61"/>
      <c r="W573" s="92" t="s">
        <v>112</v>
      </c>
      <c r="X573" s="93" t="s">
        <v>31</v>
      </c>
      <c r="Y573" s="93" t="s">
        <v>93</v>
      </c>
      <c r="Z573" s="134">
        <f>VLOOKUP(W573,Sheet2!$B:$D,3,FALSE)</f>
        <v>13</v>
      </c>
      <c r="AA573" s="93">
        <f>AA572</f>
        <v>0.2</v>
      </c>
      <c r="AB573" s="93">
        <f>AD573/AC570</f>
        <v>65</v>
      </c>
      <c r="AC573" s="93">
        <f>AC570/AA573</f>
        <v>1.2000000000000011</v>
      </c>
      <c r="AD573" s="94">
        <f>AC573*Z573</f>
        <v>15.600000000000014</v>
      </c>
      <c r="AE573" s="190"/>
      <c r="AF573" s="191"/>
      <c r="AG573" s="191"/>
      <c r="AH573" s="191"/>
      <c r="AI573" s="186"/>
      <c r="AK573" s="171"/>
    </row>
    <row r="574" spans="1:41" ht="25.5" x14ac:dyDescent="0.25">
      <c r="A574" s="277" t="s">
        <v>216</v>
      </c>
      <c r="B574" s="278"/>
      <c r="C574" s="64" t="s">
        <v>266</v>
      </c>
      <c r="D574" s="46" t="s">
        <v>97</v>
      </c>
      <c r="E574" s="114">
        <v>0.35000000000000009</v>
      </c>
      <c r="F574" s="44">
        <v>4317</v>
      </c>
      <c r="G574" s="44">
        <f t="shared" si="425"/>
        <v>1510.9500000000003</v>
      </c>
      <c r="H574" s="44">
        <f t="shared" si="426"/>
        <v>3474.9999999999995</v>
      </c>
      <c r="I574" s="43">
        <f t="shared" si="427"/>
        <v>1216.2500000000002</v>
      </c>
      <c r="J574" s="112">
        <f t="shared" si="428"/>
        <v>0.35000000000000009</v>
      </c>
      <c r="K574" s="211">
        <f t="shared" si="429"/>
        <v>0.35000000000000009</v>
      </c>
      <c r="L574" s="44"/>
      <c r="M574" s="44">
        <f t="shared" si="435"/>
        <v>0.35000000000000009</v>
      </c>
      <c r="N574" s="173">
        <f t="shared" si="430"/>
        <v>1</v>
      </c>
      <c r="O574" s="44">
        <f t="shared" si="431"/>
        <v>4317</v>
      </c>
      <c r="P574" s="44">
        <f t="shared" si="432"/>
        <v>1510.9500000000003</v>
      </c>
      <c r="Q574" s="44">
        <f t="shared" si="433"/>
        <v>3474.9999999999995</v>
      </c>
      <c r="R574" s="44">
        <f t="shared" si="436"/>
        <v>1216.2500000000002</v>
      </c>
      <c r="S574" s="123"/>
      <c r="T574" s="219">
        <f t="shared" si="437"/>
        <v>1216.2500000000002</v>
      </c>
      <c r="U574" s="87"/>
      <c r="V574" s="47"/>
      <c r="W574" s="48"/>
      <c r="X574" s="48"/>
      <c r="Y574" s="48"/>
      <c r="Z574" s="135"/>
      <c r="AA574" s="49"/>
      <c r="AB574" s="50">
        <f t="shared" si="434"/>
        <v>3474.9999999999995</v>
      </c>
      <c r="AC574" s="42">
        <f t="shared" si="438"/>
        <v>0.35000000000000009</v>
      </c>
      <c r="AD574" s="90">
        <f>AD575</f>
        <v>1216.2500000000002</v>
      </c>
      <c r="AE574" s="188">
        <f t="shared" ref="AE574" si="508">AE575</f>
        <v>0</v>
      </c>
      <c r="AF574" s="189">
        <f t="shared" ref="AF574" si="509">AF575</f>
        <v>0</v>
      </c>
      <c r="AG574" s="189">
        <f t="shared" ref="AG574" si="510">AG575</f>
        <v>0</v>
      </c>
      <c r="AH574" s="189">
        <f t="shared" ref="AH574" si="511">AH575</f>
        <v>0</v>
      </c>
      <c r="AI574" s="161">
        <f t="shared" si="504"/>
        <v>0</v>
      </c>
      <c r="AK574" s="169">
        <v>5</v>
      </c>
      <c r="AO574" s="19" t="s">
        <v>63</v>
      </c>
    </row>
    <row r="575" spans="1:41" s="103" customFormat="1" ht="19.899999999999999" customHeight="1" x14ac:dyDescent="0.25">
      <c r="A575" s="51"/>
      <c r="B575" s="52"/>
      <c r="C575" s="165"/>
      <c r="D575" s="52"/>
      <c r="E575" s="115"/>
      <c r="F575" s="58"/>
      <c r="G575" s="58"/>
      <c r="H575" s="58"/>
      <c r="I575" s="55"/>
      <c r="J575" s="113">
        <f>J574</f>
        <v>0.35000000000000009</v>
      </c>
      <c r="K575" s="212">
        <f>K574</f>
        <v>0.35000000000000009</v>
      </c>
      <c r="L575" s="58"/>
      <c r="M575" s="58">
        <f>K575-L575</f>
        <v>0.35000000000000009</v>
      </c>
      <c r="N575" s="166"/>
      <c r="O575" s="58"/>
      <c r="P575" s="58"/>
      <c r="Q575" s="58"/>
      <c r="R575" s="58"/>
      <c r="S575" s="58"/>
      <c r="T575" s="220"/>
      <c r="U575" s="88"/>
      <c r="V575" s="56"/>
      <c r="W575" s="57" t="s">
        <v>1294</v>
      </c>
      <c r="X575" s="53"/>
      <c r="Y575" s="91" t="s">
        <v>35</v>
      </c>
      <c r="Z575" s="136">
        <f>AD575/AC575</f>
        <v>3474.9999999999995</v>
      </c>
      <c r="AA575" s="58"/>
      <c r="AB575" s="53">
        <f>AD575/AC575</f>
        <v>3474.9999999999995</v>
      </c>
      <c r="AC575" s="53">
        <f>M575+$AE$10</f>
        <v>0.35000000000000009</v>
      </c>
      <c r="AD575" s="54">
        <f>SUM(AD576:AD578)</f>
        <v>1216.2500000000002</v>
      </c>
      <c r="AE575" s="184">
        <f>SUMIFS($AD$37:$AD$12971,$V$37:$V$12971,$V575,$X$37:$X$12971,AE$13)</f>
        <v>0</v>
      </c>
      <c r="AF575" s="185">
        <f>SUMIFS($AD$37:$AD$12971,$V$37:$V$12971,$V575,$X$37:$X$12971,AF$13)</f>
        <v>0</v>
      </c>
      <c r="AG575" s="185">
        <f>SUMIFS($AD$37:$AD$12971,$V$37:$V$12971,$V575,$X$37:$X$12971,AG$13)</f>
        <v>0</v>
      </c>
      <c r="AH575" s="187">
        <f>SUMIFS($AD$37:$AD$12971,$V$37:$V$12971,$V575,$X$37:$X$12971,AH$13)</f>
        <v>0</v>
      </c>
      <c r="AI575" s="161">
        <f t="shared" ref="AI575" si="512">SUM(AE575:AH575)</f>
        <v>0</v>
      </c>
      <c r="AK575" s="172"/>
    </row>
    <row r="576" spans="1:41" s="102" customFormat="1" ht="19.899999999999999" customHeight="1" x14ac:dyDescent="0.25">
      <c r="A576" s="45"/>
      <c r="B576" s="59"/>
      <c r="C576" s="137"/>
      <c r="D576" s="59"/>
      <c r="E576" s="116"/>
      <c r="F576" s="120"/>
      <c r="G576" s="120"/>
      <c r="H576" s="120"/>
      <c r="I576" s="60"/>
      <c r="J576" s="116"/>
      <c r="K576" s="213"/>
      <c r="L576" s="120"/>
      <c r="M576" s="120"/>
      <c r="N576" s="167"/>
      <c r="O576" s="120"/>
      <c r="P576" s="120"/>
      <c r="Q576" s="120"/>
      <c r="R576" s="120"/>
      <c r="S576" s="120"/>
      <c r="T576" s="221"/>
      <c r="U576" s="89"/>
      <c r="V576" s="61"/>
      <c r="W576" s="92" t="s">
        <v>1304</v>
      </c>
      <c r="X576" s="93" t="s">
        <v>30</v>
      </c>
      <c r="Y576" s="93" t="s">
        <v>35</v>
      </c>
      <c r="Z576" s="134">
        <f>VLOOKUP(W576,Sheet2!$B:$D,3,FALSE)</f>
        <v>3325</v>
      </c>
      <c r="AA576" s="93">
        <v>1</v>
      </c>
      <c r="AB576" s="93">
        <f t="shared" ref="AB576" si="513">AD576/AC575</f>
        <v>3325</v>
      </c>
      <c r="AC576" s="93">
        <f>AC575/AA576</f>
        <v>0.35000000000000009</v>
      </c>
      <c r="AD576" s="94">
        <f t="shared" ref="AD576:AD577" si="514">AC576*Z576</f>
        <v>1163.7500000000002</v>
      </c>
      <c r="AE576" s="190"/>
      <c r="AF576" s="191"/>
      <c r="AG576" s="191"/>
      <c r="AH576" s="191"/>
      <c r="AI576" s="186"/>
      <c r="AK576" s="171"/>
    </row>
    <row r="577" spans="1:41" s="102" customFormat="1" ht="19.899999999999999" customHeight="1" x14ac:dyDescent="0.25">
      <c r="A577" s="45"/>
      <c r="B577" s="59"/>
      <c r="C577" s="137"/>
      <c r="D577" s="59"/>
      <c r="E577" s="116"/>
      <c r="F577" s="120"/>
      <c r="G577" s="120"/>
      <c r="H577" s="120"/>
      <c r="I577" s="60"/>
      <c r="J577" s="116"/>
      <c r="K577" s="213"/>
      <c r="L577" s="120"/>
      <c r="M577" s="120"/>
      <c r="N577" s="167"/>
      <c r="O577" s="120"/>
      <c r="P577" s="120"/>
      <c r="Q577" s="120"/>
      <c r="R577" s="120"/>
      <c r="S577" s="120"/>
      <c r="T577" s="221"/>
      <c r="U577" s="89"/>
      <c r="V577" s="61"/>
      <c r="W577" s="92" t="s">
        <v>107</v>
      </c>
      <c r="X577" s="93" t="s">
        <v>31</v>
      </c>
      <c r="Y577" s="93" t="s">
        <v>93</v>
      </c>
      <c r="Z577" s="134">
        <f>VLOOKUP(W577,Sheet2!$B:$D,3,FALSE)</f>
        <v>17</v>
      </c>
      <c r="AA577" s="93">
        <v>0.2</v>
      </c>
      <c r="AB577" s="93">
        <f>AD577/AC575</f>
        <v>85</v>
      </c>
      <c r="AC577" s="93">
        <f>AC575/AA577</f>
        <v>1.7500000000000004</v>
      </c>
      <c r="AD577" s="94">
        <f t="shared" si="514"/>
        <v>29.750000000000007</v>
      </c>
      <c r="AE577" s="190"/>
      <c r="AF577" s="191"/>
      <c r="AG577" s="191"/>
      <c r="AH577" s="191"/>
      <c r="AI577" s="186"/>
      <c r="AK577" s="171"/>
    </row>
    <row r="578" spans="1:41" s="102" customFormat="1" ht="19.899999999999999" customHeight="1" x14ac:dyDescent="0.25">
      <c r="A578" s="45"/>
      <c r="B578" s="59"/>
      <c r="C578" s="137"/>
      <c r="D578" s="59"/>
      <c r="E578" s="116"/>
      <c r="F578" s="120"/>
      <c r="G578" s="120"/>
      <c r="H578" s="120"/>
      <c r="I578" s="60"/>
      <c r="J578" s="116"/>
      <c r="K578" s="213"/>
      <c r="L578" s="120"/>
      <c r="M578" s="120"/>
      <c r="N578" s="167"/>
      <c r="O578" s="120"/>
      <c r="P578" s="120"/>
      <c r="Q578" s="120"/>
      <c r="R578" s="120"/>
      <c r="S578" s="120"/>
      <c r="T578" s="221"/>
      <c r="U578" s="89"/>
      <c r="V578" s="61"/>
      <c r="W578" s="92" t="s">
        <v>112</v>
      </c>
      <c r="X578" s="93" t="s">
        <v>31</v>
      </c>
      <c r="Y578" s="93" t="s">
        <v>93</v>
      </c>
      <c r="Z578" s="134">
        <f>VLOOKUP(W578,Sheet2!$B:$D,3,FALSE)</f>
        <v>13</v>
      </c>
      <c r="AA578" s="93">
        <f>AA577</f>
        <v>0.2</v>
      </c>
      <c r="AB578" s="93">
        <f>AD578/AC575</f>
        <v>65</v>
      </c>
      <c r="AC578" s="93">
        <f>AC575/AA578</f>
        <v>1.7500000000000004</v>
      </c>
      <c r="AD578" s="94">
        <f>AC578*Z578</f>
        <v>22.750000000000007</v>
      </c>
      <c r="AE578" s="190"/>
      <c r="AF578" s="191"/>
      <c r="AG578" s="191"/>
      <c r="AH578" s="191"/>
      <c r="AI578" s="186"/>
      <c r="AK578" s="171"/>
    </row>
    <row r="579" spans="1:41" s="306" customFormat="1" ht="20.100000000000001" customHeight="1" x14ac:dyDescent="0.25">
      <c r="A579" s="287" t="s">
        <v>216</v>
      </c>
      <c r="B579" s="288"/>
      <c r="C579" s="286" t="s">
        <v>267</v>
      </c>
      <c r="D579" s="289"/>
      <c r="E579" s="290"/>
      <c r="F579" s="291"/>
      <c r="G579" s="291">
        <f t="shared" si="425"/>
        <v>0</v>
      </c>
      <c r="H579" s="291">
        <f t="shared" si="426"/>
        <v>0</v>
      </c>
      <c r="I579" s="292">
        <f t="shared" si="427"/>
        <v>0</v>
      </c>
      <c r="J579" s="290">
        <f t="shared" si="428"/>
        <v>0</v>
      </c>
      <c r="K579" s="293">
        <f t="shared" si="429"/>
        <v>0</v>
      </c>
      <c r="L579" s="291"/>
      <c r="M579" s="291">
        <f t="shared" si="435"/>
        <v>0</v>
      </c>
      <c r="N579" s="294">
        <f t="shared" si="430"/>
        <v>0</v>
      </c>
      <c r="O579" s="291">
        <f t="shared" si="431"/>
        <v>0</v>
      </c>
      <c r="P579" s="291">
        <f t="shared" si="432"/>
        <v>0</v>
      </c>
      <c r="Q579" s="291">
        <f t="shared" si="433"/>
        <v>0</v>
      </c>
      <c r="R579" s="291">
        <f t="shared" si="436"/>
        <v>0</v>
      </c>
      <c r="S579" s="291"/>
      <c r="T579" s="295">
        <f t="shared" si="437"/>
        <v>0</v>
      </c>
      <c r="U579" s="296"/>
      <c r="V579" s="297"/>
      <c r="W579" s="298"/>
      <c r="X579" s="299"/>
      <c r="Y579" s="300"/>
      <c r="Z579" s="301"/>
      <c r="AA579" s="300"/>
      <c r="AB579" s="300">
        <f t="shared" si="434"/>
        <v>0</v>
      </c>
      <c r="AC579" s="300">
        <f t="shared" si="438"/>
        <v>9.9999999999999998E-20</v>
      </c>
      <c r="AD579" s="302"/>
      <c r="AE579" s="303"/>
      <c r="AF579" s="304"/>
      <c r="AG579" s="304"/>
      <c r="AH579" s="304"/>
      <c r="AI579" s="305"/>
      <c r="AK579" s="307"/>
    </row>
    <row r="580" spans="1:41" ht="20.100000000000001" customHeight="1" x14ac:dyDescent="0.25">
      <c r="A580" s="277" t="s">
        <v>216</v>
      </c>
      <c r="B580" s="278"/>
      <c r="C580" s="64" t="s">
        <v>268</v>
      </c>
      <c r="D580" s="46" t="s">
        <v>215</v>
      </c>
      <c r="E580" s="114">
        <v>24.925000000000068</v>
      </c>
      <c r="F580" s="44">
        <v>1850</v>
      </c>
      <c r="G580" s="44">
        <f t="shared" si="425"/>
        <v>46111.250000000124</v>
      </c>
      <c r="H580" s="44">
        <f t="shared" si="426"/>
        <v>486.99999999999994</v>
      </c>
      <c r="I580" s="43">
        <f t="shared" si="427"/>
        <v>12138.475000000031</v>
      </c>
      <c r="J580" s="112">
        <f t="shared" si="428"/>
        <v>24.925000000000068</v>
      </c>
      <c r="K580" s="211">
        <f t="shared" si="429"/>
        <v>24.925000000000068</v>
      </c>
      <c r="L580" s="44"/>
      <c r="M580" s="44">
        <f t="shared" si="435"/>
        <v>24.925000000000068</v>
      </c>
      <c r="N580" s="173">
        <f t="shared" si="430"/>
        <v>1</v>
      </c>
      <c r="O580" s="44">
        <f t="shared" si="431"/>
        <v>1850</v>
      </c>
      <c r="P580" s="44">
        <f t="shared" si="432"/>
        <v>46111.250000000124</v>
      </c>
      <c r="Q580" s="44">
        <f t="shared" si="433"/>
        <v>486.99999999999994</v>
      </c>
      <c r="R580" s="44">
        <f t="shared" si="436"/>
        <v>12138.475000000031</v>
      </c>
      <c r="S580" s="123"/>
      <c r="T580" s="219">
        <f t="shared" si="437"/>
        <v>12138.475000000031</v>
      </c>
      <c r="U580" s="87"/>
      <c r="V580" s="47"/>
      <c r="W580" s="48"/>
      <c r="X580" s="48"/>
      <c r="Y580" s="48"/>
      <c r="Z580" s="135"/>
      <c r="AA580" s="49"/>
      <c r="AB580" s="50">
        <f t="shared" si="434"/>
        <v>486.99999999999994</v>
      </c>
      <c r="AC580" s="42">
        <f t="shared" si="438"/>
        <v>24.925000000000068</v>
      </c>
      <c r="AD580" s="90">
        <f>AD581</f>
        <v>12138.475000000031</v>
      </c>
      <c r="AE580" s="188">
        <f t="shared" ref="AE580:AH580" si="515">AE581</f>
        <v>0</v>
      </c>
      <c r="AF580" s="189">
        <f t="shared" si="515"/>
        <v>0</v>
      </c>
      <c r="AG580" s="189">
        <f t="shared" si="515"/>
        <v>0</v>
      </c>
      <c r="AH580" s="189">
        <f t="shared" si="515"/>
        <v>0</v>
      </c>
      <c r="AI580" s="161">
        <f t="shared" ref="AI580" si="516">SUM(AE580:AH580)</f>
        <v>0</v>
      </c>
      <c r="AK580" s="169">
        <v>5</v>
      </c>
      <c r="AO580" s="19" t="s">
        <v>63</v>
      </c>
    </row>
    <row r="581" spans="1:41" s="103" customFormat="1" ht="19.899999999999999" customHeight="1" x14ac:dyDescent="0.25">
      <c r="A581" s="51"/>
      <c r="B581" s="52"/>
      <c r="C581" s="165"/>
      <c r="D581" s="52"/>
      <c r="E581" s="115"/>
      <c r="F581" s="58"/>
      <c r="G581" s="58"/>
      <c r="H581" s="58"/>
      <c r="I581" s="55"/>
      <c r="J581" s="113">
        <f>J580</f>
        <v>24.925000000000068</v>
      </c>
      <c r="K581" s="212">
        <f>K580</f>
        <v>24.925000000000068</v>
      </c>
      <c r="L581" s="58"/>
      <c r="M581" s="58">
        <f>K581-L581</f>
        <v>24.925000000000068</v>
      </c>
      <c r="N581" s="166"/>
      <c r="O581" s="58"/>
      <c r="P581" s="58"/>
      <c r="Q581" s="58"/>
      <c r="R581" s="58"/>
      <c r="S581" s="58"/>
      <c r="T581" s="220"/>
      <c r="U581" s="88"/>
      <c r="V581" s="56"/>
      <c r="W581" s="57" t="s">
        <v>1294</v>
      </c>
      <c r="X581" s="53"/>
      <c r="Y581" s="91" t="s">
        <v>35</v>
      </c>
      <c r="Z581" s="136">
        <f>AD581/AC581</f>
        <v>486.99999999999994</v>
      </c>
      <c r="AA581" s="58"/>
      <c r="AB581" s="53">
        <f>AD581/AC581</f>
        <v>486.99999999999994</v>
      </c>
      <c r="AC581" s="53">
        <f>M581+$AE$10</f>
        <v>24.925000000000068</v>
      </c>
      <c r="AD581" s="54">
        <f>SUM(AD582:AD584)</f>
        <v>12138.475000000031</v>
      </c>
      <c r="AE581" s="184">
        <f>SUMIFS($AD$37:$AD$12971,$V$37:$V$12971,$V581,$X$37:$X$12971,AE$13)</f>
        <v>0</v>
      </c>
      <c r="AF581" s="185">
        <f>SUMIFS($AD$37:$AD$12971,$V$37:$V$12971,$V581,$X$37:$X$12971,AF$13)</f>
        <v>0</v>
      </c>
      <c r="AG581" s="185">
        <f>SUMIFS($AD$37:$AD$12971,$V$37:$V$12971,$V581,$X$37:$X$12971,AG$13)</f>
        <v>0</v>
      </c>
      <c r="AH581" s="187">
        <f>SUMIFS($AD$37:$AD$12971,$V$37:$V$12971,$V581,$X$37:$X$12971,AH$13)</f>
        <v>0</v>
      </c>
      <c r="AI581" s="161">
        <f t="shared" ref="AI581" si="517">SUM(AE581:AH581)</f>
        <v>0</v>
      </c>
      <c r="AK581" s="172"/>
    </row>
    <row r="582" spans="1:41" s="102" customFormat="1" ht="19.899999999999999" customHeight="1" x14ac:dyDescent="0.25">
      <c r="A582" s="45"/>
      <c r="B582" s="59"/>
      <c r="C582" s="137"/>
      <c r="D582" s="59"/>
      <c r="E582" s="116"/>
      <c r="F582" s="120"/>
      <c r="G582" s="120"/>
      <c r="H582" s="120"/>
      <c r="I582" s="60"/>
      <c r="J582" s="116"/>
      <c r="K582" s="213"/>
      <c r="L582" s="120"/>
      <c r="M582" s="120"/>
      <c r="N582" s="167"/>
      <c r="O582" s="120"/>
      <c r="P582" s="120"/>
      <c r="Q582" s="120"/>
      <c r="R582" s="120"/>
      <c r="S582" s="120"/>
      <c r="T582" s="221"/>
      <c r="U582" s="89"/>
      <c r="V582" s="61"/>
      <c r="W582" s="92" t="s">
        <v>1305</v>
      </c>
      <c r="X582" s="93" t="s">
        <v>30</v>
      </c>
      <c r="Y582" s="93" t="s">
        <v>35</v>
      </c>
      <c r="Z582" s="134">
        <f>VLOOKUP(W582,Sheet2!$B:$D,3,FALSE)</f>
        <v>387</v>
      </c>
      <c r="AA582" s="93">
        <v>1</v>
      </c>
      <c r="AB582" s="93">
        <f t="shared" ref="AB582" si="518">AD582/AC581</f>
        <v>387</v>
      </c>
      <c r="AC582" s="93">
        <f>AC581/AA582</f>
        <v>24.925000000000068</v>
      </c>
      <c r="AD582" s="94">
        <f t="shared" ref="AD582:AD583" si="519">AC582*Z582</f>
        <v>9645.9750000000258</v>
      </c>
      <c r="AE582" s="190"/>
      <c r="AF582" s="191"/>
      <c r="AG582" s="191"/>
      <c r="AH582" s="191"/>
      <c r="AI582" s="186"/>
      <c r="AK582" s="171"/>
    </row>
    <row r="583" spans="1:41" s="102" customFormat="1" ht="19.899999999999999" customHeight="1" x14ac:dyDescent="0.25">
      <c r="A583" s="45"/>
      <c r="B583" s="59"/>
      <c r="C583" s="137"/>
      <c r="D583" s="59"/>
      <c r="E583" s="116"/>
      <c r="F583" s="120"/>
      <c r="G583" s="120"/>
      <c r="H583" s="120"/>
      <c r="I583" s="60"/>
      <c r="J583" s="116"/>
      <c r="K583" s="213"/>
      <c r="L583" s="120"/>
      <c r="M583" s="120"/>
      <c r="N583" s="167"/>
      <c r="O583" s="120"/>
      <c r="P583" s="120"/>
      <c r="Q583" s="120"/>
      <c r="R583" s="120"/>
      <c r="S583" s="120"/>
      <c r="T583" s="221"/>
      <c r="U583" s="89"/>
      <c r="V583" s="61"/>
      <c r="W583" s="92" t="s">
        <v>107</v>
      </c>
      <c r="X583" s="93" t="s">
        <v>31</v>
      </c>
      <c r="Y583" s="93" t="s">
        <v>93</v>
      </c>
      <c r="Z583" s="134">
        <f>VLOOKUP(W583,Sheet2!$B:$D,3,FALSE)</f>
        <v>17</v>
      </c>
      <c r="AA583" s="93">
        <v>0.3</v>
      </c>
      <c r="AB583" s="93">
        <f>AD583/AC581</f>
        <v>56.666666666666671</v>
      </c>
      <c r="AC583" s="93">
        <f>AC581/AA583</f>
        <v>83.08333333333357</v>
      </c>
      <c r="AD583" s="94">
        <f t="shared" si="519"/>
        <v>1412.4166666666706</v>
      </c>
      <c r="AE583" s="190"/>
      <c r="AF583" s="191"/>
      <c r="AG583" s="191"/>
      <c r="AH583" s="191"/>
      <c r="AI583" s="186"/>
      <c r="AK583" s="171"/>
    </row>
    <row r="584" spans="1:41" s="102" customFormat="1" ht="19.899999999999999" customHeight="1" x14ac:dyDescent="0.25">
      <c r="A584" s="45"/>
      <c r="B584" s="59"/>
      <c r="C584" s="137"/>
      <c r="D584" s="59"/>
      <c r="E584" s="116"/>
      <c r="F584" s="120"/>
      <c r="G584" s="120"/>
      <c r="H584" s="120"/>
      <c r="I584" s="60"/>
      <c r="J584" s="116"/>
      <c r="K584" s="213"/>
      <c r="L584" s="120"/>
      <c r="M584" s="120"/>
      <c r="N584" s="167"/>
      <c r="O584" s="120"/>
      <c r="P584" s="120"/>
      <c r="Q584" s="120"/>
      <c r="R584" s="120"/>
      <c r="S584" s="120"/>
      <c r="T584" s="221"/>
      <c r="U584" s="89"/>
      <c r="V584" s="61"/>
      <c r="W584" s="92" t="s">
        <v>112</v>
      </c>
      <c r="X584" s="93" t="s">
        <v>31</v>
      </c>
      <c r="Y584" s="93" t="s">
        <v>93</v>
      </c>
      <c r="Z584" s="134">
        <f>VLOOKUP(W584,Sheet2!$B:$D,3,FALSE)</f>
        <v>13</v>
      </c>
      <c r="AA584" s="93">
        <f>AA583</f>
        <v>0.3</v>
      </c>
      <c r="AB584" s="93">
        <f>AD584/AC581</f>
        <v>43.333333333333343</v>
      </c>
      <c r="AC584" s="93">
        <f>AC581/AA584</f>
        <v>83.08333333333357</v>
      </c>
      <c r="AD584" s="94">
        <f>AC584*Z584</f>
        <v>1080.0833333333364</v>
      </c>
      <c r="AE584" s="190"/>
      <c r="AF584" s="191"/>
      <c r="AG584" s="191"/>
      <c r="AH584" s="191"/>
      <c r="AI584" s="186"/>
      <c r="AK584" s="171"/>
    </row>
    <row r="585" spans="1:41" ht="20.100000000000001" customHeight="1" x14ac:dyDescent="0.25">
      <c r="A585" s="277" t="s">
        <v>216</v>
      </c>
      <c r="B585" s="278"/>
      <c r="C585" s="64" t="s">
        <v>269</v>
      </c>
      <c r="D585" s="46" t="s">
        <v>215</v>
      </c>
      <c r="E585" s="114">
        <v>0.89999999999999503</v>
      </c>
      <c r="F585" s="44">
        <v>2046</v>
      </c>
      <c r="G585" s="44">
        <f t="shared" si="425"/>
        <v>1841.3999999999899</v>
      </c>
      <c r="H585" s="44">
        <f t="shared" si="426"/>
        <v>529</v>
      </c>
      <c r="I585" s="43">
        <f t="shared" si="427"/>
        <v>476.09999999999735</v>
      </c>
      <c r="J585" s="112">
        <f t="shared" si="428"/>
        <v>0.89999999999999503</v>
      </c>
      <c r="K585" s="211">
        <f t="shared" si="429"/>
        <v>0.89999999999999503</v>
      </c>
      <c r="L585" s="44"/>
      <c r="M585" s="44">
        <f t="shared" si="435"/>
        <v>0.89999999999999503</v>
      </c>
      <c r="N585" s="173">
        <f t="shared" si="430"/>
        <v>1</v>
      </c>
      <c r="O585" s="44">
        <f t="shared" si="431"/>
        <v>2046</v>
      </c>
      <c r="P585" s="44">
        <f t="shared" si="432"/>
        <v>1841.3999999999899</v>
      </c>
      <c r="Q585" s="44">
        <f t="shared" si="433"/>
        <v>529</v>
      </c>
      <c r="R585" s="44">
        <f t="shared" si="436"/>
        <v>476.09999999999735</v>
      </c>
      <c r="S585" s="123"/>
      <c r="T585" s="219">
        <f t="shared" si="437"/>
        <v>476.09999999999735</v>
      </c>
      <c r="U585" s="87"/>
      <c r="V585" s="47"/>
      <c r="W585" s="48"/>
      <c r="X585" s="48"/>
      <c r="Y585" s="48"/>
      <c r="Z585" s="135"/>
      <c r="AA585" s="49"/>
      <c r="AB585" s="50">
        <f t="shared" si="434"/>
        <v>529</v>
      </c>
      <c r="AC585" s="42">
        <f t="shared" si="438"/>
        <v>0.89999999999999503</v>
      </c>
      <c r="AD585" s="90">
        <f>AD586</f>
        <v>476.09999999999735</v>
      </c>
      <c r="AE585" s="188">
        <f t="shared" ref="AE585:AH585" si="520">AE586</f>
        <v>0</v>
      </c>
      <c r="AF585" s="189">
        <f t="shared" si="520"/>
        <v>0</v>
      </c>
      <c r="AG585" s="189">
        <f t="shared" si="520"/>
        <v>0</v>
      </c>
      <c r="AH585" s="189">
        <f t="shared" si="520"/>
        <v>0</v>
      </c>
      <c r="AI585" s="161">
        <f t="shared" ref="AI585:AI586" si="521">SUM(AE585:AH585)</f>
        <v>0</v>
      </c>
      <c r="AK585" s="169">
        <v>5</v>
      </c>
      <c r="AO585" s="19" t="s">
        <v>63</v>
      </c>
    </row>
    <row r="586" spans="1:41" s="103" customFormat="1" ht="19.899999999999999" customHeight="1" x14ac:dyDescent="0.25">
      <c r="A586" s="51"/>
      <c r="B586" s="52"/>
      <c r="C586" s="165"/>
      <c r="D586" s="52"/>
      <c r="E586" s="115"/>
      <c r="F586" s="58"/>
      <c r="G586" s="58"/>
      <c r="H586" s="58"/>
      <c r="I586" s="55"/>
      <c r="J586" s="113">
        <f>J585</f>
        <v>0.89999999999999503</v>
      </c>
      <c r="K586" s="212">
        <f>K585</f>
        <v>0.89999999999999503</v>
      </c>
      <c r="L586" s="58"/>
      <c r="M586" s="58">
        <f>K586-L586</f>
        <v>0.89999999999999503</v>
      </c>
      <c r="N586" s="166"/>
      <c r="O586" s="58"/>
      <c r="P586" s="58"/>
      <c r="Q586" s="58"/>
      <c r="R586" s="58"/>
      <c r="S586" s="58"/>
      <c r="T586" s="220"/>
      <c r="U586" s="88"/>
      <c r="V586" s="56"/>
      <c r="W586" s="57" t="s">
        <v>1294</v>
      </c>
      <c r="X586" s="53"/>
      <c r="Y586" s="91" t="s">
        <v>35</v>
      </c>
      <c r="Z586" s="136">
        <f>AD586/AC586</f>
        <v>529</v>
      </c>
      <c r="AA586" s="58"/>
      <c r="AB586" s="53">
        <f>AD586/AC586</f>
        <v>529</v>
      </c>
      <c r="AC586" s="53">
        <f>M586+$AE$10</f>
        <v>0.89999999999999503</v>
      </c>
      <c r="AD586" s="54">
        <f>SUM(AD587:AD589)</f>
        <v>476.09999999999735</v>
      </c>
      <c r="AE586" s="184">
        <f>SUMIFS($AD$37:$AD$12971,$V$37:$V$12971,$V586,$X$37:$X$12971,AE$13)</f>
        <v>0</v>
      </c>
      <c r="AF586" s="185">
        <f>SUMIFS($AD$37:$AD$12971,$V$37:$V$12971,$V586,$X$37:$X$12971,AF$13)</f>
        <v>0</v>
      </c>
      <c r="AG586" s="185">
        <f>SUMIFS($AD$37:$AD$12971,$V$37:$V$12971,$V586,$X$37:$X$12971,AG$13)</f>
        <v>0</v>
      </c>
      <c r="AH586" s="187">
        <f>SUMIFS($AD$37:$AD$12971,$V$37:$V$12971,$V586,$X$37:$X$12971,AH$13)</f>
        <v>0</v>
      </c>
      <c r="AI586" s="161">
        <f t="shared" si="521"/>
        <v>0</v>
      </c>
      <c r="AK586" s="172"/>
    </row>
    <row r="587" spans="1:41" s="102" customFormat="1" ht="19.899999999999999" customHeight="1" x14ac:dyDescent="0.25">
      <c r="A587" s="45"/>
      <c r="B587" s="59"/>
      <c r="C587" s="137"/>
      <c r="D587" s="59"/>
      <c r="E587" s="116"/>
      <c r="F587" s="120"/>
      <c r="G587" s="120"/>
      <c r="H587" s="120"/>
      <c r="I587" s="60"/>
      <c r="J587" s="116"/>
      <c r="K587" s="213"/>
      <c r="L587" s="120"/>
      <c r="M587" s="120"/>
      <c r="N587" s="167"/>
      <c r="O587" s="120"/>
      <c r="P587" s="120"/>
      <c r="Q587" s="120"/>
      <c r="R587" s="120"/>
      <c r="S587" s="120"/>
      <c r="T587" s="221"/>
      <c r="U587" s="89"/>
      <c r="V587" s="61"/>
      <c r="W587" s="92" t="s">
        <v>1306</v>
      </c>
      <c r="X587" s="93" t="s">
        <v>30</v>
      </c>
      <c r="Y587" s="93" t="s">
        <v>35</v>
      </c>
      <c r="Z587" s="134">
        <f>VLOOKUP(W587,Sheet2!$B:$D,3,FALSE)</f>
        <v>429</v>
      </c>
      <c r="AA587" s="93">
        <v>1</v>
      </c>
      <c r="AB587" s="93">
        <f t="shared" ref="AB587" si="522">AD587/AC586</f>
        <v>429</v>
      </c>
      <c r="AC587" s="93">
        <f>AC586/AA587</f>
        <v>0.89999999999999503</v>
      </c>
      <c r="AD587" s="94">
        <f t="shared" ref="AD587:AD588" si="523">AC587*Z587</f>
        <v>386.09999999999786</v>
      </c>
      <c r="AE587" s="190"/>
      <c r="AF587" s="191"/>
      <c r="AG587" s="191"/>
      <c r="AH587" s="191"/>
      <c r="AI587" s="186"/>
      <c r="AK587" s="171"/>
    </row>
    <row r="588" spans="1:41" s="102" customFormat="1" ht="19.899999999999999" customHeight="1" x14ac:dyDescent="0.25">
      <c r="A588" s="45"/>
      <c r="B588" s="59"/>
      <c r="C588" s="137"/>
      <c r="D588" s="59"/>
      <c r="E588" s="116"/>
      <c r="F588" s="120"/>
      <c r="G588" s="120"/>
      <c r="H588" s="120"/>
      <c r="I588" s="60"/>
      <c r="J588" s="116"/>
      <c r="K588" s="213"/>
      <c r="L588" s="120"/>
      <c r="M588" s="120"/>
      <c r="N588" s="167"/>
      <c r="O588" s="120"/>
      <c r="P588" s="120"/>
      <c r="Q588" s="120"/>
      <c r="R588" s="120"/>
      <c r="S588" s="120"/>
      <c r="T588" s="221"/>
      <c r="U588" s="89"/>
      <c r="V588" s="61"/>
      <c r="W588" s="92" t="s">
        <v>107</v>
      </c>
      <c r="X588" s="93" t="s">
        <v>31</v>
      </c>
      <c r="Y588" s="93" t="s">
        <v>93</v>
      </c>
      <c r="Z588" s="134">
        <f>VLOOKUP(W588,Sheet2!$B:$D,3,FALSE)</f>
        <v>17</v>
      </c>
      <c r="AA588" s="93">
        <v>0.3</v>
      </c>
      <c r="AB588" s="93">
        <f>AD588/AC586</f>
        <v>56.666666666666671</v>
      </c>
      <c r="AC588" s="93">
        <f>AC586/AA588</f>
        <v>2.9999999999999836</v>
      </c>
      <c r="AD588" s="94">
        <f t="shared" si="523"/>
        <v>50.999999999999723</v>
      </c>
      <c r="AE588" s="190"/>
      <c r="AF588" s="191"/>
      <c r="AG588" s="191"/>
      <c r="AH588" s="191"/>
      <c r="AI588" s="186"/>
      <c r="AK588" s="171"/>
    </row>
    <row r="589" spans="1:41" s="102" customFormat="1" ht="19.899999999999999" customHeight="1" x14ac:dyDescent="0.25">
      <c r="A589" s="45"/>
      <c r="B589" s="59"/>
      <c r="C589" s="137"/>
      <c r="D589" s="59"/>
      <c r="E589" s="116"/>
      <c r="F589" s="120"/>
      <c r="G589" s="120"/>
      <c r="H589" s="120"/>
      <c r="I589" s="60"/>
      <c r="J589" s="116"/>
      <c r="K589" s="213"/>
      <c r="L589" s="120"/>
      <c r="M589" s="120"/>
      <c r="N589" s="167"/>
      <c r="O589" s="120"/>
      <c r="P589" s="120"/>
      <c r="Q589" s="120"/>
      <c r="R589" s="120"/>
      <c r="S589" s="120"/>
      <c r="T589" s="221"/>
      <c r="U589" s="89"/>
      <c r="V589" s="61"/>
      <c r="W589" s="92" t="s">
        <v>112</v>
      </c>
      <c r="X589" s="93" t="s">
        <v>31</v>
      </c>
      <c r="Y589" s="93" t="s">
        <v>93</v>
      </c>
      <c r="Z589" s="134">
        <f>VLOOKUP(W589,Sheet2!$B:$D,3,FALSE)</f>
        <v>13</v>
      </c>
      <c r="AA589" s="93">
        <f>AA588</f>
        <v>0.3</v>
      </c>
      <c r="AB589" s="93">
        <f>AD589/AC586</f>
        <v>43.333333333333336</v>
      </c>
      <c r="AC589" s="93">
        <f>AC586/AA589</f>
        <v>2.9999999999999836</v>
      </c>
      <c r="AD589" s="94">
        <f>AC589*Z589</f>
        <v>38.999999999999787</v>
      </c>
      <c r="AE589" s="190"/>
      <c r="AF589" s="191"/>
      <c r="AG589" s="191"/>
      <c r="AH589" s="191"/>
      <c r="AI589" s="186"/>
      <c r="AK589" s="171"/>
    </row>
    <row r="590" spans="1:41" ht="20.100000000000001" customHeight="1" x14ac:dyDescent="0.25">
      <c r="A590" s="277" t="s">
        <v>216</v>
      </c>
      <c r="B590" s="278"/>
      <c r="C590" s="64" t="s">
        <v>270</v>
      </c>
      <c r="D590" s="46" t="s">
        <v>215</v>
      </c>
      <c r="E590" s="114">
        <v>2.5749999999999957</v>
      </c>
      <c r="F590" s="44">
        <v>2242</v>
      </c>
      <c r="G590" s="44">
        <f t="shared" si="425"/>
        <v>5773.1499999999905</v>
      </c>
      <c r="H590" s="44">
        <f t="shared" si="426"/>
        <v>637.00000000000011</v>
      </c>
      <c r="I590" s="43">
        <f t="shared" si="427"/>
        <v>1640.2749999999976</v>
      </c>
      <c r="J590" s="112">
        <f t="shared" si="428"/>
        <v>2.5749999999999957</v>
      </c>
      <c r="K590" s="211">
        <f t="shared" si="429"/>
        <v>2.5749999999999957</v>
      </c>
      <c r="L590" s="44"/>
      <c r="M590" s="44">
        <f t="shared" si="435"/>
        <v>2.5749999999999957</v>
      </c>
      <c r="N590" s="173">
        <f t="shared" si="430"/>
        <v>1</v>
      </c>
      <c r="O590" s="44">
        <f t="shared" si="431"/>
        <v>2242</v>
      </c>
      <c r="P590" s="44">
        <f t="shared" si="432"/>
        <v>5773.1499999999905</v>
      </c>
      <c r="Q590" s="44">
        <f t="shared" si="433"/>
        <v>637.00000000000011</v>
      </c>
      <c r="R590" s="44">
        <f t="shared" si="436"/>
        <v>1640.2749999999976</v>
      </c>
      <c r="S590" s="123"/>
      <c r="T590" s="219">
        <f t="shared" si="437"/>
        <v>1640.2749999999976</v>
      </c>
      <c r="U590" s="87"/>
      <c r="V590" s="47"/>
      <c r="W590" s="48"/>
      <c r="X590" s="48"/>
      <c r="Y590" s="48"/>
      <c r="Z590" s="135"/>
      <c r="AA590" s="49"/>
      <c r="AB590" s="50">
        <f t="shared" si="434"/>
        <v>637.00000000000011</v>
      </c>
      <c r="AC590" s="42">
        <f t="shared" si="438"/>
        <v>2.5749999999999957</v>
      </c>
      <c r="AD590" s="90">
        <f>AD591</f>
        <v>1640.2749999999976</v>
      </c>
      <c r="AE590" s="188">
        <f t="shared" ref="AE590:AH590" si="524">AE591</f>
        <v>0</v>
      </c>
      <c r="AF590" s="189">
        <f t="shared" si="524"/>
        <v>0</v>
      </c>
      <c r="AG590" s="189">
        <f t="shared" si="524"/>
        <v>0</v>
      </c>
      <c r="AH590" s="189">
        <f t="shared" si="524"/>
        <v>0</v>
      </c>
      <c r="AI590" s="161">
        <f t="shared" ref="AI590:AI595" si="525">SUM(AE590:AH590)</f>
        <v>0</v>
      </c>
      <c r="AK590" s="169">
        <v>5</v>
      </c>
      <c r="AO590" s="19" t="s">
        <v>63</v>
      </c>
    </row>
    <row r="591" spans="1:41" s="103" customFormat="1" ht="19.899999999999999" customHeight="1" x14ac:dyDescent="0.25">
      <c r="A591" s="51"/>
      <c r="B591" s="52"/>
      <c r="C591" s="165"/>
      <c r="D591" s="52"/>
      <c r="E591" s="115"/>
      <c r="F591" s="58"/>
      <c r="G591" s="58"/>
      <c r="H591" s="58"/>
      <c r="I591" s="55"/>
      <c r="J591" s="113">
        <f>J590</f>
        <v>2.5749999999999957</v>
      </c>
      <c r="K591" s="212">
        <f>K590</f>
        <v>2.5749999999999957</v>
      </c>
      <c r="L591" s="58"/>
      <c r="M591" s="58">
        <f>K591-L591</f>
        <v>2.5749999999999957</v>
      </c>
      <c r="N591" s="166"/>
      <c r="O591" s="58"/>
      <c r="P591" s="58"/>
      <c r="Q591" s="58"/>
      <c r="R591" s="58"/>
      <c r="S591" s="58"/>
      <c r="T591" s="220"/>
      <c r="U591" s="88"/>
      <c r="V591" s="56"/>
      <c r="W591" s="57" t="s">
        <v>1294</v>
      </c>
      <c r="X591" s="53"/>
      <c r="Y591" s="91" t="s">
        <v>35</v>
      </c>
      <c r="Z591" s="136">
        <f>AD591/AC591</f>
        <v>637.00000000000011</v>
      </c>
      <c r="AA591" s="58"/>
      <c r="AB591" s="53">
        <f>AD591/AC591</f>
        <v>637.00000000000011</v>
      </c>
      <c r="AC591" s="53">
        <f>M591+$AE$10</f>
        <v>2.5749999999999957</v>
      </c>
      <c r="AD591" s="54">
        <f>SUM(AD592:AD594)</f>
        <v>1640.2749999999976</v>
      </c>
      <c r="AE591" s="184">
        <f>SUMIFS($AD$37:$AD$12971,$V$37:$V$12971,$V591,$X$37:$X$12971,AE$13)</f>
        <v>0</v>
      </c>
      <c r="AF591" s="185">
        <f>SUMIFS($AD$37:$AD$12971,$V$37:$V$12971,$V591,$X$37:$X$12971,AF$13)</f>
        <v>0</v>
      </c>
      <c r="AG591" s="185">
        <f>SUMIFS($AD$37:$AD$12971,$V$37:$V$12971,$V591,$X$37:$X$12971,AG$13)</f>
        <v>0</v>
      </c>
      <c r="AH591" s="187">
        <f>SUMIFS($AD$37:$AD$12971,$V$37:$V$12971,$V591,$X$37:$X$12971,AH$13)</f>
        <v>0</v>
      </c>
      <c r="AI591" s="161">
        <f t="shared" si="525"/>
        <v>0</v>
      </c>
      <c r="AK591" s="172"/>
    </row>
    <row r="592" spans="1:41" s="102" customFormat="1" ht="19.899999999999999" customHeight="1" x14ac:dyDescent="0.25">
      <c r="A592" s="45"/>
      <c r="B592" s="59"/>
      <c r="C592" s="137"/>
      <c r="D592" s="59"/>
      <c r="E592" s="116"/>
      <c r="F592" s="120"/>
      <c r="G592" s="120"/>
      <c r="H592" s="120"/>
      <c r="I592" s="60"/>
      <c r="J592" s="116"/>
      <c r="K592" s="213"/>
      <c r="L592" s="120"/>
      <c r="M592" s="120"/>
      <c r="N592" s="167"/>
      <c r="O592" s="120"/>
      <c r="P592" s="120"/>
      <c r="Q592" s="120"/>
      <c r="R592" s="120"/>
      <c r="S592" s="120"/>
      <c r="T592" s="221"/>
      <c r="U592" s="89"/>
      <c r="V592" s="61"/>
      <c r="W592" s="92" t="s">
        <v>1307</v>
      </c>
      <c r="X592" s="93" t="s">
        <v>30</v>
      </c>
      <c r="Y592" s="93" t="s">
        <v>35</v>
      </c>
      <c r="Z592" s="134">
        <f>VLOOKUP(W592,Sheet2!$B:$D,3,FALSE)</f>
        <v>537</v>
      </c>
      <c r="AA592" s="93">
        <v>1</v>
      </c>
      <c r="AB592" s="93">
        <f t="shared" ref="AB592" si="526">AD592/AC591</f>
        <v>537</v>
      </c>
      <c r="AC592" s="93">
        <f>AC591/AA592</f>
        <v>2.5749999999999957</v>
      </c>
      <c r="AD592" s="94">
        <f t="shared" ref="AD592:AD593" si="527">AC592*Z592</f>
        <v>1382.7749999999978</v>
      </c>
      <c r="AE592" s="190"/>
      <c r="AF592" s="191"/>
      <c r="AG592" s="191"/>
      <c r="AH592" s="191"/>
      <c r="AI592" s="186"/>
      <c r="AK592" s="171"/>
    </row>
    <row r="593" spans="1:41" s="102" customFormat="1" ht="19.899999999999999" customHeight="1" x14ac:dyDescent="0.25">
      <c r="A593" s="45"/>
      <c r="B593" s="59"/>
      <c r="C593" s="137"/>
      <c r="D593" s="59"/>
      <c r="E593" s="116"/>
      <c r="F593" s="120"/>
      <c r="G593" s="120"/>
      <c r="H593" s="120"/>
      <c r="I593" s="60"/>
      <c r="J593" s="116"/>
      <c r="K593" s="213"/>
      <c r="L593" s="120"/>
      <c r="M593" s="120"/>
      <c r="N593" s="167"/>
      <c r="O593" s="120"/>
      <c r="P593" s="120"/>
      <c r="Q593" s="120"/>
      <c r="R593" s="120"/>
      <c r="S593" s="120"/>
      <c r="T593" s="221"/>
      <c r="U593" s="89"/>
      <c r="V593" s="61"/>
      <c r="W593" s="92" t="s">
        <v>107</v>
      </c>
      <c r="X593" s="93" t="s">
        <v>31</v>
      </c>
      <c r="Y593" s="93" t="s">
        <v>93</v>
      </c>
      <c r="Z593" s="134">
        <f>VLOOKUP(W593,Sheet2!$B:$D,3,FALSE)</f>
        <v>17</v>
      </c>
      <c r="AA593" s="93">
        <v>0.3</v>
      </c>
      <c r="AB593" s="93">
        <f>AD593/AC591</f>
        <v>56.666666666666671</v>
      </c>
      <c r="AC593" s="93">
        <f>AC591/AA593</f>
        <v>8.5833333333333197</v>
      </c>
      <c r="AD593" s="94">
        <f t="shared" si="527"/>
        <v>145.91666666666643</v>
      </c>
      <c r="AE593" s="190"/>
      <c r="AF593" s="191"/>
      <c r="AG593" s="191"/>
      <c r="AH593" s="191"/>
      <c r="AI593" s="186"/>
      <c r="AK593" s="171"/>
    </row>
    <row r="594" spans="1:41" s="102" customFormat="1" ht="19.899999999999999" customHeight="1" x14ac:dyDescent="0.25">
      <c r="A594" s="45"/>
      <c r="B594" s="59"/>
      <c r="C594" s="137"/>
      <c r="D594" s="59"/>
      <c r="E594" s="116"/>
      <c r="F594" s="120"/>
      <c r="G594" s="120"/>
      <c r="H594" s="120"/>
      <c r="I594" s="60"/>
      <c r="J594" s="116"/>
      <c r="K594" s="213"/>
      <c r="L594" s="120"/>
      <c r="M594" s="120"/>
      <c r="N594" s="167"/>
      <c r="O594" s="120"/>
      <c r="P594" s="120"/>
      <c r="Q594" s="120"/>
      <c r="R594" s="120"/>
      <c r="S594" s="120"/>
      <c r="T594" s="221"/>
      <c r="U594" s="89"/>
      <c r="V594" s="61"/>
      <c r="W594" s="92" t="s">
        <v>112</v>
      </c>
      <c r="X594" s="93" t="s">
        <v>31</v>
      </c>
      <c r="Y594" s="93" t="s">
        <v>93</v>
      </c>
      <c r="Z594" s="134">
        <f>VLOOKUP(W594,Sheet2!$B:$D,3,FALSE)</f>
        <v>13</v>
      </c>
      <c r="AA594" s="93">
        <f>AA593</f>
        <v>0.3</v>
      </c>
      <c r="AB594" s="93">
        <f>AD594/AC591</f>
        <v>43.333333333333336</v>
      </c>
      <c r="AC594" s="93">
        <f>AC591/AA594</f>
        <v>8.5833333333333197</v>
      </c>
      <c r="AD594" s="94">
        <f>AC594*Z594</f>
        <v>111.58333333333316</v>
      </c>
      <c r="AE594" s="190"/>
      <c r="AF594" s="191"/>
      <c r="AG594" s="191"/>
      <c r="AH594" s="191"/>
      <c r="AI594" s="186"/>
      <c r="AK594" s="171"/>
    </row>
    <row r="595" spans="1:41" ht="20.100000000000001" customHeight="1" x14ac:dyDescent="0.25">
      <c r="A595" s="277" t="s">
        <v>216</v>
      </c>
      <c r="B595" s="278"/>
      <c r="C595" s="64" t="s">
        <v>271</v>
      </c>
      <c r="D595" s="46" t="s">
        <v>215</v>
      </c>
      <c r="E595" s="114">
        <v>4.3</v>
      </c>
      <c r="F595" s="44">
        <v>2462</v>
      </c>
      <c r="G595" s="44">
        <f t="shared" si="425"/>
        <v>10586.6</v>
      </c>
      <c r="H595" s="44">
        <f t="shared" si="426"/>
        <v>655</v>
      </c>
      <c r="I595" s="43">
        <f t="shared" si="427"/>
        <v>2816.5</v>
      </c>
      <c r="J595" s="112">
        <f t="shared" si="428"/>
        <v>4.3</v>
      </c>
      <c r="K595" s="211">
        <f t="shared" si="429"/>
        <v>4.3</v>
      </c>
      <c r="L595" s="44"/>
      <c r="M595" s="44">
        <f t="shared" si="435"/>
        <v>4.3</v>
      </c>
      <c r="N595" s="173">
        <f t="shared" si="430"/>
        <v>1</v>
      </c>
      <c r="O595" s="44">
        <f t="shared" si="431"/>
        <v>2462</v>
      </c>
      <c r="P595" s="44">
        <f t="shared" si="432"/>
        <v>10586.6</v>
      </c>
      <c r="Q595" s="44">
        <f t="shared" si="433"/>
        <v>655</v>
      </c>
      <c r="R595" s="44">
        <f t="shared" si="436"/>
        <v>2816.5</v>
      </c>
      <c r="S595" s="123"/>
      <c r="T595" s="219">
        <f t="shared" si="437"/>
        <v>2816.5</v>
      </c>
      <c r="U595" s="87"/>
      <c r="V595" s="47"/>
      <c r="W595" s="48"/>
      <c r="X595" s="48"/>
      <c r="Y595" s="48"/>
      <c r="Z595" s="135"/>
      <c r="AA595" s="49"/>
      <c r="AB595" s="50">
        <f t="shared" si="434"/>
        <v>655</v>
      </c>
      <c r="AC595" s="42">
        <f t="shared" si="438"/>
        <v>4.3</v>
      </c>
      <c r="AD595" s="90">
        <f>AD596</f>
        <v>2816.5</v>
      </c>
      <c r="AE595" s="188">
        <f t="shared" ref="AE595:AH595" si="528">AE596</f>
        <v>0</v>
      </c>
      <c r="AF595" s="189">
        <f t="shared" si="528"/>
        <v>0</v>
      </c>
      <c r="AG595" s="189">
        <f t="shared" si="528"/>
        <v>0</v>
      </c>
      <c r="AH595" s="189">
        <f t="shared" si="528"/>
        <v>0</v>
      </c>
      <c r="AI595" s="161">
        <f t="shared" si="525"/>
        <v>0</v>
      </c>
      <c r="AK595" s="169">
        <v>5</v>
      </c>
      <c r="AO595" s="19" t="s">
        <v>63</v>
      </c>
    </row>
    <row r="596" spans="1:41" s="103" customFormat="1" ht="19.899999999999999" customHeight="1" x14ac:dyDescent="0.25">
      <c r="A596" s="51"/>
      <c r="B596" s="52"/>
      <c r="C596" s="165"/>
      <c r="D596" s="52"/>
      <c r="E596" s="115"/>
      <c r="F596" s="58"/>
      <c r="G596" s="58"/>
      <c r="H596" s="58"/>
      <c r="I596" s="55"/>
      <c r="J596" s="113">
        <f>J595</f>
        <v>4.3</v>
      </c>
      <c r="K596" s="212">
        <f>K595</f>
        <v>4.3</v>
      </c>
      <c r="L596" s="58"/>
      <c r="M596" s="58">
        <f>K596-L596</f>
        <v>4.3</v>
      </c>
      <c r="N596" s="166"/>
      <c r="O596" s="58"/>
      <c r="P596" s="58"/>
      <c r="Q596" s="58"/>
      <c r="R596" s="58"/>
      <c r="S596" s="58"/>
      <c r="T596" s="220"/>
      <c r="U596" s="88"/>
      <c r="V596" s="56"/>
      <c r="W596" s="57" t="s">
        <v>1294</v>
      </c>
      <c r="X596" s="53"/>
      <c r="Y596" s="91" t="s">
        <v>35</v>
      </c>
      <c r="Z596" s="136">
        <f>AD596/AC596</f>
        <v>655</v>
      </c>
      <c r="AA596" s="58"/>
      <c r="AB596" s="53">
        <f>AD596/AC596</f>
        <v>655</v>
      </c>
      <c r="AC596" s="53">
        <f>M596+$AE$10</f>
        <v>4.3</v>
      </c>
      <c r="AD596" s="54">
        <f>SUM(AD597:AD599)</f>
        <v>2816.5</v>
      </c>
      <c r="AE596" s="184">
        <f>SUMIFS($AD$37:$AD$12971,$V$37:$V$12971,$V596,$X$37:$X$12971,AE$13)</f>
        <v>0</v>
      </c>
      <c r="AF596" s="185">
        <f>SUMIFS($AD$37:$AD$12971,$V$37:$V$12971,$V596,$X$37:$X$12971,AF$13)</f>
        <v>0</v>
      </c>
      <c r="AG596" s="185">
        <f>SUMIFS($AD$37:$AD$12971,$V$37:$V$12971,$V596,$X$37:$X$12971,AG$13)</f>
        <v>0</v>
      </c>
      <c r="AH596" s="187">
        <f>SUMIFS($AD$37:$AD$12971,$V$37:$V$12971,$V596,$X$37:$X$12971,AH$13)</f>
        <v>0</v>
      </c>
      <c r="AI596" s="161">
        <f t="shared" ref="AI596" si="529">SUM(AE596:AH596)</f>
        <v>0</v>
      </c>
      <c r="AK596" s="172"/>
    </row>
    <row r="597" spans="1:41" s="102" customFormat="1" ht="19.899999999999999" customHeight="1" x14ac:dyDescent="0.25">
      <c r="A597" s="45"/>
      <c r="B597" s="59"/>
      <c r="C597" s="137"/>
      <c r="D597" s="59"/>
      <c r="E597" s="116"/>
      <c r="F597" s="120"/>
      <c r="G597" s="120"/>
      <c r="H597" s="120"/>
      <c r="I597" s="60"/>
      <c r="J597" s="116"/>
      <c r="K597" s="213"/>
      <c r="L597" s="120"/>
      <c r="M597" s="120"/>
      <c r="N597" s="167"/>
      <c r="O597" s="120"/>
      <c r="P597" s="120"/>
      <c r="Q597" s="120"/>
      <c r="R597" s="120"/>
      <c r="S597" s="120"/>
      <c r="T597" s="221"/>
      <c r="U597" s="89"/>
      <c r="V597" s="61"/>
      <c r="W597" s="92" t="s">
        <v>1308</v>
      </c>
      <c r="X597" s="93" t="s">
        <v>30</v>
      </c>
      <c r="Y597" s="93" t="s">
        <v>35</v>
      </c>
      <c r="Z597" s="134">
        <f>VLOOKUP(W597,Sheet2!$B:$D,3,FALSE)</f>
        <v>555</v>
      </c>
      <c r="AA597" s="93">
        <v>1</v>
      </c>
      <c r="AB597" s="93">
        <f t="shared" ref="AB597" si="530">AD597/AC596</f>
        <v>555</v>
      </c>
      <c r="AC597" s="93">
        <f>AC596/AA597</f>
        <v>4.3</v>
      </c>
      <c r="AD597" s="94">
        <f t="shared" ref="AD597:AD598" si="531">AC597*Z597</f>
        <v>2386.5</v>
      </c>
      <c r="AE597" s="190"/>
      <c r="AF597" s="191"/>
      <c r="AG597" s="191"/>
      <c r="AH597" s="191"/>
      <c r="AI597" s="186"/>
      <c r="AK597" s="171"/>
    </row>
    <row r="598" spans="1:41" s="102" customFormat="1" ht="19.899999999999999" customHeight="1" x14ac:dyDescent="0.25">
      <c r="A598" s="45"/>
      <c r="B598" s="59"/>
      <c r="C598" s="137"/>
      <c r="D598" s="59"/>
      <c r="E598" s="116"/>
      <c r="F598" s="120"/>
      <c r="G598" s="120"/>
      <c r="H598" s="120"/>
      <c r="I598" s="60"/>
      <c r="J598" s="116"/>
      <c r="K598" s="213"/>
      <c r="L598" s="120"/>
      <c r="M598" s="120"/>
      <c r="N598" s="167"/>
      <c r="O598" s="120"/>
      <c r="P598" s="120"/>
      <c r="Q598" s="120"/>
      <c r="R598" s="120"/>
      <c r="S598" s="120"/>
      <c r="T598" s="221"/>
      <c r="U598" s="89"/>
      <c r="V598" s="61"/>
      <c r="W598" s="92" t="s">
        <v>107</v>
      </c>
      <c r="X598" s="93" t="s">
        <v>31</v>
      </c>
      <c r="Y598" s="93" t="s">
        <v>93</v>
      </c>
      <c r="Z598" s="134">
        <f>VLOOKUP(W598,Sheet2!$B:$D,3,FALSE)</f>
        <v>17</v>
      </c>
      <c r="AA598" s="93">
        <v>0.3</v>
      </c>
      <c r="AB598" s="93">
        <f>AD598/AC596</f>
        <v>56.666666666666671</v>
      </c>
      <c r="AC598" s="93">
        <f>AC596/AA598</f>
        <v>14.333333333333334</v>
      </c>
      <c r="AD598" s="94">
        <f t="shared" si="531"/>
        <v>243.66666666666669</v>
      </c>
      <c r="AE598" s="190"/>
      <c r="AF598" s="191"/>
      <c r="AG598" s="191"/>
      <c r="AH598" s="191"/>
      <c r="AI598" s="186"/>
      <c r="AK598" s="171"/>
    </row>
    <row r="599" spans="1:41" s="102" customFormat="1" ht="19.899999999999999" customHeight="1" x14ac:dyDescent="0.25">
      <c r="A599" s="45"/>
      <c r="B599" s="59"/>
      <c r="C599" s="137"/>
      <c r="D599" s="59"/>
      <c r="E599" s="116"/>
      <c r="F599" s="120"/>
      <c r="G599" s="120"/>
      <c r="H599" s="120"/>
      <c r="I599" s="60"/>
      <c r="J599" s="116"/>
      <c r="K599" s="213"/>
      <c r="L599" s="120"/>
      <c r="M599" s="120"/>
      <c r="N599" s="167"/>
      <c r="O599" s="120"/>
      <c r="P599" s="120"/>
      <c r="Q599" s="120"/>
      <c r="R599" s="120"/>
      <c r="S599" s="120"/>
      <c r="T599" s="221"/>
      <c r="U599" s="89"/>
      <c r="V599" s="61"/>
      <c r="W599" s="92" t="s">
        <v>112</v>
      </c>
      <c r="X599" s="93" t="s">
        <v>31</v>
      </c>
      <c r="Y599" s="93" t="s">
        <v>93</v>
      </c>
      <c r="Z599" s="134">
        <f>VLOOKUP(W599,Sheet2!$B:$D,3,FALSE)</f>
        <v>13</v>
      </c>
      <c r="AA599" s="93">
        <f>AA598</f>
        <v>0.3</v>
      </c>
      <c r="AB599" s="93">
        <f>AD599/AC596</f>
        <v>43.333333333333336</v>
      </c>
      <c r="AC599" s="93">
        <f>AC596/AA599</f>
        <v>14.333333333333334</v>
      </c>
      <c r="AD599" s="94">
        <f>AC599*Z599</f>
        <v>186.33333333333334</v>
      </c>
      <c r="AE599" s="190"/>
      <c r="AF599" s="191"/>
      <c r="AG599" s="191"/>
      <c r="AH599" s="191"/>
      <c r="AI599" s="186"/>
      <c r="AK599" s="171"/>
    </row>
    <row r="600" spans="1:41" ht="20.100000000000001" customHeight="1" x14ac:dyDescent="0.25">
      <c r="A600" s="277" t="s">
        <v>216</v>
      </c>
      <c r="B600" s="278"/>
      <c r="C600" s="64" t="s">
        <v>272</v>
      </c>
      <c r="D600" s="46" t="s">
        <v>215</v>
      </c>
      <c r="E600" s="114">
        <v>8.8749999999999929</v>
      </c>
      <c r="F600" s="44">
        <v>2700</v>
      </c>
      <c r="G600" s="44">
        <f t="shared" si="425"/>
        <v>23962.499999999982</v>
      </c>
      <c r="H600" s="44">
        <f t="shared" si="426"/>
        <v>670</v>
      </c>
      <c r="I600" s="43">
        <f t="shared" si="427"/>
        <v>5946.2499999999955</v>
      </c>
      <c r="J600" s="112">
        <f t="shared" si="428"/>
        <v>8.8749999999999929</v>
      </c>
      <c r="K600" s="211">
        <f t="shared" si="429"/>
        <v>8.8749999999999929</v>
      </c>
      <c r="L600" s="44"/>
      <c r="M600" s="44">
        <f t="shared" si="435"/>
        <v>8.8749999999999929</v>
      </c>
      <c r="N600" s="173">
        <f t="shared" si="430"/>
        <v>1</v>
      </c>
      <c r="O600" s="44">
        <f t="shared" si="431"/>
        <v>2700</v>
      </c>
      <c r="P600" s="44">
        <f t="shared" si="432"/>
        <v>23962.499999999982</v>
      </c>
      <c r="Q600" s="44">
        <f t="shared" si="433"/>
        <v>670</v>
      </c>
      <c r="R600" s="44">
        <f t="shared" si="436"/>
        <v>5946.2499999999955</v>
      </c>
      <c r="S600" s="123"/>
      <c r="T600" s="219">
        <f t="shared" si="437"/>
        <v>5946.2499999999955</v>
      </c>
      <c r="U600" s="87"/>
      <c r="V600" s="47"/>
      <c r="W600" s="48"/>
      <c r="X600" s="48"/>
      <c r="Y600" s="48"/>
      <c r="Z600" s="135"/>
      <c r="AA600" s="49"/>
      <c r="AB600" s="50">
        <f t="shared" si="434"/>
        <v>670</v>
      </c>
      <c r="AC600" s="42">
        <f t="shared" si="438"/>
        <v>8.8749999999999929</v>
      </c>
      <c r="AD600" s="90">
        <f>AD601</f>
        <v>5946.2499999999955</v>
      </c>
      <c r="AE600" s="188">
        <f t="shared" ref="AE600:AH600" si="532">AE601</f>
        <v>0</v>
      </c>
      <c r="AF600" s="189">
        <f t="shared" si="532"/>
        <v>0</v>
      </c>
      <c r="AG600" s="189">
        <f t="shared" si="532"/>
        <v>0</v>
      </c>
      <c r="AH600" s="189">
        <f t="shared" si="532"/>
        <v>0</v>
      </c>
      <c r="AI600" s="161">
        <f t="shared" ref="AI600:AI601" si="533">SUM(AE600:AH600)</f>
        <v>0</v>
      </c>
      <c r="AK600" s="169">
        <v>5</v>
      </c>
      <c r="AO600" s="19" t="s">
        <v>63</v>
      </c>
    </row>
    <row r="601" spans="1:41" s="103" customFormat="1" ht="19.899999999999999" customHeight="1" x14ac:dyDescent="0.25">
      <c r="A601" s="51"/>
      <c r="B601" s="52"/>
      <c r="C601" s="165"/>
      <c r="D601" s="52"/>
      <c r="E601" s="115"/>
      <c r="F601" s="58"/>
      <c r="G601" s="58"/>
      <c r="H601" s="58"/>
      <c r="I601" s="55"/>
      <c r="J601" s="113">
        <f>J600</f>
        <v>8.8749999999999929</v>
      </c>
      <c r="K601" s="212">
        <f>K600</f>
        <v>8.8749999999999929</v>
      </c>
      <c r="L601" s="58"/>
      <c r="M601" s="58">
        <f>K601-L601</f>
        <v>8.8749999999999929</v>
      </c>
      <c r="N601" s="166"/>
      <c r="O601" s="58"/>
      <c r="P601" s="58"/>
      <c r="Q601" s="58"/>
      <c r="R601" s="58"/>
      <c r="S601" s="58"/>
      <c r="T601" s="220"/>
      <c r="U601" s="88"/>
      <c r="V601" s="56"/>
      <c r="W601" s="57" t="s">
        <v>1294</v>
      </c>
      <c r="X601" s="53"/>
      <c r="Y601" s="91" t="s">
        <v>35</v>
      </c>
      <c r="Z601" s="136">
        <f>AD601/AC601</f>
        <v>670</v>
      </c>
      <c r="AA601" s="58"/>
      <c r="AB601" s="53">
        <f>AD601/AC601</f>
        <v>670</v>
      </c>
      <c r="AC601" s="53">
        <f>M601+$AE$10</f>
        <v>8.8749999999999929</v>
      </c>
      <c r="AD601" s="54">
        <f>SUM(AD602:AD604)</f>
        <v>5946.2499999999955</v>
      </c>
      <c r="AE601" s="184">
        <f>SUMIFS($AD$37:$AD$12971,$V$37:$V$12971,$V601,$X$37:$X$12971,AE$13)</f>
        <v>0</v>
      </c>
      <c r="AF601" s="185">
        <f>SUMIFS($AD$37:$AD$12971,$V$37:$V$12971,$V601,$X$37:$X$12971,AF$13)</f>
        <v>0</v>
      </c>
      <c r="AG601" s="185">
        <f>SUMIFS($AD$37:$AD$12971,$V$37:$V$12971,$V601,$X$37:$X$12971,AG$13)</f>
        <v>0</v>
      </c>
      <c r="AH601" s="187">
        <f>SUMIFS($AD$37:$AD$12971,$V$37:$V$12971,$V601,$X$37:$X$12971,AH$13)</f>
        <v>0</v>
      </c>
      <c r="AI601" s="161">
        <f t="shared" si="533"/>
        <v>0</v>
      </c>
      <c r="AK601" s="172"/>
    </row>
    <row r="602" spans="1:41" s="102" customFormat="1" ht="19.899999999999999" customHeight="1" x14ac:dyDescent="0.25">
      <c r="A602" s="45"/>
      <c r="B602" s="59"/>
      <c r="C602" s="137"/>
      <c r="D602" s="59"/>
      <c r="E602" s="116"/>
      <c r="F602" s="120"/>
      <c r="G602" s="120"/>
      <c r="H602" s="120"/>
      <c r="I602" s="60"/>
      <c r="J602" s="116"/>
      <c r="K602" s="213"/>
      <c r="L602" s="120"/>
      <c r="M602" s="120"/>
      <c r="N602" s="167"/>
      <c r="O602" s="120"/>
      <c r="P602" s="120"/>
      <c r="Q602" s="120"/>
      <c r="R602" s="120"/>
      <c r="S602" s="120"/>
      <c r="T602" s="221"/>
      <c r="U602" s="89"/>
      <c r="V602" s="61"/>
      <c r="W602" s="92" t="s">
        <v>1309</v>
      </c>
      <c r="X602" s="93" t="s">
        <v>30</v>
      </c>
      <c r="Y602" s="93" t="s">
        <v>35</v>
      </c>
      <c r="Z602" s="134">
        <f>VLOOKUP(W602,Sheet2!$B:$D,3,FALSE)</f>
        <v>570</v>
      </c>
      <c r="AA602" s="93">
        <v>1</v>
      </c>
      <c r="AB602" s="93">
        <f t="shared" ref="AB602" si="534">AD602/AC601</f>
        <v>570</v>
      </c>
      <c r="AC602" s="93">
        <f>AC601/AA602</f>
        <v>8.8749999999999929</v>
      </c>
      <c r="AD602" s="94">
        <f t="shared" ref="AD602:AD603" si="535">AC602*Z602</f>
        <v>5058.7499999999964</v>
      </c>
      <c r="AE602" s="190"/>
      <c r="AF602" s="191"/>
      <c r="AG602" s="191"/>
      <c r="AH602" s="191"/>
      <c r="AI602" s="186"/>
      <c r="AK602" s="171"/>
    </row>
    <row r="603" spans="1:41" s="102" customFormat="1" ht="19.899999999999999" customHeight="1" x14ac:dyDescent="0.25">
      <c r="A603" s="45"/>
      <c r="B603" s="59"/>
      <c r="C603" s="137"/>
      <c r="D603" s="59"/>
      <c r="E603" s="116"/>
      <c r="F603" s="120"/>
      <c r="G603" s="120"/>
      <c r="H603" s="120"/>
      <c r="I603" s="60"/>
      <c r="J603" s="116"/>
      <c r="K603" s="213"/>
      <c r="L603" s="120"/>
      <c r="M603" s="120"/>
      <c r="N603" s="167"/>
      <c r="O603" s="120"/>
      <c r="P603" s="120"/>
      <c r="Q603" s="120"/>
      <c r="R603" s="120"/>
      <c r="S603" s="120"/>
      <c r="T603" s="221"/>
      <c r="U603" s="89"/>
      <c r="V603" s="61"/>
      <c r="W603" s="92" t="s">
        <v>107</v>
      </c>
      <c r="X603" s="93" t="s">
        <v>31</v>
      </c>
      <c r="Y603" s="93" t="s">
        <v>93</v>
      </c>
      <c r="Z603" s="134">
        <f>VLOOKUP(W603,Sheet2!$B:$D,3,FALSE)</f>
        <v>17</v>
      </c>
      <c r="AA603" s="93">
        <v>0.3</v>
      </c>
      <c r="AB603" s="93">
        <f>AD603/AC601</f>
        <v>56.666666666666671</v>
      </c>
      <c r="AC603" s="93">
        <f>AC601/AA603</f>
        <v>29.583333333333311</v>
      </c>
      <c r="AD603" s="94">
        <f t="shared" si="535"/>
        <v>502.91666666666629</v>
      </c>
      <c r="AE603" s="190"/>
      <c r="AF603" s="191"/>
      <c r="AG603" s="191"/>
      <c r="AH603" s="191"/>
      <c r="AI603" s="186"/>
      <c r="AK603" s="171"/>
    </row>
    <row r="604" spans="1:41" s="102" customFormat="1" ht="19.899999999999999" customHeight="1" x14ac:dyDescent="0.25">
      <c r="A604" s="45"/>
      <c r="B604" s="59"/>
      <c r="C604" s="137"/>
      <c r="D604" s="59"/>
      <c r="E604" s="116"/>
      <c r="F604" s="120"/>
      <c r="G604" s="120"/>
      <c r="H604" s="120"/>
      <c r="I604" s="60"/>
      <c r="J604" s="116"/>
      <c r="K604" s="213"/>
      <c r="L604" s="120"/>
      <c r="M604" s="120"/>
      <c r="N604" s="167"/>
      <c r="O604" s="120"/>
      <c r="P604" s="120"/>
      <c r="Q604" s="120"/>
      <c r="R604" s="120"/>
      <c r="S604" s="120"/>
      <c r="T604" s="221"/>
      <c r="U604" s="89"/>
      <c r="V604" s="61"/>
      <c r="W604" s="92" t="s">
        <v>112</v>
      </c>
      <c r="X604" s="93" t="s">
        <v>31</v>
      </c>
      <c r="Y604" s="93" t="s">
        <v>93</v>
      </c>
      <c r="Z604" s="134">
        <f>VLOOKUP(W604,Sheet2!$B:$D,3,FALSE)</f>
        <v>13</v>
      </c>
      <c r="AA604" s="93">
        <f>AA603</f>
        <v>0.3</v>
      </c>
      <c r="AB604" s="93">
        <f>AD604/AC601</f>
        <v>43.333333333333336</v>
      </c>
      <c r="AC604" s="93">
        <f>AC601/AA604</f>
        <v>29.583333333333311</v>
      </c>
      <c r="AD604" s="94">
        <f>AC604*Z604</f>
        <v>384.58333333333303</v>
      </c>
      <c r="AE604" s="190"/>
      <c r="AF604" s="191"/>
      <c r="AG604" s="191"/>
      <c r="AH604" s="191"/>
      <c r="AI604" s="186"/>
      <c r="AK604" s="171"/>
    </row>
    <row r="605" spans="1:41" ht="20.100000000000001" customHeight="1" x14ac:dyDescent="0.25">
      <c r="A605" s="277" t="s">
        <v>216</v>
      </c>
      <c r="B605" s="278"/>
      <c r="C605" s="64" t="s">
        <v>273</v>
      </c>
      <c r="D605" s="46" t="s">
        <v>215</v>
      </c>
      <c r="E605" s="114">
        <v>4.2874999999999996</v>
      </c>
      <c r="F605" s="44">
        <v>2946</v>
      </c>
      <c r="G605" s="44">
        <f t="shared" si="425"/>
        <v>12630.974999999999</v>
      </c>
      <c r="H605" s="44">
        <f t="shared" si="426"/>
        <v>1185</v>
      </c>
      <c r="I605" s="43">
        <f t="shared" si="427"/>
        <v>5080.6875</v>
      </c>
      <c r="J605" s="112">
        <f t="shared" si="428"/>
        <v>4.2874999999999996</v>
      </c>
      <c r="K605" s="211">
        <f t="shared" si="429"/>
        <v>4.2874999999999996</v>
      </c>
      <c r="L605" s="44"/>
      <c r="M605" s="44">
        <f t="shared" si="435"/>
        <v>4.2874999999999996</v>
      </c>
      <c r="N605" s="173">
        <f t="shared" si="430"/>
        <v>1</v>
      </c>
      <c r="O605" s="44">
        <f t="shared" si="431"/>
        <v>2946</v>
      </c>
      <c r="P605" s="44">
        <f t="shared" si="432"/>
        <v>12630.974999999999</v>
      </c>
      <c r="Q605" s="44">
        <f t="shared" si="433"/>
        <v>1185</v>
      </c>
      <c r="R605" s="44">
        <f t="shared" si="436"/>
        <v>5080.6875</v>
      </c>
      <c r="S605" s="123"/>
      <c r="T605" s="219">
        <f t="shared" si="437"/>
        <v>5080.6875</v>
      </c>
      <c r="U605" s="87"/>
      <c r="V605" s="47"/>
      <c r="W605" s="48"/>
      <c r="X605" s="48"/>
      <c r="Y605" s="48"/>
      <c r="Z605" s="135"/>
      <c r="AA605" s="49"/>
      <c r="AB605" s="50">
        <f t="shared" si="434"/>
        <v>1185</v>
      </c>
      <c r="AC605" s="42">
        <f t="shared" si="438"/>
        <v>4.2874999999999996</v>
      </c>
      <c r="AD605" s="90">
        <f>AD606</f>
        <v>5080.6875</v>
      </c>
      <c r="AE605" s="188">
        <f t="shared" ref="AE605:AH605" si="536">AE606</f>
        <v>0</v>
      </c>
      <c r="AF605" s="189">
        <f t="shared" si="536"/>
        <v>0</v>
      </c>
      <c r="AG605" s="189">
        <f t="shared" si="536"/>
        <v>0</v>
      </c>
      <c r="AH605" s="189">
        <f t="shared" si="536"/>
        <v>0</v>
      </c>
      <c r="AI605" s="161">
        <f t="shared" ref="AI605:AI606" si="537">SUM(AE605:AH605)</f>
        <v>0</v>
      </c>
      <c r="AK605" s="169">
        <v>5</v>
      </c>
      <c r="AO605" s="19" t="s">
        <v>63</v>
      </c>
    </row>
    <row r="606" spans="1:41" s="103" customFormat="1" ht="19.899999999999999" customHeight="1" x14ac:dyDescent="0.25">
      <c r="A606" s="51"/>
      <c r="B606" s="52"/>
      <c r="C606" s="165"/>
      <c r="D606" s="52"/>
      <c r="E606" s="115"/>
      <c r="F606" s="58"/>
      <c r="G606" s="58"/>
      <c r="H606" s="58"/>
      <c r="I606" s="55"/>
      <c r="J606" s="113">
        <f>J605</f>
        <v>4.2874999999999996</v>
      </c>
      <c r="K606" s="212">
        <f>K605</f>
        <v>4.2874999999999996</v>
      </c>
      <c r="L606" s="58"/>
      <c r="M606" s="58">
        <f>K606-L606</f>
        <v>4.2874999999999996</v>
      </c>
      <c r="N606" s="166"/>
      <c r="O606" s="58"/>
      <c r="P606" s="58"/>
      <c r="Q606" s="58"/>
      <c r="R606" s="58"/>
      <c r="S606" s="58"/>
      <c r="T606" s="220"/>
      <c r="U606" s="88"/>
      <c r="V606" s="56"/>
      <c r="W606" s="57" t="s">
        <v>1294</v>
      </c>
      <c r="X606" s="53"/>
      <c r="Y606" s="91" t="s">
        <v>35</v>
      </c>
      <c r="Z606" s="136">
        <f>AD606/AC606</f>
        <v>1185</v>
      </c>
      <c r="AA606" s="58"/>
      <c r="AB606" s="53">
        <f>AD606/AC606</f>
        <v>1185</v>
      </c>
      <c r="AC606" s="53">
        <f>M606+$AE$10</f>
        <v>4.2874999999999996</v>
      </c>
      <c r="AD606" s="54">
        <f>SUM(AD607:AD609)</f>
        <v>5080.6875</v>
      </c>
      <c r="AE606" s="184">
        <f>SUMIFS($AD$37:$AD$12971,$V$37:$V$12971,$V606,$X$37:$X$12971,AE$13)</f>
        <v>0</v>
      </c>
      <c r="AF606" s="185">
        <f>SUMIFS($AD$37:$AD$12971,$V$37:$V$12971,$V606,$X$37:$X$12971,AF$13)</f>
        <v>0</v>
      </c>
      <c r="AG606" s="185">
        <f>SUMIFS($AD$37:$AD$12971,$V$37:$V$12971,$V606,$X$37:$X$12971,AG$13)</f>
        <v>0</v>
      </c>
      <c r="AH606" s="187">
        <f>SUMIFS($AD$37:$AD$12971,$V$37:$V$12971,$V606,$X$37:$X$12971,AH$13)</f>
        <v>0</v>
      </c>
      <c r="AI606" s="161">
        <f t="shared" si="537"/>
        <v>0</v>
      </c>
      <c r="AK606" s="172"/>
    </row>
    <row r="607" spans="1:41" s="102" customFormat="1" ht="19.899999999999999" customHeight="1" x14ac:dyDescent="0.25">
      <c r="A607" s="45"/>
      <c r="B607" s="59"/>
      <c r="C607" s="137"/>
      <c r="D607" s="59"/>
      <c r="E607" s="116"/>
      <c r="F607" s="120"/>
      <c r="G607" s="120"/>
      <c r="H607" s="120"/>
      <c r="I607" s="60"/>
      <c r="J607" s="116"/>
      <c r="K607" s="213"/>
      <c r="L607" s="120"/>
      <c r="M607" s="120"/>
      <c r="N607" s="167"/>
      <c r="O607" s="120"/>
      <c r="P607" s="120"/>
      <c r="Q607" s="120"/>
      <c r="R607" s="120"/>
      <c r="S607" s="120"/>
      <c r="T607" s="221"/>
      <c r="U607" s="89"/>
      <c r="V607" s="61"/>
      <c r="W607" s="92" t="s">
        <v>1310</v>
      </c>
      <c r="X607" s="93" t="s">
        <v>30</v>
      </c>
      <c r="Y607" s="93" t="s">
        <v>35</v>
      </c>
      <c r="Z607" s="134">
        <f>VLOOKUP(W607,Sheet2!$B:$D,3,FALSE)</f>
        <v>1065</v>
      </c>
      <c r="AA607" s="93">
        <v>1</v>
      </c>
      <c r="AB607" s="93">
        <f t="shared" ref="AB607" si="538">AD607/AC606</f>
        <v>1065</v>
      </c>
      <c r="AC607" s="93">
        <f>AC606/AA607</f>
        <v>4.2874999999999996</v>
      </c>
      <c r="AD607" s="94">
        <f t="shared" ref="AD607:AD608" si="539">AC607*Z607</f>
        <v>4566.1875</v>
      </c>
      <c r="AE607" s="190"/>
      <c r="AF607" s="191"/>
      <c r="AG607" s="191"/>
      <c r="AH607" s="191"/>
      <c r="AI607" s="186"/>
      <c r="AK607" s="171"/>
    </row>
    <row r="608" spans="1:41" s="102" customFormat="1" ht="19.899999999999999" customHeight="1" x14ac:dyDescent="0.25">
      <c r="A608" s="45"/>
      <c r="B608" s="59"/>
      <c r="C608" s="137"/>
      <c r="D608" s="59"/>
      <c r="E608" s="116"/>
      <c r="F608" s="120"/>
      <c r="G608" s="120"/>
      <c r="H608" s="120"/>
      <c r="I608" s="60"/>
      <c r="J608" s="116"/>
      <c r="K608" s="213"/>
      <c r="L608" s="120"/>
      <c r="M608" s="120"/>
      <c r="N608" s="167"/>
      <c r="O608" s="120"/>
      <c r="P608" s="120"/>
      <c r="Q608" s="120"/>
      <c r="R608" s="120"/>
      <c r="S608" s="120"/>
      <c r="T608" s="221"/>
      <c r="U608" s="89"/>
      <c r="V608" s="61"/>
      <c r="W608" s="92" t="s">
        <v>107</v>
      </c>
      <c r="X608" s="93" t="s">
        <v>31</v>
      </c>
      <c r="Y608" s="93" t="s">
        <v>93</v>
      </c>
      <c r="Z608" s="134">
        <f>VLOOKUP(W608,Sheet2!$B:$D,3,FALSE)</f>
        <v>17</v>
      </c>
      <c r="AA608" s="93">
        <v>0.25</v>
      </c>
      <c r="AB608" s="93">
        <f>AD608/AC606</f>
        <v>68</v>
      </c>
      <c r="AC608" s="93">
        <f>AC606/AA608</f>
        <v>17.149999999999999</v>
      </c>
      <c r="AD608" s="94">
        <f t="shared" si="539"/>
        <v>291.54999999999995</v>
      </c>
      <c r="AE608" s="190"/>
      <c r="AF608" s="191"/>
      <c r="AG608" s="191"/>
      <c r="AH608" s="191"/>
      <c r="AI608" s="186"/>
      <c r="AK608" s="171"/>
    </row>
    <row r="609" spans="1:41" s="102" customFormat="1" ht="19.899999999999999" customHeight="1" x14ac:dyDescent="0.25">
      <c r="A609" s="45"/>
      <c r="B609" s="59"/>
      <c r="C609" s="137"/>
      <c r="D609" s="59"/>
      <c r="E609" s="116"/>
      <c r="F609" s="120"/>
      <c r="G609" s="120"/>
      <c r="H609" s="120"/>
      <c r="I609" s="60"/>
      <c r="J609" s="116"/>
      <c r="K609" s="213"/>
      <c r="L609" s="120"/>
      <c r="M609" s="120"/>
      <c r="N609" s="167"/>
      <c r="O609" s="120"/>
      <c r="P609" s="120"/>
      <c r="Q609" s="120"/>
      <c r="R609" s="120"/>
      <c r="S609" s="120"/>
      <c r="T609" s="221"/>
      <c r="U609" s="89"/>
      <c r="V609" s="61"/>
      <c r="W609" s="92" t="s">
        <v>112</v>
      </c>
      <c r="X609" s="93" t="s">
        <v>31</v>
      </c>
      <c r="Y609" s="93" t="s">
        <v>93</v>
      </c>
      <c r="Z609" s="134">
        <f>VLOOKUP(W609,Sheet2!$B:$D,3,FALSE)</f>
        <v>13</v>
      </c>
      <c r="AA609" s="93">
        <f>AA608</f>
        <v>0.25</v>
      </c>
      <c r="AB609" s="93">
        <f>AD609/AC606</f>
        <v>52</v>
      </c>
      <c r="AC609" s="93">
        <f>AC606/AA609</f>
        <v>17.149999999999999</v>
      </c>
      <c r="AD609" s="94">
        <f>AC609*Z609</f>
        <v>222.95</v>
      </c>
      <c r="AE609" s="190"/>
      <c r="AF609" s="191"/>
      <c r="AG609" s="191"/>
      <c r="AH609" s="191"/>
      <c r="AI609" s="186"/>
      <c r="AK609" s="171"/>
    </row>
    <row r="610" spans="1:41" ht="20.100000000000001" customHeight="1" x14ac:dyDescent="0.25">
      <c r="A610" s="277" t="s">
        <v>216</v>
      </c>
      <c r="B610" s="278"/>
      <c r="C610" s="64" t="s">
        <v>274</v>
      </c>
      <c r="D610" s="46" t="s">
        <v>215</v>
      </c>
      <c r="E610" s="114">
        <v>2.3499999999999988</v>
      </c>
      <c r="F610" s="44">
        <v>3436</v>
      </c>
      <c r="G610" s="44">
        <f t="shared" si="425"/>
        <v>8074.5999999999958</v>
      </c>
      <c r="H610" s="44">
        <f t="shared" si="426"/>
        <v>1310</v>
      </c>
      <c r="I610" s="43">
        <f t="shared" si="427"/>
        <v>3078.4999999999982</v>
      </c>
      <c r="J610" s="112">
        <f t="shared" si="428"/>
        <v>2.3499999999999988</v>
      </c>
      <c r="K610" s="211">
        <f t="shared" si="429"/>
        <v>2.3499999999999988</v>
      </c>
      <c r="L610" s="44"/>
      <c r="M610" s="44">
        <f t="shared" si="435"/>
        <v>2.3499999999999988</v>
      </c>
      <c r="N610" s="173">
        <f t="shared" si="430"/>
        <v>1</v>
      </c>
      <c r="O610" s="44">
        <f t="shared" si="431"/>
        <v>3436</v>
      </c>
      <c r="P610" s="44">
        <f t="shared" si="432"/>
        <v>8074.5999999999958</v>
      </c>
      <c r="Q610" s="44">
        <f t="shared" si="433"/>
        <v>1310</v>
      </c>
      <c r="R610" s="44">
        <f t="shared" si="436"/>
        <v>3078.4999999999982</v>
      </c>
      <c r="S610" s="123"/>
      <c r="T610" s="219">
        <f t="shared" si="437"/>
        <v>3078.4999999999982</v>
      </c>
      <c r="U610" s="87"/>
      <c r="V610" s="47"/>
      <c r="W610" s="48"/>
      <c r="X610" s="48"/>
      <c r="Y610" s="48"/>
      <c r="Z610" s="135"/>
      <c r="AA610" s="49"/>
      <c r="AB610" s="50">
        <f t="shared" si="434"/>
        <v>1310</v>
      </c>
      <c r="AC610" s="42">
        <f t="shared" si="438"/>
        <v>2.3499999999999988</v>
      </c>
      <c r="AD610" s="90">
        <f>AD611</f>
        <v>3078.4999999999982</v>
      </c>
      <c r="AE610" s="188">
        <f t="shared" ref="AE610:AH610" si="540">AE611</f>
        <v>0</v>
      </c>
      <c r="AF610" s="189">
        <f t="shared" si="540"/>
        <v>0</v>
      </c>
      <c r="AG610" s="189">
        <f t="shared" si="540"/>
        <v>0</v>
      </c>
      <c r="AH610" s="189">
        <f t="shared" si="540"/>
        <v>0</v>
      </c>
      <c r="AI610" s="161">
        <f t="shared" ref="AI610:AI611" si="541">SUM(AE610:AH610)</f>
        <v>0</v>
      </c>
      <c r="AK610" s="169">
        <v>5</v>
      </c>
      <c r="AO610" s="19" t="s">
        <v>63</v>
      </c>
    </row>
    <row r="611" spans="1:41" s="103" customFormat="1" ht="19.899999999999999" customHeight="1" x14ac:dyDescent="0.25">
      <c r="A611" s="51"/>
      <c r="B611" s="52"/>
      <c r="C611" s="165"/>
      <c r="D611" s="52"/>
      <c r="E611" s="115"/>
      <c r="F611" s="58"/>
      <c r="G611" s="58"/>
      <c r="H611" s="58"/>
      <c r="I611" s="55"/>
      <c r="J611" s="113">
        <f>J610</f>
        <v>2.3499999999999988</v>
      </c>
      <c r="K611" s="212">
        <f>K610</f>
        <v>2.3499999999999988</v>
      </c>
      <c r="L611" s="58"/>
      <c r="M611" s="58">
        <f>K611-L611</f>
        <v>2.3499999999999988</v>
      </c>
      <c r="N611" s="166"/>
      <c r="O611" s="58"/>
      <c r="P611" s="58"/>
      <c r="Q611" s="58"/>
      <c r="R611" s="58"/>
      <c r="S611" s="58"/>
      <c r="T611" s="220"/>
      <c r="U611" s="88"/>
      <c r="V611" s="56"/>
      <c r="W611" s="57" t="s">
        <v>1294</v>
      </c>
      <c r="X611" s="53"/>
      <c r="Y611" s="91" t="s">
        <v>35</v>
      </c>
      <c r="Z611" s="136">
        <f>AD611/AC611</f>
        <v>1310</v>
      </c>
      <c r="AA611" s="58"/>
      <c r="AB611" s="53">
        <f>AD611/AC611</f>
        <v>1310</v>
      </c>
      <c r="AC611" s="53">
        <f>M611+$AE$10</f>
        <v>2.3499999999999988</v>
      </c>
      <c r="AD611" s="54">
        <f>SUM(AD612:AD614)</f>
        <v>3078.4999999999982</v>
      </c>
      <c r="AE611" s="184">
        <f>SUMIFS($AD$37:$AD$12971,$V$37:$V$12971,$V611,$X$37:$X$12971,AE$13)</f>
        <v>0</v>
      </c>
      <c r="AF611" s="185">
        <f>SUMIFS($AD$37:$AD$12971,$V$37:$V$12971,$V611,$X$37:$X$12971,AF$13)</f>
        <v>0</v>
      </c>
      <c r="AG611" s="185">
        <f>SUMIFS($AD$37:$AD$12971,$V$37:$V$12971,$V611,$X$37:$X$12971,AG$13)</f>
        <v>0</v>
      </c>
      <c r="AH611" s="187">
        <f>SUMIFS($AD$37:$AD$12971,$V$37:$V$12971,$V611,$X$37:$X$12971,AH$13)</f>
        <v>0</v>
      </c>
      <c r="AI611" s="161">
        <f t="shared" si="541"/>
        <v>0</v>
      </c>
      <c r="AK611" s="172"/>
    </row>
    <row r="612" spans="1:41" s="102" customFormat="1" ht="19.899999999999999" customHeight="1" x14ac:dyDescent="0.25">
      <c r="A612" s="45"/>
      <c r="B612" s="59"/>
      <c r="C612" s="137"/>
      <c r="D612" s="59"/>
      <c r="E612" s="116"/>
      <c r="F612" s="120"/>
      <c r="G612" s="120"/>
      <c r="H612" s="120"/>
      <c r="I612" s="60"/>
      <c r="J612" s="116"/>
      <c r="K612" s="213"/>
      <c r="L612" s="120"/>
      <c r="M612" s="120"/>
      <c r="N612" s="167"/>
      <c r="O612" s="120"/>
      <c r="P612" s="120"/>
      <c r="Q612" s="120"/>
      <c r="R612" s="120"/>
      <c r="S612" s="120"/>
      <c r="T612" s="221"/>
      <c r="U612" s="89"/>
      <c r="V612" s="61"/>
      <c r="W612" s="92" t="s">
        <v>1311</v>
      </c>
      <c r="X612" s="93" t="s">
        <v>30</v>
      </c>
      <c r="Y612" s="93" t="s">
        <v>35</v>
      </c>
      <c r="Z612" s="134">
        <f>VLOOKUP(W612,Sheet2!$B:$D,3,FALSE)</f>
        <v>1190</v>
      </c>
      <c r="AA612" s="93">
        <v>1</v>
      </c>
      <c r="AB612" s="93">
        <f t="shared" ref="AB612" si="542">AD612/AC611</f>
        <v>1190</v>
      </c>
      <c r="AC612" s="93">
        <f>AC611/AA612</f>
        <v>2.3499999999999988</v>
      </c>
      <c r="AD612" s="94">
        <f t="shared" ref="AD612:AD613" si="543">AC612*Z612</f>
        <v>2796.4999999999986</v>
      </c>
      <c r="AE612" s="190"/>
      <c r="AF612" s="191"/>
      <c r="AG612" s="191"/>
      <c r="AH612" s="191"/>
      <c r="AI612" s="186"/>
      <c r="AK612" s="171"/>
    </row>
    <row r="613" spans="1:41" s="102" customFormat="1" ht="19.899999999999999" customHeight="1" x14ac:dyDescent="0.25">
      <c r="A613" s="45"/>
      <c r="B613" s="59"/>
      <c r="C613" s="137"/>
      <c r="D613" s="59"/>
      <c r="E613" s="116"/>
      <c r="F613" s="120"/>
      <c r="G613" s="120"/>
      <c r="H613" s="120"/>
      <c r="I613" s="60"/>
      <c r="J613" s="116"/>
      <c r="K613" s="213"/>
      <c r="L613" s="120"/>
      <c r="M613" s="120"/>
      <c r="N613" s="167"/>
      <c r="O613" s="120"/>
      <c r="P613" s="120"/>
      <c r="Q613" s="120"/>
      <c r="R613" s="120"/>
      <c r="S613" s="120"/>
      <c r="T613" s="221"/>
      <c r="U613" s="89"/>
      <c r="V613" s="61"/>
      <c r="W613" s="92" t="s">
        <v>107</v>
      </c>
      <c r="X613" s="93" t="s">
        <v>31</v>
      </c>
      <c r="Y613" s="93" t="s">
        <v>93</v>
      </c>
      <c r="Z613" s="134">
        <f>VLOOKUP(W613,Sheet2!$B:$D,3,FALSE)</f>
        <v>17</v>
      </c>
      <c r="AA613" s="93">
        <v>0.25</v>
      </c>
      <c r="AB613" s="93">
        <f>AD613/AC611</f>
        <v>68</v>
      </c>
      <c r="AC613" s="93">
        <f>AC611/AA613</f>
        <v>9.399999999999995</v>
      </c>
      <c r="AD613" s="94">
        <f t="shared" si="543"/>
        <v>159.79999999999993</v>
      </c>
      <c r="AE613" s="190"/>
      <c r="AF613" s="191"/>
      <c r="AG613" s="191"/>
      <c r="AH613" s="191"/>
      <c r="AI613" s="186"/>
      <c r="AK613" s="171"/>
    </row>
    <row r="614" spans="1:41" s="102" customFormat="1" ht="19.899999999999999" customHeight="1" x14ac:dyDescent="0.25">
      <c r="A614" s="45"/>
      <c r="B614" s="59"/>
      <c r="C614" s="137"/>
      <c r="D614" s="59"/>
      <c r="E614" s="116"/>
      <c r="F614" s="120"/>
      <c r="G614" s="120"/>
      <c r="H614" s="120"/>
      <c r="I614" s="60"/>
      <c r="J614" s="116"/>
      <c r="K614" s="213"/>
      <c r="L614" s="120"/>
      <c r="M614" s="120"/>
      <c r="N614" s="167"/>
      <c r="O614" s="120"/>
      <c r="P614" s="120"/>
      <c r="Q614" s="120"/>
      <c r="R614" s="120"/>
      <c r="S614" s="120"/>
      <c r="T614" s="221"/>
      <c r="U614" s="89"/>
      <c r="V614" s="61"/>
      <c r="W614" s="92" t="s">
        <v>112</v>
      </c>
      <c r="X614" s="93" t="s">
        <v>31</v>
      </c>
      <c r="Y614" s="93" t="s">
        <v>93</v>
      </c>
      <c r="Z614" s="134">
        <f>VLOOKUP(W614,Sheet2!$B:$D,3,FALSE)</f>
        <v>13</v>
      </c>
      <c r="AA614" s="93">
        <f>AA613</f>
        <v>0.25</v>
      </c>
      <c r="AB614" s="93">
        <f>AD614/AC611</f>
        <v>52</v>
      </c>
      <c r="AC614" s="93">
        <f>AC611/AA614</f>
        <v>9.399999999999995</v>
      </c>
      <c r="AD614" s="94">
        <f>AC614*Z614</f>
        <v>122.19999999999993</v>
      </c>
      <c r="AE614" s="190"/>
      <c r="AF614" s="191"/>
      <c r="AG614" s="191"/>
      <c r="AH614" s="191"/>
      <c r="AI614" s="186"/>
      <c r="AK614" s="171"/>
    </row>
    <row r="615" spans="1:41" ht="20.100000000000001" customHeight="1" x14ac:dyDescent="0.25">
      <c r="A615" s="277" t="s">
        <v>216</v>
      </c>
      <c r="B615" s="278"/>
      <c r="C615" s="64" t="s">
        <v>275</v>
      </c>
      <c r="D615" s="46" t="s">
        <v>215</v>
      </c>
      <c r="E615" s="114">
        <v>0.44999999999999929</v>
      </c>
      <c r="F615" s="44">
        <v>3575</v>
      </c>
      <c r="G615" s="44">
        <f t="shared" si="425"/>
        <v>1608.7499999999975</v>
      </c>
      <c r="H615" s="44">
        <f t="shared" si="426"/>
        <v>1334.9999999999998</v>
      </c>
      <c r="I615" s="43">
        <f t="shared" si="427"/>
        <v>600.74999999999898</v>
      </c>
      <c r="J615" s="112">
        <f t="shared" si="428"/>
        <v>0.44999999999999929</v>
      </c>
      <c r="K615" s="211">
        <f t="shared" si="429"/>
        <v>0.44999999999999929</v>
      </c>
      <c r="L615" s="44"/>
      <c r="M615" s="44">
        <f t="shared" si="435"/>
        <v>0.44999999999999929</v>
      </c>
      <c r="N615" s="173">
        <f t="shared" si="430"/>
        <v>1</v>
      </c>
      <c r="O615" s="44">
        <f t="shared" si="431"/>
        <v>3575</v>
      </c>
      <c r="P615" s="44">
        <f t="shared" si="432"/>
        <v>1608.7499999999975</v>
      </c>
      <c r="Q615" s="44">
        <f t="shared" si="433"/>
        <v>1334.9999999999998</v>
      </c>
      <c r="R615" s="44">
        <f t="shared" si="436"/>
        <v>600.74999999999898</v>
      </c>
      <c r="S615" s="123"/>
      <c r="T615" s="219">
        <f t="shared" si="437"/>
        <v>600.74999999999898</v>
      </c>
      <c r="U615" s="87"/>
      <c r="V615" s="47"/>
      <c r="W615" s="48"/>
      <c r="X615" s="48"/>
      <c r="Y615" s="48"/>
      <c r="Z615" s="135"/>
      <c r="AA615" s="49"/>
      <c r="AB615" s="50">
        <f t="shared" si="434"/>
        <v>1334.9999999999998</v>
      </c>
      <c r="AC615" s="42">
        <f t="shared" si="438"/>
        <v>0.44999999999999929</v>
      </c>
      <c r="AD615" s="90">
        <f>AD616</f>
        <v>600.74999999999898</v>
      </c>
      <c r="AE615" s="188">
        <f t="shared" ref="AE615:AH615" si="544">AE616</f>
        <v>0</v>
      </c>
      <c r="AF615" s="189">
        <f t="shared" si="544"/>
        <v>0</v>
      </c>
      <c r="AG615" s="189">
        <f t="shared" si="544"/>
        <v>0</v>
      </c>
      <c r="AH615" s="189">
        <f t="shared" si="544"/>
        <v>0</v>
      </c>
      <c r="AI615" s="161">
        <f t="shared" ref="AI615:AI616" si="545">SUM(AE615:AH615)</f>
        <v>0</v>
      </c>
      <c r="AK615" s="169">
        <v>5</v>
      </c>
      <c r="AO615" s="19" t="s">
        <v>63</v>
      </c>
    </row>
    <row r="616" spans="1:41" s="103" customFormat="1" ht="19.899999999999999" customHeight="1" x14ac:dyDescent="0.25">
      <c r="A616" s="51"/>
      <c r="B616" s="52"/>
      <c r="C616" s="165"/>
      <c r="D616" s="52"/>
      <c r="E616" s="115"/>
      <c r="F616" s="58"/>
      <c r="G616" s="58"/>
      <c r="H616" s="58"/>
      <c r="I616" s="55"/>
      <c r="J616" s="113">
        <f>J615</f>
        <v>0.44999999999999929</v>
      </c>
      <c r="K616" s="212">
        <f>K615</f>
        <v>0.44999999999999929</v>
      </c>
      <c r="L616" s="58"/>
      <c r="M616" s="58">
        <f>K616-L616</f>
        <v>0.44999999999999929</v>
      </c>
      <c r="N616" s="166"/>
      <c r="O616" s="58"/>
      <c r="P616" s="58"/>
      <c r="Q616" s="58"/>
      <c r="R616" s="58"/>
      <c r="S616" s="58"/>
      <c r="T616" s="220"/>
      <c r="U616" s="88"/>
      <c r="V616" s="56"/>
      <c r="W616" s="57" t="s">
        <v>1294</v>
      </c>
      <c r="X616" s="53"/>
      <c r="Y616" s="91" t="s">
        <v>35</v>
      </c>
      <c r="Z616" s="136">
        <f>AD616/AC616</f>
        <v>1334.9999999999998</v>
      </c>
      <c r="AA616" s="58"/>
      <c r="AB616" s="53">
        <f>AD616/AC616</f>
        <v>1334.9999999999998</v>
      </c>
      <c r="AC616" s="53">
        <f>M616+$AE$10</f>
        <v>0.44999999999999929</v>
      </c>
      <c r="AD616" s="54">
        <f>SUM(AD617:AD619)</f>
        <v>600.74999999999898</v>
      </c>
      <c r="AE616" s="184">
        <f>SUMIFS($AD$37:$AD$12971,$V$37:$V$12971,$V616,$X$37:$X$12971,AE$13)</f>
        <v>0</v>
      </c>
      <c r="AF616" s="185">
        <f>SUMIFS($AD$37:$AD$12971,$V$37:$V$12971,$V616,$X$37:$X$12971,AF$13)</f>
        <v>0</v>
      </c>
      <c r="AG616" s="185">
        <f>SUMIFS($AD$37:$AD$12971,$V$37:$V$12971,$V616,$X$37:$X$12971,AG$13)</f>
        <v>0</v>
      </c>
      <c r="AH616" s="187">
        <f>SUMIFS($AD$37:$AD$12971,$V$37:$V$12971,$V616,$X$37:$X$12971,AH$13)</f>
        <v>0</v>
      </c>
      <c r="AI616" s="161">
        <f t="shared" si="545"/>
        <v>0</v>
      </c>
      <c r="AK616" s="172"/>
    </row>
    <row r="617" spans="1:41" s="102" customFormat="1" ht="19.899999999999999" customHeight="1" x14ac:dyDescent="0.25">
      <c r="A617" s="45"/>
      <c r="B617" s="59"/>
      <c r="C617" s="137"/>
      <c r="D617" s="59"/>
      <c r="E617" s="116"/>
      <c r="F617" s="120"/>
      <c r="G617" s="120"/>
      <c r="H617" s="120"/>
      <c r="I617" s="60"/>
      <c r="J617" s="116"/>
      <c r="K617" s="213"/>
      <c r="L617" s="120"/>
      <c r="M617" s="120"/>
      <c r="N617" s="167"/>
      <c r="O617" s="120"/>
      <c r="P617" s="120"/>
      <c r="Q617" s="120"/>
      <c r="R617" s="120"/>
      <c r="S617" s="120"/>
      <c r="T617" s="221"/>
      <c r="U617" s="89"/>
      <c r="V617" s="61"/>
      <c r="W617" s="92" t="s">
        <v>1312</v>
      </c>
      <c r="X617" s="93" t="s">
        <v>30</v>
      </c>
      <c r="Y617" s="93" t="s">
        <v>35</v>
      </c>
      <c r="Z617" s="134">
        <f>VLOOKUP(W617,Sheet2!$B:$D,3,FALSE)</f>
        <v>1215</v>
      </c>
      <c r="AA617" s="93">
        <v>1</v>
      </c>
      <c r="AB617" s="93">
        <f t="shared" ref="AB617" si="546">AD617/AC616</f>
        <v>1215</v>
      </c>
      <c r="AC617" s="93">
        <f>AC616/AA617</f>
        <v>0.44999999999999929</v>
      </c>
      <c r="AD617" s="94">
        <f t="shared" ref="AD617:AD618" si="547">AC617*Z617</f>
        <v>546.74999999999909</v>
      </c>
      <c r="AE617" s="190"/>
      <c r="AF617" s="191"/>
      <c r="AG617" s="191"/>
      <c r="AH617" s="191"/>
      <c r="AI617" s="186"/>
      <c r="AK617" s="171"/>
    </row>
    <row r="618" spans="1:41" s="102" customFormat="1" ht="19.899999999999999" customHeight="1" x14ac:dyDescent="0.25">
      <c r="A618" s="45"/>
      <c r="B618" s="59"/>
      <c r="C618" s="137"/>
      <c r="D618" s="59"/>
      <c r="E618" s="116"/>
      <c r="F618" s="120"/>
      <c r="G618" s="120"/>
      <c r="H618" s="120"/>
      <c r="I618" s="60"/>
      <c r="J618" s="116"/>
      <c r="K618" s="213"/>
      <c r="L618" s="120"/>
      <c r="M618" s="120"/>
      <c r="N618" s="167"/>
      <c r="O618" s="120"/>
      <c r="P618" s="120"/>
      <c r="Q618" s="120"/>
      <c r="R618" s="120"/>
      <c r="S618" s="120"/>
      <c r="T618" s="221"/>
      <c r="U618" s="89"/>
      <c r="V618" s="61"/>
      <c r="W618" s="92" t="s">
        <v>107</v>
      </c>
      <c r="X618" s="93" t="s">
        <v>31</v>
      </c>
      <c r="Y618" s="93" t="s">
        <v>93</v>
      </c>
      <c r="Z618" s="134">
        <f>VLOOKUP(W618,Sheet2!$B:$D,3,FALSE)</f>
        <v>17</v>
      </c>
      <c r="AA618" s="93">
        <v>0.25</v>
      </c>
      <c r="AB618" s="93">
        <f>AD618/AC616</f>
        <v>68</v>
      </c>
      <c r="AC618" s="93">
        <f>AC616/AA618</f>
        <v>1.7999999999999972</v>
      </c>
      <c r="AD618" s="94">
        <f t="shared" si="547"/>
        <v>30.599999999999952</v>
      </c>
      <c r="AE618" s="190"/>
      <c r="AF618" s="191"/>
      <c r="AG618" s="191"/>
      <c r="AH618" s="191"/>
      <c r="AI618" s="186"/>
      <c r="AK618" s="171"/>
    </row>
    <row r="619" spans="1:41" s="102" customFormat="1" ht="19.899999999999999" customHeight="1" x14ac:dyDescent="0.25">
      <c r="A619" s="45"/>
      <c r="B619" s="59"/>
      <c r="C619" s="137"/>
      <c r="D619" s="59"/>
      <c r="E619" s="116"/>
      <c r="F619" s="120"/>
      <c r="G619" s="120"/>
      <c r="H619" s="120"/>
      <c r="I619" s="60"/>
      <c r="J619" s="116"/>
      <c r="K619" s="213"/>
      <c r="L619" s="120"/>
      <c r="M619" s="120"/>
      <c r="N619" s="167"/>
      <c r="O619" s="120"/>
      <c r="P619" s="120"/>
      <c r="Q619" s="120"/>
      <c r="R619" s="120"/>
      <c r="S619" s="120"/>
      <c r="T619" s="221"/>
      <c r="U619" s="89"/>
      <c r="V619" s="61"/>
      <c r="W619" s="92" t="s">
        <v>112</v>
      </c>
      <c r="X619" s="93" t="s">
        <v>31</v>
      </c>
      <c r="Y619" s="93" t="s">
        <v>93</v>
      </c>
      <c r="Z619" s="134">
        <f>VLOOKUP(W619,Sheet2!$B:$D,3,FALSE)</f>
        <v>13</v>
      </c>
      <c r="AA619" s="93">
        <f>AA618</f>
        <v>0.25</v>
      </c>
      <c r="AB619" s="93">
        <f>AD619/AC616</f>
        <v>52</v>
      </c>
      <c r="AC619" s="93">
        <f>AC616/AA619</f>
        <v>1.7999999999999972</v>
      </c>
      <c r="AD619" s="94">
        <f>AC619*Z619</f>
        <v>23.399999999999963</v>
      </c>
      <c r="AE619" s="190"/>
      <c r="AF619" s="191"/>
      <c r="AG619" s="191"/>
      <c r="AH619" s="191"/>
      <c r="AI619" s="186"/>
      <c r="AK619" s="171"/>
    </row>
    <row r="620" spans="1:41" ht="20.100000000000001" customHeight="1" x14ac:dyDescent="0.25">
      <c r="A620" s="277" t="s">
        <v>216</v>
      </c>
      <c r="B620" s="278"/>
      <c r="C620" s="64" t="s">
        <v>276</v>
      </c>
      <c r="D620" s="46" t="s">
        <v>215</v>
      </c>
      <c r="E620" s="114">
        <v>13.899999999999991</v>
      </c>
      <c r="F620" s="44">
        <v>3827</v>
      </c>
      <c r="G620" s="44">
        <f t="shared" si="425"/>
        <v>53195.299999999967</v>
      </c>
      <c r="H620" s="44">
        <f t="shared" si="426"/>
        <v>1470.0000000000002</v>
      </c>
      <c r="I620" s="43">
        <f t="shared" si="427"/>
        <v>20432.999999999989</v>
      </c>
      <c r="J620" s="112">
        <f t="shared" si="428"/>
        <v>13.899999999999991</v>
      </c>
      <c r="K620" s="211">
        <f t="shared" si="429"/>
        <v>13.899999999999991</v>
      </c>
      <c r="L620" s="44"/>
      <c r="M620" s="44">
        <f t="shared" si="435"/>
        <v>13.899999999999991</v>
      </c>
      <c r="N620" s="173">
        <f t="shared" si="430"/>
        <v>1</v>
      </c>
      <c r="O620" s="44">
        <f t="shared" si="431"/>
        <v>3827</v>
      </c>
      <c r="P620" s="44">
        <f t="shared" si="432"/>
        <v>53195.299999999967</v>
      </c>
      <c r="Q620" s="44">
        <f t="shared" si="433"/>
        <v>1470.0000000000002</v>
      </c>
      <c r="R620" s="44">
        <f t="shared" si="436"/>
        <v>20432.999999999989</v>
      </c>
      <c r="S620" s="123"/>
      <c r="T620" s="219">
        <f t="shared" si="437"/>
        <v>20432.999999999989</v>
      </c>
      <c r="U620" s="87"/>
      <c r="V620" s="47"/>
      <c r="W620" s="48"/>
      <c r="X620" s="48"/>
      <c r="Y620" s="48"/>
      <c r="Z620" s="135"/>
      <c r="AA620" s="49"/>
      <c r="AB620" s="50">
        <f t="shared" si="434"/>
        <v>1470.0000000000002</v>
      </c>
      <c r="AC620" s="42">
        <f t="shared" si="438"/>
        <v>13.899999999999991</v>
      </c>
      <c r="AD620" s="90">
        <f>AD621</f>
        <v>20432.999999999989</v>
      </c>
      <c r="AE620" s="188">
        <f t="shared" ref="AE620:AH620" si="548">AE621</f>
        <v>0</v>
      </c>
      <c r="AF620" s="189">
        <f t="shared" si="548"/>
        <v>0</v>
      </c>
      <c r="AG620" s="189">
        <f t="shared" si="548"/>
        <v>0</v>
      </c>
      <c r="AH620" s="189">
        <f t="shared" si="548"/>
        <v>0</v>
      </c>
      <c r="AI620" s="161">
        <f t="shared" ref="AI620:AI621" si="549">SUM(AE620:AH620)</f>
        <v>0</v>
      </c>
      <c r="AK620" s="169">
        <v>5</v>
      </c>
      <c r="AO620" s="19" t="s">
        <v>63</v>
      </c>
    </row>
    <row r="621" spans="1:41" s="103" customFormat="1" ht="19.899999999999999" customHeight="1" x14ac:dyDescent="0.25">
      <c r="A621" s="51"/>
      <c r="B621" s="52"/>
      <c r="C621" s="165"/>
      <c r="D621" s="52"/>
      <c r="E621" s="115"/>
      <c r="F621" s="58"/>
      <c r="G621" s="58"/>
      <c r="H621" s="58"/>
      <c r="I621" s="55"/>
      <c r="J621" s="113">
        <f>J620</f>
        <v>13.899999999999991</v>
      </c>
      <c r="K621" s="212">
        <f>K620</f>
        <v>13.899999999999991</v>
      </c>
      <c r="L621" s="58"/>
      <c r="M621" s="58">
        <f>K621-L621</f>
        <v>13.899999999999991</v>
      </c>
      <c r="N621" s="166"/>
      <c r="O621" s="58"/>
      <c r="P621" s="58"/>
      <c r="Q621" s="58"/>
      <c r="R621" s="58"/>
      <c r="S621" s="58"/>
      <c r="T621" s="220"/>
      <c r="U621" s="88"/>
      <c r="V621" s="56"/>
      <c r="W621" s="57" t="s">
        <v>1294</v>
      </c>
      <c r="X621" s="53"/>
      <c r="Y621" s="91" t="s">
        <v>35</v>
      </c>
      <c r="Z621" s="136">
        <f>AD621/AC621</f>
        <v>1470.0000000000002</v>
      </c>
      <c r="AA621" s="58"/>
      <c r="AB621" s="53">
        <f>AD621/AC621</f>
        <v>1470.0000000000002</v>
      </c>
      <c r="AC621" s="53">
        <f>M621+$AE$10</f>
        <v>13.899999999999991</v>
      </c>
      <c r="AD621" s="54">
        <f>SUM(AD622:AD624)</f>
        <v>20432.999999999989</v>
      </c>
      <c r="AE621" s="184">
        <f>SUMIFS($AD$37:$AD$12971,$V$37:$V$12971,$V621,$X$37:$X$12971,AE$13)</f>
        <v>0</v>
      </c>
      <c r="AF621" s="185">
        <f>SUMIFS($AD$37:$AD$12971,$V$37:$V$12971,$V621,$X$37:$X$12971,AF$13)</f>
        <v>0</v>
      </c>
      <c r="AG621" s="185">
        <f>SUMIFS($AD$37:$AD$12971,$V$37:$V$12971,$V621,$X$37:$X$12971,AG$13)</f>
        <v>0</v>
      </c>
      <c r="AH621" s="187">
        <f>SUMIFS($AD$37:$AD$12971,$V$37:$V$12971,$V621,$X$37:$X$12971,AH$13)</f>
        <v>0</v>
      </c>
      <c r="AI621" s="161">
        <f t="shared" si="549"/>
        <v>0</v>
      </c>
      <c r="AK621" s="172"/>
    </row>
    <row r="622" spans="1:41" s="102" customFormat="1" ht="19.899999999999999" customHeight="1" x14ac:dyDescent="0.25">
      <c r="A622" s="45"/>
      <c r="B622" s="59"/>
      <c r="C622" s="137"/>
      <c r="D622" s="59"/>
      <c r="E622" s="116"/>
      <c r="F622" s="120"/>
      <c r="G622" s="120"/>
      <c r="H622" s="120"/>
      <c r="I622" s="60"/>
      <c r="J622" s="116"/>
      <c r="K622" s="213"/>
      <c r="L622" s="120"/>
      <c r="M622" s="120"/>
      <c r="N622" s="167"/>
      <c r="O622" s="120"/>
      <c r="P622" s="120"/>
      <c r="Q622" s="120"/>
      <c r="R622" s="120"/>
      <c r="S622" s="120"/>
      <c r="T622" s="221"/>
      <c r="U622" s="89"/>
      <c r="V622" s="61"/>
      <c r="W622" s="92" t="s">
        <v>1313</v>
      </c>
      <c r="X622" s="93" t="s">
        <v>30</v>
      </c>
      <c r="Y622" s="93" t="s">
        <v>35</v>
      </c>
      <c r="Z622" s="134">
        <f>VLOOKUP(W622,Sheet2!$B:$D,3,FALSE)</f>
        <v>1350</v>
      </c>
      <c r="AA622" s="93">
        <v>1</v>
      </c>
      <c r="AB622" s="93">
        <f t="shared" ref="AB622" si="550">AD622/AC621</f>
        <v>1350</v>
      </c>
      <c r="AC622" s="93">
        <f>AC621/AA622</f>
        <v>13.899999999999991</v>
      </c>
      <c r="AD622" s="94">
        <f t="shared" ref="AD622:AD623" si="551">AC622*Z622</f>
        <v>18764.999999999989</v>
      </c>
      <c r="AE622" s="190"/>
      <c r="AF622" s="191"/>
      <c r="AG622" s="191"/>
      <c r="AH622" s="191"/>
      <c r="AI622" s="186"/>
      <c r="AK622" s="171"/>
    </row>
    <row r="623" spans="1:41" s="102" customFormat="1" ht="19.899999999999999" customHeight="1" x14ac:dyDescent="0.25">
      <c r="A623" s="45"/>
      <c r="B623" s="59"/>
      <c r="C623" s="137"/>
      <c r="D623" s="59"/>
      <c r="E623" s="116"/>
      <c r="F623" s="120"/>
      <c r="G623" s="120"/>
      <c r="H623" s="120"/>
      <c r="I623" s="60"/>
      <c r="J623" s="116"/>
      <c r="K623" s="213"/>
      <c r="L623" s="120"/>
      <c r="M623" s="120"/>
      <c r="N623" s="167"/>
      <c r="O623" s="120"/>
      <c r="P623" s="120"/>
      <c r="Q623" s="120"/>
      <c r="R623" s="120"/>
      <c r="S623" s="120"/>
      <c r="T623" s="221"/>
      <c r="U623" s="89"/>
      <c r="V623" s="61"/>
      <c r="W623" s="92" t="s">
        <v>107</v>
      </c>
      <c r="X623" s="93" t="s">
        <v>31</v>
      </c>
      <c r="Y623" s="93" t="s">
        <v>93</v>
      </c>
      <c r="Z623" s="134">
        <f>VLOOKUP(W623,Sheet2!$B:$D,3,FALSE)</f>
        <v>17</v>
      </c>
      <c r="AA623" s="93">
        <v>0.25</v>
      </c>
      <c r="AB623" s="93">
        <f>AD623/AC621</f>
        <v>68</v>
      </c>
      <c r="AC623" s="93">
        <f>AC621/AA623</f>
        <v>55.599999999999966</v>
      </c>
      <c r="AD623" s="94">
        <f t="shared" si="551"/>
        <v>945.19999999999936</v>
      </c>
      <c r="AE623" s="190"/>
      <c r="AF623" s="191"/>
      <c r="AG623" s="191"/>
      <c r="AH623" s="191"/>
      <c r="AI623" s="186"/>
      <c r="AK623" s="171"/>
    </row>
    <row r="624" spans="1:41" s="102" customFormat="1" ht="19.899999999999999" customHeight="1" x14ac:dyDescent="0.25">
      <c r="A624" s="45"/>
      <c r="B624" s="59"/>
      <c r="C624" s="137"/>
      <c r="D624" s="59"/>
      <c r="E624" s="116"/>
      <c r="F624" s="120"/>
      <c r="G624" s="120"/>
      <c r="H624" s="120"/>
      <c r="I624" s="60"/>
      <c r="J624" s="116"/>
      <c r="K624" s="213"/>
      <c r="L624" s="120"/>
      <c r="M624" s="120"/>
      <c r="N624" s="167"/>
      <c r="O624" s="120"/>
      <c r="P624" s="120"/>
      <c r="Q624" s="120"/>
      <c r="R624" s="120"/>
      <c r="S624" s="120"/>
      <c r="T624" s="221"/>
      <c r="U624" s="89"/>
      <c r="V624" s="61"/>
      <c r="W624" s="92" t="s">
        <v>112</v>
      </c>
      <c r="X624" s="93" t="s">
        <v>31</v>
      </c>
      <c r="Y624" s="93" t="s">
        <v>93</v>
      </c>
      <c r="Z624" s="134">
        <f>VLOOKUP(W624,Sheet2!$B:$D,3,FALSE)</f>
        <v>13</v>
      </c>
      <c r="AA624" s="93">
        <f>AA623</f>
        <v>0.25</v>
      </c>
      <c r="AB624" s="93">
        <f>AD624/AC621</f>
        <v>51.999999999999993</v>
      </c>
      <c r="AC624" s="93">
        <f>AC621/AA624</f>
        <v>55.599999999999966</v>
      </c>
      <c r="AD624" s="94">
        <f>AC624*Z624</f>
        <v>722.7999999999995</v>
      </c>
      <c r="AE624" s="190"/>
      <c r="AF624" s="191"/>
      <c r="AG624" s="191"/>
      <c r="AH624" s="191"/>
      <c r="AI624" s="186"/>
      <c r="AK624" s="171"/>
    </row>
    <row r="625" spans="1:41" ht="20.100000000000001" customHeight="1" x14ac:dyDescent="0.25">
      <c r="A625" s="277" t="s">
        <v>216</v>
      </c>
      <c r="B625" s="278"/>
      <c r="C625" s="64" t="s">
        <v>277</v>
      </c>
      <c r="D625" s="46" t="s">
        <v>215</v>
      </c>
      <c r="E625" s="114">
        <v>0.92499999999999893</v>
      </c>
      <c r="F625" s="44">
        <v>4142</v>
      </c>
      <c r="G625" s="44">
        <f t="shared" si="425"/>
        <v>3831.3499999999954</v>
      </c>
      <c r="H625" s="44">
        <f t="shared" si="426"/>
        <v>2845.0000000000005</v>
      </c>
      <c r="I625" s="43">
        <f t="shared" si="427"/>
        <v>2631.6249999999973</v>
      </c>
      <c r="J625" s="112">
        <f t="shared" si="428"/>
        <v>0.92499999999999893</v>
      </c>
      <c r="K625" s="211">
        <f t="shared" si="429"/>
        <v>0.92499999999999893</v>
      </c>
      <c r="L625" s="44"/>
      <c r="M625" s="44">
        <f t="shared" si="435"/>
        <v>0.92499999999999893</v>
      </c>
      <c r="N625" s="173">
        <f t="shared" si="430"/>
        <v>1</v>
      </c>
      <c r="O625" s="44">
        <f t="shared" si="431"/>
        <v>4142</v>
      </c>
      <c r="P625" s="44">
        <f t="shared" si="432"/>
        <v>3831.3499999999954</v>
      </c>
      <c r="Q625" s="44">
        <f t="shared" si="433"/>
        <v>2845.0000000000005</v>
      </c>
      <c r="R625" s="44">
        <f t="shared" si="436"/>
        <v>2631.6249999999973</v>
      </c>
      <c r="S625" s="123"/>
      <c r="T625" s="219">
        <f t="shared" si="437"/>
        <v>2631.6249999999973</v>
      </c>
      <c r="U625" s="87"/>
      <c r="V625" s="47"/>
      <c r="W625" s="48"/>
      <c r="X625" s="48"/>
      <c r="Y625" s="48"/>
      <c r="Z625" s="135"/>
      <c r="AA625" s="49"/>
      <c r="AB625" s="50">
        <f t="shared" si="434"/>
        <v>2845.0000000000005</v>
      </c>
      <c r="AC625" s="42">
        <f t="shared" si="438"/>
        <v>0.92499999999999893</v>
      </c>
      <c r="AD625" s="90">
        <f>AD626</f>
        <v>2631.6249999999973</v>
      </c>
      <c r="AE625" s="188">
        <f t="shared" ref="AE625:AH625" si="552">AE626</f>
        <v>0</v>
      </c>
      <c r="AF625" s="189">
        <f t="shared" si="552"/>
        <v>0</v>
      </c>
      <c r="AG625" s="189">
        <f t="shared" si="552"/>
        <v>0</v>
      </c>
      <c r="AH625" s="189">
        <f t="shared" si="552"/>
        <v>0</v>
      </c>
      <c r="AI625" s="161">
        <f t="shared" ref="AI625:AI626" si="553">SUM(AE625:AH625)</f>
        <v>0</v>
      </c>
      <c r="AK625" s="169">
        <v>5</v>
      </c>
      <c r="AO625" s="19" t="s">
        <v>63</v>
      </c>
    </row>
    <row r="626" spans="1:41" s="103" customFormat="1" ht="19.899999999999999" customHeight="1" x14ac:dyDescent="0.25">
      <c r="A626" s="51"/>
      <c r="B626" s="52"/>
      <c r="C626" s="165"/>
      <c r="D626" s="52"/>
      <c r="E626" s="115"/>
      <c r="F626" s="58"/>
      <c r="G626" s="58"/>
      <c r="H626" s="58"/>
      <c r="I626" s="55"/>
      <c r="J626" s="113">
        <f>J625</f>
        <v>0.92499999999999893</v>
      </c>
      <c r="K626" s="212">
        <f>K625</f>
        <v>0.92499999999999893</v>
      </c>
      <c r="L626" s="58"/>
      <c r="M626" s="58">
        <f>K626-L626</f>
        <v>0.92499999999999893</v>
      </c>
      <c r="N626" s="166"/>
      <c r="O626" s="58"/>
      <c r="P626" s="58"/>
      <c r="Q626" s="58"/>
      <c r="R626" s="58"/>
      <c r="S626" s="58"/>
      <c r="T626" s="220"/>
      <c r="U626" s="88"/>
      <c r="V626" s="56"/>
      <c r="W626" s="57" t="s">
        <v>1294</v>
      </c>
      <c r="X626" s="53"/>
      <c r="Y626" s="91" t="s">
        <v>35</v>
      </c>
      <c r="Z626" s="136">
        <f>AD626/AC626</f>
        <v>2845.0000000000005</v>
      </c>
      <c r="AA626" s="58"/>
      <c r="AB626" s="53">
        <f>AD626/AC626</f>
        <v>2845.0000000000005</v>
      </c>
      <c r="AC626" s="53">
        <f>M626+$AE$10</f>
        <v>0.92499999999999893</v>
      </c>
      <c r="AD626" s="54">
        <f>SUM(AD627:AD629)</f>
        <v>2631.6249999999973</v>
      </c>
      <c r="AE626" s="184">
        <f>SUMIFS($AD$37:$AD$12971,$V$37:$V$12971,$V626,$X$37:$X$12971,AE$13)</f>
        <v>0</v>
      </c>
      <c r="AF626" s="185">
        <f>SUMIFS($AD$37:$AD$12971,$V$37:$V$12971,$V626,$X$37:$X$12971,AF$13)</f>
        <v>0</v>
      </c>
      <c r="AG626" s="185">
        <f>SUMIFS($AD$37:$AD$12971,$V$37:$V$12971,$V626,$X$37:$X$12971,AG$13)</f>
        <v>0</v>
      </c>
      <c r="AH626" s="187">
        <f>SUMIFS($AD$37:$AD$12971,$V$37:$V$12971,$V626,$X$37:$X$12971,AH$13)</f>
        <v>0</v>
      </c>
      <c r="AI626" s="161">
        <f t="shared" si="553"/>
        <v>0</v>
      </c>
      <c r="AK626" s="172"/>
    </row>
    <row r="627" spans="1:41" s="102" customFormat="1" ht="19.899999999999999" customHeight="1" x14ac:dyDescent="0.25">
      <c r="A627" s="45"/>
      <c r="B627" s="59"/>
      <c r="C627" s="137"/>
      <c r="D627" s="59"/>
      <c r="E627" s="116"/>
      <c r="F627" s="120"/>
      <c r="G627" s="120"/>
      <c r="H627" s="120"/>
      <c r="I627" s="60"/>
      <c r="J627" s="116"/>
      <c r="K627" s="213"/>
      <c r="L627" s="120"/>
      <c r="M627" s="120"/>
      <c r="N627" s="167"/>
      <c r="O627" s="120"/>
      <c r="P627" s="120"/>
      <c r="Q627" s="120"/>
      <c r="R627" s="120"/>
      <c r="S627" s="120"/>
      <c r="T627" s="221"/>
      <c r="U627" s="89"/>
      <c r="V627" s="61"/>
      <c r="W627" s="92" t="s">
        <v>1314</v>
      </c>
      <c r="X627" s="93" t="s">
        <v>30</v>
      </c>
      <c r="Y627" s="93" t="s">
        <v>35</v>
      </c>
      <c r="Z627" s="134">
        <f>VLOOKUP(W627,Sheet2!$B:$D,3,FALSE)</f>
        <v>2725</v>
      </c>
      <c r="AA627" s="93">
        <v>1</v>
      </c>
      <c r="AB627" s="93">
        <f t="shared" ref="AB627" si="554">AD627/AC626</f>
        <v>2725</v>
      </c>
      <c r="AC627" s="93">
        <f>AC626/AA627</f>
        <v>0.92499999999999893</v>
      </c>
      <c r="AD627" s="94">
        <f t="shared" ref="AD627:AD628" si="555">AC627*Z627</f>
        <v>2520.6249999999973</v>
      </c>
      <c r="AE627" s="190"/>
      <c r="AF627" s="191"/>
      <c r="AG627" s="191"/>
      <c r="AH627" s="191"/>
      <c r="AI627" s="186"/>
      <c r="AK627" s="171"/>
    </row>
    <row r="628" spans="1:41" s="102" customFormat="1" ht="19.899999999999999" customHeight="1" x14ac:dyDescent="0.25">
      <c r="A628" s="45"/>
      <c r="B628" s="59"/>
      <c r="C628" s="137"/>
      <c r="D628" s="59"/>
      <c r="E628" s="116"/>
      <c r="F628" s="120"/>
      <c r="G628" s="120"/>
      <c r="H628" s="120"/>
      <c r="I628" s="60"/>
      <c r="J628" s="116"/>
      <c r="K628" s="213"/>
      <c r="L628" s="120"/>
      <c r="M628" s="120"/>
      <c r="N628" s="167"/>
      <c r="O628" s="120"/>
      <c r="P628" s="120"/>
      <c r="Q628" s="120"/>
      <c r="R628" s="120"/>
      <c r="S628" s="120"/>
      <c r="T628" s="221"/>
      <c r="U628" s="89"/>
      <c r="V628" s="61"/>
      <c r="W628" s="92" t="s">
        <v>107</v>
      </c>
      <c r="X628" s="93" t="s">
        <v>31</v>
      </c>
      <c r="Y628" s="93" t="s">
        <v>93</v>
      </c>
      <c r="Z628" s="134">
        <f>VLOOKUP(W628,Sheet2!$B:$D,3,FALSE)</f>
        <v>17</v>
      </c>
      <c r="AA628" s="93">
        <v>0.25</v>
      </c>
      <c r="AB628" s="93">
        <f>AD628/AC626</f>
        <v>68</v>
      </c>
      <c r="AC628" s="93">
        <f>AC626/AA628</f>
        <v>3.6999999999999957</v>
      </c>
      <c r="AD628" s="94">
        <f t="shared" si="555"/>
        <v>62.899999999999928</v>
      </c>
      <c r="AE628" s="190"/>
      <c r="AF628" s="191"/>
      <c r="AG628" s="191"/>
      <c r="AH628" s="191"/>
      <c r="AI628" s="186"/>
      <c r="AK628" s="171"/>
    </row>
    <row r="629" spans="1:41" s="102" customFormat="1" ht="19.899999999999999" customHeight="1" x14ac:dyDescent="0.25">
      <c r="A629" s="45"/>
      <c r="B629" s="59"/>
      <c r="C629" s="137"/>
      <c r="D629" s="59"/>
      <c r="E629" s="116"/>
      <c r="F629" s="120"/>
      <c r="G629" s="120"/>
      <c r="H629" s="120"/>
      <c r="I629" s="60"/>
      <c r="J629" s="116"/>
      <c r="K629" s="213"/>
      <c r="L629" s="120"/>
      <c r="M629" s="120"/>
      <c r="N629" s="167"/>
      <c r="O629" s="120"/>
      <c r="P629" s="120"/>
      <c r="Q629" s="120"/>
      <c r="R629" s="120"/>
      <c r="S629" s="120"/>
      <c r="T629" s="221"/>
      <c r="U629" s="89"/>
      <c r="V629" s="61"/>
      <c r="W629" s="92" t="s">
        <v>112</v>
      </c>
      <c r="X629" s="93" t="s">
        <v>31</v>
      </c>
      <c r="Y629" s="93" t="s">
        <v>93</v>
      </c>
      <c r="Z629" s="134">
        <f>VLOOKUP(W629,Sheet2!$B:$D,3,FALSE)</f>
        <v>13</v>
      </c>
      <c r="AA629" s="93">
        <f>AA628</f>
        <v>0.25</v>
      </c>
      <c r="AB629" s="93">
        <f>AD629/AC626</f>
        <v>52</v>
      </c>
      <c r="AC629" s="93">
        <f>AC626/AA629</f>
        <v>3.6999999999999957</v>
      </c>
      <c r="AD629" s="94">
        <f>AC629*Z629</f>
        <v>48.099999999999945</v>
      </c>
      <c r="AE629" s="190"/>
      <c r="AF629" s="191"/>
      <c r="AG629" s="191"/>
      <c r="AH629" s="191"/>
      <c r="AI629" s="186"/>
      <c r="AK629" s="171"/>
    </row>
    <row r="630" spans="1:41" ht="20.100000000000001" customHeight="1" x14ac:dyDescent="0.25">
      <c r="A630" s="277" t="s">
        <v>216</v>
      </c>
      <c r="B630" s="278"/>
      <c r="C630" s="64" t="s">
        <v>278</v>
      </c>
      <c r="D630" s="46" t="s">
        <v>215</v>
      </c>
      <c r="E630" s="114">
        <v>1.4124999999999996</v>
      </c>
      <c r="F630" s="44">
        <v>4456</v>
      </c>
      <c r="G630" s="44">
        <f t="shared" si="425"/>
        <v>6294.0999999999985</v>
      </c>
      <c r="H630" s="44">
        <f t="shared" si="426"/>
        <v>3320</v>
      </c>
      <c r="I630" s="43">
        <f t="shared" si="427"/>
        <v>4689.4999999999991</v>
      </c>
      <c r="J630" s="112">
        <f t="shared" si="428"/>
        <v>1.4124999999999996</v>
      </c>
      <c r="K630" s="211">
        <f t="shared" si="429"/>
        <v>1.4124999999999996</v>
      </c>
      <c r="L630" s="44"/>
      <c r="M630" s="44">
        <f t="shared" si="435"/>
        <v>1.4124999999999996</v>
      </c>
      <c r="N630" s="173">
        <f t="shared" si="430"/>
        <v>1</v>
      </c>
      <c r="O630" s="44">
        <f t="shared" si="431"/>
        <v>4456</v>
      </c>
      <c r="P630" s="44">
        <f t="shared" si="432"/>
        <v>6294.0999999999985</v>
      </c>
      <c r="Q630" s="44">
        <f t="shared" si="433"/>
        <v>3320</v>
      </c>
      <c r="R630" s="44">
        <f t="shared" si="436"/>
        <v>4689.4999999999991</v>
      </c>
      <c r="S630" s="123"/>
      <c r="T630" s="219">
        <f t="shared" si="437"/>
        <v>4689.4999999999991</v>
      </c>
      <c r="U630" s="87"/>
      <c r="V630" s="47"/>
      <c r="W630" s="48"/>
      <c r="X630" s="48"/>
      <c r="Y630" s="48"/>
      <c r="Z630" s="135"/>
      <c r="AA630" s="49"/>
      <c r="AB630" s="50">
        <f t="shared" si="434"/>
        <v>3320</v>
      </c>
      <c r="AC630" s="42">
        <f t="shared" si="438"/>
        <v>1.4124999999999996</v>
      </c>
      <c r="AD630" s="90">
        <f>AD631</f>
        <v>4689.4999999999991</v>
      </c>
      <c r="AE630" s="188">
        <f t="shared" ref="AE630:AH630" si="556">AE631</f>
        <v>0</v>
      </c>
      <c r="AF630" s="189">
        <f t="shared" si="556"/>
        <v>0</v>
      </c>
      <c r="AG630" s="189">
        <f t="shared" si="556"/>
        <v>0</v>
      </c>
      <c r="AH630" s="189">
        <f t="shared" si="556"/>
        <v>0</v>
      </c>
      <c r="AI630" s="161">
        <f t="shared" ref="AI630:AI631" si="557">SUM(AE630:AH630)</f>
        <v>0</v>
      </c>
      <c r="AK630" s="169">
        <v>5</v>
      </c>
      <c r="AO630" s="19" t="s">
        <v>63</v>
      </c>
    </row>
    <row r="631" spans="1:41" s="103" customFormat="1" ht="19.899999999999999" customHeight="1" x14ac:dyDescent="0.25">
      <c r="A631" s="51"/>
      <c r="B631" s="52"/>
      <c r="C631" s="165"/>
      <c r="D631" s="52"/>
      <c r="E631" s="115"/>
      <c r="F631" s="58"/>
      <c r="G631" s="58"/>
      <c r="H631" s="58"/>
      <c r="I631" s="55"/>
      <c r="J631" s="113">
        <f>J630</f>
        <v>1.4124999999999996</v>
      </c>
      <c r="K631" s="212">
        <f>K630</f>
        <v>1.4124999999999996</v>
      </c>
      <c r="L631" s="58"/>
      <c r="M631" s="58">
        <f>K631-L631</f>
        <v>1.4124999999999996</v>
      </c>
      <c r="N631" s="166"/>
      <c r="O631" s="58"/>
      <c r="P631" s="58"/>
      <c r="Q631" s="58"/>
      <c r="R631" s="58"/>
      <c r="S631" s="58"/>
      <c r="T631" s="220"/>
      <c r="U631" s="88"/>
      <c r="V631" s="56"/>
      <c r="W631" s="57" t="s">
        <v>1294</v>
      </c>
      <c r="X631" s="53"/>
      <c r="Y631" s="91" t="s">
        <v>35</v>
      </c>
      <c r="Z631" s="136">
        <f>AD631/AC631</f>
        <v>3320</v>
      </c>
      <c r="AA631" s="58"/>
      <c r="AB631" s="53">
        <f>AD631/AC631</f>
        <v>3320</v>
      </c>
      <c r="AC631" s="53">
        <f>M631+$AE$10</f>
        <v>1.4124999999999996</v>
      </c>
      <c r="AD631" s="54">
        <f>SUM(AD632:AD634)</f>
        <v>4689.4999999999991</v>
      </c>
      <c r="AE631" s="184">
        <f>SUMIFS($AD$37:$AD$12971,$V$37:$V$12971,$V631,$X$37:$X$12971,AE$13)</f>
        <v>0</v>
      </c>
      <c r="AF631" s="185">
        <f>SUMIFS($AD$37:$AD$12971,$V$37:$V$12971,$V631,$X$37:$X$12971,AF$13)</f>
        <v>0</v>
      </c>
      <c r="AG631" s="185">
        <f>SUMIFS($AD$37:$AD$12971,$V$37:$V$12971,$V631,$X$37:$X$12971,AG$13)</f>
        <v>0</v>
      </c>
      <c r="AH631" s="187">
        <f>SUMIFS($AD$37:$AD$12971,$V$37:$V$12971,$V631,$X$37:$X$12971,AH$13)</f>
        <v>0</v>
      </c>
      <c r="AI631" s="161">
        <f t="shared" si="557"/>
        <v>0</v>
      </c>
      <c r="AK631" s="172"/>
    </row>
    <row r="632" spans="1:41" s="102" customFormat="1" ht="19.899999999999999" customHeight="1" x14ac:dyDescent="0.25">
      <c r="A632" s="45"/>
      <c r="B632" s="59"/>
      <c r="C632" s="137"/>
      <c r="D632" s="59"/>
      <c r="E632" s="116"/>
      <c r="F632" s="120"/>
      <c r="G632" s="120"/>
      <c r="H632" s="120"/>
      <c r="I632" s="60"/>
      <c r="J632" s="116"/>
      <c r="K632" s="213"/>
      <c r="L632" s="120"/>
      <c r="M632" s="120"/>
      <c r="N632" s="167"/>
      <c r="O632" s="120"/>
      <c r="P632" s="120"/>
      <c r="Q632" s="120"/>
      <c r="R632" s="120"/>
      <c r="S632" s="120"/>
      <c r="T632" s="221"/>
      <c r="U632" s="89"/>
      <c r="V632" s="61"/>
      <c r="W632" s="92" t="s">
        <v>1315</v>
      </c>
      <c r="X632" s="93" t="s">
        <v>30</v>
      </c>
      <c r="Y632" s="93" t="s">
        <v>35</v>
      </c>
      <c r="Z632" s="134">
        <f>VLOOKUP(W632,Sheet2!$B:$D,3,FALSE)</f>
        <v>3200</v>
      </c>
      <c r="AA632" s="93">
        <v>1</v>
      </c>
      <c r="AB632" s="93">
        <f t="shared" ref="AB632" si="558">AD632/AC631</f>
        <v>3200</v>
      </c>
      <c r="AC632" s="93">
        <f>AC631/AA632</f>
        <v>1.4124999999999996</v>
      </c>
      <c r="AD632" s="94">
        <f t="shared" ref="AD632:AD633" si="559">AC632*Z632</f>
        <v>4519.9999999999991</v>
      </c>
      <c r="AE632" s="190"/>
      <c r="AF632" s="191"/>
      <c r="AG632" s="191"/>
      <c r="AH632" s="191"/>
      <c r="AI632" s="186"/>
      <c r="AK632" s="171"/>
    </row>
    <row r="633" spans="1:41" s="102" customFormat="1" ht="19.899999999999999" customHeight="1" x14ac:dyDescent="0.25">
      <c r="A633" s="45"/>
      <c r="B633" s="59"/>
      <c r="C633" s="137"/>
      <c r="D633" s="59"/>
      <c r="E633" s="116"/>
      <c r="F633" s="120"/>
      <c r="G633" s="120"/>
      <c r="H633" s="120"/>
      <c r="I633" s="60"/>
      <c r="J633" s="116"/>
      <c r="K633" s="213"/>
      <c r="L633" s="120"/>
      <c r="M633" s="120"/>
      <c r="N633" s="167"/>
      <c r="O633" s="120"/>
      <c r="P633" s="120"/>
      <c r="Q633" s="120"/>
      <c r="R633" s="120"/>
      <c r="S633" s="120"/>
      <c r="T633" s="221"/>
      <c r="U633" s="89"/>
      <c r="V633" s="61"/>
      <c r="W633" s="92" t="s">
        <v>107</v>
      </c>
      <c r="X633" s="93" t="s">
        <v>31</v>
      </c>
      <c r="Y633" s="93" t="s">
        <v>93</v>
      </c>
      <c r="Z633" s="134">
        <f>VLOOKUP(W633,Sheet2!$B:$D,3,FALSE)</f>
        <v>17</v>
      </c>
      <c r="AA633" s="93">
        <v>0.25</v>
      </c>
      <c r="AB633" s="93">
        <f>AD633/AC631</f>
        <v>68</v>
      </c>
      <c r="AC633" s="93">
        <f>AC631/AA633</f>
        <v>5.6499999999999986</v>
      </c>
      <c r="AD633" s="94">
        <f t="shared" si="559"/>
        <v>96.049999999999983</v>
      </c>
      <c r="AE633" s="190"/>
      <c r="AF633" s="191"/>
      <c r="AG633" s="191"/>
      <c r="AH633" s="191"/>
      <c r="AI633" s="186"/>
      <c r="AK633" s="171"/>
    </row>
    <row r="634" spans="1:41" s="102" customFormat="1" ht="19.899999999999999" customHeight="1" x14ac:dyDescent="0.25">
      <c r="A634" s="45"/>
      <c r="B634" s="59"/>
      <c r="C634" s="137"/>
      <c r="D634" s="59"/>
      <c r="E634" s="116"/>
      <c r="F634" s="120"/>
      <c r="G634" s="120"/>
      <c r="H634" s="120"/>
      <c r="I634" s="60"/>
      <c r="J634" s="116"/>
      <c r="K634" s="213"/>
      <c r="L634" s="120"/>
      <c r="M634" s="120"/>
      <c r="N634" s="167"/>
      <c r="O634" s="120"/>
      <c r="P634" s="120"/>
      <c r="Q634" s="120"/>
      <c r="R634" s="120"/>
      <c r="S634" s="120"/>
      <c r="T634" s="221"/>
      <c r="U634" s="89"/>
      <c r="V634" s="61"/>
      <c r="W634" s="92" t="s">
        <v>112</v>
      </c>
      <c r="X634" s="93" t="s">
        <v>31</v>
      </c>
      <c r="Y634" s="93" t="s">
        <v>93</v>
      </c>
      <c r="Z634" s="134">
        <f>VLOOKUP(W634,Sheet2!$B:$D,3,FALSE)</f>
        <v>13</v>
      </c>
      <c r="AA634" s="93">
        <f>AA633</f>
        <v>0.25</v>
      </c>
      <c r="AB634" s="93">
        <f>AD634/AC631</f>
        <v>52.000000000000007</v>
      </c>
      <c r="AC634" s="93">
        <f>AC631/AA634</f>
        <v>5.6499999999999986</v>
      </c>
      <c r="AD634" s="94">
        <f>AC634*Z634</f>
        <v>73.449999999999989</v>
      </c>
      <c r="AE634" s="190"/>
      <c r="AF634" s="191"/>
      <c r="AG634" s="191"/>
      <c r="AH634" s="191"/>
      <c r="AI634" s="186"/>
      <c r="AK634" s="171"/>
    </row>
    <row r="635" spans="1:41" ht="20.100000000000001" customHeight="1" x14ac:dyDescent="0.25">
      <c r="A635" s="277" t="s">
        <v>216</v>
      </c>
      <c r="B635" s="278"/>
      <c r="C635" s="64" t="s">
        <v>279</v>
      </c>
      <c r="D635" s="46" t="s">
        <v>215</v>
      </c>
      <c r="E635" s="114">
        <v>1.5</v>
      </c>
      <c r="F635" s="44">
        <v>4632</v>
      </c>
      <c r="G635" s="44">
        <f t="shared" si="425"/>
        <v>6948</v>
      </c>
      <c r="H635" s="44">
        <f t="shared" si="426"/>
        <v>3670</v>
      </c>
      <c r="I635" s="43">
        <f t="shared" si="427"/>
        <v>5505</v>
      </c>
      <c r="J635" s="112">
        <f t="shared" si="428"/>
        <v>1.5</v>
      </c>
      <c r="K635" s="211">
        <f t="shared" si="429"/>
        <v>1.5</v>
      </c>
      <c r="L635" s="44"/>
      <c r="M635" s="44">
        <f t="shared" si="435"/>
        <v>1.5</v>
      </c>
      <c r="N635" s="173">
        <f t="shared" si="430"/>
        <v>1</v>
      </c>
      <c r="O635" s="44">
        <f t="shared" si="431"/>
        <v>4632</v>
      </c>
      <c r="P635" s="44">
        <f t="shared" si="432"/>
        <v>6948</v>
      </c>
      <c r="Q635" s="44">
        <f t="shared" si="433"/>
        <v>3670</v>
      </c>
      <c r="R635" s="44">
        <f t="shared" si="436"/>
        <v>5505</v>
      </c>
      <c r="S635" s="123"/>
      <c r="T635" s="219">
        <f t="shared" si="437"/>
        <v>5505</v>
      </c>
      <c r="U635" s="87"/>
      <c r="V635" s="47"/>
      <c r="W635" s="48"/>
      <c r="X635" s="48"/>
      <c r="Y635" s="48"/>
      <c r="Z635" s="135"/>
      <c r="AA635" s="49"/>
      <c r="AB635" s="50">
        <f t="shared" si="434"/>
        <v>3670</v>
      </c>
      <c r="AC635" s="42">
        <f t="shared" si="438"/>
        <v>1.5</v>
      </c>
      <c r="AD635" s="90">
        <f>AD636</f>
        <v>5505</v>
      </c>
      <c r="AE635" s="188">
        <f t="shared" ref="AE635:AH635" si="560">AE636</f>
        <v>0</v>
      </c>
      <c r="AF635" s="189">
        <f t="shared" si="560"/>
        <v>0</v>
      </c>
      <c r="AG635" s="189">
        <f t="shared" si="560"/>
        <v>0</v>
      </c>
      <c r="AH635" s="189">
        <f t="shared" si="560"/>
        <v>0</v>
      </c>
      <c r="AI635" s="161">
        <f t="shared" ref="AI635:AI636" si="561">SUM(AE635:AH635)</f>
        <v>0</v>
      </c>
      <c r="AK635" s="169">
        <v>5</v>
      </c>
      <c r="AO635" s="19" t="s">
        <v>63</v>
      </c>
    </row>
    <row r="636" spans="1:41" s="103" customFormat="1" ht="19.899999999999999" customHeight="1" x14ac:dyDescent="0.25">
      <c r="A636" s="51"/>
      <c r="B636" s="52"/>
      <c r="C636" s="165"/>
      <c r="D636" s="52"/>
      <c r="E636" s="115"/>
      <c r="F636" s="58"/>
      <c r="G636" s="58"/>
      <c r="H636" s="58"/>
      <c r="I636" s="55"/>
      <c r="J636" s="113">
        <f>J635</f>
        <v>1.5</v>
      </c>
      <c r="K636" s="212">
        <f>K635</f>
        <v>1.5</v>
      </c>
      <c r="L636" s="58"/>
      <c r="M636" s="58">
        <f>K636-L636</f>
        <v>1.5</v>
      </c>
      <c r="N636" s="166"/>
      <c r="O636" s="58"/>
      <c r="P636" s="58"/>
      <c r="Q636" s="58"/>
      <c r="R636" s="58"/>
      <c r="S636" s="58"/>
      <c r="T636" s="220"/>
      <c r="U636" s="88"/>
      <c r="V636" s="56"/>
      <c r="W636" s="57" t="s">
        <v>1294</v>
      </c>
      <c r="X636" s="53"/>
      <c r="Y636" s="91" t="s">
        <v>35</v>
      </c>
      <c r="Z636" s="136">
        <f>AD636/AC636</f>
        <v>3670</v>
      </c>
      <c r="AA636" s="58"/>
      <c r="AB636" s="53">
        <f>AD636/AC636</f>
        <v>3670</v>
      </c>
      <c r="AC636" s="53">
        <f>M636+$AE$10</f>
        <v>1.5</v>
      </c>
      <c r="AD636" s="54">
        <f>SUM(AD637:AD639)</f>
        <v>5505</v>
      </c>
      <c r="AE636" s="184">
        <f>SUMIFS($AD$37:$AD$12971,$V$37:$V$12971,$V636,$X$37:$X$12971,AE$13)</f>
        <v>0</v>
      </c>
      <c r="AF636" s="185">
        <f>SUMIFS($AD$37:$AD$12971,$V$37:$V$12971,$V636,$X$37:$X$12971,AF$13)</f>
        <v>0</v>
      </c>
      <c r="AG636" s="185">
        <f>SUMIFS($AD$37:$AD$12971,$V$37:$V$12971,$V636,$X$37:$X$12971,AG$13)</f>
        <v>0</v>
      </c>
      <c r="AH636" s="187">
        <f>SUMIFS($AD$37:$AD$12971,$V$37:$V$12971,$V636,$X$37:$X$12971,AH$13)</f>
        <v>0</v>
      </c>
      <c r="AI636" s="161">
        <f t="shared" si="561"/>
        <v>0</v>
      </c>
      <c r="AK636" s="172"/>
    </row>
    <row r="637" spans="1:41" s="102" customFormat="1" ht="19.899999999999999" customHeight="1" x14ac:dyDescent="0.25">
      <c r="A637" s="45"/>
      <c r="B637" s="59"/>
      <c r="C637" s="137"/>
      <c r="D637" s="59"/>
      <c r="E637" s="116"/>
      <c r="F637" s="120"/>
      <c r="G637" s="120"/>
      <c r="H637" s="120"/>
      <c r="I637" s="60"/>
      <c r="J637" s="116"/>
      <c r="K637" s="213"/>
      <c r="L637" s="120"/>
      <c r="M637" s="120"/>
      <c r="N637" s="167"/>
      <c r="O637" s="120"/>
      <c r="P637" s="120"/>
      <c r="Q637" s="120"/>
      <c r="R637" s="120"/>
      <c r="S637" s="120"/>
      <c r="T637" s="221"/>
      <c r="U637" s="89"/>
      <c r="V637" s="61"/>
      <c r="W637" s="92" t="s">
        <v>1316</v>
      </c>
      <c r="X637" s="93" t="s">
        <v>30</v>
      </c>
      <c r="Y637" s="93" t="s">
        <v>35</v>
      </c>
      <c r="Z637" s="134">
        <f>VLOOKUP(W637,Sheet2!$B:$D,3,FALSE)</f>
        <v>3550</v>
      </c>
      <c r="AA637" s="93">
        <v>1</v>
      </c>
      <c r="AB637" s="93">
        <f t="shared" ref="AB637" si="562">AD637/AC636</f>
        <v>3550</v>
      </c>
      <c r="AC637" s="93">
        <f>AC636/AA637</f>
        <v>1.5</v>
      </c>
      <c r="AD637" s="94">
        <f t="shared" ref="AD637:AD638" si="563">AC637*Z637</f>
        <v>5325</v>
      </c>
      <c r="AE637" s="190"/>
      <c r="AF637" s="191"/>
      <c r="AG637" s="191"/>
      <c r="AH637" s="191"/>
      <c r="AI637" s="186"/>
      <c r="AK637" s="171"/>
    </row>
    <row r="638" spans="1:41" s="102" customFormat="1" ht="19.899999999999999" customHeight="1" x14ac:dyDescent="0.25">
      <c r="A638" s="45"/>
      <c r="B638" s="59"/>
      <c r="C638" s="137"/>
      <c r="D638" s="59"/>
      <c r="E638" s="116"/>
      <c r="F638" s="120"/>
      <c r="G638" s="120"/>
      <c r="H638" s="120"/>
      <c r="I638" s="60"/>
      <c r="J638" s="116"/>
      <c r="K638" s="213"/>
      <c r="L638" s="120"/>
      <c r="M638" s="120"/>
      <c r="N638" s="167"/>
      <c r="O638" s="120"/>
      <c r="P638" s="120"/>
      <c r="Q638" s="120"/>
      <c r="R638" s="120"/>
      <c r="S638" s="120"/>
      <c r="T638" s="221"/>
      <c r="U638" s="89"/>
      <c r="V638" s="61"/>
      <c r="W638" s="92" t="s">
        <v>107</v>
      </c>
      <c r="X638" s="93" t="s">
        <v>31</v>
      </c>
      <c r="Y638" s="93" t="s">
        <v>93</v>
      </c>
      <c r="Z638" s="134">
        <f>VLOOKUP(W638,Sheet2!$B:$D,3,FALSE)</f>
        <v>17</v>
      </c>
      <c r="AA638" s="93">
        <v>0.25</v>
      </c>
      <c r="AB638" s="93">
        <f>AD638/AC636</f>
        <v>68</v>
      </c>
      <c r="AC638" s="93">
        <f>AC636/AA638</f>
        <v>6</v>
      </c>
      <c r="AD638" s="94">
        <f t="shared" si="563"/>
        <v>102</v>
      </c>
      <c r="AE638" s="190"/>
      <c r="AF638" s="191"/>
      <c r="AG638" s="191"/>
      <c r="AH638" s="191"/>
      <c r="AI638" s="186"/>
      <c r="AK638" s="171"/>
    </row>
    <row r="639" spans="1:41" s="102" customFormat="1" ht="19.899999999999999" customHeight="1" x14ac:dyDescent="0.25">
      <c r="A639" s="45"/>
      <c r="B639" s="59"/>
      <c r="C639" s="137"/>
      <c r="D639" s="59"/>
      <c r="E639" s="116"/>
      <c r="F639" s="120"/>
      <c r="G639" s="120"/>
      <c r="H639" s="120"/>
      <c r="I639" s="60"/>
      <c r="J639" s="116"/>
      <c r="K639" s="213"/>
      <c r="L639" s="120"/>
      <c r="M639" s="120"/>
      <c r="N639" s="167"/>
      <c r="O639" s="120"/>
      <c r="P639" s="120"/>
      <c r="Q639" s="120"/>
      <c r="R639" s="120"/>
      <c r="S639" s="120"/>
      <c r="T639" s="221"/>
      <c r="U639" s="89"/>
      <c r="V639" s="61"/>
      <c r="W639" s="92" t="s">
        <v>112</v>
      </c>
      <c r="X639" s="93" t="s">
        <v>31</v>
      </c>
      <c r="Y639" s="93" t="s">
        <v>93</v>
      </c>
      <c r="Z639" s="134">
        <f>VLOOKUP(W639,Sheet2!$B:$D,3,FALSE)</f>
        <v>13</v>
      </c>
      <c r="AA639" s="93">
        <f>AA638</f>
        <v>0.25</v>
      </c>
      <c r="AB639" s="93">
        <f>AD639/AC636</f>
        <v>52</v>
      </c>
      <c r="AC639" s="93">
        <f>AC636/AA639</f>
        <v>6</v>
      </c>
      <c r="AD639" s="94">
        <f>AC639*Z639</f>
        <v>78</v>
      </c>
      <c r="AE639" s="190"/>
      <c r="AF639" s="191"/>
      <c r="AG639" s="191"/>
      <c r="AH639" s="191"/>
      <c r="AI639" s="186"/>
      <c r="AK639" s="171"/>
    </row>
    <row r="640" spans="1:41" ht="20.100000000000001" customHeight="1" x14ac:dyDescent="0.25">
      <c r="A640" s="277" t="s">
        <v>216</v>
      </c>
      <c r="B640" s="278"/>
      <c r="C640" s="64" t="s">
        <v>280</v>
      </c>
      <c r="D640" s="46" t="s">
        <v>215</v>
      </c>
      <c r="E640" s="114">
        <v>3.7999999999999972</v>
      </c>
      <c r="F640" s="44">
        <v>5010</v>
      </c>
      <c r="G640" s="44">
        <f t="shared" si="425"/>
        <v>19037.999999999985</v>
      </c>
      <c r="H640" s="44">
        <f t="shared" si="426"/>
        <v>4349.9999999999991</v>
      </c>
      <c r="I640" s="43">
        <f t="shared" si="427"/>
        <v>16529.999999999985</v>
      </c>
      <c r="J640" s="112">
        <f t="shared" si="428"/>
        <v>3.7999999999999972</v>
      </c>
      <c r="K640" s="211">
        <f t="shared" si="429"/>
        <v>3.7999999999999972</v>
      </c>
      <c r="L640" s="44"/>
      <c r="M640" s="44">
        <f t="shared" si="435"/>
        <v>3.7999999999999972</v>
      </c>
      <c r="N640" s="173">
        <f t="shared" si="430"/>
        <v>1</v>
      </c>
      <c r="O640" s="44">
        <f t="shared" si="431"/>
        <v>5010</v>
      </c>
      <c r="P640" s="44">
        <f t="shared" si="432"/>
        <v>19037.999999999985</v>
      </c>
      <c r="Q640" s="44">
        <f t="shared" si="433"/>
        <v>4349.9999999999991</v>
      </c>
      <c r="R640" s="44">
        <f t="shared" si="436"/>
        <v>16529.999999999985</v>
      </c>
      <c r="S640" s="123"/>
      <c r="T640" s="219">
        <f t="shared" si="437"/>
        <v>16529.999999999985</v>
      </c>
      <c r="U640" s="87"/>
      <c r="V640" s="47"/>
      <c r="W640" s="48"/>
      <c r="X640" s="48"/>
      <c r="Y640" s="48"/>
      <c r="Z640" s="135"/>
      <c r="AA640" s="49"/>
      <c r="AB640" s="50">
        <f t="shared" si="434"/>
        <v>4349.9999999999991</v>
      </c>
      <c r="AC640" s="42">
        <f t="shared" si="438"/>
        <v>3.7999999999999972</v>
      </c>
      <c r="AD640" s="90">
        <f>AD641</f>
        <v>16529.999999999985</v>
      </c>
      <c r="AE640" s="188">
        <f t="shared" ref="AE640:AH640" si="564">AE641</f>
        <v>0</v>
      </c>
      <c r="AF640" s="189">
        <f t="shared" si="564"/>
        <v>0</v>
      </c>
      <c r="AG640" s="189">
        <f t="shared" si="564"/>
        <v>0</v>
      </c>
      <c r="AH640" s="189">
        <f t="shared" si="564"/>
        <v>0</v>
      </c>
      <c r="AI640" s="161">
        <f t="shared" ref="AI640:AI645" si="565">SUM(AE640:AH640)</f>
        <v>0</v>
      </c>
      <c r="AK640" s="169">
        <v>5</v>
      </c>
      <c r="AO640" s="19" t="s">
        <v>63</v>
      </c>
    </row>
    <row r="641" spans="1:41" s="103" customFormat="1" ht="19.899999999999999" customHeight="1" x14ac:dyDescent="0.25">
      <c r="A641" s="51"/>
      <c r="B641" s="52"/>
      <c r="C641" s="165"/>
      <c r="D641" s="52"/>
      <c r="E641" s="115"/>
      <c r="F641" s="58"/>
      <c r="G641" s="58"/>
      <c r="H641" s="58"/>
      <c r="I641" s="55"/>
      <c r="J641" s="113">
        <f>J640</f>
        <v>3.7999999999999972</v>
      </c>
      <c r="K641" s="212">
        <f>K640</f>
        <v>3.7999999999999972</v>
      </c>
      <c r="L641" s="58"/>
      <c r="M641" s="58">
        <f>K641-L641</f>
        <v>3.7999999999999972</v>
      </c>
      <c r="N641" s="166"/>
      <c r="O641" s="58"/>
      <c r="P641" s="58"/>
      <c r="Q641" s="58"/>
      <c r="R641" s="58"/>
      <c r="S641" s="58"/>
      <c r="T641" s="220"/>
      <c r="U641" s="88"/>
      <c r="V641" s="56"/>
      <c r="W641" s="57" t="s">
        <v>1294</v>
      </c>
      <c r="X641" s="53"/>
      <c r="Y641" s="91" t="s">
        <v>35</v>
      </c>
      <c r="Z641" s="136">
        <f>AD641/AC641</f>
        <v>4349.9999999999991</v>
      </c>
      <c r="AA641" s="58"/>
      <c r="AB641" s="53">
        <f>AD641/AC641</f>
        <v>4349.9999999999991</v>
      </c>
      <c r="AC641" s="53">
        <f>M641+$AE$10</f>
        <v>3.7999999999999972</v>
      </c>
      <c r="AD641" s="54">
        <f>SUM(AD642:AD644)</f>
        <v>16529.999999999985</v>
      </c>
      <c r="AE641" s="184">
        <f>SUMIFS($AD$37:$AD$12971,$V$37:$V$12971,$V641,$X$37:$X$12971,AE$13)</f>
        <v>0</v>
      </c>
      <c r="AF641" s="185">
        <f>SUMIFS($AD$37:$AD$12971,$V$37:$V$12971,$V641,$X$37:$X$12971,AF$13)</f>
        <v>0</v>
      </c>
      <c r="AG641" s="185">
        <f>SUMIFS($AD$37:$AD$12971,$V$37:$V$12971,$V641,$X$37:$X$12971,AG$13)</f>
        <v>0</v>
      </c>
      <c r="AH641" s="187">
        <f>SUMIFS($AD$37:$AD$12971,$V$37:$V$12971,$V641,$X$37:$X$12971,AH$13)</f>
        <v>0</v>
      </c>
      <c r="AI641" s="161">
        <f t="shared" si="565"/>
        <v>0</v>
      </c>
      <c r="AK641" s="172"/>
    </row>
    <row r="642" spans="1:41" s="102" customFormat="1" ht="19.899999999999999" customHeight="1" x14ac:dyDescent="0.25">
      <c r="A642" s="45"/>
      <c r="B642" s="59"/>
      <c r="C642" s="137"/>
      <c r="D642" s="59"/>
      <c r="E642" s="116"/>
      <c r="F642" s="120"/>
      <c r="G642" s="120"/>
      <c r="H642" s="120"/>
      <c r="I642" s="60"/>
      <c r="J642" s="116"/>
      <c r="K642" s="213"/>
      <c r="L642" s="120"/>
      <c r="M642" s="120"/>
      <c r="N642" s="167"/>
      <c r="O642" s="120"/>
      <c r="P642" s="120"/>
      <c r="Q642" s="120"/>
      <c r="R642" s="120"/>
      <c r="S642" s="120"/>
      <c r="T642" s="221"/>
      <c r="U642" s="89"/>
      <c r="V642" s="61"/>
      <c r="W642" s="92" t="s">
        <v>1317</v>
      </c>
      <c r="X642" s="93" t="s">
        <v>30</v>
      </c>
      <c r="Y642" s="93" t="s">
        <v>35</v>
      </c>
      <c r="Z642" s="134">
        <f>VLOOKUP(W642,Sheet2!$B:$D,3,FALSE)</f>
        <v>4200</v>
      </c>
      <c r="AA642" s="93">
        <v>1</v>
      </c>
      <c r="AB642" s="93">
        <f t="shared" ref="AB642" si="566">AD642/AC641</f>
        <v>4200</v>
      </c>
      <c r="AC642" s="93">
        <f>AC641/AA642</f>
        <v>3.7999999999999972</v>
      </c>
      <c r="AD642" s="94">
        <f t="shared" ref="AD642:AD643" si="567">AC642*Z642</f>
        <v>15959.999999999987</v>
      </c>
      <c r="AE642" s="190"/>
      <c r="AF642" s="191"/>
      <c r="AG642" s="191"/>
      <c r="AH642" s="191"/>
      <c r="AI642" s="186"/>
      <c r="AK642" s="171"/>
    </row>
    <row r="643" spans="1:41" s="102" customFormat="1" ht="19.899999999999999" customHeight="1" x14ac:dyDescent="0.25">
      <c r="A643" s="45"/>
      <c r="B643" s="59"/>
      <c r="C643" s="137"/>
      <c r="D643" s="59"/>
      <c r="E643" s="116"/>
      <c r="F643" s="120"/>
      <c r="G643" s="120"/>
      <c r="H643" s="120"/>
      <c r="I643" s="60"/>
      <c r="J643" s="116"/>
      <c r="K643" s="213"/>
      <c r="L643" s="120"/>
      <c r="M643" s="120"/>
      <c r="N643" s="167"/>
      <c r="O643" s="120"/>
      <c r="P643" s="120"/>
      <c r="Q643" s="120"/>
      <c r="R643" s="120"/>
      <c r="S643" s="120"/>
      <c r="T643" s="221"/>
      <c r="U643" s="89"/>
      <c r="V643" s="61"/>
      <c r="W643" s="92" t="s">
        <v>107</v>
      </c>
      <c r="X643" s="93" t="s">
        <v>31</v>
      </c>
      <c r="Y643" s="93" t="s">
        <v>93</v>
      </c>
      <c r="Z643" s="134">
        <f>VLOOKUP(W643,Sheet2!$B:$D,3,FALSE)</f>
        <v>17</v>
      </c>
      <c r="AA643" s="93">
        <v>0.2</v>
      </c>
      <c r="AB643" s="93">
        <f>AD643/AC641</f>
        <v>85</v>
      </c>
      <c r="AC643" s="93">
        <f>AC641/AA643</f>
        <v>18.999999999999986</v>
      </c>
      <c r="AD643" s="94">
        <f t="shared" si="567"/>
        <v>322.99999999999977</v>
      </c>
      <c r="AE643" s="190"/>
      <c r="AF643" s="191"/>
      <c r="AG643" s="191"/>
      <c r="AH643" s="191"/>
      <c r="AI643" s="186"/>
      <c r="AK643" s="171"/>
    </row>
    <row r="644" spans="1:41" s="102" customFormat="1" ht="19.899999999999999" customHeight="1" x14ac:dyDescent="0.25">
      <c r="A644" s="45"/>
      <c r="B644" s="59"/>
      <c r="C644" s="137"/>
      <c r="D644" s="59"/>
      <c r="E644" s="116"/>
      <c r="F644" s="120"/>
      <c r="G644" s="120"/>
      <c r="H644" s="120"/>
      <c r="I644" s="60"/>
      <c r="J644" s="116"/>
      <c r="K644" s="213"/>
      <c r="L644" s="120"/>
      <c r="M644" s="120"/>
      <c r="N644" s="167"/>
      <c r="O644" s="120"/>
      <c r="P644" s="120"/>
      <c r="Q644" s="120"/>
      <c r="R644" s="120"/>
      <c r="S644" s="120"/>
      <c r="T644" s="221"/>
      <c r="U644" s="89"/>
      <c r="V644" s="61"/>
      <c r="W644" s="92" t="s">
        <v>112</v>
      </c>
      <c r="X644" s="93" t="s">
        <v>31</v>
      </c>
      <c r="Y644" s="93" t="s">
        <v>93</v>
      </c>
      <c r="Z644" s="134">
        <f>VLOOKUP(W644,Sheet2!$B:$D,3,FALSE)</f>
        <v>13</v>
      </c>
      <c r="AA644" s="93">
        <f>AA643</f>
        <v>0.2</v>
      </c>
      <c r="AB644" s="93">
        <f>AD644/AC641</f>
        <v>65</v>
      </c>
      <c r="AC644" s="93">
        <f>AC641/AA644</f>
        <v>18.999999999999986</v>
      </c>
      <c r="AD644" s="94">
        <f>AC644*Z644</f>
        <v>246.99999999999983</v>
      </c>
      <c r="AE644" s="190"/>
      <c r="AF644" s="191"/>
      <c r="AG644" s="191"/>
      <c r="AH644" s="191"/>
      <c r="AI644" s="186"/>
      <c r="AK644" s="171"/>
    </row>
    <row r="645" spans="1:41" ht="20.100000000000001" customHeight="1" x14ac:dyDescent="0.25">
      <c r="A645" s="277" t="s">
        <v>216</v>
      </c>
      <c r="B645" s="278"/>
      <c r="C645" s="64" t="s">
        <v>281</v>
      </c>
      <c r="D645" s="46" t="s">
        <v>215</v>
      </c>
      <c r="E645" s="114">
        <v>7.4999999999999956E-2</v>
      </c>
      <c r="F645" s="44">
        <v>5324</v>
      </c>
      <c r="G645" s="44">
        <f t="shared" si="425"/>
        <v>399.29999999999978</v>
      </c>
      <c r="H645" s="44">
        <f t="shared" si="426"/>
        <v>4800</v>
      </c>
      <c r="I645" s="43">
        <f t="shared" si="427"/>
        <v>359.99999999999977</v>
      </c>
      <c r="J645" s="112">
        <f t="shared" si="428"/>
        <v>7.4999999999999956E-2</v>
      </c>
      <c r="K645" s="211">
        <f t="shared" si="429"/>
        <v>7.4999999999999956E-2</v>
      </c>
      <c r="L645" s="44"/>
      <c r="M645" s="44">
        <f t="shared" si="435"/>
        <v>7.4999999999999956E-2</v>
      </c>
      <c r="N645" s="173">
        <f t="shared" si="430"/>
        <v>1</v>
      </c>
      <c r="O645" s="44">
        <f t="shared" si="431"/>
        <v>5324</v>
      </c>
      <c r="P645" s="44">
        <f t="shared" si="432"/>
        <v>399.29999999999978</v>
      </c>
      <c r="Q645" s="44">
        <f t="shared" si="433"/>
        <v>4800</v>
      </c>
      <c r="R645" s="44">
        <f t="shared" si="436"/>
        <v>359.99999999999977</v>
      </c>
      <c r="S645" s="123"/>
      <c r="T645" s="219">
        <f t="shared" si="437"/>
        <v>359.99999999999977</v>
      </c>
      <c r="U645" s="87"/>
      <c r="V645" s="47"/>
      <c r="W645" s="48"/>
      <c r="X645" s="48"/>
      <c r="Y645" s="48"/>
      <c r="Z645" s="135"/>
      <c r="AA645" s="49"/>
      <c r="AB645" s="50">
        <f t="shared" si="434"/>
        <v>4800</v>
      </c>
      <c r="AC645" s="42">
        <f t="shared" si="438"/>
        <v>7.4999999999999956E-2</v>
      </c>
      <c r="AD645" s="90">
        <f>AD646</f>
        <v>359.99999999999977</v>
      </c>
      <c r="AE645" s="188">
        <f t="shared" ref="AE645:AH645" si="568">AE646</f>
        <v>0</v>
      </c>
      <c r="AF645" s="189">
        <f t="shared" si="568"/>
        <v>0</v>
      </c>
      <c r="AG645" s="189">
        <f t="shared" si="568"/>
        <v>0</v>
      </c>
      <c r="AH645" s="189">
        <f t="shared" si="568"/>
        <v>0</v>
      </c>
      <c r="AI645" s="161">
        <f t="shared" si="565"/>
        <v>0</v>
      </c>
      <c r="AK645" s="169">
        <v>5</v>
      </c>
      <c r="AO645" s="19" t="s">
        <v>63</v>
      </c>
    </row>
    <row r="646" spans="1:41" s="103" customFormat="1" ht="19.899999999999999" customHeight="1" x14ac:dyDescent="0.25">
      <c r="A646" s="51"/>
      <c r="B646" s="52"/>
      <c r="C646" s="165"/>
      <c r="D646" s="52"/>
      <c r="E646" s="115"/>
      <c r="F646" s="58"/>
      <c r="G646" s="58"/>
      <c r="H646" s="58"/>
      <c r="I646" s="55"/>
      <c r="J646" s="113">
        <f>J645</f>
        <v>7.4999999999999956E-2</v>
      </c>
      <c r="K646" s="212">
        <f>K645</f>
        <v>7.4999999999999956E-2</v>
      </c>
      <c r="L646" s="58"/>
      <c r="M646" s="58">
        <f>K646-L646</f>
        <v>7.4999999999999956E-2</v>
      </c>
      <c r="N646" s="166"/>
      <c r="O646" s="58"/>
      <c r="P646" s="58"/>
      <c r="Q646" s="58"/>
      <c r="R646" s="58"/>
      <c r="S646" s="58"/>
      <c r="T646" s="220"/>
      <c r="U646" s="88"/>
      <c r="V646" s="56"/>
      <c r="W646" s="57" t="s">
        <v>1294</v>
      </c>
      <c r="X646" s="53"/>
      <c r="Y646" s="91" t="s">
        <v>35</v>
      </c>
      <c r="Z646" s="136">
        <f>AD646/AC646</f>
        <v>4800</v>
      </c>
      <c r="AA646" s="58"/>
      <c r="AB646" s="53">
        <f>AD646/AC646</f>
        <v>4800</v>
      </c>
      <c r="AC646" s="53">
        <f>M646+$AE$10</f>
        <v>7.4999999999999956E-2</v>
      </c>
      <c r="AD646" s="54">
        <f>SUM(AD647:AD649)</f>
        <v>359.99999999999977</v>
      </c>
      <c r="AE646" s="184">
        <f>SUMIFS($AD$37:$AD$12971,$V$37:$V$12971,$V646,$X$37:$X$12971,AE$13)</f>
        <v>0</v>
      </c>
      <c r="AF646" s="185">
        <f>SUMIFS($AD$37:$AD$12971,$V$37:$V$12971,$V646,$X$37:$X$12971,AF$13)</f>
        <v>0</v>
      </c>
      <c r="AG646" s="185">
        <f>SUMIFS($AD$37:$AD$12971,$V$37:$V$12971,$V646,$X$37:$X$12971,AG$13)</f>
        <v>0</v>
      </c>
      <c r="AH646" s="187">
        <f>SUMIFS($AD$37:$AD$12971,$V$37:$V$12971,$V646,$X$37:$X$12971,AH$13)</f>
        <v>0</v>
      </c>
      <c r="AI646" s="161">
        <f t="shared" ref="AI646" si="569">SUM(AE646:AH646)</f>
        <v>0</v>
      </c>
      <c r="AK646" s="172"/>
    </row>
    <row r="647" spans="1:41" s="102" customFormat="1" ht="19.899999999999999" customHeight="1" x14ac:dyDescent="0.25">
      <c r="A647" s="45"/>
      <c r="B647" s="59"/>
      <c r="C647" s="137"/>
      <c r="D647" s="59"/>
      <c r="E647" s="116"/>
      <c r="F647" s="120"/>
      <c r="G647" s="120"/>
      <c r="H647" s="120"/>
      <c r="I647" s="60"/>
      <c r="J647" s="116"/>
      <c r="K647" s="213"/>
      <c r="L647" s="120"/>
      <c r="M647" s="120"/>
      <c r="N647" s="167"/>
      <c r="O647" s="120"/>
      <c r="P647" s="120"/>
      <c r="Q647" s="120"/>
      <c r="R647" s="120"/>
      <c r="S647" s="120"/>
      <c r="T647" s="221"/>
      <c r="U647" s="89"/>
      <c r="V647" s="61"/>
      <c r="W647" s="92" t="s">
        <v>1318</v>
      </c>
      <c r="X647" s="93" t="s">
        <v>30</v>
      </c>
      <c r="Y647" s="93" t="s">
        <v>35</v>
      </c>
      <c r="Z647" s="134">
        <f>VLOOKUP(W647,Sheet2!$B:$D,3,FALSE)</f>
        <v>4650</v>
      </c>
      <c r="AA647" s="93">
        <v>1</v>
      </c>
      <c r="AB647" s="93">
        <f t="shared" ref="AB647" si="570">AD647/AC646</f>
        <v>4650</v>
      </c>
      <c r="AC647" s="93">
        <f>AC646/AA647</f>
        <v>7.4999999999999956E-2</v>
      </c>
      <c r="AD647" s="94">
        <f t="shared" ref="AD647:AD648" si="571">AC647*Z647</f>
        <v>348.74999999999977</v>
      </c>
      <c r="AE647" s="190"/>
      <c r="AF647" s="191"/>
      <c r="AG647" s="191"/>
      <c r="AH647" s="191"/>
      <c r="AI647" s="186"/>
      <c r="AK647" s="171"/>
    </row>
    <row r="648" spans="1:41" s="102" customFormat="1" ht="19.899999999999999" customHeight="1" x14ac:dyDescent="0.25">
      <c r="A648" s="45"/>
      <c r="B648" s="59"/>
      <c r="C648" s="137"/>
      <c r="D648" s="59"/>
      <c r="E648" s="116"/>
      <c r="F648" s="120"/>
      <c r="G648" s="120"/>
      <c r="H648" s="120"/>
      <c r="I648" s="60"/>
      <c r="J648" s="116"/>
      <c r="K648" s="213"/>
      <c r="L648" s="120"/>
      <c r="M648" s="120"/>
      <c r="N648" s="167"/>
      <c r="O648" s="120"/>
      <c r="P648" s="120"/>
      <c r="Q648" s="120"/>
      <c r="R648" s="120"/>
      <c r="S648" s="120"/>
      <c r="T648" s="221"/>
      <c r="U648" s="89"/>
      <c r="V648" s="61"/>
      <c r="W648" s="92" t="s">
        <v>107</v>
      </c>
      <c r="X648" s="93" t="s">
        <v>31</v>
      </c>
      <c r="Y648" s="93" t="s">
        <v>93</v>
      </c>
      <c r="Z648" s="134">
        <f>VLOOKUP(W648,Sheet2!$B:$D,3,FALSE)</f>
        <v>17</v>
      </c>
      <c r="AA648" s="93">
        <v>0.2</v>
      </c>
      <c r="AB648" s="93">
        <f>AD648/AC646</f>
        <v>85</v>
      </c>
      <c r="AC648" s="93">
        <f>AC646/AA648</f>
        <v>0.37499999999999978</v>
      </c>
      <c r="AD648" s="94">
        <f t="shared" si="571"/>
        <v>6.3749999999999964</v>
      </c>
      <c r="AE648" s="190"/>
      <c r="AF648" s="191"/>
      <c r="AG648" s="191"/>
      <c r="AH648" s="191"/>
      <c r="AI648" s="186"/>
      <c r="AK648" s="171"/>
    </row>
    <row r="649" spans="1:41" s="102" customFormat="1" ht="19.899999999999999" customHeight="1" x14ac:dyDescent="0.25">
      <c r="A649" s="45"/>
      <c r="B649" s="59"/>
      <c r="C649" s="137"/>
      <c r="D649" s="59"/>
      <c r="E649" s="116"/>
      <c r="F649" s="120"/>
      <c r="G649" s="120"/>
      <c r="H649" s="120"/>
      <c r="I649" s="60"/>
      <c r="J649" s="116"/>
      <c r="K649" s="213"/>
      <c r="L649" s="120"/>
      <c r="M649" s="120"/>
      <c r="N649" s="167"/>
      <c r="O649" s="120"/>
      <c r="P649" s="120"/>
      <c r="Q649" s="120"/>
      <c r="R649" s="120"/>
      <c r="S649" s="120"/>
      <c r="T649" s="221"/>
      <c r="U649" s="89"/>
      <c r="V649" s="61"/>
      <c r="W649" s="92" t="s">
        <v>112</v>
      </c>
      <c r="X649" s="93" t="s">
        <v>31</v>
      </c>
      <c r="Y649" s="93" t="s">
        <v>93</v>
      </c>
      <c r="Z649" s="134">
        <f>VLOOKUP(W649,Sheet2!$B:$D,3,FALSE)</f>
        <v>13</v>
      </c>
      <c r="AA649" s="93">
        <f>AA648</f>
        <v>0.2</v>
      </c>
      <c r="AB649" s="93">
        <f>AD649/AC646</f>
        <v>65</v>
      </c>
      <c r="AC649" s="93">
        <f>AC646/AA649</f>
        <v>0.37499999999999978</v>
      </c>
      <c r="AD649" s="94">
        <f>AC649*Z649</f>
        <v>4.8749999999999973</v>
      </c>
      <c r="AE649" s="190"/>
      <c r="AF649" s="191"/>
      <c r="AG649" s="191"/>
      <c r="AH649" s="191"/>
      <c r="AI649" s="186"/>
      <c r="AK649" s="171"/>
    </row>
    <row r="650" spans="1:41" ht="20.100000000000001" customHeight="1" x14ac:dyDescent="0.25">
      <c r="A650" s="277" t="s">
        <v>216</v>
      </c>
      <c r="B650" s="278"/>
      <c r="C650" s="64" t="s">
        <v>282</v>
      </c>
      <c r="D650" s="46" t="s">
        <v>215</v>
      </c>
      <c r="E650" s="114"/>
      <c r="F650" s="44">
        <v>0</v>
      </c>
      <c r="G650" s="44">
        <f t="shared" si="425"/>
        <v>0</v>
      </c>
      <c r="H650" s="44">
        <f t="shared" si="426"/>
        <v>0</v>
      </c>
      <c r="I650" s="43">
        <f t="shared" si="427"/>
        <v>0</v>
      </c>
      <c r="J650" s="112">
        <f t="shared" si="428"/>
        <v>0</v>
      </c>
      <c r="K650" s="211">
        <f t="shared" si="429"/>
        <v>0</v>
      </c>
      <c r="L650" s="44"/>
      <c r="M650" s="44">
        <f t="shared" si="435"/>
        <v>0</v>
      </c>
      <c r="N650" s="173">
        <f t="shared" si="430"/>
        <v>0</v>
      </c>
      <c r="O650" s="44">
        <f t="shared" si="431"/>
        <v>0</v>
      </c>
      <c r="P650" s="44">
        <f t="shared" si="432"/>
        <v>0</v>
      </c>
      <c r="Q650" s="44">
        <f t="shared" si="433"/>
        <v>0</v>
      </c>
      <c r="R650" s="44">
        <f t="shared" si="436"/>
        <v>0</v>
      </c>
      <c r="S650" s="123"/>
      <c r="T650" s="219">
        <f t="shared" si="437"/>
        <v>0</v>
      </c>
      <c r="U650" s="87"/>
      <c r="V650" s="47"/>
      <c r="W650" s="48"/>
      <c r="X650" s="48"/>
      <c r="Y650" s="48"/>
      <c r="Z650" s="135"/>
      <c r="AA650" s="49"/>
      <c r="AB650" s="50">
        <f t="shared" si="434"/>
        <v>0</v>
      </c>
      <c r="AC650" s="42">
        <f t="shared" si="438"/>
        <v>9.9999999999999998E-20</v>
      </c>
      <c r="AD650" s="90"/>
      <c r="AE650" s="188"/>
      <c r="AF650" s="189"/>
      <c r="AG650" s="189"/>
      <c r="AH650" s="189"/>
      <c r="AI650" s="161"/>
    </row>
    <row r="651" spans="1:41" ht="20.100000000000001" customHeight="1" x14ac:dyDescent="0.25">
      <c r="A651" s="277" t="s">
        <v>216</v>
      </c>
      <c r="B651" s="278"/>
      <c r="C651" s="64" t="s">
        <v>283</v>
      </c>
      <c r="D651" s="46" t="s">
        <v>215</v>
      </c>
      <c r="E651" s="114">
        <v>7.4999999999999956E-2</v>
      </c>
      <c r="F651" s="44">
        <v>6332</v>
      </c>
      <c r="G651" s="44">
        <f t="shared" si="425"/>
        <v>474.89999999999969</v>
      </c>
      <c r="H651" s="44">
        <f t="shared" si="426"/>
        <v>5250</v>
      </c>
      <c r="I651" s="43">
        <f t="shared" si="427"/>
        <v>393.74999999999977</v>
      </c>
      <c r="J651" s="112">
        <f t="shared" si="428"/>
        <v>7.4999999999999956E-2</v>
      </c>
      <c r="K651" s="211">
        <f t="shared" si="429"/>
        <v>7.4999999999999956E-2</v>
      </c>
      <c r="L651" s="44"/>
      <c r="M651" s="44">
        <f t="shared" si="435"/>
        <v>7.4999999999999956E-2</v>
      </c>
      <c r="N651" s="173">
        <f t="shared" si="430"/>
        <v>1</v>
      </c>
      <c r="O651" s="44">
        <f t="shared" si="431"/>
        <v>6332</v>
      </c>
      <c r="P651" s="44">
        <f t="shared" si="432"/>
        <v>474.89999999999969</v>
      </c>
      <c r="Q651" s="44">
        <f t="shared" si="433"/>
        <v>5250</v>
      </c>
      <c r="R651" s="44">
        <f t="shared" si="436"/>
        <v>393.74999999999977</v>
      </c>
      <c r="S651" s="123"/>
      <c r="T651" s="219">
        <f t="shared" si="437"/>
        <v>393.74999999999977</v>
      </c>
      <c r="U651" s="87"/>
      <c r="V651" s="47"/>
      <c r="W651" s="48"/>
      <c r="X651" s="48"/>
      <c r="Y651" s="48"/>
      <c r="Z651" s="135"/>
      <c r="AA651" s="49"/>
      <c r="AB651" s="50">
        <f t="shared" si="434"/>
        <v>5250</v>
      </c>
      <c r="AC651" s="42">
        <f t="shared" si="438"/>
        <v>7.4999999999999956E-2</v>
      </c>
      <c r="AD651" s="90">
        <f>AD652</f>
        <v>393.74999999999977</v>
      </c>
      <c r="AE651" s="188">
        <f t="shared" ref="AE651:AH651" si="572">AE652</f>
        <v>0</v>
      </c>
      <c r="AF651" s="189">
        <f t="shared" si="572"/>
        <v>0</v>
      </c>
      <c r="AG651" s="189">
        <f t="shared" si="572"/>
        <v>0</v>
      </c>
      <c r="AH651" s="189">
        <f t="shared" si="572"/>
        <v>0</v>
      </c>
      <c r="AI651" s="161">
        <f t="shared" ref="AI651:AI652" si="573">SUM(AE651:AH651)</f>
        <v>0</v>
      </c>
      <c r="AK651" s="169">
        <v>5</v>
      </c>
      <c r="AO651" s="19" t="s">
        <v>63</v>
      </c>
    </row>
    <row r="652" spans="1:41" s="103" customFormat="1" ht="19.899999999999999" customHeight="1" x14ac:dyDescent="0.25">
      <c r="A652" s="51"/>
      <c r="B652" s="52"/>
      <c r="C652" s="165"/>
      <c r="D652" s="52"/>
      <c r="E652" s="115"/>
      <c r="F652" s="58"/>
      <c r="G652" s="58"/>
      <c r="H652" s="58"/>
      <c r="I652" s="55"/>
      <c r="J652" s="113">
        <f>J651</f>
        <v>7.4999999999999956E-2</v>
      </c>
      <c r="K652" s="212">
        <f>K651</f>
        <v>7.4999999999999956E-2</v>
      </c>
      <c r="L652" s="58"/>
      <c r="M652" s="58">
        <f>K652-L652</f>
        <v>7.4999999999999956E-2</v>
      </c>
      <c r="N652" s="166"/>
      <c r="O652" s="58"/>
      <c r="P652" s="58"/>
      <c r="Q652" s="58"/>
      <c r="R652" s="58"/>
      <c r="S652" s="58"/>
      <c r="T652" s="220"/>
      <c r="U652" s="88"/>
      <c r="V652" s="56"/>
      <c r="W652" s="57" t="s">
        <v>1294</v>
      </c>
      <c r="X652" s="53"/>
      <c r="Y652" s="91" t="s">
        <v>35</v>
      </c>
      <c r="Z652" s="136">
        <f>AD652/AC652</f>
        <v>5250</v>
      </c>
      <c r="AA652" s="58"/>
      <c r="AB652" s="53">
        <f>AD652/AC652</f>
        <v>5250</v>
      </c>
      <c r="AC652" s="53">
        <f>M652+$AE$10</f>
        <v>7.4999999999999956E-2</v>
      </c>
      <c r="AD652" s="54">
        <f>SUM(AD653:AD655)</f>
        <v>393.74999999999977</v>
      </c>
      <c r="AE652" s="184">
        <f>SUMIFS($AD$37:$AD$12971,$V$37:$V$12971,$V652,$X$37:$X$12971,AE$13)</f>
        <v>0</v>
      </c>
      <c r="AF652" s="185">
        <f>SUMIFS($AD$37:$AD$12971,$V$37:$V$12971,$V652,$X$37:$X$12971,AF$13)</f>
        <v>0</v>
      </c>
      <c r="AG652" s="185">
        <f>SUMIFS($AD$37:$AD$12971,$V$37:$V$12971,$V652,$X$37:$X$12971,AG$13)</f>
        <v>0</v>
      </c>
      <c r="AH652" s="187">
        <f>SUMIFS($AD$37:$AD$12971,$V$37:$V$12971,$V652,$X$37:$X$12971,AH$13)</f>
        <v>0</v>
      </c>
      <c r="AI652" s="161">
        <f t="shared" si="573"/>
        <v>0</v>
      </c>
      <c r="AK652" s="172"/>
    </row>
    <row r="653" spans="1:41" s="102" customFormat="1" ht="19.899999999999999" customHeight="1" x14ac:dyDescent="0.25">
      <c r="A653" s="45"/>
      <c r="B653" s="59"/>
      <c r="C653" s="137"/>
      <c r="D653" s="59"/>
      <c r="E653" s="116"/>
      <c r="F653" s="120"/>
      <c r="G653" s="120"/>
      <c r="H653" s="120"/>
      <c r="I653" s="60"/>
      <c r="J653" s="116"/>
      <c r="K653" s="213"/>
      <c r="L653" s="120"/>
      <c r="M653" s="120"/>
      <c r="N653" s="167"/>
      <c r="O653" s="120"/>
      <c r="P653" s="120"/>
      <c r="Q653" s="120"/>
      <c r="R653" s="120"/>
      <c r="S653" s="120"/>
      <c r="T653" s="221"/>
      <c r="U653" s="89"/>
      <c r="V653" s="61"/>
      <c r="W653" s="92" t="s">
        <v>1319</v>
      </c>
      <c r="X653" s="93" t="s">
        <v>30</v>
      </c>
      <c r="Y653" s="93" t="s">
        <v>35</v>
      </c>
      <c r="Z653" s="134">
        <f>VLOOKUP(W653,Sheet2!$B:$D,3,FALSE)</f>
        <v>5100</v>
      </c>
      <c r="AA653" s="93">
        <v>1</v>
      </c>
      <c r="AB653" s="93">
        <f t="shared" ref="AB653" si="574">AD653/AC652</f>
        <v>5100</v>
      </c>
      <c r="AC653" s="93">
        <f>AC652/AA653</f>
        <v>7.4999999999999956E-2</v>
      </c>
      <c r="AD653" s="94">
        <f t="shared" ref="AD653:AD654" si="575">AC653*Z653</f>
        <v>382.49999999999977</v>
      </c>
      <c r="AE653" s="190"/>
      <c r="AF653" s="191"/>
      <c r="AG653" s="191"/>
      <c r="AH653" s="191"/>
      <c r="AI653" s="186"/>
      <c r="AK653" s="171"/>
    </row>
    <row r="654" spans="1:41" s="102" customFormat="1" ht="19.899999999999999" customHeight="1" x14ac:dyDescent="0.25">
      <c r="A654" s="45"/>
      <c r="B654" s="59"/>
      <c r="C654" s="137"/>
      <c r="D654" s="59"/>
      <c r="E654" s="116"/>
      <c r="F654" s="120"/>
      <c r="G654" s="120"/>
      <c r="H654" s="120"/>
      <c r="I654" s="60"/>
      <c r="J654" s="116"/>
      <c r="K654" s="213"/>
      <c r="L654" s="120"/>
      <c r="M654" s="120"/>
      <c r="N654" s="167"/>
      <c r="O654" s="120"/>
      <c r="P654" s="120"/>
      <c r="Q654" s="120"/>
      <c r="R654" s="120"/>
      <c r="S654" s="120"/>
      <c r="T654" s="221"/>
      <c r="U654" s="89"/>
      <c r="V654" s="61"/>
      <c r="W654" s="92" t="s">
        <v>107</v>
      </c>
      <c r="X654" s="93" t="s">
        <v>31</v>
      </c>
      <c r="Y654" s="93" t="s">
        <v>93</v>
      </c>
      <c r="Z654" s="134">
        <f>VLOOKUP(W654,Sheet2!$B:$D,3,FALSE)</f>
        <v>17</v>
      </c>
      <c r="AA654" s="93">
        <v>0.2</v>
      </c>
      <c r="AB654" s="93">
        <f>AD654/AC652</f>
        <v>85</v>
      </c>
      <c r="AC654" s="93">
        <f>AC652/AA654</f>
        <v>0.37499999999999978</v>
      </c>
      <c r="AD654" s="94">
        <f t="shared" si="575"/>
        <v>6.3749999999999964</v>
      </c>
      <c r="AE654" s="190"/>
      <c r="AF654" s="191"/>
      <c r="AG654" s="191"/>
      <c r="AH654" s="191"/>
      <c r="AI654" s="186"/>
      <c r="AK654" s="171"/>
    </row>
    <row r="655" spans="1:41" s="102" customFormat="1" ht="19.899999999999999" customHeight="1" x14ac:dyDescent="0.25">
      <c r="A655" s="45"/>
      <c r="B655" s="59"/>
      <c r="C655" s="137"/>
      <c r="D655" s="59"/>
      <c r="E655" s="116"/>
      <c r="F655" s="120"/>
      <c r="G655" s="120"/>
      <c r="H655" s="120"/>
      <c r="I655" s="60"/>
      <c r="J655" s="116"/>
      <c r="K655" s="213"/>
      <c r="L655" s="120"/>
      <c r="M655" s="120"/>
      <c r="N655" s="167"/>
      <c r="O655" s="120"/>
      <c r="P655" s="120"/>
      <c r="Q655" s="120"/>
      <c r="R655" s="120"/>
      <c r="S655" s="120"/>
      <c r="T655" s="221"/>
      <c r="U655" s="89"/>
      <c r="V655" s="61"/>
      <c r="W655" s="92" t="s">
        <v>112</v>
      </c>
      <c r="X655" s="93" t="s">
        <v>31</v>
      </c>
      <c r="Y655" s="93" t="s">
        <v>93</v>
      </c>
      <c r="Z655" s="134">
        <f>VLOOKUP(W655,Sheet2!$B:$D,3,FALSE)</f>
        <v>13</v>
      </c>
      <c r="AA655" s="93">
        <f>AA654</f>
        <v>0.2</v>
      </c>
      <c r="AB655" s="93">
        <f>AD655/AC652</f>
        <v>65</v>
      </c>
      <c r="AC655" s="93">
        <f>AC652/AA655</f>
        <v>0.37499999999999978</v>
      </c>
      <c r="AD655" s="94">
        <f>AC655*Z655</f>
        <v>4.8749999999999973</v>
      </c>
      <c r="AE655" s="190"/>
      <c r="AF655" s="191"/>
      <c r="AG655" s="191"/>
      <c r="AH655" s="191"/>
      <c r="AI655" s="186"/>
      <c r="AK655" s="171"/>
    </row>
    <row r="656" spans="1:41" ht="20.100000000000001" customHeight="1" x14ac:dyDescent="0.25">
      <c r="A656" s="277" t="s">
        <v>216</v>
      </c>
      <c r="B656" s="278"/>
      <c r="C656" s="64" t="s">
        <v>284</v>
      </c>
      <c r="D656" s="46" t="s">
        <v>215</v>
      </c>
      <c r="E656" s="114">
        <v>1.3249999999999993</v>
      </c>
      <c r="F656" s="44">
        <v>6976</v>
      </c>
      <c r="G656" s="44">
        <f t="shared" si="425"/>
        <v>9243.1999999999953</v>
      </c>
      <c r="H656" s="44">
        <f t="shared" si="426"/>
        <v>5650</v>
      </c>
      <c r="I656" s="43">
        <f t="shared" si="427"/>
        <v>7486.2499999999964</v>
      </c>
      <c r="J656" s="112">
        <f t="shared" si="428"/>
        <v>1.3249999999999993</v>
      </c>
      <c r="K656" s="211">
        <f t="shared" si="429"/>
        <v>1.3249999999999993</v>
      </c>
      <c r="L656" s="44"/>
      <c r="M656" s="44">
        <f t="shared" si="435"/>
        <v>1.3249999999999993</v>
      </c>
      <c r="N656" s="173">
        <f t="shared" si="430"/>
        <v>1</v>
      </c>
      <c r="O656" s="44">
        <f t="shared" si="431"/>
        <v>6976</v>
      </c>
      <c r="P656" s="44">
        <f t="shared" si="432"/>
        <v>9243.1999999999953</v>
      </c>
      <c r="Q656" s="44">
        <f t="shared" si="433"/>
        <v>5650</v>
      </c>
      <c r="R656" s="44">
        <f t="shared" si="436"/>
        <v>7486.2499999999964</v>
      </c>
      <c r="S656" s="123"/>
      <c r="T656" s="219">
        <f t="shared" si="437"/>
        <v>7486.2499999999964</v>
      </c>
      <c r="U656" s="87"/>
      <c r="V656" s="47"/>
      <c r="W656" s="48"/>
      <c r="X656" s="48"/>
      <c r="Y656" s="48"/>
      <c r="Z656" s="135"/>
      <c r="AA656" s="49"/>
      <c r="AB656" s="50">
        <f t="shared" si="434"/>
        <v>5650</v>
      </c>
      <c r="AC656" s="42">
        <f t="shared" si="438"/>
        <v>1.3249999999999993</v>
      </c>
      <c r="AD656" s="90">
        <f>AD657</f>
        <v>7486.2499999999964</v>
      </c>
      <c r="AE656" s="188">
        <f t="shared" ref="AE656:AH656" si="576">AE657</f>
        <v>0</v>
      </c>
      <c r="AF656" s="189">
        <f t="shared" si="576"/>
        <v>0</v>
      </c>
      <c r="AG656" s="189">
        <f t="shared" si="576"/>
        <v>0</v>
      </c>
      <c r="AH656" s="189">
        <f t="shared" si="576"/>
        <v>0</v>
      </c>
      <c r="AI656" s="161">
        <f t="shared" ref="AI656:AI657" si="577">SUM(AE656:AH656)</f>
        <v>0</v>
      </c>
      <c r="AK656" s="169">
        <v>5</v>
      </c>
      <c r="AO656" s="19" t="s">
        <v>63</v>
      </c>
    </row>
    <row r="657" spans="1:41" s="103" customFormat="1" ht="19.899999999999999" customHeight="1" x14ac:dyDescent="0.25">
      <c r="A657" s="51"/>
      <c r="B657" s="52"/>
      <c r="C657" s="165"/>
      <c r="D657" s="52"/>
      <c r="E657" s="115"/>
      <c r="F657" s="58"/>
      <c r="G657" s="58"/>
      <c r="H657" s="58"/>
      <c r="I657" s="55"/>
      <c r="J657" s="113">
        <f>J656</f>
        <v>1.3249999999999993</v>
      </c>
      <c r="K657" s="212">
        <f>K656</f>
        <v>1.3249999999999993</v>
      </c>
      <c r="L657" s="58"/>
      <c r="M657" s="58">
        <f>K657-L657</f>
        <v>1.3249999999999993</v>
      </c>
      <c r="N657" s="166"/>
      <c r="O657" s="58"/>
      <c r="P657" s="58"/>
      <c r="Q657" s="58"/>
      <c r="R657" s="58"/>
      <c r="S657" s="58"/>
      <c r="T657" s="220"/>
      <c r="U657" s="88"/>
      <c r="V657" s="56"/>
      <c r="W657" s="57" t="s">
        <v>1294</v>
      </c>
      <c r="X657" s="53"/>
      <c r="Y657" s="91" t="s">
        <v>35</v>
      </c>
      <c r="Z657" s="136">
        <f>AD657/AC657</f>
        <v>5650</v>
      </c>
      <c r="AA657" s="58"/>
      <c r="AB657" s="53">
        <f>AD657/AC657</f>
        <v>5650</v>
      </c>
      <c r="AC657" s="53">
        <f>M657+$AE$10</f>
        <v>1.3249999999999993</v>
      </c>
      <c r="AD657" s="54">
        <f>SUM(AD658:AD660)</f>
        <v>7486.2499999999964</v>
      </c>
      <c r="AE657" s="184">
        <f>SUMIFS($AD$37:$AD$12971,$V$37:$V$12971,$V657,$X$37:$X$12971,AE$13)</f>
        <v>0</v>
      </c>
      <c r="AF657" s="185">
        <f>SUMIFS($AD$37:$AD$12971,$V$37:$V$12971,$V657,$X$37:$X$12971,AF$13)</f>
        <v>0</v>
      </c>
      <c r="AG657" s="185">
        <f>SUMIFS($AD$37:$AD$12971,$V$37:$V$12971,$V657,$X$37:$X$12971,AG$13)</f>
        <v>0</v>
      </c>
      <c r="AH657" s="187">
        <f>SUMIFS($AD$37:$AD$12971,$V$37:$V$12971,$V657,$X$37:$X$12971,AH$13)</f>
        <v>0</v>
      </c>
      <c r="AI657" s="161">
        <f t="shared" si="577"/>
        <v>0</v>
      </c>
      <c r="AK657" s="172"/>
    </row>
    <row r="658" spans="1:41" s="102" customFormat="1" ht="19.899999999999999" customHeight="1" x14ac:dyDescent="0.25">
      <c r="A658" s="45"/>
      <c r="B658" s="59"/>
      <c r="C658" s="137"/>
      <c r="D658" s="59"/>
      <c r="E658" s="116"/>
      <c r="F658" s="120"/>
      <c r="G658" s="120"/>
      <c r="H658" s="120"/>
      <c r="I658" s="60"/>
      <c r="J658" s="116"/>
      <c r="K658" s="213"/>
      <c r="L658" s="120"/>
      <c r="M658" s="120"/>
      <c r="N658" s="167"/>
      <c r="O658" s="120"/>
      <c r="P658" s="120"/>
      <c r="Q658" s="120"/>
      <c r="R658" s="120"/>
      <c r="S658" s="120"/>
      <c r="T658" s="221"/>
      <c r="U658" s="89"/>
      <c r="V658" s="61"/>
      <c r="W658" s="92" t="s">
        <v>1320</v>
      </c>
      <c r="X658" s="93" t="s">
        <v>30</v>
      </c>
      <c r="Y658" s="93" t="s">
        <v>35</v>
      </c>
      <c r="Z658" s="134">
        <f>VLOOKUP(W658,Sheet2!$B:$D,3,FALSE)</f>
        <v>5500</v>
      </c>
      <c r="AA658" s="93">
        <v>1</v>
      </c>
      <c r="AB658" s="93">
        <f t="shared" ref="AB658" si="578">AD658/AC657</f>
        <v>5500</v>
      </c>
      <c r="AC658" s="93">
        <f>AC657/AA658</f>
        <v>1.3249999999999993</v>
      </c>
      <c r="AD658" s="94">
        <f t="shared" ref="AD658:AD659" si="579">AC658*Z658</f>
        <v>7287.4999999999964</v>
      </c>
      <c r="AE658" s="190"/>
      <c r="AF658" s="191"/>
      <c r="AG658" s="191"/>
      <c r="AH658" s="191"/>
      <c r="AI658" s="186"/>
      <c r="AK658" s="171"/>
    </row>
    <row r="659" spans="1:41" s="102" customFormat="1" ht="19.899999999999999" customHeight="1" x14ac:dyDescent="0.25">
      <c r="A659" s="45"/>
      <c r="B659" s="59"/>
      <c r="C659" s="137"/>
      <c r="D659" s="59"/>
      <c r="E659" s="116"/>
      <c r="F659" s="120"/>
      <c r="G659" s="120"/>
      <c r="H659" s="120"/>
      <c r="I659" s="60"/>
      <c r="J659" s="116"/>
      <c r="K659" s="213"/>
      <c r="L659" s="120"/>
      <c r="M659" s="120"/>
      <c r="N659" s="167"/>
      <c r="O659" s="120"/>
      <c r="P659" s="120"/>
      <c r="Q659" s="120"/>
      <c r="R659" s="120"/>
      <c r="S659" s="120"/>
      <c r="T659" s="221"/>
      <c r="U659" s="89"/>
      <c r="V659" s="61"/>
      <c r="W659" s="92" t="s">
        <v>107</v>
      </c>
      <c r="X659" s="93" t="s">
        <v>31</v>
      </c>
      <c r="Y659" s="93" t="s">
        <v>93</v>
      </c>
      <c r="Z659" s="134">
        <f>VLOOKUP(W659,Sheet2!$B:$D,3,FALSE)</f>
        <v>17</v>
      </c>
      <c r="AA659" s="93">
        <v>0.2</v>
      </c>
      <c r="AB659" s="93">
        <f>AD659/AC657</f>
        <v>85</v>
      </c>
      <c r="AC659" s="93">
        <f>AC657/AA659</f>
        <v>6.6249999999999964</v>
      </c>
      <c r="AD659" s="94">
        <f t="shared" si="579"/>
        <v>112.62499999999994</v>
      </c>
      <c r="AE659" s="190"/>
      <c r="AF659" s="191"/>
      <c r="AG659" s="191"/>
      <c r="AH659" s="191"/>
      <c r="AI659" s="186"/>
      <c r="AK659" s="171"/>
    </row>
    <row r="660" spans="1:41" s="102" customFormat="1" ht="19.899999999999999" customHeight="1" x14ac:dyDescent="0.25">
      <c r="A660" s="45"/>
      <c r="B660" s="59"/>
      <c r="C660" s="137"/>
      <c r="D660" s="59"/>
      <c r="E660" s="116"/>
      <c r="F660" s="120"/>
      <c r="G660" s="120"/>
      <c r="H660" s="120"/>
      <c r="I660" s="60"/>
      <c r="J660" s="116"/>
      <c r="K660" s="213"/>
      <c r="L660" s="120"/>
      <c r="M660" s="120"/>
      <c r="N660" s="167"/>
      <c r="O660" s="120"/>
      <c r="P660" s="120"/>
      <c r="Q660" s="120"/>
      <c r="R660" s="120"/>
      <c r="S660" s="120"/>
      <c r="T660" s="221"/>
      <c r="U660" s="89"/>
      <c r="V660" s="61"/>
      <c r="W660" s="92" t="s">
        <v>112</v>
      </c>
      <c r="X660" s="93" t="s">
        <v>31</v>
      </c>
      <c r="Y660" s="93" t="s">
        <v>93</v>
      </c>
      <c r="Z660" s="134">
        <f>VLOOKUP(W660,Sheet2!$B:$D,3,FALSE)</f>
        <v>13</v>
      </c>
      <c r="AA660" s="93">
        <f>AA659</f>
        <v>0.2</v>
      </c>
      <c r="AB660" s="93">
        <f>AD660/AC657</f>
        <v>65</v>
      </c>
      <c r="AC660" s="93">
        <f>AC657/AA660</f>
        <v>6.6249999999999964</v>
      </c>
      <c r="AD660" s="94">
        <f>AC660*Z660</f>
        <v>86.124999999999957</v>
      </c>
      <c r="AE660" s="190"/>
      <c r="AF660" s="191"/>
      <c r="AG660" s="191"/>
      <c r="AH660" s="191"/>
      <c r="AI660" s="186"/>
      <c r="AK660" s="171"/>
    </row>
    <row r="661" spans="1:41" ht="25.5" x14ac:dyDescent="0.25">
      <c r="A661" s="277" t="s">
        <v>216</v>
      </c>
      <c r="B661" s="278"/>
      <c r="C661" s="64" t="s">
        <v>285</v>
      </c>
      <c r="D661" s="46" t="s">
        <v>97</v>
      </c>
      <c r="E661" s="114">
        <v>0.998</v>
      </c>
      <c r="F661" s="44">
        <v>1964</v>
      </c>
      <c r="G661" s="44">
        <f t="shared" si="425"/>
        <v>1960.0719999999999</v>
      </c>
      <c r="H661" s="44">
        <f t="shared" si="426"/>
        <v>500</v>
      </c>
      <c r="I661" s="43">
        <f t="shared" si="427"/>
        <v>499</v>
      </c>
      <c r="J661" s="112">
        <f t="shared" si="428"/>
        <v>0.998</v>
      </c>
      <c r="K661" s="211">
        <f t="shared" si="429"/>
        <v>0.998</v>
      </c>
      <c r="L661" s="44"/>
      <c r="M661" s="44">
        <f t="shared" si="435"/>
        <v>0.998</v>
      </c>
      <c r="N661" s="173">
        <f t="shared" si="430"/>
        <v>1</v>
      </c>
      <c r="O661" s="44">
        <f t="shared" si="431"/>
        <v>1964</v>
      </c>
      <c r="P661" s="44">
        <f t="shared" si="432"/>
        <v>1960.0719999999999</v>
      </c>
      <c r="Q661" s="44">
        <f t="shared" si="433"/>
        <v>500</v>
      </c>
      <c r="R661" s="44">
        <f t="shared" si="436"/>
        <v>499</v>
      </c>
      <c r="S661" s="123"/>
      <c r="T661" s="219">
        <f t="shared" si="437"/>
        <v>499</v>
      </c>
      <c r="U661" s="87"/>
      <c r="V661" s="47"/>
      <c r="W661" s="48"/>
      <c r="X661" s="48"/>
      <c r="Y661" s="48"/>
      <c r="Z661" s="135"/>
      <c r="AA661" s="49"/>
      <c r="AB661" s="50">
        <f t="shared" si="434"/>
        <v>500</v>
      </c>
      <c r="AC661" s="42">
        <f t="shared" si="438"/>
        <v>0.998</v>
      </c>
      <c r="AD661" s="90">
        <f>AD662</f>
        <v>499</v>
      </c>
      <c r="AE661" s="188">
        <f t="shared" ref="AE661:AH661" si="580">AE662</f>
        <v>0</v>
      </c>
      <c r="AF661" s="189">
        <f t="shared" si="580"/>
        <v>0</v>
      </c>
      <c r="AG661" s="189">
        <f t="shared" si="580"/>
        <v>0</v>
      </c>
      <c r="AH661" s="189">
        <f t="shared" si="580"/>
        <v>0</v>
      </c>
      <c r="AI661" s="161">
        <f t="shared" ref="AI661:AI667" si="581">SUM(AE661:AH661)</f>
        <v>0</v>
      </c>
      <c r="AK661" s="169">
        <v>5</v>
      </c>
      <c r="AO661" s="19" t="s">
        <v>63</v>
      </c>
    </row>
    <row r="662" spans="1:41" s="103" customFormat="1" ht="19.899999999999999" customHeight="1" x14ac:dyDescent="0.25">
      <c r="A662" s="51"/>
      <c r="B662" s="52"/>
      <c r="C662" s="165"/>
      <c r="D662" s="52"/>
      <c r="E662" s="115"/>
      <c r="F662" s="58"/>
      <c r="G662" s="58"/>
      <c r="H662" s="58"/>
      <c r="I662" s="55"/>
      <c r="J662" s="113">
        <f>J661</f>
        <v>0.998</v>
      </c>
      <c r="K662" s="212">
        <f>K661</f>
        <v>0.998</v>
      </c>
      <c r="L662" s="58"/>
      <c r="M662" s="58">
        <f>K662-L662</f>
        <v>0.998</v>
      </c>
      <c r="N662" s="166"/>
      <c r="O662" s="58"/>
      <c r="P662" s="58"/>
      <c r="Q662" s="58"/>
      <c r="R662" s="58"/>
      <c r="S662" s="58"/>
      <c r="T662" s="220"/>
      <c r="U662" s="88"/>
      <c r="V662" s="56"/>
      <c r="W662" s="57" t="s">
        <v>1294</v>
      </c>
      <c r="X662" s="53"/>
      <c r="Y662" s="91" t="s">
        <v>35</v>
      </c>
      <c r="Z662" s="136">
        <f>AD662/AC662</f>
        <v>500</v>
      </c>
      <c r="AA662" s="58"/>
      <c r="AB662" s="53">
        <f>AD662/AC662</f>
        <v>500</v>
      </c>
      <c r="AC662" s="53">
        <f>M662+$AE$10</f>
        <v>0.998</v>
      </c>
      <c r="AD662" s="54">
        <f>SUM(AD663:AD665)</f>
        <v>499</v>
      </c>
      <c r="AE662" s="184">
        <f>SUMIFS($AD$37:$AD$12971,$V$37:$V$12971,$V662,$X$37:$X$12971,AE$13)</f>
        <v>0</v>
      </c>
      <c r="AF662" s="185">
        <f>SUMIFS($AD$37:$AD$12971,$V$37:$V$12971,$V662,$X$37:$X$12971,AF$13)</f>
        <v>0</v>
      </c>
      <c r="AG662" s="185">
        <f>SUMIFS($AD$37:$AD$12971,$V$37:$V$12971,$V662,$X$37:$X$12971,AG$13)</f>
        <v>0</v>
      </c>
      <c r="AH662" s="187">
        <f>SUMIFS($AD$37:$AD$12971,$V$37:$V$12971,$V662,$X$37:$X$12971,AH$13)</f>
        <v>0</v>
      </c>
      <c r="AI662" s="161">
        <f t="shared" si="581"/>
        <v>0</v>
      </c>
      <c r="AK662" s="172"/>
    </row>
    <row r="663" spans="1:41" s="102" customFormat="1" ht="19.899999999999999" customHeight="1" x14ac:dyDescent="0.25">
      <c r="A663" s="45"/>
      <c r="B663" s="59"/>
      <c r="C663" s="137"/>
      <c r="D663" s="59"/>
      <c r="E663" s="116"/>
      <c r="F663" s="120"/>
      <c r="G663" s="120"/>
      <c r="H663" s="120"/>
      <c r="I663" s="60"/>
      <c r="J663" s="116"/>
      <c r="K663" s="213"/>
      <c r="L663" s="120"/>
      <c r="M663" s="120"/>
      <c r="N663" s="167"/>
      <c r="O663" s="120"/>
      <c r="P663" s="120"/>
      <c r="Q663" s="120"/>
      <c r="R663" s="120"/>
      <c r="S663" s="120"/>
      <c r="T663" s="221"/>
      <c r="U663" s="89"/>
      <c r="V663" s="61"/>
      <c r="W663" s="92" t="s">
        <v>1321</v>
      </c>
      <c r="X663" s="93" t="s">
        <v>30</v>
      </c>
      <c r="Y663" s="93" t="s">
        <v>35</v>
      </c>
      <c r="Z663" s="134">
        <f>VLOOKUP(W663,Sheet2!$B:$D,3,FALSE)</f>
        <v>400</v>
      </c>
      <c r="AA663" s="93">
        <v>1</v>
      </c>
      <c r="AB663" s="93">
        <f t="shared" ref="AB663" si="582">AD663/AC662</f>
        <v>400</v>
      </c>
      <c r="AC663" s="93">
        <f>AC662/AA663</f>
        <v>0.998</v>
      </c>
      <c r="AD663" s="94">
        <f t="shared" ref="AD663:AD664" si="583">AC663*Z663</f>
        <v>399.2</v>
      </c>
      <c r="AE663" s="190"/>
      <c r="AF663" s="191"/>
      <c r="AG663" s="191"/>
      <c r="AH663" s="191"/>
      <c r="AI663" s="186"/>
      <c r="AK663" s="171"/>
    </row>
    <row r="664" spans="1:41" s="102" customFormat="1" ht="19.899999999999999" customHeight="1" x14ac:dyDescent="0.25">
      <c r="A664" s="45"/>
      <c r="B664" s="59"/>
      <c r="C664" s="137"/>
      <c r="D664" s="59"/>
      <c r="E664" s="116"/>
      <c r="F664" s="120"/>
      <c r="G664" s="120"/>
      <c r="H664" s="120"/>
      <c r="I664" s="60"/>
      <c r="J664" s="116"/>
      <c r="K664" s="213"/>
      <c r="L664" s="120"/>
      <c r="M664" s="120"/>
      <c r="N664" s="167"/>
      <c r="O664" s="120"/>
      <c r="P664" s="120"/>
      <c r="Q664" s="120"/>
      <c r="R664" s="120"/>
      <c r="S664" s="120"/>
      <c r="T664" s="221"/>
      <c r="U664" s="89"/>
      <c r="V664" s="61"/>
      <c r="W664" s="92" t="s">
        <v>107</v>
      </c>
      <c r="X664" s="93" t="s">
        <v>31</v>
      </c>
      <c r="Y664" s="93" t="s">
        <v>93</v>
      </c>
      <c r="Z664" s="134">
        <f>VLOOKUP(W664,Sheet2!$B:$D,3,FALSE)</f>
        <v>17</v>
      </c>
      <c r="AA664" s="93">
        <v>0.3</v>
      </c>
      <c r="AB664" s="93">
        <f>AD664/AC662</f>
        <v>56.666666666666671</v>
      </c>
      <c r="AC664" s="93">
        <f>AC662/AA664</f>
        <v>3.3266666666666667</v>
      </c>
      <c r="AD664" s="94">
        <f t="shared" si="583"/>
        <v>56.553333333333335</v>
      </c>
      <c r="AE664" s="190"/>
      <c r="AF664" s="191"/>
      <c r="AG664" s="191"/>
      <c r="AH664" s="191"/>
      <c r="AI664" s="186"/>
      <c r="AK664" s="171"/>
    </row>
    <row r="665" spans="1:41" s="102" customFormat="1" ht="19.899999999999999" customHeight="1" x14ac:dyDescent="0.25">
      <c r="A665" s="45"/>
      <c r="B665" s="59"/>
      <c r="C665" s="137"/>
      <c r="D665" s="59"/>
      <c r="E665" s="116"/>
      <c r="F665" s="120"/>
      <c r="G665" s="120"/>
      <c r="H665" s="120"/>
      <c r="I665" s="60"/>
      <c r="J665" s="116"/>
      <c r="K665" s="213"/>
      <c r="L665" s="120"/>
      <c r="M665" s="120"/>
      <c r="N665" s="167"/>
      <c r="O665" s="120"/>
      <c r="P665" s="120"/>
      <c r="Q665" s="120"/>
      <c r="R665" s="120"/>
      <c r="S665" s="120"/>
      <c r="T665" s="221"/>
      <c r="U665" s="89"/>
      <c r="V665" s="61"/>
      <c r="W665" s="92" t="s">
        <v>112</v>
      </c>
      <c r="X665" s="93" t="s">
        <v>31</v>
      </c>
      <c r="Y665" s="93" t="s">
        <v>93</v>
      </c>
      <c r="Z665" s="134">
        <f>VLOOKUP(W665,Sheet2!$B:$D,3,FALSE)</f>
        <v>13</v>
      </c>
      <c r="AA665" s="93">
        <f>AA664</f>
        <v>0.3</v>
      </c>
      <c r="AB665" s="93">
        <f>AD665/AC662</f>
        <v>43.333333333333336</v>
      </c>
      <c r="AC665" s="93">
        <f>AC662/AA665</f>
        <v>3.3266666666666667</v>
      </c>
      <c r="AD665" s="94">
        <f>AC665*Z665</f>
        <v>43.24666666666667</v>
      </c>
      <c r="AE665" s="190"/>
      <c r="AF665" s="191"/>
      <c r="AG665" s="191"/>
      <c r="AH665" s="191"/>
      <c r="AI665" s="186"/>
      <c r="AK665" s="171"/>
    </row>
    <row r="666" spans="1:41" ht="25.5" x14ac:dyDescent="0.25">
      <c r="A666" s="277" t="s">
        <v>216</v>
      </c>
      <c r="B666" s="278"/>
      <c r="C666" s="64" t="s">
        <v>286</v>
      </c>
      <c r="D666" s="46" t="s">
        <v>97</v>
      </c>
      <c r="E666" s="114">
        <v>0.32500000000000018</v>
      </c>
      <c r="F666" s="44">
        <v>4582</v>
      </c>
      <c r="G666" s="44">
        <f t="shared" si="425"/>
        <v>1489.1500000000008</v>
      </c>
      <c r="H666" s="44">
        <f t="shared" si="426"/>
        <v>2845</v>
      </c>
      <c r="I666" s="43">
        <f t="shared" si="427"/>
        <v>924.62500000000045</v>
      </c>
      <c r="J666" s="112">
        <f t="shared" si="428"/>
        <v>0.32500000000000018</v>
      </c>
      <c r="K666" s="211">
        <f t="shared" si="429"/>
        <v>0.32500000000000018</v>
      </c>
      <c r="L666" s="44"/>
      <c r="M666" s="44">
        <f t="shared" si="435"/>
        <v>0.32500000000000018</v>
      </c>
      <c r="N666" s="173">
        <f t="shared" si="430"/>
        <v>1</v>
      </c>
      <c r="O666" s="44">
        <f t="shared" si="431"/>
        <v>4582</v>
      </c>
      <c r="P666" s="44">
        <f t="shared" si="432"/>
        <v>1489.1500000000008</v>
      </c>
      <c r="Q666" s="44">
        <f t="shared" si="433"/>
        <v>2845</v>
      </c>
      <c r="R666" s="44">
        <f t="shared" si="436"/>
        <v>924.62500000000045</v>
      </c>
      <c r="S666" s="123"/>
      <c r="T666" s="219">
        <f t="shared" si="437"/>
        <v>924.62500000000045</v>
      </c>
      <c r="U666" s="87"/>
      <c r="V666" s="47"/>
      <c r="W666" s="48"/>
      <c r="X666" s="48"/>
      <c r="Y666" s="48"/>
      <c r="Z666" s="135"/>
      <c r="AA666" s="49"/>
      <c r="AB666" s="50">
        <f t="shared" si="434"/>
        <v>2845</v>
      </c>
      <c r="AC666" s="42">
        <f t="shared" si="438"/>
        <v>0.32500000000000018</v>
      </c>
      <c r="AD666" s="90">
        <f>AD667</f>
        <v>924.62500000000045</v>
      </c>
      <c r="AE666" s="188">
        <f t="shared" ref="AE666:AH666" si="584">AE667</f>
        <v>0</v>
      </c>
      <c r="AF666" s="189">
        <f t="shared" si="584"/>
        <v>0</v>
      </c>
      <c r="AG666" s="189">
        <f t="shared" si="584"/>
        <v>0</v>
      </c>
      <c r="AH666" s="189">
        <f t="shared" si="584"/>
        <v>0</v>
      </c>
      <c r="AI666" s="161">
        <f t="shared" si="581"/>
        <v>0</v>
      </c>
      <c r="AK666" s="169">
        <v>5</v>
      </c>
      <c r="AO666" s="19" t="s">
        <v>63</v>
      </c>
    </row>
    <row r="667" spans="1:41" s="103" customFormat="1" ht="19.899999999999999" customHeight="1" x14ac:dyDescent="0.25">
      <c r="A667" s="51"/>
      <c r="B667" s="52"/>
      <c r="C667" s="165"/>
      <c r="D667" s="52"/>
      <c r="E667" s="115"/>
      <c r="F667" s="58"/>
      <c r="G667" s="58"/>
      <c r="H667" s="58"/>
      <c r="I667" s="55"/>
      <c r="J667" s="113">
        <f>J666</f>
        <v>0.32500000000000018</v>
      </c>
      <c r="K667" s="212">
        <f>K666</f>
        <v>0.32500000000000018</v>
      </c>
      <c r="L667" s="58"/>
      <c r="M667" s="58">
        <f>K667-L667</f>
        <v>0.32500000000000018</v>
      </c>
      <c r="N667" s="166"/>
      <c r="O667" s="58"/>
      <c r="P667" s="58"/>
      <c r="Q667" s="58"/>
      <c r="R667" s="58"/>
      <c r="S667" s="58"/>
      <c r="T667" s="220"/>
      <c r="U667" s="88"/>
      <c r="V667" s="56"/>
      <c r="W667" s="57" t="s">
        <v>1294</v>
      </c>
      <c r="X667" s="53"/>
      <c r="Y667" s="91" t="s">
        <v>35</v>
      </c>
      <c r="Z667" s="136">
        <f>AD667/AC667</f>
        <v>2845</v>
      </c>
      <c r="AA667" s="58"/>
      <c r="AB667" s="53">
        <f>AD667/AC667</f>
        <v>2845</v>
      </c>
      <c r="AC667" s="53">
        <f>M667+$AE$10</f>
        <v>0.32500000000000018</v>
      </c>
      <c r="AD667" s="54">
        <f>SUM(AD668:AD670)</f>
        <v>924.62500000000045</v>
      </c>
      <c r="AE667" s="184">
        <f>SUMIFS($AD$37:$AD$12971,$V$37:$V$12971,$V667,$X$37:$X$12971,AE$13)</f>
        <v>0</v>
      </c>
      <c r="AF667" s="185">
        <f>SUMIFS($AD$37:$AD$12971,$V$37:$V$12971,$V667,$X$37:$X$12971,AF$13)</f>
        <v>0</v>
      </c>
      <c r="AG667" s="185">
        <f>SUMIFS($AD$37:$AD$12971,$V$37:$V$12971,$V667,$X$37:$X$12971,AG$13)</f>
        <v>0</v>
      </c>
      <c r="AH667" s="187">
        <f>SUMIFS($AD$37:$AD$12971,$V$37:$V$12971,$V667,$X$37:$X$12971,AH$13)</f>
        <v>0</v>
      </c>
      <c r="AI667" s="161">
        <f t="shared" si="581"/>
        <v>0</v>
      </c>
      <c r="AK667" s="172"/>
    </row>
    <row r="668" spans="1:41" s="102" customFormat="1" ht="19.899999999999999" customHeight="1" x14ac:dyDescent="0.25">
      <c r="A668" s="45"/>
      <c r="B668" s="59"/>
      <c r="C668" s="137"/>
      <c r="D668" s="59"/>
      <c r="E668" s="116"/>
      <c r="F668" s="120"/>
      <c r="G668" s="120"/>
      <c r="H668" s="120"/>
      <c r="I668" s="60"/>
      <c r="J668" s="116"/>
      <c r="K668" s="213"/>
      <c r="L668" s="120"/>
      <c r="M668" s="120"/>
      <c r="N668" s="167"/>
      <c r="O668" s="120"/>
      <c r="P668" s="120"/>
      <c r="Q668" s="120"/>
      <c r="R668" s="120"/>
      <c r="S668" s="120"/>
      <c r="T668" s="221"/>
      <c r="U668" s="89"/>
      <c r="V668" s="61"/>
      <c r="W668" s="92" t="s">
        <v>1322</v>
      </c>
      <c r="X668" s="93" t="s">
        <v>30</v>
      </c>
      <c r="Y668" s="93" t="s">
        <v>35</v>
      </c>
      <c r="Z668" s="134">
        <f>VLOOKUP(W668,Sheet2!$B:$D,3,FALSE)</f>
        <v>2725</v>
      </c>
      <c r="AA668" s="93">
        <v>1</v>
      </c>
      <c r="AB668" s="93">
        <f t="shared" ref="AB668" si="585">AD668/AC667</f>
        <v>2725</v>
      </c>
      <c r="AC668" s="93">
        <f>AC667/AA668</f>
        <v>0.32500000000000018</v>
      </c>
      <c r="AD668" s="94">
        <f t="shared" ref="AD668:AD669" si="586">AC668*Z668</f>
        <v>885.62500000000045</v>
      </c>
      <c r="AE668" s="190"/>
      <c r="AF668" s="191"/>
      <c r="AG668" s="191"/>
      <c r="AH668" s="191"/>
      <c r="AI668" s="186"/>
      <c r="AK668" s="171"/>
    </row>
    <row r="669" spans="1:41" s="102" customFormat="1" ht="19.899999999999999" customHeight="1" x14ac:dyDescent="0.25">
      <c r="A669" s="45"/>
      <c r="B669" s="59"/>
      <c r="C669" s="137"/>
      <c r="D669" s="59"/>
      <c r="E669" s="116"/>
      <c r="F669" s="120"/>
      <c r="G669" s="120"/>
      <c r="H669" s="120"/>
      <c r="I669" s="60"/>
      <c r="J669" s="116"/>
      <c r="K669" s="213"/>
      <c r="L669" s="120"/>
      <c r="M669" s="120"/>
      <c r="N669" s="167"/>
      <c r="O669" s="120"/>
      <c r="P669" s="120"/>
      <c r="Q669" s="120"/>
      <c r="R669" s="120"/>
      <c r="S669" s="120"/>
      <c r="T669" s="221"/>
      <c r="U669" s="89"/>
      <c r="V669" s="61"/>
      <c r="W669" s="92" t="s">
        <v>107</v>
      </c>
      <c r="X669" s="93" t="s">
        <v>31</v>
      </c>
      <c r="Y669" s="93" t="s">
        <v>93</v>
      </c>
      <c r="Z669" s="134">
        <f>VLOOKUP(W669,Sheet2!$B:$D,3,FALSE)</f>
        <v>17</v>
      </c>
      <c r="AA669" s="93">
        <v>0.25</v>
      </c>
      <c r="AB669" s="93">
        <f>AD669/AC667</f>
        <v>68</v>
      </c>
      <c r="AC669" s="93">
        <f>AC667/AA669</f>
        <v>1.3000000000000007</v>
      </c>
      <c r="AD669" s="94">
        <f t="shared" si="586"/>
        <v>22.100000000000012</v>
      </c>
      <c r="AE669" s="190"/>
      <c r="AF669" s="191"/>
      <c r="AG669" s="191"/>
      <c r="AH669" s="191"/>
      <c r="AI669" s="186"/>
      <c r="AK669" s="171"/>
    </row>
    <row r="670" spans="1:41" s="102" customFormat="1" ht="19.899999999999999" customHeight="1" x14ac:dyDescent="0.25">
      <c r="A670" s="45"/>
      <c r="B670" s="59"/>
      <c r="C670" s="137"/>
      <c r="D670" s="59"/>
      <c r="E670" s="116"/>
      <c r="F670" s="120"/>
      <c r="G670" s="120"/>
      <c r="H670" s="120"/>
      <c r="I670" s="60"/>
      <c r="J670" s="116"/>
      <c r="K670" s="213"/>
      <c r="L670" s="120"/>
      <c r="M670" s="120"/>
      <c r="N670" s="167"/>
      <c r="O670" s="120"/>
      <c r="P670" s="120"/>
      <c r="Q670" s="120"/>
      <c r="R670" s="120"/>
      <c r="S670" s="120"/>
      <c r="T670" s="221"/>
      <c r="U670" s="89"/>
      <c r="V670" s="61"/>
      <c r="W670" s="92" t="s">
        <v>112</v>
      </c>
      <c r="X670" s="93" t="s">
        <v>31</v>
      </c>
      <c r="Y670" s="93" t="s">
        <v>93</v>
      </c>
      <c r="Z670" s="134">
        <f>VLOOKUP(W670,Sheet2!$B:$D,3,FALSE)</f>
        <v>13</v>
      </c>
      <c r="AA670" s="93">
        <f>AA669</f>
        <v>0.25</v>
      </c>
      <c r="AB670" s="93">
        <f>AD670/AC667</f>
        <v>52</v>
      </c>
      <c r="AC670" s="93">
        <f>AC667/AA670</f>
        <v>1.3000000000000007</v>
      </c>
      <c r="AD670" s="94">
        <f>AC670*Z670</f>
        <v>16.900000000000009</v>
      </c>
      <c r="AE670" s="190"/>
      <c r="AF670" s="191"/>
      <c r="AG670" s="191"/>
      <c r="AH670" s="191"/>
      <c r="AI670" s="186"/>
      <c r="AK670" s="171"/>
    </row>
    <row r="671" spans="1:41" ht="20.100000000000001" customHeight="1" x14ac:dyDescent="0.25">
      <c r="A671" s="277" t="s">
        <v>216</v>
      </c>
      <c r="B671" s="278"/>
      <c r="C671" s="64" t="s">
        <v>287</v>
      </c>
      <c r="D671" s="46" t="s">
        <v>97</v>
      </c>
      <c r="E671" s="114"/>
      <c r="F671" s="44">
        <v>0</v>
      </c>
      <c r="G671" s="44">
        <f t="shared" si="425"/>
        <v>0</v>
      </c>
      <c r="H671" s="44">
        <f t="shared" si="426"/>
        <v>0</v>
      </c>
      <c r="I671" s="43">
        <f t="shared" si="427"/>
        <v>0</v>
      </c>
      <c r="J671" s="112">
        <f t="shared" si="428"/>
        <v>0</v>
      </c>
      <c r="K671" s="211">
        <f t="shared" si="429"/>
        <v>0</v>
      </c>
      <c r="L671" s="44"/>
      <c r="M671" s="44">
        <f t="shared" si="435"/>
        <v>0</v>
      </c>
      <c r="N671" s="173">
        <f t="shared" si="430"/>
        <v>0</v>
      </c>
      <c r="O671" s="44">
        <f t="shared" si="431"/>
        <v>0</v>
      </c>
      <c r="P671" s="44">
        <f t="shared" si="432"/>
        <v>0</v>
      </c>
      <c r="Q671" s="44">
        <f t="shared" si="433"/>
        <v>0</v>
      </c>
      <c r="R671" s="44">
        <f t="shared" si="436"/>
        <v>0</v>
      </c>
      <c r="S671" s="123"/>
      <c r="T671" s="219">
        <f t="shared" si="437"/>
        <v>0</v>
      </c>
      <c r="U671" s="87"/>
      <c r="V671" s="47"/>
      <c r="W671" s="48"/>
      <c r="X671" s="48"/>
      <c r="Y671" s="48"/>
      <c r="Z671" s="135"/>
      <c r="AA671" s="49"/>
      <c r="AB671" s="50">
        <f t="shared" si="434"/>
        <v>0</v>
      </c>
      <c r="AC671" s="42">
        <f t="shared" si="438"/>
        <v>9.9999999999999998E-20</v>
      </c>
      <c r="AD671" s="90"/>
      <c r="AE671" s="188"/>
      <c r="AF671" s="189"/>
      <c r="AG671" s="189"/>
      <c r="AH671" s="189"/>
      <c r="AI671" s="161"/>
    </row>
    <row r="672" spans="1:41" ht="20.100000000000001" customHeight="1" x14ac:dyDescent="0.25">
      <c r="A672" s="277" t="s">
        <v>216</v>
      </c>
      <c r="B672" s="278"/>
      <c r="C672" s="64" t="s">
        <v>288</v>
      </c>
      <c r="D672" s="46" t="s">
        <v>97</v>
      </c>
      <c r="E672" s="114"/>
      <c r="F672" s="44">
        <v>0</v>
      </c>
      <c r="G672" s="44">
        <f t="shared" si="425"/>
        <v>0</v>
      </c>
      <c r="H672" s="44">
        <f t="shared" si="426"/>
        <v>0</v>
      </c>
      <c r="I672" s="43">
        <f t="shared" si="427"/>
        <v>0</v>
      </c>
      <c r="J672" s="112">
        <f t="shared" si="428"/>
        <v>0</v>
      </c>
      <c r="K672" s="211">
        <f t="shared" si="429"/>
        <v>0</v>
      </c>
      <c r="L672" s="44"/>
      <c r="M672" s="44">
        <f t="shared" si="435"/>
        <v>0</v>
      </c>
      <c r="N672" s="173">
        <f t="shared" si="430"/>
        <v>0</v>
      </c>
      <c r="O672" s="44">
        <f t="shared" si="431"/>
        <v>0</v>
      </c>
      <c r="P672" s="44">
        <f t="shared" si="432"/>
        <v>0</v>
      </c>
      <c r="Q672" s="44">
        <f t="shared" si="433"/>
        <v>0</v>
      </c>
      <c r="R672" s="44">
        <f t="shared" si="436"/>
        <v>0</v>
      </c>
      <c r="S672" s="123"/>
      <c r="T672" s="219">
        <f t="shared" si="437"/>
        <v>0</v>
      </c>
      <c r="U672" s="87"/>
      <c r="V672" s="47"/>
      <c r="W672" s="48"/>
      <c r="X672" s="48"/>
      <c r="Y672" s="48"/>
      <c r="Z672" s="135"/>
      <c r="AA672" s="49"/>
      <c r="AB672" s="50">
        <f t="shared" si="434"/>
        <v>0</v>
      </c>
      <c r="AC672" s="42">
        <f t="shared" si="438"/>
        <v>9.9999999999999998E-20</v>
      </c>
      <c r="AD672" s="90"/>
      <c r="AE672" s="188"/>
      <c r="AF672" s="189"/>
      <c r="AG672" s="189"/>
      <c r="AH672" s="189"/>
      <c r="AI672" s="161"/>
    </row>
    <row r="673" spans="1:41" ht="20.100000000000001" customHeight="1" x14ac:dyDescent="0.25">
      <c r="A673" s="277" t="s">
        <v>216</v>
      </c>
      <c r="B673" s="278"/>
      <c r="C673" s="64" t="s">
        <v>289</v>
      </c>
      <c r="D673" s="46" t="s">
        <v>97</v>
      </c>
      <c r="E673" s="114"/>
      <c r="F673" s="44">
        <v>0</v>
      </c>
      <c r="G673" s="44">
        <f t="shared" si="425"/>
        <v>0</v>
      </c>
      <c r="H673" s="44">
        <f t="shared" si="426"/>
        <v>0</v>
      </c>
      <c r="I673" s="43">
        <f t="shared" si="427"/>
        <v>0</v>
      </c>
      <c r="J673" s="112">
        <f t="shared" si="428"/>
        <v>0</v>
      </c>
      <c r="K673" s="211">
        <f t="shared" si="429"/>
        <v>0</v>
      </c>
      <c r="L673" s="44"/>
      <c r="M673" s="44">
        <f t="shared" si="435"/>
        <v>0</v>
      </c>
      <c r="N673" s="173">
        <f t="shared" si="430"/>
        <v>0</v>
      </c>
      <c r="O673" s="44">
        <f t="shared" si="431"/>
        <v>0</v>
      </c>
      <c r="P673" s="44">
        <f t="shared" si="432"/>
        <v>0</v>
      </c>
      <c r="Q673" s="44">
        <f t="shared" si="433"/>
        <v>0</v>
      </c>
      <c r="R673" s="44">
        <f t="shared" si="436"/>
        <v>0</v>
      </c>
      <c r="S673" s="123"/>
      <c r="T673" s="219">
        <f t="shared" si="437"/>
        <v>0</v>
      </c>
      <c r="U673" s="87"/>
      <c r="V673" s="47"/>
      <c r="W673" s="48"/>
      <c r="X673" s="48"/>
      <c r="Y673" s="48"/>
      <c r="Z673" s="135"/>
      <c r="AA673" s="49"/>
      <c r="AB673" s="50">
        <f t="shared" si="434"/>
        <v>0</v>
      </c>
      <c r="AC673" s="42">
        <f t="shared" si="438"/>
        <v>9.9999999999999998E-20</v>
      </c>
      <c r="AD673" s="90"/>
      <c r="AE673" s="188"/>
      <c r="AF673" s="189"/>
      <c r="AG673" s="189"/>
      <c r="AH673" s="189"/>
      <c r="AI673" s="161"/>
    </row>
    <row r="674" spans="1:41" ht="20.100000000000001" customHeight="1" x14ac:dyDescent="0.25">
      <c r="A674" s="277" t="s">
        <v>216</v>
      </c>
      <c r="B674" s="278"/>
      <c r="C674" s="64" t="s">
        <v>290</v>
      </c>
      <c r="D674" s="46" t="s">
        <v>97</v>
      </c>
      <c r="E674" s="114"/>
      <c r="F674" s="44">
        <v>0</v>
      </c>
      <c r="G674" s="44">
        <f t="shared" si="425"/>
        <v>0</v>
      </c>
      <c r="H674" s="44">
        <f t="shared" si="426"/>
        <v>0</v>
      </c>
      <c r="I674" s="43">
        <f t="shared" si="427"/>
        <v>0</v>
      </c>
      <c r="J674" s="112">
        <f t="shared" si="428"/>
        <v>0</v>
      </c>
      <c r="K674" s="211">
        <f t="shared" si="429"/>
        <v>0</v>
      </c>
      <c r="L674" s="44"/>
      <c r="M674" s="44">
        <f t="shared" si="435"/>
        <v>0</v>
      </c>
      <c r="N674" s="173">
        <f t="shared" si="430"/>
        <v>0</v>
      </c>
      <c r="O674" s="44">
        <f t="shared" si="431"/>
        <v>0</v>
      </c>
      <c r="P674" s="44">
        <f t="shared" si="432"/>
        <v>0</v>
      </c>
      <c r="Q674" s="44">
        <f t="shared" si="433"/>
        <v>0</v>
      </c>
      <c r="R674" s="44">
        <f t="shared" si="436"/>
        <v>0</v>
      </c>
      <c r="S674" s="123"/>
      <c r="T674" s="219">
        <f t="shared" si="437"/>
        <v>0</v>
      </c>
      <c r="U674" s="87"/>
      <c r="V674" s="47"/>
      <c r="W674" s="48"/>
      <c r="X674" s="48"/>
      <c r="Y674" s="48"/>
      <c r="Z674" s="135"/>
      <c r="AA674" s="49"/>
      <c r="AB674" s="50">
        <f t="shared" si="434"/>
        <v>0</v>
      </c>
      <c r="AC674" s="42">
        <f t="shared" si="438"/>
        <v>9.9999999999999998E-20</v>
      </c>
      <c r="AD674" s="90"/>
      <c r="AE674" s="188"/>
      <c r="AF674" s="189"/>
      <c r="AG674" s="189"/>
      <c r="AH674" s="189"/>
      <c r="AI674" s="161"/>
    </row>
    <row r="675" spans="1:41" ht="20.100000000000001" customHeight="1" x14ac:dyDescent="0.25">
      <c r="A675" s="277" t="s">
        <v>216</v>
      </c>
      <c r="B675" s="278"/>
      <c r="C675" s="64" t="s">
        <v>291</v>
      </c>
      <c r="D675" s="46" t="s">
        <v>97</v>
      </c>
      <c r="E675" s="114"/>
      <c r="F675" s="44">
        <v>0</v>
      </c>
      <c r="G675" s="44">
        <f t="shared" si="425"/>
        <v>0</v>
      </c>
      <c r="H675" s="44">
        <f t="shared" si="426"/>
        <v>0</v>
      </c>
      <c r="I675" s="43">
        <f t="shared" si="427"/>
        <v>0</v>
      </c>
      <c r="J675" s="112">
        <f t="shared" si="428"/>
        <v>0</v>
      </c>
      <c r="K675" s="211">
        <f t="shared" si="429"/>
        <v>0</v>
      </c>
      <c r="L675" s="44"/>
      <c r="M675" s="44">
        <f t="shared" si="435"/>
        <v>0</v>
      </c>
      <c r="N675" s="173">
        <f t="shared" si="430"/>
        <v>0</v>
      </c>
      <c r="O675" s="44">
        <f t="shared" si="431"/>
        <v>0</v>
      </c>
      <c r="P675" s="44">
        <f t="shared" si="432"/>
        <v>0</v>
      </c>
      <c r="Q675" s="44">
        <f t="shared" si="433"/>
        <v>0</v>
      </c>
      <c r="R675" s="44">
        <f t="shared" si="436"/>
        <v>0</v>
      </c>
      <c r="S675" s="123"/>
      <c r="T675" s="219">
        <f t="shared" si="437"/>
        <v>0</v>
      </c>
      <c r="U675" s="87"/>
      <c r="V675" s="47"/>
      <c r="W675" s="48"/>
      <c r="X675" s="48"/>
      <c r="Y675" s="48"/>
      <c r="Z675" s="135"/>
      <c r="AA675" s="49"/>
      <c r="AB675" s="50">
        <f t="shared" si="434"/>
        <v>0</v>
      </c>
      <c r="AC675" s="42">
        <f t="shared" si="438"/>
        <v>9.9999999999999998E-20</v>
      </c>
      <c r="AD675" s="90"/>
      <c r="AE675" s="188"/>
      <c r="AF675" s="189"/>
      <c r="AG675" s="189"/>
      <c r="AH675" s="189"/>
      <c r="AI675" s="161"/>
    </row>
    <row r="676" spans="1:41" ht="20.100000000000001" customHeight="1" x14ac:dyDescent="0.25">
      <c r="A676" s="277" t="s">
        <v>216</v>
      </c>
      <c r="B676" s="278"/>
      <c r="C676" s="64" t="s">
        <v>292</v>
      </c>
      <c r="D676" s="46" t="s">
        <v>97</v>
      </c>
      <c r="E676" s="114"/>
      <c r="F676" s="44">
        <v>0</v>
      </c>
      <c r="G676" s="44">
        <f t="shared" si="425"/>
        <v>0</v>
      </c>
      <c r="H676" s="44">
        <f t="shared" si="426"/>
        <v>0</v>
      </c>
      <c r="I676" s="43">
        <f t="shared" si="427"/>
        <v>0</v>
      </c>
      <c r="J676" s="112">
        <f t="shared" si="428"/>
        <v>0</v>
      </c>
      <c r="K676" s="211">
        <f t="shared" si="429"/>
        <v>0</v>
      </c>
      <c r="L676" s="44"/>
      <c r="M676" s="44">
        <f t="shared" si="435"/>
        <v>0</v>
      </c>
      <c r="N676" s="173">
        <f t="shared" si="430"/>
        <v>0</v>
      </c>
      <c r="O676" s="44">
        <f t="shared" si="431"/>
        <v>0</v>
      </c>
      <c r="P676" s="44">
        <f t="shared" si="432"/>
        <v>0</v>
      </c>
      <c r="Q676" s="44">
        <f t="shared" si="433"/>
        <v>0</v>
      </c>
      <c r="R676" s="44">
        <f t="shared" si="436"/>
        <v>0</v>
      </c>
      <c r="S676" s="123"/>
      <c r="T676" s="219">
        <f t="shared" si="437"/>
        <v>0</v>
      </c>
      <c r="U676" s="87"/>
      <c r="V676" s="47"/>
      <c r="W676" s="48"/>
      <c r="X676" s="48"/>
      <c r="Y676" s="48"/>
      <c r="Z676" s="135"/>
      <c r="AA676" s="49"/>
      <c r="AB676" s="50">
        <f t="shared" si="434"/>
        <v>0</v>
      </c>
      <c r="AC676" s="42">
        <f t="shared" si="438"/>
        <v>9.9999999999999998E-20</v>
      </c>
      <c r="AD676" s="90"/>
      <c r="AE676" s="188"/>
      <c r="AF676" s="189"/>
      <c r="AG676" s="189"/>
      <c r="AH676" s="189"/>
      <c r="AI676" s="161"/>
    </row>
    <row r="677" spans="1:41" ht="20.100000000000001" customHeight="1" x14ac:dyDescent="0.25">
      <c r="A677" s="277" t="s">
        <v>216</v>
      </c>
      <c r="B677" s="278"/>
      <c r="C677" s="64" t="s">
        <v>293</v>
      </c>
      <c r="D677" s="46" t="s">
        <v>97</v>
      </c>
      <c r="E677" s="114"/>
      <c r="F677" s="44">
        <v>0</v>
      </c>
      <c r="G677" s="44">
        <f t="shared" si="425"/>
        <v>0</v>
      </c>
      <c r="H677" s="44">
        <f t="shared" si="426"/>
        <v>0</v>
      </c>
      <c r="I677" s="43">
        <f t="shared" si="427"/>
        <v>0</v>
      </c>
      <c r="J677" s="112">
        <f t="shared" si="428"/>
        <v>0</v>
      </c>
      <c r="K677" s="211">
        <f t="shared" si="429"/>
        <v>0</v>
      </c>
      <c r="L677" s="44"/>
      <c r="M677" s="44">
        <f t="shared" si="435"/>
        <v>0</v>
      </c>
      <c r="N677" s="173">
        <f t="shared" si="430"/>
        <v>0</v>
      </c>
      <c r="O677" s="44">
        <f t="shared" si="431"/>
        <v>0</v>
      </c>
      <c r="P677" s="44">
        <f t="shared" si="432"/>
        <v>0</v>
      </c>
      <c r="Q677" s="44">
        <f t="shared" si="433"/>
        <v>0</v>
      </c>
      <c r="R677" s="44">
        <f t="shared" si="436"/>
        <v>0</v>
      </c>
      <c r="S677" s="123"/>
      <c r="T677" s="219">
        <f t="shared" si="437"/>
        <v>0</v>
      </c>
      <c r="U677" s="87"/>
      <c r="V677" s="47"/>
      <c r="W677" s="48"/>
      <c r="X677" s="48"/>
      <c r="Y677" s="48"/>
      <c r="Z677" s="135"/>
      <c r="AA677" s="49"/>
      <c r="AB677" s="50">
        <f t="shared" si="434"/>
        <v>0</v>
      </c>
      <c r="AC677" s="42">
        <f t="shared" si="438"/>
        <v>9.9999999999999998E-20</v>
      </c>
      <c r="AD677" s="90"/>
      <c r="AE677" s="188"/>
      <c r="AF677" s="189"/>
      <c r="AG677" s="189"/>
      <c r="AH677" s="189"/>
      <c r="AI677" s="161"/>
    </row>
    <row r="678" spans="1:41" ht="20.100000000000001" customHeight="1" x14ac:dyDescent="0.25">
      <c r="A678" s="277" t="s">
        <v>216</v>
      </c>
      <c r="B678" s="278"/>
      <c r="C678" s="64" t="s">
        <v>294</v>
      </c>
      <c r="D678" s="46" t="s">
        <v>97</v>
      </c>
      <c r="E678" s="114"/>
      <c r="F678" s="44">
        <v>0</v>
      </c>
      <c r="G678" s="44">
        <f t="shared" si="425"/>
        <v>0</v>
      </c>
      <c r="H678" s="44">
        <f t="shared" si="426"/>
        <v>0</v>
      </c>
      <c r="I678" s="43">
        <f t="shared" si="427"/>
        <v>0</v>
      </c>
      <c r="J678" s="112">
        <f t="shared" si="428"/>
        <v>0</v>
      </c>
      <c r="K678" s="211">
        <f t="shared" si="429"/>
        <v>0</v>
      </c>
      <c r="L678" s="44"/>
      <c r="M678" s="44">
        <f t="shared" si="435"/>
        <v>0</v>
      </c>
      <c r="N678" s="173">
        <f t="shared" si="430"/>
        <v>0</v>
      </c>
      <c r="O678" s="44">
        <f t="shared" si="431"/>
        <v>0</v>
      </c>
      <c r="P678" s="44">
        <f t="shared" si="432"/>
        <v>0</v>
      </c>
      <c r="Q678" s="44">
        <f t="shared" si="433"/>
        <v>0</v>
      </c>
      <c r="R678" s="44">
        <f t="shared" si="436"/>
        <v>0</v>
      </c>
      <c r="S678" s="123"/>
      <c r="T678" s="219">
        <f t="shared" si="437"/>
        <v>0</v>
      </c>
      <c r="U678" s="87"/>
      <c r="V678" s="47"/>
      <c r="W678" s="48"/>
      <c r="X678" s="48"/>
      <c r="Y678" s="48"/>
      <c r="Z678" s="135"/>
      <c r="AA678" s="49"/>
      <c r="AB678" s="50">
        <f t="shared" si="434"/>
        <v>0</v>
      </c>
      <c r="AC678" s="42">
        <f t="shared" si="438"/>
        <v>9.9999999999999998E-20</v>
      </c>
      <c r="AD678" s="90"/>
      <c r="AE678" s="188"/>
      <c r="AF678" s="189"/>
      <c r="AG678" s="189"/>
      <c r="AH678" s="189"/>
      <c r="AI678" s="161"/>
    </row>
    <row r="679" spans="1:41" s="306" customFormat="1" ht="20.100000000000001" customHeight="1" x14ac:dyDescent="0.25">
      <c r="A679" s="287" t="s">
        <v>216</v>
      </c>
      <c r="B679" s="288"/>
      <c r="C679" s="286" t="s">
        <v>295</v>
      </c>
      <c r="D679" s="289"/>
      <c r="E679" s="290"/>
      <c r="F679" s="291"/>
      <c r="G679" s="291">
        <f t="shared" si="425"/>
        <v>0</v>
      </c>
      <c r="H679" s="291">
        <f t="shared" si="426"/>
        <v>0</v>
      </c>
      <c r="I679" s="292">
        <f t="shared" si="427"/>
        <v>0</v>
      </c>
      <c r="J679" s="290">
        <f t="shared" si="428"/>
        <v>0</v>
      </c>
      <c r="K679" s="293">
        <f t="shared" si="429"/>
        <v>0</v>
      </c>
      <c r="L679" s="291"/>
      <c r="M679" s="291">
        <f t="shared" si="435"/>
        <v>0</v>
      </c>
      <c r="N679" s="294">
        <f t="shared" si="430"/>
        <v>0</v>
      </c>
      <c r="O679" s="291">
        <f t="shared" si="431"/>
        <v>0</v>
      </c>
      <c r="P679" s="291">
        <f t="shared" si="432"/>
        <v>0</v>
      </c>
      <c r="Q679" s="291">
        <f t="shared" si="433"/>
        <v>0</v>
      </c>
      <c r="R679" s="291">
        <f t="shared" si="436"/>
        <v>0</v>
      </c>
      <c r="S679" s="291"/>
      <c r="T679" s="295">
        <f t="shared" si="437"/>
        <v>0</v>
      </c>
      <c r="U679" s="296"/>
      <c r="V679" s="297"/>
      <c r="W679" s="298"/>
      <c r="X679" s="299"/>
      <c r="Y679" s="300"/>
      <c r="Z679" s="301"/>
      <c r="AA679" s="300"/>
      <c r="AB679" s="300">
        <f t="shared" si="434"/>
        <v>0</v>
      </c>
      <c r="AC679" s="300">
        <f t="shared" si="438"/>
        <v>9.9999999999999998E-20</v>
      </c>
      <c r="AD679" s="302"/>
      <c r="AE679" s="303"/>
      <c r="AF679" s="304"/>
      <c r="AG679" s="304"/>
      <c r="AH679" s="304"/>
      <c r="AI679" s="305"/>
      <c r="AK679" s="307"/>
    </row>
    <row r="680" spans="1:41" ht="20.100000000000001" customHeight="1" x14ac:dyDescent="0.25">
      <c r="A680" s="277" t="s">
        <v>216</v>
      </c>
      <c r="B680" s="278"/>
      <c r="C680" s="64" t="s">
        <v>296</v>
      </c>
      <c r="D680" s="46" t="s">
        <v>215</v>
      </c>
      <c r="E680" s="114">
        <v>104.07500000000005</v>
      </c>
      <c r="F680" s="44">
        <v>598</v>
      </c>
      <c r="G680" s="44">
        <f t="shared" si="425"/>
        <v>62236.850000000028</v>
      </c>
      <c r="H680" s="44">
        <f t="shared" si="426"/>
        <v>125</v>
      </c>
      <c r="I680" s="43">
        <f t="shared" si="427"/>
        <v>13009.375000000005</v>
      </c>
      <c r="J680" s="112">
        <f t="shared" si="428"/>
        <v>104.07500000000005</v>
      </c>
      <c r="K680" s="211">
        <f t="shared" si="429"/>
        <v>104.07500000000005</v>
      </c>
      <c r="L680" s="44"/>
      <c r="M680" s="44">
        <f t="shared" si="435"/>
        <v>104.07500000000005</v>
      </c>
      <c r="N680" s="173">
        <f t="shared" si="430"/>
        <v>1</v>
      </c>
      <c r="O680" s="44">
        <f t="shared" si="431"/>
        <v>598</v>
      </c>
      <c r="P680" s="44">
        <f t="shared" si="432"/>
        <v>62236.850000000028</v>
      </c>
      <c r="Q680" s="44">
        <f t="shared" si="433"/>
        <v>125</v>
      </c>
      <c r="R680" s="44">
        <f t="shared" si="436"/>
        <v>13009.375000000005</v>
      </c>
      <c r="S680" s="123"/>
      <c r="T680" s="219">
        <f t="shared" si="437"/>
        <v>13009.375000000005</v>
      </c>
      <c r="U680" s="87"/>
      <c r="V680" s="47"/>
      <c r="W680" s="48"/>
      <c r="X680" s="48"/>
      <c r="Y680" s="48"/>
      <c r="Z680" s="135"/>
      <c r="AA680" s="49"/>
      <c r="AB680" s="50">
        <f t="shared" si="434"/>
        <v>125</v>
      </c>
      <c r="AC680" s="42">
        <f t="shared" si="438"/>
        <v>104.07500000000005</v>
      </c>
      <c r="AD680" s="90">
        <f>AD681</f>
        <v>13009.375000000005</v>
      </c>
      <c r="AE680" s="188">
        <f t="shared" ref="AE680:AH680" si="587">AE681</f>
        <v>0</v>
      </c>
      <c r="AF680" s="189">
        <f t="shared" si="587"/>
        <v>0</v>
      </c>
      <c r="AG680" s="189">
        <f t="shared" si="587"/>
        <v>0</v>
      </c>
      <c r="AH680" s="189">
        <f t="shared" si="587"/>
        <v>0</v>
      </c>
      <c r="AI680" s="161">
        <f t="shared" ref="AI680:AI681" si="588">SUM(AE680:AH680)</f>
        <v>0</v>
      </c>
      <c r="AK680" s="169">
        <v>5</v>
      </c>
      <c r="AO680" s="19" t="s">
        <v>63</v>
      </c>
    </row>
    <row r="681" spans="1:41" s="103" customFormat="1" ht="19.899999999999999" customHeight="1" x14ac:dyDescent="0.25">
      <c r="A681" s="51"/>
      <c r="B681" s="52"/>
      <c r="C681" s="165"/>
      <c r="D681" s="52"/>
      <c r="E681" s="115"/>
      <c r="F681" s="58"/>
      <c r="G681" s="58"/>
      <c r="H681" s="58"/>
      <c r="I681" s="55"/>
      <c r="J681" s="113">
        <f>J680</f>
        <v>104.07500000000005</v>
      </c>
      <c r="K681" s="212">
        <f>K680</f>
        <v>104.07500000000005</v>
      </c>
      <c r="L681" s="58"/>
      <c r="M681" s="58">
        <f>K681-L681</f>
        <v>104.07500000000005</v>
      </c>
      <c r="N681" s="166"/>
      <c r="O681" s="58"/>
      <c r="P681" s="58"/>
      <c r="Q681" s="58"/>
      <c r="R681" s="58"/>
      <c r="S681" s="58"/>
      <c r="T681" s="220"/>
      <c r="U681" s="88"/>
      <c r="V681" s="56"/>
      <c r="W681" s="57" t="s">
        <v>1294</v>
      </c>
      <c r="X681" s="53"/>
      <c r="Y681" s="91" t="s">
        <v>35</v>
      </c>
      <c r="Z681" s="136">
        <f>AD681/AC681</f>
        <v>125</v>
      </c>
      <c r="AA681" s="58"/>
      <c r="AB681" s="53">
        <f>AD681/AC681</f>
        <v>125</v>
      </c>
      <c r="AC681" s="53">
        <f>M681+$AE$10</f>
        <v>104.07500000000005</v>
      </c>
      <c r="AD681" s="54">
        <f>SUM(AD682:AD684)</f>
        <v>13009.375000000005</v>
      </c>
      <c r="AE681" s="184">
        <f>SUMIFS($AD$37:$AD$12971,$V$37:$V$12971,$V681,$X$37:$X$12971,AE$13)</f>
        <v>0</v>
      </c>
      <c r="AF681" s="185">
        <f>SUMIFS($AD$37:$AD$12971,$V$37:$V$12971,$V681,$X$37:$X$12971,AF$13)</f>
        <v>0</v>
      </c>
      <c r="AG681" s="185">
        <f>SUMIFS($AD$37:$AD$12971,$V$37:$V$12971,$V681,$X$37:$X$12971,AG$13)</f>
        <v>0</v>
      </c>
      <c r="AH681" s="187">
        <f>SUMIFS($AD$37:$AD$12971,$V$37:$V$12971,$V681,$X$37:$X$12971,AH$13)</f>
        <v>0</v>
      </c>
      <c r="AI681" s="161">
        <f t="shared" si="588"/>
        <v>0</v>
      </c>
      <c r="AK681" s="172"/>
    </row>
    <row r="682" spans="1:41" s="102" customFormat="1" ht="19.899999999999999" customHeight="1" x14ac:dyDescent="0.25">
      <c r="A682" s="45"/>
      <c r="B682" s="59"/>
      <c r="C682" s="137"/>
      <c r="D682" s="59"/>
      <c r="E682" s="116"/>
      <c r="F682" s="120"/>
      <c r="G682" s="120"/>
      <c r="H682" s="120"/>
      <c r="I682" s="60"/>
      <c r="J682" s="116"/>
      <c r="K682" s="213"/>
      <c r="L682" s="120"/>
      <c r="M682" s="120"/>
      <c r="N682" s="167"/>
      <c r="O682" s="120"/>
      <c r="P682" s="120"/>
      <c r="Q682" s="120"/>
      <c r="R682" s="120"/>
      <c r="S682" s="120"/>
      <c r="T682" s="221"/>
      <c r="U682" s="89"/>
      <c r="V682" s="61"/>
      <c r="W682" s="92" t="s">
        <v>1323</v>
      </c>
      <c r="X682" s="93" t="s">
        <v>30</v>
      </c>
      <c r="Y682" s="93" t="s">
        <v>35</v>
      </c>
      <c r="Z682" s="134">
        <f>VLOOKUP(W682,Sheet2!$B:$D,3,FALSE)</f>
        <v>65</v>
      </c>
      <c r="AA682" s="93">
        <v>1</v>
      </c>
      <c r="AB682" s="93">
        <f t="shared" ref="AB682" si="589">AD682/AC681</f>
        <v>65</v>
      </c>
      <c r="AC682" s="93">
        <f>AC681/AA682</f>
        <v>104.07500000000005</v>
      </c>
      <c r="AD682" s="94">
        <f t="shared" ref="AD682:AD683" si="590">AC682*Z682</f>
        <v>6764.8750000000027</v>
      </c>
      <c r="AE682" s="190"/>
      <c r="AF682" s="191"/>
      <c r="AG682" s="191"/>
      <c r="AH682" s="191"/>
      <c r="AI682" s="186"/>
      <c r="AK682" s="171"/>
    </row>
    <row r="683" spans="1:41" s="102" customFormat="1" ht="19.899999999999999" customHeight="1" x14ac:dyDescent="0.25">
      <c r="A683" s="45"/>
      <c r="B683" s="59"/>
      <c r="C683" s="137"/>
      <c r="D683" s="59"/>
      <c r="E683" s="116"/>
      <c r="F683" s="120"/>
      <c r="G683" s="120"/>
      <c r="H683" s="120"/>
      <c r="I683" s="60"/>
      <c r="J683" s="116"/>
      <c r="K683" s="213"/>
      <c r="L683" s="120"/>
      <c r="M683" s="120"/>
      <c r="N683" s="167"/>
      <c r="O683" s="120"/>
      <c r="P683" s="120"/>
      <c r="Q683" s="120"/>
      <c r="R683" s="120"/>
      <c r="S683" s="120"/>
      <c r="T683" s="221"/>
      <c r="U683" s="89"/>
      <c r="V683" s="61"/>
      <c r="W683" s="92" t="s">
        <v>107</v>
      </c>
      <c r="X683" s="93" t="s">
        <v>31</v>
      </c>
      <c r="Y683" s="93" t="s">
        <v>93</v>
      </c>
      <c r="Z683" s="134">
        <f>VLOOKUP(W683,Sheet2!$B:$D,3,FALSE)</f>
        <v>17</v>
      </c>
      <c r="AA683" s="93">
        <v>0.5</v>
      </c>
      <c r="AB683" s="93">
        <f>AD683/AC681</f>
        <v>34</v>
      </c>
      <c r="AC683" s="93">
        <f>AC681/AA683</f>
        <v>208.15000000000009</v>
      </c>
      <c r="AD683" s="94">
        <f t="shared" si="590"/>
        <v>3538.5500000000015</v>
      </c>
      <c r="AE683" s="190"/>
      <c r="AF683" s="191"/>
      <c r="AG683" s="191"/>
      <c r="AH683" s="191"/>
      <c r="AI683" s="186"/>
      <c r="AK683" s="171"/>
    </row>
    <row r="684" spans="1:41" s="102" customFormat="1" ht="19.899999999999999" customHeight="1" x14ac:dyDescent="0.25">
      <c r="A684" s="45"/>
      <c r="B684" s="59"/>
      <c r="C684" s="137"/>
      <c r="D684" s="59"/>
      <c r="E684" s="116"/>
      <c r="F684" s="120"/>
      <c r="G684" s="120"/>
      <c r="H684" s="120"/>
      <c r="I684" s="60"/>
      <c r="J684" s="116"/>
      <c r="K684" s="213"/>
      <c r="L684" s="120"/>
      <c r="M684" s="120"/>
      <c r="N684" s="167"/>
      <c r="O684" s="120"/>
      <c r="P684" s="120"/>
      <c r="Q684" s="120"/>
      <c r="R684" s="120"/>
      <c r="S684" s="120"/>
      <c r="T684" s="221"/>
      <c r="U684" s="89"/>
      <c r="V684" s="61"/>
      <c r="W684" s="92" t="s">
        <v>112</v>
      </c>
      <c r="X684" s="93" t="s">
        <v>31</v>
      </c>
      <c r="Y684" s="93" t="s">
        <v>93</v>
      </c>
      <c r="Z684" s="134">
        <f>VLOOKUP(W684,Sheet2!$B:$D,3,FALSE)</f>
        <v>13</v>
      </c>
      <c r="AA684" s="93">
        <f>AA683</f>
        <v>0.5</v>
      </c>
      <c r="AB684" s="93">
        <f>AD684/AC681</f>
        <v>26</v>
      </c>
      <c r="AC684" s="93">
        <f>AC681/AA684</f>
        <v>208.15000000000009</v>
      </c>
      <c r="AD684" s="94">
        <f>AC684*Z684</f>
        <v>2705.9500000000012</v>
      </c>
      <c r="AE684" s="190"/>
      <c r="AF684" s="191"/>
      <c r="AG684" s="191"/>
      <c r="AH684" s="191"/>
      <c r="AI684" s="186"/>
      <c r="AK684" s="171"/>
    </row>
    <row r="685" spans="1:41" ht="20.100000000000001" customHeight="1" x14ac:dyDescent="0.25">
      <c r="A685" s="277" t="s">
        <v>216</v>
      </c>
      <c r="B685" s="278"/>
      <c r="C685" s="64" t="s">
        <v>297</v>
      </c>
      <c r="D685" s="46" t="s">
        <v>215</v>
      </c>
      <c r="E685" s="114">
        <v>19.824999999999999</v>
      </c>
      <c r="F685" s="44">
        <v>657</v>
      </c>
      <c r="G685" s="44">
        <f t="shared" si="425"/>
        <v>13025.025</v>
      </c>
      <c r="H685" s="44">
        <f t="shared" si="426"/>
        <v>132</v>
      </c>
      <c r="I685" s="43">
        <f t="shared" si="427"/>
        <v>2616.9</v>
      </c>
      <c r="J685" s="112">
        <f t="shared" si="428"/>
        <v>19.824999999999999</v>
      </c>
      <c r="K685" s="211">
        <f t="shared" si="429"/>
        <v>19.824999999999999</v>
      </c>
      <c r="L685" s="44"/>
      <c r="M685" s="44">
        <f t="shared" si="435"/>
        <v>19.824999999999999</v>
      </c>
      <c r="N685" s="173">
        <f t="shared" si="430"/>
        <v>1</v>
      </c>
      <c r="O685" s="44">
        <f t="shared" si="431"/>
        <v>657</v>
      </c>
      <c r="P685" s="44">
        <f t="shared" si="432"/>
        <v>13025.025</v>
      </c>
      <c r="Q685" s="44">
        <f t="shared" si="433"/>
        <v>132</v>
      </c>
      <c r="R685" s="44">
        <f t="shared" si="436"/>
        <v>2616.9</v>
      </c>
      <c r="S685" s="123"/>
      <c r="T685" s="219">
        <f t="shared" si="437"/>
        <v>2616.9</v>
      </c>
      <c r="U685" s="87"/>
      <c r="V685" s="47"/>
      <c r="W685" s="48"/>
      <c r="X685" s="48"/>
      <c r="Y685" s="48"/>
      <c r="Z685" s="135"/>
      <c r="AA685" s="49"/>
      <c r="AB685" s="50">
        <f t="shared" si="434"/>
        <v>132</v>
      </c>
      <c r="AC685" s="42">
        <f t="shared" si="438"/>
        <v>19.824999999999999</v>
      </c>
      <c r="AD685" s="90">
        <f>AD686</f>
        <v>2616.8999999999996</v>
      </c>
      <c r="AE685" s="188">
        <f t="shared" ref="AE685:AH685" si="591">AE686</f>
        <v>0</v>
      </c>
      <c r="AF685" s="189">
        <f t="shared" si="591"/>
        <v>0</v>
      </c>
      <c r="AG685" s="189">
        <f t="shared" si="591"/>
        <v>0</v>
      </c>
      <c r="AH685" s="189">
        <f t="shared" si="591"/>
        <v>0</v>
      </c>
      <c r="AI685" s="161">
        <f t="shared" ref="AI685:AI686" si="592">SUM(AE685:AH685)</f>
        <v>0</v>
      </c>
      <c r="AK685" s="169">
        <v>5</v>
      </c>
      <c r="AO685" s="19" t="s">
        <v>63</v>
      </c>
    </row>
    <row r="686" spans="1:41" s="103" customFormat="1" ht="19.899999999999999" customHeight="1" x14ac:dyDescent="0.25">
      <c r="A686" s="51"/>
      <c r="B686" s="52"/>
      <c r="C686" s="165"/>
      <c r="D686" s="52"/>
      <c r="E686" s="115"/>
      <c r="F686" s="58"/>
      <c r="G686" s="58"/>
      <c r="H686" s="58"/>
      <c r="I686" s="55"/>
      <c r="J686" s="113">
        <f>J685</f>
        <v>19.824999999999999</v>
      </c>
      <c r="K686" s="212">
        <f>K685</f>
        <v>19.824999999999999</v>
      </c>
      <c r="L686" s="58"/>
      <c r="M686" s="58">
        <f>K686-L686</f>
        <v>19.824999999999999</v>
      </c>
      <c r="N686" s="166"/>
      <c r="O686" s="58"/>
      <c r="P686" s="58"/>
      <c r="Q686" s="58"/>
      <c r="R686" s="58"/>
      <c r="S686" s="58"/>
      <c r="T686" s="220"/>
      <c r="U686" s="88"/>
      <c r="V686" s="56"/>
      <c r="W686" s="57" t="s">
        <v>1294</v>
      </c>
      <c r="X686" s="53"/>
      <c r="Y686" s="91" t="s">
        <v>35</v>
      </c>
      <c r="Z686" s="136">
        <f>AD686/AC686</f>
        <v>132</v>
      </c>
      <c r="AA686" s="58"/>
      <c r="AB686" s="53">
        <f>AD686/AC686</f>
        <v>132</v>
      </c>
      <c r="AC686" s="53">
        <f>M686+$AE$10</f>
        <v>19.824999999999999</v>
      </c>
      <c r="AD686" s="54">
        <f>SUM(AD687:AD689)</f>
        <v>2616.8999999999996</v>
      </c>
      <c r="AE686" s="184">
        <f>SUMIFS($AD$37:$AD$12971,$V$37:$V$12971,$V686,$X$37:$X$12971,AE$13)</f>
        <v>0</v>
      </c>
      <c r="AF686" s="185">
        <f>SUMIFS($AD$37:$AD$12971,$V$37:$V$12971,$V686,$X$37:$X$12971,AF$13)</f>
        <v>0</v>
      </c>
      <c r="AG686" s="185">
        <f>SUMIFS($AD$37:$AD$12971,$V$37:$V$12971,$V686,$X$37:$X$12971,AG$13)</f>
        <v>0</v>
      </c>
      <c r="AH686" s="187">
        <f>SUMIFS($AD$37:$AD$12971,$V$37:$V$12971,$V686,$X$37:$X$12971,AH$13)</f>
        <v>0</v>
      </c>
      <c r="AI686" s="161">
        <f t="shared" si="592"/>
        <v>0</v>
      </c>
      <c r="AK686" s="172"/>
    </row>
    <row r="687" spans="1:41" s="102" customFormat="1" ht="19.899999999999999" customHeight="1" x14ac:dyDescent="0.25">
      <c r="A687" s="45"/>
      <c r="B687" s="59"/>
      <c r="C687" s="137"/>
      <c r="D687" s="59"/>
      <c r="E687" s="116"/>
      <c r="F687" s="120"/>
      <c r="G687" s="120"/>
      <c r="H687" s="120"/>
      <c r="I687" s="60"/>
      <c r="J687" s="116"/>
      <c r="K687" s="213"/>
      <c r="L687" s="120"/>
      <c r="M687" s="120"/>
      <c r="N687" s="167"/>
      <c r="O687" s="120"/>
      <c r="P687" s="120"/>
      <c r="Q687" s="120"/>
      <c r="R687" s="120"/>
      <c r="S687" s="120"/>
      <c r="T687" s="221"/>
      <c r="U687" s="89"/>
      <c r="V687" s="61"/>
      <c r="W687" s="92" t="s">
        <v>1324</v>
      </c>
      <c r="X687" s="93" t="s">
        <v>30</v>
      </c>
      <c r="Y687" s="93" t="s">
        <v>35</v>
      </c>
      <c r="Z687" s="134">
        <f>VLOOKUP(W687,Sheet2!$B:$D,3,FALSE)</f>
        <v>72</v>
      </c>
      <c r="AA687" s="93">
        <v>1</v>
      </c>
      <c r="AB687" s="93">
        <f t="shared" ref="AB687" si="593">AD687/AC686</f>
        <v>72</v>
      </c>
      <c r="AC687" s="93">
        <f>AC686/AA687</f>
        <v>19.824999999999999</v>
      </c>
      <c r="AD687" s="94">
        <f t="shared" ref="AD687:AD688" si="594">AC687*Z687</f>
        <v>1427.3999999999999</v>
      </c>
      <c r="AE687" s="190"/>
      <c r="AF687" s="191"/>
      <c r="AG687" s="191"/>
      <c r="AH687" s="191"/>
      <c r="AI687" s="186"/>
      <c r="AK687" s="171"/>
    </row>
    <row r="688" spans="1:41" s="102" customFormat="1" ht="19.899999999999999" customHeight="1" x14ac:dyDescent="0.25">
      <c r="A688" s="45"/>
      <c r="B688" s="59"/>
      <c r="C688" s="137"/>
      <c r="D688" s="59"/>
      <c r="E688" s="116"/>
      <c r="F688" s="120"/>
      <c r="G688" s="120"/>
      <c r="H688" s="120"/>
      <c r="I688" s="60"/>
      <c r="J688" s="116"/>
      <c r="K688" s="213"/>
      <c r="L688" s="120"/>
      <c r="M688" s="120"/>
      <c r="N688" s="167"/>
      <c r="O688" s="120"/>
      <c r="P688" s="120"/>
      <c r="Q688" s="120"/>
      <c r="R688" s="120"/>
      <c r="S688" s="120"/>
      <c r="T688" s="221"/>
      <c r="U688" s="89"/>
      <c r="V688" s="61"/>
      <c r="W688" s="92" t="s">
        <v>107</v>
      </c>
      <c r="X688" s="93" t="s">
        <v>31</v>
      </c>
      <c r="Y688" s="93" t="s">
        <v>93</v>
      </c>
      <c r="Z688" s="134">
        <f>VLOOKUP(W688,Sheet2!$B:$D,3,FALSE)</f>
        <v>17</v>
      </c>
      <c r="AA688" s="93">
        <v>0.5</v>
      </c>
      <c r="AB688" s="93">
        <f>AD688/AC686</f>
        <v>34</v>
      </c>
      <c r="AC688" s="93">
        <f>AC686/AA688</f>
        <v>39.65</v>
      </c>
      <c r="AD688" s="94">
        <f t="shared" si="594"/>
        <v>674.05</v>
      </c>
      <c r="AE688" s="190"/>
      <c r="AF688" s="191"/>
      <c r="AG688" s="191"/>
      <c r="AH688" s="191"/>
      <c r="AI688" s="186"/>
      <c r="AK688" s="171"/>
    </row>
    <row r="689" spans="1:41" s="102" customFormat="1" ht="19.899999999999999" customHeight="1" x14ac:dyDescent="0.25">
      <c r="A689" s="45"/>
      <c r="B689" s="59"/>
      <c r="C689" s="137"/>
      <c r="D689" s="59"/>
      <c r="E689" s="116"/>
      <c r="F689" s="120"/>
      <c r="G689" s="120"/>
      <c r="H689" s="120"/>
      <c r="I689" s="60"/>
      <c r="J689" s="116"/>
      <c r="K689" s="213"/>
      <c r="L689" s="120"/>
      <c r="M689" s="120"/>
      <c r="N689" s="167"/>
      <c r="O689" s="120"/>
      <c r="P689" s="120"/>
      <c r="Q689" s="120"/>
      <c r="R689" s="120"/>
      <c r="S689" s="120"/>
      <c r="T689" s="221"/>
      <c r="U689" s="89"/>
      <c r="V689" s="61"/>
      <c r="W689" s="92" t="s">
        <v>112</v>
      </c>
      <c r="X689" s="93" t="s">
        <v>31</v>
      </c>
      <c r="Y689" s="93" t="s">
        <v>93</v>
      </c>
      <c r="Z689" s="134">
        <f>VLOOKUP(W689,Sheet2!$B:$D,3,FALSE)</f>
        <v>13</v>
      </c>
      <c r="AA689" s="93">
        <f>AA688</f>
        <v>0.5</v>
      </c>
      <c r="AB689" s="93">
        <f>AD689/AC686</f>
        <v>25.999999999999996</v>
      </c>
      <c r="AC689" s="93">
        <f>AC686/AA689</f>
        <v>39.65</v>
      </c>
      <c r="AD689" s="94">
        <f>AC689*Z689</f>
        <v>515.44999999999993</v>
      </c>
      <c r="AE689" s="190"/>
      <c r="AF689" s="191"/>
      <c r="AG689" s="191"/>
      <c r="AH689" s="191"/>
      <c r="AI689" s="186"/>
      <c r="AK689" s="171"/>
    </row>
    <row r="690" spans="1:41" ht="20.100000000000001" customHeight="1" x14ac:dyDescent="0.25">
      <c r="A690" s="277" t="s">
        <v>216</v>
      </c>
      <c r="B690" s="278"/>
      <c r="C690" s="64" t="s">
        <v>298</v>
      </c>
      <c r="D690" s="46" t="s">
        <v>215</v>
      </c>
      <c r="E690" s="114">
        <v>17.3125</v>
      </c>
      <c r="F690" s="44">
        <v>736</v>
      </c>
      <c r="G690" s="44">
        <f t="shared" si="425"/>
        <v>12742</v>
      </c>
      <c r="H690" s="44">
        <f t="shared" si="426"/>
        <v>164</v>
      </c>
      <c r="I690" s="43">
        <f t="shared" si="427"/>
        <v>2839.25</v>
      </c>
      <c r="J690" s="112">
        <f t="shared" si="428"/>
        <v>17.3125</v>
      </c>
      <c r="K690" s="211">
        <f t="shared" si="429"/>
        <v>17.3125</v>
      </c>
      <c r="L690" s="44"/>
      <c r="M690" s="44">
        <f t="shared" si="435"/>
        <v>17.3125</v>
      </c>
      <c r="N690" s="173">
        <f t="shared" si="430"/>
        <v>1</v>
      </c>
      <c r="O690" s="44">
        <f t="shared" si="431"/>
        <v>736</v>
      </c>
      <c r="P690" s="44">
        <f t="shared" si="432"/>
        <v>12742</v>
      </c>
      <c r="Q690" s="44">
        <f t="shared" si="433"/>
        <v>164</v>
      </c>
      <c r="R690" s="44">
        <f t="shared" si="436"/>
        <v>2839.25</v>
      </c>
      <c r="S690" s="123"/>
      <c r="T690" s="219">
        <f t="shared" si="437"/>
        <v>2839.25</v>
      </c>
      <c r="U690" s="87"/>
      <c r="V690" s="47"/>
      <c r="W690" s="48"/>
      <c r="X690" s="48"/>
      <c r="Y690" s="48"/>
      <c r="Z690" s="135"/>
      <c r="AA690" s="49"/>
      <c r="AB690" s="50">
        <f t="shared" si="434"/>
        <v>164</v>
      </c>
      <c r="AC690" s="42">
        <f t="shared" si="438"/>
        <v>17.3125</v>
      </c>
      <c r="AD690" s="90">
        <f>AD691</f>
        <v>2839.25</v>
      </c>
      <c r="AE690" s="188">
        <f t="shared" ref="AE690:AH690" si="595">AE691</f>
        <v>0</v>
      </c>
      <c r="AF690" s="189">
        <f t="shared" si="595"/>
        <v>0</v>
      </c>
      <c r="AG690" s="189">
        <f t="shared" si="595"/>
        <v>0</v>
      </c>
      <c r="AH690" s="189">
        <f t="shared" si="595"/>
        <v>0</v>
      </c>
      <c r="AI690" s="161">
        <f t="shared" ref="AI690:AI691" si="596">SUM(AE690:AH690)</f>
        <v>0</v>
      </c>
      <c r="AK690" s="169">
        <v>5</v>
      </c>
      <c r="AO690" s="19" t="s">
        <v>63</v>
      </c>
    </row>
    <row r="691" spans="1:41" s="103" customFormat="1" ht="19.899999999999999" customHeight="1" x14ac:dyDescent="0.25">
      <c r="A691" s="51"/>
      <c r="B691" s="52"/>
      <c r="C691" s="165"/>
      <c r="D691" s="52"/>
      <c r="E691" s="115"/>
      <c r="F691" s="58"/>
      <c r="G691" s="58"/>
      <c r="H691" s="58"/>
      <c r="I691" s="55"/>
      <c r="J691" s="113">
        <f>J690</f>
        <v>17.3125</v>
      </c>
      <c r="K691" s="212">
        <f>K690</f>
        <v>17.3125</v>
      </c>
      <c r="L691" s="58"/>
      <c r="M691" s="58">
        <f>K691-L691</f>
        <v>17.3125</v>
      </c>
      <c r="N691" s="166"/>
      <c r="O691" s="58"/>
      <c r="P691" s="58"/>
      <c r="Q691" s="58"/>
      <c r="R691" s="58"/>
      <c r="S691" s="58"/>
      <c r="T691" s="220"/>
      <c r="U691" s="88"/>
      <c r="V691" s="56"/>
      <c r="W691" s="57" t="s">
        <v>1294</v>
      </c>
      <c r="X691" s="53"/>
      <c r="Y691" s="91" t="s">
        <v>35</v>
      </c>
      <c r="Z691" s="136">
        <f>AD691/AC691</f>
        <v>164</v>
      </c>
      <c r="AA691" s="58"/>
      <c r="AB691" s="53">
        <f>AD691/AC691</f>
        <v>164</v>
      </c>
      <c r="AC691" s="53">
        <f>M691+$AE$10</f>
        <v>17.3125</v>
      </c>
      <c r="AD691" s="54">
        <f>SUM(AD692:AD694)</f>
        <v>2839.25</v>
      </c>
      <c r="AE691" s="184">
        <f>SUMIFS($AD$37:$AD$12971,$V$37:$V$12971,$V691,$X$37:$X$12971,AE$13)</f>
        <v>0</v>
      </c>
      <c r="AF691" s="185">
        <f>SUMIFS($AD$37:$AD$12971,$V$37:$V$12971,$V691,$X$37:$X$12971,AF$13)</f>
        <v>0</v>
      </c>
      <c r="AG691" s="185">
        <f>SUMIFS($AD$37:$AD$12971,$V$37:$V$12971,$V691,$X$37:$X$12971,AG$13)</f>
        <v>0</v>
      </c>
      <c r="AH691" s="187">
        <f>SUMIFS($AD$37:$AD$12971,$V$37:$V$12971,$V691,$X$37:$X$12971,AH$13)</f>
        <v>0</v>
      </c>
      <c r="AI691" s="161">
        <f t="shared" si="596"/>
        <v>0</v>
      </c>
      <c r="AK691" s="172"/>
    </row>
    <row r="692" spans="1:41" s="102" customFormat="1" ht="19.899999999999999" customHeight="1" x14ac:dyDescent="0.25">
      <c r="A692" s="45"/>
      <c r="B692" s="59"/>
      <c r="C692" s="137"/>
      <c r="D692" s="59"/>
      <c r="E692" s="116"/>
      <c r="F692" s="120"/>
      <c r="G692" s="120"/>
      <c r="H692" s="120"/>
      <c r="I692" s="60"/>
      <c r="J692" s="116"/>
      <c r="K692" s="213"/>
      <c r="L692" s="120"/>
      <c r="M692" s="120"/>
      <c r="N692" s="167"/>
      <c r="O692" s="120"/>
      <c r="P692" s="120"/>
      <c r="Q692" s="120"/>
      <c r="R692" s="120"/>
      <c r="S692" s="120"/>
      <c r="T692" s="221"/>
      <c r="U692" s="89"/>
      <c r="V692" s="61"/>
      <c r="W692" s="92" t="s">
        <v>1325</v>
      </c>
      <c r="X692" s="93" t="s">
        <v>30</v>
      </c>
      <c r="Y692" s="93" t="s">
        <v>35</v>
      </c>
      <c r="Z692" s="134">
        <f>VLOOKUP(W692,Sheet2!$B:$D,3,FALSE)</f>
        <v>89</v>
      </c>
      <c r="AA692" s="93">
        <v>1</v>
      </c>
      <c r="AB692" s="93">
        <f t="shared" ref="AB692" si="597">AD692/AC691</f>
        <v>89</v>
      </c>
      <c r="AC692" s="93">
        <f>AC691/AA692</f>
        <v>17.3125</v>
      </c>
      <c r="AD692" s="94">
        <f t="shared" ref="AD692:AD693" si="598">AC692*Z692</f>
        <v>1540.8125</v>
      </c>
      <c r="AE692" s="190"/>
      <c r="AF692" s="191"/>
      <c r="AG692" s="191"/>
      <c r="AH692" s="191"/>
      <c r="AI692" s="186"/>
      <c r="AK692" s="171"/>
    </row>
    <row r="693" spans="1:41" s="102" customFormat="1" ht="19.899999999999999" customHeight="1" x14ac:dyDescent="0.25">
      <c r="A693" s="45"/>
      <c r="B693" s="59"/>
      <c r="C693" s="137"/>
      <c r="D693" s="59"/>
      <c r="E693" s="116"/>
      <c r="F693" s="120"/>
      <c r="G693" s="120"/>
      <c r="H693" s="120"/>
      <c r="I693" s="60"/>
      <c r="J693" s="116"/>
      <c r="K693" s="213"/>
      <c r="L693" s="120"/>
      <c r="M693" s="120"/>
      <c r="N693" s="167"/>
      <c r="O693" s="120"/>
      <c r="P693" s="120"/>
      <c r="Q693" s="120"/>
      <c r="R693" s="120"/>
      <c r="S693" s="120"/>
      <c r="T693" s="221"/>
      <c r="U693" s="89"/>
      <c r="V693" s="61"/>
      <c r="W693" s="92" t="s">
        <v>107</v>
      </c>
      <c r="X693" s="93" t="s">
        <v>31</v>
      </c>
      <c r="Y693" s="93" t="s">
        <v>93</v>
      </c>
      <c r="Z693" s="134">
        <f>VLOOKUP(W693,Sheet2!$B:$D,3,FALSE)</f>
        <v>17</v>
      </c>
      <c r="AA693" s="93">
        <v>0.4</v>
      </c>
      <c r="AB693" s="93">
        <f>AD693/AC691</f>
        <v>42.5</v>
      </c>
      <c r="AC693" s="93">
        <f>AC691/AA693</f>
        <v>43.28125</v>
      </c>
      <c r="AD693" s="94">
        <f t="shared" si="598"/>
        <v>735.78125</v>
      </c>
      <c r="AE693" s="190"/>
      <c r="AF693" s="191"/>
      <c r="AG693" s="191"/>
      <c r="AH693" s="191"/>
      <c r="AI693" s="186"/>
      <c r="AK693" s="171"/>
    </row>
    <row r="694" spans="1:41" s="102" customFormat="1" ht="19.899999999999999" customHeight="1" x14ac:dyDescent="0.25">
      <c r="A694" s="45"/>
      <c r="B694" s="59"/>
      <c r="C694" s="137"/>
      <c r="D694" s="59"/>
      <c r="E694" s="116"/>
      <c r="F694" s="120"/>
      <c r="G694" s="120"/>
      <c r="H694" s="120"/>
      <c r="I694" s="60"/>
      <c r="J694" s="116"/>
      <c r="K694" s="213"/>
      <c r="L694" s="120"/>
      <c r="M694" s="120"/>
      <c r="N694" s="167"/>
      <c r="O694" s="120"/>
      <c r="P694" s="120"/>
      <c r="Q694" s="120"/>
      <c r="R694" s="120"/>
      <c r="S694" s="120"/>
      <c r="T694" s="221"/>
      <c r="U694" s="89"/>
      <c r="V694" s="61"/>
      <c r="W694" s="92" t="s">
        <v>112</v>
      </c>
      <c r="X694" s="93" t="s">
        <v>31</v>
      </c>
      <c r="Y694" s="93" t="s">
        <v>93</v>
      </c>
      <c r="Z694" s="134">
        <f>VLOOKUP(W694,Sheet2!$B:$D,3,FALSE)</f>
        <v>13</v>
      </c>
      <c r="AA694" s="93">
        <f>AA693</f>
        <v>0.4</v>
      </c>
      <c r="AB694" s="93">
        <f>AD694/AC691</f>
        <v>32.5</v>
      </c>
      <c r="AC694" s="93">
        <f>AC691/AA694</f>
        <v>43.28125</v>
      </c>
      <c r="AD694" s="94">
        <f>AC694*Z694</f>
        <v>562.65625</v>
      </c>
      <c r="AE694" s="190"/>
      <c r="AF694" s="191"/>
      <c r="AG694" s="191"/>
      <c r="AH694" s="191"/>
      <c r="AI694" s="186"/>
      <c r="AK694" s="171"/>
    </row>
    <row r="695" spans="1:41" ht="20.100000000000001" customHeight="1" x14ac:dyDescent="0.25">
      <c r="A695" s="277" t="s">
        <v>216</v>
      </c>
      <c r="B695" s="278"/>
      <c r="C695" s="64" t="s">
        <v>299</v>
      </c>
      <c r="D695" s="46" t="s">
        <v>215</v>
      </c>
      <c r="E695" s="114">
        <v>19.799999999999994</v>
      </c>
      <c r="F695" s="44">
        <v>957</v>
      </c>
      <c r="G695" s="44">
        <f t="shared" si="425"/>
        <v>18948.599999999995</v>
      </c>
      <c r="H695" s="44">
        <f t="shared" si="426"/>
        <v>385.00000000000006</v>
      </c>
      <c r="I695" s="43">
        <f t="shared" si="427"/>
        <v>7622.9999999999991</v>
      </c>
      <c r="J695" s="112">
        <f t="shared" si="428"/>
        <v>19.799999999999994</v>
      </c>
      <c r="K695" s="211">
        <f t="shared" si="429"/>
        <v>19.799999999999994</v>
      </c>
      <c r="L695" s="44"/>
      <c r="M695" s="44">
        <f t="shared" si="435"/>
        <v>19.799999999999994</v>
      </c>
      <c r="N695" s="173">
        <f t="shared" si="430"/>
        <v>1</v>
      </c>
      <c r="O695" s="44">
        <f t="shared" si="431"/>
        <v>957</v>
      </c>
      <c r="P695" s="44">
        <f t="shared" si="432"/>
        <v>18948.599999999995</v>
      </c>
      <c r="Q695" s="44">
        <f t="shared" si="433"/>
        <v>385.00000000000006</v>
      </c>
      <c r="R695" s="44">
        <f t="shared" si="436"/>
        <v>7622.9999999999991</v>
      </c>
      <c r="S695" s="123"/>
      <c r="T695" s="219">
        <f t="shared" si="437"/>
        <v>7622.9999999999991</v>
      </c>
      <c r="U695" s="87"/>
      <c r="V695" s="47"/>
      <c r="W695" s="48"/>
      <c r="X695" s="48"/>
      <c r="Y695" s="48"/>
      <c r="Z695" s="135"/>
      <c r="AA695" s="49"/>
      <c r="AB695" s="50">
        <f t="shared" si="434"/>
        <v>385.00000000000006</v>
      </c>
      <c r="AC695" s="42">
        <f t="shared" si="438"/>
        <v>19.799999999999994</v>
      </c>
      <c r="AD695" s="90">
        <f>AD696</f>
        <v>7622.9999999999982</v>
      </c>
      <c r="AE695" s="188">
        <f t="shared" ref="AE695:AH695" si="599">AE696</f>
        <v>0</v>
      </c>
      <c r="AF695" s="189">
        <f t="shared" si="599"/>
        <v>0</v>
      </c>
      <c r="AG695" s="189">
        <f t="shared" si="599"/>
        <v>0</v>
      </c>
      <c r="AH695" s="189">
        <f t="shared" si="599"/>
        <v>0</v>
      </c>
      <c r="AI695" s="161">
        <f t="shared" ref="AI695:AI700" si="600">SUM(AE695:AH695)</f>
        <v>0</v>
      </c>
      <c r="AK695" s="169">
        <v>5</v>
      </c>
      <c r="AO695" s="19" t="s">
        <v>63</v>
      </c>
    </row>
    <row r="696" spans="1:41" s="103" customFormat="1" ht="19.899999999999999" customHeight="1" x14ac:dyDescent="0.25">
      <c r="A696" s="51"/>
      <c r="B696" s="52"/>
      <c r="C696" s="165"/>
      <c r="D696" s="52"/>
      <c r="E696" s="115"/>
      <c r="F696" s="58"/>
      <c r="G696" s="58"/>
      <c r="H696" s="58"/>
      <c r="I696" s="55"/>
      <c r="J696" s="113">
        <f>J695</f>
        <v>19.799999999999994</v>
      </c>
      <c r="K696" s="212">
        <f>K695</f>
        <v>19.799999999999994</v>
      </c>
      <c r="L696" s="58"/>
      <c r="M696" s="58">
        <f>K696-L696</f>
        <v>19.799999999999994</v>
      </c>
      <c r="N696" s="166"/>
      <c r="O696" s="58"/>
      <c r="P696" s="58"/>
      <c r="Q696" s="58"/>
      <c r="R696" s="58"/>
      <c r="S696" s="58"/>
      <c r="T696" s="220"/>
      <c r="U696" s="88"/>
      <c r="V696" s="56"/>
      <c r="W696" s="57" t="s">
        <v>1294</v>
      </c>
      <c r="X696" s="53"/>
      <c r="Y696" s="91" t="s">
        <v>35</v>
      </c>
      <c r="Z696" s="136">
        <f>AD696/AC696</f>
        <v>385.00000000000006</v>
      </c>
      <c r="AA696" s="58"/>
      <c r="AB696" s="53">
        <f>AD696/AC696</f>
        <v>385.00000000000006</v>
      </c>
      <c r="AC696" s="53">
        <f>M696+$AE$10</f>
        <v>19.799999999999994</v>
      </c>
      <c r="AD696" s="54">
        <f>SUM(AD697:AD699)</f>
        <v>7622.9999999999982</v>
      </c>
      <c r="AE696" s="184">
        <f>SUMIFS($AD$37:$AD$12971,$V$37:$V$12971,$V696,$X$37:$X$12971,AE$13)</f>
        <v>0</v>
      </c>
      <c r="AF696" s="185">
        <f>SUMIFS($AD$37:$AD$12971,$V$37:$V$12971,$V696,$X$37:$X$12971,AF$13)</f>
        <v>0</v>
      </c>
      <c r="AG696" s="185">
        <f>SUMIFS($AD$37:$AD$12971,$V$37:$V$12971,$V696,$X$37:$X$12971,AG$13)</f>
        <v>0</v>
      </c>
      <c r="AH696" s="187">
        <f>SUMIFS($AD$37:$AD$12971,$V$37:$V$12971,$V696,$X$37:$X$12971,AH$13)</f>
        <v>0</v>
      </c>
      <c r="AI696" s="161">
        <f t="shared" si="600"/>
        <v>0</v>
      </c>
      <c r="AK696" s="172"/>
    </row>
    <row r="697" spans="1:41" s="102" customFormat="1" ht="19.899999999999999" customHeight="1" x14ac:dyDescent="0.25">
      <c r="A697" s="45"/>
      <c r="B697" s="59"/>
      <c r="C697" s="137"/>
      <c r="D697" s="59"/>
      <c r="E697" s="116"/>
      <c r="F697" s="120"/>
      <c r="G697" s="120"/>
      <c r="H697" s="120"/>
      <c r="I697" s="60"/>
      <c r="J697" s="116"/>
      <c r="K697" s="213"/>
      <c r="L697" s="120"/>
      <c r="M697" s="120"/>
      <c r="N697" s="167"/>
      <c r="O697" s="120"/>
      <c r="P697" s="120"/>
      <c r="Q697" s="120"/>
      <c r="R697" s="120"/>
      <c r="S697" s="120"/>
      <c r="T697" s="221"/>
      <c r="U697" s="89"/>
      <c r="V697" s="61"/>
      <c r="W697" s="92" t="s">
        <v>1326</v>
      </c>
      <c r="X697" s="93" t="s">
        <v>30</v>
      </c>
      <c r="Y697" s="93" t="s">
        <v>35</v>
      </c>
      <c r="Z697" s="134">
        <f>VLOOKUP(W697,Sheet2!$B:$D,3,FALSE)</f>
        <v>310</v>
      </c>
      <c r="AA697" s="93">
        <v>1</v>
      </c>
      <c r="AB697" s="93">
        <f t="shared" ref="AB697" si="601">AD697/AC696</f>
        <v>310</v>
      </c>
      <c r="AC697" s="93">
        <f>AC696/AA697</f>
        <v>19.799999999999994</v>
      </c>
      <c r="AD697" s="94">
        <f t="shared" ref="AD697:AD698" si="602">AC697*Z697</f>
        <v>6137.9999999999982</v>
      </c>
      <c r="AE697" s="190"/>
      <c r="AF697" s="191"/>
      <c r="AG697" s="191"/>
      <c r="AH697" s="191"/>
      <c r="AI697" s="186"/>
      <c r="AK697" s="171"/>
    </row>
    <row r="698" spans="1:41" s="102" customFormat="1" ht="19.899999999999999" customHeight="1" x14ac:dyDescent="0.25">
      <c r="A698" s="45"/>
      <c r="B698" s="59"/>
      <c r="C698" s="137"/>
      <c r="D698" s="59"/>
      <c r="E698" s="116"/>
      <c r="F698" s="120"/>
      <c r="G698" s="120"/>
      <c r="H698" s="120"/>
      <c r="I698" s="60"/>
      <c r="J698" s="116"/>
      <c r="K698" s="213"/>
      <c r="L698" s="120"/>
      <c r="M698" s="120"/>
      <c r="N698" s="167"/>
      <c r="O698" s="120"/>
      <c r="P698" s="120"/>
      <c r="Q698" s="120"/>
      <c r="R698" s="120"/>
      <c r="S698" s="120"/>
      <c r="T698" s="221"/>
      <c r="U698" s="89"/>
      <c r="V698" s="61"/>
      <c r="W698" s="92" t="s">
        <v>107</v>
      </c>
      <c r="X698" s="93" t="s">
        <v>31</v>
      </c>
      <c r="Y698" s="93" t="s">
        <v>93</v>
      </c>
      <c r="Z698" s="134">
        <f>VLOOKUP(W698,Sheet2!$B:$D,3,FALSE)</f>
        <v>17</v>
      </c>
      <c r="AA698" s="93">
        <v>0.4</v>
      </c>
      <c r="AB698" s="93">
        <f>AD698/AC696</f>
        <v>42.5</v>
      </c>
      <c r="AC698" s="93">
        <f>AC696/AA698</f>
        <v>49.499999999999979</v>
      </c>
      <c r="AD698" s="94">
        <f t="shared" si="602"/>
        <v>841.49999999999966</v>
      </c>
      <c r="AE698" s="190"/>
      <c r="AF698" s="191"/>
      <c r="AG698" s="191"/>
      <c r="AH698" s="191"/>
      <c r="AI698" s="186"/>
      <c r="AK698" s="171"/>
    </row>
    <row r="699" spans="1:41" s="102" customFormat="1" ht="19.899999999999999" customHeight="1" x14ac:dyDescent="0.25">
      <c r="A699" s="45"/>
      <c r="B699" s="59"/>
      <c r="C699" s="137"/>
      <c r="D699" s="59"/>
      <c r="E699" s="116"/>
      <c r="F699" s="120"/>
      <c r="G699" s="120"/>
      <c r="H699" s="120"/>
      <c r="I699" s="60"/>
      <c r="J699" s="116"/>
      <c r="K699" s="213"/>
      <c r="L699" s="120"/>
      <c r="M699" s="120"/>
      <c r="N699" s="167"/>
      <c r="O699" s="120"/>
      <c r="P699" s="120"/>
      <c r="Q699" s="120"/>
      <c r="R699" s="120"/>
      <c r="S699" s="120"/>
      <c r="T699" s="221"/>
      <c r="U699" s="89"/>
      <c r="V699" s="61"/>
      <c r="W699" s="92" t="s">
        <v>112</v>
      </c>
      <c r="X699" s="93" t="s">
        <v>31</v>
      </c>
      <c r="Y699" s="93" t="s">
        <v>93</v>
      </c>
      <c r="Z699" s="134">
        <f>VLOOKUP(W699,Sheet2!$B:$D,3,FALSE)</f>
        <v>13</v>
      </c>
      <c r="AA699" s="93">
        <f>AA698</f>
        <v>0.4</v>
      </c>
      <c r="AB699" s="93">
        <f>AD699/AC696</f>
        <v>32.5</v>
      </c>
      <c r="AC699" s="93">
        <f>AC696/AA699</f>
        <v>49.499999999999979</v>
      </c>
      <c r="AD699" s="94">
        <f>AC699*Z699</f>
        <v>643.49999999999977</v>
      </c>
      <c r="AE699" s="190"/>
      <c r="AF699" s="191"/>
      <c r="AG699" s="191"/>
      <c r="AH699" s="191"/>
      <c r="AI699" s="186"/>
      <c r="AK699" s="171"/>
    </row>
    <row r="700" spans="1:41" ht="20.100000000000001" customHeight="1" x14ac:dyDescent="0.25">
      <c r="A700" s="277" t="s">
        <v>216</v>
      </c>
      <c r="B700" s="278"/>
      <c r="C700" s="64" t="s">
        <v>300</v>
      </c>
      <c r="D700" s="46" t="s">
        <v>97</v>
      </c>
      <c r="E700" s="114">
        <v>8.4499999999999993</v>
      </c>
      <c r="F700" s="44">
        <v>1064</v>
      </c>
      <c r="G700" s="44">
        <f t="shared" si="425"/>
        <v>8990.7999999999993</v>
      </c>
      <c r="H700" s="44">
        <f t="shared" si="426"/>
        <v>895.71428571428578</v>
      </c>
      <c r="I700" s="43">
        <f t="shared" si="427"/>
        <v>7568.7857142857138</v>
      </c>
      <c r="J700" s="112">
        <f t="shared" si="428"/>
        <v>8.4499999999999993</v>
      </c>
      <c r="K700" s="211">
        <f t="shared" si="429"/>
        <v>8.4499999999999993</v>
      </c>
      <c r="L700" s="44"/>
      <c r="M700" s="44">
        <f t="shared" si="435"/>
        <v>8.4499999999999993</v>
      </c>
      <c r="N700" s="173">
        <f t="shared" si="430"/>
        <v>1</v>
      </c>
      <c r="O700" s="44">
        <f t="shared" si="431"/>
        <v>1064</v>
      </c>
      <c r="P700" s="44">
        <f t="shared" si="432"/>
        <v>8990.7999999999993</v>
      </c>
      <c r="Q700" s="44">
        <f t="shared" si="433"/>
        <v>895.71428571428578</v>
      </c>
      <c r="R700" s="44">
        <f t="shared" si="436"/>
        <v>7568.7857142857138</v>
      </c>
      <c r="S700" s="123"/>
      <c r="T700" s="219">
        <f t="shared" si="437"/>
        <v>7568.7857142857138</v>
      </c>
      <c r="U700" s="87"/>
      <c r="V700" s="47"/>
      <c r="W700" s="48"/>
      <c r="X700" s="48"/>
      <c r="Y700" s="48"/>
      <c r="Z700" s="135"/>
      <c r="AA700" s="49"/>
      <c r="AB700" s="50">
        <f t="shared" si="434"/>
        <v>895.71428571428578</v>
      </c>
      <c r="AC700" s="42">
        <f t="shared" si="438"/>
        <v>8.4499999999999993</v>
      </c>
      <c r="AD700" s="90">
        <f>AD701</f>
        <v>7568.7857142857138</v>
      </c>
      <c r="AE700" s="188">
        <f t="shared" ref="AE700:AH700" si="603">AE701</f>
        <v>0</v>
      </c>
      <c r="AF700" s="189">
        <f t="shared" si="603"/>
        <v>0</v>
      </c>
      <c r="AG700" s="189">
        <f t="shared" si="603"/>
        <v>0</v>
      </c>
      <c r="AH700" s="189">
        <f t="shared" si="603"/>
        <v>0</v>
      </c>
      <c r="AI700" s="161">
        <f t="shared" si="600"/>
        <v>0</v>
      </c>
      <c r="AK700" s="169">
        <v>5</v>
      </c>
      <c r="AO700" s="19" t="s">
        <v>63</v>
      </c>
    </row>
    <row r="701" spans="1:41" s="103" customFormat="1" ht="19.899999999999999" customHeight="1" x14ac:dyDescent="0.25">
      <c r="A701" s="51"/>
      <c r="B701" s="52"/>
      <c r="C701" s="165"/>
      <c r="D701" s="52"/>
      <c r="E701" s="115"/>
      <c r="F701" s="58"/>
      <c r="G701" s="58"/>
      <c r="H701" s="58"/>
      <c r="I701" s="55"/>
      <c r="J701" s="113">
        <f>J700</f>
        <v>8.4499999999999993</v>
      </c>
      <c r="K701" s="212">
        <f>K700</f>
        <v>8.4499999999999993</v>
      </c>
      <c r="L701" s="58"/>
      <c r="M701" s="58">
        <f>K701-L701</f>
        <v>8.4499999999999993</v>
      </c>
      <c r="N701" s="166"/>
      <c r="O701" s="58"/>
      <c r="P701" s="58"/>
      <c r="Q701" s="58"/>
      <c r="R701" s="58"/>
      <c r="S701" s="58"/>
      <c r="T701" s="220"/>
      <c r="U701" s="88"/>
      <c r="V701" s="56"/>
      <c r="W701" s="57" t="s">
        <v>1294</v>
      </c>
      <c r="X701" s="53"/>
      <c r="Y701" s="91" t="s">
        <v>35</v>
      </c>
      <c r="Z701" s="136">
        <f>AD701/AC701</f>
        <v>895.71428571428578</v>
      </c>
      <c r="AA701" s="58"/>
      <c r="AB701" s="53">
        <f>AD701/AC701</f>
        <v>895.71428571428578</v>
      </c>
      <c r="AC701" s="53">
        <f>M701+$AE$10</f>
        <v>8.4499999999999993</v>
      </c>
      <c r="AD701" s="54">
        <f>SUM(AD702:AD704)</f>
        <v>7568.7857142857138</v>
      </c>
      <c r="AE701" s="184">
        <f>SUMIFS($AD$37:$AD$12971,$V$37:$V$12971,$V701,$X$37:$X$12971,AE$13)</f>
        <v>0</v>
      </c>
      <c r="AF701" s="185">
        <f>SUMIFS($AD$37:$AD$12971,$V$37:$V$12971,$V701,$X$37:$X$12971,AF$13)</f>
        <v>0</v>
      </c>
      <c r="AG701" s="185">
        <f>SUMIFS($AD$37:$AD$12971,$V$37:$V$12971,$V701,$X$37:$X$12971,AG$13)</f>
        <v>0</v>
      </c>
      <c r="AH701" s="187">
        <f>SUMIFS($AD$37:$AD$12971,$V$37:$V$12971,$V701,$X$37:$X$12971,AH$13)</f>
        <v>0</v>
      </c>
      <c r="AI701" s="161">
        <f t="shared" ref="AI701" si="604">SUM(AE701:AH701)</f>
        <v>0</v>
      </c>
      <c r="AK701" s="172"/>
    </row>
    <row r="702" spans="1:41" s="102" customFormat="1" ht="19.899999999999999" customHeight="1" x14ac:dyDescent="0.25">
      <c r="A702" s="45"/>
      <c r="B702" s="59"/>
      <c r="C702" s="137"/>
      <c r="D702" s="59"/>
      <c r="E702" s="116"/>
      <c r="F702" s="120"/>
      <c r="G702" s="120"/>
      <c r="H702" s="120"/>
      <c r="I702" s="60"/>
      <c r="J702" s="116"/>
      <c r="K702" s="213"/>
      <c r="L702" s="120"/>
      <c r="M702" s="120"/>
      <c r="N702" s="167"/>
      <c r="O702" s="120"/>
      <c r="P702" s="120"/>
      <c r="Q702" s="120"/>
      <c r="R702" s="120"/>
      <c r="S702" s="120"/>
      <c r="T702" s="221"/>
      <c r="U702" s="89"/>
      <c r="V702" s="61"/>
      <c r="W702" s="92" t="s">
        <v>1327</v>
      </c>
      <c r="X702" s="93" t="s">
        <v>30</v>
      </c>
      <c r="Y702" s="93" t="s">
        <v>35</v>
      </c>
      <c r="Z702" s="134">
        <f>VLOOKUP(W702,Sheet2!$B:$D,3,FALSE)</f>
        <v>810</v>
      </c>
      <c r="AA702" s="93">
        <v>1</v>
      </c>
      <c r="AB702" s="93">
        <f t="shared" ref="AB702" si="605">AD702/AC701</f>
        <v>810</v>
      </c>
      <c r="AC702" s="93">
        <f>AC701/AA702</f>
        <v>8.4499999999999993</v>
      </c>
      <c r="AD702" s="94">
        <f t="shared" ref="AD702:AD703" si="606">AC702*Z702</f>
        <v>6844.4999999999991</v>
      </c>
      <c r="AE702" s="190"/>
      <c r="AF702" s="191"/>
      <c r="AG702" s="191"/>
      <c r="AH702" s="191"/>
      <c r="AI702" s="186"/>
      <c r="AK702" s="171"/>
    </row>
    <row r="703" spans="1:41" s="102" customFormat="1" ht="19.899999999999999" customHeight="1" x14ac:dyDescent="0.25">
      <c r="A703" s="45"/>
      <c r="B703" s="59"/>
      <c r="C703" s="137"/>
      <c r="D703" s="59"/>
      <c r="E703" s="116"/>
      <c r="F703" s="120"/>
      <c r="G703" s="120"/>
      <c r="H703" s="120"/>
      <c r="I703" s="60"/>
      <c r="J703" s="116"/>
      <c r="K703" s="213"/>
      <c r="L703" s="120"/>
      <c r="M703" s="120"/>
      <c r="N703" s="167"/>
      <c r="O703" s="120"/>
      <c r="P703" s="120"/>
      <c r="Q703" s="120"/>
      <c r="R703" s="120"/>
      <c r="S703" s="120"/>
      <c r="T703" s="221"/>
      <c r="U703" s="89"/>
      <c r="V703" s="61"/>
      <c r="W703" s="92" t="s">
        <v>107</v>
      </c>
      <c r="X703" s="93" t="s">
        <v>31</v>
      </c>
      <c r="Y703" s="93" t="s">
        <v>93</v>
      </c>
      <c r="Z703" s="134">
        <f>VLOOKUP(W703,Sheet2!$B:$D,3,FALSE)</f>
        <v>17</v>
      </c>
      <c r="AA703" s="93">
        <v>0.35</v>
      </c>
      <c r="AB703" s="93">
        <f>AD703/AC701</f>
        <v>48.571428571428577</v>
      </c>
      <c r="AC703" s="93">
        <f>AC701/AA703</f>
        <v>24.142857142857142</v>
      </c>
      <c r="AD703" s="94">
        <f t="shared" si="606"/>
        <v>410.42857142857144</v>
      </c>
      <c r="AE703" s="190"/>
      <c r="AF703" s="191"/>
      <c r="AG703" s="191"/>
      <c r="AH703" s="191"/>
      <c r="AI703" s="186"/>
      <c r="AK703" s="171"/>
    </row>
    <row r="704" spans="1:41" s="102" customFormat="1" ht="19.899999999999999" customHeight="1" x14ac:dyDescent="0.25">
      <c r="A704" s="45"/>
      <c r="B704" s="59"/>
      <c r="C704" s="137"/>
      <c r="D704" s="59"/>
      <c r="E704" s="116"/>
      <c r="F704" s="120"/>
      <c r="G704" s="120"/>
      <c r="H704" s="120"/>
      <c r="I704" s="60"/>
      <c r="J704" s="116"/>
      <c r="K704" s="213"/>
      <c r="L704" s="120"/>
      <c r="M704" s="120"/>
      <c r="N704" s="167"/>
      <c r="O704" s="120"/>
      <c r="P704" s="120"/>
      <c r="Q704" s="120"/>
      <c r="R704" s="120"/>
      <c r="S704" s="120"/>
      <c r="T704" s="221"/>
      <c r="U704" s="89"/>
      <c r="V704" s="61"/>
      <c r="W704" s="92" t="s">
        <v>112</v>
      </c>
      <c r="X704" s="93" t="s">
        <v>31</v>
      </c>
      <c r="Y704" s="93" t="s">
        <v>93</v>
      </c>
      <c r="Z704" s="134">
        <f>VLOOKUP(W704,Sheet2!$B:$D,3,FALSE)</f>
        <v>13</v>
      </c>
      <c r="AA704" s="93">
        <f>AA703</f>
        <v>0.35</v>
      </c>
      <c r="AB704" s="93">
        <f>AD704/AC701</f>
        <v>37.142857142857146</v>
      </c>
      <c r="AC704" s="93">
        <f>AC701/AA704</f>
        <v>24.142857142857142</v>
      </c>
      <c r="AD704" s="94">
        <f>AC704*Z704</f>
        <v>313.85714285714283</v>
      </c>
      <c r="AE704" s="190"/>
      <c r="AF704" s="191"/>
      <c r="AG704" s="191"/>
      <c r="AH704" s="191"/>
      <c r="AI704" s="186"/>
      <c r="AK704" s="171"/>
    </row>
    <row r="705" spans="1:41" ht="20.100000000000001" customHeight="1" x14ac:dyDescent="0.25">
      <c r="A705" s="277" t="s">
        <v>216</v>
      </c>
      <c r="B705" s="278"/>
      <c r="C705" s="64" t="s">
        <v>301</v>
      </c>
      <c r="D705" s="46" t="s">
        <v>215</v>
      </c>
      <c r="E705" s="114"/>
      <c r="F705" s="44">
        <v>0</v>
      </c>
      <c r="G705" s="44">
        <f t="shared" si="425"/>
        <v>0</v>
      </c>
      <c r="H705" s="44">
        <f t="shared" si="426"/>
        <v>0</v>
      </c>
      <c r="I705" s="43">
        <f t="shared" si="427"/>
        <v>0</v>
      </c>
      <c r="J705" s="112">
        <f t="shared" si="428"/>
        <v>0</v>
      </c>
      <c r="K705" s="211">
        <f t="shared" si="429"/>
        <v>0</v>
      </c>
      <c r="L705" s="44"/>
      <c r="M705" s="44">
        <f t="shared" si="435"/>
        <v>0</v>
      </c>
      <c r="N705" s="173">
        <f t="shared" si="430"/>
        <v>0</v>
      </c>
      <c r="O705" s="44">
        <f t="shared" si="431"/>
        <v>0</v>
      </c>
      <c r="P705" s="44">
        <f t="shared" si="432"/>
        <v>0</v>
      </c>
      <c r="Q705" s="44">
        <f t="shared" si="433"/>
        <v>0</v>
      </c>
      <c r="R705" s="44">
        <f t="shared" si="436"/>
        <v>0</v>
      </c>
      <c r="S705" s="123"/>
      <c r="T705" s="219">
        <f t="shared" si="437"/>
        <v>0</v>
      </c>
      <c r="U705" s="87"/>
      <c r="V705" s="47"/>
      <c r="W705" s="48"/>
      <c r="X705" s="48"/>
      <c r="Y705" s="48"/>
      <c r="Z705" s="135"/>
      <c r="AA705" s="49"/>
      <c r="AB705" s="50">
        <f t="shared" si="434"/>
        <v>0</v>
      </c>
      <c r="AC705" s="42">
        <f t="shared" si="438"/>
        <v>9.9999999999999998E-20</v>
      </c>
      <c r="AD705" s="90"/>
      <c r="AE705" s="188"/>
      <c r="AF705" s="189"/>
      <c r="AG705" s="189"/>
      <c r="AH705" s="189"/>
      <c r="AI705" s="161"/>
    </row>
    <row r="706" spans="1:41" s="306" customFormat="1" ht="20.100000000000001" customHeight="1" x14ac:dyDescent="0.25">
      <c r="A706" s="287" t="s">
        <v>216</v>
      </c>
      <c r="B706" s="288"/>
      <c r="C706" s="286" t="s">
        <v>302</v>
      </c>
      <c r="D706" s="289"/>
      <c r="E706" s="290"/>
      <c r="F706" s="291">
        <v>0</v>
      </c>
      <c r="G706" s="291">
        <f t="shared" ref="G706:G1741" si="607">F706*E706</f>
        <v>0</v>
      </c>
      <c r="H706" s="291">
        <f t="shared" ref="H706:H1741" si="608">AB706</f>
        <v>0</v>
      </c>
      <c r="I706" s="292">
        <f t="shared" ref="I706:I1741" si="609">H706*E706</f>
        <v>0</v>
      </c>
      <c r="J706" s="290">
        <f t="shared" ref="J706:J1741" si="610">E706</f>
        <v>0</v>
      </c>
      <c r="K706" s="293">
        <f t="shared" ref="K706:K1741" si="611">J706</f>
        <v>0</v>
      </c>
      <c r="L706" s="291"/>
      <c r="M706" s="291">
        <f t="shared" ref="M706:M1741" si="612">K706-L706</f>
        <v>0</v>
      </c>
      <c r="N706" s="294">
        <f t="shared" ref="N706:N1741" si="613">IFERROR(M706/K706,0)</f>
        <v>0</v>
      </c>
      <c r="O706" s="291">
        <f t="shared" ref="O706:O1741" si="614">F706</f>
        <v>0</v>
      </c>
      <c r="P706" s="291">
        <f t="shared" ref="P706:P1741" si="615">K706*O706</f>
        <v>0</v>
      </c>
      <c r="Q706" s="291">
        <f t="shared" ref="Q706:Q1741" si="616">AB706</f>
        <v>0</v>
      </c>
      <c r="R706" s="291">
        <f t="shared" ref="R706:R1741" si="617">M706*Q706</f>
        <v>0</v>
      </c>
      <c r="S706" s="291"/>
      <c r="T706" s="295">
        <f t="shared" ref="T706:T1741" si="618">S706+R706</f>
        <v>0</v>
      </c>
      <c r="U706" s="296"/>
      <c r="V706" s="297"/>
      <c r="W706" s="298"/>
      <c r="X706" s="299"/>
      <c r="Y706" s="300"/>
      <c r="Z706" s="301"/>
      <c r="AA706" s="300"/>
      <c r="AB706" s="300">
        <f t="shared" ref="AB706:AB1741" si="619">AD706/AC706</f>
        <v>0</v>
      </c>
      <c r="AC706" s="300">
        <f t="shared" ref="AC706:AC1741" si="620">M706+$AE$10</f>
        <v>9.9999999999999998E-20</v>
      </c>
      <c r="AD706" s="302"/>
      <c r="AE706" s="303"/>
      <c r="AF706" s="304"/>
      <c r="AG706" s="304"/>
      <c r="AH706" s="304"/>
      <c r="AI706" s="305"/>
      <c r="AK706" s="307"/>
    </row>
    <row r="707" spans="1:41" s="306" customFormat="1" ht="20.100000000000001" customHeight="1" x14ac:dyDescent="0.25">
      <c r="A707" s="287" t="s">
        <v>216</v>
      </c>
      <c r="B707" s="288"/>
      <c r="C707" s="286" t="s">
        <v>303</v>
      </c>
      <c r="D707" s="289"/>
      <c r="E707" s="290"/>
      <c r="F707" s="291">
        <v>0</v>
      </c>
      <c r="G707" s="291">
        <f t="shared" si="607"/>
        <v>0</v>
      </c>
      <c r="H707" s="291">
        <f t="shared" si="608"/>
        <v>0</v>
      </c>
      <c r="I707" s="292">
        <f t="shared" si="609"/>
        <v>0</v>
      </c>
      <c r="J707" s="290">
        <f t="shared" si="610"/>
        <v>0</v>
      </c>
      <c r="K707" s="293">
        <f t="shared" si="611"/>
        <v>0</v>
      </c>
      <c r="L707" s="291"/>
      <c r="M707" s="291">
        <f t="shared" si="612"/>
        <v>0</v>
      </c>
      <c r="N707" s="294">
        <f t="shared" si="613"/>
        <v>0</v>
      </c>
      <c r="O707" s="291">
        <f t="shared" si="614"/>
        <v>0</v>
      </c>
      <c r="P707" s="291">
        <f t="shared" si="615"/>
        <v>0</v>
      </c>
      <c r="Q707" s="291">
        <f t="shared" si="616"/>
        <v>0</v>
      </c>
      <c r="R707" s="291">
        <f t="shared" si="617"/>
        <v>0</v>
      </c>
      <c r="S707" s="291"/>
      <c r="T707" s="295">
        <f t="shared" si="618"/>
        <v>0</v>
      </c>
      <c r="U707" s="296"/>
      <c r="V707" s="297"/>
      <c r="W707" s="298"/>
      <c r="X707" s="299"/>
      <c r="Y707" s="300"/>
      <c r="Z707" s="301"/>
      <c r="AA707" s="300"/>
      <c r="AB707" s="300">
        <f t="shared" si="619"/>
        <v>0</v>
      </c>
      <c r="AC707" s="300">
        <f t="shared" si="620"/>
        <v>9.9999999999999998E-20</v>
      </c>
      <c r="AD707" s="302"/>
      <c r="AE707" s="303"/>
      <c r="AF707" s="304"/>
      <c r="AG707" s="304"/>
      <c r="AH707" s="304"/>
      <c r="AI707" s="305"/>
      <c r="AK707" s="307"/>
    </row>
    <row r="708" spans="1:41" ht="20.100000000000001" customHeight="1" x14ac:dyDescent="0.25">
      <c r="A708" s="277" t="s">
        <v>216</v>
      </c>
      <c r="B708" s="278"/>
      <c r="C708" s="64" t="s">
        <v>304</v>
      </c>
      <c r="D708" s="46" t="s">
        <v>215</v>
      </c>
      <c r="E708" s="114">
        <v>1.7499999999999991</v>
      </c>
      <c r="F708" s="44">
        <v>0</v>
      </c>
      <c r="G708" s="44">
        <f t="shared" si="607"/>
        <v>0</v>
      </c>
      <c r="H708" s="44">
        <f t="shared" si="608"/>
        <v>0</v>
      </c>
      <c r="I708" s="43">
        <f t="shared" si="609"/>
        <v>0</v>
      </c>
      <c r="J708" s="112">
        <f t="shared" si="610"/>
        <v>1.7499999999999991</v>
      </c>
      <c r="K708" s="211">
        <f t="shared" si="611"/>
        <v>1.7499999999999991</v>
      </c>
      <c r="L708" s="44"/>
      <c r="M708" s="44">
        <f t="shared" si="612"/>
        <v>1.7499999999999991</v>
      </c>
      <c r="N708" s="173">
        <f t="shared" si="613"/>
        <v>1</v>
      </c>
      <c r="O708" s="44">
        <f t="shared" si="614"/>
        <v>0</v>
      </c>
      <c r="P708" s="44">
        <f t="shared" si="615"/>
        <v>0</v>
      </c>
      <c r="Q708" s="44">
        <f t="shared" si="616"/>
        <v>0</v>
      </c>
      <c r="R708" s="44">
        <f t="shared" si="617"/>
        <v>0</v>
      </c>
      <c r="S708" s="123"/>
      <c r="T708" s="219">
        <f t="shared" si="618"/>
        <v>0</v>
      </c>
      <c r="U708" s="87"/>
      <c r="V708" s="47"/>
      <c r="W708" s="48"/>
      <c r="X708" s="48"/>
      <c r="Y708" s="48"/>
      <c r="Z708" s="135"/>
      <c r="AA708" s="49"/>
      <c r="AB708" s="50">
        <f t="shared" si="619"/>
        <v>0</v>
      </c>
      <c r="AC708" s="42">
        <f t="shared" si="620"/>
        <v>1.7499999999999991</v>
      </c>
      <c r="AD708" s="90"/>
      <c r="AE708" s="188"/>
      <c r="AF708" s="189"/>
      <c r="AG708" s="189"/>
      <c r="AH708" s="189"/>
      <c r="AI708" s="161"/>
    </row>
    <row r="709" spans="1:41" ht="20.100000000000001" customHeight="1" x14ac:dyDescent="0.25">
      <c r="A709" s="277" t="s">
        <v>216</v>
      </c>
      <c r="B709" s="278"/>
      <c r="C709" s="64" t="s">
        <v>305</v>
      </c>
      <c r="D709" s="46" t="s">
        <v>215</v>
      </c>
      <c r="E709" s="114"/>
      <c r="F709" s="44">
        <v>0</v>
      </c>
      <c r="G709" s="44">
        <f t="shared" si="607"/>
        <v>0</v>
      </c>
      <c r="H709" s="44">
        <f t="shared" si="608"/>
        <v>0</v>
      </c>
      <c r="I709" s="43">
        <f t="shared" si="609"/>
        <v>0</v>
      </c>
      <c r="J709" s="112">
        <f t="shared" si="610"/>
        <v>0</v>
      </c>
      <c r="K709" s="211">
        <f t="shared" si="611"/>
        <v>0</v>
      </c>
      <c r="L709" s="44"/>
      <c r="M709" s="44">
        <f t="shared" si="612"/>
        <v>0</v>
      </c>
      <c r="N709" s="173">
        <f t="shared" si="613"/>
        <v>0</v>
      </c>
      <c r="O709" s="44">
        <f t="shared" si="614"/>
        <v>0</v>
      </c>
      <c r="P709" s="44">
        <f t="shared" si="615"/>
        <v>0</v>
      </c>
      <c r="Q709" s="44">
        <f t="shared" si="616"/>
        <v>0</v>
      </c>
      <c r="R709" s="44">
        <f t="shared" si="617"/>
        <v>0</v>
      </c>
      <c r="S709" s="123"/>
      <c r="T709" s="219">
        <f t="shared" si="618"/>
        <v>0</v>
      </c>
      <c r="U709" s="87"/>
      <c r="V709" s="47"/>
      <c r="W709" s="48"/>
      <c r="X709" s="48"/>
      <c r="Y709" s="48"/>
      <c r="Z709" s="135"/>
      <c r="AA709" s="49"/>
      <c r="AB709" s="50">
        <f t="shared" si="619"/>
        <v>0</v>
      </c>
      <c r="AC709" s="42">
        <f t="shared" si="620"/>
        <v>9.9999999999999998E-20</v>
      </c>
      <c r="AD709" s="90"/>
      <c r="AE709" s="188"/>
      <c r="AF709" s="189"/>
      <c r="AG709" s="189"/>
      <c r="AH709" s="189"/>
      <c r="AI709" s="161"/>
    </row>
    <row r="710" spans="1:41" ht="20.100000000000001" customHeight="1" x14ac:dyDescent="0.25">
      <c r="A710" s="277" t="s">
        <v>216</v>
      </c>
      <c r="B710" s="278"/>
      <c r="C710" s="64" t="s">
        <v>306</v>
      </c>
      <c r="D710" s="46" t="s">
        <v>215</v>
      </c>
      <c r="E710" s="114">
        <v>5.2750000000000004</v>
      </c>
      <c r="F710" s="44">
        <v>0</v>
      </c>
      <c r="G710" s="44">
        <f t="shared" si="607"/>
        <v>0</v>
      </c>
      <c r="H710" s="44">
        <f t="shared" si="608"/>
        <v>0</v>
      </c>
      <c r="I710" s="43">
        <f t="shared" si="609"/>
        <v>0</v>
      </c>
      <c r="J710" s="112">
        <f t="shared" si="610"/>
        <v>5.2750000000000004</v>
      </c>
      <c r="K710" s="211">
        <f t="shared" si="611"/>
        <v>5.2750000000000004</v>
      </c>
      <c r="L710" s="44"/>
      <c r="M710" s="44">
        <f t="shared" si="612"/>
        <v>5.2750000000000004</v>
      </c>
      <c r="N710" s="173">
        <f t="shared" si="613"/>
        <v>1</v>
      </c>
      <c r="O710" s="44">
        <f t="shared" si="614"/>
        <v>0</v>
      </c>
      <c r="P710" s="44">
        <f t="shared" si="615"/>
        <v>0</v>
      </c>
      <c r="Q710" s="44">
        <f t="shared" si="616"/>
        <v>0</v>
      </c>
      <c r="R710" s="44">
        <f t="shared" si="617"/>
        <v>0</v>
      </c>
      <c r="S710" s="123"/>
      <c r="T710" s="219">
        <f t="shared" si="618"/>
        <v>0</v>
      </c>
      <c r="U710" s="87"/>
      <c r="V710" s="47"/>
      <c r="W710" s="48"/>
      <c r="X710" s="48"/>
      <c r="Y710" s="48"/>
      <c r="Z710" s="135"/>
      <c r="AA710" s="49"/>
      <c r="AB710" s="50">
        <f t="shared" si="619"/>
        <v>0</v>
      </c>
      <c r="AC710" s="42">
        <f t="shared" si="620"/>
        <v>5.2750000000000004</v>
      </c>
      <c r="AD710" s="90"/>
      <c r="AE710" s="188"/>
      <c r="AF710" s="189"/>
      <c r="AG710" s="189"/>
      <c r="AH710" s="189"/>
      <c r="AI710" s="161"/>
    </row>
    <row r="711" spans="1:41" ht="20.100000000000001" customHeight="1" x14ac:dyDescent="0.25">
      <c r="A711" s="277" t="s">
        <v>216</v>
      </c>
      <c r="B711" s="278"/>
      <c r="C711" s="64" t="s">
        <v>307</v>
      </c>
      <c r="D711" s="46" t="s">
        <v>215</v>
      </c>
      <c r="E711" s="114">
        <v>4.3499999999999996</v>
      </c>
      <c r="F711" s="44">
        <v>0</v>
      </c>
      <c r="G711" s="44">
        <f t="shared" si="607"/>
        <v>0</v>
      </c>
      <c r="H711" s="44">
        <f t="shared" si="608"/>
        <v>0</v>
      </c>
      <c r="I711" s="43">
        <f t="shared" si="609"/>
        <v>0</v>
      </c>
      <c r="J711" s="112">
        <f t="shared" si="610"/>
        <v>4.3499999999999996</v>
      </c>
      <c r="K711" s="211">
        <f t="shared" si="611"/>
        <v>4.3499999999999996</v>
      </c>
      <c r="L711" s="44"/>
      <c r="M711" s="44">
        <f t="shared" si="612"/>
        <v>4.3499999999999996</v>
      </c>
      <c r="N711" s="173">
        <f t="shared" si="613"/>
        <v>1</v>
      </c>
      <c r="O711" s="44">
        <f t="shared" si="614"/>
        <v>0</v>
      </c>
      <c r="P711" s="44">
        <f t="shared" si="615"/>
        <v>0</v>
      </c>
      <c r="Q711" s="44">
        <f t="shared" si="616"/>
        <v>0</v>
      </c>
      <c r="R711" s="44">
        <f t="shared" si="617"/>
        <v>0</v>
      </c>
      <c r="S711" s="123"/>
      <c r="T711" s="219">
        <f t="shared" si="618"/>
        <v>0</v>
      </c>
      <c r="U711" s="87"/>
      <c r="V711" s="47"/>
      <c r="W711" s="48"/>
      <c r="X711" s="48"/>
      <c r="Y711" s="48"/>
      <c r="Z711" s="135"/>
      <c r="AA711" s="49"/>
      <c r="AB711" s="50">
        <f t="shared" si="619"/>
        <v>0</v>
      </c>
      <c r="AC711" s="42">
        <f t="shared" si="620"/>
        <v>4.3499999999999996</v>
      </c>
      <c r="AD711" s="90"/>
      <c r="AE711" s="188"/>
      <c r="AF711" s="189"/>
      <c r="AG711" s="189"/>
      <c r="AH711" s="189"/>
      <c r="AI711" s="161"/>
    </row>
    <row r="712" spans="1:41" ht="20.100000000000001" customHeight="1" x14ac:dyDescent="0.25">
      <c r="A712" s="277" t="s">
        <v>216</v>
      </c>
      <c r="B712" s="278"/>
      <c r="C712" s="64" t="s">
        <v>308</v>
      </c>
      <c r="D712" s="46" t="s">
        <v>215</v>
      </c>
      <c r="E712" s="114">
        <v>0.79999999999999893</v>
      </c>
      <c r="F712" s="44">
        <v>0</v>
      </c>
      <c r="G712" s="44">
        <f t="shared" si="607"/>
        <v>0</v>
      </c>
      <c r="H712" s="44">
        <f t="shared" si="608"/>
        <v>0</v>
      </c>
      <c r="I712" s="43">
        <f t="shared" si="609"/>
        <v>0</v>
      </c>
      <c r="J712" s="112">
        <f t="shared" si="610"/>
        <v>0.79999999999999893</v>
      </c>
      <c r="K712" s="211">
        <f t="shared" si="611"/>
        <v>0.79999999999999893</v>
      </c>
      <c r="L712" s="44"/>
      <c r="M712" s="44">
        <f t="shared" si="612"/>
        <v>0.79999999999999893</v>
      </c>
      <c r="N712" s="173">
        <f t="shared" si="613"/>
        <v>1</v>
      </c>
      <c r="O712" s="44">
        <f t="shared" si="614"/>
        <v>0</v>
      </c>
      <c r="P712" s="44">
        <f t="shared" si="615"/>
        <v>0</v>
      </c>
      <c r="Q712" s="44">
        <f t="shared" si="616"/>
        <v>0</v>
      </c>
      <c r="R712" s="44">
        <f t="shared" si="617"/>
        <v>0</v>
      </c>
      <c r="S712" s="123"/>
      <c r="T712" s="219">
        <f t="shared" si="618"/>
        <v>0</v>
      </c>
      <c r="U712" s="87"/>
      <c r="V712" s="47"/>
      <c r="W712" s="48"/>
      <c r="X712" s="48"/>
      <c r="Y712" s="48"/>
      <c r="Z712" s="135"/>
      <c r="AA712" s="49"/>
      <c r="AB712" s="50">
        <f t="shared" si="619"/>
        <v>0</v>
      </c>
      <c r="AC712" s="42">
        <f t="shared" si="620"/>
        <v>0.79999999999999893</v>
      </c>
      <c r="AD712" s="90"/>
      <c r="AE712" s="188"/>
      <c r="AF712" s="189"/>
      <c r="AG712" s="189"/>
      <c r="AH712" s="189"/>
      <c r="AI712" s="161"/>
    </row>
    <row r="713" spans="1:41" ht="20.100000000000001" customHeight="1" x14ac:dyDescent="0.25">
      <c r="A713" s="277" t="s">
        <v>216</v>
      </c>
      <c r="B713" s="278"/>
      <c r="C713" s="64" t="s">
        <v>309</v>
      </c>
      <c r="D713" s="46" t="s">
        <v>215</v>
      </c>
      <c r="E713" s="114">
        <v>0.42499999999999893</v>
      </c>
      <c r="F713" s="44">
        <v>0</v>
      </c>
      <c r="G713" s="44">
        <f t="shared" si="607"/>
        <v>0</v>
      </c>
      <c r="H713" s="44">
        <f t="shared" si="608"/>
        <v>0</v>
      </c>
      <c r="I713" s="43">
        <f t="shared" si="609"/>
        <v>0</v>
      </c>
      <c r="J713" s="112">
        <f t="shared" si="610"/>
        <v>0.42499999999999893</v>
      </c>
      <c r="K713" s="211">
        <f t="shared" si="611"/>
        <v>0.42499999999999893</v>
      </c>
      <c r="L713" s="44"/>
      <c r="M713" s="44">
        <f t="shared" si="612"/>
        <v>0.42499999999999893</v>
      </c>
      <c r="N713" s="173">
        <f t="shared" si="613"/>
        <v>1</v>
      </c>
      <c r="O713" s="44">
        <f t="shared" si="614"/>
        <v>0</v>
      </c>
      <c r="P713" s="44">
        <f t="shared" si="615"/>
        <v>0</v>
      </c>
      <c r="Q713" s="44">
        <f t="shared" si="616"/>
        <v>0</v>
      </c>
      <c r="R713" s="44">
        <f t="shared" si="617"/>
        <v>0</v>
      </c>
      <c r="S713" s="123"/>
      <c r="T713" s="219">
        <f t="shared" si="618"/>
        <v>0</v>
      </c>
      <c r="U713" s="87"/>
      <c r="V713" s="47"/>
      <c r="W713" s="48"/>
      <c r="X713" s="48"/>
      <c r="Y713" s="48"/>
      <c r="Z713" s="135"/>
      <c r="AA713" s="49"/>
      <c r="AB713" s="50">
        <f t="shared" si="619"/>
        <v>0</v>
      </c>
      <c r="AC713" s="42">
        <f t="shared" si="620"/>
        <v>0.42499999999999893</v>
      </c>
      <c r="AD713" s="90"/>
      <c r="AE713" s="188"/>
      <c r="AF713" s="189"/>
      <c r="AG713" s="189"/>
      <c r="AH713" s="189"/>
      <c r="AI713" s="161"/>
    </row>
    <row r="714" spans="1:41" ht="20.100000000000001" customHeight="1" x14ac:dyDescent="0.25">
      <c r="A714" s="277" t="s">
        <v>216</v>
      </c>
      <c r="B714" s="278"/>
      <c r="C714" s="64" t="s">
        <v>310</v>
      </c>
      <c r="D714" s="46" t="s">
        <v>215</v>
      </c>
      <c r="E714" s="114">
        <v>1.6500000000000004</v>
      </c>
      <c r="F714" s="44">
        <v>0</v>
      </c>
      <c r="G714" s="44">
        <f t="shared" si="607"/>
        <v>0</v>
      </c>
      <c r="H714" s="44">
        <f t="shared" si="608"/>
        <v>0</v>
      </c>
      <c r="I714" s="43">
        <f t="shared" si="609"/>
        <v>0</v>
      </c>
      <c r="J714" s="112">
        <f t="shared" si="610"/>
        <v>1.6500000000000004</v>
      </c>
      <c r="K714" s="211">
        <f t="shared" si="611"/>
        <v>1.6500000000000004</v>
      </c>
      <c r="L714" s="44"/>
      <c r="M714" s="44">
        <f t="shared" si="612"/>
        <v>1.6500000000000004</v>
      </c>
      <c r="N714" s="173">
        <f t="shared" si="613"/>
        <v>1</v>
      </c>
      <c r="O714" s="44">
        <f t="shared" si="614"/>
        <v>0</v>
      </c>
      <c r="P714" s="44">
        <f t="shared" si="615"/>
        <v>0</v>
      </c>
      <c r="Q714" s="44">
        <f t="shared" si="616"/>
        <v>0</v>
      </c>
      <c r="R714" s="44">
        <f t="shared" si="617"/>
        <v>0</v>
      </c>
      <c r="S714" s="123"/>
      <c r="T714" s="219">
        <f t="shared" si="618"/>
        <v>0</v>
      </c>
      <c r="U714" s="87"/>
      <c r="V714" s="47"/>
      <c r="W714" s="48"/>
      <c r="X714" s="48"/>
      <c r="Y714" s="48"/>
      <c r="Z714" s="135"/>
      <c r="AA714" s="49"/>
      <c r="AB714" s="50">
        <f t="shared" si="619"/>
        <v>0</v>
      </c>
      <c r="AC714" s="42">
        <f t="shared" si="620"/>
        <v>1.6500000000000004</v>
      </c>
      <c r="AD714" s="90"/>
      <c r="AE714" s="188"/>
      <c r="AF714" s="189"/>
      <c r="AG714" s="189"/>
      <c r="AH714" s="189"/>
      <c r="AI714" s="161"/>
    </row>
    <row r="715" spans="1:41" ht="20.100000000000001" customHeight="1" x14ac:dyDescent="0.25">
      <c r="A715" s="277" t="s">
        <v>216</v>
      </c>
      <c r="B715" s="278"/>
      <c r="C715" s="64" t="s">
        <v>311</v>
      </c>
      <c r="D715" s="46" t="s">
        <v>215</v>
      </c>
      <c r="E715" s="114">
        <v>0.59999999999999964</v>
      </c>
      <c r="F715" s="44">
        <v>0</v>
      </c>
      <c r="G715" s="44">
        <f t="shared" si="607"/>
        <v>0</v>
      </c>
      <c r="H715" s="44">
        <f t="shared" si="608"/>
        <v>0</v>
      </c>
      <c r="I715" s="43">
        <f t="shared" si="609"/>
        <v>0</v>
      </c>
      <c r="J715" s="112">
        <f t="shared" si="610"/>
        <v>0.59999999999999964</v>
      </c>
      <c r="K715" s="211">
        <f t="shared" si="611"/>
        <v>0.59999999999999964</v>
      </c>
      <c r="L715" s="44"/>
      <c r="M715" s="44">
        <f t="shared" si="612"/>
        <v>0.59999999999999964</v>
      </c>
      <c r="N715" s="173">
        <f t="shared" si="613"/>
        <v>1</v>
      </c>
      <c r="O715" s="44">
        <f t="shared" si="614"/>
        <v>0</v>
      </c>
      <c r="P715" s="44">
        <f t="shared" si="615"/>
        <v>0</v>
      </c>
      <c r="Q715" s="44">
        <f t="shared" si="616"/>
        <v>0</v>
      </c>
      <c r="R715" s="44">
        <f t="shared" si="617"/>
        <v>0</v>
      </c>
      <c r="S715" s="123"/>
      <c r="T715" s="219">
        <f t="shared" si="618"/>
        <v>0</v>
      </c>
      <c r="U715" s="87"/>
      <c r="V715" s="47"/>
      <c r="W715" s="48"/>
      <c r="X715" s="48"/>
      <c r="Y715" s="48"/>
      <c r="Z715" s="135"/>
      <c r="AA715" s="49"/>
      <c r="AB715" s="50">
        <f t="shared" si="619"/>
        <v>0</v>
      </c>
      <c r="AC715" s="42">
        <f t="shared" si="620"/>
        <v>0.59999999999999964</v>
      </c>
      <c r="AD715" s="90"/>
      <c r="AE715" s="188"/>
      <c r="AF715" s="189"/>
      <c r="AG715" s="189"/>
      <c r="AH715" s="189"/>
      <c r="AI715" s="161"/>
    </row>
    <row r="716" spans="1:41" ht="20.100000000000001" customHeight="1" x14ac:dyDescent="0.25">
      <c r="A716" s="277" t="s">
        <v>216</v>
      </c>
      <c r="B716" s="278"/>
      <c r="C716" s="64" t="s">
        <v>312</v>
      </c>
      <c r="D716" s="46" t="s">
        <v>215</v>
      </c>
      <c r="E716" s="114">
        <v>1.6749999999999998</v>
      </c>
      <c r="F716" s="44">
        <v>0</v>
      </c>
      <c r="G716" s="44">
        <f t="shared" si="607"/>
        <v>0</v>
      </c>
      <c r="H716" s="44">
        <f t="shared" si="608"/>
        <v>0</v>
      </c>
      <c r="I716" s="43">
        <f t="shared" si="609"/>
        <v>0</v>
      </c>
      <c r="J716" s="112">
        <f t="shared" si="610"/>
        <v>1.6749999999999998</v>
      </c>
      <c r="K716" s="211">
        <f t="shared" si="611"/>
        <v>1.6749999999999998</v>
      </c>
      <c r="L716" s="44"/>
      <c r="M716" s="44">
        <f t="shared" si="612"/>
        <v>1.6749999999999998</v>
      </c>
      <c r="N716" s="173">
        <f t="shared" si="613"/>
        <v>1</v>
      </c>
      <c r="O716" s="44">
        <f t="shared" si="614"/>
        <v>0</v>
      </c>
      <c r="P716" s="44">
        <f t="shared" si="615"/>
        <v>0</v>
      </c>
      <c r="Q716" s="44">
        <f t="shared" si="616"/>
        <v>0</v>
      </c>
      <c r="R716" s="44">
        <f t="shared" si="617"/>
        <v>0</v>
      </c>
      <c r="S716" s="123"/>
      <c r="T716" s="219">
        <f t="shared" si="618"/>
        <v>0</v>
      </c>
      <c r="U716" s="87"/>
      <c r="V716" s="47"/>
      <c r="W716" s="48"/>
      <c r="X716" s="48"/>
      <c r="Y716" s="48"/>
      <c r="Z716" s="135"/>
      <c r="AA716" s="49"/>
      <c r="AB716" s="50">
        <f t="shared" si="619"/>
        <v>0</v>
      </c>
      <c r="AC716" s="42">
        <f t="shared" si="620"/>
        <v>1.6749999999999998</v>
      </c>
      <c r="AD716" s="90"/>
      <c r="AE716" s="188"/>
      <c r="AF716" s="189"/>
      <c r="AG716" s="189"/>
      <c r="AH716" s="189"/>
      <c r="AI716" s="161"/>
    </row>
    <row r="717" spans="1:41" s="306" customFormat="1" ht="20.100000000000001" customHeight="1" x14ac:dyDescent="0.25">
      <c r="A717" s="287" t="s">
        <v>216</v>
      </c>
      <c r="B717" s="288"/>
      <c r="C717" s="310" t="s">
        <v>1328</v>
      </c>
      <c r="D717" s="289"/>
      <c r="E717" s="290"/>
      <c r="F717" s="291"/>
      <c r="G717" s="291">
        <f t="shared" si="607"/>
        <v>0</v>
      </c>
      <c r="H717" s="291">
        <f t="shared" si="608"/>
        <v>0</v>
      </c>
      <c r="I717" s="292">
        <f t="shared" si="609"/>
        <v>0</v>
      </c>
      <c r="J717" s="290">
        <f t="shared" si="610"/>
        <v>0</v>
      </c>
      <c r="K717" s="293">
        <f t="shared" si="611"/>
        <v>0</v>
      </c>
      <c r="L717" s="291"/>
      <c r="M717" s="291">
        <f t="shared" si="612"/>
        <v>0</v>
      </c>
      <c r="N717" s="294">
        <f t="shared" si="613"/>
        <v>0</v>
      </c>
      <c r="O717" s="291">
        <f t="shared" si="614"/>
        <v>0</v>
      </c>
      <c r="P717" s="291">
        <f t="shared" si="615"/>
        <v>0</v>
      </c>
      <c r="Q717" s="291">
        <f t="shared" si="616"/>
        <v>0</v>
      </c>
      <c r="R717" s="291">
        <f t="shared" si="617"/>
        <v>0</v>
      </c>
      <c r="S717" s="291"/>
      <c r="T717" s="295">
        <f t="shared" si="618"/>
        <v>0</v>
      </c>
      <c r="U717" s="296"/>
      <c r="V717" s="297"/>
      <c r="W717" s="298"/>
      <c r="X717" s="299"/>
      <c r="Y717" s="300"/>
      <c r="Z717" s="301"/>
      <c r="AA717" s="300"/>
      <c r="AB717" s="300">
        <f t="shared" si="619"/>
        <v>0</v>
      </c>
      <c r="AC717" s="300">
        <f t="shared" si="620"/>
        <v>9.9999999999999998E-20</v>
      </c>
      <c r="AD717" s="302"/>
      <c r="AE717" s="303"/>
      <c r="AF717" s="304"/>
      <c r="AG717" s="304"/>
      <c r="AH717" s="304"/>
      <c r="AI717" s="305"/>
      <c r="AK717" s="307"/>
    </row>
    <row r="718" spans="1:41" s="306" customFormat="1" ht="90" x14ac:dyDescent="0.25">
      <c r="A718" s="287" t="s">
        <v>216</v>
      </c>
      <c r="B718" s="288"/>
      <c r="C718" s="286" t="s">
        <v>313</v>
      </c>
      <c r="D718" s="289"/>
      <c r="E718" s="290"/>
      <c r="F718" s="291"/>
      <c r="G718" s="291">
        <f t="shared" si="607"/>
        <v>0</v>
      </c>
      <c r="H718" s="291">
        <f t="shared" si="608"/>
        <v>0</v>
      </c>
      <c r="I718" s="292">
        <f t="shared" si="609"/>
        <v>0</v>
      </c>
      <c r="J718" s="290">
        <f t="shared" si="610"/>
        <v>0</v>
      </c>
      <c r="K718" s="293">
        <f t="shared" si="611"/>
        <v>0</v>
      </c>
      <c r="L718" s="291"/>
      <c r="M718" s="291">
        <f t="shared" si="612"/>
        <v>0</v>
      </c>
      <c r="N718" s="294">
        <f t="shared" si="613"/>
        <v>0</v>
      </c>
      <c r="O718" s="291">
        <f t="shared" si="614"/>
        <v>0</v>
      </c>
      <c r="P718" s="291">
        <f t="shared" si="615"/>
        <v>0</v>
      </c>
      <c r="Q718" s="291">
        <f t="shared" si="616"/>
        <v>0</v>
      </c>
      <c r="R718" s="291">
        <f t="shared" si="617"/>
        <v>0</v>
      </c>
      <c r="S718" s="291"/>
      <c r="T718" s="295">
        <f t="shared" si="618"/>
        <v>0</v>
      </c>
      <c r="U718" s="296"/>
      <c r="V718" s="297"/>
      <c r="W718" s="298"/>
      <c r="X718" s="299"/>
      <c r="Y718" s="300"/>
      <c r="Z718" s="301"/>
      <c r="AA718" s="300"/>
      <c r="AB718" s="300">
        <f t="shared" si="619"/>
        <v>0</v>
      </c>
      <c r="AC718" s="300">
        <f t="shared" si="620"/>
        <v>9.9999999999999998E-20</v>
      </c>
      <c r="AD718" s="302"/>
      <c r="AE718" s="303"/>
      <c r="AF718" s="304"/>
      <c r="AG718" s="304"/>
      <c r="AH718" s="304"/>
      <c r="AI718" s="305"/>
      <c r="AK718" s="307"/>
    </row>
    <row r="719" spans="1:41" s="306" customFormat="1" ht="20.100000000000001" customHeight="1" x14ac:dyDescent="0.25">
      <c r="A719" s="287" t="s">
        <v>216</v>
      </c>
      <c r="B719" s="288"/>
      <c r="C719" s="286" t="s">
        <v>314</v>
      </c>
      <c r="D719" s="289"/>
      <c r="E719" s="290"/>
      <c r="F719" s="291"/>
      <c r="G719" s="291">
        <f t="shared" si="607"/>
        <v>0</v>
      </c>
      <c r="H719" s="291">
        <f t="shared" si="608"/>
        <v>0</v>
      </c>
      <c r="I719" s="292">
        <f t="shared" si="609"/>
        <v>0</v>
      </c>
      <c r="J719" s="290">
        <f t="shared" si="610"/>
        <v>0</v>
      </c>
      <c r="K719" s="293">
        <f t="shared" si="611"/>
        <v>0</v>
      </c>
      <c r="L719" s="291"/>
      <c r="M719" s="291">
        <f t="shared" si="612"/>
        <v>0</v>
      </c>
      <c r="N719" s="294">
        <f t="shared" si="613"/>
        <v>0</v>
      </c>
      <c r="O719" s="291">
        <f t="shared" si="614"/>
        <v>0</v>
      </c>
      <c r="P719" s="291">
        <f t="shared" si="615"/>
        <v>0</v>
      </c>
      <c r="Q719" s="291">
        <f t="shared" si="616"/>
        <v>0</v>
      </c>
      <c r="R719" s="291">
        <f t="shared" si="617"/>
        <v>0</v>
      </c>
      <c r="S719" s="291"/>
      <c r="T719" s="295">
        <f t="shared" si="618"/>
        <v>0</v>
      </c>
      <c r="U719" s="296"/>
      <c r="V719" s="297"/>
      <c r="W719" s="298"/>
      <c r="X719" s="299"/>
      <c r="Y719" s="300"/>
      <c r="Z719" s="301"/>
      <c r="AA719" s="300"/>
      <c r="AB719" s="300">
        <f t="shared" si="619"/>
        <v>0</v>
      </c>
      <c r="AC719" s="300">
        <f t="shared" si="620"/>
        <v>9.9999999999999998E-20</v>
      </c>
      <c r="AD719" s="302"/>
      <c r="AE719" s="303"/>
      <c r="AF719" s="304"/>
      <c r="AG719" s="304"/>
      <c r="AH719" s="304"/>
      <c r="AI719" s="305"/>
      <c r="AK719" s="307"/>
    </row>
    <row r="720" spans="1:41" ht="20.100000000000001" customHeight="1" x14ac:dyDescent="0.25">
      <c r="A720" s="277" t="s">
        <v>216</v>
      </c>
      <c r="B720" s="278"/>
      <c r="C720" s="64" t="s">
        <v>315</v>
      </c>
      <c r="D720" s="46" t="s">
        <v>215</v>
      </c>
      <c r="E720" s="114">
        <v>72.500000000000085</v>
      </c>
      <c r="F720" s="44">
        <v>2946</v>
      </c>
      <c r="G720" s="44">
        <f t="shared" si="607"/>
        <v>213585.00000000026</v>
      </c>
      <c r="H720" s="44">
        <f t="shared" si="608"/>
        <v>1544.8</v>
      </c>
      <c r="I720" s="43">
        <f t="shared" si="609"/>
        <v>111998.00000000013</v>
      </c>
      <c r="J720" s="112">
        <f t="shared" si="610"/>
        <v>72.500000000000085</v>
      </c>
      <c r="K720" s="211">
        <f t="shared" si="611"/>
        <v>72.500000000000085</v>
      </c>
      <c r="L720" s="44"/>
      <c r="M720" s="44">
        <f t="shared" si="612"/>
        <v>72.500000000000085</v>
      </c>
      <c r="N720" s="173">
        <f t="shared" si="613"/>
        <v>1</v>
      </c>
      <c r="O720" s="44">
        <f t="shared" si="614"/>
        <v>2946</v>
      </c>
      <c r="P720" s="44">
        <f t="shared" si="615"/>
        <v>213585.00000000026</v>
      </c>
      <c r="Q720" s="44">
        <f t="shared" si="616"/>
        <v>1544.8</v>
      </c>
      <c r="R720" s="44">
        <f t="shared" si="617"/>
        <v>111998.00000000013</v>
      </c>
      <c r="S720" s="123"/>
      <c r="T720" s="219">
        <f t="shared" si="618"/>
        <v>111998.00000000013</v>
      </c>
      <c r="U720" s="87"/>
      <c r="V720" s="47"/>
      <c r="W720" s="48"/>
      <c r="X720" s="48"/>
      <c r="Y720" s="48"/>
      <c r="Z720" s="135"/>
      <c r="AA720" s="49"/>
      <c r="AB720" s="50">
        <f t="shared" si="619"/>
        <v>1544.8</v>
      </c>
      <c r="AC720" s="42">
        <f t="shared" si="620"/>
        <v>72.500000000000085</v>
      </c>
      <c r="AD720" s="90">
        <f>AD721</f>
        <v>111998.00000000013</v>
      </c>
      <c r="AE720" s="188">
        <f t="shared" ref="AE720:AH720" si="621">AE721</f>
        <v>0</v>
      </c>
      <c r="AF720" s="189">
        <f t="shared" si="621"/>
        <v>0</v>
      </c>
      <c r="AG720" s="189">
        <f t="shared" si="621"/>
        <v>0</v>
      </c>
      <c r="AH720" s="189">
        <f t="shared" si="621"/>
        <v>0</v>
      </c>
      <c r="AI720" s="161">
        <f t="shared" ref="AI720" si="622">SUM(AE720:AH720)</f>
        <v>0</v>
      </c>
      <c r="AK720" s="169">
        <v>5</v>
      </c>
      <c r="AO720" s="19" t="s">
        <v>63</v>
      </c>
    </row>
    <row r="721" spans="1:41" s="103" customFormat="1" ht="19.899999999999999" customHeight="1" x14ac:dyDescent="0.25">
      <c r="A721" s="51"/>
      <c r="B721" s="52"/>
      <c r="C721" s="165"/>
      <c r="D721" s="52"/>
      <c r="E721" s="115"/>
      <c r="F721" s="58"/>
      <c r="G721" s="58"/>
      <c r="H721" s="58"/>
      <c r="I721" s="55"/>
      <c r="J721" s="113">
        <f>J720</f>
        <v>72.500000000000085</v>
      </c>
      <c r="K721" s="212">
        <f>K720</f>
        <v>72.500000000000085</v>
      </c>
      <c r="L721" s="58"/>
      <c r="M721" s="58">
        <f>K721-L721</f>
        <v>72.500000000000085</v>
      </c>
      <c r="N721" s="166"/>
      <c r="O721" s="58"/>
      <c r="P721" s="58"/>
      <c r="Q721" s="58"/>
      <c r="R721" s="58"/>
      <c r="S721" s="58"/>
      <c r="T721" s="220"/>
      <c r="U721" s="88"/>
      <c r="V721" s="56"/>
      <c r="W721" s="57" t="s">
        <v>1329</v>
      </c>
      <c r="X721" s="53"/>
      <c r="Y721" s="91" t="s">
        <v>35</v>
      </c>
      <c r="Z721" s="136">
        <f>AD721/AC721</f>
        <v>1544.8</v>
      </c>
      <c r="AA721" s="58"/>
      <c r="AB721" s="53">
        <f>AD721/AC721</f>
        <v>1544.8</v>
      </c>
      <c r="AC721" s="53">
        <f>M721+$AE$10</f>
        <v>72.500000000000085</v>
      </c>
      <c r="AD721" s="54">
        <f>SUM(AD722:AD724)</f>
        <v>111998.00000000013</v>
      </c>
      <c r="AE721" s="184">
        <f>SUMIFS($AD$37:$AD$12971,$V$37:$V$12971,$V721,$X$37:$X$12971,AE$13)</f>
        <v>0</v>
      </c>
      <c r="AF721" s="185">
        <f>SUMIFS($AD$37:$AD$12971,$V$37:$V$12971,$V721,$X$37:$X$12971,AF$13)</f>
        <v>0</v>
      </c>
      <c r="AG721" s="185">
        <f>SUMIFS($AD$37:$AD$12971,$V$37:$V$12971,$V721,$X$37:$X$12971,AG$13)</f>
        <v>0</v>
      </c>
      <c r="AH721" s="187">
        <f>SUMIFS($AD$37:$AD$12971,$V$37:$V$12971,$V721,$X$37:$X$12971,AH$13)</f>
        <v>0</v>
      </c>
      <c r="AI721" s="161">
        <f t="shared" ref="AI721" si="623">SUM(AE721:AH721)</f>
        <v>0</v>
      </c>
      <c r="AK721" s="172"/>
    </row>
    <row r="722" spans="1:41" s="102" customFormat="1" ht="19.899999999999999" customHeight="1" x14ac:dyDescent="0.25">
      <c r="A722" s="45"/>
      <c r="B722" s="59"/>
      <c r="C722" s="137"/>
      <c r="D722" s="59"/>
      <c r="E722" s="116"/>
      <c r="F722" s="120"/>
      <c r="G722" s="120"/>
      <c r="H722" s="120"/>
      <c r="I722" s="60"/>
      <c r="J722" s="116"/>
      <c r="K722" s="213"/>
      <c r="L722" s="120"/>
      <c r="M722" s="120"/>
      <c r="N722" s="167"/>
      <c r="O722" s="120"/>
      <c r="P722" s="120"/>
      <c r="Q722" s="120"/>
      <c r="R722" s="120"/>
      <c r="S722" s="120"/>
      <c r="T722" s="221"/>
      <c r="U722" s="89"/>
      <c r="V722" s="61"/>
      <c r="W722" s="92" t="s">
        <v>1340</v>
      </c>
      <c r="X722" s="93" t="s">
        <v>30</v>
      </c>
      <c r="Y722" s="93" t="s">
        <v>35</v>
      </c>
      <c r="Z722" s="134">
        <f>VLOOKUP(W722,Sheet2!$B:$D,3,FALSE)</f>
        <v>1268</v>
      </c>
      <c r="AA722" s="93">
        <v>1</v>
      </c>
      <c r="AB722" s="93">
        <f t="shared" ref="AB722" si="624">AD722/AC721</f>
        <v>1268</v>
      </c>
      <c r="AC722" s="93">
        <f>AC721/AA722</f>
        <v>72.500000000000085</v>
      </c>
      <c r="AD722" s="94">
        <f t="shared" ref="AD722:AD723" si="625">AC722*Z722</f>
        <v>91930.000000000102</v>
      </c>
      <c r="AE722" s="190"/>
      <c r="AF722" s="191"/>
      <c r="AG722" s="191"/>
      <c r="AH722" s="191"/>
      <c r="AI722" s="186"/>
      <c r="AK722" s="171"/>
    </row>
    <row r="723" spans="1:41" s="102" customFormat="1" ht="19.899999999999999" customHeight="1" x14ac:dyDescent="0.25">
      <c r="A723" s="45"/>
      <c r="B723" s="59"/>
      <c r="C723" s="137"/>
      <c r="D723" s="59"/>
      <c r="E723" s="116"/>
      <c r="F723" s="120"/>
      <c r="G723" s="120"/>
      <c r="H723" s="120"/>
      <c r="I723" s="60"/>
      <c r="J723" s="116"/>
      <c r="K723" s="213"/>
      <c r="L723" s="120"/>
      <c r="M723" s="120"/>
      <c r="N723" s="167"/>
      <c r="O723" s="120"/>
      <c r="P723" s="120"/>
      <c r="Q723" s="120"/>
      <c r="R723" s="120"/>
      <c r="S723" s="120"/>
      <c r="T723" s="221"/>
      <c r="U723" s="89"/>
      <c r="V723" s="61"/>
      <c r="W723" s="92" t="s">
        <v>1342</v>
      </c>
      <c r="X723" s="93" t="s">
        <v>30</v>
      </c>
      <c r="Y723" s="93" t="s">
        <v>35</v>
      </c>
      <c r="Z723" s="134">
        <f>VLOOKUP(W723,Sheet2!$B:$D,3,FALSE)</f>
        <v>126.80000000000001</v>
      </c>
      <c r="AA723" s="93">
        <v>1</v>
      </c>
      <c r="AB723" s="93">
        <f>AD723/AC721</f>
        <v>126.8</v>
      </c>
      <c r="AC723" s="93">
        <f>AC721/AA723</f>
        <v>72.500000000000085</v>
      </c>
      <c r="AD723" s="94">
        <f t="shared" si="625"/>
        <v>9193.0000000000109</v>
      </c>
      <c r="AE723" s="190"/>
      <c r="AF723" s="191"/>
      <c r="AG723" s="191"/>
      <c r="AH723" s="191"/>
      <c r="AI723" s="186"/>
      <c r="AK723" s="171"/>
    </row>
    <row r="724" spans="1:41" s="102" customFormat="1" ht="19.899999999999999" customHeight="1" x14ac:dyDescent="0.25">
      <c r="A724" s="45"/>
      <c r="B724" s="59"/>
      <c r="C724" s="137"/>
      <c r="D724" s="59"/>
      <c r="E724" s="116"/>
      <c r="F724" s="120"/>
      <c r="G724" s="120"/>
      <c r="H724" s="120"/>
      <c r="I724" s="60"/>
      <c r="J724" s="116"/>
      <c r="K724" s="213"/>
      <c r="L724" s="120"/>
      <c r="M724" s="120"/>
      <c r="N724" s="167"/>
      <c r="O724" s="120"/>
      <c r="P724" s="120"/>
      <c r="Q724" s="120"/>
      <c r="R724" s="120"/>
      <c r="S724" s="120"/>
      <c r="T724" s="221"/>
      <c r="U724" s="89"/>
      <c r="V724" s="61"/>
      <c r="W724" s="92" t="s">
        <v>1330</v>
      </c>
      <c r="X724" s="93" t="s">
        <v>32</v>
      </c>
      <c r="Y724" s="93" t="s">
        <v>35</v>
      </c>
      <c r="Z724" s="134">
        <f>VLOOKUP(W724,Sheet2!$B:$D,3,FALSE)</f>
        <v>150</v>
      </c>
      <c r="AA724" s="93">
        <v>1</v>
      </c>
      <c r="AB724" s="93">
        <f>AD724/AC721</f>
        <v>150</v>
      </c>
      <c r="AC724" s="93">
        <f>AC721/AA724</f>
        <v>72.500000000000085</v>
      </c>
      <c r="AD724" s="94">
        <f>AC724*Z724</f>
        <v>10875.000000000013</v>
      </c>
      <c r="AE724" s="190"/>
      <c r="AF724" s="191"/>
      <c r="AG724" s="191"/>
      <c r="AH724" s="191"/>
      <c r="AI724" s="186"/>
      <c r="AK724" s="171"/>
    </row>
    <row r="725" spans="1:41" ht="20.100000000000001" customHeight="1" x14ac:dyDescent="0.25">
      <c r="A725" s="277" t="s">
        <v>216</v>
      </c>
      <c r="B725" s="278"/>
      <c r="C725" s="64" t="s">
        <v>316</v>
      </c>
      <c r="D725" s="46" t="s">
        <v>215</v>
      </c>
      <c r="E725" s="114">
        <v>15.899999999999999</v>
      </c>
      <c r="F725" s="44">
        <v>3390</v>
      </c>
      <c r="G725" s="44">
        <f t="shared" si="607"/>
        <v>53900.999999999993</v>
      </c>
      <c r="H725" s="44">
        <f t="shared" si="608"/>
        <v>1857.2</v>
      </c>
      <c r="I725" s="43">
        <f t="shared" si="609"/>
        <v>29529.48</v>
      </c>
      <c r="J725" s="112">
        <f t="shared" si="610"/>
        <v>15.899999999999999</v>
      </c>
      <c r="K725" s="211">
        <f t="shared" si="611"/>
        <v>15.899999999999999</v>
      </c>
      <c r="L725" s="44"/>
      <c r="M725" s="44">
        <f t="shared" si="612"/>
        <v>15.899999999999999</v>
      </c>
      <c r="N725" s="173">
        <f t="shared" si="613"/>
        <v>1</v>
      </c>
      <c r="O725" s="44">
        <f t="shared" si="614"/>
        <v>3390</v>
      </c>
      <c r="P725" s="44">
        <f t="shared" si="615"/>
        <v>53900.999999999993</v>
      </c>
      <c r="Q725" s="44">
        <f t="shared" si="616"/>
        <v>1857.2</v>
      </c>
      <c r="R725" s="44">
        <f t="shared" si="617"/>
        <v>29529.48</v>
      </c>
      <c r="S725" s="123"/>
      <c r="T725" s="219">
        <f t="shared" si="618"/>
        <v>29529.48</v>
      </c>
      <c r="U725" s="87"/>
      <c r="V725" s="47"/>
      <c r="W725" s="48"/>
      <c r="X725" s="48"/>
      <c r="Y725" s="48"/>
      <c r="Z725" s="135"/>
      <c r="AA725" s="49"/>
      <c r="AB725" s="50">
        <f t="shared" si="619"/>
        <v>1857.2</v>
      </c>
      <c r="AC725" s="42">
        <f t="shared" si="620"/>
        <v>15.899999999999999</v>
      </c>
      <c r="AD725" s="90">
        <f>AD726</f>
        <v>29529.48</v>
      </c>
      <c r="AE725" s="188">
        <f t="shared" ref="AE725:AH725" si="626">AE726</f>
        <v>0</v>
      </c>
      <c r="AF725" s="189">
        <f t="shared" si="626"/>
        <v>0</v>
      </c>
      <c r="AG725" s="189">
        <f t="shared" si="626"/>
        <v>0</v>
      </c>
      <c r="AH725" s="189">
        <f t="shared" si="626"/>
        <v>0</v>
      </c>
      <c r="AI725" s="161">
        <f t="shared" ref="AI725" si="627">SUM(AE725:AH725)</f>
        <v>0</v>
      </c>
      <c r="AK725" s="169">
        <v>5</v>
      </c>
      <c r="AO725" s="19" t="s">
        <v>63</v>
      </c>
    </row>
    <row r="726" spans="1:41" s="103" customFormat="1" ht="19.899999999999999" customHeight="1" x14ac:dyDescent="0.25">
      <c r="A726" s="51"/>
      <c r="B726" s="52"/>
      <c r="C726" s="165"/>
      <c r="D726" s="52"/>
      <c r="E726" s="115"/>
      <c r="F726" s="58"/>
      <c r="G726" s="58"/>
      <c r="H726" s="58"/>
      <c r="I726" s="55"/>
      <c r="J726" s="113">
        <f>J725</f>
        <v>15.899999999999999</v>
      </c>
      <c r="K726" s="212">
        <f>K725</f>
        <v>15.899999999999999</v>
      </c>
      <c r="L726" s="58"/>
      <c r="M726" s="58">
        <f>K726-L726</f>
        <v>15.899999999999999</v>
      </c>
      <c r="N726" s="166"/>
      <c r="O726" s="58"/>
      <c r="P726" s="58"/>
      <c r="Q726" s="58"/>
      <c r="R726" s="58"/>
      <c r="S726" s="58"/>
      <c r="T726" s="220"/>
      <c r="U726" s="88"/>
      <c r="V726" s="56"/>
      <c r="W726" s="57" t="s">
        <v>1329</v>
      </c>
      <c r="X726" s="53"/>
      <c r="Y726" s="91" t="s">
        <v>35</v>
      </c>
      <c r="Z726" s="136">
        <f>AD726/AC726</f>
        <v>1857.2</v>
      </c>
      <c r="AA726" s="58"/>
      <c r="AB726" s="53">
        <f>AD726/AC726</f>
        <v>1857.2</v>
      </c>
      <c r="AC726" s="53">
        <f>M726+$AE$10</f>
        <v>15.899999999999999</v>
      </c>
      <c r="AD726" s="54">
        <f>SUM(AD727:AD729)</f>
        <v>29529.48</v>
      </c>
      <c r="AE726" s="184">
        <f>SUMIFS($AD$37:$AD$12971,$V$37:$V$12971,$V726,$X$37:$X$12971,AE$13)</f>
        <v>0</v>
      </c>
      <c r="AF726" s="185">
        <f>SUMIFS($AD$37:$AD$12971,$V$37:$V$12971,$V726,$X$37:$X$12971,AF$13)</f>
        <v>0</v>
      </c>
      <c r="AG726" s="185">
        <f>SUMIFS($AD$37:$AD$12971,$V$37:$V$12971,$V726,$X$37:$X$12971,AG$13)</f>
        <v>0</v>
      </c>
      <c r="AH726" s="187">
        <f>SUMIFS($AD$37:$AD$12971,$V$37:$V$12971,$V726,$X$37:$X$12971,AH$13)</f>
        <v>0</v>
      </c>
      <c r="AI726" s="161">
        <f t="shared" ref="AI726" si="628">SUM(AE726:AH726)</f>
        <v>0</v>
      </c>
      <c r="AK726" s="172"/>
    </row>
    <row r="727" spans="1:41" s="102" customFormat="1" ht="19.899999999999999" customHeight="1" x14ac:dyDescent="0.25">
      <c r="A727" s="45"/>
      <c r="B727" s="59"/>
      <c r="C727" s="137"/>
      <c r="D727" s="59"/>
      <c r="E727" s="116"/>
      <c r="F727" s="120"/>
      <c r="G727" s="120"/>
      <c r="H727" s="120"/>
      <c r="I727" s="60"/>
      <c r="J727" s="116"/>
      <c r="K727" s="213"/>
      <c r="L727" s="120"/>
      <c r="M727" s="120"/>
      <c r="N727" s="167"/>
      <c r="O727" s="120"/>
      <c r="P727" s="120"/>
      <c r="Q727" s="120"/>
      <c r="R727" s="120"/>
      <c r="S727" s="120"/>
      <c r="T727" s="221"/>
      <c r="U727" s="89"/>
      <c r="V727" s="61"/>
      <c r="W727" s="92" t="s">
        <v>1341</v>
      </c>
      <c r="X727" s="93" t="s">
        <v>30</v>
      </c>
      <c r="Y727" s="93" t="s">
        <v>35</v>
      </c>
      <c r="Z727" s="134">
        <f>VLOOKUP(W727,Sheet2!$B:$D,3,FALSE)</f>
        <v>1552</v>
      </c>
      <c r="AA727" s="93">
        <v>1</v>
      </c>
      <c r="AB727" s="93">
        <f t="shared" ref="AB727" si="629">AD727/AC726</f>
        <v>1552</v>
      </c>
      <c r="AC727" s="93">
        <f>AC726/AA727</f>
        <v>15.899999999999999</v>
      </c>
      <c r="AD727" s="94">
        <f t="shared" ref="AD727:AD728" si="630">AC727*Z727</f>
        <v>24676.799999999999</v>
      </c>
      <c r="AE727" s="190"/>
      <c r="AF727" s="191"/>
      <c r="AG727" s="191"/>
      <c r="AH727" s="191"/>
      <c r="AI727" s="186"/>
      <c r="AK727" s="171"/>
    </row>
    <row r="728" spans="1:41" s="102" customFormat="1" ht="19.899999999999999" customHeight="1" x14ac:dyDescent="0.25">
      <c r="A728" s="45"/>
      <c r="B728" s="59"/>
      <c r="C728" s="137"/>
      <c r="D728" s="59"/>
      <c r="E728" s="116"/>
      <c r="F728" s="120"/>
      <c r="G728" s="120"/>
      <c r="H728" s="120"/>
      <c r="I728" s="60"/>
      <c r="J728" s="116"/>
      <c r="K728" s="213"/>
      <c r="L728" s="120"/>
      <c r="M728" s="120"/>
      <c r="N728" s="167"/>
      <c r="O728" s="120"/>
      <c r="P728" s="120"/>
      <c r="Q728" s="120"/>
      <c r="R728" s="120"/>
      <c r="S728" s="120"/>
      <c r="T728" s="221"/>
      <c r="U728" s="89"/>
      <c r="V728" s="61"/>
      <c r="W728" s="92" t="s">
        <v>1343</v>
      </c>
      <c r="X728" s="93" t="s">
        <v>30</v>
      </c>
      <c r="Y728" s="93" t="s">
        <v>35</v>
      </c>
      <c r="Z728" s="134">
        <f>VLOOKUP(W728,Sheet2!$B:$D,3,FALSE)</f>
        <v>155.20000000000002</v>
      </c>
      <c r="AA728" s="93">
        <v>1</v>
      </c>
      <c r="AB728" s="93">
        <f>AD728/AC726</f>
        <v>155.20000000000002</v>
      </c>
      <c r="AC728" s="93">
        <f>AC726/AA728</f>
        <v>15.899999999999999</v>
      </c>
      <c r="AD728" s="94">
        <f t="shared" si="630"/>
        <v>2467.6799999999998</v>
      </c>
      <c r="AE728" s="190"/>
      <c r="AF728" s="191"/>
      <c r="AG728" s="191"/>
      <c r="AH728" s="191"/>
      <c r="AI728" s="186"/>
      <c r="AK728" s="171"/>
    </row>
    <row r="729" spans="1:41" s="102" customFormat="1" ht="19.899999999999999" customHeight="1" x14ac:dyDescent="0.25">
      <c r="A729" s="45"/>
      <c r="B729" s="59"/>
      <c r="C729" s="137"/>
      <c r="D729" s="59"/>
      <c r="E729" s="116"/>
      <c r="F729" s="120"/>
      <c r="G729" s="120"/>
      <c r="H729" s="120"/>
      <c r="I729" s="60"/>
      <c r="J729" s="116"/>
      <c r="K729" s="213"/>
      <c r="L729" s="120"/>
      <c r="M729" s="120"/>
      <c r="N729" s="167"/>
      <c r="O729" s="120"/>
      <c r="P729" s="120"/>
      <c r="Q729" s="120"/>
      <c r="R729" s="120"/>
      <c r="S729" s="120"/>
      <c r="T729" s="221"/>
      <c r="U729" s="89"/>
      <c r="V729" s="61"/>
      <c r="W729" s="92" t="s">
        <v>1331</v>
      </c>
      <c r="X729" s="93" t="s">
        <v>32</v>
      </c>
      <c r="Y729" s="93" t="s">
        <v>35</v>
      </c>
      <c r="Z729" s="134">
        <f>VLOOKUP(W729,Sheet2!$B:$D,3,FALSE)</f>
        <v>150</v>
      </c>
      <c r="AA729" s="93">
        <v>1</v>
      </c>
      <c r="AB729" s="93">
        <f>AD729/AC726</f>
        <v>150</v>
      </c>
      <c r="AC729" s="93">
        <f>AC726/AA729</f>
        <v>15.899999999999999</v>
      </c>
      <c r="AD729" s="94">
        <f>AC729*Z729</f>
        <v>2385</v>
      </c>
      <c r="AE729" s="190"/>
      <c r="AF729" s="191"/>
      <c r="AG729" s="191"/>
      <c r="AH729" s="191"/>
      <c r="AI729" s="186"/>
      <c r="AK729" s="171"/>
    </row>
    <row r="730" spans="1:41" ht="20.100000000000001" customHeight="1" x14ac:dyDescent="0.25">
      <c r="A730" s="277" t="s">
        <v>216</v>
      </c>
      <c r="B730" s="278"/>
      <c r="C730" s="64" t="s">
        <v>317</v>
      </c>
      <c r="D730" s="46" t="s">
        <v>215</v>
      </c>
      <c r="E730" s="114">
        <v>38.299999999999997</v>
      </c>
      <c r="F730" s="44">
        <v>3792</v>
      </c>
      <c r="G730" s="44">
        <f t="shared" si="607"/>
        <v>145233.59999999998</v>
      </c>
      <c r="H730" s="44">
        <f t="shared" si="608"/>
        <v>2019.9999999999998</v>
      </c>
      <c r="I730" s="43">
        <f t="shared" si="609"/>
        <v>77365.999999999985</v>
      </c>
      <c r="J730" s="112">
        <f t="shared" si="610"/>
        <v>38.299999999999997</v>
      </c>
      <c r="K730" s="211">
        <f t="shared" si="611"/>
        <v>38.299999999999997</v>
      </c>
      <c r="L730" s="44"/>
      <c r="M730" s="44">
        <f t="shared" si="612"/>
        <v>38.299999999999997</v>
      </c>
      <c r="N730" s="173">
        <f t="shared" si="613"/>
        <v>1</v>
      </c>
      <c r="O730" s="44">
        <f t="shared" si="614"/>
        <v>3792</v>
      </c>
      <c r="P730" s="44">
        <f t="shared" si="615"/>
        <v>145233.59999999998</v>
      </c>
      <c r="Q730" s="44">
        <f t="shared" si="616"/>
        <v>2019.9999999999998</v>
      </c>
      <c r="R730" s="44">
        <f t="shared" si="617"/>
        <v>77365.999999999985</v>
      </c>
      <c r="S730" s="123"/>
      <c r="T730" s="219">
        <f t="shared" si="618"/>
        <v>77365.999999999985</v>
      </c>
      <c r="U730" s="87"/>
      <c r="V730" s="47"/>
      <c r="W730" s="48"/>
      <c r="X730" s="48"/>
      <c r="Y730" s="48"/>
      <c r="Z730" s="135"/>
      <c r="AA730" s="49"/>
      <c r="AB730" s="50">
        <f t="shared" si="619"/>
        <v>2019.9999999999998</v>
      </c>
      <c r="AC730" s="42">
        <f t="shared" si="620"/>
        <v>38.299999999999997</v>
      </c>
      <c r="AD730" s="90">
        <f>AD731</f>
        <v>77365.999999999985</v>
      </c>
      <c r="AE730" s="188">
        <f t="shared" ref="AE730:AH730" si="631">AE731</f>
        <v>0</v>
      </c>
      <c r="AF730" s="189">
        <f t="shared" si="631"/>
        <v>0</v>
      </c>
      <c r="AG730" s="189">
        <f t="shared" si="631"/>
        <v>0</v>
      </c>
      <c r="AH730" s="189">
        <f t="shared" si="631"/>
        <v>0</v>
      </c>
      <c r="AI730" s="161">
        <f t="shared" ref="AI730" si="632">SUM(AE730:AH730)</f>
        <v>0</v>
      </c>
      <c r="AK730" s="169">
        <v>5</v>
      </c>
      <c r="AO730" s="19" t="s">
        <v>63</v>
      </c>
    </row>
    <row r="731" spans="1:41" s="103" customFormat="1" ht="19.899999999999999" customHeight="1" x14ac:dyDescent="0.25">
      <c r="A731" s="51"/>
      <c r="B731" s="52"/>
      <c r="C731" s="165"/>
      <c r="D731" s="52"/>
      <c r="E731" s="115"/>
      <c r="F731" s="58"/>
      <c r="G731" s="58"/>
      <c r="H731" s="58"/>
      <c r="I731" s="55"/>
      <c r="J731" s="113">
        <f>J730</f>
        <v>38.299999999999997</v>
      </c>
      <c r="K731" s="212">
        <f>K730</f>
        <v>38.299999999999997</v>
      </c>
      <c r="L731" s="58"/>
      <c r="M731" s="58">
        <f>K731-L731</f>
        <v>38.299999999999997</v>
      </c>
      <c r="N731" s="166"/>
      <c r="O731" s="58"/>
      <c r="P731" s="58"/>
      <c r="Q731" s="58"/>
      <c r="R731" s="58"/>
      <c r="S731" s="58"/>
      <c r="T731" s="220"/>
      <c r="U731" s="88"/>
      <c r="V731" s="56"/>
      <c r="W731" s="57" t="s">
        <v>1329</v>
      </c>
      <c r="X731" s="53"/>
      <c r="Y731" s="91" t="s">
        <v>35</v>
      </c>
      <c r="Z731" s="136">
        <f>AD731/AC731</f>
        <v>2019.9999999999998</v>
      </c>
      <c r="AA731" s="58"/>
      <c r="AB731" s="53">
        <f>AD731/AC731</f>
        <v>2019.9999999999998</v>
      </c>
      <c r="AC731" s="53">
        <f>M731+$AE$10</f>
        <v>38.299999999999997</v>
      </c>
      <c r="AD731" s="54">
        <f>SUM(AD732:AD734)</f>
        <v>77365.999999999985</v>
      </c>
      <c r="AE731" s="184">
        <f>SUMIFS($AD$37:$AD$12971,$V$37:$V$12971,$V731,$X$37:$X$12971,AE$13)</f>
        <v>0</v>
      </c>
      <c r="AF731" s="185">
        <f>SUMIFS($AD$37:$AD$12971,$V$37:$V$12971,$V731,$X$37:$X$12971,AF$13)</f>
        <v>0</v>
      </c>
      <c r="AG731" s="185">
        <f>SUMIFS($AD$37:$AD$12971,$V$37:$V$12971,$V731,$X$37:$X$12971,AG$13)</f>
        <v>0</v>
      </c>
      <c r="AH731" s="187">
        <f>SUMIFS($AD$37:$AD$12971,$V$37:$V$12971,$V731,$X$37:$X$12971,AH$13)</f>
        <v>0</v>
      </c>
      <c r="AI731" s="161">
        <f t="shared" ref="AI731" si="633">SUM(AE731:AH731)</f>
        <v>0</v>
      </c>
      <c r="AK731" s="172"/>
    </row>
    <row r="732" spans="1:41" s="102" customFormat="1" ht="19.899999999999999" customHeight="1" x14ac:dyDescent="0.25">
      <c r="A732" s="45"/>
      <c r="B732" s="59"/>
      <c r="C732" s="137"/>
      <c r="D732" s="59"/>
      <c r="E732" s="116"/>
      <c r="F732" s="120"/>
      <c r="G732" s="120"/>
      <c r="H732" s="120"/>
      <c r="I732" s="60"/>
      <c r="J732" s="116"/>
      <c r="K732" s="213"/>
      <c r="L732" s="120"/>
      <c r="M732" s="120"/>
      <c r="N732" s="167"/>
      <c r="O732" s="120"/>
      <c r="P732" s="120"/>
      <c r="Q732" s="120"/>
      <c r="R732" s="120"/>
      <c r="S732" s="120"/>
      <c r="T732" s="221"/>
      <c r="U732" s="89"/>
      <c r="V732" s="61"/>
      <c r="W732" s="92" t="s">
        <v>1332</v>
      </c>
      <c r="X732" s="93" t="s">
        <v>30</v>
      </c>
      <c r="Y732" s="93" t="s">
        <v>35</v>
      </c>
      <c r="Z732" s="134">
        <f>VLOOKUP(W732,Sheet2!$B:$D,3,FALSE)</f>
        <v>1700</v>
      </c>
      <c r="AA732" s="93">
        <v>1</v>
      </c>
      <c r="AB732" s="93">
        <f t="shared" ref="AB732" si="634">AD732/AC731</f>
        <v>1700</v>
      </c>
      <c r="AC732" s="93">
        <f>AC731/AA732</f>
        <v>38.299999999999997</v>
      </c>
      <c r="AD732" s="94">
        <f t="shared" ref="AD732:AD733" si="635">AC732*Z732</f>
        <v>65109.999999999993</v>
      </c>
      <c r="AE732" s="190"/>
      <c r="AF732" s="191"/>
      <c r="AG732" s="191"/>
      <c r="AH732" s="191"/>
      <c r="AI732" s="186"/>
      <c r="AK732" s="171"/>
    </row>
    <row r="733" spans="1:41" s="102" customFormat="1" ht="19.899999999999999" customHeight="1" x14ac:dyDescent="0.25">
      <c r="A733" s="45"/>
      <c r="B733" s="59"/>
      <c r="C733" s="137"/>
      <c r="D733" s="59"/>
      <c r="E733" s="116"/>
      <c r="F733" s="120"/>
      <c r="G733" s="120"/>
      <c r="H733" s="120"/>
      <c r="I733" s="60"/>
      <c r="J733" s="116"/>
      <c r="K733" s="213"/>
      <c r="L733" s="120"/>
      <c r="M733" s="120"/>
      <c r="N733" s="167"/>
      <c r="O733" s="120"/>
      <c r="P733" s="120"/>
      <c r="Q733" s="120"/>
      <c r="R733" s="120"/>
      <c r="S733" s="120"/>
      <c r="T733" s="221"/>
      <c r="U733" s="89"/>
      <c r="V733" s="61"/>
      <c r="W733" s="92" t="s">
        <v>1344</v>
      </c>
      <c r="X733" s="93" t="s">
        <v>30</v>
      </c>
      <c r="Y733" s="93" t="s">
        <v>35</v>
      </c>
      <c r="Z733" s="134">
        <f>VLOOKUP(W733,Sheet2!$B:$D,3,FALSE)</f>
        <v>170</v>
      </c>
      <c r="AA733" s="93">
        <v>1</v>
      </c>
      <c r="AB733" s="93">
        <f>AD733/AC731</f>
        <v>170</v>
      </c>
      <c r="AC733" s="93">
        <f>AC731/AA733</f>
        <v>38.299999999999997</v>
      </c>
      <c r="AD733" s="94">
        <f t="shared" si="635"/>
        <v>6510.9999999999991</v>
      </c>
      <c r="AE733" s="190"/>
      <c r="AF733" s="191"/>
      <c r="AG733" s="191"/>
      <c r="AH733" s="191"/>
      <c r="AI733" s="186"/>
      <c r="AK733" s="171"/>
    </row>
    <row r="734" spans="1:41" s="102" customFormat="1" ht="19.899999999999999" customHeight="1" x14ac:dyDescent="0.25">
      <c r="A734" s="45"/>
      <c r="B734" s="59"/>
      <c r="C734" s="137"/>
      <c r="D734" s="59"/>
      <c r="E734" s="116"/>
      <c r="F734" s="120"/>
      <c r="G734" s="120"/>
      <c r="H734" s="120"/>
      <c r="I734" s="60"/>
      <c r="J734" s="116"/>
      <c r="K734" s="213"/>
      <c r="L734" s="120"/>
      <c r="M734" s="120"/>
      <c r="N734" s="167"/>
      <c r="O734" s="120"/>
      <c r="P734" s="120"/>
      <c r="Q734" s="120"/>
      <c r="R734" s="120"/>
      <c r="S734" s="120"/>
      <c r="T734" s="221"/>
      <c r="U734" s="89"/>
      <c r="V734" s="61"/>
      <c r="W734" s="92" t="s">
        <v>1333</v>
      </c>
      <c r="X734" s="93" t="s">
        <v>32</v>
      </c>
      <c r="Y734" s="93" t="s">
        <v>35</v>
      </c>
      <c r="Z734" s="134">
        <f>VLOOKUP(W734,Sheet2!$B:$D,3,FALSE)</f>
        <v>150</v>
      </c>
      <c r="AA734" s="93">
        <v>1</v>
      </c>
      <c r="AB734" s="93">
        <f>AD734/AC731</f>
        <v>150</v>
      </c>
      <c r="AC734" s="93">
        <f>AC731/AA734</f>
        <v>38.299999999999997</v>
      </c>
      <c r="AD734" s="94">
        <f>AC734*Z734</f>
        <v>5745</v>
      </c>
      <c r="AE734" s="190"/>
      <c r="AF734" s="191"/>
      <c r="AG734" s="191"/>
      <c r="AH734" s="191"/>
      <c r="AI734" s="186"/>
      <c r="AK734" s="171"/>
    </row>
    <row r="735" spans="1:41" s="306" customFormat="1" ht="20.100000000000001" customHeight="1" x14ac:dyDescent="0.25">
      <c r="A735" s="287" t="s">
        <v>216</v>
      </c>
      <c r="B735" s="288"/>
      <c r="C735" s="286" t="s">
        <v>318</v>
      </c>
      <c r="D735" s="289"/>
      <c r="E735" s="290"/>
      <c r="F735" s="291"/>
      <c r="G735" s="291">
        <f t="shared" si="607"/>
        <v>0</v>
      </c>
      <c r="H735" s="291">
        <f t="shared" si="608"/>
        <v>0</v>
      </c>
      <c r="I735" s="292">
        <f t="shared" si="609"/>
        <v>0</v>
      </c>
      <c r="J735" s="290">
        <f t="shared" si="610"/>
        <v>0</v>
      </c>
      <c r="K735" s="293">
        <f t="shared" si="611"/>
        <v>0</v>
      </c>
      <c r="L735" s="291"/>
      <c r="M735" s="291">
        <f t="shared" si="612"/>
        <v>0</v>
      </c>
      <c r="N735" s="294">
        <f t="shared" si="613"/>
        <v>0</v>
      </c>
      <c r="O735" s="291">
        <f t="shared" si="614"/>
        <v>0</v>
      </c>
      <c r="P735" s="291">
        <f t="shared" si="615"/>
        <v>0</v>
      </c>
      <c r="Q735" s="291">
        <f t="shared" si="616"/>
        <v>0</v>
      </c>
      <c r="R735" s="291">
        <f t="shared" si="617"/>
        <v>0</v>
      </c>
      <c r="S735" s="291"/>
      <c r="T735" s="295">
        <f t="shared" si="618"/>
        <v>0</v>
      </c>
      <c r="U735" s="296"/>
      <c r="V735" s="297"/>
      <c r="W735" s="298"/>
      <c r="X735" s="299"/>
      <c r="Y735" s="300"/>
      <c r="Z735" s="301"/>
      <c r="AA735" s="300"/>
      <c r="AB735" s="300">
        <f t="shared" si="619"/>
        <v>0</v>
      </c>
      <c r="AC735" s="300">
        <f t="shared" si="620"/>
        <v>9.9999999999999998E-20</v>
      </c>
      <c r="AD735" s="302"/>
      <c r="AE735" s="303"/>
      <c r="AF735" s="304"/>
      <c r="AG735" s="304"/>
      <c r="AH735" s="304"/>
      <c r="AI735" s="305"/>
      <c r="AK735" s="307"/>
    </row>
    <row r="736" spans="1:41" ht="20.100000000000001" customHeight="1" x14ac:dyDescent="0.25">
      <c r="A736" s="277" t="s">
        <v>216</v>
      </c>
      <c r="B736" s="278"/>
      <c r="C736" s="64" t="s">
        <v>319</v>
      </c>
      <c r="D736" s="46" t="s">
        <v>215</v>
      </c>
      <c r="E736" s="114">
        <v>50.299999999999983</v>
      </c>
      <c r="F736" s="44">
        <v>6218</v>
      </c>
      <c r="G736" s="44">
        <f t="shared" si="607"/>
        <v>312765.39999999991</v>
      </c>
      <c r="H736" s="44">
        <f t="shared" si="608"/>
        <v>5205</v>
      </c>
      <c r="I736" s="43">
        <f t="shared" si="609"/>
        <v>261811.49999999991</v>
      </c>
      <c r="J736" s="112">
        <f t="shared" si="610"/>
        <v>50.299999999999983</v>
      </c>
      <c r="K736" s="211">
        <f t="shared" si="611"/>
        <v>50.299999999999983</v>
      </c>
      <c r="L736" s="44"/>
      <c r="M736" s="44">
        <f t="shared" si="612"/>
        <v>50.299999999999983</v>
      </c>
      <c r="N736" s="173">
        <f t="shared" si="613"/>
        <v>1</v>
      </c>
      <c r="O736" s="44">
        <f t="shared" si="614"/>
        <v>6218</v>
      </c>
      <c r="P736" s="44">
        <f t="shared" si="615"/>
        <v>312765.39999999991</v>
      </c>
      <c r="Q736" s="44">
        <f t="shared" si="616"/>
        <v>5205</v>
      </c>
      <c r="R736" s="44">
        <f t="shared" si="617"/>
        <v>261811.49999999991</v>
      </c>
      <c r="S736" s="123"/>
      <c r="T736" s="219">
        <f t="shared" si="618"/>
        <v>261811.49999999991</v>
      </c>
      <c r="U736" s="87"/>
      <c r="V736" s="47"/>
      <c r="W736" s="48"/>
      <c r="X736" s="48"/>
      <c r="Y736" s="48"/>
      <c r="Z736" s="135"/>
      <c r="AA736" s="49"/>
      <c r="AB736" s="50">
        <f t="shared" si="619"/>
        <v>5205</v>
      </c>
      <c r="AC736" s="42">
        <f t="shared" si="620"/>
        <v>50.299999999999983</v>
      </c>
      <c r="AD736" s="90">
        <f>AD737</f>
        <v>261811.49999999991</v>
      </c>
      <c r="AE736" s="188">
        <f t="shared" ref="AE736:AH736" si="636">AE737</f>
        <v>0</v>
      </c>
      <c r="AF736" s="189">
        <f t="shared" si="636"/>
        <v>0</v>
      </c>
      <c r="AG736" s="189">
        <f t="shared" si="636"/>
        <v>0</v>
      </c>
      <c r="AH736" s="189">
        <f t="shared" si="636"/>
        <v>0</v>
      </c>
      <c r="AI736" s="161">
        <f t="shared" ref="AI736" si="637">SUM(AE736:AH736)</f>
        <v>0</v>
      </c>
      <c r="AK736" s="169">
        <v>5</v>
      </c>
      <c r="AO736" s="19" t="s">
        <v>63</v>
      </c>
    </row>
    <row r="737" spans="1:41" s="103" customFormat="1" ht="19.899999999999999" customHeight="1" x14ac:dyDescent="0.25">
      <c r="A737" s="51"/>
      <c r="B737" s="52"/>
      <c r="C737" s="165"/>
      <c r="D737" s="52"/>
      <c r="E737" s="115"/>
      <c r="F737" s="58"/>
      <c r="G737" s="58"/>
      <c r="H737" s="58"/>
      <c r="I737" s="55"/>
      <c r="J737" s="113">
        <f>J736</f>
        <v>50.299999999999983</v>
      </c>
      <c r="K737" s="212">
        <f>K736</f>
        <v>50.299999999999983</v>
      </c>
      <c r="L737" s="58"/>
      <c r="M737" s="58">
        <f>K737-L737</f>
        <v>50.299999999999983</v>
      </c>
      <c r="N737" s="166"/>
      <c r="O737" s="58"/>
      <c r="P737" s="58"/>
      <c r="Q737" s="58"/>
      <c r="R737" s="58"/>
      <c r="S737" s="58"/>
      <c r="T737" s="220"/>
      <c r="U737" s="88"/>
      <c r="V737" s="56"/>
      <c r="W737" s="57" t="s">
        <v>1329</v>
      </c>
      <c r="X737" s="53"/>
      <c r="Y737" s="91" t="s">
        <v>35</v>
      </c>
      <c r="Z737" s="136">
        <f>AD737/AC737</f>
        <v>5205</v>
      </c>
      <c r="AA737" s="58"/>
      <c r="AB737" s="53">
        <f>AD737/AC737</f>
        <v>5205</v>
      </c>
      <c r="AC737" s="53">
        <f>M737+$AE$10</f>
        <v>50.299999999999983</v>
      </c>
      <c r="AD737" s="54">
        <f>SUM(AD738:AD740)</f>
        <v>261811.49999999991</v>
      </c>
      <c r="AE737" s="184">
        <f>SUMIFS($AD$37:$AD$12971,$V$37:$V$12971,$V737,$X$37:$X$12971,AE$13)</f>
        <v>0</v>
      </c>
      <c r="AF737" s="185">
        <f>SUMIFS($AD$37:$AD$12971,$V$37:$V$12971,$V737,$X$37:$X$12971,AF$13)</f>
        <v>0</v>
      </c>
      <c r="AG737" s="185">
        <f>SUMIFS($AD$37:$AD$12971,$V$37:$V$12971,$V737,$X$37:$X$12971,AG$13)</f>
        <v>0</v>
      </c>
      <c r="AH737" s="187">
        <f>SUMIFS($AD$37:$AD$12971,$V$37:$V$12971,$V737,$X$37:$X$12971,AH$13)</f>
        <v>0</v>
      </c>
      <c r="AI737" s="161">
        <f t="shared" ref="AI737" si="638">SUM(AE737:AH737)</f>
        <v>0</v>
      </c>
      <c r="AK737" s="172"/>
    </row>
    <row r="738" spans="1:41" s="102" customFormat="1" ht="19.899999999999999" customHeight="1" x14ac:dyDescent="0.25">
      <c r="A738" s="45"/>
      <c r="B738" s="59"/>
      <c r="C738" s="137"/>
      <c r="D738" s="59"/>
      <c r="E738" s="116"/>
      <c r="F738" s="120"/>
      <c r="G738" s="120"/>
      <c r="H738" s="120"/>
      <c r="I738" s="60"/>
      <c r="J738" s="116"/>
      <c r="K738" s="213"/>
      <c r="L738" s="120"/>
      <c r="M738" s="120"/>
      <c r="N738" s="167"/>
      <c r="O738" s="120"/>
      <c r="P738" s="120"/>
      <c r="Q738" s="120"/>
      <c r="R738" s="120"/>
      <c r="S738" s="120"/>
      <c r="T738" s="221"/>
      <c r="U738" s="89"/>
      <c r="V738" s="61"/>
      <c r="W738" s="92" t="s">
        <v>1334</v>
      </c>
      <c r="X738" s="93" t="s">
        <v>30</v>
      </c>
      <c r="Y738" s="93" t="s">
        <v>35</v>
      </c>
      <c r="Z738" s="134">
        <f>VLOOKUP(W738,Sheet2!$B:$D,3,FALSE)</f>
        <v>4550</v>
      </c>
      <c r="AA738" s="93">
        <v>1</v>
      </c>
      <c r="AB738" s="93">
        <f t="shared" ref="AB738" si="639">AD738/AC737</f>
        <v>4550</v>
      </c>
      <c r="AC738" s="93">
        <f>AC737/AA738</f>
        <v>50.299999999999983</v>
      </c>
      <c r="AD738" s="94">
        <f t="shared" ref="AD738:AD739" si="640">AC738*Z738</f>
        <v>228864.99999999991</v>
      </c>
      <c r="AE738" s="190"/>
      <c r="AF738" s="191"/>
      <c r="AG738" s="191"/>
      <c r="AH738" s="191"/>
      <c r="AI738" s="186"/>
      <c r="AK738" s="171"/>
    </row>
    <row r="739" spans="1:41" s="102" customFormat="1" ht="19.899999999999999" customHeight="1" x14ac:dyDescent="0.25">
      <c r="A739" s="45"/>
      <c r="B739" s="59"/>
      <c r="C739" s="137"/>
      <c r="D739" s="59"/>
      <c r="E739" s="116"/>
      <c r="F739" s="120"/>
      <c r="G739" s="120"/>
      <c r="H739" s="120"/>
      <c r="I739" s="60"/>
      <c r="J739" s="116"/>
      <c r="K739" s="213"/>
      <c r="L739" s="120"/>
      <c r="M739" s="120"/>
      <c r="N739" s="167"/>
      <c r="O739" s="120"/>
      <c r="P739" s="120"/>
      <c r="Q739" s="120"/>
      <c r="R739" s="120"/>
      <c r="S739" s="120"/>
      <c r="T739" s="221"/>
      <c r="U739" s="89"/>
      <c r="V739" s="61"/>
      <c r="W739" s="92" t="s">
        <v>1345</v>
      </c>
      <c r="X739" s="93" t="s">
        <v>30</v>
      </c>
      <c r="Y739" s="93" t="s">
        <v>35</v>
      </c>
      <c r="Z739" s="134">
        <f>VLOOKUP(W739,Sheet2!$B:$D,3,FALSE)</f>
        <v>455</v>
      </c>
      <c r="AA739" s="93">
        <v>1</v>
      </c>
      <c r="AB739" s="93">
        <f>AD739/AC737</f>
        <v>455</v>
      </c>
      <c r="AC739" s="93">
        <f>AC737/AA739</f>
        <v>50.299999999999983</v>
      </c>
      <c r="AD739" s="94">
        <f t="shared" si="640"/>
        <v>22886.499999999993</v>
      </c>
      <c r="AE739" s="190"/>
      <c r="AF739" s="191"/>
      <c r="AG739" s="191"/>
      <c r="AH739" s="191"/>
      <c r="AI739" s="186"/>
      <c r="AK739" s="171"/>
    </row>
    <row r="740" spans="1:41" s="102" customFormat="1" ht="19.899999999999999" customHeight="1" x14ac:dyDescent="0.25">
      <c r="A740" s="45"/>
      <c r="B740" s="59"/>
      <c r="C740" s="137"/>
      <c r="D740" s="59"/>
      <c r="E740" s="116"/>
      <c r="F740" s="120"/>
      <c r="G740" s="120"/>
      <c r="H740" s="120"/>
      <c r="I740" s="60"/>
      <c r="J740" s="116"/>
      <c r="K740" s="213"/>
      <c r="L740" s="120"/>
      <c r="M740" s="120"/>
      <c r="N740" s="167"/>
      <c r="O740" s="120"/>
      <c r="P740" s="120"/>
      <c r="Q740" s="120"/>
      <c r="R740" s="120"/>
      <c r="S740" s="120"/>
      <c r="T740" s="221"/>
      <c r="U740" s="89"/>
      <c r="V740" s="61"/>
      <c r="W740" s="92" t="s">
        <v>1335</v>
      </c>
      <c r="X740" s="93" t="s">
        <v>32</v>
      </c>
      <c r="Y740" s="93" t="s">
        <v>35</v>
      </c>
      <c r="Z740" s="134">
        <f>VLOOKUP(W740,Sheet2!$B:$D,3,FALSE)</f>
        <v>200</v>
      </c>
      <c r="AA740" s="93">
        <v>1</v>
      </c>
      <c r="AB740" s="93">
        <f>AD740/AC737</f>
        <v>200</v>
      </c>
      <c r="AC740" s="93">
        <f>AC737/AA740</f>
        <v>50.299999999999983</v>
      </c>
      <c r="AD740" s="94">
        <f>AC740*Z740</f>
        <v>10059.999999999996</v>
      </c>
      <c r="AE740" s="190"/>
      <c r="AF740" s="191"/>
      <c r="AG740" s="191"/>
      <c r="AH740" s="191"/>
      <c r="AI740" s="186"/>
      <c r="AK740" s="171"/>
    </row>
    <row r="741" spans="1:41" ht="20.100000000000001" customHeight="1" x14ac:dyDescent="0.25">
      <c r="A741" s="277" t="s">
        <v>216</v>
      </c>
      <c r="B741" s="278"/>
      <c r="C741" s="64" t="s">
        <v>320</v>
      </c>
      <c r="D741" s="46" t="s">
        <v>215</v>
      </c>
      <c r="E741" s="114">
        <v>20</v>
      </c>
      <c r="F741" s="44">
        <v>9328</v>
      </c>
      <c r="G741" s="44">
        <f t="shared" si="607"/>
        <v>186560</v>
      </c>
      <c r="H741" s="44">
        <f t="shared" si="608"/>
        <v>9325</v>
      </c>
      <c r="I741" s="43">
        <f t="shared" si="609"/>
        <v>186500</v>
      </c>
      <c r="J741" s="112">
        <f t="shared" si="610"/>
        <v>20</v>
      </c>
      <c r="K741" s="211">
        <f t="shared" si="611"/>
        <v>20</v>
      </c>
      <c r="L741" s="44"/>
      <c r="M741" s="44">
        <f t="shared" si="612"/>
        <v>20</v>
      </c>
      <c r="N741" s="173">
        <f t="shared" si="613"/>
        <v>1</v>
      </c>
      <c r="O741" s="44">
        <f t="shared" si="614"/>
        <v>9328</v>
      </c>
      <c r="P741" s="44">
        <f t="shared" si="615"/>
        <v>186560</v>
      </c>
      <c r="Q741" s="44">
        <f t="shared" si="616"/>
        <v>9325</v>
      </c>
      <c r="R741" s="44">
        <f t="shared" si="617"/>
        <v>186500</v>
      </c>
      <c r="S741" s="123"/>
      <c r="T741" s="219">
        <f t="shared" si="618"/>
        <v>186500</v>
      </c>
      <c r="U741" s="87"/>
      <c r="V741" s="47"/>
      <c r="W741" s="48"/>
      <c r="X741" s="48"/>
      <c r="Y741" s="48"/>
      <c r="Z741" s="135"/>
      <c r="AA741" s="49"/>
      <c r="AB741" s="50">
        <f t="shared" si="619"/>
        <v>9325</v>
      </c>
      <c r="AC741" s="42">
        <f t="shared" si="620"/>
        <v>20</v>
      </c>
      <c r="AD741" s="90">
        <f>AD742</f>
        <v>186500</v>
      </c>
      <c r="AE741" s="188">
        <f t="shared" ref="AE741:AH741" si="641">AE742</f>
        <v>0</v>
      </c>
      <c r="AF741" s="189">
        <f t="shared" si="641"/>
        <v>0</v>
      </c>
      <c r="AG741" s="189">
        <f t="shared" si="641"/>
        <v>0</v>
      </c>
      <c r="AH741" s="189">
        <f t="shared" si="641"/>
        <v>0</v>
      </c>
      <c r="AI741" s="161">
        <f t="shared" ref="AI741" si="642">SUM(AE741:AH741)</f>
        <v>0</v>
      </c>
      <c r="AK741" s="169">
        <v>5</v>
      </c>
      <c r="AO741" s="19" t="s">
        <v>63</v>
      </c>
    </row>
    <row r="742" spans="1:41" s="103" customFormat="1" ht="19.899999999999999" customHeight="1" x14ac:dyDescent="0.25">
      <c r="A742" s="51"/>
      <c r="B742" s="52"/>
      <c r="C742" s="165"/>
      <c r="D742" s="52"/>
      <c r="E742" s="115"/>
      <c r="F742" s="58"/>
      <c r="G742" s="58"/>
      <c r="H742" s="58"/>
      <c r="I742" s="55"/>
      <c r="J742" s="113">
        <f>J741</f>
        <v>20</v>
      </c>
      <c r="K742" s="212">
        <f>K741</f>
        <v>20</v>
      </c>
      <c r="L742" s="58"/>
      <c r="M742" s="58">
        <f>K742-L742</f>
        <v>20</v>
      </c>
      <c r="N742" s="166"/>
      <c r="O742" s="58"/>
      <c r="P742" s="58"/>
      <c r="Q742" s="58"/>
      <c r="R742" s="58"/>
      <c r="S742" s="58"/>
      <c r="T742" s="220"/>
      <c r="U742" s="88"/>
      <c r="V742" s="56"/>
      <c r="W742" s="57" t="s">
        <v>1329</v>
      </c>
      <c r="X742" s="53"/>
      <c r="Y742" s="91" t="s">
        <v>35</v>
      </c>
      <c r="Z742" s="136">
        <f>AD742/AC742</f>
        <v>9325</v>
      </c>
      <c r="AA742" s="58"/>
      <c r="AB742" s="53">
        <f>AD742/AC742</f>
        <v>9325</v>
      </c>
      <c r="AC742" s="53">
        <f>M742+$AE$10</f>
        <v>20</v>
      </c>
      <c r="AD742" s="54">
        <f>SUM(AD743:AD745)</f>
        <v>186500</v>
      </c>
      <c r="AE742" s="184">
        <f>SUMIFS($AD$37:$AD$12971,$V$37:$V$12971,$V742,$X$37:$X$12971,AE$13)</f>
        <v>0</v>
      </c>
      <c r="AF742" s="185">
        <f>SUMIFS($AD$37:$AD$12971,$V$37:$V$12971,$V742,$X$37:$X$12971,AF$13)</f>
        <v>0</v>
      </c>
      <c r="AG742" s="185">
        <f>SUMIFS($AD$37:$AD$12971,$V$37:$V$12971,$V742,$X$37:$X$12971,AG$13)</f>
        <v>0</v>
      </c>
      <c r="AH742" s="187">
        <f>SUMIFS($AD$37:$AD$12971,$V$37:$V$12971,$V742,$X$37:$X$12971,AH$13)</f>
        <v>0</v>
      </c>
      <c r="AI742" s="161">
        <f t="shared" ref="AI742" si="643">SUM(AE742:AH742)</f>
        <v>0</v>
      </c>
      <c r="AK742" s="172"/>
    </row>
    <row r="743" spans="1:41" s="102" customFormat="1" ht="19.899999999999999" customHeight="1" x14ac:dyDescent="0.25">
      <c r="A743" s="45"/>
      <c r="B743" s="59"/>
      <c r="C743" s="137"/>
      <c r="D743" s="59"/>
      <c r="E743" s="116"/>
      <c r="F743" s="120"/>
      <c r="G743" s="120"/>
      <c r="H743" s="120"/>
      <c r="I743" s="60"/>
      <c r="J743" s="116"/>
      <c r="K743" s="213"/>
      <c r="L743" s="120"/>
      <c r="M743" s="120"/>
      <c r="N743" s="167"/>
      <c r="O743" s="120"/>
      <c r="P743" s="120"/>
      <c r="Q743" s="120"/>
      <c r="R743" s="120"/>
      <c r="S743" s="120"/>
      <c r="T743" s="221"/>
      <c r="U743" s="89"/>
      <c r="V743" s="61"/>
      <c r="W743" s="92" t="s">
        <v>1336</v>
      </c>
      <c r="X743" s="93" t="s">
        <v>30</v>
      </c>
      <c r="Y743" s="93" t="s">
        <v>35</v>
      </c>
      <c r="Z743" s="134">
        <f>VLOOKUP(W743,Sheet2!$B:$D,3,FALSE)</f>
        <v>8250</v>
      </c>
      <c r="AA743" s="93">
        <v>1</v>
      </c>
      <c r="AB743" s="93">
        <f t="shared" ref="AB743" si="644">AD743/AC742</f>
        <v>8250</v>
      </c>
      <c r="AC743" s="93">
        <f>AC742/AA743</f>
        <v>20</v>
      </c>
      <c r="AD743" s="94">
        <f t="shared" ref="AD743:AD744" si="645">AC743*Z743</f>
        <v>165000</v>
      </c>
      <c r="AE743" s="190"/>
      <c r="AF743" s="191"/>
      <c r="AG743" s="191"/>
      <c r="AH743" s="191"/>
      <c r="AI743" s="186"/>
      <c r="AK743" s="171"/>
    </row>
    <row r="744" spans="1:41" s="102" customFormat="1" ht="19.899999999999999" customHeight="1" x14ac:dyDescent="0.25">
      <c r="A744" s="45"/>
      <c r="B744" s="59"/>
      <c r="C744" s="137"/>
      <c r="D744" s="59"/>
      <c r="E744" s="116"/>
      <c r="F744" s="120"/>
      <c r="G744" s="120"/>
      <c r="H744" s="120"/>
      <c r="I744" s="60"/>
      <c r="J744" s="116"/>
      <c r="K744" s="213"/>
      <c r="L744" s="120"/>
      <c r="M744" s="120"/>
      <c r="N744" s="167"/>
      <c r="O744" s="120"/>
      <c r="P744" s="120"/>
      <c r="Q744" s="120"/>
      <c r="R744" s="120"/>
      <c r="S744" s="120"/>
      <c r="T744" s="221"/>
      <c r="U744" s="89"/>
      <c r="V744" s="61"/>
      <c r="W744" s="92" t="s">
        <v>1346</v>
      </c>
      <c r="X744" s="93" t="s">
        <v>30</v>
      </c>
      <c r="Y744" s="93" t="s">
        <v>35</v>
      </c>
      <c r="Z744" s="134">
        <f>VLOOKUP(W744,Sheet2!$B:$D,3,FALSE)</f>
        <v>825</v>
      </c>
      <c r="AA744" s="93">
        <v>1</v>
      </c>
      <c r="AB744" s="93">
        <f>AD744/AC742</f>
        <v>825</v>
      </c>
      <c r="AC744" s="93">
        <f>AC742/AA744</f>
        <v>20</v>
      </c>
      <c r="AD744" s="94">
        <f t="shared" si="645"/>
        <v>16500</v>
      </c>
      <c r="AE744" s="190"/>
      <c r="AF744" s="191"/>
      <c r="AG744" s="191"/>
      <c r="AH744" s="191"/>
      <c r="AI744" s="186"/>
      <c r="AK744" s="171"/>
    </row>
    <row r="745" spans="1:41" s="102" customFormat="1" ht="19.899999999999999" customHeight="1" x14ac:dyDescent="0.25">
      <c r="A745" s="45"/>
      <c r="B745" s="59"/>
      <c r="C745" s="137"/>
      <c r="D745" s="59"/>
      <c r="E745" s="116"/>
      <c r="F745" s="120"/>
      <c r="G745" s="120"/>
      <c r="H745" s="120"/>
      <c r="I745" s="60"/>
      <c r="J745" s="116"/>
      <c r="K745" s="213"/>
      <c r="L745" s="120"/>
      <c r="M745" s="120"/>
      <c r="N745" s="167"/>
      <c r="O745" s="120"/>
      <c r="P745" s="120"/>
      <c r="Q745" s="120"/>
      <c r="R745" s="120"/>
      <c r="S745" s="120"/>
      <c r="T745" s="221"/>
      <c r="U745" s="89"/>
      <c r="V745" s="61"/>
      <c r="W745" s="92" t="s">
        <v>1337</v>
      </c>
      <c r="X745" s="93" t="s">
        <v>32</v>
      </c>
      <c r="Y745" s="93" t="s">
        <v>35</v>
      </c>
      <c r="Z745" s="134">
        <f>VLOOKUP(W745,Sheet2!$B:$D,3,FALSE)</f>
        <v>250</v>
      </c>
      <c r="AA745" s="93">
        <v>1</v>
      </c>
      <c r="AB745" s="93">
        <f>AD745/AC742</f>
        <v>250</v>
      </c>
      <c r="AC745" s="93">
        <f>AC742/AA745</f>
        <v>20</v>
      </c>
      <c r="AD745" s="94">
        <f>AC745*Z745</f>
        <v>5000</v>
      </c>
      <c r="AE745" s="190"/>
      <c r="AF745" s="191"/>
      <c r="AG745" s="191"/>
      <c r="AH745" s="191"/>
      <c r="AI745" s="186"/>
      <c r="AK745" s="171"/>
    </row>
    <row r="746" spans="1:41" ht="20.100000000000001" customHeight="1" x14ac:dyDescent="0.25">
      <c r="A746" s="277" t="s">
        <v>216</v>
      </c>
      <c r="B746" s="278"/>
      <c r="C746" s="64" t="s">
        <v>321</v>
      </c>
      <c r="D746" s="46" t="s">
        <v>215</v>
      </c>
      <c r="E746" s="114">
        <v>14.799999999999997</v>
      </c>
      <c r="F746" s="44">
        <v>12273</v>
      </c>
      <c r="G746" s="44">
        <f t="shared" si="607"/>
        <v>181640.39999999997</v>
      </c>
      <c r="H746" s="44">
        <f t="shared" si="608"/>
        <v>11675</v>
      </c>
      <c r="I746" s="43">
        <f t="shared" si="609"/>
        <v>172789.99999999997</v>
      </c>
      <c r="J746" s="112">
        <f t="shared" si="610"/>
        <v>14.799999999999997</v>
      </c>
      <c r="K746" s="211">
        <f t="shared" si="611"/>
        <v>14.799999999999997</v>
      </c>
      <c r="L746" s="44"/>
      <c r="M746" s="44">
        <f t="shared" si="612"/>
        <v>14.799999999999997</v>
      </c>
      <c r="N746" s="173">
        <f t="shared" si="613"/>
        <v>1</v>
      </c>
      <c r="O746" s="44">
        <f t="shared" si="614"/>
        <v>12273</v>
      </c>
      <c r="P746" s="44">
        <f t="shared" si="615"/>
        <v>181640.39999999997</v>
      </c>
      <c r="Q746" s="44">
        <f t="shared" si="616"/>
        <v>11675</v>
      </c>
      <c r="R746" s="44">
        <f t="shared" si="617"/>
        <v>172789.99999999997</v>
      </c>
      <c r="S746" s="123"/>
      <c r="T746" s="219">
        <f t="shared" si="618"/>
        <v>172789.99999999997</v>
      </c>
      <c r="U746" s="87"/>
      <c r="V746" s="47"/>
      <c r="W746" s="48"/>
      <c r="X746" s="48"/>
      <c r="Y746" s="48"/>
      <c r="Z746" s="135"/>
      <c r="AA746" s="49"/>
      <c r="AB746" s="50">
        <f t="shared" si="619"/>
        <v>11675</v>
      </c>
      <c r="AC746" s="42">
        <f t="shared" si="620"/>
        <v>14.799999999999997</v>
      </c>
      <c r="AD746" s="90">
        <f>AD747</f>
        <v>172789.99999999997</v>
      </c>
      <c r="AE746" s="188">
        <f t="shared" ref="AE746:AH746" si="646">AE747</f>
        <v>0</v>
      </c>
      <c r="AF746" s="189">
        <f t="shared" si="646"/>
        <v>0</v>
      </c>
      <c r="AG746" s="189">
        <f t="shared" si="646"/>
        <v>0</v>
      </c>
      <c r="AH746" s="189">
        <f t="shared" si="646"/>
        <v>0</v>
      </c>
      <c r="AI746" s="161">
        <f t="shared" ref="AI746" si="647">SUM(AE746:AH746)</f>
        <v>0</v>
      </c>
      <c r="AK746" s="169">
        <v>5</v>
      </c>
      <c r="AO746" s="19" t="s">
        <v>63</v>
      </c>
    </row>
    <row r="747" spans="1:41" s="103" customFormat="1" ht="19.899999999999999" customHeight="1" x14ac:dyDescent="0.25">
      <c r="A747" s="51"/>
      <c r="B747" s="52"/>
      <c r="C747" s="165"/>
      <c r="D747" s="52"/>
      <c r="E747" s="115"/>
      <c r="F747" s="58"/>
      <c r="G747" s="58"/>
      <c r="H747" s="58"/>
      <c r="I747" s="55"/>
      <c r="J747" s="113">
        <f>J746</f>
        <v>14.799999999999997</v>
      </c>
      <c r="K747" s="212">
        <f>K746</f>
        <v>14.799999999999997</v>
      </c>
      <c r="L747" s="58"/>
      <c r="M747" s="58">
        <f>K747-L747</f>
        <v>14.799999999999997</v>
      </c>
      <c r="N747" s="166"/>
      <c r="O747" s="58"/>
      <c r="P747" s="58"/>
      <c r="Q747" s="58"/>
      <c r="R747" s="58"/>
      <c r="S747" s="58"/>
      <c r="T747" s="220"/>
      <c r="U747" s="88"/>
      <c r="V747" s="56"/>
      <c r="W747" s="57" t="s">
        <v>1329</v>
      </c>
      <c r="X747" s="53"/>
      <c r="Y747" s="91" t="s">
        <v>35</v>
      </c>
      <c r="Z747" s="136">
        <f>AD747/AC747</f>
        <v>11675</v>
      </c>
      <c r="AA747" s="58"/>
      <c r="AB747" s="53">
        <f>AD747/AC747</f>
        <v>11675</v>
      </c>
      <c r="AC747" s="53">
        <f>M747+$AE$10</f>
        <v>14.799999999999997</v>
      </c>
      <c r="AD747" s="54">
        <f>SUM(AD748:AD750)</f>
        <v>172789.99999999997</v>
      </c>
      <c r="AE747" s="184">
        <f>SUMIFS($AD$37:$AD$12971,$V$37:$V$12971,$V747,$X$37:$X$12971,AE$13)</f>
        <v>0</v>
      </c>
      <c r="AF747" s="185">
        <f>SUMIFS($AD$37:$AD$12971,$V$37:$V$12971,$V747,$X$37:$X$12971,AF$13)</f>
        <v>0</v>
      </c>
      <c r="AG747" s="185">
        <f>SUMIFS($AD$37:$AD$12971,$V$37:$V$12971,$V747,$X$37:$X$12971,AG$13)</f>
        <v>0</v>
      </c>
      <c r="AH747" s="187">
        <f>SUMIFS($AD$37:$AD$12971,$V$37:$V$12971,$V747,$X$37:$X$12971,AH$13)</f>
        <v>0</v>
      </c>
      <c r="AI747" s="161">
        <f t="shared" ref="AI747" si="648">SUM(AE747:AH747)</f>
        <v>0</v>
      </c>
      <c r="AK747" s="172"/>
    </row>
    <row r="748" spans="1:41" s="102" customFormat="1" ht="19.899999999999999" customHeight="1" x14ac:dyDescent="0.25">
      <c r="A748" s="45"/>
      <c r="B748" s="59"/>
      <c r="C748" s="137"/>
      <c r="D748" s="59"/>
      <c r="E748" s="116"/>
      <c r="F748" s="120"/>
      <c r="G748" s="120"/>
      <c r="H748" s="120"/>
      <c r="I748" s="60"/>
      <c r="J748" s="116"/>
      <c r="K748" s="213"/>
      <c r="L748" s="120"/>
      <c r="M748" s="120"/>
      <c r="N748" s="167"/>
      <c r="O748" s="120"/>
      <c r="P748" s="120"/>
      <c r="Q748" s="120"/>
      <c r="R748" s="120"/>
      <c r="S748" s="120"/>
      <c r="T748" s="221"/>
      <c r="U748" s="89"/>
      <c r="V748" s="61"/>
      <c r="W748" s="92" t="s">
        <v>1338</v>
      </c>
      <c r="X748" s="93" t="s">
        <v>30</v>
      </c>
      <c r="Y748" s="93" t="s">
        <v>35</v>
      </c>
      <c r="Z748" s="134">
        <f>VLOOKUP(W748,Sheet2!$B:$D,3,FALSE)</f>
        <v>10250</v>
      </c>
      <c r="AA748" s="93">
        <v>1</v>
      </c>
      <c r="AB748" s="93">
        <f t="shared" ref="AB748" si="649">AD748/AC747</f>
        <v>10250</v>
      </c>
      <c r="AC748" s="93">
        <f>AC747/AA748</f>
        <v>14.799999999999997</v>
      </c>
      <c r="AD748" s="94">
        <f t="shared" ref="AD748:AD749" si="650">AC748*Z748</f>
        <v>151699.99999999997</v>
      </c>
      <c r="AE748" s="190"/>
      <c r="AF748" s="191"/>
      <c r="AG748" s="191"/>
      <c r="AH748" s="191"/>
      <c r="AI748" s="186"/>
      <c r="AK748" s="171"/>
    </row>
    <row r="749" spans="1:41" s="102" customFormat="1" ht="19.899999999999999" customHeight="1" x14ac:dyDescent="0.25">
      <c r="A749" s="45"/>
      <c r="B749" s="59"/>
      <c r="C749" s="137"/>
      <c r="D749" s="59"/>
      <c r="E749" s="116"/>
      <c r="F749" s="120"/>
      <c r="G749" s="120"/>
      <c r="H749" s="120"/>
      <c r="I749" s="60"/>
      <c r="J749" s="116"/>
      <c r="K749" s="213"/>
      <c r="L749" s="120"/>
      <c r="M749" s="120"/>
      <c r="N749" s="167"/>
      <c r="O749" s="120"/>
      <c r="P749" s="120"/>
      <c r="Q749" s="120"/>
      <c r="R749" s="120"/>
      <c r="S749" s="120"/>
      <c r="T749" s="221"/>
      <c r="U749" s="89"/>
      <c r="V749" s="61"/>
      <c r="W749" s="92" t="s">
        <v>1347</v>
      </c>
      <c r="X749" s="93" t="s">
        <v>30</v>
      </c>
      <c r="Y749" s="93" t="s">
        <v>35</v>
      </c>
      <c r="Z749" s="134">
        <f>VLOOKUP(W749,Sheet2!$B:$D,3,FALSE)</f>
        <v>1025</v>
      </c>
      <c r="AA749" s="93">
        <v>1</v>
      </c>
      <c r="AB749" s="93">
        <f>AD749/AC747</f>
        <v>1025</v>
      </c>
      <c r="AC749" s="93">
        <f>AC747/AA749</f>
        <v>14.799999999999997</v>
      </c>
      <c r="AD749" s="94">
        <f t="shared" si="650"/>
        <v>15169.999999999996</v>
      </c>
      <c r="AE749" s="190"/>
      <c r="AF749" s="191"/>
      <c r="AG749" s="191"/>
      <c r="AH749" s="191"/>
      <c r="AI749" s="186"/>
      <c r="AK749" s="171"/>
    </row>
    <row r="750" spans="1:41" s="102" customFormat="1" ht="19.899999999999999" customHeight="1" x14ac:dyDescent="0.25">
      <c r="A750" s="45"/>
      <c r="B750" s="59"/>
      <c r="C750" s="137"/>
      <c r="D750" s="59"/>
      <c r="E750" s="116"/>
      <c r="F750" s="120"/>
      <c r="G750" s="120"/>
      <c r="H750" s="120"/>
      <c r="I750" s="60"/>
      <c r="J750" s="116"/>
      <c r="K750" s="213"/>
      <c r="L750" s="120"/>
      <c r="M750" s="120"/>
      <c r="N750" s="167"/>
      <c r="O750" s="120"/>
      <c r="P750" s="120"/>
      <c r="Q750" s="120"/>
      <c r="R750" s="120"/>
      <c r="S750" s="120"/>
      <c r="T750" s="221"/>
      <c r="U750" s="89"/>
      <c r="V750" s="61"/>
      <c r="W750" s="92" t="s">
        <v>1339</v>
      </c>
      <c r="X750" s="93" t="s">
        <v>32</v>
      </c>
      <c r="Y750" s="93" t="s">
        <v>35</v>
      </c>
      <c r="Z750" s="134">
        <f>VLOOKUP(W750,Sheet2!$B:$D,3,FALSE)</f>
        <v>400</v>
      </c>
      <c r="AA750" s="93">
        <v>1</v>
      </c>
      <c r="AB750" s="93">
        <f>AD750/AC747</f>
        <v>400</v>
      </c>
      <c r="AC750" s="93">
        <f>AC747/AA750</f>
        <v>14.799999999999997</v>
      </c>
      <c r="AD750" s="94">
        <f>AC750*Z750</f>
        <v>5919.9999999999991</v>
      </c>
      <c r="AE750" s="190"/>
      <c r="AF750" s="191"/>
      <c r="AG750" s="191"/>
      <c r="AH750" s="191"/>
      <c r="AI750" s="186"/>
      <c r="AK750" s="171"/>
    </row>
    <row r="751" spans="1:41" s="306" customFormat="1" ht="20.100000000000001" customHeight="1" x14ac:dyDescent="0.25">
      <c r="A751" s="287" t="s">
        <v>216</v>
      </c>
      <c r="B751" s="288"/>
      <c r="C751" s="286" t="s">
        <v>322</v>
      </c>
      <c r="D751" s="289"/>
      <c r="E751" s="290"/>
      <c r="F751" s="291">
        <v>0</v>
      </c>
      <c r="G751" s="291">
        <f t="shared" si="607"/>
        <v>0</v>
      </c>
      <c r="H751" s="291">
        <f t="shared" si="608"/>
        <v>0</v>
      </c>
      <c r="I751" s="292">
        <f t="shared" si="609"/>
        <v>0</v>
      </c>
      <c r="J751" s="290">
        <f t="shared" si="610"/>
        <v>0</v>
      </c>
      <c r="K751" s="293">
        <f t="shared" si="611"/>
        <v>0</v>
      </c>
      <c r="L751" s="291"/>
      <c r="M751" s="291">
        <f t="shared" si="612"/>
        <v>0</v>
      </c>
      <c r="N751" s="294">
        <f t="shared" si="613"/>
        <v>0</v>
      </c>
      <c r="O751" s="291">
        <f t="shared" si="614"/>
        <v>0</v>
      </c>
      <c r="P751" s="291">
        <f t="shared" si="615"/>
        <v>0</v>
      </c>
      <c r="Q751" s="291">
        <f t="shared" si="616"/>
        <v>0</v>
      </c>
      <c r="R751" s="291">
        <f t="shared" si="617"/>
        <v>0</v>
      </c>
      <c r="S751" s="291"/>
      <c r="T751" s="295">
        <f t="shared" si="618"/>
        <v>0</v>
      </c>
      <c r="U751" s="296"/>
      <c r="V751" s="297"/>
      <c r="W751" s="298"/>
      <c r="X751" s="299"/>
      <c r="Y751" s="300"/>
      <c r="Z751" s="301"/>
      <c r="AA751" s="300"/>
      <c r="AB751" s="300">
        <f t="shared" si="619"/>
        <v>0</v>
      </c>
      <c r="AC751" s="300">
        <f t="shared" si="620"/>
        <v>9.9999999999999998E-20</v>
      </c>
      <c r="AD751" s="302"/>
      <c r="AE751" s="303"/>
      <c r="AF751" s="304"/>
      <c r="AG751" s="304"/>
      <c r="AH751" s="304"/>
      <c r="AI751" s="305"/>
      <c r="AK751" s="307"/>
    </row>
    <row r="752" spans="1:41" ht="20.100000000000001" customHeight="1" x14ac:dyDescent="0.25">
      <c r="A752" s="277" t="s">
        <v>216</v>
      </c>
      <c r="B752" s="278"/>
      <c r="C752" s="64" t="s">
        <v>315</v>
      </c>
      <c r="D752" s="46" t="s">
        <v>215</v>
      </c>
      <c r="E752" s="114"/>
      <c r="F752" s="44">
        <v>0</v>
      </c>
      <c r="G752" s="44">
        <f t="shared" si="607"/>
        <v>0</v>
      </c>
      <c r="H752" s="44">
        <f t="shared" si="608"/>
        <v>0</v>
      </c>
      <c r="I752" s="43">
        <f t="shared" si="609"/>
        <v>0</v>
      </c>
      <c r="J752" s="112">
        <f t="shared" si="610"/>
        <v>0</v>
      </c>
      <c r="K752" s="211">
        <f t="shared" si="611"/>
        <v>0</v>
      </c>
      <c r="L752" s="44"/>
      <c r="M752" s="44">
        <f t="shared" si="612"/>
        <v>0</v>
      </c>
      <c r="N752" s="173">
        <f t="shared" si="613"/>
        <v>0</v>
      </c>
      <c r="O752" s="44">
        <f t="shared" si="614"/>
        <v>0</v>
      </c>
      <c r="P752" s="44">
        <f t="shared" si="615"/>
        <v>0</v>
      </c>
      <c r="Q752" s="44">
        <f t="shared" si="616"/>
        <v>0</v>
      </c>
      <c r="R752" s="44">
        <f t="shared" si="617"/>
        <v>0</v>
      </c>
      <c r="S752" s="123"/>
      <c r="T752" s="219">
        <f t="shared" si="618"/>
        <v>0</v>
      </c>
      <c r="U752" s="87"/>
      <c r="V752" s="47"/>
      <c r="W752" s="48"/>
      <c r="X752" s="48"/>
      <c r="Y752" s="48"/>
      <c r="Z752" s="135"/>
      <c r="AA752" s="49"/>
      <c r="AB752" s="50">
        <f t="shared" si="619"/>
        <v>0</v>
      </c>
      <c r="AC752" s="42">
        <f t="shared" si="620"/>
        <v>9.9999999999999998E-20</v>
      </c>
      <c r="AD752" s="90"/>
      <c r="AE752" s="188"/>
      <c r="AF752" s="189"/>
      <c r="AG752" s="189"/>
      <c r="AH752" s="189"/>
      <c r="AI752" s="161"/>
    </row>
    <row r="753" spans="1:41" ht="20.100000000000001" customHeight="1" x14ac:dyDescent="0.25">
      <c r="A753" s="277" t="s">
        <v>216</v>
      </c>
      <c r="B753" s="278"/>
      <c r="C753" s="64" t="s">
        <v>319</v>
      </c>
      <c r="D753" s="46" t="s">
        <v>215</v>
      </c>
      <c r="E753" s="114"/>
      <c r="F753" s="44">
        <v>0</v>
      </c>
      <c r="G753" s="44">
        <f t="shared" si="607"/>
        <v>0</v>
      </c>
      <c r="H753" s="44">
        <f t="shared" si="608"/>
        <v>0</v>
      </c>
      <c r="I753" s="43">
        <f t="shared" si="609"/>
        <v>0</v>
      </c>
      <c r="J753" s="112">
        <f t="shared" si="610"/>
        <v>0</v>
      </c>
      <c r="K753" s="211">
        <f t="shared" si="611"/>
        <v>0</v>
      </c>
      <c r="L753" s="44"/>
      <c r="M753" s="44">
        <f t="shared" si="612"/>
        <v>0</v>
      </c>
      <c r="N753" s="173">
        <f t="shared" si="613"/>
        <v>0</v>
      </c>
      <c r="O753" s="44">
        <f t="shared" si="614"/>
        <v>0</v>
      </c>
      <c r="P753" s="44">
        <f t="shared" si="615"/>
        <v>0</v>
      </c>
      <c r="Q753" s="44">
        <f t="shared" si="616"/>
        <v>0</v>
      </c>
      <c r="R753" s="44">
        <f t="shared" si="617"/>
        <v>0</v>
      </c>
      <c r="S753" s="123"/>
      <c r="T753" s="219">
        <f t="shared" si="618"/>
        <v>0</v>
      </c>
      <c r="U753" s="87"/>
      <c r="V753" s="47"/>
      <c r="W753" s="48"/>
      <c r="X753" s="48"/>
      <c r="Y753" s="48"/>
      <c r="Z753" s="135"/>
      <c r="AA753" s="49"/>
      <c r="AB753" s="50">
        <f t="shared" si="619"/>
        <v>0</v>
      </c>
      <c r="AC753" s="42">
        <f t="shared" si="620"/>
        <v>9.9999999999999998E-20</v>
      </c>
      <c r="AD753" s="90"/>
      <c r="AE753" s="188"/>
      <c r="AF753" s="189"/>
      <c r="AG753" s="189"/>
      <c r="AH753" s="189"/>
      <c r="AI753" s="161"/>
    </row>
    <row r="754" spans="1:41" ht="20.100000000000001" customHeight="1" x14ac:dyDescent="0.25">
      <c r="A754" s="277" t="s">
        <v>216</v>
      </c>
      <c r="B754" s="278"/>
      <c r="C754" s="64" t="s">
        <v>320</v>
      </c>
      <c r="D754" s="46" t="s">
        <v>215</v>
      </c>
      <c r="E754" s="114"/>
      <c r="F754" s="44">
        <v>0</v>
      </c>
      <c r="G754" s="44">
        <f t="shared" si="607"/>
        <v>0</v>
      </c>
      <c r="H754" s="44">
        <f t="shared" si="608"/>
        <v>0</v>
      </c>
      <c r="I754" s="43">
        <f t="shared" si="609"/>
        <v>0</v>
      </c>
      <c r="J754" s="112">
        <f t="shared" si="610"/>
        <v>0</v>
      </c>
      <c r="K754" s="211">
        <f t="shared" si="611"/>
        <v>0</v>
      </c>
      <c r="L754" s="44"/>
      <c r="M754" s="44">
        <f t="shared" si="612"/>
        <v>0</v>
      </c>
      <c r="N754" s="173">
        <f t="shared" si="613"/>
        <v>0</v>
      </c>
      <c r="O754" s="44">
        <f t="shared" si="614"/>
        <v>0</v>
      </c>
      <c r="P754" s="44">
        <f t="shared" si="615"/>
        <v>0</v>
      </c>
      <c r="Q754" s="44">
        <f t="shared" si="616"/>
        <v>0</v>
      </c>
      <c r="R754" s="44">
        <f t="shared" si="617"/>
        <v>0</v>
      </c>
      <c r="S754" s="123"/>
      <c r="T754" s="219">
        <f t="shared" si="618"/>
        <v>0</v>
      </c>
      <c r="U754" s="87"/>
      <c r="V754" s="47"/>
      <c r="W754" s="48"/>
      <c r="X754" s="48"/>
      <c r="Y754" s="48"/>
      <c r="Z754" s="135"/>
      <c r="AA754" s="49"/>
      <c r="AB754" s="50">
        <f t="shared" si="619"/>
        <v>0</v>
      </c>
      <c r="AC754" s="42">
        <f t="shared" si="620"/>
        <v>9.9999999999999998E-20</v>
      </c>
      <c r="AD754" s="90"/>
      <c r="AE754" s="188"/>
      <c r="AF754" s="189"/>
      <c r="AG754" s="189"/>
      <c r="AH754" s="189"/>
      <c r="AI754" s="161"/>
    </row>
    <row r="755" spans="1:41" ht="20.100000000000001" customHeight="1" x14ac:dyDescent="0.25">
      <c r="A755" s="277" t="s">
        <v>216</v>
      </c>
      <c r="B755" s="278"/>
      <c r="C755" s="64" t="s">
        <v>321</v>
      </c>
      <c r="D755" s="46" t="s">
        <v>215</v>
      </c>
      <c r="E755" s="114"/>
      <c r="F755" s="44">
        <v>0</v>
      </c>
      <c r="G755" s="44">
        <f t="shared" si="607"/>
        <v>0</v>
      </c>
      <c r="H755" s="44">
        <f t="shared" si="608"/>
        <v>0</v>
      </c>
      <c r="I755" s="43">
        <f t="shared" si="609"/>
        <v>0</v>
      </c>
      <c r="J755" s="112">
        <f t="shared" si="610"/>
        <v>0</v>
      </c>
      <c r="K755" s="211">
        <f t="shared" si="611"/>
        <v>0</v>
      </c>
      <c r="L755" s="44"/>
      <c r="M755" s="44">
        <f t="shared" si="612"/>
        <v>0</v>
      </c>
      <c r="N755" s="173">
        <f t="shared" si="613"/>
        <v>0</v>
      </c>
      <c r="O755" s="44">
        <f t="shared" si="614"/>
        <v>0</v>
      </c>
      <c r="P755" s="44">
        <f t="shared" si="615"/>
        <v>0</v>
      </c>
      <c r="Q755" s="44">
        <f t="shared" si="616"/>
        <v>0</v>
      </c>
      <c r="R755" s="44">
        <f t="shared" si="617"/>
        <v>0</v>
      </c>
      <c r="S755" s="123"/>
      <c r="T755" s="219">
        <f t="shared" si="618"/>
        <v>0</v>
      </c>
      <c r="U755" s="87"/>
      <c r="V755" s="47"/>
      <c r="W755" s="48"/>
      <c r="X755" s="48"/>
      <c r="Y755" s="48"/>
      <c r="Z755" s="135"/>
      <c r="AA755" s="49"/>
      <c r="AB755" s="50">
        <f t="shared" si="619"/>
        <v>0</v>
      </c>
      <c r="AC755" s="42">
        <f t="shared" si="620"/>
        <v>9.9999999999999998E-20</v>
      </c>
      <c r="AD755" s="90"/>
      <c r="AE755" s="188"/>
      <c r="AF755" s="189"/>
      <c r="AG755" s="189"/>
      <c r="AH755" s="189"/>
      <c r="AI755" s="161"/>
    </row>
    <row r="756" spans="1:41" s="306" customFormat="1" ht="20.100000000000001" customHeight="1" x14ac:dyDescent="0.25">
      <c r="A756" s="287" t="s">
        <v>216</v>
      </c>
      <c r="B756" s="288"/>
      <c r="C756" s="286" t="s">
        <v>323</v>
      </c>
      <c r="D756" s="289"/>
      <c r="E756" s="290"/>
      <c r="F756" s="291">
        <v>0</v>
      </c>
      <c r="G756" s="291">
        <f t="shared" si="607"/>
        <v>0</v>
      </c>
      <c r="H756" s="291">
        <f t="shared" si="608"/>
        <v>0</v>
      </c>
      <c r="I756" s="292">
        <f t="shared" si="609"/>
        <v>0</v>
      </c>
      <c r="J756" s="290">
        <f t="shared" si="610"/>
        <v>0</v>
      </c>
      <c r="K756" s="293">
        <f t="shared" si="611"/>
        <v>0</v>
      </c>
      <c r="L756" s="291"/>
      <c r="M756" s="291">
        <f t="shared" si="612"/>
        <v>0</v>
      </c>
      <c r="N756" s="294">
        <f t="shared" si="613"/>
        <v>0</v>
      </c>
      <c r="O756" s="291">
        <f t="shared" si="614"/>
        <v>0</v>
      </c>
      <c r="P756" s="291">
        <f t="shared" si="615"/>
        <v>0</v>
      </c>
      <c r="Q756" s="291">
        <f t="shared" si="616"/>
        <v>0</v>
      </c>
      <c r="R756" s="291">
        <f t="shared" si="617"/>
        <v>0</v>
      </c>
      <c r="S756" s="291"/>
      <c r="T756" s="295">
        <f t="shared" si="618"/>
        <v>0</v>
      </c>
      <c r="U756" s="296"/>
      <c r="V756" s="297"/>
      <c r="W756" s="298"/>
      <c r="X756" s="299"/>
      <c r="Y756" s="300"/>
      <c r="Z756" s="301"/>
      <c r="AA756" s="300"/>
      <c r="AB756" s="300">
        <f t="shared" si="619"/>
        <v>0</v>
      </c>
      <c r="AC756" s="300">
        <f t="shared" si="620"/>
        <v>9.9999999999999998E-20</v>
      </c>
      <c r="AD756" s="302"/>
      <c r="AE756" s="303"/>
      <c r="AF756" s="304"/>
      <c r="AG756" s="304"/>
      <c r="AH756" s="304"/>
      <c r="AI756" s="305"/>
      <c r="AK756" s="307"/>
    </row>
    <row r="757" spans="1:41" ht="20.100000000000001" customHeight="1" x14ac:dyDescent="0.25">
      <c r="A757" s="277" t="s">
        <v>216</v>
      </c>
      <c r="B757" s="278"/>
      <c r="C757" s="64" t="s">
        <v>315</v>
      </c>
      <c r="D757" s="46" t="s">
        <v>215</v>
      </c>
      <c r="E757" s="114"/>
      <c r="F757" s="44">
        <v>0</v>
      </c>
      <c r="G757" s="44">
        <f t="shared" si="607"/>
        <v>0</v>
      </c>
      <c r="H757" s="44">
        <f t="shared" si="608"/>
        <v>0</v>
      </c>
      <c r="I757" s="43">
        <f t="shared" si="609"/>
        <v>0</v>
      </c>
      <c r="J757" s="112">
        <f t="shared" si="610"/>
        <v>0</v>
      </c>
      <c r="K757" s="211">
        <f t="shared" si="611"/>
        <v>0</v>
      </c>
      <c r="L757" s="44"/>
      <c r="M757" s="44">
        <f t="shared" si="612"/>
        <v>0</v>
      </c>
      <c r="N757" s="173">
        <f t="shared" si="613"/>
        <v>0</v>
      </c>
      <c r="O757" s="44">
        <f t="shared" si="614"/>
        <v>0</v>
      </c>
      <c r="P757" s="44">
        <f t="shared" si="615"/>
        <v>0</v>
      </c>
      <c r="Q757" s="44">
        <f t="shared" si="616"/>
        <v>0</v>
      </c>
      <c r="R757" s="44">
        <f t="shared" si="617"/>
        <v>0</v>
      </c>
      <c r="S757" s="123"/>
      <c r="T757" s="219">
        <f t="shared" si="618"/>
        <v>0</v>
      </c>
      <c r="U757" s="87"/>
      <c r="V757" s="47"/>
      <c r="W757" s="48"/>
      <c r="X757" s="48"/>
      <c r="Y757" s="48"/>
      <c r="Z757" s="135"/>
      <c r="AA757" s="49"/>
      <c r="AB757" s="50">
        <f t="shared" si="619"/>
        <v>0</v>
      </c>
      <c r="AC757" s="42">
        <f t="shared" si="620"/>
        <v>9.9999999999999998E-20</v>
      </c>
      <c r="AD757" s="90"/>
      <c r="AE757" s="188"/>
      <c r="AF757" s="189"/>
      <c r="AG757" s="189"/>
      <c r="AH757" s="189"/>
      <c r="AI757" s="161"/>
    </row>
    <row r="758" spans="1:41" ht="20.100000000000001" customHeight="1" x14ac:dyDescent="0.25">
      <c r="A758" s="277" t="s">
        <v>216</v>
      </c>
      <c r="B758" s="278"/>
      <c r="C758" s="64" t="s">
        <v>316</v>
      </c>
      <c r="D758" s="46" t="s">
        <v>215</v>
      </c>
      <c r="E758" s="114"/>
      <c r="F758" s="44">
        <v>0</v>
      </c>
      <c r="G758" s="44">
        <f t="shared" si="607"/>
        <v>0</v>
      </c>
      <c r="H758" s="44">
        <f t="shared" si="608"/>
        <v>0</v>
      </c>
      <c r="I758" s="43">
        <f t="shared" si="609"/>
        <v>0</v>
      </c>
      <c r="J758" s="112">
        <f t="shared" si="610"/>
        <v>0</v>
      </c>
      <c r="K758" s="211">
        <f t="shared" si="611"/>
        <v>0</v>
      </c>
      <c r="L758" s="44"/>
      <c r="M758" s="44">
        <f t="shared" si="612"/>
        <v>0</v>
      </c>
      <c r="N758" s="173">
        <f t="shared" si="613"/>
        <v>0</v>
      </c>
      <c r="O758" s="44">
        <f t="shared" si="614"/>
        <v>0</v>
      </c>
      <c r="P758" s="44">
        <f t="shared" si="615"/>
        <v>0</v>
      </c>
      <c r="Q758" s="44">
        <f t="shared" si="616"/>
        <v>0</v>
      </c>
      <c r="R758" s="44">
        <f t="shared" si="617"/>
        <v>0</v>
      </c>
      <c r="S758" s="123"/>
      <c r="T758" s="219">
        <f t="shared" si="618"/>
        <v>0</v>
      </c>
      <c r="U758" s="87"/>
      <c r="V758" s="47"/>
      <c r="W758" s="48"/>
      <c r="X758" s="48"/>
      <c r="Y758" s="48"/>
      <c r="Z758" s="135"/>
      <c r="AA758" s="49"/>
      <c r="AB758" s="50">
        <f t="shared" si="619"/>
        <v>0</v>
      </c>
      <c r="AC758" s="42">
        <f t="shared" si="620"/>
        <v>9.9999999999999998E-20</v>
      </c>
      <c r="AD758" s="90"/>
      <c r="AE758" s="188"/>
      <c r="AF758" s="189"/>
      <c r="AG758" s="189"/>
      <c r="AH758" s="189"/>
      <c r="AI758" s="161"/>
    </row>
    <row r="759" spans="1:41" ht="20.100000000000001" customHeight="1" x14ac:dyDescent="0.25">
      <c r="A759" s="277" t="s">
        <v>216</v>
      </c>
      <c r="B759" s="278"/>
      <c r="C759" s="64" t="s">
        <v>317</v>
      </c>
      <c r="D759" s="46" t="s">
        <v>215</v>
      </c>
      <c r="E759" s="114"/>
      <c r="F759" s="44">
        <v>0</v>
      </c>
      <c r="G759" s="44">
        <f t="shared" si="607"/>
        <v>0</v>
      </c>
      <c r="H759" s="44">
        <f t="shared" si="608"/>
        <v>0</v>
      </c>
      <c r="I759" s="43">
        <f t="shared" si="609"/>
        <v>0</v>
      </c>
      <c r="J759" s="112">
        <f t="shared" si="610"/>
        <v>0</v>
      </c>
      <c r="K759" s="211">
        <f t="shared" si="611"/>
        <v>0</v>
      </c>
      <c r="L759" s="44"/>
      <c r="M759" s="44">
        <f t="shared" si="612"/>
        <v>0</v>
      </c>
      <c r="N759" s="173">
        <f t="shared" si="613"/>
        <v>0</v>
      </c>
      <c r="O759" s="44">
        <f t="shared" si="614"/>
        <v>0</v>
      </c>
      <c r="P759" s="44">
        <f t="shared" si="615"/>
        <v>0</v>
      </c>
      <c r="Q759" s="44">
        <f t="shared" si="616"/>
        <v>0</v>
      </c>
      <c r="R759" s="44">
        <f t="shared" si="617"/>
        <v>0</v>
      </c>
      <c r="S759" s="123"/>
      <c r="T759" s="219">
        <f t="shared" si="618"/>
        <v>0</v>
      </c>
      <c r="U759" s="87"/>
      <c r="V759" s="47"/>
      <c r="W759" s="48"/>
      <c r="X759" s="48"/>
      <c r="Y759" s="48"/>
      <c r="Z759" s="135"/>
      <c r="AA759" s="49"/>
      <c r="AB759" s="50">
        <f t="shared" si="619"/>
        <v>0</v>
      </c>
      <c r="AC759" s="42">
        <f t="shared" si="620"/>
        <v>9.9999999999999998E-20</v>
      </c>
      <c r="AD759" s="90"/>
      <c r="AE759" s="188"/>
      <c r="AF759" s="189"/>
      <c r="AG759" s="189"/>
      <c r="AH759" s="189"/>
      <c r="AI759" s="161"/>
    </row>
    <row r="760" spans="1:41" ht="20.100000000000001" customHeight="1" x14ac:dyDescent="0.25">
      <c r="A760" s="277" t="s">
        <v>216</v>
      </c>
      <c r="B760" s="278"/>
      <c r="C760" s="64" t="s">
        <v>319</v>
      </c>
      <c r="D760" s="46" t="s">
        <v>215</v>
      </c>
      <c r="E760" s="114"/>
      <c r="F760" s="44">
        <v>0</v>
      </c>
      <c r="G760" s="44">
        <f t="shared" si="607"/>
        <v>0</v>
      </c>
      <c r="H760" s="44">
        <f t="shared" si="608"/>
        <v>0</v>
      </c>
      <c r="I760" s="43">
        <f t="shared" si="609"/>
        <v>0</v>
      </c>
      <c r="J760" s="112">
        <f t="shared" si="610"/>
        <v>0</v>
      </c>
      <c r="K760" s="211">
        <f t="shared" si="611"/>
        <v>0</v>
      </c>
      <c r="L760" s="44"/>
      <c r="M760" s="44">
        <f t="shared" si="612"/>
        <v>0</v>
      </c>
      <c r="N760" s="173">
        <f t="shared" si="613"/>
        <v>0</v>
      </c>
      <c r="O760" s="44">
        <f t="shared" si="614"/>
        <v>0</v>
      </c>
      <c r="P760" s="44">
        <f t="shared" si="615"/>
        <v>0</v>
      </c>
      <c r="Q760" s="44">
        <f t="shared" si="616"/>
        <v>0</v>
      </c>
      <c r="R760" s="44">
        <f t="shared" si="617"/>
        <v>0</v>
      </c>
      <c r="S760" s="123"/>
      <c r="T760" s="219">
        <f t="shared" si="618"/>
        <v>0</v>
      </c>
      <c r="U760" s="87"/>
      <c r="V760" s="47"/>
      <c r="W760" s="48"/>
      <c r="X760" s="48"/>
      <c r="Y760" s="48"/>
      <c r="Z760" s="135"/>
      <c r="AA760" s="49"/>
      <c r="AB760" s="50">
        <f t="shared" si="619"/>
        <v>0</v>
      </c>
      <c r="AC760" s="42">
        <f t="shared" si="620"/>
        <v>9.9999999999999998E-20</v>
      </c>
      <c r="AD760" s="90"/>
      <c r="AE760" s="188"/>
      <c r="AF760" s="189"/>
      <c r="AG760" s="189"/>
      <c r="AH760" s="189"/>
      <c r="AI760" s="161"/>
    </row>
    <row r="761" spans="1:41" ht="20.100000000000001" customHeight="1" x14ac:dyDescent="0.25">
      <c r="A761" s="277" t="s">
        <v>216</v>
      </c>
      <c r="B761" s="278"/>
      <c r="C761" s="64" t="s">
        <v>320</v>
      </c>
      <c r="D761" s="46" t="s">
        <v>215</v>
      </c>
      <c r="E761" s="114"/>
      <c r="F761" s="44">
        <v>0</v>
      </c>
      <c r="G761" s="44">
        <f t="shared" si="607"/>
        <v>0</v>
      </c>
      <c r="H761" s="44">
        <f t="shared" si="608"/>
        <v>0</v>
      </c>
      <c r="I761" s="43">
        <f t="shared" si="609"/>
        <v>0</v>
      </c>
      <c r="J761" s="112">
        <f t="shared" si="610"/>
        <v>0</v>
      </c>
      <c r="K761" s="211">
        <f t="shared" si="611"/>
        <v>0</v>
      </c>
      <c r="L761" s="44"/>
      <c r="M761" s="44">
        <f t="shared" si="612"/>
        <v>0</v>
      </c>
      <c r="N761" s="173">
        <f t="shared" si="613"/>
        <v>0</v>
      </c>
      <c r="O761" s="44">
        <f t="shared" si="614"/>
        <v>0</v>
      </c>
      <c r="P761" s="44">
        <f t="shared" si="615"/>
        <v>0</v>
      </c>
      <c r="Q761" s="44">
        <f t="shared" si="616"/>
        <v>0</v>
      </c>
      <c r="R761" s="44">
        <f t="shared" si="617"/>
        <v>0</v>
      </c>
      <c r="S761" s="123"/>
      <c r="T761" s="219">
        <f t="shared" si="618"/>
        <v>0</v>
      </c>
      <c r="U761" s="87"/>
      <c r="V761" s="47"/>
      <c r="W761" s="48"/>
      <c r="X761" s="48"/>
      <c r="Y761" s="48"/>
      <c r="Z761" s="135"/>
      <c r="AA761" s="49"/>
      <c r="AB761" s="50">
        <f t="shared" si="619"/>
        <v>0</v>
      </c>
      <c r="AC761" s="42">
        <f t="shared" si="620"/>
        <v>9.9999999999999998E-20</v>
      </c>
      <c r="AD761" s="90"/>
      <c r="AE761" s="188"/>
      <c r="AF761" s="189"/>
      <c r="AG761" s="189"/>
      <c r="AH761" s="189"/>
      <c r="AI761" s="161"/>
    </row>
    <row r="762" spans="1:41" ht="20.100000000000001" customHeight="1" x14ac:dyDescent="0.25">
      <c r="A762" s="277" t="s">
        <v>216</v>
      </c>
      <c r="B762" s="278"/>
      <c r="C762" s="64" t="s">
        <v>321</v>
      </c>
      <c r="D762" s="46" t="s">
        <v>215</v>
      </c>
      <c r="E762" s="114"/>
      <c r="F762" s="44">
        <v>0</v>
      </c>
      <c r="G762" s="44">
        <f t="shared" si="607"/>
        <v>0</v>
      </c>
      <c r="H762" s="44">
        <f t="shared" si="608"/>
        <v>0</v>
      </c>
      <c r="I762" s="43">
        <f t="shared" si="609"/>
        <v>0</v>
      </c>
      <c r="J762" s="112">
        <f t="shared" si="610"/>
        <v>0</v>
      </c>
      <c r="K762" s="211">
        <f t="shared" si="611"/>
        <v>0</v>
      </c>
      <c r="L762" s="44"/>
      <c r="M762" s="44">
        <f t="shared" si="612"/>
        <v>0</v>
      </c>
      <c r="N762" s="173">
        <f t="shared" si="613"/>
        <v>0</v>
      </c>
      <c r="O762" s="44">
        <f t="shared" si="614"/>
        <v>0</v>
      </c>
      <c r="P762" s="44">
        <f t="shared" si="615"/>
        <v>0</v>
      </c>
      <c r="Q762" s="44">
        <f t="shared" si="616"/>
        <v>0</v>
      </c>
      <c r="R762" s="44">
        <f t="shared" si="617"/>
        <v>0</v>
      </c>
      <c r="S762" s="123"/>
      <c r="T762" s="219">
        <f t="shared" si="618"/>
        <v>0</v>
      </c>
      <c r="U762" s="87"/>
      <c r="V762" s="47"/>
      <c r="W762" s="48"/>
      <c r="X762" s="48"/>
      <c r="Y762" s="48"/>
      <c r="Z762" s="135"/>
      <c r="AA762" s="49"/>
      <c r="AB762" s="50">
        <f t="shared" si="619"/>
        <v>0</v>
      </c>
      <c r="AC762" s="42">
        <f t="shared" si="620"/>
        <v>9.9999999999999998E-20</v>
      </c>
      <c r="AD762" s="90"/>
      <c r="AE762" s="188"/>
      <c r="AF762" s="189"/>
      <c r="AG762" s="189"/>
      <c r="AH762" s="189"/>
      <c r="AI762" s="161"/>
    </row>
    <row r="763" spans="1:41" s="306" customFormat="1" ht="20.100000000000001" customHeight="1" x14ac:dyDescent="0.25">
      <c r="A763" s="287" t="s">
        <v>216</v>
      </c>
      <c r="B763" s="288"/>
      <c r="C763" s="286" t="s">
        <v>302</v>
      </c>
      <c r="D763" s="289"/>
      <c r="E763" s="290"/>
      <c r="F763" s="291">
        <v>0</v>
      </c>
      <c r="G763" s="291">
        <f t="shared" si="607"/>
        <v>0</v>
      </c>
      <c r="H763" s="291">
        <f t="shared" si="608"/>
        <v>0</v>
      </c>
      <c r="I763" s="292">
        <f t="shared" si="609"/>
        <v>0</v>
      </c>
      <c r="J763" s="290">
        <f t="shared" si="610"/>
        <v>0</v>
      </c>
      <c r="K763" s="293">
        <f t="shared" si="611"/>
        <v>0</v>
      </c>
      <c r="L763" s="291"/>
      <c r="M763" s="291">
        <f t="shared" si="612"/>
        <v>0</v>
      </c>
      <c r="N763" s="294">
        <f t="shared" si="613"/>
        <v>0</v>
      </c>
      <c r="O763" s="291">
        <f t="shared" si="614"/>
        <v>0</v>
      </c>
      <c r="P763" s="291">
        <f t="shared" si="615"/>
        <v>0</v>
      </c>
      <c r="Q763" s="291">
        <f t="shared" si="616"/>
        <v>0</v>
      </c>
      <c r="R763" s="291">
        <f t="shared" si="617"/>
        <v>0</v>
      </c>
      <c r="S763" s="291"/>
      <c r="T763" s="295">
        <f t="shared" si="618"/>
        <v>0</v>
      </c>
      <c r="U763" s="296"/>
      <c r="V763" s="297"/>
      <c r="W763" s="298"/>
      <c r="X763" s="299"/>
      <c r="Y763" s="300"/>
      <c r="Z763" s="301"/>
      <c r="AA763" s="300"/>
      <c r="AB763" s="300">
        <f t="shared" si="619"/>
        <v>0</v>
      </c>
      <c r="AC763" s="300">
        <f t="shared" si="620"/>
        <v>9.9999999999999998E-20</v>
      </c>
      <c r="AD763" s="302"/>
      <c r="AE763" s="303"/>
      <c r="AF763" s="304"/>
      <c r="AG763" s="304"/>
      <c r="AH763" s="304"/>
      <c r="AI763" s="305"/>
      <c r="AK763" s="307"/>
    </row>
    <row r="764" spans="1:41" s="306" customFormat="1" ht="20.100000000000001" customHeight="1" x14ac:dyDescent="0.25">
      <c r="A764" s="287" t="s">
        <v>216</v>
      </c>
      <c r="B764" s="288"/>
      <c r="C764" s="286" t="s">
        <v>324</v>
      </c>
      <c r="D764" s="289"/>
      <c r="E764" s="290"/>
      <c r="F764" s="291"/>
      <c r="G764" s="291">
        <f t="shared" si="607"/>
        <v>0</v>
      </c>
      <c r="H764" s="291">
        <f t="shared" si="608"/>
        <v>0</v>
      </c>
      <c r="I764" s="292">
        <f t="shared" si="609"/>
        <v>0</v>
      </c>
      <c r="J764" s="290">
        <f t="shared" si="610"/>
        <v>0</v>
      </c>
      <c r="K764" s="293">
        <f t="shared" si="611"/>
        <v>0</v>
      </c>
      <c r="L764" s="291"/>
      <c r="M764" s="291">
        <f t="shared" si="612"/>
        <v>0</v>
      </c>
      <c r="N764" s="294">
        <f t="shared" si="613"/>
        <v>0</v>
      </c>
      <c r="O764" s="291">
        <f t="shared" si="614"/>
        <v>0</v>
      </c>
      <c r="P764" s="291">
        <f t="shared" si="615"/>
        <v>0</v>
      </c>
      <c r="Q764" s="291">
        <f t="shared" si="616"/>
        <v>0</v>
      </c>
      <c r="R764" s="291">
        <f t="shared" si="617"/>
        <v>0</v>
      </c>
      <c r="S764" s="291"/>
      <c r="T764" s="295">
        <f t="shared" si="618"/>
        <v>0</v>
      </c>
      <c r="U764" s="296"/>
      <c r="V764" s="297"/>
      <c r="W764" s="298"/>
      <c r="X764" s="299"/>
      <c r="Y764" s="300"/>
      <c r="Z764" s="301"/>
      <c r="AA764" s="300"/>
      <c r="AB764" s="300">
        <f t="shared" si="619"/>
        <v>0</v>
      </c>
      <c r="AC764" s="300">
        <f t="shared" si="620"/>
        <v>9.9999999999999998E-20</v>
      </c>
      <c r="AD764" s="302"/>
      <c r="AE764" s="303"/>
      <c r="AF764" s="304"/>
      <c r="AG764" s="304"/>
      <c r="AH764" s="304"/>
      <c r="AI764" s="305"/>
      <c r="AK764" s="307"/>
    </row>
    <row r="765" spans="1:41" s="306" customFormat="1" ht="120" x14ac:dyDescent="0.25">
      <c r="A765" s="287" t="s">
        <v>216</v>
      </c>
      <c r="B765" s="288"/>
      <c r="C765" s="286" t="s">
        <v>325</v>
      </c>
      <c r="D765" s="289"/>
      <c r="E765" s="290"/>
      <c r="F765" s="291"/>
      <c r="G765" s="291">
        <f t="shared" si="607"/>
        <v>0</v>
      </c>
      <c r="H765" s="291">
        <f t="shared" si="608"/>
        <v>0</v>
      </c>
      <c r="I765" s="292">
        <f t="shared" si="609"/>
        <v>0</v>
      </c>
      <c r="J765" s="290">
        <f t="shared" si="610"/>
        <v>0</v>
      </c>
      <c r="K765" s="293">
        <f t="shared" si="611"/>
        <v>0</v>
      </c>
      <c r="L765" s="291"/>
      <c r="M765" s="291">
        <f t="shared" si="612"/>
        <v>0</v>
      </c>
      <c r="N765" s="294">
        <f t="shared" si="613"/>
        <v>0</v>
      </c>
      <c r="O765" s="291">
        <f t="shared" si="614"/>
        <v>0</v>
      </c>
      <c r="P765" s="291">
        <f t="shared" si="615"/>
        <v>0</v>
      </c>
      <c r="Q765" s="291">
        <f t="shared" si="616"/>
        <v>0</v>
      </c>
      <c r="R765" s="291">
        <f t="shared" si="617"/>
        <v>0</v>
      </c>
      <c r="S765" s="291"/>
      <c r="T765" s="295">
        <f t="shared" si="618"/>
        <v>0</v>
      </c>
      <c r="U765" s="296"/>
      <c r="V765" s="297"/>
      <c r="W765" s="298"/>
      <c r="X765" s="299"/>
      <c r="Y765" s="300"/>
      <c r="Z765" s="301"/>
      <c r="AA765" s="300"/>
      <c r="AB765" s="300">
        <f t="shared" si="619"/>
        <v>0</v>
      </c>
      <c r="AC765" s="300">
        <f t="shared" si="620"/>
        <v>9.9999999999999998E-20</v>
      </c>
      <c r="AD765" s="302"/>
      <c r="AE765" s="303"/>
      <c r="AF765" s="304"/>
      <c r="AG765" s="304"/>
      <c r="AH765" s="304"/>
      <c r="AI765" s="305"/>
      <c r="AK765" s="307"/>
    </row>
    <row r="766" spans="1:41" ht="25.5" x14ac:dyDescent="0.25">
      <c r="A766" s="277" t="s">
        <v>216</v>
      </c>
      <c r="B766" s="278"/>
      <c r="C766" s="64" t="s">
        <v>326</v>
      </c>
      <c r="D766" s="46" t="s">
        <v>215</v>
      </c>
      <c r="E766" s="114">
        <v>108.20000000000005</v>
      </c>
      <c r="F766" s="44">
        <v>13847</v>
      </c>
      <c r="G766" s="44">
        <f t="shared" si="607"/>
        <v>1498245.4000000006</v>
      </c>
      <c r="H766" s="44">
        <f t="shared" si="608"/>
        <v>8531</v>
      </c>
      <c r="I766" s="43">
        <f t="shared" si="609"/>
        <v>923054.20000000042</v>
      </c>
      <c r="J766" s="112">
        <f t="shared" si="610"/>
        <v>108.20000000000005</v>
      </c>
      <c r="K766" s="211">
        <f t="shared" si="611"/>
        <v>108.20000000000005</v>
      </c>
      <c r="L766" s="44"/>
      <c r="M766" s="44">
        <f t="shared" si="612"/>
        <v>108.20000000000005</v>
      </c>
      <c r="N766" s="173">
        <f t="shared" si="613"/>
        <v>1</v>
      </c>
      <c r="O766" s="44">
        <f t="shared" si="614"/>
        <v>13847</v>
      </c>
      <c r="P766" s="44">
        <f t="shared" si="615"/>
        <v>1498245.4000000006</v>
      </c>
      <c r="Q766" s="44">
        <f t="shared" si="616"/>
        <v>8531</v>
      </c>
      <c r="R766" s="44">
        <f t="shared" si="617"/>
        <v>923054.20000000042</v>
      </c>
      <c r="S766" s="123"/>
      <c r="T766" s="219">
        <f t="shared" si="618"/>
        <v>923054.20000000042</v>
      </c>
      <c r="U766" s="87"/>
      <c r="V766" s="47"/>
      <c r="W766" s="48"/>
      <c r="X766" s="48"/>
      <c r="Y766" s="48"/>
      <c r="Z766" s="135"/>
      <c r="AA766" s="49"/>
      <c r="AB766" s="50">
        <f t="shared" si="619"/>
        <v>8531</v>
      </c>
      <c r="AC766" s="42">
        <f t="shared" si="620"/>
        <v>108.20000000000005</v>
      </c>
      <c r="AD766" s="90">
        <f>AD767</f>
        <v>923054.20000000042</v>
      </c>
      <c r="AE766" s="188">
        <f t="shared" ref="AE766:AH766" si="651">AE767</f>
        <v>0</v>
      </c>
      <c r="AF766" s="189">
        <f t="shared" si="651"/>
        <v>0</v>
      </c>
      <c r="AG766" s="189">
        <f t="shared" si="651"/>
        <v>0</v>
      </c>
      <c r="AH766" s="189">
        <f t="shared" si="651"/>
        <v>0</v>
      </c>
      <c r="AI766" s="161">
        <f t="shared" ref="AI766" si="652">SUM(AE766:AH766)</f>
        <v>0</v>
      </c>
      <c r="AK766" s="169">
        <v>5</v>
      </c>
      <c r="AO766" s="19" t="s">
        <v>63</v>
      </c>
    </row>
    <row r="767" spans="1:41" s="103" customFormat="1" ht="19.899999999999999" customHeight="1" x14ac:dyDescent="0.25">
      <c r="A767" s="51"/>
      <c r="B767" s="52"/>
      <c r="C767" s="165"/>
      <c r="D767" s="52"/>
      <c r="E767" s="115"/>
      <c r="F767" s="58"/>
      <c r="G767" s="58"/>
      <c r="H767" s="58"/>
      <c r="I767" s="55"/>
      <c r="J767" s="113">
        <f>J766</f>
        <v>108.20000000000005</v>
      </c>
      <c r="K767" s="212">
        <f>K766</f>
        <v>108.20000000000005</v>
      </c>
      <c r="L767" s="58"/>
      <c r="M767" s="58">
        <f>K767-L767</f>
        <v>108.20000000000005</v>
      </c>
      <c r="N767" s="166"/>
      <c r="O767" s="58"/>
      <c r="P767" s="58"/>
      <c r="Q767" s="58"/>
      <c r="R767" s="58"/>
      <c r="S767" s="58"/>
      <c r="T767" s="220"/>
      <c r="U767" s="88"/>
      <c r="V767" s="56"/>
      <c r="W767" s="57" t="s">
        <v>324</v>
      </c>
      <c r="X767" s="53"/>
      <c r="Y767" s="91" t="s">
        <v>35</v>
      </c>
      <c r="Z767" s="136">
        <f>AD767/AC767</f>
        <v>8531</v>
      </c>
      <c r="AA767" s="58"/>
      <c r="AB767" s="53">
        <f>AD767/AC767</f>
        <v>8531</v>
      </c>
      <c r="AC767" s="53">
        <f>M767+$AE$10</f>
        <v>108.20000000000005</v>
      </c>
      <c r="AD767" s="54">
        <f>SUM(AD768)</f>
        <v>923054.20000000042</v>
      </c>
      <c r="AE767" s="184">
        <f>SUMIFS($AD$37:$AD$12971,$V$37:$V$12971,$V767,$X$37:$X$12971,AE$13)</f>
        <v>0</v>
      </c>
      <c r="AF767" s="185">
        <f>SUMIFS($AD$37:$AD$12971,$V$37:$V$12971,$V767,$X$37:$X$12971,AF$13)</f>
        <v>0</v>
      </c>
      <c r="AG767" s="185">
        <f>SUMIFS($AD$37:$AD$12971,$V$37:$V$12971,$V767,$X$37:$X$12971,AG$13)</f>
        <v>0</v>
      </c>
      <c r="AH767" s="187">
        <f>SUMIFS($AD$37:$AD$12971,$V$37:$V$12971,$V767,$X$37:$X$12971,AH$13)</f>
        <v>0</v>
      </c>
      <c r="AI767" s="161">
        <f t="shared" ref="AI767" si="653">SUM(AE767:AH767)</f>
        <v>0</v>
      </c>
      <c r="AK767" s="172"/>
    </row>
    <row r="768" spans="1:41" s="102" customFormat="1" ht="19.899999999999999" customHeight="1" x14ac:dyDescent="0.25">
      <c r="A768" s="45"/>
      <c r="B768" s="59"/>
      <c r="C768" s="137"/>
      <c r="D768" s="59"/>
      <c r="E768" s="116"/>
      <c r="F768" s="120"/>
      <c r="G768" s="120"/>
      <c r="H768" s="120"/>
      <c r="I768" s="60"/>
      <c r="J768" s="116"/>
      <c r="K768" s="213"/>
      <c r="L768" s="120"/>
      <c r="M768" s="120"/>
      <c r="N768" s="167"/>
      <c r="O768" s="120"/>
      <c r="P768" s="120"/>
      <c r="Q768" s="120"/>
      <c r="R768" s="120"/>
      <c r="S768" s="120"/>
      <c r="T768" s="221"/>
      <c r="U768" s="89"/>
      <c r="V768" s="61"/>
      <c r="W768" s="92" t="s">
        <v>1348</v>
      </c>
      <c r="X768" s="93" t="s">
        <v>32</v>
      </c>
      <c r="Y768" s="93" t="s">
        <v>1349</v>
      </c>
      <c r="Z768" s="134">
        <f>VLOOKUP(W768,Sheet2!$B:$D,3,FALSE)</f>
        <v>8531</v>
      </c>
      <c r="AA768" s="93">
        <v>1</v>
      </c>
      <c r="AB768" s="93">
        <f t="shared" ref="AB768" si="654">AD768/AC767</f>
        <v>8531</v>
      </c>
      <c r="AC768" s="93">
        <f>AC767/AA768</f>
        <v>108.20000000000005</v>
      </c>
      <c r="AD768" s="94">
        <f t="shared" ref="AD768" si="655">AC768*Z768</f>
        <v>923054.20000000042</v>
      </c>
      <c r="AE768" s="190"/>
      <c r="AF768" s="191"/>
      <c r="AG768" s="191"/>
      <c r="AH768" s="191"/>
      <c r="AI768" s="186"/>
      <c r="AK768" s="171"/>
    </row>
    <row r="769" spans="1:41" ht="20.100000000000001" customHeight="1" x14ac:dyDescent="0.25">
      <c r="A769" s="277" t="s">
        <v>216</v>
      </c>
      <c r="B769" s="278"/>
      <c r="C769" s="64" t="s">
        <v>327</v>
      </c>
      <c r="D769" s="46" t="s">
        <v>328</v>
      </c>
      <c r="E769" s="114"/>
      <c r="F769" s="44">
        <v>0</v>
      </c>
      <c r="G769" s="44">
        <f t="shared" si="607"/>
        <v>0</v>
      </c>
      <c r="H769" s="44">
        <f t="shared" si="608"/>
        <v>0</v>
      </c>
      <c r="I769" s="43">
        <f t="shared" si="609"/>
        <v>0</v>
      </c>
      <c r="J769" s="112">
        <f t="shared" si="610"/>
        <v>0</v>
      </c>
      <c r="K769" s="211">
        <f t="shared" si="611"/>
        <v>0</v>
      </c>
      <c r="L769" s="44"/>
      <c r="M769" s="44">
        <f t="shared" si="612"/>
        <v>0</v>
      </c>
      <c r="N769" s="173">
        <f t="shared" si="613"/>
        <v>0</v>
      </c>
      <c r="O769" s="44">
        <f t="shared" si="614"/>
        <v>0</v>
      </c>
      <c r="P769" s="44">
        <f t="shared" si="615"/>
        <v>0</v>
      </c>
      <c r="Q769" s="44">
        <f t="shared" si="616"/>
        <v>0</v>
      </c>
      <c r="R769" s="44">
        <f t="shared" si="617"/>
        <v>0</v>
      </c>
      <c r="S769" s="123"/>
      <c r="T769" s="219">
        <f t="shared" si="618"/>
        <v>0</v>
      </c>
      <c r="U769" s="87"/>
      <c r="V769" s="47"/>
      <c r="W769" s="48"/>
      <c r="X769" s="48"/>
      <c r="Y769" s="48"/>
      <c r="Z769" s="135"/>
      <c r="AA769" s="49"/>
      <c r="AB769" s="50">
        <f t="shared" si="619"/>
        <v>0</v>
      </c>
      <c r="AC769" s="42">
        <f t="shared" si="620"/>
        <v>9.9999999999999998E-20</v>
      </c>
      <c r="AD769" s="90"/>
      <c r="AE769" s="188"/>
      <c r="AF769" s="189"/>
      <c r="AG769" s="189"/>
      <c r="AH769" s="189"/>
      <c r="AI769" s="161"/>
    </row>
    <row r="770" spans="1:41" ht="20.100000000000001" customHeight="1" x14ac:dyDescent="0.25">
      <c r="A770" s="277" t="s">
        <v>216</v>
      </c>
      <c r="B770" s="278"/>
      <c r="C770" s="64" t="s">
        <v>329</v>
      </c>
      <c r="D770" s="46" t="s">
        <v>328</v>
      </c>
      <c r="E770" s="114"/>
      <c r="F770" s="44">
        <v>0</v>
      </c>
      <c r="G770" s="44">
        <f t="shared" si="607"/>
        <v>0</v>
      </c>
      <c r="H770" s="44">
        <f t="shared" si="608"/>
        <v>0</v>
      </c>
      <c r="I770" s="43">
        <f t="shared" si="609"/>
        <v>0</v>
      </c>
      <c r="J770" s="112">
        <f t="shared" si="610"/>
        <v>0</v>
      </c>
      <c r="K770" s="211">
        <f t="shared" si="611"/>
        <v>0</v>
      </c>
      <c r="L770" s="44"/>
      <c r="M770" s="44">
        <f t="shared" si="612"/>
        <v>0</v>
      </c>
      <c r="N770" s="173">
        <f t="shared" si="613"/>
        <v>0</v>
      </c>
      <c r="O770" s="44">
        <f t="shared" si="614"/>
        <v>0</v>
      </c>
      <c r="P770" s="44">
        <f t="shared" si="615"/>
        <v>0</v>
      </c>
      <c r="Q770" s="44">
        <f t="shared" si="616"/>
        <v>0</v>
      </c>
      <c r="R770" s="44">
        <f t="shared" si="617"/>
        <v>0</v>
      </c>
      <c r="S770" s="123"/>
      <c r="T770" s="219">
        <f t="shared" si="618"/>
        <v>0</v>
      </c>
      <c r="U770" s="87"/>
      <c r="V770" s="47"/>
      <c r="W770" s="48"/>
      <c r="X770" s="48"/>
      <c r="Y770" s="48"/>
      <c r="Z770" s="135"/>
      <c r="AA770" s="49"/>
      <c r="AB770" s="50">
        <f t="shared" si="619"/>
        <v>0</v>
      </c>
      <c r="AC770" s="42">
        <f t="shared" si="620"/>
        <v>9.9999999999999998E-20</v>
      </c>
      <c r="AD770" s="90"/>
      <c r="AE770" s="188"/>
      <c r="AF770" s="189"/>
      <c r="AG770" s="189"/>
      <c r="AH770" s="189"/>
      <c r="AI770" s="161"/>
    </row>
    <row r="771" spans="1:41" ht="20.100000000000001" customHeight="1" x14ac:dyDescent="0.25">
      <c r="A771" s="277" t="s">
        <v>216</v>
      </c>
      <c r="B771" s="278"/>
      <c r="C771" s="64" t="s">
        <v>329</v>
      </c>
      <c r="D771" s="46" t="s">
        <v>328</v>
      </c>
      <c r="E771" s="114"/>
      <c r="F771" s="44">
        <v>0</v>
      </c>
      <c r="G771" s="44">
        <f t="shared" si="607"/>
        <v>0</v>
      </c>
      <c r="H771" s="44">
        <f t="shared" si="608"/>
        <v>0</v>
      </c>
      <c r="I771" s="43">
        <f t="shared" si="609"/>
        <v>0</v>
      </c>
      <c r="J771" s="112">
        <f t="shared" si="610"/>
        <v>0</v>
      </c>
      <c r="K771" s="211">
        <f t="shared" si="611"/>
        <v>0</v>
      </c>
      <c r="L771" s="44"/>
      <c r="M771" s="44">
        <f t="shared" si="612"/>
        <v>0</v>
      </c>
      <c r="N771" s="173">
        <f t="shared" si="613"/>
        <v>0</v>
      </c>
      <c r="O771" s="44">
        <f t="shared" si="614"/>
        <v>0</v>
      </c>
      <c r="P771" s="44">
        <f t="shared" si="615"/>
        <v>0</v>
      </c>
      <c r="Q771" s="44">
        <f t="shared" si="616"/>
        <v>0</v>
      </c>
      <c r="R771" s="44">
        <f t="shared" si="617"/>
        <v>0</v>
      </c>
      <c r="S771" s="123"/>
      <c r="T771" s="219">
        <f t="shared" si="618"/>
        <v>0</v>
      </c>
      <c r="U771" s="87"/>
      <c r="V771" s="47"/>
      <c r="W771" s="48"/>
      <c r="X771" s="48"/>
      <c r="Y771" s="48"/>
      <c r="Z771" s="135"/>
      <c r="AA771" s="49"/>
      <c r="AB771" s="50">
        <f t="shared" si="619"/>
        <v>0</v>
      </c>
      <c r="AC771" s="42">
        <f t="shared" si="620"/>
        <v>9.9999999999999998E-20</v>
      </c>
      <c r="AD771" s="90"/>
      <c r="AE771" s="188"/>
      <c r="AF771" s="189"/>
      <c r="AG771" s="189"/>
      <c r="AH771" s="189"/>
      <c r="AI771" s="161"/>
    </row>
    <row r="772" spans="1:41" s="306" customFormat="1" ht="90" x14ac:dyDescent="0.25">
      <c r="A772" s="287" t="s">
        <v>216</v>
      </c>
      <c r="B772" s="288"/>
      <c r="C772" s="286" t="s">
        <v>1350</v>
      </c>
      <c r="D772" s="289"/>
      <c r="E772" s="290"/>
      <c r="F772" s="291"/>
      <c r="G772" s="291">
        <f t="shared" si="607"/>
        <v>0</v>
      </c>
      <c r="H772" s="291">
        <f t="shared" si="608"/>
        <v>0</v>
      </c>
      <c r="I772" s="292">
        <f t="shared" si="609"/>
        <v>0</v>
      </c>
      <c r="J772" s="290">
        <f t="shared" si="610"/>
        <v>0</v>
      </c>
      <c r="K772" s="293">
        <f t="shared" si="611"/>
        <v>0</v>
      </c>
      <c r="L772" s="291"/>
      <c r="M772" s="291">
        <f t="shared" si="612"/>
        <v>0</v>
      </c>
      <c r="N772" s="294">
        <f t="shared" si="613"/>
        <v>0</v>
      </c>
      <c r="O772" s="291">
        <f t="shared" si="614"/>
        <v>0</v>
      </c>
      <c r="P772" s="291">
        <f t="shared" si="615"/>
        <v>0</v>
      </c>
      <c r="Q772" s="291">
        <f t="shared" si="616"/>
        <v>0</v>
      </c>
      <c r="R772" s="291">
        <f t="shared" si="617"/>
        <v>0</v>
      </c>
      <c r="S772" s="291"/>
      <c r="T772" s="295">
        <f t="shared" si="618"/>
        <v>0</v>
      </c>
      <c r="U772" s="296"/>
      <c r="V772" s="297"/>
      <c r="W772" s="298"/>
      <c r="X772" s="299"/>
      <c r="Y772" s="300"/>
      <c r="Z772" s="301"/>
      <c r="AA772" s="300"/>
      <c r="AB772" s="300">
        <f t="shared" si="619"/>
        <v>0</v>
      </c>
      <c r="AC772" s="300">
        <f t="shared" si="620"/>
        <v>9.9999999999999998E-20</v>
      </c>
      <c r="AD772" s="302"/>
      <c r="AE772" s="303"/>
      <c r="AF772" s="304"/>
      <c r="AG772" s="304"/>
      <c r="AH772" s="304"/>
      <c r="AI772" s="305"/>
      <c r="AK772" s="307"/>
    </row>
    <row r="773" spans="1:41" s="306" customFormat="1" ht="20.100000000000001" customHeight="1" x14ac:dyDescent="0.25">
      <c r="A773" s="287" t="s">
        <v>216</v>
      </c>
      <c r="B773" s="288"/>
      <c r="C773" s="286" t="s">
        <v>330</v>
      </c>
      <c r="D773" s="289"/>
      <c r="E773" s="290"/>
      <c r="F773" s="291"/>
      <c r="G773" s="291">
        <f t="shared" ref="G773" si="656">F773*E773</f>
        <v>0</v>
      </c>
      <c r="H773" s="291">
        <f t="shared" ref="H773" si="657">AB773</f>
        <v>0</v>
      </c>
      <c r="I773" s="292">
        <f t="shared" ref="I773" si="658">H773*E773</f>
        <v>0</v>
      </c>
      <c r="J773" s="290">
        <f t="shared" ref="J773" si="659">E773</f>
        <v>0</v>
      </c>
      <c r="K773" s="293">
        <f t="shared" ref="K773" si="660">J773</f>
        <v>0</v>
      </c>
      <c r="L773" s="291"/>
      <c r="M773" s="291">
        <f t="shared" ref="M773" si="661">K773-L773</f>
        <v>0</v>
      </c>
      <c r="N773" s="294">
        <f t="shared" ref="N773" si="662">IFERROR(M773/K773,0)</f>
        <v>0</v>
      </c>
      <c r="O773" s="291">
        <f t="shared" ref="O773" si="663">F773</f>
        <v>0</v>
      </c>
      <c r="P773" s="291">
        <f t="shared" ref="P773" si="664">K773*O773</f>
        <v>0</v>
      </c>
      <c r="Q773" s="291">
        <f t="shared" ref="Q773" si="665">AB773</f>
        <v>0</v>
      </c>
      <c r="R773" s="291">
        <f t="shared" ref="R773" si="666">M773*Q773</f>
        <v>0</v>
      </c>
      <c r="S773" s="291"/>
      <c r="T773" s="295">
        <f t="shared" ref="T773" si="667">S773+R773</f>
        <v>0</v>
      </c>
      <c r="U773" s="296"/>
      <c r="V773" s="297"/>
      <c r="W773" s="298"/>
      <c r="X773" s="299"/>
      <c r="Y773" s="300"/>
      <c r="Z773" s="301"/>
      <c r="AA773" s="300"/>
      <c r="AB773" s="300">
        <f t="shared" ref="AB773" si="668">AD773/AC773</f>
        <v>0</v>
      </c>
      <c r="AC773" s="300">
        <f t="shared" ref="AC773" si="669">M773+$AE$10</f>
        <v>9.9999999999999998E-20</v>
      </c>
      <c r="AD773" s="302"/>
      <c r="AE773" s="303"/>
      <c r="AF773" s="304"/>
      <c r="AG773" s="304"/>
      <c r="AH773" s="304"/>
      <c r="AI773" s="305"/>
      <c r="AK773" s="307"/>
    </row>
    <row r="774" spans="1:41" ht="20.100000000000001" customHeight="1" x14ac:dyDescent="0.25">
      <c r="A774" s="277" t="s">
        <v>216</v>
      </c>
      <c r="B774" s="278"/>
      <c r="C774" s="64" t="s">
        <v>331</v>
      </c>
      <c r="D774" s="46" t="s">
        <v>328</v>
      </c>
      <c r="E774" s="114">
        <v>47.622500000000002</v>
      </c>
      <c r="F774" s="44">
        <v>19197</v>
      </c>
      <c r="G774" s="44">
        <f t="shared" si="607"/>
        <v>914209.13250000007</v>
      </c>
      <c r="H774" s="44">
        <f t="shared" si="608"/>
        <v>12286.179576470588</v>
      </c>
      <c r="I774" s="43">
        <f t="shared" si="609"/>
        <v>585098.58688047063</v>
      </c>
      <c r="J774" s="112">
        <f t="shared" si="610"/>
        <v>47.622500000000002</v>
      </c>
      <c r="K774" s="211">
        <f t="shared" si="611"/>
        <v>47.622500000000002</v>
      </c>
      <c r="L774" s="44"/>
      <c r="M774" s="44">
        <f t="shared" si="612"/>
        <v>47.622500000000002</v>
      </c>
      <c r="N774" s="173">
        <f t="shared" si="613"/>
        <v>1</v>
      </c>
      <c r="O774" s="44">
        <f t="shared" si="614"/>
        <v>19197</v>
      </c>
      <c r="P774" s="44">
        <f t="shared" si="615"/>
        <v>914209.13250000007</v>
      </c>
      <c r="Q774" s="44">
        <f t="shared" si="616"/>
        <v>12286.179576470588</v>
      </c>
      <c r="R774" s="44">
        <f t="shared" si="617"/>
        <v>585098.58688047063</v>
      </c>
      <c r="S774" s="123"/>
      <c r="T774" s="219">
        <f t="shared" si="618"/>
        <v>585098.58688047063</v>
      </c>
      <c r="U774" s="87"/>
      <c r="V774" s="47"/>
      <c r="W774" s="48"/>
      <c r="X774" s="48"/>
      <c r="Y774" s="48"/>
      <c r="Z774" s="135"/>
      <c r="AA774" s="49"/>
      <c r="AB774" s="50">
        <f t="shared" si="619"/>
        <v>12286.179576470588</v>
      </c>
      <c r="AC774" s="42">
        <f t="shared" si="620"/>
        <v>47.622500000000002</v>
      </c>
      <c r="AD774" s="90">
        <f>AD775+AD780+AD792+AD795</f>
        <v>585098.58688047063</v>
      </c>
      <c r="AE774" s="188">
        <f t="shared" ref="AE774:AH774" si="670">AE775+AE780+AE792+AE795</f>
        <v>0</v>
      </c>
      <c r="AF774" s="189">
        <f t="shared" si="670"/>
        <v>0</v>
      </c>
      <c r="AG774" s="189">
        <f t="shared" si="670"/>
        <v>0</v>
      </c>
      <c r="AH774" s="189">
        <f t="shared" si="670"/>
        <v>0</v>
      </c>
      <c r="AI774" s="161">
        <f t="shared" ref="AI774:AI805" si="671">SUM(AE774:AH774)</f>
        <v>0</v>
      </c>
      <c r="AK774" s="169">
        <v>5</v>
      </c>
      <c r="AO774" s="19" t="s">
        <v>63</v>
      </c>
    </row>
    <row r="775" spans="1:41" s="103" customFormat="1" ht="19.899999999999999" customHeight="1" x14ac:dyDescent="0.25">
      <c r="A775" s="51"/>
      <c r="B775" s="52"/>
      <c r="C775" s="165"/>
      <c r="D775" s="52"/>
      <c r="E775" s="115"/>
      <c r="F775" s="58"/>
      <c r="G775" s="58"/>
      <c r="H775" s="58"/>
      <c r="I775" s="55"/>
      <c r="J775" s="113">
        <f>J774</f>
        <v>47.622500000000002</v>
      </c>
      <c r="K775" s="212">
        <f>K774</f>
        <v>47.622500000000002</v>
      </c>
      <c r="L775" s="58"/>
      <c r="M775" s="58">
        <f>K775-L775</f>
        <v>47.622500000000002</v>
      </c>
      <c r="N775" s="166"/>
      <c r="O775" s="58"/>
      <c r="P775" s="58"/>
      <c r="Q775" s="58"/>
      <c r="R775" s="58"/>
      <c r="S775" s="58"/>
      <c r="T775" s="220"/>
      <c r="U775" s="88"/>
      <c r="V775" s="56"/>
      <c r="W775" s="57" t="s">
        <v>1351</v>
      </c>
      <c r="X775" s="53"/>
      <c r="Y775" s="91" t="s">
        <v>35</v>
      </c>
      <c r="Z775" s="136">
        <f>AD775/AC775</f>
        <v>90.496941176470585</v>
      </c>
      <c r="AA775" s="58"/>
      <c r="AB775" s="53">
        <f>AD775/AC775</f>
        <v>90.496941176470585</v>
      </c>
      <c r="AC775" s="53">
        <f>M775+$AE$10</f>
        <v>47.622500000000002</v>
      </c>
      <c r="AD775" s="54">
        <f>SUM(AD776:AD779)</f>
        <v>4309.6905811764709</v>
      </c>
      <c r="AE775" s="184">
        <f>SUMIFS($AD$37:$AD$12971,$V$37:$V$12971,$V775,$X$37:$X$12971,AE$13)</f>
        <v>0</v>
      </c>
      <c r="AF775" s="185">
        <f>SUMIFS($AD$37:$AD$12971,$V$37:$V$12971,$V775,$X$37:$X$12971,AF$13)</f>
        <v>0</v>
      </c>
      <c r="AG775" s="185">
        <f>SUMIFS($AD$37:$AD$12971,$V$37:$V$12971,$V775,$X$37:$X$12971,AG$13)</f>
        <v>0</v>
      </c>
      <c r="AH775" s="187">
        <f>SUMIFS($AD$37:$AD$12971,$V$37:$V$12971,$V775,$X$37:$X$12971,AH$13)</f>
        <v>0</v>
      </c>
      <c r="AI775" s="161">
        <f t="shared" ref="AI775" si="672">SUM(AE775:AH775)</f>
        <v>0</v>
      </c>
      <c r="AK775" s="172"/>
    </row>
    <row r="776" spans="1:41" s="102" customFormat="1" ht="19.899999999999999" customHeight="1" x14ac:dyDescent="0.25">
      <c r="A776" s="45"/>
      <c r="B776" s="59"/>
      <c r="C776" s="137"/>
      <c r="D776" s="59"/>
      <c r="E776" s="116"/>
      <c r="F776" s="120"/>
      <c r="G776" s="120"/>
      <c r="H776" s="120"/>
      <c r="I776" s="60"/>
      <c r="J776" s="116"/>
      <c r="K776" s="213"/>
      <c r="L776" s="120"/>
      <c r="M776" s="120"/>
      <c r="N776" s="167"/>
      <c r="O776" s="120"/>
      <c r="P776" s="120"/>
      <c r="Q776" s="120"/>
      <c r="R776" s="120"/>
      <c r="S776" s="120"/>
      <c r="T776" s="221"/>
      <c r="U776" s="89"/>
      <c r="V776" s="61"/>
      <c r="W776" s="92" t="s">
        <v>129</v>
      </c>
      <c r="X776" s="93" t="s">
        <v>29</v>
      </c>
      <c r="Y776" s="93" t="s">
        <v>93</v>
      </c>
      <c r="Z776" s="134">
        <f>VLOOKUP(W776,Sheet2!$B:$D,3,FALSE)</f>
        <v>56</v>
      </c>
      <c r="AA776" s="93">
        <f>100/(3*3*2.5)</f>
        <v>4.4444444444444446</v>
      </c>
      <c r="AB776" s="93">
        <f t="shared" ref="AB776" si="673">AD776/AC775</f>
        <v>12.6</v>
      </c>
      <c r="AC776" s="93">
        <f>AC775/AA776</f>
        <v>10.7150625</v>
      </c>
      <c r="AD776" s="94">
        <f t="shared" ref="AD776:AD777" si="674">AC776*Z776</f>
        <v>600.04349999999999</v>
      </c>
      <c r="AE776" s="190"/>
      <c r="AF776" s="191"/>
      <c r="AG776" s="191"/>
      <c r="AH776" s="191"/>
      <c r="AI776" s="186"/>
      <c r="AK776" s="171"/>
    </row>
    <row r="777" spans="1:41" s="102" customFormat="1" ht="19.899999999999999" customHeight="1" x14ac:dyDescent="0.25">
      <c r="A777" s="45"/>
      <c r="B777" s="59"/>
      <c r="C777" s="137"/>
      <c r="D777" s="59"/>
      <c r="E777" s="116"/>
      <c r="F777" s="120"/>
      <c r="G777" s="120"/>
      <c r="H777" s="120"/>
      <c r="I777" s="60"/>
      <c r="J777" s="116"/>
      <c r="K777" s="213"/>
      <c r="L777" s="120"/>
      <c r="M777" s="120"/>
      <c r="N777" s="167"/>
      <c r="O777" s="120"/>
      <c r="P777" s="120"/>
      <c r="Q777" s="120"/>
      <c r="R777" s="120"/>
      <c r="S777" s="120"/>
      <c r="T777" s="221"/>
      <c r="U777" s="89"/>
      <c r="V777" s="61"/>
      <c r="W777" s="92" t="s">
        <v>65</v>
      </c>
      <c r="X777" s="93" t="s">
        <v>30</v>
      </c>
      <c r="Y777" s="93" t="s">
        <v>1011</v>
      </c>
      <c r="Z777" s="134">
        <f>VLOOKUP(W777,Sheet2!$B:$D,3,FALSE)</f>
        <v>1.76</v>
      </c>
      <c r="AA777" s="93">
        <f>AA776/14</f>
        <v>0.3174603174603175</v>
      </c>
      <c r="AB777" s="93">
        <f>AD777/AC775</f>
        <v>5.5439999999999996</v>
      </c>
      <c r="AC777" s="93">
        <f>AC775/AA777</f>
        <v>150.010875</v>
      </c>
      <c r="AD777" s="94">
        <f t="shared" si="674"/>
        <v>264.01913999999999</v>
      </c>
      <c r="AE777" s="190"/>
      <c r="AF777" s="191"/>
      <c r="AG777" s="191"/>
      <c r="AH777" s="191"/>
      <c r="AI777" s="186"/>
      <c r="AK777" s="171"/>
    </row>
    <row r="778" spans="1:41" s="102" customFormat="1" ht="19.899999999999999" customHeight="1" x14ac:dyDescent="0.25">
      <c r="A778" s="45"/>
      <c r="B778" s="59"/>
      <c r="C778" s="137"/>
      <c r="D778" s="59"/>
      <c r="E778" s="116"/>
      <c r="F778" s="120"/>
      <c r="G778" s="120"/>
      <c r="H778" s="120"/>
      <c r="I778" s="60"/>
      <c r="J778" s="116"/>
      <c r="K778" s="213"/>
      <c r="L778" s="120"/>
      <c r="M778" s="120"/>
      <c r="N778" s="167"/>
      <c r="O778" s="120"/>
      <c r="P778" s="120"/>
      <c r="Q778" s="120"/>
      <c r="R778" s="120"/>
      <c r="S778" s="120"/>
      <c r="T778" s="221"/>
      <c r="U778" s="89"/>
      <c r="V778" s="61"/>
      <c r="W778" s="92" t="s">
        <v>161</v>
      </c>
      <c r="X778" s="93" t="s">
        <v>29</v>
      </c>
      <c r="Y778" s="93" t="s">
        <v>93</v>
      </c>
      <c r="Z778" s="134">
        <f>VLOOKUP(W778,Sheet2!$B:$D,3,FALSE)</f>
        <v>48</v>
      </c>
      <c r="AA778" s="93">
        <f>(16*0.85*1.5)/(3*3*2.5)</f>
        <v>0.90666666666666662</v>
      </c>
      <c r="AB778" s="93">
        <f>AD778/AC775</f>
        <v>52.941176470588232</v>
      </c>
      <c r="AC778" s="93">
        <f>AC775/AA778</f>
        <v>52.524816176470594</v>
      </c>
      <c r="AD778" s="94">
        <f>AC778*Z778</f>
        <v>2521.1911764705883</v>
      </c>
      <c r="AE778" s="190"/>
      <c r="AF778" s="191"/>
      <c r="AG778" s="191"/>
      <c r="AH778" s="191"/>
      <c r="AI778" s="186"/>
      <c r="AK778" s="171"/>
    </row>
    <row r="779" spans="1:41" s="102" customFormat="1" ht="19.899999999999999" customHeight="1" x14ac:dyDescent="0.25">
      <c r="A779" s="45"/>
      <c r="B779" s="59"/>
      <c r="C779" s="137"/>
      <c r="D779" s="59"/>
      <c r="E779" s="116"/>
      <c r="F779" s="120"/>
      <c r="G779" s="120"/>
      <c r="H779" s="120"/>
      <c r="I779" s="60"/>
      <c r="J779" s="116"/>
      <c r="K779" s="213"/>
      <c r="L779" s="120"/>
      <c r="M779" s="120"/>
      <c r="N779" s="167"/>
      <c r="O779" s="120"/>
      <c r="P779" s="120"/>
      <c r="Q779" s="120"/>
      <c r="R779" s="120"/>
      <c r="S779" s="120"/>
      <c r="T779" s="221"/>
      <c r="U779" s="89"/>
      <c r="V779" s="61"/>
      <c r="W779" s="92" t="s">
        <v>65</v>
      </c>
      <c r="X779" s="93" t="s">
        <v>30</v>
      </c>
      <c r="Y779" s="93" t="s">
        <v>1011</v>
      </c>
      <c r="Z779" s="134">
        <f>VLOOKUP(W779,Sheet2!$B:$D,3,FALSE)</f>
        <v>1.76</v>
      </c>
      <c r="AA779" s="93">
        <f>AA778/10</f>
        <v>9.0666666666666659E-2</v>
      </c>
      <c r="AB779" s="93">
        <f>AD779/AC775</f>
        <v>19.411764705882355</v>
      </c>
      <c r="AC779" s="93">
        <f>AC775/AA779</f>
        <v>525.24816176470597</v>
      </c>
      <c r="AD779" s="94">
        <f>AC779*Z779</f>
        <v>924.43676470588252</v>
      </c>
      <c r="AE779" s="190"/>
      <c r="AF779" s="191"/>
      <c r="AG779" s="191"/>
      <c r="AH779" s="191"/>
      <c r="AI779" s="186"/>
      <c r="AK779" s="171"/>
    </row>
    <row r="780" spans="1:41" s="103" customFormat="1" ht="19.899999999999999" customHeight="1" x14ac:dyDescent="0.25">
      <c r="A780" s="51"/>
      <c r="B780" s="52"/>
      <c r="C780" s="165"/>
      <c r="D780" s="52"/>
      <c r="E780" s="115"/>
      <c r="F780" s="58"/>
      <c r="G780" s="58"/>
      <c r="H780" s="58"/>
      <c r="I780" s="55"/>
      <c r="J780" s="113">
        <f>J774</f>
        <v>47.622500000000002</v>
      </c>
      <c r="K780" s="212">
        <f>K774</f>
        <v>47.622500000000002</v>
      </c>
      <c r="L780" s="58"/>
      <c r="M780" s="58">
        <f>K780-L780</f>
        <v>47.622500000000002</v>
      </c>
      <c r="N780" s="166"/>
      <c r="O780" s="58"/>
      <c r="P780" s="58"/>
      <c r="Q780" s="58"/>
      <c r="R780" s="58"/>
      <c r="S780" s="58"/>
      <c r="T780" s="220"/>
      <c r="U780" s="88"/>
      <c r="V780" s="56"/>
      <c r="W780" s="57" t="s">
        <v>1352</v>
      </c>
      <c r="X780" s="53"/>
      <c r="Y780" s="91" t="s">
        <v>35</v>
      </c>
      <c r="Z780" s="136">
        <f>AD780/AC780</f>
        <v>9186.5999999999985</v>
      </c>
      <c r="AA780" s="58"/>
      <c r="AB780" s="53">
        <f>AD780/AC780</f>
        <v>9186.5999999999985</v>
      </c>
      <c r="AC780" s="53">
        <f>M780+$AE$10</f>
        <v>47.622500000000002</v>
      </c>
      <c r="AD780" s="54">
        <f>SUM(AD781:AD791)</f>
        <v>437488.85849999997</v>
      </c>
      <c r="AE780" s="184">
        <f>SUMIFS($AD$37:$AD$12971,$V$37:$V$12971,$V780,$X$37:$X$12971,AE$13)</f>
        <v>0</v>
      </c>
      <c r="AF780" s="185">
        <f>SUMIFS($AD$37:$AD$12971,$V$37:$V$12971,$V780,$X$37:$X$12971,AF$13)</f>
        <v>0</v>
      </c>
      <c r="AG780" s="185">
        <f>SUMIFS($AD$37:$AD$12971,$V$37:$V$12971,$V780,$X$37:$X$12971,AG$13)</f>
        <v>0</v>
      </c>
      <c r="AH780" s="187">
        <f>SUMIFS($AD$37:$AD$12971,$V$37:$V$12971,$V780,$X$37:$X$12971,AH$13)</f>
        <v>0</v>
      </c>
      <c r="AI780" s="161">
        <f t="shared" ref="AI780" si="675">SUM(AE780:AH780)</f>
        <v>0</v>
      </c>
      <c r="AK780" s="172"/>
    </row>
    <row r="781" spans="1:41" s="102" customFormat="1" ht="19.899999999999999" customHeight="1" x14ac:dyDescent="0.25">
      <c r="A781" s="45"/>
      <c r="B781" s="59"/>
      <c r="C781" s="137"/>
      <c r="D781" s="59"/>
      <c r="E781" s="116"/>
      <c r="F781" s="120"/>
      <c r="G781" s="120"/>
      <c r="H781" s="120"/>
      <c r="I781" s="60"/>
      <c r="J781" s="116"/>
      <c r="K781" s="213"/>
      <c r="L781" s="120"/>
      <c r="M781" s="120"/>
      <c r="N781" s="167"/>
      <c r="O781" s="120"/>
      <c r="P781" s="120"/>
      <c r="Q781" s="120"/>
      <c r="R781" s="120"/>
      <c r="S781" s="120"/>
      <c r="T781" s="221"/>
      <c r="U781" s="89"/>
      <c r="V781" s="61"/>
      <c r="W781" s="92" t="s">
        <v>1032</v>
      </c>
      <c r="X781" s="93" t="s">
        <v>30</v>
      </c>
      <c r="Y781" s="93" t="s">
        <v>66</v>
      </c>
      <c r="Z781" s="134">
        <f>VLOOKUP(W781,Sheet2!$B:$D,3,FALSE)</f>
        <v>250</v>
      </c>
      <c r="AA781" s="93">
        <f>1/(3*3*0.1)</f>
        <v>1.1111111111111112</v>
      </c>
      <c r="AB781" s="93">
        <f t="shared" ref="AB781" si="676">AD781/AC780</f>
        <v>225</v>
      </c>
      <c r="AC781" s="93">
        <f>AC780/AA781</f>
        <v>42.860250000000001</v>
      </c>
      <c r="AD781" s="94">
        <f t="shared" ref="AD781:AD782" si="677">AC781*Z781</f>
        <v>10715.0625</v>
      </c>
      <c r="AE781" s="190"/>
      <c r="AF781" s="191"/>
      <c r="AG781" s="191"/>
      <c r="AH781" s="191"/>
      <c r="AI781" s="186"/>
      <c r="AK781" s="171"/>
    </row>
    <row r="782" spans="1:41" s="102" customFormat="1" ht="19.899999999999999" customHeight="1" x14ac:dyDescent="0.25">
      <c r="A782" s="45"/>
      <c r="B782" s="59"/>
      <c r="C782" s="137"/>
      <c r="D782" s="59"/>
      <c r="E782" s="116"/>
      <c r="F782" s="120"/>
      <c r="G782" s="120"/>
      <c r="H782" s="120"/>
      <c r="I782" s="60"/>
      <c r="J782" s="116"/>
      <c r="K782" s="213"/>
      <c r="L782" s="120"/>
      <c r="M782" s="120"/>
      <c r="N782" s="167"/>
      <c r="O782" s="120"/>
      <c r="P782" s="120"/>
      <c r="Q782" s="120"/>
      <c r="R782" s="120"/>
      <c r="S782" s="120"/>
      <c r="T782" s="221"/>
      <c r="U782" s="89"/>
      <c r="V782" s="61"/>
      <c r="W782" s="92" t="s">
        <v>1353</v>
      </c>
      <c r="X782" s="93" t="s">
        <v>30</v>
      </c>
      <c r="Y782" s="93" t="s">
        <v>66</v>
      </c>
      <c r="Z782" s="134">
        <f>VLOOKUP(W782,Sheet2!$B:$D,3,FALSE)</f>
        <v>350</v>
      </c>
      <c r="AA782" s="93">
        <f>1/(2*2*0.25*5)</f>
        <v>0.2</v>
      </c>
      <c r="AB782" s="93">
        <f>AD782/AC780</f>
        <v>1750</v>
      </c>
      <c r="AC782" s="93">
        <f>AC780/AA782</f>
        <v>238.11250000000001</v>
      </c>
      <c r="AD782" s="94">
        <f t="shared" si="677"/>
        <v>83339.375</v>
      </c>
      <c r="AE782" s="190"/>
      <c r="AF782" s="191"/>
      <c r="AG782" s="191"/>
      <c r="AH782" s="191"/>
      <c r="AI782" s="186"/>
      <c r="AK782" s="171"/>
    </row>
    <row r="783" spans="1:41" s="102" customFormat="1" ht="19.899999999999999" customHeight="1" x14ac:dyDescent="0.25">
      <c r="A783" s="45"/>
      <c r="B783" s="59"/>
      <c r="C783" s="137"/>
      <c r="D783" s="59"/>
      <c r="E783" s="116"/>
      <c r="F783" s="120"/>
      <c r="G783" s="120"/>
      <c r="H783" s="120"/>
      <c r="I783" s="60"/>
      <c r="J783" s="116"/>
      <c r="K783" s="213"/>
      <c r="L783" s="120"/>
      <c r="M783" s="120"/>
      <c r="N783" s="167"/>
      <c r="O783" s="120"/>
      <c r="P783" s="120"/>
      <c r="Q783" s="120"/>
      <c r="R783" s="120"/>
      <c r="S783" s="120"/>
      <c r="T783" s="221"/>
      <c r="U783" s="89"/>
      <c r="V783" s="61"/>
      <c r="W783" s="92" t="s">
        <v>99</v>
      </c>
      <c r="X783" s="93" t="s">
        <v>30</v>
      </c>
      <c r="Y783" s="93" t="s">
        <v>67</v>
      </c>
      <c r="Z783" s="134">
        <f>VLOOKUP(W783,Sheet2!$B:$D,3,FALSE)</f>
        <v>2500</v>
      </c>
      <c r="AA783" s="93">
        <f>1/(2*2*0.25*5*0.08)</f>
        <v>2.5</v>
      </c>
      <c r="AB783" s="93">
        <f>AD783/AC780</f>
        <v>1000</v>
      </c>
      <c r="AC783" s="93">
        <f>AC780/AA783</f>
        <v>19.048999999999999</v>
      </c>
      <c r="AD783" s="94">
        <f t="shared" ref="AD783" si="678">AC783*Z783</f>
        <v>47622.5</v>
      </c>
      <c r="AE783" s="190"/>
      <c r="AF783" s="191"/>
      <c r="AG783" s="191"/>
      <c r="AH783" s="191"/>
      <c r="AI783" s="186"/>
      <c r="AK783" s="171"/>
    </row>
    <row r="784" spans="1:41" s="102" customFormat="1" ht="19.899999999999999" customHeight="1" x14ac:dyDescent="0.25">
      <c r="A784" s="45"/>
      <c r="B784" s="59"/>
      <c r="C784" s="137"/>
      <c r="D784" s="59"/>
      <c r="E784" s="116"/>
      <c r="F784" s="120"/>
      <c r="G784" s="120"/>
      <c r="H784" s="120"/>
      <c r="I784" s="60"/>
      <c r="J784" s="116"/>
      <c r="K784" s="213"/>
      <c r="L784" s="120"/>
      <c r="M784" s="120"/>
      <c r="N784" s="167"/>
      <c r="O784" s="120"/>
      <c r="P784" s="120"/>
      <c r="Q784" s="120"/>
      <c r="R784" s="120"/>
      <c r="S784" s="120"/>
      <c r="T784" s="221"/>
      <c r="U784" s="89"/>
      <c r="V784" s="61"/>
      <c r="W784" s="92" t="s">
        <v>1354</v>
      </c>
      <c r="X784" s="93" t="s">
        <v>32</v>
      </c>
      <c r="Y784" s="93" t="s">
        <v>66</v>
      </c>
      <c r="Z784" s="134">
        <f>VLOOKUP(W784,Sheet2!$B:$D,3,FALSE)</f>
        <v>150</v>
      </c>
      <c r="AA784" s="93">
        <f>AA781</f>
        <v>1.1111111111111112</v>
      </c>
      <c r="AB784" s="93">
        <f>AD784/AC780</f>
        <v>135</v>
      </c>
      <c r="AC784" s="93">
        <f>AC780/AA784</f>
        <v>42.860250000000001</v>
      </c>
      <c r="AD784" s="94">
        <f>AC784*Z784</f>
        <v>6429.0375000000004</v>
      </c>
      <c r="AE784" s="190"/>
      <c r="AF784" s="191"/>
      <c r="AG784" s="191"/>
      <c r="AH784" s="191"/>
      <c r="AI784" s="186"/>
      <c r="AK784" s="171"/>
    </row>
    <row r="785" spans="1:37" s="102" customFormat="1" ht="19.899999999999999" customHeight="1" x14ac:dyDescent="0.25">
      <c r="A785" s="45"/>
      <c r="B785" s="59"/>
      <c r="C785" s="137"/>
      <c r="D785" s="59"/>
      <c r="E785" s="116"/>
      <c r="F785" s="120"/>
      <c r="G785" s="120"/>
      <c r="H785" s="120"/>
      <c r="I785" s="60"/>
      <c r="J785" s="116"/>
      <c r="K785" s="213"/>
      <c r="L785" s="120"/>
      <c r="M785" s="120"/>
      <c r="N785" s="167"/>
      <c r="O785" s="120"/>
      <c r="P785" s="120"/>
      <c r="Q785" s="120"/>
      <c r="R785" s="120"/>
      <c r="S785" s="120"/>
      <c r="T785" s="221"/>
      <c r="U785" s="89"/>
      <c r="V785" s="61"/>
      <c r="W785" s="92" t="s">
        <v>1355</v>
      </c>
      <c r="X785" s="93" t="s">
        <v>32</v>
      </c>
      <c r="Y785" s="93" t="s">
        <v>66</v>
      </c>
      <c r="Z785" s="134">
        <f>VLOOKUP(W785,Sheet2!$B:$D,3,FALSE)</f>
        <v>450</v>
      </c>
      <c r="AA785" s="93">
        <f>AA782</f>
        <v>0.2</v>
      </c>
      <c r="AB785" s="93">
        <f>AD785/AC780</f>
        <v>2250</v>
      </c>
      <c r="AC785" s="93">
        <f>AC780/AA785</f>
        <v>238.11250000000001</v>
      </c>
      <c r="AD785" s="94">
        <f>AC785*Z785</f>
        <v>107150.625</v>
      </c>
      <c r="AE785" s="190"/>
      <c r="AF785" s="191"/>
      <c r="AG785" s="191"/>
      <c r="AH785" s="191"/>
      <c r="AI785" s="186"/>
      <c r="AK785" s="171"/>
    </row>
    <row r="786" spans="1:37" s="102" customFormat="1" ht="19.899999999999999" customHeight="1" x14ac:dyDescent="0.25">
      <c r="A786" s="45"/>
      <c r="B786" s="59"/>
      <c r="C786" s="137"/>
      <c r="D786" s="59"/>
      <c r="E786" s="116"/>
      <c r="F786" s="120"/>
      <c r="G786" s="120"/>
      <c r="H786" s="120"/>
      <c r="I786" s="60"/>
      <c r="J786" s="116"/>
      <c r="K786" s="213"/>
      <c r="L786" s="120"/>
      <c r="M786" s="120"/>
      <c r="N786" s="167"/>
      <c r="O786" s="120"/>
      <c r="P786" s="120"/>
      <c r="Q786" s="120"/>
      <c r="R786" s="120"/>
      <c r="S786" s="120"/>
      <c r="T786" s="221"/>
      <c r="U786" s="89"/>
      <c r="V786" s="61"/>
      <c r="W786" s="92" t="s">
        <v>1356</v>
      </c>
      <c r="X786" s="93" t="s">
        <v>30</v>
      </c>
      <c r="Y786" s="93" t="s">
        <v>35</v>
      </c>
      <c r="Z786" s="134">
        <f>VLOOKUP(W786,Sheet2!$B:$D,3,FALSE)</f>
        <v>3500</v>
      </c>
      <c r="AA786" s="93">
        <v>1</v>
      </c>
      <c r="AB786" s="93">
        <f>AD786/AC780</f>
        <v>3500</v>
      </c>
      <c r="AC786" s="93">
        <f>AC780/AA786</f>
        <v>47.622500000000002</v>
      </c>
      <c r="AD786" s="94">
        <f t="shared" ref="AD786:AD787" si="679">AC786*Z786</f>
        <v>166678.75</v>
      </c>
      <c r="AE786" s="190"/>
      <c r="AF786" s="191"/>
      <c r="AG786" s="191"/>
      <c r="AH786" s="191"/>
      <c r="AI786" s="186"/>
      <c r="AK786" s="171"/>
    </row>
    <row r="787" spans="1:37" s="102" customFormat="1" ht="19.899999999999999" customHeight="1" x14ac:dyDescent="0.25">
      <c r="A787" s="45"/>
      <c r="B787" s="59"/>
      <c r="C787" s="137"/>
      <c r="D787" s="59"/>
      <c r="E787" s="116"/>
      <c r="F787" s="120"/>
      <c r="G787" s="120"/>
      <c r="H787" s="120"/>
      <c r="I787" s="60"/>
      <c r="J787" s="116"/>
      <c r="K787" s="213"/>
      <c r="L787" s="120"/>
      <c r="M787" s="120"/>
      <c r="N787" s="167"/>
      <c r="O787" s="120"/>
      <c r="P787" s="120"/>
      <c r="Q787" s="120"/>
      <c r="R787" s="120"/>
      <c r="S787" s="120"/>
      <c r="T787" s="221"/>
      <c r="U787" s="89"/>
      <c r="V787" s="61"/>
      <c r="W787" s="92" t="s">
        <v>174</v>
      </c>
      <c r="X787" s="93" t="s">
        <v>29</v>
      </c>
      <c r="Y787" s="93" t="s">
        <v>93</v>
      </c>
      <c r="Z787" s="134">
        <f>VLOOKUP(W787,Sheet2!$B:$D,3,FALSE)</f>
        <v>80</v>
      </c>
      <c r="AA787" s="93">
        <v>4</v>
      </c>
      <c r="AB787" s="93">
        <f>AD787/AC780</f>
        <v>20</v>
      </c>
      <c r="AC787" s="93">
        <f>AC780/AA787</f>
        <v>11.905625000000001</v>
      </c>
      <c r="AD787" s="94">
        <f t="shared" si="679"/>
        <v>952.45</v>
      </c>
      <c r="AE787" s="190"/>
      <c r="AF787" s="191"/>
      <c r="AG787" s="191"/>
      <c r="AH787" s="191"/>
      <c r="AI787" s="186"/>
      <c r="AK787" s="171"/>
    </row>
    <row r="788" spans="1:37" s="102" customFormat="1" ht="19.899999999999999" customHeight="1" x14ac:dyDescent="0.25">
      <c r="A788" s="45"/>
      <c r="B788" s="59"/>
      <c r="C788" s="137"/>
      <c r="D788" s="59"/>
      <c r="E788" s="116"/>
      <c r="F788" s="120"/>
      <c r="G788" s="120"/>
      <c r="H788" s="120"/>
      <c r="I788" s="60"/>
      <c r="J788" s="116"/>
      <c r="K788" s="213"/>
      <c r="L788" s="120"/>
      <c r="M788" s="120"/>
      <c r="N788" s="167"/>
      <c r="O788" s="120"/>
      <c r="P788" s="120"/>
      <c r="Q788" s="120"/>
      <c r="R788" s="120"/>
      <c r="S788" s="120"/>
      <c r="T788" s="221"/>
      <c r="U788" s="89"/>
      <c r="V788" s="61"/>
      <c r="W788" s="92" t="s">
        <v>65</v>
      </c>
      <c r="X788" s="93" t="s">
        <v>30</v>
      </c>
      <c r="Y788" s="93" t="s">
        <v>93</v>
      </c>
      <c r="Z788" s="134">
        <f>VLOOKUP(W788,Sheet2!$B:$D,3,FALSE)</f>
        <v>1.76</v>
      </c>
      <c r="AA788" s="93">
        <f>AA787/15</f>
        <v>0.26666666666666666</v>
      </c>
      <c r="AB788" s="93">
        <f>AD788/AC780</f>
        <v>6.6000000000000005</v>
      </c>
      <c r="AC788" s="93">
        <f>AC780/AA788</f>
        <v>178.58437500000002</v>
      </c>
      <c r="AD788" s="94">
        <f>AC788*Z788</f>
        <v>314.30850000000004</v>
      </c>
      <c r="AE788" s="190"/>
      <c r="AF788" s="191"/>
      <c r="AG788" s="191"/>
      <c r="AH788" s="191"/>
      <c r="AI788" s="186"/>
      <c r="AK788" s="171"/>
    </row>
    <row r="789" spans="1:37" s="102" customFormat="1" ht="19.899999999999999" customHeight="1" x14ac:dyDescent="0.25">
      <c r="A789" s="45"/>
      <c r="B789" s="59"/>
      <c r="C789" s="137"/>
      <c r="D789" s="59"/>
      <c r="E789" s="116"/>
      <c r="F789" s="120"/>
      <c r="G789" s="120"/>
      <c r="H789" s="120"/>
      <c r="I789" s="60"/>
      <c r="J789" s="116"/>
      <c r="K789" s="213"/>
      <c r="L789" s="120"/>
      <c r="M789" s="120"/>
      <c r="N789" s="167"/>
      <c r="O789" s="120"/>
      <c r="P789" s="120"/>
      <c r="Q789" s="120"/>
      <c r="R789" s="120"/>
      <c r="S789" s="120"/>
      <c r="T789" s="221"/>
      <c r="U789" s="89"/>
      <c r="V789" s="61"/>
      <c r="W789" s="92" t="s">
        <v>1357</v>
      </c>
      <c r="X789" s="93" t="s">
        <v>30</v>
      </c>
      <c r="Y789" s="93" t="s">
        <v>1349</v>
      </c>
      <c r="Z789" s="134">
        <f>VLOOKUP(W789,Sheet2!$B:$D,3,FALSE)</f>
        <v>150</v>
      </c>
      <c r="AA789" s="93">
        <v>1</v>
      </c>
      <c r="AB789" s="93">
        <f>AD789/AC780</f>
        <v>150</v>
      </c>
      <c r="AC789" s="93">
        <f>AC780/AA789</f>
        <v>47.622500000000002</v>
      </c>
      <c r="AD789" s="94">
        <f>AC789*Z789</f>
        <v>7143.375</v>
      </c>
      <c r="AE789" s="190"/>
      <c r="AF789" s="191"/>
      <c r="AG789" s="191"/>
      <c r="AH789" s="191"/>
      <c r="AI789" s="186"/>
      <c r="AK789" s="171"/>
    </row>
    <row r="790" spans="1:37" s="102" customFormat="1" ht="19.899999999999999" customHeight="1" x14ac:dyDescent="0.25">
      <c r="A790" s="45"/>
      <c r="B790" s="59"/>
      <c r="C790" s="137"/>
      <c r="D790" s="59"/>
      <c r="E790" s="116"/>
      <c r="F790" s="120"/>
      <c r="G790" s="120"/>
      <c r="H790" s="120"/>
      <c r="I790" s="60"/>
      <c r="J790" s="116"/>
      <c r="K790" s="213"/>
      <c r="L790" s="120"/>
      <c r="M790" s="120"/>
      <c r="N790" s="167"/>
      <c r="O790" s="120"/>
      <c r="P790" s="120"/>
      <c r="Q790" s="120"/>
      <c r="R790" s="120"/>
      <c r="S790" s="120"/>
      <c r="T790" s="221"/>
      <c r="U790" s="89"/>
      <c r="V790" s="61"/>
      <c r="W790" s="92" t="s">
        <v>107</v>
      </c>
      <c r="X790" s="93" t="s">
        <v>31</v>
      </c>
      <c r="Y790" s="93" t="s">
        <v>93</v>
      </c>
      <c r="Z790" s="134">
        <f>VLOOKUP(W790,Sheet2!$B:$D,3,FALSE)</f>
        <v>17</v>
      </c>
      <c r="AA790" s="93">
        <f>1/5</f>
        <v>0.2</v>
      </c>
      <c r="AB790" s="93">
        <f>AD790/AC780</f>
        <v>85</v>
      </c>
      <c r="AC790" s="93">
        <f>AC780/AA790</f>
        <v>238.11250000000001</v>
      </c>
      <c r="AD790" s="94">
        <f>AC790*Z790</f>
        <v>4047.9125000000004</v>
      </c>
      <c r="AE790" s="190"/>
      <c r="AF790" s="191"/>
      <c r="AG790" s="191"/>
      <c r="AH790" s="191"/>
      <c r="AI790" s="186"/>
      <c r="AK790" s="171"/>
    </row>
    <row r="791" spans="1:37" s="102" customFormat="1" ht="19.899999999999999" customHeight="1" x14ac:dyDescent="0.25">
      <c r="A791" s="45"/>
      <c r="B791" s="59"/>
      <c r="C791" s="137"/>
      <c r="D791" s="59"/>
      <c r="E791" s="116"/>
      <c r="F791" s="120"/>
      <c r="G791" s="120"/>
      <c r="H791" s="120"/>
      <c r="I791" s="60"/>
      <c r="J791" s="116"/>
      <c r="K791" s="213"/>
      <c r="L791" s="120"/>
      <c r="M791" s="120"/>
      <c r="N791" s="167"/>
      <c r="O791" s="120"/>
      <c r="P791" s="120"/>
      <c r="Q791" s="120"/>
      <c r="R791" s="120"/>
      <c r="S791" s="120"/>
      <c r="T791" s="221"/>
      <c r="U791" s="89"/>
      <c r="V791" s="61"/>
      <c r="W791" s="92" t="s">
        <v>112</v>
      </c>
      <c r="X791" s="93" t="s">
        <v>31</v>
      </c>
      <c r="Y791" s="93" t="s">
        <v>93</v>
      </c>
      <c r="Z791" s="134">
        <f>VLOOKUP(W791,Sheet2!$B:$D,3,FALSE)</f>
        <v>13</v>
      </c>
      <c r="AA791" s="93">
        <f>AA790</f>
        <v>0.2</v>
      </c>
      <c r="AB791" s="93">
        <f>AD791/AC780</f>
        <v>65</v>
      </c>
      <c r="AC791" s="93">
        <f>AC780/AA791</f>
        <v>238.11250000000001</v>
      </c>
      <c r="AD791" s="94">
        <f>AC791*Z791</f>
        <v>3095.4625000000001</v>
      </c>
      <c r="AE791" s="190"/>
      <c r="AF791" s="191"/>
      <c r="AG791" s="191"/>
      <c r="AH791" s="191"/>
      <c r="AI791" s="186"/>
      <c r="AK791" s="171"/>
    </row>
    <row r="792" spans="1:37" s="103" customFormat="1" ht="19.899999999999999" customHeight="1" x14ac:dyDescent="0.25">
      <c r="A792" s="51"/>
      <c r="B792" s="52"/>
      <c r="C792" s="165"/>
      <c r="D792" s="52"/>
      <c r="E792" s="115"/>
      <c r="F792" s="58"/>
      <c r="G792" s="58"/>
      <c r="H792" s="58"/>
      <c r="I792" s="55"/>
      <c r="J792" s="113">
        <f>J774</f>
        <v>47.622500000000002</v>
      </c>
      <c r="K792" s="212">
        <f>K774</f>
        <v>47.622500000000002</v>
      </c>
      <c r="L792" s="58"/>
      <c r="M792" s="58">
        <f>K792-L792</f>
        <v>47.622500000000002</v>
      </c>
      <c r="N792" s="166"/>
      <c r="O792" s="58"/>
      <c r="P792" s="58"/>
      <c r="Q792" s="58"/>
      <c r="R792" s="58"/>
      <c r="S792" s="58"/>
      <c r="T792" s="220"/>
      <c r="U792" s="88"/>
      <c r="V792" s="56"/>
      <c r="W792" s="57" t="s">
        <v>1358</v>
      </c>
      <c r="X792" s="53"/>
      <c r="Y792" s="91" t="s">
        <v>35</v>
      </c>
      <c r="Z792" s="136">
        <f>AD792/AC792</f>
        <v>2800</v>
      </c>
      <c r="AA792" s="58"/>
      <c r="AB792" s="53">
        <f>AD792/AC792</f>
        <v>2800</v>
      </c>
      <c r="AC792" s="53">
        <f>M792+$AE$10</f>
        <v>47.622500000000002</v>
      </c>
      <c r="AD792" s="54">
        <f>SUM(AD793:AD794)</f>
        <v>133343</v>
      </c>
      <c r="AE792" s="184">
        <f>SUMIFS($AD$37:$AD$12971,$V$37:$V$12971,$V792,$X$37:$X$12971,AE$13)</f>
        <v>0</v>
      </c>
      <c r="AF792" s="185">
        <f>SUMIFS($AD$37:$AD$12971,$V$37:$V$12971,$V792,$X$37:$X$12971,AF$13)</f>
        <v>0</v>
      </c>
      <c r="AG792" s="185">
        <f>SUMIFS($AD$37:$AD$12971,$V$37:$V$12971,$V792,$X$37:$X$12971,AG$13)</f>
        <v>0</v>
      </c>
      <c r="AH792" s="187">
        <f>SUMIFS($AD$37:$AD$12971,$V$37:$V$12971,$V792,$X$37:$X$12971,AH$13)</f>
        <v>0</v>
      </c>
      <c r="AI792" s="161">
        <f t="shared" ref="AI792" si="680">SUM(AE792:AH792)</f>
        <v>0</v>
      </c>
      <c r="AK792" s="172"/>
    </row>
    <row r="793" spans="1:37" s="102" customFormat="1" ht="19.899999999999999" customHeight="1" x14ac:dyDescent="0.25">
      <c r="A793" s="45"/>
      <c r="B793" s="59"/>
      <c r="C793" s="137"/>
      <c r="D793" s="59"/>
      <c r="E793" s="116"/>
      <c r="F793" s="120"/>
      <c r="G793" s="120"/>
      <c r="H793" s="120"/>
      <c r="I793" s="60"/>
      <c r="J793" s="116"/>
      <c r="K793" s="213"/>
      <c r="L793" s="120"/>
      <c r="M793" s="120"/>
      <c r="N793" s="167"/>
      <c r="O793" s="120"/>
      <c r="P793" s="120"/>
      <c r="Q793" s="120"/>
      <c r="R793" s="120"/>
      <c r="S793" s="120"/>
      <c r="T793" s="221"/>
      <c r="U793" s="89"/>
      <c r="V793" s="61"/>
      <c r="W793" s="92" t="s">
        <v>1359</v>
      </c>
      <c r="X793" s="93" t="s">
        <v>32</v>
      </c>
      <c r="Y793" s="93" t="s">
        <v>64</v>
      </c>
      <c r="Z793" s="134">
        <f>VLOOKUP(W793,Sheet2!$B:$D,3,FALSE)</f>
        <v>40</v>
      </c>
      <c r="AA793" s="93">
        <f>1/40</f>
        <v>2.5000000000000001E-2</v>
      </c>
      <c r="AB793" s="93">
        <f t="shared" ref="AB793" si="681">AD793/AC792</f>
        <v>1600</v>
      </c>
      <c r="AC793" s="93">
        <f>AC792/AA793</f>
        <v>1904.9</v>
      </c>
      <c r="AD793" s="94">
        <f t="shared" ref="AD793:AD794" si="682">AC793*Z793</f>
        <v>76196</v>
      </c>
      <c r="AE793" s="190"/>
      <c r="AF793" s="191"/>
      <c r="AG793" s="191"/>
      <c r="AH793" s="191"/>
      <c r="AI793" s="186"/>
      <c r="AK793" s="171"/>
    </row>
    <row r="794" spans="1:37" s="102" customFormat="1" ht="19.899999999999999" customHeight="1" x14ac:dyDescent="0.25">
      <c r="A794" s="45"/>
      <c r="B794" s="59"/>
      <c r="C794" s="137"/>
      <c r="D794" s="59"/>
      <c r="E794" s="116"/>
      <c r="F794" s="120"/>
      <c r="G794" s="120"/>
      <c r="H794" s="120"/>
      <c r="I794" s="60"/>
      <c r="J794" s="116"/>
      <c r="K794" s="213"/>
      <c r="L794" s="120"/>
      <c r="M794" s="120"/>
      <c r="N794" s="167"/>
      <c r="O794" s="120"/>
      <c r="P794" s="120"/>
      <c r="Q794" s="120"/>
      <c r="R794" s="120"/>
      <c r="S794" s="120"/>
      <c r="T794" s="221"/>
      <c r="U794" s="89"/>
      <c r="V794" s="61"/>
      <c r="W794" s="92" t="s">
        <v>1360</v>
      </c>
      <c r="X794" s="93" t="s">
        <v>32</v>
      </c>
      <c r="Y794" s="93" t="s">
        <v>64</v>
      </c>
      <c r="Z794" s="134">
        <f>VLOOKUP(W794,Sheet2!$B:$D,3,FALSE)</f>
        <v>30</v>
      </c>
      <c r="AA794" s="93">
        <f>AA793</f>
        <v>2.5000000000000001E-2</v>
      </c>
      <c r="AB794" s="93">
        <f>AD794/AC792</f>
        <v>1200</v>
      </c>
      <c r="AC794" s="93">
        <f>AC792/AA794</f>
        <v>1904.9</v>
      </c>
      <c r="AD794" s="94">
        <f t="shared" si="682"/>
        <v>57147</v>
      </c>
      <c r="AE794" s="190"/>
      <c r="AF794" s="191"/>
      <c r="AG794" s="191"/>
      <c r="AH794" s="191"/>
      <c r="AI794" s="186"/>
      <c r="AK794" s="171"/>
    </row>
    <row r="795" spans="1:37" s="103" customFormat="1" ht="19.899999999999999" customHeight="1" x14ac:dyDescent="0.25">
      <c r="A795" s="51"/>
      <c r="B795" s="52"/>
      <c r="C795" s="165"/>
      <c r="D795" s="52"/>
      <c r="E795" s="115"/>
      <c r="F795" s="58"/>
      <c r="G795" s="58"/>
      <c r="H795" s="58"/>
      <c r="I795" s="55"/>
      <c r="J795" s="113">
        <f>J774</f>
        <v>47.622500000000002</v>
      </c>
      <c r="K795" s="212">
        <f>K774</f>
        <v>47.622500000000002</v>
      </c>
      <c r="L795" s="58"/>
      <c r="M795" s="58">
        <f>K795-L795</f>
        <v>47.622500000000002</v>
      </c>
      <c r="N795" s="166"/>
      <c r="O795" s="58"/>
      <c r="P795" s="58"/>
      <c r="Q795" s="58"/>
      <c r="R795" s="58"/>
      <c r="S795" s="58"/>
      <c r="T795" s="220"/>
      <c r="U795" s="88"/>
      <c r="V795" s="56"/>
      <c r="W795" s="57" t="s">
        <v>1272</v>
      </c>
      <c r="X795" s="53"/>
      <c r="Y795" s="91" t="s">
        <v>35</v>
      </c>
      <c r="Z795" s="136">
        <f>AD795/AC795</f>
        <v>209.08263529411767</v>
      </c>
      <c r="AA795" s="58"/>
      <c r="AB795" s="53">
        <f>AD795/AC795</f>
        <v>209.08263529411767</v>
      </c>
      <c r="AC795" s="53">
        <f>M795+$AE$10</f>
        <v>47.622500000000002</v>
      </c>
      <c r="AD795" s="54">
        <f>SUM(AD796:AD804)</f>
        <v>9957.0377992941194</v>
      </c>
      <c r="AE795" s="184">
        <f>SUMIFS($AD$37:$AD$12971,$V$37:$V$12971,$V795,$X$37:$X$12971,AE$13)</f>
        <v>0</v>
      </c>
      <c r="AF795" s="185">
        <f>SUMIFS($AD$37:$AD$12971,$V$37:$V$12971,$V795,$X$37:$X$12971,AF$13)</f>
        <v>0</v>
      </c>
      <c r="AG795" s="185">
        <f>SUMIFS($AD$37:$AD$12971,$V$37:$V$12971,$V795,$X$37:$X$12971,AG$13)</f>
        <v>0</v>
      </c>
      <c r="AH795" s="187">
        <f>SUMIFS($AD$37:$AD$12971,$V$37:$V$12971,$V795,$X$37:$X$12971,AH$13)</f>
        <v>0</v>
      </c>
      <c r="AI795" s="161">
        <f t="shared" ref="AI795" si="683">SUM(AE795:AH795)</f>
        <v>0</v>
      </c>
      <c r="AK795" s="172"/>
    </row>
    <row r="796" spans="1:37" s="102" customFormat="1" ht="19.899999999999999" customHeight="1" x14ac:dyDescent="0.25">
      <c r="A796" s="45"/>
      <c r="B796" s="59"/>
      <c r="C796" s="137"/>
      <c r="D796" s="59"/>
      <c r="E796" s="116"/>
      <c r="F796" s="120"/>
      <c r="G796" s="120"/>
      <c r="H796" s="120"/>
      <c r="I796" s="60"/>
      <c r="J796" s="116"/>
      <c r="K796" s="213"/>
      <c r="L796" s="120"/>
      <c r="M796" s="120"/>
      <c r="N796" s="167"/>
      <c r="O796" s="120"/>
      <c r="P796" s="120"/>
      <c r="Q796" s="120"/>
      <c r="R796" s="120"/>
      <c r="S796" s="120"/>
      <c r="T796" s="221"/>
      <c r="U796" s="89"/>
      <c r="V796" s="61"/>
      <c r="W796" s="92" t="s">
        <v>1273</v>
      </c>
      <c r="X796" s="93" t="s">
        <v>30</v>
      </c>
      <c r="Y796" s="93" t="s">
        <v>66</v>
      </c>
      <c r="Z796" s="134">
        <f>VLOOKUP(W796,Sheet2!$B:$D,3,FALSE)</f>
        <v>10</v>
      </c>
      <c r="AA796" s="93">
        <f>1/(2.5*2.4*0.5*4)</f>
        <v>8.3333333333333329E-2</v>
      </c>
      <c r="AB796" s="93">
        <f>AD796/AC795</f>
        <v>120.00000000000001</v>
      </c>
      <c r="AC796" s="93">
        <f>AC795/AA796</f>
        <v>571.47</v>
      </c>
      <c r="AD796" s="94">
        <f t="shared" ref="AD796:AD798" si="684">AC796*Z796</f>
        <v>5714.7000000000007</v>
      </c>
      <c r="AE796" s="190"/>
      <c r="AF796" s="191"/>
      <c r="AG796" s="191"/>
      <c r="AH796" s="191"/>
      <c r="AI796" s="186"/>
      <c r="AK796" s="171"/>
    </row>
    <row r="797" spans="1:37" s="102" customFormat="1" ht="19.899999999999999" customHeight="1" x14ac:dyDescent="0.25">
      <c r="A797" s="45"/>
      <c r="B797" s="59"/>
      <c r="C797" s="137"/>
      <c r="D797" s="59"/>
      <c r="E797" s="116"/>
      <c r="F797" s="120"/>
      <c r="G797" s="120"/>
      <c r="H797" s="120"/>
      <c r="I797" s="60"/>
      <c r="J797" s="116"/>
      <c r="K797" s="213"/>
      <c r="L797" s="120"/>
      <c r="M797" s="120"/>
      <c r="N797" s="167"/>
      <c r="O797" s="120"/>
      <c r="P797" s="120"/>
      <c r="Q797" s="120"/>
      <c r="R797" s="120"/>
      <c r="S797" s="120"/>
      <c r="T797" s="221"/>
      <c r="U797" s="89"/>
      <c r="V797" s="61"/>
      <c r="W797" s="92" t="s">
        <v>134</v>
      </c>
      <c r="X797" s="93" t="s">
        <v>29</v>
      </c>
      <c r="Y797" s="93" t="s">
        <v>93</v>
      </c>
      <c r="Z797" s="134">
        <f>VLOOKUP(W797,Sheet2!$B:$D,3,FALSE)</f>
        <v>65.599999999999994</v>
      </c>
      <c r="AA797" s="93">
        <f>100/(2.5*2.4*0.5*4)</f>
        <v>8.3333333333333339</v>
      </c>
      <c r="AB797" s="93">
        <f t="shared" ref="AB797" si="685">AD797/AC795</f>
        <v>7.8719999999999981</v>
      </c>
      <c r="AC797" s="93">
        <f>AC795/AA797</f>
        <v>5.7146999999999997</v>
      </c>
      <c r="AD797" s="94">
        <f t="shared" si="684"/>
        <v>374.88431999999995</v>
      </c>
      <c r="AE797" s="190"/>
      <c r="AF797" s="191"/>
      <c r="AG797" s="191"/>
      <c r="AH797" s="191"/>
      <c r="AI797" s="186"/>
      <c r="AK797" s="171"/>
    </row>
    <row r="798" spans="1:37" s="102" customFormat="1" ht="19.899999999999999" customHeight="1" x14ac:dyDescent="0.25">
      <c r="A798" s="45"/>
      <c r="B798" s="59"/>
      <c r="C798" s="137"/>
      <c r="D798" s="59"/>
      <c r="E798" s="116"/>
      <c r="F798" s="120"/>
      <c r="G798" s="120"/>
      <c r="H798" s="120"/>
      <c r="I798" s="60"/>
      <c r="J798" s="116"/>
      <c r="K798" s="213"/>
      <c r="L798" s="120"/>
      <c r="M798" s="120"/>
      <c r="N798" s="167"/>
      <c r="O798" s="120"/>
      <c r="P798" s="120"/>
      <c r="Q798" s="120"/>
      <c r="R798" s="120"/>
      <c r="S798" s="120"/>
      <c r="T798" s="221"/>
      <c r="U798" s="89"/>
      <c r="V798" s="61"/>
      <c r="W798" s="92" t="s">
        <v>65</v>
      </c>
      <c r="X798" s="93" t="s">
        <v>30</v>
      </c>
      <c r="Y798" s="93" t="s">
        <v>1011</v>
      </c>
      <c r="Z798" s="134">
        <f>VLOOKUP(W798,Sheet2!$B:$D,3,FALSE)</f>
        <v>1.76</v>
      </c>
      <c r="AA798" s="93">
        <f>AA797/9</f>
        <v>0.92592592592592604</v>
      </c>
      <c r="AB798" s="93">
        <f>AD798/AC795</f>
        <v>1.9007999999999998</v>
      </c>
      <c r="AC798" s="93">
        <f>AC795/AA798</f>
        <v>51.432299999999998</v>
      </c>
      <c r="AD798" s="94">
        <f t="shared" si="684"/>
        <v>90.520848000000001</v>
      </c>
      <c r="AE798" s="190"/>
      <c r="AF798" s="191"/>
      <c r="AG798" s="191"/>
      <c r="AH798" s="191"/>
      <c r="AI798" s="186"/>
      <c r="AK798" s="171"/>
    </row>
    <row r="799" spans="1:37" s="102" customFormat="1" ht="19.899999999999999" customHeight="1" x14ac:dyDescent="0.25">
      <c r="A799" s="45"/>
      <c r="B799" s="59"/>
      <c r="C799" s="137"/>
      <c r="D799" s="59"/>
      <c r="E799" s="116"/>
      <c r="F799" s="120"/>
      <c r="G799" s="120"/>
      <c r="H799" s="120"/>
      <c r="I799" s="60"/>
      <c r="J799" s="116"/>
      <c r="K799" s="213"/>
      <c r="L799" s="120"/>
      <c r="M799" s="120"/>
      <c r="N799" s="167"/>
      <c r="O799" s="120"/>
      <c r="P799" s="120"/>
      <c r="Q799" s="120"/>
      <c r="R799" s="120"/>
      <c r="S799" s="120"/>
      <c r="T799" s="221"/>
      <c r="U799" s="89"/>
      <c r="V799" s="61"/>
      <c r="W799" s="92" t="s">
        <v>161</v>
      </c>
      <c r="X799" s="93" t="s">
        <v>29</v>
      </c>
      <c r="Y799" s="93" t="s">
        <v>93</v>
      </c>
      <c r="Z799" s="134">
        <f>VLOOKUP(W799,Sheet2!$B:$D,3,FALSE)</f>
        <v>48</v>
      </c>
      <c r="AA799" s="93">
        <f>(16*0.85*1.5)/(2.5*2.4*0.5*4)</f>
        <v>1.7</v>
      </c>
      <c r="AB799" s="93">
        <f>AD799/AC795</f>
        <v>28.235294117647058</v>
      </c>
      <c r="AC799" s="93">
        <f>AC795/AA799</f>
        <v>28.013235294117649</v>
      </c>
      <c r="AD799" s="94">
        <f>AC799*Z799</f>
        <v>1344.6352941176472</v>
      </c>
      <c r="AE799" s="190"/>
      <c r="AF799" s="191"/>
      <c r="AG799" s="191"/>
      <c r="AH799" s="191"/>
      <c r="AI799" s="186"/>
      <c r="AK799" s="171"/>
    </row>
    <row r="800" spans="1:37" s="102" customFormat="1" ht="19.899999999999999" customHeight="1" x14ac:dyDescent="0.25">
      <c r="A800" s="45"/>
      <c r="B800" s="59"/>
      <c r="C800" s="137"/>
      <c r="D800" s="59"/>
      <c r="E800" s="116"/>
      <c r="F800" s="120"/>
      <c r="G800" s="120"/>
      <c r="H800" s="120"/>
      <c r="I800" s="60"/>
      <c r="J800" s="116"/>
      <c r="K800" s="213"/>
      <c r="L800" s="120"/>
      <c r="M800" s="120"/>
      <c r="N800" s="167"/>
      <c r="O800" s="120"/>
      <c r="P800" s="120"/>
      <c r="Q800" s="120"/>
      <c r="R800" s="120"/>
      <c r="S800" s="120"/>
      <c r="T800" s="221"/>
      <c r="U800" s="89"/>
      <c r="V800" s="61"/>
      <c r="W800" s="92" t="s">
        <v>65</v>
      </c>
      <c r="X800" s="93" t="s">
        <v>30</v>
      </c>
      <c r="Y800" s="93" t="s">
        <v>1011</v>
      </c>
      <c r="Z800" s="134">
        <f>VLOOKUP(W800,Sheet2!$B:$D,3,FALSE)</f>
        <v>1.76</v>
      </c>
      <c r="AA800" s="93">
        <f>AA799/10</f>
        <v>0.16999999999999998</v>
      </c>
      <c r="AB800" s="93">
        <f>AD800/AC795</f>
        <v>10.352941176470589</v>
      </c>
      <c r="AC800" s="93">
        <f>AC795/AA800</f>
        <v>280.13235294117652</v>
      </c>
      <c r="AD800" s="94">
        <f>AC800*Z800</f>
        <v>493.03294117647067</v>
      </c>
      <c r="AE800" s="190"/>
      <c r="AF800" s="191"/>
      <c r="AG800" s="191"/>
      <c r="AH800" s="191"/>
      <c r="AI800" s="186"/>
      <c r="AK800" s="171"/>
    </row>
    <row r="801" spans="1:41" s="102" customFormat="1" ht="19.899999999999999" customHeight="1" x14ac:dyDescent="0.25">
      <c r="A801" s="45"/>
      <c r="B801" s="59"/>
      <c r="C801" s="137"/>
      <c r="D801" s="59"/>
      <c r="E801" s="116"/>
      <c r="F801" s="120"/>
      <c r="G801" s="120"/>
      <c r="H801" s="120"/>
      <c r="I801" s="60"/>
      <c r="J801" s="116"/>
      <c r="K801" s="213"/>
      <c r="L801" s="120"/>
      <c r="M801" s="120"/>
      <c r="N801" s="167"/>
      <c r="O801" s="120"/>
      <c r="P801" s="120"/>
      <c r="Q801" s="120"/>
      <c r="R801" s="120"/>
      <c r="S801" s="120"/>
      <c r="T801" s="221"/>
      <c r="U801" s="89"/>
      <c r="V801" s="61"/>
      <c r="W801" s="92" t="s">
        <v>173</v>
      </c>
      <c r="X801" s="93" t="s">
        <v>29</v>
      </c>
      <c r="Y801" s="93" t="s">
        <v>93</v>
      </c>
      <c r="Z801" s="134">
        <f>VLOOKUP(W801,Sheet2!$B:$D,3,FALSE)</f>
        <v>36</v>
      </c>
      <c r="AA801" s="93">
        <f>50/(2.5*2.4*0.5*4)</f>
        <v>4.166666666666667</v>
      </c>
      <c r="AB801" s="93">
        <f>AD801/AC795</f>
        <v>8.6399999999999988</v>
      </c>
      <c r="AC801" s="93">
        <f>AC795/AA801</f>
        <v>11.429399999999999</v>
      </c>
      <c r="AD801" s="94">
        <f>AC801*Z801</f>
        <v>411.45839999999998</v>
      </c>
      <c r="AE801" s="190"/>
      <c r="AF801" s="191"/>
      <c r="AG801" s="191"/>
      <c r="AH801" s="191"/>
      <c r="AI801" s="186"/>
      <c r="AK801" s="171"/>
    </row>
    <row r="802" spans="1:41" s="102" customFormat="1" ht="19.899999999999999" customHeight="1" x14ac:dyDescent="0.25">
      <c r="A802" s="45"/>
      <c r="B802" s="59"/>
      <c r="C802" s="137"/>
      <c r="D802" s="59"/>
      <c r="E802" s="116"/>
      <c r="F802" s="120"/>
      <c r="G802" s="120"/>
      <c r="H802" s="120"/>
      <c r="I802" s="60"/>
      <c r="J802" s="116"/>
      <c r="K802" s="213"/>
      <c r="L802" s="120"/>
      <c r="M802" s="120"/>
      <c r="N802" s="167"/>
      <c r="O802" s="120"/>
      <c r="P802" s="120"/>
      <c r="Q802" s="120"/>
      <c r="R802" s="120"/>
      <c r="S802" s="120"/>
      <c r="T802" s="221"/>
      <c r="U802" s="89"/>
      <c r="V802" s="61"/>
      <c r="W802" s="92" t="s">
        <v>65</v>
      </c>
      <c r="X802" s="93" t="s">
        <v>30</v>
      </c>
      <c r="Y802" s="93" t="s">
        <v>1011</v>
      </c>
      <c r="Z802" s="134">
        <f>VLOOKUP(W802,Sheet2!$B:$D,3,FALSE)</f>
        <v>1.76</v>
      </c>
      <c r="AA802" s="93">
        <f>AA801/9</f>
        <v>0.46296296296296302</v>
      </c>
      <c r="AB802" s="93">
        <f>AD802/AC795</f>
        <v>3.8015999999999996</v>
      </c>
      <c r="AC802" s="93">
        <f>AC795/AA802</f>
        <v>102.8646</v>
      </c>
      <c r="AD802" s="94">
        <f>AC802*Z802</f>
        <v>181.041696</v>
      </c>
      <c r="AE802" s="190"/>
      <c r="AF802" s="191"/>
      <c r="AG802" s="191"/>
      <c r="AH802" s="191"/>
      <c r="AI802" s="186"/>
      <c r="AK802" s="171"/>
    </row>
    <row r="803" spans="1:41" s="102" customFormat="1" ht="19.899999999999999" customHeight="1" x14ac:dyDescent="0.25">
      <c r="A803" s="45"/>
      <c r="B803" s="59"/>
      <c r="C803" s="137"/>
      <c r="D803" s="59"/>
      <c r="E803" s="116"/>
      <c r="F803" s="120"/>
      <c r="G803" s="120"/>
      <c r="H803" s="120"/>
      <c r="I803" s="60"/>
      <c r="J803" s="116"/>
      <c r="K803" s="213"/>
      <c r="L803" s="120"/>
      <c r="M803" s="120"/>
      <c r="N803" s="167"/>
      <c r="O803" s="120"/>
      <c r="P803" s="120"/>
      <c r="Q803" s="120"/>
      <c r="R803" s="120"/>
      <c r="S803" s="120"/>
      <c r="T803" s="221"/>
      <c r="U803" s="89"/>
      <c r="V803" s="61"/>
      <c r="W803" s="92" t="s">
        <v>1030</v>
      </c>
      <c r="X803" s="93" t="s">
        <v>29</v>
      </c>
      <c r="Y803" s="93" t="s">
        <v>93</v>
      </c>
      <c r="Z803" s="134">
        <f>VLOOKUP(W803,Sheet2!$B:$D,3,FALSE)</f>
        <v>23</v>
      </c>
      <c r="AA803" s="93">
        <v>1</v>
      </c>
      <c r="AB803" s="93">
        <f>AD803/AC795</f>
        <v>23</v>
      </c>
      <c r="AC803" s="93">
        <f>AC795/AA803</f>
        <v>47.622500000000002</v>
      </c>
      <c r="AD803" s="94">
        <f t="shared" ref="AD803:AD804" si="686">AC803*Z803</f>
        <v>1095.3175000000001</v>
      </c>
      <c r="AE803" s="190"/>
      <c r="AF803" s="191"/>
      <c r="AG803" s="191"/>
      <c r="AH803" s="191"/>
      <c r="AI803" s="186"/>
      <c r="AK803" s="171"/>
    </row>
    <row r="804" spans="1:41" s="102" customFormat="1" ht="19.899999999999999" customHeight="1" x14ac:dyDescent="0.25">
      <c r="A804" s="45"/>
      <c r="B804" s="59"/>
      <c r="C804" s="137"/>
      <c r="D804" s="59"/>
      <c r="E804" s="116"/>
      <c r="F804" s="120"/>
      <c r="G804" s="120"/>
      <c r="H804" s="120"/>
      <c r="I804" s="60"/>
      <c r="J804" s="116"/>
      <c r="K804" s="213"/>
      <c r="L804" s="120"/>
      <c r="M804" s="120"/>
      <c r="N804" s="167"/>
      <c r="O804" s="120"/>
      <c r="P804" s="120"/>
      <c r="Q804" s="120"/>
      <c r="R804" s="120"/>
      <c r="S804" s="120"/>
      <c r="T804" s="221"/>
      <c r="U804" s="89"/>
      <c r="V804" s="61"/>
      <c r="W804" s="92" t="s">
        <v>65</v>
      </c>
      <c r="X804" s="93" t="s">
        <v>30</v>
      </c>
      <c r="Y804" s="93" t="s">
        <v>1011</v>
      </c>
      <c r="Z804" s="134">
        <f>VLOOKUP(W804,Sheet2!$B:$D,3,FALSE)</f>
        <v>1.76</v>
      </c>
      <c r="AA804" s="93">
        <f>AA803/3</f>
        <v>0.33333333333333331</v>
      </c>
      <c r="AB804" s="93">
        <f>AD804/AC795</f>
        <v>5.28</v>
      </c>
      <c r="AC804" s="93">
        <f>AC795/AA804</f>
        <v>142.86750000000001</v>
      </c>
      <c r="AD804" s="94">
        <f t="shared" si="686"/>
        <v>251.44680000000002</v>
      </c>
      <c r="AE804" s="190"/>
      <c r="AF804" s="191"/>
      <c r="AG804" s="191"/>
      <c r="AH804" s="191"/>
      <c r="AI804" s="186"/>
      <c r="AK804" s="171"/>
    </row>
    <row r="805" spans="1:41" ht="20.100000000000001" customHeight="1" x14ac:dyDescent="0.25">
      <c r="A805" s="277" t="s">
        <v>216</v>
      </c>
      <c r="B805" s="278"/>
      <c r="C805" s="64" t="s">
        <v>332</v>
      </c>
      <c r="D805" s="46" t="s">
        <v>328</v>
      </c>
      <c r="E805" s="114">
        <v>4.9450000000000003</v>
      </c>
      <c r="F805" s="44">
        <v>9063</v>
      </c>
      <c r="G805" s="44">
        <f t="shared" si="607"/>
        <v>44816.535000000003</v>
      </c>
      <c r="H805" s="44">
        <f t="shared" si="608"/>
        <v>2172.8366039215684</v>
      </c>
      <c r="I805" s="43">
        <f t="shared" si="609"/>
        <v>10744.677006392156</v>
      </c>
      <c r="J805" s="112">
        <f t="shared" si="610"/>
        <v>4.9450000000000003</v>
      </c>
      <c r="K805" s="211">
        <f t="shared" si="611"/>
        <v>4.9450000000000003</v>
      </c>
      <c r="L805" s="44"/>
      <c r="M805" s="44">
        <f t="shared" si="612"/>
        <v>4.9450000000000003</v>
      </c>
      <c r="N805" s="173">
        <f t="shared" si="613"/>
        <v>1</v>
      </c>
      <c r="O805" s="44">
        <f t="shared" si="614"/>
        <v>9063</v>
      </c>
      <c r="P805" s="44">
        <f t="shared" si="615"/>
        <v>44816.535000000003</v>
      </c>
      <c r="Q805" s="44">
        <f t="shared" si="616"/>
        <v>2172.8366039215684</v>
      </c>
      <c r="R805" s="44">
        <f t="shared" si="617"/>
        <v>10744.677006392156</v>
      </c>
      <c r="S805" s="123"/>
      <c r="T805" s="219">
        <f t="shared" si="618"/>
        <v>10744.677006392156</v>
      </c>
      <c r="U805" s="87"/>
      <c r="V805" s="47"/>
      <c r="W805" s="48"/>
      <c r="X805" s="48"/>
      <c r="Y805" s="48"/>
      <c r="Z805" s="135"/>
      <c r="AA805" s="49"/>
      <c r="AB805" s="50">
        <f t="shared" si="619"/>
        <v>2172.8366039215684</v>
      </c>
      <c r="AC805" s="42">
        <f t="shared" si="620"/>
        <v>4.9450000000000003</v>
      </c>
      <c r="AD805" s="90">
        <f>AD806+AD811+AD818+AD821</f>
        <v>10744.677006392158</v>
      </c>
      <c r="AE805" s="188">
        <f t="shared" ref="AE805:AH805" si="687">AE806+AE811+AE818+AE821</f>
        <v>0</v>
      </c>
      <c r="AF805" s="189">
        <f t="shared" si="687"/>
        <v>0</v>
      </c>
      <c r="AG805" s="189">
        <f t="shared" si="687"/>
        <v>0</v>
      </c>
      <c r="AH805" s="189">
        <f t="shared" si="687"/>
        <v>0</v>
      </c>
      <c r="AI805" s="161">
        <f t="shared" si="671"/>
        <v>0</v>
      </c>
      <c r="AK805" s="169">
        <v>5</v>
      </c>
      <c r="AO805" s="19" t="s">
        <v>63</v>
      </c>
    </row>
    <row r="806" spans="1:41" s="103" customFormat="1" ht="19.899999999999999" customHeight="1" x14ac:dyDescent="0.25">
      <c r="A806" s="51"/>
      <c r="B806" s="52"/>
      <c r="C806" s="165"/>
      <c r="D806" s="52"/>
      <c r="E806" s="115"/>
      <c r="F806" s="58"/>
      <c r="G806" s="58"/>
      <c r="H806" s="58"/>
      <c r="I806" s="55"/>
      <c r="J806" s="113">
        <f>J805</f>
        <v>4.9450000000000003</v>
      </c>
      <c r="K806" s="212">
        <f>K805</f>
        <v>4.9450000000000003</v>
      </c>
      <c r="L806" s="58"/>
      <c r="M806" s="58">
        <f>K806-L806</f>
        <v>4.9450000000000003</v>
      </c>
      <c r="N806" s="166"/>
      <c r="O806" s="58"/>
      <c r="P806" s="58"/>
      <c r="Q806" s="58"/>
      <c r="R806" s="58"/>
      <c r="S806" s="58"/>
      <c r="T806" s="220"/>
      <c r="U806" s="88"/>
      <c r="V806" s="56"/>
      <c r="W806" s="57" t="s">
        <v>1361</v>
      </c>
      <c r="X806" s="53"/>
      <c r="Y806" s="91" t="s">
        <v>35</v>
      </c>
      <c r="Z806" s="136">
        <f>AD806/AC806</f>
        <v>18.099388235294118</v>
      </c>
      <c r="AA806" s="58"/>
      <c r="AB806" s="53">
        <f>AD806/AC806</f>
        <v>18.099388235294118</v>
      </c>
      <c r="AC806" s="53">
        <f>M806+$AE$10</f>
        <v>4.9450000000000003</v>
      </c>
      <c r="AD806" s="54">
        <f>SUM(AD807:AD810)</f>
        <v>89.501474823529421</v>
      </c>
      <c r="AE806" s="184">
        <f>SUMIFS($AD$37:$AD$12971,$V$37:$V$12971,$V806,$X$37:$X$12971,AE$13)</f>
        <v>0</v>
      </c>
      <c r="AF806" s="185">
        <f>SUMIFS($AD$37:$AD$12971,$V$37:$V$12971,$V806,$X$37:$X$12971,AF$13)</f>
        <v>0</v>
      </c>
      <c r="AG806" s="185">
        <f>SUMIFS($AD$37:$AD$12971,$V$37:$V$12971,$V806,$X$37:$X$12971,AG$13)</f>
        <v>0</v>
      </c>
      <c r="AH806" s="187">
        <f>SUMIFS($AD$37:$AD$12971,$V$37:$V$12971,$V806,$X$37:$X$12971,AH$13)</f>
        <v>0</v>
      </c>
      <c r="AI806" s="161">
        <f t="shared" ref="AI806" si="688">SUM(AE806:AH806)</f>
        <v>0</v>
      </c>
      <c r="AK806" s="172"/>
    </row>
    <row r="807" spans="1:41" s="102" customFormat="1" ht="19.899999999999999" customHeight="1" x14ac:dyDescent="0.25">
      <c r="A807" s="45"/>
      <c r="B807" s="59"/>
      <c r="C807" s="137"/>
      <c r="D807" s="59"/>
      <c r="E807" s="116"/>
      <c r="F807" s="120"/>
      <c r="G807" s="120"/>
      <c r="H807" s="120"/>
      <c r="I807" s="60"/>
      <c r="J807" s="116"/>
      <c r="K807" s="213"/>
      <c r="L807" s="120"/>
      <c r="M807" s="120"/>
      <c r="N807" s="167"/>
      <c r="O807" s="120"/>
      <c r="P807" s="120"/>
      <c r="Q807" s="120"/>
      <c r="R807" s="120"/>
      <c r="S807" s="120"/>
      <c r="T807" s="221"/>
      <c r="U807" s="89"/>
      <c r="V807" s="61"/>
      <c r="W807" s="92" t="s">
        <v>129</v>
      </c>
      <c r="X807" s="93" t="s">
        <v>29</v>
      </c>
      <c r="Y807" s="93" t="s">
        <v>93</v>
      </c>
      <c r="Z807" s="134">
        <f>VLOOKUP(W807,Sheet2!$B:$D,3,FALSE)</f>
        <v>56</v>
      </c>
      <c r="AA807" s="93">
        <f>100/(3*3*0.5)</f>
        <v>22.222222222222221</v>
      </c>
      <c r="AB807" s="93">
        <f t="shared" ref="AB807" si="689">AD807/AC806</f>
        <v>2.52</v>
      </c>
      <c r="AC807" s="93">
        <f>AC806/AA807</f>
        <v>0.22252500000000003</v>
      </c>
      <c r="AD807" s="94">
        <f t="shared" ref="AD807:AD808" si="690">AC807*Z807</f>
        <v>12.461400000000001</v>
      </c>
      <c r="AE807" s="190"/>
      <c r="AF807" s="191"/>
      <c r="AG807" s="191"/>
      <c r="AH807" s="191"/>
      <c r="AI807" s="186"/>
      <c r="AK807" s="171"/>
    </row>
    <row r="808" spans="1:41" s="102" customFormat="1" ht="19.899999999999999" customHeight="1" x14ac:dyDescent="0.25">
      <c r="A808" s="45"/>
      <c r="B808" s="59"/>
      <c r="C808" s="137"/>
      <c r="D808" s="59"/>
      <c r="E808" s="116"/>
      <c r="F808" s="120"/>
      <c r="G808" s="120"/>
      <c r="H808" s="120"/>
      <c r="I808" s="60"/>
      <c r="J808" s="116"/>
      <c r="K808" s="213"/>
      <c r="L808" s="120"/>
      <c r="M808" s="120"/>
      <c r="N808" s="167"/>
      <c r="O808" s="120"/>
      <c r="P808" s="120"/>
      <c r="Q808" s="120"/>
      <c r="R808" s="120"/>
      <c r="S808" s="120"/>
      <c r="T808" s="221"/>
      <c r="U808" s="89"/>
      <c r="V808" s="61"/>
      <c r="W808" s="92" t="s">
        <v>65</v>
      </c>
      <c r="X808" s="93" t="s">
        <v>30</v>
      </c>
      <c r="Y808" s="93" t="s">
        <v>1011</v>
      </c>
      <c r="Z808" s="134">
        <f>VLOOKUP(W808,Sheet2!$B:$D,3,FALSE)</f>
        <v>1.76</v>
      </c>
      <c r="AA808" s="93">
        <f>AA807/14</f>
        <v>1.5873015873015872</v>
      </c>
      <c r="AB808" s="93">
        <f>AD808/AC806</f>
        <v>1.1088</v>
      </c>
      <c r="AC808" s="93">
        <f>AC806/AA808</f>
        <v>3.1153500000000003</v>
      </c>
      <c r="AD808" s="94">
        <f t="shared" si="690"/>
        <v>5.4830160000000001</v>
      </c>
      <c r="AE808" s="190"/>
      <c r="AF808" s="191"/>
      <c r="AG808" s="191"/>
      <c r="AH808" s="191"/>
      <c r="AI808" s="186"/>
      <c r="AK808" s="171"/>
    </row>
    <row r="809" spans="1:41" s="102" customFormat="1" ht="19.899999999999999" customHeight="1" x14ac:dyDescent="0.25">
      <c r="A809" s="45"/>
      <c r="B809" s="59"/>
      <c r="C809" s="137"/>
      <c r="D809" s="59"/>
      <c r="E809" s="116"/>
      <c r="F809" s="120"/>
      <c r="G809" s="120"/>
      <c r="H809" s="120"/>
      <c r="I809" s="60"/>
      <c r="J809" s="116"/>
      <c r="K809" s="213"/>
      <c r="L809" s="120"/>
      <c r="M809" s="120"/>
      <c r="N809" s="167"/>
      <c r="O809" s="120"/>
      <c r="P809" s="120"/>
      <c r="Q809" s="120"/>
      <c r="R809" s="120"/>
      <c r="S809" s="120"/>
      <c r="T809" s="221"/>
      <c r="U809" s="89"/>
      <c r="V809" s="61"/>
      <c r="W809" s="92" t="s">
        <v>161</v>
      </c>
      <c r="X809" s="93" t="s">
        <v>29</v>
      </c>
      <c r="Y809" s="93" t="s">
        <v>93</v>
      </c>
      <c r="Z809" s="134">
        <f>VLOOKUP(W809,Sheet2!$B:$D,3,FALSE)</f>
        <v>48</v>
      </c>
      <c r="AA809" s="93">
        <f>(16*0.85*1.5)/(3*3*0.5)</f>
        <v>4.5333333333333332</v>
      </c>
      <c r="AB809" s="93">
        <f>AD809/AC806</f>
        <v>10.588235294117647</v>
      </c>
      <c r="AC809" s="93">
        <f>AC806/AA809</f>
        <v>1.0908088235294118</v>
      </c>
      <c r="AD809" s="94">
        <f>AC809*Z809</f>
        <v>52.358823529411765</v>
      </c>
      <c r="AE809" s="190"/>
      <c r="AF809" s="191"/>
      <c r="AG809" s="191"/>
      <c r="AH809" s="191"/>
      <c r="AI809" s="186"/>
      <c r="AK809" s="171"/>
    </row>
    <row r="810" spans="1:41" s="102" customFormat="1" ht="19.899999999999999" customHeight="1" x14ac:dyDescent="0.25">
      <c r="A810" s="45"/>
      <c r="B810" s="59"/>
      <c r="C810" s="137"/>
      <c r="D810" s="59"/>
      <c r="E810" s="116"/>
      <c r="F810" s="120"/>
      <c r="G810" s="120"/>
      <c r="H810" s="120"/>
      <c r="I810" s="60"/>
      <c r="J810" s="116"/>
      <c r="K810" s="213"/>
      <c r="L810" s="120"/>
      <c r="M810" s="120"/>
      <c r="N810" s="167"/>
      <c r="O810" s="120"/>
      <c r="P810" s="120"/>
      <c r="Q810" s="120"/>
      <c r="R810" s="120"/>
      <c r="S810" s="120"/>
      <c r="T810" s="221"/>
      <c r="U810" s="89"/>
      <c r="V810" s="61"/>
      <c r="W810" s="92" t="s">
        <v>65</v>
      </c>
      <c r="X810" s="93" t="s">
        <v>30</v>
      </c>
      <c r="Y810" s="93" t="s">
        <v>1011</v>
      </c>
      <c r="Z810" s="134">
        <f>VLOOKUP(W810,Sheet2!$B:$D,3,FALSE)</f>
        <v>1.76</v>
      </c>
      <c r="AA810" s="93">
        <f>AA809/10</f>
        <v>0.45333333333333331</v>
      </c>
      <c r="AB810" s="93">
        <f>AD810/AC806</f>
        <v>3.8823529411764715</v>
      </c>
      <c r="AC810" s="93">
        <f>AC806/AA810</f>
        <v>10.90808823529412</v>
      </c>
      <c r="AD810" s="94">
        <f>AC810*Z810</f>
        <v>19.198235294117652</v>
      </c>
      <c r="AE810" s="190"/>
      <c r="AF810" s="191"/>
      <c r="AG810" s="191"/>
      <c r="AH810" s="191"/>
      <c r="AI810" s="186"/>
      <c r="AK810" s="171"/>
    </row>
    <row r="811" spans="1:41" s="103" customFormat="1" ht="19.899999999999999" customHeight="1" x14ac:dyDescent="0.25">
      <c r="A811" s="51"/>
      <c r="B811" s="52"/>
      <c r="C811" s="165"/>
      <c r="D811" s="52"/>
      <c r="E811" s="115"/>
      <c r="F811" s="58"/>
      <c r="G811" s="58"/>
      <c r="H811" s="58"/>
      <c r="I811" s="55"/>
      <c r="J811" s="113">
        <f>J805</f>
        <v>4.9450000000000003</v>
      </c>
      <c r="K811" s="212">
        <f>K805</f>
        <v>4.9450000000000003</v>
      </c>
      <c r="L811" s="58"/>
      <c r="M811" s="58">
        <f>K811-L811</f>
        <v>4.9450000000000003</v>
      </c>
      <c r="N811" s="166"/>
      <c r="O811" s="58"/>
      <c r="P811" s="58"/>
      <c r="Q811" s="58"/>
      <c r="R811" s="58"/>
      <c r="S811" s="58"/>
      <c r="T811" s="220"/>
      <c r="U811" s="88"/>
      <c r="V811" s="56"/>
      <c r="W811" s="57" t="s">
        <v>1352</v>
      </c>
      <c r="X811" s="53"/>
      <c r="Y811" s="91" t="s">
        <v>35</v>
      </c>
      <c r="Z811" s="136">
        <f>AD811/AC811</f>
        <v>1550</v>
      </c>
      <c r="AA811" s="58"/>
      <c r="AB811" s="53">
        <f>AD811/AC811</f>
        <v>1550</v>
      </c>
      <c r="AC811" s="53">
        <f>M811+$AE$10</f>
        <v>4.9450000000000003</v>
      </c>
      <c r="AD811" s="54">
        <f>SUM(AD812:AD817)</f>
        <v>7664.75</v>
      </c>
      <c r="AE811" s="184">
        <f>SUMIFS($AD$37:$AD$12971,$V$37:$V$12971,$V811,$X$37:$X$12971,AE$13)</f>
        <v>0</v>
      </c>
      <c r="AF811" s="185">
        <f>SUMIFS($AD$37:$AD$12971,$V$37:$V$12971,$V811,$X$37:$X$12971,AF$13)</f>
        <v>0</v>
      </c>
      <c r="AG811" s="185">
        <f>SUMIFS($AD$37:$AD$12971,$V$37:$V$12971,$V811,$X$37:$X$12971,AG$13)</f>
        <v>0</v>
      </c>
      <c r="AH811" s="187">
        <f>SUMIFS($AD$37:$AD$12971,$V$37:$V$12971,$V811,$X$37:$X$12971,AH$13)</f>
        <v>0</v>
      </c>
      <c r="AI811" s="161">
        <f t="shared" ref="AI811" si="691">SUM(AE811:AH811)</f>
        <v>0</v>
      </c>
      <c r="AK811" s="172"/>
    </row>
    <row r="812" spans="1:41" s="102" customFormat="1" ht="19.899999999999999" customHeight="1" x14ac:dyDescent="0.25">
      <c r="A812" s="45"/>
      <c r="B812" s="59"/>
      <c r="C812" s="137"/>
      <c r="D812" s="59"/>
      <c r="E812" s="116"/>
      <c r="F812" s="120"/>
      <c r="G812" s="120"/>
      <c r="H812" s="120"/>
      <c r="I812" s="60"/>
      <c r="J812" s="116"/>
      <c r="K812" s="213"/>
      <c r="L812" s="120"/>
      <c r="M812" s="120"/>
      <c r="N812" s="167"/>
      <c r="O812" s="120"/>
      <c r="P812" s="120"/>
      <c r="Q812" s="120"/>
      <c r="R812" s="120"/>
      <c r="S812" s="120"/>
      <c r="T812" s="221"/>
      <c r="U812" s="89"/>
      <c r="V812" s="61"/>
      <c r="W812" s="92" t="s">
        <v>1353</v>
      </c>
      <c r="X812" s="93" t="s">
        <v>30</v>
      </c>
      <c r="Y812" s="93" t="s">
        <v>66</v>
      </c>
      <c r="Z812" s="134">
        <f>VLOOKUP(W812,Sheet2!$B:$D,3,FALSE)</f>
        <v>350</v>
      </c>
      <c r="AA812" s="93">
        <f>1/(2*0.5*0.25*4)</f>
        <v>1</v>
      </c>
      <c r="AB812" s="93">
        <f>AD812/AC811</f>
        <v>350</v>
      </c>
      <c r="AC812" s="93">
        <f>AC811/AA812</f>
        <v>4.9450000000000003</v>
      </c>
      <c r="AD812" s="94">
        <f t="shared" ref="AD812:AD813" si="692">AC812*Z812</f>
        <v>1730.75</v>
      </c>
      <c r="AE812" s="190"/>
      <c r="AF812" s="191"/>
      <c r="AG812" s="191"/>
      <c r="AH812" s="191"/>
      <c r="AI812" s="186"/>
      <c r="AK812" s="171"/>
    </row>
    <row r="813" spans="1:41" s="102" customFormat="1" ht="19.899999999999999" customHeight="1" x14ac:dyDescent="0.25">
      <c r="A813" s="45"/>
      <c r="B813" s="59"/>
      <c r="C813" s="137"/>
      <c r="D813" s="59"/>
      <c r="E813" s="116"/>
      <c r="F813" s="120"/>
      <c r="G813" s="120"/>
      <c r="H813" s="120"/>
      <c r="I813" s="60"/>
      <c r="J813" s="116"/>
      <c r="K813" s="213"/>
      <c r="L813" s="120"/>
      <c r="M813" s="120"/>
      <c r="N813" s="167"/>
      <c r="O813" s="120"/>
      <c r="P813" s="120"/>
      <c r="Q813" s="120"/>
      <c r="R813" s="120"/>
      <c r="S813" s="120"/>
      <c r="T813" s="221"/>
      <c r="U813" s="89"/>
      <c r="V813" s="61"/>
      <c r="W813" s="92" t="s">
        <v>99</v>
      </c>
      <c r="X813" s="93" t="s">
        <v>30</v>
      </c>
      <c r="Y813" s="93" t="s">
        <v>67</v>
      </c>
      <c r="Z813" s="134">
        <f>VLOOKUP(W813,Sheet2!$B:$D,3,FALSE)</f>
        <v>2500</v>
      </c>
      <c r="AA813" s="93">
        <f>1/(2*0.5*0.25*4*0.08)</f>
        <v>12.5</v>
      </c>
      <c r="AB813" s="93">
        <f>AD813/AC811</f>
        <v>200</v>
      </c>
      <c r="AC813" s="93">
        <f>AC811/AA813</f>
        <v>0.39560000000000001</v>
      </c>
      <c r="AD813" s="94">
        <f t="shared" si="692"/>
        <v>989</v>
      </c>
      <c r="AE813" s="190"/>
      <c r="AF813" s="191"/>
      <c r="AG813" s="191"/>
      <c r="AH813" s="191"/>
      <c r="AI813" s="186"/>
      <c r="AK813" s="171"/>
    </row>
    <row r="814" spans="1:41" s="102" customFormat="1" ht="19.899999999999999" customHeight="1" x14ac:dyDescent="0.25">
      <c r="A814" s="45"/>
      <c r="B814" s="59"/>
      <c r="C814" s="137"/>
      <c r="D814" s="59"/>
      <c r="E814" s="116"/>
      <c r="F814" s="120"/>
      <c r="G814" s="120"/>
      <c r="H814" s="120"/>
      <c r="I814" s="60"/>
      <c r="J814" s="116"/>
      <c r="K814" s="213"/>
      <c r="L814" s="120"/>
      <c r="M814" s="120"/>
      <c r="N814" s="167"/>
      <c r="O814" s="120"/>
      <c r="P814" s="120"/>
      <c r="Q814" s="120"/>
      <c r="R814" s="120"/>
      <c r="S814" s="120"/>
      <c r="T814" s="221"/>
      <c r="U814" s="89"/>
      <c r="V814" s="61"/>
      <c r="W814" s="92" t="s">
        <v>1355</v>
      </c>
      <c r="X814" s="93" t="s">
        <v>32</v>
      </c>
      <c r="Y814" s="93" t="s">
        <v>66</v>
      </c>
      <c r="Z814" s="134">
        <f>VLOOKUP(W814,Sheet2!$B:$D,3,FALSE)</f>
        <v>450</v>
      </c>
      <c r="AA814" s="93">
        <f>AA812</f>
        <v>1</v>
      </c>
      <c r="AB814" s="93">
        <f>AD814/AC811</f>
        <v>450</v>
      </c>
      <c r="AC814" s="93">
        <f>AC811/AA814</f>
        <v>4.9450000000000003</v>
      </c>
      <c r="AD814" s="94">
        <f>AC814*Z814</f>
        <v>2225.25</v>
      </c>
      <c r="AE814" s="190"/>
      <c r="AF814" s="191"/>
      <c r="AG814" s="191"/>
      <c r="AH814" s="191"/>
      <c r="AI814" s="186"/>
      <c r="AK814" s="171"/>
    </row>
    <row r="815" spans="1:41" s="102" customFormat="1" ht="19.899999999999999" customHeight="1" x14ac:dyDescent="0.25">
      <c r="A815" s="45"/>
      <c r="B815" s="59"/>
      <c r="C815" s="137"/>
      <c r="D815" s="59"/>
      <c r="E815" s="116"/>
      <c r="F815" s="120"/>
      <c r="G815" s="120"/>
      <c r="H815" s="120"/>
      <c r="I815" s="60"/>
      <c r="J815" s="116"/>
      <c r="K815" s="213"/>
      <c r="L815" s="120"/>
      <c r="M815" s="120"/>
      <c r="N815" s="167"/>
      <c r="O815" s="120"/>
      <c r="P815" s="120"/>
      <c r="Q815" s="120"/>
      <c r="R815" s="120"/>
      <c r="S815" s="120"/>
      <c r="T815" s="221"/>
      <c r="U815" s="89"/>
      <c r="V815" s="61"/>
      <c r="W815" s="92" t="s">
        <v>1362</v>
      </c>
      <c r="X815" s="93" t="s">
        <v>30</v>
      </c>
      <c r="Y815" s="93" t="s">
        <v>35</v>
      </c>
      <c r="Z815" s="134">
        <f>VLOOKUP(W815,Sheet2!$B:$D,3,FALSE)</f>
        <v>400</v>
      </c>
      <c r="AA815" s="93">
        <v>1</v>
      </c>
      <c r="AB815" s="93">
        <f>AD815/AC811</f>
        <v>400</v>
      </c>
      <c r="AC815" s="93">
        <f>AC811/AA815</f>
        <v>4.9450000000000003</v>
      </c>
      <c r="AD815" s="94">
        <f t="shared" ref="AD815" si="693">AC815*Z815</f>
        <v>1978</v>
      </c>
      <c r="AE815" s="190"/>
      <c r="AF815" s="191"/>
      <c r="AG815" s="191"/>
      <c r="AH815" s="191"/>
      <c r="AI815" s="186"/>
      <c r="AK815" s="171"/>
    </row>
    <row r="816" spans="1:41" s="102" customFormat="1" ht="19.899999999999999" customHeight="1" x14ac:dyDescent="0.25">
      <c r="A816" s="45"/>
      <c r="B816" s="59"/>
      <c r="C816" s="137"/>
      <c r="D816" s="59"/>
      <c r="E816" s="116"/>
      <c r="F816" s="120"/>
      <c r="G816" s="120"/>
      <c r="H816" s="120"/>
      <c r="I816" s="60"/>
      <c r="J816" s="116"/>
      <c r="K816" s="213"/>
      <c r="L816" s="120"/>
      <c r="M816" s="120"/>
      <c r="N816" s="167"/>
      <c r="O816" s="120"/>
      <c r="P816" s="120"/>
      <c r="Q816" s="120"/>
      <c r="R816" s="120"/>
      <c r="S816" s="120"/>
      <c r="T816" s="221"/>
      <c r="U816" s="89"/>
      <c r="V816" s="61"/>
      <c r="W816" s="92" t="s">
        <v>107</v>
      </c>
      <c r="X816" s="93" t="s">
        <v>31</v>
      </c>
      <c r="Y816" s="93" t="s">
        <v>93</v>
      </c>
      <c r="Z816" s="134">
        <f>VLOOKUP(W816,Sheet2!$B:$D,3,FALSE)</f>
        <v>17</v>
      </c>
      <c r="AA816" s="93">
        <f>1/5</f>
        <v>0.2</v>
      </c>
      <c r="AB816" s="93">
        <f>AD816/AC811</f>
        <v>85</v>
      </c>
      <c r="AC816" s="93">
        <f>AC811/AA816</f>
        <v>24.725000000000001</v>
      </c>
      <c r="AD816" s="94">
        <f>AC816*Z816</f>
        <v>420.32500000000005</v>
      </c>
      <c r="AE816" s="190"/>
      <c r="AF816" s="191"/>
      <c r="AG816" s="191"/>
      <c r="AH816" s="191"/>
      <c r="AI816" s="186"/>
      <c r="AK816" s="171"/>
    </row>
    <row r="817" spans="1:41" s="102" customFormat="1" ht="19.899999999999999" customHeight="1" x14ac:dyDescent="0.25">
      <c r="A817" s="45"/>
      <c r="B817" s="59"/>
      <c r="C817" s="137"/>
      <c r="D817" s="59"/>
      <c r="E817" s="116"/>
      <c r="F817" s="120"/>
      <c r="G817" s="120"/>
      <c r="H817" s="120"/>
      <c r="I817" s="60"/>
      <c r="J817" s="116"/>
      <c r="K817" s="213"/>
      <c r="L817" s="120"/>
      <c r="M817" s="120"/>
      <c r="N817" s="167"/>
      <c r="O817" s="120"/>
      <c r="P817" s="120"/>
      <c r="Q817" s="120"/>
      <c r="R817" s="120"/>
      <c r="S817" s="120"/>
      <c r="T817" s="221"/>
      <c r="U817" s="89"/>
      <c r="V817" s="61"/>
      <c r="W817" s="92" t="s">
        <v>112</v>
      </c>
      <c r="X817" s="93" t="s">
        <v>31</v>
      </c>
      <c r="Y817" s="93" t="s">
        <v>93</v>
      </c>
      <c r="Z817" s="134">
        <f>VLOOKUP(W817,Sheet2!$B:$D,3,FALSE)</f>
        <v>13</v>
      </c>
      <c r="AA817" s="93">
        <f>AA816</f>
        <v>0.2</v>
      </c>
      <c r="AB817" s="93">
        <f>AD817/AC811</f>
        <v>65</v>
      </c>
      <c r="AC817" s="93">
        <f>AC811/AA817</f>
        <v>24.725000000000001</v>
      </c>
      <c r="AD817" s="94">
        <f>AC817*Z817</f>
        <v>321.42500000000001</v>
      </c>
      <c r="AE817" s="190"/>
      <c r="AF817" s="191"/>
      <c r="AG817" s="191"/>
      <c r="AH817" s="191"/>
      <c r="AI817" s="186"/>
      <c r="AK817" s="171"/>
    </row>
    <row r="818" spans="1:41" s="103" customFormat="1" ht="19.899999999999999" customHeight="1" x14ac:dyDescent="0.25">
      <c r="A818" s="51"/>
      <c r="B818" s="52"/>
      <c r="C818" s="165"/>
      <c r="D818" s="52"/>
      <c r="E818" s="115"/>
      <c r="F818" s="58"/>
      <c r="G818" s="58"/>
      <c r="H818" s="58"/>
      <c r="I818" s="55"/>
      <c r="J818" s="113">
        <f>J805</f>
        <v>4.9450000000000003</v>
      </c>
      <c r="K818" s="212">
        <f>K805</f>
        <v>4.9450000000000003</v>
      </c>
      <c r="L818" s="58"/>
      <c r="M818" s="58">
        <f>K818-L818</f>
        <v>4.9450000000000003</v>
      </c>
      <c r="N818" s="166"/>
      <c r="O818" s="58"/>
      <c r="P818" s="58"/>
      <c r="Q818" s="58"/>
      <c r="R818" s="58"/>
      <c r="S818" s="58"/>
      <c r="T818" s="220"/>
      <c r="U818" s="88"/>
      <c r="V818" s="56"/>
      <c r="W818" s="57" t="s">
        <v>1358</v>
      </c>
      <c r="X818" s="53"/>
      <c r="Y818" s="91" t="s">
        <v>35</v>
      </c>
      <c r="Z818" s="136">
        <f>AD818/AC818</f>
        <v>560</v>
      </c>
      <c r="AA818" s="58"/>
      <c r="AB818" s="53">
        <f>AD818/AC818</f>
        <v>560</v>
      </c>
      <c r="AC818" s="53">
        <f>M818+$AE$10</f>
        <v>4.9450000000000003</v>
      </c>
      <c r="AD818" s="54">
        <f>SUM(AD819:AD820)</f>
        <v>2769.2000000000003</v>
      </c>
      <c r="AE818" s="184">
        <f>SUMIFS($AD$37:$AD$12971,$V$37:$V$12971,$V818,$X$37:$X$12971,AE$13)</f>
        <v>0</v>
      </c>
      <c r="AF818" s="185">
        <f>SUMIFS($AD$37:$AD$12971,$V$37:$V$12971,$V818,$X$37:$X$12971,AF$13)</f>
        <v>0</v>
      </c>
      <c r="AG818" s="185">
        <f>SUMIFS($AD$37:$AD$12971,$V$37:$V$12971,$V818,$X$37:$X$12971,AG$13)</f>
        <v>0</v>
      </c>
      <c r="AH818" s="187">
        <f>SUMIFS($AD$37:$AD$12971,$V$37:$V$12971,$V818,$X$37:$X$12971,AH$13)</f>
        <v>0</v>
      </c>
      <c r="AI818" s="161">
        <f t="shared" ref="AI818" si="694">SUM(AE818:AH818)</f>
        <v>0</v>
      </c>
      <c r="AK818" s="172"/>
    </row>
    <row r="819" spans="1:41" s="102" customFormat="1" ht="19.899999999999999" customHeight="1" x14ac:dyDescent="0.25">
      <c r="A819" s="45"/>
      <c r="B819" s="59"/>
      <c r="C819" s="137"/>
      <c r="D819" s="59"/>
      <c r="E819" s="116"/>
      <c r="F819" s="120"/>
      <c r="G819" s="120"/>
      <c r="H819" s="120"/>
      <c r="I819" s="60"/>
      <c r="J819" s="116"/>
      <c r="K819" s="213"/>
      <c r="L819" s="120"/>
      <c r="M819" s="120"/>
      <c r="N819" s="167"/>
      <c r="O819" s="120"/>
      <c r="P819" s="120"/>
      <c r="Q819" s="120"/>
      <c r="R819" s="120"/>
      <c r="S819" s="120"/>
      <c r="T819" s="221"/>
      <c r="U819" s="89"/>
      <c r="V819" s="61"/>
      <c r="W819" s="92" t="s">
        <v>1359</v>
      </c>
      <c r="X819" s="93" t="s">
        <v>32</v>
      </c>
      <c r="Y819" s="93" t="s">
        <v>64</v>
      </c>
      <c r="Z819" s="134">
        <f>VLOOKUP(W819,Sheet2!$B:$D,3,FALSE)</f>
        <v>40</v>
      </c>
      <c r="AA819" s="93">
        <f>1/8</f>
        <v>0.125</v>
      </c>
      <c r="AB819" s="93">
        <f t="shared" ref="AB819" si="695">AD819/AC818</f>
        <v>320</v>
      </c>
      <c r="AC819" s="93">
        <f>AC818/AA819</f>
        <v>39.56</v>
      </c>
      <c r="AD819" s="94">
        <f t="shared" ref="AD819:AD820" si="696">AC819*Z819</f>
        <v>1582.4</v>
      </c>
      <c r="AE819" s="190"/>
      <c r="AF819" s="191"/>
      <c r="AG819" s="191"/>
      <c r="AH819" s="191"/>
      <c r="AI819" s="186"/>
      <c r="AK819" s="171"/>
    </row>
    <row r="820" spans="1:41" s="102" customFormat="1" ht="19.899999999999999" customHeight="1" x14ac:dyDescent="0.25">
      <c r="A820" s="45"/>
      <c r="B820" s="59"/>
      <c r="C820" s="137"/>
      <c r="D820" s="59"/>
      <c r="E820" s="116"/>
      <c r="F820" s="120"/>
      <c r="G820" s="120"/>
      <c r="H820" s="120"/>
      <c r="I820" s="60"/>
      <c r="J820" s="116"/>
      <c r="K820" s="213"/>
      <c r="L820" s="120"/>
      <c r="M820" s="120"/>
      <c r="N820" s="167"/>
      <c r="O820" s="120"/>
      <c r="P820" s="120"/>
      <c r="Q820" s="120"/>
      <c r="R820" s="120"/>
      <c r="S820" s="120"/>
      <c r="T820" s="221"/>
      <c r="U820" s="89"/>
      <c r="V820" s="61"/>
      <c r="W820" s="92" t="s">
        <v>1360</v>
      </c>
      <c r="X820" s="93" t="s">
        <v>32</v>
      </c>
      <c r="Y820" s="93" t="s">
        <v>64</v>
      </c>
      <c r="Z820" s="134">
        <f>VLOOKUP(W820,Sheet2!$B:$D,3,FALSE)</f>
        <v>30</v>
      </c>
      <c r="AA820" s="93">
        <f>AA819</f>
        <v>0.125</v>
      </c>
      <c r="AB820" s="93">
        <f>AD820/AC818</f>
        <v>240.00000000000003</v>
      </c>
      <c r="AC820" s="93">
        <f>AC818/AA820</f>
        <v>39.56</v>
      </c>
      <c r="AD820" s="94">
        <f t="shared" si="696"/>
        <v>1186.8000000000002</v>
      </c>
      <c r="AE820" s="190"/>
      <c r="AF820" s="191"/>
      <c r="AG820" s="191"/>
      <c r="AH820" s="191"/>
      <c r="AI820" s="186"/>
      <c r="AK820" s="171"/>
    </row>
    <row r="821" spans="1:41" s="103" customFormat="1" ht="19.899999999999999" customHeight="1" x14ac:dyDescent="0.25">
      <c r="A821" s="51"/>
      <c r="B821" s="52"/>
      <c r="C821" s="165"/>
      <c r="D821" s="52"/>
      <c r="E821" s="115"/>
      <c r="F821" s="58"/>
      <c r="G821" s="58"/>
      <c r="H821" s="58"/>
      <c r="I821" s="55"/>
      <c r="J821" s="113">
        <f>J805</f>
        <v>4.9450000000000003</v>
      </c>
      <c r="K821" s="212">
        <f>K805</f>
        <v>4.9450000000000003</v>
      </c>
      <c r="L821" s="58"/>
      <c r="M821" s="58">
        <f>K821-L821</f>
        <v>4.9450000000000003</v>
      </c>
      <c r="N821" s="166"/>
      <c r="O821" s="58"/>
      <c r="P821" s="58"/>
      <c r="Q821" s="58"/>
      <c r="R821" s="58"/>
      <c r="S821" s="58"/>
      <c r="T821" s="220"/>
      <c r="U821" s="88"/>
      <c r="V821" s="56"/>
      <c r="W821" s="57" t="s">
        <v>1272</v>
      </c>
      <c r="X821" s="53"/>
      <c r="Y821" s="91" t="s">
        <v>35</v>
      </c>
      <c r="Z821" s="136">
        <f>AD821/AC821</f>
        <v>44.73721568627451</v>
      </c>
      <c r="AA821" s="58"/>
      <c r="AB821" s="53">
        <f>AD821/AC821</f>
        <v>44.73721568627451</v>
      </c>
      <c r="AC821" s="53">
        <f>M821+$AE$10</f>
        <v>4.9450000000000003</v>
      </c>
      <c r="AD821" s="54">
        <f>SUM(AD822:AD830)</f>
        <v>221.22553156862747</v>
      </c>
      <c r="AE821" s="184">
        <f>SUMIFS($AD$37:$AD$12971,$V$37:$V$12971,$V821,$X$37:$X$12971,AE$13)</f>
        <v>0</v>
      </c>
      <c r="AF821" s="185">
        <f>SUMIFS($AD$37:$AD$12971,$V$37:$V$12971,$V821,$X$37:$X$12971,AF$13)</f>
        <v>0</v>
      </c>
      <c r="AG821" s="185">
        <f>SUMIFS($AD$37:$AD$12971,$V$37:$V$12971,$V821,$X$37:$X$12971,AG$13)</f>
        <v>0</v>
      </c>
      <c r="AH821" s="187">
        <f>SUMIFS($AD$37:$AD$12971,$V$37:$V$12971,$V821,$X$37:$X$12971,AH$13)</f>
        <v>0</v>
      </c>
      <c r="AI821" s="161">
        <f t="shared" ref="AI821" si="697">SUM(AE821:AH821)</f>
        <v>0</v>
      </c>
      <c r="AK821" s="172"/>
    </row>
    <row r="822" spans="1:41" s="102" customFormat="1" ht="19.899999999999999" customHeight="1" x14ac:dyDescent="0.25">
      <c r="A822" s="45"/>
      <c r="B822" s="59"/>
      <c r="C822" s="137"/>
      <c r="D822" s="59"/>
      <c r="E822" s="116"/>
      <c r="F822" s="120"/>
      <c r="G822" s="120"/>
      <c r="H822" s="120"/>
      <c r="I822" s="60"/>
      <c r="J822" s="116"/>
      <c r="K822" s="213"/>
      <c r="L822" s="120"/>
      <c r="M822" s="120"/>
      <c r="N822" s="167"/>
      <c r="O822" s="120"/>
      <c r="P822" s="120"/>
      <c r="Q822" s="120"/>
      <c r="R822" s="120"/>
      <c r="S822" s="120"/>
      <c r="T822" s="221"/>
      <c r="U822" s="89"/>
      <c r="V822" s="61"/>
      <c r="W822" s="92" t="s">
        <v>1273</v>
      </c>
      <c r="X822" s="93" t="s">
        <v>30</v>
      </c>
      <c r="Y822" s="93" t="s">
        <v>66</v>
      </c>
      <c r="Z822" s="134">
        <f>VLOOKUP(W822,Sheet2!$B:$D,3,FALSE)</f>
        <v>10</v>
      </c>
      <c r="AA822" s="93">
        <f>1/(2.5*0.5*0.5*4)</f>
        <v>0.4</v>
      </c>
      <c r="AB822" s="93">
        <f>AD822/AC821</f>
        <v>25</v>
      </c>
      <c r="AC822" s="93">
        <f>AC821/AA822</f>
        <v>12.362500000000001</v>
      </c>
      <c r="AD822" s="94">
        <f t="shared" ref="AD822:AD824" si="698">AC822*Z822</f>
        <v>123.625</v>
      </c>
      <c r="AE822" s="190"/>
      <c r="AF822" s="191"/>
      <c r="AG822" s="191"/>
      <c r="AH822" s="191"/>
      <c r="AI822" s="186"/>
      <c r="AK822" s="171"/>
    </row>
    <row r="823" spans="1:41" s="102" customFormat="1" ht="19.899999999999999" customHeight="1" x14ac:dyDescent="0.25">
      <c r="A823" s="45"/>
      <c r="B823" s="59"/>
      <c r="C823" s="137"/>
      <c r="D823" s="59"/>
      <c r="E823" s="116"/>
      <c r="F823" s="120"/>
      <c r="G823" s="120"/>
      <c r="H823" s="120"/>
      <c r="I823" s="60"/>
      <c r="J823" s="116"/>
      <c r="K823" s="213"/>
      <c r="L823" s="120"/>
      <c r="M823" s="120"/>
      <c r="N823" s="167"/>
      <c r="O823" s="120"/>
      <c r="P823" s="120"/>
      <c r="Q823" s="120"/>
      <c r="R823" s="120"/>
      <c r="S823" s="120"/>
      <c r="T823" s="221"/>
      <c r="U823" s="89"/>
      <c r="V823" s="61"/>
      <c r="W823" s="92" t="s">
        <v>134</v>
      </c>
      <c r="X823" s="93" t="s">
        <v>29</v>
      </c>
      <c r="Y823" s="93" t="s">
        <v>93</v>
      </c>
      <c r="Z823" s="134">
        <f>VLOOKUP(W823,Sheet2!$B:$D,3,FALSE)</f>
        <v>65.599999999999994</v>
      </c>
      <c r="AA823" s="93">
        <f>100/(2.5*0.5*0.5*4)</f>
        <v>40</v>
      </c>
      <c r="AB823" s="93">
        <f t="shared" ref="AB823" si="699">AD823/AC821</f>
        <v>1.64</v>
      </c>
      <c r="AC823" s="93">
        <f>AC821/AA823</f>
        <v>0.12362500000000001</v>
      </c>
      <c r="AD823" s="94">
        <f t="shared" si="698"/>
        <v>8.1097999999999999</v>
      </c>
      <c r="AE823" s="190"/>
      <c r="AF823" s="191"/>
      <c r="AG823" s="191"/>
      <c r="AH823" s="191"/>
      <c r="AI823" s="186"/>
      <c r="AK823" s="171"/>
    </row>
    <row r="824" spans="1:41" s="102" customFormat="1" ht="19.899999999999999" customHeight="1" x14ac:dyDescent="0.25">
      <c r="A824" s="45"/>
      <c r="B824" s="59"/>
      <c r="C824" s="137"/>
      <c r="D824" s="59"/>
      <c r="E824" s="116"/>
      <c r="F824" s="120"/>
      <c r="G824" s="120"/>
      <c r="H824" s="120"/>
      <c r="I824" s="60"/>
      <c r="J824" s="116"/>
      <c r="K824" s="213"/>
      <c r="L824" s="120"/>
      <c r="M824" s="120"/>
      <c r="N824" s="167"/>
      <c r="O824" s="120"/>
      <c r="P824" s="120"/>
      <c r="Q824" s="120"/>
      <c r="R824" s="120"/>
      <c r="S824" s="120"/>
      <c r="T824" s="221"/>
      <c r="U824" s="89"/>
      <c r="V824" s="61"/>
      <c r="W824" s="92" t="s">
        <v>65</v>
      </c>
      <c r="X824" s="93" t="s">
        <v>30</v>
      </c>
      <c r="Y824" s="93" t="s">
        <v>1011</v>
      </c>
      <c r="Z824" s="134">
        <f>VLOOKUP(W824,Sheet2!$B:$D,3,FALSE)</f>
        <v>1.76</v>
      </c>
      <c r="AA824" s="93">
        <f>AA823/9</f>
        <v>4.4444444444444446</v>
      </c>
      <c r="AB824" s="93">
        <f>AD824/AC821</f>
        <v>0.39600000000000002</v>
      </c>
      <c r="AC824" s="93">
        <f>AC821/AA824</f>
        <v>1.112625</v>
      </c>
      <c r="AD824" s="94">
        <f t="shared" si="698"/>
        <v>1.9582200000000001</v>
      </c>
      <c r="AE824" s="190"/>
      <c r="AF824" s="191"/>
      <c r="AG824" s="191"/>
      <c r="AH824" s="191"/>
      <c r="AI824" s="186"/>
      <c r="AK824" s="171"/>
    </row>
    <row r="825" spans="1:41" s="102" customFormat="1" ht="19.899999999999999" customHeight="1" x14ac:dyDescent="0.25">
      <c r="A825" s="45"/>
      <c r="B825" s="59"/>
      <c r="C825" s="137"/>
      <c r="D825" s="59"/>
      <c r="E825" s="116"/>
      <c r="F825" s="120"/>
      <c r="G825" s="120"/>
      <c r="H825" s="120"/>
      <c r="I825" s="60"/>
      <c r="J825" s="116"/>
      <c r="K825" s="213"/>
      <c r="L825" s="120"/>
      <c r="M825" s="120"/>
      <c r="N825" s="167"/>
      <c r="O825" s="120"/>
      <c r="P825" s="120"/>
      <c r="Q825" s="120"/>
      <c r="R825" s="120"/>
      <c r="S825" s="120"/>
      <c r="T825" s="221"/>
      <c r="U825" s="89"/>
      <c r="V825" s="61"/>
      <c r="W825" s="92" t="s">
        <v>161</v>
      </c>
      <c r="X825" s="93" t="s">
        <v>29</v>
      </c>
      <c r="Y825" s="93" t="s">
        <v>93</v>
      </c>
      <c r="Z825" s="134">
        <f>VLOOKUP(W825,Sheet2!$B:$D,3,FALSE)</f>
        <v>48</v>
      </c>
      <c r="AA825" s="93">
        <f>(16*0.85*1.5)/(2.5*0.5*0.5*4)</f>
        <v>8.16</v>
      </c>
      <c r="AB825" s="93">
        <f>AD825/AC821</f>
        <v>5.882352941176471</v>
      </c>
      <c r="AC825" s="93">
        <f>AC821/AA825</f>
        <v>0.60600490196078438</v>
      </c>
      <c r="AD825" s="94">
        <f>AC825*Z825</f>
        <v>29.088235294117652</v>
      </c>
      <c r="AE825" s="190"/>
      <c r="AF825" s="191"/>
      <c r="AG825" s="191"/>
      <c r="AH825" s="191"/>
      <c r="AI825" s="186"/>
      <c r="AK825" s="171"/>
    </row>
    <row r="826" spans="1:41" s="102" customFormat="1" ht="19.899999999999999" customHeight="1" x14ac:dyDescent="0.25">
      <c r="A826" s="45"/>
      <c r="B826" s="59"/>
      <c r="C826" s="137"/>
      <c r="D826" s="59"/>
      <c r="E826" s="116"/>
      <c r="F826" s="120"/>
      <c r="G826" s="120"/>
      <c r="H826" s="120"/>
      <c r="I826" s="60"/>
      <c r="J826" s="116"/>
      <c r="K826" s="213"/>
      <c r="L826" s="120"/>
      <c r="M826" s="120"/>
      <c r="N826" s="167"/>
      <c r="O826" s="120"/>
      <c r="P826" s="120"/>
      <c r="Q826" s="120"/>
      <c r="R826" s="120"/>
      <c r="S826" s="120"/>
      <c r="T826" s="221"/>
      <c r="U826" s="89"/>
      <c r="V826" s="61"/>
      <c r="W826" s="92" t="s">
        <v>65</v>
      </c>
      <c r="X826" s="93" t="s">
        <v>30</v>
      </c>
      <c r="Y826" s="93" t="s">
        <v>1011</v>
      </c>
      <c r="Z826" s="134">
        <f>VLOOKUP(W826,Sheet2!$B:$D,3,FALSE)</f>
        <v>1.76</v>
      </c>
      <c r="AA826" s="93">
        <f>AA825/10</f>
        <v>0.81600000000000006</v>
      </c>
      <c r="AB826" s="93">
        <f>AD826/AC821</f>
        <v>2.1568627450980387</v>
      </c>
      <c r="AC826" s="93">
        <f>AC821/AA826</f>
        <v>6.0600490196078427</v>
      </c>
      <c r="AD826" s="94">
        <f>AC826*Z826</f>
        <v>10.665686274509802</v>
      </c>
      <c r="AE826" s="190"/>
      <c r="AF826" s="191"/>
      <c r="AG826" s="191"/>
      <c r="AH826" s="191"/>
      <c r="AI826" s="186"/>
      <c r="AK826" s="171"/>
    </row>
    <row r="827" spans="1:41" s="102" customFormat="1" ht="19.899999999999999" customHeight="1" x14ac:dyDescent="0.25">
      <c r="A827" s="45"/>
      <c r="B827" s="59"/>
      <c r="C827" s="137"/>
      <c r="D827" s="59"/>
      <c r="E827" s="116"/>
      <c r="F827" s="120"/>
      <c r="G827" s="120"/>
      <c r="H827" s="120"/>
      <c r="I827" s="60"/>
      <c r="J827" s="116"/>
      <c r="K827" s="213"/>
      <c r="L827" s="120"/>
      <c r="M827" s="120"/>
      <c r="N827" s="167"/>
      <c r="O827" s="120"/>
      <c r="P827" s="120"/>
      <c r="Q827" s="120"/>
      <c r="R827" s="120"/>
      <c r="S827" s="120"/>
      <c r="T827" s="221"/>
      <c r="U827" s="89"/>
      <c r="V827" s="61"/>
      <c r="W827" s="92" t="s">
        <v>173</v>
      </c>
      <c r="X827" s="93" t="s">
        <v>29</v>
      </c>
      <c r="Y827" s="93" t="s">
        <v>93</v>
      </c>
      <c r="Z827" s="134">
        <f>VLOOKUP(W827,Sheet2!$B:$D,3,FALSE)</f>
        <v>36</v>
      </c>
      <c r="AA827" s="93">
        <f>50/(2.5*0.5*0.5*4)</f>
        <v>20</v>
      </c>
      <c r="AB827" s="93">
        <f>AD827/AC821</f>
        <v>1.8000000000000003</v>
      </c>
      <c r="AC827" s="93">
        <f>AC821/AA827</f>
        <v>0.24725000000000003</v>
      </c>
      <c r="AD827" s="94">
        <f>AC827*Z827</f>
        <v>8.9010000000000016</v>
      </c>
      <c r="AE827" s="190"/>
      <c r="AF827" s="191"/>
      <c r="AG827" s="191"/>
      <c r="AH827" s="191"/>
      <c r="AI827" s="186"/>
      <c r="AK827" s="171"/>
    </row>
    <row r="828" spans="1:41" s="102" customFormat="1" ht="19.899999999999999" customHeight="1" x14ac:dyDescent="0.25">
      <c r="A828" s="45"/>
      <c r="B828" s="59"/>
      <c r="C828" s="137"/>
      <c r="D828" s="59"/>
      <c r="E828" s="116"/>
      <c r="F828" s="120"/>
      <c r="G828" s="120"/>
      <c r="H828" s="120"/>
      <c r="I828" s="60"/>
      <c r="J828" s="116"/>
      <c r="K828" s="213"/>
      <c r="L828" s="120"/>
      <c r="M828" s="120"/>
      <c r="N828" s="167"/>
      <c r="O828" s="120"/>
      <c r="P828" s="120"/>
      <c r="Q828" s="120"/>
      <c r="R828" s="120"/>
      <c r="S828" s="120"/>
      <c r="T828" s="221"/>
      <c r="U828" s="89"/>
      <c r="V828" s="61"/>
      <c r="W828" s="92" t="s">
        <v>65</v>
      </c>
      <c r="X828" s="93" t="s">
        <v>30</v>
      </c>
      <c r="Y828" s="93" t="s">
        <v>1011</v>
      </c>
      <c r="Z828" s="134">
        <f>VLOOKUP(W828,Sheet2!$B:$D,3,FALSE)</f>
        <v>1.76</v>
      </c>
      <c r="AA828" s="93">
        <f>AA827/9</f>
        <v>2.2222222222222223</v>
      </c>
      <c r="AB828" s="93">
        <f>AD828/AC821</f>
        <v>0.79200000000000004</v>
      </c>
      <c r="AC828" s="93">
        <f>AC821/AA828</f>
        <v>2.22525</v>
      </c>
      <c r="AD828" s="94">
        <f>AC828*Z828</f>
        <v>3.9164400000000001</v>
      </c>
      <c r="AE828" s="190"/>
      <c r="AF828" s="191"/>
      <c r="AG828" s="191"/>
      <c r="AH828" s="191"/>
      <c r="AI828" s="186"/>
      <c r="AK828" s="171"/>
    </row>
    <row r="829" spans="1:41" s="102" customFormat="1" ht="19.899999999999999" customHeight="1" x14ac:dyDescent="0.25">
      <c r="A829" s="45"/>
      <c r="B829" s="59"/>
      <c r="C829" s="137"/>
      <c r="D829" s="59"/>
      <c r="E829" s="116"/>
      <c r="F829" s="120"/>
      <c r="G829" s="120"/>
      <c r="H829" s="120"/>
      <c r="I829" s="60"/>
      <c r="J829" s="116"/>
      <c r="K829" s="213"/>
      <c r="L829" s="120"/>
      <c r="M829" s="120"/>
      <c r="N829" s="167"/>
      <c r="O829" s="120"/>
      <c r="P829" s="120"/>
      <c r="Q829" s="120"/>
      <c r="R829" s="120"/>
      <c r="S829" s="120"/>
      <c r="T829" s="221"/>
      <c r="U829" s="89"/>
      <c r="V829" s="61"/>
      <c r="W829" s="92" t="s">
        <v>1030</v>
      </c>
      <c r="X829" s="93" t="s">
        <v>29</v>
      </c>
      <c r="Y829" s="93" t="s">
        <v>93</v>
      </c>
      <c r="Z829" s="134">
        <f>VLOOKUP(W829,Sheet2!$B:$D,3,FALSE)</f>
        <v>23</v>
      </c>
      <c r="AA829" s="93">
        <f>1*4</f>
        <v>4</v>
      </c>
      <c r="AB829" s="93">
        <f>AD829/AC821</f>
        <v>5.75</v>
      </c>
      <c r="AC829" s="93">
        <f>AC821/AA829</f>
        <v>1.2362500000000001</v>
      </c>
      <c r="AD829" s="94">
        <f t="shared" ref="AD829:AD830" si="700">AC829*Z829</f>
        <v>28.433750000000003</v>
      </c>
      <c r="AE829" s="190"/>
      <c r="AF829" s="191"/>
      <c r="AG829" s="191"/>
      <c r="AH829" s="191"/>
      <c r="AI829" s="186"/>
      <c r="AK829" s="171"/>
    </row>
    <row r="830" spans="1:41" s="102" customFormat="1" ht="19.899999999999999" customHeight="1" x14ac:dyDescent="0.25">
      <c r="A830" s="45"/>
      <c r="B830" s="59"/>
      <c r="C830" s="137"/>
      <c r="D830" s="59"/>
      <c r="E830" s="116"/>
      <c r="F830" s="120"/>
      <c r="G830" s="120"/>
      <c r="H830" s="120"/>
      <c r="I830" s="60"/>
      <c r="J830" s="116"/>
      <c r="K830" s="213"/>
      <c r="L830" s="120"/>
      <c r="M830" s="120"/>
      <c r="N830" s="167"/>
      <c r="O830" s="120"/>
      <c r="P830" s="120"/>
      <c r="Q830" s="120"/>
      <c r="R830" s="120"/>
      <c r="S830" s="120"/>
      <c r="T830" s="221"/>
      <c r="U830" s="89"/>
      <c r="V830" s="61"/>
      <c r="W830" s="92" t="s">
        <v>65</v>
      </c>
      <c r="X830" s="93" t="s">
        <v>30</v>
      </c>
      <c r="Y830" s="93" t="s">
        <v>1011</v>
      </c>
      <c r="Z830" s="134">
        <f>VLOOKUP(W830,Sheet2!$B:$D,3,FALSE)</f>
        <v>1.76</v>
      </c>
      <c r="AA830" s="93">
        <f>AA829/3</f>
        <v>1.3333333333333333</v>
      </c>
      <c r="AB830" s="93">
        <f>AD830/AC821</f>
        <v>1.3199999999999998</v>
      </c>
      <c r="AC830" s="93">
        <f>AC821/AA830</f>
        <v>3.7087500000000002</v>
      </c>
      <c r="AD830" s="94">
        <f t="shared" si="700"/>
        <v>6.5274000000000001</v>
      </c>
      <c r="AE830" s="190"/>
      <c r="AF830" s="191"/>
      <c r="AG830" s="191"/>
      <c r="AH830" s="191"/>
      <c r="AI830" s="186"/>
      <c r="AK830" s="171"/>
    </row>
    <row r="831" spans="1:41" ht="20.100000000000001" customHeight="1" x14ac:dyDescent="0.25">
      <c r="A831" s="277" t="s">
        <v>216</v>
      </c>
      <c r="B831" s="278"/>
      <c r="C831" s="64" t="s">
        <v>333</v>
      </c>
      <c r="D831" s="46" t="s">
        <v>328</v>
      </c>
      <c r="E831" s="114">
        <v>1.8699999999999992</v>
      </c>
      <c r="F831" s="44">
        <v>9819</v>
      </c>
      <c r="G831" s="44">
        <f t="shared" si="607"/>
        <v>18361.529999999992</v>
      </c>
      <c r="H831" s="44">
        <f t="shared" si="608"/>
        <v>4195.6732078431369</v>
      </c>
      <c r="I831" s="43">
        <f t="shared" si="609"/>
        <v>7845.9088986666629</v>
      </c>
      <c r="J831" s="112">
        <f t="shared" si="610"/>
        <v>1.8699999999999992</v>
      </c>
      <c r="K831" s="211">
        <f t="shared" si="611"/>
        <v>1.8699999999999992</v>
      </c>
      <c r="L831" s="44"/>
      <c r="M831" s="44">
        <f t="shared" si="612"/>
        <v>1.8699999999999992</v>
      </c>
      <c r="N831" s="173">
        <f t="shared" si="613"/>
        <v>1</v>
      </c>
      <c r="O831" s="44">
        <f t="shared" si="614"/>
        <v>9819</v>
      </c>
      <c r="P831" s="44">
        <f t="shared" si="615"/>
        <v>18361.529999999992</v>
      </c>
      <c r="Q831" s="44">
        <f t="shared" si="616"/>
        <v>4195.6732078431369</v>
      </c>
      <c r="R831" s="44">
        <f t="shared" si="617"/>
        <v>7845.9088986666629</v>
      </c>
      <c r="S831" s="123"/>
      <c r="T831" s="219">
        <f t="shared" si="618"/>
        <v>7845.9088986666629</v>
      </c>
      <c r="U831" s="87"/>
      <c r="V831" s="47"/>
      <c r="W831" s="48"/>
      <c r="X831" s="48"/>
      <c r="Y831" s="48"/>
      <c r="Z831" s="135"/>
      <c r="AA831" s="49"/>
      <c r="AB831" s="50">
        <f t="shared" si="619"/>
        <v>4195.6732078431369</v>
      </c>
      <c r="AC831" s="42">
        <f t="shared" si="620"/>
        <v>1.8699999999999992</v>
      </c>
      <c r="AD831" s="90">
        <f>AD832+AD837+AD844+AD847</f>
        <v>7845.908898666662</v>
      </c>
      <c r="AE831" s="188">
        <f t="shared" ref="AE831" si="701">AE832+AE837+AE844+AE847</f>
        <v>0</v>
      </c>
      <c r="AF831" s="189">
        <f t="shared" ref="AF831" si="702">AF832+AF837+AF844+AF847</f>
        <v>0</v>
      </c>
      <c r="AG831" s="189">
        <f t="shared" ref="AG831" si="703">AG832+AG837+AG844+AG847</f>
        <v>0</v>
      </c>
      <c r="AH831" s="189">
        <f t="shared" ref="AH831" si="704">AH832+AH837+AH844+AH847</f>
        <v>0</v>
      </c>
      <c r="AI831" s="161">
        <f t="shared" ref="AI831" si="705">SUM(AE831:AH831)</f>
        <v>0</v>
      </c>
      <c r="AK831" s="169">
        <v>5</v>
      </c>
      <c r="AO831" s="19" t="s">
        <v>63</v>
      </c>
    </row>
    <row r="832" spans="1:41" s="103" customFormat="1" ht="19.899999999999999" customHeight="1" x14ac:dyDescent="0.25">
      <c r="A832" s="51"/>
      <c r="B832" s="52"/>
      <c r="C832" s="165"/>
      <c r="D832" s="52"/>
      <c r="E832" s="115"/>
      <c r="F832" s="58"/>
      <c r="G832" s="58"/>
      <c r="H832" s="58"/>
      <c r="I832" s="55"/>
      <c r="J832" s="113">
        <f>J831</f>
        <v>1.8699999999999992</v>
      </c>
      <c r="K832" s="212">
        <f>K831</f>
        <v>1.8699999999999992</v>
      </c>
      <c r="L832" s="58"/>
      <c r="M832" s="58">
        <f>K832-L832</f>
        <v>1.8699999999999992</v>
      </c>
      <c r="N832" s="166"/>
      <c r="O832" s="58"/>
      <c r="P832" s="58"/>
      <c r="Q832" s="58"/>
      <c r="R832" s="58"/>
      <c r="S832" s="58"/>
      <c r="T832" s="220"/>
      <c r="U832" s="88"/>
      <c r="V832" s="56"/>
      <c r="W832" s="57" t="s">
        <v>1363</v>
      </c>
      <c r="X832" s="53"/>
      <c r="Y832" s="91" t="s">
        <v>35</v>
      </c>
      <c r="Z832" s="136">
        <f>AD832/AC832</f>
        <v>36.198776470588236</v>
      </c>
      <c r="AA832" s="58"/>
      <c r="AB832" s="53">
        <f>AD832/AC832</f>
        <v>36.198776470588236</v>
      </c>
      <c r="AC832" s="53">
        <f>M832+$AE$10</f>
        <v>1.8699999999999992</v>
      </c>
      <c r="AD832" s="54">
        <f>SUM(AD833:AD836)</f>
        <v>67.691711999999967</v>
      </c>
      <c r="AE832" s="184">
        <f>SUMIFS($AD$37:$AD$12971,$V$37:$V$12971,$V832,$X$37:$X$12971,AE$13)</f>
        <v>0</v>
      </c>
      <c r="AF832" s="185">
        <f>SUMIFS($AD$37:$AD$12971,$V$37:$V$12971,$V832,$X$37:$X$12971,AF$13)</f>
        <v>0</v>
      </c>
      <c r="AG832" s="185">
        <f>SUMIFS($AD$37:$AD$12971,$V$37:$V$12971,$V832,$X$37:$X$12971,AG$13)</f>
        <v>0</v>
      </c>
      <c r="AH832" s="187">
        <f>SUMIFS($AD$37:$AD$12971,$V$37:$V$12971,$V832,$X$37:$X$12971,AH$13)</f>
        <v>0</v>
      </c>
      <c r="AI832" s="161">
        <f t="shared" ref="AI832" si="706">SUM(AE832:AH832)</f>
        <v>0</v>
      </c>
      <c r="AK832" s="172"/>
    </row>
    <row r="833" spans="1:37" s="102" customFormat="1" ht="19.899999999999999" customHeight="1" x14ac:dyDescent="0.25">
      <c r="A833" s="45"/>
      <c r="B833" s="59"/>
      <c r="C833" s="137"/>
      <c r="D833" s="59"/>
      <c r="E833" s="116"/>
      <c r="F833" s="120"/>
      <c r="G833" s="120"/>
      <c r="H833" s="120"/>
      <c r="I833" s="60"/>
      <c r="J833" s="116"/>
      <c r="K833" s="213"/>
      <c r="L833" s="120"/>
      <c r="M833" s="120"/>
      <c r="N833" s="167"/>
      <c r="O833" s="120"/>
      <c r="P833" s="120"/>
      <c r="Q833" s="120"/>
      <c r="R833" s="120"/>
      <c r="S833" s="120"/>
      <c r="T833" s="221"/>
      <c r="U833" s="89"/>
      <c r="V833" s="61"/>
      <c r="W833" s="92" t="s">
        <v>129</v>
      </c>
      <c r="X833" s="93" t="s">
        <v>29</v>
      </c>
      <c r="Y833" s="93" t="s">
        <v>93</v>
      </c>
      <c r="Z833" s="134">
        <f>VLOOKUP(W833,Sheet2!$B:$D,3,FALSE)</f>
        <v>56</v>
      </c>
      <c r="AA833" s="93">
        <f>100/(3*3*1)</f>
        <v>11.111111111111111</v>
      </c>
      <c r="AB833" s="93">
        <f t="shared" ref="AB833" si="707">AD833/AC832</f>
        <v>5.04</v>
      </c>
      <c r="AC833" s="93">
        <f>AC832/AA833</f>
        <v>0.16829999999999992</v>
      </c>
      <c r="AD833" s="94">
        <f t="shared" ref="AD833:AD834" si="708">AC833*Z833</f>
        <v>9.4247999999999958</v>
      </c>
      <c r="AE833" s="190"/>
      <c r="AF833" s="191"/>
      <c r="AG833" s="191"/>
      <c r="AH833" s="191"/>
      <c r="AI833" s="186"/>
      <c r="AK833" s="171"/>
    </row>
    <row r="834" spans="1:37" s="102" customFormat="1" ht="19.899999999999999" customHeight="1" x14ac:dyDescent="0.25">
      <c r="A834" s="45"/>
      <c r="B834" s="59"/>
      <c r="C834" s="137"/>
      <c r="D834" s="59"/>
      <c r="E834" s="116"/>
      <c r="F834" s="120"/>
      <c r="G834" s="120"/>
      <c r="H834" s="120"/>
      <c r="I834" s="60"/>
      <c r="J834" s="116"/>
      <c r="K834" s="213"/>
      <c r="L834" s="120"/>
      <c r="M834" s="120"/>
      <c r="N834" s="167"/>
      <c r="O834" s="120"/>
      <c r="P834" s="120"/>
      <c r="Q834" s="120"/>
      <c r="R834" s="120"/>
      <c r="S834" s="120"/>
      <c r="T834" s="221"/>
      <c r="U834" s="89"/>
      <c r="V834" s="61"/>
      <c r="W834" s="92" t="s">
        <v>65</v>
      </c>
      <c r="X834" s="93" t="s">
        <v>30</v>
      </c>
      <c r="Y834" s="93" t="s">
        <v>1011</v>
      </c>
      <c r="Z834" s="134">
        <f>VLOOKUP(W834,Sheet2!$B:$D,3,FALSE)</f>
        <v>1.76</v>
      </c>
      <c r="AA834" s="93">
        <f>AA833/14</f>
        <v>0.79365079365079361</v>
      </c>
      <c r="AB834" s="93">
        <f>AD834/AC832</f>
        <v>2.2176</v>
      </c>
      <c r="AC834" s="93">
        <f>AC832/AA834</f>
        <v>2.356199999999999</v>
      </c>
      <c r="AD834" s="94">
        <f t="shared" si="708"/>
        <v>4.1469119999999986</v>
      </c>
      <c r="AE834" s="190"/>
      <c r="AF834" s="191"/>
      <c r="AG834" s="191"/>
      <c r="AH834" s="191"/>
      <c r="AI834" s="186"/>
      <c r="AK834" s="171"/>
    </row>
    <row r="835" spans="1:37" s="102" customFormat="1" ht="19.899999999999999" customHeight="1" x14ac:dyDescent="0.25">
      <c r="A835" s="45"/>
      <c r="B835" s="59"/>
      <c r="C835" s="137"/>
      <c r="D835" s="59"/>
      <c r="E835" s="116"/>
      <c r="F835" s="120"/>
      <c r="G835" s="120"/>
      <c r="H835" s="120"/>
      <c r="I835" s="60"/>
      <c r="J835" s="116"/>
      <c r="K835" s="213"/>
      <c r="L835" s="120"/>
      <c r="M835" s="120"/>
      <c r="N835" s="167"/>
      <c r="O835" s="120"/>
      <c r="P835" s="120"/>
      <c r="Q835" s="120"/>
      <c r="R835" s="120"/>
      <c r="S835" s="120"/>
      <c r="T835" s="221"/>
      <c r="U835" s="89"/>
      <c r="V835" s="61"/>
      <c r="W835" s="92" t="s">
        <v>161</v>
      </c>
      <c r="X835" s="93" t="s">
        <v>29</v>
      </c>
      <c r="Y835" s="93" t="s">
        <v>93</v>
      </c>
      <c r="Z835" s="134">
        <f>VLOOKUP(W835,Sheet2!$B:$D,3,FALSE)</f>
        <v>48</v>
      </c>
      <c r="AA835" s="93">
        <f>(16*0.85*1.5)/(3*3*1)</f>
        <v>2.2666666666666666</v>
      </c>
      <c r="AB835" s="93">
        <f>AD835/AC832</f>
        <v>21.176470588235293</v>
      </c>
      <c r="AC835" s="93">
        <f>AC832/AA835</f>
        <v>0.82499999999999962</v>
      </c>
      <c r="AD835" s="94">
        <f>AC835*Z835</f>
        <v>39.59999999999998</v>
      </c>
      <c r="AE835" s="190"/>
      <c r="AF835" s="191"/>
      <c r="AG835" s="191"/>
      <c r="AH835" s="191"/>
      <c r="AI835" s="186"/>
      <c r="AK835" s="171"/>
    </row>
    <row r="836" spans="1:37" s="102" customFormat="1" ht="19.899999999999999" customHeight="1" x14ac:dyDescent="0.25">
      <c r="A836" s="45"/>
      <c r="B836" s="59"/>
      <c r="C836" s="137"/>
      <c r="D836" s="59"/>
      <c r="E836" s="116"/>
      <c r="F836" s="120"/>
      <c r="G836" s="120"/>
      <c r="H836" s="120"/>
      <c r="I836" s="60"/>
      <c r="J836" s="116"/>
      <c r="K836" s="213"/>
      <c r="L836" s="120"/>
      <c r="M836" s="120"/>
      <c r="N836" s="167"/>
      <c r="O836" s="120"/>
      <c r="P836" s="120"/>
      <c r="Q836" s="120"/>
      <c r="R836" s="120"/>
      <c r="S836" s="120"/>
      <c r="T836" s="221"/>
      <c r="U836" s="89"/>
      <c r="V836" s="61"/>
      <c r="W836" s="92" t="s">
        <v>65</v>
      </c>
      <c r="X836" s="93" t="s">
        <v>30</v>
      </c>
      <c r="Y836" s="93" t="s">
        <v>1011</v>
      </c>
      <c r="Z836" s="134">
        <f>VLOOKUP(W836,Sheet2!$B:$D,3,FALSE)</f>
        <v>1.76</v>
      </c>
      <c r="AA836" s="93">
        <f>AA835/10</f>
        <v>0.22666666666666666</v>
      </c>
      <c r="AB836" s="93">
        <f>AD836/AC832</f>
        <v>7.7647058823529411</v>
      </c>
      <c r="AC836" s="93">
        <f>AC832/AA836</f>
        <v>8.2499999999999964</v>
      </c>
      <c r="AD836" s="94">
        <f>AC836*Z836</f>
        <v>14.519999999999994</v>
      </c>
      <c r="AE836" s="190"/>
      <c r="AF836" s="191"/>
      <c r="AG836" s="191"/>
      <c r="AH836" s="191"/>
      <c r="AI836" s="186"/>
      <c r="AK836" s="171"/>
    </row>
    <row r="837" spans="1:37" s="103" customFormat="1" ht="19.899999999999999" customHeight="1" x14ac:dyDescent="0.25">
      <c r="A837" s="51"/>
      <c r="B837" s="52"/>
      <c r="C837" s="165"/>
      <c r="D837" s="52"/>
      <c r="E837" s="115"/>
      <c r="F837" s="58"/>
      <c r="G837" s="58"/>
      <c r="H837" s="58"/>
      <c r="I837" s="55"/>
      <c r="J837" s="113">
        <f>J831</f>
        <v>1.8699999999999992</v>
      </c>
      <c r="K837" s="212">
        <f>K831</f>
        <v>1.8699999999999992</v>
      </c>
      <c r="L837" s="58"/>
      <c r="M837" s="58">
        <f>K837-L837</f>
        <v>1.8699999999999992</v>
      </c>
      <c r="N837" s="166"/>
      <c r="O837" s="58"/>
      <c r="P837" s="58"/>
      <c r="Q837" s="58"/>
      <c r="R837" s="58"/>
      <c r="S837" s="58"/>
      <c r="T837" s="220"/>
      <c r="U837" s="88"/>
      <c r="V837" s="56"/>
      <c r="W837" s="57" t="s">
        <v>1352</v>
      </c>
      <c r="X837" s="53"/>
      <c r="Y837" s="91" t="s">
        <v>35</v>
      </c>
      <c r="Z837" s="136">
        <f>AD837/AC837</f>
        <v>2950</v>
      </c>
      <c r="AA837" s="58"/>
      <c r="AB837" s="53">
        <f>AD837/AC837</f>
        <v>2950</v>
      </c>
      <c r="AC837" s="53">
        <f>M837+$AE$10</f>
        <v>1.8699999999999992</v>
      </c>
      <c r="AD837" s="54">
        <f>SUM(AD838:AD843)</f>
        <v>5516.4999999999973</v>
      </c>
      <c r="AE837" s="184">
        <f>SUMIFS($AD$37:$AD$12971,$V$37:$V$12971,$V837,$X$37:$X$12971,AE$13)</f>
        <v>0</v>
      </c>
      <c r="AF837" s="185">
        <f>SUMIFS($AD$37:$AD$12971,$V$37:$V$12971,$V837,$X$37:$X$12971,AF$13)</f>
        <v>0</v>
      </c>
      <c r="AG837" s="185">
        <f>SUMIFS($AD$37:$AD$12971,$V$37:$V$12971,$V837,$X$37:$X$12971,AG$13)</f>
        <v>0</v>
      </c>
      <c r="AH837" s="187">
        <f>SUMIFS($AD$37:$AD$12971,$V$37:$V$12971,$V837,$X$37:$X$12971,AH$13)</f>
        <v>0</v>
      </c>
      <c r="AI837" s="161">
        <f t="shared" ref="AI837" si="709">SUM(AE837:AH837)</f>
        <v>0</v>
      </c>
      <c r="AK837" s="172"/>
    </row>
    <row r="838" spans="1:37" s="102" customFormat="1" ht="19.899999999999999" customHeight="1" x14ac:dyDescent="0.25">
      <c r="A838" s="45"/>
      <c r="B838" s="59"/>
      <c r="C838" s="137"/>
      <c r="D838" s="59"/>
      <c r="E838" s="116"/>
      <c r="F838" s="120"/>
      <c r="G838" s="120"/>
      <c r="H838" s="120"/>
      <c r="I838" s="60"/>
      <c r="J838" s="116"/>
      <c r="K838" s="213"/>
      <c r="L838" s="120"/>
      <c r="M838" s="120"/>
      <c r="N838" s="167"/>
      <c r="O838" s="120"/>
      <c r="P838" s="120"/>
      <c r="Q838" s="120"/>
      <c r="R838" s="120"/>
      <c r="S838" s="120"/>
      <c r="T838" s="221"/>
      <c r="U838" s="89"/>
      <c r="V838" s="61"/>
      <c r="W838" s="92" t="s">
        <v>1353</v>
      </c>
      <c r="X838" s="93" t="s">
        <v>30</v>
      </c>
      <c r="Y838" s="93" t="s">
        <v>66</v>
      </c>
      <c r="Z838" s="134">
        <f>VLOOKUP(W838,Sheet2!$B:$D,3,FALSE)</f>
        <v>350</v>
      </c>
      <c r="AA838" s="93">
        <f>1/(2*1*0.25*4)</f>
        <v>0.5</v>
      </c>
      <c r="AB838" s="93">
        <f>AD838/AC837</f>
        <v>700</v>
      </c>
      <c r="AC838" s="93">
        <f>AC837/AA838</f>
        <v>3.7399999999999984</v>
      </c>
      <c r="AD838" s="94">
        <f t="shared" ref="AD838:AD839" si="710">AC838*Z838</f>
        <v>1308.9999999999995</v>
      </c>
      <c r="AE838" s="190"/>
      <c r="AF838" s="191"/>
      <c r="AG838" s="191"/>
      <c r="AH838" s="191"/>
      <c r="AI838" s="186"/>
      <c r="AK838" s="171"/>
    </row>
    <row r="839" spans="1:37" s="102" customFormat="1" ht="19.899999999999999" customHeight="1" x14ac:dyDescent="0.25">
      <c r="A839" s="45"/>
      <c r="B839" s="59"/>
      <c r="C839" s="137"/>
      <c r="D839" s="59"/>
      <c r="E839" s="116"/>
      <c r="F839" s="120"/>
      <c r="G839" s="120"/>
      <c r="H839" s="120"/>
      <c r="I839" s="60"/>
      <c r="J839" s="116"/>
      <c r="K839" s="213"/>
      <c r="L839" s="120"/>
      <c r="M839" s="120"/>
      <c r="N839" s="167"/>
      <c r="O839" s="120"/>
      <c r="P839" s="120"/>
      <c r="Q839" s="120"/>
      <c r="R839" s="120"/>
      <c r="S839" s="120"/>
      <c r="T839" s="221"/>
      <c r="U839" s="89"/>
      <c r="V839" s="61"/>
      <c r="W839" s="92" t="s">
        <v>99</v>
      </c>
      <c r="X839" s="93" t="s">
        <v>30</v>
      </c>
      <c r="Y839" s="93" t="s">
        <v>67</v>
      </c>
      <c r="Z839" s="134">
        <f>VLOOKUP(W839,Sheet2!$B:$D,3,FALSE)</f>
        <v>2500</v>
      </c>
      <c r="AA839" s="93">
        <f>1/(2*1*0.25*4*0.08)</f>
        <v>6.25</v>
      </c>
      <c r="AB839" s="93">
        <f>AD839/AC837</f>
        <v>400</v>
      </c>
      <c r="AC839" s="93">
        <f>AC837/AA839</f>
        <v>0.29919999999999985</v>
      </c>
      <c r="AD839" s="94">
        <f t="shared" si="710"/>
        <v>747.99999999999966</v>
      </c>
      <c r="AE839" s="190"/>
      <c r="AF839" s="191"/>
      <c r="AG839" s="191"/>
      <c r="AH839" s="191"/>
      <c r="AI839" s="186"/>
      <c r="AK839" s="171"/>
    </row>
    <row r="840" spans="1:37" s="102" customFormat="1" ht="19.899999999999999" customHeight="1" x14ac:dyDescent="0.25">
      <c r="A840" s="45"/>
      <c r="B840" s="59"/>
      <c r="C840" s="137"/>
      <c r="D840" s="59"/>
      <c r="E840" s="116"/>
      <c r="F840" s="120"/>
      <c r="G840" s="120"/>
      <c r="H840" s="120"/>
      <c r="I840" s="60"/>
      <c r="J840" s="116"/>
      <c r="K840" s="213"/>
      <c r="L840" s="120"/>
      <c r="M840" s="120"/>
      <c r="N840" s="167"/>
      <c r="O840" s="120"/>
      <c r="P840" s="120"/>
      <c r="Q840" s="120"/>
      <c r="R840" s="120"/>
      <c r="S840" s="120"/>
      <c r="T840" s="221"/>
      <c r="U840" s="89"/>
      <c r="V840" s="61"/>
      <c r="W840" s="92" t="s">
        <v>1355</v>
      </c>
      <c r="X840" s="93" t="s">
        <v>32</v>
      </c>
      <c r="Y840" s="93" t="s">
        <v>66</v>
      </c>
      <c r="Z840" s="134">
        <f>VLOOKUP(W840,Sheet2!$B:$D,3,FALSE)</f>
        <v>450</v>
      </c>
      <c r="AA840" s="93">
        <f>AA838</f>
        <v>0.5</v>
      </c>
      <c r="AB840" s="93">
        <f>AD840/AC837</f>
        <v>900</v>
      </c>
      <c r="AC840" s="93">
        <f>AC837/AA840</f>
        <v>3.7399999999999984</v>
      </c>
      <c r="AD840" s="94">
        <f>AC840*Z840</f>
        <v>1682.9999999999993</v>
      </c>
      <c r="AE840" s="190"/>
      <c r="AF840" s="191"/>
      <c r="AG840" s="191"/>
      <c r="AH840" s="191"/>
      <c r="AI840" s="186"/>
      <c r="AK840" s="171"/>
    </row>
    <row r="841" spans="1:37" s="102" customFormat="1" ht="19.899999999999999" customHeight="1" x14ac:dyDescent="0.25">
      <c r="A841" s="45"/>
      <c r="B841" s="59"/>
      <c r="C841" s="137"/>
      <c r="D841" s="59"/>
      <c r="E841" s="116"/>
      <c r="F841" s="120"/>
      <c r="G841" s="120"/>
      <c r="H841" s="120"/>
      <c r="I841" s="60"/>
      <c r="J841" s="116"/>
      <c r="K841" s="213"/>
      <c r="L841" s="120"/>
      <c r="M841" s="120"/>
      <c r="N841" s="167"/>
      <c r="O841" s="120"/>
      <c r="P841" s="120"/>
      <c r="Q841" s="120"/>
      <c r="R841" s="120"/>
      <c r="S841" s="120"/>
      <c r="T841" s="221"/>
      <c r="U841" s="89"/>
      <c r="V841" s="61"/>
      <c r="W841" s="92" t="s">
        <v>1362</v>
      </c>
      <c r="X841" s="93" t="s">
        <v>30</v>
      </c>
      <c r="Y841" s="93" t="s">
        <v>35</v>
      </c>
      <c r="Z841" s="134">
        <f>VLOOKUP(W841,Sheet2!$B:$D,3,FALSE)</f>
        <v>400</v>
      </c>
      <c r="AA841" s="93">
        <v>0.5</v>
      </c>
      <c r="AB841" s="93">
        <f>AD841/AC837</f>
        <v>800</v>
      </c>
      <c r="AC841" s="93">
        <f>AC837/AA841</f>
        <v>3.7399999999999984</v>
      </c>
      <c r="AD841" s="94">
        <f t="shared" ref="AD841" si="711">AC841*Z841</f>
        <v>1495.9999999999993</v>
      </c>
      <c r="AE841" s="190"/>
      <c r="AF841" s="191"/>
      <c r="AG841" s="191"/>
      <c r="AH841" s="191"/>
      <c r="AI841" s="186"/>
      <c r="AK841" s="171"/>
    </row>
    <row r="842" spans="1:37" s="102" customFormat="1" ht="19.899999999999999" customHeight="1" x14ac:dyDescent="0.25">
      <c r="A842" s="45"/>
      <c r="B842" s="59"/>
      <c r="C842" s="137"/>
      <c r="D842" s="59"/>
      <c r="E842" s="116"/>
      <c r="F842" s="120"/>
      <c r="G842" s="120"/>
      <c r="H842" s="120"/>
      <c r="I842" s="60"/>
      <c r="J842" s="116"/>
      <c r="K842" s="213"/>
      <c r="L842" s="120"/>
      <c r="M842" s="120"/>
      <c r="N842" s="167"/>
      <c r="O842" s="120"/>
      <c r="P842" s="120"/>
      <c r="Q842" s="120"/>
      <c r="R842" s="120"/>
      <c r="S842" s="120"/>
      <c r="T842" s="221"/>
      <c r="U842" s="89"/>
      <c r="V842" s="61"/>
      <c r="W842" s="92" t="s">
        <v>107</v>
      </c>
      <c r="X842" s="93" t="s">
        <v>31</v>
      </c>
      <c r="Y842" s="93" t="s">
        <v>93</v>
      </c>
      <c r="Z842" s="134">
        <f>VLOOKUP(W842,Sheet2!$B:$D,3,FALSE)</f>
        <v>17</v>
      </c>
      <c r="AA842" s="93">
        <f>1/5</f>
        <v>0.2</v>
      </c>
      <c r="AB842" s="93">
        <f>AD842/AC837</f>
        <v>85</v>
      </c>
      <c r="AC842" s="93">
        <f>AC837/AA842</f>
        <v>9.3499999999999961</v>
      </c>
      <c r="AD842" s="94">
        <f>AC842*Z842</f>
        <v>158.94999999999993</v>
      </c>
      <c r="AE842" s="190"/>
      <c r="AF842" s="191"/>
      <c r="AG842" s="191"/>
      <c r="AH842" s="191"/>
      <c r="AI842" s="186"/>
      <c r="AK842" s="171"/>
    </row>
    <row r="843" spans="1:37" s="102" customFormat="1" ht="19.899999999999999" customHeight="1" x14ac:dyDescent="0.25">
      <c r="A843" s="45"/>
      <c r="B843" s="59"/>
      <c r="C843" s="137"/>
      <c r="D843" s="59"/>
      <c r="E843" s="116"/>
      <c r="F843" s="120"/>
      <c r="G843" s="120"/>
      <c r="H843" s="120"/>
      <c r="I843" s="60"/>
      <c r="J843" s="116"/>
      <c r="K843" s="213"/>
      <c r="L843" s="120"/>
      <c r="M843" s="120"/>
      <c r="N843" s="167"/>
      <c r="O843" s="120"/>
      <c r="P843" s="120"/>
      <c r="Q843" s="120"/>
      <c r="R843" s="120"/>
      <c r="S843" s="120"/>
      <c r="T843" s="221"/>
      <c r="U843" s="89"/>
      <c r="V843" s="61"/>
      <c r="W843" s="92" t="s">
        <v>112</v>
      </c>
      <c r="X843" s="93" t="s">
        <v>31</v>
      </c>
      <c r="Y843" s="93" t="s">
        <v>93</v>
      </c>
      <c r="Z843" s="134">
        <f>VLOOKUP(W843,Sheet2!$B:$D,3,FALSE)</f>
        <v>13</v>
      </c>
      <c r="AA843" s="93">
        <f>AA842</f>
        <v>0.2</v>
      </c>
      <c r="AB843" s="93">
        <f>AD843/AC837</f>
        <v>65</v>
      </c>
      <c r="AC843" s="93">
        <f>AC837/AA843</f>
        <v>9.3499999999999961</v>
      </c>
      <c r="AD843" s="94">
        <f>AC843*Z843</f>
        <v>121.54999999999995</v>
      </c>
      <c r="AE843" s="190"/>
      <c r="AF843" s="191"/>
      <c r="AG843" s="191"/>
      <c r="AH843" s="191"/>
      <c r="AI843" s="186"/>
      <c r="AK843" s="171"/>
    </row>
    <row r="844" spans="1:37" s="103" customFormat="1" ht="19.899999999999999" customHeight="1" x14ac:dyDescent="0.25">
      <c r="A844" s="51"/>
      <c r="B844" s="52"/>
      <c r="C844" s="165"/>
      <c r="D844" s="52"/>
      <c r="E844" s="115"/>
      <c r="F844" s="58"/>
      <c r="G844" s="58"/>
      <c r="H844" s="58"/>
      <c r="I844" s="55"/>
      <c r="J844" s="113">
        <f>J831</f>
        <v>1.8699999999999992</v>
      </c>
      <c r="K844" s="212">
        <f>K831</f>
        <v>1.8699999999999992</v>
      </c>
      <c r="L844" s="58"/>
      <c r="M844" s="58">
        <f>K844-L844</f>
        <v>1.8699999999999992</v>
      </c>
      <c r="N844" s="166"/>
      <c r="O844" s="58"/>
      <c r="P844" s="58"/>
      <c r="Q844" s="58"/>
      <c r="R844" s="58"/>
      <c r="S844" s="58"/>
      <c r="T844" s="220"/>
      <c r="U844" s="88"/>
      <c r="V844" s="56"/>
      <c r="W844" s="57" t="s">
        <v>1358</v>
      </c>
      <c r="X844" s="53"/>
      <c r="Y844" s="91" t="s">
        <v>35</v>
      </c>
      <c r="Z844" s="136">
        <f>AD844/AC844</f>
        <v>1120</v>
      </c>
      <c r="AA844" s="58"/>
      <c r="AB844" s="53">
        <f>AD844/AC844</f>
        <v>1120</v>
      </c>
      <c r="AC844" s="53">
        <f>M844+$AE$10</f>
        <v>1.8699999999999992</v>
      </c>
      <c r="AD844" s="54">
        <f>SUM(AD845:AD846)</f>
        <v>2094.3999999999992</v>
      </c>
      <c r="AE844" s="184">
        <f>SUMIFS($AD$37:$AD$12971,$V$37:$V$12971,$V844,$X$37:$X$12971,AE$13)</f>
        <v>0</v>
      </c>
      <c r="AF844" s="185">
        <f>SUMIFS($AD$37:$AD$12971,$V$37:$V$12971,$V844,$X$37:$X$12971,AF$13)</f>
        <v>0</v>
      </c>
      <c r="AG844" s="185">
        <f>SUMIFS($AD$37:$AD$12971,$V$37:$V$12971,$V844,$X$37:$X$12971,AG$13)</f>
        <v>0</v>
      </c>
      <c r="AH844" s="187">
        <f>SUMIFS($AD$37:$AD$12971,$V$37:$V$12971,$V844,$X$37:$X$12971,AH$13)</f>
        <v>0</v>
      </c>
      <c r="AI844" s="161">
        <f t="shared" ref="AI844" si="712">SUM(AE844:AH844)</f>
        <v>0</v>
      </c>
      <c r="AK844" s="172"/>
    </row>
    <row r="845" spans="1:37" s="102" customFormat="1" ht="19.899999999999999" customHeight="1" x14ac:dyDescent="0.25">
      <c r="A845" s="45"/>
      <c r="B845" s="59"/>
      <c r="C845" s="137"/>
      <c r="D845" s="59"/>
      <c r="E845" s="116"/>
      <c r="F845" s="120"/>
      <c r="G845" s="120"/>
      <c r="H845" s="120"/>
      <c r="I845" s="60"/>
      <c r="J845" s="116"/>
      <c r="K845" s="213"/>
      <c r="L845" s="120"/>
      <c r="M845" s="120"/>
      <c r="N845" s="167"/>
      <c r="O845" s="120"/>
      <c r="P845" s="120"/>
      <c r="Q845" s="120"/>
      <c r="R845" s="120"/>
      <c r="S845" s="120"/>
      <c r="T845" s="221"/>
      <c r="U845" s="89"/>
      <c r="V845" s="61"/>
      <c r="W845" s="92" t="s">
        <v>1359</v>
      </c>
      <c r="X845" s="93" t="s">
        <v>32</v>
      </c>
      <c r="Y845" s="93" t="s">
        <v>64</v>
      </c>
      <c r="Z845" s="134">
        <f>VLOOKUP(W845,Sheet2!$B:$D,3,FALSE)</f>
        <v>40</v>
      </c>
      <c r="AA845" s="93">
        <f>1/16</f>
        <v>6.25E-2</v>
      </c>
      <c r="AB845" s="93">
        <f t="shared" ref="AB845" si="713">AD845/AC844</f>
        <v>640</v>
      </c>
      <c r="AC845" s="93">
        <f>AC844/AA845</f>
        <v>29.919999999999987</v>
      </c>
      <c r="AD845" s="94">
        <f t="shared" ref="AD845:AD846" si="714">AC845*Z845</f>
        <v>1196.7999999999995</v>
      </c>
      <c r="AE845" s="190"/>
      <c r="AF845" s="191"/>
      <c r="AG845" s="191"/>
      <c r="AH845" s="191"/>
      <c r="AI845" s="186"/>
      <c r="AK845" s="171"/>
    </row>
    <row r="846" spans="1:37" s="102" customFormat="1" ht="19.899999999999999" customHeight="1" x14ac:dyDescent="0.25">
      <c r="A846" s="45"/>
      <c r="B846" s="59"/>
      <c r="C846" s="137"/>
      <c r="D846" s="59"/>
      <c r="E846" s="116"/>
      <c r="F846" s="120"/>
      <c r="G846" s="120"/>
      <c r="H846" s="120"/>
      <c r="I846" s="60"/>
      <c r="J846" s="116"/>
      <c r="K846" s="213"/>
      <c r="L846" s="120"/>
      <c r="M846" s="120"/>
      <c r="N846" s="167"/>
      <c r="O846" s="120"/>
      <c r="P846" s="120"/>
      <c r="Q846" s="120"/>
      <c r="R846" s="120"/>
      <c r="S846" s="120"/>
      <c r="T846" s="221"/>
      <c r="U846" s="89"/>
      <c r="V846" s="61"/>
      <c r="W846" s="92" t="s">
        <v>1360</v>
      </c>
      <c r="X846" s="93" t="s">
        <v>32</v>
      </c>
      <c r="Y846" s="93" t="s">
        <v>64</v>
      </c>
      <c r="Z846" s="134">
        <f>VLOOKUP(W846,Sheet2!$B:$D,3,FALSE)</f>
        <v>30</v>
      </c>
      <c r="AA846" s="93">
        <f>AA845</f>
        <v>6.25E-2</v>
      </c>
      <c r="AB846" s="93">
        <f>AD846/AC844</f>
        <v>480.00000000000006</v>
      </c>
      <c r="AC846" s="93">
        <f>AC844/AA846</f>
        <v>29.919999999999987</v>
      </c>
      <c r="AD846" s="94">
        <f t="shared" si="714"/>
        <v>897.59999999999968</v>
      </c>
      <c r="AE846" s="190"/>
      <c r="AF846" s="191"/>
      <c r="AG846" s="191"/>
      <c r="AH846" s="191"/>
      <c r="AI846" s="186"/>
      <c r="AK846" s="171"/>
    </row>
    <row r="847" spans="1:37" s="103" customFormat="1" ht="19.899999999999999" customHeight="1" x14ac:dyDescent="0.25">
      <c r="A847" s="51"/>
      <c r="B847" s="52"/>
      <c r="C847" s="165"/>
      <c r="D847" s="52"/>
      <c r="E847" s="115"/>
      <c r="F847" s="58"/>
      <c r="G847" s="58"/>
      <c r="H847" s="58"/>
      <c r="I847" s="55"/>
      <c r="J847" s="113">
        <f>J831</f>
        <v>1.8699999999999992</v>
      </c>
      <c r="K847" s="212">
        <f>K831</f>
        <v>1.8699999999999992</v>
      </c>
      <c r="L847" s="58"/>
      <c r="M847" s="58">
        <f>K847-L847</f>
        <v>1.8699999999999992</v>
      </c>
      <c r="N847" s="166"/>
      <c r="O847" s="58"/>
      <c r="P847" s="58"/>
      <c r="Q847" s="58"/>
      <c r="R847" s="58"/>
      <c r="S847" s="58"/>
      <c r="T847" s="220"/>
      <c r="U847" s="88"/>
      <c r="V847" s="56"/>
      <c r="W847" s="57" t="s">
        <v>1272</v>
      </c>
      <c r="X847" s="53"/>
      <c r="Y847" s="91" t="s">
        <v>35</v>
      </c>
      <c r="Z847" s="136">
        <f>AD847/AC847</f>
        <v>89.47443137254902</v>
      </c>
      <c r="AA847" s="58"/>
      <c r="AB847" s="53">
        <f>AD847/AC847</f>
        <v>89.47443137254902</v>
      </c>
      <c r="AC847" s="53">
        <f>M847+$AE$10</f>
        <v>1.8699999999999992</v>
      </c>
      <c r="AD847" s="54">
        <f>SUM(AD848:AD856)</f>
        <v>167.3171866666666</v>
      </c>
      <c r="AE847" s="184">
        <f>SUMIFS($AD$37:$AD$12971,$V$37:$V$12971,$V847,$X$37:$X$12971,AE$13)</f>
        <v>0</v>
      </c>
      <c r="AF847" s="185">
        <f>SUMIFS($AD$37:$AD$12971,$V$37:$V$12971,$V847,$X$37:$X$12971,AF$13)</f>
        <v>0</v>
      </c>
      <c r="AG847" s="185">
        <f>SUMIFS($AD$37:$AD$12971,$V$37:$V$12971,$V847,$X$37:$X$12971,AG$13)</f>
        <v>0</v>
      </c>
      <c r="AH847" s="187">
        <f>SUMIFS($AD$37:$AD$12971,$V$37:$V$12971,$V847,$X$37:$X$12971,AH$13)</f>
        <v>0</v>
      </c>
      <c r="AI847" s="161">
        <f t="shared" ref="AI847" si="715">SUM(AE847:AH847)</f>
        <v>0</v>
      </c>
      <c r="AK847" s="172"/>
    </row>
    <row r="848" spans="1:37" s="102" customFormat="1" ht="19.899999999999999" customHeight="1" x14ac:dyDescent="0.25">
      <c r="A848" s="45"/>
      <c r="B848" s="59"/>
      <c r="C848" s="137"/>
      <c r="D848" s="59"/>
      <c r="E848" s="116"/>
      <c r="F848" s="120"/>
      <c r="G848" s="120"/>
      <c r="H848" s="120"/>
      <c r="I848" s="60"/>
      <c r="J848" s="116"/>
      <c r="K848" s="213"/>
      <c r="L848" s="120"/>
      <c r="M848" s="120"/>
      <c r="N848" s="167"/>
      <c r="O848" s="120"/>
      <c r="P848" s="120"/>
      <c r="Q848" s="120"/>
      <c r="R848" s="120"/>
      <c r="S848" s="120"/>
      <c r="T848" s="221"/>
      <c r="U848" s="89"/>
      <c r="V848" s="61"/>
      <c r="W848" s="92" t="s">
        <v>1273</v>
      </c>
      <c r="X848" s="93" t="s">
        <v>30</v>
      </c>
      <c r="Y848" s="93" t="s">
        <v>66</v>
      </c>
      <c r="Z848" s="134">
        <f>VLOOKUP(W848,Sheet2!$B:$D,3,FALSE)</f>
        <v>10</v>
      </c>
      <c r="AA848" s="93">
        <f>1/(2.5*1*0.5*4)</f>
        <v>0.2</v>
      </c>
      <c r="AB848" s="93">
        <f>AD848/AC847</f>
        <v>50</v>
      </c>
      <c r="AC848" s="93">
        <f>AC847/AA848</f>
        <v>9.3499999999999961</v>
      </c>
      <c r="AD848" s="94">
        <f t="shared" ref="AD848:AD850" si="716">AC848*Z848</f>
        <v>93.499999999999957</v>
      </c>
      <c r="AE848" s="190"/>
      <c r="AF848" s="191"/>
      <c r="AG848" s="191"/>
      <c r="AH848" s="191"/>
      <c r="AI848" s="186"/>
      <c r="AK848" s="171"/>
    </row>
    <row r="849" spans="1:41" s="102" customFormat="1" ht="19.899999999999999" customHeight="1" x14ac:dyDescent="0.25">
      <c r="A849" s="45"/>
      <c r="B849" s="59"/>
      <c r="C849" s="137"/>
      <c r="D849" s="59"/>
      <c r="E849" s="116"/>
      <c r="F849" s="120"/>
      <c r="G849" s="120"/>
      <c r="H849" s="120"/>
      <c r="I849" s="60"/>
      <c r="J849" s="116"/>
      <c r="K849" s="213"/>
      <c r="L849" s="120"/>
      <c r="M849" s="120"/>
      <c r="N849" s="167"/>
      <c r="O849" s="120"/>
      <c r="P849" s="120"/>
      <c r="Q849" s="120"/>
      <c r="R849" s="120"/>
      <c r="S849" s="120"/>
      <c r="T849" s="221"/>
      <c r="U849" s="89"/>
      <c r="V849" s="61"/>
      <c r="W849" s="92" t="s">
        <v>134</v>
      </c>
      <c r="X849" s="93" t="s">
        <v>29</v>
      </c>
      <c r="Y849" s="93" t="s">
        <v>93</v>
      </c>
      <c r="Z849" s="134">
        <f>VLOOKUP(W849,Sheet2!$B:$D,3,FALSE)</f>
        <v>65.599999999999994</v>
      </c>
      <c r="AA849" s="93">
        <f>100/(2.5*1*0.5*4)</f>
        <v>20</v>
      </c>
      <c r="AB849" s="93">
        <f t="shared" ref="AB849" si="717">AD849/AC847</f>
        <v>3.28</v>
      </c>
      <c r="AC849" s="93">
        <f>AC847/AA849</f>
        <v>9.3499999999999958E-2</v>
      </c>
      <c r="AD849" s="94">
        <f t="shared" si="716"/>
        <v>6.1335999999999968</v>
      </c>
      <c r="AE849" s="190"/>
      <c r="AF849" s="191"/>
      <c r="AG849" s="191"/>
      <c r="AH849" s="191"/>
      <c r="AI849" s="186"/>
      <c r="AK849" s="171"/>
    </row>
    <row r="850" spans="1:41" s="102" customFormat="1" ht="19.899999999999999" customHeight="1" x14ac:dyDescent="0.25">
      <c r="A850" s="45"/>
      <c r="B850" s="59"/>
      <c r="C850" s="137"/>
      <c r="D850" s="59"/>
      <c r="E850" s="116"/>
      <c r="F850" s="120"/>
      <c r="G850" s="120"/>
      <c r="H850" s="120"/>
      <c r="I850" s="60"/>
      <c r="J850" s="116"/>
      <c r="K850" s="213"/>
      <c r="L850" s="120"/>
      <c r="M850" s="120"/>
      <c r="N850" s="167"/>
      <c r="O850" s="120"/>
      <c r="P850" s="120"/>
      <c r="Q850" s="120"/>
      <c r="R850" s="120"/>
      <c r="S850" s="120"/>
      <c r="T850" s="221"/>
      <c r="U850" s="89"/>
      <c r="V850" s="61"/>
      <c r="W850" s="92" t="s">
        <v>65</v>
      </c>
      <c r="X850" s="93" t="s">
        <v>30</v>
      </c>
      <c r="Y850" s="93" t="s">
        <v>1011</v>
      </c>
      <c r="Z850" s="134">
        <f>VLOOKUP(W850,Sheet2!$B:$D,3,FALSE)</f>
        <v>1.76</v>
      </c>
      <c r="AA850" s="93">
        <f>AA849/9</f>
        <v>2.2222222222222223</v>
      </c>
      <c r="AB850" s="93">
        <f>AD850/AC847</f>
        <v>0.79199999999999993</v>
      </c>
      <c r="AC850" s="93">
        <f>AC847/AA850</f>
        <v>0.84149999999999958</v>
      </c>
      <c r="AD850" s="94">
        <f t="shared" si="716"/>
        <v>1.4810399999999992</v>
      </c>
      <c r="AE850" s="190"/>
      <c r="AF850" s="191"/>
      <c r="AG850" s="191"/>
      <c r="AH850" s="191"/>
      <c r="AI850" s="186"/>
      <c r="AK850" s="171"/>
    </row>
    <row r="851" spans="1:41" s="102" customFormat="1" ht="19.899999999999999" customHeight="1" x14ac:dyDescent="0.25">
      <c r="A851" s="45"/>
      <c r="B851" s="59"/>
      <c r="C851" s="137"/>
      <c r="D851" s="59"/>
      <c r="E851" s="116"/>
      <c r="F851" s="120"/>
      <c r="G851" s="120"/>
      <c r="H851" s="120"/>
      <c r="I851" s="60"/>
      <c r="J851" s="116"/>
      <c r="K851" s="213"/>
      <c r="L851" s="120"/>
      <c r="M851" s="120"/>
      <c r="N851" s="167"/>
      <c r="O851" s="120"/>
      <c r="P851" s="120"/>
      <c r="Q851" s="120"/>
      <c r="R851" s="120"/>
      <c r="S851" s="120"/>
      <c r="T851" s="221"/>
      <c r="U851" s="89"/>
      <c r="V851" s="61"/>
      <c r="W851" s="92" t="s">
        <v>161</v>
      </c>
      <c r="X851" s="93" t="s">
        <v>29</v>
      </c>
      <c r="Y851" s="93" t="s">
        <v>93</v>
      </c>
      <c r="Z851" s="134">
        <f>VLOOKUP(W851,Sheet2!$B:$D,3,FALSE)</f>
        <v>48</v>
      </c>
      <c r="AA851" s="93">
        <f>(16*0.85*1.5)/(2.5*1*0.5*4)</f>
        <v>4.08</v>
      </c>
      <c r="AB851" s="93">
        <f>AD851/AC847</f>
        <v>11.764705882352942</v>
      </c>
      <c r="AC851" s="93">
        <f>AC847/AA851</f>
        <v>0.45833333333333315</v>
      </c>
      <c r="AD851" s="94">
        <f>AC851*Z851</f>
        <v>21.999999999999993</v>
      </c>
      <c r="AE851" s="190"/>
      <c r="AF851" s="191"/>
      <c r="AG851" s="191"/>
      <c r="AH851" s="191"/>
      <c r="AI851" s="186"/>
      <c r="AK851" s="171"/>
    </row>
    <row r="852" spans="1:41" s="102" customFormat="1" ht="19.899999999999999" customHeight="1" x14ac:dyDescent="0.25">
      <c r="A852" s="45"/>
      <c r="B852" s="59"/>
      <c r="C852" s="137"/>
      <c r="D852" s="59"/>
      <c r="E852" s="116"/>
      <c r="F852" s="120"/>
      <c r="G852" s="120"/>
      <c r="H852" s="120"/>
      <c r="I852" s="60"/>
      <c r="J852" s="116"/>
      <c r="K852" s="213"/>
      <c r="L852" s="120"/>
      <c r="M852" s="120"/>
      <c r="N852" s="167"/>
      <c r="O852" s="120"/>
      <c r="P852" s="120"/>
      <c r="Q852" s="120"/>
      <c r="R852" s="120"/>
      <c r="S852" s="120"/>
      <c r="T852" s="221"/>
      <c r="U852" s="89"/>
      <c r="V852" s="61"/>
      <c r="W852" s="92" t="s">
        <v>65</v>
      </c>
      <c r="X852" s="93" t="s">
        <v>30</v>
      </c>
      <c r="Y852" s="93" t="s">
        <v>1011</v>
      </c>
      <c r="Z852" s="134">
        <f>VLOOKUP(W852,Sheet2!$B:$D,3,FALSE)</f>
        <v>1.76</v>
      </c>
      <c r="AA852" s="93">
        <f>AA851/10</f>
        <v>0.40800000000000003</v>
      </c>
      <c r="AB852" s="93">
        <f>AD852/AC847</f>
        <v>4.3137254901960782</v>
      </c>
      <c r="AC852" s="93">
        <f>AC847/AA852</f>
        <v>4.5833333333333313</v>
      </c>
      <c r="AD852" s="94">
        <f>AC852*Z852</f>
        <v>8.0666666666666629</v>
      </c>
      <c r="AE852" s="190"/>
      <c r="AF852" s="191"/>
      <c r="AG852" s="191"/>
      <c r="AH852" s="191"/>
      <c r="AI852" s="186"/>
      <c r="AK852" s="171"/>
    </row>
    <row r="853" spans="1:41" s="102" customFormat="1" ht="19.899999999999999" customHeight="1" x14ac:dyDescent="0.25">
      <c r="A853" s="45"/>
      <c r="B853" s="59"/>
      <c r="C853" s="137"/>
      <c r="D853" s="59"/>
      <c r="E853" s="116"/>
      <c r="F853" s="120"/>
      <c r="G853" s="120"/>
      <c r="H853" s="120"/>
      <c r="I853" s="60"/>
      <c r="J853" s="116"/>
      <c r="K853" s="213"/>
      <c r="L853" s="120"/>
      <c r="M853" s="120"/>
      <c r="N853" s="167"/>
      <c r="O853" s="120"/>
      <c r="P853" s="120"/>
      <c r="Q853" s="120"/>
      <c r="R853" s="120"/>
      <c r="S853" s="120"/>
      <c r="T853" s="221"/>
      <c r="U853" s="89"/>
      <c r="V853" s="61"/>
      <c r="W853" s="92" t="s">
        <v>173</v>
      </c>
      <c r="X853" s="93" t="s">
        <v>29</v>
      </c>
      <c r="Y853" s="93" t="s">
        <v>93</v>
      </c>
      <c r="Z853" s="134">
        <f>VLOOKUP(W853,Sheet2!$B:$D,3,FALSE)</f>
        <v>36</v>
      </c>
      <c r="AA853" s="93">
        <f>50/(2.5*1*0.5*4)</f>
        <v>10</v>
      </c>
      <c r="AB853" s="93">
        <f>AD853/AC847</f>
        <v>3.5999999999999996</v>
      </c>
      <c r="AC853" s="93">
        <f>AC847/AA853</f>
        <v>0.18699999999999992</v>
      </c>
      <c r="AD853" s="94">
        <f>AC853*Z853</f>
        <v>6.7319999999999967</v>
      </c>
      <c r="AE853" s="190"/>
      <c r="AF853" s="191"/>
      <c r="AG853" s="191"/>
      <c r="AH853" s="191"/>
      <c r="AI853" s="186"/>
      <c r="AK853" s="171"/>
    </row>
    <row r="854" spans="1:41" s="102" customFormat="1" ht="19.899999999999999" customHeight="1" x14ac:dyDescent="0.25">
      <c r="A854" s="45"/>
      <c r="B854" s="59"/>
      <c r="C854" s="137"/>
      <c r="D854" s="59"/>
      <c r="E854" s="116"/>
      <c r="F854" s="120"/>
      <c r="G854" s="120"/>
      <c r="H854" s="120"/>
      <c r="I854" s="60"/>
      <c r="J854" s="116"/>
      <c r="K854" s="213"/>
      <c r="L854" s="120"/>
      <c r="M854" s="120"/>
      <c r="N854" s="167"/>
      <c r="O854" s="120"/>
      <c r="P854" s="120"/>
      <c r="Q854" s="120"/>
      <c r="R854" s="120"/>
      <c r="S854" s="120"/>
      <c r="T854" s="221"/>
      <c r="U854" s="89"/>
      <c r="V854" s="61"/>
      <c r="W854" s="92" t="s">
        <v>65</v>
      </c>
      <c r="X854" s="93" t="s">
        <v>30</v>
      </c>
      <c r="Y854" s="93" t="s">
        <v>1011</v>
      </c>
      <c r="Z854" s="134">
        <f>VLOOKUP(W854,Sheet2!$B:$D,3,FALSE)</f>
        <v>1.76</v>
      </c>
      <c r="AA854" s="93">
        <f>AA853/9</f>
        <v>1.1111111111111112</v>
      </c>
      <c r="AB854" s="93">
        <f>AD854/AC847</f>
        <v>1.5839999999999999</v>
      </c>
      <c r="AC854" s="93">
        <f>AC847/AA854</f>
        <v>1.6829999999999992</v>
      </c>
      <c r="AD854" s="94">
        <f>AC854*Z854</f>
        <v>2.9620799999999985</v>
      </c>
      <c r="AE854" s="190"/>
      <c r="AF854" s="191"/>
      <c r="AG854" s="191"/>
      <c r="AH854" s="191"/>
      <c r="AI854" s="186"/>
      <c r="AK854" s="171"/>
    </row>
    <row r="855" spans="1:41" s="102" customFormat="1" ht="19.899999999999999" customHeight="1" x14ac:dyDescent="0.25">
      <c r="A855" s="45"/>
      <c r="B855" s="59"/>
      <c r="C855" s="137"/>
      <c r="D855" s="59"/>
      <c r="E855" s="116"/>
      <c r="F855" s="120"/>
      <c r="G855" s="120"/>
      <c r="H855" s="120"/>
      <c r="I855" s="60"/>
      <c r="J855" s="116"/>
      <c r="K855" s="213"/>
      <c r="L855" s="120"/>
      <c r="M855" s="120"/>
      <c r="N855" s="167"/>
      <c r="O855" s="120"/>
      <c r="P855" s="120"/>
      <c r="Q855" s="120"/>
      <c r="R855" s="120"/>
      <c r="S855" s="120"/>
      <c r="T855" s="221"/>
      <c r="U855" s="89"/>
      <c r="V855" s="61"/>
      <c r="W855" s="92" t="s">
        <v>1030</v>
      </c>
      <c r="X855" s="93" t="s">
        <v>29</v>
      </c>
      <c r="Y855" s="93" t="s">
        <v>93</v>
      </c>
      <c r="Z855" s="134">
        <f>VLOOKUP(W855,Sheet2!$B:$D,3,FALSE)</f>
        <v>23</v>
      </c>
      <c r="AA855" s="93">
        <f>1*2</f>
        <v>2</v>
      </c>
      <c r="AB855" s="93">
        <f>AD855/AC847</f>
        <v>11.5</v>
      </c>
      <c r="AC855" s="93">
        <f>AC847/AA855</f>
        <v>0.93499999999999961</v>
      </c>
      <c r="AD855" s="94">
        <f t="shared" ref="AD855:AD856" si="718">AC855*Z855</f>
        <v>21.504999999999992</v>
      </c>
      <c r="AE855" s="190"/>
      <c r="AF855" s="191"/>
      <c r="AG855" s="191"/>
      <c r="AH855" s="191"/>
      <c r="AI855" s="186"/>
      <c r="AK855" s="171"/>
    </row>
    <row r="856" spans="1:41" s="102" customFormat="1" ht="19.899999999999999" customHeight="1" x14ac:dyDescent="0.25">
      <c r="A856" s="45"/>
      <c r="B856" s="59"/>
      <c r="C856" s="137"/>
      <c r="D856" s="59"/>
      <c r="E856" s="116"/>
      <c r="F856" s="120"/>
      <c r="G856" s="120"/>
      <c r="H856" s="120"/>
      <c r="I856" s="60"/>
      <c r="J856" s="116"/>
      <c r="K856" s="213"/>
      <c r="L856" s="120"/>
      <c r="M856" s="120"/>
      <c r="N856" s="167"/>
      <c r="O856" s="120"/>
      <c r="P856" s="120"/>
      <c r="Q856" s="120"/>
      <c r="R856" s="120"/>
      <c r="S856" s="120"/>
      <c r="T856" s="221"/>
      <c r="U856" s="89"/>
      <c r="V856" s="61"/>
      <c r="W856" s="92" t="s">
        <v>65</v>
      </c>
      <c r="X856" s="93" t="s">
        <v>30</v>
      </c>
      <c r="Y856" s="93" t="s">
        <v>1011</v>
      </c>
      <c r="Z856" s="134">
        <f>VLOOKUP(W856,Sheet2!$B:$D,3,FALSE)</f>
        <v>1.76</v>
      </c>
      <c r="AA856" s="93">
        <f>AA855/3</f>
        <v>0.66666666666666663</v>
      </c>
      <c r="AB856" s="93">
        <f>AD856/AC847</f>
        <v>2.64</v>
      </c>
      <c r="AC856" s="93">
        <f>AC847/AA856</f>
        <v>2.8049999999999988</v>
      </c>
      <c r="AD856" s="94">
        <f t="shared" si="718"/>
        <v>4.9367999999999981</v>
      </c>
      <c r="AE856" s="190"/>
      <c r="AF856" s="191"/>
      <c r="AG856" s="191"/>
      <c r="AH856" s="191"/>
      <c r="AI856" s="186"/>
      <c r="AK856" s="171"/>
    </row>
    <row r="857" spans="1:41" ht="20.100000000000001" customHeight="1" x14ac:dyDescent="0.25">
      <c r="A857" s="277" t="s">
        <v>216</v>
      </c>
      <c r="B857" s="278"/>
      <c r="C857" s="64" t="s">
        <v>334</v>
      </c>
      <c r="D857" s="46" t="s">
        <v>328</v>
      </c>
      <c r="E857" s="114">
        <v>2.5399999999999991</v>
      </c>
      <c r="F857" s="44">
        <v>11493</v>
      </c>
      <c r="G857" s="44">
        <f t="shared" si="607"/>
        <v>29192.21999999999</v>
      </c>
      <c r="H857" s="44">
        <f t="shared" si="608"/>
        <v>6216.1543450992394</v>
      </c>
      <c r="I857" s="43">
        <f t="shared" si="609"/>
        <v>15789.032036552062</v>
      </c>
      <c r="J857" s="112">
        <f t="shared" si="610"/>
        <v>2.5399999999999991</v>
      </c>
      <c r="K857" s="211">
        <f t="shared" si="611"/>
        <v>2.5399999999999991</v>
      </c>
      <c r="L857" s="44"/>
      <c r="M857" s="44">
        <f t="shared" si="612"/>
        <v>2.5399999999999991</v>
      </c>
      <c r="N857" s="173">
        <f t="shared" si="613"/>
        <v>1</v>
      </c>
      <c r="O857" s="44">
        <f t="shared" si="614"/>
        <v>11493</v>
      </c>
      <c r="P857" s="44">
        <f t="shared" si="615"/>
        <v>29192.21999999999</v>
      </c>
      <c r="Q857" s="44">
        <f t="shared" si="616"/>
        <v>6216.1543450992394</v>
      </c>
      <c r="R857" s="44">
        <f t="shared" si="617"/>
        <v>15789.032036552062</v>
      </c>
      <c r="S857" s="123"/>
      <c r="T857" s="219">
        <f t="shared" si="618"/>
        <v>15789.032036552062</v>
      </c>
      <c r="U857" s="87"/>
      <c r="V857" s="47"/>
      <c r="W857" s="48"/>
      <c r="X857" s="48"/>
      <c r="Y857" s="48"/>
      <c r="Z857" s="135"/>
      <c r="AA857" s="49"/>
      <c r="AB857" s="50">
        <f t="shared" si="619"/>
        <v>6216.1543450992394</v>
      </c>
      <c r="AC857" s="42">
        <f t="shared" si="620"/>
        <v>2.5399999999999991</v>
      </c>
      <c r="AD857" s="90">
        <f>AD858+AD863+AD870+AD873</f>
        <v>15789.032036552062</v>
      </c>
      <c r="AE857" s="188">
        <f t="shared" ref="AE857" si="719">AE858+AE863+AE870+AE873</f>
        <v>0</v>
      </c>
      <c r="AF857" s="189">
        <f t="shared" ref="AF857" si="720">AF858+AF863+AF870+AF873</f>
        <v>0</v>
      </c>
      <c r="AG857" s="189">
        <f t="shared" ref="AG857" si="721">AG858+AG863+AG870+AG873</f>
        <v>0</v>
      </c>
      <c r="AH857" s="189">
        <f t="shared" ref="AH857" si="722">AH858+AH863+AH870+AH873</f>
        <v>0</v>
      </c>
      <c r="AI857" s="161">
        <f t="shared" ref="AI857" si="723">SUM(AE857:AH857)</f>
        <v>0</v>
      </c>
      <c r="AK857" s="169">
        <v>5</v>
      </c>
      <c r="AO857" s="19" t="s">
        <v>63</v>
      </c>
    </row>
    <row r="858" spans="1:41" s="103" customFormat="1" ht="19.899999999999999" customHeight="1" x14ac:dyDescent="0.25">
      <c r="A858" s="51"/>
      <c r="B858" s="52"/>
      <c r="C858" s="165"/>
      <c r="D858" s="52"/>
      <c r="E858" s="115"/>
      <c r="F858" s="58"/>
      <c r="G858" s="58"/>
      <c r="H858" s="58"/>
      <c r="I858" s="55"/>
      <c r="J858" s="113">
        <f>J857</f>
        <v>2.5399999999999991</v>
      </c>
      <c r="K858" s="212">
        <f>K857</f>
        <v>2.5399999999999991</v>
      </c>
      <c r="L858" s="58"/>
      <c r="M858" s="58">
        <f>K858-L858</f>
        <v>2.5399999999999991</v>
      </c>
      <c r="N858" s="166"/>
      <c r="O858" s="58"/>
      <c r="P858" s="58"/>
      <c r="Q858" s="58"/>
      <c r="R858" s="58"/>
      <c r="S858" s="58"/>
      <c r="T858" s="220"/>
      <c r="U858" s="88"/>
      <c r="V858" s="56"/>
      <c r="W858" s="57" t="s">
        <v>1364</v>
      </c>
      <c r="X858" s="53"/>
      <c r="Y858" s="91" t="s">
        <v>35</v>
      </c>
      <c r="Z858" s="136">
        <f>AD858/AC858</f>
        <v>54.29816470588235</v>
      </c>
      <c r="AA858" s="58"/>
      <c r="AB858" s="53">
        <f>AD858/AC858</f>
        <v>54.29816470588235</v>
      </c>
      <c r="AC858" s="53">
        <f>M858+$AE$10</f>
        <v>2.5399999999999991</v>
      </c>
      <c r="AD858" s="54">
        <f>SUM(AD859:AD862)</f>
        <v>137.91733835294113</v>
      </c>
      <c r="AE858" s="184">
        <f>SUMIFS($AD$37:$AD$12971,$V$37:$V$12971,$V858,$X$37:$X$12971,AE$13)</f>
        <v>0</v>
      </c>
      <c r="AF858" s="185">
        <f>SUMIFS($AD$37:$AD$12971,$V$37:$V$12971,$V858,$X$37:$X$12971,AF$13)</f>
        <v>0</v>
      </c>
      <c r="AG858" s="185">
        <f>SUMIFS($AD$37:$AD$12971,$V$37:$V$12971,$V858,$X$37:$X$12971,AG$13)</f>
        <v>0</v>
      </c>
      <c r="AH858" s="187">
        <f>SUMIFS($AD$37:$AD$12971,$V$37:$V$12971,$V858,$X$37:$X$12971,AH$13)</f>
        <v>0</v>
      </c>
      <c r="AI858" s="161">
        <f t="shared" ref="AI858" si="724">SUM(AE858:AH858)</f>
        <v>0</v>
      </c>
      <c r="AK858" s="172"/>
    </row>
    <row r="859" spans="1:41" s="102" customFormat="1" ht="19.899999999999999" customHeight="1" x14ac:dyDescent="0.25">
      <c r="A859" s="45"/>
      <c r="B859" s="59"/>
      <c r="C859" s="137"/>
      <c r="D859" s="59"/>
      <c r="E859" s="116"/>
      <c r="F859" s="120"/>
      <c r="G859" s="120"/>
      <c r="H859" s="120"/>
      <c r="I859" s="60"/>
      <c r="J859" s="116"/>
      <c r="K859" s="213"/>
      <c r="L859" s="120"/>
      <c r="M859" s="120"/>
      <c r="N859" s="167"/>
      <c r="O859" s="120"/>
      <c r="P859" s="120"/>
      <c r="Q859" s="120"/>
      <c r="R859" s="120"/>
      <c r="S859" s="120"/>
      <c r="T859" s="221"/>
      <c r="U859" s="89"/>
      <c r="V859" s="61"/>
      <c r="W859" s="92" t="s">
        <v>129</v>
      </c>
      <c r="X859" s="93" t="s">
        <v>29</v>
      </c>
      <c r="Y859" s="93" t="s">
        <v>93</v>
      </c>
      <c r="Z859" s="134">
        <f>VLOOKUP(W859,Sheet2!$B:$D,3,FALSE)</f>
        <v>56</v>
      </c>
      <c r="AA859" s="93">
        <f>100/(3*3*1.5)</f>
        <v>7.4074074074074074</v>
      </c>
      <c r="AB859" s="93">
        <f t="shared" ref="AB859" si="725">AD859/AC858</f>
        <v>7.5600000000000005</v>
      </c>
      <c r="AC859" s="93">
        <f>AC858/AA859</f>
        <v>0.34289999999999987</v>
      </c>
      <c r="AD859" s="94">
        <f t="shared" ref="AD859:AD860" si="726">AC859*Z859</f>
        <v>19.202399999999994</v>
      </c>
      <c r="AE859" s="190"/>
      <c r="AF859" s="191"/>
      <c r="AG859" s="191"/>
      <c r="AH859" s="191"/>
      <c r="AI859" s="186"/>
      <c r="AK859" s="171"/>
    </row>
    <row r="860" spans="1:41" s="102" customFormat="1" ht="19.899999999999999" customHeight="1" x14ac:dyDescent="0.25">
      <c r="A860" s="45"/>
      <c r="B860" s="59"/>
      <c r="C860" s="137"/>
      <c r="D860" s="59"/>
      <c r="E860" s="116"/>
      <c r="F860" s="120"/>
      <c r="G860" s="120"/>
      <c r="H860" s="120"/>
      <c r="I860" s="60"/>
      <c r="J860" s="116"/>
      <c r="K860" s="213"/>
      <c r="L860" s="120"/>
      <c r="M860" s="120"/>
      <c r="N860" s="167"/>
      <c r="O860" s="120"/>
      <c r="P860" s="120"/>
      <c r="Q860" s="120"/>
      <c r="R860" s="120"/>
      <c r="S860" s="120"/>
      <c r="T860" s="221"/>
      <c r="U860" s="89"/>
      <c r="V860" s="61"/>
      <c r="W860" s="92" t="s">
        <v>65</v>
      </c>
      <c r="X860" s="93" t="s">
        <v>30</v>
      </c>
      <c r="Y860" s="93" t="s">
        <v>1011</v>
      </c>
      <c r="Z860" s="134">
        <f>VLOOKUP(W860,Sheet2!$B:$D,3,FALSE)</f>
        <v>1.76</v>
      </c>
      <c r="AA860" s="93">
        <f>AA859/14</f>
        <v>0.52910052910052907</v>
      </c>
      <c r="AB860" s="93">
        <f>AD860/AC858</f>
        <v>3.3264</v>
      </c>
      <c r="AC860" s="93">
        <f>AC858/AA860</f>
        <v>4.8005999999999984</v>
      </c>
      <c r="AD860" s="94">
        <f t="shared" si="726"/>
        <v>8.449055999999997</v>
      </c>
      <c r="AE860" s="190"/>
      <c r="AF860" s="191"/>
      <c r="AG860" s="191"/>
      <c r="AH860" s="191"/>
      <c r="AI860" s="186"/>
      <c r="AK860" s="171"/>
    </row>
    <row r="861" spans="1:41" s="102" customFormat="1" ht="19.899999999999999" customHeight="1" x14ac:dyDescent="0.25">
      <c r="A861" s="45"/>
      <c r="B861" s="59"/>
      <c r="C861" s="137"/>
      <c r="D861" s="59"/>
      <c r="E861" s="116"/>
      <c r="F861" s="120"/>
      <c r="G861" s="120"/>
      <c r="H861" s="120"/>
      <c r="I861" s="60"/>
      <c r="J861" s="116"/>
      <c r="K861" s="213"/>
      <c r="L861" s="120"/>
      <c r="M861" s="120"/>
      <c r="N861" s="167"/>
      <c r="O861" s="120"/>
      <c r="P861" s="120"/>
      <c r="Q861" s="120"/>
      <c r="R861" s="120"/>
      <c r="S861" s="120"/>
      <c r="T861" s="221"/>
      <c r="U861" s="89"/>
      <c r="V861" s="61"/>
      <c r="W861" s="92" t="s">
        <v>161</v>
      </c>
      <c r="X861" s="93" t="s">
        <v>29</v>
      </c>
      <c r="Y861" s="93" t="s">
        <v>93</v>
      </c>
      <c r="Z861" s="134">
        <f>VLOOKUP(W861,Sheet2!$B:$D,3,FALSE)</f>
        <v>48</v>
      </c>
      <c r="AA861" s="93">
        <f>(16*0.85*1.5)/(3*3*1.5)</f>
        <v>1.5111111111111111</v>
      </c>
      <c r="AB861" s="93">
        <f>AD861/AC858</f>
        <v>31.764705882352942</v>
      </c>
      <c r="AC861" s="93">
        <f>AC858/AA861</f>
        <v>1.6808823529411761</v>
      </c>
      <c r="AD861" s="94">
        <f>AC861*Z861</f>
        <v>80.682352941176447</v>
      </c>
      <c r="AE861" s="190"/>
      <c r="AF861" s="191"/>
      <c r="AG861" s="191"/>
      <c r="AH861" s="191"/>
      <c r="AI861" s="186"/>
      <c r="AK861" s="171"/>
    </row>
    <row r="862" spans="1:41" s="102" customFormat="1" ht="19.899999999999999" customHeight="1" x14ac:dyDescent="0.25">
      <c r="A862" s="45"/>
      <c r="B862" s="59"/>
      <c r="C862" s="137"/>
      <c r="D862" s="59"/>
      <c r="E862" s="116"/>
      <c r="F862" s="120"/>
      <c r="G862" s="120"/>
      <c r="H862" s="120"/>
      <c r="I862" s="60"/>
      <c r="J862" s="116"/>
      <c r="K862" s="213"/>
      <c r="L862" s="120"/>
      <c r="M862" s="120"/>
      <c r="N862" s="167"/>
      <c r="O862" s="120"/>
      <c r="P862" s="120"/>
      <c r="Q862" s="120"/>
      <c r="R862" s="120"/>
      <c r="S862" s="120"/>
      <c r="T862" s="221"/>
      <c r="U862" s="89"/>
      <c r="V862" s="61"/>
      <c r="W862" s="92" t="s">
        <v>65</v>
      </c>
      <c r="X862" s="93" t="s">
        <v>30</v>
      </c>
      <c r="Y862" s="93" t="s">
        <v>1011</v>
      </c>
      <c r="Z862" s="134">
        <f>VLOOKUP(W862,Sheet2!$B:$D,3,FALSE)</f>
        <v>1.76</v>
      </c>
      <c r="AA862" s="93">
        <f>AA861/10</f>
        <v>0.15111111111111111</v>
      </c>
      <c r="AB862" s="93">
        <f>AD862/AC858</f>
        <v>11.647058823529411</v>
      </c>
      <c r="AC862" s="93">
        <f>AC858/AA862</f>
        <v>16.808823529411757</v>
      </c>
      <c r="AD862" s="94">
        <f>AC862*Z862</f>
        <v>29.583529411764694</v>
      </c>
      <c r="AE862" s="190"/>
      <c r="AF862" s="191"/>
      <c r="AG862" s="191"/>
      <c r="AH862" s="191"/>
      <c r="AI862" s="186"/>
      <c r="AK862" s="171"/>
    </row>
    <row r="863" spans="1:41" s="103" customFormat="1" ht="19.899999999999999" customHeight="1" x14ac:dyDescent="0.25">
      <c r="A863" s="51"/>
      <c r="B863" s="52"/>
      <c r="C863" s="165"/>
      <c r="D863" s="52"/>
      <c r="E863" s="115"/>
      <c r="F863" s="58"/>
      <c r="G863" s="58"/>
      <c r="H863" s="58"/>
      <c r="I863" s="55"/>
      <c r="J863" s="113">
        <f>J857</f>
        <v>2.5399999999999991</v>
      </c>
      <c r="K863" s="212">
        <f>K857</f>
        <v>2.5399999999999991</v>
      </c>
      <c r="L863" s="58"/>
      <c r="M863" s="58">
        <f>K863-L863</f>
        <v>2.5399999999999991</v>
      </c>
      <c r="N863" s="166"/>
      <c r="O863" s="58"/>
      <c r="P863" s="58"/>
      <c r="Q863" s="58"/>
      <c r="R863" s="58"/>
      <c r="S863" s="58"/>
      <c r="T863" s="220"/>
      <c r="U863" s="88"/>
      <c r="V863" s="56"/>
      <c r="W863" s="57" t="s">
        <v>1352</v>
      </c>
      <c r="X863" s="53"/>
      <c r="Y863" s="91" t="s">
        <v>35</v>
      </c>
      <c r="Z863" s="136">
        <f>AD863/AC863</f>
        <v>4350.0012000011993</v>
      </c>
      <c r="AA863" s="58"/>
      <c r="AB863" s="53">
        <f>AD863/AC863</f>
        <v>4350.0012000011993</v>
      </c>
      <c r="AC863" s="53">
        <f>M863+$AE$10</f>
        <v>2.5399999999999991</v>
      </c>
      <c r="AD863" s="54">
        <f>SUM(AD864:AD869)</f>
        <v>11049.003048003044</v>
      </c>
      <c r="AE863" s="184">
        <f>SUMIFS($AD$37:$AD$12971,$V$37:$V$12971,$V863,$X$37:$X$12971,AE$13)</f>
        <v>0</v>
      </c>
      <c r="AF863" s="185">
        <f>SUMIFS($AD$37:$AD$12971,$V$37:$V$12971,$V863,$X$37:$X$12971,AF$13)</f>
        <v>0</v>
      </c>
      <c r="AG863" s="185">
        <f>SUMIFS($AD$37:$AD$12971,$V$37:$V$12971,$V863,$X$37:$X$12971,AG$13)</f>
        <v>0</v>
      </c>
      <c r="AH863" s="187">
        <f>SUMIFS($AD$37:$AD$12971,$V$37:$V$12971,$V863,$X$37:$X$12971,AH$13)</f>
        <v>0</v>
      </c>
      <c r="AI863" s="161">
        <f t="shared" ref="AI863" si="727">SUM(AE863:AH863)</f>
        <v>0</v>
      </c>
      <c r="AK863" s="172"/>
    </row>
    <row r="864" spans="1:41" s="102" customFormat="1" ht="19.899999999999999" customHeight="1" x14ac:dyDescent="0.25">
      <c r="A864" s="45"/>
      <c r="B864" s="59"/>
      <c r="C864" s="137"/>
      <c r="D864" s="59"/>
      <c r="E864" s="116"/>
      <c r="F864" s="120"/>
      <c r="G864" s="120"/>
      <c r="H864" s="120"/>
      <c r="I864" s="60"/>
      <c r="J864" s="116"/>
      <c r="K864" s="213"/>
      <c r="L864" s="120"/>
      <c r="M864" s="120"/>
      <c r="N864" s="167"/>
      <c r="O864" s="120"/>
      <c r="P864" s="120"/>
      <c r="Q864" s="120"/>
      <c r="R864" s="120"/>
      <c r="S864" s="120"/>
      <c r="T864" s="221"/>
      <c r="U864" s="89"/>
      <c r="V864" s="61"/>
      <c r="W864" s="92" t="s">
        <v>1353</v>
      </c>
      <c r="X864" s="93" t="s">
        <v>30</v>
      </c>
      <c r="Y864" s="93" t="s">
        <v>66</v>
      </c>
      <c r="Z864" s="134">
        <f>VLOOKUP(W864,Sheet2!$B:$D,3,FALSE)</f>
        <v>350</v>
      </c>
      <c r="AA864" s="93">
        <f>1/(2*1.5*0.25*4)</f>
        <v>0.33333333333333331</v>
      </c>
      <c r="AB864" s="93">
        <f>AD864/AC863</f>
        <v>1050</v>
      </c>
      <c r="AC864" s="93">
        <f>AC863/AA864</f>
        <v>7.6199999999999974</v>
      </c>
      <c r="AD864" s="94">
        <f t="shared" ref="AD864:AD865" si="728">AC864*Z864</f>
        <v>2666.9999999999991</v>
      </c>
      <c r="AE864" s="190"/>
      <c r="AF864" s="191"/>
      <c r="AG864" s="191"/>
      <c r="AH864" s="191"/>
      <c r="AI864" s="186"/>
      <c r="AK864" s="171"/>
    </row>
    <row r="865" spans="1:37" s="102" customFormat="1" ht="19.899999999999999" customHeight="1" x14ac:dyDescent="0.25">
      <c r="A865" s="45"/>
      <c r="B865" s="59"/>
      <c r="C865" s="137"/>
      <c r="D865" s="59"/>
      <c r="E865" s="116"/>
      <c r="F865" s="120"/>
      <c r="G865" s="120"/>
      <c r="H865" s="120"/>
      <c r="I865" s="60"/>
      <c r="J865" s="116"/>
      <c r="K865" s="213"/>
      <c r="L865" s="120"/>
      <c r="M865" s="120"/>
      <c r="N865" s="167"/>
      <c r="O865" s="120"/>
      <c r="P865" s="120"/>
      <c r="Q865" s="120"/>
      <c r="R865" s="120"/>
      <c r="S865" s="120"/>
      <c r="T865" s="221"/>
      <c r="U865" s="89"/>
      <c r="V865" s="61"/>
      <c r="W865" s="92" t="s">
        <v>99</v>
      </c>
      <c r="X865" s="93" t="s">
        <v>30</v>
      </c>
      <c r="Y865" s="93" t="s">
        <v>67</v>
      </c>
      <c r="Z865" s="134">
        <f>VLOOKUP(W865,Sheet2!$B:$D,3,FALSE)</f>
        <v>2500</v>
      </c>
      <c r="AA865" s="93">
        <f>1/(2*1.5*0.25*4*0.08)</f>
        <v>4.166666666666667</v>
      </c>
      <c r="AB865" s="93">
        <f>AD865/AC863</f>
        <v>599.99999999999989</v>
      </c>
      <c r="AC865" s="93">
        <f>AC863/AA865</f>
        <v>0.6095999999999997</v>
      </c>
      <c r="AD865" s="94">
        <f t="shared" si="728"/>
        <v>1523.9999999999993</v>
      </c>
      <c r="AE865" s="190"/>
      <c r="AF865" s="191"/>
      <c r="AG865" s="191"/>
      <c r="AH865" s="191"/>
      <c r="AI865" s="186"/>
      <c r="AK865" s="171"/>
    </row>
    <row r="866" spans="1:37" s="102" customFormat="1" ht="19.899999999999999" customHeight="1" x14ac:dyDescent="0.25">
      <c r="A866" s="45"/>
      <c r="B866" s="59"/>
      <c r="C866" s="137"/>
      <c r="D866" s="59"/>
      <c r="E866" s="116"/>
      <c r="F866" s="120"/>
      <c r="G866" s="120"/>
      <c r="H866" s="120"/>
      <c r="I866" s="60"/>
      <c r="J866" s="116"/>
      <c r="K866" s="213"/>
      <c r="L866" s="120"/>
      <c r="M866" s="120"/>
      <c r="N866" s="167"/>
      <c r="O866" s="120"/>
      <c r="P866" s="120"/>
      <c r="Q866" s="120"/>
      <c r="R866" s="120"/>
      <c r="S866" s="120"/>
      <c r="T866" s="221"/>
      <c r="U866" s="89"/>
      <c r="V866" s="61"/>
      <c r="W866" s="92" t="s">
        <v>1355</v>
      </c>
      <c r="X866" s="93" t="s">
        <v>32</v>
      </c>
      <c r="Y866" s="93" t="s">
        <v>66</v>
      </c>
      <c r="Z866" s="134">
        <f>VLOOKUP(W866,Sheet2!$B:$D,3,FALSE)</f>
        <v>450</v>
      </c>
      <c r="AA866" s="93">
        <f>AA864</f>
        <v>0.33333333333333331</v>
      </c>
      <c r="AB866" s="93">
        <f>AD866/AC863</f>
        <v>1350</v>
      </c>
      <c r="AC866" s="93">
        <f>AC863/AA866</f>
        <v>7.6199999999999974</v>
      </c>
      <c r="AD866" s="94">
        <f>AC866*Z866</f>
        <v>3428.9999999999986</v>
      </c>
      <c r="AE866" s="190"/>
      <c r="AF866" s="191"/>
      <c r="AG866" s="191"/>
      <c r="AH866" s="191"/>
      <c r="AI866" s="186"/>
      <c r="AK866" s="171"/>
    </row>
    <row r="867" spans="1:37" s="102" customFormat="1" ht="19.899999999999999" customHeight="1" x14ac:dyDescent="0.25">
      <c r="A867" s="45"/>
      <c r="B867" s="59"/>
      <c r="C867" s="137"/>
      <c r="D867" s="59"/>
      <c r="E867" s="116"/>
      <c r="F867" s="120"/>
      <c r="G867" s="120"/>
      <c r="H867" s="120"/>
      <c r="I867" s="60"/>
      <c r="J867" s="116"/>
      <c r="K867" s="213"/>
      <c r="L867" s="120"/>
      <c r="M867" s="120"/>
      <c r="N867" s="167"/>
      <c r="O867" s="120"/>
      <c r="P867" s="120"/>
      <c r="Q867" s="120"/>
      <c r="R867" s="120"/>
      <c r="S867" s="120"/>
      <c r="T867" s="221"/>
      <c r="U867" s="89"/>
      <c r="V867" s="61"/>
      <c r="W867" s="92" t="s">
        <v>1362</v>
      </c>
      <c r="X867" s="93" t="s">
        <v>30</v>
      </c>
      <c r="Y867" s="93" t="s">
        <v>35</v>
      </c>
      <c r="Z867" s="134">
        <f>VLOOKUP(W867,Sheet2!$B:$D,3,FALSE)</f>
        <v>400</v>
      </c>
      <c r="AA867" s="93">
        <v>0.33333299999999999</v>
      </c>
      <c r="AB867" s="93">
        <f>AD867/AC863</f>
        <v>1200.0012000012002</v>
      </c>
      <c r="AC867" s="93">
        <f>AC863/AA867</f>
        <v>7.6200076200076179</v>
      </c>
      <c r="AD867" s="94">
        <f t="shared" ref="AD867" si="729">AC867*Z867</f>
        <v>3048.0030480030473</v>
      </c>
      <c r="AE867" s="190"/>
      <c r="AF867" s="191"/>
      <c r="AG867" s="191"/>
      <c r="AH867" s="191"/>
      <c r="AI867" s="186"/>
      <c r="AK867" s="171"/>
    </row>
    <row r="868" spans="1:37" s="102" customFormat="1" ht="19.899999999999999" customHeight="1" x14ac:dyDescent="0.25">
      <c r="A868" s="45"/>
      <c r="B868" s="59"/>
      <c r="C868" s="137"/>
      <c r="D868" s="59"/>
      <c r="E868" s="116"/>
      <c r="F868" s="120"/>
      <c r="G868" s="120"/>
      <c r="H868" s="120"/>
      <c r="I868" s="60"/>
      <c r="J868" s="116"/>
      <c r="K868" s="213"/>
      <c r="L868" s="120"/>
      <c r="M868" s="120"/>
      <c r="N868" s="167"/>
      <c r="O868" s="120"/>
      <c r="P868" s="120"/>
      <c r="Q868" s="120"/>
      <c r="R868" s="120"/>
      <c r="S868" s="120"/>
      <c r="T868" s="221"/>
      <c r="U868" s="89"/>
      <c r="V868" s="61"/>
      <c r="W868" s="92" t="s">
        <v>107</v>
      </c>
      <c r="X868" s="93" t="s">
        <v>31</v>
      </c>
      <c r="Y868" s="93" t="s">
        <v>93</v>
      </c>
      <c r="Z868" s="134">
        <f>VLOOKUP(W868,Sheet2!$B:$D,3,FALSE)</f>
        <v>17</v>
      </c>
      <c r="AA868" s="93">
        <f>1/5</f>
        <v>0.2</v>
      </c>
      <c r="AB868" s="93">
        <f>AD868/AC863</f>
        <v>85</v>
      </c>
      <c r="AC868" s="93">
        <f>AC863/AA868</f>
        <v>12.699999999999996</v>
      </c>
      <c r="AD868" s="94">
        <f>AC868*Z868</f>
        <v>215.89999999999992</v>
      </c>
      <c r="AE868" s="190"/>
      <c r="AF868" s="191"/>
      <c r="AG868" s="191"/>
      <c r="AH868" s="191"/>
      <c r="AI868" s="186"/>
      <c r="AK868" s="171"/>
    </row>
    <row r="869" spans="1:37" s="102" customFormat="1" ht="19.899999999999999" customHeight="1" x14ac:dyDescent="0.25">
      <c r="A869" s="45"/>
      <c r="B869" s="59"/>
      <c r="C869" s="137"/>
      <c r="D869" s="59"/>
      <c r="E869" s="116"/>
      <c r="F869" s="120"/>
      <c r="G869" s="120"/>
      <c r="H869" s="120"/>
      <c r="I869" s="60"/>
      <c r="J869" s="116"/>
      <c r="K869" s="213"/>
      <c r="L869" s="120"/>
      <c r="M869" s="120"/>
      <c r="N869" s="167"/>
      <c r="O869" s="120"/>
      <c r="P869" s="120"/>
      <c r="Q869" s="120"/>
      <c r="R869" s="120"/>
      <c r="S869" s="120"/>
      <c r="T869" s="221"/>
      <c r="U869" s="89"/>
      <c r="V869" s="61"/>
      <c r="W869" s="92" t="s">
        <v>112</v>
      </c>
      <c r="X869" s="93" t="s">
        <v>31</v>
      </c>
      <c r="Y869" s="93" t="s">
        <v>93</v>
      </c>
      <c r="Z869" s="134">
        <f>VLOOKUP(W869,Sheet2!$B:$D,3,FALSE)</f>
        <v>13</v>
      </c>
      <c r="AA869" s="93">
        <f>AA868</f>
        <v>0.2</v>
      </c>
      <c r="AB869" s="93">
        <f>AD869/AC863</f>
        <v>65</v>
      </c>
      <c r="AC869" s="93">
        <f>AC863/AA869</f>
        <v>12.699999999999996</v>
      </c>
      <c r="AD869" s="94">
        <f>AC869*Z869</f>
        <v>165.09999999999994</v>
      </c>
      <c r="AE869" s="190"/>
      <c r="AF869" s="191"/>
      <c r="AG869" s="191"/>
      <c r="AH869" s="191"/>
      <c r="AI869" s="186"/>
      <c r="AK869" s="171"/>
    </row>
    <row r="870" spans="1:37" s="103" customFormat="1" ht="19.899999999999999" customHeight="1" x14ac:dyDescent="0.25">
      <c r="A870" s="51"/>
      <c r="B870" s="52"/>
      <c r="C870" s="165"/>
      <c r="D870" s="52"/>
      <c r="E870" s="115"/>
      <c r="F870" s="58"/>
      <c r="G870" s="58"/>
      <c r="H870" s="58"/>
      <c r="I870" s="55"/>
      <c r="J870" s="113">
        <f>J857</f>
        <v>2.5399999999999991</v>
      </c>
      <c r="K870" s="212">
        <f>K857</f>
        <v>2.5399999999999991</v>
      </c>
      <c r="L870" s="58"/>
      <c r="M870" s="58">
        <f>K870-L870</f>
        <v>2.5399999999999991</v>
      </c>
      <c r="N870" s="166"/>
      <c r="O870" s="58"/>
      <c r="P870" s="58"/>
      <c r="Q870" s="58"/>
      <c r="R870" s="58"/>
      <c r="S870" s="58"/>
      <c r="T870" s="220"/>
      <c r="U870" s="88"/>
      <c r="V870" s="56"/>
      <c r="W870" s="57" t="s">
        <v>1358</v>
      </c>
      <c r="X870" s="53"/>
      <c r="Y870" s="91" t="s">
        <v>35</v>
      </c>
      <c r="Z870" s="136">
        <f>AD870/AC870</f>
        <v>1680.0000000000002</v>
      </c>
      <c r="AA870" s="58"/>
      <c r="AB870" s="53">
        <f>AD870/AC870</f>
        <v>1680.0000000000002</v>
      </c>
      <c r="AC870" s="53">
        <f>M870+$AE$10</f>
        <v>2.5399999999999991</v>
      </c>
      <c r="AD870" s="54">
        <f>SUM(AD871:AD872)</f>
        <v>4267.1999999999989</v>
      </c>
      <c r="AE870" s="184">
        <f>SUMIFS($AD$37:$AD$12971,$V$37:$V$12971,$V870,$X$37:$X$12971,AE$13)</f>
        <v>0</v>
      </c>
      <c r="AF870" s="185">
        <f>SUMIFS($AD$37:$AD$12971,$V$37:$V$12971,$V870,$X$37:$X$12971,AF$13)</f>
        <v>0</v>
      </c>
      <c r="AG870" s="185">
        <f>SUMIFS($AD$37:$AD$12971,$V$37:$V$12971,$V870,$X$37:$X$12971,AG$13)</f>
        <v>0</v>
      </c>
      <c r="AH870" s="187">
        <f>SUMIFS($AD$37:$AD$12971,$V$37:$V$12971,$V870,$X$37:$X$12971,AH$13)</f>
        <v>0</v>
      </c>
      <c r="AI870" s="161">
        <f t="shared" ref="AI870" si="730">SUM(AE870:AH870)</f>
        <v>0</v>
      </c>
      <c r="AK870" s="172"/>
    </row>
    <row r="871" spans="1:37" s="102" customFormat="1" ht="19.899999999999999" customHeight="1" x14ac:dyDescent="0.25">
      <c r="A871" s="45"/>
      <c r="B871" s="59"/>
      <c r="C871" s="137"/>
      <c r="D871" s="59"/>
      <c r="E871" s="116"/>
      <c r="F871" s="120"/>
      <c r="G871" s="120"/>
      <c r="H871" s="120"/>
      <c r="I871" s="60"/>
      <c r="J871" s="116"/>
      <c r="K871" s="213"/>
      <c r="L871" s="120"/>
      <c r="M871" s="120"/>
      <c r="N871" s="167"/>
      <c r="O871" s="120"/>
      <c r="P871" s="120"/>
      <c r="Q871" s="120"/>
      <c r="R871" s="120"/>
      <c r="S871" s="120"/>
      <c r="T871" s="221"/>
      <c r="U871" s="89"/>
      <c r="V871" s="61"/>
      <c r="W871" s="92" t="s">
        <v>1359</v>
      </c>
      <c r="X871" s="93" t="s">
        <v>32</v>
      </c>
      <c r="Y871" s="93" t="s">
        <v>64</v>
      </c>
      <c r="Z871" s="134">
        <f>VLOOKUP(W871,Sheet2!$B:$D,3,FALSE)</f>
        <v>40</v>
      </c>
      <c r="AA871" s="93">
        <f>1/24</f>
        <v>4.1666666666666664E-2</v>
      </c>
      <c r="AB871" s="93">
        <f t="shared" ref="AB871" si="731">AD871/AC870</f>
        <v>960</v>
      </c>
      <c r="AC871" s="93">
        <f>AC870/AA871</f>
        <v>60.95999999999998</v>
      </c>
      <c r="AD871" s="94">
        <f t="shared" ref="AD871:AD872" si="732">AC871*Z871</f>
        <v>2438.3999999999992</v>
      </c>
      <c r="AE871" s="190"/>
      <c r="AF871" s="191"/>
      <c r="AG871" s="191"/>
      <c r="AH871" s="191"/>
      <c r="AI871" s="186"/>
      <c r="AK871" s="171"/>
    </row>
    <row r="872" spans="1:37" s="102" customFormat="1" ht="19.899999999999999" customHeight="1" x14ac:dyDescent="0.25">
      <c r="A872" s="45"/>
      <c r="B872" s="59"/>
      <c r="C872" s="137"/>
      <c r="D872" s="59"/>
      <c r="E872" s="116"/>
      <c r="F872" s="120"/>
      <c r="G872" s="120"/>
      <c r="H872" s="120"/>
      <c r="I872" s="60"/>
      <c r="J872" s="116"/>
      <c r="K872" s="213"/>
      <c r="L872" s="120"/>
      <c r="M872" s="120"/>
      <c r="N872" s="167"/>
      <c r="O872" s="120"/>
      <c r="P872" s="120"/>
      <c r="Q872" s="120"/>
      <c r="R872" s="120"/>
      <c r="S872" s="120"/>
      <c r="T872" s="221"/>
      <c r="U872" s="89"/>
      <c r="V872" s="61"/>
      <c r="W872" s="92" t="s">
        <v>1360</v>
      </c>
      <c r="X872" s="93" t="s">
        <v>32</v>
      </c>
      <c r="Y872" s="93" t="s">
        <v>64</v>
      </c>
      <c r="Z872" s="134">
        <f>VLOOKUP(W872,Sheet2!$B:$D,3,FALSE)</f>
        <v>30</v>
      </c>
      <c r="AA872" s="93">
        <f>AA871</f>
        <v>4.1666666666666664E-2</v>
      </c>
      <c r="AB872" s="93">
        <f>AD872/AC870</f>
        <v>720</v>
      </c>
      <c r="AC872" s="93">
        <f>AC870/AA872</f>
        <v>60.95999999999998</v>
      </c>
      <c r="AD872" s="94">
        <f t="shared" si="732"/>
        <v>1828.7999999999993</v>
      </c>
      <c r="AE872" s="190"/>
      <c r="AF872" s="191"/>
      <c r="AG872" s="191"/>
      <c r="AH872" s="191"/>
      <c r="AI872" s="186"/>
      <c r="AK872" s="171"/>
    </row>
    <row r="873" spans="1:37" s="103" customFormat="1" ht="19.899999999999999" customHeight="1" x14ac:dyDescent="0.25">
      <c r="A873" s="51"/>
      <c r="B873" s="52"/>
      <c r="C873" s="165"/>
      <c r="D873" s="52"/>
      <c r="E873" s="115"/>
      <c r="F873" s="58"/>
      <c r="G873" s="58"/>
      <c r="H873" s="58"/>
      <c r="I873" s="55"/>
      <c r="J873" s="113">
        <f>J857</f>
        <v>2.5399999999999991</v>
      </c>
      <c r="K873" s="212">
        <f>K857</f>
        <v>2.5399999999999991</v>
      </c>
      <c r="L873" s="58"/>
      <c r="M873" s="58">
        <f>K873-L873</f>
        <v>2.5399999999999991</v>
      </c>
      <c r="N873" s="166"/>
      <c r="O873" s="58"/>
      <c r="P873" s="58"/>
      <c r="Q873" s="58"/>
      <c r="R873" s="58"/>
      <c r="S873" s="58"/>
      <c r="T873" s="220"/>
      <c r="U873" s="88"/>
      <c r="V873" s="56"/>
      <c r="W873" s="57" t="s">
        <v>1272</v>
      </c>
      <c r="X873" s="53"/>
      <c r="Y873" s="91" t="s">
        <v>35</v>
      </c>
      <c r="Z873" s="136">
        <f>AD873/AC873</f>
        <v>131.85498039215688</v>
      </c>
      <c r="AA873" s="58"/>
      <c r="AB873" s="53">
        <f>AD873/AC873</f>
        <v>131.85498039215688</v>
      </c>
      <c r="AC873" s="53">
        <f>M873+$AE$10</f>
        <v>2.5399999999999991</v>
      </c>
      <c r="AD873" s="54">
        <f>SUM(AD874:AD882)</f>
        <v>334.91165019607837</v>
      </c>
      <c r="AE873" s="184">
        <f>SUMIFS($AD$37:$AD$12971,$V$37:$V$12971,$V873,$X$37:$X$12971,AE$13)</f>
        <v>0</v>
      </c>
      <c r="AF873" s="185">
        <f>SUMIFS($AD$37:$AD$12971,$V$37:$V$12971,$V873,$X$37:$X$12971,AF$13)</f>
        <v>0</v>
      </c>
      <c r="AG873" s="185">
        <f>SUMIFS($AD$37:$AD$12971,$V$37:$V$12971,$V873,$X$37:$X$12971,AG$13)</f>
        <v>0</v>
      </c>
      <c r="AH873" s="187">
        <f>SUMIFS($AD$37:$AD$12971,$V$37:$V$12971,$V873,$X$37:$X$12971,AH$13)</f>
        <v>0</v>
      </c>
      <c r="AI873" s="161">
        <f t="shared" ref="AI873" si="733">SUM(AE873:AH873)</f>
        <v>0</v>
      </c>
      <c r="AK873" s="172"/>
    </row>
    <row r="874" spans="1:37" s="102" customFormat="1" ht="19.899999999999999" customHeight="1" x14ac:dyDescent="0.25">
      <c r="A874" s="45"/>
      <c r="B874" s="59"/>
      <c r="C874" s="137"/>
      <c r="D874" s="59"/>
      <c r="E874" s="116"/>
      <c r="F874" s="120"/>
      <c r="G874" s="120"/>
      <c r="H874" s="120"/>
      <c r="I874" s="60"/>
      <c r="J874" s="116"/>
      <c r="K874" s="213"/>
      <c r="L874" s="120"/>
      <c r="M874" s="120"/>
      <c r="N874" s="167"/>
      <c r="O874" s="120"/>
      <c r="P874" s="120"/>
      <c r="Q874" s="120"/>
      <c r="R874" s="120"/>
      <c r="S874" s="120"/>
      <c r="T874" s="221"/>
      <c r="U874" s="89"/>
      <c r="V874" s="61"/>
      <c r="W874" s="92" t="s">
        <v>1273</v>
      </c>
      <c r="X874" s="93" t="s">
        <v>30</v>
      </c>
      <c r="Y874" s="93" t="s">
        <v>66</v>
      </c>
      <c r="Z874" s="134">
        <f>VLOOKUP(W874,Sheet2!$B:$D,3,FALSE)</f>
        <v>10</v>
      </c>
      <c r="AA874" s="93">
        <f>1/(2.5*1.5*0.5*4)</f>
        <v>0.13333333333333333</v>
      </c>
      <c r="AB874" s="93">
        <f>AD874/AC873</f>
        <v>75</v>
      </c>
      <c r="AC874" s="93">
        <f>AC873/AA874</f>
        <v>19.049999999999994</v>
      </c>
      <c r="AD874" s="94">
        <f t="shared" ref="AD874:AD876" si="734">AC874*Z874</f>
        <v>190.49999999999994</v>
      </c>
      <c r="AE874" s="190"/>
      <c r="AF874" s="191"/>
      <c r="AG874" s="191"/>
      <c r="AH874" s="191"/>
      <c r="AI874" s="186"/>
      <c r="AK874" s="171"/>
    </row>
    <row r="875" spans="1:37" s="102" customFormat="1" ht="19.899999999999999" customHeight="1" x14ac:dyDescent="0.25">
      <c r="A875" s="45"/>
      <c r="B875" s="59"/>
      <c r="C875" s="137"/>
      <c r="D875" s="59"/>
      <c r="E875" s="116"/>
      <c r="F875" s="120"/>
      <c r="G875" s="120"/>
      <c r="H875" s="120"/>
      <c r="I875" s="60"/>
      <c r="J875" s="116"/>
      <c r="K875" s="213"/>
      <c r="L875" s="120"/>
      <c r="M875" s="120"/>
      <c r="N875" s="167"/>
      <c r="O875" s="120"/>
      <c r="P875" s="120"/>
      <c r="Q875" s="120"/>
      <c r="R875" s="120"/>
      <c r="S875" s="120"/>
      <c r="T875" s="221"/>
      <c r="U875" s="89"/>
      <c r="V875" s="61"/>
      <c r="W875" s="92" t="s">
        <v>134</v>
      </c>
      <c r="X875" s="93" t="s">
        <v>29</v>
      </c>
      <c r="Y875" s="93" t="s">
        <v>93</v>
      </c>
      <c r="Z875" s="134">
        <f>VLOOKUP(W875,Sheet2!$B:$D,3,FALSE)</f>
        <v>65.599999999999994</v>
      </c>
      <c r="AA875" s="93">
        <f>100/(2.5*1.5*0.5*4)</f>
        <v>13.333333333333334</v>
      </c>
      <c r="AB875" s="93">
        <f t="shared" ref="AB875" si="735">AD875/AC873</f>
        <v>4.919999999999999</v>
      </c>
      <c r="AC875" s="93">
        <f>AC873/AA875</f>
        <v>0.19049999999999992</v>
      </c>
      <c r="AD875" s="94">
        <f t="shared" si="734"/>
        <v>12.496799999999993</v>
      </c>
      <c r="AE875" s="190"/>
      <c r="AF875" s="191"/>
      <c r="AG875" s="191"/>
      <c r="AH875" s="191"/>
      <c r="AI875" s="186"/>
      <c r="AK875" s="171"/>
    </row>
    <row r="876" spans="1:37" s="102" customFormat="1" ht="19.899999999999999" customHeight="1" x14ac:dyDescent="0.25">
      <c r="A876" s="45"/>
      <c r="B876" s="59"/>
      <c r="C876" s="137"/>
      <c r="D876" s="59"/>
      <c r="E876" s="116"/>
      <c r="F876" s="120"/>
      <c r="G876" s="120"/>
      <c r="H876" s="120"/>
      <c r="I876" s="60"/>
      <c r="J876" s="116"/>
      <c r="K876" s="213"/>
      <c r="L876" s="120"/>
      <c r="M876" s="120"/>
      <c r="N876" s="167"/>
      <c r="O876" s="120"/>
      <c r="P876" s="120"/>
      <c r="Q876" s="120"/>
      <c r="R876" s="120"/>
      <c r="S876" s="120"/>
      <c r="T876" s="221"/>
      <c r="U876" s="89"/>
      <c r="V876" s="61"/>
      <c r="W876" s="92" t="s">
        <v>65</v>
      </c>
      <c r="X876" s="93" t="s">
        <v>30</v>
      </c>
      <c r="Y876" s="93" t="s">
        <v>1011</v>
      </c>
      <c r="Z876" s="134">
        <f>VLOOKUP(W876,Sheet2!$B:$D,3,FALSE)</f>
        <v>1.76</v>
      </c>
      <c r="AA876" s="93">
        <f>AA875/9</f>
        <v>1.4814814814814816</v>
      </c>
      <c r="AB876" s="93">
        <f>AD876/AC873</f>
        <v>1.1879999999999999</v>
      </c>
      <c r="AC876" s="93">
        <f>AC873/AA876</f>
        <v>1.7144999999999992</v>
      </c>
      <c r="AD876" s="94">
        <f t="shared" si="734"/>
        <v>3.0175199999999989</v>
      </c>
      <c r="AE876" s="190"/>
      <c r="AF876" s="191"/>
      <c r="AG876" s="191"/>
      <c r="AH876" s="191"/>
      <c r="AI876" s="186"/>
      <c r="AK876" s="171"/>
    </row>
    <row r="877" spans="1:37" s="102" customFormat="1" ht="19.899999999999999" customHeight="1" x14ac:dyDescent="0.25">
      <c r="A877" s="45"/>
      <c r="B877" s="59"/>
      <c r="C877" s="137"/>
      <c r="D877" s="59"/>
      <c r="E877" s="116"/>
      <c r="F877" s="120"/>
      <c r="G877" s="120"/>
      <c r="H877" s="120"/>
      <c r="I877" s="60"/>
      <c r="J877" s="116"/>
      <c r="K877" s="213"/>
      <c r="L877" s="120"/>
      <c r="M877" s="120"/>
      <c r="N877" s="167"/>
      <c r="O877" s="120"/>
      <c r="P877" s="120"/>
      <c r="Q877" s="120"/>
      <c r="R877" s="120"/>
      <c r="S877" s="120"/>
      <c r="T877" s="221"/>
      <c r="U877" s="89"/>
      <c r="V877" s="61"/>
      <c r="W877" s="92" t="s">
        <v>161</v>
      </c>
      <c r="X877" s="93" t="s">
        <v>29</v>
      </c>
      <c r="Y877" s="93" t="s">
        <v>93</v>
      </c>
      <c r="Z877" s="134">
        <f>VLOOKUP(W877,Sheet2!$B:$D,3,FALSE)</f>
        <v>48</v>
      </c>
      <c r="AA877" s="93">
        <f>(16*0.85*1.5)/(2.5*1.5*0.5*4)</f>
        <v>2.7199999999999998</v>
      </c>
      <c r="AB877" s="93">
        <f>AD877/AC873</f>
        <v>17.647058823529413</v>
      </c>
      <c r="AC877" s="93">
        <f>AC873/AA877</f>
        <v>0.9338235294117645</v>
      </c>
      <c r="AD877" s="94">
        <f>AC877*Z877</f>
        <v>44.823529411764696</v>
      </c>
      <c r="AE877" s="190"/>
      <c r="AF877" s="191"/>
      <c r="AG877" s="191"/>
      <c r="AH877" s="191"/>
      <c r="AI877" s="186"/>
      <c r="AK877" s="171"/>
    </row>
    <row r="878" spans="1:37" s="102" customFormat="1" ht="19.899999999999999" customHeight="1" x14ac:dyDescent="0.25">
      <c r="A878" s="45"/>
      <c r="B878" s="59"/>
      <c r="C878" s="137"/>
      <c r="D878" s="59"/>
      <c r="E878" s="116"/>
      <c r="F878" s="120"/>
      <c r="G878" s="120"/>
      <c r="H878" s="120"/>
      <c r="I878" s="60"/>
      <c r="J878" s="116"/>
      <c r="K878" s="213"/>
      <c r="L878" s="120"/>
      <c r="M878" s="120"/>
      <c r="N878" s="167"/>
      <c r="O878" s="120"/>
      <c r="P878" s="120"/>
      <c r="Q878" s="120"/>
      <c r="R878" s="120"/>
      <c r="S878" s="120"/>
      <c r="T878" s="221"/>
      <c r="U878" s="89"/>
      <c r="V878" s="61"/>
      <c r="W878" s="92" t="s">
        <v>65</v>
      </c>
      <c r="X878" s="93" t="s">
        <v>30</v>
      </c>
      <c r="Y878" s="93" t="s">
        <v>1011</v>
      </c>
      <c r="Z878" s="134">
        <f>VLOOKUP(W878,Sheet2!$B:$D,3,FALSE)</f>
        <v>1.76</v>
      </c>
      <c r="AA878" s="93">
        <f>AA877/10</f>
        <v>0.27199999999999996</v>
      </c>
      <c r="AB878" s="93">
        <f>AD878/AC873</f>
        <v>6.4705882352941178</v>
      </c>
      <c r="AC878" s="93">
        <f>AC873/AA878</f>
        <v>9.338235294117645</v>
      </c>
      <c r="AD878" s="94">
        <f>AC878*Z878</f>
        <v>16.435294117647054</v>
      </c>
      <c r="AE878" s="190"/>
      <c r="AF878" s="191"/>
      <c r="AG878" s="191"/>
      <c r="AH878" s="191"/>
      <c r="AI878" s="186"/>
      <c r="AK878" s="171"/>
    </row>
    <row r="879" spans="1:37" s="102" customFormat="1" ht="19.899999999999999" customHeight="1" x14ac:dyDescent="0.25">
      <c r="A879" s="45"/>
      <c r="B879" s="59"/>
      <c r="C879" s="137"/>
      <c r="D879" s="59"/>
      <c r="E879" s="116"/>
      <c r="F879" s="120"/>
      <c r="G879" s="120"/>
      <c r="H879" s="120"/>
      <c r="I879" s="60"/>
      <c r="J879" s="116"/>
      <c r="K879" s="213"/>
      <c r="L879" s="120"/>
      <c r="M879" s="120"/>
      <c r="N879" s="167"/>
      <c r="O879" s="120"/>
      <c r="P879" s="120"/>
      <c r="Q879" s="120"/>
      <c r="R879" s="120"/>
      <c r="S879" s="120"/>
      <c r="T879" s="221"/>
      <c r="U879" s="89"/>
      <c r="V879" s="61"/>
      <c r="W879" s="92" t="s">
        <v>173</v>
      </c>
      <c r="X879" s="93" t="s">
        <v>29</v>
      </c>
      <c r="Y879" s="93" t="s">
        <v>93</v>
      </c>
      <c r="Z879" s="134">
        <f>VLOOKUP(W879,Sheet2!$B:$D,3,FALSE)</f>
        <v>36</v>
      </c>
      <c r="AA879" s="93">
        <f>50/(2.5*1.5*0.5*4)</f>
        <v>6.666666666666667</v>
      </c>
      <c r="AB879" s="93">
        <f>AD879/AC873</f>
        <v>5.3999999999999995</v>
      </c>
      <c r="AC879" s="93">
        <f>AC873/AA879</f>
        <v>0.38099999999999984</v>
      </c>
      <c r="AD879" s="94">
        <f>AC879*Z879</f>
        <v>13.715999999999994</v>
      </c>
      <c r="AE879" s="190"/>
      <c r="AF879" s="191"/>
      <c r="AG879" s="191"/>
      <c r="AH879" s="191"/>
      <c r="AI879" s="186"/>
      <c r="AK879" s="171"/>
    </row>
    <row r="880" spans="1:37" s="102" customFormat="1" ht="19.899999999999999" customHeight="1" x14ac:dyDescent="0.25">
      <c r="A880" s="45"/>
      <c r="B880" s="59"/>
      <c r="C880" s="137"/>
      <c r="D880" s="59"/>
      <c r="E880" s="116"/>
      <c r="F880" s="120"/>
      <c r="G880" s="120"/>
      <c r="H880" s="120"/>
      <c r="I880" s="60"/>
      <c r="J880" s="116"/>
      <c r="K880" s="213"/>
      <c r="L880" s="120"/>
      <c r="M880" s="120"/>
      <c r="N880" s="167"/>
      <c r="O880" s="120"/>
      <c r="P880" s="120"/>
      <c r="Q880" s="120"/>
      <c r="R880" s="120"/>
      <c r="S880" s="120"/>
      <c r="T880" s="221"/>
      <c r="U880" s="89"/>
      <c r="V880" s="61"/>
      <c r="W880" s="92" t="s">
        <v>65</v>
      </c>
      <c r="X880" s="93" t="s">
        <v>30</v>
      </c>
      <c r="Y880" s="93" t="s">
        <v>1011</v>
      </c>
      <c r="Z880" s="134">
        <f>VLOOKUP(W880,Sheet2!$B:$D,3,FALSE)</f>
        <v>1.76</v>
      </c>
      <c r="AA880" s="93">
        <f>AA879/9</f>
        <v>0.74074074074074081</v>
      </c>
      <c r="AB880" s="93">
        <f>AD880/AC873</f>
        <v>2.3759999999999999</v>
      </c>
      <c r="AC880" s="93">
        <f>AC873/AA880</f>
        <v>3.4289999999999985</v>
      </c>
      <c r="AD880" s="94">
        <f>AC880*Z880</f>
        <v>6.0350399999999977</v>
      </c>
      <c r="AE880" s="190"/>
      <c r="AF880" s="191"/>
      <c r="AG880" s="191"/>
      <c r="AH880" s="191"/>
      <c r="AI880" s="186"/>
      <c r="AK880" s="171"/>
    </row>
    <row r="881" spans="1:41" s="102" customFormat="1" ht="19.899999999999999" customHeight="1" x14ac:dyDescent="0.25">
      <c r="A881" s="45"/>
      <c r="B881" s="59"/>
      <c r="C881" s="137"/>
      <c r="D881" s="59"/>
      <c r="E881" s="116"/>
      <c r="F881" s="120"/>
      <c r="G881" s="120"/>
      <c r="H881" s="120"/>
      <c r="I881" s="60"/>
      <c r="J881" s="116"/>
      <c r="K881" s="213"/>
      <c r="L881" s="120"/>
      <c r="M881" s="120"/>
      <c r="N881" s="167"/>
      <c r="O881" s="120"/>
      <c r="P881" s="120"/>
      <c r="Q881" s="120"/>
      <c r="R881" s="120"/>
      <c r="S881" s="120"/>
      <c r="T881" s="221"/>
      <c r="U881" s="89"/>
      <c r="V881" s="61"/>
      <c r="W881" s="92" t="s">
        <v>1030</v>
      </c>
      <c r="X881" s="93" t="s">
        <v>29</v>
      </c>
      <c r="Y881" s="93" t="s">
        <v>93</v>
      </c>
      <c r="Z881" s="134">
        <f>VLOOKUP(W881,Sheet2!$B:$D,3,FALSE)</f>
        <v>23</v>
      </c>
      <c r="AA881" s="93">
        <f>1*1.5</f>
        <v>1.5</v>
      </c>
      <c r="AB881" s="93">
        <f>AD881/AC873</f>
        <v>15.333333333333332</v>
      </c>
      <c r="AC881" s="93">
        <f>AC873/AA881</f>
        <v>1.6933333333333327</v>
      </c>
      <c r="AD881" s="94">
        <f t="shared" ref="AD881:AD882" si="736">AC881*Z881</f>
        <v>38.946666666666651</v>
      </c>
      <c r="AE881" s="190"/>
      <c r="AF881" s="191"/>
      <c r="AG881" s="191"/>
      <c r="AH881" s="191"/>
      <c r="AI881" s="186"/>
      <c r="AK881" s="171"/>
    </row>
    <row r="882" spans="1:41" s="102" customFormat="1" ht="19.899999999999999" customHeight="1" x14ac:dyDescent="0.25">
      <c r="A882" s="45"/>
      <c r="B882" s="59"/>
      <c r="C882" s="137"/>
      <c r="D882" s="59"/>
      <c r="E882" s="116"/>
      <c r="F882" s="120"/>
      <c r="G882" s="120"/>
      <c r="H882" s="120"/>
      <c r="I882" s="60"/>
      <c r="J882" s="116"/>
      <c r="K882" s="213"/>
      <c r="L882" s="120"/>
      <c r="M882" s="120"/>
      <c r="N882" s="167"/>
      <c r="O882" s="120"/>
      <c r="P882" s="120"/>
      <c r="Q882" s="120"/>
      <c r="R882" s="120"/>
      <c r="S882" s="120"/>
      <c r="T882" s="221"/>
      <c r="U882" s="89"/>
      <c r="V882" s="61"/>
      <c r="W882" s="92" t="s">
        <v>65</v>
      </c>
      <c r="X882" s="93" t="s">
        <v>30</v>
      </c>
      <c r="Y882" s="93" t="s">
        <v>1011</v>
      </c>
      <c r="Z882" s="134">
        <f>VLOOKUP(W882,Sheet2!$B:$D,3,FALSE)</f>
        <v>1.76</v>
      </c>
      <c r="AA882" s="93">
        <f>AA881/3</f>
        <v>0.5</v>
      </c>
      <c r="AB882" s="93">
        <f>AD882/AC873</f>
        <v>3.5200000000000005</v>
      </c>
      <c r="AC882" s="93">
        <f>AC873/AA882</f>
        <v>5.0799999999999983</v>
      </c>
      <c r="AD882" s="94">
        <f t="shared" si="736"/>
        <v>8.9407999999999976</v>
      </c>
      <c r="AE882" s="190"/>
      <c r="AF882" s="191"/>
      <c r="AG882" s="191"/>
      <c r="AH882" s="191"/>
      <c r="AI882" s="186"/>
      <c r="AK882" s="171"/>
    </row>
    <row r="883" spans="1:41" ht="20.100000000000001" customHeight="1" x14ac:dyDescent="0.25">
      <c r="A883" s="277" t="s">
        <v>216</v>
      </c>
      <c r="B883" s="278"/>
      <c r="C883" s="64" t="s">
        <v>335</v>
      </c>
      <c r="D883" s="46" t="s">
        <v>328</v>
      </c>
      <c r="E883" s="114">
        <v>0.76999999999999957</v>
      </c>
      <c r="F883" s="44">
        <v>15295</v>
      </c>
      <c r="G883" s="44">
        <f t="shared" si="607"/>
        <v>11777.149999999994</v>
      </c>
      <c r="H883" s="44">
        <f t="shared" si="608"/>
        <v>8235.6904156862747</v>
      </c>
      <c r="I883" s="43">
        <f t="shared" si="609"/>
        <v>6341.481620078428</v>
      </c>
      <c r="J883" s="112">
        <f t="shared" si="610"/>
        <v>0.76999999999999957</v>
      </c>
      <c r="K883" s="211">
        <f t="shared" si="611"/>
        <v>0.76999999999999957</v>
      </c>
      <c r="L883" s="44"/>
      <c r="M883" s="44">
        <f t="shared" si="612"/>
        <v>0.76999999999999957</v>
      </c>
      <c r="N883" s="173">
        <f t="shared" si="613"/>
        <v>1</v>
      </c>
      <c r="O883" s="44">
        <f t="shared" si="614"/>
        <v>15295</v>
      </c>
      <c r="P883" s="44">
        <f t="shared" si="615"/>
        <v>11777.149999999994</v>
      </c>
      <c r="Q883" s="44">
        <f t="shared" si="616"/>
        <v>8235.6904156862747</v>
      </c>
      <c r="R883" s="44">
        <f t="shared" si="617"/>
        <v>6341.481620078428</v>
      </c>
      <c r="S883" s="123"/>
      <c r="T883" s="219">
        <f t="shared" si="618"/>
        <v>6341.481620078428</v>
      </c>
      <c r="U883" s="87"/>
      <c r="V883" s="47"/>
      <c r="W883" s="48"/>
      <c r="X883" s="48"/>
      <c r="Y883" s="48"/>
      <c r="Z883" s="135"/>
      <c r="AA883" s="49"/>
      <c r="AB883" s="50">
        <f t="shared" si="619"/>
        <v>8235.6904156862747</v>
      </c>
      <c r="AC883" s="42">
        <f t="shared" si="620"/>
        <v>0.76999999999999957</v>
      </c>
      <c r="AD883" s="90">
        <f>AD884+AD889+AD896+AD899</f>
        <v>6341.481620078428</v>
      </c>
      <c r="AE883" s="188">
        <f t="shared" ref="AE883" si="737">AE884+AE889+AE896+AE899</f>
        <v>0</v>
      </c>
      <c r="AF883" s="189">
        <f t="shared" ref="AF883" si="738">AF884+AF889+AF896+AF899</f>
        <v>0</v>
      </c>
      <c r="AG883" s="189">
        <f t="shared" ref="AG883" si="739">AG884+AG889+AG896+AG899</f>
        <v>0</v>
      </c>
      <c r="AH883" s="189">
        <f t="shared" ref="AH883" si="740">AH884+AH889+AH896+AH899</f>
        <v>0</v>
      </c>
      <c r="AI883" s="161">
        <f t="shared" ref="AI883" si="741">SUM(AE883:AH883)</f>
        <v>0</v>
      </c>
      <c r="AK883" s="169">
        <v>5</v>
      </c>
      <c r="AO883" s="19" t="s">
        <v>63</v>
      </c>
    </row>
    <row r="884" spans="1:41" s="103" customFormat="1" ht="19.899999999999999" customHeight="1" x14ac:dyDescent="0.25">
      <c r="A884" s="51"/>
      <c r="B884" s="52"/>
      <c r="C884" s="165"/>
      <c r="D884" s="52"/>
      <c r="E884" s="115"/>
      <c r="F884" s="58"/>
      <c r="G884" s="58"/>
      <c r="H884" s="58"/>
      <c r="I884" s="55"/>
      <c r="J884" s="113">
        <f>J883</f>
        <v>0.76999999999999957</v>
      </c>
      <c r="K884" s="212">
        <f>K883</f>
        <v>0.76999999999999957</v>
      </c>
      <c r="L884" s="58"/>
      <c r="M884" s="58">
        <f>K884-L884</f>
        <v>0.76999999999999957</v>
      </c>
      <c r="N884" s="166"/>
      <c r="O884" s="58"/>
      <c r="P884" s="58"/>
      <c r="Q884" s="58"/>
      <c r="R884" s="58"/>
      <c r="S884" s="58"/>
      <c r="T884" s="220"/>
      <c r="U884" s="88"/>
      <c r="V884" s="56"/>
      <c r="W884" s="57" t="s">
        <v>1365</v>
      </c>
      <c r="X884" s="53"/>
      <c r="Y884" s="91" t="s">
        <v>35</v>
      </c>
      <c r="Z884" s="136">
        <f>AD884/AC884</f>
        <v>72.397552941176471</v>
      </c>
      <c r="AA884" s="58"/>
      <c r="AB884" s="53">
        <f>AD884/AC884</f>
        <v>72.397552941176471</v>
      </c>
      <c r="AC884" s="53">
        <f>M884+$AE$10</f>
        <v>0.76999999999999957</v>
      </c>
      <c r="AD884" s="54">
        <f>SUM(AD885:AD888)</f>
        <v>55.746115764705856</v>
      </c>
      <c r="AE884" s="184">
        <f>SUMIFS($AD$37:$AD$12971,$V$37:$V$12971,$V884,$X$37:$X$12971,AE$13)</f>
        <v>0</v>
      </c>
      <c r="AF884" s="185">
        <f>SUMIFS($AD$37:$AD$12971,$V$37:$V$12971,$V884,$X$37:$X$12971,AF$13)</f>
        <v>0</v>
      </c>
      <c r="AG884" s="185">
        <f>SUMIFS($AD$37:$AD$12971,$V$37:$V$12971,$V884,$X$37:$X$12971,AG$13)</f>
        <v>0</v>
      </c>
      <c r="AH884" s="187">
        <f>SUMIFS($AD$37:$AD$12971,$V$37:$V$12971,$V884,$X$37:$X$12971,AH$13)</f>
        <v>0</v>
      </c>
      <c r="AI884" s="161">
        <f t="shared" ref="AI884" si="742">SUM(AE884:AH884)</f>
        <v>0</v>
      </c>
      <c r="AK884" s="172"/>
    </row>
    <row r="885" spans="1:41" s="102" customFormat="1" ht="19.899999999999999" customHeight="1" x14ac:dyDescent="0.25">
      <c r="A885" s="45"/>
      <c r="B885" s="59"/>
      <c r="C885" s="137"/>
      <c r="D885" s="59"/>
      <c r="E885" s="116"/>
      <c r="F885" s="120"/>
      <c r="G885" s="120"/>
      <c r="H885" s="120"/>
      <c r="I885" s="60"/>
      <c r="J885" s="116"/>
      <c r="K885" s="213"/>
      <c r="L885" s="120"/>
      <c r="M885" s="120"/>
      <c r="N885" s="167"/>
      <c r="O885" s="120"/>
      <c r="P885" s="120"/>
      <c r="Q885" s="120"/>
      <c r="R885" s="120"/>
      <c r="S885" s="120"/>
      <c r="T885" s="221"/>
      <c r="U885" s="89"/>
      <c r="V885" s="61"/>
      <c r="W885" s="92" t="s">
        <v>129</v>
      </c>
      <c r="X885" s="93" t="s">
        <v>29</v>
      </c>
      <c r="Y885" s="93" t="s">
        <v>93</v>
      </c>
      <c r="Z885" s="134">
        <f>VLOOKUP(W885,Sheet2!$B:$D,3,FALSE)</f>
        <v>56</v>
      </c>
      <c r="AA885" s="93">
        <f>100/(3*3*2)</f>
        <v>5.5555555555555554</v>
      </c>
      <c r="AB885" s="93">
        <f t="shared" ref="AB885" si="743">AD885/AC884</f>
        <v>10.08</v>
      </c>
      <c r="AC885" s="93">
        <f>AC884/AA885</f>
        <v>0.13859999999999992</v>
      </c>
      <c r="AD885" s="94">
        <f t="shared" ref="AD885:AD886" si="744">AC885*Z885</f>
        <v>7.7615999999999952</v>
      </c>
      <c r="AE885" s="190"/>
      <c r="AF885" s="191"/>
      <c r="AG885" s="191"/>
      <c r="AH885" s="191"/>
      <c r="AI885" s="186"/>
      <c r="AK885" s="171"/>
    </row>
    <row r="886" spans="1:41" s="102" customFormat="1" ht="19.899999999999999" customHeight="1" x14ac:dyDescent="0.25">
      <c r="A886" s="45"/>
      <c r="B886" s="59"/>
      <c r="C886" s="137"/>
      <c r="D886" s="59"/>
      <c r="E886" s="116"/>
      <c r="F886" s="120"/>
      <c r="G886" s="120"/>
      <c r="H886" s="120"/>
      <c r="I886" s="60"/>
      <c r="J886" s="116"/>
      <c r="K886" s="213"/>
      <c r="L886" s="120"/>
      <c r="M886" s="120"/>
      <c r="N886" s="167"/>
      <c r="O886" s="120"/>
      <c r="P886" s="120"/>
      <c r="Q886" s="120"/>
      <c r="R886" s="120"/>
      <c r="S886" s="120"/>
      <c r="T886" s="221"/>
      <c r="U886" s="89"/>
      <c r="V886" s="61"/>
      <c r="W886" s="92" t="s">
        <v>65</v>
      </c>
      <c r="X886" s="93" t="s">
        <v>30</v>
      </c>
      <c r="Y886" s="93" t="s">
        <v>1011</v>
      </c>
      <c r="Z886" s="134">
        <f>VLOOKUP(W886,Sheet2!$B:$D,3,FALSE)</f>
        <v>1.76</v>
      </c>
      <c r="AA886" s="93">
        <f>AA885/14</f>
        <v>0.3968253968253968</v>
      </c>
      <c r="AB886" s="93">
        <f>AD886/AC884</f>
        <v>4.4352</v>
      </c>
      <c r="AC886" s="93">
        <f>AC884/AA886</f>
        <v>1.940399999999999</v>
      </c>
      <c r="AD886" s="94">
        <f t="shared" si="744"/>
        <v>3.4151039999999981</v>
      </c>
      <c r="AE886" s="190"/>
      <c r="AF886" s="191"/>
      <c r="AG886" s="191"/>
      <c r="AH886" s="191"/>
      <c r="AI886" s="186"/>
      <c r="AK886" s="171"/>
    </row>
    <row r="887" spans="1:41" s="102" customFormat="1" ht="19.899999999999999" customHeight="1" x14ac:dyDescent="0.25">
      <c r="A887" s="45"/>
      <c r="B887" s="59"/>
      <c r="C887" s="137"/>
      <c r="D887" s="59"/>
      <c r="E887" s="116"/>
      <c r="F887" s="120"/>
      <c r="G887" s="120"/>
      <c r="H887" s="120"/>
      <c r="I887" s="60"/>
      <c r="J887" s="116"/>
      <c r="K887" s="213"/>
      <c r="L887" s="120"/>
      <c r="M887" s="120"/>
      <c r="N887" s="167"/>
      <c r="O887" s="120"/>
      <c r="P887" s="120"/>
      <c r="Q887" s="120"/>
      <c r="R887" s="120"/>
      <c r="S887" s="120"/>
      <c r="T887" s="221"/>
      <c r="U887" s="89"/>
      <c r="V887" s="61"/>
      <c r="W887" s="92" t="s">
        <v>161</v>
      </c>
      <c r="X887" s="93" t="s">
        <v>29</v>
      </c>
      <c r="Y887" s="93" t="s">
        <v>93</v>
      </c>
      <c r="Z887" s="134">
        <f>VLOOKUP(W887,Sheet2!$B:$D,3,FALSE)</f>
        <v>48</v>
      </c>
      <c r="AA887" s="93">
        <f>(16*0.85*1.5)/(3*3*2)</f>
        <v>1.1333333333333333</v>
      </c>
      <c r="AB887" s="93">
        <f>AD887/AC884</f>
        <v>42.352941176470587</v>
      </c>
      <c r="AC887" s="93">
        <f>AC884/AA887</f>
        <v>0.67941176470588205</v>
      </c>
      <c r="AD887" s="94">
        <f>AC887*Z887</f>
        <v>32.611764705882337</v>
      </c>
      <c r="AE887" s="190"/>
      <c r="AF887" s="191"/>
      <c r="AG887" s="191"/>
      <c r="AH887" s="191"/>
      <c r="AI887" s="186"/>
      <c r="AK887" s="171"/>
    </row>
    <row r="888" spans="1:41" s="102" customFormat="1" ht="19.899999999999999" customHeight="1" x14ac:dyDescent="0.25">
      <c r="A888" s="45"/>
      <c r="B888" s="59"/>
      <c r="C888" s="137"/>
      <c r="D888" s="59"/>
      <c r="E888" s="116"/>
      <c r="F888" s="120"/>
      <c r="G888" s="120"/>
      <c r="H888" s="120"/>
      <c r="I888" s="60"/>
      <c r="J888" s="116"/>
      <c r="K888" s="213"/>
      <c r="L888" s="120"/>
      <c r="M888" s="120"/>
      <c r="N888" s="167"/>
      <c r="O888" s="120"/>
      <c r="P888" s="120"/>
      <c r="Q888" s="120"/>
      <c r="R888" s="120"/>
      <c r="S888" s="120"/>
      <c r="T888" s="221"/>
      <c r="U888" s="89"/>
      <c r="V888" s="61"/>
      <c r="W888" s="92" t="s">
        <v>65</v>
      </c>
      <c r="X888" s="93" t="s">
        <v>30</v>
      </c>
      <c r="Y888" s="93" t="s">
        <v>1011</v>
      </c>
      <c r="Z888" s="134">
        <f>VLOOKUP(W888,Sheet2!$B:$D,3,FALSE)</f>
        <v>1.76</v>
      </c>
      <c r="AA888" s="93">
        <f>AA887/10</f>
        <v>0.11333333333333333</v>
      </c>
      <c r="AB888" s="93">
        <f>AD888/AC884</f>
        <v>15.529411764705884</v>
      </c>
      <c r="AC888" s="93">
        <f>AC884/AA888</f>
        <v>6.7941176470588198</v>
      </c>
      <c r="AD888" s="94">
        <f>AC888*Z888</f>
        <v>11.957647058823524</v>
      </c>
      <c r="AE888" s="190"/>
      <c r="AF888" s="191"/>
      <c r="AG888" s="191"/>
      <c r="AH888" s="191"/>
      <c r="AI888" s="186"/>
      <c r="AK888" s="171"/>
    </row>
    <row r="889" spans="1:41" s="103" customFormat="1" ht="19.899999999999999" customHeight="1" x14ac:dyDescent="0.25">
      <c r="A889" s="51"/>
      <c r="B889" s="52"/>
      <c r="C889" s="165"/>
      <c r="D889" s="52"/>
      <c r="E889" s="115"/>
      <c r="F889" s="58"/>
      <c r="G889" s="58"/>
      <c r="H889" s="58"/>
      <c r="I889" s="55"/>
      <c r="J889" s="113">
        <f>J883</f>
        <v>0.76999999999999957</v>
      </c>
      <c r="K889" s="212">
        <f>K883</f>
        <v>0.76999999999999957</v>
      </c>
      <c r="L889" s="58"/>
      <c r="M889" s="58">
        <f>K889-L889</f>
        <v>0.76999999999999957</v>
      </c>
      <c r="N889" s="166"/>
      <c r="O889" s="58"/>
      <c r="P889" s="58"/>
      <c r="Q889" s="58"/>
      <c r="R889" s="58"/>
      <c r="S889" s="58"/>
      <c r="T889" s="220"/>
      <c r="U889" s="88"/>
      <c r="V889" s="56"/>
      <c r="W889" s="57" t="s">
        <v>1352</v>
      </c>
      <c r="X889" s="53"/>
      <c r="Y889" s="91" t="s">
        <v>35</v>
      </c>
      <c r="Z889" s="136">
        <f>AD889/AC889</f>
        <v>5750</v>
      </c>
      <c r="AA889" s="58"/>
      <c r="AB889" s="53">
        <f>AD889/AC889</f>
        <v>5750</v>
      </c>
      <c r="AC889" s="53">
        <f>M889+$AE$10</f>
        <v>0.76999999999999957</v>
      </c>
      <c r="AD889" s="54">
        <f>SUM(AD890:AD895)</f>
        <v>4427.4999999999973</v>
      </c>
      <c r="AE889" s="184">
        <f>SUMIFS($AD$37:$AD$12971,$V$37:$V$12971,$V889,$X$37:$X$12971,AE$13)</f>
        <v>0</v>
      </c>
      <c r="AF889" s="185">
        <f>SUMIFS($AD$37:$AD$12971,$V$37:$V$12971,$V889,$X$37:$X$12971,AF$13)</f>
        <v>0</v>
      </c>
      <c r="AG889" s="185">
        <f>SUMIFS($AD$37:$AD$12971,$V$37:$V$12971,$V889,$X$37:$X$12971,AG$13)</f>
        <v>0</v>
      </c>
      <c r="AH889" s="187">
        <f>SUMIFS($AD$37:$AD$12971,$V$37:$V$12971,$V889,$X$37:$X$12971,AH$13)</f>
        <v>0</v>
      </c>
      <c r="AI889" s="161">
        <f t="shared" ref="AI889" si="745">SUM(AE889:AH889)</f>
        <v>0</v>
      </c>
      <c r="AK889" s="172"/>
    </row>
    <row r="890" spans="1:41" s="102" customFormat="1" ht="19.899999999999999" customHeight="1" x14ac:dyDescent="0.25">
      <c r="A890" s="45"/>
      <c r="B890" s="59"/>
      <c r="C890" s="137"/>
      <c r="D890" s="59"/>
      <c r="E890" s="116"/>
      <c r="F890" s="120"/>
      <c r="G890" s="120"/>
      <c r="H890" s="120"/>
      <c r="I890" s="60"/>
      <c r="J890" s="116"/>
      <c r="K890" s="213"/>
      <c r="L890" s="120"/>
      <c r="M890" s="120"/>
      <c r="N890" s="167"/>
      <c r="O890" s="120"/>
      <c r="P890" s="120"/>
      <c r="Q890" s="120"/>
      <c r="R890" s="120"/>
      <c r="S890" s="120"/>
      <c r="T890" s="221"/>
      <c r="U890" s="89"/>
      <c r="V890" s="61"/>
      <c r="W890" s="92" t="s">
        <v>1353</v>
      </c>
      <c r="X890" s="93" t="s">
        <v>30</v>
      </c>
      <c r="Y890" s="93" t="s">
        <v>66</v>
      </c>
      <c r="Z890" s="134">
        <f>VLOOKUP(W890,Sheet2!$B:$D,3,FALSE)</f>
        <v>350</v>
      </c>
      <c r="AA890" s="93">
        <f>1/(2*2*0.25*4)</f>
        <v>0.25</v>
      </c>
      <c r="AB890" s="93">
        <f>AD890/AC889</f>
        <v>1400</v>
      </c>
      <c r="AC890" s="93">
        <f>AC889/AA890</f>
        <v>3.0799999999999983</v>
      </c>
      <c r="AD890" s="94">
        <f t="shared" ref="AD890:AD891" si="746">AC890*Z890</f>
        <v>1077.9999999999993</v>
      </c>
      <c r="AE890" s="190"/>
      <c r="AF890" s="191"/>
      <c r="AG890" s="191"/>
      <c r="AH890" s="191"/>
      <c r="AI890" s="186"/>
      <c r="AK890" s="171"/>
    </row>
    <row r="891" spans="1:41" s="102" customFormat="1" ht="19.899999999999999" customHeight="1" x14ac:dyDescent="0.25">
      <c r="A891" s="45"/>
      <c r="B891" s="59"/>
      <c r="C891" s="137"/>
      <c r="D891" s="59"/>
      <c r="E891" s="116"/>
      <c r="F891" s="120"/>
      <c r="G891" s="120"/>
      <c r="H891" s="120"/>
      <c r="I891" s="60"/>
      <c r="J891" s="116"/>
      <c r="K891" s="213"/>
      <c r="L891" s="120"/>
      <c r="M891" s="120"/>
      <c r="N891" s="167"/>
      <c r="O891" s="120"/>
      <c r="P891" s="120"/>
      <c r="Q891" s="120"/>
      <c r="R891" s="120"/>
      <c r="S891" s="120"/>
      <c r="T891" s="221"/>
      <c r="U891" s="89"/>
      <c r="V891" s="61"/>
      <c r="W891" s="92" t="s">
        <v>99</v>
      </c>
      <c r="X891" s="93" t="s">
        <v>30</v>
      </c>
      <c r="Y891" s="93" t="s">
        <v>67</v>
      </c>
      <c r="Z891" s="134">
        <f>VLOOKUP(W891,Sheet2!$B:$D,3,FALSE)</f>
        <v>2500</v>
      </c>
      <c r="AA891" s="93">
        <f>1/(2*2*0.25*4*0.08)</f>
        <v>3.125</v>
      </c>
      <c r="AB891" s="93">
        <f>AD891/AC889</f>
        <v>800</v>
      </c>
      <c r="AC891" s="93">
        <f>AC889/AA891</f>
        <v>0.24639999999999987</v>
      </c>
      <c r="AD891" s="94">
        <f t="shared" si="746"/>
        <v>615.99999999999966</v>
      </c>
      <c r="AE891" s="190"/>
      <c r="AF891" s="191"/>
      <c r="AG891" s="191"/>
      <c r="AH891" s="191"/>
      <c r="AI891" s="186"/>
      <c r="AK891" s="171"/>
    </row>
    <row r="892" spans="1:41" s="102" customFormat="1" ht="19.899999999999999" customHeight="1" x14ac:dyDescent="0.25">
      <c r="A892" s="45"/>
      <c r="B892" s="59"/>
      <c r="C892" s="137"/>
      <c r="D892" s="59"/>
      <c r="E892" s="116"/>
      <c r="F892" s="120"/>
      <c r="G892" s="120"/>
      <c r="H892" s="120"/>
      <c r="I892" s="60"/>
      <c r="J892" s="116"/>
      <c r="K892" s="213"/>
      <c r="L892" s="120"/>
      <c r="M892" s="120"/>
      <c r="N892" s="167"/>
      <c r="O892" s="120"/>
      <c r="P892" s="120"/>
      <c r="Q892" s="120"/>
      <c r="R892" s="120"/>
      <c r="S892" s="120"/>
      <c r="T892" s="221"/>
      <c r="U892" s="89"/>
      <c r="V892" s="61"/>
      <c r="W892" s="92" t="s">
        <v>1355</v>
      </c>
      <c r="X892" s="93" t="s">
        <v>32</v>
      </c>
      <c r="Y892" s="93" t="s">
        <v>66</v>
      </c>
      <c r="Z892" s="134">
        <f>VLOOKUP(W892,Sheet2!$B:$D,3,FALSE)</f>
        <v>450</v>
      </c>
      <c r="AA892" s="93">
        <f>AA890</f>
        <v>0.25</v>
      </c>
      <c r="AB892" s="93">
        <f>AD892/AC889</f>
        <v>1800</v>
      </c>
      <c r="AC892" s="93">
        <f>AC889/AA892</f>
        <v>3.0799999999999983</v>
      </c>
      <c r="AD892" s="94">
        <f>AC892*Z892</f>
        <v>1385.9999999999993</v>
      </c>
      <c r="AE892" s="190"/>
      <c r="AF892" s="191"/>
      <c r="AG892" s="191"/>
      <c r="AH892" s="191"/>
      <c r="AI892" s="186"/>
      <c r="AK892" s="171"/>
    </row>
    <row r="893" spans="1:41" s="102" customFormat="1" ht="19.899999999999999" customHeight="1" x14ac:dyDescent="0.25">
      <c r="A893" s="45"/>
      <c r="B893" s="59"/>
      <c r="C893" s="137"/>
      <c r="D893" s="59"/>
      <c r="E893" s="116"/>
      <c r="F893" s="120"/>
      <c r="G893" s="120"/>
      <c r="H893" s="120"/>
      <c r="I893" s="60"/>
      <c r="J893" s="116"/>
      <c r="K893" s="213"/>
      <c r="L893" s="120"/>
      <c r="M893" s="120"/>
      <c r="N893" s="167"/>
      <c r="O893" s="120"/>
      <c r="P893" s="120"/>
      <c r="Q893" s="120"/>
      <c r="R893" s="120"/>
      <c r="S893" s="120"/>
      <c r="T893" s="221"/>
      <c r="U893" s="89"/>
      <c r="V893" s="61"/>
      <c r="W893" s="92" t="s">
        <v>1362</v>
      </c>
      <c r="X893" s="93" t="s">
        <v>30</v>
      </c>
      <c r="Y893" s="93" t="s">
        <v>35</v>
      </c>
      <c r="Z893" s="134">
        <f>VLOOKUP(W893,Sheet2!$B:$D,3,FALSE)</f>
        <v>400</v>
      </c>
      <c r="AA893" s="93">
        <v>0.25</v>
      </c>
      <c r="AB893" s="93">
        <f>AD893/AC889</f>
        <v>1600</v>
      </c>
      <c r="AC893" s="93">
        <f>AC889/AA893</f>
        <v>3.0799999999999983</v>
      </c>
      <c r="AD893" s="94">
        <f t="shared" ref="AD893" si="747">AC893*Z893</f>
        <v>1231.9999999999993</v>
      </c>
      <c r="AE893" s="190"/>
      <c r="AF893" s="191"/>
      <c r="AG893" s="191"/>
      <c r="AH893" s="191"/>
      <c r="AI893" s="186"/>
      <c r="AK893" s="171"/>
    </row>
    <row r="894" spans="1:41" s="102" customFormat="1" ht="19.899999999999999" customHeight="1" x14ac:dyDescent="0.25">
      <c r="A894" s="45"/>
      <c r="B894" s="59"/>
      <c r="C894" s="137"/>
      <c r="D894" s="59"/>
      <c r="E894" s="116"/>
      <c r="F894" s="120"/>
      <c r="G894" s="120"/>
      <c r="H894" s="120"/>
      <c r="I894" s="60"/>
      <c r="J894" s="116"/>
      <c r="K894" s="213"/>
      <c r="L894" s="120"/>
      <c r="M894" s="120"/>
      <c r="N894" s="167"/>
      <c r="O894" s="120"/>
      <c r="P894" s="120"/>
      <c r="Q894" s="120"/>
      <c r="R894" s="120"/>
      <c r="S894" s="120"/>
      <c r="T894" s="221"/>
      <c r="U894" s="89"/>
      <c r="V894" s="61"/>
      <c r="W894" s="92" t="s">
        <v>107</v>
      </c>
      <c r="X894" s="93" t="s">
        <v>31</v>
      </c>
      <c r="Y894" s="93" t="s">
        <v>93</v>
      </c>
      <c r="Z894" s="134">
        <f>VLOOKUP(W894,Sheet2!$B:$D,3,FALSE)</f>
        <v>17</v>
      </c>
      <c r="AA894" s="93">
        <f>1/5</f>
        <v>0.2</v>
      </c>
      <c r="AB894" s="93">
        <f>AD894/AC889</f>
        <v>85</v>
      </c>
      <c r="AC894" s="93">
        <f>AC889/AA894</f>
        <v>3.8499999999999979</v>
      </c>
      <c r="AD894" s="94">
        <f>AC894*Z894</f>
        <v>65.44999999999996</v>
      </c>
      <c r="AE894" s="190"/>
      <c r="AF894" s="191"/>
      <c r="AG894" s="191"/>
      <c r="AH894" s="191"/>
      <c r="AI894" s="186"/>
      <c r="AK894" s="171"/>
    </row>
    <row r="895" spans="1:41" s="102" customFormat="1" ht="19.899999999999999" customHeight="1" x14ac:dyDescent="0.25">
      <c r="A895" s="45"/>
      <c r="B895" s="59"/>
      <c r="C895" s="137"/>
      <c r="D895" s="59"/>
      <c r="E895" s="116"/>
      <c r="F895" s="120"/>
      <c r="G895" s="120"/>
      <c r="H895" s="120"/>
      <c r="I895" s="60"/>
      <c r="J895" s="116"/>
      <c r="K895" s="213"/>
      <c r="L895" s="120"/>
      <c r="M895" s="120"/>
      <c r="N895" s="167"/>
      <c r="O895" s="120"/>
      <c r="P895" s="120"/>
      <c r="Q895" s="120"/>
      <c r="R895" s="120"/>
      <c r="S895" s="120"/>
      <c r="T895" s="221"/>
      <c r="U895" s="89"/>
      <c r="V895" s="61"/>
      <c r="W895" s="92" t="s">
        <v>112</v>
      </c>
      <c r="X895" s="93" t="s">
        <v>31</v>
      </c>
      <c r="Y895" s="93" t="s">
        <v>93</v>
      </c>
      <c r="Z895" s="134">
        <f>VLOOKUP(W895,Sheet2!$B:$D,3,FALSE)</f>
        <v>13</v>
      </c>
      <c r="AA895" s="93">
        <f>AA894</f>
        <v>0.2</v>
      </c>
      <c r="AB895" s="93">
        <f>AD895/AC889</f>
        <v>65</v>
      </c>
      <c r="AC895" s="93">
        <f>AC889/AA895</f>
        <v>3.8499999999999979</v>
      </c>
      <c r="AD895" s="94">
        <f>AC895*Z895</f>
        <v>50.049999999999969</v>
      </c>
      <c r="AE895" s="190"/>
      <c r="AF895" s="191"/>
      <c r="AG895" s="191"/>
      <c r="AH895" s="191"/>
      <c r="AI895" s="186"/>
      <c r="AK895" s="171"/>
    </row>
    <row r="896" spans="1:41" s="103" customFormat="1" ht="19.899999999999999" customHeight="1" x14ac:dyDescent="0.25">
      <c r="A896" s="51"/>
      <c r="B896" s="52"/>
      <c r="C896" s="165"/>
      <c r="D896" s="52"/>
      <c r="E896" s="115"/>
      <c r="F896" s="58"/>
      <c r="G896" s="58"/>
      <c r="H896" s="58"/>
      <c r="I896" s="55"/>
      <c r="J896" s="113">
        <f>J883</f>
        <v>0.76999999999999957</v>
      </c>
      <c r="K896" s="212">
        <f>K883</f>
        <v>0.76999999999999957</v>
      </c>
      <c r="L896" s="58"/>
      <c r="M896" s="58">
        <f>K896-L896</f>
        <v>0.76999999999999957</v>
      </c>
      <c r="N896" s="166"/>
      <c r="O896" s="58"/>
      <c r="P896" s="58"/>
      <c r="Q896" s="58"/>
      <c r="R896" s="58"/>
      <c r="S896" s="58"/>
      <c r="T896" s="220"/>
      <c r="U896" s="88"/>
      <c r="V896" s="56"/>
      <c r="W896" s="57" t="s">
        <v>1358</v>
      </c>
      <c r="X896" s="53"/>
      <c r="Y896" s="91" t="s">
        <v>35</v>
      </c>
      <c r="Z896" s="136">
        <f>AD896/AC896</f>
        <v>2240</v>
      </c>
      <c r="AA896" s="58"/>
      <c r="AB896" s="53">
        <f>AD896/AC896</f>
        <v>2240</v>
      </c>
      <c r="AC896" s="53">
        <f>M896+$AE$10</f>
        <v>0.76999999999999957</v>
      </c>
      <c r="AD896" s="54">
        <f>SUM(AD897:AD898)</f>
        <v>1724.799999999999</v>
      </c>
      <c r="AE896" s="184">
        <f>SUMIFS($AD$37:$AD$12971,$V$37:$V$12971,$V896,$X$37:$X$12971,AE$13)</f>
        <v>0</v>
      </c>
      <c r="AF896" s="185">
        <f>SUMIFS($AD$37:$AD$12971,$V$37:$V$12971,$V896,$X$37:$X$12971,AF$13)</f>
        <v>0</v>
      </c>
      <c r="AG896" s="185">
        <f>SUMIFS($AD$37:$AD$12971,$V$37:$V$12971,$V896,$X$37:$X$12971,AG$13)</f>
        <v>0</v>
      </c>
      <c r="AH896" s="187">
        <f>SUMIFS($AD$37:$AD$12971,$V$37:$V$12971,$V896,$X$37:$X$12971,AH$13)</f>
        <v>0</v>
      </c>
      <c r="AI896" s="161">
        <f t="shared" ref="AI896" si="748">SUM(AE896:AH896)</f>
        <v>0</v>
      </c>
      <c r="AK896" s="172"/>
    </row>
    <row r="897" spans="1:41" s="102" customFormat="1" ht="19.899999999999999" customHeight="1" x14ac:dyDescent="0.25">
      <c r="A897" s="45"/>
      <c r="B897" s="59"/>
      <c r="C897" s="137"/>
      <c r="D897" s="59"/>
      <c r="E897" s="116"/>
      <c r="F897" s="120"/>
      <c r="G897" s="120"/>
      <c r="H897" s="120"/>
      <c r="I897" s="60"/>
      <c r="J897" s="116"/>
      <c r="K897" s="213"/>
      <c r="L897" s="120"/>
      <c r="M897" s="120"/>
      <c r="N897" s="167"/>
      <c r="O897" s="120"/>
      <c r="P897" s="120"/>
      <c r="Q897" s="120"/>
      <c r="R897" s="120"/>
      <c r="S897" s="120"/>
      <c r="T897" s="221"/>
      <c r="U897" s="89"/>
      <c r="V897" s="61"/>
      <c r="W897" s="92" t="s">
        <v>1359</v>
      </c>
      <c r="X897" s="93" t="s">
        <v>32</v>
      </c>
      <c r="Y897" s="93" t="s">
        <v>64</v>
      </c>
      <c r="Z897" s="134">
        <f>VLOOKUP(W897,Sheet2!$B:$D,3,FALSE)</f>
        <v>40</v>
      </c>
      <c r="AA897" s="93">
        <f>1/32</f>
        <v>3.125E-2</v>
      </c>
      <c r="AB897" s="93">
        <f t="shared" ref="AB897" si="749">AD897/AC896</f>
        <v>1280</v>
      </c>
      <c r="AC897" s="93">
        <f>AC896/AA897</f>
        <v>24.639999999999986</v>
      </c>
      <c r="AD897" s="94">
        <f t="shared" ref="AD897:AD898" si="750">AC897*Z897</f>
        <v>985.59999999999945</v>
      </c>
      <c r="AE897" s="190"/>
      <c r="AF897" s="191"/>
      <c r="AG897" s="191"/>
      <c r="AH897" s="191"/>
      <c r="AI897" s="186"/>
      <c r="AK897" s="171"/>
    </row>
    <row r="898" spans="1:41" s="102" customFormat="1" ht="19.899999999999999" customHeight="1" x14ac:dyDescent="0.25">
      <c r="A898" s="45"/>
      <c r="B898" s="59"/>
      <c r="C898" s="137"/>
      <c r="D898" s="59"/>
      <c r="E898" s="116"/>
      <c r="F898" s="120"/>
      <c r="G898" s="120"/>
      <c r="H898" s="120"/>
      <c r="I898" s="60"/>
      <c r="J898" s="116"/>
      <c r="K898" s="213"/>
      <c r="L898" s="120"/>
      <c r="M898" s="120"/>
      <c r="N898" s="167"/>
      <c r="O898" s="120"/>
      <c r="P898" s="120"/>
      <c r="Q898" s="120"/>
      <c r="R898" s="120"/>
      <c r="S898" s="120"/>
      <c r="T898" s="221"/>
      <c r="U898" s="89"/>
      <c r="V898" s="61"/>
      <c r="W898" s="92" t="s">
        <v>1360</v>
      </c>
      <c r="X898" s="93" t="s">
        <v>32</v>
      </c>
      <c r="Y898" s="93" t="s">
        <v>64</v>
      </c>
      <c r="Z898" s="134">
        <f>VLOOKUP(W898,Sheet2!$B:$D,3,FALSE)</f>
        <v>30</v>
      </c>
      <c r="AA898" s="93">
        <f>AA897</f>
        <v>3.125E-2</v>
      </c>
      <c r="AB898" s="93">
        <f>AD898/AC896</f>
        <v>960</v>
      </c>
      <c r="AC898" s="93">
        <f>AC896/AA898</f>
        <v>24.639999999999986</v>
      </c>
      <c r="AD898" s="94">
        <f t="shared" si="750"/>
        <v>739.19999999999959</v>
      </c>
      <c r="AE898" s="190"/>
      <c r="AF898" s="191"/>
      <c r="AG898" s="191"/>
      <c r="AH898" s="191"/>
      <c r="AI898" s="186"/>
      <c r="AK898" s="171"/>
    </row>
    <row r="899" spans="1:41" s="103" customFormat="1" ht="19.899999999999999" customHeight="1" x14ac:dyDescent="0.25">
      <c r="A899" s="51"/>
      <c r="B899" s="52"/>
      <c r="C899" s="165"/>
      <c r="D899" s="52"/>
      <c r="E899" s="115"/>
      <c r="F899" s="58"/>
      <c r="G899" s="58"/>
      <c r="H899" s="58"/>
      <c r="I899" s="55"/>
      <c r="J899" s="113">
        <f>J883</f>
        <v>0.76999999999999957</v>
      </c>
      <c r="K899" s="212">
        <f>K883</f>
        <v>0.76999999999999957</v>
      </c>
      <c r="L899" s="58"/>
      <c r="M899" s="58">
        <f>K899-L899</f>
        <v>0.76999999999999957</v>
      </c>
      <c r="N899" s="166"/>
      <c r="O899" s="58"/>
      <c r="P899" s="58"/>
      <c r="Q899" s="58"/>
      <c r="R899" s="58"/>
      <c r="S899" s="58"/>
      <c r="T899" s="220"/>
      <c r="U899" s="88"/>
      <c r="V899" s="56"/>
      <c r="W899" s="57" t="s">
        <v>1272</v>
      </c>
      <c r="X899" s="53"/>
      <c r="Y899" s="91" t="s">
        <v>35</v>
      </c>
      <c r="Z899" s="136">
        <f>AD899/AC899</f>
        <v>173.29286274509803</v>
      </c>
      <c r="AA899" s="58"/>
      <c r="AB899" s="53">
        <f>AD899/AC899</f>
        <v>173.29286274509803</v>
      </c>
      <c r="AC899" s="53">
        <f>M899+$AE$10</f>
        <v>0.76999999999999957</v>
      </c>
      <c r="AD899" s="54">
        <f>SUM(AD900:AD908)</f>
        <v>133.4355043137254</v>
      </c>
      <c r="AE899" s="184">
        <f>SUMIFS($AD$37:$AD$12971,$V$37:$V$12971,$V899,$X$37:$X$12971,AE$13)</f>
        <v>0</v>
      </c>
      <c r="AF899" s="185">
        <f>SUMIFS($AD$37:$AD$12971,$V$37:$V$12971,$V899,$X$37:$X$12971,AF$13)</f>
        <v>0</v>
      </c>
      <c r="AG899" s="185">
        <f>SUMIFS($AD$37:$AD$12971,$V$37:$V$12971,$V899,$X$37:$X$12971,AG$13)</f>
        <v>0</v>
      </c>
      <c r="AH899" s="187">
        <f>SUMIFS($AD$37:$AD$12971,$V$37:$V$12971,$V899,$X$37:$X$12971,AH$13)</f>
        <v>0</v>
      </c>
      <c r="AI899" s="161">
        <f t="shared" ref="AI899" si="751">SUM(AE899:AH899)</f>
        <v>0</v>
      </c>
      <c r="AK899" s="172"/>
    </row>
    <row r="900" spans="1:41" s="102" customFormat="1" ht="19.899999999999999" customHeight="1" x14ac:dyDescent="0.25">
      <c r="A900" s="45"/>
      <c r="B900" s="59"/>
      <c r="C900" s="137"/>
      <c r="D900" s="59"/>
      <c r="E900" s="116"/>
      <c r="F900" s="120"/>
      <c r="G900" s="120"/>
      <c r="H900" s="120"/>
      <c r="I900" s="60"/>
      <c r="J900" s="116"/>
      <c r="K900" s="213"/>
      <c r="L900" s="120"/>
      <c r="M900" s="120"/>
      <c r="N900" s="167"/>
      <c r="O900" s="120"/>
      <c r="P900" s="120"/>
      <c r="Q900" s="120"/>
      <c r="R900" s="120"/>
      <c r="S900" s="120"/>
      <c r="T900" s="221"/>
      <c r="U900" s="89"/>
      <c r="V900" s="61"/>
      <c r="W900" s="92" t="s">
        <v>1273</v>
      </c>
      <c r="X900" s="93" t="s">
        <v>30</v>
      </c>
      <c r="Y900" s="93" t="s">
        <v>66</v>
      </c>
      <c r="Z900" s="134">
        <f>VLOOKUP(W900,Sheet2!$B:$D,3,FALSE)</f>
        <v>10</v>
      </c>
      <c r="AA900" s="93">
        <f>1/(2.5*2*0.5*4)</f>
        <v>0.1</v>
      </c>
      <c r="AB900" s="93">
        <f>AD900/AC899</f>
        <v>100</v>
      </c>
      <c r="AC900" s="93">
        <f>AC899/AA900</f>
        <v>7.6999999999999957</v>
      </c>
      <c r="AD900" s="94">
        <f t="shared" ref="AD900:AD902" si="752">AC900*Z900</f>
        <v>76.999999999999957</v>
      </c>
      <c r="AE900" s="190"/>
      <c r="AF900" s="191"/>
      <c r="AG900" s="191"/>
      <c r="AH900" s="191"/>
      <c r="AI900" s="186"/>
      <c r="AK900" s="171"/>
    </row>
    <row r="901" spans="1:41" s="102" customFormat="1" ht="19.899999999999999" customHeight="1" x14ac:dyDescent="0.25">
      <c r="A901" s="45"/>
      <c r="B901" s="59"/>
      <c r="C901" s="137"/>
      <c r="D901" s="59"/>
      <c r="E901" s="116"/>
      <c r="F901" s="120"/>
      <c r="G901" s="120"/>
      <c r="H901" s="120"/>
      <c r="I901" s="60"/>
      <c r="J901" s="116"/>
      <c r="K901" s="213"/>
      <c r="L901" s="120"/>
      <c r="M901" s="120"/>
      <c r="N901" s="167"/>
      <c r="O901" s="120"/>
      <c r="P901" s="120"/>
      <c r="Q901" s="120"/>
      <c r="R901" s="120"/>
      <c r="S901" s="120"/>
      <c r="T901" s="221"/>
      <c r="U901" s="89"/>
      <c r="V901" s="61"/>
      <c r="W901" s="92" t="s">
        <v>134</v>
      </c>
      <c r="X901" s="93" t="s">
        <v>29</v>
      </c>
      <c r="Y901" s="93" t="s">
        <v>93</v>
      </c>
      <c r="Z901" s="134">
        <f>VLOOKUP(W901,Sheet2!$B:$D,3,FALSE)</f>
        <v>65.599999999999994</v>
      </c>
      <c r="AA901" s="93">
        <f>100/(2.5*2*0.5*4)</f>
        <v>10</v>
      </c>
      <c r="AB901" s="93">
        <f t="shared" ref="AB901" si="753">AD901/AC899</f>
        <v>6.56</v>
      </c>
      <c r="AC901" s="93">
        <f>AC899/AA901</f>
        <v>7.6999999999999957E-2</v>
      </c>
      <c r="AD901" s="94">
        <f t="shared" si="752"/>
        <v>5.051199999999997</v>
      </c>
      <c r="AE901" s="190"/>
      <c r="AF901" s="191"/>
      <c r="AG901" s="191"/>
      <c r="AH901" s="191"/>
      <c r="AI901" s="186"/>
      <c r="AK901" s="171"/>
    </row>
    <row r="902" spans="1:41" s="102" customFormat="1" ht="19.899999999999999" customHeight="1" x14ac:dyDescent="0.25">
      <c r="A902" s="45"/>
      <c r="B902" s="59"/>
      <c r="C902" s="137"/>
      <c r="D902" s="59"/>
      <c r="E902" s="116"/>
      <c r="F902" s="120"/>
      <c r="G902" s="120"/>
      <c r="H902" s="120"/>
      <c r="I902" s="60"/>
      <c r="J902" s="116"/>
      <c r="K902" s="213"/>
      <c r="L902" s="120"/>
      <c r="M902" s="120"/>
      <c r="N902" s="167"/>
      <c r="O902" s="120"/>
      <c r="P902" s="120"/>
      <c r="Q902" s="120"/>
      <c r="R902" s="120"/>
      <c r="S902" s="120"/>
      <c r="T902" s="221"/>
      <c r="U902" s="89"/>
      <c r="V902" s="61"/>
      <c r="W902" s="92" t="s">
        <v>65</v>
      </c>
      <c r="X902" s="93" t="s">
        <v>30</v>
      </c>
      <c r="Y902" s="93" t="s">
        <v>1011</v>
      </c>
      <c r="Z902" s="134">
        <f>VLOOKUP(W902,Sheet2!$B:$D,3,FALSE)</f>
        <v>1.76</v>
      </c>
      <c r="AA902" s="93">
        <f>AA901/9</f>
        <v>1.1111111111111112</v>
      </c>
      <c r="AB902" s="93">
        <f>AD902/AC899</f>
        <v>1.5840000000000001</v>
      </c>
      <c r="AC902" s="93">
        <f>AC899/AA902</f>
        <v>0.69299999999999962</v>
      </c>
      <c r="AD902" s="94">
        <f t="shared" si="752"/>
        <v>1.2196799999999994</v>
      </c>
      <c r="AE902" s="190"/>
      <c r="AF902" s="191"/>
      <c r="AG902" s="191"/>
      <c r="AH902" s="191"/>
      <c r="AI902" s="186"/>
      <c r="AK902" s="171"/>
    </row>
    <row r="903" spans="1:41" s="102" customFormat="1" ht="19.899999999999999" customHeight="1" x14ac:dyDescent="0.25">
      <c r="A903" s="45"/>
      <c r="B903" s="59"/>
      <c r="C903" s="137"/>
      <c r="D903" s="59"/>
      <c r="E903" s="116"/>
      <c r="F903" s="120"/>
      <c r="G903" s="120"/>
      <c r="H903" s="120"/>
      <c r="I903" s="60"/>
      <c r="J903" s="116"/>
      <c r="K903" s="213"/>
      <c r="L903" s="120"/>
      <c r="M903" s="120"/>
      <c r="N903" s="167"/>
      <c r="O903" s="120"/>
      <c r="P903" s="120"/>
      <c r="Q903" s="120"/>
      <c r="R903" s="120"/>
      <c r="S903" s="120"/>
      <c r="T903" s="221"/>
      <c r="U903" s="89"/>
      <c r="V903" s="61"/>
      <c r="W903" s="92" t="s">
        <v>161</v>
      </c>
      <c r="X903" s="93" t="s">
        <v>29</v>
      </c>
      <c r="Y903" s="93" t="s">
        <v>93</v>
      </c>
      <c r="Z903" s="134">
        <f>VLOOKUP(W903,Sheet2!$B:$D,3,FALSE)</f>
        <v>48</v>
      </c>
      <c r="AA903" s="93">
        <f>(16*0.85*1.5)/(2.5*2*0.5*4)</f>
        <v>2.04</v>
      </c>
      <c r="AB903" s="93">
        <f>AD903/AC899</f>
        <v>23.52941176470588</v>
      </c>
      <c r="AC903" s="93">
        <f>AC899/AA903</f>
        <v>0.37745098039215663</v>
      </c>
      <c r="AD903" s="94">
        <f>AC903*Z903</f>
        <v>18.117647058823518</v>
      </c>
      <c r="AE903" s="190"/>
      <c r="AF903" s="191"/>
      <c r="AG903" s="191"/>
      <c r="AH903" s="191"/>
      <c r="AI903" s="186"/>
      <c r="AK903" s="171"/>
    </row>
    <row r="904" spans="1:41" s="102" customFormat="1" ht="19.899999999999999" customHeight="1" x14ac:dyDescent="0.25">
      <c r="A904" s="45"/>
      <c r="B904" s="59"/>
      <c r="C904" s="137"/>
      <c r="D904" s="59"/>
      <c r="E904" s="116"/>
      <c r="F904" s="120"/>
      <c r="G904" s="120"/>
      <c r="H904" s="120"/>
      <c r="I904" s="60"/>
      <c r="J904" s="116"/>
      <c r="K904" s="213"/>
      <c r="L904" s="120"/>
      <c r="M904" s="120"/>
      <c r="N904" s="167"/>
      <c r="O904" s="120"/>
      <c r="P904" s="120"/>
      <c r="Q904" s="120"/>
      <c r="R904" s="120"/>
      <c r="S904" s="120"/>
      <c r="T904" s="221"/>
      <c r="U904" s="89"/>
      <c r="V904" s="61"/>
      <c r="W904" s="92" t="s">
        <v>65</v>
      </c>
      <c r="X904" s="93" t="s">
        <v>30</v>
      </c>
      <c r="Y904" s="93" t="s">
        <v>1011</v>
      </c>
      <c r="Z904" s="134">
        <f>VLOOKUP(W904,Sheet2!$B:$D,3,FALSE)</f>
        <v>1.76</v>
      </c>
      <c r="AA904" s="93">
        <f>AA903/10</f>
        <v>0.20400000000000001</v>
      </c>
      <c r="AB904" s="93">
        <f>AD904/AC899</f>
        <v>8.6274509803921564</v>
      </c>
      <c r="AC904" s="93">
        <f>AC899/AA904</f>
        <v>3.7745098039215663</v>
      </c>
      <c r="AD904" s="94">
        <f>AC904*Z904</f>
        <v>6.6431372549019567</v>
      </c>
      <c r="AE904" s="190"/>
      <c r="AF904" s="191"/>
      <c r="AG904" s="191"/>
      <c r="AH904" s="191"/>
      <c r="AI904" s="186"/>
      <c r="AK904" s="171"/>
    </row>
    <row r="905" spans="1:41" s="102" customFormat="1" ht="19.899999999999999" customHeight="1" x14ac:dyDescent="0.25">
      <c r="A905" s="45"/>
      <c r="B905" s="59"/>
      <c r="C905" s="137"/>
      <c r="D905" s="59"/>
      <c r="E905" s="116"/>
      <c r="F905" s="120"/>
      <c r="G905" s="120"/>
      <c r="H905" s="120"/>
      <c r="I905" s="60"/>
      <c r="J905" s="116"/>
      <c r="K905" s="213"/>
      <c r="L905" s="120"/>
      <c r="M905" s="120"/>
      <c r="N905" s="167"/>
      <c r="O905" s="120"/>
      <c r="P905" s="120"/>
      <c r="Q905" s="120"/>
      <c r="R905" s="120"/>
      <c r="S905" s="120"/>
      <c r="T905" s="221"/>
      <c r="U905" s="89"/>
      <c r="V905" s="61"/>
      <c r="W905" s="92" t="s">
        <v>173</v>
      </c>
      <c r="X905" s="93" t="s">
        <v>29</v>
      </c>
      <c r="Y905" s="93" t="s">
        <v>93</v>
      </c>
      <c r="Z905" s="134">
        <f>VLOOKUP(W905,Sheet2!$B:$D,3,FALSE)</f>
        <v>36</v>
      </c>
      <c r="AA905" s="93">
        <f>50/(2.5*2*0.5*4)</f>
        <v>5</v>
      </c>
      <c r="AB905" s="93">
        <f>AD905/AC899</f>
        <v>7.2</v>
      </c>
      <c r="AC905" s="93">
        <f>AC899/AA905</f>
        <v>0.15399999999999991</v>
      </c>
      <c r="AD905" s="94">
        <f>AC905*Z905</f>
        <v>5.5439999999999969</v>
      </c>
      <c r="AE905" s="190"/>
      <c r="AF905" s="191"/>
      <c r="AG905" s="191"/>
      <c r="AH905" s="191"/>
      <c r="AI905" s="186"/>
      <c r="AK905" s="171"/>
    </row>
    <row r="906" spans="1:41" s="102" customFormat="1" ht="19.899999999999999" customHeight="1" x14ac:dyDescent="0.25">
      <c r="A906" s="45"/>
      <c r="B906" s="59"/>
      <c r="C906" s="137"/>
      <c r="D906" s="59"/>
      <c r="E906" s="116"/>
      <c r="F906" s="120"/>
      <c r="G906" s="120"/>
      <c r="H906" s="120"/>
      <c r="I906" s="60"/>
      <c r="J906" s="116"/>
      <c r="K906" s="213"/>
      <c r="L906" s="120"/>
      <c r="M906" s="120"/>
      <c r="N906" s="167"/>
      <c r="O906" s="120"/>
      <c r="P906" s="120"/>
      <c r="Q906" s="120"/>
      <c r="R906" s="120"/>
      <c r="S906" s="120"/>
      <c r="T906" s="221"/>
      <c r="U906" s="89"/>
      <c r="V906" s="61"/>
      <c r="W906" s="92" t="s">
        <v>65</v>
      </c>
      <c r="X906" s="93" t="s">
        <v>30</v>
      </c>
      <c r="Y906" s="93" t="s">
        <v>1011</v>
      </c>
      <c r="Z906" s="134">
        <f>VLOOKUP(W906,Sheet2!$B:$D,3,FALSE)</f>
        <v>1.76</v>
      </c>
      <c r="AA906" s="93">
        <f>AA905/9</f>
        <v>0.55555555555555558</v>
      </c>
      <c r="AB906" s="93">
        <f>AD906/AC899</f>
        <v>3.1680000000000001</v>
      </c>
      <c r="AC906" s="93">
        <f>AC899/AA906</f>
        <v>1.3859999999999992</v>
      </c>
      <c r="AD906" s="94">
        <f>AC906*Z906</f>
        <v>2.4393599999999989</v>
      </c>
      <c r="AE906" s="190"/>
      <c r="AF906" s="191"/>
      <c r="AG906" s="191"/>
      <c r="AH906" s="191"/>
      <c r="AI906" s="186"/>
      <c r="AK906" s="171"/>
    </row>
    <row r="907" spans="1:41" s="102" customFormat="1" ht="19.899999999999999" customHeight="1" x14ac:dyDescent="0.25">
      <c r="A907" s="45"/>
      <c r="B907" s="59"/>
      <c r="C907" s="137"/>
      <c r="D907" s="59"/>
      <c r="E907" s="116"/>
      <c r="F907" s="120"/>
      <c r="G907" s="120"/>
      <c r="H907" s="120"/>
      <c r="I907" s="60"/>
      <c r="J907" s="116"/>
      <c r="K907" s="213"/>
      <c r="L907" s="120"/>
      <c r="M907" s="120"/>
      <c r="N907" s="167"/>
      <c r="O907" s="120"/>
      <c r="P907" s="120"/>
      <c r="Q907" s="120"/>
      <c r="R907" s="120"/>
      <c r="S907" s="120"/>
      <c r="T907" s="221"/>
      <c r="U907" s="89"/>
      <c r="V907" s="61"/>
      <c r="W907" s="92" t="s">
        <v>1030</v>
      </c>
      <c r="X907" s="93" t="s">
        <v>29</v>
      </c>
      <c r="Y907" s="93" t="s">
        <v>93</v>
      </c>
      <c r="Z907" s="134">
        <f>VLOOKUP(W907,Sheet2!$B:$D,3,FALSE)</f>
        <v>23</v>
      </c>
      <c r="AA907" s="93">
        <f>1*1.25</f>
        <v>1.25</v>
      </c>
      <c r="AB907" s="93">
        <f>AD907/AC899</f>
        <v>18.399999999999999</v>
      </c>
      <c r="AC907" s="93">
        <f>AC899/AA907</f>
        <v>0.61599999999999966</v>
      </c>
      <c r="AD907" s="94">
        <f t="shared" ref="AD907:AD908" si="754">AC907*Z907</f>
        <v>14.167999999999992</v>
      </c>
      <c r="AE907" s="190"/>
      <c r="AF907" s="191"/>
      <c r="AG907" s="191"/>
      <c r="AH907" s="191"/>
      <c r="AI907" s="186"/>
      <c r="AK907" s="171"/>
    </row>
    <row r="908" spans="1:41" s="102" customFormat="1" ht="19.899999999999999" customHeight="1" x14ac:dyDescent="0.25">
      <c r="A908" s="45"/>
      <c r="B908" s="59"/>
      <c r="C908" s="137"/>
      <c r="D908" s="59"/>
      <c r="E908" s="116"/>
      <c r="F908" s="120"/>
      <c r="G908" s="120"/>
      <c r="H908" s="120"/>
      <c r="I908" s="60"/>
      <c r="J908" s="116"/>
      <c r="K908" s="213"/>
      <c r="L908" s="120"/>
      <c r="M908" s="120"/>
      <c r="N908" s="167"/>
      <c r="O908" s="120"/>
      <c r="P908" s="120"/>
      <c r="Q908" s="120"/>
      <c r="R908" s="120"/>
      <c r="S908" s="120"/>
      <c r="T908" s="221"/>
      <c r="U908" s="89"/>
      <c r="V908" s="61"/>
      <c r="W908" s="92" t="s">
        <v>65</v>
      </c>
      <c r="X908" s="93" t="s">
        <v>30</v>
      </c>
      <c r="Y908" s="93" t="s">
        <v>1011</v>
      </c>
      <c r="Z908" s="134">
        <f>VLOOKUP(W908,Sheet2!$B:$D,3,FALSE)</f>
        <v>1.76</v>
      </c>
      <c r="AA908" s="93">
        <f>AA907/3</f>
        <v>0.41666666666666669</v>
      </c>
      <c r="AB908" s="93">
        <f>AD908/AC899</f>
        <v>4.2240000000000002</v>
      </c>
      <c r="AC908" s="93">
        <f>AC899/AA908</f>
        <v>1.847999999999999</v>
      </c>
      <c r="AD908" s="94">
        <f t="shared" si="754"/>
        <v>3.252479999999998</v>
      </c>
      <c r="AE908" s="190"/>
      <c r="AF908" s="191"/>
      <c r="AG908" s="191"/>
      <c r="AH908" s="191"/>
      <c r="AI908" s="186"/>
      <c r="AK908" s="171"/>
    </row>
    <row r="909" spans="1:41" ht="20.100000000000001" customHeight="1" x14ac:dyDescent="0.25">
      <c r="A909" s="277" t="s">
        <v>216</v>
      </c>
      <c r="B909" s="278"/>
      <c r="C909" s="64" t="s">
        <v>336</v>
      </c>
      <c r="D909" s="46" t="s">
        <v>328</v>
      </c>
      <c r="E909" s="114">
        <v>0.92999999999999972</v>
      </c>
      <c r="F909" s="44">
        <v>19119</v>
      </c>
      <c r="G909" s="44">
        <f t="shared" si="607"/>
        <v>17780.669999999995</v>
      </c>
      <c r="H909" s="44">
        <f t="shared" si="608"/>
        <v>10257.113019607841</v>
      </c>
      <c r="I909" s="43">
        <f t="shared" si="609"/>
        <v>9539.1151082352899</v>
      </c>
      <c r="J909" s="112">
        <f t="shared" si="610"/>
        <v>0.92999999999999972</v>
      </c>
      <c r="K909" s="211">
        <f t="shared" si="611"/>
        <v>0.92999999999999972</v>
      </c>
      <c r="L909" s="44"/>
      <c r="M909" s="44">
        <f t="shared" si="612"/>
        <v>0.92999999999999972</v>
      </c>
      <c r="N909" s="173">
        <f t="shared" si="613"/>
        <v>1</v>
      </c>
      <c r="O909" s="44">
        <f t="shared" si="614"/>
        <v>19119</v>
      </c>
      <c r="P909" s="44">
        <f t="shared" si="615"/>
        <v>17780.669999999995</v>
      </c>
      <c r="Q909" s="44">
        <f t="shared" si="616"/>
        <v>10257.113019607841</v>
      </c>
      <c r="R909" s="44">
        <f t="shared" si="617"/>
        <v>9539.1151082352899</v>
      </c>
      <c r="S909" s="123"/>
      <c r="T909" s="219">
        <f t="shared" si="618"/>
        <v>9539.1151082352899</v>
      </c>
      <c r="U909" s="87"/>
      <c r="V909" s="47"/>
      <c r="W909" s="48"/>
      <c r="X909" s="48"/>
      <c r="Y909" s="48"/>
      <c r="Z909" s="135"/>
      <c r="AA909" s="49"/>
      <c r="AB909" s="50">
        <f t="shared" si="619"/>
        <v>10257.113019607841</v>
      </c>
      <c r="AC909" s="42">
        <f t="shared" si="620"/>
        <v>0.92999999999999972</v>
      </c>
      <c r="AD909" s="90">
        <f>AD910+AD915+AD922+AD925</f>
        <v>9539.1151082352899</v>
      </c>
      <c r="AE909" s="188">
        <f t="shared" ref="AE909" si="755">AE910+AE915+AE922+AE925</f>
        <v>0</v>
      </c>
      <c r="AF909" s="189">
        <f t="shared" ref="AF909" si="756">AF910+AF915+AF922+AF925</f>
        <v>0</v>
      </c>
      <c r="AG909" s="189">
        <f t="shared" ref="AG909" si="757">AG910+AG915+AG922+AG925</f>
        <v>0</v>
      </c>
      <c r="AH909" s="189">
        <f t="shared" ref="AH909" si="758">AH910+AH915+AH922+AH925</f>
        <v>0</v>
      </c>
      <c r="AI909" s="161">
        <f t="shared" ref="AI909" si="759">SUM(AE909:AH909)</f>
        <v>0</v>
      </c>
      <c r="AK909" s="169">
        <v>5</v>
      </c>
      <c r="AO909" s="19" t="s">
        <v>63</v>
      </c>
    </row>
    <row r="910" spans="1:41" s="103" customFormat="1" ht="19.899999999999999" customHeight="1" x14ac:dyDescent="0.25">
      <c r="A910" s="51"/>
      <c r="B910" s="52"/>
      <c r="C910" s="165"/>
      <c r="D910" s="52"/>
      <c r="E910" s="115"/>
      <c r="F910" s="58"/>
      <c r="G910" s="58"/>
      <c r="H910" s="58"/>
      <c r="I910" s="55"/>
      <c r="J910" s="113">
        <f>J909</f>
        <v>0.92999999999999972</v>
      </c>
      <c r="K910" s="212">
        <f>K909</f>
        <v>0.92999999999999972</v>
      </c>
      <c r="L910" s="58"/>
      <c r="M910" s="58">
        <f>K910-L910</f>
        <v>0.92999999999999972</v>
      </c>
      <c r="N910" s="166"/>
      <c r="O910" s="58"/>
      <c r="P910" s="58"/>
      <c r="Q910" s="58"/>
      <c r="R910" s="58"/>
      <c r="S910" s="58"/>
      <c r="T910" s="220"/>
      <c r="U910" s="88"/>
      <c r="V910" s="56"/>
      <c r="W910" s="57" t="s">
        <v>1351</v>
      </c>
      <c r="X910" s="53"/>
      <c r="Y910" s="91" t="s">
        <v>35</v>
      </c>
      <c r="Z910" s="136">
        <f>AD910/AC910</f>
        <v>90.496941176470585</v>
      </c>
      <c r="AA910" s="58"/>
      <c r="AB910" s="53">
        <f>AD910/AC910</f>
        <v>90.496941176470585</v>
      </c>
      <c r="AC910" s="53">
        <f>M910+$AE$10</f>
        <v>0.92999999999999972</v>
      </c>
      <c r="AD910" s="54">
        <f>SUM(AD911:AD914)</f>
        <v>84.162155294117625</v>
      </c>
      <c r="AE910" s="184">
        <f>SUMIFS($AD$37:$AD$12971,$V$37:$V$12971,$V910,$X$37:$X$12971,AE$13)</f>
        <v>0</v>
      </c>
      <c r="AF910" s="185">
        <f>SUMIFS($AD$37:$AD$12971,$V$37:$V$12971,$V910,$X$37:$X$12971,AF$13)</f>
        <v>0</v>
      </c>
      <c r="AG910" s="185">
        <f>SUMIFS($AD$37:$AD$12971,$V$37:$V$12971,$V910,$X$37:$X$12971,AG$13)</f>
        <v>0</v>
      </c>
      <c r="AH910" s="187">
        <f>SUMIFS($AD$37:$AD$12971,$V$37:$V$12971,$V910,$X$37:$X$12971,AH$13)</f>
        <v>0</v>
      </c>
      <c r="AI910" s="161">
        <f t="shared" ref="AI910" si="760">SUM(AE910:AH910)</f>
        <v>0</v>
      </c>
      <c r="AK910" s="172"/>
    </row>
    <row r="911" spans="1:41" s="102" customFormat="1" ht="19.899999999999999" customHeight="1" x14ac:dyDescent="0.25">
      <c r="A911" s="45"/>
      <c r="B911" s="59"/>
      <c r="C911" s="137"/>
      <c r="D911" s="59"/>
      <c r="E911" s="116"/>
      <c r="F911" s="120"/>
      <c r="G911" s="120"/>
      <c r="H911" s="120"/>
      <c r="I911" s="60"/>
      <c r="J911" s="116"/>
      <c r="K911" s="213"/>
      <c r="L911" s="120"/>
      <c r="M911" s="120"/>
      <c r="N911" s="167"/>
      <c r="O911" s="120"/>
      <c r="P911" s="120"/>
      <c r="Q911" s="120"/>
      <c r="R911" s="120"/>
      <c r="S911" s="120"/>
      <c r="T911" s="221"/>
      <c r="U911" s="89"/>
      <c r="V911" s="61"/>
      <c r="W911" s="92" t="s">
        <v>129</v>
      </c>
      <c r="X911" s="93" t="s">
        <v>29</v>
      </c>
      <c r="Y911" s="93" t="s">
        <v>93</v>
      </c>
      <c r="Z911" s="134">
        <f>VLOOKUP(W911,Sheet2!$B:$D,3,FALSE)</f>
        <v>56</v>
      </c>
      <c r="AA911" s="93">
        <f>100/(3*3*2.5)</f>
        <v>4.4444444444444446</v>
      </c>
      <c r="AB911" s="93">
        <f t="shared" ref="AB911" si="761">AD911/AC910</f>
        <v>12.6</v>
      </c>
      <c r="AC911" s="93">
        <f>AC910/AA911</f>
        <v>0.20924999999999994</v>
      </c>
      <c r="AD911" s="94">
        <f t="shared" ref="AD911:AD912" si="762">AC911*Z911</f>
        <v>11.717999999999996</v>
      </c>
      <c r="AE911" s="190"/>
      <c r="AF911" s="191"/>
      <c r="AG911" s="191"/>
      <c r="AH911" s="191"/>
      <c r="AI911" s="186"/>
      <c r="AK911" s="171"/>
    </row>
    <row r="912" spans="1:41" s="102" customFormat="1" ht="19.899999999999999" customHeight="1" x14ac:dyDescent="0.25">
      <c r="A912" s="45"/>
      <c r="B912" s="59"/>
      <c r="C912" s="137"/>
      <c r="D912" s="59"/>
      <c r="E912" s="116"/>
      <c r="F912" s="120"/>
      <c r="G912" s="120"/>
      <c r="H912" s="120"/>
      <c r="I912" s="60"/>
      <c r="J912" s="116"/>
      <c r="K912" s="213"/>
      <c r="L912" s="120"/>
      <c r="M912" s="120"/>
      <c r="N912" s="167"/>
      <c r="O912" s="120"/>
      <c r="P912" s="120"/>
      <c r="Q912" s="120"/>
      <c r="R912" s="120"/>
      <c r="S912" s="120"/>
      <c r="T912" s="221"/>
      <c r="U912" s="89"/>
      <c r="V912" s="61"/>
      <c r="W912" s="92" t="s">
        <v>65</v>
      </c>
      <c r="X912" s="93" t="s">
        <v>30</v>
      </c>
      <c r="Y912" s="93" t="s">
        <v>1011</v>
      </c>
      <c r="Z912" s="134">
        <f>VLOOKUP(W912,Sheet2!$B:$D,3,FALSE)</f>
        <v>1.76</v>
      </c>
      <c r="AA912" s="93">
        <f>AA911/14</f>
        <v>0.3174603174603175</v>
      </c>
      <c r="AB912" s="93">
        <f>AD912/AC910</f>
        <v>5.5439999999999987</v>
      </c>
      <c r="AC912" s="93">
        <f>AC910/AA912</f>
        <v>2.9294999999999987</v>
      </c>
      <c r="AD912" s="94">
        <f t="shared" si="762"/>
        <v>5.1559199999999974</v>
      </c>
      <c r="AE912" s="190"/>
      <c r="AF912" s="191"/>
      <c r="AG912" s="191"/>
      <c r="AH912" s="191"/>
      <c r="AI912" s="186"/>
      <c r="AK912" s="171"/>
    </row>
    <row r="913" spans="1:37" s="102" customFormat="1" ht="19.899999999999999" customHeight="1" x14ac:dyDescent="0.25">
      <c r="A913" s="45"/>
      <c r="B913" s="59"/>
      <c r="C913" s="137"/>
      <c r="D913" s="59"/>
      <c r="E913" s="116"/>
      <c r="F913" s="120"/>
      <c r="G913" s="120"/>
      <c r="H913" s="120"/>
      <c r="I913" s="60"/>
      <c r="J913" s="116"/>
      <c r="K913" s="213"/>
      <c r="L913" s="120"/>
      <c r="M913" s="120"/>
      <c r="N913" s="167"/>
      <c r="O913" s="120"/>
      <c r="P913" s="120"/>
      <c r="Q913" s="120"/>
      <c r="R913" s="120"/>
      <c r="S913" s="120"/>
      <c r="T913" s="221"/>
      <c r="U913" s="89"/>
      <c r="V913" s="61"/>
      <c r="W913" s="92" t="s">
        <v>161</v>
      </c>
      <c r="X913" s="93" t="s">
        <v>29</v>
      </c>
      <c r="Y913" s="93" t="s">
        <v>93</v>
      </c>
      <c r="Z913" s="134">
        <f>VLOOKUP(W913,Sheet2!$B:$D,3,FALSE)</f>
        <v>48</v>
      </c>
      <c r="AA913" s="93">
        <f>(16*0.85*1.5)/(3*3*2.5)</f>
        <v>0.90666666666666662</v>
      </c>
      <c r="AB913" s="93">
        <f>AD913/AC910</f>
        <v>52.941176470588232</v>
      </c>
      <c r="AC913" s="93">
        <f>AC910/AA913</f>
        <v>1.0257352941176467</v>
      </c>
      <c r="AD913" s="94">
        <f>AC913*Z913</f>
        <v>49.235294117647044</v>
      </c>
      <c r="AE913" s="190"/>
      <c r="AF913" s="191"/>
      <c r="AG913" s="191"/>
      <c r="AH913" s="191"/>
      <c r="AI913" s="186"/>
      <c r="AK913" s="171"/>
    </row>
    <row r="914" spans="1:37" s="102" customFormat="1" ht="19.899999999999999" customHeight="1" x14ac:dyDescent="0.25">
      <c r="A914" s="45"/>
      <c r="B914" s="59"/>
      <c r="C914" s="137"/>
      <c r="D914" s="59"/>
      <c r="E914" s="116"/>
      <c r="F914" s="120"/>
      <c r="G914" s="120"/>
      <c r="H914" s="120"/>
      <c r="I914" s="60"/>
      <c r="J914" s="116"/>
      <c r="K914" s="213"/>
      <c r="L914" s="120"/>
      <c r="M914" s="120"/>
      <c r="N914" s="167"/>
      <c r="O914" s="120"/>
      <c r="P914" s="120"/>
      <c r="Q914" s="120"/>
      <c r="R914" s="120"/>
      <c r="S914" s="120"/>
      <c r="T914" s="221"/>
      <c r="U914" s="89"/>
      <c r="V914" s="61"/>
      <c r="W914" s="92" t="s">
        <v>65</v>
      </c>
      <c r="X914" s="93" t="s">
        <v>30</v>
      </c>
      <c r="Y914" s="93" t="s">
        <v>1011</v>
      </c>
      <c r="Z914" s="134">
        <f>VLOOKUP(W914,Sheet2!$B:$D,3,FALSE)</f>
        <v>1.76</v>
      </c>
      <c r="AA914" s="93">
        <f>AA913/10</f>
        <v>9.0666666666666659E-2</v>
      </c>
      <c r="AB914" s="93">
        <f>AD914/AC910</f>
        <v>19.411764705882351</v>
      </c>
      <c r="AC914" s="93">
        <f>AC910/AA914</f>
        <v>10.257352941176467</v>
      </c>
      <c r="AD914" s="94">
        <f>AC914*Z914</f>
        <v>18.052941176470583</v>
      </c>
      <c r="AE914" s="190"/>
      <c r="AF914" s="191"/>
      <c r="AG914" s="191"/>
      <c r="AH914" s="191"/>
      <c r="AI914" s="186"/>
      <c r="AK914" s="171"/>
    </row>
    <row r="915" spans="1:37" s="103" customFormat="1" ht="19.899999999999999" customHeight="1" x14ac:dyDescent="0.25">
      <c r="A915" s="51"/>
      <c r="B915" s="52"/>
      <c r="C915" s="165"/>
      <c r="D915" s="52"/>
      <c r="E915" s="115"/>
      <c r="F915" s="58"/>
      <c r="G915" s="58"/>
      <c r="H915" s="58"/>
      <c r="I915" s="55"/>
      <c r="J915" s="113">
        <f>J909</f>
        <v>0.92999999999999972</v>
      </c>
      <c r="K915" s="212">
        <f>K909</f>
        <v>0.92999999999999972</v>
      </c>
      <c r="L915" s="58"/>
      <c r="M915" s="58">
        <f>K915-L915</f>
        <v>0.92999999999999972</v>
      </c>
      <c r="N915" s="166"/>
      <c r="O915" s="58"/>
      <c r="P915" s="58"/>
      <c r="Q915" s="58"/>
      <c r="R915" s="58"/>
      <c r="S915" s="58"/>
      <c r="T915" s="220"/>
      <c r="U915" s="88"/>
      <c r="V915" s="56"/>
      <c r="W915" s="57" t="s">
        <v>1352</v>
      </c>
      <c r="X915" s="53"/>
      <c r="Y915" s="91" t="s">
        <v>35</v>
      </c>
      <c r="Z915" s="136">
        <f>AD915/AC915</f>
        <v>7150</v>
      </c>
      <c r="AA915" s="58"/>
      <c r="AB915" s="53">
        <f>AD915/AC915</f>
        <v>7150</v>
      </c>
      <c r="AC915" s="53">
        <f>M915+$AE$10</f>
        <v>0.92999999999999972</v>
      </c>
      <c r="AD915" s="54">
        <f>SUM(AD916:AD921)</f>
        <v>6649.4999999999982</v>
      </c>
      <c r="AE915" s="184">
        <f>SUMIFS($AD$37:$AD$12971,$V$37:$V$12971,$V915,$X$37:$X$12971,AE$13)</f>
        <v>0</v>
      </c>
      <c r="AF915" s="185">
        <f>SUMIFS($AD$37:$AD$12971,$V$37:$V$12971,$V915,$X$37:$X$12971,AF$13)</f>
        <v>0</v>
      </c>
      <c r="AG915" s="185">
        <f>SUMIFS($AD$37:$AD$12971,$V$37:$V$12971,$V915,$X$37:$X$12971,AG$13)</f>
        <v>0</v>
      </c>
      <c r="AH915" s="187">
        <f>SUMIFS($AD$37:$AD$12971,$V$37:$V$12971,$V915,$X$37:$X$12971,AH$13)</f>
        <v>0</v>
      </c>
      <c r="AI915" s="161">
        <f t="shared" ref="AI915" si="763">SUM(AE915:AH915)</f>
        <v>0</v>
      </c>
      <c r="AK915" s="172"/>
    </row>
    <row r="916" spans="1:37" s="102" customFormat="1" ht="19.899999999999999" customHeight="1" x14ac:dyDescent="0.25">
      <c r="A916" s="45"/>
      <c r="B916" s="59"/>
      <c r="C916" s="137"/>
      <c r="D916" s="59"/>
      <c r="E916" s="116"/>
      <c r="F916" s="120"/>
      <c r="G916" s="120"/>
      <c r="H916" s="120"/>
      <c r="I916" s="60"/>
      <c r="J916" s="116"/>
      <c r="K916" s="213"/>
      <c r="L916" s="120"/>
      <c r="M916" s="120"/>
      <c r="N916" s="167"/>
      <c r="O916" s="120"/>
      <c r="P916" s="120"/>
      <c r="Q916" s="120"/>
      <c r="R916" s="120"/>
      <c r="S916" s="120"/>
      <c r="T916" s="221"/>
      <c r="U916" s="89"/>
      <c r="V916" s="61"/>
      <c r="W916" s="92" t="s">
        <v>1353</v>
      </c>
      <c r="X916" s="93" t="s">
        <v>30</v>
      </c>
      <c r="Y916" s="93" t="s">
        <v>66</v>
      </c>
      <c r="Z916" s="134">
        <f>VLOOKUP(W916,Sheet2!$B:$D,3,FALSE)</f>
        <v>350</v>
      </c>
      <c r="AA916" s="93">
        <f>1/(2*2.5*0.25*4)</f>
        <v>0.2</v>
      </c>
      <c r="AB916" s="93">
        <f>AD916/AC915</f>
        <v>1750</v>
      </c>
      <c r="AC916" s="93">
        <f>AC915/AA916</f>
        <v>4.6499999999999986</v>
      </c>
      <c r="AD916" s="94">
        <f t="shared" ref="AD916:AD917" si="764">AC916*Z916</f>
        <v>1627.4999999999995</v>
      </c>
      <c r="AE916" s="190"/>
      <c r="AF916" s="191"/>
      <c r="AG916" s="191"/>
      <c r="AH916" s="191"/>
      <c r="AI916" s="186"/>
      <c r="AK916" s="171"/>
    </row>
    <row r="917" spans="1:37" s="102" customFormat="1" ht="19.899999999999999" customHeight="1" x14ac:dyDescent="0.25">
      <c r="A917" s="45"/>
      <c r="B917" s="59"/>
      <c r="C917" s="137"/>
      <c r="D917" s="59"/>
      <c r="E917" s="116"/>
      <c r="F917" s="120"/>
      <c r="G917" s="120"/>
      <c r="H917" s="120"/>
      <c r="I917" s="60"/>
      <c r="J917" s="116"/>
      <c r="K917" s="213"/>
      <c r="L917" s="120"/>
      <c r="M917" s="120"/>
      <c r="N917" s="167"/>
      <c r="O917" s="120"/>
      <c r="P917" s="120"/>
      <c r="Q917" s="120"/>
      <c r="R917" s="120"/>
      <c r="S917" s="120"/>
      <c r="T917" s="221"/>
      <c r="U917" s="89"/>
      <c r="V917" s="61"/>
      <c r="W917" s="92" t="s">
        <v>99</v>
      </c>
      <c r="X917" s="93" t="s">
        <v>30</v>
      </c>
      <c r="Y917" s="93" t="s">
        <v>67</v>
      </c>
      <c r="Z917" s="134">
        <f>VLOOKUP(W917,Sheet2!$B:$D,3,FALSE)</f>
        <v>2500</v>
      </c>
      <c r="AA917" s="93">
        <f>1/(2*2.5*0.25*4*0.08)</f>
        <v>2.5</v>
      </c>
      <c r="AB917" s="93">
        <f>AD917/AC915</f>
        <v>1000.0000000000001</v>
      </c>
      <c r="AC917" s="93">
        <f>AC915/AA917</f>
        <v>0.37199999999999989</v>
      </c>
      <c r="AD917" s="94">
        <f t="shared" si="764"/>
        <v>929.99999999999977</v>
      </c>
      <c r="AE917" s="190"/>
      <c r="AF917" s="191"/>
      <c r="AG917" s="191"/>
      <c r="AH917" s="191"/>
      <c r="AI917" s="186"/>
      <c r="AK917" s="171"/>
    </row>
    <row r="918" spans="1:37" s="102" customFormat="1" ht="19.899999999999999" customHeight="1" x14ac:dyDescent="0.25">
      <c r="A918" s="45"/>
      <c r="B918" s="59"/>
      <c r="C918" s="137"/>
      <c r="D918" s="59"/>
      <c r="E918" s="116"/>
      <c r="F918" s="120"/>
      <c r="G918" s="120"/>
      <c r="H918" s="120"/>
      <c r="I918" s="60"/>
      <c r="J918" s="116"/>
      <c r="K918" s="213"/>
      <c r="L918" s="120"/>
      <c r="M918" s="120"/>
      <c r="N918" s="167"/>
      <c r="O918" s="120"/>
      <c r="P918" s="120"/>
      <c r="Q918" s="120"/>
      <c r="R918" s="120"/>
      <c r="S918" s="120"/>
      <c r="T918" s="221"/>
      <c r="U918" s="89"/>
      <c r="V918" s="61"/>
      <c r="W918" s="92" t="s">
        <v>1355</v>
      </c>
      <c r="X918" s="93" t="s">
        <v>32</v>
      </c>
      <c r="Y918" s="93" t="s">
        <v>66</v>
      </c>
      <c r="Z918" s="134">
        <f>VLOOKUP(W918,Sheet2!$B:$D,3,FALSE)</f>
        <v>450</v>
      </c>
      <c r="AA918" s="93">
        <f>AA916</f>
        <v>0.2</v>
      </c>
      <c r="AB918" s="93">
        <f>AD918/AC915</f>
        <v>2250</v>
      </c>
      <c r="AC918" s="93">
        <f>AC915/AA918</f>
        <v>4.6499999999999986</v>
      </c>
      <c r="AD918" s="94">
        <f>AC918*Z918</f>
        <v>2092.4999999999995</v>
      </c>
      <c r="AE918" s="190"/>
      <c r="AF918" s="191"/>
      <c r="AG918" s="191"/>
      <c r="AH918" s="191"/>
      <c r="AI918" s="186"/>
      <c r="AK918" s="171"/>
    </row>
    <row r="919" spans="1:37" s="102" customFormat="1" ht="19.899999999999999" customHeight="1" x14ac:dyDescent="0.25">
      <c r="A919" s="45"/>
      <c r="B919" s="59"/>
      <c r="C919" s="137"/>
      <c r="D919" s="59"/>
      <c r="E919" s="116"/>
      <c r="F919" s="120"/>
      <c r="G919" s="120"/>
      <c r="H919" s="120"/>
      <c r="I919" s="60"/>
      <c r="J919" s="116"/>
      <c r="K919" s="213"/>
      <c r="L919" s="120"/>
      <c r="M919" s="120"/>
      <c r="N919" s="167"/>
      <c r="O919" s="120"/>
      <c r="P919" s="120"/>
      <c r="Q919" s="120"/>
      <c r="R919" s="120"/>
      <c r="S919" s="120"/>
      <c r="T919" s="221"/>
      <c r="U919" s="89"/>
      <c r="V919" s="61"/>
      <c r="W919" s="92" t="s">
        <v>1362</v>
      </c>
      <c r="X919" s="93" t="s">
        <v>30</v>
      </c>
      <c r="Y919" s="93" t="s">
        <v>35</v>
      </c>
      <c r="Z919" s="134">
        <f>VLOOKUP(W919,Sheet2!$B:$D,3,FALSE)</f>
        <v>400</v>
      </c>
      <c r="AA919" s="93">
        <v>0.2</v>
      </c>
      <c r="AB919" s="93">
        <f>AD919/AC915</f>
        <v>2000.0000000000002</v>
      </c>
      <c r="AC919" s="93">
        <f>AC915/AA919</f>
        <v>4.6499999999999986</v>
      </c>
      <c r="AD919" s="94">
        <f t="shared" ref="AD919" si="765">AC919*Z919</f>
        <v>1859.9999999999995</v>
      </c>
      <c r="AE919" s="190"/>
      <c r="AF919" s="191"/>
      <c r="AG919" s="191"/>
      <c r="AH919" s="191"/>
      <c r="AI919" s="186"/>
      <c r="AK919" s="171"/>
    </row>
    <row r="920" spans="1:37" s="102" customFormat="1" ht="19.899999999999999" customHeight="1" x14ac:dyDescent="0.25">
      <c r="A920" s="45"/>
      <c r="B920" s="59"/>
      <c r="C920" s="137"/>
      <c r="D920" s="59"/>
      <c r="E920" s="116"/>
      <c r="F920" s="120"/>
      <c r="G920" s="120"/>
      <c r="H920" s="120"/>
      <c r="I920" s="60"/>
      <c r="J920" s="116"/>
      <c r="K920" s="213"/>
      <c r="L920" s="120"/>
      <c r="M920" s="120"/>
      <c r="N920" s="167"/>
      <c r="O920" s="120"/>
      <c r="P920" s="120"/>
      <c r="Q920" s="120"/>
      <c r="R920" s="120"/>
      <c r="S920" s="120"/>
      <c r="T920" s="221"/>
      <c r="U920" s="89"/>
      <c r="V920" s="61"/>
      <c r="W920" s="92" t="s">
        <v>107</v>
      </c>
      <c r="X920" s="93" t="s">
        <v>31</v>
      </c>
      <c r="Y920" s="93" t="s">
        <v>93</v>
      </c>
      <c r="Z920" s="134">
        <f>VLOOKUP(W920,Sheet2!$B:$D,3,FALSE)</f>
        <v>17</v>
      </c>
      <c r="AA920" s="93">
        <f>1/5</f>
        <v>0.2</v>
      </c>
      <c r="AB920" s="93">
        <f>AD920/AC915</f>
        <v>85.000000000000014</v>
      </c>
      <c r="AC920" s="93">
        <f>AC915/AA920</f>
        <v>4.6499999999999986</v>
      </c>
      <c r="AD920" s="94">
        <f>AC920*Z920</f>
        <v>79.049999999999983</v>
      </c>
      <c r="AE920" s="190"/>
      <c r="AF920" s="191"/>
      <c r="AG920" s="191"/>
      <c r="AH920" s="191"/>
      <c r="AI920" s="186"/>
      <c r="AK920" s="171"/>
    </row>
    <row r="921" spans="1:37" s="102" customFormat="1" ht="19.899999999999999" customHeight="1" x14ac:dyDescent="0.25">
      <c r="A921" s="45"/>
      <c r="B921" s="59"/>
      <c r="C921" s="137"/>
      <c r="D921" s="59"/>
      <c r="E921" s="116"/>
      <c r="F921" s="120"/>
      <c r="G921" s="120"/>
      <c r="H921" s="120"/>
      <c r="I921" s="60"/>
      <c r="J921" s="116"/>
      <c r="K921" s="213"/>
      <c r="L921" s="120"/>
      <c r="M921" s="120"/>
      <c r="N921" s="167"/>
      <c r="O921" s="120"/>
      <c r="P921" s="120"/>
      <c r="Q921" s="120"/>
      <c r="R921" s="120"/>
      <c r="S921" s="120"/>
      <c r="T921" s="221"/>
      <c r="U921" s="89"/>
      <c r="V921" s="61"/>
      <c r="W921" s="92" t="s">
        <v>112</v>
      </c>
      <c r="X921" s="93" t="s">
        <v>31</v>
      </c>
      <c r="Y921" s="93" t="s">
        <v>93</v>
      </c>
      <c r="Z921" s="134">
        <f>VLOOKUP(W921,Sheet2!$B:$D,3,FALSE)</f>
        <v>13</v>
      </c>
      <c r="AA921" s="93">
        <f>AA920</f>
        <v>0.2</v>
      </c>
      <c r="AB921" s="93">
        <f>AD921/AC915</f>
        <v>65</v>
      </c>
      <c r="AC921" s="93">
        <f>AC915/AA921</f>
        <v>4.6499999999999986</v>
      </c>
      <c r="AD921" s="94">
        <f>AC921*Z921</f>
        <v>60.449999999999982</v>
      </c>
      <c r="AE921" s="190"/>
      <c r="AF921" s="191"/>
      <c r="AG921" s="191"/>
      <c r="AH921" s="191"/>
      <c r="AI921" s="186"/>
      <c r="AK921" s="171"/>
    </row>
    <row r="922" spans="1:37" s="103" customFormat="1" ht="19.899999999999999" customHeight="1" x14ac:dyDescent="0.25">
      <c r="A922" s="51"/>
      <c r="B922" s="52"/>
      <c r="C922" s="165"/>
      <c r="D922" s="52"/>
      <c r="E922" s="115"/>
      <c r="F922" s="58"/>
      <c r="G922" s="58"/>
      <c r="H922" s="58"/>
      <c r="I922" s="55"/>
      <c r="J922" s="113">
        <f>J909</f>
        <v>0.92999999999999972</v>
      </c>
      <c r="K922" s="212">
        <f>K909</f>
        <v>0.92999999999999972</v>
      </c>
      <c r="L922" s="58"/>
      <c r="M922" s="58">
        <f>K922-L922</f>
        <v>0.92999999999999972</v>
      </c>
      <c r="N922" s="166"/>
      <c r="O922" s="58"/>
      <c r="P922" s="58"/>
      <c r="Q922" s="58"/>
      <c r="R922" s="58"/>
      <c r="S922" s="58"/>
      <c r="T922" s="220"/>
      <c r="U922" s="88"/>
      <c r="V922" s="56"/>
      <c r="W922" s="57" t="s">
        <v>1358</v>
      </c>
      <c r="X922" s="53"/>
      <c r="Y922" s="91" t="s">
        <v>35</v>
      </c>
      <c r="Z922" s="136">
        <f>AD922/AC922</f>
        <v>2800</v>
      </c>
      <c r="AA922" s="58"/>
      <c r="AB922" s="53">
        <f>AD922/AC922</f>
        <v>2800</v>
      </c>
      <c r="AC922" s="53">
        <f>M922+$AE$10</f>
        <v>0.92999999999999972</v>
      </c>
      <c r="AD922" s="54">
        <f>SUM(AD923:AD924)</f>
        <v>2603.9999999999991</v>
      </c>
      <c r="AE922" s="184">
        <f>SUMIFS($AD$37:$AD$12971,$V$37:$V$12971,$V922,$X$37:$X$12971,AE$13)</f>
        <v>0</v>
      </c>
      <c r="AF922" s="185">
        <f>SUMIFS($AD$37:$AD$12971,$V$37:$V$12971,$V922,$X$37:$X$12971,AF$13)</f>
        <v>0</v>
      </c>
      <c r="AG922" s="185">
        <f>SUMIFS($AD$37:$AD$12971,$V$37:$V$12971,$V922,$X$37:$X$12971,AG$13)</f>
        <v>0</v>
      </c>
      <c r="AH922" s="187">
        <f>SUMIFS($AD$37:$AD$12971,$V$37:$V$12971,$V922,$X$37:$X$12971,AH$13)</f>
        <v>0</v>
      </c>
      <c r="AI922" s="161">
        <f t="shared" ref="AI922" si="766">SUM(AE922:AH922)</f>
        <v>0</v>
      </c>
      <c r="AK922" s="172"/>
    </row>
    <row r="923" spans="1:37" s="102" customFormat="1" ht="19.899999999999999" customHeight="1" x14ac:dyDescent="0.25">
      <c r="A923" s="45"/>
      <c r="B923" s="59"/>
      <c r="C923" s="137"/>
      <c r="D923" s="59"/>
      <c r="E923" s="116"/>
      <c r="F923" s="120"/>
      <c r="G923" s="120"/>
      <c r="H923" s="120"/>
      <c r="I923" s="60"/>
      <c r="J923" s="116"/>
      <c r="K923" s="213"/>
      <c r="L923" s="120"/>
      <c r="M923" s="120"/>
      <c r="N923" s="167"/>
      <c r="O923" s="120"/>
      <c r="P923" s="120"/>
      <c r="Q923" s="120"/>
      <c r="R923" s="120"/>
      <c r="S923" s="120"/>
      <c r="T923" s="221"/>
      <c r="U923" s="89"/>
      <c r="V923" s="61"/>
      <c r="W923" s="92" t="s">
        <v>1359</v>
      </c>
      <c r="X923" s="93" t="s">
        <v>32</v>
      </c>
      <c r="Y923" s="93" t="s">
        <v>64</v>
      </c>
      <c r="Z923" s="134">
        <f>VLOOKUP(W923,Sheet2!$B:$D,3,FALSE)</f>
        <v>40</v>
      </c>
      <c r="AA923" s="93">
        <f>1/40</f>
        <v>2.5000000000000001E-2</v>
      </c>
      <c r="AB923" s="93">
        <f t="shared" ref="AB923" si="767">AD923/AC922</f>
        <v>1600</v>
      </c>
      <c r="AC923" s="93">
        <f>AC922/AA923</f>
        <v>37.199999999999989</v>
      </c>
      <c r="AD923" s="94">
        <f t="shared" ref="AD923:AD924" si="768">AC923*Z923</f>
        <v>1487.9999999999995</v>
      </c>
      <c r="AE923" s="190"/>
      <c r="AF923" s="191"/>
      <c r="AG923" s="191"/>
      <c r="AH923" s="191"/>
      <c r="AI923" s="186"/>
      <c r="AK923" s="171"/>
    </row>
    <row r="924" spans="1:37" s="102" customFormat="1" ht="19.899999999999999" customHeight="1" x14ac:dyDescent="0.25">
      <c r="A924" s="45"/>
      <c r="B924" s="59"/>
      <c r="C924" s="137"/>
      <c r="D924" s="59"/>
      <c r="E924" s="116"/>
      <c r="F924" s="120"/>
      <c r="G924" s="120"/>
      <c r="H924" s="120"/>
      <c r="I924" s="60"/>
      <c r="J924" s="116"/>
      <c r="K924" s="213"/>
      <c r="L924" s="120"/>
      <c r="M924" s="120"/>
      <c r="N924" s="167"/>
      <c r="O924" s="120"/>
      <c r="P924" s="120"/>
      <c r="Q924" s="120"/>
      <c r="R924" s="120"/>
      <c r="S924" s="120"/>
      <c r="T924" s="221"/>
      <c r="U924" s="89"/>
      <c r="V924" s="61"/>
      <c r="W924" s="92" t="s">
        <v>1360</v>
      </c>
      <c r="X924" s="93" t="s">
        <v>32</v>
      </c>
      <c r="Y924" s="93" t="s">
        <v>64</v>
      </c>
      <c r="Z924" s="134">
        <f>VLOOKUP(W924,Sheet2!$B:$D,3,FALSE)</f>
        <v>30</v>
      </c>
      <c r="AA924" s="93">
        <f>AA923</f>
        <v>2.5000000000000001E-2</v>
      </c>
      <c r="AB924" s="93">
        <f>AD924/AC922</f>
        <v>1199.9999999999998</v>
      </c>
      <c r="AC924" s="93">
        <f>AC922/AA924</f>
        <v>37.199999999999989</v>
      </c>
      <c r="AD924" s="94">
        <f t="shared" si="768"/>
        <v>1115.9999999999995</v>
      </c>
      <c r="AE924" s="190"/>
      <c r="AF924" s="191"/>
      <c r="AG924" s="191"/>
      <c r="AH924" s="191"/>
      <c r="AI924" s="186"/>
      <c r="AK924" s="171"/>
    </row>
    <row r="925" spans="1:37" s="103" customFormat="1" ht="19.899999999999999" customHeight="1" x14ac:dyDescent="0.25">
      <c r="A925" s="51"/>
      <c r="B925" s="52"/>
      <c r="C925" s="165"/>
      <c r="D925" s="52"/>
      <c r="E925" s="115"/>
      <c r="F925" s="58"/>
      <c r="G925" s="58"/>
      <c r="H925" s="58"/>
      <c r="I925" s="55"/>
      <c r="J925" s="113">
        <f>J909</f>
        <v>0.92999999999999972</v>
      </c>
      <c r="K925" s="212">
        <f>K909</f>
        <v>0.92999999999999972</v>
      </c>
      <c r="L925" s="58"/>
      <c r="M925" s="58">
        <f>K925-L925</f>
        <v>0.92999999999999972</v>
      </c>
      <c r="N925" s="166"/>
      <c r="O925" s="58"/>
      <c r="P925" s="58"/>
      <c r="Q925" s="58"/>
      <c r="R925" s="58"/>
      <c r="S925" s="58"/>
      <c r="T925" s="220"/>
      <c r="U925" s="88"/>
      <c r="V925" s="56"/>
      <c r="W925" s="57" t="s">
        <v>1272</v>
      </c>
      <c r="X925" s="53"/>
      <c r="Y925" s="91" t="s">
        <v>35</v>
      </c>
      <c r="Z925" s="136">
        <f>AD925/AC925</f>
        <v>216.61607843137256</v>
      </c>
      <c r="AA925" s="58"/>
      <c r="AB925" s="53">
        <f>AD925/AC925</f>
        <v>216.61607843137256</v>
      </c>
      <c r="AC925" s="53">
        <f>M925+$AE$10</f>
        <v>0.92999999999999972</v>
      </c>
      <c r="AD925" s="54">
        <f>SUM(AD926:AD934)</f>
        <v>201.45295294117642</v>
      </c>
      <c r="AE925" s="184">
        <f>SUMIFS($AD$37:$AD$12971,$V$37:$V$12971,$V925,$X$37:$X$12971,AE$13)</f>
        <v>0</v>
      </c>
      <c r="AF925" s="185">
        <f>SUMIFS($AD$37:$AD$12971,$V$37:$V$12971,$V925,$X$37:$X$12971,AF$13)</f>
        <v>0</v>
      </c>
      <c r="AG925" s="185">
        <f>SUMIFS($AD$37:$AD$12971,$V$37:$V$12971,$V925,$X$37:$X$12971,AG$13)</f>
        <v>0</v>
      </c>
      <c r="AH925" s="187">
        <f>SUMIFS($AD$37:$AD$12971,$V$37:$V$12971,$V925,$X$37:$X$12971,AH$13)</f>
        <v>0</v>
      </c>
      <c r="AI925" s="161">
        <f t="shared" ref="AI925" si="769">SUM(AE925:AH925)</f>
        <v>0</v>
      </c>
      <c r="AK925" s="172"/>
    </row>
    <row r="926" spans="1:37" s="102" customFormat="1" ht="19.899999999999999" customHeight="1" x14ac:dyDescent="0.25">
      <c r="A926" s="45"/>
      <c r="B926" s="59"/>
      <c r="C926" s="137"/>
      <c r="D926" s="59"/>
      <c r="E926" s="116"/>
      <c r="F926" s="120"/>
      <c r="G926" s="120"/>
      <c r="H926" s="120"/>
      <c r="I926" s="60"/>
      <c r="J926" s="116"/>
      <c r="K926" s="213"/>
      <c r="L926" s="120"/>
      <c r="M926" s="120"/>
      <c r="N926" s="167"/>
      <c r="O926" s="120"/>
      <c r="P926" s="120"/>
      <c r="Q926" s="120"/>
      <c r="R926" s="120"/>
      <c r="S926" s="120"/>
      <c r="T926" s="221"/>
      <c r="U926" s="89"/>
      <c r="V926" s="61"/>
      <c r="W926" s="92" t="s">
        <v>1273</v>
      </c>
      <c r="X926" s="93" t="s">
        <v>30</v>
      </c>
      <c r="Y926" s="93" t="s">
        <v>66</v>
      </c>
      <c r="Z926" s="134">
        <f>VLOOKUP(W926,Sheet2!$B:$D,3,FALSE)</f>
        <v>10</v>
      </c>
      <c r="AA926" s="93">
        <f>1/(2.5*2.5*0.5*4)</f>
        <v>0.08</v>
      </c>
      <c r="AB926" s="93">
        <f>AD926/AC925</f>
        <v>125.00000000000001</v>
      </c>
      <c r="AC926" s="93">
        <f>AC925/AA926</f>
        <v>11.624999999999996</v>
      </c>
      <c r="AD926" s="94">
        <f t="shared" ref="AD926:AD928" si="770">AC926*Z926</f>
        <v>116.24999999999997</v>
      </c>
      <c r="AE926" s="190"/>
      <c r="AF926" s="191"/>
      <c r="AG926" s="191"/>
      <c r="AH926" s="191"/>
      <c r="AI926" s="186"/>
      <c r="AK926" s="171"/>
    </row>
    <row r="927" spans="1:37" s="102" customFormat="1" ht="19.899999999999999" customHeight="1" x14ac:dyDescent="0.25">
      <c r="A927" s="45"/>
      <c r="B927" s="59"/>
      <c r="C927" s="137"/>
      <c r="D927" s="59"/>
      <c r="E927" s="116"/>
      <c r="F927" s="120"/>
      <c r="G927" s="120"/>
      <c r="H927" s="120"/>
      <c r="I927" s="60"/>
      <c r="J927" s="116"/>
      <c r="K927" s="213"/>
      <c r="L927" s="120"/>
      <c r="M927" s="120"/>
      <c r="N927" s="167"/>
      <c r="O927" s="120"/>
      <c r="P927" s="120"/>
      <c r="Q927" s="120"/>
      <c r="R927" s="120"/>
      <c r="S927" s="120"/>
      <c r="T927" s="221"/>
      <c r="U927" s="89"/>
      <c r="V927" s="61"/>
      <c r="W927" s="92" t="s">
        <v>134</v>
      </c>
      <c r="X927" s="93" t="s">
        <v>29</v>
      </c>
      <c r="Y927" s="93" t="s">
        <v>93</v>
      </c>
      <c r="Z927" s="134">
        <f>VLOOKUP(W927,Sheet2!$B:$D,3,FALSE)</f>
        <v>65.599999999999994</v>
      </c>
      <c r="AA927" s="93">
        <f>100/(2.5*2.5*0.5*4)</f>
        <v>8</v>
      </c>
      <c r="AB927" s="93">
        <f t="shared" ref="AB927" si="771">AD927/AC925</f>
        <v>8.1999999999999993</v>
      </c>
      <c r="AC927" s="93">
        <f>AC925/AA927</f>
        <v>0.11624999999999996</v>
      </c>
      <c r="AD927" s="94">
        <f t="shared" si="770"/>
        <v>7.6259999999999968</v>
      </c>
      <c r="AE927" s="190"/>
      <c r="AF927" s="191"/>
      <c r="AG927" s="191"/>
      <c r="AH927" s="191"/>
      <c r="AI927" s="186"/>
      <c r="AK927" s="171"/>
    </row>
    <row r="928" spans="1:37" s="102" customFormat="1" ht="19.899999999999999" customHeight="1" x14ac:dyDescent="0.25">
      <c r="A928" s="45"/>
      <c r="B928" s="59"/>
      <c r="C928" s="137"/>
      <c r="D928" s="59"/>
      <c r="E928" s="116"/>
      <c r="F928" s="120"/>
      <c r="G928" s="120"/>
      <c r="H928" s="120"/>
      <c r="I928" s="60"/>
      <c r="J928" s="116"/>
      <c r="K928" s="213"/>
      <c r="L928" s="120"/>
      <c r="M928" s="120"/>
      <c r="N928" s="167"/>
      <c r="O928" s="120"/>
      <c r="P928" s="120"/>
      <c r="Q928" s="120"/>
      <c r="R928" s="120"/>
      <c r="S928" s="120"/>
      <c r="T928" s="221"/>
      <c r="U928" s="89"/>
      <c r="V928" s="61"/>
      <c r="W928" s="92" t="s">
        <v>65</v>
      </c>
      <c r="X928" s="93" t="s">
        <v>30</v>
      </c>
      <c r="Y928" s="93" t="s">
        <v>1011</v>
      </c>
      <c r="Z928" s="134">
        <f>VLOOKUP(W928,Sheet2!$B:$D,3,FALSE)</f>
        <v>1.76</v>
      </c>
      <c r="AA928" s="93">
        <f>AA927/9</f>
        <v>0.88888888888888884</v>
      </c>
      <c r="AB928" s="93">
        <f>AD928/AC925</f>
        <v>1.98</v>
      </c>
      <c r="AC928" s="93">
        <f>AC925/AA928</f>
        <v>1.0462499999999997</v>
      </c>
      <c r="AD928" s="94">
        <f t="shared" si="770"/>
        <v>1.8413999999999995</v>
      </c>
      <c r="AE928" s="190"/>
      <c r="AF928" s="191"/>
      <c r="AG928" s="191"/>
      <c r="AH928" s="191"/>
      <c r="AI928" s="186"/>
      <c r="AK928" s="171"/>
    </row>
    <row r="929" spans="1:41" s="102" customFormat="1" ht="19.899999999999999" customHeight="1" x14ac:dyDescent="0.25">
      <c r="A929" s="45"/>
      <c r="B929" s="59"/>
      <c r="C929" s="137"/>
      <c r="D929" s="59"/>
      <c r="E929" s="116"/>
      <c r="F929" s="120"/>
      <c r="G929" s="120"/>
      <c r="H929" s="120"/>
      <c r="I929" s="60"/>
      <c r="J929" s="116"/>
      <c r="K929" s="213"/>
      <c r="L929" s="120"/>
      <c r="M929" s="120"/>
      <c r="N929" s="167"/>
      <c r="O929" s="120"/>
      <c r="P929" s="120"/>
      <c r="Q929" s="120"/>
      <c r="R929" s="120"/>
      <c r="S929" s="120"/>
      <c r="T929" s="221"/>
      <c r="U929" s="89"/>
      <c r="V929" s="61"/>
      <c r="W929" s="92" t="s">
        <v>161</v>
      </c>
      <c r="X929" s="93" t="s">
        <v>29</v>
      </c>
      <c r="Y929" s="93" t="s">
        <v>93</v>
      </c>
      <c r="Z929" s="134">
        <f>VLOOKUP(W929,Sheet2!$B:$D,3,FALSE)</f>
        <v>48</v>
      </c>
      <c r="AA929" s="93">
        <f>(16*0.85*1.5)/(2.5*2.5*0.5*4)</f>
        <v>1.6319999999999999</v>
      </c>
      <c r="AB929" s="93">
        <f>AD929/AC925</f>
        <v>29.411764705882351</v>
      </c>
      <c r="AC929" s="93">
        <f>AC925/AA929</f>
        <v>0.56985294117647045</v>
      </c>
      <c r="AD929" s="94">
        <f>AC929*Z929</f>
        <v>27.35294117647058</v>
      </c>
      <c r="AE929" s="190"/>
      <c r="AF929" s="191"/>
      <c r="AG929" s="191"/>
      <c r="AH929" s="191"/>
      <c r="AI929" s="186"/>
      <c r="AK929" s="171"/>
    </row>
    <row r="930" spans="1:41" s="102" customFormat="1" ht="19.899999999999999" customHeight="1" x14ac:dyDescent="0.25">
      <c r="A930" s="45"/>
      <c r="B930" s="59"/>
      <c r="C930" s="137"/>
      <c r="D930" s="59"/>
      <c r="E930" s="116"/>
      <c r="F930" s="120"/>
      <c r="G930" s="120"/>
      <c r="H930" s="120"/>
      <c r="I930" s="60"/>
      <c r="J930" s="116"/>
      <c r="K930" s="213"/>
      <c r="L930" s="120"/>
      <c r="M930" s="120"/>
      <c r="N930" s="167"/>
      <c r="O930" s="120"/>
      <c r="P930" s="120"/>
      <c r="Q930" s="120"/>
      <c r="R930" s="120"/>
      <c r="S930" s="120"/>
      <c r="T930" s="221"/>
      <c r="U930" s="89"/>
      <c r="V930" s="61"/>
      <c r="W930" s="92" t="s">
        <v>65</v>
      </c>
      <c r="X930" s="93" t="s">
        <v>30</v>
      </c>
      <c r="Y930" s="93" t="s">
        <v>1011</v>
      </c>
      <c r="Z930" s="134">
        <f>VLOOKUP(W930,Sheet2!$B:$D,3,FALSE)</f>
        <v>1.76</v>
      </c>
      <c r="AA930" s="93">
        <f>AA929/10</f>
        <v>0.16319999999999998</v>
      </c>
      <c r="AB930" s="93">
        <f>AD930/AC925</f>
        <v>10.784313725490197</v>
      </c>
      <c r="AC930" s="93">
        <f>AC925/AA930</f>
        <v>5.6985294117647047</v>
      </c>
      <c r="AD930" s="94">
        <f>AC930*Z930</f>
        <v>10.02941176470588</v>
      </c>
      <c r="AE930" s="190"/>
      <c r="AF930" s="191"/>
      <c r="AG930" s="191"/>
      <c r="AH930" s="191"/>
      <c r="AI930" s="186"/>
      <c r="AK930" s="171"/>
    </row>
    <row r="931" spans="1:41" s="102" customFormat="1" ht="19.899999999999999" customHeight="1" x14ac:dyDescent="0.25">
      <c r="A931" s="45"/>
      <c r="B931" s="59"/>
      <c r="C931" s="137"/>
      <c r="D931" s="59"/>
      <c r="E931" s="116"/>
      <c r="F931" s="120"/>
      <c r="G931" s="120"/>
      <c r="H931" s="120"/>
      <c r="I931" s="60"/>
      <c r="J931" s="116"/>
      <c r="K931" s="213"/>
      <c r="L931" s="120"/>
      <c r="M931" s="120"/>
      <c r="N931" s="167"/>
      <c r="O931" s="120"/>
      <c r="P931" s="120"/>
      <c r="Q931" s="120"/>
      <c r="R931" s="120"/>
      <c r="S931" s="120"/>
      <c r="T931" s="221"/>
      <c r="U931" s="89"/>
      <c r="V931" s="61"/>
      <c r="W931" s="92" t="s">
        <v>173</v>
      </c>
      <c r="X931" s="93" t="s">
        <v>29</v>
      </c>
      <c r="Y931" s="93" t="s">
        <v>93</v>
      </c>
      <c r="Z931" s="134">
        <f>VLOOKUP(W931,Sheet2!$B:$D,3,FALSE)</f>
        <v>36</v>
      </c>
      <c r="AA931" s="93">
        <f>50/(2.5*2.5*0.5*4)</f>
        <v>4</v>
      </c>
      <c r="AB931" s="93">
        <f>AD931/AC925</f>
        <v>9</v>
      </c>
      <c r="AC931" s="93">
        <f>AC925/AA931</f>
        <v>0.23249999999999993</v>
      </c>
      <c r="AD931" s="94">
        <f>AC931*Z931</f>
        <v>8.3699999999999974</v>
      </c>
      <c r="AE931" s="190"/>
      <c r="AF931" s="191"/>
      <c r="AG931" s="191"/>
      <c r="AH931" s="191"/>
      <c r="AI931" s="186"/>
      <c r="AK931" s="171"/>
    </row>
    <row r="932" spans="1:41" s="102" customFormat="1" ht="19.899999999999999" customHeight="1" x14ac:dyDescent="0.25">
      <c r="A932" s="45"/>
      <c r="B932" s="59"/>
      <c r="C932" s="137"/>
      <c r="D932" s="59"/>
      <c r="E932" s="116"/>
      <c r="F932" s="120"/>
      <c r="G932" s="120"/>
      <c r="H932" s="120"/>
      <c r="I932" s="60"/>
      <c r="J932" s="116"/>
      <c r="K932" s="213"/>
      <c r="L932" s="120"/>
      <c r="M932" s="120"/>
      <c r="N932" s="167"/>
      <c r="O932" s="120"/>
      <c r="P932" s="120"/>
      <c r="Q932" s="120"/>
      <c r="R932" s="120"/>
      <c r="S932" s="120"/>
      <c r="T932" s="221"/>
      <c r="U932" s="89"/>
      <c r="V932" s="61"/>
      <c r="W932" s="92" t="s">
        <v>65</v>
      </c>
      <c r="X932" s="93" t="s">
        <v>30</v>
      </c>
      <c r="Y932" s="93" t="s">
        <v>1011</v>
      </c>
      <c r="Z932" s="134">
        <f>VLOOKUP(W932,Sheet2!$B:$D,3,FALSE)</f>
        <v>1.76</v>
      </c>
      <c r="AA932" s="93">
        <f>AA931/9</f>
        <v>0.44444444444444442</v>
      </c>
      <c r="AB932" s="93">
        <f>AD932/AC925</f>
        <v>3.96</v>
      </c>
      <c r="AC932" s="93">
        <f>AC925/AA932</f>
        <v>2.0924999999999994</v>
      </c>
      <c r="AD932" s="94">
        <f>AC932*Z932</f>
        <v>3.682799999999999</v>
      </c>
      <c r="AE932" s="190"/>
      <c r="AF932" s="191"/>
      <c r="AG932" s="191"/>
      <c r="AH932" s="191"/>
      <c r="AI932" s="186"/>
      <c r="AK932" s="171"/>
    </row>
    <row r="933" spans="1:41" s="102" customFormat="1" ht="19.899999999999999" customHeight="1" x14ac:dyDescent="0.25">
      <c r="A933" s="45"/>
      <c r="B933" s="59"/>
      <c r="C933" s="137"/>
      <c r="D933" s="59"/>
      <c r="E933" s="116"/>
      <c r="F933" s="120"/>
      <c r="G933" s="120"/>
      <c r="H933" s="120"/>
      <c r="I933" s="60"/>
      <c r="J933" s="116"/>
      <c r="K933" s="213"/>
      <c r="L933" s="120"/>
      <c r="M933" s="120"/>
      <c r="N933" s="167"/>
      <c r="O933" s="120"/>
      <c r="P933" s="120"/>
      <c r="Q933" s="120"/>
      <c r="R933" s="120"/>
      <c r="S933" s="120"/>
      <c r="T933" s="221"/>
      <c r="U933" s="89"/>
      <c r="V933" s="61"/>
      <c r="W933" s="92" t="s">
        <v>1030</v>
      </c>
      <c r="X933" s="93" t="s">
        <v>29</v>
      </c>
      <c r="Y933" s="93" t="s">
        <v>93</v>
      </c>
      <c r="Z933" s="134">
        <f>VLOOKUP(W933,Sheet2!$B:$D,3,FALSE)</f>
        <v>23</v>
      </c>
      <c r="AA933" s="93">
        <v>1</v>
      </c>
      <c r="AB933" s="93">
        <f>AD933/AC925</f>
        <v>23</v>
      </c>
      <c r="AC933" s="93">
        <f>AC925/AA933</f>
        <v>0.92999999999999972</v>
      </c>
      <c r="AD933" s="94">
        <f t="shared" ref="AD933:AD934" si="772">AC933*Z933</f>
        <v>21.389999999999993</v>
      </c>
      <c r="AE933" s="190"/>
      <c r="AF933" s="191"/>
      <c r="AG933" s="191"/>
      <c r="AH933" s="191"/>
      <c r="AI933" s="186"/>
      <c r="AK933" s="171"/>
    </row>
    <row r="934" spans="1:41" s="102" customFormat="1" ht="19.899999999999999" customHeight="1" x14ac:dyDescent="0.25">
      <c r="A934" s="45"/>
      <c r="B934" s="59"/>
      <c r="C934" s="137"/>
      <c r="D934" s="59"/>
      <c r="E934" s="116"/>
      <c r="F934" s="120"/>
      <c r="G934" s="120"/>
      <c r="H934" s="120"/>
      <c r="I934" s="60"/>
      <c r="J934" s="116"/>
      <c r="K934" s="213"/>
      <c r="L934" s="120"/>
      <c r="M934" s="120"/>
      <c r="N934" s="167"/>
      <c r="O934" s="120"/>
      <c r="P934" s="120"/>
      <c r="Q934" s="120"/>
      <c r="R934" s="120"/>
      <c r="S934" s="120"/>
      <c r="T934" s="221"/>
      <c r="U934" s="89"/>
      <c r="V934" s="61"/>
      <c r="W934" s="92" t="s">
        <v>65</v>
      </c>
      <c r="X934" s="93" t="s">
        <v>30</v>
      </c>
      <c r="Y934" s="93" t="s">
        <v>1011</v>
      </c>
      <c r="Z934" s="134">
        <f>VLOOKUP(W934,Sheet2!$B:$D,3,FALSE)</f>
        <v>1.76</v>
      </c>
      <c r="AA934" s="93">
        <f>AA933/3</f>
        <v>0.33333333333333331</v>
      </c>
      <c r="AB934" s="93">
        <f>AD934/AC925</f>
        <v>5.28</v>
      </c>
      <c r="AC934" s="93">
        <f>AC925/AA934</f>
        <v>2.7899999999999991</v>
      </c>
      <c r="AD934" s="94">
        <f t="shared" si="772"/>
        <v>4.9103999999999983</v>
      </c>
      <c r="AE934" s="190"/>
      <c r="AF934" s="191"/>
      <c r="AG934" s="191"/>
      <c r="AH934" s="191"/>
      <c r="AI934" s="186"/>
      <c r="AK934" s="171"/>
    </row>
    <row r="935" spans="1:41" ht="20.100000000000001" customHeight="1" x14ac:dyDescent="0.25">
      <c r="A935" s="277" t="s">
        <v>216</v>
      </c>
      <c r="B935" s="278"/>
      <c r="C935" s="64" t="s">
        <v>337</v>
      </c>
      <c r="D935" s="46" t="s">
        <v>328</v>
      </c>
      <c r="E935" s="114"/>
      <c r="F935" s="44">
        <v>0</v>
      </c>
      <c r="G935" s="44">
        <f t="shared" si="607"/>
        <v>0</v>
      </c>
      <c r="H935" s="44">
        <f t="shared" si="608"/>
        <v>0</v>
      </c>
      <c r="I935" s="43">
        <f t="shared" si="609"/>
        <v>0</v>
      </c>
      <c r="J935" s="112">
        <f t="shared" si="610"/>
        <v>0</v>
      </c>
      <c r="K935" s="211">
        <f t="shared" si="611"/>
        <v>0</v>
      </c>
      <c r="L935" s="44"/>
      <c r="M935" s="44">
        <f t="shared" si="612"/>
        <v>0</v>
      </c>
      <c r="N935" s="173">
        <f t="shared" si="613"/>
        <v>0</v>
      </c>
      <c r="O935" s="44">
        <f t="shared" si="614"/>
        <v>0</v>
      </c>
      <c r="P935" s="44">
        <f t="shared" si="615"/>
        <v>0</v>
      </c>
      <c r="Q935" s="44">
        <f t="shared" si="616"/>
        <v>0</v>
      </c>
      <c r="R935" s="44">
        <f t="shared" si="617"/>
        <v>0</v>
      </c>
      <c r="S935" s="123"/>
      <c r="T935" s="219">
        <f t="shared" si="618"/>
        <v>0</v>
      </c>
      <c r="U935" s="87"/>
      <c r="V935" s="47"/>
      <c r="W935" s="48"/>
      <c r="X935" s="48"/>
      <c r="Y935" s="48"/>
      <c r="Z935" s="135"/>
      <c r="AA935" s="49"/>
      <c r="AB935" s="50">
        <f t="shared" si="619"/>
        <v>0</v>
      </c>
      <c r="AC935" s="42">
        <f t="shared" si="620"/>
        <v>9.9999999999999998E-20</v>
      </c>
      <c r="AD935" s="90"/>
      <c r="AE935" s="188"/>
      <c r="AF935" s="189"/>
      <c r="AG935" s="189"/>
      <c r="AH935" s="189"/>
      <c r="AI935" s="161"/>
    </row>
    <row r="936" spans="1:41" ht="20.100000000000001" customHeight="1" x14ac:dyDescent="0.25">
      <c r="A936" s="277" t="s">
        <v>216</v>
      </c>
      <c r="B936" s="278"/>
      <c r="C936" s="64" t="s">
        <v>338</v>
      </c>
      <c r="D936" s="46" t="s">
        <v>215</v>
      </c>
      <c r="E936" s="114">
        <v>11.204999999999998</v>
      </c>
      <c r="F936" s="44">
        <v>19826</v>
      </c>
      <c r="G936" s="44">
        <f t="shared" si="607"/>
        <v>222150.32999999996</v>
      </c>
      <c r="H936" s="44">
        <f t="shared" si="608"/>
        <v>12286.179576470588</v>
      </c>
      <c r="I936" s="43">
        <f t="shared" si="609"/>
        <v>137666.64215435291</v>
      </c>
      <c r="J936" s="112">
        <f t="shared" si="610"/>
        <v>11.204999999999998</v>
      </c>
      <c r="K936" s="211">
        <f t="shared" si="611"/>
        <v>11.204999999999998</v>
      </c>
      <c r="L936" s="44"/>
      <c r="M936" s="44">
        <f t="shared" si="612"/>
        <v>11.204999999999998</v>
      </c>
      <c r="N936" s="173">
        <f t="shared" si="613"/>
        <v>1</v>
      </c>
      <c r="O936" s="44">
        <f t="shared" si="614"/>
        <v>19826</v>
      </c>
      <c r="P936" s="44">
        <f t="shared" si="615"/>
        <v>222150.32999999996</v>
      </c>
      <c r="Q936" s="44">
        <f t="shared" si="616"/>
        <v>12286.179576470588</v>
      </c>
      <c r="R936" s="44">
        <f t="shared" si="617"/>
        <v>137666.64215435291</v>
      </c>
      <c r="S936" s="123"/>
      <c r="T936" s="219">
        <f t="shared" si="618"/>
        <v>137666.64215435291</v>
      </c>
      <c r="U936" s="87"/>
      <c r="V936" s="47"/>
      <c r="W936" s="48"/>
      <c r="X936" s="48"/>
      <c r="Y936" s="48"/>
      <c r="Z936" s="135"/>
      <c r="AA936" s="49"/>
      <c r="AB936" s="50">
        <f t="shared" si="619"/>
        <v>12286.179576470588</v>
      </c>
      <c r="AC936" s="42">
        <f t="shared" si="620"/>
        <v>11.204999999999998</v>
      </c>
      <c r="AD936" s="90">
        <f>AD937+AD942+AD954+AD957</f>
        <v>137666.64215435291</v>
      </c>
      <c r="AE936" s="188">
        <f t="shared" ref="AE936" si="773">AE937+AE942+AE954+AE957</f>
        <v>0</v>
      </c>
      <c r="AF936" s="189">
        <f t="shared" ref="AF936" si="774">AF937+AF942+AF954+AF957</f>
        <v>0</v>
      </c>
      <c r="AG936" s="189">
        <f t="shared" ref="AG936" si="775">AG937+AG942+AG954+AG957</f>
        <v>0</v>
      </c>
      <c r="AH936" s="189">
        <f t="shared" ref="AH936" si="776">AH937+AH942+AH954+AH957</f>
        <v>0</v>
      </c>
      <c r="AI936" s="161">
        <f t="shared" ref="AI936" si="777">SUM(AE936:AH936)</f>
        <v>0</v>
      </c>
      <c r="AK936" s="169">
        <v>5</v>
      </c>
      <c r="AO936" s="19" t="s">
        <v>63</v>
      </c>
    </row>
    <row r="937" spans="1:41" s="103" customFormat="1" ht="19.899999999999999" customHeight="1" x14ac:dyDescent="0.25">
      <c r="A937" s="51"/>
      <c r="B937" s="52"/>
      <c r="C937" s="165"/>
      <c r="D937" s="52"/>
      <c r="E937" s="115"/>
      <c r="F937" s="58"/>
      <c r="G937" s="58"/>
      <c r="H937" s="58"/>
      <c r="I937" s="55"/>
      <c r="J937" s="113">
        <f>J936</f>
        <v>11.204999999999998</v>
      </c>
      <c r="K937" s="212">
        <f>K936</f>
        <v>11.204999999999998</v>
      </c>
      <c r="L937" s="58"/>
      <c r="M937" s="58">
        <f>K937-L937</f>
        <v>11.204999999999998</v>
      </c>
      <c r="N937" s="166"/>
      <c r="O937" s="58"/>
      <c r="P937" s="58"/>
      <c r="Q937" s="58"/>
      <c r="R937" s="58"/>
      <c r="S937" s="58"/>
      <c r="T937" s="220"/>
      <c r="U937" s="88"/>
      <c r="V937" s="56"/>
      <c r="W937" s="57" t="s">
        <v>1351</v>
      </c>
      <c r="X937" s="53"/>
      <c r="Y937" s="91" t="s">
        <v>35</v>
      </c>
      <c r="Z937" s="136">
        <f>AD937/AC937</f>
        <v>90.4969411764706</v>
      </c>
      <c r="AA937" s="58"/>
      <c r="AB937" s="53">
        <f>AD937/AC937</f>
        <v>90.4969411764706</v>
      </c>
      <c r="AC937" s="53">
        <f>M937+$AE$10</f>
        <v>11.204999999999998</v>
      </c>
      <c r="AD937" s="54">
        <f>SUM(AD938:AD941)</f>
        <v>1014.0182258823529</v>
      </c>
      <c r="AE937" s="184">
        <f>SUMIFS($AD$37:$AD$12971,$V$37:$V$12971,$V937,$X$37:$X$12971,AE$13)</f>
        <v>0</v>
      </c>
      <c r="AF937" s="185">
        <f>SUMIFS($AD$37:$AD$12971,$V$37:$V$12971,$V937,$X$37:$X$12971,AF$13)</f>
        <v>0</v>
      </c>
      <c r="AG937" s="185">
        <f>SUMIFS($AD$37:$AD$12971,$V$37:$V$12971,$V937,$X$37:$X$12971,AG$13)</f>
        <v>0</v>
      </c>
      <c r="AH937" s="187">
        <f>SUMIFS($AD$37:$AD$12971,$V$37:$V$12971,$V937,$X$37:$X$12971,AH$13)</f>
        <v>0</v>
      </c>
      <c r="AI937" s="161">
        <f t="shared" ref="AI937" si="778">SUM(AE937:AH937)</f>
        <v>0</v>
      </c>
      <c r="AK937" s="172"/>
    </row>
    <row r="938" spans="1:41" s="102" customFormat="1" ht="19.899999999999999" customHeight="1" x14ac:dyDescent="0.25">
      <c r="A938" s="45"/>
      <c r="B938" s="59"/>
      <c r="C938" s="137"/>
      <c r="D938" s="59"/>
      <c r="E938" s="116"/>
      <c r="F938" s="120"/>
      <c r="G938" s="120"/>
      <c r="H938" s="120"/>
      <c r="I938" s="60"/>
      <c r="J938" s="116"/>
      <c r="K938" s="213"/>
      <c r="L938" s="120"/>
      <c r="M938" s="120"/>
      <c r="N938" s="167"/>
      <c r="O938" s="120"/>
      <c r="P938" s="120"/>
      <c r="Q938" s="120"/>
      <c r="R938" s="120"/>
      <c r="S938" s="120"/>
      <c r="T938" s="221"/>
      <c r="U938" s="89"/>
      <c r="V938" s="61"/>
      <c r="W938" s="92" t="s">
        <v>129</v>
      </c>
      <c r="X938" s="93" t="s">
        <v>29</v>
      </c>
      <c r="Y938" s="93" t="s">
        <v>93</v>
      </c>
      <c r="Z938" s="134">
        <f>VLOOKUP(W938,Sheet2!$B:$D,3,FALSE)</f>
        <v>56</v>
      </c>
      <c r="AA938" s="93">
        <f>100/(3*3*2.5)</f>
        <v>4.4444444444444446</v>
      </c>
      <c r="AB938" s="93">
        <f t="shared" ref="AB938" si="779">AD938/AC937</f>
        <v>12.600000000000001</v>
      </c>
      <c r="AC938" s="93">
        <f>AC937/AA938</f>
        <v>2.5211249999999996</v>
      </c>
      <c r="AD938" s="94">
        <f t="shared" ref="AD938:AD939" si="780">AC938*Z938</f>
        <v>141.18299999999999</v>
      </c>
      <c r="AE938" s="190"/>
      <c r="AF938" s="191"/>
      <c r="AG938" s="191"/>
      <c r="AH938" s="191"/>
      <c r="AI938" s="186"/>
      <c r="AK938" s="171"/>
    </row>
    <row r="939" spans="1:41" s="102" customFormat="1" ht="19.899999999999999" customHeight="1" x14ac:dyDescent="0.25">
      <c r="A939" s="45"/>
      <c r="B939" s="59"/>
      <c r="C939" s="137"/>
      <c r="D939" s="59"/>
      <c r="E939" s="116"/>
      <c r="F939" s="120"/>
      <c r="G939" s="120"/>
      <c r="H939" s="120"/>
      <c r="I939" s="60"/>
      <c r="J939" s="116"/>
      <c r="K939" s="213"/>
      <c r="L939" s="120"/>
      <c r="M939" s="120"/>
      <c r="N939" s="167"/>
      <c r="O939" s="120"/>
      <c r="P939" s="120"/>
      <c r="Q939" s="120"/>
      <c r="R939" s="120"/>
      <c r="S939" s="120"/>
      <c r="T939" s="221"/>
      <c r="U939" s="89"/>
      <c r="V939" s="61"/>
      <c r="W939" s="92" t="s">
        <v>65</v>
      </c>
      <c r="X939" s="93" t="s">
        <v>30</v>
      </c>
      <c r="Y939" s="93" t="s">
        <v>1011</v>
      </c>
      <c r="Z939" s="134">
        <f>VLOOKUP(W939,Sheet2!$B:$D,3,FALSE)</f>
        <v>1.76</v>
      </c>
      <c r="AA939" s="93">
        <f>AA938/14</f>
        <v>0.3174603174603175</v>
      </c>
      <c r="AB939" s="93">
        <f>AD939/AC937</f>
        <v>5.5439999999999996</v>
      </c>
      <c r="AC939" s="93">
        <f>AC937/AA939</f>
        <v>35.295749999999991</v>
      </c>
      <c r="AD939" s="94">
        <f t="shared" si="780"/>
        <v>62.120519999999985</v>
      </c>
      <c r="AE939" s="190"/>
      <c r="AF939" s="191"/>
      <c r="AG939" s="191"/>
      <c r="AH939" s="191"/>
      <c r="AI939" s="186"/>
      <c r="AK939" s="171"/>
    </row>
    <row r="940" spans="1:41" s="102" customFormat="1" ht="19.899999999999999" customHeight="1" x14ac:dyDescent="0.25">
      <c r="A940" s="45"/>
      <c r="B940" s="59"/>
      <c r="C940" s="137"/>
      <c r="D940" s="59"/>
      <c r="E940" s="116"/>
      <c r="F940" s="120"/>
      <c r="G940" s="120"/>
      <c r="H940" s="120"/>
      <c r="I940" s="60"/>
      <c r="J940" s="116"/>
      <c r="K940" s="213"/>
      <c r="L940" s="120"/>
      <c r="M940" s="120"/>
      <c r="N940" s="167"/>
      <c r="O940" s="120"/>
      <c r="P940" s="120"/>
      <c r="Q940" s="120"/>
      <c r="R940" s="120"/>
      <c r="S940" s="120"/>
      <c r="T940" s="221"/>
      <c r="U940" s="89"/>
      <c r="V940" s="61"/>
      <c r="W940" s="92" t="s">
        <v>161</v>
      </c>
      <c r="X940" s="93" t="s">
        <v>29</v>
      </c>
      <c r="Y940" s="93" t="s">
        <v>93</v>
      </c>
      <c r="Z940" s="134">
        <f>VLOOKUP(W940,Sheet2!$B:$D,3,FALSE)</f>
        <v>48</v>
      </c>
      <c r="AA940" s="93">
        <f>(16*0.85*1.5)/(3*3*2.5)</f>
        <v>0.90666666666666662</v>
      </c>
      <c r="AB940" s="93">
        <f>AD940/AC937</f>
        <v>52.941176470588239</v>
      </c>
      <c r="AC940" s="93">
        <f>AC937/AA940</f>
        <v>12.35845588235294</v>
      </c>
      <c r="AD940" s="94">
        <f>AC940*Z940</f>
        <v>593.2058823529411</v>
      </c>
      <c r="AE940" s="190"/>
      <c r="AF940" s="191"/>
      <c r="AG940" s="191"/>
      <c r="AH940" s="191"/>
      <c r="AI940" s="186"/>
      <c r="AK940" s="171"/>
    </row>
    <row r="941" spans="1:41" s="102" customFormat="1" ht="19.899999999999999" customHeight="1" x14ac:dyDescent="0.25">
      <c r="A941" s="45"/>
      <c r="B941" s="59"/>
      <c r="C941" s="137"/>
      <c r="D941" s="59"/>
      <c r="E941" s="116"/>
      <c r="F941" s="120"/>
      <c r="G941" s="120"/>
      <c r="H941" s="120"/>
      <c r="I941" s="60"/>
      <c r="J941" s="116"/>
      <c r="K941" s="213"/>
      <c r="L941" s="120"/>
      <c r="M941" s="120"/>
      <c r="N941" s="167"/>
      <c r="O941" s="120"/>
      <c r="P941" s="120"/>
      <c r="Q941" s="120"/>
      <c r="R941" s="120"/>
      <c r="S941" s="120"/>
      <c r="T941" s="221"/>
      <c r="U941" s="89"/>
      <c r="V941" s="61"/>
      <c r="W941" s="92" t="s">
        <v>65</v>
      </c>
      <c r="X941" s="93" t="s">
        <v>30</v>
      </c>
      <c r="Y941" s="93" t="s">
        <v>1011</v>
      </c>
      <c r="Z941" s="134">
        <f>VLOOKUP(W941,Sheet2!$B:$D,3,FALSE)</f>
        <v>1.76</v>
      </c>
      <c r="AA941" s="93">
        <f>AA940/10</f>
        <v>9.0666666666666659E-2</v>
      </c>
      <c r="AB941" s="93">
        <f>AD941/AC937</f>
        <v>19.411764705882355</v>
      </c>
      <c r="AC941" s="93">
        <f>AC937/AA941</f>
        <v>123.58455882352941</v>
      </c>
      <c r="AD941" s="94">
        <f>AC941*Z941</f>
        <v>217.50882352941176</v>
      </c>
      <c r="AE941" s="190"/>
      <c r="AF941" s="191"/>
      <c r="AG941" s="191"/>
      <c r="AH941" s="191"/>
      <c r="AI941" s="186"/>
      <c r="AK941" s="171"/>
    </row>
    <row r="942" spans="1:41" s="103" customFormat="1" ht="19.899999999999999" customHeight="1" x14ac:dyDescent="0.25">
      <c r="A942" s="51"/>
      <c r="B942" s="52"/>
      <c r="C942" s="165"/>
      <c r="D942" s="52"/>
      <c r="E942" s="115"/>
      <c r="F942" s="58"/>
      <c r="G942" s="58"/>
      <c r="H942" s="58"/>
      <c r="I942" s="55"/>
      <c r="J942" s="113">
        <f>J936</f>
        <v>11.204999999999998</v>
      </c>
      <c r="K942" s="212">
        <f>K936</f>
        <v>11.204999999999998</v>
      </c>
      <c r="L942" s="58"/>
      <c r="M942" s="58">
        <f>K942-L942</f>
        <v>11.204999999999998</v>
      </c>
      <c r="N942" s="166"/>
      <c r="O942" s="58"/>
      <c r="P942" s="58"/>
      <c r="Q942" s="58"/>
      <c r="R942" s="58"/>
      <c r="S942" s="58"/>
      <c r="T942" s="220"/>
      <c r="U942" s="88"/>
      <c r="V942" s="56"/>
      <c r="W942" s="57" t="s">
        <v>1352</v>
      </c>
      <c r="X942" s="53"/>
      <c r="Y942" s="91" t="s">
        <v>35</v>
      </c>
      <c r="Z942" s="136">
        <f>AD942/AC942</f>
        <v>9186.6</v>
      </c>
      <c r="AA942" s="58"/>
      <c r="AB942" s="53">
        <f>AD942/AC942</f>
        <v>9186.6</v>
      </c>
      <c r="AC942" s="53">
        <f>M942+$AE$10</f>
        <v>11.204999999999998</v>
      </c>
      <c r="AD942" s="54">
        <f>SUM(AD943:AD953)</f>
        <v>102935.85299999999</v>
      </c>
      <c r="AE942" s="184">
        <f>SUMIFS($AD$37:$AD$12971,$V$37:$V$12971,$V942,$X$37:$X$12971,AE$13)</f>
        <v>0</v>
      </c>
      <c r="AF942" s="185">
        <f>SUMIFS($AD$37:$AD$12971,$V$37:$V$12971,$V942,$X$37:$X$12971,AF$13)</f>
        <v>0</v>
      </c>
      <c r="AG942" s="185">
        <f>SUMIFS($AD$37:$AD$12971,$V$37:$V$12971,$V942,$X$37:$X$12971,AG$13)</f>
        <v>0</v>
      </c>
      <c r="AH942" s="187">
        <f>SUMIFS($AD$37:$AD$12971,$V$37:$V$12971,$V942,$X$37:$X$12971,AH$13)</f>
        <v>0</v>
      </c>
      <c r="AI942" s="161">
        <f t="shared" ref="AI942" si="781">SUM(AE942:AH942)</f>
        <v>0</v>
      </c>
      <c r="AK942" s="172"/>
    </row>
    <row r="943" spans="1:41" s="102" customFormat="1" ht="19.899999999999999" customHeight="1" x14ac:dyDescent="0.25">
      <c r="A943" s="45"/>
      <c r="B943" s="59"/>
      <c r="C943" s="137"/>
      <c r="D943" s="59"/>
      <c r="E943" s="116"/>
      <c r="F943" s="120"/>
      <c r="G943" s="120"/>
      <c r="H943" s="120"/>
      <c r="I943" s="60"/>
      <c r="J943" s="116"/>
      <c r="K943" s="213"/>
      <c r="L943" s="120"/>
      <c r="M943" s="120"/>
      <c r="N943" s="167"/>
      <c r="O943" s="120"/>
      <c r="P943" s="120"/>
      <c r="Q943" s="120"/>
      <c r="R943" s="120"/>
      <c r="S943" s="120"/>
      <c r="T943" s="221"/>
      <c r="U943" s="89"/>
      <c r="V943" s="61"/>
      <c r="W943" s="92" t="s">
        <v>1032</v>
      </c>
      <c r="X943" s="93" t="s">
        <v>30</v>
      </c>
      <c r="Y943" s="93" t="s">
        <v>66</v>
      </c>
      <c r="Z943" s="134">
        <f>VLOOKUP(W943,Sheet2!$B:$D,3,FALSE)</f>
        <v>250</v>
      </c>
      <c r="AA943" s="93">
        <f>1/(3*3*0.1)</f>
        <v>1.1111111111111112</v>
      </c>
      <c r="AB943" s="93">
        <f t="shared" ref="AB943" si="782">AD943/AC942</f>
        <v>225</v>
      </c>
      <c r="AC943" s="93">
        <f>AC942/AA943</f>
        <v>10.084499999999998</v>
      </c>
      <c r="AD943" s="94">
        <f t="shared" ref="AD943:AD945" si="783">AC943*Z943</f>
        <v>2521.1249999999995</v>
      </c>
      <c r="AE943" s="190"/>
      <c r="AF943" s="191"/>
      <c r="AG943" s="191"/>
      <c r="AH943" s="191"/>
      <c r="AI943" s="186"/>
      <c r="AK943" s="171"/>
    </row>
    <row r="944" spans="1:41" s="102" customFormat="1" ht="19.899999999999999" customHeight="1" x14ac:dyDescent="0.25">
      <c r="A944" s="45"/>
      <c r="B944" s="59"/>
      <c r="C944" s="137"/>
      <c r="D944" s="59"/>
      <c r="E944" s="116"/>
      <c r="F944" s="120"/>
      <c r="G944" s="120"/>
      <c r="H944" s="120"/>
      <c r="I944" s="60"/>
      <c r="J944" s="116"/>
      <c r="K944" s="213"/>
      <c r="L944" s="120"/>
      <c r="M944" s="120"/>
      <c r="N944" s="167"/>
      <c r="O944" s="120"/>
      <c r="P944" s="120"/>
      <c r="Q944" s="120"/>
      <c r="R944" s="120"/>
      <c r="S944" s="120"/>
      <c r="T944" s="221"/>
      <c r="U944" s="89"/>
      <c r="V944" s="61"/>
      <c r="W944" s="92" t="s">
        <v>1353</v>
      </c>
      <c r="X944" s="93" t="s">
        <v>30</v>
      </c>
      <c r="Y944" s="93" t="s">
        <v>66</v>
      </c>
      <c r="Z944" s="134">
        <f>VLOOKUP(W944,Sheet2!$B:$D,3,FALSE)</f>
        <v>350</v>
      </c>
      <c r="AA944" s="93">
        <f>1/(2*2*0.25*5)</f>
        <v>0.2</v>
      </c>
      <c r="AB944" s="93">
        <f>AD944/AC942</f>
        <v>1750</v>
      </c>
      <c r="AC944" s="93">
        <f>AC942/AA944</f>
        <v>56.024999999999991</v>
      </c>
      <c r="AD944" s="94">
        <f t="shared" si="783"/>
        <v>19608.749999999996</v>
      </c>
      <c r="AE944" s="190"/>
      <c r="AF944" s="191"/>
      <c r="AG944" s="191"/>
      <c r="AH944" s="191"/>
      <c r="AI944" s="186"/>
      <c r="AK944" s="171"/>
    </row>
    <row r="945" spans="1:37" s="102" customFormat="1" ht="19.899999999999999" customHeight="1" x14ac:dyDescent="0.25">
      <c r="A945" s="45"/>
      <c r="B945" s="59"/>
      <c r="C945" s="137"/>
      <c r="D945" s="59"/>
      <c r="E945" s="116"/>
      <c r="F945" s="120"/>
      <c r="G945" s="120"/>
      <c r="H945" s="120"/>
      <c r="I945" s="60"/>
      <c r="J945" s="116"/>
      <c r="K945" s="213"/>
      <c r="L945" s="120"/>
      <c r="M945" s="120"/>
      <c r="N945" s="167"/>
      <c r="O945" s="120"/>
      <c r="P945" s="120"/>
      <c r="Q945" s="120"/>
      <c r="R945" s="120"/>
      <c r="S945" s="120"/>
      <c r="T945" s="221"/>
      <c r="U945" s="89"/>
      <c r="V945" s="61"/>
      <c r="W945" s="92" t="s">
        <v>99</v>
      </c>
      <c r="X945" s="93" t="s">
        <v>30</v>
      </c>
      <c r="Y945" s="93" t="s">
        <v>67</v>
      </c>
      <c r="Z945" s="134">
        <f>VLOOKUP(W945,Sheet2!$B:$D,3,FALSE)</f>
        <v>2500</v>
      </c>
      <c r="AA945" s="93">
        <f>1/(2*2*0.25*5*0.08)</f>
        <v>2.5</v>
      </c>
      <c r="AB945" s="93">
        <f>AD945/AC942</f>
        <v>1000</v>
      </c>
      <c r="AC945" s="93">
        <f>AC942/AA945</f>
        <v>4.4819999999999993</v>
      </c>
      <c r="AD945" s="94">
        <f t="shared" si="783"/>
        <v>11204.999999999998</v>
      </c>
      <c r="AE945" s="190"/>
      <c r="AF945" s="191"/>
      <c r="AG945" s="191"/>
      <c r="AH945" s="191"/>
      <c r="AI945" s="186"/>
      <c r="AK945" s="171"/>
    </row>
    <row r="946" spans="1:37" s="102" customFormat="1" ht="19.899999999999999" customHeight="1" x14ac:dyDescent="0.25">
      <c r="A946" s="45"/>
      <c r="B946" s="59"/>
      <c r="C946" s="137"/>
      <c r="D946" s="59"/>
      <c r="E946" s="116"/>
      <c r="F946" s="120"/>
      <c r="G946" s="120"/>
      <c r="H946" s="120"/>
      <c r="I946" s="60"/>
      <c r="J946" s="116"/>
      <c r="K946" s="213"/>
      <c r="L946" s="120"/>
      <c r="M946" s="120"/>
      <c r="N946" s="167"/>
      <c r="O946" s="120"/>
      <c r="P946" s="120"/>
      <c r="Q946" s="120"/>
      <c r="R946" s="120"/>
      <c r="S946" s="120"/>
      <c r="T946" s="221"/>
      <c r="U946" s="89"/>
      <c r="V946" s="61"/>
      <c r="W946" s="92" t="s">
        <v>1354</v>
      </c>
      <c r="X946" s="93" t="s">
        <v>32</v>
      </c>
      <c r="Y946" s="93" t="s">
        <v>66</v>
      </c>
      <c r="Z946" s="134">
        <f>VLOOKUP(W946,Sheet2!$B:$D,3,FALSE)</f>
        <v>150</v>
      </c>
      <c r="AA946" s="93">
        <f>AA943</f>
        <v>1.1111111111111112</v>
      </c>
      <c r="AB946" s="93">
        <f>AD946/AC942</f>
        <v>135</v>
      </c>
      <c r="AC946" s="93">
        <f>AC942/AA946</f>
        <v>10.084499999999998</v>
      </c>
      <c r="AD946" s="94">
        <f>AC946*Z946</f>
        <v>1512.6749999999997</v>
      </c>
      <c r="AE946" s="190"/>
      <c r="AF946" s="191"/>
      <c r="AG946" s="191"/>
      <c r="AH946" s="191"/>
      <c r="AI946" s="186"/>
      <c r="AK946" s="171"/>
    </row>
    <row r="947" spans="1:37" s="102" customFormat="1" ht="19.899999999999999" customHeight="1" x14ac:dyDescent="0.25">
      <c r="A947" s="45"/>
      <c r="B947" s="59"/>
      <c r="C947" s="137"/>
      <c r="D947" s="59"/>
      <c r="E947" s="116"/>
      <c r="F947" s="120"/>
      <c r="G947" s="120"/>
      <c r="H947" s="120"/>
      <c r="I947" s="60"/>
      <c r="J947" s="116"/>
      <c r="K947" s="213"/>
      <c r="L947" s="120"/>
      <c r="M947" s="120"/>
      <c r="N947" s="167"/>
      <c r="O947" s="120"/>
      <c r="P947" s="120"/>
      <c r="Q947" s="120"/>
      <c r="R947" s="120"/>
      <c r="S947" s="120"/>
      <c r="T947" s="221"/>
      <c r="U947" s="89"/>
      <c r="V947" s="61"/>
      <c r="W947" s="92" t="s">
        <v>1355</v>
      </c>
      <c r="X947" s="93" t="s">
        <v>32</v>
      </c>
      <c r="Y947" s="93" t="s">
        <v>66</v>
      </c>
      <c r="Z947" s="134">
        <f>VLOOKUP(W947,Sheet2!$B:$D,3,FALSE)</f>
        <v>450</v>
      </c>
      <c r="AA947" s="93">
        <f>AA944</f>
        <v>0.2</v>
      </c>
      <c r="AB947" s="93">
        <f>AD947/AC942</f>
        <v>2250</v>
      </c>
      <c r="AC947" s="93">
        <f>AC942/AA947</f>
        <v>56.024999999999991</v>
      </c>
      <c r="AD947" s="94">
        <f>AC947*Z947</f>
        <v>25211.249999999996</v>
      </c>
      <c r="AE947" s="190"/>
      <c r="AF947" s="191"/>
      <c r="AG947" s="191"/>
      <c r="AH947" s="191"/>
      <c r="AI947" s="186"/>
      <c r="AK947" s="171"/>
    </row>
    <row r="948" spans="1:37" s="102" customFormat="1" ht="19.899999999999999" customHeight="1" x14ac:dyDescent="0.25">
      <c r="A948" s="45"/>
      <c r="B948" s="59"/>
      <c r="C948" s="137"/>
      <c r="D948" s="59"/>
      <c r="E948" s="116"/>
      <c r="F948" s="120"/>
      <c r="G948" s="120"/>
      <c r="H948" s="120"/>
      <c r="I948" s="60"/>
      <c r="J948" s="116"/>
      <c r="K948" s="213"/>
      <c r="L948" s="120"/>
      <c r="M948" s="120"/>
      <c r="N948" s="167"/>
      <c r="O948" s="120"/>
      <c r="P948" s="120"/>
      <c r="Q948" s="120"/>
      <c r="R948" s="120"/>
      <c r="S948" s="120"/>
      <c r="T948" s="221"/>
      <c r="U948" s="89"/>
      <c r="V948" s="61"/>
      <c r="W948" s="92" t="s">
        <v>1356</v>
      </c>
      <c r="X948" s="93" t="s">
        <v>30</v>
      </c>
      <c r="Y948" s="93" t="s">
        <v>35</v>
      </c>
      <c r="Z948" s="134">
        <f>VLOOKUP(W948,Sheet2!$B:$D,3,FALSE)</f>
        <v>3500</v>
      </c>
      <c r="AA948" s="93">
        <v>1</v>
      </c>
      <c r="AB948" s="93">
        <f>AD948/AC942</f>
        <v>3500</v>
      </c>
      <c r="AC948" s="93">
        <f>AC942/AA948</f>
        <v>11.204999999999998</v>
      </c>
      <c r="AD948" s="94">
        <f t="shared" ref="AD948:AD949" si="784">AC948*Z948</f>
        <v>39217.499999999993</v>
      </c>
      <c r="AE948" s="190"/>
      <c r="AF948" s="191"/>
      <c r="AG948" s="191"/>
      <c r="AH948" s="191"/>
      <c r="AI948" s="186"/>
      <c r="AK948" s="171"/>
    </row>
    <row r="949" spans="1:37" s="102" customFormat="1" ht="19.899999999999999" customHeight="1" x14ac:dyDescent="0.25">
      <c r="A949" s="45"/>
      <c r="B949" s="59"/>
      <c r="C949" s="137"/>
      <c r="D949" s="59"/>
      <c r="E949" s="116"/>
      <c r="F949" s="120"/>
      <c r="G949" s="120"/>
      <c r="H949" s="120"/>
      <c r="I949" s="60"/>
      <c r="J949" s="116"/>
      <c r="K949" s="213"/>
      <c r="L949" s="120"/>
      <c r="M949" s="120"/>
      <c r="N949" s="167"/>
      <c r="O949" s="120"/>
      <c r="P949" s="120"/>
      <c r="Q949" s="120"/>
      <c r="R949" s="120"/>
      <c r="S949" s="120"/>
      <c r="T949" s="221"/>
      <c r="U949" s="89"/>
      <c r="V949" s="61"/>
      <c r="W949" s="92" t="s">
        <v>174</v>
      </c>
      <c r="X949" s="93" t="s">
        <v>29</v>
      </c>
      <c r="Y949" s="93" t="s">
        <v>93</v>
      </c>
      <c r="Z949" s="134">
        <f>VLOOKUP(W949,Sheet2!$B:$D,3,FALSE)</f>
        <v>80</v>
      </c>
      <c r="AA949" s="93">
        <v>4</v>
      </c>
      <c r="AB949" s="93">
        <f>AD949/AC942</f>
        <v>20</v>
      </c>
      <c r="AC949" s="93">
        <f>AC942/AA949</f>
        <v>2.8012499999999996</v>
      </c>
      <c r="AD949" s="94">
        <f t="shared" si="784"/>
        <v>224.09999999999997</v>
      </c>
      <c r="AE949" s="190"/>
      <c r="AF949" s="191"/>
      <c r="AG949" s="191"/>
      <c r="AH949" s="191"/>
      <c r="AI949" s="186"/>
      <c r="AK949" s="171"/>
    </row>
    <row r="950" spans="1:37" s="102" customFormat="1" ht="19.899999999999999" customHeight="1" x14ac:dyDescent="0.25">
      <c r="A950" s="45"/>
      <c r="B950" s="59"/>
      <c r="C950" s="137"/>
      <c r="D950" s="59"/>
      <c r="E950" s="116"/>
      <c r="F950" s="120"/>
      <c r="G950" s="120"/>
      <c r="H950" s="120"/>
      <c r="I950" s="60"/>
      <c r="J950" s="116"/>
      <c r="K950" s="213"/>
      <c r="L950" s="120"/>
      <c r="M950" s="120"/>
      <c r="N950" s="167"/>
      <c r="O950" s="120"/>
      <c r="P950" s="120"/>
      <c r="Q950" s="120"/>
      <c r="R950" s="120"/>
      <c r="S950" s="120"/>
      <c r="T950" s="221"/>
      <c r="U950" s="89"/>
      <c r="V950" s="61"/>
      <c r="W950" s="92" t="s">
        <v>65</v>
      </c>
      <c r="X950" s="93" t="s">
        <v>30</v>
      </c>
      <c r="Y950" s="93" t="s">
        <v>93</v>
      </c>
      <c r="Z950" s="134">
        <f>VLOOKUP(W950,Sheet2!$B:$D,3,FALSE)</f>
        <v>1.76</v>
      </c>
      <c r="AA950" s="93">
        <f>AA949/15</f>
        <v>0.26666666666666666</v>
      </c>
      <c r="AB950" s="93">
        <f>AD950/AC942</f>
        <v>6.6</v>
      </c>
      <c r="AC950" s="93">
        <f>AC942/AA950</f>
        <v>42.018749999999997</v>
      </c>
      <c r="AD950" s="94">
        <f>AC950*Z950</f>
        <v>73.952999999999989</v>
      </c>
      <c r="AE950" s="190"/>
      <c r="AF950" s="191"/>
      <c r="AG950" s="191"/>
      <c r="AH950" s="191"/>
      <c r="AI950" s="186"/>
      <c r="AK950" s="171"/>
    </row>
    <row r="951" spans="1:37" s="102" customFormat="1" ht="19.899999999999999" customHeight="1" x14ac:dyDescent="0.25">
      <c r="A951" s="45"/>
      <c r="B951" s="59"/>
      <c r="C951" s="137"/>
      <c r="D951" s="59"/>
      <c r="E951" s="116"/>
      <c r="F951" s="120"/>
      <c r="G951" s="120"/>
      <c r="H951" s="120"/>
      <c r="I951" s="60"/>
      <c r="J951" s="116"/>
      <c r="K951" s="213"/>
      <c r="L951" s="120"/>
      <c r="M951" s="120"/>
      <c r="N951" s="167"/>
      <c r="O951" s="120"/>
      <c r="P951" s="120"/>
      <c r="Q951" s="120"/>
      <c r="R951" s="120"/>
      <c r="S951" s="120"/>
      <c r="T951" s="221"/>
      <c r="U951" s="89"/>
      <c r="V951" s="61"/>
      <c r="W951" s="92" t="s">
        <v>1357</v>
      </c>
      <c r="X951" s="93" t="s">
        <v>30</v>
      </c>
      <c r="Y951" s="93" t="s">
        <v>1349</v>
      </c>
      <c r="Z951" s="134">
        <f>VLOOKUP(W951,Sheet2!$B:$D,3,FALSE)</f>
        <v>150</v>
      </c>
      <c r="AA951" s="93">
        <v>1</v>
      </c>
      <c r="AB951" s="93">
        <f>AD951/AC942</f>
        <v>150</v>
      </c>
      <c r="AC951" s="93">
        <f>AC942/AA951</f>
        <v>11.204999999999998</v>
      </c>
      <c r="AD951" s="94">
        <f>AC951*Z951</f>
        <v>1680.7499999999998</v>
      </c>
      <c r="AE951" s="190"/>
      <c r="AF951" s="191"/>
      <c r="AG951" s="191"/>
      <c r="AH951" s="191"/>
      <c r="AI951" s="186"/>
      <c r="AK951" s="171"/>
    </row>
    <row r="952" spans="1:37" s="102" customFormat="1" ht="19.899999999999999" customHeight="1" x14ac:dyDescent="0.25">
      <c r="A952" s="45"/>
      <c r="B952" s="59"/>
      <c r="C952" s="137"/>
      <c r="D952" s="59"/>
      <c r="E952" s="116"/>
      <c r="F952" s="120"/>
      <c r="G952" s="120"/>
      <c r="H952" s="120"/>
      <c r="I952" s="60"/>
      <c r="J952" s="116"/>
      <c r="K952" s="213"/>
      <c r="L952" s="120"/>
      <c r="M952" s="120"/>
      <c r="N952" s="167"/>
      <c r="O952" s="120"/>
      <c r="P952" s="120"/>
      <c r="Q952" s="120"/>
      <c r="R952" s="120"/>
      <c r="S952" s="120"/>
      <c r="T952" s="221"/>
      <c r="U952" s="89"/>
      <c r="V952" s="61"/>
      <c r="W952" s="92" t="s">
        <v>107</v>
      </c>
      <c r="X952" s="93" t="s">
        <v>31</v>
      </c>
      <c r="Y952" s="93" t="s">
        <v>93</v>
      </c>
      <c r="Z952" s="134">
        <f>VLOOKUP(W952,Sheet2!$B:$D,3,FALSE)</f>
        <v>17</v>
      </c>
      <c r="AA952" s="93">
        <f>1/5</f>
        <v>0.2</v>
      </c>
      <c r="AB952" s="93">
        <f>AD952/AC942</f>
        <v>85</v>
      </c>
      <c r="AC952" s="93">
        <f>AC942/AA952</f>
        <v>56.024999999999991</v>
      </c>
      <c r="AD952" s="94">
        <f>AC952*Z952</f>
        <v>952.42499999999984</v>
      </c>
      <c r="AE952" s="190"/>
      <c r="AF952" s="191"/>
      <c r="AG952" s="191"/>
      <c r="AH952" s="191"/>
      <c r="AI952" s="186"/>
      <c r="AK952" s="171"/>
    </row>
    <row r="953" spans="1:37" s="102" customFormat="1" ht="19.899999999999999" customHeight="1" x14ac:dyDescent="0.25">
      <c r="A953" s="45"/>
      <c r="B953" s="59"/>
      <c r="C953" s="137"/>
      <c r="D953" s="59"/>
      <c r="E953" s="116"/>
      <c r="F953" s="120"/>
      <c r="G953" s="120"/>
      <c r="H953" s="120"/>
      <c r="I953" s="60"/>
      <c r="J953" s="116"/>
      <c r="K953" s="213"/>
      <c r="L953" s="120"/>
      <c r="M953" s="120"/>
      <c r="N953" s="167"/>
      <c r="O953" s="120"/>
      <c r="P953" s="120"/>
      <c r="Q953" s="120"/>
      <c r="R953" s="120"/>
      <c r="S953" s="120"/>
      <c r="T953" s="221"/>
      <c r="U953" s="89"/>
      <c r="V953" s="61"/>
      <c r="W953" s="92" t="s">
        <v>112</v>
      </c>
      <c r="X953" s="93" t="s">
        <v>31</v>
      </c>
      <c r="Y953" s="93" t="s">
        <v>93</v>
      </c>
      <c r="Z953" s="134">
        <f>VLOOKUP(W953,Sheet2!$B:$D,3,FALSE)</f>
        <v>13</v>
      </c>
      <c r="AA953" s="93">
        <f>AA952</f>
        <v>0.2</v>
      </c>
      <c r="AB953" s="93">
        <f>AD953/AC942</f>
        <v>65</v>
      </c>
      <c r="AC953" s="93">
        <f>AC942/AA953</f>
        <v>56.024999999999991</v>
      </c>
      <c r="AD953" s="94">
        <f>AC953*Z953</f>
        <v>728.32499999999993</v>
      </c>
      <c r="AE953" s="190"/>
      <c r="AF953" s="191"/>
      <c r="AG953" s="191"/>
      <c r="AH953" s="191"/>
      <c r="AI953" s="186"/>
      <c r="AK953" s="171"/>
    </row>
    <row r="954" spans="1:37" s="103" customFormat="1" ht="19.899999999999999" customHeight="1" x14ac:dyDescent="0.25">
      <c r="A954" s="51"/>
      <c r="B954" s="52"/>
      <c r="C954" s="165"/>
      <c r="D954" s="52"/>
      <c r="E954" s="115"/>
      <c r="F954" s="58"/>
      <c r="G954" s="58"/>
      <c r="H954" s="58"/>
      <c r="I954" s="55"/>
      <c r="J954" s="113">
        <f>J936</f>
        <v>11.204999999999998</v>
      </c>
      <c r="K954" s="212">
        <f>K936</f>
        <v>11.204999999999998</v>
      </c>
      <c r="L954" s="58"/>
      <c r="M954" s="58">
        <f>K954-L954</f>
        <v>11.204999999999998</v>
      </c>
      <c r="N954" s="166"/>
      <c r="O954" s="58"/>
      <c r="P954" s="58"/>
      <c r="Q954" s="58"/>
      <c r="R954" s="58"/>
      <c r="S954" s="58"/>
      <c r="T954" s="220"/>
      <c r="U954" s="88"/>
      <c r="V954" s="56"/>
      <c r="W954" s="57" t="s">
        <v>1358</v>
      </c>
      <c r="X954" s="53"/>
      <c r="Y954" s="91" t="s">
        <v>35</v>
      </c>
      <c r="Z954" s="136">
        <f>AD954/AC954</f>
        <v>2800</v>
      </c>
      <c r="AA954" s="58"/>
      <c r="AB954" s="53">
        <f>AD954/AC954</f>
        <v>2800</v>
      </c>
      <c r="AC954" s="53">
        <f>M954+$AE$10</f>
        <v>11.204999999999998</v>
      </c>
      <c r="AD954" s="54">
        <f>SUM(AD955:AD956)</f>
        <v>31373.999999999993</v>
      </c>
      <c r="AE954" s="184">
        <f>SUMIFS($AD$37:$AD$12971,$V$37:$V$12971,$V954,$X$37:$X$12971,AE$13)</f>
        <v>0</v>
      </c>
      <c r="AF954" s="185">
        <f>SUMIFS($AD$37:$AD$12971,$V$37:$V$12971,$V954,$X$37:$X$12971,AF$13)</f>
        <v>0</v>
      </c>
      <c r="AG954" s="185">
        <f>SUMIFS($AD$37:$AD$12971,$V$37:$V$12971,$V954,$X$37:$X$12971,AG$13)</f>
        <v>0</v>
      </c>
      <c r="AH954" s="187">
        <f>SUMIFS($AD$37:$AD$12971,$V$37:$V$12971,$V954,$X$37:$X$12971,AH$13)</f>
        <v>0</v>
      </c>
      <c r="AI954" s="161">
        <f t="shared" ref="AI954" si="785">SUM(AE954:AH954)</f>
        <v>0</v>
      </c>
      <c r="AK954" s="172"/>
    </row>
    <row r="955" spans="1:37" s="102" customFormat="1" ht="19.899999999999999" customHeight="1" x14ac:dyDescent="0.25">
      <c r="A955" s="45"/>
      <c r="B955" s="59"/>
      <c r="C955" s="137"/>
      <c r="D955" s="59"/>
      <c r="E955" s="116"/>
      <c r="F955" s="120"/>
      <c r="G955" s="120"/>
      <c r="H955" s="120"/>
      <c r="I955" s="60"/>
      <c r="J955" s="116"/>
      <c r="K955" s="213"/>
      <c r="L955" s="120"/>
      <c r="M955" s="120"/>
      <c r="N955" s="167"/>
      <c r="O955" s="120"/>
      <c r="P955" s="120"/>
      <c r="Q955" s="120"/>
      <c r="R955" s="120"/>
      <c r="S955" s="120"/>
      <c r="T955" s="221"/>
      <c r="U955" s="89"/>
      <c r="V955" s="61"/>
      <c r="W955" s="92" t="s">
        <v>1359</v>
      </c>
      <c r="X955" s="93" t="s">
        <v>32</v>
      </c>
      <c r="Y955" s="93" t="s">
        <v>64</v>
      </c>
      <c r="Z955" s="134">
        <f>VLOOKUP(W955,Sheet2!$B:$D,3,FALSE)</f>
        <v>40</v>
      </c>
      <c r="AA955" s="93">
        <f>1/40</f>
        <v>2.5000000000000001E-2</v>
      </c>
      <c r="AB955" s="93">
        <f t="shared" ref="AB955" si="786">AD955/AC954</f>
        <v>1600</v>
      </c>
      <c r="AC955" s="93">
        <f>AC954/AA955</f>
        <v>448.19999999999993</v>
      </c>
      <c r="AD955" s="94">
        <f t="shared" ref="AD955:AD956" si="787">AC955*Z955</f>
        <v>17927.999999999996</v>
      </c>
      <c r="AE955" s="190"/>
      <c r="AF955" s="191"/>
      <c r="AG955" s="191"/>
      <c r="AH955" s="191"/>
      <c r="AI955" s="186"/>
      <c r="AK955" s="171"/>
    </row>
    <row r="956" spans="1:37" s="102" customFormat="1" ht="19.899999999999999" customHeight="1" x14ac:dyDescent="0.25">
      <c r="A956" s="45"/>
      <c r="B956" s="59"/>
      <c r="C956" s="137"/>
      <c r="D956" s="59"/>
      <c r="E956" s="116"/>
      <c r="F956" s="120"/>
      <c r="G956" s="120"/>
      <c r="H956" s="120"/>
      <c r="I956" s="60"/>
      <c r="J956" s="116"/>
      <c r="K956" s="213"/>
      <c r="L956" s="120"/>
      <c r="M956" s="120"/>
      <c r="N956" s="167"/>
      <c r="O956" s="120"/>
      <c r="P956" s="120"/>
      <c r="Q956" s="120"/>
      <c r="R956" s="120"/>
      <c r="S956" s="120"/>
      <c r="T956" s="221"/>
      <c r="U956" s="89"/>
      <c r="V956" s="61"/>
      <c r="W956" s="92" t="s">
        <v>1360</v>
      </c>
      <c r="X956" s="93" t="s">
        <v>32</v>
      </c>
      <c r="Y956" s="93" t="s">
        <v>64</v>
      </c>
      <c r="Z956" s="134">
        <f>VLOOKUP(W956,Sheet2!$B:$D,3,FALSE)</f>
        <v>30</v>
      </c>
      <c r="AA956" s="93">
        <f>AA955</f>
        <v>2.5000000000000001E-2</v>
      </c>
      <c r="AB956" s="93">
        <f>AD956/AC954</f>
        <v>1200</v>
      </c>
      <c r="AC956" s="93">
        <f>AC954/AA956</f>
        <v>448.19999999999993</v>
      </c>
      <c r="AD956" s="94">
        <f t="shared" si="787"/>
        <v>13445.999999999998</v>
      </c>
      <c r="AE956" s="190"/>
      <c r="AF956" s="191"/>
      <c r="AG956" s="191"/>
      <c r="AH956" s="191"/>
      <c r="AI956" s="186"/>
      <c r="AK956" s="171"/>
    </row>
    <row r="957" spans="1:37" s="103" customFormat="1" ht="19.899999999999999" customHeight="1" x14ac:dyDescent="0.25">
      <c r="A957" s="51"/>
      <c r="B957" s="52"/>
      <c r="C957" s="165"/>
      <c r="D957" s="52"/>
      <c r="E957" s="115"/>
      <c r="F957" s="58"/>
      <c r="G957" s="58"/>
      <c r="H957" s="58"/>
      <c r="I957" s="55"/>
      <c r="J957" s="113">
        <f>J936</f>
        <v>11.204999999999998</v>
      </c>
      <c r="K957" s="212">
        <f>K936</f>
        <v>11.204999999999998</v>
      </c>
      <c r="L957" s="58"/>
      <c r="M957" s="58">
        <f>K957-L957</f>
        <v>11.204999999999998</v>
      </c>
      <c r="N957" s="166"/>
      <c r="O957" s="58"/>
      <c r="P957" s="58"/>
      <c r="Q957" s="58"/>
      <c r="R957" s="58"/>
      <c r="S957" s="58"/>
      <c r="T957" s="220"/>
      <c r="U957" s="88"/>
      <c r="V957" s="56"/>
      <c r="W957" s="57" t="s">
        <v>1272</v>
      </c>
      <c r="X957" s="53"/>
      <c r="Y957" s="91" t="s">
        <v>35</v>
      </c>
      <c r="Z957" s="136">
        <f>AD957/AC957</f>
        <v>209.08263529411769</v>
      </c>
      <c r="AA957" s="58"/>
      <c r="AB957" s="53">
        <f>AD957/AC957</f>
        <v>209.08263529411769</v>
      </c>
      <c r="AC957" s="53">
        <f>M957+$AE$10</f>
        <v>11.204999999999998</v>
      </c>
      <c r="AD957" s="54">
        <f>SUM(AD958:AD966)</f>
        <v>2342.7709284705884</v>
      </c>
      <c r="AE957" s="184">
        <f>SUMIFS($AD$37:$AD$12971,$V$37:$V$12971,$V957,$X$37:$X$12971,AE$13)</f>
        <v>0</v>
      </c>
      <c r="AF957" s="185">
        <f>SUMIFS($AD$37:$AD$12971,$V$37:$V$12971,$V957,$X$37:$X$12971,AF$13)</f>
        <v>0</v>
      </c>
      <c r="AG957" s="185">
        <f>SUMIFS($AD$37:$AD$12971,$V$37:$V$12971,$V957,$X$37:$X$12971,AG$13)</f>
        <v>0</v>
      </c>
      <c r="AH957" s="187">
        <f>SUMIFS($AD$37:$AD$12971,$V$37:$V$12971,$V957,$X$37:$X$12971,AH$13)</f>
        <v>0</v>
      </c>
      <c r="AI957" s="161">
        <f t="shared" ref="AI957" si="788">SUM(AE957:AH957)</f>
        <v>0</v>
      </c>
      <c r="AK957" s="172"/>
    </row>
    <row r="958" spans="1:37" s="102" customFormat="1" ht="19.899999999999999" customHeight="1" x14ac:dyDescent="0.25">
      <c r="A958" s="45"/>
      <c r="B958" s="59"/>
      <c r="C958" s="137"/>
      <c r="D958" s="59"/>
      <c r="E958" s="116"/>
      <c r="F958" s="120"/>
      <c r="G958" s="120"/>
      <c r="H958" s="120"/>
      <c r="I958" s="60"/>
      <c r="J958" s="116"/>
      <c r="K958" s="213"/>
      <c r="L958" s="120"/>
      <c r="M958" s="120"/>
      <c r="N958" s="167"/>
      <c r="O958" s="120"/>
      <c r="P958" s="120"/>
      <c r="Q958" s="120"/>
      <c r="R958" s="120"/>
      <c r="S958" s="120"/>
      <c r="T958" s="221"/>
      <c r="U958" s="89"/>
      <c r="V958" s="61"/>
      <c r="W958" s="92" t="s">
        <v>1273</v>
      </c>
      <c r="X958" s="93" t="s">
        <v>30</v>
      </c>
      <c r="Y958" s="93" t="s">
        <v>66</v>
      </c>
      <c r="Z958" s="134">
        <f>VLOOKUP(W958,Sheet2!$B:$D,3,FALSE)</f>
        <v>10</v>
      </c>
      <c r="AA958" s="93">
        <f>1/(2.5*2.4*0.5*4)</f>
        <v>8.3333333333333329E-2</v>
      </c>
      <c r="AB958" s="93">
        <f>AD958/AC957</f>
        <v>120.00000000000001</v>
      </c>
      <c r="AC958" s="93">
        <f>AC957/AA958</f>
        <v>134.45999999999998</v>
      </c>
      <c r="AD958" s="94">
        <f t="shared" ref="AD958:AD960" si="789">AC958*Z958</f>
        <v>1344.6</v>
      </c>
      <c r="AE958" s="190"/>
      <c r="AF958" s="191"/>
      <c r="AG958" s="191"/>
      <c r="AH958" s="191"/>
      <c r="AI958" s="186"/>
      <c r="AK958" s="171"/>
    </row>
    <row r="959" spans="1:37" s="102" customFormat="1" ht="19.899999999999999" customHeight="1" x14ac:dyDescent="0.25">
      <c r="A959" s="45"/>
      <c r="B959" s="59"/>
      <c r="C959" s="137"/>
      <c r="D959" s="59"/>
      <c r="E959" s="116"/>
      <c r="F959" s="120"/>
      <c r="G959" s="120"/>
      <c r="H959" s="120"/>
      <c r="I959" s="60"/>
      <c r="J959" s="116"/>
      <c r="K959" s="213"/>
      <c r="L959" s="120"/>
      <c r="M959" s="120"/>
      <c r="N959" s="167"/>
      <c r="O959" s="120"/>
      <c r="P959" s="120"/>
      <c r="Q959" s="120"/>
      <c r="R959" s="120"/>
      <c r="S959" s="120"/>
      <c r="T959" s="221"/>
      <c r="U959" s="89"/>
      <c r="V959" s="61"/>
      <c r="W959" s="92" t="s">
        <v>134</v>
      </c>
      <c r="X959" s="93" t="s">
        <v>29</v>
      </c>
      <c r="Y959" s="93" t="s">
        <v>93</v>
      </c>
      <c r="Z959" s="134">
        <f>VLOOKUP(W959,Sheet2!$B:$D,3,FALSE)</f>
        <v>65.599999999999994</v>
      </c>
      <c r="AA959" s="93">
        <f>100/(2.5*2.4*0.5*4)</f>
        <v>8.3333333333333339</v>
      </c>
      <c r="AB959" s="93">
        <f t="shared" ref="AB959" si="790">AD959/AC957</f>
        <v>7.8719999999999999</v>
      </c>
      <c r="AC959" s="93">
        <f>AC957/AA959</f>
        <v>1.3445999999999998</v>
      </c>
      <c r="AD959" s="94">
        <f t="shared" si="789"/>
        <v>88.205759999999984</v>
      </c>
      <c r="AE959" s="190"/>
      <c r="AF959" s="191"/>
      <c r="AG959" s="191"/>
      <c r="AH959" s="191"/>
      <c r="AI959" s="186"/>
      <c r="AK959" s="171"/>
    </row>
    <row r="960" spans="1:37" s="102" customFormat="1" ht="19.899999999999999" customHeight="1" x14ac:dyDescent="0.25">
      <c r="A960" s="45"/>
      <c r="B960" s="59"/>
      <c r="C960" s="137"/>
      <c r="D960" s="59"/>
      <c r="E960" s="116"/>
      <c r="F960" s="120"/>
      <c r="G960" s="120"/>
      <c r="H960" s="120"/>
      <c r="I960" s="60"/>
      <c r="J960" s="116"/>
      <c r="K960" s="213"/>
      <c r="L960" s="120"/>
      <c r="M960" s="120"/>
      <c r="N960" s="167"/>
      <c r="O960" s="120"/>
      <c r="P960" s="120"/>
      <c r="Q960" s="120"/>
      <c r="R960" s="120"/>
      <c r="S960" s="120"/>
      <c r="T960" s="221"/>
      <c r="U960" s="89"/>
      <c r="V960" s="61"/>
      <c r="W960" s="92" t="s">
        <v>65</v>
      </c>
      <c r="X960" s="93" t="s">
        <v>30</v>
      </c>
      <c r="Y960" s="93" t="s">
        <v>1011</v>
      </c>
      <c r="Z960" s="134">
        <f>VLOOKUP(W960,Sheet2!$B:$D,3,FALSE)</f>
        <v>1.76</v>
      </c>
      <c r="AA960" s="93">
        <f>AA959/9</f>
        <v>0.92592592592592604</v>
      </c>
      <c r="AB960" s="93">
        <f>AD960/AC957</f>
        <v>1.9007999999999996</v>
      </c>
      <c r="AC960" s="93">
        <f>AC957/AA960</f>
        <v>12.101399999999996</v>
      </c>
      <c r="AD960" s="94">
        <f t="shared" si="789"/>
        <v>21.298463999999992</v>
      </c>
      <c r="AE960" s="190"/>
      <c r="AF960" s="191"/>
      <c r="AG960" s="191"/>
      <c r="AH960" s="191"/>
      <c r="AI960" s="186"/>
      <c r="AK960" s="171"/>
    </row>
    <row r="961" spans="1:41" s="102" customFormat="1" ht="19.899999999999999" customHeight="1" x14ac:dyDescent="0.25">
      <c r="A961" s="45"/>
      <c r="B961" s="59"/>
      <c r="C961" s="137"/>
      <c r="D961" s="59"/>
      <c r="E961" s="116"/>
      <c r="F961" s="120"/>
      <c r="G961" s="120"/>
      <c r="H961" s="120"/>
      <c r="I961" s="60"/>
      <c r="J961" s="116"/>
      <c r="K961" s="213"/>
      <c r="L961" s="120"/>
      <c r="M961" s="120"/>
      <c r="N961" s="167"/>
      <c r="O961" s="120"/>
      <c r="P961" s="120"/>
      <c r="Q961" s="120"/>
      <c r="R961" s="120"/>
      <c r="S961" s="120"/>
      <c r="T961" s="221"/>
      <c r="U961" s="89"/>
      <c r="V961" s="61"/>
      <c r="W961" s="92" t="s">
        <v>161</v>
      </c>
      <c r="X961" s="93" t="s">
        <v>29</v>
      </c>
      <c r="Y961" s="93" t="s">
        <v>93</v>
      </c>
      <c r="Z961" s="134">
        <f>VLOOKUP(W961,Sheet2!$B:$D,3,FALSE)</f>
        <v>48</v>
      </c>
      <c r="AA961" s="93">
        <f>(16*0.85*1.5)/(2.5*2.4*0.5*4)</f>
        <v>1.7</v>
      </c>
      <c r="AB961" s="93">
        <f>AD961/AC957</f>
        <v>28.235294117647058</v>
      </c>
      <c r="AC961" s="93">
        <f>AC957/AA961</f>
        <v>6.5911764705882341</v>
      </c>
      <c r="AD961" s="94">
        <f>AC961*Z961</f>
        <v>316.37647058823524</v>
      </c>
      <c r="AE961" s="190"/>
      <c r="AF961" s="191"/>
      <c r="AG961" s="191"/>
      <c r="AH961" s="191"/>
      <c r="AI961" s="186"/>
      <c r="AK961" s="171"/>
    </row>
    <row r="962" spans="1:41" s="102" customFormat="1" ht="19.899999999999999" customHeight="1" x14ac:dyDescent="0.25">
      <c r="A962" s="45"/>
      <c r="B962" s="59"/>
      <c r="C962" s="137"/>
      <c r="D962" s="59"/>
      <c r="E962" s="116"/>
      <c r="F962" s="120"/>
      <c r="G962" s="120"/>
      <c r="H962" s="120"/>
      <c r="I962" s="60"/>
      <c r="J962" s="116"/>
      <c r="K962" s="213"/>
      <c r="L962" s="120"/>
      <c r="M962" s="120"/>
      <c r="N962" s="167"/>
      <c r="O962" s="120"/>
      <c r="P962" s="120"/>
      <c r="Q962" s="120"/>
      <c r="R962" s="120"/>
      <c r="S962" s="120"/>
      <c r="T962" s="221"/>
      <c r="U962" s="89"/>
      <c r="V962" s="61"/>
      <c r="W962" s="92" t="s">
        <v>65</v>
      </c>
      <c r="X962" s="93" t="s">
        <v>30</v>
      </c>
      <c r="Y962" s="93" t="s">
        <v>1011</v>
      </c>
      <c r="Z962" s="134">
        <f>VLOOKUP(W962,Sheet2!$B:$D,3,FALSE)</f>
        <v>1.76</v>
      </c>
      <c r="AA962" s="93">
        <f>AA961/10</f>
        <v>0.16999999999999998</v>
      </c>
      <c r="AB962" s="93">
        <f>AD962/AC957</f>
        <v>10.352941176470589</v>
      </c>
      <c r="AC962" s="93">
        <f>AC957/AA962</f>
        <v>65.911764705882348</v>
      </c>
      <c r="AD962" s="94">
        <f>AC962*Z962</f>
        <v>116.00470588235294</v>
      </c>
      <c r="AE962" s="190"/>
      <c r="AF962" s="191"/>
      <c r="AG962" s="191"/>
      <c r="AH962" s="191"/>
      <c r="AI962" s="186"/>
      <c r="AK962" s="171"/>
    </row>
    <row r="963" spans="1:41" s="102" customFormat="1" ht="19.899999999999999" customHeight="1" x14ac:dyDescent="0.25">
      <c r="A963" s="45"/>
      <c r="B963" s="59"/>
      <c r="C963" s="137"/>
      <c r="D963" s="59"/>
      <c r="E963" s="116"/>
      <c r="F963" s="120"/>
      <c r="G963" s="120"/>
      <c r="H963" s="120"/>
      <c r="I963" s="60"/>
      <c r="J963" s="116"/>
      <c r="K963" s="213"/>
      <c r="L963" s="120"/>
      <c r="M963" s="120"/>
      <c r="N963" s="167"/>
      <c r="O963" s="120"/>
      <c r="P963" s="120"/>
      <c r="Q963" s="120"/>
      <c r="R963" s="120"/>
      <c r="S963" s="120"/>
      <c r="T963" s="221"/>
      <c r="U963" s="89"/>
      <c r="V963" s="61"/>
      <c r="W963" s="92" t="s">
        <v>173</v>
      </c>
      <c r="X963" s="93" t="s">
        <v>29</v>
      </c>
      <c r="Y963" s="93" t="s">
        <v>93</v>
      </c>
      <c r="Z963" s="134">
        <f>VLOOKUP(W963,Sheet2!$B:$D,3,FALSE)</f>
        <v>36</v>
      </c>
      <c r="AA963" s="93">
        <f>50/(2.5*2.4*0.5*4)</f>
        <v>4.166666666666667</v>
      </c>
      <c r="AB963" s="93">
        <f>AD963/AC957</f>
        <v>8.64</v>
      </c>
      <c r="AC963" s="93">
        <f>AC957/AA963</f>
        <v>2.6891999999999996</v>
      </c>
      <c r="AD963" s="94">
        <f>AC963*Z963</f>
        <v>96.811199999999985</v>
      </c>
      <c r="AE963" s="190"/>
      <c r="AF963" s="191"/>
      <c r="AG963" s="191"/>
      <c r="AH963" s="191"/>
      <c r="AI963" s="186"/>
      <c r="AK963" s="171"/>
    </row>
    <row r="964" spans="1:41" s="102" customFormat="1" ht="19.899999999999999" customHeight="1" x14ac:dyDescent="0.25">
      <c r="A964" s="45"/>
      <c r="B964" s="59"/>
      <c r="C964" s="137"/>
      <c r="D964" s="59"/>
      <c r="E964" s="116"/>
      <c r="F964" s="120"/>
      <c r="G964" s="120"/>
      <c r="H964" s="120"/>
      <c r="I964" s="60"/>
      <c r="J964" s="116"/>
      <c r="K964" s="213"/>
      <c r="L964" s="120"/>
      <c r="M964" s="120"/>
      <c r="N964" s="167"/>
      <c r="O964" s="120"/>
      <c r="P964" s="120"/>
      <c r="Q964" s="120"/>
      <c r="R964" s="120"/>
      <c r="S964" s="120"/>
      <c r="T964" s="221"/>
      <c r="U964" s="89"/>
      <c r="V964" s="61"/>
      <c r="W964" s="92" t="s">
        <v>65</v>
      </c>
      <c r="X964" s="93" t="s">
        <v>30</v>
      </c>
      <c r="Y964" s="93" t="s">
        <v>1011</v>
      </c>
      <c r="Z964" s="134">
        <f>VLOOKUP(W964,Sheet2!$B:$D,3,FALSE)</f>
        <v>1.76</v>
      </c>
      <c r="AA964" s="93">
        <f>AA963/9</f>
        <v>0.46296296296296302</v>
      </c>
      <c r="AB964" s="93">
        <f>AD964/AC957</f>
        <v>3.8015999999999992</v>
      </c>
      <c r="AC964" s="93">
        <f>AC957/AA964</f>
        <v>24.202799999999993</v>
      </c>
      <c r="AD964" s="94">
        <f>AC964*Z964</f>
        <v>42.596927999999984</v>
      </c>
      <c r="AE964" s="190"/>
      <c r="AF964" s="191"/>
      <c r="AG964" s="191"/>
      <c r="AH964" s="191"/>
      <c r="AI964" s="186"/>
      <c r="AK964" s="171"/>
    </row>
    <row r="965" spans="1:41" s="102" customFormat="1" ht="19.899999999999999" customHeight="1" x14ac:dyDescent="0.25">
      <c r="A965" s="45"/>
      <c r="B965" s="59"/>
      <c r="C965" s="137"/>
      <c r="D965" s="59"/>
      <c r="E965" s="116"/>
      <c r="F965" s="120"/>
      <c r="G965" s="120"/>
      <c r="H965" s="120"/>
      <c r="I965" s="60"/>
      <c r="J965" s="116"/>
      <c r="K965" s="213"/>
      <c r="L965" s="120"/>
      <c r="M965" s="120"/>
      <c r="N965" s="167"/>
      <c r="O965" s="120"/>
      <c r="P965" s="120"/>
      <c r="Q965" s="120"/>
      <c r="R965" s="120"/>
      <c r="S965" s="120"/>
      <c r="T965" s="221"/>
      <c r="U965" s="89"/>
      <c r="V965" s="61"/>
      <c r="W965" s="92" t="s">
        <v>1030</v>
      </c>
      <c r="X965" s="93" t="s">
        <v>29</v>
      </c>
      <c r="Y965" s="93" t="s">
        <v>93</v>
      </c>
      <c r="Z965" s="134">
        <f>VLOOKUP(W965,Sheet2!$B:$D,3,FALSE)</f>
        <v>23</v>
      </c>
      <c r="AA965" s="93">
        <v>1</v>
      </c>
      <c r="AB965" s="93">
        <f>AD965/AC957</f>
        <v>23</v>
      </c>
      <c r="AC965" s="93">
        <f>AC957/AA965</f>
        <v>11.204999999999998</v>
      </c>
      <c r="AD965" s="94">
        <f t="shared" ref="AD965:AD966" si="791">AC965*Z965</f>
        <v>257.71499999999997</v>
      </c>
      <c r="AE965" s="190"/>
      <c r="AF965" s="191"/>
      <c r="AG965" s="191"/>
      <c r="AH965" s="191"/>
      <c r="AI965" s="186"/>
      <c r="AK965" s="171"/>
    </row>
    <row r="966" spans="1:41" s="102" customFormat="1" ht="19.899999999999999" customHeight="1" x14ac:dyDescent="0.25">
      <c r="A966" s="45"/>
      <c r="B966" s="59"/>
      <c r="C966" s="137"/>
      <c r="D966" s="59"/>
      <c r="E966" s="116"/>
      <c r="F966" s="120"/>
      <c r="G966" s="120"/>
      <c r="H966" s="120"/>
      <c r="I966" s="60"/>
      <c r="J966" s="116"/>
      <c r="K966" s="213"/>
      <c r="L966" s="120"/>
      <c r="M966" s="120"/>
      <c r="N966" s="167"/>
      <c r="O966" s="120"/>
      <c r="P966" s="120"/>
      <c r="Q966" s="120"/>
      <c r="R966" s="120"/>
      <c r="S966" s="120"/>
      <c r="T966" s="221"/>
      <c r="U966" s="89"/>
      <c r="V966" s="61"/>
      <c r="W966" s="92" t="s">
        <v>65</v>
      </c>
      <c r="X966" s="93" t="s">
        <v>30</v>
      </c>
      <c r="Y966" s="93" t="s">
        <v>1011</v>
      </c>
      <c r="Z966" s="134">
        <f>VLOOKUP(W966,Sheet2!$B:$D,3,FALSE)</f>
        <v>1.76</v>
      </c>
      <c r="AA966" s="93">
        <f>AA965/3</f>
        <v>0.33333333333333331</v>
      </c>
      <c r="AB966" s="93">
        <f>AD966/AC957</f>
        <v>5.28</v>
      </c>
      <c r="AC966" s="93">
        <f>AC957/AA966</f>
        <v>33.614999999999995</v>
      </c>
      <c r="AD966" s="94">
        <f t="shared" si="791"/>
        <v>59.162399999999991</v>
      </c>
      <c r="AE966" s="190"/>
      <c r="AF966" s="191"/>
      <c r="AG966" s="191"/>
      <c r="AH966" s="191"/>
      <c r="AI966" s="186"/>
      <c r="AK966" s="171"/>
    </row>
    <row r="967" spans="1:41" ht="20.100000000000001" customHeight="1" x14ac:dyDescent="0.25">
      <c r="A967" s="277" t="s">
        <v>216</v>
      </c>
      <c r="B967" s="278"/>
      <c r="C967" s="64" t="s">
        <v>339</v>
      </c>
      <c r="D967" s="46" t="s">
        <v>328</v>
      </c>
      <c r="E967" s="114">
        <v>0.69499999999999984</v>
      </c>
      <c r="F967" s="44">
        <v>10070</v>
      </c>
      <c r="G967" s="44">
        <f t="shared" si="607"/>
        <v>6998.6499999999987</v>
      </c>
      <c r="H967" s="44">
        <f t="shared" si="608"/>
        <v>2172.8366039215689</v>
      </c>
      <c r="I967" s="43">
        <f t="shared" si="609"/>
        <v>1510.1214397254901</v>
      </c>
      <c r="J967" s="112">
        <f t="shared" si="610"/>
        <v>0.69499999999999984</v>
      </c>
      <c r="K967" s="211">
        <f t="shared" si="611"/>
        <v>0.69499999999999984</v>
      </c>
      <c r="L967" s="44"/>
      <c r="M967" s="44">
        <f t="shared" si="612"/>
        <v>0.69499999999999984</v>
      </c>
      <c r="N967" s="173">
        <f t="shared" si="613"/>
        <v>1</v>
      </c>
      <c r="O967" s="44">
        <f t="shared" si="614"/>
        <v>10070</v>
      </c>
      <c r="P967" s="44">
        <f t="shared" si="615"/>
        <v>6998.6499999999987</v>
      </c>
      <c r="Q967" s="44">
        <f t="shared" si="616"/>
        <v>2172.8366039215689</v>
      </c>
      <c r="R967" s="44">
        <f t="shared" si="617"/>
        <v>1510.1214397254901</v>
      </c>
      <c r="S967" s="123"/>
      <c r="T967" s="219">
        <f t="shared" si="618"/>
        <v>1510.1214397254901</v>
      </c>
      <c r="U967" s="87"/>
      <c r="V967" s="47"/>
      <c r="W967" s="48"/>
      <c r="X967" s="48"/>
      <c r="Y967" s="48"/>
      <c r="Z967" s="135"/>
      <c r="AA967" s="49"/>
      <c r="AB967" s="50">
        <f t="shared" si="619"/>
        <v>2172.8366039215689</v>
      </c>
      <c r="AC967" s="42">
        <f t="shared" si="620"/>
        <v>0.69499999999999984</v>
      </c>
      <c r="AD967" s="90">
        <f>AD968+AD973+AD980+AD983</f>
        <v>1510.1214397254901</v>
      </c>
      <c r="AE967" s="188">
        <f t="shared" ref="AE967" si="792">AE968+AE973+AE980+AE983</f>
        <v>0</v>
      </c>
      <c r="AF967" s="189">
        <f t="shared" ref="AF967" si="793">AF968+AF973+AF980+AF983</f>
        <v>0</v>
      </c>
      <c r="AG967" s="189">
        <f t="shared" ref="AG967" si="794">AG968+AG973+AG980+AG983</f>
        <v>0</v>
      </c>
      <c r="AH967" s="189">
        <f t="shared" ref="AH967" si="795">AH968+AH973+AH980+AH983</f>
        <v>0</v>
      </c>
      <c r="AI967" s="161">
        <f t="shared" ref="AI967" si="796">SUM(AE967:AH967)</f>
        <v>0</v>
      </c>
      <c r="AK967" s="169">
        <v>5</v>
      </c>
      <c r="AO967" s="19" t="s">
        <v>63</v>
      </c>
    </row>
    <row r="968" spans="1:41" s="103" customFormat="1" ht="19.899999999999999" customHeight="1" x14ac:dyDescent="0.25">
      <c r="A968" s="51"/>
      <c r="B968" s="52"/>
      <c r="C968" s="165"/>
      <c r="D968" s="52"/>
      <c r="E968" s="115"/>
      <c r="F968" s="58"/>
      <c r="G968" s="58"/>
      <c r="H968" s="58"/>
      <c r="I968" s="55"/>
      <c r="J968" s="113">
        <f>J967</f>
        <v>0.69499999999999984</v>
      </c>
      <c r="K968" s="212">
        <f>K967</f>
        <v>0.69499999999999984</v>
      </c>
      <c r="L968" s="58"/>
      <c r="M968" s="58">
        <f>K968-L968</f>
        <v>0.69499999999999984</v>
      </c>
      <c r="N968" s="166"/>
      <c r="O968" s="58"/>
      <c r="P968" s="58"/>
      <c r="Q968" s="58"/>
      <c r="R968" s="58"/>
      <c r="S968" s="58"/>
      <c r="T968" s="220"/>
      <c r="U968" s="88"/>
      <c r="V968" s="56"/>
      <c r="W968" s="57" t="s">
        <v>1361</v>
      </c>
      <c r="X968" s="53"/>
      <c r="Y968" s="91" t="s">
        <v>35</v>
      </c>
      <c r="Z968" s="136">
        <f>AD968/AC968</f>
        <v>18.099388235294118</v>
      </c>
      <c r="AA968" s="58"/>
      <c r="AB968" s="53">
        <f>AD968/AC968</f>
        <v>18.099388235294118</v>
      </c>
      <c r="AC968" s="53">
        <f>M968+$AE$10</f>
        <v>0.69499999999999984</v>
      </c>
      <c r="AD968" s="54">
        <f>SUM(AD969:AD972)</f>
        <v>12.579074823529409</v>
      </c>
      <c r="AE968" s="184">
        <f>SUMIFS($AD$37:$AD$12971,$V$37:$V$12971,$V968,$X$37:$X$12971,AE$13)</f>
        <v>0</v>
      </c>
      <c r="AF968" s="185">
        <f>SUMIFS($AD$37:$AD$12971,$V$37:$V$12971,$V968,$X$37:$X$12971,AF$13)</f>
        <v>0</v>
      </c>
      <c r="AG968" s="185">
        <f>SUMIFS($AD$37:$AD$12971,$V$37:$V$12971,$V968,$X$37:$X$12971,AG$13)</f>
        <v>0</v>
      </c>
      <c r="AH968" s="187">
        <f>SUMIFS($AD$37:$AD$12971,$V$37:$V$12971,$V968,$X$37:$X$12971,AH$13)</f>
        <v>0</v>
      </c>
      <c r="AI968" s="161">
        <f t="shared" ref="AI968" si="797">SUM(AE968:AH968)</f>
        <v>0</v>
      </c>
      <c r="AK968" s="172"/>
    </row>
    <row r="969" spans="1:41" s="102" customFormat="1" ht="19.899999999999999" customHeight="1" x14ac:dyDescent="0.25">
      <c r="A969" s="45"/>
      <c r="B969" s="59"/>
      <c r="C969" s="137"/>
      <c r="D969" s="59"/>
      <c r="E969" s="116"/>
      <c r="F969" s="120"/>
      <c r="G969" s="120"/>
      <c r="H969" s="120"/>
      <c r="I969" s="60"/>
      <c r="J969" s="116"/>
      <c r="K969" s="213"/>
      <c r="L969" s="120"/>
      <c r="M969" s="120"/>
      <c r="N969" s="167"/>
      <c r="O969" s="120"/>
      <c r="P969" s="120"/>
      <c r="Q969" s="120"/>
      <c r="R969" s="120"/>
      <c r="S969" s="120"/>
      <c r="T969" s="221"/>
      <c r="U969" s="89"/>
      <c r="V969" s="61"/>
      <c r="W969" s="92" t="s">
        <v>129</v>
      </c>
      <c r="X969" s="93" t="s">
        <v>29</v>
      </c>
      <c r="Y969" s="93" t="s">
        <v>93</v>
      </c>
      <c r="Z969" s="134">
        <f>VLOOKUP(W969,Sheet2!$B:$D,3,FALSE)</f>
        <v>56</v>
      </c>
      <c r="AA969" s="93">
        <f>100/(3*3*0.5)</f>
        <v>22.222222222222221</v>
      </c>
      <c r="AB969" s="93">
        <f t="shared" ref="AB969" si="798">AD969/AC968</f>
        <v>2.5200000000000005</v>
      </c>
      <c r="AC969" s="93">
        <f>AC968/AA969</f>
        <v>3.1274999999999997E-2</v>
      </c>
      <c r="AD969" s="94">
        <f t="shared" ref="AD969:AD970" si="799">AC969*Z969</f>
        <v>1.7513999999999998</v>
      </c>
      <c r="AE969" s="190"/>
      <c r="AF969" s="191"/>
      <c r="AG969" s="191"/>
      <c r="AH969" s="191"/>
      <c r="AI969" s="186"/>
      <c r="AK969" s="171"/>
    </row>
    <row r="970" spans="1:41" s="102" customFormat="1" ht="19.899999999999999" customHeight="1" x14ac:dyDescent="0.25">
      <c r="A970" s="45"/>
      <c r="B970" s="59"/>
      <c r="C970" s="137"/>
      <c r="D970" s="59"/>
      <c r="E970" s="116"/>
      <c r="F970" s="120"/>
      <c r="G970" s="120"/>
      <c r="H970" s="120"/>
      <c r="I970" s="60"/>
      <c r="J970" s="116"/>
      <c r="K970" s="213"/>
      <c r="L970" s="120"/>
      <c r="M970" s="120"/>
      <c r="N970" s="167"/>
      <c r="O970" s="120"/>
      <c r="P970" s="120"/>
      <c r="Q970" s="120"/>
      <c r="R970" s="120"/>
      <c r="S970" s="120"/>
      <c r="T970" s="221"/>
      <c r="U970" s="89"/>
      <c r="V970" s="61"/>
      <c r="W970" s="92" t="s">
        <v>65</v>
      </c>
      <c r="X970" s="93" t="s">
        <v>30</v>
      </c>
      <c r="Y970" s="93" t="s">
        <v>1011</v>
      </c>
      <c r="Z970" s="134">
        <f>VLOOKUP(W970,Sheet2!$B:$D,3,FALSE)</f>
        <v>1.76</v>
      </c>
      <c r="AA970" s="93">
        <f>AA969/14</f>
        <v>1.5873015873015872</v>
      </c>
      <c r="AB970" s="93">
        <f>AD970/AC968</f>
        <v>1.1088</v>
      </c>
      <c r="AC970" s="93">
        <f>AC968/AA970</f>
        <v>0.43784999999999991</v>
      </c>
      <c r="AD970" s="94">
        <f t="shared" si="799"/>
        <v>0.77061599999999986</v>
      </c>
      <c r="AE970" s="190"/>
      <c r="AF970" s="191"/>
      <c r="AG970" s="191"/>
      <c r="AH970" s="191"/>
      <c r="AI970" s="186"/>
      <c r="AK970" s="171"/>
    </row>
    <row r="971" spans="1:41" s="102" customFormat="1" ht="19.899999999999999" customHeight="1" x14ac:dyDescent="0.25">
      <c r="A971" s="45"/>
      <c r="B971" s="59"/>
      <c r="C971" s="137"/>
      <c r="D971" s="59"/>
      <c r="E971" s="116"/>
      <c r="F971" s="120"/>
      <c r="G971" s="120"/>
      <c r="H971" s="120"/>
      <c r="I971" s="60"/>
      <c r="J971" s="116"/>
      <c r="K971" s="213"/>
      <c r="L971" s="120"/>
      <c r="M971" s="120"/>
      <c r="N971" s="167"/>
      <c r="O971" s="120"/>
      <c r="P971" s="120"/>
      <c r="Q971" s="120"/>
      <c r="R971" s="120"/>
      <c r="S971" s="120"/>
      <c r="T971" s="221"/>
      <c r="U971" s="89"/>
      <c r="V971" s="61"/>
      <c r="W971" s="92" t="s">
        <v>161</v>
      </c>
      <c r="X971" s="93" t="s">
        <v>29</v>
      </c>
      <c r="Y971" s="93" t="s">
        <v>93</v>
      </c>
      <c r="Z971" s="134">
        <f>VLOOKUP(W971,Sheet2!$B:$D,3,FALSE)</f>
        <v>48</v>
      </c>
      <c r="AA971" s="93">
        <f>(16*0.85*1.5)/(3*3*0.5)</f>
        <v>4.5333333333333332</v>
      </c>
      <c r="AB971" s="93">
        <f>AD971/AC968</f>
        <v>10.588235294117647</v>
      </c>
      <c r="AC971" s="93">
        <f>AC968/AA971</f>
        <v>0.15330882352941172</v>
      </c>
      <c r="AD971" s="94">
        <f>AC971*Z971</f>
        <v>7.3588235294117625</v>
      </c>
      <c r="AE971" s="190"/>
      <c r="AF971" s="191"/>
      <c r="AG971" s="191"/>
      <c r="AH971" s="191"/>
      <c r="AI971" s="186"/>
      <c r="AK971" s="171"/>
    </row>
    <row r="972" spans="1:41" s="102" customFormat="1" ht="19.899999999999999" customHeight="1" x14ac:dyDescent="0.25">
      <c r="A972" s="45"/>
      <c r="B972" s="59"/>
      <c r="C972" s="137"/>
      <c r="D972" s="59"/>
      <c r="E972" s="116"/>
      <c r="F972" s="120"/>
      <c r="G972" s="120"/>
      <c r="H972" s="120"/>
      <c r="I972" s="60"/>
      <c r="J972" s="116"/>
      <c r="K972" s="213"/>
      <c r="L972" s="120"/>
      <c r="M972" s="120"/>
      <c r="N972" s="167"/>
      <c r="O972" s="120"/>
      <c r="P972" s="120"/>
      <c r="Q972" s="120"/>
      <c r="R972" s="120"/>
      <c r="S972" s="120"/>
      <c r="T972" s="221"/>
      <c r="U972" s="89"/>
      <c r="V972" s="61"/>
      <c r="W972" s="92" t="s">
        <v>65</v>
      </c>
      <c r="X972" s="93" t="s">
        <v>30</v>
      </c>
      <c r="Y972" s="93" t="s">
        <v>1011</v>
      </c>
      <c r="Z972" s="134">
        <f>VLOOKUP(W972,Sheet2!$B:$D,3,FALSE)</f>
        <v>1.76</v>
      </c>
      <c r="AA972" s="93">
        <f>AA971/10</f>
        <v>0.45333333333333331</v>
      </c>
      <c r="AB972" s="93">
        <f>AD972/AC968</f>
        <v>3.882352941176471</v>
      </c>
      <c r="AC972" s="93">
        <f>AC968/AA972</f>
        <v>1.5330882352941173</v>
      </c>
      <c r="AD972" s="94">
        <f>AC972*Z972</f>
        <v>2.6982352941176466</v>
      </c>
      <c r="AE972" s="190"/>
      <c r="AF972" s="191"/>
      <c r="AG972" s="191"/>
      <c r="AH972" s="191"/>
      <c r="AI972" s="186"/>
      <c r="AK972" s="171"/>
    </row>
    <row r="973" spans="1:41" s="103" customFormat="1" ht="19.899999999999999" customHeight="1" x14ac:dyDescent="0.25">
      <c r="A973" s="51"/>
      <c r="B973" s="52"/>
      <c r="C973" s="165"/>
      <c r="D973" s="52"/>
      <c r="E973" s="115"/>
      <c r="F973" s="58"/>
      <c r="G973" s="58"/>
      <c r="H973" s="58"/>
      <c r="I973" s="55"/>
      <c r="J973" s="113">
        <f>J967</f>
        <v>0.69499999999999984</v>
      </c>
      <c r="K973" s="212">
        <f>K967</f>
        <v>0.69499999999999984</v>
      </c>
      <c r="L973" s="58"/>
      <c r="M973" s="58">
        <f>K973-L973</f>
        <v>0.69499999999999984</v>
      </c>
      <c r="N973" s="166"/>
      <c r="O973" s="58"/>
      <c r="P973" s="58"/>
      <c r="Q973" s="58"/>
      <c r="R973" s="58"/>
      <c r="S973" s="58"/>
      <c r="T973" s="220"/>
      <c r="U973" s="88"/>
      <c r="V973" s="56"/>
      <c r="W973" s="57" t="s">
        <v>1352</v>
      </c>
      <c r="X973" s="53"/>
      <c r="Y973" s="91" t="s">
        <v>35</v>
      </c>
      <c r="Z973" s="136">
        <f>AD973/AC973</f>
        <v>1550</v>
      </c>
      <c r="AA973" s="58"/>
      <c r="AB973" s="53">
        <f>AD973/AC973</f>
        <v>1550</v>
      </c>
      <c r="AC973" s="53">
        <f>M973+$AE$10</f>
        <v>0.69499999999999984</v>
      </c>
      <c r="AD973" s="54">
        <f>SUM(AD974:AD979)</f>
        <v>1077.2499999999998</v>
      </c>
      <c r="AE973" s="184">
        <f>SUMIFS($AD$37:$AD$12971,$V$37:$V$12971,$V973,$X$37:$X$12971,AE$13)</f>
        <v>0</v>
      </c>
      <c r="AF973" s="185">
        <f>SUMIFS($AD$37:$AD$12971,$V$37:$V$12971,$V973,$X$37:$X$12971,AF$13)</f>
        <v>0</v>
      </c>
      <c r="AG973" s="185">
        <f>SUMIFS($AD$37:$AD$12971,$V$37:$V$12971,$V973,$X$37:$X$12971,AG$13)</f>
        <v>0</v>
      </c>
      <c r="AH973" s="187">
        <f>SUMIFS($AD$37:$AD$12971,$V$37:$V$12971,$V973,$X$37:$X$12971,AH$13)</f>
        <v>0</v>
      </c>
      <c r="AI973" s="161">
        <f t="shared" ref="AI973" si="800">SUM(AE973:AH973)</f>
        <v>0</v>
      </c>
      <c r="AK973" s="172"/>
    </row>
    <row r="974" spans="1:41" s="102" customFormat="1" ht="19.899999999999999" customHeight="1" x14ac:dyDescent="0.25">
      <c r="A974" s="45"/>
      <c r="B974" s="59"/>
      <c r="C974" s="137"/>
      <c r="D974" s="59"/>
      <c r="E974" s="116"/>
      <c r="F974" s="120"/>
      <c r="G974" s="120"/>
      <c r="H974" s="120"/>
      <c r="I974" s="60"/>
      <c r="J974" s="116"/>
      <c r="K974" s="213"/>
      <c r="L974" s="120"/>
      <c r="M974" s="120"/>
      <c r="N974" s="167"/>
      <c r="O974" s="120"/>
      <c r="P974" s="120"/>
      <c r="Q974" s="120"/>
      <c r="R974" s="120"/>
      <c r="S974" s="120"/>
      <c r="T974" s="221"/>
      <c r="U974" s="89"/>
      <c r="V974" s="61"/>
      <c r="W974" s="92" t="s">
        <v>1353</v>
      </c>
      <c r="X974" s="93" t="s">
        <v>30</v>
      </c>
      <c r="Y974" s="93" t="s">
        <v>66</v>
      </c>
      <c r="Z974" s="134">
        <f>VLOOKUP(W974,Sheet2!$B:$D,3,FALSE)</f>
        <v>350</v>
      </c>
      <c r="AA974" s="93">
        <f>1/(2*0.5*0.25*4)</f>
        <v>1</v>
      </c>
      <c r="AB974" s="93">
        <f>AD974/AC973</f>
        <v>350</v>
      </c>
      <c r="AC974" s="93">
        <f>AC973/AA974</f>
        <v>0.69499999999999984</v>
      </c>
      <c r="AD974" s="94">
        <f t="shared" ref="AD974:AD975" si="801">AC974*Z974</f>
        <v>243.24999999999994</v>
      </c>
      <c r="AE974" s="190"/>
      <c r="AF974" s="191"/>
      <c r="AG974" s="191"/>
      <c r="AH974" s="191"/>
      <c r="AI974" s="186"/>
      <c r="AK974" s="171"/>
    </row>
    <row r="975" spans="1:41" s="102" customFormat="1" ht="19.899999999999999" customHeight="1" x14ac:dyDescent="0.25">
      <c r="A975" s="45"/>
      <c r="B975" s="59"/>
      <c r="C975" s="137"/>
      <c r="D975" s="59"/>
      <c r="E975" s="116"/>
      <c r="F975" s="120"/>
      <c r="G975" s="120"/>
      <c r="H975" s="120"/>
      <c r="I975" s="60"/>
      <c r="J975" s="116"/>
      <c r="K975" s="213"/>
      <c r="L975" s="120"/>
      <c r="M975" s="120"/>
      <c r="N975" s="167"/>
      <c r="O975" s="120"/>
      <c r="P975" s="120"/>
      <c r="Q975" s="120"/>
      <c r="R975" s="120"/>
      <c r="S975" s="120"/>
      <c r="T975" s="221"/>
      <c r="U975" s="89"/>
      <c r="V975" s="61"/>
      <c r="W975" s="92" t="s">
        <v>99</v>
      </c>
      <c r="X975" s="93" t="s">
        <v>30</v>
      </c>
      <c r="Y975" s="93" t="s">
        <v>67</v>
      </c>
      <c r="Z975" s="134">
        <f>VLOOKUP(W975,Sheet2!$B:$D,3,FALSE)</f>
        <v>2500</v>
      </c>
      <c r="AA975" s="93">
        <f>1/(2*0.5*0.25*4*0.08)</f>
        <v>12.5</v>
      </c>
      <c r="AB975" s="93">
        <f>AD975/AC973</f>
        <v>200</v>
      </c>
      <c r="AC975" s="93">
        <f>AC973/AA975</f>
        <v>5.559999999999999E-2</v>
      </c>
      <c r="AD975" s="94">
        <f t="shared" si="801"/>
        <v>138.99999999999997</v>
      </c>
      <c r="AE975" s="190"/>
      <c r="AF975" s="191"/>
      <c r="AG975" s="191"/>
      <c r="AH975" s="191"/>
      <c r="AI975" s="186"/>
      <c r="AK975" s="171"/>
    </row>
    <row r="976" spans="1:41" s="102" customFormat="1" ht="19.899999999999999" customHeight="1" x14ac:dyDescent="0.25">
      <c r="A976" s="45"/>
      <c r="B976" s="59"/>
      <c r="C976" s="137"/>
      <c r="D976" s="59"/>
      <c r="E976" s="116"/>
      <c r="F976" s="120"/>
      <c r="G976" s="120"/>
      <c r="H976" s="120"/>
      <c r="I976" s="60"/>
      <c r="J976" s="116"/>
      <c r="K976" s="213"/>
      <c r="L976" s="120"/>
      <c r="M976" s="120"/>
      <c r="N976" s="167"/>
      <c r="O976" s="120"/>
      <c r="P976" s="120"/>
      <c r="Q976" s="120"/>
      <c r="R976" s="120"/>
      <c r="S976" s="120"/>
      <c r="T976" s="221"/>
      <c r="U976" s="89"/>
      <c r="V976" s="61"/>
      <c r="W976" s="92" t="s">
        <v>1355</v>
      </c>
      <c r="X976" s="93" t="s">
        <v>32</v>
      </c>
      <c r="Y976" s="93" t="s">
        <v>66</v>
      </c>
      <c r="Z976" s="134">
        <f>VLOOKUP(W976,Sheet2!$B:$D,3,FALSE)</f>
        <v>450</v>
      </c>
      <c r="AA976" s="93">
        <f>AA974</f>
        <v>1</v>
      </c>
      <c r="AB976" s="93">
        <f>AD976/AC973</f>
        <v>450</v>
      </c>
      <c r="AC976" s="93">
        <f>AC973/AA976</f>
        <v>0.69499999999999984</v>
      </c>
      <c r="AD976" s="94">
        <f>AC976*Z976</f>
        <v>312.74999999999994</v>
      </c>
      <c r="AE976" s="190"/>
      <c r="AF976" s="191"/>
      <c r="AG976" s="191"/>
      <c r="AH976" s="191"/>
      <c r="AI976" s="186"/>
      <c r="AK976" s="171"/>
    </row>
    <row r="977" spans="1:37" s="102" customFormat="1" ht="19.899999999999999" customHeight="1" x14ac:dyDescent="0.25">
      <c r="A977" s="45"/>
      <c r="B977" s="59"/>
      <c r="C977" s="137"/>
      <c r="D977" s="59"/>
      <c r="E977" s="116"/>
      <c r="F977" s="120"/>
      <c r="G977" s="120"/>
      <c r="H977" s="120"/>
      <c r="I977" s="60"/>
      <c r="J977" s="116"/>
      <c r="K977" s="213"/>
      <c r="L977" s="120"/>
      <c r="M977" s="120"/>
      <c r="N977" s="167"/>
      <c r="O977" s="120"/>
      <c r="P977" s="120"/>
      <c r="Q977" s="120"/>
      <c r="R977" s="120"/>
      <c r="S977" s="120"/>
      <c r="T977" s="221"/>
      <c r="U977" s="89"/>
      <c r="V977" s="61"/>
      <c r="W977" s="92" t="s">
        <v>1362</v>
      </c>
      <c r="X977" s="93" t="s">
        <v>30</v>
      </c>
      <c r="Y977" s="93" t="s">
        <v>35</v>
      </c>
      <c r="Z977" s="134">
        <f>VLOOKUP(W977,Sheet2!$B:$D,3,FALSE)</f>
        <v>400</v>
      </c>
      <c r="AA977" s="93">
        <v>1</v>
      </c>
      <c r="AB977" s="93">
        <f>AD977/AC973</f>
        <v>400</v>
      </c>
      <c r="AC977" s="93">
        <f>AC973/AA977</f>
        <v>0.69499999999999984</v>
      </c>
      <c r="AD977" s="94">
        <f t="shared" ref="AD977" si="802">AC977*Z977</f>
        <v>277.99999999999994</v>
      </c>
      <c r="AE977" s="190"/>
      <c r="AF977" s="191"/>
      <c r="AG977" s="191"/>
      <c r="AH977" s="191"/>
      <c r="AI977" s="186"/>
      <c r="AK977" s="171"/>
    </row>
    <row r="978" spans="1:37" s="102" customFormat="1" ht="19.899999999999999" customHeight="1" x14ac:dyDescent="0.25">
      <c r="A978" s="45"/>
      <c r="B978" s="59"/>
      <c r="C978" s="137"/>
      <c r="D978" s="59"/>
      <c r="E978" s="116"/>
      <c r="F978" s="120"/>
      <c r="G978" s="120"/>
      <c r="H978" s="120"/>
      <c r="I978" s="60"/>
      <c r="J978" s="116"/>
      <c r="K978" s="213"/>
      <c r="L978" s="120"/>
      <c r="M978" s="120"/>
      <c r="N978" s="167"/>
      <c r="O978" s="120"/>
      <c r="P978" s="120"/>
      <c r="Q978" s="120"/>
      <c r="R978" s="120"/>
      <c r="S978" s="120"/>
      <c r="T978" s="221"/>
      <c r="U978" s="89"/>
      <c r="V978" s="61"/>
      <c r="W978" s="92" t="s">
        <v>107</v>
      </c>
      <c r="X978" s="93" t="s">
        <v>31</v>
      </c>
      <c r="Y978" s="93" t="s">
        <v>93</v>
      </c>
      <c r="Z978" s="134">
        <f>VLOOKUP(W978,Sheet2!$B:$D,3,FALSE)</f>
        <v>17</v>
      </c>
      <c r="AA978" s="93">
        <f>1/5</f>
        <v>0.2</v>
      </c>
      <c r="AB978" s="93">
        <f>AD978/AC973</f>
        <v>85</v>
      </c>
      <c r="AC978" s="93">
        <f>AC973/AA978</f>
        <v>3.4749999999999992</v>
      </c>
      <c r="AD978" s="94">
        <f>AC978*Z978</f>
        <v>59.074999999999989</v>
      </c>
      <c r="AE978" s="190"/>
      <c r="AF978" s="191"/>
      <c r="AG978" s="191"/>
      <c r="AH978" s="191"/>
      <c r="AI978" s="186"/>
      <c r="AK978" s="171"/>
    </row>
    <row r="979" spans="1:37" s="102" customFormat="1" ht="19.899999999999999" customHeight="1" x14ac:dyDescent="0.25">
      <c r="A979" s="45"/>
      <c r="B979" s="59"/>
      <c r="C979" s="137"/>
      <c r="D979" s="59"/>
      <c r="E979" s="116"/>
      <c r="F979" s="120"/>
      <c r="G979" s="120"/>
      <c r="H979" s="120"/>
      <c r="I979" s="60"/>
      <c r="J979" s="116"/>
      <c r="K979" s="213"/>
      <c r="L979" s="120"/>
      <c r="M979" s="120"/>
      <c r="N979" s="167"/>
      <c r="O979" s="120"/>
      <c r="P979" s="120"/>
      <c r="Q979" s="120"/>
      <c r="R979" s="120"/>
      <c r="S979" s="120"/>
      <c r="T979" s="221"/>
      <c r="U979" s="89"/>
      <c r="V979" s="61"/>
      <c r="W979" s="92" t="s">
        <v>112</v>
      </c>
      <c r="X979" s="93" t="s">
        <v>31</v>
      </c>
      <c r="Y979" s="93" t="s">
        <v>93</v>
      </c>
      <c r="Z979" s="134">
        <f>VLOOKUP(W979,Sheet2!$B:$D,3,FALSE)</f>
        <v>13</v>
      </c>
      <c r="AA979" s="93">
        <f>AA978</f>
        <v>0.2</v>
      </c>
      <c r="AB979" s="93">
        <f>AD979/AC973</f>
        <v>65</v>
      </c>
      <c r="AC979" s="93">
        <f>AC973/AA979</f>
        <v>3.4749999999999992</v>
      </c>
      <c r="AD979" s="94">
        <f>AC979*Z979</f>
        <v>45.17499999999999</v>
      </c>
      <c r="AE979" s="190"/>
      <c r="AF979" s="191"/>
      <c r="AG979" s="191"/>
      <c r="AH979" s="191"/>
      <c r="AI979" s="186"/>
      <c r="AK979" s="171"/>
    </row>
    <row r="980" spans="1:37" s="103" customFormat="1" ht="19.899999999999999" customHeight="1" x14ac:dyDescent="0.25">
      <c r="A980" s="51"/>
      <c r="B980" s="52"/>
      <c r="C980" s="165"/>
      <c r="D980" s="52"/>
      <c r="E980" s="115"/>
      <c r="F980" s="58"/>
      <c r="G980" s="58"/>
      <c r="H980" s="58"/>
      <c r="I980" s="55"/>
      <c r="J980" s="113">
        <f>J967</f>
        <v>0.69499999999999984</v>
      </c>
      <c r="K980" s="212">
        <f>K967</f>
        <v>0.69499999999999984</v>
      </c>
      <c r="L980" s="58"/>
      <c r="M980" s="58">
        <f>K980-L980</f>
        <v>0.69499999999999984</v>
      </c>
      <c r="N980" s="166"/>
      <c r="O980" s="58"/>
      <c r="P980" s="58"/>
      <c r="Q980" s="58"/>
      <c r="R980" s="58"/>
      <c r="S980" s="58"/>
      <c r="T980" s="220"/>
      <c r="U980" s="88"/>
      <c r="V980" s="56"/>
      <c r="W980" s="57" t="s">
        <v>1358</v>
      </c>
      <c r="X980" s="53"/>
      <c r="Y980" s="91" t="s">
        <v>35</v>
      </c>
      <c r="Z980" s="136">
        <f>AD980/AC980</f>
        <v>560</v>
      </c>
      <c r="AA980" s="58"/>
      <c r="AB980" s="53">
        <f>AD980/AC980</f>
        <v>560</v>
      </c>
      <c r="AC980" s="53">
        <f>M980+$AE$10</f>
        <v>0.69499999999999984</v>
      </c>
      <c r="AD980" s="54">
        <f>SUM(AD981:AD982)</f>
        <v>389.19999999999993</v>
      </c>
      <c r="AE980" s="184">
        <f>SUMIFS($AD$37:$AD$12971,$V$37:$V$12971,$V980,$X$37:$X$12971,AE$13)</f>
        <v>0</v>
      </c>
      <c r="AF980" s="185">
        <f>SUMIFS($AD$37:$AD$12971,$V$37:$V$12971,$V980,$X$37:$X$12971,AF$13)</f>
        <v>0</v>
      </c>
      <c r="AG980" s="185">
        <f>SUMIFS($AD$37:$AD$12971,$V$37:$V$12971,$V980,$X$37:$X$12971,AG$13)</f>
        <v>0</v>
      </c>
      <c r="AH980" s="187">
        <f>SUMIFS($AD$37:$AD$12971,$V$37:$V$12971,$V980,$X$37:$X$12971,AH$13)</f>
        <v>0</v>
      </c>
      <c r="AI980" s="161">
        <f t="shared" ref="AI980" si="803">SUM(AE980:AH980)</f>
        <v>0</v>
      </c>
      <c r="AK980" s="172"/>
    </row>
    <row r="981" spans="1:37" s="102" customFormat="1" ht="19.899999999999999" customHeight="1" x14ac:dyDescent="0.25">
      <c r="A981" s="45"/>
      <c r="B981" s="59"/>
      <c r="C981" s="137"/>
      <c r="D981" s="59"/>
      <c r="E981" s="116"/>
      <c r="F981" s="120"/>
      <c r="G981" s="120"/>
      <c r="H981" s="120"/>
      <c r="I981" s="60"/>
      <c r="J981" s="116"/>
      <c r="K981" s="213"/>
      <c r="L981" s="120"/>
      <c r="M981" s="120"/>
      <c r="N981" s="167"/>
      <c r="O981" s="120"/>
      <c r="P981" s="120"/>
      <c r="Q981" s="120"/>
      <c r="R981" s="120"/>
      <c r="S981" s="120"/>
      <c r="T981" s="221"/>
      <c r="U981" s="89"/>
      <c r="V981" s="61"/>
      <c r="W981" s="92" t="s">
        <v>1359</v>
      </c>
      <c r="X981" s="93" t="s">
        <v>32</v>
      </c>
      <c r="Y981" s="93" t="s">
        <v>64</v>
      </c>
      <c r="Z981" s="134">
        <f>VLOOKUP(W981,Sheet2!$B:$D,3,FALSE)</f>
        <v>40</v>
      </c>
      <c r="AA981" s="93">
        <f>1/8</f>
        <v>0.125</v>
      </c>
      <c r="AB981" s="93">
        <f t="shared" ref="AB981" si="804">AD981/AC980</f>
        <v>320</v>
      </c>
      <c r="AC981" s="93">
        <f>AC980/AA981</f>
        <v>5.5599999999999987</v>
      </c>
      <c r="AD981" s="94">
        <f t="shared" ref="AD981:AD982" si="805">AC981*Z981</f>
        <v>222.39999999999995</v>
      </c>
      <c r="AE981" s="190"/>
      <c r="AF981" s="191"/>
      <c r="AG981" s="191"/>
      <c r="AH981" s="191"/>
      <c r="AI981" s="186"/>
      <c r="AK981" s="171"/>
    </row>
    <row r="982" spans="1:37" s="102" customFormat="1" ht="19.899999999999999" customHeight="1" x14ac:dyDescent="0.25">
      <c r="A982" s="45"/>
      <c r="B982" s="59"/>
      <c r="C982" s="137"/>
      <c r="D982" s="59"/>
      <c r="E982" s="116"/>
      <c r="F982" s="120"/>
      <c r="G982" s="120"/>
      <c r="H982" s="120"/>
      <c r="I982" s="60"/>
      <c r="J982" s="116"/>
      <c r="K982" s="213"/>
      <c r="L982" s="120"/>
      <c r="M982" s="120"/>
      <c r="N982" s="167"/>
      <c r="O982" s="120"/>
      <c r="P982" s="120"/>
      <c r="Q982" s="120"/>
      <c r="R982" s="120"/>
      <c r="S982" s="120"/>
      <c r="T982" s="221"/>
      <c r="U982" s="89"/>
      <c r="V982" s="61"/>
      <c r="W982" s="92" t="s">
        <v>1360</v>
      </c>
      <c r="X982" s="93" t="s">
        <v>32</v>
      </c>
      <c r="Y982" s="93" t="s">
        <v>64</v>
      </c>
      <c r="Z982" s="134">
        <f>VLOOKUP(W982,Sheet2!$B:$D,3,FALSE)</f>
        <v>30</v>
      </c>
      <c r="AA982" s="93">
        <f>AA981</f>
        <v>0.125</v>
      </c>
      <c r="AB982" s="93">
        <f>AD982/AC980</f>
        <v>240</v>
      </c>
      <c r="AC982" s="93">
        <f>AC980/AA982</f>
        <v>5.5599999999999987</v>
      </c>
      <c r="AD982" s="94">
        <f t="shared" si="805"/>
        <v>166.79999999999995</v>
      </c>
      <c r="AE982" s="190"/>
      <c r="AF982" s="191"/>
      <c r="AG982" s="191"/>
      <c r="AH982" s="191"/>
      <c r="AI982" s="186"/>
      <c r="AK982" s="171"/>
    </row>
    <row r="983" spans="1:37" s="103" customFormat="1" ht="19.899999999999999" customHeight="1" x14ac:dyDescent="0.25">
      <c r="A983" s="51"/>
      <c r="B983" s="52"/>
      <c r="C983" s="165"/>
      <c r="D983" s="52"/>
      <c r="E983" s="115"/>
      <c r="F983" s="58"/>
      <c r="G983" s="58"/>
      <c r="H983" s="58"/>
      <c r="I983" s="55"/>
      <c r="J983" s="113">
        <f>J967</f>
        <v>0.69499999999999984</v>
      </c>
      <c r="K983" s="212">
        <f>K967</f>
        <v>0.69499999999999984</v>
      </c>
      <c r="L983" s="58"/>
      <c r="M983" s="58">
        <f>K983-L983</f>
        <v>0.69499999999999984</v>
      </c>
      <c r="N983" s="166"/>
      <c r="O983" s="58"/>
      <c r="P983" s="58"/>
      <c r="Q983" s="58"/>
      <c r="R983" s="58"/>
      <c r="S983" s="58"/>
      <c r="T983" s="220"/>
      <c r="U983" s="88"/>
      <c r="V983" s="56"/>
      <c r="W983" s="57" t="s">
        <v>1272</v>
      </c>
      <c r="X983" s="53"/>
      <c r="Y983" s="91" t="s">
        <v>35</v>
      </c>
      <c r="Z983" s="136">
        <f>AD983/AC983</f>
        <v>44.737215686274517</v>
      </c>
      <c r="AA983" s="58"/>
      <c r="AB983" s="53">
        <f>AD983/AC983</f>
        <v>44.737215686274517</v>
      </c>
      <c r="AC983" s="53">
        <f>M983+$AE$10</f>
        <v>0.69499999999999984</v>
      </c>
      <c r="AD983" s="54">
        <f>SUM(AD984:AD992)</f>
        <v>31.092364901960782</v>
      </c>
      <c r="AE983" s="184">
        <f>SUMIFS($AD$37:$AD$12971,$V$37:$V$12971,$V983,$X$37:$X$12971,AE$13)</f>
        <v>0</v>
      </c>
      <c r="AF983" s="185">
        <f>SUMIFS($AD$37:$AD$12971,$V$37:$V$12971,$V983,$X$37:$X$12971,AF$13)</f>
        <v>0</v>
      </c>
      <c r="AG983" s="185">
        <f>SUMIFS($AD$37:$AD$12971,$V$37:$V$12971,$V983,$X$37:$X$12971,AG$13)</f>
        <v>0</v>
      </c>
      <c r="AH983" s="187">
        <f>SUMIFS($AD$37:$AD$12971,$V$37:$V$12971,$V983,$X$37:$X$12971,AH$13)</f>
        <v>0</v>
      </c>
      <c r="AI983" s="161">
        <f t="shared" ref="AI983" si="806">SUM(AE983:AH983)</f>
        <v>0</v>
      </c>
      <c r="AK983" s="172"/>
    </row>
    <row r="984" spans="1:37" s="102" customFormat="1" ht="19.899999999999999" customHeight="1" x14ac:dyDescent="0.25">
      <c r="A984" s="45"/>
      <c r="B984" s="59"/>
      <c r="C984" s="137"/>
      <c r="D984" s="59"/>
      <c r="E984" s="116"/>
      <c r="F984" s="120"/>
      <c r="G984" s="120"/>
      <c r="H984" s="120"/>
      <c r="I984" s="60"/>
      <c r="J984" s="116"/>
      <c r="K984" s="213"/>
      <c r="L984" s="120"/>
      <c r="M984" s="120"/>
      <c r="N984" s="167"/>
      <c r="O984" s="120"/>
      <c r="P984" s="120"/>
      <c r="Q984" s="120"/>
      <c r="R984" s="120"/>
      <c r="S984" s="120"/>
      <c r="T984" s="221"/>
      <c r="U984" s="89"/>
      <c r="V984" s="61"/>
      <c r="W984" s="92" t="s">
        <v>1273</v>
      </c>
      <c r="X984" s="93" t="s">
        <v>30</v>
      </c>
      <c r="Y984" s="93" t="s">
        <v>66</v>
      </c>
      <c r="Z984" s="134">
        <f>VLOOKUP(W984,Sheet2!$B:$D,3,FALSE)</f>
        <v>10</v>
      </c>
      <c r="AA984" s="93">
        <f>1/(2.5*0.5*0.5*4)</f>
        <v>0.4</v>
      </c>
      <c r="AB984" s="93">
        <f>AD984/AC983</f>
        <v>25</v>
      </c>
      <c r="AC984" s="93">
        <f>AC983/AA984</f>
        <v>1.7374999999999996</v>
      </c>
      <c r="AD984" s="94">
        <f t="shared" ref="AD984:AD986" si="807">AC984*Z984</f>
        <v>17.374999999999996</v>
      </c>
      <c r="AE984" s="190"/>
      <c r="AF984" s="191"/>
      <c r="AG984" s="191"/>
      <c r="AH984" s="191"/>
      <c r="AI984" s="186"/>
      <c r="AK984" s="171"/>
    </row>
    <row r="985" spans="1:37" s="102" customFormat="1" ht="19.899999999999999" customHeight="1" x14ac:dyDescent="0.25">
      <c r="A985" s="45"/>
      <c r="B985" s="59"/>
      <c r="C985" s="137"/>
      <c r="D985" s="59"/>
      <c r="E985" s="116"/>
      <c r="F985" s="120"/>
      <c r="G985" s="120"/>
      <c r="H985" s="120"/>
      <c r="I985" s="60"/>
      <c r="J985" s="116"/>
      <c r="K985" s="213"/>
      <c r="L985" s="120"/>
      <c r="M985" s="120"/>
      <c r="N985" s="167"/>
      <c r="O985" s="120"/>
      <c r="P985" s="120"/>
      <c r="Q985" s="120"/>
      <c r="R985" s="120"/>
      <c r="S985" s="120"/>
      <c r="T985" s="221"/>
      <c r="U985" s="89"/>
      <c r="V985" s="61"/>
      <c r="W985" s="92" t="s">
        <v>134</v>
      </c>
      <c r="X985" s="93" t="s">
        <v>29</v>
      </c>
      <c r="Y985" s="93" t="s">
        <v>93</v>
      </c>
      <c r="Z985" s="134">
        <f>VLOOKUP(W985,Sheet2!$B:$D,3,FALSE)</f>
        <v>65.599999999999994</v>
      </c>
      <c r="AA985" s="93">
        <f>100/(2.5*0.5*0.5*4)</f>
        <v>40</v>
      </c>
      <c r="AB985" s="93">
        <f t="shared" ref="AB985" si="808">AD985/AC983</f>
        <v>1.6399999999999997</v>
      </c>
      <c r="AC985" s="93">
        <f>AC983/AA985</f>
        <v>1.7374999999999995E-2</v>
      </c>
      <c r="AD985" s="94">
        <f t="shared" si="807"/>
        <v>1.1397999999999995</v>
      </c>
      <c r="AE985" s="190"/>
      <c r="AF985" s="191"/>
      <c r="AG985" s="191"/>
      <c r="AH985" s="191"/>
      <c r="AI985" s="186"/>
      <c r="AK985" s="171"/>
    </row>
    <row r="986" spans="1:37" s="102" customFormat="1" ht="19.899999999999999" customHeight="1" x14ac:dyDescent="0.25">
      <c r="A986" s="45"/>
      <c r="B986" s="59"/>
      <c r="C986" s="137"/>
      <c r="D986" s="59"/>
      <c r="E986" s="116"/>
      <c r="F986" s="120"/>
      <c r="G986" s="120"/>
      <c r="H986" s="120"/>
      <c r="I986" s="60"/>
      <c r="J986" s="116"/>
      <c r="K986" s="213"/>
      <c r="L986" s="120"/>
      <c r="M986" s="120"/>
      <c r="N986" s="167"/>
      <c r="O986" s="120"/>
      <c r="P986" s="120"/>
      <c r="Q986" s="120"/>
      <c r="R986" s="120"/>
      <c r="S986" s="120"/>
      <c r="T986" s="221"/>
      <c r="U986" s="89"/>
      <c r="V986" s="61"/>
      <c r="W986" s="92" t="s">
        <v>65</v>
      </c>
      <c r="X986" s="93" t="s">
        <v>30</v>
      </c>
      <c r="Y986" s="93" t="s">
        <v>1011</v>
      </c>
      <c r="Z986" s="134">
        <f>VLOOKUP(W986,Sheet2!$B:$D,3,FALSE)</f>
        <v>1.76</v>
      </c>
      <c r="AA986" s="93">
        <f>AA985/9</f>
        <v>4.4444444444444446</v>
      </c>
      <c r="AB986" s="93">
        <f>AD986/AC983</f>
        <v>0.39599999999999996</v>
      </c>
      <c r="AC986" s="93">
        <f>AC983/AA986</f>
        <v>0.15637499999999996</v>
      </c>
      <c r="AD986" s="94">
        <f t="shared" si="807"/>
        <v>0.27521999999999991</v>
      </c>
      <c r="AE986" s="190"/>
      <c r="AF986" s="191"/>
      <c r="AG986" s="191"/>
      <c r="AH986" s="191"/>
      <c r="AI986" s="186"/>
      <c r="AK986" s="171"/>
    </row>
    <row r="987" spans="1:37" s="102" customFormat="1" ht="19.899999999999999" customHeight="1" x14ac:dyDescent="0.25">
      <c r="A987" s="45"/>
      <c r="B987" s="59"/>
      <c r="C987" s="137"/>
      <c r="D987" s="59"/>
      <c r="E987" s="116"/>
      <c r="F987" s="120"/>
      <c r="G987" s="120"/>
      <c r="H987" s="120"/>
      <c r="I987" s="60"/>
      <c r="J987" s="116"/>
      <c r="K987" s="213"/>
      <c r="L987" s="120"/>
      <c r="M987" s="120"/>
      <c r="N987" s="167"/>
      <c r="O987" s="120"/>
      <c r="P987" s="120"/>
      <c r="Q987" s="120"/>
      <c r="R987" s="120"/>
      <c r="S987" s="120"/>
      <c r="T987" s="221"/>
      <c r="U987" s="89"/>
      <c r="V987" s="61"/>
      <c r="W987" s="92" t="s">
        <v>161</v>
      </c>
      <c r="X987" s="93" t="s">
        <v>29</v>
      </c>
      <c r="Y987" s="93" t="s">
        <v>93</v>
      </c>
      <c r="Z987" s="134">
        <f>VLOOKUP(W987,Sheet2!$B:$D,3,FALSE)</f>
        <v>48</v>
      </c>
      <c r="AA987" s="93">
        <f>(16*0.85*1.5)/(2.5*0.5*0.5*4)</f>
        <v>8.16</v>
      </c>
      <c r="AB987" s="93">
        <f>AD987/AC983</f>
        <v>5.8823529411764701</v>
      </c>
      <c r="AC987" s="93">
        <f>AC983/AA987</f>
        <v>8.5171568627450955E-2</v>
      </c>
      <c r="AD987" s="94">
        <f>AC987*Z987</f>
        <v>4.0882352941176459</v>
      </c>
      <c r="AE987" s="190"/>
      <c r="AF987" s="191"/>
      <c r="AG987" s="191"/>
      <c r="AH987" s="191"/>
      <c r="AI987" s="186"/>
      <c r="AK987" s="171"/>
    </row>
    <row r="988" spans="1:37" s="102" customFormat="1" ht="19.899999999999999" customHeight="1" x14ac:dyDescent="0.25">
      <c r="A988" s="45"/>
      <c r="B988" s="59"/>
      <c r="C988" s="137"/>
      <c r="D988" s="59"/>
      <c r="E988" s="116"/>
      <c r="F988" s="120"/>
      <c r="G988" s="120"/>
      <c r="H988" s="120"/>
      <c r="I988" s="60"/>
      <c r="J988" s="116"/>
      <c r="K988" s="213"/>
      <c r="L988" s="120"/>
      <c r="M988" s="120"/>
      <c r="N988" s="167"/>
      <c r="O988" s="120"/>
      <c r="P988" s="120"/>
      <c r="Q988" s="120"/>
      <c r="R988" s="120"/>
      <c r="S988" s="120"/>
      <c r="T988" s="221"/>
      <c r="U988" s="89"/>
      <c r="V988" s="61"/>
      <c r="W988" s="92" t="s">
        <v>65</v>
      </c>
      <c r="X988" s="93" t="s">
        <v>30</v>
      </c>
      <c r="Y988" s="93" t="s">
        <v>1011</v>
      </c>
      <c r="Z988" s="134">
        <f>VLOOKUP(W988,Sheet2!$B:$D,3,FALSE)</f>
        <v>1.76</v>
      </c>
      <c r="AA988" s="93">
        <f>AA987/10</f>
        <v>0.81600000000000006</v>
      </c>
      <c r="AB988" s="93">
        <f>AD988/AC983</f>
        <v>2.1568627450980391</v>
      </c>
      <c r="AC988" s="93">
        <f>AC983/AA988</f>
        <v>0.85171568627450955</v>
      </c>
      <c r="AD988" s="94">
        <f>AC988*Z988</f>
        <v>1.4990196078431368</v>
      </c>
      <c r="AE988" s="190"/>
      <c r="AF988" s="191"/>
      <c r="AG988" s="191"/>
      <c r="AH988" s="191"/>
      <c r="AI988" s="186"/>
      <c r="AK988" s="171"/>
    </row>
    <row r="989" spans="1:37" s="102" customFormat="1" ht="19.899999999999999" customHeight="1" x14ac:dyDescent="0.25">
      <c r="A989" s="45"/>
      <c r="B989" s="59"/>
      <c r="C989" s="137"/>
      <c r="D989" s="59"/>
      <c r="E989" s="116"/>
      <c r="F989" s="120"/>
      <c r="G989" s="120"/>
      <c r="H989" s="120"/>
      <c r="I989" s="60"/>
      <c r="J989" s="116"/>
      <c r="K989" s="213"/>
      <c r="L989" s="120"/>
      <c r="M989" s="120"/>
      <c r="N989" s="167"/>
      <c r="O989" s="120"/>
      <c r="P989" s="120"/>
      <c r="Q989" s="120"/>
      <c r="R989" s="120"/>
      <c r="S989" s="120"/>
      <c r="T989" s="221"/>
      <c r="U989" s="89"/>
      <c r="V989" s="61"/>
      <c r="W989" s="92" t="s">
        <v>173</v>
      </c>
      <c r="X989" s="93" t="s">
        <v>29</v>
      </c>
      <c r="Y989" s="93" t="s">
        <v>93</v>
      </c>
      <c r="Z989" s="134">
        <f>VLOOKUP(W989,Sheet2!$B:$D,3,FALSE)</f>
        <v>36</v>
      </c>
      <c r="AA989" s="93">
        <f>50/(2.5*0.5*0.5*4)</f>
        <v>20</v>
      </c>
      <c r="AB989" s="93">
        <f>AD989/AC983</f>
        <v>1.8</v>
      </c>
      <c r="AC989" s="93">
        <f>AC983/AA989</f>
        <v>3.4749999999999989E-2</v>
      </c>
      <c r="AD989" s="94">
        <f>AC989*Z989</f>
        <v>1.2509999999999997</v>
      </c>
      <c r="AE989" s="190"/>
      <c r="AF989" s="191"/>
      <c r="AG989" s="191"/>
      <c r="AH989" s="191"/>
      <c r="AI989" s="186"/>
      <c r="AK989" s="171"/>
    </row>
    <row r="990" spans="1:37" s="102" customFormat="1" ht="19.899999999999999" customHeight="1" x14ac:dyDescent="0.25">
      <c r="A990" s="45"/>
      <c r="B990" s="59"/>
      <c r="C990" s="137"/>
      <c r="D990" s="59"/>
      <c r="E990" s="116"/>
      <c r="F990" s="120"/>
      <c r="G990" s="120"/>
      <c r="H990" s="120"/>
      <c r="I990" s="60"/>
      <c r="J990" s="116"/>
      <c r="K990" s="213"/>
      <c r="L990" s="120"/>
      <c r="M990" s="120"/>
      <c r="N990" s="167"/>
      <c r="O990" s="120"/>
      <c r="P990" s="120"/>
      <c r="Q990" s="120"/>
      <c r="R990" s="120"/>
      <c r="S990" s="120"/>
      <c r="T990" s="221"/>
      <c r="U990" s="89"/>
      <c r="V990" s="61"/>
      <c r="W990" s="92" t="s">
        <v>65</v>
      </c>
      <c r="X990" s="93" t="s">
        <v>30</v>
      </c>
      <c r="Y990" s="93" t="s">
        <v>1011</v>
      </c>
      <c r="Z990" s="134">
        <f>VLOOKUP(W990,Sheet2!$B:$D,3,FALSE)</f>
        <v>1.76</v>
      </c>
      <c r="AA990" s="93">
        <f>AA989/9</f>
        <v>2.2222222222222223</v>
      </c>
      <c r="AB990" s="93">
        <f>AD990/AC983</f>
        <v>0.79199999999999993</v>
      </c>
      <c r="AC990" s="93">
        <f>AC983/AA990</f>
        <v>0.31274999999999992</v>
      </c>
      <c r="AD990" s="94">
        <f>AC990*Z990</f>
        <v>0.55043999999999982</v>
      </c>
      <c r="AE990" s="190"/>
      <c r="AF990" s="191"/>
      <c r="AG990" s="191"/>
      <c r="AH990" s="191"/>
      <c r="AI990" s="186"/>
      <c r="AK990" s="171"/>
    </row>
    <row r="991" spans="1:37" s="102" customFormat="1" ht="19.899999999999999" customHeight="1" x14ac:dyDescent="0.25">
      <c r="A991" s="45"/>
      <c r="B991" s="59"/>
      <c r="C991" s="137"/>
      <c r="D991" s="59"/>
      <c r="E991" s="116"/>
      <c r="F991" s="120"/>
      <c r="G991" s="120"/>
      <c r="H991" s="120"/>
      <c r="I991" s="60"/>
      <c r="J991" s="116"/>
      <c r="K991" s="213"/>
      <c r="L991" s="120"/>
      <c r="M991" s="120"/>
      <c r="N991" s="167"/>
      <c r="O991" s="120"/>
      <c r="P991" s="120"/>
      <c r="Q991" s="120"/>
      <c r="R991" s="120"/>
      <c r="S991" s="120"/>
      <c r="T991" s="221"/>
      <c r="U991" s="89"/>
      <c r="V991" s="61"/>
      <c r="W991" s="92" t="s">
        <v>1030</v>
      </c>
      <c r="X991" s="93" t="s">
        <v>29</v>
      </c>
      <c r="Y991" s="93" t="s">
        <v>93</v>
      </c>
      <c r="Z991" s="134">
        <f>VLOOKUP(W991,Sheet2!$B:$D,3,FALSE)</f>
        <v>23</v>
      </c>
      <c r="AA991" s="93">
        <f>1*4</f>
        <v>4</v>
      </c>
      <c r="AB991" s="93">
        <f>AD991/AC983</f>
        <v>5.75</v>
      </c>
      <c r="AC991" s="93">
        <f>AC983/AA991</f>
        <v>0.17374999999999996</v>
      </c>
      <c r="AD991" s="94">
        <f t="shared" ref="AD991:AD992" si="809">AC991*Z991</f>
        <v>3.996249999999999</v>
      </c>
      <c r="AE991" s="190"/>
      <c r="AF991" s="191"/>
      <c r="AG991" s="191"/>
      <c r="AH991" s="191"/>
      <c r="AI991" s="186"/>
      <c r="AK991" s="171"/>
    </row>
    <row r="992" spans="1:37" s="102" customFormat="1" ht="19.899999999999999" customHeight="1" x14ac:dyDescent="0.25">
      <c r="A992" s="45"/>
      <c r="B992" s="59"/>
      <c r="C992" s="137"/>
      <c r="D992" s="59"/>
      <c r="E992" s="116"/>
      <c r="F992" s="120"/>
      <c r="G992" s="120"/>
      <c r="H992" s="120"/>
      <c r="I992" s="60"/>
      <c r="J992" s="116"/>
      <c r="K992" s="213"/>
      <c r="L992" s="120"/>
      <c r="M992" s="120"/>
      <c r="N992" s="167"/>
      <c r="O992" s="120"/>
      <c r="P992" s="120"/>
      <c r="Q992" s="120"/>
      <c r="R992" s="120"/>
      <c r="S992" s="120"/>
      <c r="T992" s="221"/>
      <c r="U992" s="89"/>
      <c r="V992" s="61"/>
      <c r="W992" s="92" t="s">
        <v>65</v>
      </c>
      <c r="X992" s="93" t="s">
        <v>30</v>
      </c>
      <c r="Y992" s="93" t="s">
        <v>1011</v>
      </c>
      <c r="Z992" s="134">
        <f>VLOOKUP(W992,Sheet2!$B:$D,3,FALSE)</f>
        <v>1.76</v>
      </c>
      <c r="AA992" s="93">
        <f>AA991/3</f>
        <v>1.3333333333333333</v>
      </c>
      <c r="AB992" s="93">
        <f>AD992/AC983</f>
        <v>1.32</v>
      </c>
      <c r="AC992" s="93">
        <f>AC983/AA992</f>
        <v>0.52124999999999988</v>
      </c>
      <c r="AD992" s="94">
        <f t="shared" si="809"/>
        <v>0.91739999999999977</v>
      </c>
      <c r="AE992" s="190"/>
      <c r="AF992" s="191"/>
      <c r="AG992" s="191"/>
      <c r="AH992" s="191"/>
      <c r="AI992" s="186"/>
      <c r="AK992" s="171"/>
    </row>
    <row r="993" spans="1:41" ht="20.100000000000001" customHeight="1" x14ac:dyDescent="0.25">
      <c r="A993" s="277" t="s">
        <v>216</v>
      </c>
      <c r="B993" s="278"/>
      <c r="C993" s="64" t="s">
        <v>340</v>
      </c>
      <c r="D993" s="46" t="s">
        <v>328</v>
      </c>
      <c r="E993" s="114">
        <v>0.96499999999999986</v>
      </c>
      <c r="F993" s="44">
        <v>10951</v>
      </c>
      <c r="G993" s="44">
        <f t="shared" si="607"/>
        <v>10567.714999999998</v>
      </c>
      <c r="H993" s="44">
        <f t="shared" si="608"/>
        <v>4195.6732078431369</v>
      </c>
      <c r="I993" s="43">
        <f t="shared" si="609"/>
        <v>4048.8246455686267</v>
      </c>
      <c r="J993" s="112">
        <f t="shared" si="610"/>
        <v>0.96499999999999986</v>
      </c>
      <c r="K993" s="211">
        <f t="shared" si="611"/>
        <v>0.96499999999999986</v>
      </c>
      <c r="L993" s="44"/>
      <c r="M993" s="44">
        <f t="shared" si="612"/>
        <v>0.96499999999999986</v>
      </c>
      <c r="N993" s="173">
        <f t="shared" si="613"/>
        <v>1</v>
      </c>
      <c r="O993" s="44">
        <f t="shared" si="614"/>
        <v>10951</v>
      </c>
      <c r="P993" s="44">
        <f t="shared" si="615"/>
        <v>10567.714999999998</v>
      </c>
      <c r="Q993" s="44">
        <f t="shared" si="616"/>
        <v>4195.6732078431369</v>
      </c>
      <c r="R993" s="44">
        <f t="shared" si="617"/>
        <v>4048.8246455686267</v>
      </c>
      <c r="S993" s="123"/>
      <c r="T993" s="219">
        <f t="shared" si="618"/>
        <v>4048.8246455686267</v>
      </c>
      <c r="U993" s="87"/>
      <c r="V993" s="47"/>
      <c r="W993" s="48"/>
      <c r="X993" s="48"/>
      <c r="Y993" s="48"/>
      <c r="Z993" s="135"/>
      <c r="AA993" s="49"/>
      <c r="AB993" s="50">
        <f t="shared" si="619"/>
        <v>4195.6732078431369</v>
      </c>
      <c r="AC993" s="42">
        <f t="shared" si="620"/>
        <v>0.96499999999999986</v>
      </c>
      <c r="AD993" s="90">
        <f>AD994+AD999+AD1006+AD1009</f>
        <v>4048.8246455686267</v>
      </c>
      <c r="AE993" s="188">
        <f t="shared" ref="AE993" si="810">AE994+AE999+AE1006+AE1009</f>
        <v>0</v>
      </c>
      <c r="AF993" s="189">
        <f t="shared" ref="AF993" si="811">AF994+AF999+AF1006+AF1009</f>
        <v>0</v>
      </c>
      <c r="AG993" s="189">
        <f t="shared" ref="AG993" si="812">AG994+AG999+AG1006+AG1009</f>
        <v>0</v>
      </c>
      <c r="AH993" s="189">
        <f t="shared" ref="AH993" si="813">AH994+AH999+AH1006+AH1009</f>
        <v>0</v>
      </c>
      <c r="AI993" s="161">
        <f t="shared" ref="AI993" si="814">SUM(AE993:AH993)</f>
        <v>0</v>
      </c>
      <c r="AK993" s="169">
        <v>5</v>
      </c>
      <c r="AO993" s="19" t="s">
        <v>63</v>
      </c>
    </row>
    <row r="994" spans="1:41" s="103" customFormat="1" ht="19.899999999999999" customHeight="1" x14ac:dyDescent="0.25">
      <c r="A994" s="51"/>
      <c r="B994" s="52"/>
      <c r="C994" s="165"/>
      <c r="D994" s="52"/>
      <c r="E994" s="115"/>
      <c r="F994" s="58"/>
      <c r="G994" s="58"/>
      <c r="H994" s="58"/>
      <c r="I994" s="55"/>
      <c r="J994" s="113">
        <f>J993</f>
        <v>0.96499999999999986</v>
      </c>
      <c r="K994" s="212">
        <f>K993</f>
        <v>0.96499999999999986</v>
      </c>
      <c r="L994" s="58"/>
      <c r="M994" s="58">
        <f>K994-L994</f>
        <v>0.96499999999999986</v>
      </c>
      <c r="N994" s="166"/>
      <c r="O994" s="58"/>
      <c r="P994" s="58"/>
      <c r="Q994" s="58"/>
      <c r="R994" s="58"/>
      <c r="S994" s="58"/>
      <c r="T994" s="220"/>
      <c r="U994" s="88"/>
      <c r="V994" s="56"/>
      <c r="W994" s="57" t="s">
        <v>1363</v>
      </c>
      <c r="X994" s="53"/>
      <c r="Y994" s="91" t="s">
        <v>35</v>
      </c>
      <c r="Z994" s="136">
        <f>AD994/AC994</f>
        <v>36.198776470588236</v>
      </c>
      <c r="AA994" s="58"/>
      <c r="AB994" s="53">
        <f>AD994/AC994</f>
        <v>36.198776470588236</v>
      </c>
      <c r="AC994" s="53">
        <f>M994+$AE$10</f>
        <v>0.96499999999999986</v>
      </c>
      <c r="AD994" s="54">
        <f>SUM(AD995:AD998)</f>
        <v>34.931819294117645</v>
      </c>
      <c r="AE994" s="184">
        <f>SUMIFS($AD$37:$AD$12971,$V$37:$V$12971,$V994,$X$37:$X$12971,AE$13)</f>
        <v>0</v>
      </c>
      <c r="AF994" s="185">
        <f>SUMIFS($AD$37:$AD$12971,$V$37:$V$12971,$V994,$X$37:$X$12971,AF$13)</f>
        <v>0</v>
      </c>
      <c r="AG994" s="185">
        <f>SUMIFS($AD$37:$AD$12971,$V$37:$V$12971,$V994,$X$37:$X$12971,AG$13)</f>
        <v>0</v>
      </c>
      <c r="AH994" s="187">
        <f>SUMIFS($AD$37:$AD$12971,$V$37:$V$12971,$V994,$X$37:$X$12971,AH$13)</f>
        <v>0</v>
      </c>
      <c r="AI994" s="161">
        <f t="shared" ref="AI994" si="815">SUM(AE994:AH994)</f>
        <v>0</v>
      </c>
      <c r="AK994" s="172"/>
    </row>
    <row r="995" spans="1:41" s="102" customFormat="1" ht="19.899999999999999" customHeight="1" x14ac:dyDescent="0.25">
      <c r="A995" s="45"/>
      <c r="B995" s="59"/>
      <c r="C995" s="137"/>
      <c r="D995" s="59"/>
      <c r="E995" s="116"/>
      <c r="F995" s="120"/>
      <c r="G995" s="120"/>
      <c r="H995" s="120"/>
      <c r="I995" s="60"/>
      <c r="J995" s="116"/>
      <c r="K995" s="213"/>
      <c r="L995" s="120"/>
      <c r="M995" s="120"/>
      <c r="N995" s="167"/>
      <c r="O995" s="120"/>
      <c r="P995" s="120"/>
      <c r="Q995" s="120"/>
      <c r="R995" s="120"/>
      <c r="S995" s="120"/>
      <c r="T995" s="221"/>
      <c r="U995" s="89"/>
      <c r="V995" s="61"/>
      <c r="W995" s="92" t="s">
        <v>129</v>
      </c>
      <c r="X995" s="93" t="s">
        <v>29</v>
      </c>
      <c r="Y995" s="93" t="s">
        <v>93</v>
      </c>
      <c r="Z995" s="134">
        <f>VLOOKUP(W995,Sheet2!$B:$D,3,FALSE)</f>
        <v>56</v>
      </c>
      <c r="AA995" s="93">
        <f>100/(3*3*1)</f>
        <v>11.111111111111111</v>
      </c>
      <c r="AB995" s="93">
        <f t="shared" ref="AB995" si="816">AD995/AC994</f>
        <v>5.0400000000000009</v>
      </c>
      <c r="AC995" s="93">
        <f>AC994/AA995</f>
        <v>8.6849999999999997E-2</v>
      </c>
      <c r="AD995" s="94">
        <f t="shared" ref="AD995:AD996" si="817">AC995*Z995</f>
        <v>4.8635999999999999</v>
      </c>
      <c r="AE995" s="190"/>
      <c r="AF995" s="191"/>
      <c r="AG995" s="191"/>
      <c r="AH995" s="191"/>
      <c r="AI995" s="186"/>
      <c r="AK995" s="171"/>
    </row>
    <row r="996" spans="1:41" s="102" customFormat="1" ht="19.899999999999999" customHeight="1" x14ac:dyDescent="0.25">
      <c r="A996" s="45"/>
      <c r="B996" s="59"/>
      <c r="C996" s="137"/>
      <c r="D996" s="59"/>
      <c r="E996" s="116"/>
      <c r="F996" s="120"/>
      <c r="G996" s="120"/>
      <c r="H996" s="120"/>
      <c r="I996" s="60"/>
      <c r="J996" s="116"/>
      <c r="K996" s="213"/>
      <c r="L996" s="120"/>
      <c r="M996" s="120"/>
      <c r="N996" s="167"/>
      <c r="O996" s="120"/>
      <c r="P996" s="120"/>
      <c r="Q996" s="120"/>
      <c r="R996" s="120"/>
      <c r="S996" s="120"/>
      <c r="T996" s="221"/>
      <c r="U996" s="89"/>
      <c r="V996" s="61"/>
      <c r="W996" s="92" t="s">
        <v>65</v>
      </c>
      <c r="X996" s="93" t="s">
        <v>30</v>
      </c>
      <c r="Y996" s="93" t="s">
        <v>1011</v>
      </c>
      <c r="Z996" s="134">
        <f>VLOOKUP(W996,Sheet2!$B:$D,3,FALSE)</f>
        <v>1.76</v>
      </c>
      <c r="AA996" s="93">
        <f>AA995/14</f>
        <v>0.79365079365079361</v>
      </c>
      <c r="AB996" s="93">
        <f>AD996/AC994</f>
        <v>2.2176000000000005</v>
      </c>
      <c r="AC996" s="93">
        <f>AC994/AA996</f>
        <v>1.2159</v>
      </c>
      <c r="AD996" s="94">
        <f t="shared" si="817"/>
        <v>2.1399840000000001</v>
      </c>
      <c r="AE996" s="190"/>
      <c r="AF996" s="191"/>
      <c r="AG996" s="191"/>
      <c r="AH996" s="191"/>
      <c r="AI996" s="186"/>
      <c r="AK996" s="171"/>
    </row>
    <row r="997" spans="1:41" s="102" customFormat="1" ht="19.899999999999999" customHeight="1" x14ac:dyDescent="0.25">
      <c r="A997" s="45"/>
      <c r="B997" s="59"/>
      <c r="C997" s="137"/>
      <c r="D997" s="59"/>
      <c r="E997" s="116"/>
      <c r="F997" s="120"/>
      <c r="G997" s="120"/>
      <c r="H997" s="120"/>
      <c r="I997" s="60"/>
      <c r="J997" s="116"/>
      <c r="K997" s="213"/>
      <c r="L997" s="120"/>
      <c r="M997" s="120"/>
      <c r="N997" s="167"/>
      <c r="O997" s="120"/>
      <c r="P997" s="120"/>
      <c r="Q997" s="120"/>
      <c r="R997" s="120"/>
      <c r="S997" s="120"/>
      <c r="T997" s="221"/>
      <c r="U997" s="89"/>
      <c r="V997" s="61"/>
      <c r="W997" s="92" t="s">
        <v>161</v>
      </c>
      <c r="X997" s="93" t="s">
        <v>29</v>
      </c>
      <c r="Y997" s="93" t="s">
        <v>93</v>
      </c>
      <c r="Z997" s="134">
        <f>VLOOKUP(W997,Sheet2!$B:$D,3,FALSE)</f>
        <v>48</v>
      </c>
      <c r="AA997" s="93">
        <f>(16*0.85*1.5)/(3*3*1)</f>
        <v>2.2666666666666666</v>
      </c>
      <c r="AB997" s="93">
        <f>AD997/AC994</f>
        <v>21.176470588235293</v>
      </c>
      <c r="AC997" s="93">
        <f>AC994/AA997</f>
        <v>0.42573529411764699</v>
      </c>
      <c r="AD997" s="94">
        <f>AC997*Z997</f>
        <v>20.435294117647054</v>
      </c>
      <c r="AE997" s="190"/>
      <c r="AF997" s="191"/>
      <c r="AG997" s="191"/>
      <c r="AH997" s="191"/>
      <c r="AI997" s="186"/>
      <c r="AK997" s="171"/>
    </row>
    <row r="998" spans="1:41" s="102" customFormat="1" ht="19.899999999999999" customHeight="1" x14ac:dyDescent="0.25">
      <c r="A998" s="45"/>
      <c r="B998" s="59"/>
      <c r="C998" s="137"/>
      <c r="D998" s="59"/>
      <c r="E998" s="116"/>
      <c r="F998" s="120"/>
      <c r="G998" s="120"/>
      <c r="H998" s="120"/>
      <c r="I998" s="60"/>
      <c r="J998" s="116"/>
      <c r="K998" s="213"/>
      <c r="L998" s="120"/>
      <c r="M998" s="120"/>
      <c r="N998" s="167"/>
      <c r="O998" s="120"/>
      <c r="P998" s="120"/>
      <c r="Q998" s="120"/>
      <c r="R998" s="120"/>
      <c r="S998" s="120"/>
      <c r="T998" s="221"/>
      <c r="U998" s="89"/>
      <c r="V998" s="61"/>
      <c r="W998" s="92" t="s">
        <v>65</v>
      </c>
      <c r="X998" s="93" t="s">
        <v>30</v>
      </c>
      <c r="Y998" s="93" t="s">
        <v>1011</v>
      </c>
      <c r="Z998" s="134">
        <f>VLOOKUP(W998,Sheet2!$B:$D,3,FALSE)</f>
        <v>1.76</v>
      </c>
      <c r="AA998" s="93">
        <f>AA997/10</f>
        <v>0.22666666666666666</v>
      </c>
      <c r="AB998" s="93">
        <f>AD998/AC994</f>
        <v>7.764705882352942</v>
      </c>
      <c r="AC998" s="93">
        <f>AC994/AA998</f>
        <v>4.2573529411764701</v>
      </c>
      <c r="AD998" s="94">
        <f>AC998*Z998</f>
        <v>7.4929411764705875</v>
      </c>
      <c r="AE998" s="190"/>
      <c r="AF998" s="191"/>
      <c r="AG998" s="191"/>
      <c r="AH998" s="191"/>
      <c r="AI998" s="186"/>
      <c r="AK998" s="171"/>
    </row>
    <row r="999" spans="1:41" s="103" customFormat="1" ht="19.899999999999999" customHeight="1" x14ac:dyDescent="0.25">
      <c r="A999" s="51"/>
      <c r="B999" s="52"/>
      <c r="C999" s="165"/>
      <c r="D999" s="52"/>
      <c r="E999" s="115"/>
      <c r="F999" s="58"/>
      <c r="G999" s="58"/>
      <c r="H999" s="58"/>
      <c r="I999" s="55"/>
      <c r="J999" s="113">
        <f>J993</f>
        <v>0.96499999999999986</v>
      </c>
      <c r="K999" s="212">
        <f>K993</f>
        <v>0.96499999999999986</v>
      </c>
      <c r="L999" s="58"/>
      <c r="M999" s="58">
        <f>K999-L999</f>
        <v>0.96499999999999986</v>
      </c>
      <c r="N999" s="166"/>
      <c r="O999" s="58"/>
      <c r="P999" s="58"/>
      <c r="Q999" s="58"/>
      <c r="R999" s="58"/>
      <c r="S999" s="58"/>
      <c r="T999" s="220"/>
      <c r="U999" s="88"/>
      <c r="V999" s="56"/>
      <c r="W999" s="57" t="s">
        <v>1352</v>
      </c>
      <c r="X999" s="53"/>
      <c r="Y999" s="91" t="s">
        <v>35</v>
      </c>
      <c r="Z999" s="136">
        <f>AD999/AC999</f>
        <v>2950</v>
      </c>
      <c r="AA999" s="58"/>
      <c r="AB999" s="53">
        <f>AD999/AC999</f>
        <v>2950</v>
      </c>
      <c r="AC999" s="53">
        <f>M999+$AE$10</f>
        <v>0.96499999999999986</v>
      </c>
      <c r="AD999" s="54">
        <f>SUM(AD1000:AD1005)</f>
        <v>2846.7499999999995</v>
      </c>
      <c r="AE999" s="184">
        <f>SUMIFS($AD$37:$AD$12971,$V$37:$V$12971,$V999,$X$37:$X$12971,AE$13)</f>
        <v>0</v>
      </c>
      <c r="AF999" s="185">
        <f>SUMIFS($AD$37:$AD$12971,$V$37:$V$12971,$V999,$X$37:$X$12971,AF$13)</f>
        <v>0</v>
      </c>
      <c r="AG999" s="185">
        <f>SUMIFS($AD$37:$AD$12971,$V$37:$V$12971,$V999,$X$37:$X$12971,AG$13)</f>
        <v>0</v>
      </c>
      <c r="AH999" s="187">
        <f>SUMIFS($AD$37:$AD$12971,$V$37:$V$12971,$V999,$X$37:$X$12971,AH$13)</f>
        <v>0</v>
      </c>
      <c r="AI999" s="161">
        <f t="shared" ref="AI999" si="818">SUM(AE999:AH999)</f>
        <v>0</v>
      </c>
      <c r="AK999" s="172"/>
    </row>
    <row r="1000" spans="1:41" s="102" customFormat="1" ht="19.899999999999999" customHeight="1" x14ac:dyDescent="0.25">
      <c r="A1000" s="45"/>
      <c r="B1000" s="59"/>
      <c r="C1000" s="137"/>
      <c r="D1000" s="59"/>
      <c r="E1000" s="116"/>
      <c r="F1000" s="120"/>
      <c r="G1000" s="120"/>
      <c r="H1000" s="120"/>
      <c r="I1000" s="60"/>
      <c r="J1000" s="116"/>
      <c r="K1000" s="213"/>
      <c r="L1000" s="120"/>
      <c r="M1000" s="120"/>
      <c r="N1000" s="167"/>
      <c r="O1000" s="120"/>
      <c r="P1000" s="120"/>
      <c r="Q1000" s="120"/>
      <c r="R1000" s="120"/>
      <c r="S1000" s="120"/>
      <c r="T1000" s="221"/>
      <c r="U1000" s="89"/>
      <c r="V1000" s="61"/>
      <c r="W1000" s="92" t="s">
        <v>1353</v>
      </c>
      <c r="X1000" s="93" t="s">
        <v>30</v>
      </c>
      <c r="Y1000" s="93" t="s">
        <v>66</v>
      </c>
      <c r="Z1000" s="134">
        <f>VLOOKUP(W1000,Sheet2!$B:$D,3,FALSE)</f>
        <v>350</v>
      </c>
      <c r="AA1000" s="93">
        <f>1/(2*1*0.25*4)</f>
        <v>0.5</v>
      </c>
      <c r="AB1000" s="93">
        <f>AD1000/AC999</f>
        <v>700</v>
      </c>
      <c r="AC1000" s="93">
        <f>AC999/AA1000</f>
        <v>1.9299999999999997</v>
      </c>
      <c r="AD1000" s="94">
        <f t="shared" ref="AD1000:AD1001" si="819">AC1000*Z1000</f>
        <v>675.49999999999989</v>
      </c>
      <c r="AE1000" s="190"/>
      <c r="AF1000" s="191"/>
      <c r="AG1000" s="191"/>
      <c r="AH1000" s="191"/>
      <c r="AI1000" s="186"/>
      <c r="AK1000" s="171"/>
    </row>
    <row r="1001" spans="1:41" s="102" customFormat="1" ht="19.899999999999999" customHeight="1" x14ac:dyDescent="0.25">
      <c r="A1001" s="45"/>
      <c r="B1001" s="59"/>
      <c r="C1001" s="137"/>
      <c r="D1001" s="59"/>
      <c r="E1001" s="116"/>
      <c r="F1001" s="120"/>
      <c r="G1001" s="120"/>
      <c r="H1001" s="120"/>
      <c r="I1001" s="60"/>
      <c r="J1001" s="116"/>
      <c r="K1001" s="213"/>
      <c r="L1001" s="120"/>
      <c r="M1001" s="120"/>
      <c r="N1001" s="167"/>
      <c r="O1001" s="120"/>
      <c r="P1001" s="120"/>
      <c r="Q1001" s="120"/>
      <c r="R1001" s="120"/>
      <c r="S1001" s="120"/>
      <c r="T1001" s="221"/>
      <c r="U1001" s="89"/>
      <c r="V1001" s="61"/>
      <c r="W1001" s="92" t="s">
        <v>99</v>
      </c>
      <c r="X1001" s="93" t="s">
        <v>30</v>
      </c>
      <c r="Y1001" s="93" t="s">
        <v>67</v>
      </c>
      <c r="Z1001" s="134">
        <f>VLOOKUP(W1001,Sheet2!$B:$D,3,FALSE)</f>
        <v>2500</v>
      </c>
      <c r="AA1001" s="93">
        <f>1/(2*1*0.25*4*0.08)</f>
        <v>6.25</v>
      </c>
      <c r="AB1001" s="93">
        <f>AD1001/AC999</f>
        <v>400</v>
      </c>
      <c r="AC1001" s="93">
        <f>AC999/AA1001</f>
        <v>0.15439999999999998</v>
      </c>
      <c r="AD1001" s="94">
        <f t="shared" si="819"/>
        <v>385.99999999999994</v>
      </c>
      <c r="AE1001" s="190"/>
      <c r="AF1001" s="191"/>
      <c r="AG1001" s="191"/>
      <c r="AH1001" s="191"/>
      <c r="AI1001" s="186"/>
      <c r="AK1001" s="171"/>
    </row>
    <row r="1002" spans="1:41" s="102" customFormat="1" ht="19.899999999999999" customHeight="1" x14ac:dyDescent="0.25">
      <c r="A1002" s="45"/>
      <c r="B1002" s="59"/>
      <c r="C1002" s="137"/>
      <c r="D1002" s="59"/>
      <c r="E1002" s="116"/>
      <c r="F1002" s="120"/>
      <c r="G1002" s="120"/>
      <c r="H1002" s="120"/>
      <c r="I1002" s="60"/>
      <c r="J1002" s="116"/>
      <c r="K1002" s="213"/>
      <c r="L1002" s="120"/>
      <c r="M1002" s="120"/>
      <c r="N1002" s="167"/>
      <c r="O1002" s="120"/>
      <c r="P1002" s="120"/>
      <c r="Q1002" s="120"/>
      <c r="R1002" s="120"/>
      <c r="S1002" s="120"/>
      <c r="T1002" s="221"/>
      <c r="U1002" s="89"/>
      <c r="V1002" s="61"/>
      <c r="W1002" s="92" t="s">
        <v>1355</v>
      </c>
      <c r="X1002" s="93" t="s">
        <v>32</v>
      </c>
      <c r="Y1002" s="93" t="s">
        <v>66</v>
      </c>
      <c r="Z1002" s="134">
        <f>VLOOKUP(W1002,Sheet2!$B:$D,3,FALSE)</f>
        <v>450</v>
      </c>
      <c r="AA1002" s="93">
        <f>AA1000</f>
        <v>0.5</v>
      </c>
      <c r="AB1002" s="93">
        <f>AD1002/AC999</f>
        <v>900</v>
      </c>
      <c r="AC1002" s="93">
        <f>AC999/AA1002</f>
        <v>1.9299999999999997</v>
      </c>
      <c r="AD1002" s="94">
        <f>AC1002*Z1002</f>
        <v>868.49999999999989</v>
      </c>
      <c r="AE1002" s="190"/>
      <c r="AF1002" s="191"/>
      <c r="AG1002" s="191"/>
      <c r="AH1002" s="191"/>
      <c r="AI1002" s="186"/>
      <c r="AK1002" s="171"/>
    </row>
    <row r="1003" spans="1:41" s="102" customFormat="1" ht="19.899999999999999" customHeight="1" x14ac:dyDescent="0.25">
      <c r="A1003" s="45"/>
      <c r="B1003" s="59"/>
      <c r="C1003" s="137"/>
      <c r="D1003" s="59"/>
      <c r="E1003" s="116"/>
      <c r="F1003" s="120"/>
      <c r="G1003" s="120"/>
      <c r="H1003" s="120"/>
      <c r="I1003" s="60"/>
      <c r="J1003" s="116"/>
      <c r="K1003" s="213"/>
      <c r="L1003" s="120"/>
      <c r="M1003" s="120"/>
      <c r="N1003" s="167"/>
      <c r="O1003" s="120"/>
      <c r="P1003" s="120"/>
      <c r="Q1003" s="120"/>
      <c r="R1003" s="120"/>
      <c r="S1003" s="120"/>
      <c r="T1003" s="221"/>
      <c r="U1003" s="89"/>
      <c r="V1003" s="61"/>
      <c r="W1003" s="92" t="s">
        <v>1362</v>
      </c>
      <c r="X1003" s="93" t="s">
        <v>30</v>
      </c>
      <c r="Y1003" s="93" t="s">
        <v>35</v>
      </c>
      <c r="Z1003" s="134">
        <f>VLOOKUP(W1003,Sheet2!$B:$D,3,FALSE)</f>
        <v>400</v>
      </c>
      <c r="AA1003" s="93">
        <v>0.5</v>
      </c>
      <c r="AB1003" s="93">
        <f>AD1003/AC999</f>
        <v>800</v>
      </c>
      <c r="AC1003" s="93">
        <f>AC999/AA1003</f>
        <v>1.9299999999999997</v>
      </c>
      <c r="AD1003" s="94">
        <f t="shared" ref="AD1003" si="820">AC1003*Z1003</f>
        <v>771.99999999999989</v>
      </c>
      <c r="AE1003" s="190"/>
      <c r="AF1003" s="191"/>
      <c r="AG1003" s="191"/>
      <c r="AH1003" s="191"/>
      <c r="AI1003" s="186"/>
      <c r="AK1003" s="171"/>
    </row>
    <row r="1004" spans="1:41" s="102" customFormat="1" ht="19.899999999999999" customHeight="1" x14ac:dyDescent="0.25">
      <c r="A1004" s="45"/>
      <c r="B1004" s="59"/>
      <c r="C1004" s="137"/>
      <c r="D1004" s="59"/>
      <c r="E1004" s="116"/>
      <c r="F1004" s="120"/>
      <c r="G1004" s="120"/>
      <c r="H1004" s="120"/>
      <c r="I1004" s="60"/>
      <c r="J1004" s="116"/>
      <c r="K1004" s="213"/>
      <c r="L1004" s="120"/>
      <c r="M1004" s="120"/>
      <c r="N1004" s="167"/>
      <c r="O1004" s="120"/>
      <c r="P1004" s="120"/>
      <c r="Q1004" s="120"/>
      <c r="R1004" s="120"/>
      <c r="S1004" s="120"/>
      <c r="T1004" s="221"/>
      <c r="U1004" s="89"/>
      <c r="V1004" s="61"/>
      <c r="W1004" s="92" t="s">
        <v>107</v>
      </c>
      <c r="X1004" s="93" t="s">
        <v>31</v>
      </c>
      <c r="Y1004" s="93" t="s">
        <v>93</v>
      </c>
      <c r="Z1004" s="134">
        <f>VLOOKUP(W1004,Sheet2!$B:$D,3,FALSE)</f>
        <v>17</v>
      </c>
      <c r="AA1004" s="93">
        <f>1/5</f>
        <v>0.2</v>
      </c>
      <c r="AB1004" s="93">
        <f>AD1004/AC999</f>
        <v>85</v>
      </c>
      <c r="AC1004" s="93">
        <f>AC999/AA1004</f>
        <v>4.8249999999999993</v>
      </c>
      <c r="AD1004" s="94">
        <f>AC1004*Z1004</f>
        <v>82.024999999999991</v>
      </c>
      <c r="AE1004" s="190"/>
      <c r="AF1004" s="191"/>
      <c r="AG1004" s="191"/>
      <c r="AH1004" s="191"/>
      <c r="AI1004" s="186"/>
      <c r="AK1004" s="171"/>
    </row>
    <row r="1005" spans="1:41" s="102" customFormat="1" ht="19.899999999999999" customHeight="1" x14ac:dyDescent="0.25">
      <c r="A1005" s="45"/>
      <c r="B1005" s="59"/>
      <c r="C1005" s="137"/>
      <c r="D1005" s="59"/>
      <c r="E1005" s="116"/>
      <c r="F1005" s="120"/>
      <c r="G1005" s="120"/>
      <c r="H1005" s="120"/>
      <c r="I1005" s="60"/>
      <c r="J1005" s="116"/>
      <c r="K1005" s="213"/>
      <c r="L1005" s="120"/>
      <c r="M1005" s="120"/>
      <c r="N1005" s="167"/>
      <c r="O1005" s="120"/>
      <c r="P1005" s="120"/>
      <c r="Q1005" s="120"/>
      <c r="R1005" s="120"/>
      <c r="S1005" s="120"/>
      <c r="T1005" s="221"/>
      <c r="U1005" s="89"/>
      <c r="V1005" s="61"/>
      <c r="W1005" s="92" t="s">
        <v>112</v>
      </c>
      <c r="X1005" s="93" t="s">
        <v>31</v>
      </c>
      <c r="Y1005" s="93" t="s">
        <v>93</v>
      </c>
      <c r="Z1005" s="134">
        <f>VLOOKUP(W1005,Sheet2!$B:$D,3,FALSE)</f>
        <v>13</v>
      </c>
      <c r="AA1005" s="93">
        <f>AA1004</f>
        <v>0.2</v>
      </c>
      <c r="AB1005" s="93">
        <f>AD1005/AC999</f>
        <v>65</v>
      </c>
      <c r="AC1005" s="93">
        <f>AC999/AA1005</f>
        <v>4.8249999999999993</v>
      </c>
      <c r="AD1005" s="94">
        <f>AC1005*Z1005</f>
        <v>62.724999999999994</v>
      </c>
      <c r="AE1005" s="190"/>
      <c r="AF1005" s="191"/>
      <c r="AG1005" s="191"/>
      <c r="AH1005" s="191"/>
      <c r="AI1005" s="186"/>
      <c r="AK1005" s="171"/>
    </row>
    <row r="1006" spans="1:41" s="103" customFormat="1" ht="19.899999999999999" customHeight="1" x14ac:dyDescent="0.25">
      <c r="A1006" s="51"/>
      <c r="B1006" s="52"/>
      <c r="C1006" s="165"/>
      <c r="D1006" s="52"/>
      <c r="E1006" s="115"/>
      <c r="F1006" s="58"/>
      <c r="G1006" s="58"/>
      <c r="H1006" s="58"/>
      <c r="I1006" s="55"/>
      <c r="J1006" s="113">
        <f>J993</f>
        <v>0.96499999999999986</v>
      </c>
      <c r="K1006" s="212">
        <f>K993</f>
        <v>0.96499999999999986</v>
      </c>
      <c r="L1006" s="58"/>
      <c r="M1006" s="58">
        <f>K1006-L1006</f>
        <v>0.96499999999999986</v>
      </c>
      <c r="N1006" s="166"/>
      <c r="O1006" s="58"/>
      <c r="P1006" s="58"/>
      <c r="Q1006" s="58"/>
      <c r="R1006" s="58"/>
      <c r="S1006" s="58"/>
      <c r="T1006" s="220"/>
      <c r="U1006" s="88"/>
      <c r="V1006" s="56"/>
      <c r="W1006" s="57" t="s">
        <v>1358</v>
      </c>
      <c r="X1006" s="53"/>
      <c r="Y1006" s="91" t="s">
        <v>35</v>
      </c>
      <c r="Z1006" s="136">
        <f>AD1006/AC1006</f>
        <v>1119.9999999999998</v>
      </c>
      <c r="AA1006" s="58"/>
      <c r="AB1006" s="53">
        <f>AD1006/AC1006</f>
        <v>1119.9999999999998</v>
      </c>
      <c r="AC1006" s="53">
        <f>M1006+$AE$10</f>
        <v>0.96499999999999986</v>
      </c>
      <c r="AD1006" s="54">
        <f>SUM(AD1007:AD1008)</f>
        <v>1080.7999999999997</v>
      </c>
      <c r="AE1006" s="184">
        <f>SUMIFS($AD$37:$AD$12971,$V$37:$V$12971,$V1006,$X$37:$X$12971,AE$13)</f>
        <v>0</v>
      </c>
      <c r="AF1006" s="185">
        <f>SUMIFS($AD$37:$AD$12971,$V$37:$V$12971,$V1006,$X$37:$X$12971,AF$13)</f>
        <v>0</v>
      </c>
      <c r="AG1006" s="185">
        <f>SUMIFS($AD$37:$AD$12971,$V$37:$V$12971,$V1006,$X$37:$X$12971,AG$13)</f>
        <v>0</v>
      </c>
      <c r="AH1006" s="187">
        <f>SUMIFS($AD$37:$AD$12971,$V$37:$V$12971,$V1006,$X$37:$X$12971,AH$13)</f>
        <v>0</v>
      </c>
      <c r="AI1006" s="161">
        <f t="shared" ref="AI1006" si="821">SUM(AE1006:AH1006)</f>
        <v>0</v>
      </c>
      <c r="AK1006" s="172"/>
    </row>
    <row r="1007" spans="1:41" s="102" customFormat="1" ht="19.899999999999999" customHeight="1" x14ac:dyDescent="0.25">
      <c r="A1007" s="45"/>
      <c r="B1007" s="59"/>
      <c r="C1007" s="137"/>
      <c r="D1007" s="59"/>
      <c r="E1007" s="116"/>
      <c r="F1007" s="120"/>
      <c r="G1007" s="120"/>
      <c r="H1007" s="120"/>
      <c r="I1007" s="60"/>
      <c r="J1007" s="116"/>
      <c r="K1007" s="213"/>
      <c r="L1007" s="120"/>
      <c r="M1007" s="120"/>
      <c r="N1007" s="167"/>
      <c r="O1007" s="120"/>
      <c r="P1007" s="120"/>
      <c r="Q1007" s="120"/>
      <c r="R1007" s="120"/>
      <c r="S1007" s="120"/>
      <c r="T1007" s="221"/>
      <c r="U1007" s="89"/>
      <c r="V1007" s="61"/>
      <c r="W1007" s="92" t="s">
        <v>1359</v>
      </c>
      <c r="X1007" s="93" t="s">
        <v>32</v>
      </c>
      <c r="Y1007" s="93" t="s">
        <v>64</v>
      </c>
      <c r="Z1007" s="134">
        <f>VLOOKUP(W1007,Sheet2!$B:$D,3,FALSE)</f>
        <v>40</v>
      </c>
      <c r="AA1007" s="93">
        <f>1/16</f>
        <v>6.25E-2</v>
      </c>
      <c r="AB1007" s="93">
        <f t="shared" ref="AB1007" si="822">AD1007/AC1006</f>
        <v>640</v>
      </c>
      <c r="AC1007" s="93">
        <f>AC1006/AA1007</f>
        <v>15.439999999999998</v>
      </c>
      <c r="AD1007" s="94">
        <f t="shared" ref="AD1007:AD1008" si="823">AC1007*Z1007</f>
        <v>617.59999999999991</v>
      </c>
      <c r="AE1007" s="190"/>
      <c r="AF1007" s="191"/>
      <c r="AG1007" s="191"/>
      <c r="AH1007" s="191"/>
      <c r="AI1007" s="186"/>
      <c r="AK1007" s="171"/>
    </row>
    <row r="1008" spans="1:41" s="102" customFormat="1" ht="19.899999999999999" customHeight="1" x14ac:dyDescent="0.25">
      <c r="A1008" s="45"/>
      <c r="B1008" s="59"/>
      <c r="C1008" s="137"/>
      <c r="D1008" s="59"/>
      <c r="E1008" s="116"/>
      <c r="F1008" s="120"/>
      <c r="G1008" s="120"/>
      <c r="H1008" s="120"/>
      <c r="I1008" s="60"/>
      <c r="J1008" s="116"/>
      <c r="K1008" s="213"/>
      <c r="L1008" s="120"/>
      <c r="M1008" s="120"/>
      <c r="N1008" s="167"/>
      <c r="O1008" s="120"/>
      <c r="P1008" s="120"/>
      <c r="Q1008" s="120"/>
      <c r="R1008" s="120"/>
      <c r="S1008" s="120"/>
      <c r="T1008" s="221"/>
      <c r="U1008" s="89"/>
      <c r="V1008" s="61"/>
      <c r="W1008" s="92" t="s">
        <v>1360</v>
      </c>
      <c r="X1008" s="93" t="s">
        <v>32</v>
      </c>
      <c r="Y1008" s="93" t="s">
        <v>64</v>
      </c>
      <c r="Z1008" s="134">
        <f>VLOOKUP(W1008,Sheet2!$B:$D,3,FALSE)</f>
        <v>30</v>
      </c>
      <c r="AA1008" s="93">
        <f>AA1007</f>
        <v>6.25E-2</v>
      </c>
      <c r="AB1008" s="93">
        <f>AD1008/AC1006</f>
        <v>480</v>
      </c>
      <c r="AC1008" s="93">
        <f>AC1006/AA1008</f>
        <v>15.439999999999998</v>
      </c>
      <c r="AD1008" s="94">
        <f t="shared" si="823"/>
        <v>463.19999999999993</v>
      </c>
      <c r="AE1008" s="190"/>
      <c r="AF1008" s="191"/>
      <c r="AG1008" s="191"/>
      <c r="AH1008" s="191"/>
      <c r="AI1008" s="186"/>
      <c r="AK1008" s="171"/>
    </row>
    <row r="1009" spans="1:41" s="103" customFormat="1" ht="19.899999999999999" customHeight="1" x14ac:dyDescent="0.25">
      <c r="A1009" s="51"/>
      <c r="B1009" s="52"/>
      <c r="C1009" s="165"/>
      <c r="D1009" s="52"/>
      <c r="E1009" s="115"/>
      <c r="F1009" s="58"/>
      <c r="G1009" s="58"/>
      <c r="H1009" s="58"/>
      <c r="I1009" s="55"/>
      <c r="J1009" s="113">
        <f>J993</f>
        <v>0.96499999999999986</v>
      </c>
      <c r="K1009" s="212">
        <f>K993</f>
        <v>0.96499999999999986</v>
      </c>
      <c r="L1009" s="58"/>
      <c r="M1009" s="58">
        <f>K1009-L1009</f>
        <v>0.96499999999999986</v>
      </c>
      <c r="N1009" s="166"/>
      <c r="O1009" s="58"/>
      <c r="P1009" s="58"/>
      <c r="Q1009" s="58"/>
      <c r="R1009" s="58"/>
      <c r="S1009" s="58"/>
      <c r="T1009" s="220"/>
      <c r="U1009" s="88"/>
      <c r="V1009" s="56"/>
      <c r="W1009" s="57" t="s">
        <v>1272</v>
      </c>
      <c r="X1009" s="53"/>
      <c r="Y1009" s="91" t="s">
        <v>35</v>
      </c>
      <c r="Z1009" s="136">
        <f>AD1009/AC1009</f>
        <v>89.47443137254902</v>
      </c>
      <c r="AA1009" s="58"/>
      <c r="AB1009" s="53">
        <f>AD1009/AC1009</f>
        <v>89.47443137254902</v>
      </c>
      <c r="AC1009" s="53">
        <f>M1009+$AE$10</f>
        <v>0.96499999999999986</v>
      </c>
      <c r="AD1009" s="54">
        <f>SUM(AD1010:AD1018)</f>
        <v>86.34282627450979</v>
      </c>
      <c r="AE1009" s="184">
        <f>SUMIFS($AD$37:$AD$12971,$V$37:$V$12971,$V1009,$X$37:$X$12971,AE$13)</f>
        <v>0</v>
      </c>
      <c r="AF1009" s="185">
        <f>SUMIFS($AD$37:$AD$12971,$V$37:$V$12971,$V1009,$X$37:$X$12971,AF$13)</f>
        <v>0</v>
      </c>
      <c r="AG1009" s="185">
        <f>SUMIFS($AD$37:$AD$12971,$V$37:$V$12971,$V1009,$X$37:$X$12971,AG$13)</f>
        <v>0</v>
      </c>
      <c r="AH1009" s="187">
        <f>SUMIFS($AD$37:$AD$12971,$V$37:$V$12971,$V1009,$X$37:$X$12971,AH$13)</f>
        <v>0</v>
      </c>
      <c r="AI1009" s="161">
        <f t="shared" ref="AI1009" si="824">SUM(AE1009:AH1009)</f>
        <v>0</v>
      </c>
      <c r="AK1009" s="172"/>
    </row>
    <row r="1010" spans="1:41" s="102" customFormat="1" ht="19.899999999999999" customHeight="1" x14ac:dyDescent="0.25">
      <c r="A1010" s="45"/>
      <c r="B1010" s="59"/>
      <c r="C1010" s="137"/>
      <c r="D1010" s="59"/>
      <c r="E1010" s="116"/>
      <c r="F1010" s="120"/>
      <c r="G1010" s="120"/>
      <c r="H1010" s="120"/>
      <c r="I1010" s="60"/>
      <c r="J1010" s="116"/>
      <c r="K1010" s="213"/>
      <c r="L1010" s="120"/>
      <c r="M1010" s="120"/>
      <c r="N1010" s="167"/>
      <c r="O1010" s="120"/>
      <c r="P1010" s="120"/>
      <c r="Q1010" s="120"/>
      <c r="R1010" s="120"/>
      <c r="S1010" s="120"/>
      <c r="T1010" s="221"/>
      <c r="U1010" s="89"/>
      <c r="V1010" s="61"/>
      <c r="W1010" s="92" t="s">
        <v>1273</v>
      </c>
      <c r="X1010" s="93" t="s">
        <v>30</v>
      </c>
      <c r="Y1010" s="93" t="s">
        <v>66</v>
      </c>
      <c r="Z1010" s="134">
        <f>VLOOKUP(W1010,Sheet2!$B:$D,3,FALSE)</f>
        <v>10</v>
      </c>
      <c r="AA1010" s="93">
        <f>1/(2.5*1*0.5*4)</f>
        <v>0.2</v>
      </c>
      <c r="AB1010" s="93">
        <f>AD1010/AC1009</f>
        <v>50</v>
      </c>
      <c r="AC1010" s="93">
        <f>AC1009/AA1010</f>
        <v>4.8249999999999993</v>
      </c>
      <c r="AD1010" s="94">
        <f t="shared" ref="AD1010:AD1012" si="825">AC1010*Z1010</f>
        <v>48.249999999999993</v>
      </c>
      <c r="AE1010" s="190"/>
      <c r="AF1010" s="191"/>
      <c r="AG1010" s="191"/>
      <c r="AH1010" s="191"/>
      <c r="AI1010" s="186"/>
      <c r="AK1010" s="171"/>
    </row>
    <row r="1011" spans="1:41" s="102" customFormat="1" ht="19.899999999999999" customHeight="1" x14ac:dyDescent="0.25">
      <c r="A1011" s="45"/>
      <c r="B1011" s="59"/>
      <c r="C1011" s="137"/>
      <c r="D1011" s="59"/>
      <c r="E1011" s="116"/>
      <c r="F1011" s="120"/>
      <c r="G1011" s="120"/>
      <c r="H1011" s="120"/>
      <c r="I1011" s="60"/>
      <c r="J1011" s="116"/>
      <c r="K1011" s="213"/>
      <c r="L1011" s="120"/>
      <c r="M1011" s="120"/>
      <c r="N1011" s="167"/>
      <c r="O1011" s="120"/>
      <c r="P1011" s="120"/>
      <c r="Q1011" s="120"/>
      <c r="R1011" s="120"/>
      <c r="S1011" s="120"/>
      <c r="T1011" s="221"/>
      <c r="U1011" s="89"/>
      <c r="V1011" s="61"/>
      <c r="W1011" s="92" t="s">
        <v>134</v>
      </c>
      <c r="X1011" s="93" t="s">
        <v>29</v>
      </c>
      <c r="Y1011" s="93" t="s">
        <v>93</v>
      </c>
      <c r="Z1011" s="134">
        <f>VLOOKUP(W1011,Sheet2!$B:$D,3,FALSE)</f>
        <v>65.599999999999994</v>
      </c>
      <c r="AA1011" s="93">
        <f>100/(2.5*1*0.5*4)</f>
        <v>20</v>
      </c>
      <c r="AB1011" s="93">
        <f t="shared" ref="AB1011" si="826">AD1011/AC1009</f>
        <v>3.2800000000000002</v>
      </c>
      <c r="AC1011" s="93">
        <f>AC1009/AA1011</f>
        <v>4.8249999999999994E-2</v>
      </c>
      <c r="AD1011" s="94">
        <f t="shared" si="825"/>
        <v>3.1651999999999996</v>
      </c>
      <c r="AE1011" s="190"/>
      <c r="AF1011" s="191"/>
      <c r="AG1011" s="191"/>
      <c r="AH1011" s="191"/>
      <c r="AI1011" s="186"/>
      <c r="AK1011" s="171"/>
    </row>
    <row r="1012" spans="1:41" s="102" customFormat="1" ht="19.899999999999999" customHeight="1" x14ac:dyDescent="0.25">
      <c r="A1012" s="45"/>
      <c r="B1012" s="59"/>
      <c r="C1012" s="137"/>
      <c r="D1012" s="59"/>
      <c r="E1012" s="116"/>
      <c r="F1012" s="120"/>
      <c r="G1012" s="120"/>
      <c r="H1012" s="120"/>
      <c r="I1012" s="60"/>
      <c r="J1012" s="116"/>
      <c r="K1012" s="213"/>
      <c r="L1012" s="120"/>
      <c r="M1012" s="120"/>
      <c r="N1012" s="167"/>
      <c r="O1012" s="120"/>
      <c r="P1012" s="120"/>
      <c r="Q1012" s="120"/>
      <c r="R1012" s="120"/>
      <c r="S1012" s="120"/>
      <c r="T1012" s="221"/>
      <c r="U1012" s="89"/>
      <c r="V1012" s="61"/>
      <c r="W1012" s="92" t="s">
        <v>65</v>
      </c>
      <c r="X1012" s="93" t="s">
        <v>30</v>
      </c>
      <c r="Y1012" s="93" t="s">
        <v>1011</v>
      </c>
      <c r="Z1012" s="134">
        <f>VLOOKUP(W1012,Sheet2!$B:$D,3,FALSE)</f>
        <v>1.76</v>
      </c>
      <c r="AA1012" s="93">
        <f>AA1011/9</f>
        <v>2.2222222222222223</v>
      </c>
      <c r="AB1012" s="93">
        <f>AD1012/AC1009</f>
        <v>0.79199999999999993</v>
      </c>
      <c r="AC1012" s="93">
        <f>AC1009/AA1012</f>
        <v>0.43424999999999991</v>
      </c>
      <c r="AD1012" s="94">
        <f t="shared" si="825"/>
        <v>0.76427999999999985</v>
      </c>
      <c r="AE1012" s="190"/>
      <c r="AF1012" s="191"/>
      <c r="AG1012" s="191"/>
      <c r="AH1012" s="191"/>
      <c r="AI1012" s="186"/>
      <c r="AK1012" s="171"/>
    </row>
    <row r="1013" spans="1:41" s="102" customFormat="1" ht="19.899999999999999" customHeight="1" x14ac:dyDescent="0.25">
      <c r="A1013" s="45"/>
      <c r="B1013" s="59"/>
      <c r="C1013" s="137"/>
      <c r="D1013" s="59"/>
      <c r="E1013" s="116"/>
      <c r="F1013" s="120"/>
      <c r="G1013" s="120"/>
      <c r="H1013" s="120"/>
      <c r="I1013" s="60"/>
      <c r="J1013" s="116"/>
      <c r="K1013" s="213"/>
      <c r="L1013" s="120"/>
      <c r="M1013" s="120"/>
      <c r="N1013" s="167"/>
      <c r="O1013" s="120"/>
      <c r="P1013" s="120"/>
      <c r="Q1013" s="120"/>
      <c r="R1013" s="120"/>
      <c r="S1013" s="120"/>
      <c r="T1013" s="221"/>
      <c r="U1013" s="89"/>
      <c r="V1013" s="61"/>
      <c r="W1013" s="92" t="s">
        <v>161</v>
      </c>
      <c r="X1013" s="93" t="s">
        <v>29</v>
      </c>
      <c r="Y1013" s="93" t="s">
        <v>93</v>
      </c>
      <c r="Z1013" s="134">
        <f>VLOOKUP(W1013,Sheet2!$B:$D,3,FALSE)</f>
        <v>48</v>
      </c>
      <c r="AA1013" s="93">
        <f>(16*0.85*1.5)/(2.5*1*0.5*4)</f>
        <v>4.08</v>
      </c>
      <c r="AB1013" s="93">
        <f>AD1013/AC1009</f>
        <v>11.764705882352942</v>
      </c>
      <c r="AC1013" s="93">
        <f>AC1009/AA1013</f>
        <v>0.23651960784313722</v>
      </c>
      <c r="AD1013" s="94">
        <f>AC1013*Z1013</f>
        <v>11.352941176470587</v>
      </c>
      <c r="AE1013" s="190"/>
      <c r="AF1013" s="191"/>
      <c r="AG1013" s="191"/>
      <c r="AH1013" s="191"/>
      <c r="AI1013" s="186"/>
      <c r="AK1013" s="171"/>
    </row>
    <row r="1014" spans="1:41" s="102" customFormat="1" ht="19.899999999999999" customHeight="1" x14ac:dyDescent="0.25">
      <c r="A1014" s="45"/>
      <c r="B1014" s="59"/>
      <c r="C1014" s="137"/>
      <c r="D1014" s="59"/>
      <c r="E1014" s="116"/>
      <c r="F1014" s="120"/>
      <c r="G1014" s="120"/>
      <c r="H1014" s="120"/>
      <c r="I1014" s="60"/>
      <c r="J1014" s="116"/>
      <c r="K1014" s="213"/>
      <c r="L1014" s="120"/>
      <c r="M1014" s="120"/>
      <c r="N1014" s="167"/>
      <c r="O1014" s="120"/>
      <c r="P1014" s="120"/>
      <c r="Q1014" s="120"/>
      <c r="R1014" s="120"/>
      <c r="S1014" s="120"/>
      <c r="T1014" s="221"/>
      <c r="U1014" s="89"/>
      <c r="V1014" s="61"/>
      <c r="W1014" s="92" t="s">
        <v>65</v>
      </c>
      <c r="X1014" s="93" t="s">
        <v>30</v>
      </c>
      <c r="Y1014" s="93" t="s">
        <v>1011</v>
      </c>
      <c r="Z1014" s="134">
        <f>VLOOKUP(W1014,Sheet2!$B:$D,3,FALSE)</f>
        <v>1.76</v>
      </c>
      <c r="AA1014" s="93">
        <f>AA1013/10</f>
        <v>0.40800000000000003</v>
      </c>
      <c r="AB1014" s="93">
        <f>AD1014/AC1009</f>
        <v>4.3137254901960782</v>
      </c>
      <c r="AC1014" s="93">
        <f>AC1009/AA1014</f>
        <v>2.3651960784313721</v>
      </c>
      <c r="AD1014" s="94">
        <f>AC1014*Z1014</f>
        <v>4.1627450980392151</v>
      </c>
      <c r="AE1014" s="190"/>
      <c r="AF1014" s="191"/>
      <c r="AG1014" s="191"/>
      <c r="AH1014" s="191"/>
      <c r="AI1014" s="186"/>
      <c r="AK1014" s="171"/>
    </row>
    <row r="1015" spans="1:41" s="102" customFormat="1" ht="19.899999999999999" customHeight="1" x14ac:dyDescent="0.25">
      <c r="A1015" s="45"/>
      <c r="B1015" s="59"/>
      <c r="C1015" s="137"/>
      <c r="D1015" s="59"/>
      <c r="E1015" s="116"/>
      <c r="F1015" s="120"/>
      <c r="G1015" s="120"/>
      <c r="H1015" s="120"/>
      <c r="I1015" s="60"/>
      <c r="J1015" s="116"/>
      <c r="K1015" s="213"/>
      <c r="L1015" s="120"/>
      <c r="M1015" s="120"/>
      <c r="N1015" s="167"/>
      <c r="O1015" s="120"/>
      <c r="P1015" s="120"/>
      <c r="Q1015" s="120"/>
      <c r="R1015" s="120"/>
      <c r="S1015" s="120"/>
      <c r="T1015" s="221"/>
      <c r="U1015" s="89"/>
      <c r="V1015" s="61"/>
      <c r="W1015" s="92" t="s">
        <v>173</v>
      </c>
      <c r="X1015" s="93" t="s">
        <v>29</v>
      </c>
      <c r="Y1015" s="93" t="s">
        <v>93</v>
      </c>
      <c r="Z1015" s="134">
        <f>VLOOKUP(W1015,Sheet2!$B:$D,3,FALSE)</f>
        <v>36</v>
      </c>
      <c r="AA1015" s="93">
        <f>50/(2.5*1*0.5*4)</f>
        <v>10</v>
      </c>
      <c r="AB1015" s="93">
        <f>AD1015/AC1009</f>
        <v>3.6</v>
      </c>
      <c r="AC1015" s="93">
        <f>AC1009/AA1015</f>
        <v>9.6499999999999989E-2</v>
      </c>
      <c r="AD1015" s="94">
        <f>AC1015*Z1015</f>
        <v>3.4739999999999998</v>
      </c>
      <c r="AE1015" s="190"/>
      <c r="AF1015" s="191"/>
      <c r="AG1015" s="191"/>
      <c r="AH1015" s="191"/>
      <c r="AI1015" s="186"/>
      <c r="AK1015" s="171"/>
    </row>
    <row r="1016" spans="1:41" s="102" customFormat="1" ht="19.899999999999999" customHeight="1" x14ac:dyDescent="0.25">
      <c r="A1016" s="45"/>
      <c r="B1016" s="59"/>
      <c r="C1016" s="137"/>
      <c r="D1016" s="59"/>
      <c r="E1016" s="116"/>
      <c r="F1016" s="120"/>
      <c r="G1016" s="120"/>
      <c r="H1016" s="120"/>
      <c r="I1016" s="60"/>
      <c r="J1016" s="116"/>
      <c r="K1016" s="213"/>
      <c r="L1016" s="120"/>
      <c r="M1016" s="120"/>
      <c r="N1016" s="167"/>
      <c r="O1016" s="120"/>
      <c r="P1016" s="120"/>
      <c r="Q1016" s="120"/>
      <c r="R1016" s="120"/>
      <c r="S1016" s="120"/>
      <c r="T1016" s="221"/>
      <c r="U1016" s="89"/>
      <c r="V1016" s="61"/>
      <c r="W1016" s="92" t="s">
        <v>65</v>
      </c>
      <c r="X1016" s="93" t="s">
        <v>30</v>
      </c>
      <c r="Y1016" s="93" t="s">
        <v>1011</v>
      </c>
      <c r="Z1016" s="134">
        <f>VLOOKUP(W1016,Sheet2!$B:$D,3,FALSE)</f>
        <v>1.76</v>
      </c>
      <c r="AA1016" s="93">
        <f>AA1015/9</f>
        <v>1.1111111111111112</v>
      </c>
      <c r="AB1016" s="93">
        <f>AD1016/AC1009</f>
        <v>1.5839999999999999</v>
      </c>
      <c r="AC1016" s="93">
        <f>AC1009/AA1016</f>
        <v>0.86849999999999983</v>
      </c>
      <c r="AD1016" s="94">
        <f>AC1016*Z1016</f>
        <v>1.5285599999999997</v>
      </c>
      <c r="AE1016" s="190"/>
      <c r="AF1016" s="191"/>
      <c r="AG1016" s="191"/>
      <c r="AH1016" s="191"/>
      <c r="AI1016" s="186"/>
      <c r="AK1016" s="171"/>
    </row>
    <row r="1017" spans="1:41" s="102" customFormat="1" ht="19.899999999999999" customHeight="1" x14ac:dyDescent="0.25">
      <c r="A1017" s="45"/>
      <c r="B1017" s="59"/>
      <c r="C1017" s="137"/>
      <c r="D1017" s="59"/>
      <c r="E1017" s="116"/>
      <c r="F1017" s="120"/>
      <c r="G1017" s="120"/>
      <c r="H1017" s="120"/>
      <c r="I1017" s="60"/>
      <c r="J1017" s="116"/>
      <c r="K1017" s="213"/>
      <c r="L1017" s="120"/>
      <c r="M1017" s="120"/>
      <c r="N1017" s="167"/>
      <c r="O1017" s="120"/>
      <c r="P1017" s="120"/>
      <c r="Q1017" s="120"/>
      <c r="R1017" s="120"/>
      <c r="S1017" s="120"/>
      <c r="T1017" s="221"/>
      <c r="U1017" s="89"/>
      <c r="V1017" s="61"/>
      <c r="W1017" s="92" t="s">
        <v>1030</v>
      </c>
      <c r="X1017" s="93" t="s">
        <v>29</v>
      </c>
      <c r="Y1017" s="93" t="s">
        <v>93</v>
      </c>
      <c r="Z1017" s="134">
        <f>VLOOKUP(W1017,Sheet2!$B:$D,3,FALSE)</f>
        <v>23</v>
      </c>
      <c r="AA1017" s="93">
        <f>1*2</f>
        <v>2</v>
      </c>
      <c r="AB1017" s="93">
        <f>AD1017/AC1009</f>
        <v>11.5</v>
      </c>
      <c r="AC1017" s="93">
        <f>AC1009/AA1017</f>
        <v>0.48249999999999993</v>
      </c>
      <c r="AD1017" s="94">
        <f t="shared" ref="AD1017:AD1018" si="827">AC1017*Z1017</f>
        <v>11.097499999999998</v>
      </c>
      <c r="AE1017" s="190"/>
      <c r="AF1017" s="191"/>
      <c r="AG1017" s="191"/>
      <c r="AH1017" s="191"/>
      <c r="AI1017" s="186"/>
      <c r="AK1017" s="171"/>
    </row>
    <row r="1018" spans="1:41" s="102" customFormat="1" ht="19.899999999999999" customHeight="1" x14ac:dyDescent="0.25">
      <c r="A1018" s="45"/>
      <c r="B1018" s="59"/>
      <c r="C1018" s="137"/>
      <c r="D1018" s="59"/>
      <c r="E1018" s="116"/>
      <c r="F1018" s="120"/>
      <c r="G1018" s="120"/>
      <c r="H1018" s="120"/>
      <c r="I1018" s="60"/>
      <c r="J1018" s="116"/>
      <c r="K1018" s="213"/>
      <c r="L1018" s="120"/>
      <c r="M1018" s="120"/>
      <c r="N1018" s="167"/>
      <c r="O1018" s="120"/>
      <c r="P1018" s="120"/>
      <c r="Q1018" s="120"/>
      <c r="R1018" s="120"/>
      <c r="S1018" s="120"/>
      <c r="T1018" s="221"/>
      <c r="U1018" s="89"/>
      <c r="V1018" s="61"/>
      <c r="W1018" s="92" t="s">
        <v>65</v>
      </c>
      <c r="X1018" s="93" t="s">
        <v>30</v>
      </c>
      <c r="Y1018" s="93" t="s">
        <v>1011</v>
      </c>
      <c r="Z1018" s="134">
        <f>VLOOKUP(W1018,Sheet2!$B:$D,3,FALSE)</f>
        <v>1.76</v>
      </c>
      <c r="AA1018" s="93">
        <f>AA1017/3</f>
        <v>0.66666666666666663</v>
      </c>
      <c r="AB1018" s="93">
        <f>AD1018/AC1009</f>
        <v>2.64</v>
      </c>
      <c r="AC1018" s="93">
        <f>AC1009/AA1018</f>
        <v>1.4474999999999998</v>
      </c>
      <c r="AD1018" s="94">
        <f t="shared" si="827"/>
        <v>2.5475999999999996</v>
      </c>
      <c r="AE1018" s="190"/>
      <c r="AF1018" s="191"/>
      <c r="AG1018" s="191"/>
      <c r="AH1018" s="191"/>
      <c r="AI1018" s="186"/>
      <c r="AK1018" s="171"/>
    </row>
    <row r="1019" spans="1:41" ht="20.100000000000001" customHeight="1" x14ac:dyDescent="0.25">
      <c r="A1019" s="277" t="s">
        <v>216</v>
      </c>
      <c r="B1019" s="278"/>
      <c r="C1019" s="64" t="s">
        <v>341</v>
      </c>
      <c r="D1019" s="46" t="s">
        <v>328</v>
      </c>
      <c r="E1019" s="114">
        <v>0.42999999999999972</v>
      </c>
      <c r="F1019" s="44">
        <v>13910</v>
      </c>
      <c r="G1019" s="44">
        <f t="shared" si="607"/>
        <v>5981.2999999999956</v>
      </c>
      <c r="H1019" s="44">
        <f t="shared" si="608"/>
        <v>6216.1543450992394</v>
      </c>
      <c r="I1019" s="43">
        <f t="shared" si="609"/>
        <v>2672.946368392671</v>
      </c>
      <c r="J1019" s="112">
        <f t="shared" si="610"/>
        <v>0.42999999999999972</v>
      </c>
      <c r="K1019" s="211">
        <f t="shared" si="611"/>
        <v>0.42999999999999972</v>
      </c>
      <c r="L1019" s="44"/>
      <c r="M1019" s="44">
        <f t="shared" si="612"/>
        <v>0.42999999999999972</v>
      </c>
      <c r="N1019" s="173">
        <f t="shared" si="613"/>
        <v>1</v>
      </c>
      <c r="O1019" s="44">
        <f t="shared" si="614"/>
        <v>13910</v>
      </c>
      <c r="P1019" s="44">
        <f t="shared" si="615"/>
        <v>5981.2999999999956</v>
      </c>
      <c r="Q1019" s="44">
        <f t="shared" si="616"/>
        <v>6216.1543450992394</v>
      </c>
      <c r="R1019" s="44">
        <f t="shared" si="617"/>
        <v>2672.946368392671</v>
      </c>
      <c r="S1019" s="123"/>
      <c r="T1019" s="219">
        <f t="shared" si="618"/>
        <v>2672.946368392671</v>
      </c>
      <c r="U1019" s="87"/>
      <c r="V1019" s="47"/>
      <c r="W1019" s="48"/>
      <c r="X1019" s="48"/>
      <c r="Y1019" s="48"/>
      <c r="Z1019" s="135"/>
      <c r="AA1019" s="49"/>
      <c r="AB1019" s="50">
        <f t="shared" si="619"/>
        <v>6216.1543450992394</v>
      </c>
      <c r="AC1019" s="42">
        <f t="shared" si="620"/>
        <v>0.42999999999999972</v>
      </c>
      <c r="AD1019" s="90">
        <f>AD1020+AD1025+AD1032+AD1035</f>
        <v>2672.946368392671</v>
      </c>
      <c r="AE1019" s="188">
        <f t="shared" ref="AE1019" si="828">AE1020+AE1025+AE1032+AE1035</f>
        <v>0</v>
      </c>
      <c r="AF1019" s="189">
        <f t="shared" ref="AF1019" si="829">AF1020+AF1025+AF1032+AF1035</f>
        <v>0</v>
      </c>
      <c r="AG1019" s="189">
        <f t="shared" ref="AG1019" si="830">AG1020+AG1025+AG1032+AG1035</f>
        <v>0</v>
      </c>
      <c r="AH1019" s="189">
        <f t="shared" ref="AH1019" si="831">AH1020+AH1025+AH1032+AH1035</f>
        <v>0</v>
      </c>
      <c r="AI1019" s="161">
        <f t="shared" ref="AI1019:AI1071" si="832">SUM(AE1019:AH1019)</f>
        <v>0</v>
      </c>
      <c r="AK1019" s="169">
        <v>5</v>
      </c>
      <c r="AO1019" s="19" t="s">
        <v>63</v>
      </c>
    </row>
    <row r="1020" spans="1:41" s="103" customFormat="1" ht="19.899999999999999" customHeight="1" x14ac:dyDescent="0.25">
      <c r="A1020" s="51"/>
      <c r="B1020" s="52"/>
      <c r="C1020" s="165"/>
      <c r="D1020" s="52"/>
      <c r="E1020" s="115"/>
      <c r="F1020" s="58"/>
      <c r="G1020" s="58"/>
      <c r="H1020" s="58"/>
      <c r="I1020" s="55"/>
      <c r="J1020" s="113">
        <f>J1019</f>
        <v>0.42999999999999972</v>
      </c>
      <c r="K1020" s="212">
        <f>K1019</f>
        <v>0.42999999999999972</v>
      </c>
      <c r="L1020" s="58"/>
      <c r="M1020" s="58">
        <f>K1020-L1020</f>
        <v>0.42999999999999972</v>
      </c>
      <c r="N1020" s="166"/>
      <c r="O1020" s="58"/>
      <c r="P1020" s="58"/>
      <c r="Q1020" s="58"/>
      <c r="R1020" s="58"/>
      <c r="S1020" s="58"/>
      <c r="T1020" s="220"/>
      <c r="U1020" s="88"/>
      <c r="V1020" s="56"/>
      <c r="W1020" s="57" t="s">
        <v>1364</v>
      </c>
      <c r="X1020" s="53"/>
      <c r="Y1020" s="91" t="s">
        <v>35</v>
      </c>
      <c r="Z1020" s="136">
        <f>AD1020/AC1020</f>
        <v>54.29816470588235</v>
      </c>
      <c r="AA1020" s="58"/>
      <c r="AB1020" s="53">
        <f>AD1020/AC1020</f>
        <v>54.29816470588235</v>
      </c>
      <c r="AC1020" s="53">
        <f>M1020+$AE$10</f>
        <v>0.42999999999999972</v>
      </c>
      <c r="AD1020" s="54">
        <f>SUM(AD1021:AD1024)</f>
        <v>23.348210823529396</v>
      </c>
      <c r="AE1020" s="184">
        <f>SUMIFS($AD$37:$AD$12971,$V$37:$V$12971,$V1020,$X$37:$X$12971,AE$13)</f>
        <v>0</v>
      </c>
      <c r="AF1020" s="185">
        <f>SUMIFS($AD$37:$AD$12971,$V$37:$V$12971,$V1020,$X$37:$X$12971,AF$13)</f>
        <v>0</v>
      </c>
      <c r="AG1020" s="185">
        <f>SUMIFS($AD$37:$AD$12971,$V$37:$V$12971,$V1020,$X$37:$X$12971,AG$13)</f>
        <v>0</v>
      </c>
      <c r="AH1020" s="187">
        <f>SUMIFS($AD$37:$AD$12971,$V$37:$V$12971,$V1020,$X$37:$X$12971,AH$13)</f>
        <v>0</v>
      </c>
      <c r="AI1020" s="161">
        <f t="shared" ref="AI1020" si="833">SUM(AE1020:AH1020)</f>
        <v>0</v>
      </c>
      <c r="AK1020" s="172"/>
    </row>
    <row r="1021" spans="1:41" s="102" customFormat="1" ht="19.899999999999999" customHeight="1" x14ac:dyDescent="0.25">
      <c r="A1021" s="45"/>
      <c r="B1021" s="59"/>
      <c r="C1021" s="137"/>
      <c r="D1021" s="59"/>
      <c r="E1021" s="116"/>
      <c r="F1021" s="120"/>
      <c r="G1021" s="120"/>
      <c r="H1021" s="120"/>
      <c r="I1021" s="60"/>
      <c r="J1021" s="116"/>
      <c r="K1021" s="213"/>
      <c r="L1021" s="120"/>
      <c r="M1021" s="120"/>
      <c r="N1021" s="167"/>
      <c r="O1021" s="120"/>
      <c r="P1021" s="120"/>
      <c r="Q1021" s="120"/>
      <c r="R1021" s="120"/>
      <c r="S1021" s="120"/>
      <c r="T1021" s="221"/>
      <c r="U1021" s="89"/>
      <c r="V1021" s="61"/>
      <c r="W1021" s="92" t="s">
        <v>129</v>
      </c>
      <c r="X1021" s="93" t="s">
        <v>29</v>
      </c>
      <c r="Y1021" s="93" t="s">
        <v>93</v>
      </c>
      <c r="Z1021" s="134">
        <f>VLOOKUP(W1021,Sheet2!$B:$D,3,FALSE)</f>
        <v>56</v>
      </c>
      <c r="AA1021" s="93">
        <f>100/(3*3*1.5)</f>
        <v>7.4074074074074074</v>
      </c>
      <c r="AB1021" s="93">
        <f t="shared" ref="AB1021" si="834">AD1021/AC1020</f>
        <v>7.5600000000000005</v>
      </c>
      <c r="AC1021" s="93">
        <f>AC1020/AA1021</f>
        <v>5.8049999999999963E-2</v>
      </c>
      <c r="AD1021" s="94">
        <f t="shared" ref="AD1021:AD1022" si="835">AC1021*Z1021</f>
        <v>3.2507999999999981</v>
      </c>
      <c r="AE1021" s="190"/>
      <c r="AF1021" s="191"/>
      <c r="AG1021" s="191"/>
      <c r="AH1021" s="191"/>
      <c r="AI1021" s="186"/>
      <c r="AK1021" s="171"/>
    </row>
    <row r="1022" spans="1:41" s="102" customFormat="1" ht="19.899999999999999" customHeight="1" x14ac:dyDescent="0.25">
      <c r="A1022" s="45"/>
      <c r="B1022" s="59"/>
      <c r="C1022" s="137"/>
      <c r="D1022" s="59"/>
      <c r="E1022" s="116"/>
      <c r="F1022" s="120"/>
      <c r="G1022" s="120"/>
      <c r="H1022" s="120"/>
      <c r="I1022" s="60"/>
      <c r="J1022" s="116"/>
      <c r="K1022" s="213"/>
      <c r="L1022" s="120"/>
      <c r="M1022" s="120"/>
      <c r="N1022" s="167"/>
      <c r="O1022" s="120"/>
      <c r="P1022" s="120"/>
      <c r="Q1022" s="120"/>
      <c r="R1022" s="120"/>
      <c r="S1022" s="120"/>
      <c r="T1022" s="221"/>
      <c r="U1022" s="89"/>
      <c r="V1022" s="61"/>
      <c r="W1022" s="92" t="s">
        <v>65</v>
      </c>
      <c r="X1022" s="93" t="s">
        <v>30</v>
      </c>
      <c r="Y1022" s="93" t="s">
        <v>1011</v>
      </c>
      <c r="Z1022" s="134">
        <f>VLOOKUP(W1022,Sheet2!$B:$D,3,FALSE)</f>
        <v>1.76</v>
      </c>
      <c r="AA1022" s="93">
        <f>AA1021/14</f>
        <v>0.52910052910052907</v>
      </c>
      <c r="AB1022" s="93">
        <f>AD1022/AC1020</f>
        <v>3.3264000000000005</v>
      </c>
      <c r="AC1022" s="93">
        <f>AC1020/AA1022</f>
        <v>0.81269999999999953</v>
      </c>
      <c r="AD1022" s="94">
        <f t="shared" si="835"/>
        <v>1.4303519999999992</v>
      </c>
      <c r="AE1022" s="190"/>
      <c r="AF1022" s="191"/>
      <c r="AG1022" s="191"/>
      <c r="AH1022" s="191"/>
      <c r="AI1022" s="186"/>
      <c r="AK1022" s="171"/>
    </row>
    <row r="1023" spans="1:41" s="102" customFormat="1" ht="19.899999999999999" customHeight="1" x14ac:dyDescent="0.25">
      <c r="A1023" s="45"/>
      <c r="B1023" s="59"/>
      <c r="C1023" s="137"/>
      <c r="D1023" s="59"/>
      <c r="E1023" s="116"/>
      <c r="F1023" s="120"/>
      <c r="G1023" s="120"/>
      <c r="H1023" s="120"/>
      <c r="I1023" s="60"/>
      <c r="J1023" s="116"/>
      <c r="K1023" s="213"/>
      <c r="L1023" s="120"/>
      <c r="M1023" s="120"/>
      <c r="N1023" s="167"/>
      <c r="O1023" s="120"/>
      <c r="P1023" s="120"/>
      <c r="Q1023" s="120"/>
      <c r="R1023" s="120"/>
      <c r="S1023" s="120"/>
      <c r="T1023" s="221"/>
      <c r="U1023" s="89"/>
      <c r="V1023" s="61"/>
      <c r="W1023" s="92" t="s">
        <v>161</v>
      </c>
      <c r="X1023" s="93" t="s">
        <v>29</v>
      </c>
      <c r="Y1023" s="93" t="s">
        <v>93</v>
      </c>
      <c r="Z1023" s="134">
        <f>VLOOKUP(W1023,Sheet2!$B:$D,3,FALSE)</f>
        <v>48</v>
      </c>
      <c r="AA1023" s="93">
        <f>(16*0.85*1.5)/(3*3*1.5)</f>
        <v>1.5111111111111111</v>
      </c>
      <c r="AB1023" s="93">
        <f>AD1023/AC1020</f>
        <v>31.764705882352938</v>
      </c>
      <c r="AC1023" s="93">
        <f>AC1020/AA1023</f>
        <v>0.28455882352941159</v>
      </c>
      <c r="AD1023" s="94">
        <f>AC1023*Z1023</f>
        <v>13.658823529411755</v>
      </c>
      <c r="AE1023" s="190"/>
      <c r="AF1023" s="191"/>
      <c r="AG1023" s="191"/>
      <c r="AH1023" s="191"/>
      <c r="AI1023" s="186"/>
      <c r="AK1023" s="171"/>
    </row>
    <row r="1024" spans="1:41" s="102" customFormat="1" ht="19.899999999999999" customHeight="1" x14ac:dyDescent="0.25">
      <c r="A1024" s="45"/>
      <c r="B1024" s="59"/>
      <c r="C1024" s="137"/>
      <c r="D1024" s="59"/>
      <c r="E1024" s="116"/>
      <c r="F1024" s="120"/>
      <c r="G1024" s="120"/>
      <c r="H1024" s="120"/>
      <c r="I1024" s="60"/>
      <c r="J1024" s="116"/>
      <c r="K1024" s="213"/>
      <c r="L1024" s="120"/>
      <c r="M1024" s="120"/>
      <c r="N1024" s="167"/>
      <c r="O1024" s="120"/>
      <c r="P1024" s="120"/>
      <c r="Q1024" s="120"/>
      <c r="R1024" s="120"/>
      <c r="S1024" s="120"/>
      <c r="T1024" s="221"/>
      <c r="U1024" s="89"/>
      <c r="V1024" s="61"/>
      <c r="W1024" s="92" t="s">
        <v>65</v>
      </c>
      <c r="X1024" s="93" t="s">
        <v>30</v>
      </c>
      <c r="Y1024" s="93" t="s">
        <v>1011</v>
      </c>
      <c r="Z1024" s="134">
        <f>VLOOKUP(W1024,Sheet2!$B:$D,3,FALSE)</f>
        <v>1.76</v>
      </c>
      <c r="AA1024" s="93">
        <f>AA1023/10</f>
        <v>0.15111111111111111</v>
      </c>
      <c r="AB1024" s="93">
        <f>AD1024/AC1020</f>
        <v>11.647058823529409</v>
      </c>
      <c r="AC1024" s="93">
        <f>AC1020/AA1024</f>
        <v>2.8455882352941155</v>
      </c>
      <c r="AD1024" s="94">
        <f>AC1024*Z1024</f>
        <v>5.0082352941176431</v>
      </c>
      <c r="AE1024" s="190"/>
      <c r="AF1024" s="191"/>
      <c r="AG1024" s="191"/>
      <c r="AH1024" s="191"/>
      <c r="AI1024" s="186"/>
      <c r="AK1024" s="171"/>
    </row>
    <row r="1025" spans="1:37" s="103" customFormat="1" ht="19.899999999999999" customHeight="1" x14ac:dyDescent="0.25">
      <c r="A1025" s="51"/>
      <c r="B1025" s="52"/>
      <c r="C1025" s="165"/>
      <c r="D1025" s="52"/>
      <c r="E1025" s="115"/>
      <c r="F1025" s="58"/>
      <c r="G1025" s="58"/>
      <c r="H1025" s="58"/>
      <c r="I1025" s="55"/>
      <c r="J1025" s="113">
        <f>J1019</f>
        <v>0.42999999999999972</v>
      </c>
      <c r="K1025" s="212">
        <f>K1019</f>
        <v>0.42999999999999972</v>
      </c>
      <c r="L1025" s="58"/>
      <c r="M1025" s="58">
        <f>K1025-L1025</f>
        <v>0.42999999999999972</v>
      </c>
      <c r="N1025" s="166"/>
      <c r="O1025" s="58"/>
      <c r="P1025" s="58"/>
      <c r="Q1025" s="58"/>
      <c r="R1025" s="58"/>
      <c r="S1025" s="58"/>
      <c r="T1025" s="220"/>
      <c r="U1025" s="88"/>
      <c r="V1025" s="56"/>
      <c r="W1025" s="57" t="s">
        <v>1352</v>
      </c>
      <c r="X1025" s="53"/>
      <c r="Y1025" s="91" t="s">
        <v>35</v>
      </c>
      <c r="Z1025" s="136">
        <f>AD1025/AC1025</f>
        <v>4350.0012000012002</v>
      </c>
      <c r="AA1025" s="58"/>
      <c r="AB1025" s="53">
        <f>AD1025/AC1025</f>
        <v>4350.0012000012002</v>
      </c>
      <c r="AC1025" s="53">
        <f>M1025+$AE$10</f>
        <v>0.42999999999999972</v>
      </c>
      <c r="AD1025" s="54">
        <f>SUM(AD1026:AD1031)</f>
        <v>1870.5005160005148</v>
      </c>
      <c r="AE1025" s="184">
        <f>SUMIFS($AD$37:$AD$12971,$V$37:$V$12971,$V1025,$X$37:$X$12971,AE$13)</f>
        <v>0</v>
      </c>
      <c r="AF1025" s="185">
        <f>SUMIFS($AD$37:$AD$12971,$V$37:$V$12971,$V1025,$X$37:$X$12971,AF$13)</f>
        <v>0</v>
      </c>
      <c r="AG1025" s="185">
        <f>SUMIFS($AD$37:$AD$12971,$V$37:$V$12971,$V1025,$X$37:$X$12971,AG$13)</f>
        <v>0</v>
      </c>
      <c r="AH1025" s="187">
        <f>SUMIFS($AD$37:$AD$12971,$V$37:$V$12971,$V1025,$X$37:$X$12971,AH$13)</f>
        <v>0</v>
      </c>
      <c r="AI1025" s="161">
        <f t="shared" ref="AI1025" si="836">SUM(AE1025:AH1025)</f>
        <v>0</v>
      </c>
      <c r="AK1025" s="172"/>
    </row>
    <row r="1026" spans="1:37" s="102" customFormat="1" ht="19.899999999999999" customHeight="1" x14ac:dyDescent="0.25">
      <c r="A1026" s="45"/>
      <c r="B1026" s="59"/>
      <c r="C1026" s="137"/>
      <c r="D1026" s="59"/>
      <c r="E1026" s="116"/>
      <c r="F1026" s="120"/>
      <c r="G1026" s="120"/>
      <c r="H1026" s="120"/>
      <c r="I1026" s="60"/>
      <c r="J1026" s="116"/>
      <c r="K1026" s="213"/>
      <c r="L1026" s="120"/>
      <c r="M1026" s="120"/>
      <c r="N1026" s="167"/>
      <c r="O1026" s="120"/>
      <c r="P1026" s="120"/>
      <c r="Q1026" s="120"/>
      <c r="R1026" s="120"/>
      <c r="S1026" s="120"/>
      <c r="T1026" s="221"/>
      <c r="U1026" s="89"/>
      <c r="V1026" s="61"/>
      <c r="W1026" s="92" t="s">
        <v>1353</v>
      </c>
      <c r="X1026" s="93" t="s">
        <v>30</v>
      </c>
      <c r="Y1026" s="93" t="s">
        <v>66</v>
      </c>
      <c r="Z1026" s="134">
        <f>VLOOKUP(W1026,Sheet2!$B:$D,3,FALSE)</f>
        <v>350</v>
      </c>
      <c r="AA1026" s="93">
        <f>1/(2*1.5*0.25*4)</f>
        <v>0.33333333333333331</v>
      </c>
      <c r="AB1026" s="93">
        <f>AD1026/AC1025</f>
        <v>1050</v>
      </c>
      <c r="AC1026" s="93">
        <f>AC1025/AA1026</f>
        <v>1.2899999999999991</v>
      </c>
      <c r="AD1026" s="94">
        <f t="shared" ref="AD1026:AD1027" si="837">AC1026*Z1026</f>
        <v>451.49999999999972</v>
      </c>
      <c r="AE1026" s="190"/>
      <c r="AF1026" s="191"/>
      <c r="AG1026" s="191"/>
      <c r="AH1026" s="191"/>
      <c r="AI1026" s="186"/>
      <c r="AK1026" s="171"/>
    </row>
    <row r="1027" spans="1:37" s="102" customFormat="1" ht="19.899999999999999" customHeight="1" x14ac:dyDescent="0.25">
      <c r="A1027" s="45"/>
      <c r="B1027" s="59"/>
      <c r="C1027" s="137"/>
      <c r="D1027" s="59"/>
      <c r="E1027" s="116"/>
      <c r="F1027" s="120"/>
      <c r="G1027" s="120"/>
      <c r="H1027" s="120"/>
      <c r="I1027" s="60"/>
      <c r="J1027" s="116"/>
      <c r="K1027" s="213"/>
      <c r="L1027" s="120"/>
      <c r="M1027" s="120"/>
      <c r="N1027" s="167"/>
      <c r="O1027" s="120"/>
      <c r="P1027" s="120"/>
      <c r="Q1027" s="120"/>
      <c r="R1027" s="120"/>
      <c r="S1027" s="120"/>
      <c r="T1027" s="221"/>
      <c r="U1027" s="89"/>
      <c r="V1027" s="61"/>
      <c r="W1027" s="92" t="s">
        <v>99</v>
      </c>
      <c r="X1027" s="93" t="s">
        <v>30</v>
      </c>
      <c r="Y1027" s="93" t="s">
        <v>67</v>
      </c>
      <c r="Z1027" s="134">
        <f>VLOOKUP(W1027,Sheet2!$B:$D,3,FALSE)</f>
        <v>2500</v>
      </c>
      <c r="AA1027" s="93">
        <f>1/(2*1.5*0.25*4*0.08)</f>
        <v>4.166666666666667</v>
      </c>
      <c r="AB1027" s="93">
        <f>AD1027/AC1025</f>
        <v>600</v>
      </c>
      <c r="AC1027" s="93">
        <f>AC1025/AA1027</f>
        <v>0.10319999999999993</v>
      </c>
      <c r="AD1027" s="94">
        <f t="shared" si="837"/>
        <v>257.99999999999983</v>
      </c>
      <c r="AE1027" s="190"/>
      <c r="AF1027" s="191"/>
      <c r="AG1027" s="191"/>
      <c r="AH1027" s="191"/>
      <c r="AI1027" s="186"/>
      <c r="AK1027" s="171"/>
    </row>
    <row r="1028" spans="1:37" s="102" customFormat="1" ht="19.899999999999999" customHeight="1" x14ac:dyDescent="0.25">
      <c r="A1028" s="45"/>
      <c r="B1028" s="59"/>
      <c r="C1028" s="137"/>
      <c r="D1028" s="59"/>
      <c r="E1028" s="116"/>
      <c r="F1028" s="120"/>
      <c r="G1028" s="120"/>
      <c r="H1028" s="120"/>
      <c r="I1028" s="60"/>
      <c r="J1028" s="116"/>
      <c r="K1028" s="213"/>
      <c r="L1028" s="120"/>
      <c r="M1028" s="120"/>
      <c r="N1028" s="167"/>
      <c r="O1028" s="120"/>
      <c r="P1028" s="120"/>
      <c r="Q1028" s="120"/>
      <c r="R1028" s="120"/>
      <c r="S1028" s="120"/>
      <c r="T1028" s="221"/>
      <c r="U1028" s="89"/>
      <c r="V1028" s="61"/>
      <c r="W1028" s="92" t="s">
        <v>1355</v>
      </c>
      <c r="X1028" s="93" t="s">
        <v>32</v>
      </c>
      <c r="Y1028" s="93" t="s">
        <v>66</v>
      </c>
      <c r="Z1028" s="134">
        <f>VLOOKUP(W1028,Sheet2!$B:$D,3,FALSE)</f>
        <v>450</v>
      </c>
      <c r="AA1028" s="93">
        <f>AA1026</f>
        <v>0.33333333333333331</v>
      </c>
      <c r="AB1028" s="93">
        <f>AD1028/AC1025</f>
        <v>1350</v>
      </c>
      <c r="AC1028" s="93">
        <f>AC1025/AA1028</f>
        <v>1.2899999999999991</v>
      </c>
      <c r="AD1028" s="94">
        <f>AC1028*Z1028</f>
        <v>580.49999999999966</v>
      </c>
      <c r="AE1028" s="190"/>
      <c r="AF1028" s="191"/>
      <c r="AG1028" s="191"/>
      <c r="AH1028" s="191"/>
      <c r="AI1028" s="186"/>
      <c r="AK1028" s="171"/>
    </row>
    <row r="1029" spans="1:37" s="102" customFormat="1" ht="19.899999999999999" customHeight="1" x14ac:dyDescent="0.25">
      <c r="A1029" s="45"/>
      <c r="B1029" s="59"/>
      <c r="C1029" s="137"/>
      <c r="D1029" s="59"/>
      <c r="E1029" s="116"/>
      <c r="F1029" s="120"/>
      <c r="G1029" s="120"/>
      <c r="H1029" s="120"/>
      <c r="I1029" s="60"/>
      <c r="J1029" s="116"/>
      <c r="K1029" s="213"/>
      <c r="L1029" s="120"/>
      <c r="M1029" s="120"/>
      <c r="N1029" s="167"/>
      <c r="O1029" s="120"/>
      <c r="P1029" s="120"/>
      <c r="Q1029" s="120"/>
      <c r="R1029" s="120"/>
      <c r="S1029" s="120"/>
      <c r="T1029" s="221"/>
      <c r="U1029" s="89"/>
      <c r="V1029" s="61"/>
      <c r="W1029" s="92" t="s">
        <v>1362</v>
      </c>
      <c r="X1029" s="93" t="s">
        <v>30</v>
      </c>
      <c r="Y1029" s="93" t="s">
        <v>35</v>
      </c>
      <c r="Z1029" s="134">
        <f>VLOOKUP(W1029,Sheet2!$B:$D,3,FALSE)</f>
        <v>400</v>
      </c>
      <c r="AA1029" s="93">
        <v>0.33333299999999999</v>
      </c>
      <c r="AB1029" s="93">
        <f>AD1029/AC1025</f>
        <v>1200.0012000012</v>
      </c>
      <c r="AC1029" s="93">
        <f>AC1025/AA1029</f>
        <v>1.2900012900012892</v>
      </c>
      <c r="AD1029" s="94">
        <f t="shared" ref="AD1029" si="838">AC1029*Z1029</f>
        <v>516.00051600051563</v>
      </c>
      <c r="AE1029" s="190"/>
      <c r="AF1029" s="191"/>
      <c r="AG1029" s="191"/>
      <c r="AH1029" s="191"/>
      <c r="AI1029" s="186"/>
      <c r="AK1029" s="171"/>
    </row>
    <row r="1030" spans="1:37" s="102" customFormat="1" ht="19.899999999999999" customHeight="1" x14ac:dyDescent="0.25">
      <c r="A1030" s="45"/>
      <c r="B1030" s="59"/>
      <c r="C1030" s="137"/>
      <c r="D1030" s="59"/>
      <c r="E1030" s="116"/>
      <c r="F1030" s="120"/>
      <c r="G1030" s="120"/>
      <c r="H1030" s="120"/>
      <c r="I1030" s="60"/>
      <c r="J1030" s="116"/>
      <c r="K1030" s="213"/>
      <c r="L1030" s="120"/>
      <c r="M1030" s="120"/>
      <c r="N1030" s="167"/>
      <c r="O1030" s="120"/>
      <c r="P1030" s="120"/>
      <c r="Q1030" s="120"/>
      <c r="R1030" s="120"/>
      <c r="S1030" s="120"/>
      <c r="T1030" s="221"/>
      <c r="U1030" s="89"/>
      <c r="V1030" s="61"/>
      <c r="W1030" s="92" t="s">
        <v>107</v>
      </c>
      <c r="X1030" s="93" t="s">
        <v>31</v>
      </c>
      <c r="Y1030" s="93" t="s">
        <v>93</v>
      </c>
      <c r="Z1030" s="134">
        <f>VLOOKUP(W1030,Sheet2!$B:$D,3,FALSE)</f>
        <v>17</v>
      </c>
      <c r="AA1030" s="93">
        <f>1/5</f>
        <v>0.2</v>
      </c>
      <c r="AB1030" s="93">
        <f>AD1030/AC1025</f>
        <v>85</v>
      </c>
      <c r="AC1030" s="93">
        <f>AC1025/AA1030</f>
        <v>2.1499999999999986</v>
      </c>
      <c r="AD1030" s="94">
        <f>AC1030*Z1030</f>
        <v>36.549999999999976</v>
      </c>
      <c r="AE1030" s="190"/>
      <c r="AF1030" s="191"/>
      <c r="AG1030" s="191"/>
      <c r="AH1030" s="191"/>
      <c r="AI1030" s="186"/>
      <c r="AK1030" s="171"/>
    </row>
    <row r="1031" spans="1:37" s="102" customFormat="1" ht="19.899999999999999" customHeight="1" x14ac:dyDescent="0.25">
      <c r="A1031" s="45"/>
      <c r="B1031" s="59"/>
      <c r="C1031" s="137"/>
      <c r="D1031" s="59"/>
      <c r="E1031" s="116"/>
      <c r="F1031" s="120"/>
      <c r="G1031" s="120"/>
      <c r="H1031" s="120"/>
      <c r="I1031" s="60"/>
      <c r="J1031" s="116"/>
      <c r="K1031" s="213"/>
      <c r="L1031" s="120"/>
      <c r="M1031" s="120"/>
      <c r="N1031" s="167"/>
      <c r="O1031" s="120"/>
      <c r="P1031" s="120"/>
      <c r="Q1031" s="120"/>
      <c r="R1031" s="120"/>
      <c r="S1031" s="120"/>
      <c r="T1031" s="221"/>
      <c r="U1031" s="89"/>
      <c r="V1031" s="61"/>
      <c r="W1031" s="92" t="s">
        <v>112</v>
      </c>
      <c r="X1031" s="93" t="s">
        <v>31</v>
      </c>
      <c r="Y1031" s="93" t="s">
        <v>93</v>
      </c>
      <c r="Z1031" s="134">
        <f>VLOOKUP(W1031,Sheet2!$B:$D,3,FALSE)</f>
        <v>13</v>
      </c>
      <c r="AA1031" s="93">
        <f>AA1030</f>
        <v>0.2</v>
      </c>
      <c r="AB1031" s="93">
        <f>AD1031/AC1025</f>
        <v>65</v>
      </c>
      <c r="AC1031" s="93">
        <f>AC1025/AA1031</f>
        <v>2.1499999999999986</v>
      </c>
      <c r="AD1031" s="94">
        <f>AC1031*Z1031</f>
        <v>27.949999999999982</v>
      </c>
      <c r="AE1031" s="190"/>
      <c r="AF1031" s="191"/>
      <c r="AG1031" s="191"/>
      <c r="AH1031" s="191"/>
      <c r="AI1031" s="186"/>
      <c r="AK1031" s="171"/>
    </row>
    <row r="1032" spans="1:37" s="103" customFormat="1" ht="19.899999999999999" customHeight="1" x14ac:dyDescent="0.25">
      <c r="A1032" s="51"/>
      <c r="B1032" s="52"/>
      <c r="C1032" s="165"/>
      <c r="D1032" s="52"/>
      <c r="E1032" s="115"/>
      <c r="F1032" s="58"/>
      <c r="G1032" s="58"/>
      <c r="H1032" s="58"/>
      <c r="I1032" s="55"/>
      <c r="J1032" s="113">
        <f>J1019</f>
        <v>0.42999999999999972</v>
      </c>
      <c r="K1032" s="212">
        <f>K1019</f>
        <v>0.42999999999999972</v>
      </c>
      <c r="L1032" s="58"/>
      <c r="M1032" s="58">
        <f>K1032-L1032</f>
        <v>0.42999999999999972</v>
      </c>
      <c r="N1032" s="166"/>
      <c r="O1032" s="58"/>
      <c r="P1032" s="58"/>
      <c r="Q1032" s="58"/>
      <c r="R1032" s="58"/>
      <c r="S1032" s="58"/>
      <c r="T1032" s="220"/>
      <c r="U1032" s="88"/>
      <c r="V1032" s="56"/>
      <c r="W1032" s="57" t="s">
        <v>1358</v>
      </c>
      <c r="X1032" s="53"/>
      <c r="Y1032" s="91" t="s">
        <v>35</v>
      </c>
      <c r="Z1032" s="136">
        <f>AD1032/AC1032</f>
        <v>1680</v>
      </c>
      <c r="AA1032" s="58"/>
      <c r="AB1032" s="53">
        <f>AD1032/AC1032</f>
        <v>1680</v>
      </c>
      <c r="AC1032" s="53">
        <f>M1032+$AE$10</f>
        <v>0.42999999999999972</v>
      </c>
      <c r="AD1032" s="54">
        <f>SUM(AD1033:AD1034)</f>
        <v>722.39999999999952</v>
      </c>
      <c r="AE1032" s="184">
        <f>SUMIFS($AD$37:$AD$12971,$V$37:$V$12971,$V1032,$X$37:$X$12971,AE$13)</f>
        <v>0</v>
      </c>
      <c r="AF1032" s="185">
        <f>SUMIFS($AD$37:$AD$12971,$V$37:$V$12971,$V1032,$X$37:$X$12971,AF$13)</f>
        <v>0</v>
      </c>
      <c r="AG1032" s="185">
        <f>SUMIFS($AD$37:$AD$12971,$V$37:$V$12971,$V1032,$X$37:$X$12971,AG$13)</f>
        <v>0</v>
      </c>
      <c r="AH1032" s="187">
        <f>SUMIFS($AD$37:$AD$12971,$V$37:$V$12971,$V1032,$X$37:$X$12971,AH$13)</f>
        <v>0</v>
      </c>
      <c r="AI1032" s="161">
        <f t="shared" ref="AI1032" si="839">SUM(AE1032:AH1032)</f>
        <v>0</v>
      </c>
      <c r="AK1032" s="172"/>
    </row>
    <row r="1033" spans="1:37" s="102" customFormat="1" ht="19.899999999999999" customHeight="1" x14ac:dyDescent="0.25">
      <c r="A1033" s="45"/>
      <c r="B1033" s="59"/>
      <c r="C1033" s="137"/>
      <c r="D1033" s="59"/>
      <c r="E1033" s="116"/>
      <c r="F1033" s="120"/>
      <c r="G1033" s="120"/>
      <c r="H1033" s="120"/>
      <c r="I1033" s="60"/>
      <c r="J1033" s="116"/>
      <c r="K1033" s="213"/>
      <c r="L1033" s="120"/>
      <c r="M1033" s="120"/>
      <c r="N1033" s="167"/>
      <c r="O1033" s="120"/>
      <c r="P1033" s="120"/>
      <c r="Q1033" s="120"/>
      <c r="R1033" s="120"/>
      <c r="S1033" s="120"/>
      <c r="T1033" s="221"/>
      <c r="U1033" s="89"/>
      <c r="V1033" s="61"/>
      <c r="W1033" s="92" t="s">
        <v>1359</v>
      </c>
      <c r="X1033" s="93" t="s">
        <v>32</v>
      </c>
      <c r="Y1033" s="93" t="s">
        <v>64</v>
      </c>
      <c r="Z1033" s="134">
        <f>VLOOKUP(W1033,Sheet2!$B:$D,3,FALSE)</f>
        <v>40</v>
      </c>
      <c r="AA1033" s="93">
        <f>1/24</f>
        <v>4.1666666666666664E-2</v>
      </c>
      <c r="AB1033" s="93">
        <f t="shared" ref="AB1033" si="840">AD1033/AC1032</f>
        <v>960</v>
      </c>
      <c r="AC1033" s="93">
        <f>AC1032/AA1033</f>
        <v>10.319999999999993</v>
      </c>
      <c r="AD1033" s="94">
        <f t="shared" ref="AD1033:AD1034" si="841">AC1033*Z1033</f>
        <v>412.79999999999973</v>
      </c>
      <c r="AE1033" s="190"/>
      <c r="AF1033" s="191"/>
      <c r="AG1033" s="191"/>
      <c r="AH1033" s="191"/>
      <c r="AI1033" s="186"/>
      <c r="AK1033" s="171"/>
    </row>
    <row r="1034" spans="1:37" s="102" customFormat="1" ht="19.899999999999999" customHeight="1" x14ac:dyDescent="0.25">
      <c r="A1034" s="45"/>
      <c r="B1034" s="59"/>
      <c r="C1034" s="137"/>
      <c r="D1034" s="59"/>
      <c r="E1034" s="116"/>
      <c r="F1034" s="120"/>
      <c r="G1034" s="120"/>
      <c r="H1034" s="120"/>
      <c r="I1034" s="60"/>
      <c r="J1034" s="116"/>
      <c r="K1034" s="213"/>
      <c r="L1034" s="120"/>
      <c r="M1034" s="120"/>
      <c r="N1034" s="167"/>
      <c r="O1034" s="120"/>
      <c r="P1034" s="120"/>
      <c r="Q1034" s="120"/>
      <c r="R1034" s="120"/>
      <c r="S1034" s="120"/>
      <c r="T1034" s="221"/>
      <c r="U1034" s="89"/>
      <c r="V1034" s="61"/>
      <c r="W1034" s="92" t="s">
        <v>1360</v>
      </c>
      <c r="X1034" s="93" t="s">
        <v>32</v>
      </c>
      <c r="Y1034" s="93" t="s">
        <v>64</v>
      </c>
      <c r="Z1034" s="134">
        <f>VLOOKUP(W1034,Sheet2!$B:$D,3,FALSE)</f>
        <v>30</v>
      </c>
      <c r="AA1034" s="93">
        <f>AA1033</f>
        <v>4.1666666666666664E-2</v>
      </c>
      <c r="AB1034" s="93">
        <f>AD1034/AC1032</f>
        <v>720</v>
      </c>
      <c r="AC1034" s="93">
        <f>AC1032/AA1034</f>
        <v>10.319999999999993</v>
      </c>
      <c r="AD1034" s="94">
        <f t="shared" si="841"/>
        <v>309.5999999999998</v>
      </c>
      <c r="AE1034" s="190"/>
      <c r="AF1034" s="191"/>
      <c r="AG1034" s="191"/>
      <c r="AH1034" s="191"/>
      <c r="AI1034" s="186"/>
      <c r="AK1034" s="171"/>
    </row>
    <row r="1035" spans="1:37" s="103" customFormat="1" ht="19.899999999999999" customHeight="1" x14ac:dyDescent="0.25">
      <c r="A1035" s="51"/>
      <c r="B1035" s="52"/>
      <c r="C1035" s="165"/>
      <c r="D1035" s="52"/>
      <c r="E1035" s="115"/>
      <c r="F1035" s="58"/>
      <c r="G1035" s="58"/>
      <c r="H1035" s="58"/>
      <c r="I1035" s="55"/>
      <c r="J1035" s="113">
        <f>J1019</f>
        <v>0.42999999999999972</v>
      </c>
      <c r="K1035" s="212">
        <f>K1019</f>
        <v>0.42999999999999972</v>
      </c>
      <c r="L1035" s="58"/>
      <c r="M1035" s="58">
        <f>K1035-L1035</f>
        <v>0.42999999999999972</v>
      </c>
      <c r="N1035" s="166"/>
      <c r="O1035" s="58"/>
      <c r="P1035" s="58"/>
      <c r="Q1035" s="58"/>
      <c r="R1035" s="58"/>
      <c r="S1035" s="58"/>
      <c r="T1035" s="220"/>
      <c r="U1035" s="88"/>
      <c r="V1035" s="56"/>
      <c r="W1035" s="57" t="s">
        <v>1272</v>
      </c>
      <c r="X1035" s="53"/>
      <c r="Y1035" s="91" t="s">
        <v>35</v>
      </c>
      <c r="Z1035" s="136">
        <f>AD1035/AC1035</f>
        <v>131.85498039215685</v>
      </c>
      <c r="AA1035" s="58"/>
      <c r="AB1035" s="53">
        <f>AD1035/AC1035</f>
        <v>131.85498039215685</v>
      </c>
      <c r="AC1035" s="53">
        <f>M1035+$AE$10</f>
        <v>0.42999999999999972</v>
      </c>
      <c r="AD1035" s="54">
        <f>SUM(AD1036:AD1044)</f>
        <v>56.697641568627411</v>
      </c>
      <c r="AE1035" s="184">
        <f>SUMIFS($AD$37:$AD$12971,$V$37:$V$12971,$V1035,$X$37:$X$12971,AE$13)</f>
        <v>0</v>
      </c>
      <c r="AF1035" s="185">
        <f>SUMIFS($AD$37:$AD$12971,$V$37:$V$12971,$V1035,$X$37:$X$12971,AF$13)</f>
        <v>0</v>
      </c>
      <c r="AG1035" s="185">
        <f>SUMIFS($AD$37:$AD$12971,$V$37:$V$12971,$V1035,$X$37:$X$12971,AG$13)</f>
        <v>0</v>
      </c>
      <c r="AH1035" s="187">
        <f>SUMIFS($AD$37:$AD$12971,$V$37:$V$12971,$V1035,$X$37:$X$12971,AH$13)</f>
        <v>0</v>
      </c>
      <c r="AI1035" s="161">
        <f t="shared" ref="AI1035" si="842">SUM(AE1035:AH1035)</f>
        <v>0</v>
      </c>
      <c r="AK1035" s="172"/>
    </row>
    <row r="1036" spans="1:37" s="102" customFormat="1" ht="19.899999999999999" customHeight="1" x14ac:dyDescent="0.25">
      <c r="A1036" s="45"/>
      <c r="B1036" s="59"/>
      <c r="C1036" s="137"/>
      <c r="D1036" s="59"/>
      <c r="E1036" s="116"/>
      <c r="F1036" s="120"/>
      <c r="G1036" s="120"/>
      <c r="H1036" s="120"/>
      <c r="I1036" s="60"/>
      <c r="J1036" s="116"/>
      <c r="K1036" s="213"/>
      <c r="L1036" s="120"/>
      <c r="M1036" s="120"/>
      <c r="N1036" s="167"/>
      <c r="O1036" s="120"/>
      <c r="P1036" s="120"/>
      <c r="Q1036" s="120"/>
      <c r="R1036" s="120"/>
      <c r="S1036" s="120"/>
      <c r="T1036" s="221"/>
      <c r="U1036" s="89"/>
      <c r="V1036" s="61"/>
      <c r="W1036" s="92" t="s">
        <v>1273</v>
      </c>
      <c r="X1036" s="93" t="s">
        <v>30</v>
      </c>
      <c r="Y1036" s="93" t="s">
        <v>66</v>
      </c>
      <c r="Z1036" s="134">
        <f>VLOOKUP(W1036,Sheet2!$B:$D,3,FALSE)</f>
        <v>10</v>
      </c>
      <c r="AA1036" s="93">
        <f>1/(2.5*1.5*0.5*4)</f>
        <v>0.13333333333333333</v>
      </c>
      <c r="AB1036" s="93">
        <f>AD1036/AC1035</f>
        <v>75</v>
      </c>
      <c r="AC1036" s="93">
        <f>AC1035/AA1036</f>
        <v>3.2249999999999979</v>
      </c>
      <c r="AD1036" s="94">
        <f t="shared" ref="AD1036:AD1038" si="843">AC1036*Z1036</f>
        <v>32.249999999999979</v>
      </c>
      <c r="AE1036" s="190"/>
      <c r="AF1036" s="191"/>
      <c r="AG1036" s="191"/>
      <c r="AH1036" s="191"/>
      <c r="AI1036" s="186"/>
      <c r="AK1036" s="171"/>
    </row>
    <row r="1037" spans="1:37" s="102" customFormat="1" ht="19.899999999999999" customHeight="1" x14ac:dyDescent="0.25">
      <c r="A1037" s="45"/>
      <c r="B1037" s="59"/>
      <c r="C1037" s="137"/>
      <c r="D1037" s="59"/>
      <c r="E1037" s="116"/>
      <c r="F1037" s="120"/>
      <c r="G1037" s="120"/>
      <c r="H1037" s="120"/>
      <c r="I1037" s="60"/>
      <c r="J1037" s="116"/>
      <c r="K1037" s="213"/>
      <c r="L1037" s="120"/>
      <c r="M1037" s="120"/>
      <c r="N1037" s="167"/>
      <c r="O1037" s="120"/>
      <c r="P1037" s="120"/>
      <c r="Q1037" s="120"/>
      <c r="R1037" s="120"/>
      <c r="S1037" s="120"/>
      <c r="T1037" s="221"/>
      <c r="U1037" s="89"/>
      <c r="V1037" s="61"/>
      <c r="W1037" s="92" t="s">
        <v>134</v>
      </c>
      <c r="X1037" s="93" t="s">
        <v>29</v>
      </c>
      <c r="Y1037" s="93" t="s">
        <v>93</v>
      </c>
      <c r="Z1037" s="134">
        <f>VLOOKUP(W1037,Sheet2!$B:$D,3,FALSE)</f>
        <v>65.599999999999994</v>
      </c>
      <c r="AA1037" s="93">
        <f>100/(2.5*1.5*0.5*4)</f>
        <v>13.333333333333334</v>
      </c>
      <c r="AB1037" s="93">
        <f t="shared" ref="AB1037" si="844">AD1037/AC1035</f>
        <v>4.919999999999999</v>
      </c>
      <c r="AC1037" s="93">
        <f>AC1035/AA1037</f>
        <v>3.224999999999998E-2</v>
      </c>
      <c r="AD1037" s="94">
        <f t="shared" si="843"/>
        <v>2.1155999999999984</v>
      </c>
      <c r="AE1037" s="190"/>
      <c r="AF1037" s="191"/>
      <c r="AG1037" s="191"/>
      <c r="AH1037" s="191"/>
      <c r="AI1037" s="186"/>
      <c r="AK1037" s="171"/>
    </row>
    <row r="1038" spans="1:37" s="102" customFormat="1" ht="19.899999999999999" customHeight="1" x14ac:dyDescent="0.25">
      <c r="A1038" s="45"/>
      <c r="B1038" s="59"/>
      <c r="C1038" s="137"/>
      <c r="D1038" s="59"/>
      <c r="E1038" s="116"/>
      <c r="F1038" s="120"/>
      <c r="G1038" s="120"/>
      <c r="H1038" s="120"/>
      <c r="I1038" s="60"/>
      <c r="J1038" s="116"/>
      <c r="K1038" s="213"/>
      <c r="L1038" s="120"/>
      <c r="M1038" s="120"/>
      <c r="N1038" s="167"/>
      <c r="O1038" s="120"/>
      <c r="P1038" s="120"/>
      <c r="Q1038" s="120"/>
      <c r="R1038" s="120"/>
      <c r="S1038" s="120"/>
      <c r="T1038" s="221"/>
      <c r="U1038" s="89"/>
      <c r="V1038" s="61"/>
      <c r="W1038" s="92" t="s">
        <v>65</v>
      </c>
      <c r="X1038" s="93" t="s">
        <v>30</v>
      </c>
      <c r="Y1038" s="93" t="s">
        <v>1011</v>
      </c>
      <c r="Z1038" s="134">
        <f>VLOOKUP(W1038,Sheet2!$B:$D,3,FALSE)</f>
        <v>1.76</v>
      </c>
      <c r="AA1038" s="93">
        <f>AA1037/9</f>
        <v>1.4814814814814816</v>
      </c>
      <c r="AB1038" s="93">
        <f>AD1038/AC1035</f>
        <v>1.1879999999999999</v>
      </c>
      <c r="AC1038" s="93">
        <f>AC1035/AA1038</f>
        <v>0.29024999999999979</v>
      </c>
      <c r="AD1038" s="94">
        <f t="shared" si="843"/>
        <v>0.51083999999999963</v>
      </c>
      <c r="AE1038" s="190"/>
      <c r="AF1038" s="191"/>
      <c r="AG1038" s="191"/>
      <c r="AH1038" s="191"/>
      <c r="AI1038" s="186"/>
      <c r="AK1038" s="171"/>
    </row>
    <row r="1039" spans="1:37" s="102" customFormat="1" ht="19.899999999999999" customHeight="1" x14ac:dyDescent="0.25">
      <c r="A1039" s="45"/>
      <c r="B1039" s="59"/>
      <c r="C1039" s="137"/>
      <c r="D1039" s="59"/>
      <c r="E1039" s="116"/>
      <c r="F1039" s="120"/>
      <c r="G1039" s="120"/>
      <c r="H1039" s="120"/>
      <c r="I1039" s="60"/>
      <c r="J1039" s="116"/>
      <c r="K1039" s="213"/>
      <c r="L1039" s="120"/>
      <c r="M1039" s="120"/>
      <c r="N1039" s="167"/>
      <c r="O1039" s="120"/>
      <c r="P1039" s="120"/>
      <c r="Q1039" s="120"/>
      <c r="R1039" s="120"/>
      <c r="S1039" s="120"/>
      <c r="T1039" s="221"/>
      <c r="U1039" s="89"/>
      <c r="V1039" s="61"/>
      <c r="W1039" s="92" t="s">
        <v>161</v>
      </c>
      <c r="X1039" s="93" t="s">
        <v>29</v>
      </c>
      <c r="Y1039" s="93" t="s">
        <v>93</v>
      </c>
      <c r="Z1039" s="134">
        <f>VLOOKUP(W1039,Sheet2!$B:$D,3,FALSE)</f>
        <v>48</v>
      </c>
      <c r="AA1039" s="93">
        <f>(16*0.85*1.5)/(2.5*1.5*0.5*4)</f>
        <v>2.7199999999999998</v>
      </c>
      <c r="AB1039" s="93">
        <f>AD1039/AC1035</f>
        <v>17.647058823529413</v>
      </c>
      <c r="AC1039" s="93">
        <f>AC1035/AA1039</f>
        <v>0.15808823529411756</v>
      </c>
      <c r="AD1039" s="94">
        <f>AC1039*Z1039</f>
        <v>7.5882352941176432</v>
      </c>
      <c r="AE1039" s="190"/>
      <c r="AF1039" s="191"/>
      <c r="AG1039" s="191"/>
      <c r="AH1039" s="191"/>
      <c r="AI1039" s="186"/>
      <c r="AK1039" s="171"/>
    </row>
    <row r="1040" spans="1:37" s="102" customFormat="1" ht="19.899999999999999" customHeight="1" x14ac:dyDescent="0.25">
      <c r="A1040" s="45"/>
      <c r="B1040" s="59"/>
      <c r="C1040" s="137"/>
      <c r="D1040" s="59"/>
      <c r="E1040" s="116"/>
      <c r="F1040" s="120"/>
      <c r="G1040" s="120"/>
      <c r="H1040" s="120"/>
      <c r="I1040" s="60"/>
      <c r="J1040" s="116"/>
      <c r="K1040" s="213"/>
      <c r="L1040" s="120"/>
      <c r="M1040" s="120"/>
      <c r="N1040" s="167"/>
      <c r="O1040" s="120"/>
      <c r="P1040" s="120"/>
      <c r="Q1040" s="120"/>
      <c r="R1040" s="120"/>
      <c r="S1040" s="120"/>
      <c r="T1040" s="221"/>
      <c r="U1040" s="89"/>
      <c r="V1040" s="61"/>
      <c r="W1040" s="92" t="s">
        <v>65</v>
      </c>
      <c r="X1040" s="93" t="s">
        <v>30</v>
      </c>
      <c r="Y1040" s="93" t="s">
        <v>1011</v>
      </c>
      <c r="Z1040" s="134">
        <f>VLOOKUP(W1040,Sheet2!$B:$D,3,FALSE)</f>
        <v>1.76</v>
      </c>
      <c r="AA1040" s="93">
        <f>AA1039/10</f>
        <v>0.27199999999999996</v>
      </c>
      <c r="AB1040" s="93">
        <f>AD1040/AC1035</f>
        <v>6.4705882352941186</v>
      </c>
      <c r="AC1040" s="93">
        <f>AC1035/AA1040</f>
        <v>1.5808823529411757</v>
      </c>
      <c r="AD1040" s="94">
        <f>AC1040*Z1040</f>
        <v>2.7823529411764691</v>
      </c>
      <c r="AE1040" s="190"/>
      <c r="AF1040" s="191"/>
      <c r="AG1040" s="191"/>
      <c r="AH1040" s="191"/>
      <c r="AI1040" s="186"/>
      <c r="AK1040" s="171"/>
    </row>
    <row r="1041" spans="1:41" s="102" customFormat="1" ht="19.899999999999999" customHeight="1" x14ac:dyDescent="0.25">
      <c r="A1041" s="45"/>
      <c r="B1041" s="59"/>
      <c r="C1041" s="137"/>
      <c r="D1041" s="59"/>
      <c r="E1041" s="116"/>
      <c r="F1041" s="120"/>
      <c r="G1041" s="120"/>
      <c r="H1041" s="120"/>
      <c r="I1041" s="60"/>
      <c r="J1041" s="116"/>
      <c r="K1041" s="213"/>
      <c r="L1041" s="120"/>
      <c r="M1041" s="120"/>
      <c r="N1041" s="167"/>
      <c r="O1041" s="120"/>
      <c r="P1041" s="120"/>
      <c r="Q1041" s="120"/>
      <c r="R1041" s="120"/>
      <c r="S1041" s="120"/>
      <c r="T1041" s="221"/>
      <c r="U1041" s="89"/>
      <c r="V1041" s="61"/>
      <c r="W1041" s="92" t="s">
        <v>173</v>
      </c>
      <c r="X1041" s="93" t="s">
        <v>29</v>
      </c>
      <c r="Y1041" s="93" t="s">
        <v>93</v>
      </c>
      <c r="Z1041" s="134">
        <f>VLOOKUP(W1041,Sheet2!$B:$D,3,FALSE)</f>
        <v>36</v>
      </c>
      <c r="AA1041" s="93">
        <f>50/(2.5*1.5*0.5*4)</f>
        <v>6.666666666666667</v>
      </c>
      <c r="AB1041" s="93">
        <f>AD1041/AC1035</f>
        <v>5.4</v>
      </c>
      <c r="AC1041" s="93">
        <f>AC1035/AA1041</f>
        <v>6.449999999999996E-2</v>
      </c>
      <c r="AD1041" s="94">
        <f>AC1041*Z1041</f>
        <v>2.3219999999999987</v>
      </c>
      <c r="AE1041" s="190"/>
      <c r="AF1041" s="191"/>
      <c r="AG1041" s="191"/>
      <c r="AH1041" s="191"/>
      <c r="AI1041" s="186"/>
      <c r="AK1041" s="171"/>
    </row>
    <row r="1042" spans="1:41" s="102" customFormat="1" ht="19.899999999999999" customHeight="1" x14ac:dyDescent="0.25">
      <c r="A1042" s="45"/>
      <c r="B1042" s="59"/>
      <c r="C1042" s="137"/>
      <c r="D1042" s="59"/>
      <c r="E1042" s="116"/>
      <c r="F1042" s="120"/>
      <c r="G1042" s="120"/>
      <c r="H1042" s="120"/>
      <c r="I1042" s="60"/>
      <c r="J1042" s="116"/>
      <c r="K1042" s="213"/>
      <c r="L1042" s="120"/>
      <c r="M1042" s="120"/>
      <c r="N1042" s="167"/>
      <c r="O1042" s="120"/>
      <c r="P1042" s="120"/>
      <c r="Q1042" s="120"/>
      <c r="R1042" s="120"/>
      <c r="S1042" s="120"/>
      <c r="T1042" s="221"/>
      <c r="U1042" s="89"/>
      <c r="V1042" s="61"/>
      <c r="W1042" s="92" t="s">
        <v>65</v>
      </c>
      <c r="X1042" s="93" t="s">
        <v>30</v>
      </c>
      <c r="Y1042" s="93" t="s">
        <v>1011</v>
      </c>
      <c r="Z1042" s="134">
        <f>VLOOKUP(W1042,Sheet2!$B:$D,3,FALSE)</f>
        <v>1.76</v>
      </c>
      <c r="AA1042" s="93">
        <f>AA1041/9</f>
        <v>0.74074074074074081</v>
      </c>
      <c r="AB1042" s="93">
        <f>AD1042/AC1035</f>
        <v>2.3759999999999999</v>
      </c>
      <c r="AC1042" s="93">
        <f>AC1035/AA1042</f>
        <v>0.58049999999999957</v>
      </c>
      <c r="AD1042" s="94">
        <f>AC1042*Z1042</f>
        <v>1.0216799999999993</v>
      </c>
      <c r="AE1042" s="190"/>
      <c r="AF1042" s="191"/>
      <c r="AG1042" s="191"/>
      <c r="AH1042" s="191"/>
      <c r="AI1042" s="186"/>
      <c r="AK1042" s="171"/>
    </row>
    <row r="1043" spans="1:41" s="102" customFormat="1" ht="19.899999999999999" customHeight="1" x14ac:dyDescent="0.25">
      <c r="A1043" s="45"/>
      <c r="B1043" s="59"/>
      <c r="C1043" s="137"/>
      <c r="D1043" s="59"/>
      <c r="E1043" s="116"/>
      <c r="F1043" s="120"/>
      <c r="G1043" s="120"/>
      <c r="H1043" s="120"/>
      <c r="I1043" s="60"/>
      <c r="J1043" s="116"/>
      <c r="K1043" s="213"/>
      <c r="L1043" s="120"/>
      <c r="M1043" s="120"/>
      <c r="N1043" s="167"/>
      <c r="O1043" s="120"/>
      <c r="P1043" s="120"/>
      <c r="Q1043" s="120"/>
      <c r="R1043" s="120"/>
      <c r="S1043" s="120"/>
      <c r="T1043" s="221"/>
      <c r="U1043" s="89"/>
      <c r="V1043" s="61"/>
      <c r="W1043" s="92" t="s">
        <v>1030</v>
      </c>
      <c r="X1043" s="93" t="s">
        <v>29</v>
      </c>
      <c r="Y1043" s="93" t="s">
        <v>93</v>
      </c>
      <c r="Z1043" s="134">
        <f>VLOOKUP(W1043,Sheet2!$B:$D,3,FALSE)</f>
        <v>23</v>
      </c>
      <c r="AA1043" s="93">
        <f>1*1.5</f>
        <v>1.5</v>
      </c>
      <c r="AB1043" s="93">
        <f>AD1043/AC1035</f>
        <v>15.333333333333332</v>
      </c>
      <c r="AC1043" s="93">
        <f>AC1035/AA1043</f>
        <v>0.28666666666666646</v>
      </c>
      <c r="AD1043" s="94">
        <f t="shared" ref="AD1043:AD1044" si="845">AC1043*Z1043</f>
        <v>6.5933333333333284</v>
      </c>
      <c r="AE1043" s="190"/>
      <c r="AF1043" s="191"/>
      <c r="AG1043" s="191"/>
      <c r="AH1043" s="191"/>
      <c r="AI1043" s="186"/>
      <c r="AK1043" s="171"/>
    </row>
    <row r="1044" spans="1:41" s="102" customFormat="1" ht="19.899999999999999" customHeight="1" x14ac:dyDescent="0.25">
      <c r="A1044" s="45"/>
      <c r="B1044" s="59"/>
      <c r="C1044" s="137"/>
      <c r="D1044" s="59"/>
      <c r="E1044" s="116"/>
      <c r="F1044" s="120"/>
      <c r="G1044" s="120"/>
      <c r="H1044" s="120"/>
      <c r="I1044" s="60"/>
      <c r="J1044" s="116"/>
      <c r="K1044" s="213"/>
      <c r="L1044" s="120"/>
      <c r="M1044" s="120"/>
      <c r="N1044" s="167"/>
      <c r="O1044" s="120"/>
      <c r="P1044" s="120"/>
      <c r="Q1044" s="120"/>
      <c r="R1044" s="120"/>
      <c r="S1044" s="120"/>
      <c r="T1044" s="221"/>
      <c r="U1044" s="89"/>
      <c r="V1044" s="61"/>
      <c r="W1044" s="92" t="s">
        <v>65</v>
      </c>
      <c r="X1044" s="93" t="s">
        <v>30</v>
      </c>
      <c r="Y1044" s="93" t="s">
        <v>1011</v>
      </c>
      <c r="Z1044" s="134">
        <f>VLOOKUP(W1044,Sheet2!$B:$D,3,FALSE)</f>
        <v>1.76</v>
      </c>
      <c r="AA1044" s="93">
        <f>AA1043/3</f>
        <v>0.5</v>
      </c>
      <c r="AB1044" s="93">
        <f>AD1044/AC1035</f>
        <v>3.52</v>
      </c>
      <c r="AC1044" s="93">
        <f>AC1035/AA1044</f>
        <v>0.85999999999999943</v>
      </c>
      <c r="AD1044" s="94">
        <f t="shared" si="845"/>
        <v>1.5135999999999989</v>
      </c>
      <c r="AE1044" s="190"/>
      <c r="AF1044" s="191"/>
      <c r="AG1044" s="191"/>
      <c r="AH1044" s="191"/>
      <c r="AI1044" s="186"/>
      <c r="AK1044" s="171"/>
    </row>
    <row r="1045" spans="1:41" ht="20.100000000000001" customHeight="1" x14ac:dyDescent="0.25">
      <c r="A1045" s="277" t="s">
        <v>216</v>
      </c>
      <c r="B1045" s="278"/>
      <c r="C1045" s="64" t="s">
        <v>342</v>
      </c>
      <c r="D1045" s="46" t="s">
        <v>328</v>
      </c>
      <c r="E1045" s="114">
        <v>0.55499999999999972</v>
      </c>
      <c r="F1045" s="44">
        <v>18693</v>
      </c>
      <c r="G1045" s="44">
        <f t="shared" si="607"/>
        <v>10374.614999999994</v>
      </c>
      <c r="H1045" s="44">
        <f t="shared" si="608"/>
        <v>8235.6904156862765</v>
      </c>
      <c r="I1045" s="43">
        <f t="shared" si="609"/>
        <v>4570.8081807058816</v>
      </c>
      <c r="J1045" s="112">
        <f t="shared" si="610"/>
        <v>0.55499999999999972</v>
      </c>
      <c r="K1045" s="211">
        <f t="shared" si="611"/>
        <v>0.55499999999999972</v>
      </c>
      <c r="L1045" s="44"/>
      <c r="M1045" s="44">
        <f t="shared" si="612"/>
        <v>0.55499999999999972</v>
      </c>
      <c r="N1045" s="173">
        <f t="shared" si="613"/>
        <v>1</v>
      </c>
      <c r="O1045" s="44">
        <f t="shared" si="614"/>
        <v>18693</v>
      </c>
      <c r="P1045" s="44">
        <f t="shared" si="615"/>
        <v>10374.614999999994</v>
      </c>
      <c r="Q1045" s="44">
        <f t="shared" si="616"/>
        <v>8235.6904156862765</v>
      </c>
      <c r="R1045" s="44">
        <f t="shared" si="617"/>
        <v>4570.8081807058816</v>
      </c>
      <c r="S1045" s="123"/>
      <c r="T1045" s="219">
        <f t="shared" si="618"/>
        <v>4570.8081807058816</v>
      </c>
      <c r="U1045" s="87"/>
      <c r="V1045" s="47"/>
      <c r="W1045" s="48"/>
      <c r="X1045" s="48"/>
      <c r="Y1045" s="48"/>
      <c r="Z1045" s="135"/>
      <c r="AA1045" s="49"/>
      <c r="AB1045" s="50">
        <f t="shared" si="619"/>
        <v>8235.6904156862765</v>
      </c>
      <c r="AC1045" s="42">
        <f t="shared" si="620"/>
        <v>0.55499999999999972</v>
      </c>
      <c r="AD1045" s="90">
        <f>AD1046+AD1051+AD1058+AD1061</f>
        <v>4570.8081807058807</v>
      </c>
      <c r="AE1045" s="188">
        <f t="shared" ref="AE1045" si="846">AE1046+AE1051+AE1058+AE1061</f>
        <v>0</v>
      </c>
      <c r="AF1045" s="189">
        <f t="shared" ref="AF1045" si="847">AF1046+AF1051+AF1058+AF1061</f>
        <v>0</v>
      </c>
      <c r="AG1045" s="189">
        <f t="shared" ref="AG1045" si="848">AG1046+AG1051+AG1058+AG1061</f>
        <v>0</v>
      </c>
      <c r="AH1045" s="189">
        <f t="shared" ref="AH1045" si="849">AH1046+AH1051+AH1058+AH1061</f>
        <v>0</v>
      </c>
      <c r="AI1045" s="161">
        <f t="shared" si="832"/>
        <v>0</v>
      </c>
      <c r="AK1045" s="169">
        <v>5</v>
      </c>
      <c r="AO1045" s="19" t="s">
        <v>63</v>
      </c>
    </row>
    <row r="1046" spans="1:41" s="103" customFormat="1" ht="19.899999999999999" customHeight="1" x14ac:dyDescent="0.25">
      <c r="A1046" s="51"/>
      <c r="B1046" s="52"/>
      <c r="C1046" s="165"/>
      <c r="D1046" s="52"/>
      <c r="E1046" s="115"/>
      <c r="F1046" s="58"/>
      <c r="G1046" s="58"/>
      <c r="H1046" s="58"/>
      <c r="I1046" s="55"/>
      <c r="J1046" s="113">
        <f>J1045</f>
        <v>0.55499999999999972</v>
      </c>
      <c r="K1046" s="212">
        <f>K1045</f>
        <v>0.55499999999999972</v>
      </c>
      <c r="L1046" s="58"/>
      <c r="M1046" s="58">
        <f>K1046-L1046</f>
        <v>0.55499999999999972</v>
      </c>
      <c r="N1046" s="166"/>
      <c r="O1046" s="58"/>
      <c r="P1046" s="58"/>
      <c r="Q1046" s="58"/>
      <c r="R1046" s="58"/>
      <c r="S1046" s="58"/>
      <c r="T1046" s="220"/>
      <c r="U1046" s="88"/>
      <c r="V1046" s="56"/>
      <c r="W1046" s="57" t="s">
        <v>1365</v>
      </c>
      <c r="X1046" s="53"/>
      <c r="Y1046" s="91" t="s">
        <v>35</v>
      </c>
      <c r="Z1046" s="136">
        <f>AD1046/AC1046</f>
        <v>72.397552941176471</v>
      </c>
      <c r="AA1046" s="58"/>
      <c r="AB1046" s="53">
        <f>AD1046/AC1046</f>
        <v>72.397552941176471</v>
      </c>
      <c r="AC1046" s="53">
        <f>M1046+$AE$10</f>
        <v>0.55499999999999972</v>
      </c>
      <c r="AD1046" s="54">
        <f>SUM(AD1047:AD1050)</f>
        <v>40.180641882352923</v>
      </c>
      <c r="AE1046" s="184">
        <f>SUMIFS($AD$37:$AD$12971,$V$37:$V$12971,$V1046,$X$37:$X$12971,AE$13)</f>
        <v>0</v>
      </c>
      <c r="AF1046" s="185">
        <f>SUMIFS($AD$37:$AD$12971,$V$37:$V$12971,$V1046,$X$37:$X$12971,AF$13)</f>
        <v>0</v>
      </c>
      <c r="AG1046" s="185">
        <f>SUMIFS($AD$37:$AD$12971,$V$37:$V$12971,$V1046,$X$37:$X$12971,AG$13)</f>
        <v>0</v>
      </c>
      <c r="AH1046" s="187">
        <f>SUMIFS($AD$37:$AD$12971,$V$37:$V$12971,$V1046,$X$37:$X$12971,AH$13)</f>
        <v>0</v>
      </c>
      <c r="AI1046" s="161">
        <f t="shared" ref="AI1046" si="850">SUM(AE1046:AH1046)</f>
        <v>0</v>
      </c>
      <c r="AK1046" s="172"/>
    </row>
    <row r="1047" spans="1:41" s="102" customFormat="1" ht="19.899999999999999" customHeight="1" x14ac:dyDescent="0.25">
      <c r="A1047" s="45"/>
      <c r="B1047" s="59"/>
      <c r="C1047" s="137"/>
      <c r="D1047" s="59"/>
      <c r="E1047" s="116"/>
      <c r="F1047" s="120"/>
      <c r="G1047" s="120"/>
      <c r="H1047" s="120"/>
      <c r="I1047" s="60"/>
      <c r="J1047" s="116"/>
      <c r="K1047" s="213"/>
      <c r="L1047" s="120"/>
      <c r="M1047" s="120"/>
      <c r="N1047" s="167"/>
      <c r="O1047" s="120"/>
      <c r="P1047" s="120"/>
      <c r="Q1047" s="120"/>
      <c r="R1047" s="120"/>
      <c r="S1047" s="120"/>
      <c r="T1047" s="221"/>
      <c r="U1047" s="89"/>
      <c r="V1047" s="61"/>
      <c r="W1047" s="92" t="s">
        <v>129</v>
      </c>
      <c r="X1047" s="93" t="s">
        <v>29</v>
      </c>
      <c r="Y1047" s="93" t="s">
        <v>93</v>
      </c>
      <c r="Z1047" s="134">
        <f>VLOOKUP(W1047,Sheet2!$B:$D,3,FALSE)</f>
        <v>56</v>
      </c>
      <c r="AA1047" s="93">
        <f>100/(3*3*2)</f>
        <v>5.5555555555555554</v>
      </c>
      <c r="AB1047" s="93">
        <f t="shared" ref="AB1047" si="851">AD1047/AC1046</f>
        <v>10.08</v>
      </c>
      <c r="AC1047" s="93">
        <f>AC1046/AA1047</f>
        <v>9.9899999999999947E-2</v>
      </c>
      <c r="AD1047" s="94">
        <f t="shared" ref="AD1047:AD1048" si="852">AC1047*Z1047</f>
        <v>5.5943999999999967</v>
      </c>
      <c r="AE1047" s="190"/>
      <c r="AF1047" s="191"/>
      <c r="AG1047" s="191"/>
      <c r="AH1047" s="191"/>
      <c r="AI1047" s="186"/>
      <c r="AK1047" s="171"/>
    </row>
    <row r="1048" spans="1:41" s="102" customFormat="1" ht="19.899999999999999" customHeight="1" x14ac:dyDescent="0.25">
      <c r="A1048" s="45"/>
      <c r="B1048" s="59"/>
      <c r="C1048" s="137"/>
      <c r="D1048" s="59"/>
      <c r="E1048" s="116"/>
      <c r="F1048" s="120"/>
      <c r="G1048" s="120"/>
      <c r="H1048" s="120"/>
      <c r="I1048" s="60"/>
      <c r="J1048" s="116"/>
      <c r="K1048" s="213"/>
      <c r="L1048" s="120"/>
      <c r="M1048" s="120"/>
      <c r="N1048" s="167"/>
      <c r="O1048" s="120"/>
      <c r="P1048" s="120"/>
      <c r="Q1048" s="120"/>
      <c r="R1048" s="120"/>
      <c r="S1048" s="120"/>
      <c r="T1048" s="221"/>
      <c r="U1048" s="89"/>
      <c r="V1048" s="61"/>
      <c r="W1048" s="92" t="s">
        <v>65</v>
      </c>
      <c r="X1048" s="93" t="s">
        <v>30</v>
      </c>
      <c r="Y1048" s="93" t="s">
        <v>1011</v>
      </c>
      <c r="Z1048" s="134">
        <f>VLOOKUP(W1048,Sheet2!$B:$D,3,FALSE)</f>
        <v>1.76</v>
      </c>
      <c r="AA1048" s="93">
        <f>AA1047/14</f>
        <v>0.3968253968253968</v>
      </c>
      <c r="AB1048" s="93">
        <f>AD1048/AC1046</f>
        <v>4.4352</v>
      </c>
      <c r="AC1048" s="93">
        <f>AC1046/AA1048</f>
        <v>1.3985999999999994</v>
      </c>
      <c r="AD1048" s="94">
        <f t="shared" si="852"/>
        <v>2.4615359999999988</v>
      </c>
      <c r="AE1048" s="190"/>
      <c r="AF1048" s="191"/>
      <c r="AG1048" s="191"/>
      <c r="AH1048" s="191"/>
      <c r="AI1048" s="186"/>
      <c r="AK1048" s="171"/>
    </row>
    <row r="1049" spans="1:41" s="102" customFormat="1" ht="19.899999999999999" customHeight="1" x14ac:dyDescent="0.25">
      <c r="A1049" s="45"/>
      <c r="B1049" s="59"/>
      <c r="C1049" s="137"/>
      <c r="D1049" s="59"/>
      <c r="E1049" s="116"/>
      <c r="F1049" s="120"/>
      <c r="G1049" s="120"/>
      <c r="H1049" s="120"/>
      <c r="I1049" s="60"/>
      <c r="J1049" s="116"/>
      <c r="K1049" s="213"/>
      <c r="L1049" s="120"/>
      <c r="M1049" s="120"/>
      <c r="N1049" s="167"/>
      <c r="O1049" s="120"/>
      <c r="P1049" s="120"/>
      <c r="Q1049" s="120"/>
      <c r="R1049" s="120"/>
      <c r="S1049" s="120"/>
      <c r="T1049" s="221"/>
      <c r="U1049" s="89"/>
      <c r="V1049" s="61"/>
      <c r="W1049" s="92" t="s">
        <v>161</v>
      </c>
      <c r="X1049" s="93" t="s">
        <v>29</v>
      </c>
      <c r="Y1049" s="93" t="s">
        <v>93</v>
      </c>
      <c r="Z1049" s="134">
        <f>VLOOKUP(W1049,Sheet2!$B:$D,3,FALSE)</f>
        <v>48</v>
      </c>
      <c r="AA1049" s="93">
        <f>(16*0.85*1.5)/(3*3*2)</f>
        <v>1.1333333333333333</v>
      </c>
      <c r="AB1049" s="93">
        <f>AD1049/AC1046</f>
        <v>42.352941176470587</v>
      </c>
      <c r="AC1049" s="93">
        <f>AC1046/AA1049</f>
        <v>0.48970588235294094</v>
      </c>
      <c r="AD1049" s="94">
        <f>AC1049*Z1049</f>
        <v>23.505882352941164</v>
      </c>
      <c r="AE1049" s="190"/>
      <c r="AF1049" s="191"/>
      <c r="AG1049" s="191"/>
      <c r="AH1049" s="191"/>
      <c r="AI1049" s="186"/>
      <c r="AK1049" s="171"/>
    </row>
    <row r="1050" spans="1:41" s="102" customFormat="1" ht="19.899999999999999" customHeight="1" x14ac:dyDescent="0.25">
      <c r="A1050" s="45"/>
      <c r="B1050" s="59"/>
      <c r="C1050" s="137"/>
      <c r="D1050" s="59"/>
      <c r="E1050" s="116"/>
      <c r="F1050" s="120"/>
      <c r="G1050" s="120"/>
      <c r="H1050" s="120"/>
      <c r="I1050" s="60"/>
      <c r="J1050" s="116"/>
      <c r="K1050" s="213"/>
      <c r="L1050" s="120"/>
      <c r="M1050" s="120"/>
      <c r="N1050" s="167"/>
      <c r="O1050" s="120"/>
      <c r="P1050" s="120"/>
      <c r="Q1050" s="120"/>
      <c r="R1050" s="120"/>
      <c r="S1050" s="120"/>
      <c r="T1050" s="221"/>
      <c r="U1050" s="89"/>
      <c r="V1050" s="61"/>
      <c r="W1050" s="92" t="s">
        <v>65</v>
      </c>
      <c r="X1050" s="93" t="s">
        <v>30</v>
      </c>
      <c r="Y1050" s="93" t="s">
        <v>1011</v>
      </c>
      <c r="Z1050" s="134">
        <f>VLOOKUP(W1050,Sheet2!$B:$D,3,FALSE)</f>
        <v>1.76</v>
      </c>
      <c r="AA1050" s="93">
        <f>AA1049/10</f>
        <v>0.11333333333333333</v>
      </c>
      <c r="AB1050" s="93">
        <f>AD1050/AC1046</f>
        <v>15.529411764705884</v>
      </c>
      <c r="AC1050" s="93">
        <f>AC1046/AA1050</f>
        <v>4.8970588235294095</v>
      </c>
      <c r="AD1050" s="94">
        <f>AC1050*Z1050</f>
        <v>8.6188235294117614</v>
      </c>
      <c r="AE1050" s="190"/>
      <c r="AF1050" s="191"/>
      <c r="AG1050" s="191"/>
      <c r="AH1050" s="191"/>
      <c r="AI1050" s="186"/>
      <c r="AK1050" s="171"/>
    </row>
    <row r="1051" spans="1:41" s="103" customFormat="1" ht="19.899999999999999" customHeight="1" x14ac:dyDescent="0.25">
      <c r="A1051" s="51"/>
      <c r="B1051" s="52"/>
      <c r="C1051" s="165"/>
      <c r="D1051" s="52"/>
      <c r="E1051" s="115"/>
      <c r="F1051" s="58"/>
      <c r="G1051" s="58"/>
      <c r="H1051" s="58"/>
      <c r="I1051" s="55"/>
      <c r="J1051" s="113">
        <f>J1045</f>
        <v>0.55499999999999972</v>
      </c>
      <c r="K1051" s="212">
        <f>K1045</f>
        <v>0.55499999999999972</v>
      </c>
      <c r="L1051" s="58"/>
      <c r="M1051" s="58">
        <f>K1051-L1051</f>
        <v>0.55499999999999972</v>
      </c>
      <c r="N1051" s="166"/>
      <c r="O1051" s="58"/>
      <c r="P1051" s="58"/>
      <c r="Q1051" s="58"/>
      <c r="R1051" s="58"/>
      <c r="S1051" s="58"/>
      <c r="T1051" s="220"/>
      <c r="U1051" s="88"/>
      <c r="V1051" s="56"/>
      <c r="W1051" s="57" t="s">
        <v>1352</v>
      </c>
      <c r="X1051" s="53"/>
      <c r="Y1051" s="91" t="s">
        <v>35</v>
      </c>
      <c r="Z1051" s="136">
        <f>AD1051/AC1051</f>
        <v>5750.0000000000009</v>
      </c>
      <c r="AA1051" s="58"/>
      <c r="AB1051" s="53">
        <f>AD1051/AC1051</f>
        <v>5750.0000000000009</v>
      </c>
      <c r="AC1051" s="53">
        <f>M1051+$AE$10</f>
        <v>0.55499999999999972</v>
      </c>
      <c r="AD1051" s="54">
        <f>SUM(AD1052:AD1057)</f>
        <v>3191.2499999999986</v>
      </c>
      <c r="AE1051" s="184">
        <f>SUMIFS($AD$37:$AD$12971,$V$37:$V$12971,$V1051,$X$37:$X$12971,AE$13)</f>
        <v>0</v>
      </c>
      <c r="AF1051" s="185">
        <f>SUMIFS($AD$37:$AD$12971,$V$37:$V$12971,$V1051,$X$37:$X$12971,AF$13)</f>
        <v>0</v>
      </c>
      <c r="AG1051" s="185">
        <f>SUMIFS($AD$37:$AD$12971,$V$37:$V$12971,$V1051,$X$37:$X$12971,AG$13)</f>
        <v>0</v>
      </c>
      <c r="AH1051" s="187">
        <f>SUMIFS($AD$37:$AD$12971,$V$37:$V$12971,$V1051,$X$37:$X$12971,AH$13)</f>
        <v>0</v>
      </c>
      <c r="AI1051" s="161">
        <f t="shared" ref="AI1051" si="853">SUM(AE1051:AH1051)</f>
        <v>0</v>
      </c>
      <c r="AK1051" s="172"/>
    </row>
    <row r="1052" spans="1:41" s="102" customFormat="1" ht="19.899999999999999" customHeight="1" x14ac:dyDescent="0.25">
      <c r="A1052" s="45"/>
      <c r="B1052" s="59"/>
      <c r="C1052" s="137"/>
      <c r="D1052" s="59"/>
      <c r="E1052" s="116"/>
      <c r="F1052" s="120"/>
      <c r="G1052" s="120"/>
      <c r="H1052" s="120"/>
      <c r="I1052" s="60"/>
      <c r="J1052" s="116"/>
      <c r="K1052" s="213"/>
      <c r="L1052" s="120"/>
      <c r="M1052" s="120"/>
      <c r="N1052" s="167"/>
      <c r="O1052" s="120"/>
      <c r="P1052" s="120"/>
      <c r="Q1052" s="120"/>
      <c r="R1052" s="120"/>
      <c r="S1052" s="120"/>
      <c r="T1052" s="221"/>
      <c r="U1052" s="89"/>
      <c r="V1052" s="61"/>
      <c r="W1052" s="92" t="s">
        <v>1353</v>
      </c>
      <c r="X1052" s="93" t="s">
        <v>30</v>
      </c>
      <c r="Y1052" s="93" t="s">
        <v>66</v>
      </c>
      <c r="Z1052" s="134">
        <f>VLOOKUP(W1052,Sheet2!$B:$D,3,FALSE)</f>
        <v>350</v>
      </c>
      <c r="AA1052" s="93">
        <f>1/(2*2*0.25*4)</f>
        <v>0.25</v>
      </c>
      <c r="AB1052" s="93">
        <f>AD1052/AC1051</f>
        <v>1400</v>
      </c>
      <c r="AC1052" s="93">
        <f>AC1051/AA1052</f>
        <v>2.2199999999999989</v>
      </c>
      <c r="AD1052" s="94">
        <f t="shared" ref="AD1052:AD1053" si="854">AC1052*Z1052</f>
        <v>776.99999999999955</v>
      </c>
      <c r="AE1052" s="190"/>
      <c r="AF1052" s="191"/>
      <c r="AG1052" s="191"/>
      <c r="AH1052" s="191"/>
      <c r="AI1052" s="186"/>
      <c r="AK1052" s="171"/>
    </row>
    <row r="1053" spans="1:41" s="102" customFormat="1" ht="19.899999999999999" customHeight="1" x14ac:dyDescent="0.25">
      <c r="A1053" s="45"/>
      <c r="B1053" s="59"/>
      <c r="C1053" s="137"/>
      <c r="D1053" s="59"/>
      <c r="E1053" s="116"/>
      <c r="F1053" s="120"/>
      <c r="G1053" s="120"/>
      <c r="H1053" s="120"/>
      <c r="I1053" s="60"/>
      <c r="J1053" s="116"/>
      <c r="K1053" s="213"/>
      <c r="L1053" s="120"/>
      <c r="M1053" s="120"/>
      <c r="N1053" s="167"/>
      <c r="O1053" s="120"/>
      <c r="P1053" s="120"/>
      <c r="Q1053" s="120"/>
      <c r="R1053" s="120"/>
      <c r="S1053" s="120"/>
      <c r="T1053" s="221"/>
      <c r="U1053" s="89"/>
      <c r="V1053" s="61"/>
      <c r="W1053" s="92" t="s">
        <v>99</v>
      </c>
      <c r="X1053" s="93" t="s">
        <v>30</v>
      </c>
      <c r="Y1053" s="93" t="s">
        <v>67</v>
      </c>
      <c r="Z1053" s="134">
        <f>VLOOKUP(W1053,Sheet2!$B:$D,3,FALSE)</f>
        <v>2500</v>
      </c>
      <c r="AA1053" s="93">
        <f>1/(2*2*0.25*4*0.08)</f>
        <v>3.125</v>
      </c>
      <c r="AB1053" s="93">
        <f>AD1053/AC1051</f>
        <v>799.99999999999989</v>
      </c>
      <c r="AC1053" s="93">
        <f>AC1051/AA1053</f>
        <v>0.1775999999999999</v>
      </c>
      <c r="AD1053" s="94">
        <f t="shared" si="854"/>
        <v>443.99999999999972</v>
      </c>
      <c r="AE1053" s="190"/>
      <c r="AF1053" s="191"/>
      <c r="AG1053" s="191"/>
      <c r="AH1053" s="191"/>
      <c r="AI1053" s="186"/>
      <c r="AK1053" s="171"/>
    </row>
    <row r="1054" spans="1:41" s="102" customFormat="1" ht="19.899999999999999" customHeight="1" x14ac:dyDescent="0.25">
      <c r="A1054" s="45"/>
      <c r="B1054" s="59"/>
      <c r="C1054" s="137"/>
      <c r="D1054" s="59"/>
      <c r="E1054" s="116"/>
      <c r="F1054" s="120"/>
      <c r="G1054" s="120"/>
      <c r="H1054" s="120"/>
      <c r="I1054" s="60"/>
      <c r="J1054" s="116"/>
      <c r="K1054" s="213"/>
      <c r="L1054" s="120"/>
      <c r="M1054" s="120"/>
      <c r="N1054" s="167"/>
      <c r="O1054" s="120"/>
      <c r="P1054" s="120"/>
      <c r="Q1054" s="120"/>
      <c r="R1054" s="120"/>
      <c r="S1054" s="120"/>
      <c r="T1054" s="221"/>
      <c r="U1054" s="89"/>
      <c r="V1054" s="61"/>
      <c r="W1054" s="92" t="s">
        <v>1355</v>
      </c>
      <c r="X1054" s="93" t="s">
        <v>32</v>
      </c>
      <c r="Y1054" s="93" t="s">
        <v>66</v>
      </c>
      <c r="Z1054" s="134">
        <f>VLOOKUP(W1054,Sheet2!$B:$D,3,FALSE)</f>
        <v>450</v>
      </c>
      <c r="AA1054" s="93">
        <f>AA1052</f>
        <v>0.25</v>
      </c>
      <c r="AB1054" s="93">
        <f>AD1054/AC1051</f>
        <v>1800</v>
      </c>
      <c r="AC1054" s="93">
        <f>AC1051/AA1054</f>
        <v>2.2199999999999989</v>
      </c>
      <c r="AD1054" s="94">
        <f>AC1054*Z1054</f>
        <v>998.99999999999955</v>
      </c>
      <c r="AE1054" s="190"/>
      <c r="AF1054" s="191"/>
      <c r="AG1054" s="191"/>
      <c r="AH1054" s="191"/>
      <c r="AI1054" s="186"/>
      <c r="AK1054" s="171"/>
    </row>
    <row r="1055" spans="1:41" s="102" customFormat="1" ht="19.899999999999999" customHeight="1" x14ac:dyDescent="0.25">
      <c r="A1055" s="45"/>
      <c r="B1055" s="59"/>
      <c r="C1055" s="137"/>
      <c r="D1055" s="59"/>
      <c r="E1055" s="116"/>
      <c r="F1055" s="120"/>
      <c r="G1055" s="120"/>
      <c r="H1055" s="120"/>
      <c r="I1055" s="60"/>
      <c r="J1055" s="116"/>
      <c r="K1055" s="213"/>
      <c r="L1055" s="120"/>
      <c r="M1055" s="120"/>
      <c r="N1055" s="167"/>
      <c r="O1055" s="120"/>
      <c r="P1055" s="120"/>
      <c r="Q1055" s="120"/>
      <c r="R1055" s="120"/>
      <c r="S1055" s="120"/>
      <c r="T1055" s="221"/>
      <c r="U1055" s="89"/>
      <c r="V1055" s="61"/>
      <c r="W1055" s="92" t="s">
        <v>1362</v>
      </c>
      <c r="X1055" s="93" t="s">
        <v>30</v>
      </c>
      <c r="Y1055" s="93" t="s">
        <v>35</v>
      </c>
      <c r="Z1055" s="134">
        <f>VLOOKUP(W1055,Sheet2!$B:$D,3,FALSE)</f>
        <v>400</v>
      </c>
      <c r="AA1055" s="93">
        <v>0.25</v>
      </c>
      <c r="AB1055" s="93">
        <f>AD1055/AC1051</f>
        <v>1600</v>
      </c>
      <c r="AC1055" s="93">
        <f>AC1051/AA1055</f>
        <v>2.2199999999999989</v>
      </c>
      <c r="AD1055" s="94">
        <f t="shared" ref="AD1055" si="855">AC1055*Z1055</f>
        <v>887.99999999999955</v>
      </c>
      <c r="AE1055" s="190"/>
      <c r="AF1055" s="191"/>
      <c r="AG1055" s="191"/>
      <c r="AH1055" s="191"/>
      <c r="AI1055" s="186"/>
      <c r="AK1055" s="171"/>
    </row>
    <row r="1056" spans="1:41" s="102" customFormat="1" ht="19.899999999999999" customHeight="1" x14ac:dyDescent="0.25">
      <c r="A1056" s="45"/>
      <c r="B1056" s="59"/>
      <c r="C1056" s="137"/>
      <c r="D1056" s="59"/>
      <c r="E1056" s="116"/>
      <c r="F1056" s="120"/>
      <c r="G1056" s="120"/>
      <c r="H1056" s="120"/>
      <c r="I1056" s="60"/>
      <c r="J1056" s="116"/>
      <c r="K1056" s="213"/>
      <c r="L1056" s="120"/>
      <c r="M1056" s="120"/>
      <c r="N1056" s="167"/>
      <c r="O1056" s="120"/>
      <c r="P1056" s="120"/>
      <c r="Q1056" s="120"/>
      <c r="R1056" s="120"/>
      <c r="S1056" s="120"/>
      <c r="T1056" s="221"/>
      <c r="U1056" s="89"/>
      <c r="V1056" s="61"/>
      <c r="W1056" s="92" t="s">
        <v>107</v>
      </c>
      <c r="X1056" s="93" t="s">
        <v>31</v>
      </c>
      <c r="Y1056" s="93" t="s">
        <v>93</v>
      </c>
      <c r="Z1056" s="134">
        <f>VLOOKUP(W1056,Sheet2!$B:$D,3,FALSE)</f>
        <v>17</v>
      </c>
      <c r="AA1056" s="93">
        <f>1/5</f>
        <v>0.2</v>
      </c>
      <c r="AB1056" s="93">
        <f>AD1056/AC1051</f>
        <v>85</v>
      </c>
      <c r="AC1056" s="93">
        <f>AC1051/AA1056</f>
        <v>2.7749999999999986</v>
      </c>
      <c r="AD1056" s="94">
        <f>AC1056*Z1056</f>
        <v>47.174999999999976</v>
      </c>
      <c r="AE1056" s="190"/>
      <c r="AF1056" s="191"/>
      <c r="AG1056" s="191"/>
      <c r="AH1056" s="191"/>
      <c r="AI1056" s="186"/>
      <c r="AK1056" s="171"/>
    </row>
    <row r="1057" spans="1:41" s="102" customFormat="1" ht="19.899999999999999" customHeight="1" x14ac:dyDescent="0.25">
      <c r="A1057" s="45"/>
      <c r="B1057" s="59"/>
      <c r="C1057" s="137"/>
      <c r="D1057" s="59"/>
      <c r="E1057" s="116"/>
      <c r="F1057" s="120"/>
      <c r="G1057" s="120"/>
      <c r="H1057" s="120"/>
      <c r="I1057" s="60"/>
      <c r="J1057" s="116"/>
      <c r="K1057" s="213"/>
      <c r="L1057" s="120"/>
      <c r="M1057" s="120"/>
      <c r="N1057" s="167"/>
      <c r="O1057" s="120"/>
      <c r="P1057" s="120"/>
      <c r="Q1057" s="120"/>
      <c r="R1057" s="120"/>
      <c r="S1057" s="120"/>
      <c r="T1057" s="221"/>
      <c r="U1057" s="89"/>
      <c r="V1057" s="61"/>
      <c r="W1057" s="92" t="s">
        <v>112</v>
      </c>
      <c r="X1057" s="93" t="s">
        <v>31</v>
      </c>
      <c r="Y1057" s="93" t="s">
        <v>93</v>
      </c>
      <c r="Z1057" s="134">
        <f>VLOOKUP(W1057,Sheet2!$B:$D,3,FALSE)</f>
        <v>13</v>
      </c>
      <c r="AA1057" s="93">
        <f>AA1056</f>
        <v>0.2</v>
      </c>
      <c r="AB1057" s="93">
        <f>AD1057/AC1051</f>
        <v>65</v>
      </c>
      <c r="AC1057" s="93">
        <f>AC1051/AA1057</f>
        <v>2.7749999999999986</v>
      </c>
      <c r="AD1057" s="94">
        <f>AC1057*Z1057</f>
        <v>36.074999999999982</v>
      </c>
      <c r="AE1057" s="190"/>
      <c r="AF1057" s="191"/>
      <c r="AG1057" s="191"/>
      <c r="AH1057" s="191"/>
      <c r="AI1057" s="186"/>
      <c r="AK1057" s="171"/>
    </row>
    <row r="1058" spans="1:41" s="103" customFormat="1" ht="19.899999999999999" customHeight="1" x14ac:dyDescent="0.25">
      <c r="A1058" s="51"/>
      <c r="B1058" s="52"/>
      <c r="C1058" s="165"/>
      <c r="D1058" s="52"/>
      <c r="E1058" s="115"/>
      <c r="F1058" s="58"/>
      <c r="G1058" s="58"/>
      <c r="H1058" s="58"/>
      <c r="I1058" s="55"/>
      <c r="J1058" s="113">
        <f>J1045</f>
        <v>0.55499999999999972</v>
      </c>
      <c r="K1058" s="212">
        <f>K1045</f>
        <v>0.55499999999999972</v>
      </c>
      <c r="L1058" s="58"/>
      <c r="M1058" s="58">
        <f>K1058-L1058</f>
        <v>0.55499999999999972</v>
      </c>
      <c r="N1058" s="166"/>
      <c r="O1058" s="58"/>
      <c r="P1058" s="58"/>
      <c r="Q1058" s="58"/>
      <c r="R1058" s="58"/>
      <c r="S1058" s="58"/>
      <c r="T1058" s="220"/>
      <c r="U1058" s="88"/>
      <c r="V1058" s="56"/>
      <c r="W1058" s="57" t="s">
        <v>1358</v>
      </c>
      <c r="X1058" s="53"/>
      <c r="Y1058" s="91" t="s">
        <v>35</v>
      </c>
      <c r="Z1058" s="136">
        <f>AD1058/AC1058</f>
        <v>2240</v>
      </c>
      <c r="AA1058" s="58"/>
      <c r="AB1058" s="53">
        <f>AD1058/AC1058</f>
        <v>2240</v>
      </c>
      <c r="AC1058" s="53">
        <f>M1058+$AE$10</f>
        <v>0.55499999999999972</v>
      </c>
      <c r="AD1058" s="54">
        <f>SUM(AD1059:AD1060)</f>
        <v>1243.1999999999994</v>
      </c>
      <c r="AE1058" s="184">
        <f>SUMIFS($AD$37:$AD$12971,$V$37:$V$12971,$V1058,$X$37:$X$12971,AE$13)</f>
        <v>0</v>
      </c>
      <c r="AF1058" s="185">
        <f>SUMIFS($AD$37:$AD$12971,$V$37:$V$12971,$V1058,$X$37:$X$12971,AF$13)</f>
        <v>0</v>
      </c>
      <c r="AG1058" s="185">
        <f>SUMIFS($AD$37:$AD$12971,$V$37:$V$12971,$V1058,$X$37:$X$12971,AG$13)</f>
        <v>0</v>
      </c>
      <c r="AH1058" s="187">
        <f>SUMIFS($AD$37:$AD$12971,$V$37:$V$12971,$V1058,$X$37:$X$12971,AH$13)</f>
        <v>0</v>
      </c>
      <c r="AI1058" s="161">
        <f t="shared" ref="AI1058" si="856">SUM(AE1058:AH1058)</f>
        <v>0</v>
      </c>
      <c r="AK1058" s="172"/>
    </row>
    <row r="1059" spans="1:41" s="102" customFormat="1" ht="19.899999999999999" customHeight="1" x14ac:dyDescent="0.25">
      <c r="A1059" s="45"/>
      <c r="B1059" s="59"/>
      <c r="C1059" s="137"/>
      <c r="D1059" s="59"/>
      <c r="E1059" s="116"/>
      <c r="F1059" s="120"/>
      <c r="G1059" s="120"/>
      <c r="H1059" s="120"/>
      <c r="I1059" s="60"/>
      <c r="J1059" s="116"/>
      <c r="K1059" s="213"/>
      <c r="L1059" s="120"/>
      <c r="M1059" s="120"/>
      <c r="N1059" s="167"/>
      <c r="O1059" s="120"/>
      <c r="P1059" s="120"/>
      <c r="Q1059" s="120"/>
      <c r="R1059" s="120"/>
      <c r="S1059" s="120"/>
      <c r="T1059" s="221"/>
      <c r="U1059" s="89"/>
      <c r="V1059" s="61"/>
      <c r="W1059" s="92" t="s">
        <v>1359</v>
      </c>
      <c r="X1059" s="93" t="s">
        <v>32</v>
      </c>
      <c r="Y1059" s="93" t="s">
        <v>64</v>
      </c>
      <c r="Z1059" s="134">
        <f>VLOOKUP(W1059,Sheet2!$B:$D,3,FALSE)</f>
        <v>40</v>
      </c>
      <c r="AA1059" s="93">
        <f>1/32</f>
        <v>3.125E-2</v>
      </c>
      <c r="AB1059" s="93">
        <f t="shared" ref="AB1059" si="857">AD1059/AC1058</f>
        <v>1280</v>
      </c>
      <c r="AC1059" s="93">
        <f>AC1058/AA1059</f>
        <v>17.759999999999991</v>
      </c>
      <c r="AD1059" s="94">
        <f t="shared" ref="AD1059:AD1060" si="858">AC1059*Z1059</f>
        <v>710.39999999999964</v>
      </c>
      <c r="AE1059" s="190"/>
      <c r="AF1059" s="191"/>
      <c r="AG1059" s="191"/>
      <c r="AH1059" s="191"/>
      <c r="AI1059" s="186"/>
      <c r="AK1059" s="171"/>
    </row>
    <row r="1060" spans="1:41" s="102" customFormat="1" ht="19.899999999999999" customHeight="1" x14ac:dyDescent="0.25">
      <c r="A1060" s="45"/>
      <c r="B1060" s="59"/>
      <c r="C1060" s="137"/>
      <c r="D1060" s="59"/>
      <c r="E1060" s="116"/>
      <c r="F1060" s="120"/>
      <c r="G1060" s="120"/>
      <c r="H1060" s="120"/>
      <c r="I1060" s="60"/>
      <c r="J1060" s="116"/>
      <c r="K1060" s="213"/>
      <c r="L1060" s="120"/>
      <c r="M1060" s="120"/>
      <c r="N1060" s="167"/>
      <c r="O1060" s="120"/>
      <c r="P1060" s="120"/>
      <c r="Q1060" s="120"/>
      <c r="R1060" s="120"/>
      <c r="S1060" s="120"/>
      <c r="T1060" s="221"/>
      <c r="U1060" s="89"/>
      <c r="V1060" s="61"/>
      <c r="W1060" s="92" t="s">
        <v>1360</v>
      </c>
      <c r="X1060" s="93" t="s">
        <v>32</v>
      </c>
      <c r="Y1060" s="93" t="s">
        <v>64</v>
      </c>
      <c r="Z1060" s="134">
        <f>VLOOKUP(W1060,Sheet2!$B:$D,3,FALSE)</f>
        <v>30</v>
      </c>
      <c r="AA1060" s="93">
        <f>AA1059</f>
        <v>3.125E-2</v>
      </c>
      <c r="AB1060" s="93">
        <f>AD1060/AC1058</f>
        <v>960</v>
      </c>
      <c r="AC1060" s="93">
        <f>AC1058/AA1060</f>
        <v>17.759999999999991</v>
      </c>
      <c r="AD1060" s="94">
        <f t="shared" si="858"/>
        <v>532.79999999999973</v>
      </c>
      <c r="AE1060" s="190"/>
      <c r="AF1060" s="191"/>
      <c r="AG1060" s="191"/>
      <c r="AH1060" s="191"/>
      <c r="AI1060" s="186"/>
      <c r="AK1060" s="171"/>
    </row>
    <row r="1061" spans="1:41" s="103" customFormat="1" ht="19.899999999999999" customHeight="1" x14ac:dyDescent="0.25">
      <c r="A1061" s="51"/>
      <c r="B1061" s="52"/>
      <c r="C1061" s="165"/>
      <c r="D1061" s="52"/>
      <c r="E1061" s="115"/>
      <c r="F1061" s="58"/>
      <c r="G1061" s="58"/>
      <c r="H1061" s="58"/>
      <c r="I1061" s="55"/>
      <c r="J1061" s="113">
        <f>J1045</f>
        <v>0.55499999999999972</v>
      </c>
      <c r="K1061" s="212">
        <f>K1045</f>
        <v>0.55499999999999972</v>
      </c>
      <c r="L1061" s="58"/>
      <c r="M1061" s="58">
        <f>K1061-L1061</f>
        <v>0.55499999999999972</v>
      </c>
      <c r="N1061" s="166"/>
      <c r="O1061" s="58"/>
      <c r="P1061" s="58"/>
      <c r="Q1061" s="58"/>
      <c r="R1061" s="58"/>
      <c r="S1061" s="58"/>
      <c r="T1061" s="220"/>
      <c r="U1061" s="88"/>
      <c r="V1061" s="56"/>
      <c r="W1061" s="57" t="s">
        <v>1272</v>
      </c>
      <c r="X1061" s="53"/>
      <c r="Y1061" s="91" t="s">
        <v>35</v>
      </c>
      <c r="Z1061" s="136">
        <f>AD1061/AC1061</f>
        <v>173.29286274509801</v>
      </c>
      <c r="AA1061" s="58"/>
      <c r="AB1061" s="53">
        <f>AD1061/AC1061</f>
        <v>173.29286274509801</v>
      </c>
      <c r="AC1061" s="53">
        <f>M1061+$AE$10</f>
        <v>0.55499999999999972</v>
      </c>
      <c r="AD1061" s="54">
        <f>SUM(AD1062:AD1070)</f>
        <v>96.177538823529346</v>
      </c>
      <c r="AE1061" s="184">
        <f>SUMIFS($AD$37:$AD$12971,$V$37:$V$12971,$V1061,$X$37:$X$12971,AE$13)</f>
        <v>0</v>
      </c>
      <c r="AF1061" s="185">
        <f>SUMIFS($AD$37:$AD$12971,$V$37:$V$12971,$V1061,$X$37:$X$12971,AF$13)</f>
        <v>0</v>
      </c>
      <c r="AG1061" s="185">
        <f>SUMIFS($AD$37:$AD$12971,$V$37:$V$12971,$V1061,$X$37:$X$12971,AG$13)</f>
        <v>0</v>
      </c>
      <c r="AH1061" s="187">
        <f>SUMIFS($AD$37:$AD$12971,$V$37:$V$12971,$V1061,$X$37:$X$12971,AH$13)</f>
        <v>0</v>
      </c>
      <c r="AI1061" s="161">
        <f t="shared" ref="AI1061" si="859">SUM(AE1061:AH1061)</f>
        <v>0</v>
      </c>
      <c r="AK1061" s="172"/>
    </row>
    <row r="1062" spans="1:41" s="102" customFormat="1" ht="19.899999999999999" customHeight="1" x14ac:dyDescent="0.25">
      <c r="A1062" s="45"/>
      <c r="B1062" s="59"/>
      <c r="C1062" s="137"/>
      <c r="D1062" s="59"/>
      <c r="E1062" s="116"/>
      <c r="F1062" s="120"/>
      <c r="G1062" s="120"/>
      <c r="H1062" s="120"/>
      <c r="I1062" s="60"/>
      <c r="J1062" s="116"/>
      <c r="K1062" s="213"/>
      <c r="L1062" s="120"/>
      <c r="M1062" s="120"/>
      <c r="N1062" s="167"/>
      <c r="O1062" s="120"/>
      <c r="P1062" s="120"/>
      <c r="Q1062" s="120"/>
      <c r="R1062" s="120"/>
      <c r="S1062" s="120"/>
      <c r="T1062" s="221"/>
      <c r="U1062" s="89"/>
      <c r="V1062" s="61"/>
      <c r="W1062" s="92" t="s">
        <v>1273</v>
      </c>
      <c r="X1062" s="93" t="s">
        <v>30</v>
      </c>
      <c r="Y1062" s="93" t="s">
        <v>66</v>
      </c>
      <c r="Z1062" s="134">
        <f>VLOOKUP(W1062,Sheet2!$B:$D,3,FALSE)</f>
        <v>10</v>
      </c>
      <c r="AA1062" s="93">
        <f>1/(2.5*2*0.5*4)</f>
        <v>0.1</v>
      </c>
      <c r="AB1062" s="93">
        <f>AD1062/AC1061</f>
        <v>100</v>
      </c>
      <c r="AC1062" s="93">
        <f>AC1061/AA1062</f>
        <v>5.5499999999999972</v>
      </c>
      <c r="AD1062" s="94">
        <f t="shared" ref="AD1062:AD1064" si="860">AC1062*Z1062</f>
        <v>55.499999999999972</v>
      </c>
      <c r="AE1062" s="190"/>
      <c r="AF1062" s="191"/>
      <c r="AG1062" s="191"/>
      <c r="AH1062" s="191"/>
      <c r="AI1062" s="186"/>
      <c r="AK1062" s="171"/>
    </row>
    <row r="1063" spans="1:41" s="102" customFormat="1" ht="19.899999999999999" customHeight="1" x14ac:dyDescent="0.25">
      <c r="A1063" s="45"/>
      <c r="B1063" s="59"/>
      <c r="C1063" s="137"/>
      <c r="D1063" s="59"/>
      <c r="E1063" s="116"/>
      <c r="F1063" s="120"/>
      <c r="G1063" s="120"/>
      <c r="H1063" s="120"/>
      <c r="I1063" s="60"/>
      <c r="J1063" s="116"/>
      <c r="K1063" s="213"/>
      <c r="L1063" s="120"/>
      <c r="M1063" s="120"/>
      <c r="N1063" s="167"/>
      <c r="O1063" s="120"/>
      <c r="P1063" s="120"/>
      <c r="Q1063" s="120"/>
      <c r="R1063" s="120"/>
      <c r="S1063" s="120"/>
      <c r="T1063" s="221"/>
      <c r="U1063" s="89"/>
      <c r="V1063" s="61"/>
      <c r="W1063" s="92" t="s">
        <v>134</v>
      </c>
      <c r="X1063" s="93" t="s">
        <v>29</v>
      </c>
      <c r="Y1063" s="93" t="s">
        <v>93</v>
      </c>
      <c r="Z1063" s="134">
        <f>VLOOKUP(W1063,Sheet2!$B:$D,3,FALSE)</f>
        <v>65.599999999999994</v>
      </c>
      <c r="AA1063" s="93">
        <f>100/(2.5*2*0.5*4)</f>
        <v>10</v>
      </c>
      <c r="AB1063" s="93">
        <f t="shared" ref="AB1063" si="861">AD1063/AC1061</f>
        <v>6.56</v>
      </c>
      <c r="AC1063" s="93">
        <f>AC1061/AA1063</f>
        <v>5.5499999999999973E-2</v>
      </c>
      <c r="AD1063" s="94">
        <f t="shared" si="860"/>
        <v>3.6407999999999978</v>
      </c>
      <c r="AE1063" s="190"/>
      <c r="AF1063" s="191"/>
      <c r="AG1063" s="191"/>
      <c r="AH1063" s="191"/>
      <c r="AI1063" s="186"/>
      <c r="AK1063" s="171"/>
    </row>
    <row r="1064" spans="1:41" s="102" customFormat="1" ht="19.899999999999999" customHeight="1" x14ac:dyDescent="0.25">
      <c r="A1064" s="45"/>
      <c r="B1064" s="59"/>
      <c r="C1064" s="137"/>
      <c r="D1064" s="59"/>
      <c r="E1064" s="116"/>
      <c r="F1064" s="120"/>
      <c r="G1064" s="120"/>
      <c r="H1064" s="120"/>
      <c r="I1064" s="60"/>
      <c r="J1064" s="116"/>
      <c r="K1064" s="213"/>
      <c r="L1064" s="120"/>
      <c r="M1064" s="120"/>
      <c r="N1064" s="167"/>
      <c r="O1064" s="120"/>
      <c r="P1064" s="120"/>
      <c r="Q1064" s="120"/>
      <c r="R1064" s="120"/>
      <c r="S1064" s="120"/>
      <c r="T1064" s="221"/>
      <c r="U1064" s="89"/>
      <c r="V1064" s="61"/>
      <c r="W1064" s="92" t="s">
        <v>65</v>
      </c>
      <c r="X1064" s="93" t="s">
        <v>30</v>
      </c>
      <c r="Y1064" s="93" t="s">
        <v>1011</v>
      </c>
      <c r="Z1064" s="134">
        <f>VLOOKUP(W1064,Sheet2!$B:$D,3,FALSE)</f>
        <v>1.76</v>
      </c>
      <c r="AA1064" s="93">
        <f>AA1063/9</f>
        <v>1.1111111111111112</v>
      </c>
      <c r="AB1064" s="93">
        <f>AD1064/AC1061</f>
        <v>1.5840000000000001</v>
      </c>
      <c r="AC1064" s="93">
        <f>AC1061/AA1064</f>
        <v>0.49949999999999972</v>
      </c>
      <c r="AD1064" s="94">
        <f t="shared" si="860"/>
        <v>0.87911999999999957</v>
      </c>
      <c r="AE1064" s="190"/>
      <c r="AF1064" s="191"/>
      <c r="AG1064" s="191"/>
      <c r="AH1064" s="191"/>
      <c r="AI1064" s="186"/>
      <c r="AK1064" s="171"/>
    </row>
    <row r="1065" spans="1:41" s="102" customFormat="1" ht="19.899999999999999" customHeight="1" x14ac:dyDescent="0.25">
      <c r="A1065" s="45"/>
      <c r="B1065" s="59"/>
      <c r="C1065" s="137"/>
      <c r="D1065" s="59"/>
      <c r="E1065" s="116"/>
      <c r="F1065" s="120"/>
      <c r="G1065" s="120"/>
      <c r="H1065" s="120"/>
      <c r="I1065" s="60"/>
      <c r="J1065" s="116"/>
      <c r="K1065" s="213"/>
      <c r="L1065" s="120"/>
      <c r="M1065" s="120"/>
      <c r="N1065" s="167"/>
      <c r="O1065" s="120"/>
      <c r="P1065" s="120"/>
      <c r="Q1065" s="120"/>
      <c r="R1065" s="120"/>
      <c r="S1065" s="120"/>
      <c r="T1065" s="221"/>
      <c r="U1065" s="89"/>
      <c r="V1065" s="61"/>
      <c r="W1065" s="92" t="s">
        <v>161</v>
      </c>
      <c r="X1065" s="93" t="s">
        <v>29</v>
      </c>
      <c r="Y1065" s="93" t="s">
        <v>93</v>
      </c>
      <c r="Z1065" s="134">
        <f>VLOOKUP(W1065,Sheet2!$B:$D,3,FALSE)</f>
        <v>48</v>
      </c>
      <c r="AA1065" s="93">
        <f>(16*0.85*1.5)/(2.5*2*0.5*4)</f>
        <v>2.04</v>
      </c>
      <c r="AB1065" s="93">
        <f>AD1065/AC1061</f>
        <v>23.52941176470588</v>
      </c>
      <c r="AC1065" s="93">
        <f>AC1061/AA1065</f>
        <v>0.27205882352941163</v>
      </c>
      <c r="AD1065" s="94">
        <f>AC1065*Z1065</f>
        <v>13.058823529411757</v>
      </c>
      <c r="AE1065" s="190"/>
      <c r="AF1065" s="191"/>
      <c r="AG1065" s="191"/>
      <c r="AH1065" s="191"/>
      <c r="AI1065" s="186"/>
      <c r="AK1065" s="171"/>
    </row>
    <row r="1066" spans="1:41" s="102" customFormat="1" ht="19.899999999999999" customHeight="1" x14ac:dyDescent="0.25">
      <c r="A1066" s="45"/>
      <c r="B1066" s="59"/>
      <c r="C1066" s="137"/>
      <c r="D1066" s="59"/>
      <c r="E1066" s="116"/>
      <c r="F1066" s="120"/>
      <c r="G1066" s="120"/>
      <c r="H1066" s="120"/>
      <c r="I1066" s="60"/>
      <c r="J1066" s="116"/>
      <c r="K1066" s="213"/>
      <c r="L1066" s="120"/>
      <c r="M1066" s="120"/>
      <c r="N1066" s="167"/>
      <c r="O1066" s="120"/>
      <c r="P1066" s="120"/>
      <c r="Q1066" s="120"/>
      <c r="R1066" s="120"/>
      <c r="S1066" s="120"/>
      <c r="T1066" s="221"/>
      <c r="U1066" s="89"/>
      <c r="V1066" s="61"/>
      <c r="W1066" s="92" t="s">
        <v>65</v>
      </c>
      <c r="X1066" s="93" t="s">
        <v>30</v>
      </c>
      <c r="Y1066" s="93" t="s">
        <v>1011</v>
      </c>
      <c r="Z1066" s="134">
        <f>VLOOKUP(W1066,Sheet2!$B:$D,3,FALSE)</f>
        <v>1.76</v>
      </c>
      <c r="AA1066" s="93">
        <f>AA1065/10</f>
        <v>0.20400000000000001</v>
      </c>
      <c r="AB1066" s="93">
        <f>AD1066/AC1061</f>
        <v>8.6274509803921564</v>
      </c>
      <c r="AC1066" s="93">
        <f>AC1061/AA1066</f>
        <v>2.720588235294116</v>
      </c>
      <c r="AD1066" s="94">
        <f>AC1066*Z1066</f>
        <v>4.7882352941176443</v>
      </c>
      <c r="AE1066" s="190"/>
      <c r="AF1066" s="191"/>
      <c r="AG1066" s="191"/>
      <c r="AH1066" s="191"/>
      <c r="AI1066" s="186"/>
      <c r="AK1066" s="171"/>
    </row>
    <row r="1067" spans="1:41" s="102" customFormat="1" ht="19.899999999999999" customHeight="1" x14ac:dyDescent="0.25">
      <c r="A1067" s="45"/>
      <c r="B1067" s="59"/>
      <c r="C1067" s="137"/>
      <c r="D1067" s="59"/>
      <c r="E1067" s="116"/>
      <c r="F1067" s="120"/>
      <c r="G1067" s="120"/>
      <c r="H1067" s="120"/>
      <c r="I1067" s="60"/>
      <c r="J1067" s="116"/>
      <c r="K1067" s="213"/>
      <c r="L1067" s="120"/>
      <c r="M1067" s="120"/>
      <c r="N1067" s="167"/>
      <c r="O1067" s="120"/>
      <c r="P1067" s="120"/>
      <c r="Q1067" s="120"/>
      <c r="R1067" s="120"/>
      <c r="S1067" s="120"/>
      <c r="T1067" s="221"/>
      <c r="U1067" s="89"/>
      <c r="V1067" s="61"/>
      <c r="W1067" s="92" t="s">
        <v>173</v>
      </c>
      <c r="X1067" s="93" t="s">
        <v>29</v>
      </c>
      <c r="Y1067" s="93" t="s">
        <v>93</v>
      </c>
      <c r="Z1067" s="134">
        <f>VLOOKUP(W1067,Sheet2!$B:$D,3,FALSE)</f>
        <v>36</v>
      </c>
      <c r="AA1067" s="93">
        <f>50/(2.5*2*0.5*4)</f>
        <v>5</v>
      </c>
      <c r="AB1067" s="93">
        <f>AD1067/AC1061</f>
        <v>7.2</v>
      </c>
      <c r="AC1067" s="93">
        <f>AC1061/AA1067</f>
        <v>0.11099999999999995</v>
      </c>
      <c r="AD1067" s="94">
        <f>AC1067*Z1067</f>
        <v>3.9959999999999982</v>
      </c>
      <c r="AE1067" s="190"/>
      <c r="AF1067" s="191"/>
      <c r="AG1067" s="191"/>
      <c r="AH1067" s="191"/>
      <c r="AI1067" s="186"/>
      <c r="AK1067" s="171"/>
    </row>
    <row r="1068" spans="1:41" s="102" customFormat="1" ht="19.899999999999999" customHeight="1" x14ac:dyDescent="0.25">
      <c r="A1068" s="45"/>
      <c r="B1068" s="59"/>
      <c r="C1068" s="137"/>
      <c r="D1068" s="59"/>
      <c r="E1068" s="116"/>
      <c r="F1068" s="120"/>
      <c r="G1068" s="120"/>
      <c r="H1068" s="120"/>
      <c r="I1068" s="60"/>
      <c r="J1068" s="116"/>
      <c r="K1068" s="213"/>
      <c r="L1068" s="120"/>
      <c r="M1068" s="120"/>
      <c r="N1068" s="167"/>
      <c r="O1068" s="120"/>
      <c r="P1068" s="120"/>
      <c r="Q1068" s="120"/>
      <c r="R1068" s="120"/>
      <c r="S1068" s="120"/>
      <c r="T1068" s="221"/>
      <c r="U1068" s="89"/>
      <c r="V1068" s="61"/>
      <c r="W1068" s="92" t="s">
        <v>65</v>
      </c>
      <c r="X1068" s="93" t="s">
        <v>30</v>
      </c>
      <c r="Y1068" s="93" t="s">
        <v>1011</v>
      </c>
      <c r="Z1068" s="134">
        <f>VLOOKUP(W1068,Sheet2!$B:$D,3,FALSE)</f>
        <v>1.76</v>
      </c>
      <c r="AA1068" s="93">
        <f>AA1067/9</f>
        <v>0.55555555555555558</v>
      </c>
      <c r="AB1068" s="93">
        <f>AD1068/AC1061</f>
        <v>3.1680000000000001</v>
      </c>
      <c r="AC1068" s="93">
        <f>AC1061/AA1068</f>
        <v>0.99899999999999944</v>
      </c>
      <c r="AD1068" s="94">
        <f>AC1068*Z1068</f>
        <v>1.7582399999999991</v>
      </c>
      <c r="AE1068" s="190"/>
      <c r="AF1068" s="191"/>
      <c r="AG1068" s="191"/>
      <c r="AH1068" s="191"/>
      <c r="AI1068" s="186"/>
      <c r="AK1068" s="171"/>
    </row>
    <row r="1069" spans="1:41" s="102" customFormat="1" ht="19.899999999999999" customHeight="1" x14ac:dyDescent="0.25">
      <c r="A1069" s="45"/>
      <c r="B1069" s="59"/>
      <c r="C1069" s="137"/>
      <c r="D1069" s="59"/>
      <c r="E1069" s="116"/>
      <c r="F1069" s="120"/>
      <c r="G1069" s="120"/>
      <c r="H1069" s="120"/>
      <c r="I1069" s="60"/>
      <c r="J1069" s="116"/>
      <c r="K1069" s="213"/>
      <c r="L1069" s="120"/>
      <c r="M1069" s="120"/>
      <c r="N1069" s="167"/>
      <c r="O1069" s="120"/>
      <c r="P1069" s="120"/>
      <c r="Q1069" s="120"/>
      <c r="R1069" s="120"/>
      <c r="S1069" s="120"/>
      <c r="T1069" s="221"/>
      <c r="U1069" s="89"/>
      <c r="V1069" s="61"/>
      <c r="W1069" s="92" t="s">
        <v>1030</v>
      </c>
      <c r="X1069" s="93" t="s">
        <v>29</v>
      </c>
      <c r="Y1069" s="93" t="s">
        <v>93</v>
      </c>
      <c r="Z1069" s="134">
        <f>VLOOKUP(W1069,Sheet2!$B:$D,3,FALSE)</f>
        <v>23</v>
      </c>
      <c r="AA1069" s="93">
        <f>1*1.25</f>
        <v>1.25</v>
      </c>
      <c r="AB1069" s="93">
        <f>AD1069/AC1061</f>
        <v>18.399999999999999</v>
      </c>
      <c r="AC1069" s="93">
        <f>AC1061/AA1069</f>
        <v>0.44399999999999978</v>
      </c>
      <c r="AD1069" s="94">
        <f t="shared" ref="AD1069:AD1070" si="862">AC1069*Z1069</f>
        <v>10.211999999999994</v>
      </c>
      <c r="AE1069" s="190"/>
      <c r="AF1069" s="191"/>
      <c r="AG1069" s="191"/>
      <c r="AH1069" s="191"/>
      <c r="AI1069" s="186"/>
      <c r="AK1069" s="171"/>
    </row>
    <row r="1070" spans="1:41" s="102" customFormat="1" ht="19.899999999999999" customHeight="1" x14ac:dyDescent="0.25">
      <c r="A1070" s="45"/>
      <c r="B1070" s="59"/>
      <c r="C1070" s="137"/>
      <c r="D1070" s="59"/>
      <c r="E1070" s="116"/>
      <c r="F1070" s="120"/>
      <c r="G1070" s="120"/>
      <c r="H1070" s="120"/>
      <c r="I1070" s="60"/>
      <c r="J1070" s="116"/>
      <c r="K1070" s="213"/>
      <c r="L1070" s="120"/>
      <c r="M1070" s="120"/>
      <c r="N1070" s="167"/>
      <c r="O1070" s="120"/>
      <c r="P1070" s="120"/>
      <c r="Q1070" s="120"/>
      <c r="R1070" s="120"/>
      <c r="S1070" s="120"/>
      <c r="T1070" s="221"/>
      <c r="U1070" s="89"/>
      <c r="V1070" s="61"/>
      <c r="W1070" s="92" t="s">
        <v>65</v>
      </c>
      <c r="X1070" s="93" t="s">
        <v>30</v>
      </c>
      <c r="Y1070" s="93" t="s">
        <v>1011</v>
      </c>
      <c r="Z1070" s="134">
        <f>VLOOKUP(W1070,Sheet2!$B:$D,3,FALSE)</f>
        <v>1.76</v>
      </c>
      <c r="AA1070" s="93">
        <f>AA1069/3</f>
        <v>0.41666666666666669</v>
      </c>
      <c r="AB1070" s="93">
        <f>AD1070/AC1061</f>
        <v>4.2239999999999993</v>
      </c>
      <c r="AC1070" s="93">
        <f>AC1061/AA1070</f>
        <v>1.3319999999999992</v>
      </c>
      <c r="AD1070" s="94">
        <f t="shared" si="862"/>
        <v>2.3443199999999984</v>
      </c>
      <c r="AE1070" s="190"/>
      <c r="AF1070" s="191"/>
      <c r="AG1070" s="191"/>
      <c r="AH1070" s="191"/>
      <c r="AI1070" s="186"/>
      <c r="AK1070" s="171"/>
    </row>
    <row r="1071" spans="1:41" ht="20.100000000000001" customHeight="1" x14ac:dyDescent="0.25">
      <c r="A1071" s="277" t="s">
        <v>216</v>
      </c>
      <c r="B1071" s="278"/>
      <c r="C1071" s="64" t="s">
        <v>343</v>
      </c>
      <c r="D1071" s="46" t="s">
        <v>328</v>
      </c>
      <c r="E1071" s="114">
        <v>0.19999999999999996</v>
      </c>
      <c r="F1071" s="44">
        <v>23351</v>
      </c>
      <c r="G1071" s="44">
        <f t="shared" si="607"/>
        <v>4670.1999999999989</v>
      </c>
      <c r="H1071" s="44">
        <f t="shared" si="608"/>
        <v>10257.113019607843</v>
      </c>
      <c r="I1071" s="43">
        <f t="shared" si="609"/>
        <v>2051.4226039215682</v>
      </c>
      <c r="J1071" s="112">
        <f t="shared" si="610"/>
        <v>0.19999999999999996</v>
      </c>
      <c r="K1071" s="211">
        <f t="shared" si="611"/>
        <v>0.19999999999999996</v>
      </c>
      <c r="L1071" s="44"/>
      <c r="M1071" s="44">
        <f t="shared" si="612"/>
        <v>0.19999999999999996</v>
      </c>
      <c r="N1071" s="173">
        <f t="shared" si="613"/>
        <v>1</v>
      </c>
      <c r="O1071" s="44">
        <f t="shared" si="614"/>
        <v>23351</v>
      </c>
      <c r="P1071" s="44">
        <f t="shared" si="615"/>
        <v>4670.1999999999989</v>
      </c>
      <c r="Q1071" s="44">
        <f t="shared" si="616"/>
        <v>10257.113019607843</v>
      </c>
      <c r="R1071" s="44">
        <f t="shared" si="617"/>
        <v>2051.4226039215682</v>
      </c>
      <c r="S1071" s="123"/>
      <c r="T1071" s="219">
        <f t="shared" si="618"/>
        <v>2051.4226039215682</v>
      </c>
      <c r="U1071" s="87"/>
      <c r="V1071" s="47"/>
      <c r="W1071" s="48"/>
      <c r="X1071" s="48"/>
      <c r="Y1071" s="48"/>
      <c r="Z1071" s="135"/>
      <c r="AA1071" s="49"/>
      <c r="AB1071" s="50">
        <f t="shared" si="619"/>
        <v>10257.113019607843</v>
      </c>
      <c r="AC1071" s="42">
        <f t="shared" si="620"/>
        <v>0.19999999999999996</v>
      </c>
      <c r="AD1071" s="90">
        <f>AD1072+AD1077+AD1084+AD1087</f>
        <v>2051.4226039215682</v>
      </c>
      <c r="AE1071" s="188">
        <f t="shared" ref="AE1071" si="863">AE1072+AE1077+AE1084+AE1087</f>
        <v>0</v>
      </c>
      <c r="AF1071" s="189">
        <f t="shared" ref="AF1071" si="864">AF1072+AF1077+AF1084+AF1087</f>
        <v>0</v>
      </c>
      <c r="AG1071" s="189">
        <f t="shared" ref="AG1071" si="865">AG1072+AG1077+AG1084+AG1087</f>
        <v>0</v>
      </c>
      <c r="AH1071" s="189">
        <f t="shared" ref="AH1071" si="866">AH1072+AH1077+AH1084+AH1087</f>
        <v>0</v>
      </c>
      <c r="AI1071" s="161">
        <f t="shared" si="832"/>
        <v>0</v>
      </c>
      <c r="AK1071" s="169">
        <v>5</v>
      </c>
      <c r="AO1071" s="19" t="s">
        <v>63</v>
      </c>
    </row>
    <row r="1072" spans="1:41" s="103" customFormat="1" ht="19.899999999999999" customHeight="1" x14ac:dyDescent="0.25">
      <c r="A1072" s="51"/>
      <c r="B1072" s="52"/>
      <c r="C1072" s="165"/>
      <c r="D1072" s="52"/>
      <c r="E1072" s="115"/>
      <c r="F1072" s="58"/>
      <c r="G1072" s="58"/>
      <c r="H1072" s="58"/>
      <c r="I1072" s="55"/>
      <c r="J1072" s="113">
        <f>J1071</f>
        <v>0.19999999999999996</v>
      </c>
      <c r="K1072" s="212">
        <f>K1071</f>
        <v>0.19999999999999996</v>
      </c>
      <c r="L1072" s="58"/>
      <c r="M1072" s="58">
        <f>K1072-L1072</f>
        <v>0.19999999999999996</v>
      </c>
      <c r="N1072" s="166"/>
      <c r="O1072" s="58"/>
      <c r="P1072" s="58"/>
      <c r="Q1072" s="58"/>
      <c r="R1072" s="58"/>
      <c r="S1072" s="58"/>
      <c r="T1072" s="220"/>
      <c r="U1072" s="88"/>
      <c r="V1072" s="56"/>
      <c r="W1072" s="57" t="s">
        <v>1351</v>
      </c>
      <c r="X1072" s="53"/>
      <c r="Y1072" s="91" t="s">
        <v>35</v>
      </c>
      <c r="Z1072" s="136">
        <f>AD1072/AC1072</f>
        <v>90.496941176470585</v>
      </c>
      <c r="AA1072" s="58"/>
      <c r="AB1072" s="53">
        <f>AD1072/AC1072</f>
        <v>90.496941176470585</v>
      </c>
      <c r="AC1072" s="53">
        <f>M1072+$AE$10</f>
        <v>0.19999999999999996</v>
      </c>
      <c r="AD1072" s="54">
        <f>SUM(AD1073:AD1076)</f>
        <v>18.099388235294114</v>
      </c>
      <c r="AE1072" s="184">
        <f>SUMIFS($AD$37:$AD$12971,$V$37:$V$12971,$V1072,$X$37:$X$12971,AE$13)</f>
        <v>0</v>
      </c>
      <c r="AF1072" s="185">
        <f>SUMIFS($AD$37:$AD$12971,$V$37:$V$12971,$V1072,$X$37:$X$12971,AF$13)</f>
        <v>0</v>
      </c>
      <c r="AG1072" s="185">
        <f>SUMIFS($AD$37:$AD$12971,$V$37:$V$12971,$V1072,$X$37:$X$12971,AG$13)</f>
        <v>0</v>
      </c>
      <c r="AH1072" s="187">
        <f>SUMIFS($AD$37:$AD$12971,$V$37:$V$12971,$V1072,$X$37:$X$12971,AH$13)</f>
        <v>0</v>
      </c>
      <c r="AI1072" s="161">
        <f t="shared" ref="AI1072" si="867">SUM(AE1072:AH1072)</f>
        <v>0</v>
      </c>
      <c r="AK1072" s="172"/>
    </row>
    <row r="1073" spans="1:37" s="102" customFormat="1" ht="19.899999999999999" customHeight="1" x14ac:dyDescent="0.25">
      <c r="A1073" s="45"/>
      <c r="B1073" s="59"/>
      <c r="C1073" s="137"/>
      <c r="D1073" s="59"/>
      <c r="E1073" s="116"/>
      <c r="F1073" s="120"/>
      <c r="G1073" s="120"/>
      <c r="H1073" s="120"/>
      <c r="I1073" s="60"/>
      <c r="J1073" s="116"/>
      <c r="K1073" s="213"/>
      <c r="L1073" s="120"/>
      <c r="M1073" s="120"/>
      <c r="N1073" s="167"/>
      <c r="O1073" s="120"/>
      <c r="P1073" s="120"/>
      <c r="Q1073" s="120"/>
      <c r="R1073" s="120"/>
      <c r="S1073" s="120"/>
      <c r="T1073" s="221"/>
      <c r="U1073" s="89"/>
      <c r="V1073" s="61"/>
      <c r="W1073" s="92" t="s">
        <v>129</v>
      </c>
      <c r="X1073" s="93" t="s">
        <v>29</v>
      </c>
      <c r="Y1073" s="93" t="s">
        <v>93</v>
      </c>
      <c r="Z1073" s="134">
        <f>VLOOKUP(W1073,Sheet2!$B:$D,3,FALSE)</f>
        <v>56</v>
      </c>
      <c r="AA1073" s="93">
        <f>100/(3*3*2.5)</f>
        <v>4.4444444444444446</v>
      </c>
      <c r="AB1073" s="93">
        <f t="shared" ref="AB1073" si="868">AD1073/AC1072</f>
        <v>12.600000000000001</v>
      </c>
      <c r="AC1073" s="93">
        <f>AC1072/AA1073</f>
        <v>4.4999999999999991E-2</v>
      </c>
      <c r="AD1073" s="94">
        <f t="shared" ref="AD1073:AD1074" si="869">AC1073*Z1073</f>
        <v>2.5199999999999996</v>
      </c>
      <c r="AE1073" s="190"/>
      <c r="AF1073" s="191"/>
      <c r="AG1073" s="191"/>
      <c r="AH1073" s="191"/>
      <c r="AI1073" s="186"/>
      <c r="AK1073" s="171"/>
    </row>
    <row r="1074" spans="1:37" s="102" customFormat="1" ht="19.899999999999999" customHeight="1" x14ac:dyDescent="0.25">
      <c r="A1074" s="45"/>
      <c r="B1074" s="59"/>
      <c r="C1074" s="137"/>
      <c r="D1074" s="59"/>
      <c r="E1074" s="116"/>
      <c r="F1074" s="120"/>
      <c r="G1074" s="120"/>
      <c r="H1074" s="120"/>
      <c r="I1074" s="60"/>
      <c r="J1074" s="116"/>
      <c r="K1074" s="213"/>
      <c r="L1074" s="120"/>
      <c r="M1074" s="120"/>
      <c r="N1074" s="167"/>
      <c r="O1074" s="120"/>
      <c r="P1074" s="120"/>
      <c r="Q1074" s="120"/>
      <c r="R1074" s="120"/>
      <c r="S1074" s="120"/>
      <c r="T1074" s="221"/>
      <c r="U1074" s="89"/>
      <c r="V1074" s="61"/>
      <c r="W1074" s="92" t="s">
        <v>65</v>
      </c>
      <c r="X1074" s="93" t="s">
        <v>30</v>
      </c>
      <c r="Y1074" s="93" t="s">
        <v>1011</v>
      </c>
      <c r="Z1074" s="134">
        <f>VLOOKUP(W1074,Sheet2!$B:$D,3,FALSE)</f>
        <v>1.76</v>
      </c>
      <c r="AA1074" s="93">
        <f>AA1073/14</f>
        <v>0.3174603174603175</v>
      </c>
      <c r="AB1074" s="93">
        <f>AD1074/AC1072</f>
        <v>5.5439999999999987</v>
      </c>
      <c r="AC1074" s="93">
        <f>AC1072/AA1074</f>
        <v>0.62999999999999978</v>
      </c>
      <c r="AD1074" s="94">
        <f t="shared" si="869"/>
        <v>1.1087999999999996</v>
      </c>
      <c r="AE1074" s="190"/>
      <c r="AF1074" s="191"/>
      <c r="AG1074" s="191"/>
      <c r="AH1074" s="191"/>
      <c r="AI1074" s="186"/>
      <c r="AK1074" s="171"/>
    </row>
    <row r="1075" spans="1:37" s="102" customFormat="1" ht="19.899999999999999" customHeight="1" x14ac:dyDescent="0.25">
      <c r="A1075" s="45"/>
      <c r="B1075" s="59"/>
      <c r="C1075" s="137"/>
      <c r="D1075" s="59"/>
      <c r="E1075" s="116"/>
      <c r="F1075" s="120"/>
      <c r="G1075" s="120"/>
      <c r="H1075" s="120"/>
      <c r="I1075" s="60"/>
      <c r="J1075" s="116"/>
      <c r="K1075" s="213"/>
      <c r="L1075" s="120"/>
      <c r="M1075" s="120"/>
      <c r="N1075" s="167"/>
      <c r="O1075" s="120"/>
      <c r="P1075" s="120"/>
      <c r="Q1075" s="120"/>
      <c r="R1075" s="120"/>
      <c r="S1075" s="120"/>
      <c r="T1075" s="221"/>
      <c r="U1075" s="89"/>
      <c r="V1075" s="61"/>
      <c r="W1075" s="92" t="s">
        <v>161</v>
      </c>
      <c r="X1075" s="93" t="s">
        <v>29</v>
      </c>
      <c r="Y1075" s="93" t="s">
        <v>93</v>
      </c>
      <c r="Z1075" s="134">
        <f>VLOOKUP(W1075,Sheet2!$B:$D,3,FALSE)</f>
        <v>48</v>
      </c>
      <c r="AA1075" s="93">
        <f>(16*0.85*1.5)/(3*3*2.5)</f>
        <v>0.90666666666666662</v>
      </c>
      <c r="AB1075" s="93">
        <f>AD1075/AC1072</f>
        <v>52.941176470588239</v>
      </c>
      <c r="AC1075" s="93">
        <f>AC1072/AA1075</f>
        <v>0.22058823529411761</v>
      </c>
      <c r="AD1075" s="94">
        <f>AC1075*Z1075</f>
        <v>10.588235294117645</v>
      </c>
      <c r="AE1075" s="190"/>
      <c r="AF1075" s="191"/>
      <c r="AG1075" s="191"/>
      <c r="AH1075" s="191"/>
      <c r="AI1075" s="186"/>
      <c r="AK1075" s="171"/>
    </row>
    <row r="1076" spans="1:37" s="102" customFormat="1" ht="19.899999999999999" customHeight="1" x14ac:dyDescent="0.25">
      <c r="A1076" s="45"/>
      <c r="B1076" s="59"/>
      <c r="C1076" s="137"/>
      <c r="D1076" s="59"/>
      <c r="E1076" s="116"/>
      <c r="F1076" s="120"/>
      <c r="G1076" s="120"/>
      <c r="H1076" s="120"/>
      <c r="I1076" s="60"/>
      <c r="J1076" s="116"/>
      <c r="K1076" s="213"/>
      <c r="L1076" s="120"/>
      <c r="M1076" s="120"/>
      <c r="N1076" s="167"/>
      <c r="O1076" s="120"/>
      <c r="P1076" s="120"/>
      <c r="Q1076" s="120"/>
      <c r="R1076" s="120"/>
      <c r="S1076" s="120"/>
      <c r="T1076" s="221"/>
      <c r="U1076" s="89"/>
      <c r="V1076" s="61"/>
      <c r="W1076" s="92" t="s">
        <v>65</v>
      </c>
      <c r="X1076" s="93" t="s">
        <v>30</v>
      </c>
      <c r="Y1076" s="93" t="s">
        <v>1011</v>
      </c>
      <c r="Z1076" s="134">
        <f>VLOOKUP(W1076,Sheet2!$B:$D,3,FALSE)</f>
        <v>1.76</v>
      </c>
      <c r="AA1076" s="93">
        <f>AA1075/10</f>
        <v>9.0666666666666659E-2</v>
      </c>
      <c r="AB1076" s="93">
        <f>AD1076/AC1072</f>
        <v>19.411764705882355</v>
      </c>
      <c r="AC1076" s="93">
        <f>AC1072/AA1076</f>
        <v>2.2058823529411762</v>
      </c>
      <c r="AD1076" s="94">
        <f>AC1076*Z1076</f>
        <v>3.8823529411764701</v>
      </c>
      <c r="AE1076" s="190"/>
      <c r="AF1076" s="191"/>
      <c r="AG1076" s="191"/>
      <c r="AH1076" s="191"/>
      <c r="AI1076" s="186"/>
      <c r="AK1076" s="171"/>
    </row>
    <row r="1077" spans="1:37" s="103" customFormat="1" ht="19.899999999999999" customHeight="1" x14ac:dyDescent="0.25">
      <c r="A1077" s="51"/>
      <c r="B1077" s="52"/>
      <c r="C1077" s="165"/>
      <c r="D1077" s="52"/>
      <c r="E1077" s="115"/>
      <c r="F1077" s="58"/>
      <c r="G1077" s="58"/>
      <c r="H1077" s="58"/>
      <c r="I1077" s="55"/>
      <c r="J1077" s="113">
        <f>J1071</f>
        <v>0.19999999999999996</v>
      </c>
      <c r="K1077" s="212">
        <f>K1071</f>
        <v>0.19999999999999996</v>
      </c>
      <c r="L1077" s="58"/>
      <c r="M1077" s="58">
        <f>K1077-L1077</f>
        <v>0.19999999999999996</v>
      </c>
      <c r="N1077" s="166"/>
      <c r="O1077" s="58"/>
      <c r="P1077" s="58"/>
      <c r="Q1077" s="58"/>
      <c r="R1077" s="58"/>
      <c r="S1077" s="58"/>
      <c r="T1077" s="220"/>
      <c r="U1077" s="88"/>
      <c r="V1077" s="56"/>
      <c r="W1077" s="57" t="s">
        <v>1352</v>
      </c>
      <c r="X1077" s="53"/>
      <c r="Y1077" s="91" t="s">
        <v>35</v>
      </c>
      <c r="Z1077" s="136">
        <f>AD1077/AC1077</f>
        <v>7149.9999999999991</v>
      </c>
      <c r="AA1077" s="58"/>
      <c r="AB1077" s="53">
        <f>AD1077/AC1077</f>
        <v>7149.9999999999991</v>
      </c>
      <c r="AC1077" s="53">
        <f>M1077+$AE$10</f>
        <v>0.19999999999999996</v>
      </c>
      <c r="AD1077" s="54">
        <f>SUM(AD1078:AD1083)</f>
        <v>1429.9999999999995</v>
      </c>
      <c r="AE1077" s="184">
        <f>SUMIFS($AD$37:$AD$12971,$V$37:$V$12971,$V1077,$X$37:$X$12971,AE$13)</f>
        <v>0</v>
      </c>
      <c r="AF1077" s="185">
        <f>SUMIFS($AD$37:$AD$12971,$V$37:$V$12971,$V1077,$X$37:$X$12971,AF$13)</f>
        <v>0</v>
      </c>
      <c r="AG1077" s="185">
        <f>SUMIFS($AD$37:$AD$12971,$V$37:$V$12971,$V1077,$X$37:$X$12971,AG$13)</f>
        <v>0</v>
      </c>
      <c r="AH1077" s="187">
        <f>SUMIFS($AD$37:$AD$12971,$V$37:$V$12971,$V1077,$X$37:$X$12971,AH$13)</f>
        <v>0</v>
      </c>
      <c r="AI1077" s="161">
        <f t="shared" ref="AI1077" si="870">SUM(AE1077:AH1077)</f>
        <v>0</v>
      </c>
      <c r="AK1077" s="172"/>
    </row>
    <row r="1078" spans="1:37" s="102" customFormat="1" ht="19.899999999999999" customHeight="1" x14ac:dyDescent="0.25">
      <c r="A1078" s="45"/>
      <c r="B1078" s="59"/>
      <c r="C1078" s="137"/>
      <c r="D1078" s="59"/>
      <c r="E1078" s="116"/>
      <c r="F1078" s="120"/>
      <c r="G1078" s="120"/>
      <c r="H1078" s="120"/>
      <c r="I1078" s="60"/>
      <c r="J1078" s="116"/>
      <c r="K1078" s="213"/>
      <c r="L1078" s="120"/>
      <c r="M1078" s="120"/>
      <c r="N1078" s="167"/>
      <c r="O1078" s="120"/>
      <c r="P1078" s="120"/>
      <c r="Q1078" s="120"/>
      <c r="R1078" s="120"/>
      <c r="S1078" s="120"/>
      <c r="T1078" s="221"/>
      <c r="U1078" s="89"/>
      <c r="V1078" s="61"/>
      <c r="W1078" s="92" t="s">
        <v>1353</v>
      </c>
      <c r="X1078" s="93" t="s">
        <v>30</v>
      </c>
      <c r="Y1078" s="93" t="s">
        <v>66</v>
      </c>
      <c r="Z1078" s="134">
        <f>VLOOKUP(W1078,Sheet2!$B:$D,3,FALSE)</f>
        <v>350</v>
      </c>
      <c r="AA1078" s="93">
        <f>1/(2*2.5*0.25*4)</f>
        <v>0.2</v>
      </c>
      <c r="AB1078" s="93">
        <f>AD1078/AC1077</f>
        <v>1750</v>
      </c>
      <c r="AC1078" s="93">
        <f>AC1077/AA1078</f>
        <v>0.99999999999999978</v>
      </c>
      <c r="AD1078" s="94">
        <f t="shared" ref="AD1078:AD1079" si="871">AC1078*Z1078</f>
        <v>349.99999999999994</v>
      </c>
      <c r="AE1078" s="190"/>
      <c r="AF1078" s="191"/>
      <c r="AG1078" s="191"/>
      <c r="AH1078" s="191"/>
      <c r="AI1078" s="186"/>
      <c r="AK1078" s="171"/>
    </row>
    <row r="1079" spans="1:37" s="102" customFormat="1" ht="19.899999999999999" customHeight="1" x14ac:dyDescent="0.25">
      <c r="A1079" s="45"/>
      <c r="B1079" s="59"/>
      <c r="C1079" s="137"/>
      <c r="D1079" s="59"/>
      <c r="E1079" s="116"/>
      <c r="F1079" s="120"/>
      <c r="G1079" s="120"/>
      <c r="H1079" s="120"/>
      <c r="I1079" s="60"/>
      <c r="J1079" s="116"/>
      <c r="K1079" s="213"/>
      <c r="L1079" s="120"/>
      <c r="M1079" s="120"/>
      <c r="N1079" s="167"/>
      <c r="O1079" s="120"/>
      <c r="P1079" s="120"/>
      <c r="Q1079" s="120"/>
      <c r="R1079" s="120"/>
      <c r="S1079" s="120"/>
      <c r="T1079" s="221"/>
      <c r="U1079" s="89"/>
      <c r="V1079" s="61"/>
      <c r="W1079" s="92" t="s">
        <v>99</v>
      </c>
      <c r="X1079" s="93" t="s">
        <v>30</v>
      </c>
      <c r="Y1079" s="93" t="s">
        <v>67</v>
      </c>
      <c r="Z1079" s="134">
        <f>VLOOKUP(W1079,Sheet2!$B:$D,3,FALSE)</f>
        <v>2500</v>
      </c>
      <c r="AA1079" s="93">
        <f>1/(2*2.5*0.25*4*0.08)</f>
        <v>2.5</v>
      </c>
      <c r="AB1079" s="93">
        <f>AD1079/AC1077</f>
        <v>1000.0000000000001</v>
      </c>
      <c r="AC1079" s="93">
        <f>AC1077/AA1079</f>
        <v>7.9999999999999988E-2</v>
      </c>
      <c r="AD1079" s="94">
        <f t="shared" si="871"/>
        <v>199.99999999999997</v>
      </c>
      <c r="AE1079" s="190"/>
      <c r="AF1079" s="191"/>
      <c r="AG1079" s="191"/>
      <c r="AH1079" s="191"/>
      <c r="AI1079" s="186"/>
      <c r="AK1079" s="171"/>
    </row>
    <row r="1080" spans="1:37" s="102" customFormat="1" ht="19.899999999999999" customHeight="1" x14ac:dyDescent="0.25">
      <c r="A1080" s="45"/>
      <c r="B1080" s="59"/>
      <c r="C1080" s="137"/>
      <c r="D1080" s="59"/>
      <c r="E1080" s="116"/>
      <c r="F1080" s="120"/>
      <c r="G1080" s="120"/>
      <c r="H1080" s="120"/>
      <c r="I1080" s="60"/>
      <c r="J1080" s="116"/>
      <c r="K1080" s="213"/>
      <c r="L1080" s="120"/>
      <c r="M1080" s="120"/>
      <c r="N1080" s="167"/>
      <c r="O1080" s="120"/>
      <c r="P1080" s="120"/>
      <c r="Q1080" s="120"/>
      <c r="R1080" s="120"/>
      <c r="S1080" s="120"/>
      <c r="T1080" s="221"/>
      <c r="U1080" s="89"/>
      <c r="V1080" s="61"/>
      <c r="W1080" s="92" t="s">
        <v>1355</v>
      </c>
      <c r="X1080" s="93" t="s">
        <v>32</v>
      </c>
      <c r="Y1080" s="93" t="s">
        <v>66</v>
      </c>
      <c r="Z1080" s="134">
        <f>VLOOKUP(W1080,Sheet2!$B:$D,3,FALSE)</f>
        <v>450</v>
      </c>
      <c r="AA1080" s="93">
        <f>AA1078</f>
        <v>0.2</v>
      </c>
      <c r="AB1080" s="93">
        <f>AD1080/AC1077</f>
        <v>2250</v>
      </c>
      <c r="AC1080" s="93">
        <f>AC1077/AA1080</f>
        <v>0.99999999999999978</v>
      </c>
      <c r="AD1080" s="94">
        <f>AC1080*Z1080</f>
        <v>449.99999999999989</v>
      </c>
      <c r="AE1080" s="190"/>
      <c r="AF1080" s="191"/>
      <c r="AG1080" s="191"/>
      <c r="AH1080" s="191"/>
      <c r="AI1080" s="186"/>
      <c r="AK1080" s="171"/>
    </row>
    <row r="1081" spans="1:37" s="102" customFormat="1" ht="19.899999999999999" customHeight="1" x14ac:dyDescent="0.25">
      <c r="A1081" s="45"/>
      <c r="B1081" s="59"/>
      <c r="C1081" s="137"/>
      <c r="D1081" s="59"/>
      <c r="E1081" s="116"/>
      <c r="F1081" s="120"/>
      <c r="G1081" s="120"/>
      <c r="H1081" s="120"/>
      <c r="I1081" s="60"/>
      <c r="J1081" s="116"/>
      <c r="K1081" s="213"/>
      <c r="L1081" s="120"/>
      <c r="M1081" s="120"/>
      <c r="N1081" s="167"/>
      <c r="O1081" s="120"/>
      <c r="P1081" s="120"/>
      <c r="Q1081" s="120"/>
      <c r="R1081" s="120"/>
      <c r="S1081" s="120"/>
      <c r="T1081" s="221"/>
      <c r="U1081" s="89"/>
      <c r="V1081" s="61"/>
      <c r="W1081" s="92" t="s">
        <v>1362</v>
      </c>
      <c r="X1081" s="93" t="s">
        <v>30</v>
      </c>
      <c r="Y1081" s="93" t="s">
        <v>35</v>
      </c>
      <c r="Z1081" s="134">
        <f>VLOOKUP(W1081,Sheet2!$B:$D,3,FALSE)</f>
        <v>400</v>
      </c>
      <c r="AA1081" s="93">
        <v>0.2</v>
      </c>
      <c r="AB1081" s="93">
        <f>AD1081/AC1077</f>
        <v>1999.9999999999998</v>
      </c>
      <c r="AC1081" s="93">
        <f>AC1077/AA1081</f>
        <v>0.99999999999999978</v>
      </c>
      <c r="AD1081" s="94">
        <f t="shared" ref="AD1081" si="872">AC1081*Z1081</f>
        <v>399.99999999999989</v>
      </c>
      <c r="AE1081" s="190"/>
      <c r="AF1081" s="191"/>
      <c r="AG1081" s="191"/>
      <c r="AH1081" s="191"/>
      <c r="AI1081" s="186"/>
      <c r="AK1081" s="171"/>
    </row>
    <row r="1082" spans="1:37" s="102" customFormat="1" ht="19.899999999999999" customHeight="1" x14ac:dyDescent="0.25">
      <c r="A1082" s="45"/>
      <c r="B1082" s="59"/>
      <c r="C1082" s="137"/>
      <c r="D1082" s="59"/>
      <c r="E1082" s="116"/>
      <c r="F1082" s="120"/>
      <c r="G1082" s="120"/>
      <c r="H1082" s="120"/>
      <c r="I1082" s="60"/>
      <c r="J1082" s="116"/>
      <c r="K1082" s="213"/>
      <c r="L1082" s="120"/>
      <c r="M1082" s="120"/>
      <c r="N1082" s="167"/>
      <c r="O1082" s="120"/>
      <c r="P1082" s="120"/>
      <c r="Q1082" s="120"/>
      <c r="R1082" s="120"/>
      <c r="S1082" s="120"/>
      <c r="T1082" s="221"/>
      <c r="U1082" s="89"/>
      <c r="V1082" s="61"/>
      <c r="W1082" s="92" t="s">
        <v>107</v>
      </c>
      <c r="X1082" s="93" t="s">
        <v>31</v>
      </c>
      <c r="Y1082" s="93" t="s">
        <v>93</v>
      </c>
      <c r="Z1082" s="134">
        <f>VLOOKUP(W1082,Sheet2!$B:$D,3,FALSE)</f>
        <v>17</v>
      </c>
      <c r="AA1082" s="93">
        <f>1/5</f>
        <v>0.2</v>
      </c>
      <c r="AB1082" s="93">
        <f>AD1082/AC1077</f>
        <v>85</v>
      </c>
      <c r="AC1082" s="93">
        <f>AC1077/AA1082</f>
        <v>0.99999999999999978</v>
      </c>
      <c r="AD1082" s="94">
        <f>AC1082*Z1082</f>
        <v>16.999999999999996</v>
      </c>
      <c r="AE1082" s="190"/>
      <c r="AF1082" s="191"/>
      <c r="AG1082" s="191"/>
      <c r="AH1082" s="191"/>
      <c r="AI1082" s="186"/>
      <c r="AK1082" s="171"/>
    </row>
    <row r="1083" spans="1:37" s="102" customFormat="1" ht="19.899999999999999" customHeight="1" x14ac:dyDescent="0.25">
      <c r="A1083" s="45"/>
      <c r="B1083" s="59"/>
      <c r="C1083" s="137"/>
      <c r="D1083" s="59"/>
      <c r="E1083" s="116"/>
      <c r="F1083" s="120"/>
      <c r="G1083" s="120"/>
      <c r="H1083" s="120"/>
      <c r="I1083" s="60"/>
      <c r="J1083" s="116"/>
      <c r="K1083" s="213"/>
      <c r="L1083" s="120"/>
      <c r="M1083" s="120"/>
      <c r="N1083" s="167"/>
      <c r="O1083" s="120"/>
      <c r="P1083" s="120"/>
      <c r="Q1083" s="120"/>
      <c r="R1083" s="120"/>
      <c r="S1083" s="120"/>
      <c r="T1083" s="221"/>
      <c r="U1083" s="89"/>
      <c r="V1083" s="61"/>
      <c r="W1083" s="92" t="s">
        <v>112</v>
      </c>
      <c r="X1083" s="93" t="s">
        <v>31</v>
      </c>
      <c r="Y1083" s="93" t="s">
        <v>93</v>
      </c>
      <c r="Z1083" s="134">
        <f>VLOOKUP(W1083,Sheet2!$B:$D,3,FALSE)</f>
        <v>13</v>
      </c>
      <c r="AA1083" s="93">
        <f>AA1082</f>
        <v>0.2</v>
      </c>
      <c r="AB1083" s="93">
        <f>AD1083/AC1077</f>
        <v>65</v>
      </c>
      <c r="AC1083" s="93">
        <f>AC1077/AA1083</f>
        <v>0.99999999999999978</v>
      </c>
      <c r="AD1083" s="94">
        <f>AC1083*Z1083</f>
        <v>12.999999999999996</v>
      </c>
      <c r="AE1083" s="190"/>
      <c r="AF1083" s="191"/>
      <c r="AG1083" s="191"/>
      <c r="AH1083" s="191"/>
      <c r="AI1083" s="186"/>
      <c r="AK1083" s="171"/>
    </row>
    <row r="1084" spans="1:37" s="103" customFormat="1" ht="19.899999999999999" customHeight="1" x14ac:dyDescent="0.25">
      <c r="A1084" s="51"/>
      <c r="B1084" s="52"/>
      <c r="C1084" s="165"/>
      <c r="D1084" s="52"/>
      <c r="E1084" s="115"/>
      <c r="F1084" s="58"/>
      <c r="G1084" s="58"/>
      <c r="H1084" s="58"/>
      <c r="I1084" s="55"/>
      <c r="J1084" s="113">
        <f>J1071</f>
        <v>0.19999999999999996</v>
      </c>
      <c r="K1084" s="212">
        <f>K1071</f>
        <v>0.19999999999999996</v>
      </c>
      <c r="L1084" s="58"/>
      <c r="M1084" s="58">
        <f>K1084-L1084</f>
        <v>0.19999999999999996</v>
      </c>
      <c r="N1084" s="166"/>
      <c r="O1084" s="58"/>
      <c r="P1084" s="58"/>
      <c r="Q1084" s="58"/>
      <c r="R1084" s="58"/>
      <c r="S1084" s="58"/>
      <c r="T1084" s="220"/>
      <c r="U1084" s="88"/>
      <c r="V1084" s="56"/>
      <c r="W1084" s="57" t="s">
        <v>1358</v>
      </c>
      <c r="X1084" s="53"/>
      <c r="Y1084" s="91" t="s">
        <v>35</v>
      </c>
      <c r="Z1084" s="136">
        <f>AD1084/AC1084</f>
        <v>2800</v>
      </c>
      <c r="AA1084" s="58"/>
      <c r="AB1084" s="53">
        <f>AD1084/AC1084</f>
        <v>2800</v>
      </c>
      <c r="AC1084" s="53">
        <f>M1084+$AE$10</f>
        <v>0.19999999999999996</v>
      </c>
      <c r="AD1084" s="54">
        <f>SUM(AD1085:AD1086)</f>
        <v>559.99999999999989</v>
      </c>
      <c r="AE1084" s="184">
        <f>SUMIFS($AD$37:$AD$12971,$V$37:$V$12971,$V1084,$X$37:$X$12971,AE$13)</f>
        <v>0</v>
      </c>
      <c r="AF1084" s="185">
        <f>SUMIFS($AD$37:$AD$12971,$V$37:$V$12971,$V1084,$X$37:$X$12971,AF$13)</f>
        <v>0</v>
      </c>
      <c r="AG1084" s="185">
        <f>SUMIFS($AD$37:$AD$12971,$V$37:$V$12971,$V1084,$X$37:$X$12971,AG$13)</f>
        <v>0</v>
      </c>
      <c r="AH1084" s="187">
        <f>SUMIFS($AD$37:$AD$12971,$V$37:$V$12971,$V1084,$X$37:$X$12971,AH$13)</f>
        <v>0</v>
      </c>
      <c r="AI1084" s="161">
        <f t="shared" ref="AI1084" si="873">SUM(AE1084:AH1084)</f>
        <v>0</v>
      </c>
      <c r="AK1084" s="172"/>
    </row>
    <row r="1085" spans="1:37" s="102" customFormat="1" ht="19.899999999999999" customHeight="1" x14ac:dyDescent="0.25">
      <c r="A1085" s="45"/>
      <c r="B1085" s="59"/>
      <c r="C1085" s="137"/>
      <c r="D1085" s="59"/>
      <c r="E1085" s="116"/>
      <c r="F1085" s="120"/>
      <c r="G1085" s="120"/>
      <c r="H1085" s="120"/>
      <c r="I1085" s="60"/>
      <c r="J1085" s="116"/>
      <c r="K1085" s="213"/>
      <c r="L1085" s="120"/>
      <c r="M1085" s="120"/>
      <c r="N1085" s="167"/>
      <c r="O1085" s="120"/>
      <c r="P1085" s="120"/>
      <c r="Q1085" s="120"/>
      <c r="R1085" s="120"/>
      <c r="S1085" s="120"/>
      <c r="T1085" s="221"/>
      <c r="U1085" s="89"/>
      <c r="V1085" s="61"/>
      <c r="W1085" s="92" t="s">
        <v>1359</v>
      </c>
      <c r="X1085" s="93" t="s">
        <v>32</v>
      </c>
      <c r="Y1085" s="93" t="s">
        <v>64</v>
      </c>
      <c r="Z1085" s="134">
        <f>VLOOKUP(W1085,Sheet2!$B:$D,3,FALSE)</f>
        <v>40</v>
      </c>
      <c r="AA1085" s="93">
        <f>1/40</f>
        <v>2.5000000000000001E-2</v>
      </c>
      <c r="AB1085" s="93">
        <f t="shared" ref="AB1085" si="874">AD1085/AC1084</f>
        <v>1600</v>
      </c>
      <c r="AC1085" s="93">
        <f>AC1084/AA1085</f>
        <v>7.9999999999999982</v>
      </c>
      <c r="AD1085" s="94">
        <f t="shared" ref="AD1085:AD1086" si="875">AC1085*Z1085</f>
        <v>319.99999999999994</v>
      </c>
      <c r="AE1085" s="190"/>
      <c r="AF1085" s="191"/>
      <c r="AG1085" s="191"/>
      <c r="AH1085" s="191"/>
      <c r="AI1085" s="186"/>
      <c r="AK1085" s="171"/>
    </row>
    <row r="1086" spans="1:37" s="102" customFormat="1" ht="19.899999999999999" customHeight="1" x14ac:dyDescent="0.25">
      <c r="A1086" s="45"/>
      <c r="B1086" s="59"/>
      <c r="C1086" s="137"/>
      <c r="D1086" s="59"/>
      <c r="E1086" s="116"/>
      <c r="F1086" s="120"/>
      <c r="G1086" s="120"/>
      <c r="H1086" s="120"/>
      <c r="I1086" s="60"/>
      <c r="J1086" s="116"/>
      <c r="K1086" s="213"/>
      <c r="L1086" s="120"/>
      <c r="M1086" s="120"/>
      <c r="N1086" s="167"/>
      <c r="O1086" s="120"/>
      <c r="P1086" s="120"/>
      <c r="Q1086" s="120"/>
      <c r="R1086" s="120"/>
      <c r="S1086" s="120"/>
      <c r="T1086" s="221"/>
      <c r="U1086" s="89"/>
      <c r="V1086" s="61"/>
      <c r="W1086" s="92" t="s">
        <v>1360</v>
      </c>
      <c r="X1086" s="93" t="s">
        <v>32</v>
      </c>
      <c r="Y1086" s="93" t="s">
        <v>64</v>
      </c>
      <c r="Z1086" s="134">
        <f>VLOOKUP(W1086,Sheet2!$B:$D,3,FALSE)</f>
        <v>30</v>
      </c>
      <c r="AA1086" s="93">
        <f>AA1085</f>
        <v>2.5000000000000001E-2</v>
      </c>
      <c r="AB1086" s="93">
        <f>AD1086/AC1084</f>
        <v>1200</v>
      </c>
      <c r="AC1086" s="93">
        <f>AC1084/AA1086</f>
        <v>7.9999999999999982</v>
      </c>
      <c r="AD1086" s="94">
        <f t="shared" si="875"/>
        <v>239.99999999999994</v>
      </c>
      <c r="AE1086" s="190"/>
      <c r="AF1086" s="191"/>
      <c r="AG1086" s="191"/>
      <c r="AH1086" s="191"/>
      <c r="AI1086" s="186"/>
      <c r="AK1086" s="171"/>
    </row>
    <row r="1087" spans="1:37" s="103" customFormat="1" ht="19.899999999999999" customHeight="1" x14ac:dyDescent="0.25">
      <c r="A1087" s="51"/>
      <c r="B1087" s="52"/>
      <c r="C1087" s="165"/>
      <c r="D1087" s="52"/>
      <c r="E1087" s="115"/>
      <c r="F1087" s="58"/>
      <c r="G1087" s="58"/>
      <c r="H1087" s="58"/>
      <c r="I1087" s="55"/>
      <c r="J1087" s="113">
        <f>J1071</f>
        <v>0.19999999999999996</v>
      </c>
      <c r="K1087" s="212">
        <f>K1071</f>
        <v>0.19999999999999996</v>
      </c>
      <c r="L1087" s="58"/>
      <c r="M1087" s="58">
        <f>K1087-L1087</f>
        <v>0.19999999999999996</v>
      </c>
      <c r="N1087" s="166"/>
      <c r="O1087" s="58"/>
      <c r="P1087" s="58"/>
      <c r="Q1087" s="58"/>
      <c r="R1087" s="58"/>
      <c r="S1087" s="58"/>
      <c r="T1087" s="220"/>
      <c r="U1087" s="88"/>
      <c r="V1087" s="56"/>
      <c r="W1087" s="57" t="s">
        <v>1272</v>
      </c>
      <c r="X1087" s="53"/>
      <c r="Y1087" s="91" t="s">
        <v>35</v>
      </c>
      <c r="Z1087" s="136">
        <f>AD1087/AC1087</f>
        <v>216.61607843137256</v>
      </c>
      <c r="AA1087" s="58"/>
      <c r="AB1087" s="53">
        <f>AD1087/AC1087</f>
        <v>216.61607843137256</v>
      </c>
      <c r="AC1087" s="53">
        <f>M1087+$AE$10</f>
        <v>0.19999999999999996</v>
      </c>
      <c r="AD1087" s="54">
        <f>SUM(AD1088:AD1096)</f>
        <v>43.323215686274501</v>
      </c>
      <c r="AE1087" s="184">
        <f>SUMIFS($AD$37:$AD$12971,$V$37:$V$12971,$V1087,$X$37:$X$12971,AE$13)</f>
        <v>0</v>
      </c>
      <c r="AF1087" s="185">
        <f>SUMIFS($AD$37:$AD$12971,$V$37:$V$12971,$V1087,$X$37:$X$12971,AF$13)</f>
        <v>0</v>
      </c>
      <c r="AG1087" s="185">
        <f>SUMIFS($AD$37:$AD$12971,$V$37:$V$12971,$V1087,$X$37:$X$12971,AG$13)</f>
        <v>0</v>
      </c>
      <c r="AH1087" s="187">
        <f>SUMIFS($AD$37:$AD$12971,$V$37:$V$12971,$V1087,$X$37:$X$12971,AH$13)</f>
        <v>0</v>
      </c>
      <c r="AI1087" s="161">
        <f t="shared" ref="AI1087" si="876">SUM(AE1087:AH1087)</f>
        <v>0</v>
      </c>
      <c r="AK1087" s="172"/>
    </row>
    <row r="1088" spans="1:37" s="102" customFormat="1" ht="19.899999999999999" customHeight="1" x14ac:dyDescent="0.25">
      <c r="A1088" s="45"/>
      <c r="B1088" s="59"/>
      <c r="C1088" s="137"/>
      <c r="D1088" s="59"/>
      <c r="E1088" s="116"/>
      <c r="F1088" s="120"/>
      <c r="G1088" s="120"/>
      <c r="H1088" s="120"/>
      <c r="I1088" s="60"/>
      <c r="J1088" s="116"/>
      <c r="K1088" s="213"/>
      <c r="L1088" s="120"/>
      <c r="M1088" s="120"/>
      <c r="N1088" s="167"/>
      <c r="O1088" s="120"/>
      <c r="P1088" s="120"/>
      <c r="Q1088" s="120"/>
      <c r="R1088" s="120"/>
      <c r="S1088" s="120"/>
      <c r="T1088" s="221"/>
      <c r="U1088" s="89"/>
      <c r="V1088" s="61"/>
      <c r="W1088" s="92" t="s">
        <v>1273</v>
      </c>
      <c r="X1088" s="93" t="s">
        <v>30</v>
      </c>
      <c r="Y1088" s="93" t="s">
        <v>66</v>
      </c>
      <c r="Z1088" s="134">
        <f>VLOOKUP(W1088,Sheet2!$B:$D,3,FALSE)</f>
        <v>10</v>
      </c>
      <c r="AA1088" s="93">
        <f>1/(2.5*2.5*0.5*4)</f>
        <v>0.08</v>
      </c>
      <c r="AB1088" s="93">
        <f>AD1088/AC1087</f>
        <v>125.00000000000001</v>
      </c>
      <c r="AC1088" s="93">
        <f>AC1087/AA1088</f>
        <v>2.4999999999999996</v>
      </c>
      <c r="AD1088" s="94">
        <f t="shared" ref="AD1088:AD1090" si="877">AC1088*Z1088</f>
        <v>24.999999999999996</v>
      </c>
      <c r="AE1088" s="190"/>
      <c r="AF1088" s="191"/>
      <c r="AG1088" s="191"/>
      <c r="AH1088" s="191"/>
      <c r="AI1088" s="186"/>
      <c r="AK1088" s="171"/>
    </row>
    <row r="1089" spans="1:41" s="102" customFormat="1" ht="19.899999999999999" customHeight="1" x14ac:dyDescent="0.25">
      <c r="A1089" s="45"/>
      <c r="B1089" s="59"/>
      <c r="C1089" s="137"/>
      <c r="D1089" s="59"/>
      <c r="E1089" s="116"/>
      <c r="F1089" s="120"/>
      <c r="G1089" s="120"/>
      <c r="H1089" s="120"/>
      <c r="I1089" s="60"/>
      <c r="J1089" s="116"/>
      <c r="K1089" s="213"/>
      <c r="L1089" s="120"/>
      <c r="M1089" s="120"/>
      <c r="N1089" s="167"/>
      <c r="O1089" s="120"/>
      <c r="P1089" s="120"/>
      <c r="Q1089" s="120"/>
      <c r="R1089" s="120"/>
      <c r="S1089" s="120"/>
      <c r="T1089" s="221"/>
      <c r="U1089" s="89"/>
      <c r="V1089" s="61"/>
      <c r="W1089" s="92" t="s">
        <v>134</v>
      </c>
      <c r="X1089" s="93" t="s">
        <v>29</v>
      </c>
      <c r="Y1089" s="93" t="s">
        <v>93</v>
      </c>
      <c r="Z1089" s="134">
        <f>VLOOKUP(W1089,Sheet2!$B:$D,3,FALSE)</f>
        <v>65.599999999999994</v>
      </c>
      <c r="AA1089" s="93">
        <f>100/(2.5*2.5*0.5*4)</f>
        <v>8</v>
      </c>
      <c r="AB1089" s="93">
        <f t="shared" ref="AB1089" si="878">AD1089/AC1087</f>
        <v>8.1999999999999993</v>
      </c>
      <c r="AC1089" s="93">
        <f>AC1087/AA1089</f>
        <v>2.4999999999999994E-2</v>
      </c>
      <c r="AD1089" s="94">
        <f t="shared" si="877"/>
        <v>1.6399999999999995</v>
      </c>
      <c r="AE1089" s="190"/>
      <c r="AF1089" s="191"/>
      <c r="AG1089" s="191"/>
      <c r="AH1089" s="191"/>
      <c r="AI1089" s="186"/>
      <c r="AK1089" s="171"/>
    </row>
    <row r="1090" spans="1:41" s="102" customFormat="1" ht="19.899999999999999" customHeight="1" x14ac:dyDescent="0.25">
      <c r="A1090" s="45"/>
      <c r="B1090" s="59"/>
      <c r="C1090" s="137"/>
      <c r="D1090" s="59"/>
      <c r="E1090" s="116"/>
      <c r="F1090" s="120"/>
      <c r="G1090" s="120"/>
      <c r="H1090" s="120"/>
      <c r="I1090" s="60"/>
      <c r="J1090" s="116"/>
      <c r="K1090" s="213"/>
      <c r="L1090" s="120"/>
      <c r="M1090" s="120"/>
      <c r="N1090" s="167"/>
      <c r="O1090" s="120"/>
      <c r="P1090" s="120"/>
      <c r="Q1090" s="120"/>
      <c r="R1090" s="120"/>
      <c r="S1090" s="120"/>
      <c r="T1090" s="221"/>
      <c r="U1090" s="89"/>
      <c r="V1090" s="61"/>
      <c r="W1090" s="92" t="s">
        <v>65</v>
      </c>
      <c r="X1090" s="93" t="s">
        <v>30</v>
      </c>
      <c r="Y1090" s="93" t="s">
        <v>1011</v>
      </c>
      <c r="Z1090" s="134">
        <f>VLOOKUP(W1090,Sheet2!$B:$D,3,FALSE)</f>
        <v>1.76</v>
      </c>
      <c r="AA1090" s="93">
        <f>AA1089/9</f>
        <v>0.88888888888888884</v>
      </c>
      <c r="AB1090" s="93">
        <f>AD1090/AC1087</f>
        <v>1.98</v>
      </c>
      <c r="AC1090" s="93">
        <f>AC1087/AA1090</f>
        <v>0.22499999999999995</v>
      </c>
      <c r="AD1090" s="94">
        <f t="shared" si="877"/>
        <v>0.39599999999999991</v>
      </c>
      <c r="AE1090" s="190"/>
      <c r="AF1090" s="191"/>
      <c r="AG1090" s="191"/>
      <c r="AH1090" s="191"/>
      <c r="AI1090" s="186"/>
      <c r="AK1090" s="171"/>
    </row>
    <row r="1091" spans="1:41" s="102" customFormat="1" ht="19.899999999999999" customHeight="1" x14ac:dyDescent="0.25">
      <c r="A1091" s="45"/>
      <c r="B1091" s="59"/>
      <c r="C1091" s="137"/>
      <c r="D1091" s="59"/>
      <c r="E1091" s="116"/>
      <c r="F1091" s="120"/>
      <c r="G1091" s="120"/>
      <c r="H1091" s="120"/>
      <c r="I1091" s="60"/>
      <c r="J1091" s="116"/>
      <c r="K1091" s="213"/>
      <c r="L1091" s="120"/>
      <c r="M1091" s="120"/>
      <c r="N1091" s="167"/>
      <c r="O1091" s="120"/>
      <c r="P1091" s="120"/>
      <c r="Q1091" s="120"/>
      <c r="R1091" s="120"/>
      <c r="S1091" s="120"/>
      <c r="T1091" s="221"/>
      <c r="U1091" s="89"/>
      <c r="V1091" s="61"/>
      <c r="W1091" s="92" t="s">
        <v>161</v>
      </c>
      <c r="X1091" s="93" t="s">
        <v>29</v>
      </c>
      <c r="Y1091" s="93" t="s">
        <v>93</v>
      </c>
      <c r="Z1091" s="134">
        <f>VLOOKUP(W1091,Sheet2!$B:$D,3,FALSE)</f>
        <v>48</v>
      </c>
      <c r="AA1091" s="93">
        <f>(16*0.85*1.5)/(2.5*2.5*0.5*4)</f>
        <v>1.6319999999999999</v>
      </c>
      <c r="AB1091" s="93">
        <f>AD1091/AC1087</f>
        <v>29.411764705882351</v>
      </c>
      <c r="AC1091" s="93">
        <f>AC1087/AA1091</f>
        <v>0.12254901960784312</v>
      </c>
      <c r="AD1091" s="94">
        <f>AC1091*Z1091</f>
        <v>5.8823529411764692</v>
      </c>
      <c r="AE1091" s="190"/>
      <c r="AF1091" s="191"/>
      <c r="AG1091" s="191"/>
      <c r="AH1091" s="191"/>
      <c r="AI1091" s="186"/>
      <c r="AK1091" s="171"/>
    </row>
    <row r="1092" spans="1:41" s="102" customFormat="1" ht="19.899999999999999" customHeight="1" x14ac:dyDescent="0.25">
      <c r="A1092" s="45"/>
      <c r="B1092" s="59"/>
      <c r="C1092" s="137"/>
      <c r="D1092" s="59"/>
      <c r="E1092" s="116"/>
      <c r="F1092" s="120"/>
      <c r="G1092" s="120"/>
      <c r="H1092" s="120"/>
      <c r="I1092" s="60"/>
      <c r="J1092" s="116"/>
      <c r="K1092" s="213"/>
      <c r="L1092" s="120"/>
      <c r="M1092" s="120"/>
      <c r="N1092" s="167"/>
      <c r="O1092" s="120"/>
      <c r="P1092" s="120"/>
      <c r="Q1092" s="120"/>
      <c r="R1092" s="120"/>
      <c r="S1092" s="120"/>
      <c r="T1092" s="221"/>
      <c r="U1092" s="89"/>
      <c r="V1092" s="61"/>
      <c r="W1092" s="92" t="s">
        <v>65</v>
      </c>
      <c r="X1092" s="93" t="s">
        <v>30</v>
      </c>
      <c r="Y1092" s="93" t="s">
        <v>1011</v>
      </c>
      <c r="Z1092" s="134">
        <f>VLOOKUP(W1092,Sheet2!$B:$D,3,FALSE)</f>
        <v>1.76</v>
      </c>
      <c r="AA1092" s="93">
        <f>AA1091/10</f>
        <v>0.16319999999999998</v>
      </c>
      <c r="AB1092" s="93">
        <f>AD1092/AC1087</f>
        <v>10.784313725490199</v>
      </c>
      <c r="AC1092" s="93">
        <f>AC1087/AA1092</f>
        <v>1.2254901960784312</v>
      </c>
      <c r="AD1092" s="94">
        <f>AC1092*Z1092</f>
        <v>2.1568627450980391</v>
      </c>
      <c r="AE1092" s="190"/>
      <c r="AF1092" s="191"/>
      <c r="AG1092" s="191"/>
      <c r="AH1092" s="191"/>
      <c r="AI1092" s="186"/>
      <c r="AK1092" s="171"/>
    </row>
    <row r="1093" spans="1:41" s="102" customFormat="1" ht="19.899999999999999" customHeight="1" x14ac:dyDescent="0.25">
      <c r="A1093" s="45"/>
      <c r="B1093" s="59"/>
      <c r="C1093" s="137"/>
      <c r="D1093" s="59"/>
      <c r="E1093" s="116"/>
      <c r="F1093" s="120"/>
      <c r="G1093" s="120"/>
      <c r="H1093" s="120"/>
      <c r="I1093" s="60"/>
      <c r="J1093" s="116"/>
      <c r="K1093" s="213"/>
      <c r="L1093" s="120"/>
      <c r="M1093" s="120"/>
      <c r="N1093" s="167"/>
      <c r="O1093" s="120"/>
      <c r="P1093" s="120"/>
      <c r="Q1093" s="120"/>
      <c r="R1093" s="120"/>
      <c r="S1093" s="120"/>
      <c r="T1093" s="221"/>
      <c r="U1093" s="89"/>
      <c r="V1093" s="61"/>
      <c r="W1093" s="92" t="s">
        <v>173</v>
      </c>
      <c r="X1093" s="93" t="s">
        <v>29</v>
      </c>
      <c r="Y1093" s="93" t="s">
        <v>93</v>
      </c>
      <c r="Z1093" s="134">
        <f>VLOOKUP(W1093,Sheet2!$B:$D,3,FALSE)</f>
        <v>36</v>
      </c>
      <c r="AA1093" s="93">
        <f>50/(2.5*2.5*0.5*4)</f>
        <v>4</v>
      </c>
      <c r="AB1093" s="93">
        <f>AD1093/AC1087</f>
        <v>9</v>
      </c>
      <c r="AC1093" s="93">
        <f>AC1087/AA1093</f>
        <v>4.9999999999999989E-2</v>
      </c>
      <c r="AD1093" s="94">
        <f>AC1093*Z1093</f>
        <v>1.7999999999999996</v>
      </c>
      <c r="AE1093" s="190"/>
      <c r="AF1093" s="191"/>
      <c r="AG1093" s="191"/>
      <c r="AH1093" s="191"/>
      <c r="AI1093" s="186"/>
      <c r="AK1093" s="171"/>
    </row>
    <row r="1094" spans="1:41" s="102" customFormat="1" ht="19.899999999999999" customHeight="1" x14ac:dyDescent="0.25">
      <c r="A1094" s="45"/>
      <c r="B1094" s="59"/>
      <c r="C1094" s="137"/>
      <c r="D1094" s="59"/>
      <c r="E1094" s="116"/>
      <c r="F1094" s="120"/>
      <c r="G1094" s="120"/>
      <c r="H1094" s="120"/>
      <c r="I1094" s="60"/>
      <c r="J1094" s="116"/>
      <c r="K1094" s="213"/>
      <c r="L1094" s="120"/>
      <c r="M1094" s="120"/>
      <c r="N1094" s="167"/>
      <c r="O1094" s="120"/>
      <c r="P1094" s="120"/>
      <c r="Q1094" s="120"/>
      <c r="R1094" s="120"/>
      <c r="S1094" s="120"/>
      <c r="T1094" s="221"/>
      <c r="U1094" s="89"/>
      <c r="V1094" s="61"/>
      <c r="W1094" s="92" t="s">
        <v>65</v>
      </c>
      <c r="X1094" s="93" t="s">
        <v>30</v>
      </c>
      <c r="Y1094" s="93" t="s">
        <v>1011</v>
      </c>
      <c r="Z1094" s="134">
        <f>VLOOKUP(W1094,Sheet2!$B:$D,3,FALSE)</f>
        <v>1.76</v>
      </c>
      <c r="AA1094" s="93">
        <f>AA1093/9</f>
        <v>0.44444444444444442</v>
      </c>
      <c r="AB1094" s="93">
        <f>AD1094/AC1087</f>
        <v>3.96</v>
      </c>
      <c r="AC1094" s="93">
        <f>AC1087/AA1094</f>
        <v>0.4499999999999999</v>
      </c>
      <c r="AD1094" s="94">
        <f>AC1094*Z1094</f>
        <v>0.79199999999999982</v>
      </c>
      <c r="AE1094" s="190"/>
      <c r="AF1094" s="191"/>
      <c r="AG1094" s="191"/>
      <c r="AH1094" s="191"/>
      <c r="AI1094" s="186"/>
      <c r="AK1094" s="171"/>
    </row>
    <row r="1095" spans="1:41" s="102" customFormat="1" ht="19.899999999999999" customHeight="1" x14ac:dyDescent="0.25">
      <c r="A1095" s="45"/>
      <c r="B1095" s="59"/>
      <c r="C1095" s="137"/>
      <c r="D1095" s="59"/>
      <c r="E1095" s="116"/>
      <c r="F1095" s="120"/>
      <c r="G1095" s="120"/>
      <c r="H1095" s="120"/>
      <c r="I1095" s="60"/>
      <c r="J1095" s="116"/>
      <c r="K1095" s="213"/>
      <c r="L1095" s="120"/>
      <c r="M1095" s="120"/>
      <c r="N1095" s="167"/>
      <c r="O1095" s="120"/>
      <c r="P1095" s="120"/>
      <c r="Q1095" s="120"/>
      <c r="R1095" s="120"/>
      <c r="S1095" s="120"/>
      <c r="T1095" s="221"/>
      <c r="U1095" s="89"/>
      <c r="V1095" s="61"/>
      <c r="W1095" s="92" t="s">
        <v>1030</v>
      </c>
      <c r="X1095" s="93" t="s">
        <v>29</v>
      </c>
      <c r="Y1095" s="93" t="s">
        <v>93</v>
      </c>
      <c r="Z1095" s="134">
        <f>VLOOKUP(W1095,Sheet2!$B:$D,3,FALSE)</f>
        <v>23</v>
      </c>
      <c r="AA1095" s="93">
        <v>1</v>
      </c>
      <c r="AB1095" s="93">
        <f>AD1095/AC1087</f>
        <v>23</v>
      </c>
      <c r="AC1095" s="93">
        <f>AC1087/AA1095</f>
        <v>0.19999999999999996</v>
      </c>
      <c r="AD1095" s="94">
        <f t="shared" ref="AD1095:AD1096" si="879">AC1095*Z1095</f>
        <v>4.5999999999999988</v>
      </c>
      <c r="AE1095" s="190"/>
      <c r="AF1095" s="191"/>
      <c r="AG1095" s="191"/>
      <c r="AH1095" s="191"/>
      <c r="AI1095" s="186"/>
      <c r="AK1095" s="171"/>
    </row>
    <row r="1096" spans="1:41" s="102" customFormat="1" ht="19.899999999999999" customHeight="1" x14ac:dyDescent="0.25">
      <c r="A1096" s="45"/>
      <c r="B1096" s="59"/>
      <c r="C1096" s="137"/>
      <c r="D1096" s="59"/>
      <c r="E1096" s="116"/>
      <c r="F1096" s="120"/>
      <c r="G1096" s="120"/>
      <c r="H1096" s="120"/>
      <c r="I1096" s="60"/>
      <c r="J1096" s="116"/>
      <c r="K1096" s="213"/>
      <c r="L1096" s="120"/>
      <c r="M1096" s="120"/>
      <c r="N1096" s="167"/>
      <c r="O1096" s="120"/>
      <c r="P1096" s="120"/>
      <c r="Q1096" s="120"/>
      <c r="R1096" s="120"/>
      <c r="S1096" s="120"/>
      <c r="T1096" s="221"/>
      <c r="U1096" s="89"/>
      <c r="V1096" s="61"/>
      <c r="W1096" s="92" t="s">
        <v>65</v>
      </c>
      <c r="X1096" s="93" t="s">
        <v>30</v>
      </c>
      <c r="Y1096" s="93" t="s">
        <v>1011</v>
      </c>
      <c r="Z1096" s="134">
        <f>VLOOKUP(W1096,Sheet2!$B:$D,3,FALSE)</f>
        <v>1.76</v>
      </c>
      <c r="AA1096" s="93">
        <f>AA1095/3</f>
        <v>0.33333333333333331</v>
      </c>
      <c r="AB1096" s="93">
        <f>AD1096/AC1087</f>
        <v>5.28</v>
      </c>
      <c r="AC1096" s="93">
        <f>AC1087/AA1096</f>
        <v>0.59999999999999987</v>
      </c>
      <c r="AD1096" s="94">
        <f t="shared" si="879"/>
        <v>1.0559999999999998</v>
      </c>
      <c r="AE1096" s="190"/>
      <c r="AF1096" s="191"/>
      <c r="AG1096" s="191"/>
      <c r="AH1096" s="191"/>
      <c r="AI1096" s="186"/>
      <c r="AK1096" s="171"/>
    </row>
    <row r="1097" spans="1:41" ht="20.100000000000001" customHeight="1" x14ac:dyDescent="0.25">
      <c r="A1097" s="277" t="s">
        <v>216</v>
      </c>
      <c r="B1097" s="278"/>
      <c r="C1097" s="64" t="s">
        <v>344</v>
      </c>
      <c r="D1097" s="46" t="s">
        <v>328</v>
      </c>
      <c r="E1097" s="114">
        <v>0.58000000000000007</v>
      </c>
      <c r="F1097" s="44">
        <v>27946</v>
      </c>
      <c r="G1097" s="44">
        <f t="shared" si="607"/>
        <v>16208.680000000002</v>
      </c>
      <c r="H1097" s="44">
        <f t="shared" si="608"/>
        <v>11782.306290196078</v>
      </c>
      <c r="I1097" s="43">
        <f t="shared" si="609"/>
        <v>6833.7376483137259</v>
      </c>
      <c r="J1097" s="112">
        <f t="shared" si="610"/>
        <v>0.58000000000000007</v>
      </c>
      <c r="K1097" s="211">
        <f t="shared" si="611"/>
        <v>0.58000000000000007</v>
      </c>
      <c r="L1097" s="44"/>
      <c r="M1097" s="44">
        <f t="shared" si="612"/>
        <v>0.58000000000000007</v>
      </c>
      <c r="N1097" s="173">
        <f t="shared" si="613"/>
        <v>1</v>
      </c>
      <c r="O1097" s="44">
        <f t="shared" si="614"/>
        <v>27946</v>
      </c>
      <c r="P1097" s="44">
        <f t="shared" si="615"/>
        <v>16208.680000000002</v>
      </c>
      <c r="Q1097" s="44">
        <f t="shared" si="616"/>
        <v>11782.306290196078</v>
      </c>
      <c r="R1097" s="44">
        <f t="shared" si="617"/>
        <v>6833.7376483137259</v>
      </c>
      <c r="S1097" s="123"/>
      <c r="T1097" s="219">
        <f t="shared" si="618"/>
        <v>6833.7376483137259</v>
      </c>
      <c r="U1097" s="87"/>
      <c r="V1097" s="47"/>
      <c r="W1097" s="48"/>
      <c r="X1097" s="48"/>
      <c r="Y1097" s="48"/>
      <c r="Z1097" s="135"/>
      <c r="AA1097" s="49"/>
      <c r="AB1097" s="50">
        <f t="shared" si="619"/>
        <v>11782.306290196078</v>
      </c>
      <c r="AC1097" s="42">
        <f t="shared" si="620"/>
        <v>0.58000000000000007</v>
      </c>
      <c r="AD1097" s="90">
        <f>AD1098+AD1103+AD1110+AD1113</f>
        <v>6833.7376483137259</v>
      </c>
      <c r="AE1097" s="188">
        <f t="shared" ref="AE1097" si="880">AE1098+AE1103+AE1110+AE1113</f>
        <v>0</v>
      </c>
      <c r="AF1097" s="189">
        <f t="shared" ref="AF1097" si="881">AF1098+AF1103+AF1110+AF1113</f>
        <v>0</v>
      </c>
      <c r="AG1097" s="189">
        <f t="shared" ref="AG1097" si="882">AG1098+AG1103+AG1110+AG1113</f>
        <v>0</v>
      </c>
      <c r="AH1097" s="189">
        <f t="shared" ref="AH1097" si="883">AH1098+AH1103+AH1110+AH1113</f>
        <v>0</v>
      </c>
      <c r="AI1097" s="161">
        <f t="shared" ref="AI1097" si="884">SUM(AE1097:AH1097)</f>
        <v>0</v>
      </c>
      <c r="AK1097" s="169">
        <v>5</v>
      </c>
      <c r="AO1097" s="19" t="s">
        <v>63</v>
      </c>
    </row>
    <row r="1098" spans="1:41" s="103" customFormat="1" ht="19.899999999999999" customHeight="1" x14ac:dyDescent="0.25">
      <c r="A1098" s="51"/>
      <c r="B1098" s="52"/>
      <c r="C1098" s="165"/>
      <c r="D1098" s="52"/>
      <c r="E1098" s="115"/>
      <c r="F1098" s="58"/>
      <c r="G1098" s="58"/>
      <c r="H1098" s="58"/>
      <c r="I1098" s="55"/>
      <c r="J1098" s="113">
        <f>J1097</f>
        <v>0.58000000000000007</v>
      </c>
      <c r="K1098" s="212">
        <f>K1097</f>
        <v>0.58000000000000007</v>
      </c>
      <c r="L1098" s="58"/>
      <c r="M1098" s="58">
        <f>K1098-L1098</f>
        <v>0.58000000000000007</v>
      </c>
      <c r="N1098" s="166"/>
      <c r="O1098" s="58"/>
      <c r="P1098" s="58"/>
      <c r="Q1098" s="58"/>
      <c r="R1098" s="58"/>
      <c r="S1098" s="58"/>
      <c r="T1098" s="220"/>
      <c r="U1098" s="88"/>
      <c r="V1098" s="56"/>
      <c r="W1098" s="57" t="s">
        <v>1366</v>
      </c>
      <c r="X1098" s="53"/>
      <c r="Y1098" s="91" t="s">
        <v>35</v>
      </c>
      <c r="Z1098" s="136">
        <f>AD1098/AC1098</f>
        <v>108.59632941176473</v>
      </c>
      <c r="AA1098" s="58"/>
      <c r="AB1098" s="53">
        <f>AD1098/AC1098</f>
        <v>108.59632941176473</v>
      </c>
      <c r="AC1098" s="53">
        <f>M1098+$AE$10</f>
        <v>0.58000000000000007</v>
      </c>
      <c r="AD1098" s="54">
        <f>SUM(AD1099:AD1102)</f>
        <v>62.985871058823548</v>
      </c>
      <c r="AE1098" s="184">
        <f>SUMIFS($AD$37:$AD$12971,$V$37:$V$12971,$V1098,$X$37:$X$12971,AE$13)</f>
        <v>0</v>
      </c>
      <c r="AF1098" s="185">
        <f>SUMIFS($AD$37:$AD$12971,$V$37:$V$12971,$V1098,$X$37:$X$12971,AF$13)</f>
        <v>0</v>
      </c>
      <c r="AG1098" s="185">
        <f>SUMIFS($AD$37:$AD$12971,$V$37:$V$12971,$V1098,$X$37:$X$12971,AG$13)</f>
        <v>0</v>
      </c>
      <c r="AH1098" s="187">
        <f>SUMIFS($AD$37:$AD$12971,$V$37:$V$12971,$V1098,$X$37:$X$12971,AH$13)</f>
        <v>0</v>
      </c>
      <c r="AI1098" s="161">
        <f t="shared" ref="AI1098" si="885">SUM(AE1098:AH1098)</f>
        <v>0</v>
      </c>
      <c r="AK1098" s="172"/>
    </row>
    <row r="1099" spans="1:41" s="102" customFormat="1" ht="19.899999999999999" customHeight="1" x14ac:dyDescent="0.25">
      <c r="A1099" s="45"/>
      <c r="B1099" s="59"/>
      <c r="C1099" s="137"/>
      <c r="D1099" s="59"/>
      <c r="E1099" s="116"/>
      <c r="F1099" s="120"/>
      <c r="G1099" s="120"/>
      <c r="H1099" s="120"/>
      <c r="I1099" s="60"/>
      <c r="J1099" s="116"/>
      <c r="K1099" s="213"/>
      <c r="L1099" s="120"/>
      <c r="M1099" s="120"/>
      <c r="N1099" s="167"/>
      <c r="O1099" s="120"/>
      <c r="P1099" s="120"/>
      <c r="Q1099" s="120"/>
      <c r="R1099" s="120"/>
      <c r="S1099" s="120"/>
      <c r="T1099" s="221"/>
      <c r="U1099" s="89"/>
      <c r="V1099" s="61"/>
      <c r="W1099" s="92" t="s">
        <v>129</v>
      </c>
      <c r="X1099" s="93" t="s">
        <v>29</v>
      </c>
      <c r="Y1099" s="93" t="s">
        <v>93</v>
      </c>
      <c r="Z1099" s="134">
        <f>VLOOKUP(W1099,Sheet2!$B:$D,3,FALSE)</f>
        <v>56</v>
      </c>
      <c r="AA1099" s="93">
        <f>100/(3*3*3)</f>
        <v>3.7037037037037037</v>
      </c>
      <c r="AB1099" s="93">
        <f t="shared" ref="AB1099" si="886">AD1099/AC1098</f>
        <v>15.12</v>
      </c>
      <c r="AC1099" s="93">
        <f>AC1098/AA1099</f>
        <v>0.15660000000000002</v>
      </c>
      <c r="AD1099" s="94">
        <f t="shared" ref="AD1099:AD1100" si="887">AC1099*Z1099</f>
        <v>8.7696000000000005</v>
      </c>
      <c r="AE1099" s="190"/>
      <c r="AF1099" s="191"/>
      <c r="AG1099" s="191"/>
      <c r="AH1099" s="191"/>
      <c r="AI1099" s="186"/>
      <c r="AK1099" s="171"/>
    </row>
    <row r="1100" spans="1:41" s="102" customFormat="1" ht="19.899999999999999" customHeight="1" x14ac:dyDescent="0.25">
      <c r="A1100" s="45"/>
      <c r="B1100" s="59"/>
      <c r="C1100" s="137"/>
      <c r="D1100" s="59"/>
      <c r="E1100" s="116"/>
      <c r="F1100" s="120"/>
      <c r="G1100" s="120"/>
      <c r="H1100" s="120"/>
      <c r="I1100" s="60"/>
      <c r="J1100" s="116"/>
      <c r="K1100" s="213"/>
      <c r="L1100" s="120"/>
      <c r="M1100" s="120"/>
      <c r="N1100" s="167"/>
      <c r="O1100" s="120"/>
      <c r="P1100" s="120"/>
      <c r="Q1100" s="120"/>
      <c r="R1100" s="120"/>
      <c r="S1100" s="120"/>
      <c r="T1100" s="221"/>
      <c r="U1100" s="89"/>
      <c r="V1100" s="61"/>
      <c r="W1100" s="92" t="s">
        <v>65</v>
      </c>
      <c r="X1100" s="93" t="s">
        <v>30</v>
      </c>
      <c r="Y1100" s="93" t="s">
        <v>1011</v>
      </c>
      <c r="Z1100" s="134">
        <f>VLOOKUP(W1100,Sheet2!$B:$D,3,FALSE)</f>
        <v>1.76</v>
      </c>
      <c r="AA1100" s="93">
        <f>AA1099/14</f>
        <v>0.26455026455026454</v>
      </c>
      <c r="AB1100" s="93">
        <f>AD1100/AC1098</f>
        <v>6.6528000000000009</v>
      </c>
      <c r="AC1100" s="93">
        <f>AC1098/AA1100</f>
        <v>2.1924000000000006</v>
      </c>
      <c r="AD1100" s="94">
        <f t="shared" si="887"/>
        <v>3.8586240000000012</v>
      </c>
      <c r="AE1100" s="190"/>
      <c r="AF1100" s="191"/>
      <c r="AG1100" s="191"/>
      <c r="AH1100" s="191"/>
      <c r="AI1100" s="186"/>
      <c r="AK1100" s="171"/>
    </row>
    <row r="1101" spans="1:41" s="102" customFormat="1" ht="19.899999999999999" customHeight="1" x14ac:dyDescent="0.25">
      <c r="A1101" s="45"/>
      <c r="B1101" s="59"/>
      <c r="C1101" s="137"/>
      <c r="D1101" s="59"/>
      <c r="E1101" s="116"/>
      <c r="F1101" s="120"/>
      <c r="G1101" s="120"/>
      <c r="H1101" s="120"/>
      <c r="I1101" s="60"/>
      <c r="J1101" s="116"/>
      <c r="K1101" s="213"/>
      <c r="L1101" s="120"/>
      <c r="M1101" s="120"/>
      <c r="N1101" s="167"/>
      <c r="O1101" s="120"/>
      <c r="P1101" s="120"/>
      <c r="Q1101" s="120"/>
      <c r="R1101" s="120"/>
      <c r="S1101" s="120"/>
      <c r="T1101" s="221"/>
      <c r="U1101" s="89"/>
      <c r="V1101" s="61"/>
      <c r="W1101" s="92" t="s">
        <v>161</v>
      </c>
      <c r="X1101" s="93" t="s">
        <v>29</v>
      </c>
      <c r="Y1101" s="93" t="s">
        <v>93</v>
      </c>
      <c r="Z1101" s="134">
        <f>VLOOKUP(W1101,Sheet2!$B:$D,3,FALSE)</f>
        <v>48</v>
      </c>
      <c r="AA1101" s="93">
        <f>(16*0.85*1.5)/(3*3*3)</f>
        <v>0.75555555555555554</v>
      </c>
      <c r="AB1101" s="93">
        <f>AD1101/AC1098</f>
        <v>63.529411764705891</v>
      </c>
      <c r="AC1101" s="93">
        <f>AC1098/AA1101</f>
        <v>0.76764705882352957</v>
      </c>
      <c r="AD1101" s="94">
        <f>AC1101*Z1101</f>
        <v>36.847058823529423</v>
      </c>
      <c r="AE1101" s="190"/>
      <c r="AF1101" s="191"/>
      <c r="AG1101" s="191"/>
      <c r="AH1101" s="191"/>
      <c r="AI1101" s="186"/>
      <c r="AK1101" s="171"/>
    </row>
    <row r="1102" spans="1:41" s="102" customFormat="1" ht="19.899999999999999" customHeight="1" x14ac:dyDescent="0.25">
      <c r="A1102" s="45"/>
      <c r="B1102" s="59"/>
      <c r="C1102" s="137"/>
      <c r="D1102" s="59"/>
      <c r="E1102" s="116"/>
      <c r="F1102" s="120"/>
      <c r="G1102" s="120"/>
      <c r="H1102" s="120"/>
      <c r="I1102" s="60"/>
      <c r="J1102" s="116"/>
      <c r="K1102" s="213"/>
      <c r="L1102" s="120"/>
      <c r="M1102" s="120"/>
      <c r="N1102" s="167"/>
      <c r="O1102" s="120"/>
      <c r="P1102" s="120"/>
      <c r="Q1102" s="120"/>
      <c r="R1102" s="120"/>
      <c r="S1102" s="120"/>
      <c r="T1102" s="221"/>
      <c r="U1102" s="89"/>
      <c r="V1102" s="61"/>
      <c r="W1102" s="92" t="s">
        <v>65</v>
      </c>
      <c r="X1102" s="93" t="s">
        <v>30</v>
      </c>
      <c r="Y1102" s="93" t="s">
        <v>1011</v>
      </c>
      <c r="Z1102" s="134">
        <f>VLOOKUP(W1102,Sheet2!$B:$D,3,FALSE)</f>
        <v>1.76</v>
      </c>
      <c r="AA1102" s="93">
        <f>AA1101/10</f>
        <v>7.5555555555555556E-2</v>
      </c>
      <c r="AB1102" s="93">
        <f>AD1102/AC1098</f>
        <v>23.294117647058826</v>
      </c>
      <c r="AC1102" s="93">
        <f>AC1098/AA1102</f>
        <v>7.6764705882352953</v>
      </c>
      <c r="AD1102" s="94">
        <f>AC1102*Z1102</f>
        <v>13.51058823529412</v>
      </c>
      <c r="AE1102" s="190"/>
      <c r="AF1102" s="191"/>
      <c r="AG1102" s="191"/>
      <c r="AH1102" s="191"/>
      <c r="AI1102" s="186"/>
      <c r="AK1102" s="171"/>
    </row>
    <row r="1103" spans="1:41" s="103" customFormat="1" ht="19.899999999999999" customHeight="1" x14ac:dyDescent="0.25">
      <c r="A1103" s="51"/>
      <c r="B1103" s="52"/>
      <c r="C1103" s="165"/>
      <c r="D1103" s="52"/>
      <c r="E1103" s="115"/>
      <c r="F1103" s="58"/>
      <c r="G1103" s="58"/>
      <c r="H1103" s="58"/>
      <c r="I1103" s="55"/>
      <c r="J1103" s="113">
        <f>J1097</f>
        <v>0.58000000000000007</v>
      </c>
      <c r="K1103" s="212">
        <f>K1097</f>
        <v>0.58000000000000007</v>
      </c>
      <c r="L1103" s="58"/>
      <c r="M1103" s="58">
        <f>K1103-L1103</f>
        <v>0.58000000000000007</v>
      </c>
      <c r="N1103" s="166"/>
      <c r="O1103" s="58"/>
      <c r="P1103" s="58"/>
      <c r="Q1103" s="58"/>
      <c r="R1103" s="58"/>
      <c r="S1103" s="58"/>
      <c r="T1103" s="220"/>
      <c r="U1103" s="88"/>
      <c r="V1103" s="56"/>
      <c r="W1103" s="57" t="s">
        <v>1352</v>
      </c>
      <c r="X1103" s="53"/>
      <c r="Y1103" s="91" t="s">
        <v>35</v>
      </c>
      <c r="Z1103" s="136">
        <f>AD1103/AC1103</f>
        <v>8050.0000000000009</v>
      </c>
      <c r="AA1103" s="58"/>
      <c r="AB1103" s="53">
        <f>AD1103/AC1103</f>
        <v>8050.0000000000009</v>
      </c>
      <c r="AC1103" s="53">
        <f>M1103+$AE$10</f>
        <v>0.58000000000000007</v>
      </c>
      <c r="AD1103" s="54">
        <f>SUM(AD1104:AD1109)</f>
        <v>4669.0000000000009</v>
      </c>
      <c r="AE1103" s="184">
        <f>SUMIFS($AD$37:$AD$12971,$V$37:$V$12971,$V1103,$X$37:$X$12971,AE$13)</f>
        <v>0</v>
      </c>
      <c r="AF1103" s="185">
        <f>SUMIFS($AD$37:$AD$12971,$V$37:$V$12971,$V1103,$X$37:$X$12971,AF$13)</f>
        <v>0</v>
      </c>
      <c r="AG1103" s="185">
        <f>SUMIFS($AD$37:$AD$12971,$V$37:$V$12971,$V1103,$X$37:$X$12971,AG$13)</f>
        <v>0</v>
      </c>
      <c r="AH1103" s="187">
        <f>SUMIFS($AD$37:$AD$12971,$V$37:$V$12971,$V1103,$X$37:$X$12971,AH$13)</f>
        <v>0</v>
      </c>
      <c r="AI1103" s="161">
        <f t="shared" ref="AI1103" si="888">SUM(AE1103:AH1103)</f>
        <v>0</v>
      </c>
      <c r="AK1103" s="172"/>
    </row>
    <row r="1104" spans="1:41" s="102" customFormat="1" ht="19.899999999999999" customHeight="1" x14ac:dyDescent="0.25">
      <c r="A1104" s="45"/>
      <c r="B1104" s="59"/>
      <c r="C1104" s="137"/>
      <c r="D1104" s="59"/>
      <c r="E1104" s="116"/>
      <c r="F1104" s="120"/>
      <c r="G1104" s="120"/>
      <c r="H1104" s="120"/>
      <c r="I1104" s="60"/>
      <c r="J1104" s="116"/>
      <c r="K1104" s="213"/>
      <c r="L1104" s="120"/>
      <c r="M1104" s="120"/>
      <c r="N1104" s="167"/>
      <c r="O1104" s="120"/>
      <c r="P1104" s="120"/>
      <c r="Q1104" s="120"/>
      <c r="R1104" s="120"/>
      <c r="S1104" s="120"/>
      <c r="T1104" s="221"/>
      <c r="U1104" s="89"/>
      <c r="V1104" s="61"/>
      <c r="W1104" s="92" t="s">
        <v>1353</v>
      </c>
      <c r="X1104" s="93" t="s">
        <v>30</v>
      </c>
      <c r="Y1104" s="93" t="s">
        <v>66</v>
      </c>
      <c r="Z1104" s="134">
        <f>VLOOKUP(W1104,Sheet2!$B:$D,3,FALSE)</f>
        <v>350</v>
      </c>
      <c r="AA1104" s="93">
        <f>1/(2*3*0.25*4)</f>
        <v>0.16666666666666666</v>
      </c>
      <c r="AB1104" s="93">
        <f>AD1104/AC1103</f>
        <v>2100</v>
      </c>
      <c r="AC1104" s="93">
        <f>AC1103/AA1104</f>
        <v>3.4800000000000004</v>
      </c>
      <c r="AD1104" s="94">
        <f t="shared" ref="AD1104:AD1105" si="889">AC1104*Z1104</f>
        <v>1218.0000000000002</v>
      </c>
      <c r="AE1104" s="190"/>
      <c r="AF1104" s="191"/>
      <c r="AG1104" s="191"/>
      <c r="AH1104" s="191"/>
      <c r="AI1104" s="186"/>
      <c r="AK1104" s="171"/>
    </row>
    <row r="1105" spans="1:37" s="102" customFormat="1" ht="19.899999999999999" customHeight="1" x14ac:dyDescent="0.25">
      <c r="A1105" s="45"/>
      <c r="B1105" s="59"/>
      <c r="C1105" s="137"/>
      <c r="D1105" s="59"/>
      <c r="E1105" s="116"/>
      <c r="F1105" s="120"/>
      <c r="G1105" s="120"/>
      <c r="H1105" s="120"/>
      <c r="I1105" s="60"/>
      <c r="J1105" s="116"/>
      <c r="K1105" s="213"/>
      <c r="L1105" s="120"/>
      <c r="M1105" s="120"/>
      <c r="N1105" s="167"/>
      <c r="O1105" s="120"/>
      <c r="P1105" s="120"/>
      <c r="Q1105" s="120"/>
      <c r="R1105" s="120"/>
      <c r="S1105" s="120"/>
      <c r="T1105" s="221"/>
      <c r="U1105" s="89"/>
      <c r="V1105" s="61"/>
      <c r="W1105" s="92" t="s">
        <v>99</v>
      </c>
      <c r="X1105" s="93" t="s">
        <v>30</v>
      </c>
      <c r="Y1105" s="93" t="s">
        <v>67</v>
      </c>
      <c r="Z1105" s="134">
        <f>VLOOKUP(W1105,Sheet2!$B:$D,3,FALSE)</f>
        <v>2500</v>
      </c>
      <c r="AA1105" s="93">
        <f>1/(2*1.5*0.25*4*0.08)</f>
        <v>4.166666666666667</v>
      </c>
      <c r="AB1105" s="93">
        <f>AD1105/AC1103</f>
        <v>600</v>
      </c>
      <c r="AC1105" s="93">
        <f>AC1103/AA1105</f>
        <v>0.13920000000000002</v>
      </c>
      <c r="AD1105" s="94">
        <f t="shared" si="889"/>
        <v>348.00000000000006</v>
      </c>
      <c r="AE1105" s="190"/>
      <c r="AF1105" s="191"/>
      <c r="AG1105" s="191"/>
      <c r="AH1105" s="191"/>
      <c r="AI1105" s="186"/>
      <c r="AK1105" s="171"/>
    </row>
    <row r="1106" spans="1:37" s="102" customFormat="1" ht="19.899999999999999" customHeight="1" x14ac:dyDescent="0.25">
      <c r="A1106" s="45"/>
      <c r="B1106" s="59"/>
      <c r="C1106" s="137"/>
      <c r="D1106" s="59"/>
      <c r="E1106" s="116"/>
      <c r="F1106" s="120"/>
      <c r="G1106" s="120"/>
      <c r="H1106" s="120"/>
      <c r="I1106" s="60"/>
      <c r="J1106" s="116"/>
      <c r="K1106" s="213"/>
      <c r="L1106" s="120"/>
      <c r="M1106" s="120"/>
      <c r="N1106" s="167"/>
      <c r="O1106" s="120"/>
      <c r="P1106" s="120"/>
      <c r="Q1106" s="120"/>
      <c r="R1106" s="120"/>
      <c r="S1106" s="120"/>
      <c r="T1106" s="221"/>
      <c r="U1106" s="89"/>
      <c r="V1106" s="61"/>
      <c r="W1106" s="92" t="s">
        <v>1355</v>
      </c>
      <c r="X1106" s="93" t="s">
        <v>32</v>
      </c>
      <c r="Y1106" s="93" t="s">
        <v>66</v>
      </c>
      <c r="Z1106" s="134">
        <f>VLOOKUP(W1106,Sheet2!$B:$D,3,FALSE)</f>
        <v>450</v>
      </c>
      <c r="AA1106" s="93">
        <f>AA1104</f>
        <v>0.16666666666666666</v>
      </c>
      <c r="AB1106" s="93">
        <f>AD1106/AC1103</f>
        <v>2700</v>
      </c>
      <c r="AC1106" s="93">
        <f>AC1103/AA1106</f>
        <v>3.4800000000000004</v>
      </c>
      <c r="AD1106" s="94">
        <f>AC1106*Z1106</f>
        <v>1566.0000000000002</v>
      </c>
      <c r="AE1106" s="190"/>
      <c r="AF1106" s="191"/>
      <c r="AG1106" s="191"/>
      <c r="AH1106" s="191"/>
      <c r="AI1106" s="186"/>
      <c r="AK1106" s="171"/>
    </row>
    <row r="1107" spans="1:37" s="102" customFormat="1" ht="19.899999999999999" customHeight="1" x14ac:dyDescent="0.25">
      <c r="A1107" s="45"/>
      <c r="B1107" s="59"/>
      <c r="C1107" s="137"/>
      <c r="D1107" s="59"/>
      <c r="E1107" s="116"/>
      <c r="F1107" s="120"/>
      <c r="G1107" s="120"/>
      <c r="H1107" s="120"/>
      <c r="I1107" s="60"/>
      <c r="J1107" s="116"/>
      <c r="K1107" s="213"/>
      <c r="L1107" s="120"/>
      <c r="M1107" s="120"/>
      <c r="N1107" s="167"/>
      <c r="O1107" s="120"/>
      <c r="P1107" s="120"/>
      <c r="Q1107" s="120"/>
      <c r="R1107" s="120"/>
      <c r="S1107" s="120"/>
      <c r="T1107" s="221"/>
      <c r="U1107" s="89"/>
      <c r="V1107" s="61"/>
      <c r="W1107" s="92" t="s">
        <v>1362</v>
      </c>
      <c r="X1107" s="93" t="s">
        <v>30</v>
      </c>
      <c r="Y1107" s="93" t="s">
        <v>35</v>
      </c>
      <c r="Z1107" s="134">
        <f>VLOOKUP(W1107,Sheet2!$B:$D,3,FALSE)</f>
        <v>400</v>
      </c>
      <c r="AA1107" s="93">
        <v>0.16</v>
      </c>
      <c r="AB1107" s="93">
        <f>AD1107/AC1103</f>
        <v>2500</v>
      </c>
      <c r="AC1107" s="93">
        <f>AC1103/AA1107</f>
        <v>3.6250000000000004</v>
      </c>
      <c r="AD1107" s="94">
        <f t="shared" ref="AD1107" si="890">AC1107*Z1107</f>
        <v>1450.0000000000002</v>
      </c>
      <c r="AE1107" s="190"/>
      <c r="AF1107" s="191"/>
      <c r="AG1107" s="191"/>
      <c r="AH1107" s="191"/>
      <c r="AI1107" s="186"/>
      <c r="AK1107" s="171"/>
    </row>
    <row r="1108" spans="1:37" s="102" customFormat="1" ht="19.899999999999999" customHeight="1" x14ac:dyDescent="0.25">
      <c r="A1108" s="45"/>
      <c r="B1108" s="59"/>
      <c r="C1108" s="137"/>
      <c r="D1108" s="59"/>
      <c r="E1108" s="116"/>
      <c r="F1108" s="120"/>
      <c r="G1108" s="120"/>
      <c r="H1108" s="120"/>
      <c r="I1108" s="60"/>
      <c r="J1108" s="116"/>
      <c r="K1108" s="213"/>
      <c r="L1108" s="120"/>
      <c r="M1108" s="120"/>
      <c r="N1108" s="167"/>
      <c r="O1108" s="120"/>
      <c r="P1108" s="120"/>
      <c r="Q1108" s="120"/>
      <c r="R1108" s="120"/>
      <c r="S1108" s="120"/>
      <c r="T1108" s="221"/>
      <c r="U1108" s="89"/>
      <c r="V1108" s="61"/>
      <c r="W1108" s="92" t="s">
        <v>107</v>
      </c>
      <c r="X1108" s="93" t="s">
        <v>31</v>
      </c>
      <c r="Y1108" s="93" t="s">
        <v>93</v>
      </c>
      <c r="Z1108" s="134">
        <f>VLOOKUP(W1108,Sheet2!$B:$D,3,FALSE)</f>
        <v>17</v>
      </c>
      <c r="AA1108" s="93">
        <f>1/5</f>
        <v>0.2</v>
      </c>
      <c r="AB1108" s="93">
        <f>AD1108/AC1103</f>
        <v>85</v>
      </c>
      <c r="AC1108" s="93">
        <f>AC1103/AA1108</f>
        <v>2.9000000000000004</v>
      </c>
      <c r="AD1108" s="94">
        <f>AC1108*Z1108</f>
        <v>49.300000000000004</v>
      </c>
      <c r="AE1108" s="190"/>
      <c r="AF1108" s="191"/>
      <c r="AG1108" s="191"/>
      <c r="AH1108" s="191"/>
      <c r="AI1108" s="186"/>
      <c r="AK1108" s="171"/>
    </row>
    <row r="1109" spans="1:37" s="102" customFormat="1" ht="19.899999999999999" customHeight="1" x14ac:dyDescent="0.25">
      <c r="A1109" s="45"/>
      <c r="B1109" s="59"/>
      <c r="C1109" s="137"/>
      <c r="D1109" s="59"/>
      <c r="E1109" s="116"/>
      <c r="F1109" s="120"/>
      <c r="G1109" s="120"/>
      <c r="H1109" s="120"/>
      <c r="I1109" s="60"/>
      <c r="J1109" s="116"/>
      <c r="K1109" s="213"/>
      <c r="L1109" s="120"/>
      <c r="M1109" s="120"/>
      <c r="N1109" s="167"/>
      <c r="O1109" s="120"/>
      <c r="P1109" s="120"/>
      <c r="Q1109" s="120"/>
      <c r="R1109" s="120"/>
      <c r="S1109" s="120"/>
      <c r="T1109" s="221"/>
      <c r="U1109" s="89"/>
      <c r="V1109" s="61"/>
      <c r="W1109" s="92" t="s">
        <v>112</v>
      </c>
      <c r="X1109" s="93" t="s">
        <v>31</v>
      </c>
      <c r="Y1109" s="93" t="s">
        <v>93</v>
      </c>
      <c r="Z1109" s="134">
        <f>VLOOKUP(W1109,Sheet2!$B:$D,3,FALSE)</f>
        <v>13</v>
      </c>
      <c r="AA1109" s="93">
        <f>AA1108</f>
        <v>0.2</v>
      </c>
      <c r="AB1109" s="93">
        <f>AD1109/AC1103</f>
        <v>65</v>
      </c>
      <c r="AC1109" s="93">
        <f>AC1103/AA1109</f>
        <v>2.9000000000000004</v>
      </c>
      <c r="AD1109" s="94">
        <f>AC1109*Z1109</f>
        <v>37.700000000000003</v>
      </c>
      <c r="AE1109" s="190"/>
      <c r="AF1109" s="191"/>
      <c r="AG1109" s="191"/>
      <c r="AH1109" s="191"/>
      <c r="AI1109" s="186"/>
      <c r="AK1109" s="171"/>
    </row>
    <row r="1110" spans="1:37" s="103" customFormat="1" ht="19.899999999999999" customHeight="1" x14ac:dyDescent="0.25">
      <c r="A1110" s="51"/>
      <c r="B1110" s="52"/>
      <c r="C1110" s="165"/>
      <c r="D1110" s="52"/>
      <c r="E1110" s="115"/>
      <c r="F1110" s="58"/>
      <c r="G1110" s="58"/>
      <c r="H1110" s="58"/>
      <c r="I1110" s="55"/>
      <c r="J1110" s="113">
        <f>J1097</f>
        <v>0.58000000000000007</v>
      </c>
      <c r="K1110" s="212">
        <f>K1097</f>
        <v>0.58000000000000007</v>
      </c>
      <c r="L1110" s="58"/>
      <c r="M1110" s="58">
        <f>K1110-L1110</f>
        <v>0.58000000000000007</v>
      </c>
      <c r="N1110" s="166"/>
      <c r="O1110" s="58"/>
      <c r="P1110" s="58"/>
      <c r="Q1110" s="58"/>
      <c r="R1110" s="58"/>
      <c r="S1110" s="58"/>
      <c r="T1110" s="220"/>
      <c r="U1110" s="88"/>
      <c r="V1110" s="56"/>
      <c r="W1110" s="57" t="s">
        <v>1358</v>
      </c>
      <c r="X1110" s="53"/>
      <c r="Y1110" s="91" t="s">
        <v>35</v>
      </c>
      <c r="Z1110" s="136">
        <f>AD1110/AC1110</f>
        <v>3360</v>
      </c>
      <c r="AA1110" s="58"/>
      <c r="AB1110" s="53">
        <f>AD1110/AC1110</f>
        <v>3360</v>
      </c>
      <c r="AC1110" s="53">
        <f>M1110+$AE$10</f>
        <v>0.58000000000000007</v>
      </c>
      <c r="AD1110" s="54">
        <f>SUM(AD1111:AD1112)</f>
        <v>1948.8000000000002</v>
      </c>
      <c r="AE1110" s="184">
        <f>SUMIFS($AD$37:$AD$12971,$V$37:$V$12971,$V1110,$X$37:$X$12971,AE$13)</f>
        <v>0</v>
      </c>
      <c r="AF1110" s="185">
        <f>SUMIFS($AD$37:$AD$12971,$V$37:$V$12971,$V1110,$X$37:$X$12971,AF$13)</f>
        <v>0</v>
      </c>
      <c r="AG1110" s="185">
        <f>SUMIFS($AD$37:$AD$12971,$V$37:$V$12971,$V1110,$X$37:$X$12971,AG$13)</f>
        <v>0</v>
      </c>
      <c r="AH1110" s="187">
        <f>SUMIFS($AD$37:$AD$12971,$V$37:$V$12971,$V1110,$X$37:$X$12971,AH$13)</f>
        <v>0</v>
      </c>
      <c r="AI1110" s="161">
        <f t="shared" ref="AI1110" si="891">SUM(AE1110:AH1110)</f>
        <v>0</v>
      </c>
      <c r="AK1110" s="172"/>
    </row>
    <row r="1111" spans="1:37" s="102" customFormat="1" ht="19.899999999999999" customHeight="1" x14ac:dyDescent="0.25">
      <c r="A1111" s="45"/>
      <c r="B1111" s="59"/>
      <c r="C1111" s="137"/>
      <c r="D1111" s="59"/>
      <c r="E1111" s="116"/>
      <c r="F1111" s="120"/>
      <c r="G1111" s="120"/>
      <c r="H1111" s="120"/>
      <c r="I1111" s="60"/>
      <c r="J1111" s="116"/>
      <c r="K1111" s="213"/>
      <c r="L1111" s="120"/>
      <c r="M1111" s="120"/>
      <c r="N1111" s="167"/>
      <c r="O1111" s="120"/>
      <c r="P1111" s="120"/>
      <c r="Q1111" s="120"/>
      <c r="R1111" s="120"/>
      <c r="S1111" s="120"/>
      <c r="T1111" s="221"/>
      <c r="U1111" s="89"/>
      <c r="V1111" s="61"/>
      <c r="W1111" s="92" t="s">
        <v>1359</v>
      </c>
      <c r="X1111" s="93" t="s">
        <v>32</v>
      </c>
      <c r="Y1111" s="93" t="s">
        <v>64</v>
      </c>
      <c r="Z1111" s="134">
        <f>VLOOKUP(W1111,Sheet2!$B:$D,3,FALSE)</f>
        <v>40</v>
      </c>
      <c r="AA1111" s="93">
        <f>1/48</f>
        <v>2.0833333333333332E-2</v>
      </c>
      <c r="AB1111" s="93">
        <f t="shared" ref="AB1111" si="892">AD1111/AC1110</f>
        <v>1920</v>
      </c>
      <c r="AC1111" s="93">
        <f>AC1110/AA1111</f>
        <v>27.840000000000003</v>
      </c>
      <c r="AD1111" s="94">
        <f t="shared" ref="AD1111:AD1112" si="893">AC1111*Z1111</f>
        <v>1113.6000000000001</v>
      </c>
      <c r="AE1111" s="190"/>
      <c r="AF1111" s="191"/>
      <c r="AG1111" s="191"/>
      <c r="AH1111" s="191"/>
      <c r="AI1111" s="186"/>
      <c r="AK1111" s="171"/>
    </row>
    <row r="1112" spans="1:37" s="102" customFormat="1" ht="19.899999999999999" customHeight="1" x14ac:dyDescent="0.25">
      <c r="A1112" s="45"/>
      <c r="B1112" s="59"/>
      <c r="C1112" s="137"/>
      <c r="D1112" s="59"/>
      <c r="E1112" s="116"/>
      <c r="F1112" s="120"/>
      <c r="G1112" s="120"/>
      <c r="H1112" s="120"/>
      <c r="I1112" s="60"/>
      <c r="J1112" s="116"/>
      <c r="K1112" s="213"/>
      <c r="L1112" s="120"/>
      <c r="M1112" s="120"/>
      <c r="N1112" s="167"/>
      <c r="O1112" s="120"/>
      <c r="P1112" s="120"/>
      <c r="Q1112" s="120"/>
      <c r="R1112" s="120"/>
      <c r="S1112" s="120"/>
      <c r="T1112" s="221"/>
      <c r="U1112" s="89"/>
      <c r="V1112" s="61"/>
      <c r="W1112" s="92" t="s">
        <v>1360</v>
      </c>
      <c r="X1112" s="93" t="s">
        <v>32</v>
      </c>
      <c r="Y1112" s="93" t="s">
        <v>64</v>
      </c>
      <c r="Z1112" s="134">
        <f>VLOOKUP(W1112,Sheet2!$B:$D,3,FALSE)</f>
        <v>30</v>
      </c>
      <c r="AA1112" s="93">
        <f>AA1111</f>
        <v>2.0833333333333332E-2</v>
      </c>
      <c r="AB1112" s="93">
        <f>AD1112/AC1110</f>
        <v>1440</v>
      </c>
      <c r="AC1112" s="93">
        <f>AC1110/AA1112</f>
        <v>27.840000000000003</v>
      </c>
      <c r="AD1112" s="94">
        <f t="shared" si="893"/>
        <v>835.2</v>
      </c>
      <c r="AE1112" s="190"/>
      <c r="AF1112" s="191"/>
      <c r="AG1112" s="191"/>
      <c r="AH1112" s="191"/>
      <c r="AI1112" s="186"/>
      <c r="AK1112" s="171"/>
    </row>
    <row r="1113" spans="1:37" s="103" customFormat="1" ht="19.899999999999999" customHeight="1" x14ac:dyDescent="0.25">
      <c r="A1113" s="51"/>
      <c r="B1113" s="52"/>
      <c r="C1113" s="165"/>
      <c r="D1113" s="52"/>
      <c r="E1113" s="115"/>
      <c r="F1113" s="58"/>
      <c r="G1113" s="58"/>
      <c r="H1113" s="58"/>
      <c r="I1113" s="55"/>
      <c r="J1113" s="113">
        <f>J1097</f>
        <v>0.58000000000000007</v>
      </c>
      <c r="K1113" s="212">
        <f>K1097</f>
        <v>0.58000000000000007</v>
      </c>
      <c r="L1113" s="58"/>
      <c r="M1113" s="58">
        <f>K1113-L1113</f>
        <v>0.58000000000000007</v>
      </c>
      <c r="N1113" s="166"/>
      <c r="O1113" s="58"/>
      <c r="P1113" s="58"/>
      <c r="Q1113" s="58"/>
      <c r="R1113" s="58"/>
      <c r="S1113" s="58"/>
      <c r="T1113" s="220"/>
      <c r="U1113" s="88"/>
      <c r="V1113" s="56"/>
      <c r="W1113" s="57" t="s">
        <v>1272</v>
      </c>
      <c r="X1113" s="53"/>
      <c r="Y1113" s="91" t="s">
        <v>35</v>
      </c>
      <c r="Z1113" s="136">
        <f>AD1113/AC1113</f>
        <v>263.70996078431369</v>
      </c>
      <c r="AA1113" s="58"/>
      <c r="AB1113" s="53">
        <f>AD1113/AC1113</f>
        <v>263.70996078431369</v>
      </c>
      <c r="AC1113" s="53">
        <f>M1113+$AE$10</f>
        <v>0.58000000000000007</v>
      </c>
      <c r="AD1113" s="54">
        <f>SUM(AD1114:AD1122)</f>
        <v>152.95177725490197</v>
      </c>
      <c r="AE1113" s="184">
        <f>SUMIFS($AD$37:$AD$12971,$V$37:$V$12971,$V1113,$X$37:$X$12971,AE$13)</f>
        <v>0</v>
      </c>
      <c r="AF1113" s="185">
        <f>SUMIFS($AD$37:$AD$12971,$V$37:$V$12971,$V1113,$X$37:$X$12971,AF$13)</f>
        <v>0</v>
      </c>
      <c r="AG1113" s="185">
        <f>SUMIFS($AD$37:$AD$12971,$V$37:$V$12971,$V1113,$X$37:$X$12971,AG$13)</f>
        <v>0</v>
      </c>
      <c r="AH1113" s="187">
        <f>SUMIFS($AD$37:$AD$12971,$V$37:$V$12971,$V1113,$X$37:$X$12971,AH$13)</f>
        <v>0</v>
      </c>
      <c r="AI1113" s="161">
        <f t="shared" ref="AI1113" si="894">SUM(AE1113:AH1113)</f>
        <v>0</v>
      </c>
      <c r="AK1113" s="172"/>
    </row>
    <row r="1114" spans="1:37" s="102" customFormat="1" ht="19.899999999999999" customHeight="1" x14ac:dyDescent="0.25">
      <c r="A1114" s="45"/>
      <c r="B1114" s="59"/>
      <c r="C1114" s="137"/>
      <c r="D1114" s="59"/>
      <c r="E1114" s="116"/>
      <c r="F1114" s="120"/>
      <c r="G1114" s="120"/>
      <c r="H1114" s="120"/>
      <c r="I1114" s="60"/>
      <c r="J1114" s="116"/>
      <c r="K1114" s="213"/>
      <c r="L1114" s="120"/>
      <c r="M1114" s="120"/>
      <c r="N1114" s="167"/>
      <c r="O1114" s="120"/>
      <c r="P1114" s="120"/>
      <c r="Q1114" s="120"/>
      <c r="R1114" s="120"/>
      <c r="S1114" s="120"/>
      <c r="T1114" s="221"/>
      <c r="U1114" s="89"/>
      <c r="V1114" s="61"/>
      <c r="W1114" s="92" t="s">
        <v>1273</v>
      </c>
      <c r="X1114" s="93" t="s">
        <v>30</v>
      </c>
      <c r="Y1114" s="93" t="s">
        <v>66</v>
      </c>
      <c r="Z1114" s="134">
        <f>VLOOKUP(W1114,Sheet2!$B:$D,3,FALSE)</f>
        <v>10</v>
      </c>
      <c r="AA1114" s="93">
        <f>1/(2.5*3*0.5*4)</f>
        <v>6.6666666666666666E-2</v>
      </c>
      <c r="AB1114" s="93">
        <f>AD1114/AC1113</f>
        <v>150</v>
      </c>
      <c r="AC1114" s="93">
        <f>AC1113/AA1114</f>
        <v>8.7000000000000011</v>
      </c>
      <c r="AD1114" s="94">
        <f t="shared" ref="AD1114:AD1116" si="895">AC1114*Z1114</f>
        <v>87.000000000000014</v>
      </c>
      <c r="AE1114" s="190"/>
      <c r="AF1114" s="191"/>
      <c r="AG1114" s="191"/>
      <c r="AH1114" s="191"/>
      <c r="AI1114" s="186"/>
      <c r="AK1114" s="171"/>
    </row>
    <row r="1115" spans="1:37" s="102" customFormat="1" ht="19.899999999999999" customHeight="1" x14ac:dyDescent="0.25">
      <c r="A1115" s="45"/>
      <c r="B1115" s="59"/>
      <c r="C1115" s="137"/>
      <c r="D1115" s="59"/>
      <c r="E1115" s="116"/>
      <c r="F1115" s="120"/>
      <c r="G1115" s="120"/>
      <c r="H1115" s="120"/>
      <c r="I1115" s="60"/>
      <c r="J1115" s="116"/>
      <c r="K1115" s="213"/>
      <c r="L1115" s="120"/>
      <c r="M1115" s="120"/>
      <c r="N1115" s="167"/>
      <c r="O1115" s="120"/>
      <c r="P1115" s="120"/>
      <c r="Q1115" s="120"/>
      <c r="R1115" s="120"/>
      <c r="S1115" s="120"/>
      <c r="T1115" s="221"/>
      <c r="U1115" s="89"/>
      <c r="V1115" s="61"/>
      <c r="W1115" s="92" t="s">
        <v>134</v>
      </c>
      <c r="X1115" s="93" t="s">
        <v>29</v>
      </c>
      <c r="Y1115" s="93" t="s">
        <v>93</v>
      </c>
      <c r="Z1115" s="134">
        <f>VLOOKUP(W1115,Sheet2!$B:$D,3,FALSE)</f>
        <v>65.599999999999994</v>
      </c>
      <c r="AA1115" s="93">
        <f>100/(2.5*3*0.5*4)</f>
        <v>6.666666666666667</v>
      </c>
      <c r="AB1115" s="93">
        <f t="shared" ref="AB1115" si="896">AD1115/AC1113</f>
        <v>9.84</v>
      </c>
      <c r="AC1115" s="93">
        <f>AC1113/AA1115</f>
        <v>8.7000000000000008E-2</v>
      </c>
      <c r="AD1115" s="94">
        <f t="shared" si="895"/>
        <v>5.7072000000000003</v>
      </c>
      <c r="AE1115" s="190"/>
      <c r="AF1115" s="191"/>
      <c r="AG1115" s="191"/>
      <c r="AH1115" s="191"/>
      <c r="AI1115" s="186"/>
      <c r="AK1115" s="171"/>
    </row>
    <row r="1116" spans="1:37" s="102" customFormat="1" ht="19.899999999999999" customHeight="1" x14ac:dyDescent="0.25">
      <c r="A1116" s="45"/>
      <c r="B1116" s="59"/>
      <c r="C1116" s="137"/>
      <c r="D1116" s="59"/>
      <c r="E1116" s="116"/>
      <c r="F1116" s="120"/>
      <c r="G1116" s="120"/>
      <c r="H1116" s="120"/>
      <c r="I1116" s="60"/>
      <c r="J1116" s="116"/>
      <c r="K1116" s="213"/>
      <c r="L1116" s="120"/>
      <c r="M1116" s="120"/>
      <c r="N1116" s="167"/>
      <c r="O1116" s="120"/>
      <c r="P1116" s="120"/>
      <c r="Q1116" s="120"/>
      <c r="R1116" s="120"/>
      <c r="S1116" s="120"/>
      <c r="T1116" s="221"/>
      <c r="U1116" s="89"/>
      <c r="V1116" s="61"/>
      <c r="W1116" s="92" t="s">
        <v>65</v>
      </c>
      <c r="X1116" s="93" t="s">
        <v>30</v>
      </c>
      <c r="Y1116" s="93" t="s">
        <v>1011</v>
      </c>
      <c r="Z1116" s="134">
        <f>VLOOKUP(W1116,Sheet2!$B:$D,3,FALSE)</f>
        <v>1.76</v>
      </c>
      <c r="AA1116" s="93">
        <f>AA1115/9</f>
        <v>0.74074074074074081</v>
      </c>
      <c r="AB1116" s="93">
        <f>AD1116/AC1113</f>
        <v>2.3759999999999994</v>
      </c>
      <c r="AC1116" s="93">
        <f>AC1113/AA1116</f>
        <v>0.78300000000000003</v>
      </c>
      <c r="AD1116" s="94">
        <f t="shared" si="895"/>
        <v>1.37808</v>
      </c>
      <c r="AE1116" s="190"/>
      <c r="AF1116" s="191"/>
      <c r="AG1116" s="191"/>
      <c r="AH1116" s="191"/>
      <c r="AI1116" s="186"/>
      <c r="AK1116" s="171"/>
    </row>
    <row r="1117" spans="1:37" s="102" customFormat="1" ht="19.899999999999999" customHeight="1" x14ac:dyDescent="0.25">
      <c r="A1117" s="45"/>
      <c r="B1117" s="59"/>
      <c r="C1117" s="137"/>
      <c r="D1117" s="59"/>
      <c r="E1117" s="116"/>
      <c r="F1117" s="120"/>
      <c r="G1117" s="120"/>
      <c r="H1117" s="120"/>
      <c r="I1117" s="60"/>
      <c r="J1117" s="116"/>
      <c r="K1117" s="213"/>
      <c r="L1117" s="120"/>
      <c r="M1117" s="120"/>
      <c r="N1117" s="167"/>
      <c r="O1117" s="120"/>
      <c r="P1117" s="120"/>
      <c r="Q1117" s="120"/>
      <c r="R1117" s="120"/>
      <c r="S1117" s="120"/>
      <c r="T1117" s="221"/>
      <c r="U1117" s="89"/>
      <c r="V1117" s="61"/>
      <c r="W1117" s="92" t="s">
        <v>161</v>
      </c>
      <c r="X1117" s="93" t="s">
        <v>29</v>
      </c>
      <c r="Y1117" s="93" t="s">
        <v>93</v>
      </c>
      <c r="Z1117" s="134">
        <f>VLOOKUP(W1117,Sheet2!$B:$D,3,FALSE)</f>
        <v>48</v>
      </c>
      <c r="AA1117" s="93">
        <f>(16*0.85*1.5)/(2.5*3*0.5*4)</f>
        <v>1.3599999999999999</v>
      </c>
      <c r="AB1117" s="93">
        <f>AD1117/AC1113</f>
        <v>35.294117647058826</v>
      </c>
      <c r="AC1117" s="93">
        <f>AC1113/AA1117</f>
        <v>0.42647058823529421</v>
      </c>
      <c r="AD1117" s="94">
        <f>AC1117*Z1117</f>
        <v>20.470588235294123</v>
      </c>
      <c r="AE1117" s="190"/>
      <c r="AF1117" s="191"/>
      <c r="AG1117" s="191"/>
      <c r="AH1117" s="191"/>
      <c r="AI1117" s="186"/>
      <c r="AK1117" s="171"/>
    </row>
    <row r="1118" spans="1:37" s="102" customFormat="1" ht="19.899999999999999" customHeight="1" x14ac:dyDescent="0.25">
      <c r="A1118" s="45"/>
      <c r="B1118" s="59"/>
      <c r="C1118" s="137"/>
      <c r="D1118" s="59"/>
      <c r="E1118" s="116"/>
      <c r="F1118" s="120"/>
      <c r="G1118" s="120"/>
      <c r="H1118" s="120"/>
      <c r="I1118" s="60"/>
      <c r="J1118" s="116"/>
      <c r="K1118" s="213"/>
      <c r="L1118" s="120"/>
      <c r="M1118" s="120"/>
      <c r="N1118" s="167"/>
      <c r="O1118" s="120"/>
      <c r="P1118" s="120"/>
      <c r="Q1118" s="120"/>
      <c r="R1118" s="120"/>
      <c r="S1118" s="120"/>
      <c r="T1118" s="221"/>
      <c r="U1118" s="89"/>
      <c r="V1118" s="61"/>
      <c r="W1118" s="92" t="s">
        <v>65</v>
      </c>
      <c r="X1118" s="93" t="s">
        <v>30</v>
      </c>
      <c r="Y1118" s="93" t="s">
        <v>1011</v>
      </c>
      <c r="Z1118" s="134">
        <f>VLOOKUP(W1118,Sheet2!$B:$D,3,FALSE)</f>
        <v>1.76</v>
      </c>
      <c r="AA1118" s="93">
        <f>AA1117/10</f>
        <v>0.13599999999999998</v>
      </c>
      <c r="AB1118" s="93">
        <f>AD1118/AC1113</f>
        <v>12.941176470588237</v>
      </c>
      <c r="AC1118" s="93">
        <f>AC1113/AA1118</f>
        <v>4.264705882352942</v>
      </c>
      <c r="AD1118" s="94">
        <f>AC1118*Z1118</f>
        <v>7.5058823529411782</v>
      </c>
      <c r="AE1118" s="190"/>
      <c r="AF1118" s="191"/>
      <c r="AG1118" s="191"/>
      <c r="AH1118" s="191"/>
      <c r="AI1118" s="186"/>
      <c r="AK1118" s="171"/>
    </row>
    <row r="1119" spans="1:37" s="102" customFormat="1" ht="19.899999999999999" customHeight="1" x14ac:dyDescent="0.25">
      <c r="A1119" s="45"/>
      <c r="B1119" s="59"/>
      <c r="C1119" s="137"/>
      <c r="D1119" s="59"/>
      <c r="E1119" s="116"/>
      <c r="F1119" s="120"/>
      <c r="G1119" s="120"/>
      <c r="H1119" s="120"/>
      <c r="I1119" s="60"/>
      <c r="J1119" s="116"/>
      <c r="K1119" s="213"/>
      <c r="L1119" s="120"/>
      <c r="M1119" s="120"/>
      <c r="N1119" s="167"/>
      <c r="O1119" s="120"/>
      <c r="P1119" s="120"/>
      <c r="Q1119" s="120"/>
      <c r="R1119" s="120"/>
      <c r="S1119" s="120"/>
      <c r="T1119" s="221"/>
      <c r="U1119" s="89"/>
      <c r="V1119" s="61"/>
      <c r="W1119" s="92" t="s">
        <v>173</v>
      </c>
      <c r="X1119" s="93" t="s">
        <v>29</v>
      </c>
      <c r="Y1119" s="93" t="s">
        <v>93</v>
      </c>
      <c r="Z1119" s="134">
        <f>VLOOKUP(W1119,Sheet2!$B:$D,3,FALSE)</f>
        <v>36</v>
      </c>
      <c r="AA1119" s="93">
        <f>50/(2.5*3*0.5*4)</f>
        <v>3.3333333333333335</v>
      </c>
      <c r="AB1119" s="93">
        <f>AD1119/AC1113</f>
        <v>10.799999999999999</v>
      </c>
      <c r="AC1119" s="93">
        <f>AC1113/AA1119</f>
        <v>0.17400000000000002</v>
      </c>
      <c r="AD1119" s="94">
        <f>AC1119*Z1119</f>
        <v>6.2640000000000002</v>
      </c>
      <c r="AE1119" s="190"/>
      <c r="AF1119" s="191"/>
      <c r="AG1119" s="191"/>
      <c r="AH1119" s="191"/>
      <c r="AI1119" s="186"/>
      <c r="AK1119" s="171"/>
    </row>
    <row r="1120" spans="1:37" s="102" customFormat="1" ht="19.899999999999999" customHeight="1" x14ac:dyDescent="0.25">
      <c r="A1120" s="45"/>
      <c r="B1120" s="59"/>
      <c r="C1120" s="137"/>
      <c r="D1120" s="59"/>
      <c r="E1120" s="116"/>
      <c r="F1120" s="120"/>
      <c r="G1120" s="120"/>
      <c r="H1120" s="120"/>
      <c r="I1120" s="60"/>
      <c r="J1120" s="116"/>
      <c r="K1120" s="213"/>
      <c r="L1120" s="120"/>
      <c r="M1120" s="120"/>
      <c r="N1120" s="167"/>
      <c r="O1120" s="120"/>
      <c r="P1120" s="120"/>
      <c r="Q1120" s="120"/>
      <c r="R1120" s="120"/>
      <c r="S1120" s="120"/>
      <c r="T1120" s="221"/>
      <c r="U1120" s="89"/>
      <c r="V1120" s="61"/>
      <c r="W1120" s="92" t="s">
        <v>65</v>
      </c>
      <c r="X1120" s="93" t="s">
        <v>30</v>
      </c>
      <c r="Y1120" s="93" t="s">
        <v>1011</v>
      </c>
      <c r="Z1120" s="134">
        <f>VLOOKUP(W1120,Sheet2!$B:$D,3,FALSE)</f>
        <v>1.76</v>
      </c>
      <c r="AA1120" s="93">
        <f>AA1119/9</f>
        <v>0.37037037037037041</v>
      </c>
      <c r="AB1120" s="93">
        <f>AD1120/AC1113</f>
        <v>4.7519999999999989</v>
      </c>
      <c r="AC1120" s="93">
        <f>AC1113/AA1120</f>
        <v>1.5660000000000001</v>
      </c>
      <c r="AD1120" s="94">
        <f>AC1120*Z1120</f>
        <v>2.7561599999999999</v>
      </c>
      <c r="AE1120" s="190"/>
      <c r="AF1120" s="191"/>
      <c r="AG1120" s="191"/>
      <c r="AH1120" s="191"/>
      <c r="AI1120" s="186"/>
      <c r="AK1120" s="171"/>
    </row>
    <row r="1121" spans="1:41" s="102" customFormat="1" ht="19.899999999999999" customHeight="1" x14ac:dyDescent="0.25">
      <c r="A1121" s="45"/>
      <c r="B1121" s="59"/>
      <c r="C1121" s="137"/>
      <c r="D1121" s="59"/>
      <c r="E1121" s="116"/>
      <c r="F1121" s="120"/>
      <c r="G1121" s="120"/>
      <c r="H1121" s="120"/>
      <c r="I1121" s="60"/>
      <c r="J1121" s="116"/>
      <c r="K1121" s="213"/>
      <c r="L1121" s="120"/>
      <c r="M1121" s="120"/>
      <c r="N1121" s="167"/>
      <c r="O1121" s="120"/>
      <c r="P1121" s="120"/>
      <c r="Q1121" s="120"/>
      <c r="R1121" s="120"/>
      <c r="S1121" s="120"/>
      <c r="T1121" s="221"/>
      <c r="U1121" s="89"/>
      <c r="V1121" s="61"/>
      <c r="W1121" s="92" t="s">
        <v>1030</v>
      </c>
      <c r="X1121" s="93" t="s">
        <v>29</v>
      </c>
      <c r="Y1121" s="93" t="s">
        <v>93</v>
      </c>
      <c r="Z1121" s="134">
        <f>VLOOKUP(W1121,Sheet2!$B:$D,3,FALSE)</f>
        <v>23</v>
      </c>
      <c r="AA1121" s="93">
        <v>0.75</v>
      </c>
      <c r="AB1121" s="93">
        <f>AD1121/AC1113</f>
        <v>30.666666666666668</v>
      </c>
      <c r="AC1121" s="93">
        <f>AC1113/AA1121</f>
        <v>0.77333333333333343</v>
      </c>
      <c r="AD1121" s="94">
        <f t="shared" ref="AD1121:AD1122" si="897">AC1121*Z1121</f>
        <v>17.786666666666669</v>
      </c>
      <c r="AE1121" s="190"/>
      <c r="AF1121" s="191"/>
      <c r="AG1121" s="191"/>
      <c r="AH1121" s="191"/>
      <c r="AI1121" s="186"/>
      <c r="AK1121" s="171"/>
    </row>
    <row r="1122" spans="1:41" s="102" customFormat="1" ht="19.899999999999999" customHeight="1" x14ac:dyDescent="0.25">
      <c r="A1122" s="45"/>
      <c r="B1122" s="59"/>
      <c r="C1122" s="137"/>
      <c r="D1122" s="59"/>
      <c r="E1122" s="116"/>
      <c r="F1122" s="120"/>
      <c r="G1122" s="120"/>
      <c r="H1122" s="120"/>
      <c r="I1122" s="60"/>
      <c r="J1122" s="116"/>
      <c r="K1122" s="213"/>
      <c r="L1122" s="120"/>
      <c r="M1122" s="120"/>
      <c r="N1122" s="167"/>
      <c r="O1122" s="120"/>
      <c r="P1122" s="120"/>
      <c r="Q1122" s="120"/>
      <c r="R1122" s="120"/>
      <c r="S1122" s="120"/>
      <c r="T1122" s="221"/>
      <c r="U1122" s="89"/>
      <c r="V1122" s="61"/>
      <c r="W1122" s="92" t="s">
        <v>65</v>
      </c>
      <c r="X1122" s="93" t="s">
        <v>30</v>
      </c>
      <c r="Y1122" s="93" t="s">
        <v>1011</v>
      </c>
      <c r="Z1122" s="134">
        <f>VLOOKUP(W1122,Sheet2!$B:$D,3,FALSE)</f>
        <v>1.76</v>
      </c>
      <c r="AA1122" s="93">
        <f>AA1121/3</f>
        <v>0.25</v>
      </c>
      <c r="AB1122" s="93">
        <f>AD1122/AC1113</f>
        <v>7.04</v>
      </c>
      <c r="AC1122" s="93">
        <f>AC1113/AA1122</f>
        <v>2.3200000000000003</v>
      </c>
      <c r="AD1122" s="94">
        <f t="shared" si="897"/>
        <v>4.0832000000000006</v>
      </c>
      <c r="AE1122" s="190"/>
      <c r="AF1122" s="191"/>
      <c r="AG1122" s="191"/>
      <c r="AH1122" s="191"/>
      <c r="AI1122" s="186"/>
      <c r="AK1122" s="171"/>
    </row>
    <row r="1123" spans="1:41" ht="20.100000000000001" customHeight="1" x14ac:dyDescent="0.25">
      <c r="A1123" s="277" t="s">
        <v>216</v>
      </c>
      <c r="B1123" s="278"/>
      <c r="C1123" s="64" t="s">
        <v>345</v>
      </c>
      <c r="D1123" s="46" t="s">
        <v>215</v>
      </c>
      <c r="E1123" s="114">
        <v>8.164999999999992</v>
      </c>
      <c r="F1123" s="44">
        <v>23036</v>
      </c>
      <c r="G1123" s="44">
        <f t="shared" si="607"/>
        <v>188088.93999999983</v>
      </c>
      <c r="H1123" s="44">
        <f t="shared" si="608"/>
        <v>12286.179576470589</v>
      </c>
      <c r="I1123" s="43">
        <f t="shared" si="609"/>
        <v>100316.65624188226</v>
      </c>
      <c r="J1123" s="112">
        <f t="shared" si="610"/>
        <v>8.164999999999992</v>
      </c>
      <c r="K1123" s="211">
        <f t="shared" si="611"/>
        <v>8.164999999999992</v>
      </c>
      <c r="L1123" s="44"/>
      <c r="M1123" s="44">
        <f t="shared" si="612"/>
        <v>8.164999999999992</v>
      </c>
      <c r="N1123" s="173">
        <f t="shared" si="613"/>
        <v>1</v>
      </c>
      <c r="O1123" s="44">
        <f t="shared" si="614"/>
        <v>23036</v>
      </c>
      <c r="P1123" s="44">
        <f t="shared" si="615"/>
        <v>188088.93999999983</v>
      </c>
      <c r="Q1123" s="44">
        <f t="shared" si="616"/>
        <v>12286.179576470589</v>
      </c>
      <c r="R1123" s="44">
        <f t="shared" si="617"/>
        <v>100316.65624188226</v>
      </c>
      <c r="S1123" s="123"/>
      <c r="T1123" s="219">
        <f t="shared" si="618"/>
        <v>100316.65624188226</v>
      </c>
      <c r="U1123" s="87"/>
      <c r="V1123" s="47"/>
      <c r="W1123" s="48"/>
      <c r="X1123" s="48"/>
      <c r="Y1123" s="48"/>
      <c r="Z1123" s="135"/>
      <c r="AA1123" s="49"/>
      <c r="AB1123" s="50">
        <f t="shared" si="619"/>
        <v>12286.179576470589</v>
      </c>
      <c r="AC1123" s="42">
        <f t="shared" si="620"/>
        <v>8.164999999999992</v>
      </c>
      <c r="AD1123" s="90">
        <f>AD1124+AD1129+AD1141+AD1144</f>
        <v>100316.65624188226</v>
      </c>
      <c r="AE1123" s="188">
        <f t="shared" ref="AE1123" si="898">AE1124+AE1129+AE1141+AE1144</f>
        <v>0</v>
      </c>
      <c r="AF1123" s="189">
        <f t="shared" ref="AF1123" si="899">AF1124+AF1129+AF1141+AF1144</f>
        <v>0</v>
      </c>
      <c r="AG1123" s="189">
        <f t="shared" ref="AG1123" si="900">AG1124+AG1129+AG1141+AG1144</f>
        <v>0</v>
      </c>
      <c r="AH1123" s="189">
        <f t="shared" ref="AH1123" si="901">AH1124+AH1129+AH1141+AH1144</f>
        <v>0</v>
      </c>
      <c r="AI1123" s="161">
        <f t="shared" ref="AI1123" si="902">SUM(AE1123:AH1123)</f>
        <v>0</v>
      </c>
      <c r="AK1123" s="169">
        <v>5</v>
      </c>
      <c r="AO1123" s="19" t="s">
        <v>63</v>
      </c>
    </row>
    <row r="1124" spans="1:41" s="103" customFormat="1" ht="19.899999999999999" customHeight="1" x14ac:dyDescent="0.25">
      <c r="A1124" s="51"/>
      <c r="B1124" s="52"/>
      <c r="C1124" s="165"/>
      <c r="D1124" s="52"/>
      <c r="E1124" s="115"/>
      <c r="F1124" s="58"/>
      <c r="G1124" s="58"/>
      <c r="H1124" s="58"/>
      <c r="I1124" s="55"/>
      <c r="J1124" s="113">
        <f>J1123</f>
        <v>8.164999999999992</v>
      </c>
      <c r="K1124" s="212">
        <f>K1123</f>
        <v>8.164999999999992</v>
      </c>
      <c r="L1124" s="58"/>
      <c r="M1124" s="58">
        <f>K1124-L1124</f>
        <v>8.164999999999992</v>
      </c>
      <c r="N1124" s="166"/>
      <c r="O1124" s="58"/>
      <c r="P1124" s="58"/>
      <c r="Q1124" s="58"/>
      <c r="R1124" s="58"/>
      <c r="S1124" s="58"/>
      <c r="T1124" s="220"/>
      <c r="U1124" s="88"/>
      <c r="V1124" s="56"/>
      <c r="W1124" s="57" t="s">
        <v>1351</v>
      </c>
      <c r="X1124" s="53"/>
      <c r="Y1124" s="91" t="s">
        <v>35</v>
      </c>
      <c r="Z1124" s="136">
        <f>AD1124/AC1124</f>
        <v>90.496941176470585</v>
      </c>
      <c r="AA1124" s="58"/>
      <c r="AB1124" s="53">
        <f>AD1124/AC1124</f>
        <v>90.496941176470585</v>
      </c>
      <c r="AC1124" s="53">
        <f>M1124+$AE$10</f>
        <v>8.164999999999992</v>
      </c>
      <c r="AD1124" s="54">
        <f>SUM(AD1125:AD1128)</f>
        <v>738.90752470588166</v>
      </c>
      <c r="AE1124" s="184">
        <f>SUMIFS($AD$37:$AD$12971,$V$37:$V$12971,$V1124,$X$37:$X$12971,AE$13)</f>
        <v>0</v>
      </c>
      <c r="AF1124" s="185">
        <f>SUMIFS($AD$37:$AD$12971,$V$37:$V$12971,$V1124,$X$37:$X$12971,AF$13)</f>
        <v>0</v>
      </c>
      <c r="AG1124" s="185">
        <f>SUMIFS($AD$37:$AD$12971,$V$37:$V$12971,$V1124,$X$37:$X$12971,AG$13)</f>
        <v>0</v>
      </c>
      <c r="AH1124" s="187">
        <f>SUMIFS($AD$37:$AD$12971,$V$37:$V$12971,$V1124,$X$37:$X$12971,AH$13)</f>
        <v>0</v>
      </c>
      <c r="AI1124" s="161">
        <f t="shared" ref="AI1124" si="903">SUM(AE1124:AH1124)</f>
        <v>0</v>
      </c>
      <c r="AK1124" s="172"/>
    </row>
    <row r="1125" spans="1:41" s="102" customFormat="1" ht="19.899999999999999" customHeight="1" x14ac:dyDescent="0.25">
      <c r="A1125" s="45"/>
      <c r="B1125" s="59"/>
      <c r="C1125" s="137"/>
      <c r="D1125" s="59"/>
      <c r="E1125" s="116"/>
      <c r="F1125" s="120"/>
      <c r="G1125" s="120"/>
      <c r="H1125" s="120"/>
      <c r="I1125" s="60"/>
      <c r="J1125" s="116"/>
      <c r="K1125" s="213"/>
      <c r="L1125" s="120"/>
      <c r="M1125" s="120"/>
      <c r="N1125" s="167"/>
      <c r="O1125" s="120"/>
      <c r="P1125" s="120"/>
      <c r="Q1125" s="120"/>
      <c r="R1125" s="120"/>
      <c r="S1125" s="120"/>
      <c r="T1125" s="221"/>
      <c r="U1125" s="89"/>
      <c r="V1125" s="61"/>
      <c r="W1125" s="92" t="s">
        <v>129</v>
      </c>
      <c r="X1125" s="93" t="s">
        <v>29</v>
      </c>
      <c r="Y1125" s="93" t="s">
        <v>93</v>
      </c>
      <c r="Z1125" s="134">
        <f>VLOOKUP(W1125,Sheet2!$B:$D,3,FALSE)</f>
        <v>56</v>
      </c>
      <c r="AA1125" s="93">
        <f>100/(3*3*2.5)</f>
        <v>4.4444444444444446</v>
      </c>
      <c r="AB1125" s="93">
        <f t="shared" ref="AB1125" si="904">AD1125/AC1124</f>
        <v>12.6</v>
      </c>
      <c r="AC1125" s="93">
        <f>AC1124/AA1125</f>
        <v>1.8371249999999981</v>
      </c>
      <c r="AD1125" s="94">
        <f t="shared" ref="AD1125:AD1126" si="905">AC1125*Z1125</f>
        <v>102.87899999999989</v>
      </c>
      <c r="AE1125" s="190"/>
      <c r="AF1125" s="191"/>
      <c r="AG1125" s="191"/>
      <c r="AH1125" s="191"/>
      <c r="AI1125" s="186"/>
      <c r="AK1125" s="171"/>
    </row>
    <row r="1126" spans="1:41" s="102" customFormat="1" ht="19.899999999999999" customHeight="1" x14ac:dyDescent="0.25">
      <c r="A1126" s="45"/>
      <c r="B1126" s="59"/>
      <c r="C1126" s="137"/>
      <c r="D1126" s="59"/>
      <c r="E1126" s="116"/>
      <c r="F1126" s="120"/>
      <c r="G1126" s="120"/>
      <c r="H1126" s="120"/>
      <c r="I1126" s="60"/>
      <c r="J1126" s="116"/>
      <c r="K1126" s="213"/>
      <c r="L1126" s="120"/>
      <c r="M1126" s="120"/>
      <c r="N1126" s="167"/>
      <c r="O1126" s="120"/>
      <c r="P1126" s="120"/>
      <c r="Q1126" s="120"/>
      <c r="R1126" s="120"/>
      <c r="S1126" s="120"/>
      <c r="T1126" s="221"/>
      <c r="U1126" s="89"/>
      <c r="V1126" s="61"/>
      <c r="W1126" s="92" t="s">
        <v>65</v>
      </c>
      <c r="X1126" s="93" t="s">
        <v>30</v>
      </c>
      <c r="Y1126" s="93" t="s">
        <v>1011</v>
      </c>
      <c r="Z1126" s="134">
        <f>VLOOKUP(W1126,Sheet2!$B:$D,3,FALSE)</f>
        <v>1.76</v>
      </c>
      <c r="AA1126" s="93">
        <f>AA1125/14</f>
        <v>0.3174603174603175</v>
      </c>
      <c r="AB1126" s="93">
        <f>AD1126/AC1124</f>
        <v>5.5439999999999996</v>
      </c>
      <c r="AC1126" s="93">
        <f>AC1124/AA1126</f>
        <v>25.719749999999973</v>
      </c>
      <c r="AD1126" s="94">
        <f t="shared" si="905"/>
        <v>45.266759999999955</v>
      </c>
      <c r="AE1126" s="190"/>
      <c r="AF1126" s="191"/>
      <c r="AG1126" s="191"/>
      <c r="AH1126" s="191"/>
      <c r="AI1126" s="186"/>
      <c r="AK1126" s="171"/>
    </row>
    <row r="1127" spans="1:41" s="102" customFormat="1" ht="19.899999999999999" customHeight="1" x14ac:dyDescent="0.25">
      <c r="A1127" s="45"/>
      <c r="B1127" s="59"/>
      <c r="C1127" s="137"/>
      <c r="D1127" s="59"/>
      <c r="E1127" s="116"/>
      <c r="F1127" s="120"/>
      <c r="G1127" s="120"/>
      <c r="H1127" s="120"/>
      <c r="I1127" s="60"/>
      <c r="J1127" s="116"/>
      <c r="K1127" s="213"/>
      <c r="L1127" s="120"/>
      <c r="M1127" s="120"/>
      <c r="N1127" s="167"/>
      <c r="O1127" s="120"/>
      <c r="P1127" s="120"/>
      <c r="Q1127" s="120"/>
      <c r="R1127" s="120"/>
      <c r="S1127" s="120"/>
      <c r="T1127" s="221"/>
      <c r="U1127" s="89"/>
      <c r="V1127" s="61"/>
      <c r="W1127" s="92" t="s">
        <v>161</v>
      </c>
      <c r="X1127" s="93" t="s">
        <v>29</v>
      </c>
      <c r="Y1127" s="93" t="s">
        <v>93</v>
      </c>
      <c r="Z1127" s="134">
        <f>VLOOKUP(W1127,Sheet2!$B:$D,3,FALSE)</f>
        <v>48</v>
      </c>
      <c r="AA1127" s="93">
        <f>(16*0.85*1.5)/(3*3*2.5)</f>
        <v>0.90666666666666662</v>
      </c>
      <c r="AB1127" s="93">
        <f>AD1127/AC1124</f>
        <v>52.941176470588239</v>
      </c>
      <c r="AC1127" s="93">
        <f>AC1124/AA1127</f>
        <v>9.0055147058823444</v>
      </c>
      <c r="AD1127" s="94">
        <f>AC1127*Z1127</f>
        <v>432.26470588235253</v>
      </c>
      <c r="AE1127" s="190"/>
      <c r="AF1127" s="191"/>
      <c r="AG1127" s="191"/>
      <c r="AH1127" s="191"/>
      <c r="AI1127" s="186"/>
      <c r="AK1127" s="171"/>
    </row>
    <row r="1128" spans="1:41" s="102" customFormat="1" ht="19.899999999999999" customHeight="1" x14ac:dyDescent="0.25">
      <c r="A1128" s="45"/>
      <c r="B1128" s="59"/>
      <c r="C1128" s="137"/>
      <c r="D1128" s="59"/>
      <c r="E1128" s="116"/>
      <c r="F1128" s="120"/>
      <c r="G1128" s="120"/>
      <c r="H1128" s="120"/>
      <c r="I1128" s="60"/>
      <c r="J1128" s="116"/>
      <c r="K1128" s="213"/>
      <c r="L1128" s="120"/>
      <c r="M1128" s="120"/>
      <c r="N1128" s="167"/>
      <c r="O1128" s="120"/>
      <c r="P1128" s="120"/>
      <c r="Q1128" s="120"/>
      <c r="R1128" s="120"/>
      <c r="S1128" s="120"/>
      <c r="T1128" s="221"/>
      <c r="U1128" s="89"/>
      <c r="V1128" s="61"/>
      <c r="W1128" s="92" t="s">
        <v>65</v>
      </c>
      <c r="X1128" s="93" t="s">
        <v>30</v>
      </c>
      <c r="Y1128" s="93" t="s">
        <v>1011</v>
      </c>
      <c r="Z1128" s="134">
        <f>VLOOKUP(W1128,Sheet2!$B:$D,3,FALSE)</f>
        <v>1.76</v>
      </c>
      <c r="AA1128" s="93">
        <f>AA1127/10</f>
        <v>9.0666666666666659E-2</v>
      </c>
      <c r="AB1128" s="93">
        <f>AD1128/AC1124</f>
        <v>19.411764705882355</v>
      </c>
      <c r="AC1128" s="93">
        <f>AC1124/AA1128</f>
        <v>90.055147058823451</v>
      </c>
      <c r="AD1128" s="94">
        <f>AC1128*Z1128</f>
        <v>158.49705882352927</v>
      </c>
      <c r="AE1128" s="190"/>
      <c r="AF1128" s="191"/>
      <c r="AG1128" s="191"/>
      <c r="AH1128" s="191"/>
      <c r="AI1128" s="186"/>
      <c r="AK1128" s="171"/>
    </row>
    <row r="1129" spans="1:41" s="103" customFormat="1" ht="19.899999999999999" customHeight="1" x14ac:dyDescent="0.25">
      <c r="A1129" s="51"/>
      <c r="B1129" s="52"/>
      <c r="C1129" s="165"/>
      <c r="D1129" s="52"/>
      <c r="E1129" s="115"/>
      <c r="F1129" s="58"/>
      <c r="G1129" s="58"/>
      <c r="H1129" s="58"/>
      <c r="I1129" s="55"/>
      <c r="J1129" s="113">
        <f>J1123</f>
        <v>8.164999999999992</v>
      </c>
      <c r="K1129" s="212">
        <f>K1123</f>
        <v>8.164999999999992</v>
      </c>
      <c r="L1129" s="58"/>
      <c r="M1129" s="58">
        <f>K1129-L1129</f>
        <v>8.164999999999992</v>
      </c>
      <c r="N1129" s="166"/>
      <c r="O1129" s="58"/>
      <c r="P1129" s="58"/>
      <c r="Q1129" s="58"/>
      <c r="R1129" s="58"/>
      <c r="S1129" s="58"/>
      <c r="T1129" s="220"/>
      <c r="U1129" s="88"/>
      <c r="V1129" s="56"/>
      <c r="W1129" s="57" t="s">
        <v>1352</v>
      </c>
      <c r="X1129" s="53"/>
      <c r="Y1129" s="91" t="s">
        <v>35</v>
      </c>
      <c r="Z1129" s="136">
        <f>AD1129/AC1129</f>
        <v>9186.5999999999985</v>
      </c>
      <c r="AA1129" s="58"/>
      <c r="AB1129" s="53">
        <f>AD1129/AC1129</f>
        <v>9186.5999999999985</v>
      </c>
      <c r="AC1129" s="53">
        <f>M1129+$AE$10</f>
        <v>8.164999999999992</v>
      </c>
      <c r="AD1129" s="54">
        <f>SUM(AD1130:AD1140)</f>
        <v>75008.58899999992</v>
      </c>
      <c r="AE1129" s="184">
        <f>SUMIFS($AD$37:$AD$12971,$V$37:$V$12971,$V1129,$X$37:$X$12971,AE$13)</f>
        <v>0</v>
      </c>
      <c r="AF1129" s="185">
        <f>SUMIFS($AD$37:$AD$12971,$V$37:$V$12971,$V1129,$X$37:$X$12971,AF$13)</f>
        <v>0</v>
      </c>
      <c r="AG1129" s="185">
        <f>SUMIFS($AD$37:$AD$12971,$V$37:$V$12971,$V1129,$X$37:$X$12971,AG$13)</f>
        <v>0</v>
      </c>
      <c r="AH1129" s="187">
        <f>SUMIFS($AD$37:$AD$12971,$V$37:$V$12971,$V1129,$X$37:$X$12971,AH$13)</f>
        <v>0</v>
      </c>
      <c r="AI1129" s="161">
        <f t="shared" ref="AI1129" si="906">SUM(AE1129:AH1129)</f>
        <v>0</v>
      </c>
      <c r="AK1129" s="172"/>
    </row>
    <row r="1130" spans="1:41" s="102" customFormat="1" ht="19.899999999999999" customHeight="1" x14ac:dyDescent="0.25">
      <c r="A1130" s="45"/>
      <c r="B1130" s="59"/>
      <c r="C1130" s="137"/>
      <c r="D1130" s="59"/>
      <c r="E1130" s="116"/>
      <c r="F1130" s="120"/>
      <c r="G1130" s="120"/>
      <c r="H1130" s="120"/>
      <c r="I1130" s="60"/>
      <c r="J1130" s="116"/>
      <c r="K1130" s="213"/>
      <c r="L1130" s="120"/>
      <c r="M1130" s="120"/>
      <c r="N1130" s="167"/>
      <c r="O1130" s="120"/>
      <c r="P1130" s="120"/>
      <c r="Q1130" s="120"/>
      <c r="R1130" s="120"/>
      <c r="S1130" s="120"/>
      <c r="T1130" s="221"/>
      <c r="U1130" s="89"/>
      <c r="V1130" s="61"/>
      <c r="W1130" s="92" t="s">
        <v>1032</v>
      </c>
      <c r="X1130" s="93" t="s">
        <v>30</v>
      </c>
      <c r="Y1130" s="93" t="s">
        <v>66</v>
      </c>
      <c r="Z1130" s="134">
        <f>VLOOKUP(W1130,Sheet2!$B:$D,3,FALSE)</f>
        <v>250</v>
      </c>
      <c r="AA1130" s="93">
        <f>1/(3*3*0.1)</f>
        <v>1.1111111111111112</v>
      </c>
      <c r="AB1130" s="93">
        <f t="shared" ref="AB1130" si="907">AD1130/AC1129</f>
        <v>225</v>
      </c>
      <c r="AC1130" s="93">
        <f>AC1129/AA1130</f>
        <v>7.3484999999999925</v>
      </c>
      <c r="AD1130" s="94">
        <f t="shared" ref="AD1130:AD1132" si="908">AC1130*Z1130</f>
        <v>1837.1249999999982</v>
      </c>
      <c r="AE1130" s="190"/>
      <c r="AF1130" s="191"/>
      <c r="AG1130" s="191"/>
      <c r="AH1130" s="191"/>
      <c r="AI1130" s="186"/>
      <c r="AK1130" s="171"/>
    </row>
    <row r="1131" spans="1:41" s="102" customFormat="1" ht="19.899999999999999" customHeight="1" x14ac:dyDescent="0.25">
      <c r="A1131" s="45"/>
      <c r="B1131" s="59"/>
      <c r="C1131" s="137"/>
      <c r="D1131" s="59"/>
      <c r="E1131" s="116"/>
      <c r="F1131" s="120"/>
      <c r="G1131" s="120"/>
      <c r="H1131" s="120"/>
      <c r="I1131" s="60"/>
      <c r="J1131" s="116"/>
      <c r="K1131" s="213"/>
      <c r="L1131" s="120"/>
      <c r="M1131" s="120"/>
      <c r="N1131" s="167"/>
      <c r="O1131" s="120"/>
      <c r="P1131" s="120"/>
      <c r="Q1131" s="120"/>
      <c r="R1131" s="120"/>
      <c r="S1131" s="120"/>
      <c r="T1131" s="221"/>
      <c r="U1131" s="89"/>
      <c r="V1131" s="61"/>
      <c r="W1131" s="92" t="s">
        <v>1353</v>
      </c>
      <c r="X1131" s="93" t="s">
        <v>30</v>
      </c>
      <c r="Y1131" s="93" t="s">
        <v>66</v>
      </c>
      <c r="Z1131" s="134">
        <f>VLOOKUP(W1131,Sheet2!$B:$D,3,FALSE)</f>
        <v>350</v>
      </c>
      <c r="AA1131" s="93">
        <f>1/(2*2*0.25*5)</f>
        <v>0.2</v>
      </c>
      <c r="AB1131" s="93">
        <f>AD1131/AC1129</f>
        <v>1750</v>
      </c>
      <c r="AC1131" s="93">
        <f>AC1129/AA1131</f>
        <v>40.82499999999996</v>
      </c>
      <c r="AD1131" s="94">
        <f t="shared" si="908"/>
        <v>14288.749999999985</v>
      </c>
      <c r="AE1131" s="190"/>
      <c r="AF1131" s="191"/>
      <c r="AG1131" s="191"/>
      <c r="AH1131" s="191"/>
      <c r="AI1131" s="186"/>
      <c r="AK1131" s="171"/>
    </row>
    <row r="1132" spans="1:41" s="102" customFormat="1" ht="19.899999999999999" customHeight="1" x14ac:dyDescent="0.25">
      <c r="A1132" s="45"/>
      <c r="B1132" s="59"/>
      <c r="C1132" s="137"/>
      <c r="D1132" s="59"/>
      <c r="E1132" s="116"/>
      <c r="F1132" s="120"/>
      <c r="G1132" s="120"/>
      <c r="H1132" s="120"/>
      <c r="I1132" s="60"/>
      <c r="J1132" s="116"/>
      <c r="K1132" s="213"/>
      <c r="L1132" s="120"/>
      <c r="M1132" s="120"/>
      <c r="N1132" s="167"/>
      <c r="O1132" s="120"/>
      <c r="P1132" s="120"/>
      <c r="Q1132" s="120"/>
      <c r="R1132" s="120"/>
      <c r="S1132" s="120"/>
      <c r="T1132" s="221"/>
      <c r="U1132" s="89"/>
      <c r="V1132" s="61"/>
      <c r="W1132" s="92" t="s">
        <v>99</v>
      </c>
      <c r="X1132" s="93" t="s">
        <v>30</v>
      </c>
      <c r="Y1132" s="93" t="s">
        <v>67</v>
      </c>
      <c r="Z1132" s="134">
        <f>VLOOKUP(W1132,Sheet2!$B:$D,3,FALSE)</f>
        <v>2500</v>
      </c>
      <c r="AA1132" s="93">
        <f>1/(2*2*0.25*5*0.08)</f>
        <v>2.5</v>
      </c>
      <c r="AB1132" s="93">
        <f>AD1132/AC1129</f>
        <v>1000</v>
      </c>
      <c r="AC1132" s="93">
        <f>AC1129/AA1132</f>
        <v>3.2659999999999969</v>
      </c>
      <c r="AD1132" s="94">
        <f t="shared" si="908"/>
        <v>8164.9999999999918</v>
      </c>
      <c r="AE1132" s="190"/>
      <c r="AF1132" s="191"/>
      <c r="AG1132" s="191"/>
      <c r="AH1132" s="191"/>
      <c r="AI1132" s="186"/>
      <c r="AK1132" s="171"/>
    </row>
    <row r="1133" spans="1:41" s="102" customFormat="1" ht="19.899999999999999" customHeight="1" x14ac:dyDescent="0.25">
      <c r="A1133" s="45"/>
      <c r="B1133" s="59"/>
      <c r="C1133" s="137"/>
      <c r="D1133" s="59"/>
      <c r="E1133" s="116"/>
      <c r="F1133" s="120"/>
      <c r="G1133" s="120"/>
      <c r="H1133" s="120"/>
      <c r="I1133" s="60"/>
      <c r="J1133" s="116"/>
      <c r="K1133" s="213"/>
      <c r="L1133" s="120"/>
      <c r="M1133" s="120"/>
      <c r="N1133" s="167"/>
      <c r="O1133" s="120"/>
      <c r="P1133" s="120"/>
      <c r="Q1133" s="120"/>
      <c r="R1133" s="120"/>
      <c r="S1133" s="120"/>
      <c r="T1133" s="221"/>
      <c r="U1133" s="89"/>
      <c r="V1133" s="61"/>
      <c r="W1133" s="92" t="s">
        <v>1354</v>
      </c>
      <c r="X1133" s="93" t="s">
        <v>32</v>
      </c>
      <c r="Y1133" s="93" t="s">
        <v>66</v>
      </c>
      <c r="Z1133" s="134">
        <f>VLOOKUP(W1133,Sheet2!$B:$D,3,FALSE)</f>
        <v>150</v>
      </c>
      <c r="AA1133" s="93">
        <f>AA1130</f>
        <v>1.1111111111111112</v>
      </c>
      <c r="AB1133" s="93">
        <f>AD1133/AC1129</f>
        <v>135</v>
      </c>
      <c r="AC1133" s="93">
        <f>AC1129/AA1133</f>
        <v>7.3484999999999925</v>
      </c>
      <c r="AD1133" s="94">
        <f>AC1133*Z1133</f>
        <v>1102.274999999999</v>
      </c>
      <c r="AE1133" s="190"/>
      <c r="AF1133" s="191"/>
      <c r="AG1133" s="191"/>
      <c r="AH1133" s="191"/>
      <c r="AI1133" s="186"/>
      <c r="AK1133" s="171"/>
    </row>
    <row r="1134" spans="1:41" s="102" customFormat="1" ht="19.899999999999999" customHeight="1" x14ac:dyDescent="0.25">
      <c r="A1134" s="45"/>
      <c r="B1134" s="59"/>
      <c r="C1134" s="137"/>
      <c r="D1134" s="59"/>
      <c r="E1134" s="116"/>
      <c r="F1134" s="120"/>
      <c r="G1134" s="120"/>
      <c r="H1134" s="120"/>
      <c r="I1134" s="60"/>
      <c r="J1134" s="116"/>
      <c r="K1134" s="213"/>
      <c r="L1134" s="120"/>
      <c r="M1134" s="120"/>
      <c r="N1134" s="167"/>
      <c r="O1134" s="120"/>
      <c r="P1134" s="120"/>
      <c r="Q1134" s="120"/>
      <c r="R1134" s="120"/>
      <c r="S1134" s="120"/>
      <c r="T1134" s="221"/>
      <c r="U1134" s="89"/>
      <c r="V1134" s="61"/>
      <c r="W1134" s="92" t="s">
        <v>1355</v>
      </c>
      <c r="X1134" s="93" t="s">
        <v>32</v>
      </c>
      <c r="Y1134" s="93" t="s">
        <v>66</v>
      </c>
      <c r="Z1134" s="134">
        <f>VLOOKUP(W1134,Sheet2!$B:$D,3,FALSE)</f>
        <v>450</v>
      </c>
      <c r="AA1134" s="93">
        <f>AA1131</f>
        <v>0.2</v>
      </c>
      <c r="AB1134" s="93">
        <f>AD1134/AC1129</f>
        <v>2250</v>
      </c>
      <c r="AC1134" s="93">
        <f>AC1129/AA1134</f>
        <v>40.82499999999996</v>
      </c>
      <c r="AD1134" s="94">
        <f>AC1134*Z1134</f>
        <v>18371.249999999982</v>
      </c>
      <c r="AE1134" s="190"/>
      <c r="AF1134" s="191"/>
      <c r="AG1134" s="191"/>
      <c r="AH1134" s="191"/>
      <c r="AI1134" s="186"/>
      <c r="AK1134" s="171"/>
    </row>
    <row r="1135" spans="1:41" s="102" customFormat="1" ht="19.899999999999999" customHeight="1" x14ac:dyDescent="0.25">
      <c r="A1135" s="45"/>
      <c r="B1135" s="59"/>
      <c r="C1135" s="137"/>
      <c r="D1135" s="59"/>
      <c r="E1135" s="116"/>
      <c r="F1135" s="120"/>
      <c r="G1135" s="120"/>
      <c r="H1135" s="120"/>
      <c r="I1135" s="60"/>
      <c r="J1135" s="116"/>
      <c r="K1135" s="213"/>
      <c r="L1135" s="120"/>
      <c r="M1135" s="120"/>
      <c r="N1135" s="167"/>
      <c r="O1135" s="120"/>
      <c r="P1135" s="120"/>
      <c r="Q1135" s="120"/>
      <c r="R1135" s="120"/>
      <c r="S1135" s="120"/>
      <c r="T1135" s="221"/>
      <c r="U1135" s="89"/>
      <c r="V1135" s="61"/>
      <c r="W1135" s="92" t="s">
        <v>1356</v>
      </c>
      <c r="X1135" s="93" t="s">
        <v>30</v>
      </c>
      <c r="Y1135" s="93" t="s">
        <v>35</v>
      </c>
      <c r="Z1135" s="134">
        <f>VLOOKUP(W1135,Sheet2!$B:$D,3,FALSE)</f>
        <v>3500</v>
      </c>
      <c r="AA1135" s="93">
        <v>1</v>
      </c>
      <c r="AB1135" s="93">
        <f>AD1135/AC1129</f>
        <v>3500</v>
      </c>
      <c r="AC1135" s="93">
        <f>AC1129/AA1135</f>
        <v>8.164999999999992</v>
      </c>
      <c r="AD1135" s="94">
        <f t="shared" ref="AD1135:AD1136" si="909">AC1135*Z1135</f>
        <v>28577.499999999971</v>
      </c>
      <c r="AE1135" s="190"/>
      <c r="AF1135" s="191"/>
      <c r="AG1135" s="191"/>
      <c r="AH1135" s="191"/>
      <c r="AI1135" s="186"/>
      <c r="AK1135" s="171"/>
    </row>
    <row r="1136" spans="1:41" s="102" customFormat="1" ht="19.899999999999999" customHeight="1" x14ac:dyDescent="0.25">
      <c r="A1136" s="45"/>
      <c r="B1136" s="59"/>
      <c r="C1136" s="137"/>
      <c r="D1136" s="59"/>
      <c r="E1136" s="116"/>
      <c r="F1136" s="120"/>
      <c r="G1136" s="120"/>
      <c r="H1136" s="120"/>
      <c r="I1136" s="60"/>
      <c r="J1136" s="116"/>
      <c r="K1136" s="213"/>
      <c r="L1136" s="120"/>
      <c r="M1136" s="120"/>
      <c r="N1136" s="167"/>
      <c r="O1136" s="120"/>
      <c r="P1136" s="120"/>
      <c r="Q1136" s="120"/>
      <c r="R1136" s="120"/>
      <c r="S1136" s="120"/>
      <c r="T1136" s="221"/>
      <c r="U1136" s="89"/>
      <c r="V1136" s="61"/>
      <c r="W1136" s="92" t="s">
        <v>174</v>
      </c>
      <c r="X1136" s="93" t="s">
        <v>29</v>
      </c>
      <c r="Y1136" s="93" t="s">
        <v>93</v>
      </c>
      <c r="Z1136" s="134">
        <f>VLOOKUP(W1136,Sheet2!$B:$D,3,FALSE)</f>
        <v>80</v>
      </c>
      <c r="AA1136" s="93">
        <v>4</v>
      </c>
      <c r="AB1136" s="93">
        <f>AD1136/AC1129</f>
        <v>20</v>
      </c>
      <c r="AC1136" s="93">
        <f>AC1129/AA1136</f>
        <v>2.041249999999998</v>
      </c>
      <c r="AD1136" s="94">
        <f t="shared" si="909"/>
        <v>163.29999999999984</v>
      </c>
      <c r="AE1136" s="190"/>
      <c r="AF1136" s="191"/>
      <c r="AG1136" s="191"/>
      <c r="AH1136" s="191"/>
      <c r="AI1136" s="186"/>
      <c r="AK1136" s="171"/>
    </row>
    <row r="1137" spans="1:37" s="102" customFormat="1" ht="19.899999999999999" customHeight="1" x14ac:dyDescent="0.25">
      <c r="A1137" s="45"/>
      <c r="B1137" s="59"/>
      <c r="C1137" s="137"/>
      <c r="D1137" s="59"/>
      <c r="E1137" s="116"/>
      <c r="F1137" s="120"/>
      <c r="G1137" s="120"/>
      <c r="H1137" s="120"/>
      <c r="I1137" s="60"/>
      <c r="J1137" s="116"/>
      <c r="K1137" s="213"/>
      <c r="L1137" s="120"/>
      <c r="M1137" s="120"/>
      <c r="N1137" s="167"/>
      <c r="O1137" s="120"/>
      <c r="P1137" s="120"/>
      <c r="Q1137" s="120"/>
      <c r="R1137" s="120"/>
      <c r="S1137" s="120"/>
      <c r="T1137" s="221"/>
      <c r="U1137" s="89"/>
      <c r="V1137" s="61"/>
      <c r="W1137" s="92" t="s">
        <v>65</v>
      </c>
      <c r="X1137" s="93" t="s">
        <v>30</v>
      </c>
      <c r="Y1137" s="93" t="s">
        <v>93</v>
      </c>
      <c r="Z1137" s="134">
        <f>VLOOKUP(W1137,Sheet2!$B:$D,3,FALSE)</f>
        <v>1.76</v>
      </c>
      <c r="AA1137" s="93">
        <f>AA1136/15</f>
        <v>0.26666666666666666</v>
      </c>
      <c r="AB1137" s="93">
        <f>AD1137/AC1129</f>
        <v>6.6</v>
      </c>
      <c r="AC1137" s="93">
        <f>AC1129/AA1137</f>
        <v>30.61874999999997</v>
      </c>
      <c r="AD1137" s="94">
        <f>AC1137*Z1137</f>
        <v>53.888999999999946</v>
      </c>
      <c r="AE1137" s="190"/>
      <c r="AF1137" s="191"/>
      <c r="AG1137" s="191"/>
      <c r="AH1137" s="191"/>
      <c r="AI1137" s="186"/>
      <c r="AK1137" s="171"/>
    </row>
    <row r="1138" spans="1:37" s="102" customFormat="1" ht="19.899999999999999" customHeight="1" x14ac:dyDescent="0.25">
      <c r="A1138" s="45"/>
      <c r="B1138" s="59"/>
      <c r="C1138" s="137"/>
      <c r="D1138" s="59"/>
      <c r="E1138" s="116"/>
      <c r="F1138" s="120"/>
      <c r="G1138" s="120"/>
      <c r="H1138" s="120"/>
      <c r="I1138" s="60"/>
      <c r="J1138" s="116"/>
      <c r="K1138" s="213"/>
      <c r="L1138" s="120"/>
      <c r="M1138" s="120"/>
      <c r="N1138" s="167"/>
      <c r="O1138" s="120"/>
      <c r="P1138" s="120"/>
      <c r="Q1138" s="120"/>
      <c r="R1138" s="120"/>
      <c r="S1138" s="120"/>
      <c r="T1138" s="221"/>
      <c r="U1138" s="89"/>
      <c r="V1138" s="61"/>
      <c r="W1138" s="92" t="s">
        <v>1357</v>
      </c>
      <c r="X1138" s="93" t="s">
        <v>30</v>
      </c>
      <c r="Y1138" s="93" t="s">
        <v>1349</v>
      </c>
      <c r="Z1138" s="134">
        <f>VLOOKUP(W1138,Sheet2!$B:$D,3,FALSE)</f>
        <v>150</v>
      </c>
      <c r="AA1138" s="93">
        <v>1</v>
      </c>
      <c r="AB1138" s="93">
        <f>AD1138/AC1129</f>
        <v>150</v>
      </c>
      <c r="AC1138" s="93">
        <f>AC1129/AA1138</f>
        <v>8.164999999999992</v>
      </c>
      <c r="AD1138" s="94">
        <f>AC1138*Z1138</f>
        <v>1224.7499999999989</v>
      </c>
      <c r="AE1138" s="190"/>
      <c r="AF1138" s="191"/>
      <c r="AG1138" s="191"/>
      <c r="AH1138" s="191"/>
      <c r="AI1138" s="186"/>
      <c r="AK1138" s="171"/>
    </row>
    <row r="1139" spans="1:37" s="102" customFormat="1" ht="19.899999999999999" customHeight="1" x14ac:dyDescent="0.25">
      <c r="A1139" s="45"/>
      <c r="B1139" s="59"/>
      <c r="C1139" s="137"/>
      <c r="D1139" s="59"/>
      <c r="E1139" s="116"/>
      <c r="F1139" s="120"/>
      <c r="G1139" s="120"/>
      <c r="H1139" s="120"/>
      <c r="I1139" s="60"/>
      <c r="J1139" s="116"/>
      <c r="K1139" s="213"/>
      <c r="L1139" s="120"/>
      <c r="M1139" s="120"/>
      <c r="N1139" s="167"/>
      <c r="O1139" s="120"/>
      <c r="P1139" s="120"/>
      <c r="Q1139" s="120"/>
      <c r="R1139" s="120"/>
      <c r="S1139" s="120"/>
      <c r="T1139" s="221"/>
      <c r="U1139" s="89"/>
      <c r="V1139" s="61"/>
      <c r="W1139" s="92" t="s">
        <v>107</v>
      </c>
      <c r="X1139" s="93" t="s">
        <v>31</v>
      </c>
      <c r="Y1139" s="93" t="s">
        <v>93</v>
      </c>
      <c r="Z1139" s="134">
        <f>VLOOKUP(W1139,Sheet2!$B:$D,3,FALSE)</f>
        <v>17</v>
      </c>
      <c r="AA1139" s="93">
        <f>1/5</f>
        <v>0.2</v>
      </c>
      <c r="AB1139" s="93">
        <f>AD1139/AC1129</f>
        <v>85</v>
      </c>
      <c r="AC1139" s="93">
        <f>AC1129/AA1139</f>
        <v>40.82499999999996</v>
      </c>
      <c r="AD1139" s="94">
        <f>AC1139*Z1139</f>
        <v>694.0249999999993</v>
      </c>
      <c r="AE1139" s="190"/>
      <c r="AF1139" s="191"/>
      <c r="AG1139" s="191"/>
      <c r="AH1139" s="191"/>
      <c r="AI1139" s="186"/>
      <c r="AK1139" s="171"/>
    </row>
    <row r="1140" spans="1:37" s="102" customFormat="1" ht="19.899999999999999" customHeight="1" x14ac:dyDescent="0.25">
      <c r="A1140" s="45"/>
      <c r="B1140" s="59"/>
      <c r="C1140" s="137"/>
      <c r="D1140" s="59"/>
      <c r="E1140" s="116"/>
      <c r="F1140" s="120"/>
      <c r="G1140" s="120"/>
      <c r="H1140" s="120"/>
      <c r="I1140" s="60"/>
      <c r="J1140" s="116"/>
      <c r="K1140" s="213"/>
      <c r="L1140" s="120"/>
      <c r="M1140" s="120"/>
      <c r="N1140" s="167"/>
      <c r="O1140" s="120"/>
      <c r="P1140" s="120"/>
      <c r="Q1140" s="120"/>
      <c r="R1140" s="120"/>
      <c r="S1140" s="120"/>
      <c r="T1140" s="221"/>
      <c r="U1140" s="89"/>
      <c r="V1140" s="61"/>
      <c r="W1140" s="92" t="s">
        <v>112</v>
      </c>
      <c r="X1140" s="93" t="s">
        <v>31</v>
      </c>
      <c r="Y1140" s="93" t="s">
        <v>93</v>
      </c>
      <c r="Z1140" s="134">
        <f>VLOOKUP(W1140,Sheet2!$B:$D,3,FALSE)</f>
        <v>13</v>
      </c>
      <c r="AA1140" s="93">
        <f>AA1139</f>
        <v>0.2</v>
      </c>
      <c r="AB1140" s="93">
        <f>AD1140/AC1129</f>
        <v>65</v>
      </c>
      <c r="AC1140" s="93">
        <f>AC1129/AA1140</f>
        <v>40.82499999999996</v>
      </c>
      <c r="AD1140" s="94">
        <f>AC1140*Z1140</f>
        <v>530.72499999999945</v>
      </c>
      <c r="AE1140" s="190"/>
      <c r="AF1140" s="191"/>
      <c r="AG1140" s="191"/>
      <c r="AH1140" s="191"/>
      <c r="AI1140" s="186"/>
      <c r="AK1140" s="171"/>
    </row>
    <row r="1141" spans="1:37" s="103" customFormat="1" ht="19.899999999999999" customHeight="1" x14ac:dyDescent="0.25">
      <c r="A1141" s="51"/>
      <c r="B1141" s="52"/>
      <c r="C1141" s="165"/>
      <c r="D1141" s="52"/>
      <c r="E1141" s="115"/>
      <c r="F1141" s="58"/>
      <c r="G1141" s="58"/>
      <c r="H1141" s="58"/>
      <c r="I1141" s="55"/>
      <c r="J1141" s="113">
        <f>J1123</f>
        <v>8.164999999999992</v>
      </c>
      <c r="K1141" s="212">
        <f>K1123</f>
        <v>8.164999999999992</v>
      </c>
      <c r="L1141" s="58"/>
      <c r="M1141" s="58">
        <f>K1141-L1141</f>
        <v>8.164999999999992</v>
      </c>
      <c r="N1141" s="166"/>
      <c r="O1141" s="58"/>
      <c r="P1141" s="58"/>
      <c r="Q1141" s="58"/>
      <c r="R1141" s="58"/>
      <c r="S1141" s="58"/>
      <c r="T1141" s="220"/>
      <c r="U1141" s="88"/>
      <c r="V1141" s="56"/>
      <c r="W1141" s="57" t="s">
        <v>1358</v>
      </c>
      <c r="X1141" s="53"/>
      <c r="Y1141" s="91" t="s">
        <v>35</v>
      </c>
      <c r="Z1141" s="136">
        <f>AD1141/AC1141</f>
        <v>2800</v>
      </c>
      <c r="AA1141" s="58"/>
      <c r="AB1141" s="53">
        <f>AD1141/AC1141</f>
        <v>2800</v>
      </c>
      <c r="AC1141" s="53">
        <f>M1141+$AE$10</f>
        <v>8.164999999999992</v>
      </c>
      <c r="AD1141" s="54">
        <f>SUM(AD1142:AD1143)</f>
        <v>22861.999999999978</v>
      </c>
      <c r="AE1141" s="184">
        <f>SUMIFS($AD$37:$AD$12971,$V$37:$V$12971,$V1141,$X$37:$X$12971,AE$13)</f>
        <v>0</v>
      </c>
      <c r="AF1141" s="185">
        <f>SUMIFS($AD$37:$AD$12971,$V$37:$V$12971,$V1141,$X$37:$X$12971,AF$13)</f>
        <v>0</v>
      </c>
      <c r="AG1141" s="185">
        <f>SUMIFS($AD$37:$AD$12971,$V$37:$V$12971,$V1141,$X$37:$X$12971,AG$13)</f>
        <v>0</v>
      </c>
      <c r="AH1141" s="187">
        <f>SUMIFS($AD$37:$AD$12971,$V$37:$V$12971,$V1141,$X$37:$X$12971,AH$13)</f>
        <v>0</v>
      </c>
      <c r="AI1141" s="161">
        <f t="shared" ref="AI1141" si="910">SUM(AE1141:AH1141)</f>
        <v>0</v>
      </c>
      <c r="AK1141" s="172"/>
    </row>
    <row r="1142" spans="1:37" s="102" customFormat="1" ht="19.899999999999999" customHeight="1" x14ac:dyDescent="0.25">
      <c r="A1142" s="45"/>
      <c r="B1142" s="59"/>
      <c r="C1142" s="137"/>
      <c r="D1142" s="59"/>
      <c r="E1142" s="116"/>
      <c r="F1142" s="120"/>
      <c r="G1142" s="120"/>
      <c r="H1142" s="120"/>
      <c r="I1142" s="60"/>
      <c r="J1142" s="116"/>
      <c r="K1142" s="213"/>
      <c r="L1142" s="120"/>
      <c r="M1142" s="120"/>
      <c r="N1142" s="167"/>
      <c r="O1142" s="120"/>
      <c r="P1142" s="120"/>
      <c r="Q1142" s="120"/>
      <c r="R1142" s="120"/>
      <c r="S1142" s="120"/>
      <c r="T1142" s="221"/>
      <c r="U1142" s="89"/>
      <c r="V1142" s="61"/>
      <c r="W1142" s="92" t="s">
        <v>1359</v>
      </c>
      <c r="X1142" s="93" t="s">
        <v>32</v>
      </c>
      <c r="Y1142" s="93" t="s">
        <v>64</v>
      </c>
      <c r="Z1142" s="134">
        <f>VLOOKUP(W1142,Sheet2!$B:$D,3,FALSE)</f>
        <v>40</v>
      </c>
      <c r="AA1142" s="93">
        <f>1/40</f>
        <v>2.5000000000000001E-2</v>
      </c>
      <c r="AB1142" s="93">
        <f t="shared" ref="AB1142" si="911">AD1142/AC1141</f>
        <v>1600</v>
      </c>
      <c r="AC1142" s="93">
        <f>AC1141/AA1142</f>
        <v>326.59999999999968</v>
      </c>
      <c r="AD1142" s="94">
        <f t="shared" ref="AD1142:AD1143" si="912">AC1142*Z1142</f>
        <v>13063.999999999987</v>
      </c>
      <c r="AE1142" s="190"/>
      <c r="AF1142" s="191"/>
      <c r="AG1142" s="191"/>
      <c r="AH1142" s="191"/>
      <c r="AI1142" s="186"/>
      <c r="AK1142" s="171"/>
    </row>
    <row r="1143" spans="1:37" s="102" customFormat="1" ht="19.899999999999999" customHeight="1" x14ac:dyDescent="0.25">
      <c r="A1143" s="45"/>
      <c r="B1143" s="59"/>
      <c r="C1143" s="137"/>
      <c r="D1143" s="59"/>
      <c r="E1143" s="116"/>
      <c r="F1143" s="120"/>
      <c r="G1143" s="120"/>
      <c r="H1143" s="120"/>
      <c r="I1143" s="60"/>
      <c r="J1143" s="116"/>
      <c r="K1143" s="213"/>
      <c r="L1143" s="120"/>
      <c r="M1143" s="120"/>
      <c r="N1143" s="167"/>
      <c r="O1143" s="120"/>
      <c r="P1143" s="120"/>
      <c r="Q1143" s="120"/>
      <c r="R1143" s="120"/>
      <c r="S1143" s="120"/>
      <c r="T1143" s="221"/>
      <c r="U1143" s="89"/>
      <c r="V1143" s="61"/>
      <c r="W1143" s="92" t="s">
        <v>1360</v>
      </c>
      <c r="X1143" s="93" t="s">
        <v>32</v>
      </c>
      <c r="Y1143" s="93" t="s">
        <v>64</v>
      </c>
      <c r="Z1143" s="134">
        <f>VLOOKUP(W1143,Sheet2!$B:$D,3,FALSE)</f>
        <v>30</v>
      </c>
      <c r="AA1143" s="93">
        <f>AA1142</f>
        <v>2.5000000000000001E-2</v>
      </c>
      <c r="AB1143" s="93">
        <f>AD1143/AC1141</f>
        <v>1200</v>
      </c>
      <c r="AC1143" s="93">
        <f>AC1141/AA1143</f>
        <v>326.59999999999968</v>
      </c>
      <c r="AD1143" s="94">
        <f t="shared" si="912"/>
        <v>9797.9999999999909</v>
      </c>
      <c r="AE1143" s="190"/>
      <c r="AF1143" s="191"/>
      <c r="AG1143" s="191"/>
      <c r="AH1143" s="191"/>
      <c r="AI1143" s="186"/>
      <c r="AK1143" s="171"/>
    </row>
    <row r="1144" spans="1:37" s="103" customFormat="1" ht="19.899999999999999" customHeight="1" x14ac:dyDescent="0.25">
      <c r="A1144" s="51"/>
      <c r="B1144" s="52"/>
      <c r="C1144" s="165"/>
      <c r="D1144" s="52"/>
      <c r="E1144" s="115"/>
      <c r="F1144" s="58"/>
      <c r="G1144" s="58"/>
      <c r="H1144" s="58"/>
      <c r="I1144" s="55"/>
      <c r="J1144" s="113">
        <f>J1123</f>
        <v>8.164999999999992</v>
      </c>
      <c r="K1144" s="212">
        <f>K1123</f>
        <v>8.164999999999992</v>
      </c>
      <c r="L1144" s="58"/>
      <c r="M1144" s="58">
        <f>K1144-L1144</f>
        <v>8.164999999999992</v>
      </c>
      <c r="N1144" s="166"/>
      <c r="O1144" s="58"/>
      <c r="P1144" s="58"/>
      <c r="Q1144" s="58"/>
      <c r="R1144" s="58"/>
      <c r="S1144" s="58"/>
      <c r="T1144" s="220"/>
      <c r="U1144" s="88"/>
      <c r="V1144" s="56"/>
      <c r="W1144" s="57" t="s">
        <v>1272</v>
      </c>
      <c r="X1144" s="53"/>
      <c r="Y1144" s="91" t="s">
        <v>35</v>
      </c>
      <c r="Z1144" s="136">
        <f>AD1144/AC1144</f>
        <v>209.08263529411767</v>
      </c>
      <c r="AA1144" s="58"/>
      <c r="AB1144" s="53">
        <f>AD1144/AC1144</f>
        <v>209.08263529411767</v>
      </c>
      <c r="AC1144" s="53">
        <f>M1144+$AE$10</f>
        <v>8.164999999999992</v>
      </c>
      <c r="AD1144" s="54">
        <f>SUM(AD1145:AD1153)</f>
        <v>1707.159717176469</v>
      </c>
      <c r="AE1144" s="184">
        <f>SUMIFS($AD$37:$AD$12971,$V$37:$V$12971,$V1144,$X$37:$X$12971,AE$13)</f>
        <v>0</v>
      </c>
      <c r="AF1144" s="185">
        <f>SUMIFS($AD$37:$AD$12971,$V$37:$V$12971,$V1144,$X$37:$X$12971,AF$13)</f>
        <v>0</v>
      </c>
      <c r="AG1144" s="185">
        <f>SUMIFS($AD$37:$AD$12971,$V$37:$V$12971,$V1144,$X$37:$X$12971,AG$13)</f>
        <v>0</v>
      </c>
      <c r="AH1144" s="187">
        <f>SUMIFS($AD$37:$AD$12971,$V$37:$V$12971,$V1144,$X$37:$X$12971,AH$13)</f>
        <v>0</v>
      </c>
      <c r="AI1144" s="161">
        <f t="shared" ref="AI1144" si="913">SUM(AE1144:AH1144)</f>
        <v>0</v>
      </c>
      <c r="AK1144" s="172"/>
    </row>
    <row r="1145" spans="1:37" s="102" customFormat="1" ht="19.899999999999999" customHeight="1" x14ac:dyDescent="0.25">
      <c r="A1145" s="45"/>
      <c r="B1145" s="59"/>
      <c r="C1145" s="137"/>
      <c r="D1145" s="59"/>
      <c r="E1145" s="116"/>
      <c r="F1145" s="120"/>
      <c r="G1145" s="120"/>
      <c r="H1145" s="120"/>
      <c r="I1145" s="60"/>
      <c r="J1145" s="116"/>
      <c r="K1145" s="213"/>
      <c r="L1145" s="120"/>
      <c r="M1145" s="120"/>
      <c r="N1145" s="167"/>
      <c r="O1145" s="120"/>
      <c r="P1145" s="120"/>
      <c r="Q1145" s="120"/>
      <c r="R1145" s="120"/>
      <c r="S1145" s="120"/>
      <c r="T1145" s="221"/>
      <c r="U1145" s="89"/>
      <c r="V1145" s="61"/>
      <c r="W1145" s="92" t="s">
        <v>1273</v>
      </c>
      <c r="X1145" s="93" t="s">
        <v>30</v>
      </c>
      <c r="Y1145" s="93" t="s">
        <v>66</v>
      </c>
      <c r="Z1145" s="134">
        <f>VLOOKUP(W1145,Sheet2!$B:$D,3,FALSE)</f>
        <v>10</v>
      </c>
      <c r="AA1145" s="93">
        <f>1/(2.5*2.4*0.5*4)</f>
        <v>8.3333333333333329E-2</v>
      </c>
      <c r="AB1145" s="93">
        <f>AD1145/AC1144</f>
        <v>120</v>
      </c>
      <c r="AC1145" s="93">
        <f>AC1144/AA1145</f>
        <v>97.979999999999905</v>
      </c>
      <c r="AD1145" s="94">
        <f t="shared" ref="AD1145:AD1147" si="914">AC1145*Z1145</f>
        <v>979.79999999999905</v>
      </c>
      <c r="AE1145" s="190"/>
      <c r="AF1145" s="191"/>
      <c r="AG1145" s="191"/>
      <c r="AH1145" s="191"/>
      <c r="AI1145" s="186"/>
      <c r="AK1145" s="171"/>
    </row>
    <row r="1146" spans="1:37" s="102" customFormat="1" ht="19.899999999999999" customHeight="1" x14ac:dyDescent="0.25">
      <c r="A1146" s="45"/>
      <c r="B1146" s="59"/>
      <c r="C1146" s="137"/>
      <c r="D1146" s="59"/>
      <c r="E1146" s="116"/>
      <c r="F1146" s="120"/>
      <c r="G1146" s="120"/>
      <c r="H1146" s="120"/>
      <c r="I1146" s="60"/>
      <c r="J1146" s="116"/>
      <c r="K1146" s="213"/>
      <c r="L1146" s="120"/>
      <c r="M1146" s="120"/>
      <c r="N1146" s="167"/>
      <c r="O1146" s="120"/>
      <c r="P1146" s="120"/>
      <c r="Q1146" s="120"/>
      <c r="R1146" s="120"/>
      <c r="S1146" s="120"/>
      <c r="T1146" s="221"/>
      <c r="U1146" s="89"/>
      <c r="V1146" s="61"/>
      <c r="W1146" s="92" t="s">
        <v>134</v>
      </c>
      <c r="X1146" s="93" t="s">
        <v>29</v>
      </c>
      <c r="Y1146" s="93" t="s">
        <v>93</v>
      </c>
      <c r="Z1146" s="134">
        <f>VLOOKUP(W1146,Sheet2!$B:$D,3,FALSE)</f>
        <v>65.599999999999994</v>
      </c>
      <c r="AA1146" s="93">
        <f>100/(2.5*2.4*0.5*4)</f>
        <v>8.3333333333333339</v>
      </c>
      <c r="AB1146" s="93">
        <f t="shared" ref="AB1146" si="915">AD1146/AC1144</f>
        <v>7.8719999999999981</v>
      </c>
      <c r="AC1146" s="93">
        <f>AC1144/AA1146</f>
        <v>0.97979999999999901</v>
      </c>
      <c r="AD1146" s="94">
        <f t="shared" si="914"/>
        <v>64.274879999999925</v>
      </c>
      <c r="AE1146" s="190"/>
      <c r="AF1146" s="191"/>
      <c r="AG1146" s="191"/>
      <c r="AH1146" s="191"/>
      <c r="AI1146" s="186"/>
      <c r="AK1146" s="171"/>
    </row>
    <row r="1147" spans="1:37" s="102" customFormat="1" ht="19.899999999999999" customHeight="1" x14ac:dyDescent="0.25">
      <c r="A1147" s="45"/>
      <c r="B1147" s="59"/>
      <c r="C1147" s="137"/>
      <c r="D1147" s="59"/>
      <c r="E1147" s="116"/>
      <c r="F1147" s="120"/>
      <c r="G1147" s="120"/>
      <c r="H1147" s="120"/>
      <c r="I1147" s="60"/>
      <c r="J1147" s="116"/>
      <c r="K1147" s="213"/>
      <c r="L1147" s="120"/>
      <c r="M1147" s="120"/>
      <c r="N1147" s="167"/>
      <c r="O1147" s="120"/>
      <c r="P1147" s="120"/>
      <c r="Q1147" s="120"/>
      <c r="R1147" s="120"/>
      <c r="S1147" s="120"/>
      <c r="T1147" s="221"/>
      <c r="U1147" s="89"/>
      <c r="V1147" s="61"/>
      <c r="W1147" s="92" t="s">
        <v>65</v>
      </c>
      <c r="X1147" s="93" t="s">
        <v>30</v>
      </c>
      <c r="Y1147" s="93" t="s">
        <v>1011</v>
      </c>
      <c r="Z1147" s="134">
        <f>VLOOKUP(W1147,Sheet2!$B:$D,3,FALSE)</f>
        <v>1.76</v>
      </c>
      <c r="AA1147" s="93">
        <f>AA1146/9</f>
        <v>0.92592592592592604</v>
      </c>
      <c r="AB1147" s="93">
        <f>AD1147/AC1144</f>
        <v>1.9007999999999998</v>
      </c>
      <c r="AC1147" s="93">
        <f>AC1144/AA1147</f>
        <v>8.8181999999999903</v>
      </c>
      <c r="AD1147" s="94">
        <f t="shared" si="914"/>
        <v>15.520031999999983</v>
      </c>
      <c r="AE1147" s="190"/>
      <c r="AF1147" s="191"/>
      <c r="AG1147" s="191"/>
      <c r="AH1147" s="191"/>
      <c r="AI1147" s="186"/>
      <c r="AK1147" s="171"/>
    </row>
    <row r="1148" spans="1:37" s="102" customFormat="1" ht="19.899999999999999" customHeight="1" x14ac:dyDescent="0.25">
      <c r="A1148" s="45"/>
      <c r="B1148" s="59"/>
      <c r="C1148" s="137"/>
      <c r="D1148" s="59"/>
      <c r="E1148" s="116"/>
      <c r="F1148" s="120"/>
      <c r="G1148" s="120"/>
      <c r="H1148" s="120"/>
      <c r="I1148" s="60"/>
      <c r="J1148" s="116"/>
      <c r="K1148" s="213"/>
      <c r="L1148" s="120"/>
      <c r="M1148" s="120"/>
      <c r="N1148" s="167"/>
      <c r="O1148" s="120"/>
      <c r="P1148" s="120"/>
      <c r="Q1148" s="120"/>
      <c r="R1148" s="120"/>
      <c r="S1148" s="120"/>
      <c r="T1148" s="221"/>
      <c r="U1148" s="89"/>
      <c r="V1148" s="61"/>
      <c r="W1148" s="92" t="s">
        <v>161</v>
      </c>
      <c r="X1148" s="93" t="s">
        <v>29</v>
      </c>
      <c r="Y1148" s="93" t="s">
        <v>93</v>
      </c>
      <c r="Z1148" s="134">
        <f>VLOOKUP(W1148,Sheet2!$B:$D,3,FALSE)</f>
        <v>48</v>
      </c>
      <c r="AA1148" s="93">
        <f>(16*0.85*1.5)/(2.5*2.4*0.5*4)</f>
        <v>1.7</v>
      </c>
      <c r="AB1148" s="93">
        <f>AD1148/AC1144</f>
        <v>28.235294117647062</v>
      </c>
      <c r="AC1148" s="93">
        <f>AC1144/AA1148</f>
        <v>4.8029411764705836</v>
      </c>
      <c r="AD1148" s="94">
        <f>AC1148*Z1148</f>
        <v>230.54117647058803</v>
      </c>
      <c r="AE1148" s="190"/>
      <c r="AF1148" s="191"/>
      <c r="AG1148" s="191"/>
      <c r="AH1148" s="191"/>
      <c r="AI1148" s="186"/>
      <c r="AK1148" s="171"/>
    </row>
    <row r="1149" spans="1:37" s="102" customFormat="1" ht="19.899999999999999" customHeight="1" x14ac:dyDescent="0.25">
      <c r="A1149" s="45"/>
      <c r="B1149" s="59"/>
      <c r="C1149" s="137"/>
      <c r="D1149" s="59"/>
      <c r="E1149" s="116"/>
      <c r="F1149" s="120"/>
      <c r="G1149" s="120"/>
      <c r="H1149" s="120"/>
      <c r="I1149" s="60"/>
      <c r="J1149" s="116"/>
      <c r="K1149" s="213"/>
      <c r="L1149" s="120"/>
      <c r="M1149" s="120"/>
      <c r="N1149" s="167"/>
      <c r="O1149" s="120"/>
      <c r="P1149" s="120"/>
      <c r="Q1149" s="120"/>
      <c r="R1149" s="120"/>
      <c r="S1149" s="120"/>
      <c r="T1149" s="221"/>
      <c r="U1149" s="89"/>
      <c r="V1149" s="61"/>
      <c r="W1149" s="92" t="s">
        <v>65</v>
      </c>
      <c r="X1149" s="93" t="s">
        <v>30</v>
      </c>
      <c r="Y1149" s="93" t="s">
        <v>1011</v>
      </c>
      <c r="Z1149" s="134">
        <f>VLOOKUP(W1149,Sheet2!$B:$D,3,FALSE)</f>
        <v>1.76</v>
      </c>
      <c r="AA1149" s="93">
        <f>AA1148/10</f>
        <v>0.16999999999999998</v>
      </c>
      <c r="AB1149" s="93">
        <f>AD1149/AC1144</f>
        <v>10.352941176470589</v>
      </c>
      <c r="AC1149" s="93">
        <f>AC1144/AA1149</f>
        <v>48.029411764705841</v>
      </c>
      <c r="AD1149" s="94">
        <f>AC1149*Z1149</f>
        <v>84.531764705882281</v>
      </c>
      <c r="AE1149" s="190"/>
      <c r="AF1149" s="191"/>
      <c r="AG1149" s="191"/>
      <c r="AH1149" s="191"/>
      <c r="AI1149" s="186"/>
      <c r="AK1149" s="171"/>
    </row>
    <row r="1150" spans="1:37" s="102" customFormat="1" ht="19.899999999999999" customHeight="1" x14ac:dyDescent="0.25">
      <c r="A1150" s="45"/>
      <c r="B1150" s="59"/>
      <c r="C1150" s="137"/>
      <c r="D1150" s="59"/>
      <c r="E1150" s="116"/>
      <c r="F1150" s="120"/>
      <c r="G1150" s="120"/>
      <c r="H1150" s="120"/>
      <c r="I1150" s="60"/>
      <c r="J1150" s="116"/>
      <c r="K1150" s="213"/>
      <c r="L1150" s="120"/>
      <c r="M1150" s="120"/>
      <c r="N1150" s="167"/>
      <c r="O1150" s="120"/>
      <c r="P1150" s="120"/>
      <c r="Q1150" s="120"/>
      <c r="R1150" s="120"/>
      <c r="S1150" s="120"/>
      <c r="T1150" s="221"/>
      <c r="U1150" s="89"/>
      <c r="V1150" s="61"/>
      <c r="W1150" s="92" t="s">
        <v>173</v>
      </c>
      <c r="X1150" s="93" t="s">
        <v>29</v>
      </c>
      <c r="Y1150" s="93" t="s">
        <v>93</v>
      </c>
      <c r="Z1150" s="134">
        <f>VLOOKUP(W1150,Sheet2!$B:$D,3,FALSE)</f>
        <v>36</v>
      </c>
      <c r="AA1150" s="93">
        <f>50/(2.5*2.4*0.5*4)</f>
        <v>4.166666666666667</v>
      </c>
      <c r="AB1150" s="93">
        <f>AD1150/AC1144</f>
        <v>8.6399999999999988</v>
      </c>
      <c r="AC1150" s="93">
        <f>AC1144/AA1150</f>
        <v>1.959599999999998</v>
      </c>
      <c r="AD1150" s="94">
        <f>AC1150*Z1150</f>
        <v>70.545599999999922</v>
      </c>
      <c r="AE1150" s="190"/>
      <c r="AF1150" s="191"/>
      <c r="AG1150" s="191"/>
      <c r="AH1150" s="191"/>
      <c r="AI1150" s="186"/>
      <c r="AK1150" s="171"/>
    </row>
    <row r="1151" spans="1:37" s="102" customFormat="1" ht="19.899999999999999" customHeight="1" x14ac:dyDescent="0.25">
      <c r="A1151" s="45"/>
      <c r="B1151" s="59"/>
      <c r="C1151" s="137"/>
      <c r="D1151" s="59"/>
      <c r="E1151" s="116"/>
      <c r="F1151" s="120"/>
      <c r="G1151" s="120"/>
      <c r="H1151" s="120"/>
      <c r="I1151" s="60"/>
      <c r="J1151" s="116"/>
      <c r="K1151" s="213"/>
      <c r="L1151" s="120"/>
      <c r="M1151" s="120"/>
      <c r="N1151" s="167"/>
      <c r="O1151" s="120"/>
      <c r="P1151" s="120"/>
      <c r="Q1151" s="120"/>
      <c r="R1151" s="120"/>
      <c r="S1151" s="120"/>
      <c r="T1151" s="221"/>
      <c r="U1151" s="89"/>
      <c r="V1151" s="61"/>
      <c r="W1151" s="92" t="s">
        <v>65</v>
      </c>
      <c r="X1151" s="93" t="s">
        <v>30</v>
      </c>
      <c r="Y1151" s="93" t="s">
        <v>1011</v>
      </c>
      <c r="Z1151" s="134">
        <f>VLOOKUP(W1151,Sheet2!$B:$D,3,FALSE)</f>
        <v>1.76</v>
      </c>
      <c r="AA1151" s="93">
        <f>AA1150/9</f>
        <v>0.46296296296296302</v>
      </c>
      <c r="AB1151" s="93">
        <f>AD1151/AC1144</f>
        <v>3.8015999999999996</v>
      </c>
      <c r="AC1151" s="93">
        <f>AC1144/AA1151</f>
        <v>17.636399999999981</v>
      </c>
      <c r="AD1151" s="94">
        <f>AC1151*Z1151</f>
        <v>31.040063999999965</v>
      </c>
      <c r="AE1151" s="190"/>
      <c r="AF1151" s="191"/>
      <c r="AG1151" s="191"/>
      <c r="AH1151" s="191"/>
      <c r="AI1151" s="186"/>
      <c r="AK1151" s="171"/>
    </row>
    <row r="1152" spans="1:37" s="102" customFormat="1" ht="19.899999999999999" customHeight="1" x14ac:dyDescent="0.25">
      <c r="A1152" s="45"/>
      <c r="B1152" s="59"/>
      <c r="C1152" s="137"/>
      <c r="D1152" s="59"/>
      <c r="E1152" s="116"/>
      <c r="F1152" s="120"/>
      <c r="G1152" s="120"/>
      <c r="H1152" s="120"/>
      <c r="I1152" s="60"/>
      <c r="J1152" s="116"/>
      <c r="K1152" s="213"/>
      <c r="L1152" s="120"/>
      <c r="M1152" s="120"/>
      <c r="N1152" s="167"/>
      <c r="O1152" s="120"/>
      <c r="P1152" s="120"/>
      <c r="Q1152" s="120"/>
      <c r="R1152" s="120"/>
      <c r="S1152" s="120"/>
      <c r="T1152" s="221"/>
      <c r="U1152" s="89"/>
      <c r="V1152" s="61"/>
      <c r="W1152" s="92" t="s">
        <v>1030</v>
      </c>
      <c r="X1152" s="93" t="s">
        <v>29</v>
      </c>
      <c r="Y1152" s="93" t="s">
        <v>93</v>
      </c>
      <c r="Z1152" s="134">
        <f>VLOOKUP(W1152,Sheet2!$B:$D,3,FALSE)</f>
        <v>23</v>
      </c>
      <c r="AA1152" s="93">
        <v>1</v>
      </c>
      <c r="AB1152" s="93">
        <f>AD1152/AC1144</f>
        <v>23</v>
      </c>
      <c r="AC1152" s="93">
        <f>AC1144/AA1152</f>
        <v>8.164999999999992</v>
      </c>
      <c r="AD1152" s="94">
        <f t="shared" ref="AD1152:AD1153" si="916">AC1152*Z1152</f>
        <v>187.79499999999982</v>
      </c>
      <c r="AE1152" s="190"/>
      <c r="AF1152" s="191"/>
      <c r="AG1152" s="191"/>
      <c r="AH1152" s="191"/>
      <c r="AI1152" s="186"/>
      <c r="AK1152" s="171"/>
    </row>
    <row r="1153" spans="1:41" s="102" customFormat="1" ht="19.899999999999999" customHeight="1" x14ac:dyDescent="0.25">
      <c r="A1153" s="45"/>
      <c r="B1153" s="59"/>
      <c r="C1153" s="137"/>
      <c r="D1153" s="59"/>
      <c r="E1153" s="116"/>
      <c r="F1153" s="120"/>
      <c r="G1153" s="120"/>
      <c r="H1153" s="120"/>
      <c r="I1153" s="60"/>
      <c r="J1153" s="116"/>
      <c r="K1153" s="213"/>
      <c r="L1153" s="120"/>
      <c r="M1153" s="120"/>
      <c r="N1153" s="167"/>
      <c r="O1153" s="120"/>
      <c r="P1153" s="120"/>
      <c r="Q1153" s="120"/>
      <c r="R1153" s="120"/>
      <c r="S1153" s="120"/>
      <c r="T1153" s="221"/>
      <c r="U1153" s="89"/>
      <c r="V1153" s="61"/>
      <c r="W1153" s="92" t="s">
        <v>65</v>
      </c>
      <c r="X1153" s="93" t="s">
        <v>30</v>
      </c>
      <c r="Y1153" s="93" t="s">
        <v>1011</v>
      </c>
      <c r="Z1153" s="134">
        <f>VLOOKUP(W1153,Sheet2!$B:$D,3,FALSE)</f>
        <v>1.76</v>
      </c>
      <c r="AA1153" s="93">
        <f>AA1152/3</f>
        <v>0.33333333333333331</v>
      </c>
      <c r="AB1153" s="93">
        <f>AD1153/AC1144</f>
        <v>5.28</v>
      </c>
      <c r="AC1153" s="93">
        <f>AC1144/AA1153</f>
        <v>24.494999999999976</v>
      </c>
      <c r="AD1153" s="94">
        <f t="shared" si="916"/>
        <v>43.111199999999961</v>
      </c>
      <c r="AE1153" s="190"/>
      <c r="AF1153" s="191"/>
      <c r="AG1153" s="191"/>
      <c r="AH1153" s="191"/>
      <c r="AI1153" s="186"/>
      <c r="AK1153" s="171"/>
    </row>
    <row r="1154" spans="1:41" ht="20.100000000000001" customHeight="1" x14ac:dyDescent="0.25">
      <c r="A1154" s="277" t="s">
        <v>216</v>
      </c>
      <c r="B1154" s="278"/>
      <c r="C1154" s="64" t="s">
        <v>346</v>
      </c>
      <c r="D1154" s="46" t="s">
        <v>215</v>
      </c>
      <c r="E1154" s="114">
        <v>0.375</v>
      </c>
      <c r="F1154" s="44">
        <v>10448</v>
      </c>
      <c r="G1154" s="44">
        <f t="shared" si="607"/>
        <v>3918</v>
      </c>
      <c r="H1154" s="44">
        <f t="shared" si="608"/>
        <v>2172.8366039215684</v>
      </c>
      <c r="I1154" s="43">
        <f t="shared" si="609"/>
        <v>814.81372647058811</v>
      </c>
      <c r="J1154" s="112">
        <f t="shared" si="610"/>
        <v>0.375</v>
      </c>
      <c r="K1154" s="211">
        <f t="shared" si="611"/>
        <v>0.375</v>
      </c>
      <c r="L1154" s="44"/>
      <c r="M1154" s="44">
        <f t="shared" si="612"/>
        <v>0.375</v>
      </c>
      <c r="N1154" s="173">
        <f t="shared" si="613"/>
        <v>1</v>
      </c>
      <c r="O1154" s="44">
        <f t="shared" si="614"/>
        <v>10448</v>
      </c>
      <c r="P1154" s="44">
        <f t="shared" si="615"/>
        <v>3918</v>
      </c>
      <c r="Q1154" s="44">
        <f t="shared" si="616"/>
        <v>2172.8366039215684</v>
      </c>
      <c r="R1154" s="44">
        <f t="shared" si="617"/>
        <v>814.81372647058811</v>
      </c>
      <c r="S1154" s="123"/>
      <c r="T1154" s="219">
        <f t="shared" si="618"/>
        <v>814.81372647058811</v>
      </c>
      <c r="U1154" s="87"/>
      <c r="V1154" s="47"/>
      <c r="W1154" s="48"/>
      <c r="X1154" s="48"/>
      <c r="Y1154" s="48"/>
      <c r="Z1154" s="135"/>
      <c r="AA1154" s="49"/>
      <c r="AB1154" s="50">
        <f t="shared" si="619"/>
        <v>2172.8366039215684</v>
      </c>
      <c r="AC1154" s="42">
        <f t="shared" si="620"/>
        <v>0.375</v>
      </c>
      <c r="AD1154" s="90">
        <f>AD1155+AD1160+AD1167+AD1170</f>
        <v>814.81372647058822</v>
      </c>
      <c r="AE1154" s="188">
        <f t="shared" ref="AE1154" si="917">AE1155+AE1160+AE1167+AE1170</f>
        <v>0</v>
      </c>
      <c r="AF1154" s="189">
        <f t="shared" ref="AF1154" si="918">AF1155+AF1160+AF1167+AF1170</f>
        <v>0</v>
      </c>
      <c r="AG1154" s="189">
        <f t="shared" ref="AG1154" si="919">AG1155+AG1160+AG1167+AG1170</f>
        <v>0</v>
      </c>
      <c r="AH1154" s="189">
        <f t="shared" ref="AH1154" si="920">AH1155+AH1160+AH1167+AH1170</f>
        <v>0</v>
      </c>
      <c r="AI1154" s="161">
        <f t="shared" ref="AI1154:AI1180" si="921">SUM(AE1154:AH1154)</f>
        <v>0</v>
      </c>
      <c r="AK1154" s="169">
        <v>5</v>
      </c>
      <c r="AO1154" s="19" t="s">
        <v>63</v>
      </c>
    </row>
    <row r="1155" spans="1:41" s="103" customFormat="1" ht="19.899999999999999" customHeight="1" x14ac:dyDescent="0.25">
      <c r="A1155" s="51"/>
      <c r="B1155" s="52"/>
      <c r="C1155" s="165"/>
      <c r="D1155" s="52"/>
      <c r="E1155" s="115"/>
      <c r="F1155" s="58"/>
      <c r="G1155" s="58"/>
      <c r="H1155" s="58"/>
      <c r="I1155" s="55"/>
      <c r="J1155" s="113">
        <f>J1154</f>
        <v>0.375</v>
      </c>
      <c r="K1155" s="212">
        <f>K1154</f>
        <v>0.375</v>
      </c>
      <c r="L1155" s="58"/>
      <c r="M1155" s="58">
        <f>K1155-L1155</f>
        <v>0.375</v>
      </c>
      <c r="N1155" s="166"/>
      <c r="O1155" s="58"/>
      <c r="P1155" s="58"/>
      <c r="Q1155" s="58"/>
      <c r="R1155" s="58"/>
      <c r="S1155" s="58"/>
      <c r="T1155" s="220"/>
      <c r="U1155" s="88"/>
      <c r="V1155" s="56"/>
      <c r="W1155" s="57" t="s">
        <v>1361</v>
      </c>
      <c r="X1155" s="53"/>
      <c r="Y1155" s="91" t="s">
        <v>35</v>
      </c>
      <c r="Z1155" s="136">
        <f>AD1155/AC1155</f>
        <v>18.099388235294118</v>
      </c>
      <c r="AA1155" s="58"/>
      <c r="AB1155" s="53">
        <f>AD1155/AC1155</f>
        <v>18.099388235294118</v>
      </c>
      <c r="AC1155" s="53">
        <f>M1155+$AE$10</f>
        <v>0.375</v>
      </c>
      <c r="AD1155" s="54">
        <f>SUM(AD1156:AD1159)</f>
        <v>6.7872705882352946</v>
      </c>
      <c r="AE1155" s="184">
        <f>SUMIFS($AD$37:$AD$12971,$V$37:$V$12971,$V1155,$X$37:$X$12971,AE$13)</f>
        <v>0</v>
      </c>
      <c r="AF1155" s="185">
        <f>SUMIFS($AD$37:$AD$12971,$V$37:$V$12971,$V1155,$X$37:$X$12971,AF$13)</f>
        <v>0</v>
      </c>
      <c r="AG1155" s="185">
        <f>SUMIFS($AD$37:$AD$12971,$V$37:$V$12971,$V1155,$X$37:$X$12971,AG$13)</f>
        <v>0</v>
      </c>
      <c r="AH1155" s="187">
        <f>SUMIFS($AD$37:$AD$12971,$V$37:$V$12971,$V1155,$X$37:$X$12971,AH$13)</f>
        <v>0</v>
      </c>
      <c r="AI1155" s="161">
        <f t="shared" ref="AI1155" si="922">SUM(AE1155:AH1155)</f>
        <v>0</v>
      </c>
      <c r="AK1155" s="172"/>
    </row>
    <row r="1156" spans="1:41" s="102" customFormat="1" ht="19.899999999999999" customHeight="1" x14ac:dyDescent="0.25">
      <c r="A1156" s="45"/>
      <c r="B1156" s="59"/>
      <c r="C1156" s="137"/>
      <c r="D1156" s="59"/>
      <c r="E1156" s="116"/>
      <c r="F1156" s="120"/>
      <c r="G1156" s="120"/>
      <c r="H1156" s="120"/>
      <c r="I1156" s="60"/>
      <c r="J1156" s="116"/>
      <c r="K1156" s="213"/>
      <c r="L1156" s="120"/>
      <c r="M1156" s="120"/>
      <c r="N1156" s="167"/>
      <c r="O1156" s="120"/>
      <c r="P1156" s="120"/>
      <c r="Q1156" s="120"/>
      <c r="R1156" s="120"/>
      <c r="S1156" s="120"/>
      <c r="T1156" s="221"/>
      <c r="U1156" s="89"/>
      <c r="V1156" s="61"/>
      <c r="W1156" s="92" t="s">
        <v>129</v>
      </c>
      <c r="X1156" s="93" t="s">
        <v>29</v>
      </c>
      <c r="Y1156" s="93" t="s">
        <v>93</v>
      </c>
      <c r="Z1156" s="134">
        <f>VLOOKUP(W1156,Sheet2!$B:$D,3,FALSE)</f>
        <v>56</v>
      </c>
      <c r="AA1156" s="93">
        <f>100/(3*3*0.5)</f>
        <v>22.222222222222221</v>
      </c>
      <c r="AB1156" s="93">
        <f t="shared" ref="AB1156" si="923">AD1156/AC1155</f>
        <v>2.52</v>
      </c>
      <c r="AC1156" s="93">
        <f>AC1155/AA1156</f>
        <v>1.6875000000000001E-2</v>
      </c>
      <c r="AD1156" s="94">
        <f t="shared" ref="AD1156:AD1157" si="924">AC1156*Z1156</f>
        <v>0.94500000000000006</v>
      </c>
      <c r="AE1156" s="190"/>
      <c r="AF1156" s="191"/>
      <c r="AG1156" s="191"/>
      <c r="AH1156" s="191"/>
      <c r="AI1156" s="186"/>
      <c r="AK1156" s="171"/>
    </row>
    <row r="1157" spans="1:41" s="102" customFormat="1" ht="19.899999999999999" customHeight="1" x14ac:dyDescent="0.25">
      <c r="A1157" s="45"/>
      <c r="B1157" s="59"/>
      <c r="C1157" s="137"/>
      <c r="D1157" s="59"/>
      <c r="E1157" s="116"/>
      <c r="F1157" s="120"/>
      <c r="G1157" s="120"/>
      <c r="H1157" s="120"/>
      <c r="I1157" s="60"/>
      <c r="J1157" s="116"/>
      <c r="K1157" s="213"/>
      <c r="L1157" s="120"/>
      <c r="M1157" s="120"/>
      <c r="N1157" s="167"/>
      <c r="O1157" s="120"/>
      <c r="P1157" s="120"/>
      <c r="Q1157" s="120"/>
      <c r="R1157" s="120"/>
      <c r="S1157" s="120"/>
      <c r="T1157" s="221"/>
      <c r="U1157" s="89"/>
      <c r="V1157" s="61"/>
      <c r="W1157" s="92" t="s">
        <v>65</v>
      </c>
      <c r="X1157" s="93" t="s">
        <v>30</v>
      </c>
      <c r="Y1157" s="93" t="s">
        <v>1011</v>
      </c>
      <c r="Z1157" s="134">
        <f>VLOOKUP(W1157,Sheet2!$B:$D,3,FALSE)</f>
        <v>1.76</v>
      </c>
      <c r="AA1157" s="93">
        <f>AA1156/14</f>
        <v>1.5873015873015872</v>
      </c>
      <c r="AB1157" s="93">
        <f>AD1157/AC1155</f>
        <v>1.1088</v>
      </c>
      <c r="AC1157" s="93">
        <f>AC1155/AA1157</f>
        <v>0.23625000000000002</v>
      </c>
      <c r="AD1157" s="94">
        <f t="shared" si="924"/>
        <v>0.4158</v>
      </c>
      <c r="AE1157" s="190"/>
      <c r="AF1157" s="191"/>
      <c r="AG1157" s="191"/>
      <c r="AH1157" s="191"/>
      <c r="AI1157" s="186"/>
      <c r="AK1157" s="171"/>
    </row>
    <row r="1158" spans="1:41" s="102" customFormat="1" ht="19.899999999999999" customHeight="1" x14ac:dyDescent="0.25">
      <c r="A1158" s="45"/>
      <c r="B1158" s="59"/>
      <c r="C1158" s="137"/>
      <c r="D1158" s="59"/>
      <c r="E1158" s="116"/>
      <c r="F1158" s="120"/>
      <c r="G1158" s="120"/>
      <c r="H1158" s="120"/>
      <c r="I1158" s="60"/>
      <c r="J1158" s="116"/>
      <c r="K1158" s="213"/>
      <c r="L1158" s="120"/>
      <c r="M1158" s="120"/>
      <c r="N1158" s="167"/>
      <c r="O1158" s="120"/>
      <c r="P1158" s="120"/>
      <c r="Q1158" s="120"/>
      <c r="R1158" s="120"/>
      <c r="S1158" s="120"/>
      <c r="T1158" s="221"/>
      <c r="U1158" s="89"/>
      <c r="V1158" s="61"/>
      <c r="W1158" s="92" t="s">
        <v>161</v>
      </c>
      <c r="X1158" s="93" t="s">
        <v>29</v>
      </c>
      <c r="Y1158" s="93" t="s">
        <v>93</v>
      </c>
      <c r="Z1158" s="134">
        <f>VLOOKUP(W1158,Sheet2!$B:$D,3,FALSE)</f>
        <v>48</v>
      </c>
      <c r="AA1158" s="93">
        <f>(16*0.85*1.5)/(3*3*0.5)</f>
        <v>4.5333333333333332</v>
      </c>
      <c r="AB1158" s="93">
        <f>AD1158/AC1155</f>
        <v>10.588235294117647</v>
      </c>
      <c r="AC1158" s="93">
        <f>AC1155/AA1158</f>
        <v>8.2720588235294115E-2</v>
      </c>
      <c r="AD1158" s="94">
        <f>AC1158*Z1158</f>
        <v>3.9705882352941178</v>
      </c>
      <c r="AE1158" s="190"/>
      <c r="AF1158" s="191"/>
      <c r="AG1158" s="191"/>
      <c r="AH1158" s="191"/>
      <c r="AI1158" s="186"/>
      <c r="AK1158" s="171"/>
    </row>
    <row r="1159" spans="1:41" s="102" customFormat="1" ht="19.899999999999999" customHeight="1" x14ac:dyDescent="0.25">
      <c r="A1159" s="45"/>
      <c r="B1159" s="59"/>
      <c r="C1159" s="137"/>
      <c r="D1159" s="59"/>
      <c r="E1159" s="116"/>
      <c r="F1159" s="120"/>
      <c r="G1159" s="120"/>
      <c r="H1159" s="120"/>
      <c r="I1159" s="60"/>
      <c r="J1159" s="116"/>
      <c r="K1159" s="213"/>
      <c r="L1159" s="120"/>
      <c r="M1159" s="120"/>
      <c r="N1159" s="167"/>
      <c r="O1159" s="120"/>
      <c r="P1159" s="120"/>
      <c r="Q1159" s="120"/>
      <c r="R1159" s="120"/>
      <c r="S1159" s="120"/>
      <c r="T1159" s="221"/>
      <c r="U1159" s="89"/>
      <c r="V1159" s="61"/>
      <c r="W1159" s="92" t="s">
        <v>65</v>
      </c>
      <c r="X1159" s="93" t="s">
        <v>30</v>
      </c>
      <c r="Y1159" s="93" t="s">
        <v>1011</v>
      </c>
      <c r="Z1159" s="134">
        <f>VLOOKUP(W1159,Sheet2!$B:$D,3,FALSE)</f>
        <v>1.76</v>
      </c>
      <c r="AA1159" s="93">
        <f>AA1158/10</f>
        <v>0.45333333333333331</v>
      </c>
      <c r="AB1159" s="93">
        <f>AD1159/AC1155</f>
        <v>3.882352941176471</v>
      </c>
      <c r="AC1159" s="93">
        <f>AC1155/AA1159</f>
        <v>0.82720588235294124</v>
      </c>
      <c r="AD1159" s="94">
        <f>AC1159*Z1159</f>
        <v>1.4558823529411766</v>
      </c>
      <c r="AE1159" s="190"/>
      <c r="AF1159" s="191"/>
      <c r="AG1159" s="191"/>
      <c r="AH1159" s="191"/>
      <c r="AI1159" s="186"/>
      <c r="AK1159" s="171"/>
    </row>
    <row r="1160" spans="1:41" s="103" customFormat="1" ht="19.899999999999999" customHeight="1" x14ac:dyDescent="0.25">
      <c r="A1160" s="51"/>
      <c r="B1160" s="52"/>
      <c r="C1160" s="165"/>
      <c r="D1160" s="52"/>
      <c r="E1160" s="115"/>
      <c r="F1160" s="58"/>
      <c r="G1160" s="58"/>
      <c r="H1160" s="58"/>
      <c r="I1160" s="55"/>
      <c r="J1160" s="113">
        <f>J1154</f>
        <v>0.375</v>
      </c>
      <c r="K1160" s="212">
        <f>K1154</f>
        <v>0.375</v>
      </c>
      <c r="L1160" s="58"/>
      <c r="M1160" s="58">
        <f>K1160-L1160</f>
        <v>0.375</v>
      </c>
      <c r="N1160" s="166"/>
      <c r="O1160" s="58"/>
      <c r="P1160" s="58"/>
      <c r="Q1160" s="58"/>
      <c r="R1160" s="58"/>
      <c r="S1160" s="58"/>
      <c r="T1160" s="220"/>
      <c r="U1160" s="88"/>
      <c r="V1160" s="56"/>
      <c r="W1160" s="57" t="s">
        <v>1352</v>
      </c>
      <c r="X1160" s="53"/>
      <c r="Y1160" s="91" t="s">
        <v>35</v>
      </c>
      <c r="Z1160" s="136">
        <f>AD1160/AC1160</f>
        <v>1550</v>
      </c>
      <c r="AA1160" s="58"/>
      <c r="AB1160" s="53">
        <f>AD1160/AC1160</f>
        <v>1550</v>
      </c>
      <c r="AC1160" s="53">
        <f>M1160+$AE$10</f>
        <v>0.375</v>
      </c>
      <c r="AD1160" s="54">
        <f>SUM(AD1161:AD1166)</f>
        <v>581.25</v>
      </c>
      <c r="AE1160" s="184">
        <f>SUMIFS($AD$37:$AD$12971,$V$37:$V$12971,$V1160,$X$37:$X$12971,AE$13)</f>
        <v>0</v>
      </c>
      <c r="AF1160" s="185">
        <f>SUMIFS($AD$37:$AD$12971,$V$37:$V$12971,$V1160,$X$37:$X$12971,AF$13)</f>
        <v>0</v>
      </c>
      <c r="AG1160" s="185">
        <f>SUMIFS($AD$37:$AD$12971,$V$37:$V$12971,$V1160,$X$37:$X$12971,AG$13)</f>
        <v>0</v>
      </c>
      <c r="AH1160" s="187">
        <f>SUMIFS($AD$37:$AD$12971,$V$37:$V$12971,$V1160,$X$37:$X$12971,AH$13)</f>
        <v>0</v>
      </c>
      <c r="AI1160" s="161">
        <f t="shared" ref="AI1160" si="925">SUM(AE1160:AH1160)</f>
        <v>0</v>
      </c>
      <c r="AK1160" s="172"/>
    </row>
    <row r="1161" spans="1:41" s="102" customFormat="1" ht="19.899999999999999" customHeight="1" x14ac:dyDescent="0.25">
      <c r="A1161" s="45"/>
      <c r="B1161" s="59"/>
      <c r="C1161" s="137"/>
      <c r="D1161" s="59"/>
      <c r="E1161" s="116"/>
      <c r="F1161" s="120"/>
      <c r="G1161" s="120"/>
      <c r="H1161" s="120"/>
      <c r="I1161" s="60"/>
      <c r="J1161" s="116"/>
      <c r="K1161" s="213"/>
      <c r="L1161" s="120"/>
      <c r="M1161" s="120"/>
      <c r="N1161" s="167"/>
      <c r="O1161" s="120"/>
      <c r="P1161" s="120"/>
      <c r="Q1161" s="120"/>
      <c r="R1161" s="120"/>
      <c r="S1161" s="120"/>
      <c r="T1161" s="221"/>
      <c r="U1161" s="89"/>
      <c r="V1161" s="61"/>
      <c r="W1161" s="92" t="s">
        <v>1353</v>
      </c>
      <c r="X1161" s="93" t="s">
        <v>30</v>
      </c>
      <c r="Y1161" s="93" t="s">
        <v>66</v>
      </c>
      <c r="Z1161" s="134">
        <f>VLOOKUP(W1161,Sheet2!$B:$D,3,FALSE)</f>
        <v>350</v>
      </c>
      <c r="AA1161" s="93">
        <f>1/(2*0.5*0.25*4)</f>
        <v>1</v>
      </c>
      <c r="AB1161" s="93">
        <f>AD1161/AC1160</f>
        <v>350</v>
      </c>
      <c r="AC1161" s="93">
        <f>AC1160/AA1161</f>
        <v>0.375</v>
      </c>
      <c r="AD1161" s="94">
        <f t="shared" ref="AD1161:AD1162" si="926">AC1161*Z1161</f>
        <v>131.25</v>
      </c>
      <c r="AE1161" s="190"/>
      <c r="AF1161" s="191"/>
      <c r="AG1161" s="191"/>
      <c r="AH1161" s="191"/>
      <c r="AI1161" s="186"/>
      <c r="AK1161" s="171"/>
    </row>
    <row r="1162" spans="1:41" s="102" customFormat="1" ht="19.899999999999999" customHeight="1" x14ac:dyDescent="0.25">
      <c r="A1162" s="45"/>
      <c r="B1162" s="59"/>
      <c r="C1162" s="137"/>
      <c r="D1162" s="59"/>
      <c r="E1162" s="116"/>
      <c r="F1162" s="120"/>
      <c r="G1162" s="120"/>
      <c r="H1162" s="120"/>
      <c r="I1162" s="60"/>
      <c r="J1162" s="116"/>
      <c r="K1162" s="213"/>
      <c r="L1162" s="120"/>
      <c r="M1162" s="120"/>
      <c r="N1162" s="167"/>
      <c r="O1162" s="120"/>
      <c r="P1162" s="120"/>
      <c r="Q1162" s="120"/>
      <c r="R1162" s="120"/>
      <c r="S1162" s="120"/>
      <c r="T1162" s="221"/>
      <c r="U1162" s="89"/>
      <c r="V1162" s="61"/>
      <c r="W1162" s="92" t="s">
        <v>99</v>
      </c>
      <c r="X1162" s="93" t="s">
        <v>30</v>
      </c>
      <c r="Y1162" s="93" t="s">
        <v>67</v>
      </c>
      <c r="Z1162" s="134">
        <f>VLOOKUP(W1162,Sheet2!$B:$D,3,FALSE)</f>
        <v>2500</v>
      </c>
      <c r="AA1162" s="93">
        <f>1/(2*0.5*0.25*4*0.08)</f>
        <v>12.5</v>
      </c>
      <c r="AB1162" s="93">
        <f>AD1162/AC1160</f>
        <v>200</v>
      </c>
      <c r="AC1162" s="93">
        <f>AC1160/AA1162</f>
        <v>0.03</v>
      </c>
      <c r="AD1162" s="94">
        <f t="shared" si="926"/>
        <v>75</v>
      </c>
      <c r="AE1162" s="190"/>
      <c r="AF1162" s="191"/>
      <c r="AG1162" s="191"/>
      <c r="AH1162" s="191"/>
      <c r="AI1162" s="186"/>
      <c r="AK1162" s="171"/>
    </row>
    <row r="1163" spans="1:41" s="102" customFormat="1" ht="19.899999999999999" customHeight="1" x14ac:dyDescent="0.25">
      <c r="A1163" s="45"/>
      <c r="B1163" s="59"/>
      <c r="C1163" s="137"/>
      <c r="D1163" s="59"/>
      <c r="E1163" s="116"/>
      <c r="F1163" s="120"/>
      <c r="G1163" s="120"/>
      <c r="H1163" s="120"/>
      <c r="I1163" s="60"/>
      <c r="J1163" s="116"/>
      <c r="K1163" s="213"/>
      <c r="L1163" s="120"/>
      <c r="M1163" s="120"/>
      <c r="N1163" s="167"/>
      <c r="O1163" s="120"/>
      <c r="P1163" s="120"/>
      <c r="Q1163" s="120"/>
      <c r="R1163" s="120"/>
      <c r="S1163" s="120"/>
      <c r="T1163" s="221"/>
      <c r="U1163" s="89"/>
      <c r="V1163" s="61"/>
      <c r="W1163" s="92" t="s">
        <v>1355</v>
      </c>
      <c r="X1163" s="93" t="s">
        <v>32</v>
      </c>
      <c r="Y1163" s="93" t="s">
        <v>66</v>
      </c>
      <c r="Z1163" s="134">
        <f>VLOOKUP(W1163,Sheet2!$B:$D,3,FALSE)</f>
        <v>450</v>
      </c>
      <c r="AA1163" s="93">
        <f>AA1161</f>
        <v>1</v>
      </c>
      <c r="AB1163" s="93">
        <f>AD1163/AC1160</f>
        <v>450</v>
      </c>
      <c r="AC1163" s="93">
        <f>AC1160/AA1163</f>
        <v>0.375</v>
      </c>
      <c r="AD1163" s="94">
        <f>AC1163*Z1163</f>
        <v>168.75</v>
      </c>
      <c r="AE1163" s="190"/>
      <c r="AF1163" s="191"/>
      <c r="AG1163" s="191"/>
      <c r="AH1163" s="191"/>
      <c r="AI1163" s="186"/>
      <c r="AK1163" s="171"/>
    </row>
    <row r="1164" spans="1:41" s="102" customFormat="1" ht="19.899999999999999" customHeight="1" x14ac:dyDescent="0.25">
      <c r="A1164" s="45"/>
      <c r="B1164" s="59"/>
      <c r="C1164" s="137"/>
      <c r="D1164" s="59"/>
      <c r="E1164" s="116"/>
      <c r="F1164" s="120"/>
      <c r="G1164" s="120"/>
      <c r="H1164" s="120"/>
      <c r="I1164" s="60"/>
      <c r="J1164" s="116"/>
      <c r="K1164" s="213"/>
      <c r="L1164" s="120"/>
      <c r="M1164" s="120"/>
      <c r="N1164" s="167"/>
      <c r="O1164" s="120"/>
      <c r="P1164" s="120"/>
      <c r="Q1164" s="120"/>
      <c r="R1164" s="120"/>
      <c r="S1164" s="120"/>
      <c r="T1164" s="221"/>
      <c r="U1164" s="89"/>
      <c r="V1164" s="61"/>
      <c r="W1164" s="92" t="s">
        <v>1362</v>
      </c>
      <c r="X1164" s="93" t="s">
        <v>30</v>
      </c>
      <c r="Y1164" s="93" t="s">
        <v>35</v>
      </c>
      <c r="Z1164" s="134">
        <f>VLOOKUP(W1164,Sheet2!$B:$D,3,FALSE)</f>
        <v>400</v>
      </c>
      <c r="AA1164" s="93">
        <v>1</v>
      </c>
      <c r="AB1164" s="93">
        <f>AD1164/AC1160</f>
        <v>400</v>
      </c>
      <c r="AC1164" s="93">
        <f>AC1160/AA1164</f>
        <v>0.375</v>
      </c>
      <c r="AD1164" s="94">
        <f t="shared" ref="AD1164" si="927">AC1164*Z1164</f>
        <v>150</v>
      </c>
      <c r="AE1164" s="190"/>
      <c r="AF1164" s="191"/>
      <c r="AG1164" s="191"/>
      <c r="AH1164" s="191"/>
      <c r="AI1164" s="186"/>
      <c r="AK1164" s="171"/>
    </row>
    <row r="1165" spans="1:41" s="102" customFormat="1" ht="19.899999999999999" customHeight="1" x14ac:dyDescent="0.25">
      <c r="A1165" s="45"/>
      <c r="B1165" s="59"/>
      <c r="C1165" s="137"/>
      <c r="D1165" s="59"/>
      <c r="E1165" s="116"/>
      <c r="F1165" s="120"/>
      <c r="G1165" s="120"/>
      <c r="H1165" s="120"/>
      <c r="I1165" s="60"/>
      <c r="J1165" s="116"/>
      <c r="K1165" s="213"/>
      <c r="L1165" s="120"/>
      <c r="M1165" s="120"/>
      <c r="N1165" s="167"/>
      <c r="O1165" s="120"/>
      <c r="P1165" s="120"/>
      <c r="Q1165" s="120"/>
      <c r="R1165" s="120"/>
      <c r="S1165" s="120"/>
      <c r="T1165" s="221"/>
      <c r="U1165" s="89"/>
      <c r="V1165" s="61"/>
      <c r="W1165" s="92" t="s">
        <v>107</v>
      </c>
      <c r="X1165" s="93" t="s">
        <v>31</v>
      </c>
      <c r="Y1165" s="93" t="s">
        <v>93</v>
      </c>
      <c r="Z1165" s="134">
        <f>VLOOKUP(W1165,Sheet2!$B:$D,3,FALSE)</f>
        <v>17</v>
      </c>
      <c r="AA1165" s="93">
        <f>1/5</f>
        <v>0.2</v>
      </c>
      <c r="AB1165" s="93">
        <f>AD1165/AC1160</f>
        <v>85</v>
      </c>
      <c r="AC1165" s="93">
        <f>AC1160/AA1165</f>
        <v>1.875</v>
      </c>
      <c r="AD1165" s="94">
        <f>AC1165*Z1165</f>
        <v>31.875</v>
      </c>
      <c r="AE1165" s="190"/>
      <c r="AF1165" s="191"/>
      <c r="AG1165" s="191"/>
      <c r="AH1165" s="191"/>
      <c r="AI1165" s="186"/>
      <c r="AK1165" s="171"/>
    </row>
    <row r="1166" spans="1:41" s="102" customFormat="1" ht="19.899999999999999" customHeight="1" x14ac:dyDescent="0.25">
      <c r="A1166" s="45"/>
      <c r="B1166" s="59"/>
      <c r="C1166" s="137"/>
      <c r="D1166" s="59"/>
      <c r="E1166" s="116"/>
      <c r="F1166" s="120"/>
      <c r="G1166" s="120"/>
      <c r="H1166" s="120"/>
      <c r="I1166" s="60"/>
      <c r="J1166" s="116"/>
      <c r="K1166" s="213"/>
      <c r="L1166" s="120"/>
      <c r="M1166" s="120"/>
      <c r="N1166" s="167"/>
      <c r="O1166" s="120"/>
      <c r="P1166" s="120"/>
      <c r="Q1166" s="120"/>
      <c r="R1166" s="120"/>
      <c r="S1166" s="120"/>
      <c r="T1166" s="221"/>
      <c r="U1166" s="89"/>
      <c r="V1166" s="61"/>
      <c r="W1166" s="92" t="s">
        <v>112</v>
      </c>
      <c r="X1166" s="93" t="s">
        <v>31</v>
      </c>
      <c r="Y1166" s="93" t="s">
        <v>93</v>
      </c>
      <c r="Z1166" s="134">
        <f>VLOOKUP(W1166,Sheet2!$B:$D,3,FALSE)</f>
        <v>13</v>
      </c>
      <c r="AA1166" s="93">
        <f>AA1165</f>
        <v>0.2</v>
      </c>
      <c r="AB1166" s="93">
        <f>AD1166/AC1160</f>
        <v>65</v>
      </c>
      <c r="AC1166" s="93">
        <f>AC1160/AA1166</f>
        <v>1.875</v>
      </c>
      <c r="AD1166" s="94">
        <f>AC1166*Z1166</f>
        <v>24.375</v>
      </c>
      <c r="AE1166" s="190"/>
      <c r="AF1166" s="191"/>
      <c r="AG1166" s="191"/>
      <c r="AH1166" s="191"/>
      <c r="AI1166" s="186"/>
      <c r="AK1166" s="171"/>
    </row>
    <row r="1167" spans="1:41" s="103" customFormat="1" ht="19.899999999999999" customHeight="1" x14ac:dyDescent="0.25">
      <c r="A1167" s="51"/>
      <c r="B1167" s="52"/>
      <c r="C1167" s="165"/>
      <c r="D1167" s="52"/>
      <c r="E1167" s="115"/>
      <c r="F1167" s="58"/>
      <c r="G1167" s="58"/>
      <c r="H1167" s="58"/>
      <c r="I1167" s="55"/>
      <c r="J1167" s="113">
        <f>J1154</f>
        <v>0.375</v>
      </c>
      <c r="K1167" s="212">
        <f>K1154</f>
        <v>0.375</v>
      </c>
      <c r="L1167" s="58"/>
      <c r="M1167" s="58">
        <f>K1167-L1167</f>
        <v>0.375</v>
      </c>
      <c r="N1167" s="166"/>
      <c r="O1167" s="58"/>
      <c r="P1167" s="58"/>
      <c r="Q1167" s="58"/>
      <c r="R1167" s="58"/>
      <c r="S1167" s="58"/>
      <c r="T1167" s="220"/>
      <c r="U1167" s="88"/>
      <c r="V1167" s="56"/>
      <c r="W1167" s="57" t="s">
        <v>1358</v>
      </c>
      <c r="X1167" s="53"/>
      <c r="Y1167" s="91" t="s">
        <v>35</v>
      </c>
      <c r="Z1167" s="136">
        <f>AD1167/AC1167</f>
        <v>560</v>
      </c>
      <c r="AA1167" s="58"/>
      <c r="AB1167" s="53">
        <f>AD1167/AC1167</f>
        <v>560</v>
      </c>
      <c r="AC1167" s="53">
        <f>M1167+$AE$10</f>
        <v>0.375</v>
      </c>
      <c r="AD1167" s="54">
        <f>SUM(AD1168:AD1169)</f>
        <v>210</v>
      </c>
      <c r="AE1167" s="184">
        <f>SUMIFS($AD$37:$AD$12971,$V$37:$V$12971,$V1167,$X$37:$X$12971,AE$13)</f>
        <v>0</v>
      </c>
      <c r="AF1167" s="185">
        <f>SUMIFS($AD$37:$AD$12971,$V$37:$V$12971,$V1167,$X$37:$X$12971,AF$13)</f>
        <v>0</v>
      </c>
      <c r="AG1167" s="185">
        <f>SUMIFS($AD$37:$AD$12971,$V$37:$V$12971,$V1167,$X$37:$X$12971,AG$13)</f>
        <v>0</v>
      </c>
      <c r="AH1167" s="187">
        <f>SUMIFS($AD$37:$AD$12971,$V$37:$V$12971,$V1167,$X$37:$X$12971,AH$13)</f>
        <v>0</v>
      </c>
      <c r="AI1167" s="161">
        <f t="shared" ref="AI1167" si="928">SUM(AE1167:AH1167)</f>
        <v>0</v>
      </c>
      <c r="AK1167" s="172"/>
    </row>
    <row r="1168" spans="1:41" s="102" customFormat="1" ht="19.899999999999999" customHeight="1" x14ac:dyDescent="0.25">
      <c r="A1168" s="45"/>
      <c r="B1168" s="59"/>
      <c r="C1168" s="137"/>
      <c r="D1168" s="59"/>
      <c r="E1168" s="116"/>
      <c r="F1168" s="120"/>
      <c r="G1168" s="120"/>
      <c r="H1168" s="120"/>
      <c r="I1168" s="60"/>
      <c r="J1168" s="116"/>
      <c r="K1168" s="213"/>
      <c r="L1168" s="120"/>
      <c r="M1168" s="120"/>
      <c r="N1168" s="167"/>
      <c r="O1168" s="120"/>
      <c r="P1168" s="120"/>
      <c r="Q1168" s="120"/>
      <c r="R1168" s="120"/>
      <c r="S1168" s="120"/>
      <c r="T1168" s="221"/>
      <c r="U1168" s="89"/>
      <c r="V1168" s="61"/>
      <c r="W1168" s="92" t="s">
        <v>1359</v>
      </c>
      <c r="X1168" s="93" t="s">
        <v>32</v>
      </c>
      <c r="Y1168" s="93" t="s">
        <v>64</v>
      </c>
      <c r="Z1168" s="134">
        <f>VLOOKUP(W1168,Sheet2!$B:$D,3,FALSE)</f>
        <v>40</v>
      </c>
      <c r="AA1168" s="93">
        <f>1/8</f>
        <v>0.125</v>
      </c>
      <c r="AB1168" s="93">
        <f t="shared" ref="AB1168" si="929">AD1168/AC1167</f>
        <v>320</v>
      </c>
      <c r="AC1168" s="93">
        <f>AC1167/AA1168</f>
        <v>3</v>
      </c>
      <c r="AD1168" s="94">
        <f t="shared" ref="AD1168:AD1169" si="930">AC1168*Z1168</f>
        <v>120</v>
      </c>
      <c r="AE1168" s="190"/>
      <c r="AF1168" s="191"/>
      <c r="AG1168" s="191"/>
      <c r="AH1168" s="191"/>
      <c r="AI1168" s="186"/>
      <c r="AK1168" s="171"/>
    </row>
    <row r="1169" spans="1:41" s="102" customFormat="1" ht="19.899999999999999" customHeight="1" x14ac:dyDescent="0.25">
      <c r="A1169" s="45"/>
      <c r="B1169" s="59"/>
      <c r="C1169" s="137"/>
      <c r="D1169" s="59"/>
      <c r="E1169" s="116"/>
      <c r="F1169" s="120"/>
      <c r="G1169" s="120"/>
      <c r="H1169" s="120"/>
      <c r="I1169" s="60"/>
      <c r="J1169" s="116"/>
      <c r="K1169" s="213"/>
      <c r="L1169" s="120"/>
      <c r="M1169" s="120"/>
      <c r="N1169" s="167"/>
      <c r="O1169" s="120"/>
      <c r="P1169" s="120"/>
      <c r="Q1169" s="120"/>
      <c r="R1169" s="120"/>
      <c r="S1169" s="120"/>
      <c r="T1169" s="221"/>
      <c r="U1169" s="89"/>
      <c r="V1169" s="61"/>
      <c r="W1169" s="92" t="s">
        <v>1360</v>
      </c>
      <c r="X1169" s="93" t="s">
        <v>32</v>
      </c>
      <c r="Y1169" s="93" t="s">
        <v>64</v>
      </c>
      <c r="Z1169" s="134">
        <f>VLOOKUP(W1169,Sheet2!$B:$D,3,FALSE)</f>
        <v>30</v>
      </c>
      <c r="AA1169" s="93">
        <f>AA1168</f>
        <v>0.125</v>
      </c>
      <c r="AB1169" s="93">
        <f>AD1169/AC1167</f>
        <v>240</v>
      </c>
      <c r="AC1169" s="93">
        <f>AC1167/AA1169</f>
        <v>3</v>
      </c>
      <c r="AD1169" s="94">
        <f t="shared" si="930"/>
        <v>90</v>
      </c>
      <c r="AE1169" s="190"/>
      <c r="AF1169" s="191"/>
      <c r="AG1169" s="191"/>
      <c r="AH1169" s="191"/>
      <c r="AI1169" s="186"/>
      <c r="AK1169" s="171"/>
    </row>
    <row r="1170" spans="1:41" s="103" customFormat="1" ht="19.899999999999999" customHeight="1" x14ac:dyDescent="0.25">
      <c r="A1170" s="51"/>
      <c r="B1170" s="52"/>
      <c r="C1170" s="165"/>
      <c r="D1170" s="52"/>
      <c r="E1170" s="115"/>
      <c r="F1170" s="58"/>
      <c r="G1170" s="58"/>
      <c r="H1170" s="58"/>
      <c r="I1170" s="55"/>
      <c r="J1170" s="113">
        <f>J1154</f>
        <v>0.375</v>
      </c>
      <c r="K1170" s="212">
        <f>K1154</f>
        <v>0.375</v>
      </c>
      <c r="L1170" s="58"/>
      <c r="M1170" s="58">
        <f>K1170-L1170</f>
        <v>0.375</v>
      </c>
      <c r="N1170" s="166"/>
      <c r="O1170" s="58"/>
      <c r="P1170" s="58"/>
      <c r="Q1170" s="58"/>
      <c r="R1170" s="58"/>
      <c r="S1170" s="58"/>
      <c r="T1170" s="220"/>
      <c r="U1170" s="88"/>
      <c r="V1170" s="56"/>
      <c r="W1170" s="57" t="s">
        <v>1272</v>
      </c>
      <c r="X1170" s="53"/>
      <c r="Y1170" s="91" t="s">
        <v>35</v>
      </c>
      <c r="Z1170" s="136">
        <f>AD1170/AC1170</f>
        <v>44.737215686274517</v>
      </c>
      <c r="AA1170" s="58"/>
      <c r="AB1170" s="53">
        <f>AD1170/AC1170</f>
        <v>44.737215686274517</v>
      </c>
      <c r="AC1170" s="53">
        <f>M1170+$AE$10</f>
        <v>0.375</v>
      </c>
      <c r="AD1170" s="54">
        <f>SUM(AD1171:AD1179)</f>
        <v>16.776455882352945</v>
      </c>
      <c r="AE1170" s="184">
        <f>SUMIFS($AD$37:$AD$12971,$V$37:$V$12971,$V1170,$X$37:$X$12971,AE$13)</f>
        <v>0</v>
      </c>
      <c r="AF1170" s="185">
        <f>SUMIFS($AD$37:$AD$12971,$V$37:$V$12971,$V1170,$X$37:$X$12971,AF$13)</f>
        <v>0</v>
      </c>
      <c r="AG1170" s="185">
        <f>SUMIFS($AD$37:$AD$12971,$V$37:$V$12971,$V1170,$X$37:$X$12971,AG$13)</f>
        <v>0</v>
      </c>
      <c r="AH1170" s="187">
        <f>SUMIFS($AD$37:$AD$12971,$V$37:$V$12971,$V1170,$X$37:$X$12971,AH$13)</f>
        <v>0</v>
      </c>
      <c r="AI1170" s="161">
        <f t="shared" ref="AI1170" si="931">SUM(AE1170:AH1170)</f>
        <v>0</v>
      </c>
      <c r="AK1170" s="172"/>
    </row>
    <row r="1171" spans="1:41" s="102" customFormat="1" ht="19.899999999999999" customHeight="1" x14ac:dyDescent="0.25">
      <c r="A1171" s="45"/>
      <c r="B1171" s="59"/>
      <c r="C1171" s="137"/>
      <c r="D1171" s="59"/>
      <c r="E1171" s="116"/>
      <c r="F1171" s="120"/>
      <c r="G1171" s="120"/>
      <c r="H1171" s="120"/>
      <c r="I1171" s="60"/>
      <c r="J1171" s="116"/>
      <c r="K1171" s="213"/>
      <c r="L1171" s="120"/>
      <c r="M1171" s="120"/>
      <c r="N1171" s="167"/>
      <c r="O1171" s="120"/>
      <c r="P1171" s="120"/>
      <c r="Q1171" s="120"/>
      <c r="R1171" s="120"/>
      <c r="S1171" s="120"/>
      <c r="T1171" s="221"/>
      <c r="U1171" s="89"/>
      <c r="V1171" s="61"/>
      <c r="W1171" s="92" t="s">
        <v>1273</v>
      </c>
      <c r="X1171" s="93" t="s">
        <v>30</v>
      </c>
      <c r="Y1171" s="93" t="s">
        <v>66</v>
      </c>
      <c r="Z1171" s="134">
        <f>VLOOKUP(W1171,Sheet2!$B:$D,3,FALSE)</f>
        <v>10</v>
      </c>
      <c r="AA1171" s="93">
        <f>1/(2.5*0.5*0.5*4)</f>
        <v>0.4</v>
      </c>
      <c r="AB1171" s="93">
        <f>AD1171/AC1170</f>
        <v>25</v>
      </c>
      <c r="AC1171" s="93">
        <f>AC1170/AA1171</f>
        <v>0.9375</v>
      </c>
      <c r="AD1171" s="94">
        <f t="shared" ref="AD1171:AD1173" si="932">AC1171*Z1171</f>
        <v>9.375</v>
      </c>
      <c r="AE1171" s="190"/>
      <c r="AF1171" s="191"/>
      <c r="AG1171" s="191"/>
      <c r="AH1171" s="191"/>
      <c r="AI1171" s="186"/>
      <c r="AK1171" s="171"/>
    </row>
    <row r="1172" spans="1:41" s="102" customFormat="1" ht="19.899999999999999" customHeight="1" x14ac:dyDescent="0.25">
      <c r="A1172" s="45"/>
      <c r="B1172" s="59"/>
      <c r="C1172" s="137"/>
      <c r="D1172" s="59"/>
      <c r="E1172" s="116"/>
      <c r="F1172" s="120"/>
      <c r="G1172" s="120"/>
      <c r="H1172" s="120"/>
      <c r="I1172" s="60"/>
      <c r="J1172" s="116"/>
      <c r="K1172" s="213"/>
      <c r="L1172" s="120"/>
      <c r="M1172" s="120"/>
      <c r="N1172" s="167"/>
      <c r="O1172" s="120"/>
      <c r="P1172" s="120"/>
      <c r="Q1172" s="120"/>
      <c r="R1172" s="120"/>
      <c r="S1172" s="120"/>
      <c r="T1172" s="221"/>
      <c r="U1172" s="89"/>
      <c r="V1172" s="61"/>
      <c r="W1172" s="92" t="s">
        <v>134</v>
      </c>
      <c r="X1172" s="93" t="s">
        <v>29</v>
      </c>
      <c r="Y1172" s="93" t="s">
        <v>93</v>
      </c>
      <c r="Z1172" s="134">
        <f>VLOOKUP(W1172,Sheet2!$B:$D,3,FALSE)</f>
        <v>65.599999999999994</v>
      </c>
      <c r="AA1172" s="93">
        <f>100/(2.5*0.5*0.5*4)</f>
        <v>40</v>
      </c>
      <c r="AB1172" s="93">
        <f t="shared" ref="AB1172" si="933">AD1172/AC1170</f>
        <v>1.6399999999999997</v>
      </c>
      <c r="AC1172" s="93">
        <f>AC1170/AA1172</f>
        <v>9.3749999999999997E-3</v>
      </c>
      <c r="AD1172" s="94">
        <f t="shared" si="932"/>
        <v>0.61499999999999988</v>
      </c>
      <c r="AE1172" s="190"/>
      <c r="AF1172" s="191"/>
      <c r="AG1172" s="191"/>
      <c r="AH1172" s="191"/>
      <c r="AI1172" s="186"/>
      <c r="AK1172" s="171"/>
    </row>
    <row r="1173" spans="1:41" s="102" customFormat="1" ht="19.899999999999999" customHeight="1" x14ac:dyDescent="0.25">
      <c r="A1173" s="45"/>
      <c r="B1173" s="59"/>
      <c r="C1173" s="137"/>
      <c r="D1173" s="59"/>
      <c r="E1173" s="116"/>
      <c r="F1173" s="120"/>
      <c r="G1173" s="120"/>
      <c r="H1173" s="120"/>
      <c r="I1173" s="60"/>
      <c r="J1173" s="116"/>
      <c r="K1173" s="213"/>
      <c r="L1173" s="120"/>
      <c r="M1173" s="120"/>
      <c r="N1173" s="167"/>
      <c r="O1173" s="120"/>
      <c r="P1173" s="120"/>
      <c r="Q1173" s="120"/>
      <c r="R1173" s="120"/>
      <c r="S1173" s="120"/>
      <c r="T1173" s="221"/>
      <c r="U1173" s="89"/>
      <c r="V1173" s="61"/>
      <c r="W1173" s="92" t="s">
        <v>65</v>
      </c>
      <c r="X1173" s="93" t="s">
        <v>30</v>
      </c>
      <c r="Y1173" s="93" t="s">
        <v>1011</v>
      </c>
      <c r="Z1173" s="134">
        <f>VLOOKUP(W1173,Sheet2!$B:$D,3,FALSE)</f>
        <v>1.76</v>
      </c>
      <c r="AA1173" s="93">
        <f>AA1172/9</f>
        <v>4.4444444444444446</v>
      </c>
      <c r="AB1173" s="93">
        <f>AD1173/AC1170</f>
        <v>0.39599999999999996</v>
      </c>
      <c r="AC1173" s="93">
        <f>AC1170/AA1173</f>
        <v>8.4374999999999992E-2</v>
      </c>
      <c r="AD1173" s="94">
        <f t="shared" si="932"/>
        <v>0.14849999999999999</v>
      </c>
      <c r="AE1173" s="190"/>
      <c r="AF1173" s="191"/>
      <c r="AG1173" s="191"/>
      <c r="AH1173" s="191"/>
      <c r="AI1173" s="186"/>
      <c r="AK1173" s="171"/>
    </row>
    <row r="1174" spans="1:41" s="102" customFormat="1" ht="19.899999999999999" customHeight="1" x14ac:dyDescent="0.25">
      <c r="A1174" s="45"/>
      <c r="B1174" s="59"/>
      <c r="C1174" s="137"/>
      <c r="D1174" s="59"/>
      <c r="E1174" s="116"/>
      <c r="F1174" s="120"/>
      <c r="G1174" s="120"/>
      <c r="H1174" s="120"/>
      <c r="I1174" s="60"/>
      <c r="J1174" s="116"/>
      <c r="K1174" s="213"/>
      <c r="L1174" s="120"/>
      <c r="M1174" s="120"/>
      <c r="N1174" s="167"/>
      <c r="O1174" s="120"/>
      <c r="P1174" s="120"/>
      <c r="Q1174" s="120"/>
      <c r="R1174" s="120"/>
      <c r="S1174" s="120"/>
      <c r="T1174" s="221"/>
      <c r="U1174" s="89"/>
      <c r="V1174" s="61"/>
      <c r="W1174" s="92" t="s">
        <v>161</v>
      </c>
      <c r="X1174" s="93" t="s">
        <v>29</v>
      </c>
      <c r="Y1174" s="93" t="s">
        <v>93</v>
      </c>
      <c r="Z1174" s="134">
        <f>VLOOKUP(W1174,Sheet2!$B:$D,3,FALSE)</f>
        <v>48</v>
      </c>
      <c r="AA1174" s="93">
        <f>(16*0.85*1.5)/(2.5*0.5*0.5*4)</f>
        <v>8.16</v>
      </c>
      <c r="AB1174" s="93">
        <f>AD1174/AC1170</f>
        <v>5.8823529411764701</v>
      </c>
      <c r="AC1174" s="93">
        <f>AC1170/AA1174</f>
        <v>4.5955882352941173E-2</v>
      </c>
      <c r="AD1174" s="94">
        <f>AC1174*Z1174</f>
        <v>2.2058823529411762</v>
      </c>
      <c r="AE1174" s="190"/>
      <c r="AF1174" s="191"/>
      <c r="AG1174" s="191"/>
      <c r="AH1174" s="191"/>
      <c r="AI1174" s="186"/>
      <c r="AK1174" s="171"/>
    </row>
    <row r="1175" spans="1:41" s="102" customFormat="1" ht="19.899999999999999" customHeight="1" x14ac:dyDescent="0.25">
      <c r="A1175" s="45"/>
      <c r="B1175" s="59"/>
      <c r="C1175" s="137"/>
      <c r="D1175" s="59"/>
      <c r="E1175" s="116"/>
      <c r="F1175" s="120"/>
      <c r="G1175" s="120"/>
      <c r="H1175" s="120"/>
      <c r="I1175" s="60"/>
      <c r="J1175" s="116"/>
      <c r="K1175" s="213"/>
      <c r="L1175" s="120"/>
      <c r="M1175" s="120"/>
      <c r="N1175" s="167"/>
      <c r="O1175" s="120"/>
      <c r="P1175" s="120"/>
      <c r="Q1175" s="120"/>
      <c r="R1175" s="120"/>
      <c r="S1175" s="120"/>
      <c r="T1175" s="221"/>
      <c r="U1175" s="89"/>
      <c r="V1175" s="61"/>
      <c r="W1175" s="92" t="s">
        <v>65</v>
      </c>
      <c r="X1175" s="93" t="s">
        <v>30</v>
      </c>
      <c r="Y1175" s="93" t="s">
        <v>1011</v>
      </c>
      <c r="Z1175" s="134">
        <f>VLOOKUP(W1175,Sheet2!$B:$D,3,FALSE)</f>
        <v>1.76</v>
      </c>
      <c r="AA1175" s="93">
        <f>AA1174/10</f>
        <v>0.81600000000000006</v>
      </c>
      <c r="AB1175" s="93">
        <f>AD1175/AC1170</f>
        <v>2.1568627450980391</v>
      </c>
      <c r="AC1175" s="93">
        <f>AC1170/AA1175</f>
        <v>0.45955882352941174</v>
      </c>
      <c r="AD1175" s="94">
        <f>AC1175*Z1175</f>
        <v>0.80882352941176472</v>
      </c>
      <c r="AE1175" s="190"/>
      <c r="AF1175" s="191"/>
      <c r="AG1175" s="191"/>
      <c r="AH1175" s="191"/>
      <c r="AI1175" s="186"/>
      <c r="AK1175" s="171"/>
    </row>
    <row r="1176" spans="1:41" s="102" customFormat="1" ht="19.899999999999999" customHeight="1" x14ac:dyDescent="0.25">
      <c r="A1176" s="45"/>
      <c r="B1176" s="59"/>
      <c r="C1176" s="137"/>
      <c r="D1176" s="59"/>
      <c r="E1176" s="116"/>
      <c r="F1176" s="120"/>
      <c r="G1176" s="120"/>
      <c r="H1176" s="120"/>
      <c r="I1176" s="60"/>
      <c r="J1176" s="116"/>
      <c r="K1176" s="213"/>
      <c r="L1176" s="120"/>
      <c r="M1176" s="120"/>
      <c r="N1176" s="167"/>
      <c r="O1176" s="120"/>
      <c r="P1176" s="120"/>
      <c r="Q1176" s="120"/>
      <c r="R1176" s="120"/>
      <c r="S1176" s="120"/>
      <c r="T1176" s="221"/>
      <c r="U1176" s="89"/>
      <c r="V1176" s="61"/>
      <c r="W1176" s="92" t="s">
        <v>173</v>
      </c>
      <c r="X1176" s="93" t="s">
        <v>29</v>
      </c>
      <c r="Y1176" s="93" t="s">
        <v>93</v>
      </c>
      <c r="Z1176" s="134">
        <f>VLOOKUP(W1176,Sheet2!$B:$D,3,FALSE)</f>
        <v>36</v>
      </c>
      <c r="AA1176" s="93">
        <f>50/(2.5*0.5*0.5*4)</f>
        <v>20</v>
      </c>
      <c r="AB1176" s="93">
        <f>AD1176/AC1170</f>
        <v>1.7999999999999998</v>
      </c>
      <c r="AC1176" s="93">
        <f>AC1170/AA1176</f>
        <v>1.8749999999999999E-2</v>
      </c>
      <c r="AD1176" s="94">
        <f>AC1176*Z1176</f>
        <v>0.67499999999999993</v>
      </c>
      <c r="AE1176" s="190"/>
      <c r="AF1176" s="191"/>
      <c r="AG1176" s="191"/>
      <c r="AH1176" s="191"/>
      <c r="AI1176" s="186"/>
      <c r="AK1176" s="171"/>
    </row>
    <row r="1177" spans="1:41" s="102" customFormat="1" ht="19.899999999999999" customHeight="1" x14ac:dyDescent="0.25">
      <c r="A1177" s="45"/>
      <c r="B1177" s="59"/>
      <c r="C1177" s="137"/>
      <c r="D1177" s="59"/>
      <c r="E1177" s="116"/>
      <c r="F1177" s="120"/>
      <c r="G1177" s="120"/>
      <c r="H1177" s="120"/>
      <c r="I1177" s="60"/>
      <c r="J1177" s="116"/>
      <c r="K1177" s="213"/>
      <c r="L1177" s="120"/>
      <c r="M1177" s="120"/>
      <c r="N1177" s="167"/>
      <c r="O1177" s="120"/>
      <c r="P1177" s="120"/>
      <c r="Q1177" s="120"/>
      <c r="R1177" s="120"/>
      <c r="S1177" s="120"/>
      <c r="T1177" s="221"/>
      <c r="U1177" s="89"/>
      <c r="V1177" s="61"/>
      <c r="W1177" s="92" t="s">
        <v>65</v>
      </c>
      <c r="X1177" s="93" t="s">
        <v>30</v>
      </c>
      <c r="Y1177" s="93" t="s">
        <v>1011</v>
      </c>
      <c r="Z1177" s="134">
        <f>VLOOKUP(W1177,Sheet2!$B:$D,3,FALSE)</f>
        <v>1.76</v>
      </c>
      <c r="AA1177" s="93">
        <f>AA1176/9</f>
        <v>2.2222222222222223</v>
      </c>
      <c r="AB1177" s="93">
        <f>AD1177/AC1170</f>
        <v>0.79199999999999993</v>
      </c>
      <c r="AC1177" s="93">
        <f>AC1170/AA1177</f>
        <v>0.16874999999999998</v>
      </c>
      <c r="AD1177" s="94">
        <f>AC1177*Z1177</f>
        <v>0.29699999999999999</v>
      </c>
      <c r="AE1177" s="190"/>
      <c r="AF1177" s="191"/>
      <c r="AG1177" s="191"/>
      <c r="AH1177" s="191"/>
      <c r="AI1177" s="186"/>
      <c r="AK1177" s="171"/>
    </row>
    <row r="1178" spans="1:41" s="102" customFormat="1" ht="19.899999999999999" customHeight="1" x14ac:dyDescent="0.25">
      <c r="A1178" s="45"/>
      <c r="B1178" s="59"/>
      <c r="C1178" s="137"/>
      <c r="D1178" s="59"/>
      <c r="E1178" s="116"/>
      <c r="F1178" s="120"/>
      <c r="G1178" s="120"/>
      <c r="H1178" s="120"/>
      <c r="I1178" s="60"/>
      <c r="J1178" s="116"/>
      <c r="K1178" s="213"/>
      <c r="L1178" s="120"/>
      <c r="M1178" s="120"/>
      <c r="N1178" s="167"/>
      <c r="O1178" s="120"/>
      <c r="P1178" s="120"/>
      <c r="Q1178" s="120"/>
      <c r="R1178" s="120"/>
      <c r="S1178" s="120"/>
      <c r="T1178" s="221"/>
      <c r="U1178" s="89"/>
      <c r="V1178" s="61"/>
      <c r="W1178" s="92" t="s">
        <v>1030</v>
      </c>
      <c r="X1178" s="93" t="s">
        <v>29</v>
      </c>
      <c r="Y1178" s="93" t="s">
        <v>93</v>
      </c>
      <c r="Z1178" s="134">
        <f>VLOOKUP(W1178,Sheet2!$B:$D,3,FALSE)</f>
        <v>23</v>
      </c>
      <c r="AA1178" s="93">
        <f>1*4</f>
        <v>4</v>
      </c>
      <c r="AB1178" s="93">
        <f>AD1178/AC1170</f>
        <v>5.75</v>
      </c>
      <c r="AC1178" s="93">
        <f>AC1170/AA1178</f>
        <v>9.375E-2</v>
      </c>
      <c r="AD1178" s="94">
        <f t="shared" ref="AD1178:AD1179" si="934">AC1178*Z1178</f>
        <v>2.15625</v>
      </c>
      <c r="AE1178" s="190"/>
      <c r="AF1178" s="191"/>
      <c r="AG1178" s="191"/>
      <c r="AH1178" s="191"/>
      <c r="AI1178" s="186"/>
      <c r="AK1178" s="171"/>
    </row>
    <row r="1179" spans="1:41" s="102" customFormat="1" ht="19.899999999999999" customHeight="1" x14ac:dyDescent="0.25">
      <c r="A1179" s="45"/>
      <c r="B1179" s="59"/>
      <c r="C1179" s="137"/>
      <c r="D1179" s="59"/>
      <c r="E1179" s="116"/>
      <c r="F1179" s="120"/>
      <c r="G1179" s="120"/>
      <c r="H1179" s="120"/>
      <c r="I1179" s="60"/>
      <c r="J1179" s="116"/>
      <c r="K1179" s="213"/>
      <c r="L1179" s="120"/>
      <c r="M1179" s="120"/>
      <c r="N1179" s="167"/>
      <c r="O1179" s="120"/>
      <c r="P1179" s="120"/>
      <c r="Q1179" s="120"/>
      <c r="R1179" s="120"/>
      <c r="S1179" s="120"/>
      <c r="T1179" s="221"/>
      <c r="U1179" s="89"/>
      <c r="V1179" s="61"/>
      <c r="W1179" s="92" t="s">
        <v>65</v>
      </c>
      <c r="X1179" s="93" t="s">
        <v>30</v>
      </c>
      <c r="Y1179" s="93" t="s">
        <v>1011</v>
      </c>
      <c r="Z1179" s="134">
        <f>VLOOKUP(W1179,Sheet2!$B:$D,3,FALSE)</f>
        <v>1.76</v>
      </c>
      <c r="AA1179" s="93">
        <f>AA1178/3</f>
        <v>1.3333333333333333</v>
      </c>
      <c r="AB1179" s="93">
        <f>AD1179/AC1170</f>
        <v>1.32</v>
      </c>
      <c r="AC1179" s="93">
        <f>AC1170/AA1179</f>
        <v>0.28125</v>
      </c>
      <c r="AD1179" s="94">
        <f t="shared" si="934"/>
        <v>0.495</v>
      </c>
      <c r="AE1179" s="190"/>
      <c r="AF1179" s="191"/>
      <c r="AG1179" s="191"/>
      <c r="AH1179" s="191"/>
      <c r="AI1179" s="186"/>
      <c r="AK1179" s="171"/>
    </row>
    <row r="1180" spans="1:41" ht="20.100000000000001" customHeight="1" x14ac:dyDescent="0.25">
      <c r="A1180" s="277" t="s">
        <v>216</v>
      </c>
      <c r="B1180" s="278"/>
      <c r="C1180" s="64" t="s">
        <v>347</v>
      </c>
      <c r="D1180" s="46" t="s">
        <v>215</v>
      </c>
      <c r="E1180" s="114">
        <v>2.2399999999999993</v>
      </c>
      <c r="F1180" s="44">
        <v>11455</v>
      </c>
      <c r="G1180" s="44">
        <f t="shared" si="607"/>
        <v>25659.199999999993</v>
      </c>
      <c r="H1180" s="44">
        <f t="shared" si="608"/>
        <v>4195.6732078431369</v>
      </c>
      <c r="I1180" s="43">
        <f t="shared" si="609"/>
        <v>9398.3079855686246</v>
      </c>
      <c r="J1180" s="112">
        <f t="shared" si="610"/>
        <v>2.2399999999999993</v>
      </c>
      <c r="K1180" s="211">
        <f t="shared" si="611"/>
        <v>2.2399999999999993</v>
      </c>
      <c r="L1180" s="44"/>
      <c r="M1180" s="44">
        <f t="shared" si="612"/>
        <v>2.2399999999999993</v>
      </c>
      <c r="N1180" s="173">
        <f t="shared" si="613"/>
        <v>1</v>
      </c>
      <c r="O1180" s="44">
        <f t="shared" si="614"/>
        <v>11455</v>
      </c>
      <c r="P1180" s="44">
        <f t="shared" si="615"/>
        <v>25659.199999999993</v>
      </c>
      <c r="Q1180" s="44">
        <f t="shared" si="616"/>
        <v>4195.6732078431369</v>
      </c>
      <c r="R1180" s="44">
        <f t="shared" si="617"/>
        <v>9398.3079855686246</v>
      </c>
      <c r="S1180" s="123"/>
      <c r="T1180" s="219">
        <f t="shared" si="618"/>
        <v>9398.3079855686246</v>
      </c>
      <c r="U1180" s="87"/>
      <c r="V1180" s="47"/>
      <c r="W1180" s="48"/>
      <c r="X1180" s="48"/>
      <c r="Y1180" s="48"/>
      <c r="Z1180" s="135"/>
      <c r="AA1180" s="49"/>
      <c r="AB1180" s="50">
        <f t="shared" si="619"/>
        <v>4195.6732078431369</v>
      </c>
      <c r="AC1180" s="42">
        <f t="shared" si="620"/>
        <v>2.2399999999999993</v>
      </c>
      <c r="AD1180" s="90">
        <f>AD1181+AD1186+AD1193+AD1196</f>
        <v>9398.3079855686246</v>
      </c>
      <c r="AE1180" s="188">
        <f t="shared" ref="AE1180" si="935">AE1181+AE1186+AE1193+AE1196</f>
        <v>0</v>
      </c>
      <c r="AF1180" s="189">
        <f t="shared" ref="AF1180" si="936">AF1181+AF1186+AF1193+AF1196</f>
        <v>0</v>
      </c>
      <c r="AG1180" s="189">
        <f t="shared" ref="AG1180" si="937">AG1181+AG1186+AG1193+AG1196</f>
        <v>0</v>
      </c>
      <c r="AH1180" s="189">
        <f t="shared" ref="AH1180" si="938">AH1181+AH1186+AH1193+AH1196</f>
        <v>0</v>
      </c>
      <c r="AI1180" s="161">
        <f t="shared" si="921"/>
        <v>0</v>
      </c>
      <c r="AK1180" s="169">
        <v>5</v>
      </c>
      <c r="AO1180" s="19" t="s">
        <v>63</v>
      </c>
    </row>
    <row r="1181" spans="1:41" s="103" customFormat="1" ht="19.899999999999999" customHeight="1" x14ac:dyDescent="0.25">
      <c r="A1181" s="51"/>
      <c r="B1181" s="52"/>
      <c r="C1181" s="165"/>
      <c r="D1181" s="52"/>
      <c r="E1181" s="115"/>
      <c r="F1181" s="58"/>
      <c r="G1181" s="58"/>
      <c r="H1181" s="58"/>
      <c r="I1181" s="55"/>
      <c r="J1181" s="113">
        <f>J1180</f>
        <v>2.2399999999999993</v>
      </c>
      <c r="K1181" s="212">
        <f>K1180</f>
        <v>2.2399999999999993</v>
      </c>
      <c r="L1181" s="58"/>
      <c r="M1181" s="58">
        <f>K1181-L1181</f>
        <v>2.2399999999999993</v>
      </c>
      <c r="N1181" s="166"/>
      <c r="O1181" s="58"/>
      <c r="P1181" s="58"/>
      <c r="Q1181" s="58"/>
      <c r="R1181" s="58"/>
      <c r="S1181" s="58"/>
      <c r="T1181" s="220"/>
      <c r="U1181" s="88"/>
      <c r="V1181" s="56"/>
      <c r="W1181" s="57" t="s">
        <v>1363</v>
      </c>
      <c r="X1181" s="53"/>
      <c r="Y1181" s="91" t="s">
        <v>35</v>
      </c>
      <c r="Z1181" s="136">
        <f>AD1181/AC1181</f>
        <v>36.198776470588236</v>
      </c>
      <c r="AA1181" s="58"/>
      <c r="AB1181" s="53">
        <f>AD1181/AC1181</f>
        <v>36.198776470588236</v>
      </c>
      <c r="AC1181" s="53">
        <f>M1181+$AE$10</f>
        <v>2.2399999999999993</v>
      </c>
      <c r="AD1181" s="54">
        <f>SUM(AD1182:AD1185)</f>
        <v>81.08525929411762</v>
      </c>
      <c r="AE1181" s="184">
        <f>SUMIFS($AD$37:$AD$12971,$V$37:$V$12971,$V1181,$X$37:$X$12971,AE$13)</f>
        <v>0</v>
      </c>
      <c r="AF1181" s="185">
        <f>SUMIFS($AD$37:$AD$12971,$V$37:$V$12971,$V1181,$X$37:$X$12971,AF$13)</f>
        <v>0</v>
      </c>
      <c r="AG1181" s="185">
        <f>SUMIFS($AD$37:$AD$12971,$V$37:$V$12971,$V1181,$X$37:$X$12971,AG$13)</f>
        <v>0</v>
      </c>
      <c r="AH1181" s="187">
        <f>SUMIFS($AD$37:$AD$12971,$V$37:$V$12971,$V1181,$X$37:$X$12971,AH$13)</f>
        <v>0</v>
      </c>
      <c r="AI1181" s="161">
        <f t="shared" ref="AI1181" si="939">SUM(AE1181:AH1181)</f>
        <v>0</v>
      </c>
      <c r="AK1181" s="172"/>
    </row>
    <row r="1182" spans="1:41" s="102" customFormat="1" ht="19.899999999999999" customHeight="1" x14ac:dyDescent="0.25">
      <c r="A1182" s="45"/>
      <c r="B1182" s="59"/>
      <c r="C1182" s="137"/>
      <c r="D1182" s="59"/>
      <c r="E1182" s="116"/>
      <c r="F1182" s="120"/>
      <c r="G1182" s="120"/>
      <c r="H1182" s="120"/>
      <c r="I1182" s="60"/>
      <c r="J1182" s="116"/>
      <c r="K1182" s="213"/>
      <c r="L1182" s="120"/>
      <c r="M1182" s="120"/>
      <c r="N1182" s="167"/>
      <c r="O1182" s="120"/>
      <c r="P1182" s="120"/>
      <c r="Q1182" s="120"/>
      <c r="R1182" s="120"/>
      <c r="S1182" s="120"/>
      <c r="T1182" s="221"/>
      <c r="U1182" s="89"/>
      <c r="V1182" s="61"/>
      <c r="W1182" s="92" t="s">
        <v>129</v>
      </c>
      <c r="X1182" s="93" t="s">
        <v>29</v>
      </c>
      <c r="Y1182" s="93" t="s">
        <v>93</v>
      </c>
      <c r="Z1182" s="134">
        <f>VLOOKUP(W1182,Sheet2!$B:$D,3,FALSE)</f>
        <v>56</v>
      </c>
      <c r="AA1182" s="93">
        <f>100/(3*3*1)</f>
        <v>11.111111111111111</v>
      </c>
      <c r="AB1182" s="93">
        <f t="shared" ref="AB1182" si="940">AD1182/AC1181</f>
        <v>5.04</v>
      </c>
      <c r="AC1182" s="93">
        <f>AC1181/AA1182</f>
        <v>0.20159999999999995</v>
      </c>
      <c r="AD1182" s="94">
        <f t="shared" ref="AD1182:AD1183" si="941">AC1182*Z1182</f>
        <v>11.289599999999997</v>
      </c>
      <c r="AE1182" s="190"/>
      <c r="AF1182" s="191"/>
      <c r="AG1182" s="191"/>
      <c r="AH1182" s="191"/>
      <c r="AI1182" s="186"/>
      <c r="AK1182" s="171"/>
    </row>
    <row r="1183" spans="1:41" s="102" customFormat="1" ht="19.899999999999999" customHeight="1" x14ac:dyDescent="0.25">
      <c r="A1183" s="45"/>
      <c r="B1183" s="59"/>
      <c r="C1183" s="137"/>
      <c r="D1183" s="59"/>
      <c r="E1183" s="116"/>
      <c r="F1183" s="120"/>
      <c r="G1183" s="120"/>
      <c r="H1183" s="120"/>
      <c r="I1183" s="60"/>
      <c r="J1183" s="116"/>
      <c r="K1183" s="213"/>
      <c r="L1183" s="120"/>
      <c r="M1183" s="120"/>
      <c r="N1183" s="167"/>
      <c r="O1183" s="120"/>
      <c r="P1183" s="120"/>
      <c r="Q1183" s="120"/>
      <c r="R1183" s="120"/>
      <c r="S1183" s="120"/>
      <c r="T1183" s="221"/>
      <c r="U1183" s="89"/>
      <c r="V1183" s="61"/>
      <c r="W1183" s="92" t="s">
        <v>65</v>
      </c>
      <c r="X1183" s="93" t="s">
        <v>30</v>
      </c>
      <c r="Y1183" s="93" t="s">
        <v>1011</v>
      </c>
      <c r="Z1183" s="134">
        <f>VLOOKUP(W1183,Sheet2!$B:$D,3,FALSE)</f>
        <v>1.76</v>
      </c>
      <c r="AA1183" s="93">
        <f>AA1182/14</f>
        <v>0.79365079365079361</v>
      </c>
      <c r="AB1183" s="93">
        <f>AD1183/AC1181</f>
        <v>2.2176</v>
      </c>
      <c r="AC1183" s="93">
        <f>AC1181/AA1183</f>
        <v>2.8223999999999991</v>
      </c>
      <c r="AD1183" s="94">
        <f t="shared" si="941"/>
        <v>4.9674239999999985</v>
      </c>
      <c r="AE1183" s="190"/>
      <c r="AF1183" s="191"/>
      <c r="AG1183" s="191"/>
      <c r="AH1183" s="191"/>
      <c r="AI1183" s="186"/>
      <c r="AK1183" s="171"/>
    </row>
    <row r="1184" spans="1:41" s="102" customFormat="1" ht="19.899999999999999" customHeight="1" x14ac:dyDescent="0.25">
      <c r="A1184" s="45"/>
      <c r="B1184" s="59"/>
      <c r="C1184" s="137"/>
      <c r="D1184" s="59"/>
      <c r="E1184" s="116"/>
      <c r="F1184" s="120"/>
      <c r="G1184" s="120"/>
      <c r="H1184" s="120"/>
      <c r="I1184" s="60"/>
      <c r="J1184" s="116"/>
      <c r="K1184" s="213"/>
      <c r="L1184" s="120"/>
      <c r="M1184" s="120"/>
      <c r="N1184" s="167"/>
      <c r="O1184" s="120"/>
      <c r="P1184" s="120"/>
      <c r="Q1184" s="120"/>
      <c r="R1184" s="120"/>
      <c r="S1184" s="120"/>
      <c r="T1184" s="221"/>
      <c r="U1184" s="89"/>
      <c r="V1184" s="61"/>
      <c r="W1184" s="92" t="s">
        <v>161</v>
      </c>
      <c r="X1184" s="93" t="s">
        <v>29</v>
      </c>
      <c r="Y1184" s="93" t="s">
        <v>93</v>
      </c>
      <c r="Z1184" s="134">
        <f>VLOOKUP(W1184,Sheet2!$B:$D,3,FALSE)</f>
        <v>48</v>
      </c>
      <c r="AA1184" s="93">
        <f>(16*0.85*1.5)/(3*3*1)</f>
        <v>2.2666666666666666</v>
      </c>
      <c r="AB1184" s="93">
        <f>AD1184/AC1181</f>
        <v>21.176470588235293</v>
      </c>
      <c r="AC1184" s="93">
        <f>AC1181/AA1184</f>
        <v>0.98823529411764677</v>
      </c>
      <c r="AD1184" s="94">
        <f>AC1184*Z1184</f>
        <v>47.435294117647047</v>
      </c>
      <c r="AE1184" s="190"/>
      <c r="AF1184" s="191"/>
      <c r="AG1184" s="191"/>
      <c r="AH1184" s="191"/>
      <c r="AI1184" s="186"/>
      <c r="AK1184" s="171"/>
    </row>
    <row r="1185" spans="1:37" s="102" customFormat="1" ht="19.899999999999999" customHeight="1" x14ac:dyDescent="0.25">
      <c r="A1185" s="45"/>
      <c r="B1185" s="59"/>
      <c r="C1185" s="137"/>
      <c r="D1185" s="59"/>
      <c r="E1185" s="116"/>
      <c r="F1185" s="120"/>
      <c r="G1185" s="120"/>
      <c r="H1185" s="120"/>
      <c r="I1185" s="60"/>
      <c r="J1185" s="116"/>
      <c r="K1185" s="213"/>
      <c r="L1185" s="120"/>
      <c r="M1185" s="120"/>
      <c r="N1185" s="167"/>
      <c r="O1185" s="120"/>
      <c r="P1185" s="120"/>
      <c r="Q1185" s="120"/>
      <c r="R1185" s="120"/>
      <c r="S1185" s="120"/>
      <c r="T1185" s="221"/>
      <c r="U1185" s="89"/>
      <c r="V1185" s="61"/>
      <c r="W1185" s="92" t="s">
        <v>65</v>
      </c>
      <c r="X1185" s="93" t="s">
        <v>30</v>
      </c>
      <c r="Y1185" s="93" t="s">
        <v>1011</v>
      </c>
      <c r="Z1185" s="134">
        <f>VLOOKUP(W1185,Sheet2!$B:$D,3,FALSE)</f>
        <v>1.76</v>
      </c>
      <c r="AA1185" s="93">
        <f>AA1184/10</f>
        <v>0.22666666666666666</v>
      </c>
      <c r="AB1185" s="93">
        <f>AD1185/AC1181</f>
        <v>7.7647058823529411</v>
      </c>
      <c r="AC1185" s="93">
        <f>AC1181/AA1185</f>
        <v>9.8823529411764675</v>
      </c>
      <c r="AD1185" s="94">
        <f>AC1185*Z1185</f>
        <v>17.392941176470583</v>
      </c>
      <c r="AE1185" s="190"/>
      <c r="AF1185" s="191"/>
      <c r="AG1185" s="191"/>
      <c r="AH1185" s="191"/>
      <c r="AI1185" s="186"/>
      <c r="AK1185" s="171"/>
    </row>
    <row r="1186" spans="1:37" s="103" customFormat="1" ht="19.899999999999999" customHeight="1" x14ac:dyDescent="0.25">
      <c r="A1186" s="51"/>
      <c r="B1186" s="52"/>
      <c r="C1186" s="165"/>
      <c r="D1186" s="52"/>
      <c r="E1186" s="115"/>
      <c r="F1186" s="58"/>
      <c r="G1186" s="58"/>
      <c r="H1186" s="58"/>
      <c r="I1186" s="55"/>
      <c r="J1186" s="113">
        <f>J1180</f>
        <v>2.2399999999999993</v>
      </c>
      <c r="K1186" s="212">
        <f>K1180</f>
        <v>2.2399999999999993</v>
      </c>
      <c r="L1186" s="58"/>
      <c r="M1186" s="58">
        <f>K1186-L1186</f>
        <v>2.2399999999999993</v>
      </c>
      <c r="N1186" s="166"/>
      <c r="O1186" s="58"/>
      <c r="P1186" s="58"/>
      <c r="Q1186" s="58"/>
      <c r="R1186" s="58"/>
      <c r="S1186" s="58"/>
      <c r="T1186" s="220"/>
      <c r="U1186" s="88"/>
      <c r="V1186" s="56"/>
      <c r="W1186" s="57" t="s">
        <v>1352</v>
      </c>
      <c r="X1186" s="53"/>
      <c r="Y1186" s="91" t="s">
        <v>35</v>
      </c>
      <c r="Z1186" s="136">
        <f>AD1186/AC1186</f>
        <v>2950</v>
      </c>
      <c r="AA1186" s="58"/>
      <c r="AB1186" s="53">
        <f>AD1186/AC1186</f>
        <v>2950</v>
      </c>
      <c r="AC1186" s="53">
        <f>M1186+$AE$10</f>
        <v>2.2399999999999993</v>
      </c>
      <c r="AD1186" s="54">
        <f>SUM(AD1187:AD1192)</f>
        <v>6607.9999999999982</v>
      </c>
      <c r="AE1186" s="184">
        <f>SUMIFS($AD$37:$AD$12971,$V$37:$V$12971,$V1186,$X$37:$X$12971,AE$13)</f>
        <v>0</v>
      </c>
      <c r="AF1186" s="185">
        <f>SUMIFS($AD$37:$AD$12971,$V$37:$V$12971,$V1186,$X$37:$X$12971,AF$13)</f>
        <v>0</v>
      </c>
      <c r="AG1186" s="185">
        <f>SUMIFS($AD$37:$AD$12971,$V$37:$V$12971,$V1186,$X$37:$X$12971,AG$13)</f>
        <v>0</v>
      </c>
      <c r="AH1186" s="187">
        <f>SUMIFS($AD$37:$AD$12971,$V$37:$V$12971,$V1186,$X$37:$X$12971,AH$13)</f>
        <v>0</v>
      </c>
      <c r="AI1186" s="161">
        <f t="shared" ref="AI1186" si="942">SUM(AE1186:AH1186)</f>
        <v>0</v>
      </c>
      <c r="AK1186" s="172"/>
    </row>
    <row r="1187" spans="1:37" s="102" customFormat="1" ht="19.899999999999999" customHeight="1" x14ac:dyDescent="0.25">
      <c r="A1187" s="45"/>
      <c r="B1187" s="59"/>
      <c r="C1187" s="137"/>
      <c r="D1187" s="59"/>
      <c r="E1187" s="116"/>
      <c r="F1187" s="120"/>
      <c r="G1187" s="120"/>
      <c r="H1187" s="120"/>
      <c r="I1187" s="60"/>
      <c r="J1187" s="116"/>
      <c r="K1187" s="213"/>
      <c r="L1187" s="120"/>
      <c r="M1187" s="120"/>
      <c r="N1187" s="167"/>
      <c r="O1187" s="120"/>
      <c r="P1187" s="120"/>
      <c r="Q1187" s="120"/>
      <c r="R1187" s="120"/>
      <c r="S1187" s="120"/>
      <c r="T1187" s="221"/>
      <c r="U1187" s="89"/>
      <c r="V1187" s="61"/>
      <c r="W1187" s="92" t="s">
        <v>1353</v>
      </c>
      <c r="X1187" s="93" t="s">
        <v>30</v>
      </c>
      <c r="Y1187" s="93" t="s">
        <v>66</v>
      </c>
      <c r="Z1187" s="134">
        <f>VLOOKUP(W1187,Sheet2!$B:$D,3,FALSE)</f>
        <v>350</v>
      </c>
      <c r="AA1187" s="93">
        <f>1/(2*1*0.25*4)</f>
        <v>0.5</v>
      </c>
      <c r="AB1187" s="93">
        <f>AD1187/AC1186</f>
        <v>700</v>
      </c>
      <c r="AC1187" s="93">
        <f>AC1186/AA1187</f>
        <v>4.4799999999999986</v>
      </c>
      <c r="AD1187" s="94">
        <f t="shared" ref="AD1187:AD1188" si="943">AC1187*Z1187</f>
        <v>1567.9999999999995</v>
      </c>
      <c r="AE1187" s="190"/>
      <c r="AF1187" s="191"/>
      <c r="AG1187" s="191"/>
      <c r="AH1187" s="191"/>
      <c r="AI1187" s="186"/>
      <c r="AK1187" s="171"/>
    </row>
    <row r="1188" spans="1:37" s="102" customFormat="1" ht="19.899999999999999" customHeight="1" x14ac:dyDescent="0.25">
      <c r="A1188" s="45"/>
      <c r="B1188" s="59"/>
      <c r="C1188" s="137"/>
      <c r="D1188" s="59"/>
      <c r="E1188" s="116"/>
      <c r="F1188" s="120"/>
      <c r="G1188" s="120"/>
      <c r="H1188" s="120"/>
      <c r="I1188" s="60"/>
      <c r="J1188" s="116"/>
      <c r="K1188" s="213"/>
      <c r="L1188" s="120"/>
      <c r="M1188" s="120"/>
      <c r="N1188" s="167"/>
      <c r="O1188" s="120"/>
      <c r="P1188" s="120"/>
      <c r="Q1188" s="120"/>
      <c r="R1188" s="120"/>
      <c r="S1188" s="120"/>
      <c r="T1188" s="221"/>
      <c r="U1188" s="89"/>
      <c r="V1188" s="61"/>
      <c r="W1188" s="92" t="s">
        <v>99</v>
      </c>
      <c r="X1188" s="93" t="s">
        <v>30</v>
      </c>
      <c r="Y1188" s="93" t="s">
        <v>67</v>
      </c>
      <c r="Z1188" s="134">
        <f>VLOOKUP(W1188,Sheet2!$B:$D,3,FALSE)</f>
        <v>2500</v>
      </c>
      <c r="AA1188" s="93">
        <f>1/(2*1*0.25*4*0.08)</f>
        <v>6.25</v>
      </c>
      <c r="AB1188" s="93">
        <f>AD1188/AC1186</f>
        <v>399.99999999999994</v>
      </c>
      <c r="AC1188" s="93">
        <f>AC1186/AA1188</f>
        <v>0.35839999999999989</v>
      </c>
      <c r="AD1188" s="94">
        <f t="shared" si="943"/>
        <v>895.99999999999966</v>
      </c>
      <c r="AE1188" s="190"/>
      <c r="AF1188" s="191"/>
      <c r="AG1188" s="191"/>
      <c r="AH1188" s="191"/>
      <c r="AI1188" s="186"/>
      <c r="AK1188" s="171"/>
    </row>
    <row r="1189" spans="1:37" s="102" customFormat="1" ht="19.899999999999999" customHeight="1" x14ac:dyDescent="0.25">
      <c r="A1189" s="45"/>
      <c r="B1189" s="59"/>
      <c r="C1189" s="137"/>
      <c r="D1189" s="59"/>
      <c r="E1189" s="116"/>
      <c r="F1189" s="120"/>
      <c r="G1189" s="120"/>
      <c r="H1189" s="120"/>
      <c r="I1189" s="60"/>
      <c r="J1189" s="116"/>
      <c r="K1189" s="213"/>
      <c r="L1189" s="120"/>
      <c r="M1189" s="120"/>
      <c r="N1189" s="167"/>
      <c r="O1189" s="120"/>
      <c r="P1189" s="120"/>
      <c r="Q1189" s="120"/>
      <c r="R1189" s="120"/>
      <c r="S1189" s="120"/>
      <c r="T1189" s="221"/>
      <c r="U1189" s="89"/>
      <c r="V1189" s="61"/>
      <c r="W1189" s="92" t="s">
        <v>1355</v>
      </c>
      <c r="X1189" s="93" t="s">
        <v>32</v>
      </c>
      <c r="Y1189" s="93" t="s">
        <v>66</v>
      </c>
      <c r="Z1189" s="134">
        <f>VLOOKUP(W1189,Sheet2!$B:$D,3,FALSE)</f>
        <v>450</v>
      </c>
      <c r="AA1189" s="93">
        <f>AA1187</f>
        <v>0.5</v>
      </c>
      <c r="AB1189" s="93">
        <f>AD1189/AC1186</f>
        <v>900</v>
      </c>
      <c r="AC1189" s="93">
        <f>AC1186/AA1189</f>
        <v>4.4799999999999986</v>
      </c>
      <c r="AD1189" s="94">
        <f>AC1189*Z1189</f>
        <v>2015.9999999999993</v>
      </c>
      <c r="AE1189" s="190"/>
      <c r="AF1189" s="191"/>
      <c r="AG1189" s="191"/>
      <c r="AH1189" s="191"/>
      <c r="AI1189" s="186"/>
      <c r="AK1189" s="171"/>
    </row>
    <row r="1190" spans="1:37" s="102" customFormat="1" ht="19.899999999999999" customHeight="1" x14ac:dyDescent="0.25">
      <c r="A1190" s="45"/>
      <c r="B1190" s="59"/>
      <c r="C1190" s="137"/>
      <c r="D1190" s="59"/>
      <c r="E1190" s="116"/>
      <c r="F1190" s="120"/>
      <c r="G1190" s="120"/>
      <c r="H1190" s="120"/>
      <c r="I1190" s="60"/>
      <c r="J1190" s="116"/>
      <c r="K1190" s="213"/>
      <c r="L1190" s="120"/>
      <c r="M1190" s="120"/>
      <c r="N1190" s="167"/>
      <c r="O1190" s="120"/>
      <c r="P1190" s="120"/>
      <c r="Q1190" s="120"/>
      <c r="R1190" s="120"/>
      <c r="S1190" s="120"/>
      <c r="T1190" s="221"/>
      <c r="U1190" s="89"/>
      <c r="V1190" s="61"/>
      <c r="W1190" s="92" t="s">
        <v>1362</v>
      </c>
      <c r="X1190" s="93" t="s">
        <v>30</v>
      </c>
      <c r="Y1190" s="93" t="s">
        <v>35</v>
      </c>
      <c r="Z1190" s="134">
        <f>VLOOKUP(W1190,Sheet2!$B:$D,3,FALSE)</f>
        <v>400</v>
      </c>
      <c r="AA1190" s="93">
        <v>0.5</v>
      </c>
      <c r="AB1190" s="93">
        <f>AD1190/AC1186</f>
        <v>800</v>
      </c>
      <c r="AC1190" s="93">
        <f>AC1186/AA1190</f>
        <v>4.4799999999999986</v>
      </c>
      <c r="AD1190" s="94">
        <f t="shared" ref="AD1190" si="944">AC1190*Z1190</f>
        <v>1791.9999999999995</v>
      </c>
      <c r="AE1190" s="190"/>
      <c r="AF1190" s="191"/>
      <c r="AG1190" s="191"/>
      <c r="AH1190" s="191"/>
      <c r="AI1190" s="186"/>
      <c r="AK1190" s="171"/>
    </row>
    <row r="1191" spans="1:37" s="102" customFormat="1" ht="19.899999999999999" customHeight="1" x14ac:dyDescent="0.25">
      <c r="A1191" s="45"/>
      <c r="B1191" s="59"/>
      <c r="C1191" s="137"/>
      <c r="D1191" s="59"/>
      <c r="E1191" s="116"/>
      <c r="F1191" s="120"/>
      <c r="G1191" s="120"/>
      <c r="H1191" s="120"/>
      <c r="I1191" s="60"/>
      <c r="J1191" s="116"/>
      <c r="K1191" s="213"/>
      <c r="L1191" s="120"/>
      <c r="M1191" s="120"/>
      <c r="N1191" s="167"/>
      <c r="O1191" s="120"/>
      <c r="P1191" s="120"/>
      <c r="Q1191" s="120"/>
      <c r="R1191" s="120"/>
      <c r="S1191" s="120"/>
      <c r="T1191" s="221"/>
      <c r="U1191" s="89"/>
      <c r="V1191" s="61"/>
      <c r="W1191" s="92" t="s">
        <v>107</v>
      </c>
      <c r="X1191" s="93" t="s">
        <v>31</v>
      </c>
      <c r="Y1191" s="93" t="s">
        <v>93</v>
      </c>
      <c r="Z1191" s="134">
        <f>VLOOKUP(W1191,Sheet2!$B:$D,3,FALSE)</f>
        <v>17</v>
      </c>
      <c r="AA1191" s="93">
        <f>1/5</f>
        <v>0.2</v>
      </c>
      <c r="AB1191" s="93">
        <f>AD1191/AC1186</f>
        <v>84.999999999999986</v>
      </c>
      <c r="AC1191" s="93">
        <f>AC1186/AA1191</f>
        <v>11.199999999999996</v>
      </c>
      <c r="AD1191" s="94">
        <f>AC1191*Z1191</f>
        <v>190.39999999999992</v>
      </c>
      <c r="AE1191" s="190"/>
      <c r="AF1191" s="191"/>
      <c r="AG1191" s="191"/>
      <c r="AH1191" s="191"/>
      <c r="AI1191" s="186"/>
      <c r="AK1191" s="171"/>
    </row>
    <row r="1192" spans="1:37" s="102" customFormat="1" ht="19.899999999999999" customHeight="1" x14ac:dyDescent="0.25">
      <c r="A1192" s="45"/>
      <c r="B1192" s="59"/>
      <c r="C1192" s="137"/>
      <c r="D1192" s="59"/>
      <c r="E1192" s="116"/>
      <c r="F1192" s="120"/>
      <c r="G1192" s="120"/>
      <c r="H1192" s="120"/>
      <c r="I1192" s="60"/>
      <c r="J1192" s="116"/>
      <c r="K1192" s="213"/>
      <c r="L1192" s="120"/>
      <c r="M1192" s="120"/>
      <c r="N1192" s="167"/>
      <c r="O1192" s="120"/>
      <c r="P1192" s="120"/>
      <c r="Q1192" s="120"/>
      <c r="R1192" s="120"/>
      <c r="S1192" s="120"/>
      <c r="T1192" s="221"/>
      <c r="U1192" s="89"/>
      <c r="V1192" s="61"/>
      <c r="W1192" s="92" t="s">
        <v>112</v>
      </c>
      <c r="X1192" s="93" t="s">
        <v>31</v>
      </c>
      <c r="Y1192" s="93" t="s">
        <v>93</v>
      </c>
      <c r="Z1192" s="134">
        <f>VLOOKUP(W1192,Sheet2!$B:$D,3,FALSE)</f>
        <v>13</v>
      </c>
      <c r="AA1192" s="93">
        <f>AA1191</f>
        <v>0.2</v>
      </c>
      <c r="AB1192" s="93">
        <f>AD1192/AC1186</f>
        <v>64.999999999999986</v>
      </c>
      <c r="AC1192" s="93">
        <f>AC1186/AA1192</f>
        <v>11.199999999999996</v>
      </c>
      <c r="AD1192" s="94">
        <f>AC1192*Z1192</f>
        <v>145.59999999999994</v>
      </c>
      <c r="AE1192" s="190"/>
      <c r="AF1192" s="191"/>
      <c r="AG1192" s="191"/>
      <c r="AH1192" s="191"/>
      <c r="AI1192" s="186"/>
      <c r="AK1192" s="171"/>
    </row>
    <row r="1193" spans="1:37" s="103" customFormat="1" ht="19.899999999999999" customHeight="1" x14ac:dyDescent="0.25">
      <c r="A1193" s="51"/>
      <c r="B1193" s="52"/>
      <c r="C1193" s="165"/>
      <c r="D1193" s="52"/>
      <c r="E1193" s="115"/>
      <c r="F1193" s="58"/>
      <c r="G1193" s="58"/>
      <c r="H1193" s="58"/>
      <c r="I1193" s="55"/>
      <c r="J1193" s="113">
        <f>J1180</f>
        <v>2.2399999999999993</v>
      </c>
      <c r="K1193" s="212">
        <f>K1180</f>
        <v>2.2399999999999993</v>
      </c>
      <c r="L1193" s="58"/>
      <c r="M1193" s="58">
        <f>K1193-L1193</f>
        <v>2.2399999999999993</v>
      </c>
      <c r="N1193" s="166"/>
      <c r="O1193" s="58"/>
      <c r="P1193" s="58"/>
      <c r="Q1193" s="58"/>
      <c r="R1193" s="58"/>
      <c r="S1193" s="58"/>
      <c r="T1193" s="220"/>
      <c r="U1193" s="88"/>
      <c r="V1193" s="56"/>
      <c r="W1193" s="57" t="s">
        <v>1358</v>
      </c>
      <c r="X1193" s="53"/>
      <c r="Y1193" s="91" t="s">
        <v>35</v>
      </c>
      <c r="Z1193" s="136">
        <f>AD1193/AC1193</f>
        <v>1120</v>
      </c>
      <c r="AA1193" s="58"/>
      <c r="AB1193" s="53">
        <f>AD1193/AC1193</f>
        <v>1120</v>
      </c>
      <c r="AC1193" s="53">
        <f>M1193+$AE$10</f>
        <v>2.2399999999999993</v>
      </c>
      <c r="AD1193" s="54">
        <f>SUM(AD1194:AD1195)</f>
        <v>2508.7999999999993</v>
      </c>
      <c r="AE1193" s="184">
        <f>SUMIFS($AD$37:$AD$12971,$V$37:$V$12971,$V1193,$X$37:$X$12971,AE$13)</f>
        <v>0</v>
      </c>
      <c r="AF1193" s="185">
        <f>SUMIFS($AD$37:$AD$12971,$V$37:$V$12971,$V1193,$X$37:$X$12971,AF$13)</f>
        <v>0</v>
      </c>
      <c r="AG1193" s="185">
        <f>SUMIFS($AD$37:$AD$12971,$V$37:$V$12971,$V1193,$X$37:$X$12971,AG$13)</f>
        <v>0</v>
      </c>
      <c r="AH1193" s="187">
        <f>SUMIFS($AD$37:$AD$12971,$V$37:$V$12971,$V1193,$X$37:$X$12971,AH$13)</f>
        <v>0</v>
      </c>
      <c r="AI1193" s="161">
        <f t="shared" ref="AI1193" si="945">SUM(AE1193:AH1193)</f>
        <v>0</v>
      </c>
      <c r="AK1193" s="172"/>
    </row>
    <row r="1194" spans="1:37" s="102" customFormat="1" ht="19.899999999999999" customHeight="1" x14ac:dyDescent="0.25">
      <c r="A1194" s="45"/>
      <c r="B1194" s="59"/>
      <c r="C1194" s="137"/>
      <c r="D1194" s="59"/>
      <c r="E1194" s="116"/>
      <c r="F1194" s="120"/>
      <c r="G1194" s="120"/>
      <c r="H1194" s="120"/>
      <c r="I1194" s="60"/>
      <c r="J1194" s="116"/>
      <c r="K1194" s="213"/>
      <c r="L1194" s="120"/>
      <c r="M1194" s="120"/>
      <c r="N1194" s="167"/>
      <c r="O1194" s="120"/>
      <c r="P1194" s="120"/>
      <c r="Q1194" s="120"/>
      <c r="R1194" s="120"/>
      <c r="S1194" s="120"/>
      <c r="T1194" s="221"/>
      <c r="U1194" s="89"/>
      <c r="V1194" s="61"/>
      <c r="W1194" s="92" t="s">
        <v>1359</v>
      </c>
      <c r="X1194" s="93" t="s">
        <v>32</v>
      </c>
      <c r="Y1194" s="93" t="s">
        <v>64</v>
      </c>
      <c r="Z1194" s="134">
        <f>VLOOKUP(W1194,Sheet2!$B:$D,3,FALSE)</f>
        <v>40</v>
      </c>
      <c r="AA1194" s="93">
        <f>1/16</f>
        <v>6.25E-2</v>
      </c>
      <c r="AB1194" s="93">
        <f t="shared" ref="AB1194" si="946">AD1194/AC1193</f>
        <v>640</v>
      </c>
      <c r="AC1194" s="93">
        <f>AC1193/AA1194</f>
        <v>35.839999999999989</v>
      </c>
      <c r="AD1194" s="94">
        <f t="shared" ref="AD1194:AD1195" si="947">AC1194*Z1194</f>
        <v>1433.5999999999995</v>
      </c>
      <c r="AE1194" s="190"/>
      <c r="AF1194" s="191"/>
      <c r="AG1194" s="191"/>
      <c r="AH1194" s="191"/>
      <c r="AI1194" s="186"/>
      <c r="AK1194" s="171"/>
    </row>
    <row r="1195" spans="1:37" s="102" customFormat="1" ht="19.899999999999999" customHeight="1" x14ac:dyDescent="0.25">
      <c r="A1195" s="45"/>
      <c r="B1195" s="59"/>
      <c r="C1195" s="137"/>
      <c r="D1195" s="59"/>
      <c r="E1195" s="116"/>
      <c r="F1195" s="120"/>
      <c r="G1195" s="120"/>
      <c r="H1195" s="120"/>
      <c r="I1195" s="60"/>
      <c r="J1195" s="116"/>
      <c r="K1195" s="213"/>
      <c r="L1195" s="120"/>
      <c r="M1195" s="120"/>
      <c r="N1195" s="167"/>
      <c r="O1195" s="120"/>
      <c r="P1195" s="120"/>
      <c r="Q1195" s="120"/>
      <c r="R1195" s="120"/>
      <c r="S1195" s="120"/>
      <c r="T1195" s="221"/>
      <c r="U1195" s="89"/>
      <c r="V1195" s="61"/>
      <c r="W1195" s="92" t="s">
        <v>1360</v>
      </c>
      <c r="X1195" s="93" t="s">
        <v>32</v>
      </c>
      <c r="Y1195" s="93" t="s">
        <v>64</v>
      </c>
      <c r="Z1195" s="134">
        <f>VLOOKUP(W1195,Sheet2!$B:$D,3,FALSE)</f>
        <v>30</v>
      </c>
      <c r="AA1195" s="93">
        <f>AA1194</f>
        <v>6.25E-2</v>
      </c>
      <c r="AB1195" s="93">
        <f>AD1195/AC1193</f>
        <v>479.99999999999994</v>
      </c>
      <c r="AC1195" s="93">
        <f>AC1193/AA1195</f>
        <v>35.839999999999989</v>
      </c>
      <c r="AD1195" s="94">
        <f t="shared" si="947"/>
        <v>1075.1999999999996</v>
      </c>
      <c r="AE1195" s="190"/>
      <c r="AF1195" s="191"/>
      <c r="AG1195" s="191"/>
      <c r="AH1195" s="191"/>
      <c r="AI1195" s="186"/>
      <c r="AK1195" s="171"/>
    </row>
    <row r="1196" spans="1:37" s="103" customFormat="1" ht="19.899999999999999" customHeight="1" x14ac:dyDescent="0.25">
      <c r="A1196" s="51"/>
      <c r="B1196" s="52"/>
      <c r="C1196" s="165"/>
      <c r="D1196" s="52"/>
      <c r="E1196" s="115"/>
      <c r="F1196" s="58"/>
      <c r="G1196" s="58"/>
      <c r="H1196" s="58"/>
      <c r="I1196" s="55"/>
      <c r="J1196" s="113">
        <f>J1180</f>
        <v>2.2399999999999993</v>
      </c>
      <c r="K1196" s="212">
        <f>K1180</f>
        <v>2.2399999999999993</v>
      </c>
      <c r="L1196" s="58"/>
      <c r="M1196" s="58">
        <f>K1196-L1196</f>
        <v>2.2399999999999993</v>
      </c>
      <c r="N1196" s="166"/>
      <c r="O1196" s="58"/>
      <c r="P1196" s="58"/>
      <c r="Q1196" s="58"/>
      <c r="R1196" s="58"/>
      <c r="S1196" s="58"/>
      <c r="T1196" s="220"/>
      <c r="U1196" s="88"/>
      <c r="V1196" s="56"/>
      <c r="W1196" s="57" t="s">
        <v>1272</v>
      </c>
      <c r="X1196" s="53"/>
      <c r="Y1196" s="91" t="s">
        <v>35</v>
      </c>
      <c r="Z1196" s="136">
        <f>AD1196/AC1196</f>
        <v>89.474431372549006</v>
      </c>
      <c r="AA1196" s="58"/>
      <c r="AB1196" s="53">
        <f>AD1196/AC1196</f>
        <v>89.474431372549006</v>
      </c>
      <c r="AC1196" s="53">
        <f>M1196+$AE$10</f>
        <v>2.2399999999999993</v>
      </c>
      <c r="AD1196" s="54">
        <f>SUM(AD1197:AD1205)</f>
        <v>200.42272627450973</v>
      </c>
      <c r="AE1196" s="184">
        <f>SUMIFS($AD$37:$AD$12971,$V$37:$V$12971,$V1196,$X$37:$X$12971,AE$13)</f>
        <v>0</v>
      </c>
      <c r="AF1196" s="185">
        <f>SUMIFS($AD$37:$AD$12971,$V$37:$V$12971,$V1196,$X$37:$X$12971,AF$13)</f>
        <v>0</v>
      </c>
      <c r="AG1196" s="185">
        <f>SUMIFS($AD$37:$AD$12971,$V$37:$V$12971,$V1196,$X$37:$X$12971,AG$13)</f>
        <v>0</v>
      </c>
      <c r="AH1196" s="187">
        <f>SUMIFS($AD$37:$AD$12971,$V$37:$V$12971,$V1196,$X$37:$X$12971,AH$13)</f>
        <v>0</v>
      </c>
      <c r="AI1196" s="161">
        <f t="shared" ref="AI1196" si="948">SUM(AE1196:AH1196)</f>
        <v>0</v>
      </c>
      <c r="AK1196" s="172"/>
    </row>
    <row r="1197" spans="1:37" s="102" customFormat="1" ht="19.899999999999999" customHeight="1" x14ac:dyDescent="0.25">
      <c r="A1197" s="45"/>
      <c r="B1197" s="59"/>
      <c r="C1197" s="137"/>
      <c r="D1197" s="59"/>
      <c r="E1197" s="116"/>
      <c r="F1197" s="120"/>
      <c r="G1197" s="120"/>
      <c r="H1197" s="120"/>
      <c r="I1197" s="60"/>
      <c r="J1197" s="116"/>
      <c r="K1197" s="213"/>
      <c r="L1197" s="120"/>
      <c r="M1197" s="120"/>
      <c r="N1197" s="167"/>
      <c r="O1197" s="120"/>
      <c r="P1197" s="120"/>
      <c r="Q1197" s="120"/>
      <c r="R1197" s="120"/>
      <c r="S1197" s="120"/>
      <c r="T1197" s="221"/>
      <c r="U1197" s="89"/>
      <c r="V1197" s="61"/>
      <c r="W1197" s="92" t="s">
        <v>1273</v>
      </c>
      <c r="X1197" s="93" t="s">
        <v>30</v>
      </c>
      <c r="Y1197" s="93" t="s">
        <v>66</v>
      </c>
      <c r="Z1197" s="134">
        <f>VLOOKUP(W1197,Sheet2!$B:$D,3,FALSE)</f>
        <v>10</v>
      </c>
      <c r="AA1197" s="93">
        <f>1/(2.5*1*0.5*4)</f>
        <v>0.2</v>
      </c>
      <c r="AB1197" s="93">
        <f>AD1197/AC1196</f>
        <v>49.999999999999993</v>
      </c>
      <c r="AC1197" s="93">
        <f>AC1196/AA1197</f>
        <v>11.199999999999996</v>
      </c>
      <c r="AD1197" s="94">
        <f t="shared" ref="AD1197:AD1199" si="949">AC1197*Z1197</f>
        <v>111.99999999999996</v>
      </c>
      <c r="AE1197" s="190"/>
      <c r="AF1197" s="191"/>
      <c r="AG1197" s="191"/>
      <c r="AH1197" s="191"/>
      <c r="AI1197" s="186"/>
      <c r="AK1197" s="171"/>
    </row>
    <row r="1198" spans="1:37" s="102" customFormat="1" ht="19.899999999999999" customHeight="1" x14ac:dyDescent="0.25">
      <c r="A1198" s="45"/>
      <c r="B1198" s="59"/>
      <c r="C1198" s="137"/>
      <c r="D1198" s="59"/>
      <c r="E1198" s="116"/>
      <c r="F1198" s="120"/>
      <c r="G1198" s="120"/>
      <c r="H1198" s="120"/>
      <c r="I1198" s="60"/>
      <c r="J1198" s="116"/>
      <c r="K1198" s="213"/>
      <c r="L1198" s="120"/>
      <c r="M1198" s="120"/>
      <c r="N1198" s="167"/>
      <c r="O1198" s="120"/>
      <c r="P1198" s="120"/>
      <c r="Q1198" s="120"/>
      <c r="R1198" s="120"/>
      <c r="S1198" s="120"/>
      <c r="T1198" s="221"/>
      <c r="U1198" s="89"/>
      <c r="V1198" s="61"/>
      <c r="W1198" s="92" t="s">
        <v>134</v>
      </c>
      <c r="X1198" s="93" t="s">
        <v>29</v>
      </c>
      <c r="Y1198" s="93" t="s">
        <v>93</v>
      </c>
      <c r="Z1198" s="134">
        <f>VLOOKUP(W1198,Sheet2!$B:$D,3,FALSE)</f>
        <v>65.599999999999994</v>
      </c>
      <c r="AA1198" s="93">
        <f>100/(2.5*1*0.5*4)</f>
        <v>20</v>
      </c>
      <c r="AB1198" s="93">
        <f t="shared" ref="AB1198" si="950">AD1198/AC1196</f>
        <v>3.2799999999999994</v>
      </c>
      <c r="AC1198" s="93">
        <f>AC1196/AA1198</f>
        <v>0.11199999999999996</v>
      </c>
      <c r="AD1198" s="94">
        <f t="shared" si="949"/>
        <v>7.3471999999999964</v>
      </c>
      <c r="AE1198" s="190"/>
      <c r="AF1198" s="191"/>
      <c r="AG1198" s="191"/>
      <c r="AH1198" s="191"/>
      <c r="AI1198" s="186"/>
      <c r="AK1198" s="171"/>
    </row>
    <row r="1199" spans="1:37" s="102" customFormat="1" ht="19.899999999999999" customHeight="1" x14ac:dyDescent="0.25">
      <c r="A1199" s="45"/>
      <c r="B1199" s="59"/>
      <c r="C1199" s="137"/>
      <c r="D1199" s="59"/>
      <c r="E1199" s="116"/>
      <c r="F1199" s="120"/>
      <c r="G1199" s="120"/>
      <c r="H1199" s="120"/>
      <c r="I1199" s="60"/>
      <c r="J1199" s="116"/>
      <c r="K1199" s="213"/>
      <c r="L1199" s="120"/>
      <c r="M1199" s="120"/>
      <c r="N1199" s="167"/>
      <c r="O1199" s="120"/>
      <c r="P1199" s="120"/>
      <c r="Q1199" s="120"/>
      <c r="R1199" s="120"/>
      <c r="S1199" s="120"/>
      <c r="T1199" s="221"/>
      <c r="U1199" s="89"/>
      <c r="V1199" s="61"/>
      <c r="W1199" s="92" t="s">
        <v>65</v>
      </c>
      <c r="X1199" s="93" t="s">
        <v>30</v>
      </c>
      <c r="Y1199" s="93" t="s">
        <v>1011</v>
      </c>
      <c r="Z1199" s="134">
        <f>VLOOKUP(W1199,Sheet2!$B:$D,3,FALSE)</f>
        <v>1.76</v>
      </c>
      <c r="AA1199" s="93">
        <f>AA1198/9</f>
        <v>2.2222222222222223</v>
      </c>
      <c r="AB1199" s="93">
        <f>AD1199/AC1196</f>
        <v>0.79199999999999993</v>
      </c>
      <c r="AC1199" s="93">
        <f>AC1196/AA1199</f>
        <v>1.0079999999999996</v>
      </c>
      <c r="AD1199" s="94">
        <f t="shared" si="949"/>
        <v>1.7740799999999992</v>
      </c>
      <c r="AE1199" s="190"/>
      <c r="AF1199" s="191"/>
      <c r="AG1199" s="191"/>
      <c r="AH1199" s="191"/>
      <c r="AI1199" s="186"/>
      <c r="AK1199" s="171"/>
    </row>
    <row r="1200" spans="1:37" s="102" customFormat="1" ht="19.899999999999999" customHeight="1" x14ac:dyDescent="0.25">
      <c r="A1200" s="45"/>
      <c r="B1200" s="59"/>
      <c r="C1200" s="137"/>
      <c r="D1200" s="59"/>
      <c r="E1200" s="116"/>
      <c r="F1200" s="120"/>
      <c r="G1200" s="120"/>
      <c r="H1200" s="120"/>
      <c r="I1200" s="60"/>
      <c r="J1200" s="116"/>
      <c r="K1200" s="213"/>
      <c r="L1200" s="120"/>
      <c r="M1200" s="120"/>
      <c r="N1200" s="167"/>
      <c r="O1200" s="120"/>
      <c r="P1200" s="120"/>
      <c r="Q1200" s="120"/>
      <c r="R1200" s="120"/>
      <c r="S1200" s="120"/>
      <c r="T1200" s="221"/>
      <c r="U1200" s="89"/>
      <c r="V1200" s="61"/>
      <c r="W1200" s="92" t="s">
        <v>161</v>
      </c>
      <c r="X1200" s="93" t="s">
        <v>29</v>
      </c>
      <c r="Y1200" s="93" t="s">
        <v>93</v>
      </c>
      <c r="Z1200" s="134">
        <f>VLOOKUP(W1200,Sheet2!$B:$D,3,FALSE)</f>
        <v>48</v>
      </c>
      <c r="AA1200" s="93">
        <f>(16*0.85*1.5)/(2.5*1*0.5*4)</f>
        <v>4.08</v>
      </c>
      <c r="AB1200" s="93">
        <f>AD1200/AC1196</f>
        <v>11.76470588235294</v>
      </c>
      <c r="AC1200" s="93">
        <f>AC1196/AA1200</f>
        <v>0.54901960784313708</v>
      </c>
      <c r="AD1200" s="94">
        <f>AC1200*Z1200</f>
        <v>26.35294117647058</v>
      </c>
      <c r="AE1200" s="190"/>
      <c r="AF1200" s="191"/>
      <c r="AG1200" s="191"/>
      <c r="AH1200" s="191"/>
      <c r="AI1200" s="186"/>
      <c r="AK1200" s="171"/>
    </row>
    <row r="1201" spans="1:41" s="102" customFormat="1" ht="19.899999999999999" customHeight="1" x14ac:dyDescent="0.25">
      <c r="A1201" s="45"/>
      <c r="B1201" s="59"/>
      <c r="C1201" s="137"/>
      <c r="D1201" s="59"/>
      <c r="E1201" s="116"/>
      <c r="F1201" s="120"/>
      <c r="G1201" s="120"/>
      <c r="H1201" s="120"/>
      <c r="I1201" s="60"/>
      <c r="J1201" s="116"/>
      <c r="K1201" s="213"/>
      <c r="L1201" s="120"/>
      <c r="M1201" s="120"/>
      <c r="N1201" s="167"/>
      <c r="O1201" s="120"/>
      <c r="P1201" s="120"/>
      <c r="Q1201" s="120"/>
      <c r="R1201" s="120"/>
      <c r="S1201" s="120"/>
      <c r="T1201" s="221"/>
      <c r="U1201" s="89"/>
      <c r="V1201" s="61"/>
      <c r="W1201" s="92" t="s">
        <v>65</v>
      </c>
      <c r="X1201" s="93" t="s">
        <v>30</v>
      </c>
      <c r="Y1201" s="93" t="s">
        <v>1011</v>
      </c>
      <c r="Z1201" s="134">
        <f>VLOOKUP(W1201,Sheet2!$B:$D,3,FALSE)</f>
        <v>1.76</v>
      </c>
      <c r="AA1201" s="93">
        <f>AA1200/10</f>
        <v>0.40800000000000003</v>
      </c>
      <c r="AB1201" s="93">
        <f>AD1201/AC1196</f>
        <v>4.3137254901960791</v>
      </c>
      <c r="AC1201" s="93">
        <f>AC1196/AA1201</f>
        <v>5.4901960784313708</v>
      </c>
      <c r="AD1201" s="94">
        <f>AC1201*Z1201</f>
        <v>9.6627450980392133</v>
      </c>
      <c r="AE1201" s="190"/>
      <c r="AF1201" s="191"/>
      <c r="AG1201" s="191"/>
      <c r="AH1201" s="191"/>
      <c r="AI1201" s="186"/>
      <c r="AK1201" s="171"/>
    </row>
    <row r="1202" spans="1:41" s="102" customFormat="1" ht="19.899999999999999" customHeight="1" x14ac:dyDescent="0.25">
      <c r="A1202" s="45"/>
      <c r="B1202" s="59"/>
      <c r="C1202" s="137"/>
      <c r="D1202" s="59"/>
      <c r="E1202" s="116"/>
      <c r="F1202" s="120"/>
      <c r="G1202" s="120"/>
      <c r="H1202" s="120"/>
      <c r="I1202" s="60"/>
      <c r="J1202" s="116"/>
      <c r="K1202" s="213"/>
      <c r="L1202" s="120"/>
      <c r="M1202" s="120"/>
      <c r="N1202" s="167"/>
      <c r="O1202" s="120"/>
      <c r="P1202" s="120"/>
      <c r="Q1202" s="120"/>
      <c r="R1202" s="120"/>
      <c r="S1202" s="120"/>
      <c r="T1202" s="221"/>
      <c r="U1202" s="89"/>
      <c r="V1202" s="61"/>
      <c r="W1202" s="92" t="s">
        <v>173</v>
      </c>
      <c r="X1202" s="93" t="s">
        <v>29</v>
      </c>
      <c r="Y1202" s="93" t="s">
        <v>93</v>
      </c>
      <c r="Z1202" s="134">
        <f>VLOOKUP(W1202,Sheet2!$B:$D,3,FALSE)</f>
        <v>36</v>
      </c>
      <c r="AA1202" s="93">
        <f>50/(2.5*1*0.5*4)</f>
        <v>10</v>
      </c>
      <c r="AB1202" s="93">
        <f>AD1202/AC1196</f>
        <v>3.5999999999999996</v>
      </c>
      <c r="AC1202" s="93">
        <f>AC1196/AA1202</f>
        <v>0.22399999999999992</v>
      </c>
      <c r="AD1202" s="94">
        <f>AC1202*Z1202</f>
        <v>8.0639999999999965</v>
      </c>
      <c r="AE1202" s="190"/>
      <c r="AF1202" s="191"/>
      <c r="AG1202" s="191"/>
      <c r="AH1202" s="191"/>
      <c r="AI1202" s="186"/>
      <c r="AK1202" s="171"/>
    </row>
    <row r="1203" spans="1:41" s="102" customFormat="1" ht="19.899999999999999" customHeight="1" x14ac:dyDescent="0.25">
      <c r="A1203" s="45"/>
      <c r="B1203" s="59"/>
      <c r="C1203" s="137"/>
      <c r="D1203" s="59"/>
      <c r="E1203" s="116"/>
      <c r="F1203" s="120"/>
      <c r="G1203" s="120"/>
      <c r="H1203" s="120"/>
      <c r="I1203" s="60"/>
      <c r="J1203" s="116"/>
      <c r="K1203" s="213"/>
      <c r="L1203" s="120"/>
      <c r="M1203" s="120"/>
      <c r="N1203" s="167"/>
      <c r="O1203" s="120"/>
      <c r="P1203" s="120"/>
      <c r="Q1203" s="120"/>
      <c r="R1203" s="120"/>
      <c r="S1203" s="120"/>
      <c r="T1203" s="221"/>
      <c r="U1203" s="89"/>
      <c r="V1203" s="61"/>
      <c r="W1203" s="92" t="s">
        <v>65</v>
      </c>
      <c r="X1203" s="93" t="s">
        <v>30</v>
      </c>
      <c r="Y1203" s="93" t="s">
        <v>1011</v>
      </c>
      <c r="Z1203" s="134">
        <f>VLOOKUP(W1203,Sheet2!$B:$D,3,FALSE)</f>
        <v>1.76</v>
      </c>
      <c r="AA1203" s="93">
        <f>AA1202/9</f>
        <v>1.1111111111111112</v>
      </c>
      <c r="AB1203" s="93">
        <f>AD1203/AC1196</f>
        <v>1.5839999999999999</v>
      </c>
      <c r="AC1203" s="93">
        <f>AC1196/AA1203</f>
        <v>2.0159999999999991</v>
      </c>
      <c r="AD1203" s="94">
        <f>AC1203*Z1203</f>
        <v>3.5481599999999984</v>
      </c>
      <c r="AE1203" s="190"/>
      <c r="AF1203" s="191"/>
      <c r="AG1203" s="191"/>
      <c r="AH1203" s="191"/>
      <c r="AI1203" s="186"/>
      <c r="AK1203" s="171"/>
    </row>
    <row r="1204" spans="1:41" s="102" customFormat="1" ht="19.899999999999999" customHeight="1" x14ac:dyDescent="0.25">
      <c r="A1204" s="45"/>
      <c r="B1204" s="59"/>
      <c r="C1204" s="137"/>
      <c r="D1204" s="59"/>
      <c r="E1204" s="116"/>
      <c r="F1204" s="120"/>
      <c r="G1204" s="120"/>
      <c r="H1204" s="120"/>
      <c r="I1204" s="60"/>
      <c r="J1204" s="116"/>
      <c r="K1204" s="213"/>
      <c r="L1204" s="120"/>
      <c r="M1204" s="120"/>
      <c r="N1204" s="167"/>
      <c r="O1204" s="120"/>
      <c r="P1204" s="120"/>
      <c r="Q1204" s="120"/>
      <c r="R1204" s="120"/>
      <c r="S1204" s="120"/>
      <c r="T1204" s="221"/>
      <c r="U1204" s="89"/>
      <c r="V1204" s="61"/>
      <c r="W1204" s="92" t="s">
        <v>1030</v>
      </c>
      <c r="X1204" s="93" t="s">
        <v>29</v>
      </c>
      <c r="Y1204" s="93" t="s">
        <v>93</v>
      </c>
      <c r="Z1204" s="134">
        <f>VLOOKUP(W1204,Sheet2!$B:$D,3,FALSE)</f>
        <v>23</v>
      </c>
      <c r="AA1204" s="93">
        <f>1*2</f>
        <v>2</v>
      </c>
      <c r="AB1204" s="93">
        <f>AD1204/AC1196</f>
        <v>11.5</v>
      </c>
      <c r="AC1204" s="93">
        <f>AC1196/AA1204</f>
        <v>1.1199999999999997</v>
      </c>
      <c r="AD1204" s="94">
        <f t="shared" ref="AD1204:AD1205" si="951">AC1204*Z1204</f>
        <v>25.759999999999991</v>
      </c>
      <c r="AE1204" s="190"/>
      <c r="AF1204" s="191"/>
      <c r="AG1204" s="191"/>
      <c r="AH1204" s="191"/>
      <c r="AI1204" s="186"/>
      <c r="AK1204" s="171"/>
    </row>
    <row r="1205" spans="1:41" s="102" customFormat="1" ht="19.899999999999999" customHeight="1" x14ac:dyDescent="0.25">
      <c r="A1205" s="45"/>
      <c r="B1205" s="59"/>
      <c r="C1205" s="137"/>
      <c r="D1205" s="59"/>
      <c r="E1205" s="116"/>
      <c r="F1205" s="120"/>
      <c r="G1205" s="120"/>
      <c r="H1205" s="120"/>
      <c r="I1205" s="60"/>
      <c r="J1205" s="116"/>
      <c r="K1205" s="213"/>
      <c r="L1205" s="120"/>
      <c r="M1205" s="120"/>
      <c r="N1205" s="167"/>
      <c r="O1205" s="120"/>
      <c r="P1205" s="120"/>
      <c r="Q1205" s="120"/>
      <c r="R1205" s="120"/>
      <c r="S1205" s="120"/>
      <c r="T1205" s="221"/>
      <c r="U1205" s="89"/>
      <c r="V1205" s="61"/>
      <c r="W1205" s="92" t="s">
        <v>65</v>
      </c>
      <c r="X1205" s="93" t="s">
        <v>30</v>
      </c>
      <c r="Y1205" s="93" t="s">
        <v>1011</v>
      </c>
      <c r="Z1205" s="134">
        <f>VLOOKUP(W1205,Sheet2!$B:$D,3,FALSE)</f>
        <v>1.76</v>
      </c>
      <c r="AA1205" s="93">
        <f>AA1204/3</f>
        <v>0.66666666666666663</v>
      </c>
      <c r="AB1205" s="93">
        <f>AD1205/AC1196</f>
        <v>2.6399999999999997</v>
      </c>
      <c r="AC1205" s="93">
        <f>AC1196/AA1205</f>
        <v>3.359999999999999</v>
      </c>
      <c r="AD1205" s="94">
        <f t="shared" si="951"/>
        <v>5.913599999999998</v>
      </c>
      <c r="AE1205" s="190"/>
      <c r="AF1205" s="191"/>
      <c r="AG1205" s="191"/>
      <c r="AH1205" s="191"/>
      <c r="AI1205" s="186"/>
      <c r="AK1205" s="171"/>
    </row>
    <row r="1206" spans="1:41" ht="20.100000000000001" customHeight="1" x14ac:dyDescent="0.25">
      <c r="A1206" s="277" t="s">
        <v>216</v>
      </c>
      <c r="B1206" s="278"/>
      <c r="C1206" s="64" t="s">
        <v>348</v>
      </c>
      <c r="D1206" s="46" t="s">
        <v>215</v>
      </c>
      <c r="E1206" s="114">
        <v>1.8149999999999995</v>
      </c>
      <c r="F1206" s="44">
        <v>15295</v>
      </c>
      <c r="G1206" s="44">
        <f t="shared" si="607"/>
        <v>27760.424999999992</v>
      </c>
      <c r="H1206" s="44">
        <f t="shared" si="608"/>
        <v>6216.1543450992394</v>
      </c>
      <c r="I1206" s="43">
        <f t="shared" si="609"/>
        <v>11282.320136355116</v>
      </c>
      <c r="J1206" s="112">
        <f t="shared" si="610"/>
        <v>1.8149999999999995</v>
      </c>
      <c r="K1206" s="211">
        <f t="shared" si="611"/>
        <v>1.8149999999999995</v>
      </c>
      <c r="L1206" s="44"/>
      <c r="M1206" s="44">
        <f t="shared" si="612"/>
        <v>1.8149999999999995</v>
      </c>
      <c r="N1206" s="173">
        <f t="shared" si="613"/>
        <v>1</v>
      </c>
      <c r="O1206" s="44">
        <f t="shared" si="614"/>
        <v>15295</v>
      </c>
      <c r="P1206" s="44">
        <f t="shared" si="615"/>
        <v>27760.424999999992</v>
      </c>
      <c r="Q1206" s="44">
        <f t="shared" si="616"/>
        <v>6216.1543450992394</v>
      </c>
      <c r="R1206" s="44">
        <f t="shared" si="617"/>
        <v>11282.320136355116</v>
      </c>
      <c r="S1206" s="123"/>
      <c r="T1206" s="219">
        <f t="shared" si="618"/>
        <v>11282.320136355116</v>
      </c>
      <c r="U1206" s="87"/>
      <c r="V1206" s="47"/>
      <c r="W1206" s="48"/>
      <c r="X1206" s="48"/>
      <c r="Y1206" s="48"/>
      <c r="Z1206" s="135"/>
      <c r="AA1206" s="49"/>
      <c r="AB1206" s="50">
        <f t="shared" si="619"/>
        <v>6216.1543450992394</v>
      </c>
      <c r="AC1206" s="42">
        <f t="shared" si="620"/>
        <v>1.8149999999999995</v>
      </c>
      <c r="AD1206" s="90">
        <f>AD1207+AD1212+AD1219+AD1222</f>
        <v>11282.320136355116</v>
      </c>
      <c r="AE1206" s="188">
        <f t="shared" ref="AE1206" si="952">AE1207+AE1212+AE1219+AE1222</f>
        <v>0</v>
      </c>
      <c r="AF1206" s="189">
        <f t="shared" ref="AF1206" si="953">AF1207+AF1212+AF1219+AF1222</f>
        <v>0</v>
      </c>
      <c r="AG1206" s="189">
        <f t="shared" ref="AG1206" si="954">AG1207+AG1212+AG1219+AG1222</f>
        <v>0</v>
      </c>
      <c r="AH1206" s="189">
        <f t="shared" ref="AH1206" si="955">AH1207+AH1212+AH1219+AH1222</f>
        <v>0</v>
      </c>
      <c r="AI1206" s="161">
        <f t="shared" ref="AI1206" si="956">SUM(AE1206:AH1206)</f>
        <v>0</v>
      </c>
      <c r="AK1206" s="169">
        <v>5</v>
      </c>
      <c r="AO1206" s="19" t="s">
        <v>63</v>
      </c>
    </row>
    <row r="1207" spans="1:41" s="103" customFormat="1" ht="19.899999999999999" customHeight="1" x14ac:dyDescent="0.25">
      <c r="A1207" s="51"/>
      <c r="B1207" s="52"/>
      <c r="C1207" s="165"/>
      <c r="D1207" s="52"/>
      <c r="E1207" s="115"/>
      <c r="F1207" s="58"/>
      <c r="G1207" s="58"/>
      <c r="H1207" s="58"/>
      <c r="I1207" s="55"/>
      <c r="J1207" s="113">
        <f>J1206</f>
        <v>1.8149999999999995</v>
      </c>
      <c r="K1207" s="212">
        <f>K1206</f>
        <v>1.8149999999999995</v>
      </c>
      <c r="L1207" s="58"/>
      <c r="M1207" s="58">
        <f>K1207-L1207</f>
        <v>1.8149999999999995</v>
      </c>
      <c r="N1207" s="166"/>
      <c r="O1207" s="58"/>
      <c r="P1207" s="58"/>
      <c r="Q1207" s="58"/>
      <c r="R1207" s="58"/>
      <c r="S1207" s="58"/>
      <c r="T1207" s="220"/>
      <c r="U1207" s="88"/>
      <c r="V1207" s="56"/>
      <c r="W1207" s="57" t="s">
        <v>1364</v>
      </c>
      <c r="X1207" s="53"/>
      <c r="Y1207" s="91" t="s">
        <v>35</v>
      </c>
      <c r="Z1207" s="136">
        <f>AD1207/AC1207</f>
        <v>54.298164705882343</v>
      </c>
      <c r="AA1207" s="58"/>
      <c r="AB1207" s="53">
        <f>AD1207/AC1207</f>
        <v>54.298164705882343</v>
      </c>
      <c r="AC1207" s="53">
        <f>M1207+$AE$10</f>
        <v>1.8149999999999995</v>
      </c>
      <c r="AD1207" s="54">
        <f>SUM(AD1208:AD1211)</f>
        <v>98.551168941176428</v>
      </c>
      <c r="AE1207" s="184">
        <f>SUMIFS($AD$37:$AD$12971,$V$37:$V$12971,$V1207,$X$37:$X$12971,AE$13)</f>
        <v>0</v>
      </c>
      <c r="AF1207" s="185">
        <f>SUMIFS($AD$37:$AD$12971,$V$37:$V$12971,$V1207,$X$37:$X$12971,AF$13)</f>
        <v>0</v>
      </c>
      <c r="AG1207" s="185">
        <f>SUMIFS($AD$37:$AD$12971,$V$37:$V$12971,$V1207,$X$37:$X$12971,AG$13)</f>
        <v>0</v>
      </c>
      <c r="AH1207" s="187">
        <f>SUMIFS($AD$37:$AD$12971,$V$37:$V$12971,$V1207,$X$37:$X$12971,AH$13)</f>
        <v>0</v>
      </c>
      <c r="AI1207" s="161">
        <f t="shared" ref="AI1207" si="957">SUM(AE1207:AH1207)</f>
        <v>0</v>
      </c>
      <c r="AK1207" s="172"/>
    </row>
    <row r="1208" spans="1:41" s="102" customFormat="1" ht="19.899999999999999" customHeight="1" x14ac:dyDescent="0.25">
      <c r="A1208" s="45"/>
      <c r="B1208" s="59"/>
      <c r="C1208" s="137"/>
      <c r="D1208" s="59"/>
      <c r="E1208" s="116"/>
      <c r="F1208" s="120"/>
      <c r="G1208" s="120"/>
      <c r="H1208" s="120"/>
      <c r="I1208" s="60"/>
      <c r="J1208" s="116"/>
      <c r="K1208" s="213"/>
      <c r="L1208" s="120"/>
      <c r="M1208" s="120"/>
      <c r="N1208" s="167"/>
      <c r="O1208" s="120"/>
      <c r="P1208" s="120"/>
      <c r="Q1208" s="120"/>
      <c r="R1208" s="120"/>
      <c r="S1208" s="120"/>
      <c r="T1208" s="221"/>
      <c r="U1208" s="89"/>
      <c r="V1208" s="61"/>
      <c r="W1208" s="92" t="s">
        <v>129</v>
      </c>
      <c r="X1208" s="93" t="s">
        <v>29</v>
      </c>
      <c r="Y1208" s="93" t="s">
        <v>93</v>
      </c>
      <c r="Z1208" s="134">
        <f>VLOOKUP(W1208,Sheet2!$B:$D,3,FALSE)</f>
        <v>56</v>
      </c>
      <c r="AA1208" s="93">
        <f>100/(3*3*1.5)</f>
        <v>7.4074074074074074</v>
      </c>
      <c r="AB1208" s="93">
        <f t="shared" ref="AB1208" si="958">AD1208/AC1207</f>
        <v>7.56</v>
      </c>
      <c r="AC1208" s="93">
        <f>AC1207/AA1208</f>
        <v>0.24502499999999994</v>
      </c>
      <c r="AD1208" s="94">
        <f t="shared" ref="AD1208:AD1209" si="959">AC1208*Z1208</f>
        <v>13.721399999999996</v>
      </c>
      <c r="AE1208" s="190"/>
      <c r="AF1208" s="191"/>
      <c r="AG1208" s="191"/>
      <c r="AH1208" s="191"/>
      <c r="AI1208" s="186"/>
      <c r="AK1208" s="171"/>
    </row>
    <row r="1209" spans="1:41" s="102" customFormat="1" ht="19.899999999999999" customHeight="1" x14ac:dyDescent="0.25">
      <c r="A1209" s="45"/>
      <c r="B1209" s="59"/>
      <c r="C1209" s="137"/>
      <c r="D1209" s="59"/>
      <c r="E1209" s="116"/>
      <c r="F1209" s="120"/>
      <c r="G1209" s="120"/>
      <c r="H1209" s="120"/>
      <c r="I1209" s="60"/>
      <c r="J1209" s="116"/>
      <c r="K1209" s="213"/>
      <c r="L1209" s="120"/>
      <c r="M1209" s="120"/>
      <c r="N1209" s="167"/>
      <c r="O1209" s="120"/>
      <c r="P1209" s="120"/>
      <c r="Q1209" s="120"/>
      <c r="R1209" s="120"/>
      <c r="S1209" s="120"/>
      <c r="T1209" s="221"/>
      <c r="U1209" s="89"/>
      <c r="V1209" s="61"/>
      <c r="W1209" s="92" t="s">
        <v>65</v>
      </c>
      <c r="X1209" s="93" t="s">
        <v>30</v>
      </c>
      <c r="Y1209" s="93" t="s">
        <v>1011</v>
      </c>
      <c r="Z1209" s="134">
        <f>VLOOKUP(W1209,Sheet2!$B:$D,3,FALSE)</f>
        <v>1.76</v>
      </c>
      <c r="AA1209" s="93">
        <f>AA1208/14</f>
        <v>0.52910052910052907</v>
      </c>
      <c r="AB1209" s="93">
        <f>AD1209/AC1207</f>
        <v>3.3264</v>
      </c>
      <c r="AC1209" s="93">
        <f>AC1207/AA1209</f>
        <v>3.4303499999999993</v>
      </c>
      <c r="AD1209" s="94">
        <f t="shared" si="959"/>
        <v>6.0374159999999986</v>
      </c>
      <c r="AE1209" s="190"/>
      <c r="AF1209" s="191"/>
      <c r="AG1209" s="191"/>
      <c r="AH1209" s="191"/>
      <c r="AI1209" s="186"/>
      <c r="AK1209" s="171"/>
    </row>
    <row r="1210" spans="1:41" s="102" customFormat="1" ht="19.899999999999999" customHeight="1" x14ac:dyDescent="0.25">
      <c r="A1210" s="45"/>
      <c r="B1210" s="59"/>
      <c r="C1210" s="137"/>
      <c r="D1210" s="59"/>
      <c r="E1210" s="116"/>
      <c r="F1210" s="120"/>
      <c r="G1210" s="120"/>
      <c r="H1210" s="120"/>
      <c r="I1210" s="60"/>
      <c r="J1210" s="116"/>
      <c r="K1210" s="213"/>
      <c r="L1210" s="120"/>
      <c r="M1210" s="120"/>
      <c r="N1210" s="167"/>
      <c r="O1210" s="120"/>
      <c r="P1210" s="120"/>
      <c r="Q1210" s="120"/>
      <c r="R1210" s="120"/>
      <c r="S1210" s="120"/>
      <c r="T1210" s="221"/>
      <c r="U1210" s="89"/>
      <c r="V1210" s="61"/>
      <c r="W1210" s="92" t="s">
        <v>161</v>
      </c>
      <c r="X1210" s="93" t="s">
        <v>29</v>
      </c>
      <c r="Y1210" s="93" t="s">
        <v>93</v>
      </c>
      <c r="Z1210" s="134">
        <f>VLOOKUP(W1210,Sheet2!$B:$D,3,FALSE)</f>
        <v>48</v>
      </c>
      <c r="AA1210" s="93">
        <f>(16*0.85*1.5)/(3*3*1.5)</f>
        <v>1.5111111111111111</v>
      </c>
      <c r="AB1210" s="93">
        <f>AD1210/AC1207</f>
        <v>31.764705882352938</v>
      </c>
      <c r="AC1210" s="93">
        <f>AC1207/AA1210</f>
        <v>1.2011029411764702</v>
      </c>
      <c r="AD1210" s="94">
        <f>AC1210*Z1210</f>
        <v>57.65294117647057</v>
      </c>
      <c r="AE1210" s="190"/>
      <c r="AF1210" s="191"/>
      <c r="AG1210" s="191"/>
      <c r="AH1210" s="191"/>
      <c r="AI1210" s="186"/>
      <c r="AK1210" s="171"/>
    </row>
    <row r="1211" spans="1:41" s="102" customFormat="1" ht="19.899999999999999" customHeight="1" x14ac:dyDescent="0.25">
      <c r="A1211" s="45"/>
      <c r="B1211" s="59"/>
      <c r="C1211" s="137"/>
      <c r="D1211" s="59"/>
      <c r="E1211" s="116"/>
      <c r="F1211" s="120"/>
      <c r="G1211" s="120"/>
      <c r="H1211" s="120"/>
      <c r="I1211" s="60"/>
      <c r="J1211" s="116"/>
      <c r="K1211" s="213"/>
      <c r="L1211" s="120"/>
      <c r="M1211" s="120"/>
      <c r="N1211" s="167"/>
      <c r="O1211" s="120"/>
      <c r="P1211" s="120"/>
      <c r="Q1211" s="120"/>
      <c r="R1211" s="120"/>
      <c r="S1211" s="120"/>
      <c r="T1211" s="221"/>
      <c r="U1211" s="89"/>
      <c r="V1211" s="61"/>
      <c r="W1211" s="92" t="s">
        <v>65</v>
      </c>
      <c r="X1211" s="93" t="s">
        <v>30</v>
      </c>
      <c r="Y1211" s="93" t="s">
        <v>1011</v>
      </c>
      <c r="Z1211" s="134">
        <f>VLOOKUP(W1211,Sheet2!$B:$D,3,FALSE)</f>
        <v>1.76</v>
      </c>
      <c r="AA1211" s="93">
        <f>AA1210/10</f>
        <v>0.15111111111111111</v>
      </c>
      <c r="AB1211" s="93">
        <f>AD1211/AC1207</f>
        <v>11.647058823529411</v>
      </c>
      <c r="AC1211" s="93">
        <f>AC1207/AA1211</f>
        <v>12.011029411764703</v>
      </c>
      <c r="AD1211" s="94">
        <f>AC1211*Z1211</f>
        <v>21.139411764705876</v>
      </c>
      <c r="AE1211" s="190"/>
      <c r="AF1211" s="191"/>
      <c r="AG1211" s="191"/>
      <c r="AH1211" s="191"/>
      <c r="AI1211" s="186"/>
      <c r="AK1211" s="171"/>
    </row>
    <row r="1212" spans="1:41" s="103" customFormat="1" ht="19.899999999999999" customHeight="1" x14ac:dyDescent="0.25">
      <c r="A1212" s="51"/>
      <c r="B1212" s="52"/>
      <c r="C1212" s="165"/>
      <c r="D1212" s="52"/>
      <c r="E1212" s="115"/>
      <c r="F1212" s="58"/>
      <c r="G1212" s="58"/>
      <c r="H1212" s="58"/>
      <c r="I1212" s="55"/>
      <c r="J1212" s="113">
        <f>J1206</f>
        <v>1.8149999999999995</v>
      </c>
      <c r="K1212" s="212">
        <f>K1206</f>
        <v>1.8149999999999995</v>
      </c>
      <c r="L1212" s="58"/>
      <c r="M1212" s="58">
        <f>K1212-L1212</f>
        <v>1.8149999999999995</v>
      </c>
      <c r="N1212" s="166"/>
      <c r="O1212" s="58"/>
      <c r="P1212" s="58"/>
      <c r="Q1212" s="58"/>
      <c r="R1212" s="58"/>
      <c r="S1212" s="58"/>
      <c r="T1212" s="220"/>
      <c r="U1212" s="88"/>
      <c r="V1212" s="56"/>
      <c r="W1212" s="57" t="s">
        <v>1352</v>
      </c>
      <c r="X1212" s="53"/>
      <c r="Y1212" s="91" t="s">
        <v>35</v>
      </c>
      <c r="Z1212" s="136">
        <f>AD1212/AC1212</f>
        <v>4350.0012000012002</v>
      </c>
      <c r="AA1212" s="58"/>
      <c r="AB1212" s="53">
        <f>AD1212/AC1212</f>
        <v>4350.0012000012002</v>
      </c>
      <c r="AC1212" s="53">
        <f>M1212+$AE$10</f>
        <v>1.8149999999999995</v>
      </c>
      <c r="AD1212" s="54">
        <f>SUM(AD1213:AD1218)</f>
        <v>7895.2521780021762</v>
      </c>
      <c r="AE1212" s="184">
        <f>SUMIFS($AD$37:$AD$12971,$V$37:$V$12971,$V1212,$X$37:$X$12971,AE$13)</f>
        <v>0</v>
      </c>
      <c r="AF1212" s="185">
        <f>SUMIFS($AD$37:$AD$12971,$V$37:$V$12971,$V1212,$X$37:$X$12971,AF$13)</f>
        <v>0</v>
      </c>
      <c r="AG1212" s="185">
        <f>SUMIFS($AD$37:$AD$12971,$V$37:$V$12971,$V1212,$X$37:$X$12971,AG$13)</f>
        <v>0</v>
      </c>
      <c r="AH1212" s="187">
        <f>SUMIFS($AD$37:$AD$12971,$V$37:$V$12971,$V1212,$X$37:$X$12971,AH$13)</f>
        <v>0</v>
      </c>
      <c r="AI1212" s="161">
        <f t="shared" ref="AI1212" si="960">SUM(AE1212:AH1212)</f>
        <v>0</v>
      </c>
      <c r="AK1212" s="172"/>
    </row>
    <row r="1213" spans="1:41" s="102" customFormat="1" ht="19.899999999999999" customHeight="1" x14ac:dyDescent="0.25">
      <c r="A1213" s="45"/>
      <c r="B1213" s="59"/>
      <c r="C1213" s="137"/>
      <c r="D1213" s="59"/>
      <c r="E1213" s="116"/>
      <c r="F1213" s="120"/>
      <c r="G1213" s="120"/>
      <c r="H1213" s="120"/>
      <c r="I1213" s="60"/>
      <c r="J1213" s="116"/>
      <c r="K1213" s="213"/>
      <c r="L1213" s="120"/>
      <c r="M1213" s="120"/>
      <c r="N1213" s="167"/>
      <c r="O1213" s="120"/>
      <c r="P1213" s="120"/>
      <c r="Q1213" s="120"/>
      <c r="R1213" s="120"/>
      <c r="S1213" s="120"/>
      <c r="T1213" s="221"/>
      <c r="U1213" s="89"/>
      <c r="V1213" s="61"/>
      <c r="W1213" s="92" t="s">
        <v>1353</v>
      </c>
      <c r="X1213" s="93" t="s">
        <v>30</v>
      </c>
      <c r="Y1213" s="93" t="s">
        <v>66</v>
      </c>
      <c r="Z1213" s="134">
        <f>VLOOKUP(W1213,Sheet2!$B:$D,3,FALSE)</f>
        <v>350</v>
      </c>
      <c r="AA1213" s="93">
        <f>1/(2*1.5*0.25*4)</f>
        <v>0.33333333333333331</v>
      </c>
      <c r="AB1213" s="93">
        <f>AD1213/AC1212</f>
        <v>1050</v>
      </c>
      <c r="AC1213" s="93">
        <f>AC1212/AA1213</f>
        <v>5.4449999999999985</v>
      </c>
      <c r="AD1213" s="94">
        <f t="shared" ref="AD1213:AD1214" si="961">AC1213*Z1213</f>
        <v>1905.7499999999995</v>
      </c>
      <c r="AE1213" s="190"/>
      <c r="AF1213" s="191"/>
      <c r="AG1213" s="191"/>
      <c r="AH1213" s="191"/>
      <c r="AI1213" s="186"/>
      <c r="AK1213" s="171"/>
    </row>
    <row r="1214" spans="1:41" s="102" customFormat="1" ht="19.899999999999999" customHeight="1" x14ac:dyDescent="0.25">
      <c r="A1214" s="45"/>
      <c r="B1214" s="59"/>
      <c r="C1214" s="137"/>
      <c r="D1214" s="59"/>
      <c r="E1214" s="116"/>
      <c r="F1214" s="120"/>
      <c r="G1214" s="120"/>
      <c r="H1214" s="120"/>
      <c r="I1214" s="60"/>
      <c r="J1214" s="116"/>
      <c r="K1214" s="213"/>
      <c r="L1214" s="120"/>
      <c r="M1214" s="120"/>
      <c r="N1214" s="167"/>
      <c r="O1214" s="120"/>
      <c r="P1214" s="120"/>
      <c r="Q1214" s="120"/>
      <c r="R1214" s="120"/>
      <c r="S1214" s="120"/>
      <c r="T1214" s="221"/>
      <c r="U1214" s="89"/>
      <c r="V1214" s="61"/>
      <c r="W1214" s="92" t="s">
        <v>99</v>
      </c>
      <c r="X1214" s="93" t="s">
        <v>30</v>
      </c>
      <c r="Y1214" s="93" t="s">
        <v>67</v>
      </c>
      <c r="Z1214" s="134">
        <f>VLOOKUP(W1214,Sheet2!$B:$D,3,FALSE)</f>
        <v>2500</v>
      </c>
      <c r="AA1214" s="93">
        <f>1/(2*1.5*0.25*4*0.08)</f>
        <v>4.166666666666667</v>
      </c>
      <c r="AB1214" s="93">
        <f>AD1214/AC1212</f>
        <v>600</v>
      </c>
      <c r="AC1214" s="93">
        <f>AC1212/AA1214</f>
        <v>0.43559999999999988</v>
      </c>
      <c r="AD1214" s="94">
        <f t="shared" si="961"/>
        <v>1088.9999999999998</v>
      </c>
      <c r="AE1214" s="190"/>
      <c r="AF1214" s="191"/>
      <c r="AG1214" s="191"/>
      <c r="AH1214" s="191"/>
      <c r="AI1214" s="186"/>
      <c r="AK1214" s="171"/>
    </row>
    <row r="1215" spans="1:41" s="102" customFormat="1" ht="19.899999999999999" customHeight="1" x14ac:dyDescent="0.25">
      <c r="A1215" s="45"/>
      <c r="B1215" s="59"/>
      <c r="C1215" s="137"/>
      <c r="D1215" s="59"/>
      <c r="E1215" s="116"/>
      <c r="F1215" s="120"/>
      <c r="G1215" s="120"/>
      <c r="H1215" s="120"/>
      <c r="I1215" s="60"/>
      <c r="J1215" s="116"/>
      <c r="K1215" s="213"/>
      <c r="L1215" s="120"/>
      <c r="M1215" s="120"/>
      <c r="N1215" s="167"/>
      <c r="O1215" s="120"/>
      <c r="P1215" s="120"/>
      <c r="Q1215" s="120"/>
      <c r="R1215" s="120"/>
      <c r="S1215" s="120"/>
      <c r="T1215" s="221"/>
      <c r="U1215" s="89"/>
      <c r="V1215" s="61"/>
      <c r="W1215" s="92" t="s">
        <v>1355</v>
      </c>
      <c r="X1215" s="93" t="s">
        <v>32</v>
      </c>
      <c r="Y1215" s="93" t="s">
        <v>66</v>
      </c>
      <c r="Z1215" s="134">
        <f>VLOOKUP(W1215,Sheet2!$B:$D,3,FALSE)</f>
        <v>450</v>
      </c>
      <c r="AA1215" s="93">
        <f>AA1213</f>
        <v>0.33333333333333331</v>
      </c>
      <c r="AB1215" s="93">
        <f>AD1215/AC1212</f>
        <v>1350.0000000000002</v>
      </c>
      <c r="AC1215" s="93">
        <f>AC1212/AA1215</f>
        <v>5.4449999999999985</v>
      </c>
      <c r="AD1215" s="94">
        <f>AC1215*Z1215</f>
        <v>2450.2499999999995</v>
      </c>
      <c r="AE1215" s="190"/>
      <c r="AF1215" s="191"/>
      <c r="AG1215" s="191"/>
      <c r="AH1215" s="191"/>
      <c r="AI1215" s="186"/>
      <c r="AK1215" s="171"/>
    </row>
    <row r="1216" spans="1:41" s="102" customFormat="1" ht="19.899999999999999" customHeight="1" x14ac:dyDescent="0.25">
      <c r="A1216" s="45"/>
      <c r="B1216" s="59"/>
      <c r="C1216" s="137"/>
      <c r="D1216" s="59"/>
      <c r="E1216" s="116"/>
      <c r="F1216" s="120"/>
      <c r="G1216" s="120"/>
      <c r="H1216" s="120"/>
      <c r="I1216" s="60"/>
      <c r="J1216" s="116"/>
      <c r="K1216" s="213"/>
      <c r="L1216" s="120"/>
      <c r="M1216" s="120"/>
      <c r="N1216" s="167"/>
      <c r="O1216" s="120"/>
      <c r="P1216" s="120"/>
      <c r="Q1216" s="120"/>
      <c r="R1216" s="120"/>
      <c r="S1216" s="120"/>
      <c r="T1216" s="221"/>
      <c r="U1216" s="89"/>
      <c r="V1216" s="61"/>
      <c r="W1216" s="92" t="s">
        <v>1362</v>
      </c>
      <c r="X1216" s="93" t="s">
        <v>30</v>
      </c>
      <c r="Y1216" s="93" t="s">
        <v>35</v>
      </c>
      <c r="Z1216" s="134">
        <f>VLOOKUP(W1216,Sheet2!$B:$D,3,FALSE)</f>
        <v>400</v>
      </c>
      <c r="AA1216" s="93">
        <v>0.33333299999999999</v>
      </c>
      <c r="AB1216" s="93">
        <f>AD1216/AC1212</f>
        <v>1200.0012000012</v>
      </c>
      <c r="AC1216" s="93">
        <f>AC1212/AA1216</f>
        <v>5.4450054450054433</v>
      </c>
      <c r="AD1216" s="94">
        <f t="shared" ref="AD1216" si="962">AC1216*Z1216</f>
        <v>2178.0021780021775</v>
      </c>
      <c r="AE1216" s="190"/>
      <c r="AF1216" s="191"/>
      <c r="AG1216" s="191"/>
      <c r="AH1216" s="191"/>
      <c r="AI1216" s="186"/>
      <c r="AK1216" s="171"/>
    </row>
    <row r="1217" spans="1:41" s="102" customFormat="1" ht="19.899999999999999" customHeight="1" x14ac:dyDescent="0.25">
      <c r="A1217" s="45"/>
      <c r="B1217" s="59"/>
      <c r="C1217" s="137"/>
      <c r="D1217" s="59"/>
      <c r="E1217" s="116"/>
      <c r="F1217" s="120"/>
      <c r="G1217" s="120"/>
      <c r="H1217" s="120"/>
      <c r="I1217" s="60"/>
      <c r="J1217" s="116"/>
      <c r="K1217" s="213"/>
      <c r="L1217" s="120"/>
      <c r="M1217" s="120"/>
      <c r="N1217" s="167"/>
      <c r="O1217" s="120"/>
      <c r="P1217" s="120"/>
      <c r="Q1217" s="120"/>
      <c r="R1217" s="120"/>
      <c r="S1217" s="120"/>
      <c r="T1217" s="221"/>
      <c r="U1217" s="89"/>
      <c r="V1217" s="61"/>
      <c r="W1217" s="92" t="s">
        <v>107</v>
      </c>
      <c r="X1217" s="93" t="s">
        <v>31</v>
      </c>
      <c r="Y1217" s="93" t="s">
        <v>93</v>
      </c>
      <c r="Z1217" s="134">
        <f>VLOOKUP(W1217,Sheet2!$B:$D,3,FALSE)</f>
        <v>17</v>
      </c>
      <c r="AA1217" s="93">
        <f>1/5</f>
        <v>0.2</v>
      </c>
      <c r="AB1217" s="93">
        <f>AD1217/AC1212</f>
        <v>85</v>
      </c>
      <c r="AC1217" s="93">
        <f>AC1212/AA1217</f>
        <v>9.0749999999999975</v>
      </c>
      <c r="AD1217" s="94">
        <f>AC1217*Z1217</f>
        <v>154.27499999999995</v>
      </c>
      <c r="AE1217" s="190"/>
      <c r="AF1217" s="191"/>
      <c r="AG1217" s="191"/>
      <c r="AH1217" s="191"/>
      <c r="AI1217" s="186"/>
      <c r="AK1217" s="171"/>
    </row>
    <row r="1218" spans="1:41" s="102" customFormat="1" ht="19.899999999999999" customHeight="1" x14ac:dyDescent="0.25">
      <c r="A1218" s="45"/>
      <c r="B1218" s="59"/>
      <c r="C1218" s="137"/>
      <c r="D1218" s="59"/>
      <c r="E1218" s="116"/>
      <c r="F1218" s="120"/>
      <c r="G1218" s="120"/>
      <c r="H1218" s="120"/>
      <c r="I1218" s="60"/>
      <c r="J1218" s="116"/>
      <c r="K1218" s="213"/>
      <c r="L1218" s="120"/>
      <c r="M1218" s="120"/>
      <c r="N1218" s="167"/>
      <c r="O1218" s="120"/>
      <c r="P1218" s="120"/>
      <c r="Q1218" s="120"/>
      <c r="R1218" s="120"/>
      <c r="S1218" s="120"/>
      <c r="T1218" s="221"/>
      <c r="U1218" s="89"/>
      <c r="V1218" s="61"/>
      <c r="W1218" s="92" t="s">
        <v>112</v>
      </c>
      <c r="X1218" s="93" t="s">
        <v>31</v>
      </c>
      <c r="Y1218" s="93" t="s">
        <v>93</v>
      </c>
      <c r="Z1218" s="134">
        <f>VLOOKUP(W1218,Sheet2!$B:$D,3,FALSE)</f>
        <v>13</v>
      </c>
      <c r="AA1218" s="93">
        <f>AA1217</f>
        <v>0.2</v>
      </c>
      <c r="AB1218" s="93">
        <f>AD1218/AC1212</f>
        <v>65</v>
      </c>
      <c r="AC1218" s="93">
        <f>AC1212/AA1218</f>
        <v>9.0749999999999975</v>
      </c>
      <c r="AD1218" s="94">
        <f>AC1218*Z1218</f>
        <v>117.97499999999997</v>
      </c>
      <c r="AE1218" s="190"/>
      <c r="AF1218" s="191"/>
      <c r="AG1218" s="191"/>
      <c r="AH1218" s="191"/>
      <c r="AI1218" s="186"/>
      <c r="AK1218" s="171"/>
    </row>
    <row r="1219" spans="1:41" s="103" customFormat="1" ht="19.899999999999999" customHeight="1" x14ac:dyDescent="0.25">
      <c r="A1219" s="51"/>
      <c r="B1219" s="52"/>
      <c r="C1219" s="165"/>
      <c r="D1219" s="52"/>
      <c r="E1219" s="115"/>
      <c r="F1219" s="58"/>
      <c r="G1219" s="58"/>
      <c r="H1219" s="58"/>
      <c r="I1219" s="55"/>
      <c r="J1219" s="113">
        <f>J1206</f>
        <v>1.8149999999999995</v>
      </c>
      <c r="K1219" s="212">
        <f>K1206</f>
        <v>1.8149999999999995</v>
      </c>
      <c r="L1219" s="58"/>
      <c r="M1219" s="58">
        <f>K1219-L1219</f>
        <v>1.8149999999999995</v>
      </c>
      <c r="N1219" s="166"/>
      <c r="O1219" s="58"/>
      <c r="P1219" s="58"/>
      <c r="Q1219" s="58"/>
      <c r="R1219" s="58"/>
      <c r="S1219" s="58"/>
      <c r="T1219" s="220"/>
      <c r="U1219" s="88"/>
      <c r="V1219" s="56"/>
      <c r="W1219" s="57" t="s">
        <v>1358</v>
      </c>
      <c r="X1219" s="53"/>
      <c r="Y1219" s="91" t="s">
        <v>35</v>
      </c>
      <c r="Z1219" s="136">
        <f>AD1219/AC1219</f>
        <v>1680</v>
      </c>
      <c r="AA1219" s="58"/>
      <c r="AB1219" s="53">
        <f>AD1219/AC1219</f>
        <v>1680</v>
      </c>
      <c r="AC1219" s="53">
        <f>M1219+$AE$10</f>
        <v>1.8149999999999995</v>
      </c>
      <c r="AD1219" s="54">
        <f>SUM(AD1220:AD1221)</f>
        <v>3049.1999999999994</v>
      </c>
      <c r="AE1219" s="184">
        <f>SUMIFS($AD$37:$AD$12971,$V$37:$V$12971,$V1219,$X$37:$X$12971,AE$13)</f>
        <v>0</v>
      </c>
      <c r="AF1219" s="185">
        <f>SUMIFS($AD$37:$AD$12971,$V$37:$V$12971,$V1219,$X$37:$X$12971,AF$13)</f>
        <v>0</v>
      </c>
      <c r="AG1219" s="185">
        <f>SUMIFS($AD$37:$AD$12971,$V$37:$V$12971,$V1219,$X$37:$X$12971,AG$13)</f>
        <v>0</v>
      </c>
      <c r="AH1219" s="187">
        <f>SUMIFS($AD$37:$AD$12971,$V$37:$V$12971,$V1219,$X$37:$X$12971,AH$13)</f>
        <v>0</v>
      </c>
      <c r="AI1219" s="161">
        <f t="shared" ref="AI1219" si="963">SUM(AE1219:AH1219)</f>
        <v>0</v>
      </c>
      <c r="AK1219" s="172"/>
    </row>
    <row r="1220" spans="1:41" s="102" customFormat="1" ht="19.899999999999999" customHeight="1" x14ac:dyDescent="0.25">
      <c r="A1220" s="45"/>
      <c r="B1220" s="59"/>
      <c r="C1220" s="137"/>
      <c r="D1220" s="59"/>
      <c r="E1220" s="116"/>
      <c r="F1220" s="120"/>
      <c r="G1220" s="120"/>
      <c r="H1220" s="120"/>
      <c r="I1220" s="60"/>
      <c r="J1220" s="116"/>
      <c r="K1220" s="213"/>
      <c r="L1220" s="120"/>
      <c r="M1220" s="120"/>
      <c r="N1220" s="167"/>
      <c r="O1220" s="120"/>
      <c r="P1220" s="120"/>
      <c r="Q1220" s="120"/>
      <c r="R1220" s="120"/>
      <c r="S1220" s="120"/>
      <c r="T1220" s="221"/>
      <c r="U1220" s="89"/>
      <c r="V1220" s="61"/>
      <c r="W1220" s="92" t="s">
        <v>1359</v>
      </c>
      <c r="X1220" s="93" t="s">
        <v>32</v>
      </c>
      <c r="Y1220" s="93" t="s">
        <v>64</v>
      </c>
      <c r="Z1220" s="134">
        <f>VLOOKUP(W1220,Sheet2!$B:$D,3,FALSE)</f>
        <v>40</v>
      </c>
      <c r="AA1220" s="93">
        <f>1/24</f>
        <v>4.1666666666666664E-2</v>
      </c>
      <c r="AB1220" s="93">
        <f t="shared" ref="AB1220" si="964">AD1220/AC1219</f>
        <v>960.00000000000011</v>
      </c>
      <c r="AC1220" s="93">
        <f>AC1219/AA1220</f>
        <v>43.559999999999988</v>
      </c>
      <c r="AD1220" s="94">
        <f t="shared" ref="AD1220:AD1221" si="965">AC1220*Z1220</f>
        <v>1742.3999999999996</v>
      </c>
      <c r="AE1220" s="190"/>
      <c r="AF1220" s="191"/>
      <c r="AG1220" s="191"/>
      <c r="AH1220" s="191"/>
      <c r="AI1220" s="186"/>
      <c r="AK1220" s="171"/>
    </row>
    <row r="1221" spans="1:41" s="102" customFormat="1" ht="19.899999999999999" customHeight="1" x14ac:dyDescent="0.25">
      <c r="A1221" s="45"/>
      <c r="B1221" s="59"/>
      <c r="C1221" s="137"/>
      <c r="D1221" s="59"/>
      <c r="E1221" s="116"/>
      <c r="F1221" s="120"/>
      <c r="G1221" s="120"/>
      <c r="H1221" s="120"/>
      <c r="I1221" s="60"/>
      <c r="J1221" s="116"/>
      <c r="K1221" s="213"/>
      <c r="L1221" s="120"/>
      <c r="M1221" s="120"/>
      <c r="N1221" s="167"/>
      <c r="O1221" s="120"/>
      <c r="P1221" s="120"/>
      <c r="Q1221" s="120"/>
      <c r="R1221" s="120"/>
      <c r="S1221" s="120"/>
      <c r="T1221" s="221"/>
      <c r="U1221" s="89"/>
      <c r="V1221" s="61"/>
      <c r="W1221" s="92" t="s">
        <v>1360</v>
      </c>
      <c r="X1221" s="93" t="s">
        <v>32</v>
      </c>
      <c r="Y1221" s="93" t="s">
        <v>64</v>
      </c>
      <c r="Z1221" s="134">
        <f>VLOOKUP(W1221,Sheet2!$B:$D,3,FALSE)</f>
        <v>30</v>
      </c>
      <c r="AA1221" s="93">
        <f>AA1220</f>
        <v>4.1666666666666664E-2</v>
      </c>
      <c r="AB1221" s="93">
        <f>AD1221/AC1219</f>
        <v>720</v>
      </c>
      <c r="AC1221" s="93">
        <f>AC1219/AA1221</f>
        <v>43.559999999999988</v>
      </c>
      <c r="AD1221" s="94">
        <f t="shared" si="965"/>
        <v>1306.7999999999997</v>
      </c>
      <c r="AE1221" s="190"/>
      <c r="AF1221" s="191"/>
      <c r="AG1221" s="191"/>
      <c r="AH1221" s="191"/>
      <c r="AI1221" s="186"/>
      <c r="AK1221" s="171"/>
    </row>
    <row r="1222" spans="1:41" s="103" customFormat="1" ht="19.899999999999999" customHeight="1" x14ac:dyDescent="0.25">
      <c r="A1222" s="51"/>
      <c r="B1222" s="52"/>
      <c r="C1222" s="165"/>
      <c r="D1222" s="52"/>
      <c r="E1222" s="115"/>
      <c r="F1222" s="58"/>
      <c r="G1222" s="58"/>
      <c r="H1222" s="58"/>
      <c r="I1222" s="55"/>
      <c r="J1222" s="113">
        <f>J1206</f>
        <v>1.8149999999999995</v>
      </c>
      <c r="K1222" s="212">
        <f>K1206</f>
        <v>1.8149999999999995</v>
      </c>
      <c r="L1222" s="58"/>
      <c r="M1222" s="58">
        <f>K1222-L1222</f>
        <v>1.8149999999999995</v>
      </c>
      <c r="N1222" s="166"/>
      <c r="O1222" s="58"/>
      <c r="P1222" s="58"/>
      <c r="Q1222" s="58"/>
      <c r="R1222" s="58"/>
      <c r="S1222" s="58"/>
      <c r="T1222" s="220"/>
      <c r="U1222" s="88"/>
      <c r="V1222" s="56"/>
      <c r="W1222" s="57" t="s">
        <v>1272</v>
      </c>
      <c r="X1222" s="53"/>
      <c r="Y1222" s="91" t="s">
        <v>35</v>
      </c>
      <c r="Z1222" s="136">
        <f>AD1222/AC1222</f>
        <v>131.85498039215688</v>
      </c>
      <c r="AA1222" s="58"/>
      <c r="AB1222" s="53">
        <f>AD1222/AC1222</f>
        <v>131.85498039215688</v>
      </c>
      <c r="AC1222" s="53">
        <f>M1222+$AE$10</f>
        <v>1.8149999999999995</v>
      </c>
      <c r="AD1222" s="54">
        <f>SUM(AD1223:AD1231)</f>
        <v>239.31678941176466</v>
      </c>
      <c r="AE1222" s="184">
        <f>SUMIFS($AD$37:$AD$12971,$V$37:$V$12971,$V1222,$X$37:$X$12971,AE$13)</f>
        <v>0</v>
      </c>
      <c r="AF1222" s="185">
        <f>SUMIFS($AD$37:$AD$12971,$V$37:$V$12971,$V1222,$X$37:$X$12971,AF$13)</f>
        <v>0</v>
      </c>
      <c r="AG1222" s="185">
        <f>SUMIFS($AD$37:$AD$12971,$V$37:$V$12971,$V1222,$X$37:$X$12971,AG$13)</f>
        <v>0</v>
      </c>
      <c r="AH1222" s="187">
        <f>SUMIFS($AD$37:$AD$12971,$V$37:$V$12971,$V1222,$X$37:$X$12971,AH$13)</f>
        <v>0</v>
      </c>
      <c r="AI1222" s="161">
        <f t="shared" ref="AI1222" si="966">SUM(AE1222:AH1222)</f>
        <v>0</v>
      </c>
      <c r="AK1222" s="172"/>
    </row>
    <row r="1223" spans="1:41" s="102" customFormat="1" ht="19.899999999999999" customHeight="1" x14ac:dyDescent="0.25">
      <c r="A1223" s="45"/>
      <c r="B1223" s="59"/>
      <c r="C1223" s="137"/>
      <c r="D1223" s="59"/>
      <c r="E1223" s="116"/>
      <c r="F1223" s="120"/>
      <c r="G1223" s="120"/>
      <c r="H1223" s="120"/>
      <c r="I1223" s="60"/>
      <c r="J1223" s="116"/>
      <c r="K1223" s="213"/>
      <c r="L1223" s="120"/>
      <c r="M1223" s="120"/>
      <c r="N1223" s="167"/>
      <c r="O1223" s="120"/>
      <c r="P1223" s="120"/>
      <c r="Q1223" s="120"/>
      <c r="R1223" s="120"/>
      <c r="S1223" s="120"/>
      <c r="T1223" s="221"/>
      <c r="U1223" s="89"/>
      <c r="V1223" s="61"/>
      <c r="W1223" s="92" t="s">
        <v>1273</v>
      </c>
      <c r="X1223" s="93" t="s">
        <v>30</v>
      </c>
      <c r="Y1223" s="93" t="s">
        <v>66</v>
      </c>
      <c r="Z1223" s="134">
        <f>VLOOKUP(W1223,Sheet2!$B:$D,3,FALSE)</f>
        <v>10</v>
      </c>
      <c r="AA1223" s="93">
        <f>1/(2.5*1.5*0.5*4)</f>
        <v>0.13333333333333333</v>
      </c>
      <c r="AB1223" s="93">
        <f>AD1223/AC1222</f>
        <v>75</v>
      </c>
      <c r="AC1223" s="93">
        <f>AC1222/AA1223</f>
        <v>13.612499999999997</v>
      </c>
      <c r="AD1223" s="94">
        <f t="shared" ref="AD1223:AD1225" si="967">AC1223*Z1223</f>
        <v>136.12499999999997</v>
      </c>
      <c r="AE1223" s="190"/>
      <c r="AF1223" s="191"/>
      <c r="AG1223" s="191"/>
      <c r="AH1223" s="191"/>
      <c r="AI1223" s="186"/>
      <c r="AK1223" s="171"/>
    </row>
    <row r="1224" spans="1:41" s="102" customFormat="1" ht="19.899999999999999" customHeight="1" x14ac:dyDescent="0.25">
      <c r="A1224" s="45"/>
      <c r="B1224" s="59"/>
      <c r="C1224" s="137"/>
      <c r="D1224" s="59"/>
      <c r="E1224" s="116"/>
      <c r="F1224" s="120"/>
      <c r="G1224" s="120"/>
      <c r="H1224" s="120"/>
      <c r="I1224" s="60"/>
      <c r="J1224" s="116"/>
      <c r="K1224" s="213"/>
      <c r="L1224" s="120"/>
      <c r="M1224" s="120"/>
      <c r="N1224" s="167"/>
      <c r="O1224" s="120"/>
      <c r="P1224" s="120"/>
      <c r="Q1224" s="120"/>
      <c r="R1224" s="120"/>
      <c r="S1224" s="120"/>
      <c r="T1224" s="221"/>
      <c r="U1224" s="89"/>
      <c r="V1224" s="61"/>
      <c r="W1224" s="92" t="s">
        <v>134</v>
      </c>
      <c r="X1224" s="93" t="s">
        <v>29</v>
      </c>
      <c r="Y1224" s="93" t="s">
        <v>93</v>
      </c>
      <c r="Z1224" s="134">
        <f>VLOOKUP(W1224,Sheet2!$B:$D,3,FALSE)</f>
        <v>65.599999999999994</v>
      </c>
      <c r="AA1224" s="93">
        <f>100/(2.5*1.5*0.5*4)</f>
        <v>13.333333333333334</v>
      </c>
      <c r="AB1224" s="93">
        <f t="shared" ref="AB1224" si="968">AD1224/AC1222</f>
        <v>4.92</v>
      </c>
      <c r="AC1224" s="93">
        <f>AC1222/AA1224</f>
        <v>0.13612499999999997</v>
      </c>
      <c r="AD1224" s="94">
        <f t="shared" si="967"/>
        <v>8.9297999999999966</v>
      </c>
      <c r="AE1224" s="190"/>
      <c r="AF1224" s="191"/>
      <c r="AG1224" s="191"/>
      <c r="AH1224" s="191"/>
      <c r="AI1224" s="186"/>
      <c r="AK1224" s="171"/>
    </row>
    <row r="1225" spans="1:41" s="102" customFormat="1" ht="19.899999999999999" customHeight="1" x14ac:dyDescent="0.25">
      <c r="A1225" s="45"/>
      <c r="B1225" s="59"/>
      <c r="C1225" s="137"/>
      <c r="D1225" s="59"/>
      <c r="E1225" s="116"/>
      <c r="F1225" s="120"/>
      <c r="G1225" s="120"/>
      <c r="H1225" s="120"/>
      <c r="I1225" s="60"/>
      <c r="J1225" s="116"/>
      <c r="K1225" s="213"/>
      <c r="L1225" s="120"/>
      <c r="M1225" s="120"/>
      <c r="N1225" s="167"/>
      <c r="O1225" s="120"/>
      <c r="P1225" s="120"/>
      <c r="Q1225" s="120"/>
      <c r="R1225" s="120"/>
      <c r="S1225" s="120"/>
      <c r="T1225" s="221"/>
      <c r="U1225" s="89"/>
      <c r="V1225" s="61"/>
      <c r="W1225" s="92" t="s">
        <v>65</v>
      </c>
      <c r="X1225" s="93" t="s">
        <v>30</v>
      </c>
      <c r="Y1225" s="93" t="s">
        <v>1011</v>
      </c>
      <c r="Z1225" s="134">
        <f>VLOOKUP(W1225,Sheet2!$B:$D,3,FALSE)</f>
        <v>1.76</v>
      </c>
      <c r="AA1225" s="93">
        <f>AA1224/9</f>
        <v>1.4814814814814816</v>
      </c>
      <c r="AB1225" s="93">
        <f>AD1225/AC1222</f>
        <v>1.1879999999999999</v>
      </c>
      <c r="AC1225" s="93">
        <f>AC1222/AA1225</f>
        <v>1.2251249999999996</v>
      </c>
      <c r="AD1225" s="94">
        <f t="shared" si="967"/>
        <v>2.1562199999999994</v>
      </c>
      <c r="AE1225" s="190"/>
      <c r="AF1225" s="191"/>
      <c r="AG1225" s="191"/>
      <c r="AH1225" s="191"/>
      <c r="AI1225" s="186"/>
      <c r="AK1225" s="171"/>
    </row>
    <row r="1226" spans="1:41" s="102" customFormat="1" ht="19.899999999999999" customHeight="1" x14ac:dyDescent="0.25">
      <c r="A1226" s="45"/>
      <c r="B1226" s="59"/>
      <c r="C1226" s="137"/>
      <c r="D1226" s="59"/>
      <c r="E1226" s="116"/>
      <c r="F1226" s="120"/>
      <c r="G1226" s="120"/>
      <c r="H1226" s="120"/>
      <c r="I1226" s="60"/>
      <c r="J1226" s="116"/>
      <c r="K1226" s="213"/>
      <c r="L1226" s="120"/>
      <c r="M1226" s="120"/>
      <c r="N1226" s="167"/>
      <c r="O1226" s="120"/>
      <c r="P1226" s="120"/>
      <c r="Q1226" s="120"/>
      <c r="R1226" s="120"/>
      <c r="S1226" s="120"/>
      <c r="T1226" s="221"/>
      <c r="U1226" s="89"/>
      <c r="V1226" s="61"/>
      <c r="W1226" s="92" t="s">
        <v>161</v>
      </c>
      <c r="X1226" s="93" t="s">
        <v>29</v>
      </c>
      <c r="Y1226" s="93" t="s">
        <v>93</v>
      </c>
      <c r="Z1226" s="134">
        <f>VLOOKUP(W1226,Sheet2!$B:$D,3,FALSE)</f>
        <v>48</v>
      </c>
      <c r="AA1226" s="93">
        <f>(16*0.85*1.5)/(2.5*1.5*0.5*4)</f>
        <v>2.7199999999999998</v>
      </c>
      <c r="AB1226" s="93">
        <f>AD1226/AC1222</f>
        <v>17.647058823529413</v>
      </c>
      <c r="AC1226" s="93">
        <f>AC1222/AA1226</f>
        <v>0.66727941176470573</v>
      </c>
      <c r="AD1226" s="94">
        <f>AC1226*Z1226</f>
        <v>32.029411764705877</v>
      </c>
      <c r="AE1226" s="190"/>
      <c r="AF1226" s="191"/>
      <c r="AG1226" s="191"/>
      <c r="AH1226" s="191"/>
      <c r="AI1226" s="186"/>
      <c r="AK1226" s="171"/>
    </row>
    <row r="1227" spans="1:41" s="102" customFormat="1" ht="19.899999999999999" customHeight="1" x14ac:dyDescent="0.25">
      <c r="A1227" s="45"/>
      <c r="B1227" s="59"/>
      <c r="C1227" s="137"/>
      <c r="D1227" s="59"/>
      <c r="E1227" s="116"/>
      <c r="F1227" s="120"/>
      <c r="G1227" s="120"/>
      <c r="H1227" s="120"/>
      <c r="I1227" s="60"/>
      <c r="J1227" s="116"/>
      <c r="K1227" s="213"/>
      <c r="L1227" s="120"/>
      <c r="M1227" s="120"/>
      <c r="N1227" s="167"/>
      <c r="O1227" s="120"/>
      <c r="P1227" s="120"/>
      <c r="Q1227" s="120"/>
      <c r="R1227" s="120"/>
      <c r="S1227" s="120"/>
      <c r="T1227" s="221"/>
      <c r="U1227" s="89"/>
      <c r="V1227" s="61"/>
      <c r="W1227" s="92" t="s">
        <v>65</v>
      </c>
      <c r="X1227" s="93" t="s">
        <v>30</v>
      </c>
      <c r="Y1227" s="93" t="s">
        <v>1011</v>
      </c>
      <c r="Z1227" s="134">
        <f>VLOOKUP(W1227,Sheet2!$B:$D,3,FALSE)</f>
        <v>1.76</v>
      </c>
      <c r="AA1227" s="93">
        <f>AA1226/10</f>
        <v>0.27199999999999996</v>
      </c>
      <c r="AB1227" s="93">
        <f>AD1227/AC1222</f>
        <v>6.4705882352941186</v>
      </c>
      <c r="AC1227" s="93">
        <f>AC1222/AA1227</f>
        <v>6.672794117647058</v>
      </c>
      <c r="AD1227" s="94">
        <f>AC1227*Z1227</f>
        <v>11.744117647058822</v>
      </c>
      <c r="AE1227" s="190"/>
      <c r="AF1227" s="191"/>
      <c r="AG1227" s="191"/>
      <c r="AH1227" s="191"/>
      <c r="AI1227" s="186"/>
      <c r="AK1227" s="171"/>
    </row>
    <row r="1228" spans="1:41" s="102" customFormat="1" ht="19.899999999999999" customHeight="1" x14ac:dyDescent="0.25">
      <c r="A1228" s="45"/>
      <c r="B1228" s="59"/>
      <c r="C1228" s="137"/>
      <c r="D1228" s="59"/>
      <c r="E1228" s="116"/>
      <c r="F1228" s="120"/>
      <c r="G1228" s="120"/>
      <c r="H1228" s="120"/>
      <c r="I1228" s="60"/>
      <c r="J1228" s="116"/>
      <c r="K1228" s="213"/>
      <c r="L1228" s="120"/>
      <c r="M1228" s="120"/>
      <c r="N1228" s="167"/>
      <c r="O1228" s="120"/>
      <c r="P1228" s="120"/>
      <c r="Q1228" s="120"/>
      <c r="R1228" s="120"/>
      <c r="S1228" s="120"/>
      <c r="T1228" s="221"/>
      <c r="U1228" s="89"/>
      <c r="V1228" s="61"/>
      <c r="W1228" s="92" t="s">
        <v>173</v>
      </c>
      <c r="X1228" s="93" t="s">
        <v>29</v>
      </c>
      <c r="Y1228" s="93" t="s">
        <v>93</v>
      </c>
      <c r="Z1228" s="134">
        <f>VLOOKUP(W1228,Sheet2!$B:$D,3,FALSE)</f>
        <v>36</v>
      </c>
      <c r="AA1228" s="93">
        <f>50/(2.5*1.5*0.5*4)</f>
        <v>6.666666666666667</v>
      </c>
      <c r="AB1228" s="93">
        <f>AD1228/AC1222</f>
        <v>5.4</v>
      </c>
      <c r="AC1228" s="93">
        <f>AC1222/AA1228</f>
        <v>0.27224999999999994</v>
      </c>
      <c r="AD1228" s="94">
        <f>AC1228*Z1228</f>
        <v>9.8009999999999984</v>
      </c>
      <c r="AE1228" s="190"/>
      <c r="AF1228" s="191"/>
      <c r="AG1228" s="191"/>
      <c r="AH1228" s="191"/>
      <c r="AI1228" s="186"/>
      <c r="AK1228" s="171"/>
    </row>
    <row r="1229" spans="1:41" s="102" customFormat="1" ht="19.899999999999999" customHeight="1" x14ac:dyDescent="0.25">
      <c r="A1229" s="45"/>
      <c r="B1229" s="59"/>
      <c r="C1229" s="137"/>
      <c r="D1229" s="59"/>
      <c r="E1229" s="116"/>
      <c r="F1229" s="120"/>
      <c r="G1229" s="120"/>
      <c r="H1229" s="120"/>
      <c r="I1229" s="60"/>
      <c r="J1229" s="116"/>
      <c r="K1229" s="213"/>
      <c r="L1229" s="120"/>
      <c r="M1229" s="120"/>
      <c r="N1229" s="167"/>
      <c r="O1229" s="120"/>
      <c r="P1229" s="120"/>
      <c r="Q1229" s="120"/>
      <c r="R1229" s="120"/>
      <c r="S1229" s="120"/>
      <c r="T1229" s="221"/>
      <c r="U1229" s="89"/>
      <c r="V1229" s="61"/>
      <c r="W1229" s="92" t="s">
        <v>65</v>
      </c>
      <c r="X1229" s="93" t="s">
        <v>30</v>
      </c>
      <c r="Y1229" s="93" t="s">
        <v>1011</v>
      </c>
      <c r="Z1229" s="134">
        <f>VLOOKUP(W1229,Sheet2!$B:$D,3,FALSE)</f>
        <v>1.76</v>
      </c>
      <c r="AA1229" s="93">
        <f>AA1228/9</f>
        <v>0.74074074074074081</v>
      </c>
      <c r="AB1229" s="93">
        <f>AD1229/AC1222</f>
        <v>2.3759999999999999</v>
      </c>
      <c r="AC1229" s="93">
        <f>AC1222/AA1229</f>
        <v>2.4502499999999992</v>
      </c>
      <c r="AD1229" s="94">
        <f>AC1229*Z1229</f>
        <v>4.3124399999999987</v>
      </c>
      <c r="AE1229" s="190"/>
      <c r="AF1229" s="191"/>
      <c r="AG1229" s="191"/>
      <c r="AH1229" s="191"/>
      <c r="AI1229" s="186"/>
      <c r="AK1229" s="171"/>
    </row>
    <row r="1230" spans="1:41" s="102" customFormat="1" ht="19.899999999999999" customHeight="1" x14ac:dyDescent="0.25">
      <c r="A1230" s="45"/>
      <c r="B1230" s="59"/>
      <c r="C1230" s="137"/>
      <c r="D1230" s="59"/>
      <c r="E1230" s="116"/>
      <c r="F1230" s="120"/>
      <c r="G1230" s="120"/>
      <c r="H1230" s="120"/>
      <c r="I1230" s="60"/>
      <c r="J1230" s="116"/>
      <c r="K1230" s="213"/>
      <c r="L1230" s="120"/>
      <c r="M1230" s="120"/>
      <c r="N1230" s="167"/>
      <c r="O1230" s="120"/>
      <c r="P1230" s="120"/>
      <c r="Q1230" s="120"/>
      <c r="R1230" s="120"/>
      <c r="S1230" s="120"/>
      <c r="T1230" s="221"/>
      <c r="U1230" s="89"/>
      <c r="V1230" s="61"/>
      <c r="W1230" s="92" t="s">
        <v>1030</v>
      </c>
      <c r="X1230" s="93" t="s">
        <v>29</v>
      </c>
      <c r="Y1230" s="93" t="s">
        <v>93</v>
      </c>
      <c r="Z1230" s="134">
        <f>VLOOKUP(W1230,Sheet2!$B:$D,3,FALSE)</f>
        <v>23</v>
      </c>
      <c r="AA1230" s="93">
        <f>1*1.5</f>
        <v>1.5</v>
      </c>
      <c r="AB1230" s="93">
        <f>AD1230/AC1222</f>
        <v>15.333333333333334</v>
      </c>
      <c r="AC1230" s="93">
        <f>AC1222/AA1230</f>
        <v>1.2099999999999997</v>
      </c>
      <c r="AD1230" s="94">
        <f t="shared" ref="AD1230:AD1231" si="969">AC1230*Z1230</f>
        <v>27.829999999999995</v>
      </c>
      <c r="AE1230" s="190"/>
      <c r="AF1230" s="191"/>
      <c r="AG1230" s="191"/>
      <c r="AH1230" s="191"/>
      <c r="AI1230" s="186"/>
      <c r="AK1230" s="171"/>
    </row>
    <row r="1231" spans="1:41" s="102" customFormat="1" ht="19.899999999999999" customHeight="1" x14ac:dyDescent="0.25">
      <c r="A1231" s="45"/>
      <c r="B1231" s="59"/>
      <c r="C1231" s="137"/>
      <c r="D1231" s="59"/>
      <c r="E1231" s="116"/>
      <c r="F1231" s="120"/>
      <c r="G1231" s="120"/>
      <c r="H1231" s="120"/>
      <c r="I1231" s="60"/>
      <c r="J1231" s="116"/>
      <c r="K1231" s="213"/>
      <c r="L1231" s="120"/>
      <c r="M1231" s="120"/>
      <c r="N1231" s="167"/>
      <c r="O1231" s="120"/>
      <c r="P1231" s="120"/>
      <c r="Q1231" s="120"/>
      <c r="R1231" s="120"/>
      <c r="S1231" s="120"/>
      <c r="T1231" s="221"/>
      <c r="U1231" s="89"/>
      <c r="V1231" s="61"/>
      <c r="W1231" s="92" t="s">
        <v>65</v>
      </c>
      <c r="X1231" s="93" t="s">
        <v>30</v>
      </c>
      <c r="Y1231" s="93" t="s">
        <v>1011</v>
      </c>
      <c r="Z1231" s="134">
        <f>VLOOKUP(W1231,Sheet2!$B:$D,3,FALSE)</f>
        <v>1.76</v>
      </c>
      <c r="AA1231" s="93">
        <f>AA1230/3</f>
        <v>0.5</v>
      </c>
      <c r="AB1231" s="93">
        <f>AD1231/AC1222</f>
        <v>3.52</v>
      </c>
      <c r="AC1231" s="93">
        <f>AC1222/AA1231</f>
        <v>3.629999999999999</v>
      </c>
      <c r="AD1231" s="94">
        <f t="shared" si="969"/>
        <v>6.388799999999998</v>
      </c>
      <c r="AE1231" s="190"/>
      <c r="AF1231" s="191"/>
      <c r="AG1231" s="191"/>
      <c r="AH1231" s="191"/>
      <c r="AI1231" s="186"/>
      <c r="AK1231" s="171"/>
    </row>
    <row r="1232" spans="1:41" ht="20.100000000000001" customHeight="1" x14ac:dyDescent="0.25">
      <c r="A1232" s="277" t="s">
        <v>216</v>
      </c>
      <c r="B1232" s="278"/>
      <c r="C1232" s="64" t="s">
        <v>349</v>
      </c>
      <c r="D1232" s="46" t="s">
        <v>215</v>
      </c>
      <c r="E1232" s="114">
        <v>1.0599999999999996</v>
      </c>
      <c r="F1232" s="44">
        <v>20393</v>
      </c>
      <c r="G1232" s="44">
        <f t="shared" si="607"/>
        <v>21616.579999999991</v>
      </c>
      <c r="H1232" s="44">
        <f t="shared" si="608"/>
        <v>8235.6904156862747</v>
      </c>
      <c r="I1232" s="43">
        <f t="shared" si="609"/>
        <v>8729.8318406274484</v>
      </c>
      <c r="J1232" s="112">
        <f t="shared" si="610"/>
        <v>1.0599999999999996</v>
      </c>
      <c r="K1232" s="211">
        <f t="shared" si="611"/>
        <v>1.0599999999999996</v>
      </c>
      <c r="L1232" s="44"/>
      <c r="M1232" s="44">
        <f t="shared" si="612"/>
        <v>1.0599999999999996</v>
      </c>
      <c r="N1232" s="173">
        <f t="shared" si="613"/>
        <v>1</v>
      </c>
      <c r="O1232" s="44">
        <f t="shared" si="614"/>
        <v>20393</v>
      </c>
      <c r="P1232" s="44">
        <f t="shared" si="615"/>
        <v>21616.579999999991</v>
      </c>
      <c r="Q1232" s="44">
        <f t="shared" si="616"/>
        <v>8235.6904156862747</v>
      </c>
      <c r="R1232" s="44">
        <f t="shared" si="617"/>
        <v>8729.8318406274484</v>
      </c>
      <c r="S1232" s="123"/>
      <c r="T1232" s="219">
        <f t="shared" si="618"/>
        <v>8729.8318406274484</v>
      </c>
      <c r="U1232" s="87"/>
      <c r="V1232" s="47"/>
      <c r="W1232" s="48"/>
      <c r="X1232" s="48"/>
      <c r="Y1232" s="48"/>
      <c r="Z1232" s="135"/>
      <c r="AA1232" s="49"/>
      <c r="AB1232" s="50">
        <f t="shared" si="619"/>
        <v>8235.6904156862747</v>
      </c>
      <c r="AC1232" s="42">
        <f t="shared" si="620"/>
        <v>1.0599999999999996</v>
      </c>
      <c r="AD1232" s="90">
        <f>AD1233+AD1238+AD1245+AD1248</f>
        <v>8729.8318406274484</v>
      </c>
      <c r="AE1232" s="188">
        <f t="shared" ref="AE1232" si="970">AE1233+AE1238+AE1245+AE1248</f>
        <v>0</v>
      </c>
      <c r="AF1232" s="189">
        <f t="shared" ref="AF1232" si="971">AF1233+AF1238+AF1245+AF1248</f>
        <v>0</v>
      </c>
      <c r="AG1232" s="189">
        <f t="shared" ref="AG1232" si="972">AG1233+AG1238+AG1245+AG1248</f>
        <v>0</v>
      </c>
      <c r="AH1232" s="189">
        <f t="shared" ref="AH1232" si="973">AH1233+AH1238+AH1245+AH1248</f>
        <v>0</v>
      </c>
      <c r="AI1232" s="161">
        <f t="shared" ref="AI1232" si="974">SUM(AE1232:AH1232)</f>
        <v>0</v>
      </c>
      <c r="AK1232" s="169">
        <v>5</v>
      </c>
      <c r="AO1232" s="19" t="s">
        <v>63</v>
      </c>
    </row>
    <row r="1233" spans="1:37" s="103" customFormat="1" ht="19.899999999999999" customHeight="1" x14ac:dyDescent="0.25">
      <c r="A1233" s="51"/>
      <c r="B1233" s="52"/>
      <c r="C1233" s="165"/>
      <c r="D1233" s="52"/>
      <c r="E1233" s="115"/>
      <c r="F1233" s="58"/>
      <c r="G1233" s="58"/>
      <c r="H1233" s="58"/>
      <c r="I1233" s="55"/>
      <c r="J1233" s="113">
        <f>J1232</f>
        <v>1.0599999999999996</v>
      </c>
      <c r="K1233" s="212">
        <f>K1232</f>
        <v>1.0599999999999996</v>
      </c>
      <c r="L1233" s="58"/>
      <c r="M1233" s="58">
        <f>K1233-L1233</f>
        <v>1.0599999999999996</v>
      </c>
      <c r="N1233" s="166"/>
      <c r="O1233" s="58"/>
      <c r="P1233" s="58"/>
      <c r="Q1233" s="58"/>
      <c r="R1233" s="58"/>
      <c r="S1233" s="58"/>
      <c r="T1233" s="220"/>
      <c r="U1233" s="88"/>
      <c r="V1233" s="56"/>
      <c r="W1233" s="57" t="s">
        <v>1365</v>
      </c>
      <c r="X1233" s="53"/>
      <c r="Y1233" s="91" t="s">
        <v>35</v>
      </c>
      <c r="Z1233" s="136">
        <f>AD1233/AC1233</f>
        <v>72.397552941176471</v>
      </c>
      <c r="AA1233" s="58"/>
      <c r="AB1233" s="53">
        <f>AD1233/AC1233</f>
        <v>72.397552941176471</v>
      </c>
      <c r="AC1233" s="53">
        <f>M1233+$AE$10</f>
        <v>1.0599999999999996</v>
      </c>
      <c r="AD1233" s="54">
        <f>SUM(AD1234:AD1237)</f>
        <v>76.741406117647031</v>
      </c>
      <c r="AE1233" s="184">
        <f>SUMIFS($AD$37:$AD$12971,$V$37:$V$12971,$V1233,$X$37:$X$12971,AE$13)</f>
        <v>0</v>
      </c>
      <c r="AF1233" s="185">
        <f>SUMIFS($AD$37:$AD$12971,$V$37:$V$12971,$V1233,$X$37:$X$12971,AF$13)</f>
        <v>0</v>
      </c>
      <c r="AG1233" s="185">
        <f>SUMIFS($AD$37:$AD$12971,$V$37:$V$12971,$V1233,$X$37:$X$12971,AG$13)</f>
        <v>0</v>
      </c>
      <c r="AH1233" s="187">
        <f>SUMIFS($AD$37:$AD$12971,$V$37:$V$12971,$V1233,$X$37:$X$12971,AH$13)</f>
        <v>0</v>
      </c>
      <c r="AI1233" s="161">
        <f t="shared" ref="AI1233" si="975">SUM(AE1233:AH1233)</f>
        <v>0</v>
      </c>
      <c r="AK1233" s="172"/>
    </row>
    <row r="1234" spans="1:37" s="102" customFormat="1" ht="19.899999999999999" customHeight="1" x14ac:dyDescent="0.25">
      <c r="A1234" s="45"/>
      <c r="B1234" s="59"/>
      <c r="C1234" s="137"/>
      <c r="D1234" s="59"/>
      <c r="E1234" s="116"/>
      <c r="F1234" s="120"/>
      <c r="G1234" s="120"/>
      <c r="H1234" s="120"/>
      <c r="I1234" s="60"/>
      <c r="J1234" s="116"/>
      <c r="K1234" s="213"/>
      <c r="L1234" s="120"/>
      <c r="M1234" s="120"/>
      <c r="N1234" s="167"/>
      <c r="O1234" s="120"/>
      <c r="P1234" s="120"/>
      <c r="Q1234" s="120"/>
      <c r="R1234" s="120"/>
      <c r="S1234" s="120"/>
      <c r="T1234" s="221"/>
      <c r="U1234" s="89"/>
      <c r="V1234" s="61"/>
      <c r="W1234" s="92" t="s">
        <v>129</v>
      </c>
      <c r="X1234" s="93" t="s">
        <v>29</v>
      </c>
      <c r="Y1234" s="93" t="s">
        <v>93</v>
      </c>
      <c r="Z1234" s="134">
        <f>VLOOKUP(W1234,Sheet2!$B:$D,3,FALSE)</f>
        <v>56</v>
      </c>
      <c r="AA1234" s="93">
        <f>100/(3*3*2)</f>
        <v>5.5555555555555554</v>
      </c>
      <c r="AB1234" s="93">
        <f t="shared" ref="AB1234" si="976">AD1234/AC1233</f>
        <v>10.080000000000002</v>
      </c>
      <c r="AC1234" s="93">
        <f>AC1233/AA1234</f>
        <v>0.19079999999999994</v>
      </c>
      <c r="AD1234" s="94">
        <f t="shared" ref="AD1234:AD1235" si="977">AC1234*Z1234</f>
        <v>10.684799999999997</v>
      </c>
      <c r="AE1234" s="190"/>
      <c r="AF1234" s="191"/>
      <c r="AG1234" s="191"/>
      <c r="AH1234" s="191"/>
      <c r="AI1234" s="186"/>
      <c r="AK1234" s="171"/>
    </row>
    <row r="1235" spans="1:37" s="102" customFormat="1" ht="19.899999999999999" customHeight="1" x14ac:dyDescent="0.25">
      <c r="A1235" s="45"/>
      <c r="B1235" s="59"/>
      <c r="C1235" s="137"/>
      <c r="D1235" s="59"/>
      <c r="E1235" s="116"/>
      <c r="F1235" s="120"/>
      <c r="G1235" s="120"/>
      <c r="H1235" s="120"/>
      <c r="I1235" s="60"/>
      <c r="J1235" s="116"/>
      <c r="K1235" s="213"/>
      <c r="L1235" s="120"/>
      <c r="M1235" s="120"/>
      <c r="N1235" s="167"/>
      <c r="O1235" s="120"/>
      <c r="P1235" s="120"/>
      <c r="Q1235" s="120"/>
      <c r="R1235" s="120"/>
      <c r="S1235" s="120"/>
      <c r="T1235" s="221"/>
      <c r="U1235" s="89"/>
      <c r="V1235" s="61"/>
      <c r="W1235" s="92" t="s">
        <v>65</v>
      </c>
      <c r="X1235" s="93" t="s">
        <v>30</v>
      </c>
      <c r="Y1235" s="93" t="s">
        <v>1011</v>
      </c>
      <c r="Z1235" s="134">
        <f>VLOOKUP(W1235,Sheet2!$B:$D,3,FALSE)</f>
        <v>1.76</v>
      </c>
      <c r="AA1235" s="93">
        <f>AA1234/14</f>
        <v>0.3968253968253968</v>
      </c>
      <c r="AB1235" s="93">
        <f>AD1235/AC1233</f>
        <v>4.4352000000000009</v>
      </c>
      <c r="AC1235" s="93">
        <f>AC1233/AA1235</f>
        <v>2.6711999999999994</v>
      </c>
      <c r="AD1235" s="94">
        <f t="shared" si="977"/>
        <v>4.7013119999999988</v>
      </c>
      <c r="AE1235" s="190"/>
      <c r="AF1235" s="191"/>
      <c r="AG1235" s="191"/>
      <c r="AH1235" s="191"/>
      <c r="AI1235" s="186"/>
      <c r="AK1235" s="171"/>
    </row>
    <row r="1236" spans="1:37" s="102" customFormat="1" ht="19.899999999999999" customHeight="1" x14ac:dyDescent="0.25">
      <c r="A1236" s="45"/>
      <c r="B1236" s="59"/>
      <c r="C1236" s="137"/>
      <c r="D1236" s="59"/>
      <c r="E1236" s="116"/>
      <c r="F1236" s="120"/>
      <c r="G1236" s="120"/>
      <c r="H1236" s="120"/>
      <c r="I1236" s="60"/>
      <c r="J1236" s="116"/>
      <c r="K1236" s="213"/>
      <c r="L1236" s="120"/>
      <c r="M1236" s="120"/>
      <c r="N1236" s="167"/>
      <c r="O1236" s="120"/>
      <c r="P1236" s="120"/>
      <c r="Q1236" s="120"/>
      <c r="R1236" s="120"/>
      <c r="S1236" s="120"/>
      <c r="T1236" s="221"/>
      <c r="U1236" s="89"/>
      <c r="V1236" s="61"/>
      <c r="W1236" s="92" t="s">
        <v>161</v>
      </c>
      <c r="X1236" s="93" t="s">
        <v>29</v>
      </c>
      <c r="Y1236" s="93" t="s">
        <v>93</v>
      </c>
      <c r="Z1236" s="134">
        <f>VLOOKUP(W1236,Sheet2!$B:$D,3,FALSE)</f>
        <v>48</v>
      </c>
      <c r="AA1236" s="93">
        <f>(16*0.85*1.5)/(3*3*2)</f>
        <v>1.1333333333333333</v>
      </c>
      <c r="AB1236" s="93">
        <f>AD1236/AC1233</f>
        <v>42.352941176470587</v>
      </c>
      <c r="AC1236" s="93">
        <f>AC1233/AA1236</f>
        <v>0.9352941176470585</v>
      </c>
      <c r="AD1236" s="94">
        <f>AC1236*Z1236</f>
        <v>44.894117647058806</v>
      </c>
      <c r="AE1236" s="190"/>
      <c r="AF1236" s="191"/>
      <c r="AG1236" s="191"/>
      <c r="AH1236" s="191"/>
      <c r="AI1236" s="186"/>
      <c r="AK1236" s="171"/>
    </row>
    <row r="1237" spans="1:37" s="102" customFormat="1" ht="19.899999999999999" customHeight="1" x14ac:dyDescent="0.25">
      <c r="A1237" s="45"/>
      <c r="B1237" s="59"/>
      <c r="C1237" s="137"/>
      <c r="D1237" s="59"/>
      <c r="E1237" s="116"/>
      <c r="F1237" s="120"/>
      <c r="G1237" s="120"/>
      <c r="H1237" s="120"/>
      <c r="I1237" s="60"/>
      <c r="J1237" s="116"/>
      <c r="K1237" s="213"/>
      <c r="L1237" s="120"/>
      <c r="M1237" s="120"/>
      <c r="N1237" s="167"/>
      <c r="O1237" s="120"/>
      <c r="P1237" s="120"/>
      <c r="Q1237" s="120"/>
      <c r="R1237" s="120"/>
      <c r="S1237" s="120"/>
      <c r="T1237" s="221"/>
      <c r="U1237" s="89"/>
      <c r="V1237" s="61"/>
      <c r="W1237" s="92" t="s">
        <v>65</v>
      </c>
      <c r="X1237" s="93" t="s">
        <v>30</v>
      </c>
      <c r="Y1237" s="93" t="s">
        <v>1011</v>
      </c>
      <c r="Z1237" s="134">
        <f>VLOOKUP(W1237,Sheet2!$B:$D,3,FALSE)</f>
        <v>1.76</v>
      </c>
      <c r="AA1237" s="93">
        <f>AA1236/10</f>
        <v>0.11333333333333333</v>
      </c>
      <c r="AB1237" s="93">
        <f>AD1237/AC1233</f>
        <v>15.529411764705884</v>
      </c>
      <c r="AC1237" s="93">
        <f>AC1233/AA1237</f>
        <v>9.3529411764705852</v>
      </c>
      <c r="AD1237" s="94">
        <f>AC1237*Z1237</f>
        <v>16.461176470588232</v>
      </c>
      <c r="AE1237" s="190"/>
      <c r="AF1237" s="191"/>
      <c r="AG1237" s="191"/>
      <c r="AH1237" s="191"/>
      <c r="AI1237" s="186"/>
      <c r="AK1237" s="171"/>
    </row>
    <row r="1238" spans="1:37" s="103" customFormat="1" ht="19.899999999999999" customHeight="1" x14ac:dyDescent="0.25">
      <c r="A1238" s="51"/>
      <c r="B1238" s="52"/>
      <c r="C1238" s="165"/>
      <c r="D1238" s="52"/>
      <c r="E1238" s="115"/>
      <c r="F1238" s="58"/>
      <c r="G1238" s="58"/>
      <c r="H1238" s="58"/>
      <c r="I1238" s="55"/>
      <c r="J1238" s="113">
        <f>J1232</f>
        <v>1.0599999999999996</v>
      </c>
      <c r="K1238" s="212">
        <f>K1232</f>
        <v>1.0599999999999996</v>
      </c>
      <c r="L1238" s="58"/>
      <c r="M1238" s="58">
        <f>K1238-L1238</f>
        <v>1.0599999999999996</v>
      </c>
      <c r="N1238" s="166"/>
      <c r="O1238" s="58"/>
      <c r="P1238" s="58"/>
      <c r="Q1238" s="58"/>
      <c r="R1238" s="58"/>
      <c r="S1238" s="58"/>
      <c r="T1238" s="220"/>
      <c r="U1238" s="88"/>
      <c r="V1238" s="56"/>
      <c r="W1238" s="57" t="s">
        <v>1352</v>
      </c>
      <c r="X1238" s="53"/>
      <c r="Y1238" s="91" t="s">
        <v>35</v>
      </c>
      <c r="Z1238" s="136">
        <f>AD1238/AC1238</f>
        <v>5750</v>
      </c>
      <c r="AA1238" s="58"/>
      <c r="AB1238" s="53">
        <f>AD1238/AC1238</f>
        <v>5750</v>
      </c>
      <c r="AC1238" s="53">
        <f>M1238+$AE$10</f>
        <v>1.0599999999999996</v>
      </c>
      <c r="AD1238" s="54">
        <f>SUM(AD1239:AD1244)</f>
        <v>6094.9999999999973</v>
      </c>
      <c r="AE1238" s="184">
        <f>SUMIFS($AD$37:$AD$12971,$V$37:$V$12971,$V1238,$X$37:$X$12971,AE$13)</f>
        <v>0</v>
      </c>
      <c r="AF1238" s="185">
        <f>SUMIFS($AD$37:$AD$12971,$V$37:$V$12971,$V1238,$X$37:$X$12971,AF$13)</f>
        <v>0</v>
      </c>
      <c r="AG1238" s="185">
        <f>SUMIFS($AD$37:$AD$12971,$V$37:$V$12971,$V1238,$X$37:$X$12971,AG$13)</f>
        <v>0</v>
      </c>
      <c r="AH1238" s="187">
        <f>SUMIFS($AD$37:$AD$12971,$V$37:$V$12971,$V1238,$X$37:$X$12971,AH$13)</f>
        <v>0</v>
      </c>
      <c r="AI1238" s="161">
        <f t="shared" ref="AI1238" si="978">SUM(AE1238:AH1238)</f>
        <v>0</v>
      </c>
      <c r="AK1238" s="172"/>
    </row>
    <row r="1239" spans="1:37" s="102" customFormat="1" ht="19.899999999999999" customHeight="1" x14ac:dyDescent="0.25">
      <c r="A1239" s="45"/>
      <c r="B1239" s="59"/>
      <c r="C1239" s="137"/>
      <c r="D1239" s="59"/>
      <c r="E1239" s="116"/>
      <c r="F1239" s="120"/>
      <c r="G1239" s="120"/>
      <c r="H1239" s="120"/>
      <c r="I1239" s="60"/>
      <c r="J1239" s="116"/>
      <c r="K1239" s="213"/>
      <c r="L1239" s="120"/>
      <c r="M1239" s="120"/>
      <c r="N1239" s="167"/>
      <c r="O1239" s="120"/>
      <c r="P1239" s="120"/>
      <c r="Q1239" s="120"/>
      <c r="R1239" s="120"/>
      <c r="S1239" s="120"/>
      <c r="T1239" s="221"/>
      <c r="U1239" s="89"/>
      <c r="V1239" s="61"/>
      <c r="W1239" s="92" t="s">
        <v>1353</v>
      </c>
      <c r="X1239" s="93" t="s">
        <v>30</v>
      </c>
      <c r="Y1239" s="93" t="s">
        <v>66</v>
      </c>
      <c r="Z1239" s="134">
        <f>VLOOKUP(W1239,Sheet2!$B:$D,3,FALSE)</f>
        <v>350</v>
      </c>
      <c r="AA1239" s="93">
        <f>1/(2*2*0.25*4)</f>
        <v>0.25</v>
      </c>
      <c r="AB1239" s="93">
        <f>AD1239/AC1238</f>
        <v>1400</v>
      </c>
      <c r="AC1239" s="93">
        <f>AC1238/AA1239</f>
        <v>4.2399999999999984</v>
      </c>
      <c r="AD1239" s="94">
        <f t="shared" ref="AD1239:AD1240" si="979">AC1239*Z1239</f>
        <v>1483.9999999999995</v>
      </c>
      <c r="AE1239" s="190"/>
      <c r="AF1239" s="191"/>
      <c r="AG1239" s="191"/>
      <c r="AH1239" s="191"/>
      <c r="AI1239" s="186"/>
      <c r="AK1239" s="171"/>
    </row>
    <row r="1240" spans="1:37" s="102" customFormat="1" ht="19.899999999999999" customHeight="1" x14ac:dyDescent="0.25">
      <c r="A1240" s="45"/>
      <c r="B1240" s="59"/>
      <c r="C1240" s="137"/>
      <c r="D1240" s="59"/>
      <c r="E1240" s="116"/>
      <c r="F1240" s="120"/>
      <c r="G1240" s="120"/>
      <c r="H1240" s="120"/>
      <c r="I1240" s="60"/>
      <c r="J1240" s="116"/>
      <c r="K1240" s="213"/>
      <c r="L1240" s="120"/>
      <c r="M1240" s="120"/>
      <c r="N1240" s="167"/>
      <c r="O1240" s="120"/>
      <c r="P1240" s="120"/>
      <c r="Q1240" s="120"/>
      <c r="R1240" s="120"/>
      <c r="S1240" s="120"/>
      <c r="T1240" s="221"/>
      <c r="U1240" s="89"/>
      <c r="V1240" s="61"/>
      <c r="W1240" s="92" t="s">
        <v>99</v>
      </c>
      <c r="X1240" s="93" t="s">
        <v>30</v>
      </c>
      <c r="Y1240" s="93" t="s">
        <v>67</v>
      </c>
      <c r="Z1240" s="134">
        <f>VLOOKUP(W1240,Sheet2!$B:$D,3,FALSE)</f>
        <v>2500</v>
      </c>
      <c r="AA1240" s="93">
        <f>1/(2*2*0.25*4*0.08)</f>
        <v>3.125</v>
      </c>
      <c r="AB1240" s="93">
        <f>AD1240/AC1238</f>
        <v>800.00000000000011</v>
      </c>
      <c r="AC1240" s="93">
        <f>AC1238/AA1240</f>
        <v>0.33919999999999989</v>
      </c>
      <c r="AD1240" s="94">
        <f t="shared" si="979"/>
        <v>847.99999999999977</v>
      </c>
      <c r="AE1240" s="190"/>
      <c r="AF1240" s="191"/>
      <c r="AG1240" s="191"/>
      <c r="AH1240" s="191"/>
      <c r="AI1240" s="186"/>
      <c r="AK1240" s="171"/>
    </row>
    <row r="1241" spans="1:37" s="102" customFormat="1" ht="19.899999999999999" customHeight="1" x14ac:dyDescent="0.25">
      <c r="A1241" s="45"/>
      <c r="B1241" s="59"/>
      <c r="C1241" s="137"/>
      <c r="D1241" s="59"/>
      <c r="E1241" s="116"/>
      <c r="F1241" s="120"/>
      <c r="G1241" s="120"/>
      <c r="H1241" s="120"/>
      <c r="I1241" s="60"/>
      <c r="J1241" s="116"/>
      <c r="K1241" s="213"/>
      <c r="L1241" s="120"/>
      <c r="M1241" s="120"/>
      <c r="N1241" s="167"/>
      <c r="O1241" s="120"/>
      <c r="P1241" s="120"/>
      <c r="Q1241" s="120"/>
      <c r="R1241" s="120"/>
      <c r="S1241" s="120"/>
      <c r="T1241" s="221"/>
      <c r="U1241" s="89"/>
      <c r="V1241" s="61"/>
      <c r="W1241" s="92" t="s">
        <v>1355</v>
      </c>
      <c r="X1241" s="93" t="s">
        <v>32</v>
      </c>
      <c r="Y1241" s="93" t="s">
        <v>66</v>
      </c>
      <c r="Z1241" s="134">
        <f>VLOOKUP(W1241,Sheet2!$B:$D,3,FALSE)</f>
        <v>450</v>
      </c>
      <c r="AA1241" s="93">
        <f>AA1239</f>
        <v>0.25</v>
      </c>
      <c r="AB1241" s="93">
        <f>AD1241/AC1238</f>
        <v>1800</v>
      </c>
      <c r="AC1241" s="93">
        <f>AC1238/AA1241</f>
        <v>4.2399999999999984</v>
      </c>
      <c r="AD1241" s="94">
        <f>AC1241*Z1241</f>
        <v>1907.9999999999993</v>
      </c>
      <c r="AE1241" s="190"/>
      <c r="AF1241" s="191"/>
      <c r="AG1241" s="191"/>
      <c r="AH1241" s="191"/>
      <c r="AI1241" s="186"/>
      <c r="AK1241" s="171"/>
    </row>
    <row r="1242" spans="1:37" s="102" customFormat="1" ht="19.899999999999999" customHeight="1" x14ac:dyDescent="0.25">
      <c r="A1242" s="45"/>
      <c r="B1242" s="59"/>
      <c r="C1242" s="137"/>
      <c r="D1242" s="59"/>
      <c r="E1242" s="116"/>
      <c r="F1242" s="120"/>
      <c r="G1242" s="120"/>
      <c r="H1242" s="120"/>
      <c r="I1242" s="60"/>
      <c r="J1242" s="116"/>
      <c r="K1242" s="213"/>
      <c r="L1242" s="120"/>
      <c r="M1242" s="120"/>
      <c r="N1242" s="167"/>
      <c r="O1242" s="120"/>
      <c r="P1242" s="120"/>
      <c r="Q1242" s="120"/>
      <c r="R1242" s="120"/>
      <c r="S1242" s="120"/>
      <c r="T1242" s="221"/>
      <c r="U1242" s="89"/>
      <c r="V1242" s="61"/>
      <c r="W1242" s="92" t="s">
        <v>1362</v>
      </c>
      <c r="X1242" s="93" t="s">
        <v>30</v>
      </c>
      <c r="Y1242" s="93" t="s">
        <v>35</v>
      </c>
      <c r="Z1242" s="134">
        <f>VLOOKUP(W1242,Sheet2!$B:$D,3,FALSE)</f>
        <v>400</v>
      </c>
      <c r="AA1242" s="93">
        <v>0.25</v>
      </c>
      <c r="AB1242" s="93">
        <f>AD1242/AC1238</f>
        <v>1600</v>
      </c>
      <c r="AC1242" s="93">
        <f>AC1238/AA1242</f>
        <v>4.2399999999999984</v>
      </c>
      <c r="AD1242" s="94">
        <f t="shared" ref="AD1242" si="980">AC1242*Z1242</f>
        <v>1695.9999999999993</v>
      </c>
      <c r="AE1242" s="190"/>
      <c r="AF1242" s="191"/>
      <c r="AG1242" s="191"/>
      <c r="AH1242" s="191"/>
      <c r="AI1242" s="186"/>
      <c r="AK1242" s="171"/>
    </row>
    <row r="1243" spans="1:37" s="102" customFormat="1" ht="19.899999999999999" customHeight="1" x14ac:dyDescent="0.25">
      <c r="A1243" s="45"/>
      <c r="B1243" s="59"/>
      <c r="C1243" s="137"/>
      <c r="D1243" s="59"/>
      <c r="E1243" s="116"/>
      <c r="F1243" s="120"/>
      <c r="G1243" s="120"/>
      <c r="H1243" s="120"/>
      <c r="I1243" s="60"/>
      <c r="J1243" s="116"/>
      <c r="K1243" s="213"/>
      <c r="L1243" s="120"/>
      <c r="M1243" s="120"/>
      <c r="N1243" s="167"/>
      <c r="O1243" s="120"/>
      <c r="P1243" s="120"/>
      <c r="Q1243" s="120"/>
      <c r="R1243" s="120"/>
      <c r="S1243" s="120"/>
      <c r="T1243" s="221"/>
      <c r="U1243" s="89"/>
      <c r="V1243" s="61"/>
      <c r="W1243" s="92" t="s">
        <v>107</v>
      </c>
      <c r="X1243" s="93" t="s">
        <v>31</v>
      </c>
      <c r="Y1243" s="93" t="s">
        <v>93</v>
      </c>
      <c r="Z1243" s="134">
        <f>VLOOKUP(W1243,Sheet2!$B:$D,3,FALSE)</f>
        <v>17</v>
      </c>
      <c r="AA1243" s="93">
        <f>1/5</f>
        <v>0.2</v>
      </c>
      <c r="AB1243" s="93">
        <f>AD1243/AC1238</f>
        <v>85</v>
      </c>
      <c r="AC1243" s="93">
        <f>AC1238/AA1243</f>
        <v>5.299999999999998</v>
      </c>
      <c r="AD1243" s="94">
        <f>AC1243*Z1243</f>
        <v>90.099999999999966</v>
      </c>
      <c r="AE1243" s="190"/>
      <c r="AF1243" s="191"/>
      <c r="AG1243" s="191"/>
      <c r="AH1243" s="191"/>
      <c r="AI1243" s="186"/>
      <c r="AK1243" s="171"/>
    </row>
    <row r="1244" spans="1:37" s="102" customFormat="1" ht="19.899999999999999" customHeight="1" x14ac:dyDescent="0.25">
      <c r="A1244" s="45"/>
      <c r="B1244" s="59"/>
      <c r="C1244" s="137"/>
      <c r="D1244" s="59"/>
      <c r="E1244" s="116"/>
      <c r="F1244" s="120"/>
      <c r="G1244" s="120"/>
      <c r="H1244" s="120"/>
      <c r="I1244" s="60"/>
      <c r="J1244" s="116"/>
      <c r="K1244" s="213"/>
      <c r="L1244" s="120"/>
      <c r="M1244" s="120"/>
      <c r="N1244" s="167"/>
      <c r="O1244" s="120"/>
      <c r="P1244" s="120"/>
      <c r="Q1244" s="120"/>
      <c r="R1244" s="120"/>
      <c r="S1244" s="120"/>
      <c r="T1244" s="221"/>
      <c r="U1244" s="89"/>
      <c r="V1244" s="61"/>
      <c r="W1244" s="92" t="s">
        <v>112</v>
      </c>
      <c r="X1244" s="93" t="s">
        <v>31</v>
      </c>
      <c r="Y1244" s="93" t="s">
        <v>93</v>
      </c>
      <c r="Z1244" s="134">
        <f>VLOOKUP(W1244,Sheet2!$B:$D,3,FALSE)</f>
        <v>13</v>
      </c>
      <c r="AA1244" s="93">
        <f>AA1243</f>
        <v>0.2</v>
      </c>
      <c r="AB1244" s="93">
        <f>AD1244/AC1238</f>
        <v>65</v>
      </c>
      <c r="AC1244" s="93">
        <f>AC1238/AA1244</f>
        <v>5.299999999999998</v>
      </c>
      <c r="AD1244" s="94">
        <f>AC1244*Z1244</f>
        <v>68.899999999999977</v>
      </c>
      <c r="AE1244" s="190"/>
      <c r="AF1244" s="191"/>
      <c r="AG1244" s="191"/>
      <c r="AH1244" s="191"/>
      <c r="AI1244" s="186"/>
      <c r="AK1244" s="171"/>
    </row>
    <row r="1245" spans="1:37" s="103" customFormat="1" ht="19.899999999999999" customHeight="1" x14ac:dyDescent="0.25">
      <c r="A1245" s="51"/>
      <c r="B1245" s="52"/>
      <c r="C1245" s="165"/>
      <c r="D1245" s="52"/>
      <c r="E1245" s="115"/>
      <c r="F1245" s="58"/>
      <c r="G1245" s="58"/>
      <c r="H1245" s="58"/>
      <c r="I1245" s="55"/>
      <c r="J1245" s="113">
        <f>J1232</f>
        <v>1.0599999999999996</v>
      </c>
      <c r="K1245" s="212">
        <f>K1232</f>
        <v>1.0599999999999996</v>
      </c>
      <c r="L1245" s="58"/>
      <c r="M1245" s="58">
        <f>K1245-L1245</f>
        <v>1.0599999999999996</v>
      </c>
      <c r="N1245" s="166"/>
      <c r="O1245" s="58"/>
      <c r="P1245" s="58"/>
      <c r="Q1245" s="58"/>
      <c r="R1245" s="58"/>
      <c r="S1245" s="58"/>
      <c r="T1245" s="220"/>
      <c r="U1245" s="88"/>
      <c r="V1245" s="56"/>
      <c r="W1245" s="57" t="s">
        <v>1358</v>
      </c>
      <c r="X1245" s="53"/>
      <c r="Y1245" s="91" t="s">
        <v>35</v>
      </c>
      <c r="Z1245" s="136">
        <f>AD1245/AC1245</f>
        <v>2240</v>
      </c>
      <c r="AA1245" s="58"/>
      <c r="AB1245" s="53">
        <f>AD1245/AC1245</f>
        <v>2240</v>
      </c>
      <c r="AC1245" s="53">
        <f>M1245+$AE$10</f>
        <v>1.0599999999999996</v>
      </c>
      <c r="AD1245" s="54">
        <f>SUM(AD1246:AD1247)</f>
        <v>2374.3999999999992</v>
      </c>
      <c r="AE1245" s="184">
        <f>SUMIFS($AD$37:$AD$12971,$V$37:$V$12971,$V1245,$X$37:$X$12971,AE$13)</f>
        <v>0</v>
      </c>
      <c r="AF1245" s="185">
        <f>SUMIFS($AD$37:$AD$12971,$V$37:$V$12971,$V1245,$X$37:$X$12971,AF$13)</f>
        <v>0</v>
      </c>
      <c r="AG1245" s="185">
        <f>SUMIFS($AD$37:$AD$12971,$V$37:$V$12971,$V1245,$X$37:$X$12971,AG$13)</f>
        <v>0</v>
      </c>
      <c r="AH1245" s="187">
        <f>SUMIFS($AD$37:$AD$12971,$V$37:$V$12971,$V1245,$X$37:$X$12971,AH$13)</f>
        <v>0</v>
      </c>
      <c r="AI1245" s="161">
        <f t="shared" ref="AI1245" si="981">SUM(AE1245:AH1245)</f>
        <v>0</v>
      </c>
      <c r="AK1245" s="172"/>
    </row>
    <row r="1246" spans="1:37" s="102" customFormat="1" ht="19.899999999999999" customHeight="1" x14ac:dyDescent="0.25">
      <c r="A1246" s="45"/>
      <c r="B1246" s="59"/>
      <c r="C1246" s="137"/>
      <c r="D1246" s="59"/>
      <c r="E1246" s="116"/>
      <c r="F1246" s="120"/>
      <c r="G1246" s="120"/>
      <c r="H1246" s="120"/>
      <c r="I1246" s="60"/>
      <c r="J1246" s="116"/>
      <c r="K1246" s="213"/>
      <c r="L1246" s="120"/>
      <c r="M1246" s="120"/>
      <c r="N1246" s="167"/>
      <c r="O1246" s="120"/>
      <c r="P1246" s="120"/>
      <c r="Q1246" s="120"/>
      <c r="R1246" s="120"/>
      <c r="S1246" s="120"/>
      <c r="T1246" s="221"/>
      <c r="U1246" s="89"/>
      <c r="V1246" s="61"/>
      <c r="W1246" s="92" t="s">
        <v>1359</v>
      </c>
      <c r="X1246" s="93" t="s">
        <v>32</v>
      </c>
      <c r="Y1246" s="93" t="s">
        <v>64</v>
      </c>
      <c r="Z1246" s="134">
        <f>VLOOKUP(W1246,Sheet2!$B:$D,3,FALSE)</f>
        <v>40</v>
      </c>
      <c r="AA1246" s="93">
        <f>1/32</f>
        <v>3.125E-2</v>
      </c>
      <c r="AB1246" s="93">
        <f t="shared" ref="AB1246" si="982">AD1246/AC1245</f>
        <v>1280</v>
      </c>
      <c r="AC1246" s="93">
        <f>AC1245/AA1246</f>
        <v>33.919999999999987</v>
      </c>
      <c r="AD1246" s="94">
        <f t="shared" ref="AD1246:AD1247" si="983">AC1246*Z1246</f>
        <v>1356.7999999999995</v>
      </c>
      <c r="AE1246" s="190"/>
      <c r="AF1246" s="191"/>
      <c r="AG1246" s="191"/>
      <c r="AH1246" s="191"/>
      <c r="AI1246" s="186"/>
      <c r="AK1246" s="171"/>
    </row>
    <row r="1247" spans="1:37" s="102" customFormat="1" ht="19.899999999999999" customHeight="1" x14ac:dyDescent="0.25">
      <c r="A1247" s="45"/>
      <c r="B1247" s="59"/>
      <c r="C1247" s="137"/>
      <c r="D1247" s="59"/>
      <c r="E1247" s="116"/>
      <c r="F1247" s="120"/>
      <c r="G1247" s="120"/>
      <c r="H1247" s="120"/>
      <c r="I1247" s="60"/>
      <c r="J1247" s="116"/>
      <c r="K1247" s="213"/>
      <c r="L1247" s="120"/>
      <c r="M1247" s="120"/>
      <c r="N1247" s="167"/>
      <c r="O1247" s="120"/>
      <c r="P1247" s="120"/>
      <c r="Q1247" s="120"/>
      <c r="R1247" s="120"/>
      <c r="S1247" s="120"/>
      <c r="T1247" s="221"/>
      <c r="U1247" s="89"/>
      <c r="V1247" s="61"/>
      <c r="W1247" s="92" t="s">
        <v>1360</v>
      </c>
      <c r="X1247" s="93" t="s">
        <v>32</v>
      </c>
      <c r="Y1247" s="93" t="s">
        <v>64</v>
      </c>
      <c r="Z1247" s="134">
        <f>VLOOKUP(W1247,Sheet2!$B:$D,3,FALSE)</f>
        <v>30</v>
      </c>
      <c r="AA1247" s="93">
        <f>AA1246</f>
        <v>3.125E-2</v>
      </c>
      <c r="AB1247" s="93">
        <f>AD1247/AC1245</f>
        <v>960</v>
      </c>
      <c r="AC1247" s="93">
        <f>AC1245/AA1247</f>
        <v>33.919999999999987</v>
      </c>
      <c r="AD1247" s="94">
        <f t="shared" si="983"/>
        <v>1017.5999999999997</v>
      </c>
      <c r="AE1247" s="190"/>
      <c r="AF1247" s="191"/>
      <c r="AG1247" s="191"/>
      <c r="AH1247" s="191"/>
      <c r="AI1247" s="186"/>
      <c r="AK1247" s="171"/>
    </row>
    <row r="1248" spans="1:37" s="103" customFormat="1" ht="19.899999999999999" customHeight="1" x14ac:dyDescent="0.25">
      <c r="A1248" s="51"/>
      <c r="B1248" s="52"/>
      <c r="C1248" s="165"/>
      <c r="D1248" s="52"/>
      <c r="E1248" s="115"/>
      <c r="F1248" s="58"/>
      <c r="G1248" s="58"/>
      <c r="H1248" s="58"/>
      <c r="I1248" s="55"/>
      <c r="J1248" s="113">
        <f>J1232</f>
        <v>1.0599999999999996</v>
      </c>
      <c r="K1248" s="212">
        <f>K1232</f>
        <v>1.0599999999999996</v>
      </c>
      <c r="L1248" s="58"/>
      <c r="M1248" s="58">
        <f>K1248-L1248</f>
        <v>1.0599999999999996</v>
      </c>
      <c r="N1248" s="166"/>
      <c r="O1248" s="58"/>
      <c r="P1248" s="58"/>
      <c r="Q1248" s="58"/>
      <c r="R1248" s="58"/>
      <c r="S1248" s="58"/>
      <c r="T1248" s="220"/>
      <c r="U1248" s="88"/>
      <c r="V1248" s="56"/>
      <c r="W1248" s="57" t="s">
        <v>1272</v>
      </c>
      <c r="X1248" s="53"/>
      <c r="Y1248" s="91" t="s">
        <v>35</v>
      </c>
      <c r="Z1248" s="136">
        <f>AD1248/AC1248</f>
        <v>173.29286274509806</v>
      </c>
      <c r="AA1248" s="58"/>
      <c r="AB1248" s="53">
        <f>AD1248/AC1248</f>
        <v>173.29286274509806</v>
      </c>
      <c r="AC1248" s="53">
        <f>M1248+$AE$10</f>
        <v>1.0599999999999996</v>
      </c>
      <c r="AD1248" s="54">
        <f>SUM(AD1249:AD1257)</f>
        <v>183.69043450980388</v>
      </c>
      <c r="AE1248" s="184">
        <f>SUMIFS($AD$37:$AD$12971,$V$37:$V$12971,$V1248,$X$37:$X$12971,AE$13)</f>
        <v>0</v>
      </c>
      <c r="AF1248" s="185">
        <f>SUMIFS($AD$37:$AD$12971,$V$37:$V$12971,$V1248,$X$37:$X$12971,AF$13)</f>
        <v>0</v>
      </c>
      <c r="AG1248" s="185">
        <f>SUMIFS($AD$37:$AD$12971,$V$37:$V$12971,$V1248,$X$37:$X$12971,AG$13)</f>
        <v>0</v>
      </c>
      <c r="AH1248" s="187">
        <f>SUMIFS($AD$37:$AD$12971,$V$37:$V$12971,$V1248,$X$37:$X$12971,AH$13)</f>
        <v>0</v>
      </c>
      <c r="AI1248" s="161">
        <f t="shared" ref="AI1248" si="984">SUM(AE1248:AH1248)</f>
        <v>0</v>
      </c>
      <c r="AK1248" s="172"/>
    </row>
    <row r="1249" spans="1:41" s="102" customFormat="1" ht="19.899999999999999" customHeight="1" x14ac:dyDescent="0.25">
      <c r="A1249" s="45"/>
      <c r="B1249" s="59"/>
      <c r="C1249" s="137"/>
      <c r="D1249" s="59"/>
      <c r="E1249" s="116"/>
      <c r="F1249" s="120"/>
      <c r="G1249" s="120"/>
      <c r="H1249" s="120"/>
      <c r="I1249" s="60"/>
      <c r="J1249" s="116"/>
      <c r="K1249" s="213"/>
      <c r="L1249" s="120"/>
      <c r="M1249" s="120"/>
      <c r="N1249" s="167"/>
      <c r="O1249" s="120"/>
      <c r="P1249" s="120"/>
      <c r="Q1249" s="120"/>
      <c r="R1249" s="120"/>
      <c r="S1249" s="120"/>
      <c r="T1249" s="221"/>
      <c r="U1249" s="89"/>
      <c r="V1249" s="61"/>
      <c r="W1249" s="92" t="s">
        <v>1273</v>
      </c>
      <c r="X1249" s="93" t="s">
        <v>30</v>
      </c>
      <c r="Y1249" s="93" t="s">
        <v>66</v>
      </c>
      <c r="Z1249" s="134">
        <f>VLOOKUP(W1249,Sheet2!$B:$D,3,FALSE)</f>
        <v>10</v>
      </c>
      <c r="AA1249" s="93">
        <f>1/(2.5*2*0.5*4)</f>
        <v>0.1</v>
      </c>
      <c r="AB1249" s="93">
        <f>AD1249/AC1248</f>
        <v>100</v>
      </c>
      <c r="AC1249" s="93">
        <f>AC1248/AA1249</f>
        <v>10.599999999999996</v>
      </c>
      <c r="AD1249" s="94">
        <f t="shared" ref="AD1249:AD1251" si="985">AC1249*Z1249</f>
        <v>105.99999999999996</v>
      </c>
      <c r="AE1249" s="190"/>
      <c r="AF1249" s="191"/>
      <c r="AG1249" s="191"/>
      <c r="AH1249" s="191"/>
      <c r="AI1249" s="186"/>
      <c r="AK1249" s="171"/>
    </row>
    <row r="1250" spans="1:41" s="102" customFormat="1" ht="19.899999999999999" customHeight="1" x14ac:dyDescent="0.25">
      <c r="A1250" s="45"/>
      <c r="B1250" s="59"/>
      <c r="C1250" s="137"/>
      <c r="D1250" s="59"/>
      <c r="E1250" s="116"/>
      <c r="F1250" s="120"/>
      <c r="G1250" s="120"/>
      <c r="H1250" s="120"/>
      <c r="I1250" s="60"/>
      <c r="J1250" s="116"/>
      <c r="K1250" s="213"/>
      <c r="L1250" s="120"/>
      <c r="M1250" s="120"/>
      <c r="N1250" s="167"/>
      <c r="O1250" s="120"/>
      <c r="P1250" s="120"/>
      <c r="Q1250" s="120"/>
      <c r="R1250" s="120"/>
      <c r="S1250" s="120"/>
      <c r="T1250" s="221"/>
      <c r="U1250" s="89"/>
      <c r="V1250" s="61"/>
      <c r="W1250" s="92" t="s">
        <v>134</v>
      </c>
      <c r="X1250" s="93" t="s">
        <v>29</v>
      </c>
      <c r="Y1250" s="93" t="s">
        <v>93</v>
      </c>
      <c r="Z1250" s="134">
        <f>VLOOKUP(W1250,Sheet2!$B:$D,3,FALSE)</f>
        <v>65.599999999999994</v>
      </c>
      <c r="AA1250" s="93">
        <f>100/(2.5*2*0.5*4)</f>
        <v>10</v>
      </c>
      <c r="AB1250" s="93">
        <f t="shared" ref="AB1250" si="986">AD1250/AC1248</f>
        <v>6.5599999999999987</v>
      </c>
      <c r="AC1250" s="93">
        <f>AC1248/AA1250</f>
        <v>0.10599999999999996</v>
      </c>
      <c r="AD1250" s="94">
        <f t="shared" si="985"/>
        <v>6.9535999999999962</v>
      </c>
      <c r="AE1250" s="190"/>
      <c r="AF1250" s="191"/>
      <c r="AG1250" s="191"/>
      <c r="AH1250" s="191"/>
      <c r="AI1250" s="186"/>
      <c r="AK1250" s="171"/>
    </row>
    <row r="1251" spans="1:41" s="102" customFormat="1" ht="19.899999999999999" customHeight="1" x14ac:dyDescent="0.25">
      <c r="A1251" s="45"/>
      <c r="B1251" s="59"/>
      <c r="C1251" s="137"/>
      <c r="D1251" s="59"/>
      <c r="E1251" s="116"/>
      <c r="F1251" s="120"/>
      <c r="G1251" s="120"/>
      <c r="H1251" s="120"/>
      <c r="I1251" s="60"/>
      <c r="J1251" s="116"/>
      <c r="K1251" s="213"/>
      <c r="L1251" s="120"/>
      <c r="M1251" s="120"/>
      <c r="N1251" s="167"/>
      <c r="O1251" s="120"/>
      <c r="P1251" s="120"/>
      <c r="Q1251" s="120"/>
      <c r="R1251" s="120"/>
      <c r="S1251" s="120"/>
      <c r="T1251" s="221"/>
      <c r="U1251" s="89"/>
      <c r="V1251" s="61"/>
      <c r="W1251" s="92" t="s">
        <v>65</v>
      </c>
      <c r="X1251" s="93" t="s">
        <v>30</v>
      </c>
      <c r="Y1251" s="93" t="s">
        <v>1011</v>
      </c>
      <c r="Z1251" s="134">
        <f>VLOOKUP(W1251,Sheet2!$B:$D,3,FALSE)</f>
        <v>1.76</v>
      </c>
      <c r="AA1251" s="93">
        <f>AA1250/9</f>
        <v>1.1111111111111112</v>
      </c>
      <c r="AB1251" s="93">
        <f>AD1251/AC1248</f>
        <v>1.5840000000000001</v>
      </c>
      <c r="AC1251" s="93">
        <f>AC1248/AA1251</f>
        <v>0.95399999999999963</v>
      </c>
      <c r="AD1251" s="94">
        <f t="shared" si="985"/>
        <v>1.6790399999999994</v>
      </c>
      <c r="AE1251" s="190"/>
      <c r="AF1251" s="191"/>
      <c r="AG1251" s="191"/>
      <c r="AH1251" s="191"/>
      <c r="AI1251" s="186"/>
      <c r="AK1251" s="171"/>
    </row>
    <row r="1252" spans="1:41" s="102" customFormat="1" ht="19.899999999999999" customHeight="1" x14ac:dyDescent="0.25">
      <c r="A1252" s="45"/>
      <c r="B1252" s="59"/>
      <c r="C1252" s="137"/>
      <c r="D1252" s="59"/>
      <c r="E1252" s="116"/>
      <c r="F1252" s="120"/>
      <c r="G1252" s="120"/>
      <c r="H1252" s="120"/>
      <c r="I1252" s="60"/>
      <c r="J1252" s="116"/>
      <c r="K1252" s="213"/>
      <c r="L1252" s="120"/>
      <c r="M1252" s="120"/>
      <c r="N1252" s="167"/>
      <c r="O1252" s="120"/>
      <c r="P1252" s="120"/>
      <c r="Q1252" s="120"/>
      <c r="R1252" s="120"/>
      <c r="S1252" s="120"/>
      <c r="T1252" s="221"/>
      <c r="U1252" s="89"/>
      <c r="V1252" s="61"/>
      <c r="W1252" s="92" t="s">
        <v>161</v>
      </c>
      <c r="X1252" s="93" t="s">
        <v>29</v>
      </c>
      <c r="Y1252" s="93" t="s">
        <v>93</v>
      </c>
      <c r="Z1252" s="134">
        <f>VLOOKUP(W1252,Sheet2!$B:$D,3,FALSE)</f>
        <v>48</v>
      </c>
      <c r="AA1252" s="93">
        <f>(16*0.85*1.5)/(2.5*2*0.5*4)</f>
        <v>2.04</v>
      </c>
      <c r="AB1252" s="93">
        <f>AD1252/AC1248</f>
        <v>23.52941176470588</v>
      </c>
      <c r="AC1252" s="93">
        <f>AC1248/AA1252</f>
        <v>0.51960784313725472</v>
      </c>
      <c r="AD1252" s="94">
        <f>AC1252*Z1252</f>
        <v>24.941176470588225</v>
      </c>
      <c r="AE1252" s="190"/>
      <c r="AF1252" s="191"/>
      <c r="AG1252" s="191"/>
      <c r="AH1252" s="191"/>
      <c r="AI1252" s="186"/>
      <c r="AK1252" s="171"/>
    </row>
    <row r="1253" spans="1:41" s="102" customFormat="1" ht="19.899999999999999" customHeight="1" x14ac:dyDescent="0.25">
      <c r="A1253" s="45"/>
      <c r="B1253" s="59"/>
      <c r="C1253" s="137"/>
      <c r="D1253" s="59"/>
      <c r="E1253" s="116"/>
      <c r="F1253" s="120"/>
      <c r="G1253" s="120"/>
      <c r="H1253" s="120"/>
      <c r="I1253" s="60"/>
      <c r="J1253" s="116"/>
      <c r="K1253" s="213"/>
      <c r="L1253" s="120"/>
      <c r="M1253" s="120"/>
      <c r="N1253" s="167"/>
      <c r="O1253" s="120"/>
      <c r="P1253" s="120"/>
      <c r="Q1253" s="120"/>
      <c r="R1253" s="120"/>
      <c r="S1253" s="120"/>
      <c r="T1253" s="221"/>
      <c r="U1253" s="89"/>
      <c r="V1253" s="61"/>
      <c r="W1253" s="92" t="s">
        <v>65</v>
      </c>
      <c r="X1253" s="93" t="s">
        <v>30</v>
      </c>
      <c r="Y1253" s="93" t="s">
        <v>1011</v>
      </c>
      <c r="Z1253" s="134">
        <f>VLOOKUP(W1253,Sheet2!$B:$D,3,FALSE)</f>
        <v>1.76</v>
      </c>
      <c r="AA1253" s="93">
        <f>AA1252/10</f>
        <v>0.20400000000000001</v>
      </c>
      <c r="AB1253" s="93">
        <f>AD1253/AC1248</f>
        <v>8.6274509803921564</v>
      </c>
      <c r="AC1253" s="93">
        <f>AC1248/AA1253</f>
        <v>5.1960784313725465</v>
      </c>
      <c r="AD1253" s="94">
        <f>AC1253*Z1253</f>
        <v>9.1450980392156822</v>
      </c>
      <c r="AE1253" s="190"/>
      <c r="AF1253" s="191"/>
      <c r="AG1253" s="191"/>
      <c r="AH1253" s="191"/>
      <c r="AI1253" s="186"/>
      <c r="AK1253" s="171"/>
    </row>
    <row r="1254" spans="1:41" s="102" customFormat="1" ht="19.899999999999999" customHeight="1" x14ac:dyDescent="0.25">
      <c r="A1254" s="45"/>
      <c r="B1254" s="59"/>
      <c r="C1254" s="137"/>
      <c r="D1254" s="59"/>
      <c r="E1254" s="116"/>
      <c r="F1254" s="120"/>
      <c r="G1254" s="120"/>
      <c r="H1254" s="120"/>
      <c r="I1254" s="60"/>
      <c r="J1254" s="116"/>
      <c r="K1254" s="213"/>
      <c r="L1254" s="120"/>
      <c r="M1254" s="120"/>
      <c r="N1254" s="167"/>
      <c r="O1254" s="120"/>
      <c r="P1254" s="120"/>
      <c r="Q1254" s="120"/>
      <c r="R1254" s="120"/>
      <c r="S1254" s="120"/>
      <c r="T1254" s="221"/>
      <c r="U1254" s="89"/>
      <c r="V1254" s="61"/>
      <c r="W1254" s="92" t="s">
        <v>173</v>
      </c>
      <c r="X1254" s="93" t="s">
        <v>29</v>
      </c>
      <c r="Y1254" s="93" t="s">
        <v>93</v>
      </c>
      <c r="Z1254" s="134">
        <f>VLOOKUP(W1254,Sheet2!$B:$D,3,FALSE)</f>
        <v>36</v>
      </c>
      <c r="AA1254" s="93">
        <f>50/(2.5*2*0.5*4)</f>
        <v>5</v>
      </c>
      <c r="AB1254" s="93">
        <f>AD1254/AC1248</f>
        <v>7.2</v>
      </c>
      <c r="AC1254" s="93">
        <f>AC1248/AA1254</f>
        <v>0.21199999999999991</v>
      </c>
      <c r="AD1254" s="94">
        <f>AC1254*Z1254</f>
        <v>7.631999999999997</v>
      </c>
      <c r="AE1254" s="190"/>
      <c r="AF1254" s="191"/>
      <c r="AG1254" s="191"/>
      <c r="AH1254" s="191"/>
      <c r="AI1254" s="186"/>
      <c r="AK1254" s="171"/>
    </row>
    <row r="1255" spans="1:41" s="102" customFormat="1" ht="19.899999999999999" customHeight="1" x14ac:dyDescent="0.25">
      <c r="A1255" s="45"/>
      <c r="B1255" s="59"/>
      <c r="C1255" s="137"/>
      <c r="D1255" s="59"/>
      <c r="E1255" s="116"/>
      <c r="F1255" s="120"/>
      <c r="G1255" s="120"/>
      <c r="H1255" s="120"/>
      <c r="I1255" s="60"/>
      <c r="J1255" s="116"/>
      <c r="K1255" s="213"/>
      <c r="L1255" s="120"/>
      <c r="M1255" s="120"/>
      <c r="N1255" s="167"/>
      <c r="O1255" s="120"/>
      <c r="P1255" s="120"/>
      <c r="Q1255" s="120"/>
      <c r="R1255" s="120"/>
      <c r="S1255" s="120"/>
      <c r="T1255" s="221"/>
      <c r="U1255" s="89"/>
      <c r="V1255" s="61"/>
      <c r="W1255" s="92" t="s">
        <v>65</v>
      </c>
      <c r="X1255" s="93" t="s">
        <v>30</v>
      </c>
      <c r="Y1255" s="93" t="s">
        <v>1011</v>
      </c>
      <c r="Z1255" s="134">
        <f>VLOOKUP(W1255,Sheet2!$B:$D,3,FALSE)</f>
        <v>1.76</v>
      </c>
      <c r="AA1255" s="93">
        <f>AA1254/9</f>
        <v>0.55555555555555558</v>
      </c>
      <c r="AB1255" s="93">
        <f>AD1255/AC1248</f>
        <v>3.1680000000000001</v>
      </c>
      <c r="AC1255" s="93">
        <f>AC1248/AA1255</f>
        <v>1.9079999999999993</v>
      </c>
      <c r="AD1255" s="94">
        <f>AC1255*Z1255</f>
        <v>3.3580799999999988</v>
      </c>
      <c r="AE1255" s="190"/>
      <c r="AF1255" s="191"/>
      <c r="AG1255" s="191"/>
      <c r="AH1255" s="191"/>
      <c r="AI1255" s="186"/>
      <c r="AK1255" s="171"/>
    </row>
    <row r="1256" spans="1:41" s="102" customFormat="1" ht="19.899999999999999" customHeight="1" x14ac:dyDescent="0.25">
      <c r="A1256" s="45"/>
      <c r="B1256" s="59"/>
      <c r="C1256" s="137"/>
      <c r="D1256" s="59"/>
      <c r="E1256" s="116"/>
      <c r="F1256" s="120"/>
      <c r="G1256" s="120"/>
      <c r="H1256" s="120"/>
      <c r="I1256" s="60"/>
      <c r="J1256" s="116"/>
      <c r="K1256" s="213"/>
      <c r="L1256" s="120"/>
      <c r="M1256" s="120"/>
      <c r="N1256" s="167"/>
      <c r="O1256" s="120"/>
      <c r="P1256" s="120"/>
      <c r="Q1256" s="120"/>
      <c r="R1256" s="120"/>
      <c r="S1256" s="120"/>
      <c r="T1256" s="221"/>
      <c r="U1256" s="89"/>
      <c r="V1256" s="61"/>
      <c r="W1256" s="92" t="s">
        <v>1030</v>
      </c>
      <c r="X1256" s="93" t="s">
        <v>29</v>
      </c>
      <c r="Y1256" s="93" t="s">
        <v>93</v>
      </c>
      <c r="Z1256" s="134">
        <f>VLOOKUP(W1256,Sheet2!$B:$D,3,FALSE)</f>
        <v>23</v>
      </c>
      <c r="AA1256" s="93">
        <f>1*1.25</f>
        <v>1.25</v>
      </c>
      <c r="AB1256" s="93">
        <f>AD1256/AC1248</f>
        <v>18.399999999999999</v>
      </c>
      <c r="AC1256" s="93">
        <f>AC1248/AA1256</f>
        <v>0.84799999999999964</v>
      </c>
      <c r="AD1256" s="94">
        <f t="shared" ref="AD1256:AD1257" si="987">AC1256*Z1256</f>
        <v>19.503999999999991</v>
      </c>
      <c r="AE1256" s="190"/>
      <c r="AF1256" s="191"/>
      <c r="AG1256" s="191"/>
      <c r="AH1256" s="191"/>
      <c r="AI1256" s="186"/>
      <c r="AK1256" s="171"/>
    </row>
    <row r="1257" spans="1:41" s="102" customFormat="1" ht="19.899999999999999" customHeight="1" x14ac:dyDescent="0.25">
      <c r="A1257" s="45"/>
      <c r="B1257" s="59"/>
      <c r="C1257" s="137"/>
      <c r="D1257" s="59"/>
      <c r="E1257" s="116"/>
      <c r="F1257" s="120"/>
      <c r="G1257" s="120"/>
      <c r="H1257" s="120"/>
      <c r="I1257" s="60"/>
      <c r="J1257" s="116"/>
      <c r="K1257" s="213"/>
      <c r="L1257" s="120"/>
      <c r="M1257" s="120"/>
      <c r="N1257" s="167"/>
      <c r="O1257" s="120"/>
      <c r="P1257" s="120"/>
      <c r="Q1257" s="120"/>
      <c r="R1257" s="120"/>
      <c r="S1257" s="120"/>
      <c r="T1257" s="221"/>
      <c r="U1257" s="89"/>
      <c r="V1257" s="61"/>
      <c r="W1257" s="92" t="s">
        <v>65</v>
      </c>
      <c r="X1257" s="93" t="s">
        <v>30</v>
      </c>
      <c r="Y1257" s="93" t="s">
        <v>1011</v>
      </c>
      <c r="Z1257" s="134">
        <f>VLOOKUP(W1257,Sheet2!$B:$D,3,FALSE)</f>
        <v>1.76</v>
      </c>
      <c r="AA1257" s="93">
        <f>AA1256/3</f>
        <v>0.41666666666666669</v>
      </c>
      <c r="AB1257" s="93">
        <f>AD1257/AC1248</f>
        <v>4.2240000000000002</v>
      </c>
      <c r="AC1257" s="93">
        <f>AC1248/AA1257</f>
        <v>2.5439999999999992</v>
      </c>
      <c r="AD1257" s="94">
        <f t="shared" si="987"/>
        <v>4.4774399999999988</v>
      </c>
      <c r="AE1257" s="190"/>
      <c r="AF1257" s="191"/>
      <c r="AG1257" s="191"/>
      <c r="AH1257" s="191"/>
      <c r="AI1257" s="186"/>
      <c r="AK1257" s="171"/>
    </row>
    <row r="1258" spans="1:41" ht="20.100000000000001" customHeight="1" x14ac:dyDescent="0.25">
      <c r="A1258" s="277" t="s">
        <v>216</v>
      </c>
      <c r="B1258" s="278"/>
      <c r="C1258" s="64" t="s">
        <v>350</v>
      </c>
      <c r="D1258" s="46" t="s">
        <v>215</v>
      </c>
      <c r="E1258" s="114">
        <v>0.51499999999999968</v>
      </c>
      <c r="F1258" s="44">
        <v>29456</v>
      </c>
      <c r="G1258" s="44">
        <f t="shared" si="607"/>
        <v>15169.839999999991</v>
      </c>
      <c r="H1258" s="44">
        <f t="shared" si="608"/>
        <v>11782.306290196077</v>
      </c>
      <c r="I1258" s="43">
        <f t="shared" si="609"/>
        <v>6067.8877394509755</v>
      </c>
      <c r="J1258" s="112">
        <f t="shared" si="610"/>
        <v>0.51499999999999968</v>
      </c>
      <c r="K1258" s="211">
        <f t="shared" si="611"/>
        <v>0.51499999999999968</v>
      </c>
      <c r="L1258" s="44"/>
      <c r="M1258" s="44">
        <f t="shared" si="612"/>
        <v>0.51499999999999968</v>
      </c>
      <c r="N1258" s="173">
        <f t="shared" si="613"/>
        <v>1</v>
      </c>
      <c r="O1258" s="44">
        <f t="shared" si="614"/>
        <v>29456</v>
      </c>
      <c r="P1258" s="44">
        <f t="shared" si="615"/>
        <v>15169.839999999991</v>
      </c>
      <c r="Q1258" s="44">
        <f t="shared" si="616"/>
        <v>11782.306290196077</v>
      </c>
      <c r="R1258" s="44">
        <f t="shared" si="617"/>
        <v>6067.8877394509755</v>
      </c>
      <c r="S1258" s="123"/>
      <c r="T1258" s="219">
        <f t="shared" si="618"/>
        <v>6067.8877394509755</v>
      </c>
      <c r="U1258" s="87"/>
      <c r="V1258" s="47"/>
      <c r="W1258" s="48"/>
      <c r="X1258" s="48"/>
      <c r="Y1258" s="48"/>
      <c r="Z1258" s="135"/>
      <c r="AA1258" s="49"/>
      <c r="AB1258" s="50">
        <f t="shared" si="619"/>
        <v>11782.306290196077</v>
      </c>
      <c r="AC1258" s="42">
        <f t="shared" si="620"/>
        <v>0.51499999999999968</v>
      </c>
      <c r="AD1258" s="90">
        <f>AD1259+AD1264+AD1271+AD1274</f>
        <v>6067.8877394509755</v>
      </c>
      <c r="AE1258" s="188">
        <f t="shared" ref="AE1258" si="988">AE1259+AE1264+AE1271+AE1274</f>
        <v>0</v>
      </c>
      <c r="AF1258" s="189">
        <f t="shared" ref="AF1258" si="989">AF1259+AF1264+AF1271+AF1274</f>
        <v>0</v>
      </c>
      <c r="AG1258" s="189">
        <f t="shared" ref="AG1258" si="990">AG1259+AG1264+AG1271+AG1274</f>
        <v>0</v>
      </c>
      <c r="AH1258" s="189">
        <f t="shared" ref="AH1258" si="991">AH1259+AH1264+AH1271+AH1274</f>
        <v>0</v>
      </c>
      <c r="AI1258" s="161">
        <f t="shared" ref="AI1258" si="992">SUM(AE1258:AH1258)</f>
        <v>0</v>
      </c>
      <c r="AK1258" s="169">
        <v>5</v>
      </c>
      <c r="AO1258" s="19" t="s">
        <v>63</v>
      </c>
    </row>
    <row r="1259" spans="1:41" s="103" customFormat="1" ht="19.899999999999999" customHeight="1" x14ac:dyDescent="0.25">
      <c r="A1259" s="51"/>
      <c r="B1259" s="52"/>
      <c r="C1259" s="165"/>
      <c r="D1259" s="52"/>
      <c r="E1259" s="115"/>
      <c r="F1259" s="58"/>
      <c r="G1259" s="58"/>
      <c r="H1259" s="58"/>
      <c r="I1259" s="55"/>
      <c r="J1259" s="113">
        <f>J1258</f>
        <v>0.51499999999999968</v>
      </c>
      <c r="K1259" s="212">
        <f>K1258</f>
        <v>0.51499999999999968</v>
      </c>
      <c r="L1259" s="58"/>
      <c r="M1259" s="58">
        <f>K1259-L1259</f>
        <v>0.51499999999999968</v>
      </c>
      <c r="N1259" s="166"/>
      <c r="O1259" s="58"/>
      <c r="P1259" s="58"/>
      <c r="Q1259" s="58"/>
      <c r="R1259" s="58"/>
      <c r="S1259" s="58"/>
      <c r="T1259" s="220"/>
      <c r="U1259" s="88"/>
      <c r="V1259" s="56"/>
      <c r="W1259" s="57" t="s">
        <v>1366</v>
      </c>
      <c r="X1259" s="53"/>
      <c r="Y1259" s="91" t="s">
        <v>35</v>
      </c>
      <c r="Z1259" s="136">
        <f>AD1259/AC1259</f>
        <v>108.5963294117647</v>
      </c>
      <c r="AA1259" s="58"/>
      <c r="AB1259" s="53">
        <f>AD1259/AC1259</f>
        <v>108.5963294117647</v>
      </c>
      <c r="AC1259" s="53">
        <f>M1259+$AE$10</f>
        <v>0.51499999999999968</v>
      </c>
      <c r="AD1259" s="54">
        <f>SUM(AD1260:AD1263)</f>
        <v>55.927109647058785</v>
      </c>
      <c r="AE1259" s="184">
        <f>SUMIFS($AD$37:$AD$12971,$V$37:$V$12971,$V1259,$X$37:$X$12971,AE$13)</f>
        <v>0</v>
      </c>
      <c r="AF1259" s="185">
        <f>SUMIFS($AD$37:$AD$12971,$V$37:$V$12971,$V1259,$X$37:$X$12971,AF$13)</f>
        <v>0</v>
      </c>
      <c r="AG1259" s="185">
        <f>SUMIFS($AD$37:$AD$12971,$V$37:$V$12971,$V1259,$X$37:$X$12971,AG$13)</f>
        <v>0</v>
      </c>
      <c r="AH1259" s="187">
        <f>SUMIFS($AD$37:$AD$12971,$V$37:$V$12971,$V1259,$X$37:$X$12971,AH$13)</f>
        <v>0</v>
      </c>
      <c r="AI1259" s="161">
        <f t="shared" ref="AI1259" si="993">SUM(AE1259:AH1259)</f>
        <v>0</v>
      </c>
      <c r="AK1259" s="172"/>
    </row>
    <row r="1260" spans="1:41" s="102" customFormat="1" ht="19.899999999999999" customHeight="1" x14ac:dyDescent="0.25">
      <c r="A1260" s="45"/>
      <c r="B1260" s="59"/>
      <c r="C1260" s="137"/>
      <c r="D1260" s="59"/>
      <c r="E1260" s="116"/>
      <c r="F1260" s="120"/>
      <c r="G1260" s="120"/>
      <c r="H1260" s="120"/>
      <c r="I1260" s="60"/>
      <c r="J1260" s="116"/>
      <c r="K1260" s="213"/>
      <c r="L1260" s="120"/>
      <c r="M1260" s="120"/>
      <c r="N1260" s="167"/>
      <c r="O1260" s="120"/>
      <c r="P1260" s="120"/>
      <c r="Q1260" s="120"/>
      <c r="R1260" s="120"/>
      <c r="S1260" s="120"/>
      <c r="T1260" s="221"/>
      <c r="U1260" s="89"/>
      <c r="V1260" s="61"/>
      <c r="W1260" s="92" t="s">
        <v>129</v>
      </c>
      <c r="X1260" s="93" t="s">
        <v>29</v>
      </c>
      <c r="Y1260" s="93" t="s">
        <v>93</v>
      </c>
      <c r="Z1260" s="134">
        <f>VLOOKUP(W1260,Sheet2!$B:$D,3,FALSE)</f>
        <v>56</v>
      </c>
      <c r="AA1260" s="93">
        <f>100/(3*3*3)</f>
        <v>3.7037037037037037</v>
      </c>
      <c r="AB1260" s="93">
        <f t="shared" ref="AB1260" si="994">AD1260/AC1259</f>
        <v>15.120000000000001</v>
      </c>
      <c r="AC1260" s="93">
        <f>AC1259/AA1260</f>
        <v>0.13904999999999992</v>
      </c>
      <c r="AD1260" s="94">
        <f t="shared" ref="AD1260:AD1261" si="995">AC1260*Z1260</f>
        <v>7.7867999999999959</v>
      </c>
      <c r="AE1260" s="190"/>
      <c r="AF1260" s="191"/>
      <c r="AG1260" s="191"/>
      <c r="AH1260" s="191"/>
      <c r="AI1260" s="186"/>
      <c r="AK1260" s="171"/>
    </row>
    <row r="1261" spans="1:41" s="102" customFormat="1" ht="19.899999999999999" customHeight="1" x14ac:dyDescent="0.25">
      <c r="A1261" s="45"/>
      <c r="B1261" s="59"/>
      <c r="C1261" s="137"/>
      <c r="D1261" s="59"/>
      <c r="E1261" s="116"/>
      <c r="F1261" s="120"/>
      <c r="G1261" s="120"/>
      <c r="H1261" s="120"/>
      <c r="I1261" s="60"/>
      <c r="J1261" s="116"/>
      <c r="K1261" s="213"/>
      <c r="L1261" s="120"/>
      <c r="M1261" s="120"/>
      <c r="N1261" s="167"/>
      <c r="O1261" s="120"/>
      <c r="P1261" s="120"/>
      <c r="Q1261" s="120"/>
      <c r="R1261" s="120"/>
      <c r="S1261" s="120"/>
      <c r="T1261" s="221"/>
      <c r="U1261" s="89"/>
      <c r="V1261" s="61"/>
      <c r="W1261" s="92" t="s">
        <v>65</v>
      </c>
      <c r="X1261" s="93" t="s">
        <v>30</v>
      </c>
      <c r="Y1261" s="93" t="s">
        <v>1011</v>
      </c>
      <c r="Z1261" s="134">
        <f>VLOOKUP(W1261,Sheet2!$B:$D,3,FALSE)</f>
        <v>1.76</v>
      </c>
      <c r="AA1261" s="93">
        <f>AA1260/14</f>
        <v>0.26455026455026454</v>
      </c>
      <c r="AB1261" s="93">
        <f>AD1261/AC1259</f>
        <v>6.6528000000000009</v>
      </c>
      <c r="AC1261" s="93">
        <f>AC1259/AA1261</f>
        <v>1.946699999999999</v>
      </c>
      <c r="AD1261" s="94">
        <f t="shared" si="995"/>
        <v>3.4261919999999981</v>
      </c>
      <c r="AE1261" s="190"/>
      <c r="AF1261" s="191"/>
      <c r="AG1261" s="191"/>
      <c r="AH1261" s="191"/>
      <c r="AI1261" s="186"/>
      <c r="AK1261" s="171"/>
    </row>
    <row r="1262" spans="1:41" s="102" customFormat="1" ht="19.899999999999999" customHeight="1" x14ac:dyDescent="0.25">
      <c r="A1262" s="45"/>
      <c r="B1262" s="59"/>
      <c r="C1262" s="137"/>
      <c r="D1262" s="59"/>
      <c r="E1262" s="116"/>
      <c r="F1262" s="120"/>
      <c r="G1262" s="120"/>
      <c r="H1262" s="120"/>
      <c r="I1262" s="60"/>
      <c r="J1262" s="116"/>
      <c r="K1262" s="213"/>
      <c r="L1262" s="120"/>
      <c r="M1262" s="120"/>
      <c r="N1262" s="167"/>
      <c r="O1262" s="120"/>
      <c r="P1262" s="120"/>
      <c r="Q1262" s="120"/>
      <c r="R1262" s="120"/>
      <c r="S1262" s="120"/>
      <c r="T1262" s="221"/>
      <c r="U1262" s="89"/>
      <c r="V1262" s="61"/>
      <c r="W1262" s="92" t="s">
        <v>161</v>
      </c>
      <c r="X1262" s="93" t="s">
        <v>29</v>
      </c>
      <c r="Y1262" s="93" t="s">
        <v>93</v>
      </c>
      <c r="Z1262" s="134">
        <f>VLOOKUP(W1262,Sheet2!$B:$D,3,FALSE)</f>
        <v>48</v>
      </c>
      <c r="AA1262" s="93">
        <f>(16*0.85*1.5)/(3*3*3)</f>
        <v>0.75555555555555554</v>
      </c>
      <c r="AB1262" s="93">
        <f>AD1262/AC1259</f>
        <v>63.529411764705884</v>
      </c>
      <c r="AC1262" s="93">
        <f>AC1259/AA1262</f>
        <v>0.68161764705882311</v>
      </c>
      <c r="AD1262" s="94">
        <f>AC1262*Z1262</f>
        <v>32.717647058823509</v>
      </c>
      <c r="AE1262" s="190"/>
      <c r="AF1262" s="191"/>
      <c r="AG1262" s="191"/>
      <c r="AH1262" s="191"/>
      <c r="AI1262" s="186"/>
      <c r="AK1262" s="171"/>
    </row>
    <row r="1263" spans="1:41" s="102" customFormat="1" ht="19.899999999999999" customHeight="1" x14ac:dyDescent="0.25">
      <c r="A1263" s="45"/>
      <c r="B1263" s="59"/>
      <c r="C1263" s="137"/>
      <c r="D1263" s="59"/>
      <c r="E1263" s="116"/>
      <c r="F1263" s="120"/>
      <c r="G1263" s="120"/>
      <c r="H1263" s="120"/>
      <c r="I1263" s="60"/>
      <c r="J1263" s="116"/>
      <c r="K1263" s="213"/>
      <c r="L1263" s="120"/>
      <c r="M1263" s="120"/>
      <c r="N1263" s="167"/>
      <c r="O1263" s="120"/>
      <c r="P1263" s="120"/>
      <c r="Q1263" s="120"/>
      <c r="R1263" s="120"/>
      <c r="S1263" s="120"/>
      <c r="T1263" s="221"/>
      <c r="U1263" s="89"/>
      <c r="V1263" s="61"/>
      <c r="W1263" s="92" t="s">
        <v>65</v>
      </c>
      <c r="X1263" s="93" t="s">
        <v>30</v>
      </c>
      <c r="Y1263" s="93" t="s">
        <v>1011</v>
      </c>
      <c r="Z1263" s="134">
        <f>VLOOKUP(W1263,Sheet2!$B:$D,3,FALSE)</f>
        <v>1.76</v>
      </c>
      <c r="AA1263" s="93">
        <f>AA1262/10</f>
        <v>7.5555555555555556E-2</v>
      </c>
      <c r="AB1263" s="93">
        <f>AD1263/AC1259</f>
        <v>23.294117647058822</v>
      </c>
      <c r="AC1263" s="93">
        <f>AC1259/AA1263</f>
        <v>6.8161764705882311</v>
      </c>
      <c r="AD1263" s="94">
        <f>AC1263*Z1263</f>
        <v>11.996470588235287</v>
      </c>
      <c r="AE1263" s="190"/>
      <c r="AF1263" s="191"/>
      <c r="AG1263" s="191"/>
      <c r="AH1263" s="191"/>
      <c r="AI1263" s="186"/>
      <c r="AK1263" s="171"/>
    </row>
    <row r="1264" spans="1:41" s="103" customFormat="1" ht="19.899999999999999" customHeight="1" x14ac:dyDescent="0.25">
      <c r="A1264" s="51"/>
      <c r="B1264" s="52"/>
      <c r="C1264" s="165"/>
      <c r="D1264" s="52"/>
      <c r="E1264" s="115"/>
      <c r="F1264" s="58"/>
      <c r="G1264" s="58"/>
      <c r="H1264" s="58"/>
      <c r="I1264" s="55"/>
      <c r="J1264" s="113">
        <f>J1258</f>
        <v>0.51499999999999968</v>
      </c>
      <c r="K1264" s="212">
        <f>K1258</f>
        <v>0.51499999999999968</v>
      </c>
      <c r="L1264" s="58"/>
      <c r="M1264" s="58">
        <f>K1264-L1264</f>
        <v>0.51499999999999968</v>
      </c>
      <c r="N1264" s="166"/>
      <c r="O1264" s="58"/>
      <c r="P1264" s="58"/>
      <c r="Q1264" s="58"/>
      <c r="R1264" s="58"/>
      <c r="S1264" s="58"/>
      <c r="T1264" s="220"/>
      <c r="U1264" s="88"/>
      <c r="V1264" s="56"/>
      <c r="W1264" s="57" t="s">
        <v>1352</v>
      </c>
      <c r="X1264" s="53"/>
      <c r="Y1264" s="91" t="s">
        <v>35</v>
      </c>
      <c r="Z1264" s="136">
        <f>AD1264/AC1264</f>
        <v>8050</v>
      </c>
      <c r="AA1264" s="58"/>
      <c r="AB1264" s="53">
        <f>AD1264/AC1264</f>
        <v>8050</v>
      </c>
      <c r="AC1264" s="53">
        <f>M1264+$AE$10</f>
        <v>0.51499999999999968</v>
      </c>
      <c r="AD1264" s="54">
        <f>SUM(AD1265:AD1270)</f>
        <v>4145.7499999999973</v>
      </c>
      <c r="AE1264" s="184">
        <f>SUMIFS($AD$37:$AD$12971,$V$37:$V$12971,$V1264,$X$37:$X$12971,AE$13)</f>
        <v>0</v>
      </c>
      <c r="AF1264" s="185">
        <f>SUMIFS($AD$37:$AD$12971,$V$37:$V$12971,$V1264,$X$37:$X$12971,AF$13)</f>
        <v>0</v>
      </c>
      <c r="AG1264" s="185">
        <f>SUMIFS($AD$37:$AD$12971,$V$37:$V$12971,$V1264,$X$37:$X$12971,AG$13)</f>
        <v>0</v>
      </c>
      <c r="AH1264" s="187">
        <f>SUMIFS($AD$37:$AD$12971,$V$37:$V$12971,$V1264,$X$37:$X$12971,AH$13)</f>
        <v>0</v>
      </c>
      <c r="AI1264" s="161">
        <f t="shared" ref="AI1264" si="996">SUM(AE1264:AH1264)</f>
        <v>0</v>
      </c>
      <c r="AK1264" s="172"/>
    </row>
    <row r="1265" spans="1:37" s="102" customFormat="1" ht="19.899999999999999" customHeight="1" x14ac:dyDescent="0.25">
      <c r="A1265" s="45"/>
      <c r="B1265" s="59"/>
      <c r="C1265" s="137"/>
      <c r="D1265" s="59"/>
      <c r="E1265" s="116"/>
      <c r="F1265" s="120"/>
      <c r="G1265" s="120"/>
      <c r="H1265" s="120"/>
      <c r="I1265" s="60"/>
      <c r="J1265" s="116"/>
      <c r="K1265" s="213"/>
      <c r="L1265" s="120"/>
      <c r="M1265" s="120"/>
      <c r="N1265" s="167"/>
      <c r="O1265" s="120"/>
      <c r="P1265" s="120"/>
      <c r="Q1265" s="120"/>
      <c r="R1265" s="120"/>
      <c r="S1265" s="120"/>
      <c r="T1265" s="221"/>
      <c r="U1265" s="89"/>
      <c r="V1265" s="61"/>
      <c r="W1265" s="92" t="s">
        <v>1353</v>
      </c>
      <c r="X1265" s="93" t="s">
        <v>30</v>
      </c>
      <c r="Y1265" s="93" t="s">
        <v>66</v>
      </c>
      <c r="Z1265" s="134">
        <f>VLOOKUP(W1265,Sheet2!$B:$D,3,FALSE)</f>
        <v>350</v>
      </c>
      <c r="AA1265" s="93">
        <f>1/(2*3*0.25*4)</f>
        <v>0.16666666666666666</v>
      </c>
      <c r="AB1265" s="93">
        <f>AD1265/AC1264</f>
        <v>2100</v>
      </c>
      <c r="AC1265" s="93">
        <f>AC1264/AA1265</f>
        <v>3.0899999999999981</v>
      </c>
      <c r="AD1265" s="94">
        <f t="shared" ref="AD1265:AD1266" si="997">AC1265*Z1265</f>
        <v>1081.4999999999993</v>
      </c>
      <c r="AE1265" s="190"/>
      <c r="AF1265" s="191"/>
      <c r="AG1265" s="191"/>
      <c r="AH1265" s="191"/>
      <c r="AI1265" s="186"/>
      <c r="AK1265" s="171"/>
    </row>
    <row r="1266" spans="1:37" s="102" customFormat="1" ht="19.899999999999999" customHeight="1" x14ac:dyDescent="0.25">
      <c r="A1266" s="45"/>
      <c r="B1266" s="59"/>
      <c r="C1266" s="137"/>
      <c r="D1266" s="59"/>
      <c r="E1266" s="116"/>
      <c r="F1266" s="120"/>
      <c r="G1266" s="120"/>
      <c r="H1266" s="120"/>
      <c r="I1266" s="60"/>
      <c r="J1266" s="116"/>
      <c r="K1266" s="213"/>
      <c r="L1266" s="120"/>
      <c r="M1266" s="120"/>
      <c r="N1266" s="167"/>
      <c r="O1266" s="120"/>
      <c r="P1266" s="120"/>
      <c r="Q1266" s="120"/>
      <c r="R1266" s="120"/>
      <c r="S1266" s="120"/>
      <c r="T1266" s="221"/>
      <c r="U1266" s="89"/>
      <c r="V1266" s="61"/>
      <c r="W1266" s="92" t="s">
        <v>99</v>
      </c>
      <c r="X1266" s="93" t="s">
        <v>30</v>
      </c>
      <c r="Y1266" s="93" t="s">
        <v>67</v>
      </c>
      <c r="Z1266" s="134">
        <f>VLOOKUP(W1266,Sheet2!$B:$D,3,FALSE)</f>
        <v>2500</v>
      </c>
      <c r="AA1266" s="93">
        <f>1/(2*1.5*0.25*4*0.08)</f>
        <v>4.166666666666667</v>
      </c>
      <c r="AB1266" s="93">
        <f>AD1266/AC1264</f>
        <v>599.99999999999989</v>
      </c>
      <c r="AC1266" s="93">
        <f>AC1264/AA1266</f>
        <v>0.12359999999999992</v>
      </c>
      <c r="AD1266" s="94">
        <f t="shared" si="997"/>
        <v>308.99999999999977</v>
      </c>
      <c r="AE1266" s="190"/>
      <c r="AF1266" s="191"/>
      <c r="AG1266" s="191"/>
      <c r="AH1266" s="191"/>
      <c r="AI1266" s="186"/>
      <c r="AK1266" s="171"/>
    </row>
    <row r="1267" spans="1:37" s="102" customFormat="1" ht="19.899999999999999" customHeight="1" x14ac:dyDescent="0.25">
      <c r="A1267" s="45"/>
      <c r="B1267" s="59"/>
      <c r="C1267" s="137"/>
      <c r="D1267" s="59"/>
      <c r="E1267" s="116"/>
      <c r="F1267" s="120"/>
      <c r="G1267" s="120"/>
      <c r="H1267" s="120"/>
      <c r="I1267" s="60"/>
      <c r="J1267" s="116"/>
      <c r="K1267" s="213"/>
      <c r="L1267" s="120"/>
      <c r="M1267" s="120"/>
      <c r="N1267" s="167"/>
      <c r="O1267" s="120"/>
      <c r="P1267" s="120"/>
      <c r="Q1267" s="120"/>
      <c r="R1267" s="120"/>
      <c r="S1267" s="120"/>
      <c r="T1267" s="221"/>
      <c r="U1267" s="89"/>
      <c r="V1267" s="61"/>
      <c r="W1267" s="92" t="s">
        <v>1355</v>
      </c>
      <c r="X1267" s="93" t="s">
        <v>32</v>
      </c>
      <c r="Y1267" s="93" t="s">
        <v>66</v>
      </c>
      <c r="Z1267" s="134">
        <f>VLOOKUP(W1267,Sheet2!$B:$D,3,FALSE)</f>
        <v>450</v>
      </c>
      <c r="AA1267" s="93">
        <f>AA1265</f>
        <v>0.16666666666666666</v>
      </c>
      <c r="AB1267" s="93">
        <f>AD1267/AC1264</f>
        <v>2700</v>
      </c>
      <c r="AC1267" s="93">
        <f>AC1264/AA1267</f>
        <v>3.0899999999999981</v>
      </c>
      <c r="AD1267" s="94">
        <f>AC1267*Z1267</f>
        <v>1390.4999999999991</v>
      </c>
      <c r="AE1267" s="190"/>
      <c r="AF1267" s="191"/>
      <c r="AG1267" s="191"/>
      <c r="AH1267" s="191"/>
      <c r="AI1267" s="186"/>
      <c r="AK1267" s="171"/>
    </row>
    <row r="1268" spans="1:37" s="102" customFormat="1" ht="19.899999999999999" customHeight="1" x14ac:dyDescent="0.25">
      <c r="A1268" s="45"/>
      <c r="B1268" s="59"/>
      <c r="C1268" s="137"/>
      <c r="D1268" s="59"/>
      <c r="E1268" s="116"/>
      <c r="F1268" s="120"/>
      <c r="G1268" s="120"/>
      <c r="H1268" s="120"/>
      <c r="I1268" s="60"/>
      <c r="J1268" s="116"/>
      <c r="K1268" s="213"/>
      <c r="L1268" s="120"/>
      <c r="M1268" s="120"/>
      <c r="N1268" s="167"/>
      <c r="O1268" s="120"/>
      <c r="P1268" s="120"/>
      <c r="Q1268" s="120"/>
      <c r="R1268" s="120"/>
      <c r="S1268" s="120"/>
      <c r="T1268" s="221"/>
      <c r="U1268" s="89"/>
      <c r="V1268" s="61"/>
      <c r="W1268" s="92" t="s">
        <v>1362</v>
      </c>
      <c r="X1268" s="93" t="s">
        <v>30</v>
      </c>
      <c r="Y1268" s="93" t="s">
        <v>35</v>
      </c>
      <c r="Z1268" s="134">
        <f>VLOOKUP(W1268,Sheet2!$B:$D,3,FALSE)</f>
        <v>400</v>
      </c>
      <c r="AA1268" s="93">
        <v>0.16</v>
      </c>
      <c r="AB1268" s="93">
        <f>AD1268/AC1264</f>
        <v>2500</v>
      </c>
      <c r="AC1268" s="93">
        <f>AC1264/AA1268</f>
        <v>3.2187499999999978</v>
      </c>
      <c r="AD1268" s="94">
        <f t="shared" ref="AD1268" si="998">AC1268*Z1268</f>
        <v>1287.4999999999991</v>
      </c>
      <c r="AE1268" s="190"/>
      <c r="AF1268" s="191"/>
      <c r="AG1268" s="191"/>
      <c r="AH1268" s="191"/>
      <c r="AI1268" s="186"/>
      <c r="AK1268" s="171"/>
    </row>
    <row r="1269" spans="1:37" s="102" customFormat="1" ht="19.899999999999999" customHeight="1" x14ac:dyDescent="0.25">
      <c r="A1269" s="45"/>
      <c r="B1269" s="59"/>
      <c r="C1269" s="137"/>
      <c r="D1269" s="59"/>
      <c r="E1269" s="116"/>
      <c r="F1269" s="120"/>
      <c r="G1269" s="120"/>
      <c r="H1269" s="120"/>
      <c r="I1269" s="60"/>
      <c r="J1269" s="116"/>
      <c r="K1269" s="213"/>
      <c r="L1269" s="120"/>
      <c r="M1269" s="120"/>
      <c r="N1269" s="167"/>
      <c r="O1269" s="120"/>
      <c r="P1269" s="120"/>
      <c r="Q1269" s="120"/>
      <c r="R1269" s="120"/>
      <c r="S1269" s="120"/>
      <c r="T1269" s="221"/>
      <c r="U1269" s="89"/>
      <c r="V1269" s="61"/>
      <c r="W1269" s="92" t="s">
        <v>107</v>
      </c>
      <c r="X1269" s="93" t="s">
        <v>31</v>
      </c>
      <c r="Y1269" s="93" t="s">
        <v>93</v>
      </c>
      <c r="Z1269" s="134">
        <f>VLOOKUP(W1269,Sheet2!$B:$D,3,FALSE)</f>
        <v>17</v>
      </c>
      <c r="AA1269" s="93">
        <f>1/5</f>
        <v>0.2</v>
      </c>
      <c r="AB1269" s="93">
        <f>AD1269/AC1264</f>
        <v>85</v>
      </c>
      <c r="AC1269" s="93">
        <f>AC1264/AA1269</f>
        <v>2.5749999999999984</v>
      </c>
      <c r="AD1269" s="94">
        <f>AC1269*Z1269</f>
        <v>43.77499999999997</v>
      </c>
      <c r="AE1269" s="190"/>
      <c r="AF1269" s="191"/>
      <c r="AG1269" s="191"/>
      <c r="AH1269" s="191"/>
      <c r="AI1269" s="186"/>
      <c r="AK1269" s="171"/>
    </row>
    <row r="1270" spans="1:37" s="102" customFormat="1" ht="19.899999999999999" customHeight="1" x14ac:dyDescent="0.25">
      <c r="A1270" s="45"/>
      <c r="B1270" s="59"/>
      <c r="C1270" s="137"/>
      <c r="D1270" s="59"/>
      <c r="E1270" s="116"/>
      <c r="F1270" s="120"/>
      <c r="G1270" s="120"/>
      <c r="H1270" s="120"/>
      <c r="I1270" s="60"/>
      <c r="J1270" s="116"/>
      <c r="K1270" s="213"/>
      <c r="L1270" s="120"/>
      <c r="M1270" s="120"/>
      <c r="N1270" s="167"/>
      <c r="O1270" s="120"/>
      <c r="P1270" s="120"/>
      <c r="Q1270" s="120"/>
      <c r="R1270" s="120"/>
      <c r="S1270" s="120"/>
      <c r="T1270" s="221"/>
      <c r="U1270" s="89"/>
      <c r="V1270" s="61"/>
      <c r="W1270" s="92" t="s">
        <v>112</v>
      </c>
      <c r="X1270" s="93" t="s">
        <v>31</v>
      </c>
      <c r="Y1270" s="93" t="s">
        <v>93</v>
      </c>
      <c r="Z1270" s="134">
        <f>VLOOKUP(W1270,Sheet2!$B:$D,3,FALSE)</f>
        <v>13</v>
      </c>
      <c r="AA1270" s="93">
        <f>AA1269</f>
        <v>0.2</v>
      </c>
      <c r="AB1270" s="93">
        <f>AD1270/AC1264</f>
        <v>65</v>
      </c>
      <c r="AC1270" s="93">
        <f>AC1264/AA1270</f>
        <v>2.5749999999999984</v>
      </c>
      <c r="AD1270" s="94">
        <f>AC1270*Z1270</f>
        <v>33.47499999999998</v>
      </c>
      <c r="AE1270" s="190"/>
      <c r="AF1270" s="191"/>
      <c r="AG1270" s="191"/>
      <c r="AH1270" s="191"/>
      <c r="AI1270" s="186"/>
      <c r="AK1270" s="171"/>
    </row>
    <row r="1271" spans="1:37" s="103" customFormat="1" ht="19.899999999999999" customHeight="1" x14ac:dyDescent="0.25">
      <c r="A1271" s="51"/>
      <c r="B1271" s="52"/>
      <c r="C1271" s="165"/>
      <c r="D1271" s="52"/>
      <c r="E1271" s="115"/>
      <c r="F1271" s="58"/>
      <c r="G1271" s="58"/>
      <c r="H1271" s="58"/>
      <c r="I1271" s="55"/>
      <c r="J1271" s="113">
        <f>J1258</f>
        <v>0.51499999999999968</v>
      </c>
      <c r="K1271" s="212">
        <f>K1258</f>
        <v>0.51499999999999968</v>
      </c>
      <c r="L1271" s="58"/>
      <c r="M1271" s="58">
        <f>K1271-L1271</f>
        <v>0.51499999999999968</v>
      </c>
      <c r="N1271" s="166"/>
      <c r="O1271" s="58"/>
      <c r="P1271" s="58"/>
      <c r="Q1271" s="58"/>
      <c r="R1271" s="58"/>
      <c r="S1271" s="58"/>
      <c r="T1271" s="220"/>
      <c r="U1271" s="88"/>
      <c r="V1271" s="56"/>
      <c r="W1271" s="57" t="s">
        <v>1358</v>
      </c>
      <c r="X1271" s="53"/>
      <c r="Y1271" s="91" t="s">
        <v>35</v>
      </c>
      <c r="Z1271" s="136">
        <f>AD1271/AC1271</f>
        <v>3360</v>
      </c>
      <c r="AA1271" s="58"/>
      <c r="AB1271" s="53">
        <f>AD1271/AC1271</f>
        <v>3360</v>
      </c>
      <c r="AC1271" s="53">
        <f>M1271+$AE$10</f>
        <v>0.51499999999999968</v>
      </c>
      <c r="AD1271" s="54">
        <f>SUM(AD1272:AD1273)</f>
        <v>1730.399999999999</v>
      </c>
      <c r="AE1271" s="184">
        <f>SUMIFS($AD$37:$AD$12971,$V$37:$V$12971,$V1271,$X$37:$X$12971,AE$13)</f>
        <v>0</v>
      </c>
      <c r="AF1271" s="185">
        <f>SUMIFS($AD$37:$AD$12971,$V$37:$V$12971,$V1271,$X$37:$X$12971,AF$13)</f>
        <v>0</v>
      </c>
      <c r="AG1271" s="185">
        <f>SUMIFS($AD$37:$AD$12971,$V$37:$V$12971,$V1271,$X$37:$X$12971,AG$13)</f>
        <v>0</v>
      </c>
      <c r="AH1271" s="187">
        <f>SUMIFS($AD$37:$AD$12971,$V$37:$V$12971,$V1271,$X$37:$X$12971,AH$13)</f>
        <v>0</v>
      </c>
      <c r="AI1271" s="161">
        <f t="shared" ref="AI1271" si="999">SUM(AE1271:AH1271)</f>
        <v>0</v>
      </c>
      <c r="AK1271" s="172"/>
    </row>
    <row r="1272" spans="1:37" s="102" customFormat="1" ht="19.899999999999999" customHeight="1" x14ac:dyDescent="0.25">
      <c r="A1272" s="45"/>
      <c r="B1272" s="59"/>
      <c r="C1272" s="137"/>
      <c r="D1272" s="59"/>
      <c r="E1272" s="116"/>
      <c r="F1272" s="120"/>
      <c r="G1272" s="120"/>
      <c r="H1272" s="120"/>
      <c r="I1272" s="60"/>
      <c r="J1272" s="116"/>
      <c r="K1272" s="213"/>
      <c r="L1272" s="120"/>
      <c r="M1272" s="120"/>
      <c r="N1272" s="167"/>
      <c r="O1272" s="120"/>
      <c r="P1272" s="120"/>
      <c r="Q1272" s="120"/>
      <c r="R1272" s="120"/>
      <c r="S1272" s="120"/>
      <c r="T1272" s="221"/>
      <c r="U1272" s="89"/>
      <c r="V1272" s="61"/>
      <c r="W1272" s="92" t="s">
        <v>1359</v>
      </c>
      <c r="X1272" s="93" t="s">
        <v>32</v>
      </c>
      <c r="Y1272" s="93" t="s">
        <v>64</v>
      </c>
      <c r="Z1272" s="134">
        <f>VLOOKUP(W1272,Sheet2!$B:$D,3,FALSE)</f>
        <v>40</v>
      </c>
      <c r="AA1272" s="93">
        <f>1/48</f>
        <v>2.0833333333333332E-2</v>
      </c>
      <c r="AB1272" s="93">
        <f t="shared" ref="AB1272" si="1000">AD1272/AC1271</f>
        <v>1920</v>
      </c>
      <c r="AC1272" s="93">
        <f>AC1271/AA1272</f>
        <v>24.719999999999985</v>
      </c>
      <c r="AD1272" s="94">
        <f t="shared" ref="AD1272:AD1273" si="1001">AC1272*Z1272</f>
        <v>988.79999999999939</v>
      </c>
      <c r="AE1272" s="190"/>
      <c r="AF1272" s="191"/>
      <c r="AG1272" s="191"/>
      <c r="AH1272" s="191"/>
      <c r="AI1272" s="186"/>
      <c r="AK1272" s="171"/>
    </row>
    <row r="1273" spans="1:37" s="102" customFormat="1" ht="19.899999999999999" customHeight="1" x14ac:dyDescent="0.25">
      <c r="A1273" s="45"/>
      <c r="B1273" s="59"/>
      <c r="C1273" s="137"/>
      <c r="D1273" s="59"/>
      <c r="E1273" s="116"/>
      <c r="F1273" s="120"/>
      <c r="G1273" s="120"/>
      <c r="H1273" s="120"/>
      <c r="I1273" s="60"/>
      <c r="J1273" s="116"/>
      <c r="K1273" s="213"/>
      <c r="L1273" s="120"/>
      <c r="M1273" s="120"/>
      <c r="N1273" s="167"/>
      <c r="O1273" s="120"/>
      <c r="P1273" s="120"/>
      <c r="Q1273" s="120"/>
      <c r="R1273" s="120"/>
      <c r="S1273" s="120"/>
      <c r="T1273" s="221"/>
      <c r="U1273" s="89"/>
      <c r="V1273" s="61"/>
      <c r="W1273" s="92" t="s">
        <v>1360</v>
      </c>
      <c r="X1273" s="93" t="s">
        <v>32</v>
      </c>
      <c r="Y1273" s="93" t="s">
        <v>64</v>
      </c>
      <c r="Z1273" s="134">
        <f>VLOOKUP(W1273,Sheet2!$B:$D,3,FALSE)</f>
        <v>30</v>
      </c>
      <c r="AA1273" s="93">
        <f>AA1272</f>
        <v>2.0833333333333332E-2</v>
      </c>
      <c r="AB1273" s="93">
        <f>AD1273/AC1271</f>
        <v>1440</v>
      </c>
      <c r="AC1273" s="93">
        <f>AC1271/AA1273</f>
        <v>24.719999999999985</v>
      </c>
      <c r="AD1273" s="94">
        <f t="shared" si="1001"/>
        <v>741.59999999999957</v>
      </c>
      <c r="AE1273" s="190"/>
      <c r="AF1273" s="191"/>
      <c r="AG1273" s="191"/>
      <c r="AH1273" s="191"/>
      <c r="AI1273" s="186"/>
      <c r="AK1273" s="171"/>
    </row>
    <row r="1274" spans="1:37" s="103" customFormat="1" ht="19.899999999999999" customHeight="1" x14ac:dyDescent="0.25">
      <c r="A1274" s="51"/>
      <c r="B1274" s="52"/>
      <c r="C1274" s="165"/>
      <c r="D1274" s="52"/>
      <c r="E1274" s="115"/>
      <c r="F1274" s="58"/>
      <c r="G1274" s="58"/>
      <c r="H1274" s="58"/>
      <c r="I1274" s="55"/>
      <c r="J1274" s="113">
        <f>J1258</f>
        <v>0.51499999999999968</v>
      </c>
      <c r="K1274" s="212">
        <f>K1258</f>
        <v>0.51499999999999968</v>
      </c>
      <c r="L1274" s="58"/>
      <c r="M1274" s="58">
        <f>K1274-L1274</f>
        <v>0.51499999999999968</v>
      </c>
      <c r="N1274" s="166"/>
      <c r="O1274" s="58"/>
      <c r="P1274" s="58"/>
      <c r="Q1274" s="58"/>
      <c r="R1274" s="58"/>
      <c r="S1274" s="58"/>
      <c r="T1274" s="220"/>
      <c r="U1274" s="88"/>
      <c r="V1274" s="56"/>
      <c r="W1274" s="57" t="s">
        <v>1272</v>
      </c>
      <c r="X1274" s="53"/>
      <c r="Y1274" s="91" t="s">
        <v>35</v>
      </c>
      <c r="Z1274" s="136">
        <f>AD1274/AC1274</f>
        <v>263.70996078431375</v>
      </c>
      <c r="AA1274" s="58"/>
      <c r="AB1274" s="53">
        <f>AD1274/AC1274</f>
        <v>263.70996078431375</v>
      </c>
      <c r="AC1274" s="53">
        <f>M1274+$AE$10</f>
        <v>0.51499999999999968</v>
      </c>
      <c r="AD1274" s="54">
        <f>SUM(AD1275:AD1283)</f>
        <v>135.8106298039215</v>
      </c>
      <c r="AE1274" s="184">
        <f>SUMIFS($AD$37:$AD$12971,$V$37:$V$12971,$V1274,$X$37:$X$12971,AE$13)</f>
        <v>0</v>
      </c>
      <c r="AF1274" s="185">
        <f>SUMIFS($AD$37:$AD$12971,$V$37:$V$12971,$V1274,$X$37:$X$12971,AF$13)</f>
        <v>0</v>
      </c>
      <c r="AG1274" s="185">
        <f>SUMIFS($AD$37:$AD$12971,$V$37:$V$12971,$V1274,$X$37:$X$12971,AG$13)</f>
        <v>0</v>
      </c>
      <c r="AH1274" s="187">
        <f>SUMIFS($AD$37:$AD$12971,$V$37:$V$12971,$V1274,$X$37:$X$12971,AH$13)</f>
        <v>0</v>
      </c>
      <c r="AI1274" s="161">
        <f t="shared" ref="AI1274" si="1002">SUM(AE1274:AH1274)</f>
        <v>0</v>
      </c>
      <c r="AK1274" s="172"/>
    </row>
    <row r="1275" spans="1:37" s="102" customFormat="1" ht="19.899999999999999" customHeight="1" x14ac:dyDescent="0.25">
      <c r="A1275" s="45"/>
      <c r="B1275" s="59"/>
      <c r="C1275" s="137"/>
      <c r="D1275" s="59"/>
      <c r="E1275" s="116"/>
      <c r="F1275" s="120"/>
      <c r="G1275" s="120"/>
      <c r="H1275" s="120"/>
      <c r="I1275" s="60"/>
      <c r="J1275" s="116"/>
      <c r="K1275" s="213"/>
      <c r="L1275" s="120"/>
      <c r="M1275" s="120"/>
      <c r="N1275" s="167"/>
      <c r="O1275" s="120"/>
      <c r="P1275" s="120"/>
      <c r="Q1275" s="120"/>
      <c r="R1275" s="120"/>
      <c r="S1275" s="120"/>
      <c r="T1275" s="221"/>
      <c r="U1275" s="89"/>
      <c r="V1275" s="61"/>
      <c r="W1275" s="92" t="s">
        <v>1273</v>
      </c>
      <c r="X1275" s="93" t="s">
        <v>30</v>
      </c>
      <c r="Y1275" s="93" t="s">
        <v>66</v>
      </c>
      <c r="Z1275" s="134">
        <f>VLOOKUP(W1275,Sheet2!$B:$D,3,FALSE)</f>
        <v>10</v>
      </c>
      <c r="AA1275" s="93">
        <f>1/(2.5*3*0.5*4)</f>
        <v>6.6666666666666666E-2</v>
      </c>
      <c r="AB1275" s="93">
        <f>AD1275/AC1274</f>
        <v>150</v>
      </c>
      <c r="AC1275" s="93">
        <f>AC1274/AA1275</f>
        <v>7.7249999999999952</v>
      </c>
      <c r="AD1275" s="94">
        <f t="shared" ref="AD1275:AD1277" si="1003">AC1275*Z1275</f>
        <v>77.249999999999957</v>
      </c>
      <c r="AE1275" s="190"/>
      <c r="AF1275" s="191"/>
      <c r="AG1275" s="191"/>
      <c r="AH1275" s="191"/>
      <c r="AI1275" s="186"/>
      <c r="AK1275" s="171"/>
    </row>
    <row r="1276" spans="1:37" s="102" customFormat="1" ht="19.899999999999999" customHeight="1" x14ac:dyDescent="0.25">
      <c r="A1276" s="45"/>
      <c r="B1276" s="59"/>
      <c r="C1276" s="137"/>
      <c r="D1276" s="59"/>
      <c r="E1276" s="116"/>
      <c r="F1276" s="120"/>
      <c r="G1276" s="120"/>
      <c r="H1276" s="120"/>
      <c r="I1276" s="60"/>
      <c r="J1276" s="116"/>
      <c r="K1276" s="213"/>
      <c r="L1276" s="120"/>
      <c r="M1276" s="120"/>
      <c r="N1276" s="167"/>
      <c r="O1276" s="120"/>
      <c r="P1276" s="120"/>
      <c r="Q1276" s="120"/>
      <c r="R1276" s="120"/>
      <c r="S1276" s="120"/>
      <c r="T1276" s="221"/>
      <c r="U1276" s="89"/>
      <c r="V1276" s="61"/>
      <c r="W1276" s="92" t="s">
        <v>134</v>
      </c>
      <c r="X1276" s="93" t="s">
        <v>29</v>
      </c>
      <c r="Y1276" s="93" t="s">
        <v>93</v>
      </c>
      <c r="Z1276" s="134">
        <f>VLOOKUP(W1276,Sheet2!$B:$D,3,FALSE)</f>
        <v>65.599999999999994</v>
      </c>
      <c r="AA1276" s="93">
        <f>100/(2.5*3*0.5*4)</f>
        <v>6.666666666666667</v>
      </c>
      <c r="AB1276" s="93">
        <f t="shared" ref="AB1276" si="1004">AD1276/AC1274</f>
        <v>9.8399999999999981</v>
      </c>
      <c r="AC1276" s="93">
        <f>AC1274/AA1276</f>
        <v>7.7249999999999944E-2</v>
      </c>
      <c r="AD1276" s="94">
        <f t="shared" si="1003"/>
        <v>5.0675999999999961</v>
      </c>
      <c r="AE1276" s="190"/>
      <c r="AF1276" s="191"/>
      <c r="AG1276" s="191"/>
      <c r="AH1276" s="191"/>
      <c r="AI1276" s="186"/>
      <c r="AK1276" s="171"/>
    </row>
    <row r="1277" spans="1:37" s="102" customFormat="1" ht="19.899999999999999" customHeight="1" x14ac:dyDescent="0.25">
      <c r="A1277" s="45"/>
      <c r="B1277" s="59"/>
      <c r="C1277" s="137"/>
      <c r="D1277" s="59"/>
      <c r="E1277" s="116"/>
      <c r="F1277" s="120"/>
      <c r="G1277" s="120"/>
      <c r="H1277" s="120"/>
      <c r="I1277" s="60"/>
      <c r="J1277" s="116"/>
      <c r="K1277" s="213"/>
      <c r="L1277" s="120"/>
      <c r="M1277" s="120"/>
      <c r="N1277" s="167"/>
      <c r="O1277" s="120"/>
      <c r="P1277" s="120"/>
      <c r="Q1277" s="120"/>
      <c r="R1277" s="120"/>
      <c r="S1277" s="120"/>
      <c r="T1277" s="221"/>
      <c r="U1277" s="89"/>
      <c r="V1277" s="61"/>
      <c r="W1277" s="92" t="s">
        <v>65</v>
      </c>
      <c r="X1277" s="93" t="s">
        <v>30</v>
      </c>
      <c r="Y1277" s="93" t="s">
        <v>1011</v>
      </c>
      <c r="Z1277" s="134">
        <f>VLOOKUP(W1277,Sheet2!$B:$D,3,FALSE)</f>
        <v>1.76</v>
      </c>
      <c r="AA1277" s="93">
        <f>AA1276/9</f>
        <v>0.74074074074074081</v>
      </c>
      <c r="AB1277" s="93">
        <f>AD1277/AC1274</f>
        <v>2.3759999999999999</v>
      </c>
      <c r="AC1277" s="93">
        <f>AC1274/AA1277</f>
        <v>0.69524999999999948</v>
      </c>
      <c r="AD1277" s="94">
        <f t="shared" si="1003"/>
        <v>1.2236399999999992</v>
      </c>
      <c r="AE1277" s="190"/>
      <c r="AF1277" s="191"/>
      <c r="AG1277" s="191"/>
      <c r="AH1277" s="191"/>
      <c r="AI1277" s="186"/>
      <c r="AK1277" s="171"/>
    </row>
    <row r="1278" spans="1:37" s="102" customFormat="1" ht="19.899999999999999" customHeight="1" x14ac:dyDescent="0.25">
      <c r="A1278" s="45"/>
      <c r="B1278" s="59"/>
      <c r="C1278" s="137"/>
      <c r="D1278" s="59"/>
      <c r="E1278" s="116"/>
      <c r="F1278" s="120"/>
      <c r="G1278" s="120"/>
      <c r="H1278" s="120"/>
      <c r="I1278" s="60"/>
      <c r="J1278" s="116"/>
      <c r="K1278" s="213"/>
      <c r="L1278" s="120"/>
      <c r="M1278" s="120"/>
      <c r="N1278" s="167"/>
      <c r="O1278" s="120"/>
      <c r="P1278" s="120"/>
      <c r="Q1278" s="120"/>
      <c r="R1278" s="120"/>
      <c r="S1278" s="120"/>
      <c r="T1278" s="221"/>
      <c r="U1278" s="89"/>
      <c r="V1278" s="61"/>
      <c r="W1278" s="92" t="s">
        <v>161</v>
      </c>
      <c r="X1278" s="93" t="s">
        <v>29</v>
      </c>
      <c r="Y1278" s="93" t="s">
        <v>93</v>
      </c>
      <c r="Z1278" s="134">
        <f>VLOOKUP(W1278,Sheet2!$B:$D,3,FALSE)</f>
        <v>48</v>
      </c>
      <c r="AA1278" s="93">
        <f>(16*0.85*1.5)/(2.5*3*0.5*4)</f>
        <v>1.3599999999999999</v>
      </c>
      <c r="AB1278" s="93">
        <f>AD1278/AC1274</f>
        <v>35.294117647058833</v>
      </c>
      <c r="AC1278" s="93">
        <f>AC1274/AA1278</f>
        <v>0.37867647058823511</v>
      </c>
      <c r="AD1278" s="94">
        <f>AC1278*Z1278</f>
        <v>18.176470588235286</v>
      </c>
      <c r="AE1278" s="190"/>
      <c r="AF1278" s="191"/>
      <c r="AG1278" s="191"/>
      <c r="AH1278" s="191"/>
      <c r="AI1278" s="186"/>
      <c r="AK1278" s="171"/>
    </row>
    <row r="1279" spans="1:37" s="102" customFormat="1" ht="19.899999999999999" customHeight="1" x14ac:dyDescent="0.25">
      <c r="A1279" s="45"/>
      <c r="B1279" s="59"/>
      <c r="C1279" s="137"/>
      <c r="D1279" s="59"/>
      <c r="E1279" s="116"/>
      <c r="F1279" s="120"/>
      <c r="G1279" s="120"/>
      <c r="H1279" s="120"/>
      <c r="I1279" s="60"/>
      <c r="J1279" s="116"/>
      <c r="K1279" s="213"/>
      <c r="L1279" s="120"/>
      <c r="M1279" s="120"/>
      <c r="N1279" s="167"/>
      <c r="O1279" s="120"/>
      <c r="P1279" s="120"/>
      <c r="Q1279" s="120"/>
      <c r="R1279" s="120"/>
      <c r="S1279" s="120"/>
      <c r="T1279" s="221"/>
      <c r="U1279" s="89"/>
      <c r="V1279" s="61"/>
      <c r="W1279" s="92" t="s">
        <v>65</v>
      </c>
      <c r="X1279" s="93" t="s">
        <v>30</v>
      </c>
      <c r="Y1279" s="93" t="s">
        <v>1011</v>
      </c>
      <c r="Z1279" s="134">
        <f>VLOOKUP(W1279,Sheet2!$B:$D,3,FALSE)</f>
        <v>1.76</v>
      </c>
      <c r="AA1279" s="93">
        <f>AA1278/10</f>
        <v>0.13599999999999998</v>
      </c>
      <c r="AB1279" s="93">
        <f>AD1279/AC1274</f>
        <v>12.941176470588237</v>
      </c>
      <c r="AC1279" s="93">
        <f>AC1274/AA1279</f>
        <v>3.786764705882351</v>
      </c>
      <c r="AD1279" s="94">
        <f>AC1279*Z1279</f>
        <v>6.6647058823529379</v>
      </c>
      <c r="AE1279" s="190"/>
      <c r="AF1279" s="191"/>
      <c r="AG1279" s="191"/>
      <c r="AH1279" s="191"/>
      <c r="AI1279" s="186"/>
      <c r="AK1279" s="171"/>
    </row>
    <row r="1280" spans="1:37" s="102" customFormat="1" ht="19.899999999999999" customHeight="1" x14ac:dyDescent="0.25">
      <c r="A1280" s="45"/>
      <c r="B1280" s="59"/>
      <c r="C1280" s="137"/>
      <c r="D1280" s="59"/>
      <c r="E1280" s="116"/>
      <c r="F1280" s="120"/>
      <c r="G1280" s="120"/>
      <c r="H1280" s="120"/>
      <c r="I1280" s="60"/>
      <c r="J1280" s="116"/>
      <c r="K1280" s="213"/>
      <c r="L1280" s="120"/>
      <c r="M1280" s="120"/>
      <c r="N1280" s="167"/>
      <c r="O1280" s="120"/>
      <c r="P1280" s="120"/>
      <c r="Q1280" s="120"/>
      <c r="R1280" s="120"/>
      <c r="S1280" s="120"/>
      <c r="T1280" s="221"/>
      <c r="U1280" s="89"/>
      <c r="V1280" s="61"/>
      <c r="W1280" s="92" t="s">
        <v>173</v>
      </c>
      <c r="X1280" s="93" t="s">
        <v>29</v>
      </c>
      <c r="Y1280" s="93" t="s">
        <v>93</v>
      </c>
      <c r="Z1280" s="134">
        <f>VLOOKUP(W1280,Sheet2!$B:$D,3,FALSE)</f>
        <v>36</v>
      </c>
      <c r="AA1280" s="93">
        <f>50/(2.5*3*0.5*4)</f>
        <v>3.3333333333333335</v>
      </c>
      <c r="AB1280" s="93">
        <f>AD1280/AC1274</f>
        <v>10.799999999999999</v>
      </c>
      <c r="AC1280" s="93">
        <f>AC1274/AA1280</f>
        <v>0.15449999999999989</v>
      </c>
      <c r="AD1280" s="94">
        <f>AC1280*Z1280</f>
        <v>5.5619999999999958</v>
      </c>
      <c r="AE1280" s="190"/>
      <c r="AF1280" s="191"/>
      <c r="AG1280" s="191"/>
      <c r="AH1280" s="191"/>
      <c r="AI1280" s="186"/>
      <c r="AK1280" s="171"/>
    </row>
    <row r="1281" spans="1:41" s="102" customFormat="1" ht="19.899999999999999" customHeight="1" x14ac:dyDescent="0.25">
      <c r="A1281" s="45"/>
      <c r="B1281" s="59"/>
      <c r="C1281" s="137"/>
      <c r="D1281" s="59"/>
      <c r="E1281" s="116"/>
      <c r="F1281" s="120"/>
      <c r="G1281" s="120"/>
      <c r="H1281" s="120"/>
      <c r="I1281" s="60"/>
      <c r="J1281" s="116"/>
      <c r="K1281" s="213"/>
      <c r="L1281" s="120"/>
      <c r="M1281" s="120"/>
      <c r="N1281" s="167"/>
      <c r="O1281" s="120"/>
      <c r="P1281" s="120"/>
      <c r="Q1281" s="120"/>
      <c r="R1281" s="120"/>
      <c r="S1281" s="120"/>
      <c r="T1281" s="221"/>
      <c r="U1281" s="89"/>
      <c r="V1281" s="61"/>
      <c r="W1281" s="92" t="s">
        <v>65</v>
      </c>
      <c r="X1281" s="93" t="s">
        <v>30</v>
      </c>
      <c r="Y1281" s="93" t="s">
        <v>1011</v>
      </c>
      <c r="Z1281" s="134">
        <f>VLOOKUP(W1281,Sheet2!$B:$D,3,FALSE)</f>
        <v>1.76</v>
      </c>
      <c r="AA1281" s="93">
        <f>AA1280/9</f>
        <v>0.37037037037037041</v>
      </c>
      <c r="AB1281" s="93">
        <f>AD1281/AC1274</f>
        <v>4.7519999999999998</v>
      </c>
      <c r="AC1281" s="93">
        <f>AC1274/AA1281</f>
        <v>1.390499999999999</v>
      </c>
      <c r="AD1281" s="94">
        <f>AC1281*Z1281</f>
        <v>2.4472799999999983</v>
      </c>
      <c r="AE1281" s="190"/>
      <c r="AF1281" s="191"/>
      <c r="AG1281" s="191"/>
      <c r="AH1281" s="191"/>
      <c r="AI1281" s="186"/>
      <c r="AK1281" s="171"/>
    </row>
    <row r="1282" spans="1:41" s="102" customFormat="1" ht="19.899999999999999" customHeight="1" x14ac:dyDescent="0.25">
      <c r="A1282" s="45"/>
      <c r="B1282" s="59"/>
      <c r="C1282" s="137"/>
      <c r="D1282" s="59"/>
      <c r="E1282" s="116"/>
      <c r="F1282" s="120"/>
      <c r="G1282" s="120"/>
      <c r="H1282" s="120"/>
      <c r="I1282" s="60"/>
      <c r="J1282" s="116"/>
      <c r="K1282" s="213"/>
      <c r="L1282" s="120"/>
      <c r="M1282" s="120"/>
      <c r="N1282" s="167"/>
      <c r="O1282" s="120"/>
      <c r="P1282" s="120"/>
      <c r="Q1282" s="120"/>
      <c r="R1282" s="120"/>
      <c r="S1282" s="120"/>
      <c r="T1282" s="221"/>
      <c r="U1282" s="89"/>
      <c r="V1282" s="61"/>
      <c r="W1282" s="92" t="s">
        <v>1030</v>
      </c>
      <c r="X1282" s="93" t="s">
        <v>29</v>
      </c>
      <c r="Y1282" s="93" t="s">
        <v>93</v>
      </c>
      <c r="Z1282" s="134">
        <f>VLOOKUP(W1282,Sheet2!$B:$D,3,FALSE)</f>
        <v>23</v>
      </c>
      <c r="AA1282" s="93">
        <v>0.75</v>
      </c>
      <c r="AB1282" s="93">
        <f>AD1282/AC1274</f>
        <v>30.666666666666664</v>
      </c>
      <c r="AC1282" s="93">
        <f>AC1274/AA1282</f>
        <v>0.6866666666666662</v>
      </c>
      <c r="AD1282" s="94">
        <f t="shared" ref="AD1282:AD1283" si="1005">AC1282*Z1282</f>
        <v>15.793333333333322</v>
      </c>
      <c r="AE1282" s="190"/>
      <c r="AF1282" s="191"/>
      <c r="AG1282" s="191"/>
      <c r="AH1282" s="191"/>
      <c r="AI1282" s="186"/>
      <c r="AK1282" s="171"/>
    </row>
    <row r="1283" spans="1:41" s="102" customFormat="1" ht="19.899999999999999" customHeight="1" x14ac:dyDescent="0.25">
      <c r="A1283" s="45"/>
      <c r="B1283" s="59"/>
      <c r="C1283" s="137"/>
      <c r="D1283" s="59"/>
      <c r="E1283" s="116"/>
      <c r="F1283" s="120"/>
      <c r="G1283" s="120"/>
      <c r="H1283" s="120"/>
      <c r="I1283" s="60"/>
      <c r="J1283" s="116"/>
      <c r="K1283" s="213"/>
      <c r="L1283" s="120"/>
      <c r="M1283" s="120"/>
      <c r="N1283" s="167"/>
      <c r="O1283" s="120"/>
      <c r="P1283" s="120"/>
      <c r="Q1283" s="120"/>
      <c r="R1283" s="120"/>
      <c r="S1283" s="120"/>
      <c r="T1283" s="221"/>
      <c r="U1283" s="89"/>
      <c r="V1283" s="61"/>
      <c r="W1283" s="92" t="s">
        <v>65</v>
      </c>
      <c r="X1283" s="93" t="s">
        <v>30</v>
      </c>
      <c r="Y1283" s="93" t="s">
        <v>1011</v>
      </c>
      <c r="Z1283" s="134">
        <f>VLOOKUP(W1283,Sheet2!$B:$D,3,FALSE)</f>
        <v>1.76</v>
      </c>
      <c r="AA1283" s="93">
        <f>AA1282/3</f>
        <v>0.25</v>
      </c>
      <c r="AB1283" s="93">
        <f>AD1283/AC1274</f>
        <v>7.04</v>
      </c>
      <c r="AC1283" s="93">
        <f>AC1274/AA1283</f>
        <v>2.0599999999999987</v>
      </c>
      <c r="AD1283" s="94">
        <f t="shared" si="1005"/>
        <v>3.6255999999999977</v>
      </c>
      <c r="AE1283" s="190"/>
      <c r="AF1283" s="191"/>
      <c r="AG1283" s="191"/>
      <c r="AH1283" s="191"/>
      <c r="AI1283" s="186"/>
      <c r="AK1283" s="171"/>
    </row>
    <row r="1284" spans="1:41" ht="20.100000000000001" customHeight="1" x14ac:dyDescent="0.25">
      <c r="A1284" s="277" t="s">
        <v>216</v>
      </c>
      <c r="B1284" s="278"/>
      <c r="C1284" s="64" t="s">
        <v>351</v>
      </c>
      <c r="D1284" s="46" t="s">
        <v>215</v>
      </c>
      <c r="E1284" s="114"/>
      <c r="F1284" s="44">
        <v>0</v>
      </c>
      <c r="G1284" s="44">
        <f t="shared" si="607"/>
        <v>0</v>
      </c>
      <c r="H1284" s="44">
        <f t="shared" si="608"/>
        <v>0</v>
      </c>
      <c r="I1284" s="43">
        <f t="shared" si="609"/>
        <v>0</v>
      </c>
      <c r="J1284" s="112">
        <f t="shared" si="610"/>
        <v>0</v>
      </c>
      <c r="K1284" s="211">
        <f t="shared" si="611"/>
        <v>0</v>
      </c>
      <c r="L1284" s="44"/>
      <c r="M1284" s="44">
        <f t="shared" si="612"/>
        <v>0</v>
      </c>
      <c r="N1284" s="173">
        <f t="shared" si="613"/>
        <v>0</v>
      </c>
      <c r="O1284" s="44">
        <f t="shared" si="614"/>
        <v>0</v>
      </c>
      <c r="P1284" s="44">
        <f t="shared" si="615"/>
        <v>0</v>
      </c>
      <c r="Q1284" s="44">
        <f t="shared" si="616"/>
        <v>0</v>
      </c>
      <c r="R1284" s="44">
        <f t="shared" si="617"/>
        <v>0</v>
      </c>
      <c r="S1284" s="123"/>
      <c r="T1284" s="219">
        <f t="shared" si="618"/>
        <v>0</v>
      </c>
      <c r="U1284" s="87"/>
      <c r="V1284" s="47"/>
      <c r="W1284" s="48"/>
      <c r="X1284" s="48"/>
      <c r="Y1284" s="48"/>
      <c r="Z1284" s="135"/>
      <c r="AA1284" s="49"/>
      <c r="AB1284" s="50">
        <f t="shared" si="619"/>
        <v>0</v>
      </c>
      <c r="AC1284" s="42">
        <f t="shared" si="620"/>
        <v>9.9999999999999998E-20</v>
      </c>
      <c r="AD1284" s="90"/>
      <c r="AE1284" s="188"/>
      <c r="AF1284" s="189"/>
      <c r="AG1284" s="189"/>
      <c r="AH1284" s="189"/>
      <c r="AI1284" s="161"/>
    </row>
    <row r="1285" spans="1:41" ht="20.100000000000001" customHeight="1" x14ac:dyDescent="0.25">
      <c r="A1285" s="277" t="s">
        <v>216</v>
      </c>
      <c r="B1285" s="278"/>
      <c r="C1285" s="64" t="s">
        <v>352</v>
      </c>
      <c r="D1285" s="46" t="s">
        <v>215</v>
      </c>
      <c r="E1285" s="114"/>
      <c r="F1285" s="44">
        <v>0</v>
      </c>
      <c r="G1285" s="44">
        <f t="shared" si="607"/>
        <v>0</v>
      </c>
      <c r="H1285" s="44">
        <f t="shared" si="608"/>
        <v>0</v>
      </c>
      <c r="I1285" s="43">
        <f t="shared" si="609"/>
        <v>0</v>
      </c>
      <c r="J1285" s="112">
        <f t="shared" si="610"/>
        <v>0</v>
      </c>
      <c r="K1285" s="211">
        <f t="shared" si="611"/>
        <v>0</v>
      </c>
      <c r="L1285" s="44"/>
      <c r="M1285" s="44">
        <f t="shared" si="612"/>
        <v>0</v>
      </c>
      <c r="N1285" s="173">
        <f t="shared" si="613"/>
        <v>0</v>
      </c>
      <c r="O1285" s="44">
        <f t="shared" si="614"/>
        <v>0</v>
      </c>
      <c r="P1285" s="44">
        <f t="shared" si="615"/>
        <v>0</v>
      </c>
      <c r="Q1285" s="44">
        <f t="shared" si="616"/>
        <v>0</v>
      </c>
      <c r="R1285" s="44">
        <f t="shared" si="617"/>
        <v>0</v>
      </c>
      <c r="S1285" s="123"/>
      <c r="T1285" s="219">
        <f t="shared" si="618"/>
        <v>0</v>
      </c>
      <c r="U1285" s="87"/>
      <c r="V1285" s="47"/>
      <c r="W1285" s="48"/>
      <c r="X1285" s="48"/>
      <c r="Y1285" s="48"/>
      <c r="Z1285" s="135"/>
      <c r="AA1285" s="49"/>
      <c r="AB1285" s="50">
        <f t="shared" si="619"/>
        <v>0</v>
      </c>
      <c r="AC1285" s="42">
        <f t="shared" si="620"/>
        <v>9.9999999999999998E-20</v>
      </c>
      <c r="AD1285" s="90"/>
      <c r="AE1285" s="188"/>
      <c r="AF1285" s="189"/>
      <c r="AG1285" s="189"/>
      <c r="AH1285" s="189"/>
      <c r="AI1285" s="161"/>
    </row>
    <row r="1286" spans="1:41" s="306" customFormat="1" ht="20.100000000000001" customHeight="1" x14ac:dyDescent="0.25">
      <c r="A1286" s="287" t="s">
        <v>216</v>
      </c>
      <c r="B1286" s="288"/>
      <c r="C1286" s="310" t="s">
        <v>322</v>
      </c>
      <c r="D1286" s="289"/>
      <c r="E1286" s="290"/>
      <c r="F1286" s="291"/>
      <c r="G1286" s="291">
        <f t="shared" si="607"/>
        <v>0</v>
      </c>
      <c r="H1286" s="291">
        <f t="shared" si="608"/>
        <v>0</v>
      </c>
      <c r="I1286" s="292">
        <f t="shared" si="609"/>
        <v>0</v>
      </c>
      <c r="J1286" s="290">
        <f t="shared" si="610"/>
        <v>0</v>
      </c>
      <c r="K1286" s="293">
        <f t="shared" si="611"/>
        <v>0</v>
      </c>
      <c r="L1286" s="291"/>
      <c r="M1286" s="291">
        <f t="shared" si="612"/>
        <v>0</v>
      </c>
      <c r="N1286" s="294">
        <f t="shared" si="613"/>
        <v>0</v>
      </c>
      <c r="O1286" s="291">
        <f t="shared" si="614"/>
        <v>0</v>
      </c>
      <c r="P1286" s="291">
        <f t="shared" si="615"/>
        <v>0</v>
      </c>
      <c r="Q1286" s="291">
        <f t="shared" si="616"/>
        <v>0</v>
      </c>
      <c r="R1286" s="291">
        <f t="shared" si="617"/>
        <v>0</v>
      </c>
      <c r="S1286" s="291"/>
      <c r="T1286" s="295">
        <f t="shared" si="618"/>
        <v>0</v>
      </c>
      <c r="U1286" s="296"/>
      <c r="V1286" s="297"/>
      <c r="W1286" s="298"/>
      <c r="X1286" s="299"/>
      <c r="Y1286" s="300"/>
      <c r="Z1286" s="301"/>
      <c r="AA1286" s="300"/>
      <c r="AB1286" s="300">
        <f t="shared" si="619"/>
        <v>0</v>
      </c>
      <c r="AC1286" s="300">
        <f t="shared" si="620"/>
        <v>9.9999999999999998E-20</v>
      </c>
      <c r="AD1286" s="302"/>
      <c r="AE1286" s="303"/>
      <c r="AF1286" s="304"/>
      <c r="AG1286" s="304"/>
      <c r="AH1286" s="304"/>
      <c r="AI1286" s="305"/>
      <c r="AK1286" s="307"/>
    </row>
    <row r="1287" spans="1:41" s="306" customFormat="1" ht="90" x14ac:dyDescent="0.25">
      <c r="A1287" s="287" t="s">
        <v>216</v>
      </c>
      <c r="B1287" s="288"/>
      <c r="C1287" s="286" t="s">
        <v>353</v>
      </c>
      <c r="D1287" s="289"/>
      <c r="E1287" s="290"/>
      <c r="F1287" s="291"/>
      <c r="G1287" s="291">
        <f t="shared" si="607"/>
        <v>0</v>
      </c>
      <c r="H1287" s="291">
        <f t="shared" si="608"/>
        <v>0</v>
      </c>
      <c r="I1287" s="292">
        <f t="shared" si="609"/>
        <v>0</v>
      </c>
      <c r="J1287" s="290">
        <f t="shared" si="610"/>
        <v>0</v>
      </c>
      <c r="K1287" s="293">
        <f t="shared" si="611"/>
        <v>0</v>
      </c>
      <c r="L1287" s="291"/>
      <c r="M1287" s="291">
        <f t="shared" si="612"/>
        <v>0</v>
      </c>
      <c r="N1287" s="294">
        <f t="shared" si="613"/>
        <v>0</v>
      </c>
      <c r="O1287" s="291">
        <f t="shared" si="614"/>
        <v>0</v>
      </c>
      <c r="P1287" s="291">
        <f t="shared" si="615"/>
        <v>0</v>
      </c>
      <c r="Q1287" s="291">
        <f t="shared" si="616"/>
        <v>0</v>
      </c>
      <c r="R1287" s="291">
        <f t="shared" si="617"/>
        <v>0</v>
      </c>
      <c r="S1287" s="291"/>
      <c r="T1287" s="295">
        <f t="shared" si="618"/>
        <v>0</v>
      </c>
      <c r="U1287" s="296"/>
      <c r="V1287" s="297"/>
      <c r="W1287" s="298"/>
      <c r="X1287" s="299"/>
      <c r="Y1287" s="300"/>
      <c r="Z1287" s="301"/>
      <c r="AA1287" s="300"/>
      <c r="AB1287" s="300">
        <f t="shared" si="619"/>
        <v>0</v>
      </c>
      <c r="AC1287" s="300">
        <f t="shared" si="620"/>
        <v>9.9999999999999998E-20</v>
      </c>
      <c r="AD1287" s="302"/>
      <c r="AE1287" s="303"/>
      <c r="AF1287" s="304"/>
      <c r="AG1287" s="304"/>
      <c r="AH1287" s="304"/>
      <c r="AI1287" s="305"/>
      <c r="AK1287" s="307"/>
    </row>
    <row r="1288" spans="1:41" ht="25.5" x14ac:dyDescent="0.25">
      <c r="A1288" s="277" t="s">
        <v>216</v>
      </c>
      <c r="B1288" s="278"/>
      <c r="C1288" s="64" t="s">
        <v>354</v>
      </c>
      <c r="D1288" s="46" t="s">
        <v>215</v>
      </c>
      <c r="E1288" s="114"/>
      <c r="F1288" s="44">
        <v>0</v>
      </c>
      <c r="G1288" s="44">
        <f t="shared" si="607"/>
        <v>0</v>
      </c>
      <c r="H1288" s="44">
        <f t="shared" si="608"/>
        <v>0</v>
      </c>
      <c r="I1288" s="43">
        <f t="shared" si="609"/>
        <v>0</v>
      </c>
      <c r="J1288" s="112">
        <f t="shared" si="610"/>
        <v>0</v>
      </c>
      <c r="K1288" s="211">
        <f t="shared" si="611"/>
        <v>0</v>
      </c>
      <c r="L1288" s="44"/>
      <c r="M1288" s="44">
        <f t="shared" si="612"/>
        <v>0</v>
      </c>
      <c r="N1288" s="173">
        <f t="shared" si="613"/>
        <v>0</v>
      </c>
      <c r="O1288" s="44">
        <f t="shared" si="614"/>
        <v>0</v>
      </c>
      <c r="P1288" s="44">
        <f t="shared" si="615"/>
        <v>0</v>
      </c>
      <c r="Q1288" s="44">
        <f t="shared" si="616"/>
        <v>0</v>
      </c>
      <c r="R1288" s="44">
        <f t="shared" si="617"/>
        <v>0</v>
      </c>
      <c r="S1288" s="123"/>
      <c r="T1288" s="219">
        <f t="shared" si="618"/>
        <v>0</v>
      </c>
      <c r="U1288" s="87"/>
      <c r="V1288" s="47"/>
      <c r="W1288" s="48"/>
      <c r="X1288" s="48"/>
      <c r="Y1288" s="48"/>
      <c r="Z1288" s="135"/>
      <c r="AA1288" s="49"/>
      <c r="AB1288" s="50">
        <f t="shared" si="619"/>
        <v>0</v>
      </c>
      <c r="AC1288" s="42">
        <f t="shared" si="620"/>
        <v>9.9999999999999998E-20</v>
      </c>
      <c r="AD1288" s="90"/>
      <c r="AE1288" s="188"/>
      <c r="AF1288" s="189"/>
      <c r="AG1288" s="189"/>
      <c r="AH1288" s="189"/>
      <c r="AI1288" s="161"/>
    </row>
    <row r="1289" spans="1:41" ht="25.5" x14ac:dyDescent="0.25">
      <c r="A1289" s="277" t="s">
        <v>216</v>
      </c>
      <c r="B1289" s="278"/>
      <c r="C1289" s="64" t="s">
        <v>355</v>
      </c>
      <c r="D1289" s="46" t="s">
        <v>215</v>
      </c>
      <c r="E1289" s="114">
        <v>10.997499999999999</v>
      </c>
      <c r="F1289" s="44">
        <v>27505</v>
      </c>
      <c r="G1289" s="44">
        <f t="shared" si="607"/>
        <v>302486.23749999999</v>
      </c>
      <c r="H1289" s="44">
        <f t="shared" si="608"/>
        <v>12286.179576470586</v>
      </c>
      <c r="I1289" s="43">
        <f t="shared" si="609"/>
        <v>135117.25989223525</v>
      </c>
      <c r="J1289" s="112">
        <f t="shared" si="610"/>
        <v>10.997499999999999</v>
      </c>
      <c r="K1289" s="211">
        <f t="shared" si="611"/>
        <v>10.997499999999999</v>
      </c>
      <c r="L1289" s="44"/>
      <c r="M1289" s="44">
        <f t="shared" si="612"/>
        <v>10.997499999999999</v>
      </c>
      <c r="N1289" s="173">
        <f t="shared" si="613"/>
        <v>1</v>
      </c>
      <c r="O1289" s="44">
        <f t="shared" si="614"/>
        <v>27505</v>
      </c>
      <c r="P1289" s="44">
        <f t="shared" si="615"/>
        <v>302486.23749999999</v>
      </c>
      <c r="Q1289" s="44">
        <f t="shared" si="616"/>
        <v>12286.179576470586</v>
      </c>
      <c r="R1289" s="44">
        <f t="shared" si="617"/>
        <v>135117.25989223525</v>
      </c>
      <c r="S1289" s="123"/>
      <c r="T1289" s="219">
        <f t="shared" si="618"/>
        <v>135117.25989223525</v>
      </c>
      <c r="U1289" s="87"/>
      <c r="V1289" s="47"/>
      <c r="W1289" s="48"/>
      <c r="X1289" s="48"/>
      <c r="Y1289" s="48"/>
      <c r="Z1289" s="135"/>
      <c r="AA1289" s="49"/>
      <c r="AB1289" s="50">
        <f t="shared" si="619"/>
        <v>12286.179576470586</v>
      </c>
      <c r="AC1289" s="42">
        <f t="shared" si="620"/>
        <v>10.997499999999999</v>
      </c>
      <c r="AD1289" s="90">
        <f>AD1290+AD1295+AD1307+AD1310</f>
        <v>135117.25989223525</v>
      </c>
      <c r="AE1289" s="188">
        <f t="shared" ref="AE1289:AH1289" si="1006">AE1290+AE1295+AE1307+AE1310</f>
        <v>0</v>
      </c>
      <c r="AF1289" s="189">
        <f t="shared" si="1006"/>
        <v>0</v>
      </c>
      <c r="AG1289" s="189">
        <f t="shared" si="1006"/>
        <v>0</v>
      </c>
      <c r="AH1289" s="189">
        <f t="shared" si="1006"/>
        <v>0</v>
      </c>
      <c r="AI1289" s="161">
        <f t="shared" ref="AI1289" si="1007">SUM(AE1289:AH1289)</f>
        <v>0</v>
      </c>
      <c r="AK1289" s="169">
        <v>5</v>
      </c>
      <c r="AO1289" s="19" t="s">
        <v>63</v>
      </c>
    </row>
    <row r="1290" spans="1:41" s="103" customFormat="1" ht="19.899999999999999" customHeight="1" x14ac:dyDescent="0.25">
      <c r="A1290" s="51"/>
      <c r="B1290" s="52"/>
      <c r="C1290" s="165"/>
      <c r="D1290" s="52"/>
      <c r="E1290" s="115"/>
      <c r="F1290" s="58"/>
      <c r="G1290" s="58"/>
      <c r="H1290" s="58"/>
      <c r="I1290" s="55"/>
      <c r="J1290" s="113">
        <f>J1289</f>
        <v>10.997499999999999</v>
      </c>
      <c r="K1290" s="212">
        <f>K1289</f>
        <v>10.997499999999999</v>
      </c>
      <c r="L1290" s="58"/>
      <c r="M1290" s="58">
        <f>K1290-L1290</f>
        <v>10.997499999999999</v>
      </c>
      <c r="N1290" s="166"/>
      <c r="O1290" s="58"/>
      <c r="P1290" s="58"/>
      <c r="Q1290" s="58"/>
      <c r="R1290" s="58"/>
      <c r="S1290" s="58"/>
      <c r="T1290" s="220"/>
      <c r="U1290" s="88"/>
      <c r="V1290" s="56"/>
      <c r="W1290" s="57" t="s">
        <v>1351</v>
      </c>
      <c r="X1290" s="53"/>
      <c r="Y1290" s="91" t="s">
        <v>35</v>
      </c>
      <c r="Z1290" s="136">
        <f>AD1290/AC1290</f>
        <v>90.4969411764706</v>
      </c>
      <c r="AA1290" s="58"/>
      <c r="AB1290" s="53">
        <f>AD1290/AC1290</f>
        <v>90.4969411764706</v>
      </c>
      <c r="AC1290" s="53">
        <f>M1290+$AE$10</f>
        <v>10.997499999999999</v>
      </c>
      <c r="AD1290" s="54">
        <f>SUM(AD1291:AD1294)</f>
        <v>995.24011058823532</v>
      </c>
      <c r="AE1290" s="184">
        <f>SUMIFS($AD$37:$AD$12971,$V$37:$V$12971,$V1290,$X$37:$X$12971,AE$13)</f>
        <v>0</v>
      </c>
      <c r="AF1290" s="185">
        <f>SUMIFS($AD$37:$AD$12971,$V$37:$V$12971,$V1290,$X$37:$X$12971,AF$13)</f>
        <v>0</v>
      </c>
      <c r="AG1290" s="185">
        <f>SUMIFS($AD$37:$AD$12971,$V$37:$V$12971,$V1290,$X$37:$X$12971,AG$13)</f>
        <v>0</v>
      </c>
      <c r="AH1290" s="187">
        <f>SUMIFS($AD$37:$AD$12971,$V$37:$V$12971,$V1290,$X$37:$X$12971,AH$13)</f>
        <v>0</v>
      </c>
      <c r="AI1290" s="161">
        <f t="shared" ref="AI1290" si="1008">SUM(AE1290:AH1290)</f>
        <v>0</v>
      </c>
      <c r="AK1290" s="172"/>
    </row>
    <row r="1291" spans="1:41" s="102" customFormat="1" ht="19.899999999999999" customHeight="1" x14ac:dyDescent="0.25">
      <c r="A1291" s="45"/>
      <c r="B1291" s="59"/>
      <c r="C1291" s="137"/>
      <c r="D1291" s="59"/>
      <c r="E1291" s="116"/>
      <c r="F1291" s="120"/>
      <c r="G1291" s="120"/>
      <c r="H1291" s="120"/>
      <c r="I1291" s="60"/>
      <c r="J1291" s="116"/>
      <c r="K1291" s="213"/>
      <c r="L1291" s="120"/>
      <c r="M1291" s="120"/>
      <c r="N1291" s="167"/>
      <c r="O1291" s="120"/>
      <c r="P1291" s="120"/>
      <c r="Q1291" s="120"/>
      <c r="R1291" s="120"/>
      <c r="S1291" s="120"/>
      <c r="T1291" s="221"/>
      <c r="U1291" s="89"/>
      <c r="V1291" s="61"/>
      <c r="W1291" s="92" t="s">
        <v>129</v>
      </c>
      <c r="X1291" s="93" t="s">
        <v>29</v>
      </c>
      <c r="Y1291" s="93" t="s">
        <v>93</v>
      </c>
      <c r="Z1291" s="134">
        <f>VLOOKUP(W1291,Sheet2!$B:$D,3,FALSE)</f>
        <v>56</v>
      </c>
      <c r="AA1291" s="93">
        <f>100/(3*3*2.5)</f>
        <v>4.4444444444444446</v>
      </c>
      <c r="AB1291" s="93">
        <f t="shared" ref="AB1291" si="1009">AD1291/AC1290</f>
        <v>12.6</v>
      </c>
      <c r="AC1291" s="93">
        <f>AC1290/AA1291</f>
        <v>2.4744374999999996</v>
      </c>
      <c r="AD1291" s="94">
        <f t="shared" ref="AD1291:AD1292" si="1010">AC1291*Z1291</f>
        <v>138.56849999999997</v>
      </c>
      <c r="AE1291" s="190"/>
      <c r="AF1291" s="191"/>
      <c r="AG1291" s="191"/>
      <c r="AH1291" s="191"/>
      <c r="AI1291" s="186"/>
      <c r="AK1291" s="171"/>
    </row>
    <row r="1292" spans="1:41" s="102" customFormat="1" ht="19.899999999999999" customHeight="1" x14ac:dyDescent="0.25">
      <c r="A1292" s="45"/>
      <c r="B1292" s="59"/>
      <c r="C1292" s="137"/>
      <c r="D1292" s="59"/>
      <c r="E1292" s="116"/>
      <c r="F1292" s="120"/>
      <c r="G1292" s="120"/>
      <c r="H1292" s="120"/>
      <c r="I1292" s="60"/>
      <c r="J1292" s="116"/>
      <c r="K1292" s="213"/>
      <c r="L1292" s="120"/>
      <c r="M1292" s="120"/>
      <c r="N1292" s="167"/>
      <c r="O1292" s="120"/>
      <c r="P1292" s="120"/>
      <c r="Q1292" s="120"/>
      <c r="R1292" s="120"/>
      <c r="S1292" s="120"/>
      <c r="T1292" s="221"/>
      <c r="U1292" s="89"/>
      <c r="V1292" s="61"/>
      <c r="W1292" s="92" t="s">
        <v>65</v>
      </c>
      <c r="X1292" s="93" t="s">
        <v>30</v>
      </c>
      <c r="Y1292" s="93" t="s">
        <v>1011</v>
      </c>
      <c r="Z1292" s="134">
        <f>VLOOKUP(W1292,Sheet2!$B:$D,3,FALSE)</f>
        <v>1.76</v>
      </c>
      <c r="AA1292" s="93">
        <f>AA1291/14</f>
        <v>0.3174603174603175</v>
      </c>
      <c r="AB1292" s="93">
        <f>AD1292/AC1290</f>
        <v>5.5439999999999996</v>
      </c>
      <c r="AC1292" s="93">
        <f>AC1290/AA1292</f>
        <v>34.642124999999993</v>
      </c>
      <c r="AD1292" s="94">
        <f t="shared" si="1010"/>
        <v>60.970139999999986</v>
      </c>
      <c r="AE1292" s="190"/>
      <c r="AF1292" s="191"/>
      <c r="AG1292" s="191"/>
      <c r="AH1292" s="191"/>
      <c r="AI1292" s="186"/>
      <c r="AK1292" s="171"/>
    </row>
    <row r="1293" spans="1:41" s="102" customFormat="1" ht="19.899999999999999" customHeight="1" x14ac:dyDescent="0.25">
      <c r="A1293" s="45"/>
      <c r="B1293" s="59"/>
      <c r="C1293" s="137"/>
      <c r="D1293" s="59"/>
      <c r="E1293" s="116"/>
      <c r="F1293" s="120"/>
      <c r="G1293" s="120"/>
      <c r="H1293" s="120"/>
      <c r="I1293" s="60"/>
      <c r="J1293" s="116"/>
      <c r="K1293" s="213"/>
      <c r="L1293" s="120"/>
      <c r="M1293" s="120"/>
      <c r="N1293" s="167"/>
      <c r="O1293" s="120"/>
      <c r="P1293" s="120"/>
      <c r="Q1293" s="120"/>
      <c r="R1293" s="120"/>
      <c r="S1293" s="120"/>
      <c r="T1293" s="221"/>
      <c r="U1293" s="89"/>
      <c r="V1293" s="61"/>
      <c r="W1293" s="92" t="s">
        <v>161</v>
      </c>
      <c r="X1293" s="93" t="s">
        <v>29</v>
      </c>
      <c r="Y1293" s="93" t="s">
        <v>93</v>
      </c>
      <c r="Z1293" s="134">
        <f>VLOOKUP(W1293,Sheet2!$B:$D,3,FALSE)</f>
        <v>48</v>
      </c>
      <c r="AA1293" s="93">
        <f>(16*0.85*1.5)/(3*3*2.5)</f>
        <v>0.90666666666666662</v>
      </c>
      <c r="AB1293" s="93">
        <f>AD1293/AC1290</f>
        <v>52.941176470588246</v>
      </c>
      <c r="AC1293" s="93">
        <f>AC1290/AA1293</f>
        <v>12.129595588235293</v>
      </c>
      <c r="AD1293" s="94">
        <f>AC1293*Z1293</f>
        <v>582.22058823529414</v>
      </c>
      <c r="AE1293" s="190"/>
      <c r="AF1293" s="191"/>
      <c r="AG1293" s="191"/>
      <c r="AH1293" s="191"/>
      <c r="AI1293" s="186"/>
      <c r="AK1293" s="171"/>
    </row>
    <row r="1294" spans="1:41" s="102" customFormat="1" ht="19.899999999999999" customHeight="1" x14ac:dyDescent="0.25">
      <c r="A1294" s="45"/>
      <c r="B1294" s="59"/>
      <c r="C1294" s="137"/>
      <c r="D1294" s="59"/>
      <c r="E1294" s="116"/>
      <c r="F1294" s="120"/>
      <c r="G1294" s="120"/>
      <c r="H1294" s="120"/>
      <c r="I1294" s="60"/>
      <c r="J1294" s="116"/>
      <c r="K1294" s="213"/>
      <c r="L1294" s="120"/>
      <c r="M1294" s="120"/>
      <c r="N1294" s="167"/>
      <c r="O1294" s="120"/>
      <c r="P1294" s="120"/>
      <c r="Q1294" s="120"/>
      <c r="R1294" s="120"/>
      <c r="S1294" s="120"/>
      <c r="T1294" s="221"/>
      <c r="U1294" s="89"/>
      <c r="V1294" s="61"/>
      <c r="W1294" s="92" t="s">
        <v>65</v>
      </c>
      <c r="X1294" s="93" t="s">
        <v>30</v>
      </c>
      <c r="Y1294" s="93" t="s">
        <v>1011</v>
      </c>
      <c r="Z1294" s="134">
        <f>VLOOKUP(W1294,Sheet2!$B:$D,3,FALSE)</f>
        <v>1.76</v>
      </c>
      <c r="AA1294" s="93">
        <f>AA1293/10</f>
        <v>9.0666666666666659E-2</v>
      </c>
      <c r="AB1294" s="93">
        <f>AD1294/AC1290</f>
        <v>19.411764705882355</v>
      </c>
      <c r="AC1294" s="93">
        <f>AC1290/AA1294</f>
        <v>121.29595588235294</v>
      </c>
      <c r="AD1294" s="94">
        <f>AC1294*Z1294</f>
        <v>213.48088235294117</v>
      </c>
      <c r="AE1294" s="190"/>
      <c r="AF1294" s="191"/>
      <c r="AG1294" s="191"/>
      <c r="AH1294" s="191"/>
      <c r="AI1294" s="186"/>
      <c r="AK1294" s="171"/>
    </row>
    <row r="1295" spans="1:41" s="103" customFormat="1" ht="19.899999999999999" customHeight="1" x14ac:dyDescent="0.25">
      <c r="A1295" s="51"/>
      <c r="B1295" s="52"/>
      <c r="C1295" s="165"/>
      <c r="D1295" s="52"/>
      <c r="E1295" s="115"/>
      <c r="F1295" s="58"/>
      <c r="G1295" s="58"/>
      <c r="H1295" s="58"/>
      <c r="I1295" s="55"/>
      <c r="J1295" s="113">
        <f>J1289</f>
        <v>10.997499999999999</v>
      </c>
      <c r="K1295" s="212">
        <f>K1289</f>
        <v>10.997499999999999</v>
      </c>
      <c r="L1295" s="58"/>
      <c r="M1295" s="58">
        <f>K1295-L1295</f>
        <v>10.997499999999999</v>
      </c>
      <c r="N1295" s="166"/>
      <c r="O1295" s="58"/>
      <c r="P1295" s="58"/>
      <c r="Q1295" s="58"/>
      <c r="R1295" s="58"/>
      <c r="S1295" s="58"/>
      <c r="T1295" s="220"/>
      <c r="U1295" s="88"/>
      <c r="V1295" s="56"/>
      <c r="W1295" s="57" t="s">
        <v>1352</v>
      </c>
      <c r="X1295" s="53"/>
      <c r="Y1295" s="91" t="s">
        <v>35</v>
      </c>
      <c r="Z1295" s="136">
        <f>AD1295/AC1295</f>
        <v>9186.5999999999985</v>
      </c>
      <c r="AA1295" s="58"/>
      <c r="AB1295" s="53">
        <f>AD1295/AC1295</f>
        <v>9186.5999999999985</v>
      </c>
      <c r="AC1295" s="53">
        <f>M1295+$AE$10</f>
        <v>10.997499999999999</v>
      </c>
      <c r="AD1295" s="54">
        <f>SUM(AD1296:AD1306)</f>
        <v>101029.63349999997</v>
      </c>
      <c r="AE1295" s="184">
        <f>SUMIFS($AD$37:$AD$12971,$V$37:$V$12971,$V1295,$X$37:$X$12971,AE$13)</f>
        <v>0</v>
      </c>
      <c r="AF1295" s="185">
        <f>SUMIFS($AD$37:$AD$12971,$V$37:$V$12971,$V1295,$X$37:$X$12971,AF$13)</f>
        <v>0</v>
      </c>
      <c r="AG1295" s="185">
        <f>SUMIFS($AD$37:$AD$12971,$V$37:$V$12971,$V1295,$X$37:$X$12971,AG$13)</f>
        <v>0</v>
      </c>
      <c r="AH1295" s="187">
        <f>SUMIFS($AD$37:$AD$12971,$V$37:$V$12971,$V1295,$X$37:$X$12971,AH$13)</f>
        <v>0</v>
      </c>
      <c r="AI1295" s="161">
        <f t="shared" ref="AI1295" si="1011">SUM(AE1295:AH1295)</f>
        <v>0</v>
      </c>
      <c r="AK1295" s="172"/>
    </row>
    <row r="1296" spans="1:41" s="102" customFormat="1" ht="19.899999999999999" customHeight="1" x14ac:dyDescent="0.25">
      <c r="A1296" s="45"/>
      <c r="B1296" s="59"/>
      <c r="C1296" s="137"/>
      <c r="D1296" s="59"/>
      <c r="E1296" s="116"/>
      <c r="F1296" s="120"/>
      <c r="G1296" s="120"/>
      <c r="H1296" s="120"/>
      <c r="I1296" s="60"/>
      <c r="J1296" s="116"/>
      <c r="K1296" s="213"/>
      <c r="L1296" s="120"/>
      <c r="M1296" s="120"/>
      <c r="N1296" s="167"/>
      <c r="O1296" s="120"/>
      <c r="P1296" s="120"/>
      <c r="Q1296" s="120"/>
      <c r="R1296" s="120"/>
      <c r="S1296" s="120"/>
      <c r="T1296" s="221"/>
      <c r="U1296" s="89"/>
      <c r="V1296" s="61"/>
      <c r="W1296" s="92" t="s">
        <v>1032</v>
      </c>
      <c r="X1296" s="93" t="s">
        <v>30</v>
      </c>
      <c r="Y1296" s="93" t="s">
        <v>66</v>
      </c>
      <c r="Z1296" s="134">
        <f>VLOOKUP(W1296,Sheet2!$B:$D,3,FALSE)</f>
        <v>250</v>
      </c>
      <c r="AA1296" s="93">
        <f>1/(3*3*0.1)</f>
        <v>1.1111111111111112</v>
      </c>
      <c r="AB1296" s="93">
        <f t="shared" ref="AB1296" si="1012">AD1296/AC1295</f>
        <v>224.99999999999997</v>
      </c>
      <c r="AC1296" s="93">
        <f>AC1295/AA1296</f>
        <v>9.8977499999999985</v>
      </c>
      <c r="AD1296" s="94">
        <f t="shared" ref="AD1296:AD1298" si="1013">AC1296*Z1296</f>
        <v>2474.4374999999995</v>
      </c>
      <c r="AE1296" s="190"/>
      <c r="AF1296" s="191"/>
      <c r="AG1296" s="191"/>
      <c r="AH1296" s="191"/>
      <c r="AI1296" s="186"/>
      <c r="AK1296" s="171"/>
    </row>
    <row r="1297" spans="1:37" s="102" customFormat="1" ht="19.899999999999999" customHeight="1" x14ac:dyDescent="0.25">
      <c r="A1297" s="45"/>
      <c r="B1297" s="59"/>
      <c r="C1297" s="137"/>
      <c r="D1297" s="59"/>
      <c r="E1297" s="116"/>
      <c r="F1297" s="120"/>
      <c r="G1297" s="120"/>
      <c r="H1297" s="120"/>
      <c r="I1297" s="60"/>
      <c r="J1297" s="116"/>
      <c r="K1297" s="213"/>
      <c r="L1297" s="120"/>
      <c r="M1297" s="120"/>
      <c r="N1297" s="167"/>
      <c r="O1297" s="120"/>
      <c r="P1297" s="120"/>
      <c r="Q1297" s="120"/>
      <c r="R1297" s="120"/>
      <c r="S1297" s="120"/>
      <c r="T1297" s="221"/>
      <c r="U1297" s="89"/>
      <c r="V1297" s="61"/>
      <c r="W1297" s="92" t="s">
        <v>1353</v>
      </c>
      <c r="X1297" s="93" t="s">
        <v>30</v>
      </c>
      <c r="Y1297" s="93" t="s">
        <v>66</v>
      </c>
      <c r="Z1297" s="134">
        <f>VLOOKUP(W1297,Sheet2!$B:$D,3,FALSE)</f>
        <v>350</v>
      </c>
      <c r="AA1297" s="93">
        <f>1/(2*2*0.25*5)</f>
        <v>0.2</v>
      </c>
      <c r="AB1297" s="93">
        <f>AD1297/AC1295</f>
        <v>1749.9999999999998</v>
      </c>
      <c r="AC1297" s="93">
        <f>AC1295/AA1297</f>
        <v>54.98749999999999</v>
      </c>
      <c r="AD1297" s="94">
        <f t="shared" si="1013"/>
        <v>19245.624999999996</v>
      </c>
      <c r="AE1297" s="190"/>
      <c r="AF1297" s="191"/>
      <c r="AG1297" s="191"/>
      <c r="AH1297" s="191"/>
      <c r="AI1297" s="186"/>
      <c r="AK1297" s="171"/>
    </row>
    <row r="1298" spans="1:37" s="102" customFormat="1" ht="19.899999999999999" customHeight="1" x14ac:dyDescent="0.25">
      <c r="A1298" s="45"/>
      <c r="B1298" s="59"/>
      <c r="C1298" s="137"/>
      <c r="D1298" s="59"/>
      <c r="E1298" s="116"/>
      <c r="F1298" s="120"/>
      <c r="G1298" s="120"/>
      <c r="H1298" s="120"/>
      <c r="I1298" s="60"/>
      <c r="J1298" s="116"/>
      <c r="K1298" s="213"/>
      <c r="L1298" s="120"/>
      <c r="M1298" s="120"/>
      <c r="N1298" s="167"/>
      <c r="O1298" s="120"/>
      <c r="P1298" s="120"/>
      <c r="Q1298" s="120"/>
      <c r="R1298" s="120"/>
      <c r="S1298" s="120"/>
      <c r="T1298" s="221"/>
      <c r="U1298" s="89"/>
      <c r="V1298" s="61"/>
      <c r="W1298" s="92" t="s">
        <v>99</v>
      </c>
      <c r="X1298" s="93" t="s">
        <v>30</v>
      </c>
      <c r="Y1298" s="93" t="s">
        <v>67</v>
      </c>
      <c r="Z1298" s="134">
        <f>VLOOKUP(W1298,Sheet2!$B:$D,3,FALSE)</f>
        <v>2500</v>
      </c>
      <c r="AA1298" s="93">
        <f>1/(2*2*0.25*5*0.08)</f>
        <v>2.5</v>
      </c>
      <c r="AB1298" s="93">
        <f>AD1298/AC1295</f>
        <v>1000</v>
      </c>
      <c r="AC1298" s="93">
        <f>AC1295/AA1298</f>
        <v>4.3989999999999991</v>
      </c>
      <c r="AD1298" s="94">
        <f t="shared" si="1013"/>
        <v>10997.499999999998</v>
      </c>
      <c r="AE1298" s="190"/>
      <c r="AF1298" s="191"/>
      <c r="AG1298" s="191"/>
      <c r="AH1298" s="191"/>
      <c r="AI1298" s="186"/>
      <c r="AK1298" s="171"/>
    </row>
    <row r="1299" spans="1:37" s="102" customFormat="1" ht="19.899999999999999" customHeight="1" x14ac:dyDescent="0.25">
      <c r="A1299" s="45"/>
      <c r="B1299" s="59"/>
      <c r="C1299" s="137"/>
      <c r="D1299" s="59"/>
      <c r="E1299" s="116"/>
      <c r="F1299" s="120"/>
      <c r="G1299" s="120"/>
      <c r="H1299" s="120"/>
      <c r="I1299" s="60"/>
      <c r="J1299" s="116"/>
      <c r="K1299" s="213"/>
      <c r="L1299" s="120"/>
      <c r="M1299" s="120"/>
      <c r="N1299" s="167"/>
      <c r="O1299" s="120"/>
      <c r="P1299" s="120"/>
      <c r="Q1299" s="120"/>
      <c r="R1299" s="120"/>
      <c r="S1299" s="120"/>
      <c r="T1299" s="221"/>
      <c r="U1299" s="89"/>
      <c r="V1299" s="61"/>
      <c r="W1299" s="92" t="s">
        <v>1354</v>
      </c>
      <c r="X1299" s="93" t="s">
        <v>32</v>
      </c>
      <c r="Y1299" s="93" t="s">
        <v>66</v>
      </c>
      <c r="Z1299" s="134">
        <f>VLOOKUP(W1299,Sheet2!$B:$D,3,FALSE)</f>
        <v>150</v>
      </c>
      <c r="AA1299" s="93">
        <f>AA1296</f>
        <v>1.1111111111111112</v>
      </c>
      <c r="AB1299" s="93">
        <f>AD1299/AC1295</f>
        <v>135</v>
      </c>
      <c r="AC1299" s="93">
        <f>AC1295/AA1299</f>
        <v>9.8977499999999985</v>
      </c>
      <c r="AD1299" s="94">
        <f>AC1299*Z1299</f>
        <v>1484.6624999999997</v>
      </c>
      <c r="AE1299" s="190"/>
      <c r="AF1299" s="191"/>
      <c r="AG1299" s="191"/>
      <c r="AH1299" s="191"/>
      <c r="AI1299" s="186"/>
      <c r="AK1299" s="171"/>
    </row>
    <row r="1300" spans="1:37" s="102" customFormat="1" ht="19.899999999999999" customHeight="1" x14ac:dyDescent="0.25">
      <c r="A1300" s="45"/>
      <c r="B1300" s="59"/>
      <c r="C1300" s="137"/>
      <c r="D1300" s="59"/>
      <c r="E1300" s="116"/>
      <c r="F1300" s="120"/>
      <c r="G1300" s="120"/>
      <c r="H1300" s="120"/>
      <c r="I1300" s="60"/>
      <c r="J1300" s="116"/>
      <c r="K1300" s="213"/>
      <c r="L1300" s="120"/>
      <c r="M1300" s="120"/>
      <c r="N1300" s="167"/>
      <c r="O1300" s="120"/>
      <c r="P1300" s="120"/>
      <c r="Q1300" s="120"/>
      <c r="R1300" s="120"/>
      <c r="S1300" s="120"/>
      <c r="T1300" s="221"/>
      <c r="U1300" s="89"/>
      <c r="V1300" s="61"/>
      <c r="W1300" s="92" t="s">
        <v>1355</v>
      </c>
      <c r="X1300" s="93" t="s">
        <v>32</v>
      </c>
      <c r="Y1300" s="93" t="s">
        <v>66</v>
      </c>
      <c r="Z1300" s="134">
        <f>VLOOKUP(W1300,Sheet2!$B:$D,3,FALSE)</f>
        <v>450</v>
      </c>
      <c r="AA1300" s="93">
        <f>AA1297</f>
        <v>0.2</v>
      </c>
      <c r="AB1300" s="93">
        <f>AD1300/AC1295</f>
        <v>2250</v>
      </c>
      <c r="AC1300" s="93">
        <f>AC1295/AA1300</f>
        <v>54.98749999999999</v>
      </c>
      <c r="AD1300" s="94">
        <f>AC1300*Z1300</f>
        <v>24744.374999999996</v>
      </c>
      <c r="AE1300" s="190"/>
      <c r="AF1300" s="191"/>
      <c r="AG1300" s="191"/>
      <c r="AH1300" s="191"/>
      <c r="AI1300" s="186"/>
      <c r="AK1300" s="171"/>
    </row>
    <row r="1301" spans="1:37" s="102" customFormat="1" ht="19.899999999999999" customHeight="1" x14ac:dyDescent="0.25">
      <c r="A1301" s="45"/>
      <c r="B1301" s="59"/>
      <c r="C1301" s="137"/>
      <c r="D1301" s="59"/>
      <c r="E1301" s="116"/>
      <c r="F1301" s="120"/>
      <c r="G1301" s="120"/>
      <c r="H1301" s="120"/>
      <c r="I1301" s="60"/>
      <c r="J1301" s="116"/>
      <c r="K1301" s="213"/>
      <c r="L1301" s="120"/>
      <c r="M1301" s="120"/>
      <c r="N1301" s="167"/>
      <c r="O1301" s="120"/>
      <c r="P1301" s="120"/>
      <c r="Q1301" s="120"/>
      <c r="R1301" s="120"/>
      <c r="S1301" s="120"/>
      <c r="T1301" s="221"/>
      <c r="U1301" s="89"/>
      <c r="V1301" s="61"/>
      <c r="W1301" s="92" t="s">
        <v>1356</v>
      </c>
      <c r="X1301" s="93" t="s">
        <v>30</v>
      </c>
      <c r="Y1301" s="93" t="s">
        <v>35</v>
      </c>
      <c r="Z1301" s="134">
        <f>VLOOKUP(W1301,Sheet2!$B:$D,3,FALSE)</f>
        <v>3500</v>
      </c>
      <c r="AA1301" s="93">
        <v>1</v>
      </c>
      <c r="AB1301" s="93">
        <f>AD1301/AC1295</f>
        <v>3499.9999999999995</v>
      </c>
      <c r="AC1301" s="93">
        <f>AC1295/AA1301</f>
        <v>10.997499999999999</v>
      </c>
      <c r="AD1301" s="94">
        <f t="shared" ref="AD1301:AD1302" si="1014">AC1301*Z1301</f>
        <v>38491.249999999993</v>
      </c>
      <c r="AE1301" s="190"/>
      <c r="AF1301" s="191"/>
      <c r="AG1301" s="191"/>
      <c r="AH1301" s="191"/>
      <c r="AI1301" s="186"/>
      <c r="AK1301" s="171"/>
    </row>
    <row r="1302" spans="1:37" s="102" customFormat="1" ht="19.899999999999999" customHeight="1" x14ac:dyDescent="0.25">
      <c r="A1302" s="45"/>
      <c r="B1302" s="59"/>
      <c r="C1302" s="137"/>
      <c r="D1302" s="59"/>
      <c r="E1302" s="116"/>
      <c r="F1302" s="120"/>
      <c r="G1302" s="120"/>
      <c r="H1302" s="120"/>
      <c r="I1302" s="60"/>
      <c r="J1302" s="116"/>
      <c r="K1302" s="213"/>
      <c r="L1302" s="120"/>
      <c r="M1302" s="120"/>
      <c r="N1302" s="167"/>
      <c r="O1302" s="120"/>
      <c r="P1302" s="120"/>
      <c r="Q1302" s="120"/>
      <c r="R1302" s="120"/>
      <c r="S1302" s="120"/>
      <c r="T1302" s="221"/>
      <c r="U1302" s="89"/>
      <c r="V1302" s="61"/>
      <c r="W1302" s="92" t="s">
        <v>174</v>
      </c>
      <c r="X1302" s="93" t="s">
        <v>29</v>
      </c>
      <c r="Y1302" s="93" t="s">
        <v>93</v>
      </c>
      <c r="Z1302" s="134">
        <f>VLOOKUP(W1302,Sheet2!$B:$D,3,FALSE)</f>
        <v>80</v>
      </c>
      <c r="AA1302" s="93">
        <v>4</v>
      </c>
      <c r="AB1302" s="93">
        <f>AD1302/AC1295</f>
        <v>20</v>
      </c>
      <c r="AC1302" s="93">
        <f>AC1295/AA1302</f>
        <v>2.7493749999999997</v>
      </c>
      <c r="AD1302" s="94">
        <f t="shared" si="1014"/>
        <v>219.95</v>
      </c>
      <c r="AE1302" s="190"/>
      <c r="AF1302" s="191"/>
      <c r="AG1302" s="191"/>
      <c r="AH1302" s="191"/>
      <c r="AI1302" s="186"/>
      <c r="AK1302" s="171"/>
    </row>
    <row r="1303" spans="1:37" s="102" customFormat="1" ht="19.899999999999999" customHeight="1" x14ac:dyDescent="0.25">
      <c r="A1303" s="45"/>
      <c r="B1303" s="59"/>
      <c r="C1303" s="137"/>
      <c r="D1303" s="59"/>
      <c r="E1303" s="116"/>
      <c r="F1303" s="120"/>
      <c r="G1303" s="120"/>
      <c r="H1303" s="120"/>
      <c r="I1303" s="60"/>
      <c r="J1303" s="116"/>
      <c r="K1303" s="213"/>
      <c r="L1303" s="120"/>
      <c r="M1303" s="120"/>
      <c r="N1303" s="167"/>
      <c r="O1303" s="120"/>
      <c r="P1303" s="120"/>
      <c r="Q1303" s="120"/>
      <c r="R1303" s="120"/>
      <c r="S1303" s="120"/>
      <c r="T1303" s="221"/>
      <c r="U1303" s="89"/>
      <c r="V1303" s="61"/>
      <c r="W1303" s="92" t="s">
        <v>65</v>
      </c>
      <c r="X1303" s="93" t="s">
        <v>30</v>
      </c>
      <c r="Y1303" s="93" t="s">
        <v>93</v>
      </c>
      <c r="Z1303" s="134">
        <f>VLOOKUP(W1303,Sheet2!$B:$D,3,FALSE)</f>
        <v>1.76</v>
      </c>
      <c r="AA1303" s="93">
        <f>AA1302/15</f>
        <v>0.26666666666666666</v>
      </c>
      <c r="AB1303" s="93">
        <f>AD1303/AC1295</f>
        <v>6.6</v>
      </c>
      <c r="AC1303" s="93">
        <f>AC1295/AA1303</f>
        <v>41.240624999999994</v>
      </c>
      <c r="AD1303" s="94">
        <f>AC1303*Z1303</f>
        <v>72.583499999999987</v>
      </c>
      <c r="AE1303" s="190"/>
      <c r="AF1303" s="191"/>
      <c r="AG1303" s="191"/>
      <c r="AH1303" s="191"/>
      <c r="AI1303" s="186"/>
      <c r="AK1303" s="171"/>
    </row>
    <row r="1304" spans="1:37" s="102" customFormat="1" ht="19.899999999999999" customHeight="1" x14ac:dyDescent="0.25">
      <c r="A1304" s="45"/>
      <c r="B1304" s="59"/>
      <c r="C1304" s="137"/>
      <c r="D1304" s="59"/>
      <c r="E1304" s="116"/>
      <c r="F1304" s="120"/>
      <c r="G1304" s="120"/>
      <c r="H1304" s="120"/>
      <c r="I1304" s="60"/>
      <c r="J1304" s="116"/>
      <c r="K1304" s="213"/>
      <c r="L1304" s="120"/>
      <c r="M1304" s="120"/>
      <c r="N1304" s="167"/>
      <c r="O1304" s="120"/>
      <c r="P1304" s="120"/>
      <c r="Q1304" s="120"/>
      <c r="R1304" s="120"/>
      <c r="S1304" s="120"/>
      <c r="T1304" s="221"/>
      <c r="U1304" s="89"/>
      <c r="V1304" s="61"/>
      <c r="W1304" s="92" t="s">
        <v>1357</v>
      </c>
      <c r="X1304" s="93" t="s">
        <v>30</v>
      </c>
      <c r="Y1304" s="93" t="s">
        <v>1349</v>
      </c>
      <c r="Z1304" s="134">
        <f>VLOOKUP(W1304,Sheet2!$B:$D,3,FALSE)</f>
        <v>150</v>
      </c>
      <c r="AA1304" s="93">
        <v>1</v>
      </c>
      <c r="AB1304" s="93">
        <f>AD1304/AC1295</f>
        <v>150</v>
      </c>
      <c r="AC1304" s="93">
        <f>AC1295/AA1304</f>
        <v>10.997499999999999</v>
      </c>
      <c r="AD1304" s="94">
        <f>AC1304*Z1304</f>
        <v>1649.6249999999998</v>
      </c>
      <c r="AE1304" s="190"/>
      <c r="AF1304" s="191"/>
      <c r="AG1304" s="191"/>
      <c r="AH1304" s="191"/>
      <c r="AI1304" s="186"/>
      <c r="AK1304" s="171"/>
    </row>
    <row r="1305" spans="1:37" s="102" customFormat="1" ht="19.899999999999999" customHeight="1" x14ac:dyDescent="0.25">
      <c r="A1305" s="45"/>
      <c r="B1305" s="59"/>
      <c r="C1305" s="137"/>
      <c r="D1305" s="59"/>
      <c r="E1305" s="116"/>
      <c r="F1305" s="120"/>
      <c r="G1305" s="120"/>
      <c r="H1305" s="120"/>
      <c r="I1305" s="60"/>
      <c r="J1305" s="116"/>
      <c r="K1305" s="213"/>
      <c r="L1305" s="120"/>
      <c r="M1305" s="120"/>
      <c r="N1305" s="167"/>
      <c r="O1305" s="120"/>
      <c r="P1305" s="120"/>
      <c r="Q1305" s="120"/>
      <c r="R1305" s="120"/>
      <c r="S1305" s="120"/>
      <c r="T1305" s="221"/>
      <c r="U1305" s="89"/>
      <c r="V1305" s="61"/>
      <c r="W1305" s="92" t="s">
        <v>107</v>
      </c>
      <c r="X1305" s="93" t="s">
        <v>31</v>
      </c>
      <c r="Y1305" s="93" t="s">
        <v>93</v>
      </c>
      <c r="Z1305" s="134">
        <f>VLOOKUP(W1305,Sheet2!$B:$D,3,FALSE)</f>
        <v>17</v>
      </c>
      <c r="AA1305" s="93">
        <f>1/5</f>
        <v>0.2</v>
      </c>
      <c r="AB1305" s="93">
        <f>AD1305/AC1295</f>
        <v>84.999999999999986</v>
      </c>
      <c r="AC1305" s="93">
        <f>AC1295/AA1305</f>
        <v>54.98749999999999</v>
      </c>
      <c r="AD1305" s="94">
        <f>AC1305*Z1305</f>
        <v>934.7874999999998</v>
      </c>
      <c r="AE1305" s="190"/>
      <c r="AF1305" s="191"/>
      <c r="AG1305" s="191"/>
      <c r="AH1305" s="191"/>
      <c r="AI1305" s="186"/>
      <c r="AK1305" s="171"/>
    </row>
    <row r="1306" spans="1:37" s="102" customFormat="1" ht="19.899999999999999" customHeight="1" x14ac:dyDescent="0.25">
      <c r="A1306" s="45"/>
      <c r="B1306" s="59"/>
      <c r="C1306" s="137"/>
      <c r="D1306" s="59"/>
      <c r="E1306" s="116"/>
      <c r="F1306" s="120"/>
      <c r="G1306" s="120"/>
      <c r="H1306" s="120"/>
      <c r="I1306" s="60"/>
      <c r="J1306" s="116"/>
      <c r="K1306" s="213"/>
      <c r="L1306" s="120"/>
      <c r="M1306" s="120"/>
      <c r="N1306" s="167"/>
      <c r="O1306" s="120"/>
      <c r="P1306" s="120"/>
      <c r="Q1306" s="120"/>
      <c r="R1306" s="120"/>
      <c r="S1306" s="120"/>
      <c r="T1306" s="221"/>
      <c r="U1306" s="89"/>
      <c r="V1306" s="61"/>
      <c r="W1306" s="92" t="s">
        <v>112</v>
      </c>
      <c r="X1306" s="93" t="s">
        <v>31</v>
      </c>
      <c r="Y1306" s="93" t="s">
        <v>93</v>
      </c>
      <c r="Z1306" s="134">
        <f>VLOOKUP(W1306,Sheet2!$B:$D,3,FALSE)</f>
        <v>13</v>
      </c>
      <c r="AA1306" s="93">
        <f>AA1305</f>
        <v>0.2</v>
      </c>
      <c r="AB1306" s="93">
        <f>AD1306/AC1295</f>
        <v>65</v>
      </c>
      <c r="AC1306" s="93">
        <f>AC1295/AA1306</f>
        <v>54.98749999999999</v>
      </c>
      <c r="AD1306" s="94">
        <f>AC1306*Z1306</f>
        <v>714.83749999999986</v>
      </c>
      <c r="AE1306" s="190"/>
      <c r="AF1306" s="191"/>
      <c r="AG1306" s="191"/>
      <c r="AH1306" s="191"/>
      <c r="AI1306" s="186"/>
      <c r="AK1306" s="171"/>
    </row>
    <row r="1307" spans="1:37" s="103" customFormat="1" ht="19.899999999999999" customHeight="1" x14ac:dyDescent="0.25">
      <c r="A1307" s="51"/>
      <c r="B1307" s="52"/>
      <c r="C1307" s="165"/>
      <c r="D1307" s="52"/>
      <c r="E1307" s="115"/>
      <c r="F1307" s="58"/>
      <c r="G1307" s="58"/>
      <c r="H1307" s="58"/>
      <c r="I1307" s="55"/>
      <c r="J1307" s="113">
        <f>J1289</f>
        <v>10.997499999999999</v>
      </c>
      <c r="K1307" s="212">
        <f>K1289</f>
        <v>10.997499999999999</v>
      </c>
      <c r="L1307" s="58"/>
      <c r="M1307" s="58">
        <f>K1307-L1307</f>
        <v>10.997499999999999</v>
      </c>
      <c r="N1307" s="166"/>
      <c r="O1307" s="58"/>
      <c r="P1307" s="58"/>
      <c r="Q1307" s="58"/>
      <c r="R1307" s="58"/>
      <c r="S1307" s="58"/>
      <c r="T1307" s="220"/>
      <c r="U1307" s="88"/>
      <c r="V1307" s="56"/>
      <c r="W1307" s="57" t="s">
        <v>1358</v>
      </c>
      <c r="X1307" s="53"/>
      <c r="Y1307" s="91" t="s">
        <v>35</v>
      </c>
      <c r="Z1307" s="136">
        <f>AD1307/AC1307</f>
        <v>2799.9999999999995</v>
      </c>
      <c r="AA1307" s="58"/>
      <c r="AB1307" s="53">
        <f>AD1307/AC1307</f>
        <v>2799.9999999999995</v>
      </c>
      <c r="AC1307" s="53">
        <f>M1307+$AE$10</f>
        <v>10.997499999999999</v>
      </c>
      <c r="AD1307" s="54">
        <f>SUM(AD1308:AD1309)</f>
        <v>30792.999999999993</v>
      </c>
      <c r="AE1307" s="184">
        <f>SUMIFS($AD$37:$AD$12971,$V$37:$V$12971,$V1307,$X$37:$X$12971,AE$13)</f>
        <v>0</v>
      </c>
      <c r="AF1307" s="185">
        <f>SUMIFS($AD$37:$AD$12971,$V$37:$V$12971,$V1307,$X$37:$X$12971,AF$13)</f>
        <v>0</v>
      </c>
      <c r="AG1307" s="185">
        <f>SUMIFS($AD$37:$AD$12971,$V$37:$V$12971,$V1307,$X$37:$X$12971,AG$13)</f>
        <v>0</v>
      </c>
      <c r="AH1307" s="187">
        <f>SUMIFS($AD$37:$AD$12971,$V$37:$V$12971,$V1307,$X$37:$X$12971,AH$13)</f>
        <v>0</v>
      </c>
      <c r="AI1307" s="161">
        <f t="shared" ref="AI1307" si="1015">SUM(AE1307:AH1307)</f>
        <v>0</v>
      </c>
      <c r="AK1307" s="172"/>
    </row>
    <row r="1308" spans="1:37" s="102" customFormat="1" ht="19.899999999999999" customHeight="1" x14ac:dyDescent="0.25">
      <c r="A1308" s="45"/>
      <c r="B1308" s="59"/>
      <c r="C1308" s="137"/>
      <c r="D1308" s="59"/>
      <c r="E1308" s="116"/>
      <c r="F1308" s="120"/>
      <c r="G1308" s="120"/>
      <c r="H1308" s="120"/>
      <c r="I1308" s="60"/>
      <c r="J1308" s="116"/>
      <c r="K1308" s="213"/>
      <c r="L1308" s="120"/>
      <c r="M1308" s="120"/>
      <c r="N1308" s="167"/>
      <c r="O1308" s="120"/>
      <c r="P1308" s="120"/>
      <c r="Q1308" s="120"/>
      <c r="R1308" s="120"/>
      <c r="S1308" s="120"/>
      <c r="T1308" s="221"/>
      <c r="U1308" s="89"/>
      <c r="V1308" s="61"/>
      <c r="W1308" s="92" t="s">
        <v>1359</v>
      </c>
      <c r="X1308" s="93" t="s">
        <v>32</v>
      </c>
      <c r="Y1308" s="93" t="s">
        <v>64</v>
      </c>
      <c r="Z1308" s="134">
        <f>VLOOKUP(W1308,Sheet2!$B:$D,3,FALSE)</f>
        <v>40</v>
      </c>
      <c r="AA1308" s="93">
        <f>1/40</f>
        <v>2.5000000000000001E-2</v>
      </c>
      <c r="AB1308" s="93">
        <f t="shared" ref="AB1308" si="1016">AD1308/AC1307</f>
        <v>1599.9999999999998</v>
      </c>
      <c r="AC1308" s="93">
        <f>AC1307/AA1308</f>
        <v>439.89999999999992</v>
      </c>
      <c r="AD1308" s="94">
        <f t="shared" ref="AD1308:AD1309" si="1017">AC1308*Z1308</f>
        <v>17595.999999999996</v>
      </c>
      <c r="AE1308" s="190"/>
      <c r="AF1308" s="191"/>
      <c r="AG1308" s="191"/>
      <c r="AH1308" s="191"/>
      <c r="AI1308" s="186"/>
      <c r="AK1308" s="171"/>
    </row>
    <row r="1309" spans="1:37" s="102" customFormat="1" ht="19.899999999999999" customHeight="1" x14ac:dyDescent="0.25">
      <c r="A1309" s="45"/>
      <c r="B1309" s="59"/>
      <c r="C1309" s="137"/>
      <c r="D1309" s="59"/>
      <c r="E1309" s="116"/>
      <c r="F1309" s="120"/>
      <c r="G1309" s="120"/>
      <c r="H1309" s="120"/>
      <c r="I1309" s="60"/>
      <c r="J1309" s="116"/>
      <c r="K1309" s="213"/>
      <c r="L1309" s="120"/>
      <c r="M1309" s="120"/>
      <c r="N1309" s="167"/>
      <c r="O1309" s="120"/>
      <c r="P1309" s="120"/>
      <c r="Q1309" s="120"/>
      <c r="R1309" s="120"/>
      <c r="S1309" s="120"/>
      <c r="T1309" s="221"/>
      <c r="U1309" s="89"/>
      <c r="V1309" s="61"/>
      <c r="W1309" s="92" t="s">
        <v>1360</v>
      </c>
      <c r="X1309" s="93" t="s">
        <v>32</v>
      </c>
      <c r="Y1309" s="93" t="s">
        <v>64</v>
      </c>
      <c r="Z1309" s="134">
        <f>VLOOKUP(W1309,Sheet2!$B:$D,3,FALSE)</f>
        <v>30</v>
      </c>
      <c r="AA1309" s="93">
        <f>AA1308</f>
        <v>2.5000000000000001E-2</v>
      </c>
      <c r="AB1309" s="93">
        <f>AD1309/AC1307</f>
        <v>1200</v>
      </c>
      <c r="AC1309" s="93">
        <f>AC1307/AA1309</f>
        <v>439.89999999999992</v>
      </c>
      <c r="AD1309" s="94">
        <f t="shared" si="1017"/>
        <v>13196.999999999998</v>
      </c>
      <c r="AE1309" s="190"/>
      <c r="AF1309" s="191"/>
      <c r="AG1309" s="191"/>
      <c r="AH1309" s="191"/>
      <c r="AI1309" s="186"/>
      <c r="AK1309" s="171"/>
    </row>
    <row r="1310" spans="1:37" s="103" customFormat="1" ht="19.899999999999999" customHeight="1" x14ac:dyDescent="0.25">
      <c r="A1310" s="51"/>
      <c r="B1310" s="52"/>
      <c r="C1310" s="165"/>
      <c r="D1310" s="52"/>
      <c r="E1310" s="115"/>
      <c r="F1310" s="58"/>
      <c r="G1310" s="58"/>
      <c r="H1310" s="58"/>
      <c r="I1310" s="55"/>
      <c r="J1310" s="113">
        <f>J1289</f>
        <v>10.997499999999999</v>
      </c>
      <c r="K1310" s="212">
        <f>K1289</f>
        <v>10.997499999999999</v>
      </c>
      <c r="L1310" s="58"/>
      <c r="M1310" s="58">
        <f>K1310-L1310</f>
        <v>10.997499999999999</v>
      </c>
      <c r="N1310" s="166"/>
      <c r="O1310" s="58"/>
      <c r="P1310" s="58"/>
      <c r="Q1310" s="58"/>
      <c r="R1310" s="58"/>
      <c r="S1310" s="58"/>
      <c r="T1310" s="220"/>
      <c r="U1310" s="88"/>
      <c r="V1310" s="56"/>
      <c r="W1310" s="57" t="s">
        <v>1272</v>
      </c>
      <c r="X1310" s="53"/>
      <c r="Y1310" s="91" t="s">
        <v>35</v>
      </c>
      <c r="Z1310" s="136">
        <f>AD1310/AC1310</f>
        <v>209.08263529411767</v>
      </c>
      <c r="AA1310" s="58"/>
      <c r="AB1310" s="53">
        <f>AD1310/AC1310</f>
        <v>209.08263529411767</v>
      </c>
      <c r="AC1310" s="53">
        <f>M1310+$AE$10</f>
        <v>10.997499999999999</v>
      </c>
      <c r="AD1310" s="54">
        <f>SUM(AD1311:AD1319)</f>
        <v>2299.3862816470587</v>
      </c>
      <c r="AE1310" s="184">
        <f>SUMIFS($AD$37:$AD$12971,$V$37:$V$12971,$V1310,$X$37:$X$12971,AE$13)</f>
        <v>0</v>
      </c>
      <c r="AF1310" s="185">
        <f>SUMIFS($AD$37:$AD$12971,$V$37:$V$12971,$V1310,$X$37:$X$12971,AF$13)</f>
        <v>0</v>
      </c>
      <c r="AG1310" s="185">
        <f>SUMIFS($AD$37:$AD$12971,$V$37:$V$12971,$V1310,$X$37:$X$12971,AG$13)</f>
        <v>0</v>
      </c>
      <c r="AH1310" s="187">
        <f>SUMIFS($AD$37:$AD$12971,$V$37:$V$12971,$V1310,$X$37:$X$12971,AH$13)</f>
        <v>0</v>
      </c>
      <c r="AI1310" s="161">
        <f t="shared" ref="AI1310" si="1018">SUM(AE1310:AH1310)</f>
        <v>0</v>
      </c>
      <c r="AK1310" s="172"/>
    </row>
    <row r="1311" spans="1:37" s="102" customFormat="1" ht="19.899999999999999" customHeight="1" x14ac:dyDescent="0.25">
      <c r="A1311" s="45"/>
      <c r="B1311" s="59"/>
      <c r="C1311" s="137"/>
      <c r="D1311" s="59"/>
      <c r="E1311" s="116"/>
      <c r="F1311" s="120"/>
      <c r="G1311" s="120"/>
      <c r="H1311" s="120"/>
      <c r="I1311" s="60"/>
      <c r="J1311" s="116"/>
      <c r="K1311" s="213"/>
      <c r="L1311" s="120"/>
      <c r="M1311" s="120"/>
      <c r="N1311" s="167"/>
      <c r="O1311" s="120"/>
      <c r="P1311" s="120"/>
      <c r="Q1311" s="120"/>
      <c r="R1311" s="120"/>
      <c r="S1311" s="120"/>
      <c r="T1311" s="221"/>
      <c r="U1311" s="89"/>
      <c r="V1311" s="61"/>
      <c r="W1311" s="92" t="s">
        <v>1273</v>
      </c>
      <c r="X1311" s="93" t="s">
        <v>30</v>
      </c>
      <c r="Y1311" s="93" t="s">
        <v>66</v>
      </c>
      <c r="Z1311" s="134">
        <f>VLOOKUP(W1311,Sheet2!$B:$D,3,FALSE)</f>
        <v>10</v>
      </c>
      <c r="AA1311" s="93">
        <f>1/(2.5*2.4*0.5*4)</f>
        <v>8.3333333333333329E-2</v>
      </c>
      <c r="AB1311" s="93">
        <f>AD1311/AC1310</f>
        <v>120.00000000000001</v>
      </c>
      <c r="AC1311" s="93">
        <f>AC1310/AA1311</f>
        <v>131.97</v>
      </c>
      <c r="AD1311" s="94">
        <f t="shared" ref="AD1311:AD1313" si="1019">AC1311*Z1311</f>
        <v>1319.7</v>
      </c>
      <c r="AE1311" s="190"/>
      <c r="AF1311" s="191"/>
      <c r="AG1311" s="191"/>
      <c r="AH1311" s="191"/>
      <c r="AI1311" s="186"/>
      <c r="AK1311" s="171"/>
    </row>
    <row r="1312" spans="1:37" s="102" customFormat="1" ht="19.899999999999999" customHeight="1" x14ac:dyDescent="0.25">
      <c r="A1312" s="45"/>
      <c r="B1312" s="59"/>
      <c r="C1312" s="137"/>
      <c r="D1312" s="59"/>
      <c r="E1312" s="116"/>
      <c r="F1312" s="120"/>
      <c r="G1312" s="120"/>
      <c r="H1312" s="120"/>
      <c r="I1312" s="60"/>
      <c r="J1312" s="116"/>
      <c r="K1312" s="213"/>
      <c r="L1312" s="120"/>
      <c r="M1312" s="120"/>
      <c r="N1312" s="167"/>
      <c r="O1312" s="120"/>
      <c r="P1312" s="120"/>
      <c r="Q1312" s="120"/>
      <c r="R1312" s="120"/>
      <c r="S1312" s="120"/>
      <c r="T1312" s="221"/>
      <c r="U1312" s="89"/>
      <c r="V1312" s="61"/>
      <c r="W1312" s="92" t="s">
        <v>134</v>
      </c>
      <c r="X1312" s="93" t="s">
        <v>29</v>
      </c>
      <c r="Y1312" s="93" t="s">
        <v>93</v>
      </c>
      <c r="Z1312" s="134">
        <f>VLOOKUP(W1312,Sheet2!$B:$D,3,FALSE)</f>
        <v>65.599999999999994</v>
      </c>
      <c r="AA1312" s="93">
        <f>100/(2.5*2.4*0.5*4)</f>
        <v>8.3333333333333339</v>
      </c>
      <c r="AB1312" s="93">
        <f t="shared" ref="AB1312" si="1020">AD1312/AC1310</f>
        <v>7.871999999999999</v>
      </c>
      <c r="AC1312" s="93">
        <f>AC1310/AA1312</f>
        <v>1.3196999999999997</v>
      </c>
      <c r="AD1312" s="94">
        <f t="shared" si="1019"/>
        <v>86.572319999999976</v>
      </c>
      <c r="AE1312" s="190"/>
      <c r="AF1312" s="191"/>
      <c r="AG1312" s="191"/>
      <c r="AH1312" s="191"/>
      <c r="AI1312" s="186"/>
      <c r="AK1312" s="171"/>
    </row>
    <row r="1313" spans="1:41" s="102" customFormat="1" ht="19.899999999999999" customHeight="1" x14ac:dyDescent="0.25">
      <c r="A1313" s="45"/>
      <c r="B1313" s="59"/>
      <c r="C1313" s="137"/>
      <c r="D1313" s="59"/>
      <c r="E1313" s="116"/>
      <c r="F1313" s="120"/>
      <c r="G1313" s="120"/>
      <c r="H1313" s="120"/>
      <c r="I1313" s="60"/>
      <c r="J1313" s="116"/>
      <c r="K1313" s="213"/>
      <c r="L1313" s="120"/>
      <c r="M1313" s="120"/>
      <c r="N1313" s="167"/>
      <c r="O1313" s="120"/>
      <c r="P1313" s="120"/>
      <c r="Q1313" s="120"/>
      <c r="R1313" s="120"/>
      <c r="S1313" s="120"/>
      <c r="T1313" s="221"/>
      <c r="U1313" s="89"/>
      <c r="V1313" s="61"/>
      <c r="W1313" s="92" t="s">
        <v>65</v>
      </c>
      <c r="X1313" s="93" t="s">
        <v>30</v>
      </c>
      <c r="Y1313" s="93" t="s">
        <v>1011</v>
      </c>
      <c r="Z1313" s="134">
        <f>VLOOKUP(W1313,Sheet2!$B:$D,3,FALSE)</f>
        <v>1.76</v>
      </c>
      <c r="AA1313" s="93">
        <f>AA1312/9</f>
        <v>0.92592592592592604</v>
      </c>
      <c r="AB1313" s="93">
        <f>AD1313/AC1310</f>
        <v>1.9007999999999996</v>
      </c>
      <c r="AC1313" s="93">
        <f>AC1310/AA1313</f>
        <v>11.877299999999996</v>
      </c>
      <c r="AD1313" s="94">
        <f t="shared" si="1019"/>
        <v>20.904047999999992</v>
      </c>
      <c r="AE1313" s="190"/>
      <c r="AF1313" s="191"/>
      <c r="AG1313" s="191"/>
      <c r="AH1313" s="191"/>
      <c r="AI1313" s="186"/>
      <c r="AK1313" s="171"/>
    </row>
    <row r="1314" spans="1:41" s="102" customFormat="1" ht="19.899999999999999" customHeight="1" x14ac:dyDescent="0.25">
      <c r="A1314" s="45"/>
      <c r="B1314" s="59"/>
      <c r="C1314" s="137"/>
      <c r="D1314" s="59"/>
      <c r="E1314" s="116"/>
      <c r="F1314" s="120"/>
      <c r="G1314" s="120"/>
      <c r="H1314" s="120"/>
      <c r="I1314" s="60"/>
      <c r="J1314" s="116"/>
      <c r="K1314" s="213"/>
      <c r="L1314" s="120"/>
      <c r="M1314" s="120"/>
      <c r="N1314" s="167"/>
      <c r="O1314" s="120"/>
      <c r="P1314" s="120"/>
      <c r="Q1314" s="120"/>
      <c r="R1314" s="120"/>
      <c r="S1314" s="120"/>
      <c r="T1314" s="221"/>
      <c r="U1314" s="89"/>
      <c r="V1314" s="61"/>
      <c r="W1314" s="92" t="s">
        <v>161</v>
      </c>
      <c r="X1314" s="93" t="s">
        <v>29</v>
      </c>
      <c r="Y1314" s="93" t="s">
        <v>93</v>
      </c>
      <c r="Z1314" s="134">
        <f>VLOOKUP(W1314,Sheet2!$B:$D,3,FALSE)</f>
        <v>48</v>
      </c>
      <c r="AA1314" s="93">
        <f>(16*0.85*1.5)/(2.5*2.4*0.5*4)</f>
        <v>1.7</v>
      </c>
      <c r="AB1314" s="93">
        <f>AD1314/AC1310</f>
        <v>28.235294117647062</v>
      </c>
      <c r="AC1314" s="93">
        <f>AC1310/AA1314</f>
        <v>6.4691176470588232</v>
      </c>
      <c r="AD1314" s="94">
        <f>AC1314*Z1314</f>
        <v>310.51764705882351</v>
      </c>
      <c r="AE1314" s="190"/>
      <c r="AF1314" s="191"/>
      <c r="AG1314" s="191"/>
      <c r="AH1314" s="191"/>
      <c r="AI1314" s="186"/>
      <c r="AK1314" s="171"/>
    </row>
    <row r="1315" spans="1:41" s="102" customFormat="1" ht="19.899999999999999" customHeight="1" x14ac:dyDescent="0.25">
      <c r="A1315" s="45"/>
      <c r="B1315" s="59"/>
      <c r="C1315" s="137"/>
      <c r="D1315" s="59"/>
      <c r="E1315" s="116"/>
      <c r="F1315" s="120"/>
      <c r="G1315" s="120"/>
      <c r="H1315" s="120"/>
      <c r="I1315" s="60"/>
      <c r="J1315" s="116"/>
      <c r="K1315" s="213"/>
      <c r="L1315" s="120"/>
      <c r="M1315" s="120"/>
      <c r="N1315" s="167"/>
      <c r="O1315" s="120"/>
      <c r="P1315" s="120"/>
      <c r="Q1315" s="120"/>
      <c r="R1315" s="120"/>
      <c r="S1315" s="120"/>
      <c r="T1315" s="221"/>
      <c r="U1315" s="89"/>
      <c r="V1315" s="61"/>
      <c r="W1315" s="92" t="s">
        <v>65</v>
      </c>
      <c r="X1315" s="93" t="s">
        <v>30</v>
      </c>
      <c r="Y1315" s="93" t="s">
        <v>1011</v>
      </c>
      <c r="Z1315" s="134">
        <f>VLOOKUP(W1315,Sheet2!$B:$D,3,FALSE)</f>
        <v>1.76</v>
      </c>
      <c r="AA1315" s="93">
        <f>AA1314/10</f>
        <v>0.16999999999999998</v>
      </c>
      <c r="AB1315" s="93">
        <f>AD1315/AC1310</f>
        <v>10.352941176470589</v>
      </c>
      <c r="AC1315" s="93">
        <f>AC1310/AA1315</f>
        <v>64.691176470588232</v>
      </c>
      <c r="AD1315" s="94">
        <f>AC1315*Z1315</f>
        <v>113.85647058823528</v>
      </c>
      <c r="AE1315" s="190"/>
      <c r="AF1315" s="191"/>
      <c r="AG1315" s="191"/>
      <c r="AH1315" s="191"/>
      <c r="AI1315" s="186"/>
      <c r="AK1315" s="171"/>
    </row>
    <row r="1316" spans="1:41" s="102" customFormat="1" ht="19.899999999999999" customHeight="1" x14ac:dyDescent="0.25">
      <c r="A1316" s="45"/>
      <c r="B1316" s="59"/>
      <c r="C1316" s="137"/>
      <c r="D1316" s="59"/>
      <c r="E1316" s="116"/>
      <c r="F1316" s="120"/>
      <c r="G1316" s="120"/>
      <c r="H1316" s="120"/>
      <c r="I1316" s="60"/>
      <c r="J1316" s="116"/>
      <c r="K1316" s="213"/>
      <c r="L1316" s="120"/>
      <c r="M1316" s="120"/>
      <c r="N1316" s="167"/>
      <c r="O1316" s="120"/>
      <c r="P1316" s="120"/>
      <c r="Q1316" s="120"/>
      <c r="R1316" s="120"/>
      <c r="S1316" s="120"/>
      <c r="T1316" s="221"/>
      <c r="U1316" s="89"/>
      <c r="V1316" s="61"/>
      <c r="W1316" s="92" t="s">
        <v>173</v>
      </c>
      <c r="X1316" s="93" t="s">
        <v>29</v>
      </c>
      <c r="Y1316" s="93" t="s">
        <v>93</v>
      </c>
      <c r="Z1316" s="134">
        <f>VLOOKUP(W1316,Sheet2!$B:$D,3,FALSE)</f>
        <v>36</v>
      </c>
      <c r="AA1316" s="93">
        <f>50/(2.5*2.4*0.5*4)</f>
        <v>4.166666666666667</v>
      </c>
      <c r="AB1316" s="93">
        <f>AD1316/AC1310</f>
        <v>8.6399999999999988</v>
      </c>
      <c r="AC1316" s="93">
        <f>AC1310/AA1316</f>
        <v>2.6393999999999993</v>
      </c>
      <c r="AD1316" s="94">
        <f>AC1316*Z1316</f>
        <v>95.018399999999971</v>
      </c>
      <c r="AE1316" s="190"/>
      <c r="AF1316" s="191"/>
      <c r="AG1316" s="191"/>
      <c r="AH1316" s="191"/>
      <c r="AI1316" s="186"/>
      <c r="AK1316" s="171"/>
    </row>
    <row r="1317" spans="1:41" s="102" customFormat="1" ht="19.899999999999999" customHeight="1" x14ac:dyDescent="0.25">
      <c r="A1317" s="45"/>
      <c r="B1317" s="59"/>
      <c r="C1317" s="137"/>
      <c r="D1317" s="59"/>
      <c r="E1317" s="116"/>
      <c r="F1317" s="120"/>
      <c r="G1317" s="120"/>
      <c r="H1317" s="120"/>
      <c r="I1317" s="60"/>
      <c r="J1317" s="116"/>
      <c r="K1317" s="213"/>
      <c r="L1317" s="120"/>
      <c r="M1317" s="120"/>
      <c r="N1317" s="167"/>
      <c r="O1317" s="120"/>
      <c r="P1317" s="120"/>
      <c r="Q1317" s="120"/>
      <c r="R1317" s="120"/>
      <c r="S1317" s="120"/>
      <c r="T1317" s="221"/>
      <c r="U1317" s="89"/>
      <c r="V1317" s="61"/>
      <c r="W1317" s="92" t="s">
        <v>65</v>
      </c>
      <c r="X1317" s="93" t="s">
        <v>30</v>
      </c>
      <c r="Y1317" s="93" t="s">
        <v>1011</v>
      </c>
      <c r="Z1317" s="134">
        <f>VLOOKUP(W1317,Sheet2!$B:$D,3,FALSE)</f>
        <v>1.76</v>
      </c>
      <c r="AA1317" s="93">
        <f>AA1316/9</f>
        <v>0.46296296296296302</v>
      </c>
      <c r="AB1317" s="93">
        <f>AD1317/AC1310</f>
        <v>3.8015999999999992</v>
      </c>
      <c r="AC1317" s="93">
        <f>AC1310/AA1317</f>
        <v>23.754599999999993</v>
      </c>
      <c r="AD1317" s="94">
        <f>AC1317*Z1317</f>
        <v>41.808095999999985</v>
      </c>
      <c r="AE1317" s="190"/>
      <c r="AF1317" s="191"/>
      <c r="AG1317" s="191"/>
      <c r="AH1317" s="191"/>
      <c r="AI1317" s="186"/>
      <c r="AK1317" s="171"/>
    </row>
    <row r="1318" spans="1:41" s="102" customFormat="1" ht="19.899999999999999" customHeight="1" x14ac:dyDescent="0.25">
      <c r="A1318" s="45"/>
      <c r="B1318" s="59"/>
      <c r="C1318" s="137"/>
      <c r="D1318" s="59"/>
      <c r="E1318" s="116"/>
      <c r="F1318" s="120"/>
      <c r="G1318" s="120"/>
      <c r="H1318" s="120"/>
      <c r="I1318" s="60"/>
      <c r="J1318" s="116"/>
      <c r="K1318" s="213"/>
      <c r="L1318" s="120"/>
      <c r="M1318" s="120"/>
      <c r="N1318" s="167"/>
      <c r="O1318" s="120"/>
      <c r="P1318" s="120"/>
      <c r="Q1318" s="120"/>
      <c r="R1318" s="120"/>
      <c r="S1318" s="120"/>
      <c r="T1318" s="221"/>
      <c r="U1318" s="89"/>
      <c r="V1318" s="61"/>
      <c r="W1318" s="92" t="s">
        <v>1030</v>
      </c>
      <c r="X1318" s="93" t="s">
        <v>29</v>
      </c>
      <c r="Y1318" s="93" t="s">
        <v>93</v>
      </c>
      <c r="Z1318" s="134">
        <f>VLOOKUP(W1318,Sheet2!$B:$D,3,FALSE)</f>
        <v>23</v>
      </c>
      <c r="AA1318" s="93">
        <v>1</v>
      </c>
      <c r="AB1318" s="93">
        <f>AD1318/AC1310</f>
        <v>23</v>
      </c>
      <c r="AC1318" s="93">
        <f>AC1310/AA1318</f>
        <v>10.997499999999999</v>
      </c>
      <c r="AD1318" s="94">
        <f t="shared" ref="AD1318:AD1319" si="1021">AC1318*Z1318</f>
        <v>252.94249999999997</v>
      </c>
      <c r="AE1318" s="190"/>
      <c r="AF1318" s="191"/>
      <c r="AG1318" s="191"/>
      <c r="AH1318" s="191"/>
      <c r="AI1318" s="186"/>
      <c r="AK1318" s="171"/>
    </row>
    <row r="1319" spans="1:41" s="102" customFormat="1" ht="19.899999999999999" customHeight="1" x14ac:dyDescent="0.25">
      <c r="A1319" s="45"/>
      <c r="B1319" s="59"/>
      <c r="C1319" s="137"/>
      <c r="D1319" s="59"/>
      <c r="E1319" s="116"/>
      <c r="F1319" s="120"/>
      <c r="G1319" s="120"/>
      <c r="H1319" s="120"/>
      <c r="I1319" s="60"/>
      <c r="J1319" s="116"/>
      <c r="K1319" s="213"/>
      <c r="L1319" s="120"/>
      <c r="M1319" s="120"/>
      <c r="N1319" s="167"/>
      <c r="O1319" s="120"/>
      <c r="P1319" s="120"/>
      <c r="Q1319" s="120"/>
      <c r="R1319" s="120"/>
      <c r="S1319" s="120"/>
      <c r="T1319" s="221"/>
      <c r="U1319" s="89"/>
      <c r="V1319" s="61"/>
      <c r="W1319" s="92" t="s">
        <v>65</v>
      </c>
      <c r="X1319" s="93" t="s">
        <v>30</v>
      </c>
      <c r="Y1319" s="93" t="s">
        <v>1011</v>
      </c>
      <c r="Z1319" s="134">
        <f>VLOOKUP(W1319,Sheet2!$B:$D,3,FALSE)</f>
        <v>1.76</v>
      </c>
      <c r="AA1319" s="93">
        <f>AA1318/3</f>
        <v>0.33333333333333331</v>
      </c>
      <c r="AB1319" s="93">
        <f>AD1319/AC1310</f>
        <v>5.28</v>
      </c>
      <c r="AC1319" s="93">
        <f>AC1310/AA1319</f>
        <v>32.9925</v>
      </c>
      <c r="AD1319" s="94">
        <f t="shared" si="1021"/>
        <v>58.066800000000001</v>
      </c>
      <c r="AE1319" s="190"/>
      <c r="AF1319" s="191"/>
      <c r="AG1319" s="191"/>
      <c r="AH1319" s="191"/>
      <c r="AI1319" s="186"/>
      <c r="AK1319" s="171"/>
    </row>
    <row r="1320" spans="1:41" ht="20.100000000000001" customHeight="1" x14ac:dyDescent="0.25">
      <c r="A1320" s="277" t="s">
        <v>216</v>
      </c>
      <c r="B1320" s="278"/>
      <c r="C1320" s="64" t="s">
        <v>332</v>
      </c>
      <c r="D1320" s="46" t="s">
        <v>215</v>
      </c>
      <c r="E1320" s="114">
        <v>0.625</v>
      </c>
      <c r="F1320" s="44">
        <v>10574</v>
      </c>
      <c r="G1320" s="44">
        <f t="shared" si="607"/>
        <v>6608.75</v>
      </c>
      <c r="H1320" s="44">
        <f t="shared" si="608"/>
        <v>2172.8366039215684</v>
      </c>
      <c r="I1320" s="43">
        <f t="shared" si="609"/>
        <v>1358.0228774509803</v>
      </c>
      <c r="J1320" s="112">
        <f t="shared" si="610"/>
        <v>0.625</v>
      </c>
      <c r="K1320" s="211">
        <f t="shared" si="611"/>
        <v>0.625</v>
      </c>
      <c r="L1320" s="44"/>
      <c r="M1320" s="44">
        <f t="shared" si="612"/>
        <v>0.625</v>
      </c>
      <c r="N1320" s="173">
        <f t="shared" si="613"/>
        <v>1</v>
      </c>
      <c r="O1320" s="44">
        <f t="shared" si="614"/>
        <v>10574</v>
      </c>
      <c r="P1320" s="44">
        <f t="shared" si="615"/>
        <v>6608.75</v>
      </c>
      <c r="Q1320" s="44">
        <f t="shared" si="616"/>
        <v>2172.8366039215684</v>
      </c>
      <c r="R1320" s="44">
        <f t="shared" si="617"/>
        <v>1358.0228774509803</v>
      </c>
      <c r="S1320" s="123"/>
      <c r="T1320" s="219">
        <f t="shared" si="618"/>
        <v>1358.0228774509803</v>
      </c>
      <c r="U1320" s="87"/>
      <c r="V1320" s="47"/>
      <c r="W1320" s="48"/>
      <c r="X1320" s="48"/>
      <c r="Y1320" s="48"/>
      <c r="Z1320" s="135"/>
      <c r="AA1320" s="49"/>
      <c r="AB1320" s="50">
        <f t="shared" si="619"/>
        <v>2172.8366039215684</v>
      </c>
      <c r="AC1320" s="42">
        <f t="shared" si="620"/>
        <v>0.625</v>
      </c>
      <c r="AD1320" s="90">
        <f>AD1321+AD1326+AD1333+AD1336</f>
        <v>1358.0228774509803</v>
      </c>
      <c r="AE1320" s="188">
        <f t="shared" ref="AE1320" si="1022">AE1321+AE1326+AE1333+AE1336</f>
        <v>0</v>
      </c>
      <c r="AF1320" s="189">
        <f t="shared" ref="AF1320" si="1023">AF1321+AF1326+AF1333+AF1336</f>
        <v>0</v>
      </c>
      <c r="AG1320" s="189">
        <f t="shared" ref="AG1320" si="1024">AG1321+AG1326+AG1333+AG1336</f>
        <v>0</v>
      </c>
      <c r="AH1320" s="189">
        <f t="shared" ref="AH1320" si="1025">AH1321+AH1326+AH1333+AH1336</f>
        <v>0</v>
      </c>
      <c r="AI1320" s="161">
        <f t="shared" ref="AI1320" si="1026">SUM(AE1320:AH1320)</f>
        <v>0</v>
      </c>
      <c r="AK1320" s="169">
        <v>5</v>
      </c>
      <c r="AO1320" s="19" t="s">
        <v>63</v>
      </c>
    </row>
    <row r="1321" spans="1:41" s="103" customFormat="1" ht="19.899999999999999" customHeight="1" x14ac:dyDescent="0.25">
      <c r="A1321" s="51"/>
      <c r="B1321" s="52"/>
      <c r="C1321" s="165"/>
      <c r="D1321" s="52"/>
      <c r="E1321" s="115"/>
      <c r="F1321" s="58"/>
      <c r="G1321" s="58"/>
      <c r="H1321" s="58"/>
      <c r="I1321" s="55"/>
      <c r="J1321" s="113">
        <f>J1320</f>
        <v>0.625</v>
      </c>
      <c r="K1321" s="212">
        <f>K1320</f>
        <v>0.625</v>
      </c>
      <c r="L1321" s="58"/>
      <c r="M1321" s="58">
        <f>K1321-L1321</f>
        <v>0.625</v>
      </c>
      <c r="N1321" s="166"/>
      <c r="O1321" s="58"/>
      <c r="P1321" s="58"/>
      <c r="Q1321" s="58"/>
      <c r="R1321" s="58"/>
      <c r="S1321" s="58"/>
      <c r="T1321" s="220"/>
      <c r="U1321" s="88"/>
      <c r="V1321" s="56"/>
      <c r="W1321" s="57" t="s">
        <v>1361</v>
      </c>
      <c r="X1321" s="53"/>
      <c r="Y1321" s="91" t="s">
        <v>35</v>
      </c>
      <c r="Z1321" s="136">
        <f>AD1321/AC1321</f>
        <v>18.099388235294118</v>
      </c>
      <c r="AA1321" s="58"/>
      <c r="AB1321" s="53">
        <f>AD1321/AC1321</f>
        <v>18.099388235294118</v>
      </c>
      <c r="AC1321" s="53">
        <f>M1321+$AE$10</f>
        <v>0.625</v>
      </c>
      <c r="AD1321" s="54">
        <f>SUM(AD1322:AD1325)</f>
        <v>11.312117647058823</v>
      </c>
      <c r="AE1321" s="184">
        <f>SUMIFS($AD$37:$AD$12971,$V$37:$V$12971,$V1321,$X$37:$X$12971,AE$13)</f>
        <v>0</v>
      </c>
      <c r="AF1321" s="185">
        <f>SUMIFS($AD$37:$AD$12971,$V$37:$V$12971,$V1321,$X$37:$X$12971,AF$13)</f>
        <v>0</v>
      </c>
      <c r="AG1321" s="185">
        <f>SUMIFS($AD$37:$AD$12971,$V$37:$V$12971,$V1321,$X$37:$X$12971,AG$13)</f>
        <v>0</v>
      </c>
      <c r="AH1321" s="187">
        <f>SUMIFS($AD$37:$AD$12971,$V$37:$V$12971,$V1321,$X$37:$X$12971,AH$13)</f>
        <v>0</v>
      </c>
      <c r="AI1321" s="161">
        <f t="shared" ref="AI1321" si="1027">SUM(AE1321:AH1321)</f>
        <v>0</v>
      </c>
      <c r="AK1321" s="172"/>
    </row>
    <row r="1322" spans="1:41" s="102" customFormat="1" ht="19.899999999999999" customHeight="1" x14ac:dyDescent="0.25">
      <c r="A1322" s="45"/>
      <c r="B1322" s="59"/>
      <c r="C1322" s="137"/>
      <c r="D1322" s="59"/>
      <c r="E1322" s="116"/>
      <c r="F1322" s="120"/>
      <c r="G1322" s="120"/>
      <c r="H1322" s="120"/>
      <c r="I1322" s="60"/>
      <c r="J1322" s="116"/>
      <c r="K1322" s="213"/>
      <c r="L1322" s="120"/>
      <c r="M1322" s="120"/>
      <c r="N1322" s="167"/>
      <c r="O1322" s="120"/>
      <c r="P1322" s="120"/>
      <c r="Q1322" s="120"/>
      <c r="R1322" s="120"/>
      <c r="S1322" s="120"/>
      <c r="T1322" s="221"/>
      <c r="U1322" s="89"/>
      <c r="V1322" s="61"/>
      <c r="W1322" s="92" t="s">
        <v>129</v>
      </c>
      <c r="X1322" s="93" t="s">
        <v>29</v>
      </c>
      <c r="Y1322" s="93" t="s">
        <v>93</v>
      </c>
      <c r="Z1322" s="134">
        <f>VLOOKUP(W1322,Sheet2!$B:$D,3,FALSE)</f>
        <v>56</v>
      </c>
      <c r="AA1322" s="93">
        <f>100/(3*3*0.5)</f>
        <v>22.222222222222221</v>
      </c>
      <c r="AB1322" s="93">
        <f t="shared" ref="AB1322" si="1028">AD1322/AC1321</f>
        <v>2.52</v>
      </c>
      <c r="AC1322" s="93">
        <f>AC1321/AA1322</f>
        <v>2.8125000000000001E-2</v>
      </c>
      <c r="AD1322" s="94">
        <f t="shared" ref="AD1322:AD1323" si="1029">AC1322*Z1322</f>
        <v>1.575</v>
      </c>
      <c r="AE1322" s="190"/>
      <c r="AF1322" s="191"/>
      <c r="AG1322" s="191"/>
      <c r="AH1322" s="191"/>
      <c r="AI1322" s="186"/>
      <c r="AK1322" s="171"/>
    </row>
    <row r="1323" spans="1:41" s="102" customFormat="1" ht="19.899999999999999" customHeight="1" x14ac:dyDescent="0.25">
      <c r="A1323" s="45"/>
      <c r="B1323" s="59"/>
      <c r="C1323" s="137"/>
      <c r="D1323" s="59"/>
      <c r="E1323" s="116"/>
      <c r="F1323" s="120"/>
      <c r="G1323" s="120"/>
      <c r="H1323" s="120"/>
      <c r="I1323" s="60"/>
      <c r="J1323" s="116"/>
      <c r="K1323" s="213"/>
      <c r="L1323" s="120"/>
      <c r="M1323" s="120"/>
      <c r="N1323" s="167"/>
      <c r="O1323" s="120"/>
      <c r="P1323" s="120"/>
      <c r="Q1323" s="120"/>
      <c r="R1323" s="120"/>
      <c r="S1323" s="120"/>
      <c r="T1323" s="221"/>
      <c r="U1323" s="89"/>
      <c r="V1323" s="61"/>
      <c r="W1323" s="92" t="s">
        <v>65</v>
      </c>
      <c r="X1323" s="93" t="s">
        <v>30</v>
      </c>
      <c r="Y1323" s="93" t="s">
        <v>1011</v>
      </c>
      <c r="Z1323" s="134">
        <f>VLOOKUP(W1323,Sheet2!$B:$D,3,FALSE)</f>
        <v>1.76</v>
      </c>
      <c r="AA1323" s="93">
        <f>AA1322/14</f>
        <v>1.5873015873015872</v>
      </c>
      <c r="AB1323" s="93">
        <f>AD1323/AC1321</f>
        <v>1.1088</v>
      </c>
      <c r="AC1323" s="93">
        <f>AC1321/AA1323</f>
        <v>0.39375000000000004</v>
      </c>
      <c r="AD1323" s="94">
        <f t="shared" si="1029"/>
        <v>0.69300000000000006</v>
      </c>
      <c r="AE1323" s="190"/>
      <c r="AF1323" s="191"/>
      <c r="AG1323" s="191"/>
      <c r="AH1323" s="191"/>
      <c r="AI1323" s="186"/>
      <c r="AK1323" s="171"/>
    </row>
    <row r="1324" spans="1:41" s="102" customFormat="1" ht="19.899999999999999" customHeight="1" x14ac:dyDescent="0.25">
      <c r="A1324" s="45"/>
      <c r="B1324" s="59"/>
      <c r="C1324" s="137"/>
      <c r="D1324" s="59"/>
      <c r="E1324" s="116"/>
      <c r="F1324" s="120"/>
      <c r="G1324" s="120"/>
      <c r="H1324" s="120"/>
      <c r="I1324" s="60"/>
      <c r="J1324" s="116"/>
      <c r="K1324" s="213"/>
      <c r="L1324" s="120"/>
      <c r="M1324" s="120"/>
      <c r="N1324" s="167"/>
      <c r="O1324" s="120"/>
      <c r="P1324" s="120"/>
      <c r="Q1324" s="120"/>
      <c r="R1324" s="120"/>
      <c r="S1324" s="120"/>
      <c r="T1324" s="221"/>
      <c r="U1324" s="89"/>
      <c r="V1324" s="61"/>
      <c r="W1324" s="92" t="s">
        <v>161</v>
      </c>
      <c r="X1324" s="93" t="s">
        <v>29</v>
      </c>
      <c r="Y1324" s="93" t="s">
        <v>93</v>
      </c>
      <c r="Z1324" s="134">
        <f>VLOOKUP(W1324,Sheet2!$B:$D,3,FALSE)</f>
        <v>48</v>
      </c>
      <c r="AA1324" s="93">
        <f>(16*0.85*1.5)/(3*3*0.5)</f>
        <v>4.5333333333333332</v>
      </c>
      <c r="AB1324" s="93">
        <f>AD1324/AC1321</f>
        <v>10.588235294117649</v>
      </c>
      <c r="AC1324" s="93">
        <f>AC1321/AA1324</f>
        <v>0.13786764705882354</v>
      </c>
      <c r="AD1324" s="94">
        <f>AC1324*Z1324</f>
        <v>6.6176470588235299</v>
      </c>
      <c r="AE1324" s="190"/>
      <c r="AF1324" s="191"/>
      <c r="AG1324" s="191"/>
      <c r="AH1324" s="191"/>
      <c r="AI1324" s="186"/>
      <c r="AK1324" s="171"/>
    </row>
    <row r="1325" spans="1:41" s="102" customFormat="1" ht="19.899999999999999" customHeight="1" x14ac:dyDescent="0.25">
      <c r="A1325" s="45"/>
      <c r="B1325" s="59"/>
      <c r="C1325" s="137"/>
      <c r="D1325" s="59"/>
      <c r="E1325" s="116"/>
      <c r="F1325" s="120"/>
      <c r="G1325" s="120"/>
      <c r="H1325" s="120"/>
      <c r="I1325" s="60"/>
      <c r="J1325" s="116"/>
      <c r="K1325" s="213"/>
      <c r="L1325" s="120"/>
      <c r="M1325" s="120"/>
      <c r="N1325" s="167"/>
      <c r="O1325" s="120"/>
      <c r="P1325" s="120"/>
      <c r="Q1325" s="120"/>
      <c r="R1325" s="120"/>
      <c r="S1325" s="120"/>
      <c r="T1325" s="221"/>
      <c r="U1325" s="89"/>
      <c r="V1325" s="61"/>
      <c r="W1325" s="92" t="s">
        <v>65</v>
      </c>
      <c r="X1325" s="93" t="s">
        <v>30</v>
      </c>
      <c r="Y1325" s="93" t="s">
        <v>1011</v>
      </c>
      <c r="Z1325" s="134">
        <f>VLOOKUP(W1325,Sheet2!$B:$D,3,FALSE)</f>
        <v>1.76</v>
      </c>
      <c r="AA1325" s="93">
        <f>AA1324/10</f>
        <v>0.45333333333333331</v>
      </c>
      <c r="AB1325" s="93">
        <f>AD1325/AC1321</f>
        <v>3.8823529411764701</v>
      </c>
      <c r="AC1325" s="93">
        <f>AC1321/AA1325</f>
        <v>1.3786764705882353</v>
      </c>
      <c r="AD1325" s="94">
        <f>AC1325*Z1325</f>
        <v>2.4264705882352939</v>
      </c>
      <c r="AE1325" s="190"/>
      <c r="AF1325" s="191"/>
      <c r="AG1325" s="191"/>
      <c r="AH1325" s="191"/>
      <c r="AI1325" s="186"/>
      <c r="AK1325" s="171"/>
    </row>
    <row r="1326" spans="1:41" s="103" customFormat="1" ht="19.899999999999999" customHeight="1" x14ac:dyDescent="0.25">
      <c r="A1326" s="51"/>
      <c r="B1326" s="52"/>
      <c r="C1326" s="165"/>
      <c r="D1326" s="52"/>
      <c r="E1326" s="115"/>
      <c r="F1326" s="58"/>
      <c r="G1326" s="58"/>
      <c r="H1326" s="58"/>
      <c r="I1326" s="55"/>
      <c r="J1326" s="113">
        <f>J1320</f>
        <v>0.625</v>
      </c>
      <c r="K1326" s="212">
        <f>K1320</f>
        <v>0.625</v>
      </c>
      <c r="L1326" s="58"/>
      <c r="M1326" s="58">
        <f>K1326-L1326</f>
        <v>0.625</v>
      </c>
      <c r="N1326" s="166"/>
      <c r="O1326" s="58"/>
      <c r="P1326" s="58"/>
      <c r="Q1326" s="58"/>
      <c r="R1326" s="58"/>
      <c r="S1326" s="58"/>
      <c r="T1326" s="220"/>
      <c r="U1326" s="88"/>
      <c r="V1326" s="56"/>
      <c r="W1326" s="57" t="s">
        <v>1352</v>
      </c>
      <c r="X1326" s="53"/>
      <c r="Y1326" s="91" t="s">
        <v>35</v>
      </c>
      <c r="Z1326" s="136">
        <f>AD1326/AC1326</f>
        <v>1550</v>
      </c>
      <c r="AA1326" s="58"/>
      <c r="AB1326" s="53">
        <f>AD1326/AC1326</f>
        <v>1550</v>
      </c>
      <c r="AC1326" s="53">
        <f>M1326+$AE$10</f>
        <v>0.625</v>
      </c>
      <c r="AD1326" s="54">
        <f>SUM(AD1327:AD1332)</f>
        <v>968.75</v>
      </c>
      <c r="AE1326" s="184">
        <f>SUMIFS($AD$37:$AD$12971,$V$37:$V$12971,$V1326,$X$37:$X$12971,AE$13)</f>
        <v>0</v>
      </c>
      <c r="AF1326" s="185">
        <f>SUMIFS($AD$37:$AD$12971,$V$37:$V$12971,$V1326,$X$37:$X$12971,AF$13)</f>
        <v>0</v>
      </c>
      <c r="AG1326" s="185">
        <f>SUMIFS($AD$37:$AD$12971,$V$37:$V$12971,$V1326,$X$37:$X$12971,AG$13)</f>
        <v>0</v>
      </c>
      <c r="AH1326" s="187">
        <f>SUMIFS($AD$37:$AD$12971,$V$37:$V$12971,$V1326,$X$37:$X$12971,AH$13)</f>
        <v>0</v>
      </c>
      <c r="AI1326" s="161">
        <f t="shared" ref="AI1326" si="1030">SUM(AE1326:AH1326)</f>
        <v>0</v>
      </c>
      <c r="AK1326" s="172"/>
    </row>
    <row r="1327" spans="1:41" s="102" customFormat="1" ht="19.899999999999999" customHeight="1" x14ac:dyDescent="0.25">
      <c r="A1327" s="45"/>
      <c r="B1327" s="59"/>
      <c r="C1327" s="137"/>
      <c r="D1327" s="59"/>
      <c r="E1327" s="116"/>
      <c r="F1327" s="120"/>
      <c r="G1327" s="120"/>
      <c r="H1327" s="120"/>
      <c r="I1327" s="60"/>
      <c r="J1327" s="116"/>
      <c r="K1327" s="213"/>
      <c r="L1327" s="120"/>
      <c r="M1327" s="120"/>
      <c r="N1327" s="167"/>
      <c r="O1327" s="120"/>
      <c r="P1327" s="120"/>
      <c r="Q1327" s="120"/>
      <c r="R1327" s="120"/>
      <c r="S1327" s="120"/>
      <c r="T1327" s="221"/>
      <c r="U1327" s="89"/>
      <c r="V1327" s="61"/>
      <c r="W1327" s="92" t="s">
        <v>1353</v>
      </c>
      <c r="X1327" s="93" t="s">
        <v>30</v>
      </c>
      <c r="Y1327" s="93" t="s">
        <v>66</v>
      </c>
      <c r="Z1327" s="134">
        <f>VLOOKUP(W1327,Sheet2!$B:$D,3,FALSE)</f>
        <v>350</v>
      </c>
      <c r="AA1327" s="93">
        <f>1/(2*0.5*0.25*4)</f>
        <v>1</v>
      </c>
      <c r="AB1327" s="93">
        <f>AD1327/AC1326</f>
        <v>350</v>
      </c>
      <c r="AC1327" s="93">
        <f>AC1326/AA1327</f>
        <v>0.625</v>
      </c>
      <c r="AD1327" s="94">
        <f t="shared" ref="AD1327:AD1328" si="1031">AC1327*Z1327</f>
        <v>218.75</v>
      </c>
      <c r="AE1327" s="190"/>
      <c r="AF1327" s="191"/>
      <c r="AG1327" s="191"/>
      <c r="AH1327" s="191"/>
      <c r="AI1327" s="186"/>
      <c r="AK1327" s="171"/>
    </row>
    <row r="1328" spans="1:41" s="102" customFormat="1" ht="19.899999999999999" customHeight="1" x14ac:dyDescent="0.25">
      <c r="A1328" s="45"/>
      <c r="B1328" s="59"/>
      <c r="C1328" s="137"/>
      <c r="D1328" s="59"/>
      <c r="E1328" s="116"/>
      <c r="F1328" s="120"/>
      <c r="G1328" s="120"/>
      <c r="H1328" s="120"/>
      <c r="I1328" s="60"/>
      <c r="J1328" s="116"/>
      <c r="K1328" s="213"/>
      <c r="L1328" s="120"/>
      <c r="M1328" s="120"/>
      <c r="N1328" s="167"/>
      <c r="O1328" s="120"/>
      <c r="P1328" s="120"/>
      <c r="Q1328" s="120"/>
      <c r="R1328" s="120"/>
      <c r="S1328" s="120"/>
      <c r="T1328" s="221"/>
      <c r="U1328" s="89"/>
      <c r="V1328" s="61"/>
      <c r="W1328" s="92" t="s">
        <v>99</v>
      </c>
      <c r="X1328" s="93" t="s">
        <v>30</v>
      </c>
      <c r="Y1328" s="93" t="s">
        <v>67</v>
      </c>
      <c r="Z1328" s="134">
        <f>VLOOKUP(W1328,Sheet2!$B:$D,3,FALSE)</f>
        <v>2500</v>
      </c>
      <c r="AA1328" s="93">
        <f>1/(2*0.5*0.25*4*0.08)</f>
        <v>12.5</v>
      </c>
      <c r="AB1328" s="93">
        <f>AD1328/AC1326</f>
        <v>200</v>
      </c>
      <c r="AC1328" s="93">
        <f>AC1326/AA1328</f>
        <v>0.05</v>
      </c>
      <c r="AD1328" s="94">
        <f t="shared" si="1031"/>
        <v>125</v>
      </c>
      <c r="AE1328" s="190"/>
      <c r="AF1328" s="191"/>
      <c r="AG1328" s="191"/>
      <c r="AH1328" s="191"/>
      <c r="AI1328" s="186"/>
      <c r="AK1328" s="171"/>
    </row>
    <row r="1329" spans="1:37" s="102" customFormat="1" ht="19.899999999999999" customHeight="1" x14ac:dyDescent="0.25">
      <c r="A1329" s="45"/>
      <c r="B1329" s="59"/>
      <c r="C1329" s="137"/>
      <c r="D1329" s="59"/>
      <c r="E1329" s="116"/>
      <c r="F1329" s="120"/>
      <c r="G1329" s="120"/>
      <c r="H1329" s="120"/>
      <c r="I1329" s="60"/>
      <c r="J1329" s="116"/>
      <c r="K1329" s="213"/>
      <c r="L1329" s="120"/>
      <c r="M1329" s="120"/>
      <c r="N1329" s="167"/>
      <c r="O1329" s="120"/>
      <c r="P1329" s="120"/>
      <c r="Q1329" s="120"/>
      <c r="R1329" s="120"/>
      <c r="S1329" s="120"/>
      <c r="T1329" s="221"/>
      <c r="U1329" s="89"/>
      <c r="V1329" s="61"/>
      <c r="W1329" s="92" t="s">
        <v>1355</v>
      </c>
      <c r="X1329" s="93" t="s">
        <v>32</v>
      </c>
      <c r="Y1329" s="93" t="s">
        <v>66</v>
      </c>
      <c r="Z1329" s="134">
        <f>VLOOKUP(W1329,Sheet2!$B:$D,3,FALSE)</f>
        <v>450</v>
      </c>
      <c r="AA1329" s="93">
        <f>AA1327</f>
        <v>1</v>
      </c>
      <c r="AB1329" s="93">
        <f>AD1329/AC1326</f>
        <v>450</v>
      </c>
      <c r="AC1329" s="93">
        <f>AC1326/AA1329</f>
        <v>0.625</v>
      </c>
      <c r="AD1329" s="94">
        <f>AC1329*Z1329</f>
        <v>281.25</v>
      </c>
      <c r="AE1329" s="190"/>
      <c r="AF1329" s="191"/>
      <c r="AG1329" s="191"/>
      <c r="AH1329" s="191"/>
      <c r="AI1329" s="186"/>
      <c r="AK1329" s="171"/>
    </row>
    <row r="1330" spans="1:37" s="102" customFormat="1" ht="19.899999999999999" customHeight="1" x14ac:dyDescent="0.25">
      <c r="A1330" s="45"/>
      <c r="B1330" s="59"/>
      <c r="C1330" s="137"/>
      <c r="D1330" s="59"/>
      <c r="E1330" s="116"/>
      <c r="F1330" s="120"/>
      <c r="G1330" s="120"/>
      <c r="H1330" s="120"/>
      <c r="I1330" s="60"/>
      <c r="J1330" s="116"/>
      <c r="K1330" s="213"/>
      <c r="L1330" s="120"/>
      <c r="M1330" s="120"/>
      <c r="N1330" s="167"/>
      <c r="O1330" s="120"/>
      <c r="P1330" s="120"/>
      <c r="Q1330" s="120"/>
      <c r="R1330" s="120"/>
      <c r="S1330" s="120"/>
      <c r="T1330" s="221"/>
      <c r="U1330" s="89"/>
      <c r="V1330" s="61"/>
      <c r="W1330" s="92" t="s">
        <v>1362</v>
      </c>
      <c r="X1330" s="93" t="s">
        <v>30</v>
      </c>
      <c r="Y1330" s="93" t="s">
        <v>35</v>
      </c>
      <c r="Z1330" s="134">
        <f>VLOOKUP(W1330,Sheet2!$B:$D,3,FALSE)</f>
        <v>400</v>
      </c>
      <c r="AA1330" s="93">
        <v>1</v>
      </c>
      <c r="AB1330" s="93">
        <f>AD1330/AC1326</f>
        <v>400</v>
      </c>
      <c r="AC1330" s="93">
        <f>AC1326/AA1330</f>
        <v>0.625</v>
      </c>
      <c r="AD1330" s="94">
        <f t="shared" ref="AD1330" si="1032">AC1330*Z1330</f>
        <v>250</v>
      </c>
      <c r="AE1330" s="190"/>
      <c r="AF1330" s="191"/>
      <c r="AG1330" s="191"/>
      <c r="AH1330" s="191"/>
      <c r="AI1330" s="186"/>
      <c r="AK1330" s="171"/>
    </row>
    <row r="1331" spans="1:37" s="102" customFormat="1" ht="19.899999999999999" customHeight="1" x14ac:dyDescent="0.25">
      <c r="A1331" s="45"/>
      <c r="B1331" s="59"/>
      <c r="C1331" s="137"/>
      <c r="D1331" s="59"/>
      <c r="E1331" s="116"/>
      <c r="F1331" s="120"/>
      <c r="G1331" s="120"/>
      <c r="H1331" s="120"/>
      <c r="I1331" s="60"/>
      <c r="J1331" s="116"/>
      <c r="K1331" s="213"/>
      <c r="L1331" s="120"/>
      <c r="M1331" s="120"/>
      <c r="N1331" s="167"/>
      <c r="O1331" s="120"/>
      <c r="P1331" s="120"/>
      <c r="Q1331" s="120"/>
      <c r="R1331" s="120"/>
      <c r="S1331" s="120"/>
      <c r="T1331" s="221"/>
      <c r="U1331" s="89"/>
      <c r="V1331" s="61"/>
      <c r="W1331" s="92" t="s">
        <v>107</v>
      </c>
      <c r="X1331" s="93" t="s">
        <v>31</v>
      </c>
      <c r="Y1331" s="93" t="s">
        <v>93</v>
      </c>
      <c r="Z1331" s="134">
        <f>VLOOKUP(W1331,Sheet2!$B:$D,3,FALSE)</f>
        <v>17</v>
      </c>
      <c r="AA1331" s="93">
        <f>1/5</f>
        <v>0.2</v>
      </c>
      <c r="AB1331" s="93">
        <f>AD1331/AC1326</f>
        <v>85</v>
      </c>
      <c r="AC1331" s="93">
        <f>AC1326/AA1331</f>
        <v>3.125</v>
      </c>
      <c r="AD1331" s="94">
        <f>AC1331*Z1331</f>
        <v>53.125</v>
      </c>
      <c r="AE1331" s="190"/>
      <c r="AF1331" s="191"/>
      <c r="AG1331" s="191"/>
      <c r="AH1331" s="191"/>
      <c r="AI1331" s="186"/>
      <c r="AK1331" s="171"/>
    </row>
    <row r="1332" spans="1:37" s="102" customFormat="1" ht="19.899999999999999" customHeight="1" x14ac:dyDescent="0.25">
      <c r="A1332" s="45"/>
      <c r="B1332" s="59"/>
      <c r="C1332" s="137"/>
      <c r="D1332" s="59"/>
      <c r="E1332" s="116"/>
      <c r="F1332" s="120"/>
      <c r="G1332" s="120"/>
      <c r="H1332" s="120"/>
      <c r="I1332" s="60"/>
      <c r="J1332" s="116"/>
      <c r="K1332" s="213"/>
      <c r="L1332" s="120"/>
      <c r="M1332" s="120"/>
      <c r="N1332" s="167"/>
      <c r="O1332" s="120"/>
      <c r="P1332" s="120"/>
      <c r="Q1332" s="120"/>
      <c r="R1332" s="120"/>
      <c r="S1332" s="120"/>
      <c r="T1332" s="221"/>
      <c r="U1332" s="89"/>
      <c r="V1332" s="61"/>
      <c r="W1332" s="92" t="s">
        <v>112</v>
      </c>
      <c r="X1332" s="93" t="s">
        <v>31</v>
      </c>
      <c r="Y1332" s="93" t="s">
        <v>93</v>
      </c>
      <c r="Z1332" s="134">
        <f>VLOOKUP(W1332,Sheet2!$B:$D,3,FALSE)</f>
        <v>13</v>
      </c>
      <c r="AA1332" s="93">
        <f>AA1331</f>
        <v>0.2</v>
      </c>
      <c r="AB1332" s="93">
        <f>AD1332/AC1326</f>
        <v>65</v>
      </c>
      <c r="AC1332" s="93">
        <f>AC1326/AA1332</f>
        <v>3.125</v>
      </c>
      <c r="AD1332" s="94">
        <f>AC1332*Z1332</f>
        <v>40.625</v>
      </c>
      <c r="AE1332" s="190"/>
      <c r="AF1332" s="191"/>
      <c r="AG1332" s="191"/>
      <c r="AH1332" s="191"/>
      <c r="AI1332" s="186"/>
      <c r="AK1332" s="171"/>
    </row>
    <row r="1333" spans="1:37" s="103" customFormat="1" ht="19.899999999999999" customHeight="1" x14ac:dyDescent="0.25">
      <c r="A1333" s="51"/>
      <c r="B1333" s="52"/>
      <c r="C1333" s="165"/>
      <c r="D1333" s="52"/>
      <c r="E1333" s="115"/>
      <c r="F1333" s="58"/>
      <c r="G1333" s="58"/>
      <c r="H1333" s="58"/>
      <c r="I1333" s="55"/>
      <c r="J1333" s="113">
        <f>J1320</f>
        <v>0.625</v>
      </c>
      <c r="K1333" s="212">
        <f>K1320</f>
        <v>0.625</v>
      </c>
      <c r="L1333" s="58"/>
      <c r="M1333" s="58">
        <f>K1333-L1333</f>
        <v>0.625</v>
      </c>
      <c r="N1333" s="166"/>
      <c r="O1333" s="58"/>
      <c r="P1333" s="58"/>
      <c r="Q1333" s="58"/>
      <c r="R1333" s="58"/>
      <c r="S1333" s="58"/>
      <c r="T1333" s="220"/>
      <c r="U1333" s="88"/>
      <c r="V1333" s="56"/>
      <c r="W1333" s="57" t="s">
        <v>1358</v>
      </c>
      <c r="X1333" s="53"/>
      <c r="Y1333" s="91" t="s">
        <v>35</v>
      </c>
      <c r="Z1333" s="136">
        <f>AD1333/AC1333</f>
        <v>560</v>
      </c>
      <c r="AA1333" s="58"/>
      <c r="AB1333" s="53">
        <f>AD1333/AC1333</f>
        <v>560</v>
      </c>
      <c r="AC1333" s="53">
        <f>M1333+$AE$10</f>
        <v>0.625</v>
      </c>
      <c r="AD1333" s="54">
        <f>SUM(AD1334:AD1335)</f>
        <v>350</v>
      </c>
      <c r="AE1333" s="184">
        <f>SUMIFS($AD$37:$AD$12971,$V$37:$V$12971,$V1333,$X$37:$X$12971,AE$13)</f>
        <v>0</v>
      </c>
      <c r="AF1333" s="185">
        <f>SUMIFS($AD$37:$AD$12971,$V$37:$V$12971,$V1333,$X$37:$X$12971,AF$13)</f>
        <v>0</v>
      </c>
      <c r="AG1333" s="185">
        <f>SUMIFS($AD$37:$AD$12971,$V$37:$V$12971,$V1333,$X$37:$X$12971,AG$13)</f>
        <v>0</v>
      </c>
      <c r="AH1333" s="187">
        <f>SUMIFS($AD$37:$AD$12971,$V$37:$V$12971,$V1333,$X$37:$X$12971,AH$13)</f>
        <v>0</v>
      </c>
      <c r="AI1333" s="161">
        <f t="shared" ref="AI1333" si="1033">SUM(AE1333:AH1333)</f>
        <v>0</v>
      </c>
      <c r="AK1333" s="172"/>
    </row>
    <row r="1334" spans="1:37" s="102" customFormat="1" ht="19.899999999999999" customHeight="1" x14ac:dyDescent="0.25">
      <c r="A1334" s="45"/>
      <c r="B1334" s="59"/>
      <c r="C1334" s="137"/>
      <c r="D1334" s="59"/>
      <c r="E1334" s="116"/>
      <c r="F1334" s="120"/>
      <c r="G1334" s="120"/>
      <c r="H1334" s="120"/>
      <c r="I1334" s="60"/>
      <c r="J1334" s="116"/>
      <c r="K1334" s="213"/>
      <c r="L1334" s="120"/>
      <c r="M1334" s="120"/>
      <c r="N1334" s="167"/>
      <c r="O1334" s="120"/>
      <c r="P1334" s="120"/>
      <c r="Q1334" s="120"/>
      <c r="R1334" s="120"/>
      <c r="S1334" s="120"/>
      <c r="T1334" s="221"/>
      <c r="U1334" s="89"/>
      <c r="V1334" s="61"/>
      <c r="W1334" s="92" t="s">
        <v>1359</v>
      </c>
      <c r="X1334" s="93" t="s">
        <v>32</v>
      </c>
      <c r="Y1334" s="93" t="s">
        <v>64</v>
      </c>
      <c r="Z1334" s="134">
        <f>VLOOKUP(W1334,Sheet2!$B:$D,3,FALSE)</f>
        <v>40</v>
      </c>
      <c r="AA1334" s="93">
        <f>1/8</f>
        <v>0.125</v>
      </c>
      <c r="AB1334" s="93">
        <f t="shared" ref="AB1334" si="1034">AD1334/AC1333</f>
        <v>320</v>
      </c>
      <c r="AC1334" s="93">
        <f>AC1333/AA1334</f>
        <v>5</v>
      </c>
      <c r="AD1334" s="94">
        <f t="shared" ref="AD1334:AD1335" si="1035">AC1334*Z1334</f>
        <v>200</v>
      </c>
      <c r="AE1334" s="190"/>
      <c r="AF1334" s="191"/>
      <c r="AG1334" s="191"/>
      <c r="AH1334" s="191"/>
      <c r="AI1334" s="186"/>
      <c r="AK1334" s="171"/>
    </row>
    <row r="1335" spans="1:37" s="102" customFormat="1" ht="19.899999999999999" customHeight="1" x14ac:dyDescent="0.25">
      <c r="A1335" s="45"/>
      <c r="B1335" s="59"/>
      <c r="C1335" s="137"/>
      <c r="D1335" s="59"/>
      <c r="E1335" s="116"/>
      <c r="F1335" s="120"/>
      <c r="G1335" s="120"/>
      <c r="H1335" s="120"/>
      <c r="I1335" s="60"/>
      <c r="J1335" s="116"/>
      <c r="K1335" s="213"/>
      <c r="L1335" s="120"/>
      <c r="M1335" s="120"/>
      <c r="N1335" s="167"/>
      <c r="O1335" s="120"/>
      <c r="P1335" s="120"/>
      <c r="Q1335" s="120"/>
      <c r="R1335" s="120"/>
      <c r="S1335" s="120"/>
      <c r="T1335" s="221"/>
      <c r="U1335" s="89"/>
      <c r="V1335" s="61"/>
      <c r="W1335" s="92" t="s">
        <v>1360</v>
      </c>
      <c r="X1335" s="93" t="s">
        <v>32</v>
      </c>
      <c r="Y1335" s="93" t="s">
        <v>64</v>
      </c>
      <c r="Z1335" s="134">
        <f>VLOOKUP(W1335,Sheet2!$B:$D,3,FALSE)</f>
        <v>30</v>
      </c>
      <c r="AA1335" s="93">
        <f>AA1334</f>
        <v>0.125</v>
      </c>
      <c r="AB1335" s="93">
        <f>AD1335/AC1333</f>
        <v>240</v>
      </c>
      <c r="AC1335" s="93">
        <f>AC1333/AA1335</f>
        <v>5</v>
      </c>
      <c r="AD1335" s="94">
        <f t="shared" si="1035"/>
        <v>150</v>
      </c>
      <c r="AE1335" s="190"/>
      <c r="AF1335" s="191"/>
      <c r="AG1335" s="191"/>
      <c r="AH1335" s="191"/>
      <c r="AI1335" s="186"/>
      <c r="AK1335" s="171"/>
    </row>
    <row r="1336" spans="1:37" s="103" customFormat="1" ht="19.899999999999999" customHeight="1" x14ac:dyDescent="0.25">
      <c r="A1336" s="51"/>
      <c r="B1336" s="52"/>
      <c r="C1336" s="165"/>
      <c r="D1336" s="52"/>
      <c r="E1336" s="115"/>
      <c r="F1336" s="58"/>
      <c r="G1336" s="58"/>
      <c r="H1336" s="58"/>
      <c r="I1336" s="55"/>
      <c r="J1336" s="113">
        <f>J1320</f>
        <v>0.625</v>
      </c>
      <c r="K1336" s="212">
        <f>K1320</f>
        <v>0.625</v>
      </c>
      <c r="L1336" s="58"/>
      <c r="M1336" s="58">
        <f>K1336-L1336</f>
        <v>0.625</v>
      </c>
      <c r="N1336" s="166"/>
      <c r="O1336" s="58"/>
      <c r="P1336" s="58"/>
      <c r="Q1336" s="58"/>
      <c r="R1336" s="58"/>
      <c r="S1336" s="58"/>
      <c r="T1336" s="220"/>
      <c r="U1336" s="88"/>
      <c r="V1336" s="56"/>
      <c r="W1336" s="57" t="s">
        <v>1272</v>
      </c>
      <c r="X1336" s="53"/>
      <c r="Y1336" s="91" t="s">
        <v>35</v>
      </c>
      <c r="Z1336" s="136">
        <f>AD1336/AC1336</f>
        <v>44.737215686274503</v>
      </c>
      <c r="AA1336" s="58"/>
      <c r="AB1336" s="53">
        <f>AD1336/AC1336</f>
        <v>44.737215686274503</v>
      </c>
      <c r="AC1336" s="53">
        <f>M1336+$AE$10</f>
        <v>0.625</v>
      </c>
      <c r="AD1336" s="54">
        <f>SUM(AD1337:AD1345)</f>
        <v>27.960759803921565</v>
      </c>
      <c r="AE1336" s="184">
        <f>SUMIFS($AD$37:$AD$12971,$V$37:$V$12971,$V1336,$X$37:$X$12971,AE$13)</f>
        <v>0</v>
      </c>
      <c r="AF1336" s="185">
        <f>SUMIFS($AD$37:$AD$12971,$V$37:$V$12971,$V1336,$X$37:$X$12971,AF$13)</f>
        <v>0</v>
      </c>
      <c r="AG1336" s="185">
        <f>SUMIFS($AD$37:$AD$12971,$V$37:$V$12971,$V1336,$X$37:$X$12971,AG$13)</f>
        <v>0</v>
      </c>
      <c r="AH1336" s="187">
        <f>SUMIFS($AD$37:$AD$12971,$V$37:$V$12971,$V1336,$X$37:$X$12971,AH$13)</f>
        <v>0</v>
      </c>
      <c r="AI1336" s="161">
        <f t="shared" ref="AI1336" si="1036">SUM(AE1336:AH1336)</f>
        <v>0</v>
      </c>
      <c r="AK1336" s="172"/>
    </row>
    <row r="1337" spans="1:37" s="102" customFormat="1" ht="19.899999999999999" customHeight="1" x14ac:dyDescent="0.25">
      <c r="A1337" s="45"/>
      <c r="B1337" s="59"/>
      <c r="C1337" s="137"/>
      <c r="D1337" s="59"/>
      <c r="E1337" s="116"/>
      <c r="F1337" s="120"/>
      <c r="G1337" s="120"/>
      <c r="H1337" s="120"/>
      <c r="I1337" s="60"/>
      <c r="J1337" s="116"/>
      <c r="K1337" s="213"/>
      <c r="L1337" s="120"/>
      <c r="M1337" s="120"/>
      <c r="N1337" s="167"/>
      <c r="O1337" s="120"/>
      <c r="P1337" s="120"/>
      <c r="Q1337" s="120"/>
      <c r="R1337" s="120"/>
      <c r="S1337" s="120"/>
      <c r="T1337" s="221"/>
      <c r="U1337" s="89"/>
      <c r="V1337" s="61"/>
      <c r="W1337" s="92" t="s">
        <v>1273</v>
      </c>
      <c r="X1337" s="93" t="s">
        <v>30</v>
      </c>
      <c r="Y1337" s="93" t="s">
        <v>66</v>
      </c>
      <c r="Z1337" s="134">
        <f>VLOOKUP(W1337,Sheet2!$B:$D,3,FALSE)</f>
        <v>10</v>
      </c>
      <c r="AA1337" s="93">
        <f>1/(2.5*0.5*0.5*4)</f>
        <v>0.4</v>
      </c>
      <c r="AB1337" s="93">
        <f>AD1337/AC1336</f>
        <v>25</v>
      </c>
      <c r="AC1337" s="93">
        <f>AC1336/AA1337</f>
        <v>1.5625</v>
      </c>
      <c r="AD1337" s="94">
        <f t="shared" ref="AD1337:AD1339" si="1037">AC1337*Z1337</f>
        <v>15.625</v>
      </c>
      <c r="AE1337" s="190"/>
      <c r="AF1337" s="191"/>
      <c r="AG1337" s="191"/>
      <c r="AH1337" s="191"/>
      <c r="AI1337" s="186"/>
      <c r="AK1337" s="171"/>
    </row>
    <row r="1338" spans="1:37" s="102" customFormat="1" ht="19.899999999999999" customHeight="1" x14ac:dyDescent="0.25">
      <c r="A1338" s="45"/>
      <c r="B1338" s="59"/>
      <c r="C1338" s="137"/>
      <c r="D1338" s="59"/>
      <c r="E1338" s="116"/>
      <c r="F1338" s="120"/>
      <c r="G1338" s="120"/>
      <c r="H1338" s="120"/>
      <c r="I1338" s="60"/>
      <c r="J1338" s="116"/>
      <c r="K1338" s="213"/>
      <c r="L1338" s="120"/>
      <c r="M1338" s="120"/>
      <c r="N1338" s="167"/>
      <c r="O1338" s="120"/>
      <c r="P1338" s="120"/>
      <c r="Q1338" s="120"/>
      <c r="R1338" s="120"/>
      <c r="S1338" s="120"/>
      <c r="T1338" s="221"/>
      <c r="U1338" s="89"/>
      <c r="V1338" s="61"/>
      <c r="W1338" s="92" t="s">
        <v>134</v>
      </c>
      <c r="X1338" s="93" t="s">
        <v>29</v>
      </c>
      <c r="Y1338" s="93" t="s">
        <v>93</v>
      </c>
      <c r="Z1338" s="134">
        <f>VLOOKUP(W1338,Sheet2!$B:$D,3,FALSE)</f>
        <v>65.599999999999994</v>
      </c>
      <c r="AA1338" s="93">
        <f>100/(2.5*0.5*0.5*4)</f>
        <v>40</v>
      </c>
      <c r="AB1338" s="93">
        <f t="shared" ref="AB1338" si="1038">AD1338/AC1336</f>
        <v>1.64</v>
      </c>
      <c r="AC1338" s="93">
        <f>AC1336/AA1338</f>
        <v>1.5625E-2</v>
      </c>
      <c r="AD1338" s="94">
        <f t="shared" si="1037"/>
        <v>1.0249999999999999</v>
      </c>
      <c r="AE1338" s="190"/>
      <c r="AF1338" s="191"/>
      <c r="AG1338" s="191"/>
      <c r="AH1338" s="191"/>
      <c r="AI1338" s="186"/>
      <c r="AK1338" s="171"/>
    </row>
    <row r="1339" spans="1:37" s="102" customFormat="1" ht="19.899999999999999" customHeight="1" x14ac:dyDescent="0.25">
      <c r="A1339" s="45"/>
      <c r="B1339" s="59"/>
      <c r="C1339" s="137"/>
      <c r="D1339" s="59"/>
      <c r="E1339" s="116"/>
      <c r="F1339" s="120"/>
      <c r="G1339" s="120"/>
      <c r="H1339" s="120"/>
      <c r="I1339" s="60"/>
      <c r="J1339" s="116"/>
      <c r="K1339" s="213"/>
      <c r="L1339" s="120"/>
      <c r="M1339" s="120"/>
      <c r="N1339" s="167"/>
      <c r="O1339" s="120"/>
      <c r="P1339" s="120"/>
      <c r="Q1339" s="120"/>
      <c r="R1339" s="120"/>
      <c r="S1339" s="120"/>
      <c r="T1339" s="221"/>
      <c r="U1339" s="89"/>
      <c r="V1339" s="61"/>
      <c r="W1339" s="92" t="s">
        <v>65</v>
      </c>
      <c r="X1339" s="93" t="s">
        <v>30</v>
      </c>
      <c r="Y1339" s="93" t="s">
        <v>1011</v>
      </c>
      <c r="Z1339" s="134">
        <f>VLOOKUP(W1339,Sheet2!$B:$D,3,FALSE)</f>
        <v>1.76</v>
      </c>
      <c r="AA1339" s="93">
        <f>AA1338/9</f>
        <v>4.4444444444444446</v>
      </c>
      <c r="AB1339" s="93">
        <f>AD1339/AC1336</f>
        <v>0.39600000000000002</v>
      </c>
      <c r="AC1339" s="93">
        <f>AC1336/AA1339</f>
        <v>0.140625</v>
      </c>
      <c r="AD1339" s="94">
        <f t="shared" si="1037"/>
        <v>0.2475</v>
      </c>
      <c r="AE1339" s="190"/>
      <c r="AF1339" s="191"/>
      <c r="AG1339" s="191"/>
      <c r="AH1339" s="191"/>
      <c r="AI1339" s="186"/>
      <c r="AK1339" s="171"/>
    </row>
    <row r="1340" spans="1:37" s="102" customFormat="1" ht="19.899999999999999" customHeight="1" x14ac:dyDescent="0.25">
      <c r="A1340" s="45"/>
      <c r="B1340" s="59"/>
      <c r="C1340" s="137"/>
      <c r="D1340" s="59"/>
      <c r="E1340" s="116"/>
      <c r="F1340" s="120"/>
      <c r="G1340" s="120"/>
      <c r="H1340" s="120"/>
      <c r="I1340" s="60"/>
      <c r="J1340" s="116"/>
      <c r="K1340" s="213"/>
      <c r="L1340" s="120"/>
      <c r="M1340" s="120"/>
      <c r="N1340" s="167"/>
      <c r="O1340" s="120"/>
      <c r="P1340" s="120"/>
      <c r="Q1340" s="120"/>
      <c r="R1340" s="120"/>
      <c r="S1340" s="120"/>
      <c r="T1340" s="221"/>
      <c r="U1340" s="89"/>
      <c r="V1340" s="61"/>
      <c r="W1340" s="92" t="s">
        <v>161</v>
      </c>
      <c r="X1340" s="93" t="s">
        <v>29</v>
      </c>
      <c r="Y1340" s="93" t="s">
        <v>93</v>
      </c>
      <c r="Z1340" s="134">
        <f>VLOOKUP(W1340,Sheet2!$B:$D,3,FALSE)</f>
        <v>48</v>
      </c>
      <c r="AA1340" s="93">
        <f>(16*0.85*1.5)/(2.5*0.5*0.5*4)</f>
        <v>8.16</v>
      </c>
      <c r="AB1340" s="93">
        <f>AD1340/AC1336</f>
        <v>5.882352941176471</v>
      </c>
      <c r="AC1340" s="93">
        <f>AC1336/AA1340</f>
        <v>7.6593137254901966E-2</v>
      </c>
      <c r="AD1340" s="94">
        <f>AC1340*Z1340</f>
        <v>3.6764705882352944</v>
      </c>
      <c r="AE1340" s="190"/>
      <c r="AF1340" s="191"/>
      <c r="AG1340" s="191"/>
      <c r="AH1340" s="191"/>
      <c r="AI1340" s="186"/>
      <c r="AK1340" s="171"/>
    </row>
    <row r="1341" spans="1:37" s="102" customFormat="1" ht="19.899999999999999" customHeight="1" x14ac:dyDescent="0.25">
      <c r="A1341" s="45"/>
      <c r="B1341" s="59"/>
      <c r="C1341" s="137"/>
      <c r="D1341" s="59"/>
      <c r="E1341" s="116"/>
      <c r="F1341" s="120"/>
      <c r="G1341" s="120"/>
      <c r="H1341" s="120"/>
      <c r="I1341" s="60"/>
      <c r="J1341" s="116"/>
      <c r="K1341" s="213"/>
      <c r="L1341" s="120"/>
      <c r="M1341" s="120"/>
      <c r="N1341" s="167"/>
      <c r="O1341" s="120"/>
      <c r="P1341" s="120"/>
      <c r="Q1341" s="120"/>
      <c r="R1341" s="120"/>
      <c r="S1341" s="120"/>
      <c r="T1341" s="221"/>
      <c r="U1341" s="89"/>
      <c r="V1341" s="61"/>
      <c r="W1341" s="92" t="s">
        <v>65</v>
      </c>
      <c r="X1341" s="93" t="s">
        <v>30</v>
      </c>
      <c r="Y1341" s="93" t="s">
        <v>1011</v>
      </c>
      <c r="Z1341" s="134">
        <f>VLOOKUP(W1341,Sheet2!$B:$D,3,FALSE)</f>
        <v>1.76</v>
      </c>
      <c r="AA1341" s="93">
        <f>AA1340/10</f>
        <v>0.81600000000000006</v>
      </c>
      <c r="AB1341" s="93">
        <f>AD1341/AC1336</f>
        <v>2.1568627450980391</v>
      </c>
      <c r="AC1341" s="93">
        <f>AC1336/AA1341</f>
        <v>0.76593137254901955</v>
      </c>
      <c r="AD1341" s="94">
        <f>AC1341*Z1341</f>
        <v>1.3480392156862744</v>
      </c>
      <c r="AE1341" s="190"/>
      <c r="AF1341" s="191"/>
      <c r="AG1341" s="191"/>
      <c r="AH1341" s="191"/>
      <c r="AI1341" s="186"/>
      <c r="AK1341" s="171"/>
    </row>
    <row r="1342" spans="1:37" s="102" customFormat="1" ht="19.899999999999999" customHeight="1" x14ac:dyDescent="0.25">
      <c r="A1342" s="45"/>
      <c r="B1342" s="59"/>
      <c r="C1342" s="137"/>
      <c r="D1342" s="59"/>
      <c r="E1342" s="116"/>
      <c r="F1342" s="120"/>
      <c r="G1342" s="120"/>
      <c r="H1342" s="120"/>
      <c r="I1342" s="60"/>
      <c r="J1342" s="116"/>
      <c r="K1342" s="213"/>
      <c r="L1342" s="120"/>
      <c r="M1342" s="120"/>
      <c r="N1342" s="167"/>
      <c r="O1342" s="120"/>
      <c r="P1342" s="120"/>
      <c r="Q1342" s="120"/>
      <c r="R1342" s="120"/>
      <c r="S1342" s="120"/>
      <c r="T1342" s="221"/>
      <c r="U1342" s="89"/>
      <c r="V1342" s="61"/>
      <c r="W1342" s="92" t="s">
        <v>173</v>
      </c>
      <c r="X1342" s="93" t="s">
        <v>29</v>
      </c>
      <c r="Y1342" s="93" t="s">
        <v>93</v>
      </c>
      <c r="Z1342" s="134">
        <f>VLOOKUP(W1342,Sheet2!$B:$D,3,FALSE)</f>
        <v>36</v>
      </c>
      <c r="AA1342" s="93">
        <f>50/(2.5*0.5*0.5*4)</f>
        <v>20</v>
      </c>
      <c r="AB1342" s="93">
        <f>AD1342/AC1336</f>
        <v>1.8</v>
      </c>
      <c r="AC1342" s="93">
        <f>AC1336/AA1342</f>
        <v>3.125E-2</v>
      </c>
      <c r="AD1342" s="94">
        <f>AC1342*Z1342</f>
        <v>1.125</v>
      </c>
      <c r="AE1342" s="190"/>
      <c r="AF1342" s="191"/>
      <c r="AG1342" s="191"/>
      <c r="AH1342" s="191"/>
      <c r="AI1342" s="186"/>
      <c r="AK1342" s="171"/>
    </row>
    <row r="1343" spans="1:37" s="102" customFormat="1" ht="19.899999999999999" customHeight="1" x14ac:dyDescent="0.25">
      <c r="A1343" s="45"/>
      <c r="B1343" s="59"/>
      <c r="C1343" s="137"/>
      <c r="D1343" s="59"/>
      <c r="E1343" s="116"/>
      <c r="F1343" s="120"/>
      <c r="G1343" s="120"/>
      <c r="H1343" s="120"/>
      <c r="I1343" s="60"/>
      <c r="J1343" s="116"/>
      <c r="K1343" s="213"/>
      <c r="L1343" s="120"/>
      <c r="M1343" s="120"/>
      <c r="N1343" s="167"/>
      <c r="O1343" s="120"/>
      <c r="P1343" s="120"/>
      <c r="Q1343" s="120"/>
      <c r="R1343" s="120"/>
      <c r="S1343" s="120"/>
      <c r="T1343" s="221"/>
      <c r="U1343" s="89"/>
      <c r="V1343" s="61"/>
      <c r="W1343" s="92" t="s">
        <v>65</v>
      </c>
      <c r="X1343" s="93" t="s">
        <v>30</v>
      </c>
      <c r="Y1343" s="93" t="s">
        <v>1011</v>
      </c>
      <c r="Z1343" s="134">
        <f>VLOOKUP(W1343,Sheet2!$B:$D,3,FALSE)</f>
        <v>1.76</v>
      </c>
      <c r="AA1343" s="93">
        <f>AA1342/9</f>
        <v>2.2222222222222223</v>
      </c>
      <c r="AB1343" s="93">
        <f>AD1343/AC1336</f>
        <v>0.79200000000000004</v>
      </c>
      <c r="AC1343" s="93">
        <f>AC1336/AA1343</f>
        <v>0.28125</v>
      </c>
      <c r="AD1343" s="94">
        <f>AC1343*Z1343</f>
        <v>0.495</v>
      </c>
      <c r="AE1343" s="190"/>
      <c r="AF1343" s="191"/>
      <c r="AG1343" s="191"/>
      <c r="AH1343" s="191"/>
      <c r="AI1343" s="186"/>
      <c r="AK1343" s="171"/>
    </row>
    <row r="1344" spans="1:37" s="102" customFormat="1" ht="19.899999999999999" customHeight="1" x14ac:dyDescent="0.25">
      <c r="A1344" s="45"/>
      <c r="B1344" s="59"/>
      <c r="C1344" s="137"/>
      <c r="D1344" s="59"/>
      <c r="E1344" s="116"/>
      <c r="F1344" s="120"/>
      <c r="G1344" s="120"/>
      <c r="H1344" s="120"/>
      <c r="I1344" s="60"/>
      <c r="J1344" s="116"/>
      <c r="K1344" s="213"/>
      <c r="L1344" s="120"/>
      <c r="M1344" s="120"/>
      <c r="N1344" s="167"/>
      <c r="O1344" s="120"/>
      <c r="P1344" s="120"/>
      <c r="Q1344" s="120"/>
      <c r="R1344" s="120"/>
      <c r="S1344" s="120"/>
      <c r="T1344" s="221"/>
      <c r="U1344" s="89"/>
      <c r="V1344" s="61"/>
      <c r="W1344" s="92" t="s">
        <v>1030</v>
      </c>
      <c r="X1344" s="93" t="s">
        <v>29</v>
      </c>
      <c r="Y1344" s="93" t="s">
        <v>93</v>
      </c>
      <c r="Z1344" s="134">
        <f>VLOOKUP(W1344,Sheet2!$B:$D,3,FALSE)</f>
        <v>23</v>
      </c>
      <c r="AA1344" s="93">
        <f>1*4</f>
        <v>4</v>
      </c>
      <c r="AB1344" s="93">
        <f>AD1344/AC1336</f>
        <v>5.75</v>
      </c>
      <c r="AC1344" s="93">
        <f>AC1336/AA1344</f>
        <v>0.15625</v>
      </c>
      <c r="AD1344" s="94">
        <f t="shared" ref="AD1344:AD1345" si="1039">AC1344*Z1344</f>
        <v>3.59375</v>
      </c>
      <c r="AE1344" s="190"/>
      <c r="AF1344" s="191"/>
      <c r="AG1344" s="191"/>
      <c r="AH1344" s="191"/>
      <c r="AI1344" s="186"/>
      <c r="AK1344" s="171"/>
    </row>
    <row r="1345" spans="1:41" s="102" customFormat="1" ht="19.899999999999999" customHeight="1" x14ac:dyDescent="0.25">
      <c r="A1345" s="45"/>
      <c r="B1345" s="59"/>
      <c r="C1345" s="137"/>
      <c r="D1345" s="59"/>
      <c r="E1345" s="116"/>
      <c r="F1345" s="120"/>
      <c r="G1345" s="120"/>
      <c r="H1345" s="120"/>
      <c r="I1345" s="60"/>
      <c r="J1345" s="116"/>
      <c r="K1345" s="213"/>
      <c r="L1345" s="120"/>
      <c r="M1345" s="120"/>
      <c r="N1345" s="167"/>
      <c r="O1345" s="120"/>
      <c r="P1345" s="120"/>
      <c r="Q1345" s="120"/>
      <c r="R1345" s="120"/>
      <c r="S1345" s="120"/>
      <c r="T1345" s="221"/>
      <c r="U1345" s="89"/>
      <c r="V1345" s="61"/>
      <c r="W1345" s="92" t="s">
        <v>65</v>
      </c>
      <c r="X1345" s="93" t="s">
        <v>30</v>
      </c>
      <c r="Y1345" s="93" t="s">
        <v>1011</v>
      </c>
      <c r="Z1345" s="134">
        <f>VLOOKUP(W1345,Sheet2!$B:$D,3,FALSE)</f>
        <v>1.76</v>
      </c>
      <c r="AA1345" s="93">
        <f>AA1344/3</f>
        <v>1.3333333333333333</v>
      </c>
      <c r="AB1345" s="93">
        <f>AD1345/AC1336</f>
        <v>1.3199999999999998</v>
      </c>
      <c r="AC1345" s="93">
        <f>AC1336/AA1345</f>
        <v>0.46875</v>
      </c>
      <c r="AD1345" s="94">
        <f t="shared" si="1039"/>
        <v>0.82499999999999996</v>
      </c>
      <c r="AE1345" s="190"/>
      <c r="AF1345" s="191"/>
      <c r="AG1345" s="191"/>
      <c r="AH1345" s="191"/>
      <c r="AI1345" s="186"/>
      <c r="AK1345" s="171"/>
    </row>
    <row r="1346" spans="1:41" ht="20.100000000000001" customHeight="1" x14ac:dyDescent="0.25">
      <c r="A1346" s="277" t="s">
        <v>216</v>
      </c>
      <c r="B1346" s="278"/>
      <c r="C1346" s="64" t="s">
        <v>333</v>
      </c>
      <c r="D1346" s="46" t="s">
        <v>215</v>
      </c>
      <c r="E1346" s="114">
        <v>0.94499999999999984</v>
      </c>
      <c r="F1346" s="44">
        <v>11077</v>
      </c>
      <c r="G1346" s="44">
        <f t="shared" si="607"/>
        <v>10467.764999999998</v>
      </c>
      <c r="H1346" s="44">
        <f t="shared" si="608"/>
        <v>4195.6732078431378</v>
      </c>
      <c r="I1346" s="43">
        <f t="shared" si="609"/>
        <v>3964.9111814117646</v>
      </c>
      <c r="J1346" s="112">
        <f t="shared" si="610"/>
        <v>0.94499999999999984</v>
      </c>
      <c r="K1346" s="211">
        <f t="shared" si="611"/>
        <v>0.94499999999999984</v>
      </c>
      <c r="L1346" s="44"/>
      <c r="M1346" s="44">
        <f t="shared" si="612"/>
        <v>0.94499999999999984</v>
      </c>
      <c r="N1346" s="173">
        <f t="shared" si="613"/>
        <v>1</v>
      </c>
      <c r="O1346" s="44">
        <f t="shared" si="614"/>
        <v>11077</v>
      </c>
      <c r="P1346" s="44">
        <f t="shared" si="615"/>
        <v>10467.764999999998</v>
      </c>
      <c r="Q1346" s="44">
        <f t="shared" si="616"/>
        <v>4195.6732078431378</v>
      </c>
      <c r="R1346" s="44">
        <f t="shared" si="617"/>
        <v>3964.9111814117646</v>
      </c>
      <c r="S1346" s="123"/>
      <c r="T1346" s="219">
        <f t="shared" si="618"/>
        <v>3964.9111814117646</v>
      </c>
      <c r="U1346" s="87"/>
      <c r="V1346" s="47"/>
      <c r="W1346" s="48"/>
      <c r="X1346" s="48"/>
      <c r="Y1346" s="48"/>
      <c r="Z1346" s="135"/>
      <c r="AA1346" s="49"/>
      <c r="AB1346" s="50">
        <f t="shared" si="619"/>
        <v>4195.6732078431378</v>
      </c>
      <c r="AC1346" s="42">
        <f t="shared" si="620"/>
        <v>0.94499999999999984</v>
      </c>
      <c r="AD1346" s="90">
        <f>AD1347+AD1352+AD1359+AD1362</f>
        <v>3964.9111814117646</v>
      </c>
      <c r="AE1346" s="188">
        <f t="shared" ref="AE1346" si="1040">AE1347+AE1352+AE1359+AE1362</f>
        <v>0</v>
      </c>
      <c r="AF1346" s="189">
        <f t="shared" ref="AF1346" si="1041">AF1347+AF1352+AF1359+AF1362</f>
        <v>0</v>
      </c>
      <c r="AG1346" s="189">
        <f t="shared" ref="AG1346" si="1042">AG1347+AG1352+AG1359+AG1362</f>
        <v>0</v>
      </c>
      <c r="AH1346" s="189">
        <f t="shared" ref="AH1346" si="1043">AH1347+AH1352+AH1359+AH1362</f>
        <v>0</v>
      </c>
      <c r="AI1346" s="161">
        <f t="shared" ref="AI1346" si="1044">SUM(AE1346:AH1346)</f>
        <v>0</v>
      </c>
      <c r="AK1346" s="169">
        <v>5</v>
      </c>
      <c r="AO1346" s="19" t="s">
        <v>63</v>
      </c>
    </row>
    <row r="1347" spans="1:41" s="103" customFormat="1" ht="19.899999999999999" customHeight="1" x14ac:dyDescent="0.25">
      <c r="A1347" s="51"/>
      <c r="B1347" s="52"/>
      <c r="C1347" s="165"/>
      <c r="D1347" s="52"/>
      <c r="E1347" s="115"/>
      <c r="F1347" s="58"/>
      <c r="G1347" s="58"/>
      <c r="H1347" s="58"/>
      <c r="I1347" s="55"/>
      <c r="J1347" s="113">
        <f>J1346</f>
        <v>0.94499999999999984</v>
      </c>
      <c r="K1347" s="212">
        <f>K1346</f>
        <v>0.94499999999999984</v>
      </c>
      <c r="L1347" s="58"/>
      <c r="M1347" s="58">
        <f>K1347-L1347</f>
        <v>0.94499999999999984</v>
      </c>
      <c r="N1347" s="166"/>
      <c r="O1347" s="58"/>
      <c r="P1347" s="58"/>
      <c r="Q1347" s="58"/>
      <c r="R1347" s="58"/>
      <c r="S1347" s="58"/>
      <c r="T1347" s="220"/>
      <c r="U1347" s="88"/>
      <c r="V1347" s="56"/>
      <c r="W1347" s="57" t="s">
        <v>1363</v>
      </c>
      <c r="X1347" s="53"/>
      <c r="Y1347" s="91" t="s">
        <v>35</v>
      </c>
      <c r="Z1347" s="136">
        <f>AD1347/AC1347</f>
        <v>36.198776470588236</v>
      </c>
      <c r="AA1347" s="58"/>
      <c r="AB1347" s="53">
        <f>AD1347/AC1347</f>
        <v>36.198776470588236</v>
      </c>
      <c r="AC1347" s="53">
        <f>M1347+$AE$10</f>
        <v>0.94499999999999984</v>
      </c>
      <c r="AD1347" s="54">
        <f>SUM(AD1348:AD1351)</f>
        <v>34.207843764705878</v>
      </c>
      <c r="AE1347" s="184">
        <f>SUMIFS($AD$37:$AD$12971,$V$37:$V$12971,$V1347,$X$37:$X$12971,AE$13)</f>
        <v>0</v>
      </c>
      <c r="AF1347" s="185">
        <f>SUMIFS($AD$37:$AD$12971,$V$37:$V$12971,$V1347,$X$37:$X$12971,AF$13)</f>
        <v>0</v>
      </c>
      <c r="AG1347" s="185">
        <f>SUMIFS($AD$37:$AD$12971,$V$37:$V$12971,$V1347,$X$37:$X$12971,AG$13)</f>
        <v>0</v>
      </c>
      <c r="AH1347" s="187">
        <f>SUMIFS($AD$37:$AD$12971,$V$37:$V$12971,$V1347,$X$37:$X$12971,AH$13)</f>
        <v>0</v>
      </c>
      <c r="AI1347" s="161">
        <f t="shared" ref="AI1347" si="1045">SUM(AE1347:AH1347)</f>
        <v>0</v>
      </c>
      <c r="AK1347" s="172"/>
    </row>
    <row r="1348" spans="1:41" s="102" customFormat="1" ht="19.899999999999999" customHeight="1" x14ac:dyDescent="0.25">
      <c r="A1348" s="45"/>
      <c r="B1348" s="59"/>
      <c r="C1348" s="137"/>
      <c r="D1348" s="59"/>
      <c r="E1348" s="116"/>
      <c r="F1348" s="120"/>
      <c r="G1348" s="120"/>
      <c r="H1348" s="120"/>
      <c r="I1348" s="60"/>
      <c r="J1348" s="116"/>
      <c r="K1348" s="213"/>
      <c r="L1348" s="120"/>
      <c r="M1348" s="120"/>
      <c r="N1348" s="167"/>
      <c r="O1348" s="120"/>
      <c r="P1348" s="120"/>
      <c r="Q1348" s="120"/>
      <c r="R1348" s="120"/>
      <c r="S1348" s="120"/>
      <c r="T1348" s="221"/>
      <c r="U1348" s="89"/>
      <c r="V1348" s="61"/>
      <c r="W1348" s="92" t="s">
        <v>129</v>
      </c>
      <c r="X1348" s="93" t="s">
        <v>29</v>
      </c>
      <c r="Y1348" s="93" t="s">
        <v>93</v>
      </c>
      <c r="Z1348" s="134">
        <f>VLOOKUP(W1348,Sheet2!$B:$D,3,FALSE)</f>
        <v>56</v>
      </c>
      <c r="AA1348" s="93">
        <f>100/(3*3*1)</f>
        <v>11.111111111111111</v>
      </c>
      <c r="AB1348" s="93">
        <f t="shared" ref="AB1348" si="1046">AD1348/AC1347</f>
        <v>5.04</v>
      </c>
      <c r="AC1348" s="93">
        <f>AC1347/AA1348</f>
        <v>8.5049999999999987E-2</v>
      </c>
      <c r="AD1348" s="94">
        <f t="shared" ref="AD1348:AD1349" si="1047">AC1348*Z1348</f>
        <v>4.7627999999999995</v>
      </c>
      <c r="AE1348" s="190"/>
      <c r="AF1348" s="191"/>
      <c r="AG1348" s="191"/>
      <c r="AH1348" s="191"/>
      <c r="AI1348" s="186"/>
      <c r="AK1348" s="171"/>
    </row>
    <row r="1349" spans="1:41" s="102" customFormat="1" ht="19.899999999999999" customHeight="1" x14ac:dyDescent="0.25">
      <c r="A1349" s="45"/>
      <c r="B1349" s="59"/>
      <c r="C1349" s="137"/>
      <c r="D1349" s="59"/>
      <c r="E1349" s="116"/>
      <c r="F1349" s="120"/>
      <c r="G1349" s="120"/>
      <c r="H1349" s="120"/>
      <c r="I1349" s="60"/>
      <c r="J1349" s="116"/>
      <c r="K1349" s="213"/>
      <c r="L1349" s="120"/>
      <c r="M1349" s="120"/>
      <c r="N1349" s="167"/>
      <c r="O1349" s="120"/>
      <c r="P1349" s="120"/>
      <c r="Q1349" s="120"/>
      <c r="R1349" s="120"/>
      <c r="S1349" s="120"/>
      <c r="T1349" s="221"/>
      <c r="U1349" s="89"/>
      <c r="V1349" s="61"/>
      <c r="W1349" s="92" t="s">
        <v>65</v>
      </c>
      <c r="X1349" s="93" t="s">
        <v>30</v>
      </c>
      <c r="Y1349" s="93" t="s">
        <v>1011</v>
      </c>
      <c r="Z1349" s="134">
        <f>VLOOKUP(W1349,Sheet2!$B:$D,3,FALSE)</f>
        <v>1.76</v>
      </c>
      <c r="AA1349" s="93">
        <f>AA1348/14</f>
        <v>0.79365079365079361</v>
      </c>
      <c r="AB1349" s="93">
        <f>AD1349/AC1347</f>
        <v>2.2176</v>
      </c>
      <c r="AC1349" s="93">
        <f>AC1347/AA1349</f>
        <v>1.1906999999999999</v>
      </c>
      <c r="AD1349" s="94">
        <f t="shared" si="1047"/>
        <v>2.0956319999999997</v>
      </c>
      <c r="AE1349" s="190"/>
      <c r="AF1349" s="191"/>
      <c r="AG1349" s="191"/>
      <c r="AH1349" s="191"/>
      <c r="AI1349" s="186"/>
      <c r="AK1349" s="171"/>
    </row>
    <row r="1350" spans="1:41" s="102" customFormat="1" ht="19.899999999999999" customHeight="1" x14ac:dyDescent="0.25">
      <c r="A1350" s="45"/>
      <c r="B1350" s="59"/>
      <c r="C1350" s="137"/>
      <c r="D1350" s="59"/>
      <c r="E1350" s="116"/>
      <c r="F1350" s="120"/>
      <c r="G1350" s="120"/>
      <c r="H1350" s="120"/>
      <c r="I1350" s="60"/>
      <c r="J1350" s="116"/>
      <c r="K1350" s="213"/>
      <c r="L1350" s="120"/>
      <c r="M1350" s="120"/>
      <c r="N1350" s="167"/>
      <c r="O1350" s="120"/>
      <c r="P1350" s="120"/>
      <c r="Q1350" s="120"/>
      <c r="R1350" s="120"/>
      <c r="S1350" s="120"/>
      <c r="T1350" s="221"/>
      <c r="U1350" s="89"/>
      <c r="V1350" s="61"/>
      <c r="W1350" s="92" t="s">
        <v>161</v>
      </c>
      <c r="X1350" s="93" t="s">
        <v>29</v>
      </c>
      <c r="Y1350" s="93" t="s">
        <v>93</v>
      </c>
      <c r="Z1350" s="134">
        <f>VLOOKUP(W1350,Sheet2!$B:$D,3,FALSE)</f>
        <v>48</v>
      </c>
      <c r="AA1350" s="93">
        <f>(16*0.85*1.5)/(3*3*1)</f>
        <v>2.2666666666666666</v>
      </c>
      <c r="AB1350" s="93">
        <f>AD1350/AC1347</f>
        <v>21.176470588235293</v>
      </c>
      <c r="AC1350" s="93">
        <f>AC1347/AA1350</f>
        <v>0.41691176470588232</v>
      </c>
      <c r="AD1350" s="94">
        <f>AC1350*Z1350</f>
        <v>20.011764705882349</v>
      </c>
      <c r="AE1350" s="190"/>
      <c r="AF1350" s="191"/>
      <c r="AG1350" s="191"/>
      <c r="AH1350" s="191"/>
      <c r="AI1350" s="186"/>
      <c r="AK1350" s="171"/>
    </row>
    <row r="1351" spans="1:41" s="102" customFormat="1" ht="19.899999999999999" customHeight="1" x14ac:dyDescent="0.25">
      <c r="A1351" s="45"/>
      <c r="B1351" s="59"/>
      <c r="C1351" s="137"/>
      <c r="D1351" s="59"/>
      <c r="E1351" s="116"/>
      <c r="F1351" s="120"/>
      <c r="G1351" s="120"/>
      <c r="H1351" s="120"/>
      <c r="I1351" s="60"/>
      <c r="J1351" s="116"/>
      <c r="K1351" s="213"/>
      <c r="L1351" s="120"/>
      <c r="M1351" s="120"/>
      <c r="N1351" s="167"/>
      <c r="O1351" s="120"/>
      <c r="P1351" s="120"/>
      <c r="Q1351" s="120"/>
      <c r="R1351" s="120"/>
      <c r="S1351" s="120"/>
      <c r="T1351" s="221"/>
      <c r="U1351" s="89"/>
      <c r="V1351" s="61"/>
      <c r="W1351" s="92" t="s">
        <v>65</v>
      </c>
      <c r="X1351" s="93" t="s">
        <v>30</v>
      </c>
      <c r="Y1351" s="93" t="s">
        <v>1011</v>
      </c>
      <c r="Z1351" s="134">
        <f>VLOOKUP(W1351,Sheet2!$B:$D,3,FALSE)</f>
        <v>1.76</v>
      </c>
      <c r="AA1351" s="93">
        <f>AA1350/10</f>
        <v>0.22666666666666666</v>
      </c>
      <c r="AB1351" s="93">
        <f>AD1351/AC1347</f>
        <v>7.764705882352942</v>
      </c>
      <c r="AC1351" s="93">
        <f>AC1347/AA1351</f>
        <v>4.1691176470588234</v>
      </c>
      <c r="AD1351" s="94">
        <f>AC1351*Z1351</f>
        <v>7.3376470588235287</v>
      </c>
      <c r="AE1351" s="190"/>
      <c r="AF1351" s="191"/>
      <c r="AG1351" s="191"/>
      <c r="AH1351" s="191"/>
      <c r="AI1351" s="186"/>
      <c r="AK1351" s="171"/>
    </row>
    <row r="1352" spans="1:41" s="103" customFormat="1" ht="19.899999999999999" customHeight="1" x14ac:dyDescent="0.25">
      <c r="A1352" s="51"/>
      <c r="B1352" s="52"/>
      <c r="C1352" s="165"/>
      <c r="D1352" s="52"/>
      <c r="E1352" s="115"/>
      <c r="F1352" s="58"/>
      <c r="G1352" s="58"/>
      <c r="H1352" s="58"/>
      <c r="I1352" s="55"/>
      <c r="J1352" s="113">
        <f>J1346</f>
        <v>0.94499999999999984</v>
      </c>
      <c r="K1352" s="212">
        <f>K1346</f>
        <v>0.94499999999999984</v>
      </c>
      <c r="L1352" s="58"/>
      <c r="M1352" s="58">
        <f>K1352-L1352</f>
        <v>0.94499999999999984</v>
      </c>
      <c r="N1352" s="166"/>
      <c r="O1352" s="58"/>
      <c r="P1352" s="58"/>
      <c r="Q1352" s="58"/>
      <c r="R1352" s="58"/>
      <c r="S1352" s="58"/>
      <c r="T1352" s="220"/>
      <c r="U1352" s="88"/>
      <c r="V1352" s="56"/>
      <c r="W1352" s="57" t="s">
        <v>1352</v>
      </c>
      <c r="X1352" s="53"/>
      <c r="Y1352" s="91" t="s">
        <v>35</v>
      </c>
      <c r="Z1352" s="136">
        <f>AD1352/AC1352</f>
        <v>2950</v>
      </c>
      <c r="AA1352" s="58"/>
      <c r="AB1352" s="53">
        <f>AD1352/AC1352</f>
        <v>2950</v>
      </c>
      <c r="AC1352" s="53">
        <f>M1352+$AE$10</f>
        <v>0.94499999999999984</v>
      </c>
      <c r="AD1352" s="54">
        <f>SUM(AD1353:AD1358)</f>
        <v>2787.7499999999995</v>
      </c>
      <c r="AE1352" s="184">
        <f>SUMIFS($AD$37:$AD$12971,$V$37:$V$12971,$V1352,$X$37:$X$12971,AE$13)</f>
        <v>0</v>
      </c>
      <c r="AF1352" s="185">
        <f>SUMIFS($AD$37:$AD$12971,$V$37:$V$12971,$V1352,$X$37:$X$12971,AF$13)</f>
        <v>0</v>
      </c>
      <c r="AG1352" s="185">
        <f>SUMIFS($AD$37:$AD$12971,$V$37:$V$12971,$V1352,$X$37:$X$12971,AG$13)</f>
        <v>0</v>
      </c>
      <c r="AH1352" s="187">
        <f>SUMIFS($AD$37:$AD$12971,$V$37:$V$12971,$V1352,$X$37:$X$12971,AH$13)</f>
        <v>0</v>
      </c>
      <c r="AI1352" s="161">
        <f t="shared" ref="AI1352" si="1048">SUM(AE1352:AH1352)</f>
        <v>0</v>
      </c>
      <c r="AK1352" s="172"/>
    </row>
    <row r="1353" spans="1:41" s="102" customFormat="1" ht="19.899999999999999" customHeight="1" x14ac:dyDescent="0.25">
      <c r="A1353" s="45"/>
      <c r="B1353" s="59"/>
      <c r="C1353" s="137"/>
      <c r="D1353" s="59"/>
      <c r="E1353" s="116"/>
      <c r="F1353" s="120"/>
      <c r="G1353" s="120"/>
      <c r="H1353" s="120"/>
      <c r="I1353" s="60"/>
      <c r="J1353" s="116"/>
      <c r="K1353" s="213"/>
      <c r="L1353" s="120"/>
      <c r="M1353" s="120"/>
      <c r="N1353" s="167"/>
      <c r="O1353" s="120"/>
      <c r="P1353" s="120"/>
      <c r="Q1353" s="120"/>
      <c r="R1353" s="120"/>
      <c r="S1353" s="120"/>
      <c r="T1353" s="221"/>
      <c r="U1353" s="89"/>
      <c r="V1353" s="61"/>
      <c r="W1353" s="92" t="s">
        <v>1353</v>
      </c>
      <c r="X1353" s="93" t="s">
        <v>30</v>
      </c>
      <c r="Y1353" s="93" t="s">
        <v>66</v>
      </c>
      <c r="Z1353" s="134">
        <f>VLOOKUP(W1353,Sheet2!$B:$D,3,FALSE)</f>
        <v>350</v>
      </c>
      <c r="AA1353" s="93">
        <f>1/(2*1*0.25*4)</f>
        <v>0.5</v>
      </c>
      <c r="AB1353" s="93">
        <f>AD1353/AC1352</f>
        <v>700</v>
      </c>
      <c r="AC1353" s="93">
        <f>AC1352/AA1353</f>
        <v>1.8899999999999997</v>
      </c>
      <c r="AD1353" s="94">
        <f t="shared" ref="AD1353:AD1354" si="1049">AC1353*Z1353</f>
        <v>661.49999999999989</v>
      </c>
      <c r="AE1353" s="190"/>
      <c r="AF1353" s="191"/>
      <c r="AG1353" s="191"/>
      <c r="AH1353" s="191"/>
      <c r="AI1353" s="186"/>
      <c r="AK1353" s="171"/>
    </row>
    <row r="1354" spans="1:41" s="102" customFormat="1" ht="19.899999999999999" customHeight="1" x14ac:dyDescent="0.25">
      <c r="A1354" s="45"/>
      <c r="B1354" s="59"/>
      <c r="C1354" s="137"/>
      <c r="D1354" s="59"/>
      <c r="E1354" s="116"/>
      <c r="F1354" s="120"/>
      <c r="G1354" s="120"/>
      <c r="H1354" s="120"/>
      <c r="I1354" s="60"/>
      <c r="J1354" s="116"/>
      <c r="K1354" s="213"/>
      <c r="L1354" s="120"/>
      <c r="M1354" s="120"/>
      <c r="N1354" s="167"/>
      <c r="O1354" s="120"/>
      <c r="P1354" s="120"/>
      <c r="Q1354" s="120"/>
      <c r="R1354" s="120"/>
      <c r="S1354" s="120"/>
      <c r="T1354" s="221"/>
      <c r="U1354" s="89"/>
      <c r="V1354" s="61"/>
      <c r="W1354" s="92" t="s">
        <v>99</v>
      </c>
      <c r="X1354" s="93" t="s">
        <v>30</v>
      </c>
      <c r="Y1354" s="93" t="s">
        <v>67</v>
      </c>
      <c r="Z1354" s="134">
        <f>VLOOKUP(W1354,Sheet2!$B:$D,3,FALSE)</f>
        <v>2500</v>
      </c>
      <c r="AA1354" s="93">
        <f>1/(2*1*0.25*4*0.08)</f>
        <v>6.25</v>
      </c>
      <c r="AB1354" s="93">
        <f>AD1354/AC1352</f>
        <v>400</v>
      </c>
      <c r="AC1354" s="93">
        <f>AC1352/AA1354</f>
        <v>0.15119999999999997</v>
      </c>
      <c r="AD1354" s="94">
        <f t="shared" si="1049"/>
        <v>377.99999999999994</v>
      </c>
      <c r="AE1354" s="190"/>
      <c r="AF1354" s="191"/>
      <c r="AG1354" s="191"/>
      <c r="AH1354" s="191"/>
      <c r="AI1354" s="186"/>
      <c r="AK1354" s="171"/>
    </row>
    <row r="1355" spans="1:41" s="102" customFormat="1" ht="19.899999999999999" customHeight="1" x14ac:dyDescent="0.25">
      <c r="A1355" s="45"/>
      <c r="B1355" s="59"/>
      <c r="C1355" s="137"/>
      <c r="D1355" s="59"/>
      <c r="E1355" s="116"/>
      <c r="F1355" s="120"/>
      <c r="G1355" s="120"/>
      <c r="H1355" s="120"/>
      <c r="I1355" s="60"/>
      <c r="J1355" s="116"/>
      <c r="K1355" s="213"/>
      <c r="L1355" s="120"/>
      <c r="M1355" s="120"/>
      <c r="N1355" s="167"/>
      <c r="O1355" s="120"/>
      <c r="P1355" s="120"/>
      <c r="Q1355" s="120"/>
      <c r="R1355" s="120"/>
      <c r="S1355" s="120"/>
      <c r="T1355" s="221"/>
      <c r="U1355" s="89"/>
      <c r="V1355" s="61"/>
      <c r="W1355" s="92" t="s">
        <v>1355</v>
      </c>
      <c r="X1355" s="93" t="s">
        <v>32</v>
      </c>
      <c r="Y1355" s="93" t="s">
        <v>66</v>
      </c>
      <c r="Z1355" s="134">
        <f>VLOOKUP(W1355,Sheet2!$B:$D,3,FALSE)</f>
        <v>450</v>
      </c>
      <c r="AA1355" s="93">
        <f>AA1353</f>
        <v>0.5</v>
      </c>
      <c r="AB1355" s="93">
        <f>AD1355/AC1352</f>
        <v>900</v>
      </c>
      <c r="AC1355" s="93">
        <f>AC1352/AA1355</f>
        <v>1.8899999999999997</v>
      </c>
      <c r="AD1355" s="94">
        <f>AC1355*Z1355</f>
        <v>850.49999999999989</v>
      </c>
      <c r="AE1355" s="190"/>
      <c r="AF1355" s="191"/>
      <c r="AG1355" s="191"/>
      <c r="AH1355" s="191"/>
      <c r="AI1355" s="186"/>
      <c r="AK1355" s="171"/>
    </row>
    <row r="1356" spans="1:41" s="102" customFormat="1" ht="19.899999999999999" customHeight="1" x14ac:dyDescent="0.25">
      <c r="A1356" s="45"/>
      <c r="B1356" s="59"/>
      <c r="C1356" s="137"/>
      <c r="D1356" s="59"/>
      <c r="E1356" s="116"/>
      <c r="F1356" s="120"/>
      <c r="G1356" s="120"/>
      <c r="H1356" s="120"/>
      <c r="I1356" s="60"/>
      <c r="J1356" s="116"/>
      <c r="K1356" s="213"/>
      <c r="L1356" s="120"/>
      <c r="M1356" s="120"/>
      <c r="N1356" s="167"/>
      <c r="O1356" s="120"/>
      <c r="P1356" s="120"/>
      <c r="Q1356" s="120"/>
      <c r="R1356" s="120"/>
      <c r="S1356" s="120"/>
      <c r="T1356" s="221"/>
      <c r="U1356" s="89"/>
      <c r="V1356" s="61"/>
      <c r="W1356" s="92" t="s">
        <v>1362</v>
      </c>
      <c r="X1356" s="93" t="s">
        <v>30</v>
      </c>
      <c r="Y1356" s="93" t="s">
        <v>35</v>
      </c>
      <c r="Z1356" s="134">
        <f>VLOOKUP(W1356,Sheet2!$B:$D,3,FALSE)</f>
        <v>400</v>
      </c>
      <c r="AA1356" s="93">
        <v>0.5</v>
      </c>
      <c r="AB1356" s="93">
        <f>AD1356/AC1352</f>
        <v>800</v>
      </c>
      <c r="AC1356" s="93">
        <f>AC1352/AA1356</f>
        <v>1.8899999999999997</v>
      </c>
      <c r="AD1356" s="94">
        <f t="shared" ref="AD1356" si="1050">AC1356*Z1356</f>
        <v>755.99999999999989</v>
      </c>
      <c r="AE1356" s="190"/>
      <c r="AF1356" s="191"/>
      <c r="AG1356" s="191"/>
      <c r="AH1356" s="191"/>
      <c r="AI1356" s="186"/>
      <c r="AK1356" s="171"/>
    </row>
    <row r="1357" spans="1:41" s="102" customFormat="1" ht="19.899999999999999" customHeight="1" x14ac:dyDescent="0.25">
      <c r="A1357" s="45"/>
      <c r="B1357" s="59"/>
      <c r="C1357" s="137"/>
      <c r="D1357" s="59"/>
      <c r="E1357" s="116"/>
      <c r="F1357" s="120"/>
      <c r="G1357" s="120"/>
      <c r="H1357" s="120"/>
      <c r="I1357" s="60"/>
      <c r="J1357" s="116"/>
      <c r="K1357" s="213"/>
      <c r="L1357" s="120"/>
      <c r="M1357" s="120"/>
      <c r="N1357" s="167"/>
      <c r="O1357" s="120"/>
      <c r="P1357" s="120"/>
      <c r="Q1357" s="120"/>
      <c r="R1357" s="120"/>
      <c r="S1357" s="120"/>
      <c r="T1357" s="221"/>
      <c r="U1357" s="89"/>
      <c r="V1357" s="61"/>
      <c r="W1357" s="92" t="s">
        <v>107</v>
      </c>
      <c r="X1357" s="93" t="s">
        <v>31</v>
      </c>
      <c r="Y1357" s="93" t="s">
        <v>93</v>
      </c>
      <c r="Z1357" s="134">
        <f>VLOOKUP(W1357,Sheet2!$B:$D,3,FALSE)</f>
        <v>17</v>
      </c>
      <c r="AA1357" s="93">
        <f>1/5</f>
        <v>0.2</v>
      </c>
      <c r="AB1357" s="93">
        <f>AD1357/AC1352</f>
        <v>84.999999999999986</v>
      </c>
      <c r="AC1357" s="93">
        <f>AC1352/AA1357</f>
        <v>4.7249999999999988</v>
      </c>
      <c r="AD1357" s="94">
        <f>AC1357*Z1357</f>
        <v>80.324999999999974</v>
      </c>
      <c r="AE1357" s="190"/>
      <c r="AF1357" s="191"/>
      <c r="AG1357" s="191"/>
      <c r="AH1357" s="191"/>
      <c r="AI1357" s="186"/>
      <c r="AK1357" s="171"/>
    </row>
    <row r="1358" spans="1:41" s="102" customFormat="1" ht="19.899999999999999" customHeight="1" x14ac:dyDescent="0.25">
      <c r="A1358" s="45"/>
      <c r="B1358" s="59"/>
      <c r="C1358" s="137"/>
      <c r="D1358" s="59"/>
      <c r="E1358" s="116"/>
      <c r="F1358" s="120"/>
      <c r="G1358" s="120"/>
      <c r="H1358" s="120"/>
      <c r="I1358" s="60"/>
      <c r="J1358" s="116"/>
      <c r="K1358" s="213"/>
      <c r="L1358" s="120"/>
      <c r="M1358" s="120"/>
      <c r="N1358" s="167"/>
      <c r="O1358" s="120"/>
      <c r="P1358" s="120"/>
      <c r="Q1358" s="120"/>
      <c r="R1358" s="120"/>
      <c r="S1358" s="120"/>
      <c r="T1358" s="221"/>
      <c r="U1358" s="89"/>
      <c r="V1358" s="61"/>
      <c r="W1358" s="92" t="s">
        <v>112</v>
      </c>
      <c r="X1358" s="93" t="s">
        <v>31</v>
      </c>
      <c r="Y1358" s="93" t="s">
        <v>93</v>
      </c>
      <c r="Z1358" s="134">
        <f>VLOOKUP(W1358,Sheet2!$B:$D,3,FALSE)</f>
        <v>13</v>
      </c>
      <c r="AA1358" s="93">
        <f>AA1357</f>
        <v>0.2</v>
      </c>
      <c r="AB1358" s="93">
        <f>AD1358/AC1352</f>
        <v>65</v>
      </c>
      <c r="AC1358" s="93">
        <f>AC1352/AA1358</f>
        <v>4.7249999999999988</v>
      </c>
      <c r="AD1358" s="94">
        <f>AC1358*Z1358</f>
        <v>61.424999999999983</v>
      </c>
      <c r="AE1358" s="190"/>
      <c r="AF1358" s="191"/>
      <c r="AG1358" s="191"/>
      <c r="AH1358" s="191"/>
      <c r="AI1358" s="186"/>
      <c r="AK1358" s="171"/>
    </row>
    <row r="1359" spans="1:41" s="103" customFormat="1" ht="19.899999999999999" customHeight="1" x14ac:dyDescent="0.25">
      <c r="A1359" s="51"/>
      <c r="B1359" s="52"/>
      <c r="C1359" s="165"/>
      <c r="D1359" s="52"/>
      <c r="E1359" s="115"/>
      <c r="F1359" s="58"/>
      <c r="G1359" s="58"/>
      <c r="H1359" s="58"/>
      <c r="I1359" s="55"/>
      <c r="J1359" s="113">
        <f>J1346</f>
        <v>0.94499999999999984</v>
      </c>
      <c r="K1359" s="212">
        <f>K1346</f>
        <v>0.94499999999999984</v>
      </c>
      <c r="L1359" s="58"/>
      <c r="M1359" s="58">
        <f>K1359-L1359</f>
        <v>0.94499999999999984</v>
      </c>
      <c r="N1359" s="166"/>
      <c r="O1359" s="58"/>
      <c r="P1359" s="58"/>
      <c r="Q1359" s="58"/>
      <c r="R1359" s="58"/>
      <c r="S1359" s="58"/>
      <c r="T1359" s="220"/>
      <c r="U1359" s="88"/>
      <c r="V1359" s="56"/>
      <c r="W1359" s="57" t="s">
        <v>1358</v>
      </c>
      <c r="X1359" s="53"/>
      <c r="Y1359" s="91" t="s">
        <v>35</v>
      </c>
      <c r="Z1359" s="136">
        <f>AD1359/AC1359</f>
        <v>1120</v>
      </c>
      <c r="AA1359" s="58"/>
      <c r="AB1359" s="53">
        <f>AD1359/AC1359</f>
        <v>1120</v>
      </c>
      <c r="AC1359" s="53">
        <f>M1359+$AE$10</f>
        <v>0.94499999999999984</v>
      </c>
      <c r="AD1359" s="54">
        <f>SUM(AD1360:AD1361)</f>
        <v>1058.3999999999999</v>
      </c>
      <c r="AE1359" s="184">
        <f>SUMIFS($AD$37:$AD$12971,$V$37:$V$12971,$V1359,$X$37:$X$12971,AE$13)</f>
        <v>0</v>
      </c>
      <c r="AF1359" s="185">
        <f>SUMIFS($AD$37:$AD$12971,$V$37:$V$12971,$V1359,$X$37:$X$12971,AF$13)</f>
        <v>0</v>
      </c>
      <c r="AG1359" s="185">
        <f>SUMIFS($AD$37:$AD$12971,$V$37:$V$12971,$V1359,$X$37:$X$12971,AG$13)</f>
        <v>0</v>
      </c>
      <c r="AH1359" s="187">
        <f>SUMIFS($AD$37:$AD$12971,$V$37:$V$12971,$V1359,$X$37:$X$12971,AH$13)</f>
        <v>0</v>
      </c>
      <c r="AI1359" s="161">
        <f t="shared" ref="AI1359" si="1051">SUM(AE1359:AH1359)</f>
        <v>0</v>
      </c>
      <c r="AK1359" s="172"/>
    </row>
    <row r="1360" spans="1:41" s="102" customFormat="1" ht="19.899999999999999" customHeight="1" x14ac:dyDescent="0.25">
      <c r="A1360" s="45"/>
      <c r="B1360" s="59"/>
      <c r="C1360" s="137"/>
      <c r="D1360" s="59"/>
      <c r="E1360" s="116"/>
      <c r="F1360" s="120"/>
      <c r="G1360" s="120"/>
      <c r="H1360" s="120"/>
      <c r="I1360" s="60"/>
      <c r="J1360" s="116"/>
      <c r="K1360" s="213"/>
      <c r="L1360" s="120"/>
      <c r="M1360" s="120"/>
      <c r="N1360" s="167"/>
      <c r="O1360" s="120"/>
      <c r="P1360" s="120"/>
      <c r="Q1360" s="120"/>
      <c r="R1360" s="120"/>
      <c r="S1360" s="120"/>
      <c r="T1360" s="221"/>
      <c r="U1360" s="89"/>
      <c r="V1360" s="61"/>
      <c r="W1360" s="92" t="s">
        <v>1359</v>
      </c>
      <c r="X1360" s="93" t="s">
        <v>32</v>
      </c>
      <c r="Y1360" s="93" t="s">
        <v>64</v>
      </c>
      <c r="Z1360" s="134">
        <f>VLOOKUP(W1360,Sheet2!$B:$D,3,FALSE)</f>
        <v>40</v>
      </c>
      <c r="AA1360" s="93">
        <f>1/16</f>
        <v>6.25E-2</v>
      </c>
      <c r="AB1360" s="93">
        <f t="shared" ref="AB1360" si="1052">AD1360/AC1359</f>
        <v>640.00000000000011</v>
      </c>
      <c r="AC1360" s="93">
        <f>AC1359/AA1360</f>
        <v>15.119999999999997</v>
      </c>
      <c r="AD1360" s="94">
        <f t="shared" ref="AD1360:AD1361" si="1053">AC1360*Z1360</f>
        <v>604.79999999999995</v>
      </c>
      <c r="AE1360" s="190"/>
      <c r="AF1360" s="191"/>
      <c r="AG1360" s="191"/>
      <c r="AH1360" s="191"/>
      <c r="AI1360" s="186"/>
      <c r="AK1360" s="171"/>
    </row>
    <row r="1361" spans="1:41" s="102" customFormat="1" ht="19.899999999999999" customHeight="1" x14ac:dyDescent="0.25">
      <c r="A1361" s="45"/>
      <c r="B1361" s="59"/>
      <c r="C1361" s="137"/>
      <c r="D1361" s="59"/>
      <c r="E1361" s="116"/>
      <c r="F1361" s="120"/>
      <c r="G1361" s="120"/>
      <c r="H1361" s="120"/>
      <c r="I1361" s="60"/>
      <c r="J1361" s="116"/>
      <c r="K1361" s="213"/>
      <c r="L1361" s="120"/>
      <c r="M1361" s="120"/>
      <c r="N1361" s="167"/>
      <c r="O1361" s="120"/>
      <c r="P1361" s="120"/>
      <c r="Q1361" s="120"/>
      <c r="R1361" s="120"/>
      <c r="S1361" s="120"/>
      <c r="T1361" s="221"/>
      <c r="U1361" s="89"/>
      <c r="V1361" s="61"/>
      <c r="W1361" s="92" t="s">
        <v>1360</v>
      </c>
      <c r="X1361" s="93" t="s">
        <v>32</v>
      </c>
      <c r="Y1361" s="93" t="s">
        <v>64</v>
      </c>
      <c r="Z1361" s="134">
        <f>VLOOKUP(W1361,Sheet2!$B:$D,3,FALSE)</f>
        <v>30</v>
      </c>
      <c r="AA1361" s="93">
        <f>AA1360</f>
        <v>6.25E-2</v>
      </c>
      <c r="AB1361" s="93">
        <f>AD1361/AC1359</f>
        <v>480</v>
      </c>
      <c r="AC1361" s="93">
        <f>AC1359/AA1361</f>
        <v>15.119999999999997</v>
      </c>
      <c r="AD1361" s="94">
        <f t="shared" si="1053"/>
        <v>453.59999999999991</v>
      </c>
      <c r="AE1361" s="190"/>
      <c r="AF1361" s="191"/>
      <c r="AG1361" s="191"/>
      <c r="AH1361" s="191"/>
      <c r="AI1361" s="186"/>
      <c r="AK1361" s="171"/>
    </row>
    <row r="1362" spans="1:41" s="103" customFormat="1" ht="19.899999999999999" customHeight="1" x14ac:dyDescent="0.25">
      <c r="A1362" s="51"/>
      <c r="B1362" s="52"/>
      <c r="C1362" s="165"/>
      <c r="D1362" s="52"/>
      <c r="E1362" s="115"/>
      <c r="F1362" s="58"/>
      <c r="G1362" s="58"/>
      <c r="H1362" s="58"/>
      <c r="I1362" s="55"/>
      <c r="J1362" s="113">
        <f>J1346</f>
        <v>0.94499999999999984</v>
      </c>
      <c r="K1362" s="212">
        <f>K1346</f>
        <v>0.94499999999999984</v>
      </c>
      <c r="L1362" s="58"/>
      <c r="M1362" s="58">
        <f>K1362-L1362</f>
        <v>0.94499999999999984</v>
      </c>
      <c r="N1362" s="166"/>
      <c r="O1362" s="58"/>
      <c r="P1362" s="58"/>
      <c r="Q1362" s="58"/>
      <c r="R1362" s="58"/>
      <c r="S1362" s="58"/>
      <c r="T1362" s="220"/>
      <c r="U1362" s="88"/>
      <c r="V1362" s="56"/>
      <c r="W1362" s="57" t="s">
        <v>1272</v>
      </c>
      <c r="X1362" s="53"/>
      <c r="Y1362" s="91" t="s">
        <v>35</v>
      </c>
      <c r="Z1362" s="136">
        <f>AD1362/AC1362</f>
        <v>89.47443137254902</v>
      </c>
      <c r="AA1362" s="58"/>
      <c r="AB1362" s="53">
        <f>AD1362/AC1362</f>
        <v>89.47443137254902</v>
      </c>
      <c r="AC1362" s="53">
        <f>M1362+$AE$10</f>
        <v>0.94499999999999984</v>
      </c>
      <c r="AD1362" s="54">
        <f>SUM(AD1363:AD1371)</f>
        <v>84.553337647058811</v>
      </c>
      <c r="AE1362" s="184">
        <f>SUMIFS($AD$37:$AD$12971,$V$37:$V$12971,$V1362,$X$37:$X$12971,AE$13)</f>
        <v>0</v>
      </c>
      <c r="AF1362" s="185">
        <f>SUMIFS($AD$37:$AD$12971,$V$37:$V$12971,$V1362,$X$37:$X$12971,AF$13)</f>
        <v>0</v>
      </c>
      <c r="AG1362" s="185">
        <f>SUMIFS($AD$37:$AD$12971,$V$37:$V$12971,$V1362,$X$37:$X$12971,AG$13)</f>
        <v>0</v>
      </c>
      <c r="AH1362" s="187">
        <f>SUMIFS($AD$37:$AD$12971,$V$37:$V$12971,$V1362,$X$37:$X$12971,AH$13)</f>
        <v>0</v>
      </c>
      <c r="AI1362" s="161">
        <f t="shared" ref="AI1362" si="1054">SUM(AE1362:AH1362)</f>
        <v>0</v>
      </c>
      <c r="AK1362" s="172"/>
    </row>
    <row r="1363" spans="1:41" s="102" customFormat="1" ht="19.899999999999999" customHeight="1" x14ac:dyDescent="0.25">
      <c r="A1363" s="45"/>
      <c r="B1363" s="59"/>
      <c r="C1363" s="137"/>
      <c r="D1363" s="59"/>
      <c r="E1363" s="116"/>
      <c r="F1363" s="120"/>
      <c r="G1363" s="120"/>
      <c r="H1363" s="120"/>
      <c r="I1363" s="60"/>
      <c r="J1363" s="116"/>
      <c r="K1363" s="213"/>
      <c r="L1363" s="120"/>
      <c r="M1363" s="120"/>
      <c r="N1363" s="167"/>
      <c r="O1363" s="120"/>
      <c r="P1363" s="120"/>
      <c r="Q1363" s="120"/>
      <c r="R1363" s="120"/>
      <c r="S1363" s="120"/>
      <c r="T1363" s="221"/>
      <c r="U1363" s="89"/>
      <c r="V1363" s="61"/>
      <c r="W1363" s="92" t="s">
        <v>1273</v>
      </c>
      <c r="X1363" s="93" t="s">
        <v>30</v>
      </c>
      <c r="Y1363" s="93" t="s">
        <v>66</v>
      </c>
      <c r="Z1363" s="134">
        <f>VLOOKUP(W1363,Sheet2!$B:$D,3,FALSE)</f>
        <v>10</v>
      </c>
      <c r="AA1363" s="93">
        <f>1/(2.5*1*0.5*4)</f>
        <v>0.2</v>
      </c>
      <c r="AB1363" s="93">
        <f>AD1363/AC1362</f>
        <v>49.999999999999993</v>
      </c>
      <c r="AC1363" s="93">
        <f>AC1362/AA1363</f>
        <v>4.7249999999999988</v>
      </c>
      <c r="AD1363" s="94">
        <f t="shared" ref="AD1363:AD1365" si="1055">AC1363*Z1363</f>
        <v>47.249999999999986</v>
      </c>
      <c r="AE1363" s="190"/>
      <c r="AF1363" s="191"/>
      <c r="AG1363" s="191"/>
      <c r="AH1363" s="191"/>
      <c r="AI1363" s="186"/>
      <c r="AK1363" s="171"/>
    </row>
    <row r="1364" spans="1:41" s="102" customFormat="1" ht="19.899999999999999" customHeight="1" x14ac:dyDescent="0.25">
      <c r="A1364" s="45"/>
      <c r="B1364" s="59"/>
      <c r="C1364" s="137"/>
      <c r="D1364" s="59"/>
      <c r="E1364" s="116"/>
      <c r="F1364" s="120"/>
      <c r="G1364" s="120"/>
      <c r="H1364" s="120"/>
      <c r="I1364" s="60"/>
      <c r="J1364" s="116"/>
      <c r="K1364" s="213"/>
      <c r="L1364" s="120"/>
      <c r="M1364" s="120"/>
      <c r="N1364" s="167"/>
      <c r="O1364" s="120"/>
      <c r="P1364" s="120"/>
      <c r="Q1364" s="120"/>
      <c r="R1364" s="120"/>
      <c r="S1364" s="120"/>
      <c r="T1364" s="221"/>
      <c r="U1364" s="89"/>
      <c r="V1364" s="61"/>
      <c r="W1364" s="92" t="s">
        <v>134</v>
      </c>
      <c r="X1364" s="93" t="s">
        <v>29</v>
      </c>
      <c r="Y1364" s="93" t="s">
        <v>93</v>
      </c>
      <c r="Z1364" s="134">
        <f>VLOOKUP(W1364,Sheet2!$B:$D,3,FALSE)</f>
        <v>65.599999999999994</v>
      </c>
      <c r="AA1364" s="93">
        <f>100/(2.5*1*0.5*4)</f>
        <v>20</v>
      </c>
      <c r="AB1364" s="93">
        <f t="shared" ref="AB1364" si="1056">AD1364/AC1362</f>
        <v>3.28</v>
      </c>
      <c r="AC1364" s="93">
        <f>AC1362/AA1364</f>
        <v>4.7249999999999993E-2</v>
      </c>
      <c r="AD1364" s="94">
        <f t="shared" si="1055"/>
        <v>3.0995999999999992</v>
      </c>
      <c r="AE1364" s="190"/>
      <c r="AF1364" s="191"/>
      <c r="AG1364" s="191"/>
      <c r="AH1364" s="191"/>
      <c r="AI1364" s="186"/>
      <c r="AK1364" s="171"/>
    </row>
    <row r="1365" spans="1:41" s="102" customFormat="1" ht="19.899999999999999" customHeight="1" x14ac:dyDescent="0.25">
      <c r="A1365" s="45"/>
      <c r="B1365" s="59"/>
      <c r="C1365" s="137"/>
      <c r="D1365" s="59"/>
      <c r="E1365" s="116"/>
      <c r="F1365" s="120"/>
      <c r="G1365" s="120"/>
      <c r="H1365" s="120"/>
      <c r="I1365" s="60"/>
      <c r="J1365" s="116"/>
      <c r="K1365" s="213"/>
      <c r="L1365" s="120"/>
      <c r="M1365" s="120"/>
      <c r="N1365" s="167"/>
      <c r="O1365" s="120"/>
      <c r="P1365" s="120"/>
      <c r="Q1365" s="120"/>
      <c r="R1365" s="120"/>
      <c r="S1365" s="120"/>
      <c r="T1365" s="221"/>
      <c r="U1365" s="89"/>
      <c r="V1365" s="61"/>
      <c r="W1365" s="92" t="s">
        <v>65</v>
      </c>
      <c r="X1365" s="93" t="s">
        <v>30</v>
      </c>
      <c r="Y1365" s="93" t="s">
        <v>1011</v>
      </c>
      <c r="Z1365" s="134">
        <f>VLOOKUP(W1365,Sheet2!$B:$D,3,FALSE)</f>
        <v>1.76</v>
      </c>
      <c r="AA1365" s="93">
        <f>AA1364/9</f>
        <v>2.2222222222222223</v>
      </c>
      <c r="AB1365" s="93">
        <f>AD1365/AC1362</f>
        <v>0.79200000000000004</v>
      </c>
      <c r="AC1365" s="93">
        <f>AC1362/AA1365</f>
        <v>0.42524999999999991</v>
      </c>
      <c r="AD1365" s="94">
        <f t="shared" si="1055"/>
        <v>0.74843999999999988</v>
      </c>
      <c r="AE1365" s="190"/>
      <c r="AF1365" s="191"/>
      <c r="AG1365" s="191"/>
      <c r="AH1365" s="191"/>
      <c r="AI1365" s="186"/>
      <c r="AK1365" s="171"/>
    </row>
    <row r="1366" spans="1:41" s="102" customFormat="1" ht="19.899999999999999" customHeight="1" x14ac:dyDescent="0.25">
      <c r="A1366" s="45"/>
      <c r="B1366" s="59"/>
      <c r="C1366" s="137"/>
      <c r="D1366" s="59"/>
      <c r="E1366" s="116"/>
      <c r="F1366" s="120"/>
      <c r="G1366" s="120"/>
      <c r="H1366" s="120"/>
      <c r="I1366" s="60"/>
      <c r="J1366" s="116"/>
      <c r="K1366" s="213"/>
      <c r="L1366" s="120"/>
      <c r="M1366" s="120"/>
      <c r="N1366" s="167"/>
      <c r="O1366" s="120"/>
      <c r="P1366" s="120"/>
      <c r="Q1366" s="120"/>
      <c r="R1366" s="120"/>
      <c r="S1366" s="120"/>
      <c r="T1366" s="221"/>
      <c r="U1366" s="89"/>
      <c r="V1366" s="61"/>
      <c r="W1366" s="92" t="s">
        <v>161</v>
      </c>
      <c r="X1366" s="93" t="s">
        <v>29</v>
      </c>
      <c r="Y1366" s="93" t="s">
        <v>93</v>
      </c>
      <c r="Z1366" s="134">
        <f>VLOOKUP(W1366,Sheet2!$B:$D,3,FALSE)</f>
        <v>48</v>
      </c>
      <c r="AA1366" s="93">
        <f>(16*0.85*1.5)/(2.5*1*0.5*4)</f>
        <v>4.08</v>
      </c>
      <c r="AB1366" s="93">
        <f>AD1366/AC1362</f>
        <v>11.76470588235294</v>
      </c>
      <c r="AC1366" s="93">
        <f>AC1362/AA1366</f>
        <v>0.23161764705882348</v>
      </c>
      <c r="AD1366" s="94">
        <f>AC1366*Z1366</f>
        <v>11.117647058823527</v>
      </c>
      <c r="AE1366" s="190"/>
      <c r="AF1366" s="191"/>
      <c r="AG1366" s="191"/>
      <c r="AH1366" s="191"/>
      <c r="AI1366" s="186"/>
      <c r="AK1366" s="171"/>
    </row>
    <row r="1367" spans="1:41" s="102" customFormat="1" ht="19.899999999999999" customHeight="1" x14ac:dyDescent="0.25">
      <c r="A1367" s="45"/>
      <c r="B1367" s="59"/>
      <c r="C1367" s="137"/>
      <c r="D1367" s="59"/>
      <c r="E1367" s="116"/>
      <c r="F1367" s="120"/>
      <c r="G1367" s="120"/>
      <c r="H1367" s="120"/>
      <c r="I1367" s="60"/>
      <c r="J1367" s="116"/>
      <c r="K1367" s="213"/>
      <c r="L1367" s="120"/>
      <c r="M1367" s="120"/>
      <c r="N1367" s="167"/>
      <c r="O1367" s="120"/>
      <c r="P1367" s="120"/>
      <c r="Q1367" s="120"/>
      <c r="R1367" s="120"/>
      <c r="S1367" s="120"/>
      <c r="T1367" s="221"/>
      <c r="U1367" s="89"/>
      <c r="V1367" s="61"/>
      <c r="W1367" s="92" t="s">
        <v>65</v>
      </c>
      <c r="X1367" s="93" t="s">
        <v>30</v>
      </c>
      <c r="Y1367" s="93" t="s">
        <v>1011</v>
      </c>
      <c r="Z1367" s="134">
        <f>VLOOKUP(W1367,Sheet2!$B:$D,3,FALSE)</f>
        <v>1.76</v>
      </c>
      <c r="AA1367" s="93">
        <f>AA1366/10</f>
        <v>0.40800000000000003</v>
      </c>
      <c r="AB1367" s="93">
        <f>AD1367/AC1362</f>
        <v>4.3137254901960782</v>
      </c>
      <c r="AC1367" s="93">
        <f>AC1362/AA1367</f>
        <v>2.3161764705882346</v>
      </c>
      <c r="AD1367" s="94">
        <f>AC1367*Z1367</f>
        <v>4.076470588235293</v>
      </c>
      <c r="AE1367" s="190"/>
      <c r="AF1367" s="191"/>
      <c r="AG1367" s="191"/>
      <c r="AH1367" s="191"/>
      <c r="AI1367" s="186"/>
      <c r="AK1367" s="171"/>
    </row>
    <row r="1368" spans="1:41" s="102" customFormat="1" ht="19.899999999999999" customHeight="1" x14ac:dyDescent="0.25">
      <c r="A1368" s="45"/>
      <c r="B1368" s="59"/>
      <c r="C1368" s="137"/>
      <c r="D1368" s="59"/>
      <c r="E1368" s="116"/>
      <c r="F1368" s="120"/>
      <c r="G1368" s="120"/>
      <c r="H1368" s="120"/>
      <c r="I1368" s="60"/>
      <c r="J1368" s="116"/>
      <c r="K1368" s="213"/>
      <c r="L1368" s="120"/>
      <c r="M1368" s="120"/>
      <c r="N1368" s="167"/>
      <c r="O1368" s="120"/>
      <c r="P1368" s="120"/>
      <c r="Q1368" s="120"/>
      <c r="R1368" s="120"/>
      <c r="S1368" s="120"/>
      <c r="T1368" s="221"/>
      <c r="U1368" s="89"/>
      <c r="V1368" s="61"/>
      <c r="W1368" s="92" t="s">
        <v>173</v>
      </c>
      <c r="X1368" s="93" t="s">
        <v>29</v>
      </c>
      <c r="Y1368" s="93" t="s">
        <v>93</v>
      </c>
      <c r="Z1368" s="134">
        <f>VLOOKUP(W1368,Sheet2!$B:$D,3,FALSE)</f>
        <v>36</v>
      </c>
      <c r="AA1368" s="93">
        <f>50/(2.5*1*0.5*4)</f>
        <v>10</v>
      </c>
      <c r="AB1368" s="93">
        <f>AD1368/AC1362</f>
        <v>3.6</v>
      </c>
      <c r="AC1368" s="93">
        <f>AC1362/AA1368</f>
        <v>9.4499999999999987E-2</v>
      </c>
      <c r="AD1368" s="94">
        <f>AC1368*Z1368</f>
        <v>3.4019999999999997</v>
      </c>
      <c r="AE1368" s="190"/>
      <c r="AF1368" s="191"/>
      <c r="AG1368" s="191"/>
      <c r="AH1368" s="191"/>
      <c r="AI1368" s="186"/>
      <c r="AK1368" s="171"/>
    </row>
    <row r="1369" spans="1:41" s="102" customFormat="1" ht="19.899999999999999" customHeight="1" x14ac:dyDescent="0.25">
      <c r="A1369" s="45"/>
      <c r="B1369" s="59"/>
      <c r="C1369" s="137"/>
      <c r="D1369" s="59"/>
      <c r="E1369" s="116"/>
      <c r="F1369" s="120"/>
      <c r="G1369" s="120"/>
      <c r="H1369" s="120"/>
      <c r="I1369" s="60"/>
      <c r="J1369" s="116"/>
      <c r="K1369" s="213"/>
      <c r="L1369" s="120"/>
      <c r="M1369" s="120"/>
      <c r="N1369" s="167"/>
      <c r="O1369" s="120"/>
      <c r="P1369" s="120"/>
      <c r="Q1369" s="120"/>
      <c r="R1369" s="120"/>
      <c r="S1369" s="120"/>
      <c r="T1369" s="221"/>
      <c r="U1369" s="89"/>
      <c r="V1369" s="61"/>
      <c r="W1369" s="92" t="s">
        <v>65</v>
      </c>
      <c r="X1369" s="93" t="s">
        <v>30</v>
      </c>
      <c r="Y1369" s="93" t="s">
        <v>1011</v>
      </c>
      <c r="Z1369" s="134">
        <f>VLOOKUP(W1369,Sheet2!$B:$D,3,FALSE)</f>
        <v>1.76</v>
      </c>
      <c r="AA1369" s="93">
        <f>AA1368/9</f>
        <v>1.1111111111111112</v>
      </c>
      <c r="AB1369" s="93">
        <f>AD1369/AC1362</f>
        <v>1.5840000000000001</v>
      </c>
      <c r="AC1369" s="93">
        <f>AC1362/AA1369</f>
        <v>0.85049999999999981</v>
      </c>
      <c r="AD1369" s="94">
        <f>AC1369*Z1369</f>
        <v>1.4968799999999998</v>
      </c>
      <c r="AE1369" s="190"/>
      <c r="AF1369" s="191"/>
      <c r="AG1369" s="191"/>
      <c r="AH1369" s="191"/>
      <c r="AI1369" s="186"/>
      <c r="AK1369" s="171"/>
    </row>
    <row r="1370" spans="1:41" s="102" customFormat="1" ht="19.899999999999999" customHeight="1" x14ac:dyDescent="0.25">
      <c r="A1370" s="45"/>
      <c r="B1370" s="59"/>
      <c r="C1370" s="137"/>
      <c r="D1370" s="59"/>
      <c r="E1370" s="116"/>
      <c r="F1370" s="120"/>
      <c r="G1370" s="120"/>
      <c r="H1370" s="120"/>
      <c r="I1370" s="60"/>
      <c r="J1370" s="116"/>
      <c r="K1370" s="213"/>
      <c r="L1370" s="120"/>
      <c r="M1370" s="120"/>
      <c r="N1370" s="167"/>
      <c r="O1370" s="120"/>
      <c r="P1370" s="120"/>
      <c r="Q1370" s="120"/>
      <c r="R1370" s="120"/>
      <c r="S1370" s="120"/>
      <c r="T1370" s="221"/>
      <c r="U1370" s="89"/>
      <c r="V1370" s="61"/>
      <c r="W1370" s="92" t="s">
        <v>1030</v>
      </c>
      <c r="X1370" s="93" t="s">
        <v>29</v>
      </c>
      <c r="Y1370" s="93" t="s">
        <v>93</v>
      </c>
      <c r="Z1370" s="134">
        <f>VLOOKUP(W1370,Sheet2!$B:$D,3,FALSE)</f>
        <v>23</v>
      </c>
      <c r="AA1370" s="93">
        <f>1*2</f>
        <v>2</v>
      </c>
      <c r="AB1370" s="93">
        <f>AD1370/AC1362</f>
        <v>11.5</v>
      </c>
      <c r="AC1370" s="93">
        <f>AC1362/AA1370</f>
        <v>0.47249999999999992</v>
      </c>
      <c r="AD1370" s="94">
        <f t="shared" ref="AD1370:AD1371" si="1057">AC1370*Z1370</f>
        <v>10.867499999999998</v>
      </c>
      <c r="AE1370" s="190"/>
      <c r="AF1370" s="191"/>
      <c r="AG1370" s="191"/>
      <c r="AH1370" s="191"/>
      <c r="AI1370" s="186"/>
      <c r="AK1370" s="171"/>
    </row>
    <row r="1371" spans="1:41" s="102" customFormat="1" ht="19.899999999999999" customHeight="1" x14ac:dyDescent="0.25">
      <c r="A1371" s="45"/>
      <c r="B1371" s="59"/>
      <c r="C1371" s="137"/>
      <c r="D1371" s="59"/>
      <c r="E1371" s="116"/>
      <c r="F1371" s="120"/>
      <c r="G1371" s="120"/>
      <c r="H1371" s="120"/>
      <c r="I1371" s="60"/>
      <c r="J1371" s="116"/>
      <c r="K1371" s="213"/>
      <c r="L1371" s="120"/>
      <c r="M1371" s="120"/>
      <c r="N1371" s="167"/>
      <c r="O1371" s="120"/>
      <c r="P1371" s="120"/>
      <c r="Q1371" s="120"/>
      <c r="R1371" s="120"/>
      <c r="S1371" s="120"/>
      <c r="T1371" s="221"/>
      <c r="U1371" s="89"/>
      <c r="V1371" s="61"/>
      <c r="W1371" s="92" t="s">
        <v>65</v>
      </c>
      <c r="X1371" s="93" t="s">
        <v>30</v>
      </c>
      <c r="Y1371" s="93" t="s">
        <v>1011</v>
      </c>
      <c r="Z1371" s="134">
        <f>VLOOKUP(W1371,Sheet2!$B:$D,3,FALSE)</f>
        <v>1.76</v>
      </c>
      <c r="AA1371" s="93">
        <f>AA1370/3</f>
        <v>0.66666666666666663</v>
      </c>
      <c r="AB1371" s="93">
        <f>AD1371/AC1362</f>
        <v>2.64</v>
      </c>
      <c r="AC1371" s="93">
        <f>AC1362/AA1371</f>
        <v>1.4174999999999998</v>
      </c>
      <c r="AD1371" s="94">
        <f t="shared" si="1057"/>
        <v>2.4947999999999997</v>
      </c>
      <c r="AE1371" s="190"/>
      <c r="AF1371" s="191"/>
      <c r="AG1371" s="191"/>
      <c r="AH1371" s="191"/>
      <c r="AI1371" s="186"/>
      <c r="AK1371" s="171"/>
    </row>
    <row r="1372" spans="1:41" ht="20.100000000000001" customHeight="1" x14ac:dyDescent="0.25">
      <c r="A1372" s="277" t="s">
        <v>216</v>
      </c>
      <c r="B1372" s="278"/>
      <c r="C1372" s="64" t="s">
        <v>334</v>
      </c>
      <c r="D1372" s="46" t="s">
        <v>215</v>
      </c>
      <c r="E1372" s="114"/>
      <c r="F1372" s="44">
        <v>0</v>
      </c>
      <c r="G1372" s="44">
        <f t="shared" si="607"/>
        <v>0</v>
      </c>
      <c r="H1372" s="44">
        <f t="shared" si="608"/>
        <v>0</v>
      </c>
      <c r="I1372" s="43">
        <f t="shared" si="609"/>
        <v>0</v>
      </c>
      <c r="J1372" s="112">
        <f t="shared" si="610"/>
        <v>0</v>
      </c>
      <c r="K1372" s="211">
        <f t="shared" si="611"/>
        <v>0</v>
      </c>
      <c r="L1372" s="44"/>
      <c r="M1372" s="44">
        <f t="shared" si="612"/>
        <v>0</v>
      </c>
      <c r="N1372" s="173">
        <f t="shared" si="613"/>
        <v>0</v>
      </c>
      <c r="O1372" s="44">
        <f t="shared" si="614"/>
        <v>0</v>
      </c>
      <c r="P1372" s="44">
        <f t="shared" si="615"/>
        <v>0</v>
      </c>
      <c r="Q1372" s="44">
        <f t="shared" si="616"/>
        <v>0</v>
      </c>
      <c r="R1372" s="44">
        <f t="shared" si="617"/>
        <v>0</v>
      </c>
      <c r="S1372" s="123"/>
      <c r="T1372" s="219">
        <f t="shared" si="618"/>
        <v>0</v>
      </c>
      <c r="U1372" s="87"/>
      <c r="V1372" s="47"/>
      <c r="W1372" s="48"/>
      <c r="X1372" s="48"/>
      <c r="Y1372" s="48"/>
      <c r="Z1372" s="135"/>
      <c r="AA1372" s="49"/>
      <c r="AB1372" s="50">
        <f t="shared" si="619"/>
        <v>0</v>
      </c>
      <c r="AC1372" s="42">
        <f t="shared" si="620"/>
        <v>9.9999999999999998E-20</v>
      </c>
      <c r="AD1372" s="90"/>
      <c r="AE1372" s="188"/>
      <c r="AF1372" s="189"/>
      <c r="AG1372" s="189"/>
      <c r="AH1372" s="189"/>
      <c r="AI1372" s="161"/>
    </row>
    <row r="1373" spans="1:41" ht="25.5" x14ac:dyDescent="0.25">
      <c r="A1373" s="277" t="s">
        <v>216</v>
      </c>
      <c r="B1373" s="278"/>
      <c r="C1373" s="64" t="s">
        <v>356</v>
      </c>
      <c r="D1373" s="46" t="s">
        <v>215</v>
      </c>
      <c r="E1373" s="114">
        <v>3.7949999999999999</v>
      </c>
      <c r="F1373" s="44">
        <v>28386</v>
      </c>
      <c r="G1373" s="44">
        <f t="shared" si="607"/>
        <v>107724.87</v>
      </c>
      <c r="H1373" s="44">
        <f t="shared" si="608"/>
        <v>12286.179576470588</v>
      </c>
      <c r="I1373" s="43">
        <f t="shared" si="609"/>
        <v>46626.051492705876</v>
      </c>
      <c r="J1373" s="112">
        <f t="shared" si="610"/>
        <v>3.7949999999999999</v>
      </c>
      <c r="K1373" s="211">
        <f t="shared" si="611"/>
        <v>3.7949999999999999</v>
      </c>
      <c r="L1373" s="44"/>
      <c r="M1373" s="44">
        <f t="shared" si="612"/>
        <v>3.7949999999999999</v>
      </c>
      <c r="N1373" s="173">
        <f t="shared" si="613"/>
        <v>1</v>
      </c>
      <c r="O1373" s="44">
        <f t="shared" si="614"/>
        <v>28386</v>
      </c>
      <c r="P1373" s="44">
        <f t="shared" si="615"/>
        <v>107724.87</v>
      </c>
      <c r="Q1373" s="44">
        <f t="shared" si="616"/>
        <v>12286.179576470588</v>
      </c>
      <c r="R1373" s="44">
        <f t="shared" si="617"/>
        <v>46626.051492705876</v>
      </c>
      <c r="S1373" s="123"/>
      <c r="T1373" s="219">
        <f t="shared" si="618"/>
        <v>46626.051492705876</v>
      </c>
      <c r="U1373" s="87"/>
      <c r="V1373" s="47"/>
      <c r="W1373" s="48"/>
      <c r="X1373" s="48"/>
      <c r="Y1373" s="48"/>
      <c r="Z1373" s="135"/>
      <c r="AA1373" s="49"/>
      <c r="AB1373" s="50">
        <f t="shared" si="619"/>
        <v>12286.179576470588</v>
      </c>
      <c r="AC1373" s="42">
        <f t="shared" si="620"/>
        <v>3.7949999999999999</v>
      </c>
      <c r="AD1373" s="90">
        <f>AD1374+AD1379+AD1391+AD1394</f>
        <v>46626.051492705876</v>
      </c>
      <c r="AE1373" s="188">
        <f t="shared" ref="AE1373" si="1058">AE1374+AE1379+AE1391+AE1394</f>
        <v>0</v>
      </c>
      <c r="AF1373" s="189">
        <f t="shared" ref="AF1373" si="1059">AF1374+AF1379+AF1391+AF1394</f>
        <v>0</v>
      </c>
      <c r="AG1373" s="189">
        <f t="shared" ref="AG1373" si="1060">AG1374+AG1379+AG1391+AG1394</f>
        <v>0</v>
      </c>
      <c r="AH1373" s="189">
        <f t="shared" ref="AH1373" si="1061">AH1374+AH1379+AH1391+AH1394</f>
        <v>0</v>
      </c>
      <c r="AI1373" s="161">
        <f t="shared" ref="AI1373" si="1062">SUM(AE1373:AH1373)</f>
        <v>0</v>
      </c>
      <c r="AK1373" s="169">
        <v>5</v>
      </c>
      <c r="AO1373" s="19" t="s">
        <v>63</v>
      </c>
    </row>
    <row r="1374" spans="1:41" s="103" customFormat="1" ht="19.899999999999999" customHeight="1" x14ac:dyDescent="0.25">
      <c r="A1374" s="51"/>
      <c r="B1374" s="52"/>
      <c r="C1374" s="165"/>
      <c r="D1374" s="52"/>
      <c r="E1374" s="115"/>
      <c r="F1374" s="58"/>
      <c r="G1374" s="58"/>
      <c r="H1374" s="58"/>
      <c r="I1374" s="55"/>
      <c r="J1374" s="113">
        <f>J1373</f>
        <v>3.7949999999999999</v>
      </c>
      <c r="K1374" s="212">
        <f>K1373</f>
        <v>3.7949999999999999</v>
      </c>
      <c r="L1374" s="58"/>
      <c r="M1374" s="58">
        <f>K1374-L1374</f>
        <v>3.7949999999999999</v>
      </c>
      <c r="N1374" s="166"/>
      <c r="O1374" s="58"/>
      <c r="P1374" s="58"/>
      <c r="Q1374" s="58"/>
      <c r="R1374" s="58"/>
      <c r="S1374" s="58"/>
      <c r="T1374" s="220"/>
      <c r="U1374" s="88"/>
      <c r="V1374" s="56"/>
      <c r="W1374" s="57" t="s">
        <v>1351</v>
      </c>
      <c r="X1374" s="53"/>
      <c r="Y1374" s="91" t="s">
        <v>35</v>
      </c>
      <c r="Z1374" s="136">
        <f>AD1374/AC1374</f>
        <v>90.4969411764706</v>
      </c>
      <c r="AA1374" s="58"/>
      <c r="AB1374" s="53">
        <f>AD1374/AC1374</f>
        <v>90.4969411764706</v>
      </c>
      <c r="AC1374" s="53">
        <f>M1374+$AE$10</f>
        <v>3.7949999999999999</v>
      </c>
      <c r="AD1374" s="54">
        <f>SUM(AD1375:AD1378)</f>
        <v>343.4358917647059</v>
      </c>
      <c r="AE1374" s="184">
        <f>SUMIFS($AD$37:$AD$12971,$V$37:$V$12971,$V1374,$X$37:$X$12971,AE$13)</f>
        <v>0</v>
      </c>
      <c r="AF1374" s="185">
        <f>SUMIFS($AD$37:$AD$12971,$V$37:$V$12971,$V1374,$X$37:$X$12971,AF$13)</f>
        <v>0</v>
      </c>
      <c r="AG1374" s="185">
        <f>SUMIFS($AD$37:$AD$12971,$V$37:$V$12971,$V1374,$X$37:$X$12971,AG$13)</f>
        <v>0</v>
      </c>
      <c r="AH1374" s="187">
        <f>SUMIFS($AD$37:$AD$12971,$V$37:$V$12971,$V1374,$X$37:$X$12971,AH$13)</f>
        <v>0</v>
      </c>
      <c r="AI1374" s="161">
        <f t="shared" ref="AI1374" si="1063">SUM(AE1374:AH1374)</f>
        <v>0</v>
      </c>
      <c r="AK1374" s="172"/>
    </row>
    <row r="1375" spans="1:41" s="102" customFormat="1" ht="19.899999999999999" customHeight="1" x14ac:dyDescent="0.25">
      <c r="A1375" s="45"/>
      <c r="B1375" s="59"/>
      <c r="C1375" s="137"/>
      <c r="D1375" s="59"/>
      <c r="E1375" s="116"/>
      <c r="F1375" s="120"/>
      <c r="G1375" s="120"/>
      <c r="H1375" s="120"/>
      <c r="I1375" s="60"/>
      <c r="J1375" s="116"/>
      <c r="K1375" s="213"/>
      <c r="L1375" s="120"/>
      <c r="M1375" s="120"/>
      <c r="N1375" s="167"/>
      <c r="O1375" s="120"/>
      <c r="P1375" s="120"/>
      <c r="Q1375" s="120"/>
      <c r="R1375" s="120"/>
      <c r="S1375" s="120"/>
      <c r="T1375" s="221"/>
      <c r="U1375" s="89"/>
      <c r="V1375" s="61"/>
      <c r="W1375" s="92" t="s">
        <v>129</v>
      </c>
      <c r="X1375" s="93" t="s">
        <v>29</v>
      </c>
      <c r="Y1375" s="93" t="s">
        <v>93</v>
      </c>
      <c r="Z1375" s="134">
        <f>VLOOKUP(W1375,Sheet2!$B:$D,3,FALSE)</f>
        <v>56</v>
      </c>
      <c r="AA1375" s="93">
        <f>100/(3*3*2.5)</f>
        <v>4.4444444444444446</v>
      </c>
      <c r="AB1375" s="93">
        <f t="shared" ref="AB1375" si="1064">AD1375/AC1374</f>
        <v>12.599999999999998</v>
      </c>
      <c r="AC1375" s="93">
        <f>AC1374/AA1375</f>
        <v>0.85387499999999994</v>
      </c>
      <c r="AD1375" s="94">
        <f t="shared" ref="AD1375:AD1376" si="1065">AC1375*Z1375</f>
        <v>47.816999999999993</v>
      </c>
      <c r="AE1375" s="190"/>
      <c r="AF1375" s="191"/>
      <c r="AG1375" s="191"/>
      <c r="AH1375" s="191"/>
      <c r="AI1375" s="186"/>
      <c r="AK1375" s="171"/>
    </row>
    <row r="1376" spans="1:41" s="102" customFormat="1" ht="19.899999999999999" customHeight="1" x14ac:dyDescent="0.25">
      <c r="A1376" s="45"/>
      <c r="B1376" s="59"/>
      <c r="C1376" s="137"/>
      <c r="D1376" s="59"/>
      <c r="E1376" s="116"/>
      <c r="F1376" s="120"/>
      <c r="G1376" s="120"/>
      <c r="H1376" s="120"/>
      <c r="I1376" s="60"/>
      <c r="J1376" s="116"/>
      <c r="K1376" s="213"/>
      <c r="L1376" s="120"/>
      <c r="M1376" s="120"/>
      <c r="N1376" s="167"/>
      <c r="O1376" s="120"/>
      <c r="P1376" s="120"/>
      <c r="Q1376" s="120"/>
      <c r="R1376" s="120"/>
      <c r="S1376" s="120"/>
      <c r="T1376" s="221"/>
      <c r="U1376" s="89"/>
      <c r="V1376" s="61"/>
      <c r="W1376" s="92" t="s">
        <v>65</v>
      </c>
      <c r="X1376" s="93" t="s">
        <v>30</v>
      </c>
      <c r="Y1376" s="93" t="s">
        <v>1011</v>
      </c>
      <c r="Z1376" s="134">
        <f>VLOOKUP(W1376,Sheet2!$B:$D,3,FALSE)</f>
        <v>1.76</v>
      </c>
      <c r="AA1376" s="93">
        <f>AA1375/14</f>
        <v>0.3174603174603175</v>
      </c>
      <c r="AB1376" s="93">
        <f>AD1376/AC1374</f>
        <v>5.5439999999999996</v>
      </c>
      <c r="AC1376" s="93">
        <f>AC1374/AA1376</f>
        <v>11.954249999999998</v>
      </c>
      <c r="AD1376" s="94">
        <f t="shared" si="1065"/>
        <v>21.039479999999998</v>
      </c>
      <c r="AE1376" s="190"/>
      <c r="AF1376" s="191"/>
      <c r="AG1376" s="191"/>
      <c r="AH1376" s="191"/>
      <c r="AI1376" s="186"/>
      <c r="AK1376" s="171"/>
    </row>
    <row r="1377" spans="1:37" s="102" customFormat="1" ht="19.899999999999999" customHeight="1" x14ac:dyDescent="0.25">
      <c r="A1377" s="45"/>
      <c r="B1377" s="59"/>
      <c r="C1377" s="137"/>
      <c r="D1377" s="59"/>
      <c r="E1377" s="116"/>
      <c r="F1377" s="120"/>
      <c r="G1377" s="120"/>
      <c r="H1377" s="120"/>
      <c r="I1377" s="60"/>
      <c r="J1377" s="116"/>
      <c r="K1377" s="213"/>
      <c r="L1377" s="120"/>
      <c r="M1377" s="120"/>
      <c r="N1377" s="167"/>
      <c r="O1377" s="120"/>
      <c r="P1377" s="120"/>
      <c r="Q1377" s="120"/>
      <c r="R1377" s="120"/>
      <c r="S1377" s="120"/>
      <c r="T1377" s="221"/>
      <c r="U1377" s="89"/>
      <c r="V1377" s="61"/>
      <c r="W1377" s="92" t="s">
        <v>161</v>
      </c>
      <c r="X1377" s="93" t="s">
        <v>29</v>
      </c>
      <c r="Y1377" s="93" t="s">
        <v>93</v>
      </c>
      <c r="Z1377" s="134">
        <f>VLOOKUP(W1377,Sheet2!$B:$D,3,FALSE)</f>
        <v>48</v>
      </c>
      <c r="AA1377" s="93">
        <f>(16*0.85*1.5)/(3*3*2.5)</f>
        <v>0.90666666666666662</v>
      </c>
      <c r="AB1377" s="93">
        <f>AD1377/AC1374</f>
        <v>52.941176470588232</v>
      </c>
      <c r="AC1377" s="93">
        <f>AC1374/AA1377</f>
        <v>4.1856617647058822</v>
      </c>
      <c r="AD1377" s="94">
        <f>AC1377*Z1377</f>
        <v>200.91176470588235</v>
      </c>
      <c r="AE1377" s="190"/>
      <c r="AF1377" s="191"/>
      <c r="AG1377" s="191"/>
      <c r="AH1377" s="191"/>
      <c r="AI1377" s="186"/>
      <c r="AK1377" s="171"/>
    </row>
    <row r="1378" spans="1:37" s="102" customFormat="1" ht="19.899999999999999" customHeight="1" x14ac:dyDescent="0.25">
      <c r="A1378" s="45"/>
      <c r="B1378" s="59"/>
      <c r="C1378" s="137"/>
      <c r="D1378" s="59"/>
      <c r="E1378" s="116"/>
      <c r="F1378" s="120"/>
      <c r="G1378" s="120"/>
      <c r="H1378" s="120"/>
      <c r="I1378" s="60"/>
      <c r="J1378" s="116"/>
      <c r="K1378" s="213"/>
      <c r="L1378" s="120"/>
      <c r="M1378" s="120"/>
      <c r="N1378" s="167"/>
      <c r="O1378" s="120"/>
      <c r="P1378" s="120"/>
      <c r="Q1378" s="120"/>
      <c r="R1378" s="120"/>
      <c r="S1378" s="120"/>
      <c r="T1378" s="221"/>
      <c r="U1378" s="89"/>
      <c r="V1378" s="61"/>
      <c r="W1378" s="92" t="s">
        <v>65</v>
      </c>
      <c r="X1378" s="93" t="s">
        <v>30</v>
      </c>
      <c r="Y1378" s="93" t="s">
        <v>1011</v>
      </c>
      <c r="Z1378" s="134">
        <f>VLOOKUP(W1378,Sheet2!$B:$D,3,FALSE)</f>
        <v>1.76</v>
      </c>
      <c r="AA1378" s="93">
        <f>AA1377/10</f>
        <v>9.0666666666666659E-2</v>
      </c>
      <c r="AB1378" s="93">
        <f>AD1378/AC1374</f>
        <v>19.411764705882355</v>
      </c>
      <c r="AC1378" s="93">
        <f>AC1374/AA1378</f>
        <v>41.856617647058826</v>
      </c>
      <c r="AD1378" s="94">
        <f>AC1378*Z1378</f>
        <v>73.667647058823533</v>
      </c>
      <c r="AE1378" s="190"/>
      <c r="AF1378" s="191"/>
      <c r="AG1378" s="191"/>
      <c r="AH1378" s="191"/>
      <c r="AI1378" s="186"/>
      <c r="AK1378" s="171"/>
    </row>
    <row r="1379" spans="1:37" s="103" customFormat="1" ht="19.899999999999999" customHeight="1" x14ac:dyDescent="0.25">
      <c r="A1379" s="51"/>
      <c r="B1379" s="52"/>
      <c r="C1379" s="165"/>
      <c r="D1379" s="52"/>
      <c r="E1379" s="115"/>
      <c r="F1379" s="58"/>
      <c r="G1379" s="58"/>
      <c r="H1379" s="58"/>
      <c r="I1379" s="55"/>
      <c r="J1379" s="113">
        <f>J1373</f>
        <v>3.7949999999999999</v>
      </c>
      <c r="K1379" s="212">
        <f>K1373</f>
        <v>3.7949999999999999</v>
      </c>
      <c r="L1379" s="58"/>
      <c r="M1379" s="58">
        <f>K1379-L1379</f>
        <v>3.7949999999999999</v>
      </c>
      <c r="N1379" s="166"/>
      <c r="O1379" s="58"/>
      <c r="P1379" s="58"/>
      <c r="Q1379" s="58"/>
      <c r="R1379" s="58"/>
      <c r="S1379" s="58"/>
      <c r="T1379" s="220"/>
      <c r="U1379" s="88"/>
      <c r="V1379" s="56"/>
      <c r="W1379" s="57" t="s">
        <v>1352</v>
      </c>
      <c r="X1379" s="53"/>
      <c r="Y1379" s="91" t="s">
        <v>35</v>
      </c>
      <c r="Z1379" s="136">
        <f>AD1379/AC1379</f>
        <v>9186.5999999999985</v>
      </c>
      <c r="AA1379" s="58"/>
      <c r="AB1379" s="53">
        <f>AD1379/AC1379</f>
        <v>9186.5999999999985</v>
      </c>
      <c r="AC1379" s="53">
        <f>M1379+$AE$10</f>
        <v>3.7949999999999999</v>
      </c>
      <c r="AD1379" s="54">
        <f>SUM(AD1380:AD1390)</f>
        <v>34863.146999999997</v>
      </c>
      <c r="AE1379" s="184">
        <f>SUMIFS($AD$37:$AD$12971,$V$37:$V$12971,$V1379,$X$37:$X$12971,AE$13)</f>
        <v>0</v>
      </c>
      <c r="AF1379" s="185">
        <f>SUMIFS($AD$37:$AD$12971,$V$37:$V$12971,$V1379,$X$37:$X$12971,AF$13)</f>
        <v>0</v>
      </c>
      <c r="AG1379" s="185">
        <f>SUMIFS($AD$37:$AD$12971,$V$37:$V$12971,$V1379,$X$37:$X$12971,AG$13)</f>
        <v>0</v>
      </c>
      <c r="AH1379" s="187">
        <f>SUMIFS($AD$37:$AD$12971,$V$37:$V$12971,$V1379,$X$37:$X$12971,AH$13)</f>
        <v>0</v>
      </c>
      <c r="AI1379" s="161">
        <f t="shared" ref="AI1379" si="1066">SUM(AE1379:AH1379)</f>
        <v>0</v>
      </c>
      <c r="AK1379" s="172"/>
    </row>
    <row r="1380" spans="1:37" s="102" customFormat="1" ht="19.899999999999999" customHeight="1" x14ac:dyDescent="0.25">
      <c r="A1380" s="45"/>
      <c r="B1380" s="59"/>
      <c r="C1380" s="137"/>
      <c r="D1380" s="59"/>
      <c r="E1380" s="116"/>
      <c r="F1380" s="120"/>
      <c r="G1380" s="120"/>
      <c r="H1380" s="120"/>
      <c r="I1380" s="60"/>
      <c r="J1380" s="116"/>
      <c r="K1380" s="213"/>
      <c r="L1380" s="120"/>
      <c r="M1380" s="120"/>
      <c r="N1380" s="167"/>
      <c r="O1380" s="120"/>
      <c r="P1380" s="120"/>
      <c r="Q1380" s="120"/>
      <c r="R1380" s="120"/>
      <c r="S1380" s="120"/>
      <c r="T1380" s="221"/>
      <c r="U1380" s="89"/>
      <c r="V1380" s="61"/>
      <c r="W1380" s="92" t="s">
        <v>1032</v>
      </c>
      <c r="X1380" s="93" t="s">
        <v>30</v>
      </c>
      <c r="Y1380" s="93" t="s">
        <v>66</v>
      </c>
      <c r="Z1380" s="134">
        <f>VLOOKUP(W1380,Sheet2!$B:$D,3,FALSE)</f>
        <v>250</v>
      </c>
      <c r="AA1380" s="93">
        <f>1/(3*3*0.1)</f>
        <v>1.1111111111111112</v>
      </c>
      <c r="AB1380" s="93">
        <f t="shared" ref="AB1380" si="1067">AD1380/AC1379</f>
        <v>224.99999999999997</v>
      </c>
      <c r="AC1380" s="93">
        <f>AC1379/AA1380</f>
        <v>3.4154999999999998</v>
      </c>
      <c r="AD1380" s="94">
        <f t="shared" ref="AD1380:AD1382" si="1068">AC1380*Z1380</f>
        <v>853.87499999999989</v>
      </c>
      <c r="AE1380" s="190"/>
      <c r="AF1380" s="191"/>
      <c r="AG1380" s="191"/>
      <c r="AH1380" s="191"/>
      <c r="AI1380" s="186"/>
      <c r="AK1380" s="171"/>
    </row>
    <row r="1381" spans="1:37" s="102" customFormat="1" ht="19.899999999999999" customHeight="1" x14ac:dyDescent="0.25">
      <c r="A1381" s="45"/>
      <c r="B1381" s="59"/>
      <c r="C1381" s="137"/>
      <c r="D1381" s="59"/>
      <c r="E1381" s="116"/>
      <c r="F1381" s="120"/>
      <c r="G1381" s="120"/>
      <c r="H1381" s="120"/>
      <c r="I1381" s="60"/>
      <c r="J1381" s="116"/>
      <c r="K1381" s="213"/>
      <c r="L1381" s="120"/>
      <c r="M1381" s="120"/>
      <c r="N1381" s="167"/>
      <c r="O1381" s="120"/>
      <c r="P1381" s="120"/>
      <c r="Q1381" s="120"/>
      <c r="R1381" s="120"/>
      <c r="S1381" s="120"/>
      <c r="T1381" s="221"/>
      <c r="U1381" s="89"/>
      <c r="V1381" s="61"/>
      <c r="W1381" s="92" t="s">
        <v>1353</v>
      </c>
      <c r="X1381" s="93" t="s">
        <v>30</v>
      </c>
      <c r="Y1381" s="93" t="s">
        <v>66</v>
      </c>
      <c r="Z1381" s="134">
        <f>VLOOKUP(W1381,Sheet2!$B:$D,3,FALSE)</f>
        <v>350</v>
      </c>
      <c r="AA1381" s="93">
        <f>1/(2*2*0.25*5)</f>
        <v>0.2</v>
      </c>
      <c r="AB1381" s="93">
        <f>AD1381/AC1379</f>
        <v>1749.9999999999998</v>
      </c>
      <c r="AC1381" s="93">
        <f>AC1379/AA1381</f>
        <v>18.974999999999998</v>
      </c>
      <c r="AD1381" s="94">
        <f t="shared" si="1068"/>
        <v>6641.2499999999991</v>
      </c>
      <c r="AE1381" s="190"/>
      <c r="AF1381" s="191"/>
      <c r="AG1381" s="191"/>
      <c r="AH1381" s="191"/>
      <c r="AI1381" s="186"/>
      <c r="AK1381" s="171"/>
    </row>
    <row r="1382" spans="1:37" s="102" customFormat="1" ht="19.899999999999999" customHeight="1" x14ac:dyDescent="0.25">
      <c r="A1382" s="45"/>
      <c r="B1382" s="59"/>
      <c r="C1382" s="137"/>
      <c r="D1382" s="59"/>
      <c r="E1382" s="116"/>
      <c r="F1382" s="120"/>
      <c r="G1382" s="120"/>
      <c r="H1382" s="120"/>
      <c r="I1382" s="60"/>
      <c r="J1382" s="116"/>
      <c r="K1382" s="213"/>
      <c r="L1382" s="120"/>
      <c r="M1382" s="120"/>
      <c r="N1382" s="167"/>
      <c r="O1382" s="120"/>
      <c r="P1382" s="120"/>
      <c r="Q1382" s="120"/>
      <c r="R1382" s="120"/>
      <c r="S1382" s="120"/>
      <c r="T1382" s="221"/>
      <c r="U1382" s="89"/>
      <c r="V1382" s="61"/>
      <c r="W1382" s="92" t="s">
        <v>99</v>
      </c>
      <c r="X1382" s="93" t="s">
        <v>30</v>
      </c>
      <c r="Y1382" s="93" t="s">
        <v>67</v>
      </c>
      <c r="Z1382" s="134">
        <f>VLOOKUP(W1382,Sheet2!$B:$D,3,FALSE)</f>
        <v>2500</v>
      </c>
      <c r="AA1382" s="93">
        <f>1/(2*2*0.25*5*0.08)</f>
        <v>2.5</v>
      </c>
      <c r="AB1382" s="93">
        <f>AD1382/AC1379</f>
        <v>1000</v>
      </c>
      <c r="AC1382" s="93">
        <f>AC1379/AA1382</f>
        <v>1.518</v>
      </c>
      <c r="AD1382" s="94">
        <f t="shared" si="1068"/>
        <v>3795</v>
      </c>
      <c r="AE1382" s="190"/>
      <c r="AF1382" s="191"/>
      <c r="AG1382" s="191"/>
      <c r="AH1382" s="191"/>
      <c r="AI1382" s="186"/>
      <c r="AK1382" s="171"/>
    </row>
    <row r="1383" spans="1:37" s="102" customFormat="1" ht="19.899999999999999" customHeight="1" x14ac:dyDescent="0.25">
      <c r="A1383" s="45"/>
      <c r="B1383" s="59"/>
      <c r="C1383" s="137"/>
      <c r="D1383" s="59"/>
      <c r="E1383" s="116"/>
      <c r="F1383" s="120"/>
      <c r="G1383" s="120"/>
      <c r="H1383" s="120"/>
      <c r="I1383" s="60"/>
      <c r="J1383" s="116"/>
      <c r="K1383" s="213"/>
      <c r="L1383" s="120"/>
      <c r="M1383" s="120"/>
      <c r="N1383" s="167"/>
      <c r="O1383" s="120"/>
      <c r="P1383" s="120"/>
      <c r="Q1383" s="120"/>
      <c r="R1383" s="120"/>
      <c r="S1383" s="120"/>
      <c r="T1383" s="221"/>
      <c r="U1383" s="89"/>
      <c r="V1383" s="61"/>
      <c r="W1383" s="92" t="s">
        <v>1354</v>
      </c>
      <c r="X1383" s="93" t="s">
        <v>32</v>
      </c>
      <c r="Y1383" s="93" t="s">
        <v>66</v>
      </c>
      <c r="Z1383" s="134">
        <f>VLOOKUP(W1383,Sheet2!$B:$D,3,FALSE)</f>
        <v>150</v>
      </c>
      <c r="AA1383" s="93">
        <f>AA1380</f>
        <v>1.1111111111111112</v>
      </c>
      <c r="AB1383" s="93">
        <f>AD1383/AC1379</f>
        <v>134.99999999999997</v>
      </c>
      <c r="AC1383" s="93">
        <f>AC1379/AA1383</f>
        <v>3.4154999999999998</v>
      </c>
      <c r="AD1383" s="94">
        <f>AC1383*Z1383</f>
        <v>512.32499999999993</v>
      </c>
      <c r="AE1383" s="190"/>
      <c r="AF1383" s="191"/>
      <c r="AG1383" s="191"/>
      <c r="AH1383" s="191"/>
      <c r="AI1383" s="186"/>
      <c r="AK1383" s="171"/>
    </row>
    <row r="1384" spans="1:37" s="102" customFormat="1" ht="19.899999999999999" customHeight="1" x14ac:dyDescent="0.25">
      <c r="A1384" s="45"/>
      <c r="B1384" s="59"/>
      <c r="C1384" s="137"/>
      <c r="D1384" s="59"/>
      <c r="E1384" s="116"/>
      <c r="F1384" s="120"/>
      <c r="G1384" s="120"/>
      <c r="H1384" s="120"/>
      <c r="I1384" s="60"/>
      <c r="J1384" s="116"/>
      <c r="K1384" s="213"/>
      <c r="L1384" s="120"/>
      <c r="M1384" s="120"/>
      <c r="N1384" s="167"/>
      <c r="O1384" s="120"/>
      <c r="P1384" s="120"/>
      <c r="Q1384" s="120"/>
      <c r="R1384" s="120"/>
      <c r="S1384" s="120"/>
      <c r="T1384" s="221"/>
      <c r="U1384" s="89"/>
      <c r="V1384" s="61"/>
      <c r="W1384" s="92" t="s">
        <v>1355</v>
      </c>
      <c r="X1384" s="93" t="s">
        <v>32</v>
      </c>
      <c r="Y1384" s="93" t="s">
        <v>66</v>
      </c>
      <c r="Z1384" s="134">
        <f>VLOOKUP(W1384,Sheet2!$B:$D,3,FALSE)</f>
        <v>450</v>
      </c>
      <c r="AA1384" s="93">
        <f>AA1381</f>
        <v>0.2</v>
      </c>
      <c r="AB1384" s="93">
        <f>AD1384/AC1379</f>
        <v>2249.9999999999995</v>
      </c>
      <c r="AC1384" s="93">
        <f>AC1379/AA1384</f>
        <v>18.974999999999998</v>
      </c>
      <c r="AD1384" s="94">
        <f>AC1384*Z1384</f>
        <v>8538.7499999999982</v>
      </c>
      <c r="AE1384" s="190"/>
      <c r="AF1384" s="191"/>
      <c r="AG1384" s="191"/>
      <c r="AH1384" s="191"/>
      <c r="AI1384" s="186"/>
      <c r="AK1384" s="171"/>
    </row>
    <row r="1385" spans="1:37" s="102" customFormat="1" ht="19.899999999999999" customHeight="1" x14ac:dyDescent="0.25">
      <c r="A1385" s="45"/>
      <c r="B1385" s="59"/>
      <c r="C1385" s="137"/>
      <c r="D1385" s="59"/>
      <c r="E1385" s="116"/>
      <c r="F1385" s="120"/>
      <c r="G1385" s="120"/>
      <c r="H1385" s="120"/>
      <c r="I1385" s="60"/>
      <c r="J1385" s="116"/>
      <c r="K1385" s="213"/>
      <c r="L1385" s="120"/>
      <c r="M1385" s="120"/>
      <c r="N1385" s="167"/>
      <c r="O1385" s="120"/>
      <c r="P1385" s="120"/>
      <c r="Q1385" s="120"/>
      <c r="R1385" s="120"/>
      <c r="S1385" s="120"/>
      <c r="T1385" s="221"/>
      <c r="U1385" s="89"/>
      <c r="V1385" s="61"/>
      <c r="W1385" s="92" t="s">
        <v>1356</v>
      </c>
      <c r="X1385" s="93" t="s">
        <v>30</v>
      </c>
      <c r="Y1385" s="93" t="s">
        <v>35</v>
      </c>
      <c r="Z1385" s="134">
        <f>VLOOKUP(W1385,Sheet2!$B:$D,3,FALSE)</f>
        <v>3500</v>
      </c>
      <c r="AA1385" s="93">
        <v>1</v>
      </c>
      <c r="AB1385" s="93">
        <f>AD1385/AC1379</f>
        <v>3500</v>
      </c>
      <c r="AC1385" s="93">
        <f>AC1379/AA1385</f>
        <v>3.7949999999999999</v>
      </c>
      <c r="AD1385" s="94">
        <f t="shared" ref="AD1385:AD1386" si="1069">AC1385*Z1385</f>
        <v>13282.5</v>
      </c>
      <c r="AE1385" s="190"/>
      <c r="AF1385" s="191"/>
      <c r="AG1385" s="191"/>
      <c r="AH1385" s="191"/>
      <c r="AI1385" s="186"/>
      <c r="AK1385" s="171"/>
    </row>
    <row r="1386" spans="1:37" s="102" customFormat="1" ht="19.899999999999999" customHeight="1" x14ac:dyDescent="0.25">
      <c r="A1386" s="45"/>
      <c r="B1386" s="59"/>
      <c r="C1386" s="137"/>
      <c r="D1386" s="59"/>
      <c r="E1386" s="116"/>
      <c r="F1386" s="120"/>
      <c r="G1386" s="120"/>
      <c r="H1386" s="120"/>
      <c r="I1386" s="60"/>
      <c r="J1386" s="116"/>
      <c r="K1386" s="213"/>
      <c r="L1386" s="120"/>
      <c r="M1386" s="120"/>
      <c r="N1386" s="167"/>
      <c r="O1386" s="120"/>
      <c r="P1386" s="120"/>
      <c r="Q1386" s="120"/>
      <c r="R1386" s="120"/>
      <c r="S1386" s="120"/>
      <c r="T1386" s="221"/>
      <c r="U1386" s="89"/>
      <c r="V1386" s="61"/>
      <c r="W1386" s="92" t="s">
        <v>174</v>
      </c>
      <c r="X1386" s="93" t="s">
        <v>29</v>
      </c>
      <c r="Y1386" s="93" t="s">
        <v>93</v>
      </c>
      <c r="Z1386" s="134">
        <f>VLOOKUP(W1386,Sheet2!$B:$D,3,FALSE)</f>
        <v>80</v>
      </c>
      <c r="AA1386" s="93">
        <v>4</v>
      </c>
      <c r="AB1386" s="93">
        <f>AD1386/AC1379</f>
        <v>20.000000000000004</v>
      </c>
      <c r="AC1386" s="93">
        <f>AC1379/AA1386</f>
        <v>0.94874999999999998</v>
      </c>
      <c r="AD1386" s="94">
        <f t="shared" si="1069"/>
        <v>75.900000000000006</v>
      </c>
      <c r="AE1386" s="190"/>
      <c r="AF1386" s="191"/>
      <c r="AG1386" s="191"/>
      <c r="AH1386" s="191"/>
      <c r="AI1386" s="186"/>
      <c r="AK1386" s="171"/>
    </row>
    <row r="1387" spans="1:37" s="102" customFormat="1" ht="19.899999999999999" customHeight="1" x14ac:dyDescent="0.25">
      <c r="A1387" s="45"/>
      <c r="B1387" s="59"/>
      <c r="C1387" s="137"/>
      <c r="D1387" s="59"/>
      <c r="E1387" s="116"/>
      <c r="F1387" s="120"/>
      <c r="G1387" s="120"/>
      <c r="H1387" s="120"/>
      <c r="I1387" s="60"/>
      <c r="J1387" s="116"/>
      <c r="K1387" s="213"/>
      <c r="L1387" s="120"/>
      <c r="M1387" s="120"/>
      <c r="N1387" s="167"/>
      <c r="O1387" s="120"/>
      <c r="P1387" s="120"/>
      <c r="Q1387" s="120"/>
      <c r="R1387" s="120"/>
      <c r="S1387" s="120"/>
      <c r="T1387" s="221"/>
      <c r="U1387" s="89"/>
      <c r="V1387" s="61"/>
      <c r="W1387" s="92" t="s">
        <v>65</v>
      </c>
      <c r="X1387" s="93" t="s">
        <v>30</v>
      </c>
      <c r="Y1387" s="93" t="s">
        <v>93</v>
      </c>
      <c r="Z1387" s="134">
        <f>VLOOKUP(W1387,Sheet2!$B:$D,3,FALSE)</f>
        <v>1.76</v>
      </c>
      <c r="AA1387" s="93">
        <f>AA1386/15</f>
        <v>0.26666666666666666</v>
      </c>
      <c r="AB1387" s="93">
        <f>AD1387/AC1379</f>
        <v>6.6000000000000005</v>
      </c>
      <c r="AC1387" s="93">
        <f>AC1379/AA1387</f>
        <v>14.231249999999999</v>
      </c>
      <c r="AD1387" s="94">
        <f>AC1387*Z1387</f>
        <v>25.047000000000001</v>
      </c>
      <c r="AE1387" s="190"/>
      <c r="AF1387" s="191"/>
      <c r="AG1387" s="191"/>
      <c r="AH1387" s="191"/>
      <c r="AI1387" s="186"/>
      <c r="AK1387" s="171"/>
    </row>
    <row r="1388" spans="1:37" s="102" customFormat="1" ht="19.899999999999999" customHeight="1" x14ac:dyDescent="0.25">
      <c r="A1388" s="45"/>
      <c r="B1388" s="59"/>
      <c r="C1388" s="137"/>
      <c r="D1388" s="59"/>
      <c r="E1388" s="116"/>
      <c r="F1388" s="120"/>
      <c r="G1388" s="120"/>
      <c r="H1388" s="120"/>
      <c r="I1388" s="60"/>
      <c r="J1388" s="116"/>
      <c r="K1388" s="213"/>
      <c r="L1388" s="120"/>
      <c r="M1388" s="120"/>
      <c r="N1388" s="167"/>
      <c r="O1388" s="120"/>
      <c r="P1388" s="120"/>
      <c r="Q1388" s="120"/>
      <c r="R1388" s="120"/>
      <c r="S1388" s="120"/>
      <c r="T1388" s="221"/>
      <c r="U1388" s="89"/>
      <c r="V1388" s="61"/>
      <c r="W1388" s="92" t="s">
        <v>1357</v>
      </c>
      <c r="X1388" s="93" t="s">
        <v>30</v>
      </c>
      <c r="Y1388" s="93" t="s">
        <v>1349</v>
      </c>
      <c r="Z1388" s="134">
        <f>VLOOKUP(W1388,Sheet2!$B:$D,3,FALSE)</f>
        <v>150</v>
      </c>
      <c r="AA1388" s="93">
        <v>1</v>
      </c>
      <c r="AB1388" s="93">
        <f>AD1388/AC1379</f>
        <v>150</v>
      </c>
      <c r="AC1388" s="93">
        <f>AC1379/AA1388</f>
        <v>3.7949999999999999</v>
      </c>
      <c r="AD1388" s="94">
        <f>AC1388*Z1388</f>
        <v>569.25</v>
      </c>
      <c r="AE1388" s="190"/>
      <c r="AF1388" s="191"/>
      <c r="AG1388" s="191"/>
      <c r="AH1388" s="191"/>
      <c r="AI1388" s="186"/>
      <c r="AK1388" s="171"/>
    </row>
    <row r="1389" spans="1:37" s="102" customFormat="1" ht="19.899999999999999" customHeight="1" x14ac:dyDescent="0.25">
      <c r="A1389" s="45"/>
      <c r="B1389" s="59"/>
      <c r="C1389" s="137"/>
      <c r="D1389" s="59"/>
      <c r="E1389" s="116"/>
      <c r="F1389" s="120"/>
      <c r="G1389" s="120"/>
      <c r="H1389" s="120"/>
      <c r="I1389" s="60"/>
      <c r="J1389" s="116"/>
      <c r="K1389" s="213"/>
      <c r="L1389" s="120"/>
      <c r="M1389" s="120"/>
      <c r="N1389" s="167"/>
      <c r="O1389" s="120"/>
      <c r="P1389" s="120"/>
      <c r="Q1389" s="120"/>
      <c r="R1389" s="120"/>
      <c r="S1389" s="120"/>
      <c r="T1389" s="221"/>
      <c r="U1389" s="89"/>
      <c r="V1389" s="61"/>
      <c r="W1389" s="92" t="s">
        <v>107</v>
      </c>
      <c r="X1389" s="93" t="s">
        <v>31</v>
      </c>
      <c r="Y1389" s="93" t="s">
        <v>93</v>
      </c>
      <c r="Z1389" s="134">
        <f>VLOOKUP(W1389,Sheet2!$B:$D,3,FALSE)</f>
        <v>17</v>
      </c>
      <c r="AA1389" s="93">
        <f>1/5</f>
        <v>0.2</v>
      </c>
      <c r="AB1389" s="93">
        <f>AD1389/AC1379</f>
        <v>85</v>
      </c>
      <c r="AC1389" s="93">
        <f>AC1379/AA1389</f>
        <v>18.974999999999998</v>
      </c>
      <c r="AD1389" s="94">
        <f>AC1389*Z1389</f>
        <v>322.57499999999999</v>
      </c>
      <c r="AE1389" s="190"/>
      <c r="AF1389" s="191"/>
      <c r="AG1389" s="191"/>
      <c r="AH1389" s="191"/>
      <c r="AI1389" s="186"/>
      <c r="AK1389" s="171"/>
    </row>
    <row r="1390" spans="1:37" s="102" customFormat="1" ht="19.899999999999999" customHeight="1" x14ac:dyDescent="0.25">
      <c r="A1390" s="45"/>
      <c r="B1390" s="59"/>
      <c r="C1390" s="137"/>
      <c r="D1390" s="59"/>
      <c r="E1390" s="116"/>
      <c r="F1390" s="120"/>
      <c r="G1390" s="120"/>
      <c r="H1390" s="120"/>
      <c r="I1390" s="60"/>
      <c r="J1390" s="116"/>
      <c r="K1390" s="213"/>
      <c r="L1390" s="120"/>
      <c r="M1390" s="120"/>
      <c r="N1390" s="167"/>
      <c r="O1390" s="120"/>
      <c r="P1390" s="120"/>
      <c r="Q1390" s="120"/>
      <c r="R1390" s="120"/>
      <c r="S1390" s="120"/>
      <c r="T1390" s="221"/>
      <c r="U1390" s="89"/>
      <c r="V1390" s="61"/>
      <c r="W1390" s="92" t="s">
        <v>112</v>
      </c>
      <c r="X1390" s="93" t="s">
        <v>31</v>
      </c>
      <c r="Y1390" s="93" t="s">
        <v>93</v>
      </c>
      <c r="Z1390" s="134">
        <f>VLOOKUP(W1390,Sheet2!$B:$D,3,FALSE)</f>
        <v>13</v>
      </c>
      <c r="AA1390" s="93">
        <f>AA1389</f>
        <v>0.2</v>
      </c>
      <c r="AB1390" s="93">
        <f>AD1390/AC1379</f>
        <v>65</v>
      </c>
      <c r="AC1390" s="93">
        <f>AC1379/AA1390</f>
        <v>18.974999999999998</v>
      </c>
      <c r="AD1390" s="94">
        <f>AC1390*Z1390</f>
        <v>246.67499999999998</v>
      </c>
      <c r="AE1390" s="190"/>
      <c r="AF1390" s="191"/>
      <c r="AG1390" s="191"/>
      <c r="AH1390" s="191"/>
      <c r="AI1390" s="186"/>
      <c r="AK1390" s="171"/>
    </row>
    <row r="1391" spans="1:37" s="103" customFormat="1" ht="19.899999999999999" customHeight="1" x14ac:dyDescent="0.25">
      <c r="A1391" s="51"/>
      <c r="B1391" s="52"/>
      <c r="C1391" s="165"/>
      <c r="D1391" s="52"/>
      <c r="E1391" s="115"/>
      <c r="F1391" s="58"/>
      <c r="G1391" s="58"/>
      <c r="H1391" s="58"/>
      <c r="I1391" s="55"/>
      <c r="J1391" s="113">
        <f>J1373</f>
        <v>3.7949999999999999</v>
      </c>
      <c r="K1391" s="212">
        <f>K1373</f>
        <v>3.7949999999999999</v>
      </c>
      <c r="L1391" s="58"/>
      <c r="M1391" s="58">
        <f>K1391-L1391</f>
        <v>3.7949999999999999</v>
      </c>
      <c r="N1391" s="166"/>
      <c r="O1391" s="58"/>
      <c r="P1391" s="58"/>
      <c r="Q1391" s="58"/>
      <c r="R1391" s="58"/>
      <c r="S1391" s="58"/>
      <c r="T1391" s="220"/>
      <c r="U1391" s="88"/>
      <c r="V1391" s="56"/>
      <c r="W1391" s="57" t="s">
        <v>1358</v>
      </c>
      <c r="X1391" s="53"/>
      <c r="Y1391" s="91" t="s">
        <v>35</v>
      </c>
      <c r="Z1391" s="136">
        <f>AD1391/AC1391</f>
        <v>2799.9999999999995</v>
      </c>
      <c r="AA1391" s="58"/>
      <c r="AB1391" s="53">
        <f>AD1391/AC1391</f>
        <v>2799.9999999999995</v>
      </c>
      <c r="AC1391" s="53">
        <f>M1391+$AE$10</f>
        <v>3.7949999999999999</v>
      </c>
      <c r="AD1391" s="54">
        <f>SUM(AD1392:AD1393)</f>
        <v>10625.999999999998</v>
      </c>
      <c r="AE1391" s="184">
        <f>SUMIFS($AD$37:$AD$12971,$V$37:$V$12971,$V1391,$X$37:$X$12971,AE$13)</f>
        <v>0</v>
      </c>
      <c r="AF1391" s="185">
        <f>SUMIFS($AD$37:$AD$12971,$V$37:$V$12971,$V1391,$X$37:$X$12971,AF$13)</f>
        <v>0</v>
      </c>
      <c r="AG1391" s="185">
        <f>SUMIFS($AD$37:$AD$12971,$V$37:$V$12971,$V1391,$X$37:$X$12971,AG$13)</f>
        <v>0</v>
      </c>
      <c r="AH1391" s="187">
        <f>SUMIFS($AD$37:$AD$12971,$V$37:$V$12971,$V1391,$X$37:$X$12971,AH$13)</f>
        <v>0</v>
      </c>
      <c r="AI1391" s="161">
        <f t="shared" ref="AI1391" si="1070">SUM(AE1391:AH1391)</f>
        <v>0</v>
      </c>
      <c r="AK1391" s="172"/>
    </row>
    <row r="1392" spans="1:37" s="102" customFormat="1" ht="19.899999999999999" customHeight="1" x14ac:dyDescent="0.25">
      <c r="A1392" s="45"/>
      <c r="B1392" s="59"/>
      <c r="C1392" s="137"/>
      <c r="D1392" s="59"/>
      <c r="E1392" s="116"/>
      <c r="F1392" s="120"/>
      <c r="G1392" s="120"/>
      <c r="H1392" s="120"/>
      <c r="I1392" s="60"/>
      <c r="J1392" s="116"/>
      <c r="K1392" s="213"/>
      <c r="L1392" s="120"/>
      <c r="M1392" s="120"/>
      <c r="N1392" s="167"/>
      <c r="O1392" s="120"/>
      <c r="P1392" s="120"/>
      <c r="Q1392" s="120"/>
      <c r="R1392" s="120"/>
      <c r="S1392" s="120"/>
      <c r="T1392" s="221"/>
      <c r="U1392" s="89"/>
      <c r="V1392" s="61"/>
      <c r="W1392" s="92" t="s">
        <v>1359</v>
      </c>
      <c r="X1392" s="93" t="s">
        <v>32</v>
      </c>
      <c r="Y1392" s="93" t="s">
        <v>64</v>
      </c>
      <c r="Z1392" s="134">
        <f>VLOOKUP(W1392,Sheet2!$B:$D,3,FALSE)</f>
        <v>40</v>
      </c>
      <c r="AA1392" s="93">
        <f>1/40</f>
        <v>2.5000000000000001E-2</v>
      </c>
      <c r="AB1392" s="93">
        <f t="shared" ref="AB1392" si="1071">AD1392/AC1391</f>
        <v>1599.9999999999998</v>
      </c>
      <c r="AC1392" s="93">
        <f>AC1391/AA1392</f>
        <v>151.79999999999998</v>
      </c>
      <c r="AD1392" s="94">
        <f t="shared" ref="AD1392:AD1393" si="1072">AC1392*Z1392</f>
        <v>6071.9999999999991</v>
      </c>
      <c r="AE1392" s="190"/>
      <c r="AF1392" s="191"/>
      <c r="AG1392" s="191"/>
      <c r="AH1392" s="191"/>
      <c r="AI1392" s="186"/>
      <c r="AK1392" s="171"/>
    </row>
    <row r="1393" spans="1:41" s="102" customFormat="1" ht="19.899999999999999" customHeight="1" x14ac:dyDescent="0.25">
      <c r="A1393" s="45"/>
      <c r="B1393" s="59"/>
      <c r="C1393" s="137"/>
      <c r="D1393" s="59"/>
      <c r="E1393" s="116"/>
      <c r="F1393" s="120"/>
      <c r="G1393" s="120"/>
      <c r="H1393" s="120"/>
      <c r="I1393" s="60"/>
      <c r="J1393" s="116"/>
      <c r="K1393" s="213"/>
      <c r="L1393" s="120"/>
      <c r="M1393" s="120"/>
      <c r="N1393" s="167"/>
      <c r="O1393" s="120"/>
      <c r="P1393" s="120"/>
      <c r="Q1393" s="120"/>
      <c r="R1393" s="120"/>
      <c r="S1393" s="120"/>
      <c r="T1393" s="221"/>
      <c r="U1393" s="89"/>
      <c r="V1393" s="61"/>
      <c r="W1393" s="92" t="s">
        <v>1360</v>
      </c>
      <c r="X1393" s="93" t="s">
        <v>32</v>
      </c>
      <c r="Y1393" s="93" t="s">
        <v>64</v>
      </c>
      <c r="Z1393" s="134">
        <f>VLOOKUP(W1393,Sheet2!$B:$D,3,FALSE)</f>
        <v>30</v>
      </c>
      <c r="AA1393" s="93">
        <f>AA1392</f>
        <v>2.5000000000000001E-2</v>
      </c>
      <c r="AB1393" s="93">
        <f>AD1393/AC1391</f>
        <v>1199.9999999999998</v>
      </c>
      <c r="AC1393" s="93">
        <f>AC1391/AA1393</f>
        <v>151.79999999999998</v>
      </c>
      <c r="AD1393" s="94">
        <f t="shared" si="1072"/>
        <v>4553.9999999999991</v>
      </c>
      <c r="AE1393" s="190"/>
      <c r="AF1393" s="191"/>
      <c r="AG1393" s="191"/>
      <c r="AH1393" s="191"/>
      <c r="AI1393" s="186"/>
      <c r="AK1393" s="171"/>
    </row>
    <row r="1394" spans="1:41" s="103" customFormat="1" ht="19.899999999999999" customHeight="1" x14ac:dyDescent="0.25">
      <c r="A1394" s="51"/>
      <c r="B1394" s="52"/>
      <c r="C1394" s="165"/>
      <c r="D1394" s="52"/>
      <c r="E1394" s="115"/>
      <c r="F1394" s="58"/>
      <c r="G1394" s="58"/>
      <c r="H1394" s="58"/>
      <c r="I1394" s="55"/>
      <c r="J1394" s="113">
        <f>J1373</f>
        <v>3.7949999999999999</v>
      </c>
      <c r="K1394" s="212">
        <f>K1373</f>
        <v>3.7949999999999999</v>
      </c>
      <c r="L1394" s="58"/>
      <c r="M1394" s="58">
        <f>K1394-L1394</f>
        <v>3.7949999999999999</v>
      </c>
      <c r="N1394" s="166"/>
      <c r="O1394" s="58"/>
      <c r="P1394" s="58"/>
      <c r="Q1394" s="58"/>
      <c r="R1394" s="58"/>
      <c r="S1394" s="58"/>
      <c r="T1394" s="220"/>
      <c r="U1394" s="88"/>
      <c r="V1394" s="56"/>
      <c r="W1394" s="57" t="s">
        <v>1272</v>
      </c>
      <c r="X1394" s="53"/>
      <c r="Y1394" s="91" t="s">
        <v>35</v>
      </c>
      <c r="Z1394" s="136">
        <f>AD1394/AC1394</f>
        <v>209.08263529411761</v>
      </c>
      <c r="AA1394" s="58"/>
      <c r="AB1394" s="53">
        <f>AD1394/AC1394</f>
        <v>209.08263529411761</v>
      </c>
      <c r="AC1394" s="53">
        <f>M1394+$AE$10</f>
        <v>3.7949999999999999</v>
      </c>
      <c r="AD1394" s="54">
        <f>SUM(AD1395:AD1403)</f>
        <v>793.46860094117631</v>
      </c>
      <c r="AE1394" s="184">
        <f>SUMIFS($AD$37:$AD$12971,$V$37:$V$12971,$V1394,$X$37:$X$12971,AE$13)</f>
        <v>0</v>
      </c>
      <c r="AF1394" s="185">
        <f>SUMIFS($AD$37:$AD$12971,$V$37:$V$12971,$V1394,$X$37:$X$12971,AF$13)</f>
        <v>0</v>
      </c>
      <c r="AG1394" s="185">
        <f>SUMIFS($AD$37:$AD$12971,$V$37:$V$12971,$V1394,$X$37:$X$12971,AG$13)</f>
        <v>0</v>
      </c>
      <c r="AH1394" s="187">
        <f>SUMIFS($AD$37:$AD$12971,$V$37:$V$12971,$V1394,$X$37:$X$12971,AH$13)</f>
        <v>0</v>
      </c>
      <c r="AI1394" s="161">
        <f t="shared" ref="AI1394" si="1073">SUM(AE1394:AH1394)</f>
        <v>0</v>
      </c>
      <c r="AK1394" s="172"/>
    </row>
    <row r="1395" spans="1:41" s="102" customFormat="1" ht="19.899999999999999" customHeight="1" x14ac:dyDescent="0.25">
      <c r="A1395" s="45"/>
      <c r="B1395" s="59"/>
      <c r="C1395" s="137"/>
      <c r="D1395" s="59"/>
      <c r="E1395" s="116"/>
      <c r="F1395" s="120"/>
      <c r="G1395" s="120"/>
      <c r="H1395" s="120"/>
      <c r="I1395" s="60"/>
      <c r="J1395" s="116"/>
      <c r="K1395" s="213"/>
      <c r="L1395" s="120"/>
      <c r="M1395" s="120"/>
      <c r="N1395" s="167"/>
      <c r="O1395" s="120"/>
      <c r="P1395" s="120"/>
      <c r="Q1395" s="120"/>
      <c r="R1395" s="120"/>
      <c r="S1395" s="120"/>
      <c r="T1395" s="221"/>
      <c r="U1395" s="89"/>
      <c r="V1395" s="61"/>
      <c r="W1395" s="92" t="s">
        <v>1273</v>
      </c>
      <c r="X1395" s="93" t="s">
        <v>30</v>
      </c>
      <c r="Y1395" s="93" t="s">
        <v>66</v>
      </c>
      <c r="Z1395" s="134">
        <f>VLOOKUP(W1395,Sheet2!$B:$D,3,FALSE)</f>
        <v>10</v>
      </c>
      <c r="AA1395" s="93">
        <f>1/(2.5*2.4*0.5*4)</f>
        <v>8.3333333333333329E-2</v>
      </c>
      <c r="AB1395" s="93">
        <f>AD1395/AC1394</f>
        <v>120</v>
      </c>
      <c r="AC1395" s="93">
        <f>AC1394/AA1395</f>
        <v>45.54</v>
      </c>
      <c r="AD1395" s="94">
        <f t="shared" ref="AD1395:AD1397" si="1074">AC1395*Z1395</f>
        <v>455.4</v>
      </c>
      <c r="AE1395" s="190"/>
      <c r="AF1395" s="191"/>
      <c r="AG1395" s="191"/>
      <c r="AH1395" s="191"/>
      <c r="AI1395" s="186"/>
      <c r="AK1395" s="171"/>
    </row>
    <row r="1396" spans="1:41" s="102" customFormat="1" ht="19.899999999999999" customHeight="1" x14ac:dyDescent="0.25">
      <c r="A1396" s="45"/>
      <c r="B1396" s="59"/>
      <c r="C1396" s="137"/>
      <c r="D1396" s="59"/>
      <c r="E1396" s="116"/>
      <c r="F1396" s="120"/>
      <c r="G1396" s="120"/>
      <c r="H1396" s="120"/>
      <c r="I1396" s="60"/>
      <c r="J1396" s="116"/>
      <c r="K1396" s="213"/>
      <c r="L1396" s="120"/>
      <c r="M1396" s="120"/>
      <c r="N1396" s="167"/>
      <c r="O1396" s="120"/>
      <c r="P1396" s="120"/>
      <c r="Q1396" s="120"/>
      <c r="R1396" s="120"/>
      <c r="S1396" s="120"/>
      <c r="T1396" s="221"/>
      <c r="U1396" s="89"/>
      <c r="V1396" s="61"/>
      <c r="W1396" s="92" t="s">
        <v>134</v>
      </c>
      <c r="X1396" s="93" t="s">
        <v>29</v>
      </c>
      <c r="Y1396" s="93" t="s">
        <v>93</v>
      </c>
      <c r="Z1396" s="134">
        <f>VLOOKUP(W1396,Sheet2!$B:$D,3,FALSE)</f>
        <v>65.599999999999994</v>
      </c>
      <c r="AA1396" s="93">
        <f>100/(2.5*2.4*0.5*4)</f>
        <v>8.3333333333333339</v>
      </c>
      <c r="AB1396" s="93">
        <f t="shared" ref="AB1396" si="1075">AD1396/AC1394</f>
        <v>7.871999999999999</v>
      </c>
      <c r="AC1396" s="93">
        <f>AC1394/AA1396</f>
        <v>0.45539999999999997</v>
      </c>
      <c r="AD1396" s="94">
        <f t="shared" si="1074"/>
        <v>29.874239999999997</v>
      </c>
      <c r="AE1396" s="190"/>
      <c r="AF1396" s="191"/>
      <c r="AG1396" s="191"/>
      <c r="AH1396" s="191"/>
      <c r="AI1396" s="186"/>
      <c r="AK1396" s="171"/>
    </row>
    <row r="1397" spans="1:41" s="102" customFormat="1" ht="19.899999999999999" customHeight="1" x14ac:dyDescent="0.25">
      <c r="A1397" s="45"/>
      <c r="B1397" s="59"/>
      <c r="C1397" s="137"/>
      <c r="D1397" s="59"/>
      <c r="E1397" s="116"/>
      <c r="F1397" s="120"/>
      <c r="G1397" s="120"/>
      <c r="H1397" s="120"/>
      <c r="I1397" s="60"/>
      <c r="J1397" s="116"/>
      <c r="K1397" s="213"/>
      <c r="L1397" s="120"/>
      <c r="M1397" s="120"/>
      <c r="N1397" s="167"/>
      <c r="O1397" s="120"/>
      <c r="P1397" s="120"/>
      <c r="Q1397" s="120"/>
      <c r="R1397" s="120"/>
      <c r="S1397" s="120"/>
      <c r="T1397" s="221"/>
      <c r="U1397" s="89"/>
      <c r="V1397" s="61"/>
      <c r="W1397" s="92" t="s">
        <v>65</v>
      </c>
      <c r="X1397" s="93" t="s">
        <v>30</v>
      </c>
      <c r="Y1397" s="93" t="s">
        <v>1011</v>
      </c>
      <c r="Z1397" s="134">
        <f>VLOOKUP(W1397,Sheet2!$B:$D,3,FALSE)</f>
        <v>1.76</v>
      </c>
      <c r="AA1397" s="93">
        <f>AA1396/9</f>
        <v>0.92592592592592604</v>
      </c>
      <c r="AB1397" s="93">
        <f>AD1397/AC1394</f>
        <v>1.9007999999999996</v>
      </c>
      <c r="AC1397" s="93">
        <f>AC1394/AA1397</f>
        <v>4.0985999999999994</v>
      </c>
      <c r="AD1397" s="94">
        <f t="shared" si="1074"/>
        <v>7.2135359999999986</v>
      </c>
      <c r="AE1397" s="190"/>
      <c r="AF1397" s="191"/>
      <c r="AG1397" s="191"/>
      <c r="AH1397" s="191"/>
      <c r="AI1397" s="186"/>
      <c r="AK1397" s="171"/>
    </row>
    <row r="1398" spans="1:41" s="102" customFormat="1" ht="19.899999999999999" customHeight="1" x14ac:dyDescent="0.25">
      <c r="A1398" s="45"/>
      <c r="B1398" s="59"/>
      <c r="C1398" s="137"/>
      <c r="D1398" s="59"/>
      <c r="E1398" s="116"/>
      <c r="F1398" s="120"/>
      <c r="G1398" s="120"/>
      <c r="H1398" s="120"/>
      <c r="I1398" s="60"/>
      <c r="J1398" s="116"/>
      <c r="K1398" s="213"/>
      <c r="L1398" s="120"/>
      <c r="M1398" s="120"/>
      <c r="N1398" s="167"/>
      <c r="O1398" s="120"/>
      <c r="P1398" s="120"/>
      <c r="Q1398" s="120"/>
      <c r="R1398" s="120"/>
      <c r="S1398" s="120"/>
      <c r="T1398" s="221"/>
      <c r="U1398" s="89"/>
      <c r="V1398" s="61"/>
      <c r="W1398" s="92" t="s">
        <v>161</v>
      </c>
      <c r="X1398" s="93" t="s">
        <v>29</v>
      </c>
      <c r="Y1398" s="93" t="s">
        <v>93</v>
      </c>
      <c r="Z1398" s="134">
        <f>VLOOKUP(W1398,Sheet2!$B:$D,3,FALSE)</f>
        <v>48</v>
      </c>
      <c r="AA1398" s="93">
        <f>(16*0.85*1.5)/(2.5*2.4*0.5*4)</f>
        <v>1.7</v>
      </c>
      <c r="AB1398" s="93">
        <f>AD1398/AC1394</f>
        <v>28.235294117647062</v>
      </c>
      <c r="AC1398" s="93">
        <f>AC1394/AA1398</f>
        <v>2.2323529411764707</v>
      </c>
      <c r="AD1398" s="94">
        <f>AC1398*Z1398</f>
        <v>107.15294117647059</v>
      </c>
      <c r="AE1398" s="190"/>
      <c r="AF1398" s="191"/>
      <c r="AG1398" s="191"/>
      <c r="AH1398" s="191"/>
      <c r="AI1398" s="186"/>
      <c r="AK1398" s="171"/>
    </row>
    <row r="1399" spans="1:41" s="102" customFormat="1" ht="19.899999999999999" customHeight="1" x14ac:dyDescent="0.25">
      <c r="A1399" s="45"/>
      <c r="B1399" s="59"/>
      <c r="C1399" s="137"/>
      <c r="D1399" s="59"/>
      <c r="E1399" s="116"/>
      <c r="F1399" s="120"/>
      <c r="G1399" s="120"/>
      <c r="H1399" s="120"/>
      <c r="I1399" s="60"/>
      <c r="J1399" s="116"/>
      <c r="K1399" s="213"/>
      <c r="L1399" s="120"/>
      <c r="M1399" s="120"/>
      <c r="N1399" s="167"/>
      <c r="O1399" s="120"/>
      <c r="P1399" s="120"/>
      <c r="Q1399" s="120"/>
      <c r="R1399" s="120"/>
      <c r="S1399" s="120"/>
      <c r="T1399" s="221"/>
      <c r="U1399" s="89"/>
      <c r="V1399" s="61"/>
      <c r="W1399" s="92" t="s">
        <v>65</v>
      </c>
      <c r="X1399" s="93" t="s">
        <v>30</v>
      </c>
      <c r="Y1399" s="93" t="s">
        <v>1011</v>
      </c>
      <c r="Z1399" s="134">
        <f>VLOOKUP(W1399,Sheet2!$B:$D,3,FALSE)</f>
        <v>1.76</v>
      </c>
      <c r="AA1399" s="93">
        <f>AA1398/10</f>
        <v>0.16999999999999998</v>
      </c>
      <c r="AB1399" s="93">
        <f>AD1399/AC1394</f>
        <v>10.352941176470589</v>
      </c>
      <c r="AC1399" s="93">
        <f>AC1394/AA1399</f>
        <v>22.323529411764707</v>
      </c>
      <c r="AD1399" s="94">
        <f>AC1399*Z1399</f>
        <v>39.289411764705882</v>
      </c>
      <c r="AE1399" s="190"/>
      <c r="AF1399" s="191"/>
      <c r="AG1399" s="191"/>
      <c r="AH1399" s="191"/>
      <c r="AI1399" s="186"/>
      <c r="AK1399" s="171"/>
    </row>
    <row r="1400" spans="1:41" s="102" customFormat="1" ht="19.899999999999999" customHeight="1" x14ac:dyDescent="0.25">
      <c r="A1400" s="45"/>
      <c r="B1400" s="59"/>
      <c r="C1400" s="137"/>
      <c r="D1400" s="59"/>
      <c r="E1400" s="116"/>
      <c r="F1400" s="120"/>
      <c r="G1400" s="120"/>
      <c r="H1400" s="120"/>
      <c r="I1400" s="60"/>
      <c r="J1400" s="116"/>
      <c r="K1400" s="213"/>
      <c r="L1400" s="120"/>
      <c r="M1400" s="120"/>
      <c r="N1400" s="167"/>
      <c r="O1400" s="120"/>
      <c r="P1400" s="120"/>
      <c r="Q1400" s="120"/>
      <c r="R1400" s="120"/>
      <c r="S1400" s="120"/>
      <c r="T1400" s="221"/>
      <c r="U1400" s="89"/>
      <c r="V1400" s="61"/>
      <c r="W1400" s="92" t="s">
        <v>173</v>
      </c>
      <c r="X1400" s="93" t="s">
        <v>29</v>
      </c>
      <c r="Y1400" s="93" t="s">
        <v>93</v>
      </c>
      <c r="Z1400" s="134">
        <f>VLOOKUP(W1400,Sheet2!$B:$D,3,FALSE)</f>
        <v>36</v>
      </c>
      <c r="AA1400" s="93">
        <f>50/(2.5*2.4*0.5*4)</f>
        <v>4.166666666666667</v>
      </c>
      <c r="AB1400" s="93">
        <f>AD1400/AC1394</f>
        <v>8.6399999999999988</v>
      </c>
      <c r="AC1400" s="93">
        <f>AC1394/AA1400</f>
        <v>0.91079999999999994</v>
      </c>
      <c r="AD1400" s="94">
        <f>AC1400*Z1400</f>
        <v>32.788799999999995</v>
      </c>
      <c r="AE1400" s="190"/>
      <c r="AF1400" s="191"/>
      <c r="AG1400" s="191"/>
      <c r="AH1400" s="191"/>
      <c r="AI1400" s="186"/>
      <c r="AK1400" s="171"/>
    </row>
    <row r="1401" spans="1:41" s="102" customFormat="1" ht="19.899999999999999" customHeight="1" x14ac:dyDescent="0.25">
      <c r="A1401" s="45"/>
      <c r="B1401" s="59"/>
      <c r="C1401" s="137"/>
      <c r="D1401" s="59"/>
      <c r="E1401" s="116"/>
      <c r="F1401" s="120"/>
      <c r="G1401" s="120"/>
      <c r="H1401" s="120"/>
      <c r="I1401" s="60"/>
      <c r="J1401" s="116"/>
      <c r="K1401" s="213"/>
      <c r="L1401" s="120"/>
      <c r="M1401" s="120"/>
      <c r="N1401" s="167"/>
      <c r="O1401" s="120"/>
      <c r="P1401" s="120"/>
      <c r="Q1401" s="120"/>
      <c r="R1401" s="120"/>
      <c r="S1401" s="120"/>
      <c r="T1401" s="221"/>
      <c r="U1401" s="89"/>
      <c r="V1401" s="61"/>
      <c r="W1401" s="92" t="s">
        <v>65</v>
      </c>
      <c r="X1401" s="93" t="s">
        <v>30</v>
      </c>
      <c r="Y1401" s="93" t="s">
        <v>1011</v>
      </c>
      <c r="Z1401" s="134">
        <f>VLOOKUP(W1401,Sheet2!$B:$D,3,FALSE)</f>
        <v>1.76</v>
      </c>
      <c r="AA1401" s="93">
        <f>AA1400/9</f>
        <v>0.46296296296296302</v>
      </c>
      <c r="AB1401" s="93">
        <f>AD1401/AC1394</f>
        <v>3.8015999999999992</v>
      </c>
      <c r="AC1401" s="93">
        <f>AC1394/AA1401</f>
        <v>8.1971999999999987</v>
      </c>
      <c r="AD1401" s="94">
        <f>AC1401*Z1401</f>
        <v>14.427071999999997</v>
      </c>
      <c r="AE1401" s="190"/>
      <c r="AF1401" s="191"/>
      <c r="AG1401" s="191"/>
      <c r="AH1401" s="191"/>
      <c r="AI1401" s="186"/>
      <c r="AK1401" s="171"/>
    </row>
    <row r="1402" spans="1:41" s="102" customFormat="1" ht="19.899999999999999" customHeight="1" x14ac:dyDescent="0.25">
      <c r="A1402" s="45"/>
      <c r="B1402" s="59"/>
      <c r="C1402" s="137"/>
      <c r="D1402" s="59"/>
      <c r="E1402" s="116"/>
      <c r="F1402" s="120"/>
      <c r="G1402" s="120"/>
      <c r="H1402" s="120"/>
      <c r="I1402" s="60"/>
      <c r="J1402" s="116"/>
      <c r="K1402" s="213"/>
      <c r="L1402" s="120"/>
      <c r="M1402" s="120"/>
      <c r="N1402" s="167"/>
      <c r="O1402" s="120"/>
      <c r="P1402" s="120"/>
      <c r="Q1402" s="120"/>
      <c r="R1402" s="120"/>
      <c r="S1402" s="120"/>
      <c r="T1402" s="221"/>
      <c r="U1402" s="89"/>
      <c r="V1402" s="61"/>
      <c r="W1402" s="92" t="s">
        <v>1030</v>
      </c>
      <c r="X1402" s="93" t="s">
        <v>29</v>
      </c>
      <c r="Y1402" s="93" t="s">
        <v>93</v>
      </c>
      <c r="Z1402" s="134">
        <f>VLOOKUP(W1402,Sheet2!$B:$D,3,FALSE)</f>
        <v>23</v>
      </c>
      <c r="AA1402" s="93">
        <v>1</v>
      </c>
      <c r="AB1402" s="93">
        <f>AD1402/AC1394</f>
        <v>23</v>
      </c>
      <c r="AC1402" s="93">
        <f>AC1394/AA1402</f>
        <v>3.7949999999999999</v>
      </c>
      <c r="AD1402" s="94">
        <f t="shared" ref="AD1402:AD1403" si="1076">AC1402*Z1402</f>
        <v>87.284999999999997</v>
      </c>
      <c r="AE1402" s="190"/>
      <c r="AF1402" s="191"/>
      <c r="AG1402" s="191"/>
      <c r="AH1402" s="191"/>
      <c r="AI1402" s="186"/>
      <c r="AK1402" s="171"/>
    </row>
    <row r="1403" spans="1:41" s="102" customFormat="1" ht="19.899999999999999" customHeight="1" x14ac:dyDescent="0.25">
      <c r="A1403" s="45"/>
      <c r="B1403" s="59"/>
      <c r="C1403" s="137"/>
      <c r="D1403" s="59"/>
      <c r="E1403" s="116"/>
      <c r="F1403" s="120"/>
      <c r="G1403" s="120"/>
      <c r="H1403" s="120"/>
      <c r="I1403" s="60"/>
      <c r="J1403" s="116"/>
      <c r="K1403" s="213"/>
      <c r="L1403" s="120"/>
      <c r="M1403" s="120"/>
      <c r="N1403" s="167"/>
      <c r="O1403" s="120"/>
      <c r="P1403" s="120"/>
      <c r="Q1403" s="120"/>
      <c r="R1403" s="120"/>
      <c r="S1403" s="120"/>
      <c r="T1403" s="221"/>
      <c r="U1403" s="89"/>
      <c r="V1403" s="61"/>
      <c r="W1403" s="92" t="s">
        <v>65</v>
      </c>
      <c r="X1403" s="93" t="s">
        <v>30</v>
      </c>
      <c r="Y1403" s="93" t="s">
        <v>1011</v>
      </c>
      <c r="Z1403" s="134">
        <f>VLOOKUP(W1403,Sheet2!$B:$D,3,FALSE)</f>
        <v>1.76</v>
      </c>
      <c r="AA1403" s="93">
        <f>AA1402/3</f>
        <v>0.33333333333333331</v>
      </c>
      <c r="AB1403" s="93">
        <f>AD1403/AC1394</f>
        <v>5.28</v>
      </c>
      <c r="AC1403" s="93">
        <f>AC1394/AA1403</f>
        <v>11.385</v>
      </c>
      <c r="AD1403" s="94">
        <f t="shared" si="1076"/>
        <v>20.037600000000001</v>
      </c>
      <c r="AE1403" s="190"/>
      <c r="AF1403" s="191"/>
      <c r="AG1403" s="191"/>
      <c r="AH1403" s="191"/>
      <c r="AI1403" s="186"/>
      <c r="AK1403" s="171"/>
    </row>
    <row r="1404" spans="1:41" ht="20.100000000000001" customHeight="1" x14ac:dyDescent="0.25">
      <c r="A1404" s="277" t="s">
        <v>216</v>
      </c>
      <c r="B1404" s="278"/>
      <c r="C1404" s="64" t="s">
        <v>339</v>
      </c>
      <c r="D1404" s="46" t="s">
        <v>215</v>
      </c>
      <c r="E1404" s="114"/>
      <c r="F1404" s="44">
        <v>0</v>
      </c>
      <c r="G1404" s="44">
        <f t="shared" si="607"/>
        <v>0</v>
      </c>
      <c r="H1404" s="44">
        <f t="shared" si="608"/>
        <v>0</v>
      </c>
      <c r="I1404" s="43">
        <f t="shared" si="609"/>
        <v>0</v>
      </c>
      <c r="J1404" s="112">
        <f t="shared" si="610"/>
        <v>0</v>
      </c>
      <c r="K1404" s="211">
        <f t="shared" si="611"/>
        <v>0</v>
      </c>
      <c r="L1404" s="44"/>
      <c r="M1404" s="44">
        <f t="shared" si="612"/>
        <v>0</v>
      </c>
      <c r="N1404" s="173">
        <f t="shared" si="613"/>
        <v>0</v>
      </c>
      <c r="O1404" s="44">
        <f t="shared" si="614"/>
        <v>0</v>
      </c>
      <c r="P1404" s="44">
        <f t="shared" si="615"/>
        <v>0</v>
      </c>
      <c r="Q1404" s="44">
        <f t="shared" si="616"/>
        <v>0</v>
      </c>
      <c r="R1404" s="44">
        <f t="shared" si="617"/>
        <v>0</v>
      </c>
      <c r="S1404" s="123"/>
      <c r="T1404" s="219">
        <f t="shared" si="618"/>
        <v>0</v>
      </c>
      <c r="U1404" s="87"/>
      <c r="V1404" s="47"/>
      <c r="W1404" s="48"/>
      <c r="X1404" s="48"/>
      <c r="Y1404" s="48"/>
      <c r="Z1404" s="135"/>
      <c r="AA1404" s="49"/>
      <c r="AB1404" s="50">
        <f t="shared" si="619"/>
        <v>0</v>
      </c>
      <c r="AC1404" s="42">
        <f t="shared" si="620"/>
        <v>9.9999999999999998E-20</v>
      </c>
      <c r="AD1404" s="90"/>
      <c r="AE1404" s="188"/>
      <c r="AF1404" s="189"/>
      <c r="AG1404" s="189"/>
      <c r="AH1404" s="189"/>
      <c r="AI1404" s="161"/>
    </row>
    <row r="1405" spans="1:41" ht="20.100000000000001" customHeight="1" x14ac:dyDescent="0.25">
      <c r="A1405" s="277" t="s">
        <v>216</v>
      </c>
      <c r="B1405" s="278"/>
      <c r="C1405" s="64" t="s">
        <v>340</v>
      </c>
      <c r="D1405" s="46" t="s">
        <v>215</v>
      </c>
      <c r="E1405" s="114"/>
      <c r="F1405" s="44">
        <v>0</v>
      </c>
      <c r="G1405" s="44">
        <f t="shared" si="607"/>
        <v>0</v>
      </c>
      <c r="H1405" s="44">
        <f t="shared" si="608"/>
        <v>0</v>
      </c>
      <c r="I1405" s="43">
        <f t="shared" si="609"/>
        <v>0</v>
      </c>
      <c r="J1405" s="112">
        <f t="shared" si="610"/>
        <v>0</v>
      </c>
      <c r="K1405" s="211">
        <f t="shared" si="611"/>
        <v>0</v>
      </c>
      <c r="L1405" s="44"/>
      <c r="M1405" s="44">
        <f t="shared" si="612"/>
        <v>0</v>
      </c>
      <c r="N1405" s="173">
        <f t="shared" si="613"/>
        <v>0</v>
      </c>
      <c r="O1405" s="44">
        <f t="shared" si="614"/>
        <v>0</v>
      </c>
      <c r="P1405" s="44">
        <f t="shared" si="615"/>
        <v>0</v>
      </c>
      <c r="Q1405" s="44">
        <f t="shared" si="616"/>
        <v>0</v>
      </c>
      <c r="R1405" s="44">
        <f t="shared" si="617"/>
        <v>0</v>
      </c>
      <c r="S1405" s="123"/>
      <c r="T1405" s="219">
        <f t="shared" si="618"/>
        <v>0</v>
      </c>
      <c r="U1405" s="87"/>
      <c r="V1405" s="47"/>
      <c r="W1405" s="48"/>
      <c r="X1405" s="48"/>
      <c r="Y1405" s="48"/>
      <c r="Z1405" s="135"/>
      <c r="AA1405" s="49"/>
      <c r="AB1405" s="50">
        <f t="shared" si="619"/>
        <v>0</v>
      </c>
      <c r="AC1405" s="42">
        <f t="shared" si="620"/>
        <v>9.9999999999999998E-20</v>
      </c>
      <c r="AD1405" s="90"/>
      <c r="AE1405" s="188"/>
      <c r="AF1405" s="189"/>
      <c r="AG1405" s="189"/>
      <c r="AH1405" s="189"/>
      <c r="AI1405" s="161"/>
    </row>
    <row r="1406" spans="1:41" ht="20.100000000000001" customHeight="1" x14ac:dyDescent="0.25">
      <c r="A1406" s="277" t="s">
        <v>216</v>
      </c>
      <c r="B1406" s="278"/>
      <c r="C1406" s="64" t="s">
        <v>341</v>
      </c>
      <c r="D1406" s="46" t="s">
        <v>215</v>
      </c>
      <c r="E1406" s="114">
        <v>0.29999999999999993</v>
      </c>
      <c r="F1406" s="44">
        <v>17057</v>
      </c>
      <c r="G1406" s="44">
        <f t="shared" si="607"/>
        <v>5117.0999999999985</v>
      </c>
      <c r="H1406" s="44">
        <f t="shared" si="608"/>
        <v>6216.1543450992394</v>
      </c>
      <c r="I1406" s="43">
        <f t="shared" si="609"/>
        <v>1864.8463035297714</v>
      </c>
      <c r="J1406" s="112">
        <f t="shared" si="610"/>
        <v>0.29999999999999993</v>
      </c>
      <c r="K1406" s="211">
        <f t="shared" si="611"/>
        <v>0.29999999999999993</v>
      </c>
      <c r="L1406" s="44"/>
      <c r="M1406" s="44">
        <f t="shared" si="612"/>
        <v>0.29999999999999993</v>
      </c>
      <c r="N1406" s="173">
        <f t="shared" si="613"/>
        <v>1</v>
      </c>
      <c r="O1406" s="44">
        <f t="shared" si="614"/>
        <v>17057</v>
      </c>
      <c r="P1406" s="44">
        <f t="shared" si="615"/>
        <v>5117.0999999999985</v>
      </c>
      <c r="Q1406" s="44">
        <f t="shared" si="616"/>
        <v>6216.1543450992394</v>
      </c>
      <c r="R1406" s="44">
        <f t="shared" si="617"/>
        <v>1864.8463035297714</v>
      </c>
      <c r="S1406" s="123"/>
      <c r="T1406" s="219">
        <f t="shared" si="618"/>
        <v>1864.8463035297714</v>
      </c>
      <c r="U1406" s="87"/>
      <c r="V1406" s="47"/>
      <c r="W1406" s="48"/>
      <c r="X1406" s="48"/>
      <c r="Y1406" s="48"/>
      <c r="Z1406" s="135"/>
      <c r="AA1406" s="49"/>
      <c r="AB1406" s="50">
        <f t="shared" si="619"/>
        <v>6216.1543450992394</v>
      </c>
      <c r="AC1406" s="42">
        <f t="shared" si="620"/>
        <v>0.29999999999999993</v>
      </c>
      <c r="AD1406" s="90">
        <f>AD1407+AD1412+AD1419+AD1422</f>
        <v>1864.8463035297714</v>
      </c>
      <c r="AE1406" s="188">
        <f t="shared" ref="AE1406" si="1077">AE1407+AE1412+AE1419+AE1422</f>
        <v>0</v>
      </c>
      <c r="AF1406" s="189">
        <f t="shared" ref="AF1406" si="1078">AF1407+AF1412+AF1419+AF1422</f>
        <v>0</v>
      </c>
      <c r="AG1406" s="189">
        <f t="shared" ref="AG1406" si="1079">AG1407+AG1412+AG1419+AG1422</f>
        <v>0</v>
      </c>
      <c r="AH1406" s="189">
        <f t="shared" ref="AH1406" si="1080">AH1407+AH1412+AH1419+AH1422</f>
        <v>0</v>
      </c>
      <c r="AI1406" s="161">
        <f t="shared" ref="AI1406:AI1433" si="1081">SUM(AE1406:AH1406)</f>
        <v>0</v>
      </c>
      <c r="AK1406" s="169">
        <v>5</v>
      </c>
      <c r="AO1406" s="19" t="s">
        <v>63</v>
      </c>
    </row>
    <row r="1407" spans="1:41" s="103" customFormat="1" ht="19.899999999999999" customHeight="1" x14ac:dyDescent="0.25">
      <c r="A1407" s="51"/>
      <c r="B1407" s="52"/>
      <c r="C1407" s="165"/>
      <c r="D1407" s="52"/>
      <c r="E1407" s="115"/>
      <c r="F1407" s="58"/>
      <c r="G1407" s="58"/>
      <c r="H1407" s="58"/>
      <c r="I1407" s="55"/>
      <c r="J1407" s="113">
        <f>J1406</f>
        <v>0.29999999999999993</v>
      </c>
      <c r="K1407" s="212">
        <f>K1406</f>
        <v>0.29999999999999993</v>
      </c>
      <c r="L1407" s="58"/>
      <c r="M1407" s="58">
        <f>K1407-L1407</f>
        <v>0.29999999999999993</v>
      </c>
      <c r="N1407" s="166"/>
      <c r="O1407" s="58"/>
      <c r="P1407" s="58"/>
      <c r="Q1407" s="58"/>
      <c r="R1407" s="58"/>
      <c r="S1407" s="58"/>
      <c r="T1407" s="220"/>
      <c r="U1407" s="88"/>
      <c r="V1407" s="56"/>
      <c r="W1407" s="57" t="s">
        <v>1364</v>
      </c>
      <c r="X1407" s="53"/>
      <c r="Y1407" s="91" t="s">
        <v>35</v>
      </c>
      <c r="Z1407" s="136">
        <f>AD1407/AC1407</f>
        <v>54.298164705882357</v>
      </c>
      <c r="AA1407" s="58"/>
      <c r="AB1407" s="53">
        <f>AD1407/AC1407</f>
        <v>54.298164705882357</v>
      </c>
      <c r="AC1407" s="53">
        <f>M1407+$AE$10</f>
        <v>0.29999999999999993</v>
      </c>
      <c r="AD1407" s="54">
        <f>SUM(AD1408:AD1411)</f>
        <v>16.289449411764704</v>
      </c>
      <c r="AE1407" s="184">
        <f>SUMIFS($AD$37:$AD$12971,$V$37:$V$12971,$V1407,$X$37:$X$12971,AE$13)</f>
        <v>0</v>
      </c>
      <c r="AF1407" s="185">
        <f>SUMIFS($AD$37:$AD$12971,$V$37:$V$12971,$V1407,$X$37:$X$12971,AF$13)</f>
        <v>0</v>
      </c>
      <c r="AG1407" s="185">
        <f>SUMIFS($AD$37:$AD$12971,$V$37:$V$12971,$V1407,$X$37:$X$12971,AG$13)</f>
        <v>0</v>
      </c>
      <c r="AH1407" s="187">
        <f>SUMIFS($AD$37:$AD$12971,$V$37:$V$12971,$V1407,$X$37:$X$12971,AH$13)</f>
        <v>0</v>
      </c>
      <c r="AI1407" s="161">
        <f t="shared" ref="AI1407" si="1082">SUM(AE1407:AH1407)</f>
        <v>0</v>
      </c>
      <c r="AK1407" s="172"/>
    </row>
    <row r="1408" spans="1:41" s="102" customFormat="1" ht="19.899999999999999" customHeight="1" x14ac:dyDescent="0.25">
      <c r="A1408" s="45"/>
      <c r="B1408" s="59"/>
      <c r="C1408" s="137"/>
      <c r="D1408" s="59"/>
      <c r="E1408" s="116"/>
      <c r="F1408" s="120"/>
      <c r="G1408" s="120"/>
      <c r="H1408" s="120"/>
      <c r="I1408" s="60"/>
      <c r="J1408" s="116"/>
      <c r="K1408" s="213"/>
      <c r="L1408" s="120"/>
      <c r="M1408" s="120"/>
      <c r="N1408" s="167"/>
      <c r="O1408" s="120"/>
      <c r="P1408" s="120"/>
      <c r="Q1408" s="120"/>
      <c r="R1408" s="120"/>
      <c r="S1408" s="120"/>
      <c r="T1408" s="221"/>
      <c r="U1408" s="89"/>
      <c r="V1408" s="61"/>
      <c r="W1408" s="92" t="s">
        <v>129</v>
      </c>
      <c r="X1408" s="93" t="s">
        <v>29</v>
      </c>
      <c r="Y1408" s="93" t="s">
        <v>93</v>
      </c>
      <c r="Z1408" s="134">
        <f>VLOOKUP(W1408,Sheet2!$B:$D,3,FALSE)</f>
        <v>56</v>
      </c>
      <c r="AA1408" s="93">
        <f>100/(3*3*1.5)</f>
        <v>7.4074074074074074</v>
      </c>
      <c r="AB1408" s="93">
        <f t="shared" ref="AB1408" si="1083">AD1408/AC1407</f>
        <v>7.56</v>
      </c>
      <c r="AC1408" s="93">
        <f>AC1407/AA1408</f>
        <v>4.0499999999999987E-2</v>
      </c>
      <c r="AD1408" s="94">
        <f t="shared" ref="AD1408:AD1409" si="1084">AC1408*Z1408</f>
        <v>2.2679999999999993</v>
      </c>
      <c r="AE1408" s="190"/>
      <c r="AF1408" s="191"/>
      <c r="AG1408" s="191"/>
      <c r="AH1408" s="191"/>
      <c r="AI1408" s="186"/>
      <c r="AK1408" s="171"/>
    </row>
    <row r="1409" spans="1:37" s="102" customFormat="1" ht="19.899999999999999" customHeight="1" x14ac:dyDescent="0.25">
      <c r="A1409" s="45"/>
      <c r="B1409" s="59"/>
      <c r="C1409" s="137"/>
      <c r="D1409" s="59"/>
      <c r="E1409" s="116"/>
      <c r="F1409" s="120"/>
      <c r="G1409" s="120"/>
      <c r="H1409" s="120"/>
      <c r="I1409" s="60"/>
      <c r="J1409" s="116"/>
      <c r="K1409" s="213"/>
      <c r="L1409" s="120"/>
      <c r="M1409" s="120"/>
      <c r="N1409" s="167"/>
      <c r="O1409" s="120"/>
      <c r="P1409" s="120"/>
      <c r="Q1409" s="120"/>
      <c r="R1409" s="120"/>
      <c r="S1409" s="120"/>
      <c r="T1409" s="221"/>
      <c r="U1409" s="89"/>
      <c r="V1409" s="61"/>
      <c r="W1409" s="92" t="s">
        <v>65</v>
      </c>
      <c r="X1409" s="93" t="s">
        <v>30</v>
      </c>
      <c r="Y1409" s="93" t="s">
        <v>1011</v>
      </c>
      <c r="Z1409" s="134">
        <f>VLOOKUP(W1409,Sheet2!$B:$D,3,FALSE)</f>
        <v>1.76</v>
      </c>
      <c r="AA1409" s="93">
        <f>AA1408/14</f>
        <v>0.52910052910052907</v>
      </c>
      <c r="AB1409" s="93">
        <f>AD1409/AC1407</f>
        <v>3.3264000000000005</v>
      </c>
      <c r="AC1409" s="93">
        <f>AC1407/AA1409</f>
        <v>0.56699999999999995</v>
      </c>
      <c r="AD1409" s="94">
        <f t="shared" si="1084"/>
        <v>0.99791999999999992</v>
      </c>
      <c r="AE1409" s="190"/>
      <c r="AF1409" s="191"/>
      <c r="AG1409" s="191"/>
      <c r="AH1409" s="191"/>
      <c r="AI1409" s="186"/>
      <c r="AK1409" s="171"/>
    </row>
    <row r="1410" spans="1:37" s="102" customFormat="1" ht="19.899999999999999" customHeight="1" x14ac:dyDescent="0.25">
      <c r="A1410" s="45"/>
      <c r="B1410" s="59"/>
      <c r="C1410" s="137"/>
      <c r="D1410" s="59"/>
      <c r="E1410" s="116"/>
      <c r="F1410" s="120"/>
      <c r="G1410" s="120"/>
      <c r="H1410" s="120"/>
      <c r="I1410" s="60"/>
      <c r="J1410" s="116"/>
      <c r="K1410" s="213"/>
      <c r="L1410" s="120"/>
      <c r="M1410" s="120"/>
      <c r="N1410" s="167"/>
      <c r="O1410" s="120"/>
      <c r="P1410" s="120"/>
      <c r="Q1410" s="120"/>
      <c r="R1410" s="120"/>
      <c r="S1410" s="120"/>
      <c r="T1410" s="221"/>
      <c r="U1410" s="89"/>
      <c r="V1410" s="61"/>
      <c r="W1410" s="92" t="s">
        <v>161</v>
      </c>
      <c r="X1410" s="93" t="s">
        <v>29</v>
      </c>
      <c r="Y1410" s="93" t="s">
        <v>93</v>
      </c>
      <c r="Z1410" s="134">
        <f>VLOOKUP(W1410,Sheet2!$B:$D,3,FALSE)</f>
        <v>48</v>
      </c>
      <c r="AA1410" s="93">
        <f>(16*0.85*1.5)/(3*3*1.5)</f>
        <v>1.5111111111111111</v>
      </c>
      <c r="AB1410" s="93">
        <f>AD1410/AC1407</f>
        <v>31.764705882352942</v>
      </c>
      <c r="AC1410" s="93">
        <f>AC1407/AA1410</f>
        <v>0.19852941176470584</v>
      </c>
      <c r="AD1410" s="94">
        <f>AC1410*Z1410</f>
        <v>9.5294117647058805</v>
      </c>
      <c r="AE1410" s="190"/>
      <c r="AF1410" s="191"/>
      <c r="AG1410" s="191"/>
      <c r="AH1410" s="191"/>
      <c r="AI1410" s="186"/>
      <c r="AK1410" s="171"/>
    </row>
    <row r="1411" spans="1:37" s="102" customFormat="1" ht="19.899999999999999" customHeight="1" x14ac:dyDescent="0.25">
      <c r="A1411" s="45"/>
      <c r="B1411" s="59"/>
      <c r="C1411" s="137"/>
      <c r="D1411" s="59"/>
      <c r="E1411" s="116"/>
      <c r="F1411" s="120"/>
      <c r="G1411" s="120"/>
      <c r="H1411" s="120"/>
      <c r="I1411" s="60"/>
      <c r="J1411" s="116"/>
      <c r="K1411" s="213"/>
      <c r="L1411" s="120"/>
      <c r="M1411" s="120"/>
      <c r="N1411" s="167"/>
      <c r="O1411" s="120"/>
      <c r="P1411" s="120"/>
      <c r="Q1411" s="120"/>
      <c r="R1411" s="120"/>
      <c r="S1411" s="120"/>
      <c r="T1411" s="221"/>
      <c r="U1411" s="89"/>
      <c r="V1411" s="61"/>
      <c r="W1411" s="92" t="s">
        <v>65</v>
      </c>
      <c r="X1411" s="93" t="s">
        <v>30</v>
      </c>
      <c r="Y1411" s="93" t="s">
        <v>1011</v>
      </c>
      <c r="Z1411" s="134">
        <f>VLOOKUP(W1411,Sheet2!$B:$D,3,FALSE)</f>
        <v>1.76</v>
      </c>
      <c r="AA1411" s="93">
        <f>AA1410/10</f>
        <v>0.15111111111111111</v>
      </c>
      <c r="AB1411" s="93">
        <f>AD1411/AC1407</f>
        <v>11.647058823529411</v>
      </c>
      <c r="AC1411" s="93">
        <f>AC1407/AA1411</f>
        <v>1.9852941176470584</v>
      </c>
      <c r="AD1411" s="94">
        <f>AC1411*Z1411</f>
        <v>3.4941176470588227</v>
      </c>
      <c r="AE1411" s="190"/>
      <c r="AF1411" s="191"/>
      <c r="AG1411" s="191"/>
      <c r="AH1411" s="191"/>
      <c r="AI1411" s="186"/>
      <c r="AK1411" s="171"/>
    </row>
    <row r="1412" spans="1:37" s="103" customFormat="1" ht="19.899999999999999" customHeight="1" x14ac:dyDescent="0.25">
      <c r="A1412" s="51"/>
      <c r="B1412" s="52"/>
      <c r="C1412" s="165"/>
      <c r="D1412" s="52"/>
      <c r="E1412" s="115"/>
      <c r="F1412" s="58"/>
      <c r="G1412" s="58"/>
      <c r="H1412" s="58"/>
      <c r="I1412" s="55"/>
      <c r="J1412" s="113">
        <f>J1406</f>
        <v>0.29999999999999993</v>
      </c>
      <c r="K1412" s="212">
        <f>K1406</f>
        <v>0.29999999999999993</v>
      </c>
      <c r="L1412" s="58"/>
      <c r="M1412" s="58">
        <f>K1412-L1412</f>
        <v>0.29999999999999993</v>
      </c>
      <c r="N1412" s="166"/>
      <c r="O1412" s="58"/>
      <c r="P1412" s="58"/>
      <c r="Q1412" s="58"/>
      <c r="R1412" s="58"/>
      <c r="S1412" s="58"/>
      <c r="T1412" s="220"/>
      <c r="U1412" s="88"/>
      <c r="V1412" s="56"/>
      <c r="W1412" s="57" t="s">
        <v>1352</v>
      </c>
      <c r="X1412" s="53"/>
      <c r="Y1412" s="91" t="s">
        <v>35</v>
      </c>
      <c r="Z1412" s="136">
        <f>AD1412/AC1412</f>
        <v>4350.0012000012002</v>
      </c>
      <c r="AA1412" s="58"/>
      <c r="AB1412" s="53">
        <f>AD1412/AC1412</f>
        <v>4350.0012000012002</v>
      </c>
      <c r="AC1412" s="53">
        <f>M1412+$AE$10</f>
        <v>0.29999999999999993</v>
      </c>
      <c r="AD1412" s="54">
        <f>SUM(AD1413:AD1418)</f>
        <v>1305.0003600003597</v>
      </c>
      <c r="AE1412" s="184">
        <f>SUMIFS($AD$37:$AD$12971,$V$37:$V$12971,$V1412,$X$37:$X$12971,AE$13)</f>
        <v>0</v>
      </c>
      <c r="AF1412" s="185">
        <f>SUMIFS($AD$37:$AD$12971,$V$37:$V$12971,$V1412,$X$37:$X$12971,AF$13)</f>
        <v>0</v>
      </c>
      <c r="AG1412" s="185">
        <f>SUMIFS($AD$37:$AD$12971,$V$37:$V$12971,$V1412,$X$37:$X$12971,AG$13)</f>
        <v>0</v>
      </c>
      <c r="AH1412" s="187">
        <f>SUMIFS($AD$37:$AD$12971,$V$37:$V$12971,$V1412,$X$37:$X$12971,AH$13)</f>
        <v>0</v>
      </c>
      <c r="AI1412" s="161">
        <f t="shared" ref="AI1412" si="1085">SUM(AE1412:AH1412)</f>
        <v>0</v>
      </c>
      <c r="AK1412" s="172"/>
    </row>
    <row r="1413" spans="1:37" s="102" customFormat="1" ht="19.899999999999999" customHeight="1" x14ac:dyDescent="0.25">
      <c r="A1413" s="45"/>
      <c r="B1413" s="59"/>
      <c r="C1413" s="137"/>
      <c r="D1413" s="59"/>
      <c r="E1413" s="116"/>
      <c r="F1413" s="120"/>
      <c r="G1413" s="120"/>
      <c r="H1413" s="120"/>
      <c r="I1413" s="60"/>
      <c r="J1413" s="116"/>
      <c r="K1413" s="213"/>
      <c r="L1413" s="120"/>
      <c r="M1413" s="120"/>
      <c r="N1413" s="167"/>
      <c r="O1413" s="120"/>
      <c r="P1413" s="120"/>
      <c r="Q1413" s="120"/>
      <c r="R1413" s="120"/>
      <c r="S1413" s="120"/>
      <c r="T1413" s="221"/>
      <c r="U1413" s="89"/>
      <c r="V1413" s="61"/>
      <c r="W1413" s="92" t="s">
        <v>1353</v>
      </c>
      <c r="X1413" s="93" t="s">
        <v>30</v>
      </c>
      <c r="Y1413" s="93" t="s">
        <v>66</v>
      </c>
      <c r="Z1413" s="134">
        <f>VLOOKUP(W1413,Sheet2!$B:$D,3,FALSE)</f>
        <v>350</v>
      </c>
      <c r="AA1413" s="93">
        <f>1/(2*1.5*0.25*4)</f>
        <v>0.33333333333333331</v>
      </c>
      <c r="AB1413" s="93">
        <f>AD1413/AC1412</f>
        <v>1050</v>
      </c>
      <c r="AC1413" s="93">
        <f>AC1412/AA1413</f>
        <v>0.8999999999999998</v>
      </c>
      <c r="AD1413" s="94">
        <f t="shared" ref="AD1413:AD1414" si="1086">AC1413*Z1413</f>
        <v>314.99999999999994</v>
      </c>
      <c r="AE1413" s="190"/>
      <c r="AF1413" s="191"/>
      <c r="AG1413" s="191"/>
      <c r="AH1413" s="191"/>
      <c r="AI1413" s="186"/>
      <c r="AK1413" s="171"/>
    </row>
    <row r="1414" spans="1:37" s="102" customFormat="1" ht="19.899999999999999" customHeight="1" x14ac:dyDescent="0.25">
      <c r="A1414" s="45"/>
      <c r="B1414" s="59"/>
      <c r="C1414" s="137"/>
      <c r="D1414" s="59"/>
      <c r="E1414" s="116"/>
      <c r="F1414" s="120"/>
      <c r="G1414" s="120"/>
      <c r="H1414" s="120"/>
      <c r="I1414" s="60"/>
      <c r="J1414" s="116"/>
      <c r="K1414" s="213"/>
      <c r="L1414" s="120"/>
      <c r="M1414" s="120"/>
      <c r="N1414" s="167"/>
      <c r="O1414" s="120"/>
      <c r="P1414" s="120"/>
      <c r="Q1414" s="120"/>
      <c r="R1414" s="120"/>
      <c r="S1414" s="120"/>
      <c r="T1414" s="221"/>
      <c r="U1414" s="89"/>
      <c r="V1414" s="61"/>
      <c r="W1414" s="92" t="s">
        <v>99</v>
      </c>
      <c r="X1414" s="93" t="s">
        <v>30</v>
      </c>
      <c r="Y1414" s="93" t="s">
        <v>67</v>
      </c>
      <c r="Z1414" s="134">
        <f>VLOOKUP(W1414,Sheet2!$B:$D,3,FALSE)</f>
        <v>2500</v>
      </c>
      <c r="AA1414" s="93">
        <f>1/(2*1.5*0.25*4*0.08)</f>
        <v>4.166666666666667</v>
      </c>
      <c r="AB1414" s="93">
        <f>AD1414/AC1412</f>
        <v>600</v>
      </c>
      <c r="AC1414" s="93">
        <f>AC1412/AA1414</f>
        <v>7.1999999999999981E-2</v>
      </c>
      <c r="AD1414" s="94">
        <f t="shared" si="1086"/>
        <v>179.99999999999994</v>
      </c>
      <c r="AE1414" s="190"/>
      <c r="AF1414" s="191"/>
      <c r="AG1414" s="191"/>
      <c r="AH1414" s="191"/>
      <c r="AI1414" s="186"/>
      <c r="AK1414" s="171"/>
    </row>
    <row r="1415" spans="1:37" s="102" customFormat="1" ht="19.899999999999999" customHeight="1" x14ac:dyDescent="0.25">
      <c r="A1415" s="45"/>
      <c r="B1415" s="59"/>
      <c r="C1415" s="137"/>
      <c r="D1415" s="59"/>
      <c r="E1415" s="116"/>
      <c r="F1415" s="120"/>
      <c r="G1415" s="120"/>
      <c r="H1415" s="120"/>
      <c r="I1415" s="60"/>
      <c r="J1415" s="116"/>
      <c r="K1415" s="213"/>
      <c r="L1415" s="120"/>
      <c r="M1415" s="120"/>
      <c r="N1415" s="167"/>
      <c r="O1415" s="120"/>
      <c r="P1415" s="120"/>
      <c r="Q1415" s="120"/>
      <c r="R1415" s="120"/>
      <c r="S1415" s="120"/>
      <c r="T1415" s="221"/>
      <c r="U1415" s="89"/>
      <c r="V1415" s="61"/>
      <c r="W1415" s="92" t="s">
        <v>1355</v>
      </c>
      <c r="X1415" s="93" t="s">
        <v>32</v>
      </c>
      <c r="Y1415" s="93" t="s">
        <v>66</v>
      </c>
      <c r="Z1415" s="134">
        <f>VLOOKUP(W1415,Sheet2!$B:$D,3,FALSE)</f>
        <v>450</v>
      </c>
      <c r="AA1415" s="93">
        <f>AA1413</f>
        <v>0.33333333333333331</v>
      </c>
      <c r="AB1415" s="93">
        <f>AD1415/AC1412</f>
        <v>1350</v>
      </c>
      <c r="AC1415" s="93">
        <f>AC1412/AA1415</f>
        <v>0.8999999999999998</v>
      </c>
      <c r="AD1415" s="94">
        <f>AC1415*Z1415</f>
        <v>404.99999999999989</v>
      </c>
      <c r="AE1415" s="190"/>
      <c r="AF1415" s="191"/>
      <c r="AG1415" s="191"/>
      <c r="AH1415" s="191"/>
      <c r="AI1415" s="186"/>
      <c r="AK1415" s="171"/>
    </row>
    <row r="1416" spans="1:37" s="102" customFormat="1" ht="19.899999999999999" customHeight="1" x14ac:dyDescent="0.25">
      <c r="A1416" s="45"/>
      <c r="B1416" s="59"/>
      <c r="C1416" s="137"/>
      <c r="D1416" s="59"/>
      <c r="E1416" s="116"/>
      <c r="F1416" s="120"/>
      <c r="G1416" s="120"/>
      <c r="H1416" s="120"/>
      <c r="I1416" s="60"/>
      <c r="J1416" s="116"/>
      <c r="K1416" s="213"/>
      <c r="L1416" s="120"/>
      <c r="M1416" s="120"/>
      <c r="N1416" s="167"/>
      <c r="O1416" s="120"/>
      <c r="P1416" s="120"/>
      <c r="Q1416" s="120"/>
      <c r="R1416" s="120"/>
      <c r="S1416" s="120"/>
      <c r="T1416" s="221"/>
      <c r="U1416" s="89"/>
      <c r="V1416" s="61"/>
      <c r="W1416" s="92" t="s">
        <v>1362</v>
      </c>
      <c r="X1416" s="93" t="s">
        <v>30</v>
      </c>
      <c r="Y1416" s="93" t="s">
        <v>35</v>
      </c>
      <c r="Z1416" s="134">
        <f>VLOOKUP(W1416,Sheet2!$B:$D,3,FALSE)</f>
        <v>400</v>
      </c>
      <c r="AA1416" s="93">
        <v>0.33333299999999999</v>
      </c>
      <c r="AB1416" s="93">
        <f>AD1416/AC1412</f>
        <v>1200.0012000012</v>
      </c>
      <c r="AC1416" s="93">
        <f>AC1412/AA1416</f>
        <v>0.90000090000089983</v>
      </c>
      <c r="AD1416" s="94">
        <f t="shared" ref="AD1416" si="1087">AC1416*Z1416</f>
        <v>360.00036000035993</v>
      </c>
      <c r="AE1416" s="190"/>
      <c r="AF1416" s="191"/>
      <c r="AG1416" s="191"/>
      <c r="AH1416" s="191"/>
      <c r="AI1416" s="186"/>
      <c r="AK1416" s="171"/>
    </row>
    <row r="1417" spans="1:37" s="102" customFormat="1" ht="19.899999999999999" customHeight="1" x14ac:dyDescent="0.25">
      <c r="A1417" s="45"/>
      <c r="B1417" s="59"/>
      <c r="C1417" s="137"/>
      <c r="D1417" s="59"/>
      <c r="E1417" s="116"/>
      <c r="F1417" s="120"/>
      <c r="G1417" s="120"/>
      <c r="H1417" s="120"/>
      <c r="I1417" s="60"/>
      <c r="J1417" s="116"/>
      <c r="K1417" s="213"/>
      <c r="L1417" s="120"/>
      <c r="M1417" s="120"/>
      <c r="N1417" s="167"/>
      <c r="O1417" s="120"/>
      <c r="P1417" s="120"/>
      <c r="Q1417" s="120"/>
      <c r="R1417" s="120"/>
      <c r="S1417" s="120"/>
      <c r="T1417" s="221"/>
      <c r="U1417" s="89"/>
      <c r="V1417" s="61"/>
      <c r="W1417" s="92" t="s">
        <v>107</v>
      </c>
      <c r="X1417" s="93" t="s">
        <v>31</v>
      </c>
      <c r="Y1417" s="93" t="s">
        <v>93</v>
      </c>
      <c r="Z1417" s="134">
        <f>VLOOKUP(W1417,Sheet2!$B:$D,3,FALSE)</f>
        <v>17</v>
      </c>
      <c r="AA1417" s="93">
        <f>1/5</f>
        <v>0.2</v>
      </c>
      <c r="AB1417" s="93">
        <f>AD1417/AC1412</f>
        <v>85</v>
      </c>
      <c r="AC1417" s="93">
        <f>AC1412/AA1417</f>
        <v>1.4999999999999996</v>
      </c>
      <c r="AD1417" s="94">
        <f>AC1417*Z1417</f>
        <v>25.499999999999993</v>
      </c>
      <c r="AE1417" s="190"/>
      <c r="AF1417" s="191"/>
      <c r="AG1417" s="191"/>
      <c r="AH1417" s="191"/>
      <c r="AI1417" s="186"/>
      <c r="AK1417" s="171"/>
    </row>
    <row r="1418" spans="1:37" s="102" customFormat="1" ht="19.899999999999999" customHeight="1" x14ac:dyDescent="0.25">
      <c r="A1418" s="45"/>
      <c r="B1418" s="59"/>
      <c r="C1418" s="137"/>
      <c r="D1418" s="59"/>
      <c r="E1418" s="116"/>
      <c r="F1418" s="120"/>
      <c r="G1418" s="120"/>
      <c r="H1418" s="120"/>
      <c r="I1418" s="60"/>
      <c r="J1418" s="116"/>
      <c r="K1418" s="213"/>
      <c r="L1418" s="120"/>
      <c r="M1418" s="120"/>
      <c r="N1418" s="167"/>
      <c r="O1418" s="120"/>
      <c r="P1418" s="120"/>
      <c r="Q1418" s="120"/>
      <c r="R1418" s="120"/>
      <c r="S1418" s="120"/>
      <c r="T1418" s="221"/>
      <c r="U1418" s="89"/>
      <c r="V1418" s="61"/>
      <c r="W1418" s="92" t="s">
        <v>112</v>
      </c>
      <c r="X1418" s="93" t="s">
        <v>31</v>
      </c>
      <c r="Y1418" s="93" t="s">
        <v>93</v>
      </c>
      <c r="Z1418" s="134">
        <f>VLOOKUP(W1418,Sheet2!$B:$D,3,FALSE)</f>
        <v>13</v>
      </c>
      <c r="AA1418" s="93">
        <f>AA1417</f>
        <v>0.2</v>
      </c>
      <c r="AB1418" s="93">
        <f>AD1418/AC1412</f>
        <v>64.999999999999986</v>
      </c>
      <c r="AC1418" s="93">
        <f>AC1412/AA1418</f>
        <v>1.4999999999999996</v>
      </c>
      <c r="AD1418" s="94">
        <f>AC1418*Z1418</f>
        <v>19.499999999999993</v>
      </c>
      <c r="AE1418" s="190"/>
      <c r="AF1418" s="191"/>
      <c r="AG1418" s="191"/>
      <c r="AH1418" s="191"/>
      <c r="AI1418" s="186"/>
      <c r="AK1418" s="171"/>
    </row>
    <row r="1419" spans="1:37" s="103" customFormat="1" ht="19.899999999999999" customHeight="1" x14ac:dyDescent="0.25">
      <c r="A1419" s="51"/>
      <c r="B1419" s="52"/>
      <c r="C1419" s="165"/>
      <c r="D1419" s="52"/>
      <c r="E1419" s="115"/>
      <c r="F1419" s="58"/>
      <c r="G1419" s="58"/>
      <c r="H1419" s="58"/>
      <c r="I1419" s="55"/>
      <c r="J1419" s="113">
        <f>J1406</f>
        <v>0.29999999999999993</v>
      </c>
      <c r="K1419" s="212">
        <f>K1406</f>
        <v>0.29999999999999993</v>
      </c>
      <c r="L1419" s="58"/>
      <c r="M1419" s="58">
        <f>K1419-L1419</f>
        <v>0.29999999999999993</v>
      </c>
      <c r="N1419" s="166"/>
      <c r="O1419" s="58"/>
      <c r="P1419" s="58"/>
      <c r="Q1419" s="58"/>
      <c r="R1419" s="58"/>
      <c r="S1419" s="58"/>
      <c r="T1419" s="220"/>
      <c r="U1419" s="88"/>
      <c r="V1419" s="56"/>
      <c r="W1419" s="57" t="s">
        <v>1358</v>
      </c>
      <c r="X1419" s="53"/>
      <c r="Y1419" s="91" t="s">
        <v>35</v>
      </c>
      <c r="Z1419" s="136">
        <f>AD1419/AC1419</f>
        <v>1680</v>
      </c>
      <c r="AA1419" s="58"/>
      <c r="AB1419" s="53">
        <f>AD1419/AC1419</f>
        <v>1680</v>
      </c>
      <c r="AC1419" s="53">
        <f>M1419+$AE$10</f>
        <v>0.29999999999999993</v>
      </c>
      <c r="AD1419" s="54">
        <f>SUM(AD1420:AD1421)</f>
        <v>503.99999999999989</v>
      </c>
      <c r="AE1419" s="184">
        <f>SUMIFS($AD$37:$AD$12971,$V$37:$V$12971,$V1419,$X$37:$X$12971,AE$13)</f>
        <v>0</v>
      </c>
      <c r="AF1419" s="185">
        <f>SUMIFS($AD$37:$AD$12971,$V$37:$V$12971,$V1419,$X$37:$X$12971,AF$13)</f>
        <v>0</v>
      </c>
      <c r="AG1419" s="185">
        <f>SUMIFS($AD$37:$AD$12971,$V$37:$V$12971,$V1419,$X$37:$X$12971,AG$13)</f>
        <v>0</v>
      </c>
      <c r="AH1419" s="187">
        <f>SUMIFS($AD$37:$AD$12971,$V$37:$V$12971,$V1419,$X$37:$X$12971,AH$13)</f>
        <v>0</v>
      </c>
      <c r="AI1419" s="161">
        <f t="shared" ref="AI1419" si="1088">SUM(AE1419:AH1419)</f>
        <v>0</v>
      </c>
      <c r="AK1419" s="172"/>
    </row>
    <row r="1420" spans="1:37" s="102" customFormat="1" ht="19.899999999999999" customHeight="1" x14ac:dyDescent="0.25">
      <c r="A1420" s="45"/>
      <c r="B1420" s="59"/>
      <c r="C1420" s="137"/>
      <c r="D1420" s="59"/>
      <c r="E1420" s="116"/>
      <c r="F1420" s="120"/>
      <c r="G1420" s="120"/>
      <c r="H1420" s="120"/>
      <c r="I1420" s="60"/>
      <c r="J1420" s="116"/>
      <c r="K1420" s="213"/>
      <c r="L1420" s="120"/>
      <c r="M1420" s="120"/>
      <c r="N1420" s="167"/>
      <c r="O1420" s="120"/>
      <c r="P1420" s="120"/>
      <c r="Q1420" s="120"/>
      <c r="R1420" s="120"/>
      <c r="S1420" s="120"/>
      <c r="T1420" s="221"/>
      <c r="U1420" s="89"/>
      <c r="V1420" s="61"/>
      <c r="W1420" s="92" t="s">
        <v>1359</v>
      </c>
      <c r="X1420" s="93" t="s">
        <v>32</v>
      </c>
      <c r="Y1420" s="93" t="s">
        <v>64</v>
      </c>
      <c r="Z1420" s="134">
        <f>VLOOKUP(W1420,Sheet2!$B:$D,3,FALSE)</f>
        <v>40</v>
      </c>
      <c r="AA1420" s="93">
        <f>1/24</f>
        <v>4.1666666666666664E-2</v>
      </c>
      <c r="AB1420" s="93">
        <f t="shared" ref="AB1420" si="1089">AD1420/AC1419</f>
        <v>960</v>
      </c>
      <c r="AC1420" s="93">
        <f>AC1419/AA1420</f>
        <v>7.1999999999999984</v>
      </c>
      <c r="AD1420" s="94">
        <f t="shared" ref="AD1420:AD1421" si="1090">AC1420*Z1420</f>
        <v>287.99999999999994</v>
      </c>
      <c r="AE1420" s="190"/>
      <c r="AF1420" s="191"/>
      <c r="AG1420" s="191"/>
      <c r="AH1420" s="191"/>
      <c r="AI1420" s="186"/>
      <c r="AK1420" s="171"/>
    </row>
    <row r="1421" spans="1:37" s="102" customFormat="1" ht="19.899999999999999" customHeight="1" x14ac:dyDescent="0.25">
      <c r="A1421" s="45"/>
      <c r="B1421" s="59"/>
      <c r="C1421" s="137"/>
      <c r="D1421" s="59"/>
      <c r="E1421" s="116"/>
      <c r="F1421" s="120"/>
      <c r="G1421" s="120"/>
      <c r="H1421" s="120"/>
      <c r="I1421" s="60"/>
      <c r="J1421" s="116"/>
      <c r="K1421" s="213"/>
      <c r="L1421" s="120"/>
      <c r="M1421" s="120"/>
      <c r="N1421" s="167"/>
      <c r="O1421" s="120"/>
      <c r="P1421" s="120"/>
      <c r="Q1421" s="120"/>
      <c r="R1421" s="120"/>
      <c r="S1421" s="120"/>
      <c r="T1421" s="221"/>
      <c r="U1421" s="89"/>
      <c r="V1421" s="61"/>
      <c r="W1421" s="92" t="s">
        <v>1360</v>
      </c>
      <c r="X1421" s="93" t="s">
        <v>32</v>
      </c>
      <c r="Y1421" s="93" t="s">
        <v>64</v>
      </c>
      <c r="Z1421" s="134">
        <f>VLOOKUP(W1421,Sheet2!$B:$D,3,FALSE)</f>
        <v>30</v>
      </c>
      <c r="AA1421" s="93">
        <f>AA1420</f>
        <v>4.1666666666666664E-2</v>
      </c>
      <c r="AB1421" s="93">
        <f>AD1421/AC1419</f>
        <v>720</v>
      </c>
      <c r="AC1421" s="93">
        <f>AC1419/AA1421</f>
        <v>7.1999999999999984</v>
      </c>
      <c r="AD1421" s="94">
        <f t="shared" si="1090"/>
        <v>215.99999999999994</v>
      </c>
      <c r="AE1421" s="190"/>
      <c r="AF1421" s="191"/>
      <c r="AG1421" s="191"/>
      <c r="AH1421" s="191"/>
      <c r="AI1421" s="186"/>
      <c r="AK1421" s="171"/>
    </row>
    <row r="1422" spans="1:37" s="103" customFormat="1" ht="19.899999999999999" customHeight="1" x14ac:dyDescent="0.25">
      <c r="A1422" s="51"/>
      <c r="B1422" s="52"/>
      <c r="C1422" s="165"/>
      <c r="D1422" s="52"/>
      <c r="E1422" s="115"/>
      <c r="F1422" s="58"/>
      <c r="G1422" s="58"/>
      <c r="H1422" s="58"/>
      <c r="I1422" s="55"/>
      <c r="J1422" s="113">
        <f>J1406</f>
        <v>0.29999999999999993</v>
      </c>
      <c r="K1422" s="212">
        <f>K1406</f>
        <v>0.29999999999999993</v>
      </c>
      <c r="L1422" s="58"/>
      <c r="M1422" s="58">
        <f>K1422-L1422</f>
        <v>0.29999999999999993</v>
      </c>
      <c r="N1422" s="166"/>
      <c r="O1422" s="58"/>
      <c r="P1422" s="58"/>
      <c r="Q1422" s="58"/>
      <c r="R1422" s="58"/>
      <c r="S1422" s="58"/>
      <c r="T1422" s="220"/>
      <c r="U1422" s="88"/>
      <c r="V1422" s="56"/>
      <c r="W1422" s="57" t="s">
        <v>1272</v>
      </c>
      <c r="X1422" s="53"/>
      <c r="Y1422" s="91" t="s">
        <v>35</v>
      </c>
      <c r="Z1422" s="136">
        <f>AD1422/AC1422</f>
        <v>131.85498039215688</v>
      </c>
      <c r="AA1422" s="58"/>
      <c r="AB1422" s="53">
        <f>AD1422/AC1422</f>
        <v>131.85498039215688</v>
      </c>
      <c r="AC1422" s="53">
        <f>M1422+$AE$10</f>
        <v>0.29999999999999993</v>
      </c>
      <c r="AD1422" s="54">
        <f>SUM(AD1423:AD1431)</f>
        <v>39.556494117647055</v>
      </c>
      <c r="AE1422" s="184">
        <f>SUMIFS($AD$37:$AD$12971,$V$37:$V$12971,$V1422,$X$37:$X$12971,AE$13)</f>
        <v>0</v>
      </c>
      <c r="AF1422" s="185">
        <f>SUMIFS($AD$37:$AD$12971,$V$37:$V$12971,$V1422,$X$37:$X$12971,AF$13)</f>
        <v>0</v>
      </c>
      <c r="AG1422" s="185">
        <f>SUMIFS($AD$37:$AD$12971,$V$37:$V$12971,$V1422,$X$37:$X$12971,AG$13)</f>
        <v>0</v>
      </c>
      <c r="AH1422" s="187">
        <f>SUMIFS($AD$37:$AD$12971,$V$37:$V$12971,$V1422,$X$37:$X$12971,AH$13)</f>
        <v>0</v>
      </c>
      <c r="AI1422" s="161">
        <f t="shared" ref="AI1422" si="1091">SUM(AE1422:AH1422)</f>
        <v>0</v>
      </c>
      <c r="AK1422" s="172"/>
    </row>
    <row r="1423" spans="1:37" s="102" customFormat="1" ht="19.899999999999999" customHeight="1" x14ac:dyDescent="0.25">
      <c r="A1423" s="45"/>
      <c r="B1423" s="59"/>
      <c r="C1423" s="137"/>
      <c r="D1423" s="59"/>
      <c r="E1423" s="116"/>
      <c r="F1423" s="120"/>
      <c r="G1423" s="120"/>
      <c r="H1423" s="120"/>
      <c r="I1423" s="60"/>
      <c r="J1423" s="116"/>
      <c r="K1423" s="213"/>
      <c r="L1423" s="120"/>
      <c r="M1423" s="120"/>
      <c r="N1423" s="167"/>
      <c r="O1423" s="120"/>
      <c r="P1423" s="120"/>
      <c r="Q1423" s="120"/>
      <c r="R1423" s="120"/>
      <c r="S1423" s="120"/>
      <c r="T1423" s="221"/>
      <c r="U1423" s="89"/>
      <c r="V1423" s="61"/>
      <c r="W1423" s="92" t="s">
        <v>1273</v>
      </c>
      <c r="X1423" s="93" t="s">
        <v>30</v>
      </c>
      <c r="Y1423" s="93" t="s">
        <v>66</v>
      </c>
      <c r="Z1423" s="134">
        <f>VLOOKUP(W1423,Sheet2!$B:$D,3,FALSE)</f>
        <v>10</v>
      </c>
      <c r="AA1423" s="93">
        <f>1/(2.5*1.5*0.5*4)</f>
        <v>0.13333333333333333</v>
      </c>
      <c r="AB1423" s="93">
        <f>AD1423/AC1422</f>
        <v>75</v>
      </c>
      <c r="AC1423" s="93">
        <f>AC1422/AA1423</f>
        <v>2.2499999999999996</v>
      </c>
      <c r="AD1423" s="94">
        <f t="shared" ref="AD1423:AD1425" si="1092">AC1423*Z1423</f>
        <v>22.499999999999996</v>
      </c>
      <c r="AE1423" s="190"/>
      <c r="AF1423" s="191"/>
      <c r="AG1423" s="191"/>
      <c r="AH1423" s="191"/>
      <c r="AI1423" s="186"/>
      <c r="AK1423" s="171"/>
    </row>
    <row r="1424" spans="1:37" s="102" customFormat="1" ht="19.899999999999999" customHeight="1" x14ac:dyDescent="0.25">
      <c r="A1424" s="45"/>
      <c r="B1424" s="59"/>
      <c r="C1424" s="137"/>
      <c r="D1424" s="59"/>
      <c r="E1424" s="116"/>
      <c r="F1424" s="120"/>
      <c r="G1424" s="120"/>
      <c r="H1424" s="120"/>
      <c r="I1424" s="60"/>
      <c r="J1424" s="116"/>
      <c r="K1424" s="213"/>
      <c r="L1424" s="120"/>
      <c r="M1424" s="120"/>
      <c r="N1424" s="167"/>
      <c r="O1424" s="120"/>
      <c r="P1424" s="120"/>
      <c r="Q1424" s="120"/>
      <c r="R1424" s="120"/>
      <c r="S1424" s="120"/>
      <c r="T1424" s="221"/>
      <c r="U1424" s="89"/>
      <c r="V1424" s="61"/>
      <c r="W1424" s="92" t="s">
        <v>134</v>
      </c>
      <c r="X1424" s="93" t="s">
        <v>29</v>
      </c>
      <c r="Y1424" s="93" t="s">
        <v>93</v>
      </c>
      <c r="Z1424" s="134">
        <f>VLOOKUP(W1424,Sheet2!$B:$D,3,FALSE)</f>
        <v>65.599999999999994</v>
      </c>
      <c r="AA1424" s="93">
        <f>100/(2.5*1.5*0.5*4)</f>
        <v>13.333333333333334</v>
      </c>
      <c r="AB1424" s="93">
        <f t="shared" ref="AB1424" si="1093">AD1424/AC1422</f>
        <v>4.92</v>
      </c>
      <c r="AC1424" s="93">
        <f>AC1422/AA1424</f>
        <v>2.2499999999999996E-2</v>
      </c>
      <c r="AD1424" s="94">
        <f t="shared" si="1092"/>
        <v>1.4759999999999995</v>
      </c>
      <c r="AE1424" s="190"/>
      <c r="AF1424" s="191"/>
      <c r="AG1424" s="191"/>
      <c r="AH1424" s="191"/>
      <c r="AI1424" s="186"/>
      <c r="AK1424" s="171"/>
    </row>
    <row r="1425" spans="1:41" s="102" customFormat="1" ht="19.899999999999999" customHeight="1" x14ac:dyDescent="0.25">
      <c r="A1425" s="45"/>
      <c r="B1425" s="59"/>
      <c r="C1425" s="137"/>
      <c r="D1425" s="59"/>
      <c r="E1425" s="116"/>
      <c r="F1425" s="120"/>
      <c r="G1425" s="120"/>
      <c r="H1425" s="120"/>
      <c r="I1425" s="60"/>
      <c r="J1425" s="116"/>
      <c r="K1425" s="213"/>
      <c r="L1425" s="120"/>
      <c r="M1425" s="120"/>
      <c r="N1425" s="167"/>
      <c r="O1425" s="120"/>
      <c r="P1425" s="120"/>
      <c r="Q1425" s="120"/>
      <c r="R1425" s="120"/>
      <c r="S1425" s="120"/>
      <c r="T1425" s="221"/>
      <c r="U1425" s="89"/>
      <c r="V1425" s="61"/>
      <c r="W1425" s="92" t="s">
        <v>65</v>
      </c>
      <c r="X1425" s="93" t="s">
        <v>30</v>
      </c>
      <c r="Y1425" s="93" t="s">
        <v>1011</v>
      </c>
      <c r="Z1425" s="134">
        <f>VLOOKUP(W1425,Sheet2!$B:$D,3,FALSE)</f>
        <v>1.76</v>
      </c>
      <c r="AA1425" s="93">
        <f>AA1424/9</f>
        <v>1.4814814814814816</v>
      </c>
      <c r="AB1425" s="93">
        <f>AD1425/AC1422</f>
        <v>1.1879999999999999</v>
      </c>
      <c r="AC1425" s="93">
        <f>AC1422/AA1425</f>
        <v>0.20249999999999993</v>
      </c>
      <c r="AD1425" s="94">
        <f t="shared" si="1092"/>
        <v>0.35639999999999988</v>
      </c>
      <c r="AE1425" s="190"/>
      <c r="AF1425" s="191"/>
      <c r="AG1425" s="191"/>
      <c r="AH1425" s="191"/>
      <c r="AI1425" s="186"/>
      <c r="AK1425" s="171"/>
    </row>
    <row r="1426" spans="1:41" s="102" customFormat="1" ht="19.899999999999999" customHeight="1" x14ac:dyDescent="0.25">
      <c r="A1426" s="45"/>
      <c r="B1426" s="59"/>
      <c r="C1426" s="137"/>
      <c r="D1426" s="59"/>
      <c r="E1426" s="116"/>
      <c r="F1426" s="120"/>
      <c r="G1426" s="120"/>
      <c r="H1426" s="120"/>
      <c r="I1426" s="60"/>
      <c r="J1426" s="116"/>
      <c r="K1426" s="213"/>
      <c r="L1426" s="120"/>
      <c r="M1426" s="120"/>
      <c r="N1426" s="167"/>
      <c r="O1426" s="120"/>
      <c r="P1426" s="120"/>
      <c r="Q1426" s="120"/>
      <c r="R1426" s="120"/>
      <c r="S1426" s="120"/>
      <c r="T1426" s="221"/>
      <c r="U1426" s="89"/>
      <c r="V1426" s="61"/>
      <c r="W1426" s="92" t="s">
        <v>161</v>
      </c>
      <c r="X1426" s="93" t="s">
        <v>29</v>
      </c>
      <c r="Y1426" s="93" t="s">
        <v>93</v>
      </c>
      <c r="Z1426" s="134">
        <f>VLOOKUP(W1426,Sheet2!$B:$D,3,FALSE)</f>
        <v>48</v>
      </c>
      <c r="AA1426" s="93">
        <f>(16*0.85*1.5)/(2.5*1.5*0.5*4)</f>
        <v>2.7199999999999998</v>
      </c>
      <c r="AB1426" s="93">
        <f>AD1426/AC1422</f>
        <v>17.647058823529413</v>
      </c>
      <c r="AC1426" s="93">
        <f>AC1422/AA1426</f>
        <v>0.11029411764705881</v>
      </c>
      <c r="AD1426" s="94">
        <f>AC1426*Z1426</f>
        <v>5.2941176470588225</v>
      </c>
      <c r="AE1426" s="190"/>
      <c r="AF1426" s="191"/>
      <c r="AG1426" s="191"/>
      <c r="AH1426" s="191"/>
      <c r="AI1426" s="186"/>
      <c r="AK1426" s="171"/>
    </row>
    <row r="1427" spans="1:41" s="102" customFormat="1" ht="19.899999999999999" customHeight="1" x14ac:dyDescent="0.25">
      <c r="A1427" s="45"/>
      <c r="B1427" s="59"/>
      <c r="C1427" s="137"/>
      <c r="D1427" s="59"/>
      <c r="E1427" s="116"/>
      <c r="F1427" s="120"/>
      <c r="G1427" s="120"/>
      <c r="H1427" s="120"/>
      <c r="I1427" s="60"/>
      <c r="J1427" s="116"/>
      <c r="K1427" s="213"/>
      <c r="L1427" s="120"/>
      <c r="M1427" s="120"/>
      <c r="N1427" s="167"/>
      <c r="O1427" s="120"/>
      <c r="P1427" s="120"/>
      <c r="Q1427" s="120"/>
      <c r="R1427" s="120"/>
      <c r="S1427" s="120"/>
      <c r="T1427" s="221"/>
      <c r="U1427" s="89"/>
      <c r="V1427" s="61"/>
      <c r="W1427" s="92" t="s">
        <v>65</v>
      </c>
      <c r="X1427" s="93" t="s">
        <v>30</v>
      </c>
      <c r="Y1427" s="93" t="s">
        <v>1011</v>
      </c>
      <c r="Z1427" s="134">
        <f>VLOOKUP(W1427,Sheet2!$B:$D,3,FALSE)</f>
        <v>1.76</v>
      </c>
      <c r="AA1427" s="93">
        <f>AA1426/10</f>
        <v>0.27199999999999996</v>
      </c>
      <c r="AB1427" s="93">
        <f>AD1427/AC1422</f>
        <v>6.4705882352941186</v>
      </c>
      <c r="AC1427" s="93">
        <f>AC1422/AA1427</f>
        <v>1.1029411764705881</v>
      </c>
      <c r="AD1427" s="94">
        <f>AC1427*Z1427</f>
        <v>1.9411764705882351</v>
      </c>
      <c r="AE1427" s="190"/>
      <c r="AF1427" s="191"/>
      <c r="AG1427" s="191"/>
      <c r="AH1427" s="191"/>
      <c r="AI1427" s="186"/>
      <c r="AK1427" s="171"/>
    </row>
    <row r="1428" spans="1:41" s="102" customFormat="1" ht="19.899999999999999" customHeight="1" x14ac:dyDescent="0.25">
      <c r="A1428" s="45"/>
      <c r="B1428" s="59"/>
      <c r="C1428" s="137"/>
      <c r="D1428" s="59"/>
      <c r="E1428" s="116"/>
      <c r="F1428" s="120"/>
      <c r="G1428" s="120"/>
      <c r="H1428" s="120"/>
      <c r="I1428" s="60"/>
      <c r="J1428" s="116"/>
      <c r="K1428" s="213"/>
      <c r="L1428" s="120"/>
      <c r="M1428" s="120"/>
      <c r="N1428" s="167"/>
      <c r="O1428" s="120"/>
      <c r="P1428" s="120"/>
      <c r="Q1428" s="120"/>
      <c r="R1428" s="120"/>
      <c r="S1428" s="120"/>
      <c r="T1428" s="221"/>
      <c r="U1428" s="89"/>
      <c r="V1428" s="61"/>
      <c r="W1428" s="92" t="s">
        <v>173</v>
      </c>
      <c r="X1428" s="93" t="s">
        <v>29</v>
      </c>
      <c r="Y1428" s="93" t="s">
        <v>93</v>
      </c>
      <c r="Z1428" s="134">
        <f>VLOOKUP(W1428,Sheet2!$B:$D,3,FALSE)</f>
        <v>36</v>
      </c>
      <c r="AA1428" s="93">
        <f>50/(2.5*1.5*0.5*4)</f>
        <v>6.666666666666667</v>
      </c>
      <c r="AB1428" s="93">
        <f>AD1428/AC1422</f>
        <v>5.4</v>
      </c>
      <c r="AC1428" s="93">
        <f>AC1422/AA1428</f>
        <v>4.4999999999999991E-2</v>
      </c>
      <c r="AD1428" s="94">
        <f>AC1428*Z1428</f>
        <v>1.6199999999999997</v>
      </c>
      <c r="AE1428" s="190"/>
      <c r="AF1428" s="191"/>
      <c r="AG1428" s="191"/>
      <c r="AH1428" s="191"/>
      <c r="AI1428" s="186"/>
      <c r="AK1428" s="171"/>
    </row>
    <row r="1429" spans="1:41" s="102" customFormat="1" ht="19.899999999999999" customHeight="1" x14ac:dyDescent="0.25">
      <c r="A1429" s="45"/>
      <c r="B1429" s="59"/>
      <c r="C1429" s="137"/>
      <c r="D1429" s="59"/>
      <c r="E1429" s="116"/>
      <c r="F1429" s="120"/>
      <c r="G1429" s="120"/>
      <c r="H1429" s="120"/>
      <c r="I1429" s="60"/>
      <c r="J1429" s="116"/>
      <c r="K1429" s="213"/>
      <c r="L1429" s="120"/>
      <c r="M1429" s="120"/>
      <c r="N1429" s="167"/>
      <c r="O1429" s="120"/>
      <c r="P1429" s="120"/>
      <c r="Q1429" s="120"/>
      <c r="R1429" s="120"/>
      <c r="S1429" s="120"/>
      <c r="T1429" s="221"/>
      <c r="U1429" s="89"/>
      <c r="V1429" s="61"/>
      <c r="W1429" s="92" t="s">
        <v>65</v>
      </c>
      <c r="X1429" s="93" t="s">
        <v>30</v>
      </c>
      <c r="Y1429" s="93" t="s">
        <v>1011</v>
      </c>
      <c r="Z1429" s="134">
        <f>VLOOKUP(W1429,Sheet2!$B:$D,3,FALSE)</f>
        <v>1.76</v>
      </c>
      <c r="AA1429" s="93">
        <f>AA1428/9</f>
        <v>0.74074074074074081</v>
      </c>
      <c r="AB1429" s="93">
        <f>AD1429/AC1422</f>
        <v>2.3759999999999999</v>
      </c>
      <c r="AC1429" s="93">
        <f>AC1422/AA1429</f>
        <v>0.40499999999999986</v>
      </c>
      <c r="AD1429" s="94">
        <f>AC1429*Z1429</f>
        <v>0.71279999999999977</v>
      </c>
      <c r="AE1429" s="190"/>
      <c r="AF1429" s="191"/>
      <c r="AG1429" s="191"/>
      <c r="AH1429" s="191"/>
      <c r="AI1429" s="186"/>
      <c r="AK1429" s="171"/>
    </row>
    <row r="1430" spans="1:41" s="102" customFormat="1" ht="19.899999999999999" customHeight="1" x14ac:dyDescent="0.25">
      <c r="A1430" s="45"/>
      <c r="B1430" s="59"/>
      <c r="C1430" s="137"/>
      <c r="D1430" s="59"/>
      <c r="E1430" s="116"/>
      <c r="F1430" s="120"/>
      <c r="G1430" s="120"/>
      <c r="H1430" s="120"/>
      <c r="I1430" s="60"/>
      <c r="J1430" s="116"/>
      <c r="K1430" s="213"/>
      <c r="L1430" s="120"/>
      <c r="M1430" s="120"/>
      <c r="N1430" s="167"/>
      <c r="O1430" s="120"/>
      <c r="P1430" s="120"/>
      <c r="Q1430" s="120"/>
      <c r="R1430" s="120"/>
      <c r="S1430" s="120"/>
      <c r="T1430" s="221"/>
      <c r="U1430" s="89"/>
      <c r="V1430" s="61"/>
      <c r="W1430" s="92" t="s">
        <v>1030</v>
      </c>
      <c r="X1430" s="93" t="s">
        <v>29</v>
      </c>
      <c r="Y1430" s="93" t="s">
        <v>93</v>
      </c>
      <c r="Z1430" s="134">
        <f>VLOOKUP(W1430,Sheet2!$B:$D,3,FALSE)</f>
        <v>23</v>
      </c>
      <c r="AA1430" s="93">
        <f>1*1.5</f>
        <v>1.5</v>
      </c>
      <c r="AB1430" s="93">
        <f>AD1430/AC1422</f>
        <v>15.333333333333332</v>
      </c>
      <c r="AC1430" s="93">
        <f>AC1422/AA1430</f>
        <v>0.19999999999999996</v>
      </c>
      <c r="AD1430" s="94">
        <f t="shared" ref="AD1430:AD1431" si="1094">AC1430*Z1430</f>
        <v>4.5999999999999988</v>
      </c>
      <c r="AE1430" s="190"/>
      <c r="AF1430" s="191"/>
      <c r="AG1430" s="191"/>
      <c r="AH1430" s="191"/>
      <c r="AI1430" s="186"/>
      <c r="AK1430" s="171"/>
    </row>
    <row r="1431" spans="1:41" s="102" customFormat="1" ht="19.899999999999999" customHeight="1" x14ac:dyDescent="0.25">
      <c r="A1431" s="45"/>
      <c r="B1431" s="59"/>
      <c r="C1431" s="137"/>
      <c r="D1431" s="59"/>
      <c r="E1431" s="116"/>
      <c r="F1431" s="120"/>
      <c r="G1431" s="120"/>
      <c r="H1431" s="120"/>
      <c r="I1431" s="60"/>
      <c r="J1431" s="116"/>
      <c r="K1431" s="213"/>
      <c r="L1431" s="120"/>
      <c r="M1431" s="120"/>
      <c r="N1431" s="167"/>
      <c r="O1431" s="120"/>
      <c r="P1431" s="120"/>
      <c r="Q1431" s="120"/>
      <c r="R1431" s="120"/>
      <c r="S1431" s="120"/>
      <c r="T1431" s="221"/>
      <c r="U1431" s="89"/>
      <c r="V1431" s="61"/>
      <c r="W1431" s="92" t="s">
        <v>65</v>
      </c>
      <c r="X1431" s="93" t="s">
        <v>30</v>
      </c>
      <c r="Y1431" s="93" t="s">
        <v>1011</v>
      </c>
      <c r="Z1431" s="134">
        <f>VLOOKUP(W1431,Sheet2!$B:$D,3,FALSE)</f>
        <v>1.76</v>
      </c>
      <c r="AA1431" s="93">
        <f>AA1430/3</f>
        <v>0.5</v>
      </c>
      <c r="AB1431" s="93">
        <f>AD1431/AC1422</f>
        <v>3.52</v>
      </c>
      <c r="AC1431" s="93">
        <f>AC1422/AA1431</f>
        <v>0.59999999999999987</v>
      </c>
      <c r="AD1431" s="94">
        <f t="shared" si="1094"/>
        <v>1.0559999999999998</v>
      </c>
      <c r="AE1431" s="190"/>
      <c r="AF1431" s="191"/>
      <c r="AG1431" s="191"/>
      <c r="AH1431" s="191"/>
      <c r="AI1431" s="186"/>
      <c r="AK1431" s="171"/>
    </row>
    <row r="1432" spans="1:41" ht="20.100000000000001" customHeight="1" x14ac:dyDescent="0.25">
      <c r="A1432" s="277" t="s">
        <v>216</v>
      </c>
      <c r="B1432" s="278"/>
      <c r="C1432" s="64" t="s">
        <v>342</v>
      </c>
      <c r="D1432" s="46" t="s">
        <v>215</v>
      </c>
      <c r="E1432" s="114"/>
      <c r="F1432" s="44">
        <v>0</v>
      </c>
      <c r="G1432" s="44">
        <f t="shared" si="607"/>
        <v>0</v>
      </c>
      <c r="H1432" s="44">
        <f t="shared" si="608"/>
        <v>0</v>
      </c>
      <c r="I1432" s="43">
        <f t="shared" si="609"/>
        <v>0</v>
      </c>
      <c r="J1432" s="112">
        <f t="shared" si="610"/>
        <v>0</v>
      </c>
      <c r="K1432" s="211">
        <f t="shared" si="611"/>
        <v>0</v>
      </c>
      <c r="L1432" s="44"/>
      <c r="M1432" s="44">
        <f t="shared" si="612"/>
        <v>0</v>
      </c>
      <c r="N1432" s="173">
        <f t="shared" si="613"/>
        <v>0</v>
      </c>
      <c r="O1432" s="44">
        <f t="shared" si="614"/>
        <v>0</v>
      </c>
      <c r="P1432" s="44">
        <f t="shared" si="615"/>
        <v>0</v>
      </c>
      <c r="Q1432" s="44">
        <f t="shared" si="616"/>
        <v>0</v>
      </c>
      <c r="R1432" s="44">
        <f t="shared" si="617"/>
        <v>0</v>
      </c>
      <c r="S1432" s="123"/>
      <c r="T1432" s="219">
        <f t="shared" si="618"/>
        <v>0</v>
      </c>
      <c r="U1432" s="87"/>
      <c r="V1432" s="47"/>
      <c r="W1432" s="48"/>
      <c r="X1432" s="48"/>
      <c r="Y1432" s="48"/>
      <c r="Z1432" s="135"/>
      <c r="AA1432" s="49"/>
      <c r="AB1432" s="50">
        <f t="shared" si="619"/>
        <v>0</v>
      </c>
      <c r="AC1432" s="42">
        <f t="shared" si="620"/>
        <v>9.9999999999999998E-20</v>
      </c>
      <c r="AD1432" s="90"/>
      <c r="AE1432" s="188"/>
      <c r="AF1432" s="189"/>
      <c r="AG1432" s="189"/>
      <c r="AH1432" s="189"/>
      <c r="AI1432" s="161"/>
    </row>
    <row r="1433" spans="1:41" ht="25.5" x14ac:dyDescent="0.25">
      <c r="A1433" s="277" t="s">
        <v>216</v>
      </c>
      <c r="B1433" s="278"/>
      <c r="C1433" s="64" t="s">
        <v>357</v>
      </c>
      <c r="D1433" s="46" t="s">
        <v>215</v>
      </c>
      <c r="E1433" s="114">
        <v>2.1921428571428567</v>
      </c>
      <c r="F1433" s="44">
        <v>38016</v>
      </c>
      <c r="G1433" s="44">
        <f t="shared" si="607"/>
        <v>83336.502857142841</v>
      </c>
      <c r="H1433" s="44">
        <f t="shared" si="608"/>
        <v>16017.71278431372</v>
      </c>
      <c r="I1433" s="43">
        <f t="shared" si="609"/>
        <v>35113.114667899143</v>
      </c>
      <c r="J1433" s="112">
        <f t="shared" si="610"/>
        <v>2.1921428571428567</v>
      </c>
      <c r="K1433" s="211">
        <f t="shared" si="611"/>
        <v>2.1921428571428567</v>
      </c>
      <c r="L1433" s="44"/>
      <c r="M1433" s="44">
        <f t="shared" si="612"/>
        <v>2.1921428571428567</v>
      </c>
      <c r="N1433" s="173">
        <f t="shared" si="613"/>
        <v>1</v>
      </c>
      <c r="O1433" s="44">
        <f t="shared" si="614"/>
        <v>38016</v>
      </c>
      <c r="P1433" s="44">
        <f t="shared" si="615"/>
        <v>83336.502857142841</v>
      </c>
      <c r="Q1433" s="44">
        <f t="shared" si="616"/>
        <v>16017.71278431372</v>
      </c>
      <c r="R1433" s="44">
        <f t="shared" si="617"/>
        <v>35113.114667899143</v>
      </c>
      <c r="S1433" s="123"/>
      <c r="T1433" s="219">
        <f t="shared" si="618"/>
        <v>35113.114667899143</v>
      </c>
      <c r="U1433" s="87"/>
      <c r="V1433" s="47"/>
      <c r="W1433" s="48"/>
      <c r="X1433" s="48"/>
      <c r="Y1433" s="48"/>
      <c r="Z1433" s="135"/>
      <c r="AA1433" s="49"/>
      <c r="AB1433" s="50">
        <f t="shared" si="619"/>
        <v>16017.71278431372</v>
      </c>
      <c r="AC1433" s="42">
        <f t="shared" si="620"/>
        <v>2.1921428571428567</v>
      </c>
      <c r="AD1433" s="90">
        <f>AD1434+AD1439+AD1451+AD1454</f>
        <v>35113.114667899143</v>
      </c>
      <c r="AE1433" s="188">
        <f t="shared" ref="AE1433" si="1095">AE1434+AE1439+AE1451+AE1454</f>
        <v>0</v>
      </c>
      <c r="AF1433" s="189">
        <f t="shared" ref="AF1433" si="1096">AF1434+AF1439+AF1451+AF1454</f>
        <v>0</v>
      </c>
      <c r="AG1433" s="189">
        <f t="shared" ref="AG1433" si="1097">AG1434+AG1439+AG1451+AG1454</f>
        <v>0</v>
      </c>
      <c r="AH1433" s="189">
        <f t="shared" ref="AH1433" si="1098">AH1434+AH1439+AH1451+AH1454</f>
        <v>0</v>
      </c>
      <c r="AI1433" s="161">
        <f t="shared" si="1081"/>
        <v>0</v>
      </c>
      <c r="AK1433" s="169">
        <v>5</v>
      </c>
      <c r="AO1433" s="19" t="s">
        <v>63</v>
      </c>
    </row>
    <row r="1434" spans="1:41" s="103" customFormat="1" ht="19.899999999999999" customHeight="1" x14ac:dyDescent="0.25">
      <c r="A1434" s="51"/>
      <c r="B1434" s="52"/>
      <c r="C1434" s="165"/>
      <c r="D1434" s="52"/>
      <c r="E1434" s="115"/>
      <c r="F1434" s="58"/>
      <c r="G1434" s="58"/>
      <c r="H1434" s="58"/>
      <c r="I1434" s="55"/>
      <c r="J1434" s="113">
        <f>J1433</f>
        <v>2.1921428571428567</v>
      </c>
      <c r="K1434" s="212">
        <f>K1433</f>
        <v>2.1921428571428567</v>
      </c>
      <c r="L1434" s="58"/>
      <c r="M1434" s="58">
        <f>K1434-L1434</f>
        <v>2.1921428571428567</v>
      </c>
      <c r="N1434" s="166"/>
      <c r="O1434" s="58"/>
      <c r="P1434" s="58"/>
      <c r="Q1434" s="58"/>
      <c r="R1434" s="58"/>
      <c r="S1434" s="58"/>
      <c r="T1434" s="220"/>
      <c r="U1434" s="88"/>
      <c r="V1434" s="56"/>
      <c r="W1434" s="57" t="s">
        <v>1462</v>
      </c>
      <c r="X1434" s="53"/>
      <c r="Y1434" s="91" t="s">
        <v>35</v>
      </c>
      <c r="Z1434" s="136">
        <f>AD1434/AC1434</f>
        <v>126.69571764705883</v>
      </c>
      <c r="AA1434" s="58"/>
      <c r="AB1434" s="53">
        <f>AD1434/AC1434</f>
        <v>126.69571764705883</v>
      </c>
      <c r="AC1434" s="53">
        <f>M1434+$AE$10</f>
        <v>2.1921428571428567</v>
      </c>
      <c r="AD1434" s="54">
        <f>SUM(AD1435:AD1438)</f>
        <v>277.73511247058821</v>
      </c>
      <c r="AE1434" s="184">
        <f>SUMIFS($AD$37:$AD$12971,$V$37:$V$12971,$V1434,$X$37:$X$12971,AE$13)</f>
        <v>0</v>
      </c>
      <c r="AF1434" s="185">
        <f>SUMIFS($AD$37:$AD$12971,$V$37:$V$12971,$V1434,$X$37:$X$12971,AF$13)</f>
        <v>0</v>
      </c>
      <c r="AG1434" s="185">
        <f>SUMIFS($AD$37:$AD$12971,$V$37:$V$12971,$V1434,$X$37:$X$12971,AG$13)</f>
        <v>0</v>
      </c>
      <c r="AH1434" s="187">
        <f>SUMIFS($AD$37:$AD$12971,$V$37:$V$12971,$V1434,$X$37:$X$12971,AH$13)</f>
        <v>0</v>
      </c>
      <c r="AI1434" s="161">
        <f t="shared" ref="AI1434" si="1099">SUM(AE1434:AH1434)</f>
        <v>0</v>
      </c>
      <c r="AK1434" s="172"/>
    </row>
    <row r="1435" spans="1:41" s="102" customFormat="1" ht="19.899999999999999" customHeight="1" x14ac:dyDescent="0.25">
      <c r="A1435" s="45"/>
      <c r="B1435" s="59"/>
      <c r="C1435" s="137"/>
      <c r="D1435" s="59"/>
      <c r="E1435" s="116"/>
      <c r="F1435" s="120"/>
      <c r="G1435" s="120"/>
      <c r="H1435" s="120"/>
      <c r="I1435" s="60"/>
      <c r="J1435" s="116"/>
      <c r="K1435" s="213"/>
      <c r="L1435" s="120"/>
      <c r="M1435" s="120"/>
      <c r="N1435" s="167"/>
      <c r="O1435" s="120"/>
      <c r="P1435" s="120"/>
      <c r="Q1435" s="120"/>
      <c r="R1435" s="120"/>
      <c r="S1435" s="120"/>
      <c r="T1435" s="221"/>
      <c r="U1435" s="89"/>
      <c r="V1435" s="61"/>
      <c r="W1435" s="92" t="s">
        <v>129</v>
      </c>
      <c r="X1435" s="93" t="s">
        <v>29</v>
      </c>
      <c r="Y1435" s="93" t="s">
        <v>93</v>
      </c>
      <c r="Z1435" s="134">
        <f>VLOOKUP(W1435,Sheet2!$B:$D,3,FALSE)</f>
        <v>56</v>
      </c>
      <c r="AA1435" s="93">
        <f>100/(3*3*3.5)</f>
        <v>3.1746031746031744</v>
      </c>
      <c r="AB1435" s="93">
        <f t="shared" ref="AB1435" si="1100">AD1435/AC1434</f>
        <v>17.64</v>
      </c>
      <c r="AC1435" s="93">
        <f>AC1434/AA1435</f>
        <v>0.69052499999999994</v>
      </c>
      <c r="AD1435" s="94">
        <f t="shared" ref="AD1435:AD1436" si="1101">AC1435*Z1435</f>
        <v>38.669399999999996</v>
      </c>
      <c r="AE1435" s="190"/>
      <c r="AF1435" s="191"/>
      <c r="AG1435" s="191"/>
      <c r="AH1435" s="191"/>
      <c r="AI1435" s="186"/>
      <c r="AK1435" s="171"/>
    </row>
    <row r="1436" spans="1:41" s="102" customFormat="1" ht="19.899999999999999" customHeight="1" x14ac:dyDescent="0.25">
      <c r="A1436" s="45"/>
      <c r="B1436" s="59"/>
      <c r="C1436" s="137"/>
      <c r="D1436" s="59"/>
      <c r="E1436" s="116"/>
      <c r="F1436" s="120"/>
      <c r="G1436" s="120"/>
      <c r="H1436" s="120"/>
      <c r="I1436" s="60"/>
      <c r="J1436" s="116"/>
      <c r="K1436" s="213"/>
      <c r="L1436" s="120"/>
      <c r="M1436" s="120"/>
      <c r="N1436" s="167"/>
      <c r="O1436" s="120"/>
      <c r="P1436" s="120"/>
      <c r="Q1436" s="120"/>
      <c r="R1436" s="120"/>
      <c r="S1436" s="120"/>
      <c r="T1436" s="221"/>
      <c r="U1436" s="89"/>
      <c r="V1436" s="61"/>
      <c r="W1436" s="92" t="s">
        <v>65</v>
      </c>
      <c r="X1436" s="93" t="s">
        <v>30</v>
      </c>
      <c r="Y1436" s="93" t="s">
        <v>1011</v>
      </c>
      <c r="Z1436" s="134">
        <f>VLOOKUP(W1436,Sheet2!$B:$D,3,FALSE)</f>
        <v>1.76</v>
      </c>
      <c r="AA1436" s="93">
        <f>AA1435/14</f>
        <v>0.22675736961451246</v>
      </c>
      <c r="AB1436" s="93">
        <f>AD1436/AC1434</f>
        <v>7.7616000000000014</v>
      </c>
      <c r="AC1436" s="93">
        <f>AC1434/AA1436</f>
        <v>9.667349999999999</v>
      </c>
      <c r="AD1436" s="94">
        <f t="shared" si="1101"/>
        <v>17.014536</v>
      </c>
      <c r="AE1436" s="190"/>
      <c r="AF1436" s="191"/>
      <c r="AG1436" s="191"/>
      <c r="AH1436" s="191"/>
      <c r="AI1436" s="186"/>
      <c r="AK1436" s="171"/>
    </row>
    <row r="1437" spans="1:41" s="102" customFormat="1" ht="19.899999999999999" customHeight="1" x14ac:dyDescent="0.25">
      <c r="A1437" s="45"/>
      <c r="B1437" s="59"/>
      <c r="C1437" s="137"/>
      <c r="D1437" s="59"/>
      <c r="E1437" s="116"/>
      <c r="F1437" s="120"/>
      <c r="G1437" s="120"/>
      <c r="H1437" s="120"/>
      <c r="I1437" s="60"/>
      <c r="J1437" s="116"/>
      <c r="K1437" s="213"/>
      <c r="L1437" s="120"/>
      <c r="M1437" s="120"/>
      <c r="N1437" s="167"/>
      <c r="O1437" s="120"/>
      <c r="P1437" s="120"/>
      <c r="Q1437" s="120"/>
      <c r="R1437" s="120"/>
      <c r="S1437" s="120"/>
      <c r="T1437" s="221"/>
      <c r="U1437" s="89"/>
      <c r="V1437" s="61"/>
      <c r="W1437" s="92" t="s">
        <v>161</v>
      </c>
      <c r="X1437" s="93" t="s">
        <v>29</v>
      </c>
      <c r="Y1437" s="93" t="s">
        <v>93</v>
      </c>
      <c r="Z1437" s="134">
        <f>VLOOKUP(W1437,Sheet2!$B:$D,3,FALSE)</f>
        <v>48</v>
      </c>
      <c r="AA1437" s="93">
        <f>(16*0.85*1.5)/(3*3*3.5)</f>
        <v>0.64761904761904754</v>
      </c>
      <c r="AB1437" s="93">
        <f>AD1437/AC1434</f>
        <v>74.117647058823536</v>
      </c>
      <c r="AC1437" s="93">
        <f>AC1434/AA1437</f>
        <v>3.3849264705882351</v>
      </c>
      <c r="AD1437" s="94">
        <f>AC1437*Z1437</f>
        <v>162.47647058823529</v>
      </c>
      <c r="AE1437" s="190"/>
      <c r="AF1437" s="191"/>
      <c r="AG1437" s="191"/>
      <c r="AH1437" s="191"/>
      <c r="AI1437" s="186"/>
      <c r="AK1437" s="171"/>
    </row>
    <row r="1438" spans="1:41" s="102" customFormat="1" ht="19.899999999999999" customHeight="1" x14ac:dyDescent="0.25">
      <c r="A1438" s="45"/>
      <c r="B1438" s="59"/>
      <c r="C1438" s="137"/>
      <c r="D1438" s="59"/>
      <c r="E1438" s="116"/>
      <c r="F1438" s="120"/>
      <c r="G1438" s="120"/>
      <c r="H1438" s="120"/>
      <c r="I1438" s="60"/>
      <c r="J1438" s="116"/>
      <c r="K1438" s="213"/>
      <c r="L1438" s="120"/>
      <c r="M1438" s="120"/>
      <c r="N1438" s="167"/>
      <c r="O1438" s="120"/>
      <c r="P1438" s="120"/>
      <c r="Q1438" s="120"/>
      <c r="R1438" s="120"/>
      <c r="S1438" s="120"/>
      <c r="T1438" s="221"/>
      <c r="U1438" s="89"/>
      <c r="V1438" s="61"/>
      <c r="W1438" s="92" t="s">
        <v>65</v>
      </c>
      <c r="X1438" s="93" t="s">
        <v>30</v>
      </c>
      <c r="Y1438" s="93" t="s">
        <v>1011</v>
      </c>
      <c r="Z1438" s="134">
        <f>VLOOKUP(W1438,Sheet2!$B:$D,3,FALSE)</f>
        <v>1.76</v>
      </c>
      <c r="AA1438" s="93">
        <f>AA1437/10</f>
        <v>6.4761904761904757E-2</v>
      </c>
      <c r="AB1438" s="93">
        <f>AD1438/AC1434</f>
        <v>27.176470588235293</v>
      </c>
      <c r="AC1438" s="93">
        <f>AC1434/AA1438</f>
        <v>33.849264705882348</v>
      </c>
      <c r="AD1438" s="94">
        <f>AC1438*Z1438</f>
        <v>59.57470588235293</v>
      </c>
      <c r="AE1438" s="190"/>
      <c r="AF1438" s="191"/>
      <c r="AG1438" s="191"/>
      <c r="AH1438" s="191"/>
      <c r="AI1438" s="186"/>
      <c r="AK1438" s="171"/>
    </row>
    <row r="1439" spans="1:41" s="103" customFormat="1" ht="19.899999999999999" customHeight="1" x14ac:dyDescent="0.25">
      <c r="A1439" s="51"/>
      <c r="B1439" s="52"/>
      <c r="C1439" s="165"/>
      <c r="D1439" s="52"/>
      <c r="E1439" s="115"/>
      <c r="F1439" s="58"/>
      <c r="G1439" s="58"/>
      <c r="H1439" s="58"/>
      <c r="I1439" s="55"/>
      <c r="J1439" s="113">
        <f>J1433</f>
        <v>2.1921428571428567</v>
      </c>
      <c r="K1439" s="212">
        <f>K1433</f>
        <v>2.1921428571428567</v>
      </c>
      <c r="L1439" s="58"/>
      <c r="M1439" s="58">
        <f>K1439-L1439</f>
        <v>2.1921428571428567</v>
      </c>
      <c r="N1439" s="166"/>
      <c r="O1439" s="58"/>
      <c r="P1439" s="58"/>
      <c r="Q1439" s="58"/>
      <c r="R1439" s="58"/>
      <c r="S1439" s="58"/>
      <c r="T1439" s="220"/>
      <c r="U1439" s="88"/>
      <c r="V1439" s="56"/>
      <c r="W1439" s="57" t="s">
        <v>1352</v>
      </c>
      <c r="X1439" s="53"/>
      <c r="Y1439" s="91" t="s">
        <v>35</v>
      </c>
      <c r="Z1439" s="136">
        <f>AD1439/AC1439</f>
        <v>11686.599999999999</v>
      </c>
      <c r="AA1439" s="58"/>
      <c r="AB1439" s="53">
        <f>AD1439/AC1439</f>
        <v>11686.599999999999</v>
      </c>
      <c r="AC1439" s="53">
        <f>M1439+$AE$10</f>
        <v>2.1921428571428567</v>
      </c>
      <c r="AD1439" s="54">
        <f>SUM(AD1440:AD1450)</f>
        <v>25618.696714285707</v>
      </c>
      <c r="AE1439" s="184">
        <f>SUMIFS($AD$37:$AD$12971,$V$37:$V$12971,$V1439,$X$37:$X$12971,AE$13)</f>
        <v>0</v>
      </c>
      <c r="AF1439" s="185">
        <f>SUMIFS($AD$37:$AD$12971,$V$37:$V$12971,$V1439,$X$37:$X$12971,AF$13)</f>
        <v>0</v>
      </c>
      <c r="AG1439" s="185">
        <f>SUMIFS($AD$37:$AD$12971,$V$37:$V$12971,$V1439,$X$37:$X$12971,AG$13)</f>
        <v>0</v>
      </c>
      <c r="AH1439" s="187">
        <f>SUMIFS($AD$37:$AD$12971,$V$37:$V$12971,$V1439,$X$37:$X$12971,AH$13)</f>
        <v>0</v>
      </c>
      <c r="AI1439" s="161">
        <f t="shared" ref="AI1439" si="1102">SUM(AE1439:AH1439)</f>
        <v>0</v>
      </c>
      <c r="AK1439" s="172"/>
    </row>
    <row r="1440" spans="1:41" s="102" customFormat="1" ht="19.899999999999999" customHeight="1" x14ac:dyDescent="0.25">
      <c r="A1440" s="45"/>
      <c r="B1440" s="59"/>
      <c r="C1440" s="137"/>
      <c r="D1440" s="59"/>
      <c r="E1440" s="116"/>
      <c r="F1440" s="120"/>
      <c r="G1440" s="120"/>
      <c r="H1440" s="120"/>
      <c r="I1440" s="60"/>
      <c r="J1440" s="116"/>
      <c r="K1440" s="213"/>
      <c r="L1440" s="120"/>
      <c r="M1440" s="120"/>
      <c r="N1440" s="167"/>
      <c r="O1440" s="120"/>
      <c r="P1440" s="120"/>
      <c r="Q1440" s="120"/>
      <c r="R1440" s="120"/>
      <c r="S1440" s="120"/>
      <c r="T1440" s="221"/>
      <c r="U1440" s="89"/>
      <c r="V1440" s="61"/>
      <c r="W1440" s="92" t="s">
        <v>1032</v>
      </c>
      <c r="X1440" s="93" t="s">
        <v>30</v>
      </c>
      <c r="Y1440" s="93" t="s">
        <v>66</v>
      </c>
      <c r="Z1440" s="134">
        <f>VLOOKUP(W1440,Sheet2!$B:$D,3,FALSE)</f>
        <v>250</v>
      </c>
      <c r="AA1440" s="93">
        <f>1/(3*3*0.1)</f>
        <v>1.1111111111111112</v>
      </c>
      <c r="AB1440" s="93">
        <f t="shared" ref="AB1440" si="1103">AD1440/AC1439</f>
        <v>224.99999999999997</v>
      </c>
      <c r="AC1440" s="93">
        <f>AC1439/AA1440</f>
        <v>1.9729285714285709</v>
      </c>
      <c r="AD1440" s="94">
        <f t="shared" ref="AD1440:AD1442" si="1104">AC1440*Z1440</f>
        <v>493.23214285714272</v>
      </c>
      <c r="AE1440" s="190"/>
      <c r="AF1440" s="191"/>
      <c r="AG1440" s="191"/>
      <c r="AH1440" s="191"/>
      <c r="AI1440" s="186"/>
      <c r="AK1440" s="171"/>
    </row>
    <row r="1441" spans="1:37" s="102" customFormat="1" ht="19.899999999999999" customHeight="1" x14ac:dyDescent="0.25">
      <c r="A1441" s="45"/>
      <c r="B1441" s="59"/>
      <c r="C1441" s="137"/>
      <c r="D1441" s="59"/>
      <c r="E1441" s="116"/>
      <c r="F1441" s="120"/>
      <c r="G1441" s="120"/>
      <c r="H1441" s="120"/>
      <c r="I1441" s="60"/>
      <c r="J1441" s="116"/>
      <c r="K1441" s="213"/>
      <c r="L1441" s="120"/>
      <c r="M1441" s="120"/>
      <c r="N1441" s="167"/>
      <c r="O1441" s="120"/>
      <c r="P1441" s="120"/>
      <c r="Q1441" s="120"/>
      <c r="R1441" s="120"/>
      <c r="S1441" s="120"/>
      <c r="T1441" s="221"/>
      <c r="U1441" s="89"/>
      <c r="V1441" s="61"/>
      <c r="W1441" s="92" t="s">
        <v>1353</v>
      </c>
      <c r="X1441" s="93" t="s">
        <v>30</v>
      </c>
      <c r="Y1441" s="93" t="s">
        <v>66</v>
      </c>
      <c r="Z1441" s="134">
        <f>VLOOKUP(W1441,Sheet2!$B:$D,3,FALSE)</f>
        <v>350</v>
      </c>
      <c r="AA1441" s="93">
        <f>1/(2*3*0.25*5)</f>
        <v>0.13333333333333333</v>
      </c>
      <c r="AB1441" s="93">
        <f>AD1441/AC1439</f>
        <v>2625</v>
      </c>
      <c r="AC1441" s="93">
        <f>AC1439/AA1441</f>
        <v>16.441071428571426</v>
      </c>
      <c r="AD1441" s="94">
        <f t="shared" si="1104"/>
        <v>5754.3749999999991</v>
      </c>
      <c r="AE1441" s="190"/>
      <c r="AF1441" s="191"/>
      <c r="AG1441" s="191"/>
      <c r="AH1441" s="191"/>
      <c r="AI1441" s="186"/>
      <c r="AK1441" s="171"/>
    </row>
    <row r="1442" spans="1:37" s="102" customFormat="1" ht="19.899999999999999" customHeight="1" x14ac:dyDescent="0.25">
      <c r="A1442" s="45"/>
      <c r="B1442" s="59"/>
      <c r="C1442" s="137"/>
      <c r="D1442" s="59"/>
      <c r="E1442" s="116"/>
      <c r="F1442" s="120"/>
      <c r="G1442" s="120"/>
      <c r="H1442" s="120"/>
      <c r="I1442" s="60"/>
      <c r="J1442" s="116"/>
      <c r="K1442" s="213"/>
      <c r="L1442" s="120"/>
      <c r="M1442" s="120"/>
      <c r="N1442" s="167"/>
      <c r="O1442" s="120"/>
      <c r="P1442" s="120"/>
      <c r="Q1442" s="120"/>
      <c r="R1442" s="120"/>
      <c r="S1442" s="120"/>
      <c r="T1442" s="221"/>
      <c r="U1442" s="89"/>
      <c r="V1442" s="61"/>
      <c r="W1442" s="92" t="s">
        <v>99</v>
      </c>
      <c r="X1442" s="93" t="s">
        <v>30</v>
      </c>
      <c r="Y1442" s="93" t="s">
        <v>67</v>
      </c>
      <c r="Z1442" s="134">
        <f>VLOOKUP(W1442,Sheet2!$B:$D,3,FALSE)</f>
        <v>2500</v>
      </c>
      <c r="AA1442" s="93">
        <f>1/(2*3*0.25*5*0.08)</f>
        <v>1.6666666666666667</v>
      </c>
      <c r="AB1442" s="93">
        <f>AD1442/AC1439</f>
        <v>1500</v>
      </c>
      <c r="AC1442" s="93">
        <f>AC1439/AA1442</f>
        <v>1.3152857142857139</v>
      </c>
      <c r="AD1442" s="94">
        <f t="shared" si="1104"/>
        <v>3288.2142857142849</v>
      </c>
      <c r="AE1442" s="190"/>
      <c r="AF1442" s="191"/>
      <c r="AG1442" s="191"/>
      <c r="AH1442" s="191"/>
      <c r="AI1442" s="186"/>
      <c r="AK1442" s="171"/>
    </row>
    <row r="1443" spans="1:37" s="102" customFormat="1" ht="19.899999999999999" customHeight="1" x14ac:dyDescent="0.25">
      <c r="A1443" s="45"/>
      <c r="B1443" s="59"/>
      <c r="C1443" s="137"/>
      <c r="D1443" s="59"/>
      <c r="E1443" s="116"/>
      <c r="F1443" s="120"/>
      <c r="G1443" s="120"/>
      <c r="H1443" s="120"/>
      <c r="I1443" s="60"/>
      <c r="J1443" s="116"/>
      <c r="K1443" s="213"/>
      <c r="L1443" s="120"/>
      <c r="M1443" s="120"/>
      <c r="N1443" s="167"/>
      <c r="O1443" s="120"/>
      <c r="P1443" s="120"/>
      <c r="Q1443" s="120"/>
      <c r="R1443" s="120"/>
      <c r="S1443" s="120"/>
      <c r="T1443" s="221"/>
      <c r="U1443" s="89"/>
      <c r="V1443" s="61"/>
      <c r="W1443" s="92" t="s">
        <v>1354</v>
      </c>
      <c r="X1443" s="93" t="s">
        <v>32</v>
      </c>
      <c r="Y1443" s="93" t="s">
        <v>66</v>
      </c>
      <c r="Z1443" s="134">
        <f>VLOOKUP(W1443,Sheet2!$B:$D,3,FALSE)</f>
        <v>150</v>
      </c>
      <c r="AA1443" s="93">
        <f>AA1440</f>
        <v>1.1111111111111112</v>
      </c>
      <c r="AB1443" s="93">
        <f>AD1443/AC1439</f>
        <v>135</v>
      </c>
      <c r="AC1443" s="93">
        <f>AC1439/AA1443</f>
        <v>1.9729285714285709</v>
      </c>
      <c r="AD1443" s="94">
        <f>AC1443*Z1443</f>
        <v>295.93928571428563</v>
      </c>
      <c r="AE1443" s="190"/>
      <c r="AF1443" s="191"/>
      <c r="AG1443" s="191"/>
      <c r="AH1443" s="191"/>
      <c r="AI1443" s="186"/>
      <c r="AK1443" s="171"/>
    </row>
    <row r="1444" spans="1:37" s="102" customFormat="1" ht="19.899999999999999" customHeight="1" x14ac:dyDescent="0.25">
      <c r="A1444" s="45"/>
      <c r="B1444" s="59"/>
      <c r="C1444" s="137"/>
      <c r="D1444" s="59"/>
      <c r="E1444" s="116"/>
      <c r="F1444" s="120"/>
      <c r="G1444" s="120"/>
      <c r="H1444" s="120"/>
      <c r="I1444" s="60"/>
      <c r="J1444" s="116"/>
      <c r="K1444" s="213"/>
      <c r="L1444" s="120"/>
      <c r="M1444" s="120"/>
      <c r="N1444" s="167"/>
      <c r="O1444" s="120"/>
      <c r="P1444" s="120"/>
      <c r="Q1444" s="120"/>
      <c r="R1444" s="120"/>
      <c r="S1444" s="120"/>
      <c r="T1444" s="221"/>
      <c r="U1444" s="89"/>
      <c r="V1444" s="61"/>
      <c r="W1444" s="92" t="s">
        <v>1355</v>
      </c>
      <c r="X1444" s="93" t="s">
        <v>32</v>
      </c>
      <c r="Y1444" s="93" t="s">
        <v>66</v>
      </c>
      <c r="Z1444" s="134">
        <f>VLOOKUP(W1444,Sheet2!$B:$D,3,FALSE)</f>
        <v>450</v>
      </c>
      <c r="AA1444" s="93">
        <f>AA1441</f>
        <v>0.13333333333333333</v>
      </c>
      <c r="AB1444" s="93">
        <f>AD1444/AC1439</f>
        <v>3375.0000000000005</v>
      </c>
      <c r="AC1444" s="93">
        <f>AC1439/AA1444</f>
        <v>16.441071428571426</v>
      </c>
      <c r="AD1444" s="94">
        <f>AC1444*Z1444</f>
        <v>7398.4821428571422</v>
      </c>
      <c r="AE1444" s="190"/>
      <c r="AF1444" s="191"/>
      <c r="AG1444" s="191"/>
      <c r="AH1444" s="191"/>
      <c r="AI1444" s="186"/>
      <c r="AK1444" s="171"/>
    </row>
    <row r="1445" spans="1:37" s="102" customFormat="1" ht="19.899999999999999" customHeight="1" x14ac:dyDescent="0.25">
      <c r="A1445" s="45"/>
      <c r="B1445" s="59"/>
      <c r="C1445" s="137"/>
      <c r="D1445" s="59"/>
      <c r="E1445" s="116"/>
      <c r="F1445" s="120"/>
      <c r="G1445" s="120"/>
      <c r="H1445" s="120"/>
      <c r="I1445" s="60"/>
      <c r="J1445" s="116"/>
      <c r="K1445" s="213"/>
      <c r="L1445" s="120"/>
      <c r="M1445" s="120"/>
      <c r="N1445" s="167"/>
      <c r="O1445" s="120"/>
      <c r="P1445" s="120"/>
      <c r="Q1445" s="120"/>
      <c r="R1445" s="120"/>
      <c r="S1445" s="120"/>
      <c r="T1445" s="221"/>
      <c r="U1445" s="89"/>
      <c r="V1445" s="61"/>
      <c r="W1445" s="92" t="s">
        <v>1356</v>
      </c>
      <c r="X1445" s="93" t="s">
        <v>30</v>
      </c>
      <c r="Y1445" s="93" t="s">
        <v>35</v>
      </c>
      <c r="Z1445" s="134">
        <f>VLOOKUP(W1445,Sheet2!$B:$D,3,FALSE)</f>
        <v>3500</v>
      </c>
      <c r="AA1445" s="93">
        <v>1</v>
      </c>
      <c r="AB1445" s="93">
        <f>AD1445/AC1439</f>
        <v>3500</v>
      </c>
      <c r="AC1445" s="93">
        <f>AC1439/AA1445</f>
        <v>2.1921428571428567</v>
      </c>
      <c r="AD1445" s="94">
        <f t="shared" ref="AD1445:AD1446" si="1105">AC1445*Z1445</f>
        <v>7672.4999999999982</v>
      </c>
      <c r="AE1445" s="190"/>
      <c r="AF1445" s="191"/>
      <c r="AG1445" s="191"/>
      <c r="AH1445" s="191"/>
      <c r="AI1445" s="186"/>
      <c r="AK1445" s="171"/>
    </row>
    <row r="1446" spans="1:37" s="102" customFormat="1" ht="19.899999999999999" customHeight="1" x14ac:dyDescent="0.25">
      <c r="A1446" s="45"/>
      <c r="B1446" s="59"/>
      <c r="C1446" s="137"/>
      <c r="D1446" s="59"/>
      <c r="E1446" s="116"/>
      <c r="F1446" s="120"/>
      <c r="G1446" s="120"/>
      <c r="H1446" s="120"/>
      <c r="I1446" s="60"/>
      <c r="J1446" s="116"/>
      <c r="K1446" s="213"/>
      <c r="L1446" s="120"/>
      <c r="M1446" s="120"/>
      <c r="N1446" s="167"/>
      <c r="O1446" s="120"/>
      <c r="P1446" s="120"/>
      <c r="Q1446" s="120"/>
      <c r="R1446" s="120"/>
      <c r="S1446" s="120"/>
      <c r="T1446" s="221"/>
      <c r="U1446" s="89"/>
      <c r="V1446" s="61"/>
      <c r="W1446" s="92" t="s">
        <v>174</v>
      </c>
      <c r="X1446" s="93" t="s">
        <v>29</v>
      </c>
      <c r="Y1446" s="93" t="s">
        <v>93</v>
      </c>
      <c r="Z1446" s="134">
        <f>VLOOKUP(W1446,Sheet2!$B:$D,3,FALSE)</f>
        <v>80</v>
      </c>
      <c r="AA1446" s="93">
        <v>4</v>
      </c>
      <c r="AB1446" s="93">
        <f>AD1446/AC1439</f>
        <v>20</v>
      </c>
      <c r="AC1446" s="93">
        <f>AC1439/AA1446</f>
        <v>0.54803571428571418</v>
      </c>
      <c r="AD1446" s="94">
        <f t="shared" si="1105"/>
        <v>43.842857142857135</v>
      </c>
      <c r="AE1446" s="190"/>
      <c r="AF1446" s="191"/>
      <c r="AG1446" s="191"/>
      <c r="AH1446" s="191"/>
      <c r="AI1446" s="186"/>
      <c r="AK1446" s="171"/>
    </row>
    <row r="1447" spans="1:37" s="102" customFormat="1" ht="19.899999999999999" customHeight="1" x14ac:dyDescent="0.25">
      <c r="A1447" s="45"/>
      <c r="B1447" s="59"/>
      <c r="C1447" s="137"/>
      <c r="D1447" s="59"/>
      <c r="E1447" s="116"/>
      <c r="F1447" s="120"/>
      <c r="G1447" s="120"/>
      <c r="H1447" s="120"/>
      <c r="I1447" s="60"/>
      <c r="J1447" s="116"/>
      <c r="K1447" s="213"/>
      <c r="L1447" s="120"/>
      <c r="M1447" s="120"/>
      <c r="N1447" s="167"/>
      <c r="O1447" s="120"/>
      <c r="P1447" s="120"/>
      <c r="Q1447" s="120"/>
      <c r="R1447" s="120"/>
      <c r="S1447" s="120"/>
      <c r="T1447" s="221"/>
      <c r="U1447" s="89"/>
      <c r="V1447" s="61"/>
      <c r="W1447" s="92" t="s">
        <v>65</v>
      </c>
      <c r="X1447" s="93" t="s">
        <v>30</v>
      </c>
      <c r="Y1447" s="93" t="s">
        <v>93</v>
      </c>
      <c r="Z1447" s="134">
        <f>VLOOKUP(W1447,Sheet2!$B:$D,3,FALSE)</f>
        <v>1.76</v>
      </c>
      <c r="AA1447" s="93">
        <f>AA1446/15</f>
        <v>0.26666666666666666</v>
      </c>
      <c r="AB1447" s="93">
        <f>AD1447/AC1439</f>
        <v>6.6000000000000005</v>
      </c>
      <c r="AC1447" s="93">
        <f>AC1439/AA1447</f>
        <v>8.2205357142857132</v>
      </c>
      <c r="AD1447" s="94">
        <f>AC1447*Z1447</f>
        <v>14.468142857142855</v>
      </c>
      <c r="AE1447" s="190"/>
      <c r="AF1447" s="191"/>
      <c r="AG1447" s="191"/>
      <c r="AH1447" s="191"/>
      <c r="AI1447" s="186"/>
      <c r="AK1447" s="171"/>
    </row>
    <row r="1448" spans="1:37" s="102" customFormat="1" ht="19.899999999999999" customHeight="1" x14ac:dyDescent="0.25">
      <c r="A1448" s="45"/>
      <c r="B1448" s="59"/>
      <c r="C1448" s="137"/>
      <c r="D1448" s="59"/>
      <c r="E1448" s="116"/>
      <c r="F1448" s="120"/>
      <c r="G1448" s="120"/>
      <c r="H1448" s="120"/>
      <c r="I1448" s="60"/>
      <c r="J1448" s="116"/>
      <c r="K1448" s="213"/>
      <c r="L1448" s="120"/>
      <c r="M1448" s="120"/>
      <c r="N1448" s="167"/>
      <c r="O1448" s="120"/>
      <c r="P1448" s="120"/>
      <c r="Q1448" s="120"/>
      <c r="R1448" s="120"/>
      <c r="S1448" s="120"/>
      <c r="T1448" s="221"/>
      <c r="U1448" s="89"/>
      <c r="V1448" s="61"/>
      <c r="W1448" s="92" t="s">
        <v>1357</v>
      </c>
      <c r="X1448" s="93" t="s">
        <v>30</v>
      </c>
      <c r="Y1448" s="93" t="s">
        <v>1349</v>
      </c>
      <c r="Z1448" s="134">
        <f>VLOOKUP(W1448,Sheet2!$B:$D,3,FALSE)</f>
        <v>150</v>
      </c>
      <c r="AA1448" s="93">
        <v>1</v>
      </c>
      <c r="AB1448" s="93">
        <f>AD1448/AC1439</f>
        <v>150</v>
      </c>
      <c r="AC1448" s="93">
        <f>AC1439/AA1448</f>
        <v>2.1921428571428567</v>
      </c>
      <c r="AD1448" s="94">
        <f>AC1448*Z1448</f>
        <v>328.8214285714285</v>
      </c>
      <c r="AE1448" s="190"/>
      <c r="AF1448" s="191"/>
      <c r="AG1448" s="191"/>
      <c r="AH1448" s="191"/>
      <c r="AI1448" s="186"/>
      <c r="AK1448" s="171"/>
    </row>
    <row r="1449" spans="1:37" s="102" customFormat="1" ht="19.899999999999999" customHeight="1" x14ac:dyDescent="0.25">
      <c r="A1449" s="45"/>
      <c r="B1449" s="59"/>
      <c r="C1449" s="137"/>
      <c r="D1449" s="59"/>
      <c r="E1449" s="116"/>
      <c r="F1449" s="120"/>
      <c r="G1449" s="120"/>
      <c r="H1449" s="120"/>
      <c r="I1449" s="60"/>
      <c r="J1449" s="116"/>
      <c r="K1449" s="213"/>
      <c r="L1449" s="120"/>
      <c r="M1449" s="120"/>
      <c r="N1449" s="167"/>
      <c r="O1449" s="120"/>
      <c r="P1449" s="120"/>
      <c r="Q1449" s="120"/>
      <c r="R1449" s="120"/>
      <c r="S1449" s="120"/>
      <c r="T1449" s="221"/>
      <c r="U1449" s="89"/>
      <c r="V1449" s="61"/>
      <c r="W1449" s="92" t="s">
        <v>107</v>
      </c>
      <c r="X1449" s="93" t="s">
        <v>31</v>
      </c>
      <c r="Y1449" s="93" t="s">
        <v>93</v>
      </c>
      <c r="Z1449" s="134">
        <f>VLOOKUP(W1449,Sheet2!$B:$D,3,FALSE)</f>
        <v>17</v>
      </c>
      <c r="AA1449" s="93">
        <f>1/5</f>
        <v>0.2</v>
      </c>
      <c r="AB1449" s="93">
        <f>AD1449/AC1439</f>
        <v>85</v>
      </c>
      <c r="AC1449" s="93">
        <f>AC1439/AA1449</f>
        <v>10.960714285714284</v>
      </c>
      <c r="AD1449" s="94">
        <f>AC1449*Z1449</f>
        <v>186.33214285714283</v>
      </c>
      <c r="AE1449" s="190"/>
      <c r="AF1449" s="191"/>
      <c r="AG1449" s="191"/>
      <c r="AH1449" s="191"/>
      <c r="AI1449" s="186"/>
      <c r="AK1449" s="171"/>
    </row>
    <row r="1450" spans="1:37" s="102" customFormat="1" ht="19.899999999999999" customHeight="1" x14ac:dyDescent="0.25">
      <c r="A1450" s="45"/>
      <c r="B1450" s="59"/>
      <c r="C1450" s="137"/>
      <c r="D1450" s="59"/>
      <c r="E1450" s="116"/>
      <c r="F1450" s="120"/>
      <c r="G1450" s="120"/>
      <c r="H1450" s="120"/>
      <c r="I1450" s="60"/>
      <c r="J1450" s="116"/>
      <c r="K1450" s="213"/>
      <c r="L1450" s="120"/>
      <c r="M1450" s="120"/>
      <c r="N1450" s="167"/>
      <c r="O1450" s="120"/>
      <c r="P1450" s="120"/>
      <c r="Q1450" s="120"/>
      <c r="R1450" s="120"/>
      <c r="S1450" s="120"/>
      <c r="T1450" s="221"/>
      <c r="U1450" s="89"/>
      <c r="V1450" s="61"/>
      <c r="W1450" s="92" t="s">
        <v>112</v>
      </c>
      <c r="X1450" s="93" t="s">
        <v>31</v>
      </c>
      <c r="Y1450" s="93" t="s">
        <v>93</v>
      </c>
      <c r="Z1450" s="134">
        <f>VLOOKUP(W1450,Sheet2!$B:$D,3,FALSE)</f>
        <v>13</v>
      </c>
      <c r="AA1450" s="93">
        <f>AA1449</f>
        <v>0.2</v>
      </c>
      <c r="AB1450" s="93">
        <f>AD1450/AC1439</f>
        <v>65</v>
      </c>
      <c r="AC1450" s="93">
        <f>AC1439/AA1450</f>
        <v>10.960714285714284</v>
      </c>
      <c r="AD1450" s="94">
        <f>AC1450*Z1450</f>
        <v>142.4892857142857</v>
      </c>
      <c r="AE1450" s="190"/>
      <c r="AF1450" s="191"/>
      <c r="AG1450" s="191"/>
      <c r="AH1450" s="191"/>
      <c r="AI1450" s="186"/>
      <c r="AK1450" s="171"/>
    </row>
    <row r="1451" spans="1:37" s="103" customFormat="1" ht="19.899999999999999" customHeight="1" x14ac:dyDescent="0.25">
      <c r="A1451" s="51"/>
      <c r="B1451" s="52"/>
      <c r="C1451" s="165"/>
      <c r="D1451" s="52"/>
      <c r="E1451" s="115"/>
      <c r="F1451" s="58"/>
      <c r="G1451" s="58"/>
      <c r="H1451" s="58"/>
      <c r="I1451" s="55"/>
      <c r="J1451" s="113">
        <f>J1433</f>
        <v>2.1921428571428567</v>
      </c>
      <c r="K1451" s="212">
        <f>K1433</f>
        <v>2.1921428571428567</v>
      </c>
      <c r="L1451" s="58"/>
      <c r="M1451" s="58">
        <f>K1451-L1451</f>
        <v>2.1921428571428567</v>
      </c>
      <c r="N1451" s="166"/>
      <c r="O1451" s="58"/>
      <c r="P1451" s="58"/>
      <c r="Q1451" s="58"/>
      <c r="R1451" s="58"/>
      <c r="S1451" s="58"/>
      <c r="T1451" s="220"/>
      <c r="U1451" s="88"/>
      <c r="V1451" s="56"/>
      <c r="W1451" s="57" t="s">
        <v>1358</v>
      </c>
      <c r="X1451" s="53"/>
      <c r="Y1451" s="91" t="s">
        <v>35</v>
      </c>
      <c r="Z1451" s="136">
        <f>AD1451/AC1451</f>
        <v>3919.9999999999995</v>
      </c>
      <c r="AA1451" s="58"/>
      <c r="AB1451" s="53">
        <f>AD1451/AC1451</f>
        <v>3919.9999999999995</v>
      </c>
      <c r="AC1451" s="53">
        <f>M1451+$AE$10</f>
        <v>2.1921428571428567</v>
      </c>
      <c r="AD1451" s="54">
        <f>SUM(AD1452:AD1453)</f>
        <v>8593.1999999999971</v>
      </c>
      <c r="AE1451" s="184">
        <f>SUMIFS($AD$37:$AD$12971,$V$37:$V$12971,$V1451,$X$37:$X$12971,AE$13)</f>
        <v>0</v>
      </c>
      <c r="AF1451" s="185">
        <f>SUMIFS($AD$37:$AD$12971,$V$37:$V$12971,$V1451,$X$37:$X$12971,AF$13)</f>
        <v>0</v>
      </c>
      <c r="AG1451" s="185">
        <f>SUMIFS($AD$37:$AD$12971,$V$37:$V$12971,$V1451,$X$37:$X$12971,AG$13)</f>
        <v>0</v>
      </c>
      <c r="AH1451" s="187">
        <f>SUMIFS($AD$37:$AD$12971,$V$37:$V$12971,$V1451,$X$37:$X$12971,AH$13)</f>
        <v>0</v>
      </c>
      <c r="AI1451" s="161">
        <f t="shared" ref="AI1451" si="1106">SUM(AE1451:AH1451)</f>
        <v>0</v>
      </c>
      <c r="AK1451" s="172"/>
    </row>
    <row r="1452" spans="1:37" s="102" customFormat="1" ht="19.899999999999999" customHeight="1" x14ac:dyDescent="0.25">
      <c r="A1452" s="45"/>
      <c r="B1452" s="59"/>
      <c r="C1452" s="137"/>
      <c r="D1452" s="59"/>
      <c r="E1452" s="116"/>
      <c r="F1452" s="120"/>
      <c r="G1452" s="120"/>
      <c r="H1452" s="120"/>
      <c r="I1452" s="60"/>
      <c r="J1452" s="116"/>
      <c r="K1452" s="213"/>
      <c r="L1452" s="120"/>
      <c r="M1452" s="120"/>
      <c r="N1452" s="167"/>
      <c r="O1452" s="120"/>
      <c r="P1452" s="120"/>
      <c r="Q1452" s="120"/>
      <c r="R1452" s="120"/>
      <c r="S1452" s="120"/>
      <c r="T1452" s="221"/>
      <c r="U1452" s="89"/>
      <c r="V1452" s="61"/>
      <c r="W1452" s="92" t="s">
        <v>1359</v>
      </c>
      <c r="X1452" s="93" t="s">
        <v>32</v>
      </c>
      <c r="Y1452" s="93" t="s">
        <v>64</v>
      </c>
      <c r="Z1452" s="134">
        <f>VLOOKUP(W1452,Sheet2!$B:$D,3,FALSE)</f>
        <v>40</v>
      </c>
      <c r="AA1452" s="93">
        <f>1/56</f>
        <v>1.7857142857142856E-2</v>
      </c>
      <c r="AB1452" s="93">
        <f t="shared" ref="AB1452" si="1107">AD1452/AC1451</f>
        <v>2240</v>
      </c>
      <c r="AC1452" s="93">
        <f>AC1451/AA1452</f>
        <v>122.75999999999998</v>
      </c>
      <c r="AD1452" s="94">
        <f t="shared" ref="AD1452:AD1453" si="1108">AC1452*Z1452</f>
        <v>4910.3999999999987</v>
      </c>
      <c r="AE1452" s="190"/>
      <c r="AF1452" s="191"/>
      <c r="AG1452" s="191"/>
      <c r="AH1452" s="191"/>
      <c r="AI1452" s="186"/>
      <c r="AK1452" s="171"/>
    </row>
    <row r="1453" spans="1:37" s="102" customFormat="1" ht="19.899999999999999" customHeight="1" x14ac:dyDescent="0.25">
      <c r="A1453" s="45"/>
      <c r="B1453" s="59"/>
      <c r="C1453" s="137"/>
      <c r="D1453" s="59"/>
      <c r="E1453" s="116"/>
      <c r="F1453" s="120"/>
      <c r="G1453" s="120"/>
      <c r="H1453" s="120"/>
      <c r="I1453" s="60"/>
      <c r="J1453" s="116"/>
      <c r="K1453" s="213"/>
      <c r="L1453" s="120"/>
      <c r="M1453" s="120"/>
      <c r="N1453" s="167"/>
      <c r="O1453" s="120"/>
      <c r="P1453" s="120"/>
      <c r="Q1453" s="120"/>
      <c r="R1453" s="120"/>
      <c r="S1453" s="120"/>
      <c r="T1453" s="221"/>
      <c r="U1453" s="89"/>
      <c r="V1453" s="61"/>
      <c r="W1453" s="92" t="s">
        <v>1360</v>
      </c>
      <c r="X1453" s="93" t="s">
        <v>32</v>
      </c>
      <c r="Y1453" s="93" t="s">
        <v>64</v>
      </c>
      <c r="Z1453" s="134">
        <f>VLOOKUP(W1453,Sheet2!$B:$D,3,FALSE)</f>
        <v>30</v>
      </c>
      <c r="AA1453" s="93">
        <f>AA1452</f>
        <v>1.7857142857142856E-2</v>
      </c>
      <c r="AB1453" s="93">
        <f>AD1453/AC1451</f>
        <v>1680</v>
      </c>
      <c r="AC1453" s="93">
        <f>AC1451/AA1453</f>
        <v>122.75999999999998</v>
      </c>
      <c r="AD1453" s="94">
        <f t="shared" si="1108"/>
        <v>3682.7999999999993</v>
      </c>
      <c r="AE1453" s="190"/>
      <c r="AF1453" s="191"/>
      <c r="AG1453" s="191"/>
      <c r="AH1453" s="191"/>
      <c r="AI1453" s="186"/>
      <c r="AK1453" s="171"/>
    </row>
    <row r="1454" spans="1:37" s="103" customFormat="1" ht="19.899999999999999" customHeight="1" x14ac:dyDescent="0.25">
      <c r="A1454" s="51"/>
      <c r="B1454" s="52"/>
      <c r="C1454" s="165"/>
      <c r="D1454" s="52"/>
      <c r="E1454" s="115"/>
      <c r="F1454" s="58"/>
      <c r="G1454" s="58"/>
      <c r="H1454" s="58"/>
      <c r="I1454" s="55"/>
      <c r="J1454" s="113">
        <f>J1433</f>
        <v>2.1921428571428567</v>
      </c>
      <c r="K1454" s="212">
        <f>K1433</f>
        <v>2.1921428571428567</v>
      </c>
      <c r="L1454" s="58"/>
      <c r="M1454" s="58">
        <f>K1454-L1454</f>
        <v>2.1921428571428567</v>
      </c>
      <c r="N1454" s="166"/>
      <c r="O1454" s="58"/>
      <c r="P1454" s="58"/>
      <c r="Q1454" s="58"/>
      <c r="R1454" s="58"/>
      <c r="S1454" s="58"/>
      <c r="T1454" s="220"/>
      <c r="U1454" s="88"/>
      <c r="V1454" s="56"/>
      <c r="W1454" s="57" t="s">
        <v>1272</v>
      </c>
      <c r="X1454" s="53"/>
      <c r="Y1454" s="91" t="s">
        <v>35</v>
      </c>
      <c r="Z1454" s="136">
        <f>AD1454/AC1454</f>
        <v>284.41706666666664</v>
      </c>
      <c r="AA1454" s="58"/>
      <c r="AB1454" s="53">
        <f>AD1454/AC1454</f>
        <v>284.41706666666664</v>
      </c>
      <c r="AC1454" s="53">
        <f>M1454+$AE$10</f>
        <v>2.1921428571428567</v>
      </c>
      <c r="AD1454" s="54">
        <f>SUM(AD1455:AD1463)</f>
        <v>623.48284114285696</v>
      </c>
      <c r="AE1454" s="184">
        <f>SUMIFS($AD$37:$AD$12971,$V$37:$V$12971,$V1454,$X$37:$X$12971,AE$13)</f>
        <v>0</v>
      </c>
      <c r="AF1454" s="185">
        <f>SUMIFS($AD$37:$AD$12971,$V$37:$V$12971,$V1454,$X$37:$X$12971,AF$13)</f>
        <v>0</v>
      </c>
      <c r="AG1454" s="185">
        <f>SUMIFS($AD$37:$AD$12971,$V$37:$V$12971,$V1454,$X$37:$X$12971,AG$13)</f>
        <v>0</v>
      </c>
      <c r="AH1454" s="187">
        <f>SUMIFS($AD$37:$AD$12971,$V$37:$V$12971,$V1454,$X$37:$X$12971,AH$13)</f>
        <v>0</v>
      </c>
      <c r="AI1454" s="161">
        <f t="shared" ref="AI1454" si="1109">SUM(AE1454:AH1454)</f>
        <v>0</v>
      </c>
      <c r="AK1454" s="172"/>
    </row>
    <row r="1455" spans="1:37" s="102" customFormat="1" ht="19.899999999999999" customHeight="1" x14ac:dyDescent="0.25">
      <c r="A1455" s="45"/>
      <c r="B1455" s="59"/>
      <c r="C1455" s="137"/>
      <c r="D1455" s="59"/>
      <c r="E1455" s="116"/>
      <c r="F1455" s="120"/>
      <c r="G1455" s="120"/>
      <c r="H1455" s="120"/>
      <c r="I1455" s="60"/>
      <c r="J1455" s="116"/>
      <c r="K1455" s="213"/>
      <c r="L1455" s="120"/>
      <c r="M1455" s="120"/>
      <c r="N1455" s="167"/>
      <c r="O1455" s="120"/>
      <c r="P1455" s="120"/>
      <c r="Q1455" s="120"/>
      <c r="R1455" s="120"/>
      <c r="S1455" s="120"/>
      <c r="T1455" s="221"/>
      <c r="U1455" s="89"/>
      <c r="V1455" s="61"/>
      <c r="W1455" s="92" t="s">
        <v>1273</v>
      </c>
      <c r="X1455" s="93" t="s">
        <v>30</v>
      </c>
      <c r="Y1455" s="93" t="s">
        <v>66</v>
      </c>
      <c r="Z1455" s="134">
        <f>VLOOKUP(W1455,Sheet2!$B:$D,3,FALSE)</f>
        <v>10</v>
      </c>
      <c r="AA1455" s="93">
        <f>1/(2.5*3.4*0.5*4)</f>
        <v>5.8823529411764705E-2</v>
      </c>
      <c r="AB1455" s="93">
        <f>AD1455/AC1454</f>
        <v>169.99999999999997</v>
      </c>
      <c r="AC1455" s="93">
        <f>AC1454/AA1455</f>
        <v>37.266428571428563</v>
      </c>
      <c r="AD1455" s="94">
        <f t="shared" ref="AD1455:AD1457" si="1110">AC1455*Z1455</f>
        <v>372.6642857142856</v>
      </c>
      <c r="AE1455" s="190"/>
      <c r="AF1455" s="191"/>
      <c r="AG1455" s="191"/>
      <c r="AH1455" s="191"/>
      <c r="AI1455" s="186"/>
      <c r="AK1455" s="171"/>
    </row>
    <row r="1456" spans="1:37" s="102" customFormat="1" ht="19.899999999999999" customHeight="1" x14ac:dyDescent="0.25">
      <c r="A1456" s="45"/>
      <c r="B1456" s="59"/>
      <c r="C1456" s="137"/>
      <c r="D1456" s="59"/>
      <c r="E1456" s="116"/>
      <c r="F1456" s="120"/>
      <c r="G1456" s="120"/>
      <c r="H1456" s="120"/>
      <c r="I1456" s="60"/>
      <c r="J1456" s="116"/>
      <c r="K1456" s="213"/>
      <c r="L1456" s="120"/>
      <c r="M1456" s="120"/>
      <c r="N1456" s="167"/>
      <c r="O1456" s="120"/>
      <c r="P1456" s="120"/>
      <c r="Q1456" s="120"/>
      <c r="R1456" s="120"/>
      <c r="S1456" s="120"/>
      <c r="T1456" s="221"/>
      <c r="U1456" s="89"/>
      <c r="V1456" s="61"/>
      <c r="W1456" s="92" t="s">
        <v>134</v>
      </c>
      <c r="X1456" s="93" t="s">
        <v>29</v>
      </c>
      <c r="Y1456" s="93" t="s">
        <v>93</v>
      </c>
      <c r="Z1456" s="134">
        <f>VLOOKUP(W1456,Sheet2!$B:$D,3,FALSE)</f>
        <v>65.599999999999994</v>
      </c>
      <c r="AA1456" s="93">
        <f>100/(2.5*3.4*0.5*4)</f>
        <v>5.882352941176471</v>
      </c>
      <c r="AB1456" s="93">
        <f t="shared" ref="AB1456" si="1111">AD1456/AC1454</f>
        <v>11.151999999999997</v>
      </c>
      <c r="AC1456" s="93">
        <f>AC1454/AA1456</f>
        <v>0.37266428571428561</v>
      </c>
      <c r="AD1456" s="94">
        <f t="shared" si="1110"/>
        <v>24.446777142857133</v>
      </c>
      <c r="AE1456" s="190"/>
      <c r="AF1456" s="191"/>
      <c r="AG1456" s="191"/>
      <c r="AH1456" s="191"/>
      <c r="AI1456" s="186"/>
      <c r="AK1456" s="171"/>
    </row>
    <row r="1457" spans="1:41" s="102" customFormat="1" ht="19.899999999999999" customHeight="1" x14ac:dyDescent="0.25">
      <c r="A1457" s="45"/>
      <c r="B1457" s="59"/>
      <c r="C1457" s="137"/>
      <c r="D1457" s="59"/>
      <c r="E1457" s="116"/>
      <c r="F1457" s="120"/>
      <c r="G1457" s="120"/>
      <c r="H1457" s="120"/>
      <c r="I1457" s="60"/>
      <c r="J1457" s="116"/>
      <c r="K1457" s="213"/>
      <c r="L1457" s="120"/>
      <c r="M1457" s="120"/>
      <c r="N1457" s="167"/>
      <c r="O1457" s="120"/>
      <c r="P1457" s="120"/>
      <c r="Q1457" s="120"/>
      <c r="R1457" s="120"/>
      <c r="S1457" s="120"/>
      <c r="T1457" s="221"/>
      <c r="U1457" s="89"/>
      <c r="V1457" s="61"/>
      <c r="W1457" s="92" t="s">
        <v>65</v>
      </c>
      <c r="X1457" s="93" t="s">
        <v>30</v>
      </c>
      <c r="Y1457" s="93" t="s">
        <v>1011</v>
      </c>
      <c r="Z1457" s="134">
        <f>VLOOKUP(W1457,Sheet2!$B:$D,3,FALSE)</f>
        <v>1.76</v>
      </c>
      <c r="AA1457" s="93">
        <f>AA1456/9</f>
        <v>0.65359477124183007</v>
      </c>
      <c r="AB1457" s="93">
        <f>AD1457/AC1454</f>
        <v>2.6928000000000001</v>
      </c>
      <c r="AC1457" s="93">
        <f>AC1454/AA1457</f>
        <v>3.3539785714285708</v>
      </c>
      <c r="AD1457" s="94">
        <f t="shared" si="1110"/>
        <v>5.903002285714285</v>
      </c>
      <c r="AE1457" s="190"/>
      <c r="AF1457" s="191"/>
      <c r="AG1457" s="191"/>
      <c r="AH1457" s="191"/>
      <c r="AI1457" s="186"/>
      <c r="AK1457" s="171"/>
    </row>
    <row r="1458" spans="1:41" s="102" customFormat="1" ht="19.899999999999999" customHeight="1" x14ac:dyDescent="0.25">
      <c r="A1458" s="45"/>
      <c r="B1458" s="59"/>
      <c r="C1458" s="137"/>
      <c r="D1458" s="59"/>
      <c r="E1458" s="116"/>
      <c r="F1458" s="120"/>
      <c r="G1458" s="120"/>
      <c r="H1458" s="120"/>
      <c r="I1458" s="60"/>
      <c r="J1458" s="116"/>
      <c r="K1458" s="213"/>
      <c r="L1458" s="120"/>
      <c r="M1458" s="120"/>
      <c r="N1458" s="167"/>
      <c r="O1458" s="120"/>
      <c r="P1458" s="120"/>
      <c r="Q1458" s="120"/>
      <c r="R1458" s="120"/>
      <c r="S1458" s="120"/>
      <c r="T1458" s="221"/>
      <c r="U1458" s="89"/>
      <c r="V1458" s="61"/>
      <c r="W1458" s="92" t="s">
        <v>161</v>
      </c>
      <c r="X1458" s="93" t="s">
        <v>29</v>
      </c>
      <c r="Y1458" s="93" t="s">
        <v>93</v>
      </c>
      <c r="Z1458" s="134">
        <f>VLOOKUP(W1458,Sheet2!$B:$D,3,FALSE)</f>
        <v>48</v>
      </c>
      <c r="AA1458" s="93">
        <f>(16*0.85*1.5)/(2.5*3.4*0.5*4)</f>
        <v>1.2</v>
      </c>
      <c r="AB1458" s="93">
        <f>AD1458/AC1454</f>
        <v>40</v>
      </c>
      <c r="AC1458" s="93">
        <f>AC1454/AA1458</f>
        <v>1.826785714285714</v>
      </c>
      <c r="AD1458" s="94">
        <f>AC1458*Z1458</f>
        <v>87.685714285714269</v>
      </c>
      <c r="AE1458" s="190"/>
      <c r="AF1458" s="191"/>
      <c r="AG1458" s="191"/>
      <c r="AH1458" s="191"/>
      <c r="AI1458" s="186"/>
      <c r="AK1458" s="171"/>
    </row>
    <row r="1459" spans="1:41" s="102" customFormat="1" ht="19.899999999999999" customHeight="1" x14ac:dyDescent="0.25">
      <c r="A1459" s="45"/>
      <c r="B1459" s="59"/>
      <c r="C1459" s="137"/>
      <c r="D1459" s="59"/>
      <c r="E1459" s="116"/>
      <c r="F1459" s="120"/>
      <c r="G1459" s="120"/>
      <c r="H1459" s="120"/>
      <c r="I1459" s="60"/>
      <c r="J1459" s="116"/>
      <c r="K1459" s="213"/>
      <c r="L1459" s="120"/>
      <c r="M1459" s="120"/>
      <c r="N1459" s="167"/>
      <c r="O1459" s="120"/>
      <c r="P1459" s="120"/>
      <c r="Q1459" s="120"/>
      <c r="R1459" s="120"/>
      <c r="S1459" s="120"/>
      <c r="T1459" s="221"/>
      <c r="U1459" s="89"/>
      <c r="V1459" s="61"/>
      <c r="W1459" s="92" t="s">
        <v>65</v>
      </c>
      <c r="X1459" s="93" t="s">
        <v>30</v>
      </c>
      <c r="Y1459" s="93" t="s">
        <v>1011</v>
      </c>
      <c r="Z1459" s="134">
        <f>VLOOKUP(W1459,Sheet2!$B:$D,3,FALSE)</f>
        <v>1.76</v>
      </c>
      <c r="AA1459" s="93">
        <f>AA1458/10</f>
        <v>0.12</v>
      </c>
      <c r="AB1459" s="93">
        <f>AD1459/AC1454</f>
        <v>14.666666666666668</v>
      </c>
      <c r="AC1459" s="93">
        <f>AC1454/AA1459</f>
        <v>18.267857142857139</v>
      </c>
      <c r="AD1459" s="94">
        <f>AC1459*Z1459</f>
        <v>32.151428571428568</v>
      </c>
      <c r="AE1459" s="190"/>
      <c r="AF1459" s="191"/>
      <c r="AG1459" s="191"/>
      <c r="AH1459" s="191"/>
      <c r="AI1459" s="186"/>
      <c r="AK1459" s="171"/>
    </row>
    <row r="1460" spans="1:41" s="102" customFormat="1" ht="19.899999999999999" customHeight="1" x14ac:dyDescent="0.25">
      <c r="A1460" s="45"/>
      <c r="B1460" s="59"/>
      <c r="C1460" s="137"/>
      <c r="D1460" s="59"/>
      <c r="E1460" s="116"/>
      <c r="F1460" s="120"/>
      <c r="G1460" s="120"/>
      <c r="H1460" s="120"/>
      <c r="I1460" s="60"/>
      <c r="J1460" s="116"/>
      <c r="K1460" s="213"/>
      <c r="L1460" s="120"/>
      <c r="M1460" s="120"/>
      <c r="N1460" s="167"/>
      <c r="O1460" s="120"/>
      <c r="P1460" s="120"/>
      <c r="Q1460" s="120"/>
      <c r="R1460" s="120"/>
      <c r="S1460" s="120"/>
      <c r="T1460" s="221"/>
      <c r="U1460" s="89"/>
      <c r="V1460" s="61"/>
      <c r="W1460" s="92" t="s">
        <v>173</v>
      </c>
      <c r="X1460" s="93" t="s">
        <v>29</v>
      </c>
      <c r="Y1460" s="93" t="s">
        <v>93</v>
      </c>
      <c r="Z1460" s="134">
        <f>VLOOKUP(W1460,Sheet2!$B:$D,3,FALSE)</f>
        <v>36</v>
      </c>
      <c r="AA1460" s="93">
        <f>50/(2.5*3.4*0.5*4)</f>
        <v>2.9411764705882355</v>
      </c>
      <c r="AB1460" s="93">
        <f>AD1460/AC1454</f>
        <v>12.239999999999998</v>
      </c>
      <c r="AC1460" s="93">
        <f>AC1454/AA1460</f>
        <v>0.74532857142857123</v>
      </c>
      <c r="AD1460" s="94">
        <f>AC1460*Z1460</f>
        <v>26.831828571428563</v>
      </c>
      <c r="AE1460" s="190"/>
      <c r="AF1460" s="191"/>
      <c r="AG1460" s="191"/>
      <c r="AH1460" s="191"/>
      <c r="AI1460" s="186"/>
      <c r="AK1460" s="171"/>
    </row>
    <row r="1461" spans="1:41" s="102" customFormat="1" ht="19.899999999999999" customHeight="1" x14ac:dyDescent="0.25">
      <c r="A1461" s="45"/>
      <c r="B1461" s="59"/>
      <c r="C1461" s="137"/>
      <c r="D1461" s="59"/>
      <c r="E1461" s="116"/>
      <c r="F1461" s="120"/>
      <c r="G1461" s="120"/>
      <c r="H1461" s="120"/>
      <c r="I1461" s="60"/>
      <c r="J1461" s="116"/>
      <c r="K1461" s="213"/>
      <c r="L1461" s="120"/>
      <c r="M1461" s="120"/>
      <c r="N1461" s="167"/>
      <c r="O1461" s="120"/>
      <c r="P1461" s="120"/>
      <c r="Q1461" s="120"/>
      <c r="R1461" s="120"/>
      <c r="S1461" s="120"/>
      <c r="T1461" s="221"/>
      <c r="U1461" s="89"/>
      <c r="V1461" s="61"/>
      <c r="W1461" s="92" t="s">
        <v>65</v>
      </c>
      <c r="X1461" s="93" t="s">
        <v>30</v>
      </c>
      <c r="Y1461" s="93" t="s">
        <v>1011</v>
      </c>
      <c r="Z1461" s="134">
        <f>VLOOKUP(W1461,Sheet2!$B:$D,3,FALSE)</f>
        <v>1.76</v>
      </c>
      <c r="AA1461" s="93">
        <f>AA1460/9</f>
        <v>0.32679738562091504</v>
      </c>
      <c r="AB1461" s="93">
        <f>AD1461/AC1454</f>
        <v>5.3856000000000002</v>
      </c>
      <c r="AC1461" s="93">
        <f>AC1454/AA1461</f>
        <v>6.7079571428571416</v>
      </c>
      <c r="AD1461" s="94">
        <f>AC1461*Z1461</f>
        <v>11.80600457142857</v>
      </c>
      <c r="AE1461" s="190"/>
      <c r="AF1461" s="191"/>
      <c r="AG1461" s="191"/>
      <c r="AH1461" s="191"/>
      <c r="AI1461" s="186"/>
      <c r="AK1461" s="171"/>
    </row>
    <row r="1462" spans="1:41" s="102" customFormat="1" ht="19.899999999999999" customHeight="1" x14ac:dyDescent="0.25">
      <c r="A1462" s="45"/>
      <c r="B1462" s="59"/>
      <c r="C1462" s="137"/>
      <c r="D1462" s="59"/>
      <c r="E1462" s="116"/>
      <c r="F1462" s="120"/>
      <c r="G1462" s="120"/>
      <c r="H1462" s="120"/>
      <c r="I1462" s="60"/>
      <c r="J1462" s="116"/>
      <c r="K1462" s="213"/>
      <c r="L1462" s="120"/>
      <c r="M1462" s="120"/>
      <c r="N1462" s="167"/>
      <c r="O1462" s="120"/>
      <c r="P1462" s="120"/>
      <c r="Q1462" s="120"/>
      <c r="R1462" s="120"/>
      <c r="S1462" s="120"/>
      <c r="T1462" s="221"/>
      <c r="U1462" s="89"/>
      <c r="V1462" s="61"/>
      <c r="W1462" s="92" t="s">
        <v>1030</v>
      </c>
      <c r="X1462" s="93" t="s">
        <v>29</v>
      </c>
      <c r="Y1462" s="93" t="s">
        <v>93</v>
      </c>
      <c r="Z1462" s="134">
        <f>VLOOKUP(W1462,Sheet2!$B:$D,3,FALSE)</f>
        <v>23</v>
      </c>
      <c r="AA1462" s="93">
        <v>1</v>
      </c>
      <c r="AB1462" s="93">
        <f>AD1462/AC1454</f>
        <v>23</v>
      </c>
      <c r="AC1462" s="93">
        <f>AC1454/AA1462</f>
        <v>2.1921428571428567</v>
      </c>
      <c r="AD1462" s="94">
        <f t="shared" ref="AD1462:AD1463" si="1112">AC1462*Z1462</f>
        <v>50.419285714285706</v>
      </c>
      <c r="AE1462" s="190"/>
      <c r="AF1462" s="191"/>
      <c r="AG1462" s="191"/>
      <c r="AH1462" s="191"/>
      <c r="AI1462" s="186"/>
      <c r="AK1462" s="171"/>
    </row>
    <row r="1463" spans="1:41" s="102" customFormat="1" ht="19.899999999999999" customHeight="1" x14ac:dyDescent="0.25">
      <c r="A1463" s="45"/>
      <c r="B1463" s="59"/>
      <c r="C1463" s="137"/>
      <c r="D1463" s="59"/>
      <c r="E1463" s="116"/>
      <c r="F1463" s="120"/>
      <c r="G1463" s="120"/>
      <c r="H1463" s="120"/>
      <c r="I1463" s="60"/>
      <c r="J1463" s="116"/>
      <c r="K1463" s="213"/>
      <c r="L1463" s="120"/>
      <c r="M1463" s="120"/>
      <c r="N1463" s="167"/>
      <c r="O1463" s="120"/>
      <c r="P1463" s="120"/>
      <c r="Q1463" s="120"/>
      <c r="R1463" s="120"/>
      <c r="S1463" s="120"/>
      <c r="T1463" s="221"/>
      <c r="U1463" s="89"/>
      <c r="V1463" s="61"/>
      <c r="W1463" s="92" t="s">
        <v>65</v>
      </c>
      <c r="X1463" s="93" t="s">
        <v>30</v>
      </c>
      <c r="Y1463" s="93" t="s">
        <v>1011</v>
      </c>
      <c r="Z1463" s="134">
        <f>VLOOKUP(W1463,Sheet2!$B:$D,3,FALSE)</f>
        <v>1.76</v>
      </c>
      <c r="AA1463" s="93">
        <f>AA1462/3</f>
        <v>0.33333333333333331</v>
      </c>
      <c r="AB1463" s="93">
        <f>AD1463/AC1454</f>
        <v>5.28</v>
      </c>
      <c r="AC1463" s="93">
        <f>AC1454/AA1463</f>
        <v>6.5764285714285702</v>
      </c>
      <c r="AD1463" s="94">
        <f t="shared" si="1112"/>
        <v>11.574514285714283</v>
      </c>
      <c r="AE1463" s="190"/>
      <c r="AF1463" s="191"/>
      <c r="AG1463" s="191"/>
      <c r="AH1463" s="191"/>
      <c r="AI1463" s="186"/>
      <c r="AK1463" s="171"/>
    </row>
    <row r="1464" spans="1:41" ht="20.100000000000001" customHeight="1" x14ac:dyDescent="0.25">
      <c r="A1464" s="277" t="s">
        <v>216</v>
      </c>
      <c r="B1464" s="278"/>
      <c r="C1464" s="64" t="s">
        <v>346</v>
      </c>
      <c r="D1464" s="46" t="s">
        <v>215</v>
      </c>
      <c r="E1464" s="114"/>
      <c r="F1464" s="44">
        <v>0</v>
      </c>
      <c r="G1464" s="44">
        <f t="shared" si="607"/>
        <v>0</v>
      </c>
      <c r="H1464" s="44">
        <f t="shared" si="608"/>
        <v>0</v>
      </c>
      <c r="I1464" s="43">
        <f t="shared" si="609"/>
        <v>0</v>
      </c>
      <c r="J1464" s="112">
        <f t="shared" si="610"/>
        <v>0</v>
      </c>
      <c r="K1464" s="211">
        <f t="shared" si="611"/>
        <v>0</v>
      </c>
      <c r="L1464" s="44"/>
      <c r="M1464" s="44">
        <f t="shared" si="612"/>
        <v>0</v>
      </c>
      <c r="N1464" s="173">
        <f t="shared" si="613"/>
        <v>0</v>
      </c>
      <c r="O1464" s="44">
        <f t="shared" si="614"/>
        <v>0</v>
      </c>
      <c r="P1464" s="44">
        <f t="shared" si="615"/>
        <v>0</v>
      </c>
      <c r="Q1464" s="44">
        <f t="shared" si="616"/>
        <v>0</v>
      </c>
      <c r="R1464" s="44">
        <f t="shared" si="617"/>
        <v>0</v>
      </c>
      <c r="S1464" s="123"/>
      <c r="T1464" s="219">
        <f t="shared" si="618"/>
        <v>0</v>
      </c>
      <c r="U1464" s="87"/>
      <c r="V1464" s="47"/>
      <c r="W1464" s="48"/>
      <c r="X1464" s="48"/>
      <c r="Y1464" s="48"/>
      <c r="Z1464" s="135"/>
      <c r="AA1464" s="49"/>
      <c r="AB1464" s="50">
        <f t="shared" si="619"/>
        <v>0</v>
      </c>
      <c r="AC1464" s="42">
        <f t="shared" si="620"/>
        <v>9.9999999999999998E-20</v>
      </c>
      <c r="AD1464" s="90"/>
      <c r="AE1464" s="188"/>
      <c r="AF1464" s="189"/>
      <c r="AG1464" s="189"/>
      <c r="AH1464" s="189"/>
      <c r="AI1464" s="161"/>
    </row>
    <row r="1465" spans="1:41" ht="20.100000000000001" customHeight="1" x14ac:dyDescent="0.25">
      <c r="A1465" s="277" t="s">
        <v>216</v>
      </c>
      <c r="B1465" s="278"/>
      <c r="C1465" s="64" t="s">
        <v>347</v>
      </c>
      <c r="D1465" s="46" t="s">
        <v>215</v>
      </c>
      <c r="E1465" s="114">
        <v>0.36499999999999977</v>
      </c>
      <c r="F1465" s="44">
        <v>12714</v>
      </c>
      <c r="G1465" s="44">
        <f t="shared" si="607"/>
        <v>4640.6099999999969</v>
      </c>
      <c r="H1465" s="44">
        <f t="shared" si="608"/>
        <v>4195.6732078431369</v>
      </c>
      <c r="I1465" s="43">
        <f t="shared" si="609"/>
        <v>1531.420720862744</v>
      </c>
      <c r="J1465" s="112">
        <f t="shared" si="610"/>
        <v>0.36499999999999977</v>
      </c>
      <c r="K1465" s="211">
        <f t="shared" si="611"/>
        <v>0.36499999999999977</v>
      </c>
      <c r="L1465" s="44"/>
      <c r="M1465" s="44">
        <f t="shared" si="612"/>
        <v>0.36499999999999977</v>
      </c>
      <c r="N1465" s="173">
        <f t="shared" si="613"/>
        <v>1</v>
      </c>
      <c r="O1465" s="44">
        <f t="shared" si="614"/>
        <v>12714</v>
      </c>
      <c r="P1465" s="44">
        <f t="shared" si="615"/>
        <v>4640.6099999999969</v>
      </c>
      <c r="Q1465" s="44">
        <f t="shared" si="616"/>
        <v>4195.6732078431369</v>
      </c>
      <c r="R1465" s="44">
        <f t="shared" si="617"/>
        <v>1531.420720862744</v>
      </c>
      <c r="S1465" s="123"/>
      <c r="T1465" s="219">
        <f t="shared" si="618"/>
        <v>1531.420720862744</v>
      </c>
      <c r="U1465" s="87"/>
      <c r="V1465" s="47"/>
      <c r="W1465" s="48"/>
      <c r="X1465" s="48"/>
      <c r="Y1465" s="48"/>
      <c r="Z1465" s="135"/>
      <c r="AA1465" s="49"/>
      <c r="AB1465" s="50">
        <f t="shared" si="619"/>
        <v>4195.6732078431369</v>
      </c>
      <c r="AC1465" s="42">
        <f t="shared" si="620"/>
        <v>0.36499999999999977</v>
      </c>
      <c r="AD1465" s="90">
        <f>AD1466+AD1471+AD1478+AD1481</f>
        <v>1531.420720862744</v>
      </c>
      <c r="AE1465" s="188">
        <f t="shared" ref="AE1465" si="1113">AE1466+AE1471+AE1478+AE1481</f>
        <v>0</v>
      </c>
      <c r="AF1465" s="189">
        <f t="shared" ref="AF1465" si="1114">AF1466+AF1471+AF1478+AF1481</f>
        <v>0</v>
      </c>
      <c r="AG1465" s="189">
        <f t="shared" ref="AG1465" si="1115">AG1466+AG1471+AG1478+AG1481</f>
        <v>0</v>
      </c>
      <c r="AH1465" s="189">
        <f t="shared" ref="AH1465" si="1116">AH1466+AH1471+AH1478+AH1481</f>
        <v>0</v>
      </c>
      <c r="AI1465" s="161">
        <f t="shared" ref="AI1465" si="1117">SUM(AE1465:AH1465)</f>
        <v>0</v>
      </c>
      <c r="AK1465" s="169">
        <v>5</v>
      </c>
      <c r="AO1465" s="19" t="s">
        <v>63</v>
      </c>
    </row>
    <row r="1466" spans="1:41" s="103" customFormat="1" ht="19.899999999999999" customHeight="1" x14ac:dyDescent="0.25">
      <c r="A1466" s="51"/>
      <c r="B1466" s="52"/>
      <c r="C1466" s="165"/>
      <c r="D1466" s="52"/>
      <c r="E1466" s="115"/>
      <c r="F1466" s="58"/>
      <c r="G1466" s="58"/>
      <c r="H1466" s="58"/>
      <c r="I1466" s="55"/>
      <c r="J1466" s="113">
        <f>J1465</f>
        <v>0.36499999999999977</v>
      </c>
      <c r="K1466" s="212">
        <f>K1465</f>
        <v>0.36499999999999977</v>
      </c>
      <c r="L1466" s="58"/>
      <c r="M1466" s="58">
        <f>K1466-L1466</f>
        <v>0.36499999999999977</v>
      </c>
      <c r="N1466" s="166"/>
      <c r="O1466" s="58"/>
      <c r="P1466" s="58"/>
      <c r="Q1466" s="58"/>
      <c r="R1466" s="58"/>
      <c r="S1466" s="58"/>
      <c r="T1466" s="220"/>
      <c r="U1466" s="88"/>
      <c r="V1466" s="56"/>
      <c r="W1466" s="57" t="s">
        <v>1363</v>
      </c>
      <c r="X1466" s="53"/>
      <c r="Y1466" s="91" t="s">
        <v>35</v>
      </c>
      <c r="Z1466" s="136">
        <f>AD1466/AC1466</f>
        <v>36.198776470588236</v>
      </c>
      <c r="AA1466" s="58"/>
      <c r="AB1466" s="53">
        <f>AD1466/AC1466</f>
        <v>36.198776470588236</v>
      </c>
      <c r="AC1466" s="53">
        <f>M1466+$AE$10</f>
        <v>0.36499999999999977</v>
      </c>
      <c r="AD1466" s="54">
        <f>SUM(AD1467:AD1470)</f>
        <v>13.212553411764699</v>
      </c>
      <c r="AE1466" s="184">
        <f>SUMIFS($AD$37:$AD$12971,$V$37:$V$12971,$V1466,$X$37:$X$12971,AE$13)</f>
        <v>0</v>
      </c>
      <c r="AF1466" s="185">
        <f>SUMIFS($AD$37:$AD$12971,$V$37:$V$12971,$V1466,$X$37:$X$12971,AF$13)</f>
        <v>0</v>
      </c>
      <c r="AG1466" s="185">
        <f>SUMIFS($AD$37:$AD$12971,$V$37:$V$12971,$V1466,$X$37:$X$12971,AG$13)</f>
        <v>0</v>
      </c>
      <c r="AH1466" s="187">
        <f>SUMIFS($AD$37:$AD$12971,$V$37:$V$12971,$V1466,$X$37:$X$12971,AH$13)</f>
        <v>0</v>
      </c>
      <c r="AI1466" s="161">
        <f t="shared" ref="AI1466" si="1118">SUM(AE1466:AH1466)</f>
        <v>0</v>
      </c>
      <c r="AK1466" s="172"/>
    </row>
    <row r="1467" spans="1:41" s="102" customFormat="1" ht="19.899999999999999" customHeight="1" x14ac:dyDescent="0.25">
      <c r="A1467" s="45"/>
      <c r="B1467" s="59"/>
      <c r="C1467" s="137"/>
      <c r="D1467" s="59"/>
      <c r="E1467" s="116"/>
      <c r="F1467" s="120"/>
      <c r="G1467" s="120"/>
      <c r="H1467" s="120"/>
      <c r="I1467" s="60"/>
      <c r="J1467" s="116"/>
      <c r="K1467" s="213"/>
      <c r="L1467" s="120"/>
      <c r="M1467" s="120"/>
      <c r="N1467" s="167"/>
      <c r="O1467" s="120"/>
      <c r="P1467" s="120"/>
      <c r="Q1467" s="120"/>
      <c r="R1467" s="120"/>
      <c r="S1467" s="120"/>
      <c r="T1467" s="221"/>
      <c r="U1467" s="89"/>
      <c r="V1467" s="61"/>
      <c r="W1467" s="92" t="s">
        <v>129</v>
      </c>
      <c r="X1467" s="93" t="s">
        <v>29</v>
      </c>
      <c r="Y1467" s="93" t="s">
        <v>93</v>
      </c>
      <c r="Z1467" s="134">
        <f>VLOOKUP(W1467,Sheet2!$B:$D,3,FALSE)</f>
        <v>56</v>
      </c>
      <c r="AA1467" s="93">
        <f>100/(3*3*1)</f>
        <v>11.111111111111111</v>
      </c>
      <c r="AB1467" s="93">
        <f t="shared" ref="AB1467" si="1119">AD1467/AC1466</f>
        <v>5.0400000000000009</v>
      </c>
      <c r="AC1467" s="93">
        <f>AC1466/AA1467</f>
        <v>3.2849999999999983E-2</v>
      </c>
      <c r="AD1467" s="94">
        <f t="shared" ref="AD1467:AD1468" si="1120">AC1467*Z1467</f>
        <v>1.839599999999999</v>
      </c>
      <c r="AE1467" s="190"/>
      <c r="AF1467" s="191"/>
      <c r="AG1467" s="191"/>
      <c r="AH1467" s="191"/>
      <c r="AI1467" s="186"/>
      <c r="AK1467" s="171"/>
    </row>
    <row r="1468" spans="1:41" s="102" customFormat="1" ht="19.899999999999999" customHeight="1" x14ac:dyDescent="0.25">
      <c r="A1468" s="45"/>
      <c r="B1468" s="59"/>
      <c r="C1468" s="137"/>
      <c r="D1468" s="59"/>
      <c r="E1468" s="116"/>
      <c r="F1468" s="120"/>
      <c r="G1468" s="120"/>
      <c r="H1468" s="120"/>
      <c r="I1468" s="60"/>
      <c r="J1468" s="116"/>
      <c r="K1468" s="213"/>
      <c r="L1468" s="120"/>
      <c r="M1468" s="120"/>
      <c r="N1468" s="167"/>
      <c r="O1468" s="120"/>
      <c r="P1468" s="120"/>
      <c r="Q1468" s="120"/>
      <c r="R1468" s="120"/>
      <c r="S1468" s="120"/>
      <c r="T1468" s="221"/>
      <c r="U1468" s="89"/>
      <c r="V1468" s="61"/>
      <c r="W1468" s="92" t="s">
        <v>65</v>
      </c>
      <c r="X1468" s="93" t="s">
        <v>30</v>
      </c>
      <c r="Y1468" s="93" t="s">
        <v>1011</v>
      </c>
      <c r="Z1468" s="134">
        <f>VLOOKUP(W1468,Sheet2!$B:$D,3,FALSE)</f>
        <v>1.76</v>
      </c>
      <c r="AA1468" s="93">
        <f>AA1467/14</f>
        <v>0.79365079365079361</v>
      </c>
      <c r="AB1468" s="93">
        <f>AD1468/AC1466</f>
        <v>2.2176000000000005</v>
      </c>
      <c r="AC1468" s="93">
        <f>AC1466/AA1468</f>
        <v>0.45989999999999975</v>
      </c>
      <c r="AD1468" s="94">
        <f t="shared" si="1120"/>
        <v>0.80942399999999959</v>
      </c>
      <c r="AE1468" s="190"/>
      <c r="AF1468" s="191"/>
      <c r="AG1468" s="191"/>
      <c r="AH1468" s="191"/>
      <c r="AI1468" s="186"/>
      <c r="AK1468" s="171"/>
    </row>
    <row r="1469" spans="1:41" s="102" customFormat="1" ht="19.899999999999999" customHeight="1" x14ac:dyDescent="0.25">
      <c r="A1469" s="45"/>
      <c r="B1469" s="59"/>
      <c r="C1469" s="137"/>
      <c r="D1469" s="59"/>
      <c r="E1469" s="116"/>
      <c r="F1469" s="120"/>
      <c r="G1469" s="120"/>
      <c r="H1469" s="120"/>
      <c r="I1469" s="60"/>
      <c r="J1469" s="116"/>
      <c r="K1469" s="213"/>
      <c r="L1469" s="120"/>
      <c r="M1469" s="120"/>
      <c r="N1469" s="167"/>
      <c r="O1469" s="120"/>
      <c r="P1469" s="120"/>
      <c r="Q1469" s="120"/>
      <c r="R1469" s="120"/>
      <c r="S1469" s="120"/>
      <c r="T1469" s="221"/>
      <c r="U1469" s="89"/>
      <c r="V1469" s="61"/>
      <c r="W1469" s="92" t="s">
        <v>161</v>
      </c>
      <c r="X1469" s="93" t="s">
        <v>29</v>
      </c>
      <c r="Y1469" s="93" t="s">
        <v>93</v>
      </c>
      <c r="Z1469" s="134">
        <f>VLOOKUP(W1469,Sheet2!$B:$D,3,FALSE)</f>
        <v>48</v>
      </c>
      <c r="AA1469" s="93">
        <f>(16*0.85*1.5)/(3*3*1)</f>
        <v>2.2666666666666666</v>
      </c>
      <c r="AB1469" s="93">
        <f>AD1469/AC1466</f>
        <v>21.176470588235297</v>
      </c>
      <c r="AC1469" s="93">
        <f>AC1466/AA1469</f>
        <v>0.16102941176470578</v>
      </c>
      <c r="AD1469" s="94">
        <f>AC1469*Z1469</f>
        <v>7.729411764705878</v>
      </c>
      <c r="AE1469" s="190"/>
      <c r="AF1469" s="191"/>
      <c r="AG1469" s="191"/>
      <c r="AH1469" s="191"/>
      <c r="AI1469" s="186"/>
      <c r="AK1469" s="171"/>
    </row>
    <row r="1470" spans="1:41" s="102" customFormat="1" ht="19.899999999999999" customHeight="1" x14ac:dyDescent="0.25">
      <c r="A1470" s="45"/>
      <c r="B1470" s="59"/>
      <c r="C1470" s="137"/>
      <c r="D1470" s="59"/>
      <c r="E1470" s="116"/>
      <c r="F1470" s="120"/>
      <c r="G1470" s="120"/>
      <c r="H1470" s="120"/>
      <c r="I1470" s="60"/>
      <c r="J1470" s="116"/>
      <c r="K1470" s="213"/>
      <c r="L1470" s="120"/>
      <c r="M1470" s="120"/>
      <c r="N1470" s="167"/>
      <c r="O1470" s="120"/>
      <c r="P1470" s="120"/>
      <c r="Q1470" s="120"/>
      <c r="R1470" s="120"/>
      <c r="S1470" s="120"/>
      <c r="T1470" s="221"/>
      <c r="U1470" s="89"/>
      <c r="V1470" s="61"/>
      <c r="W1470" s="92" t="s">
        <v>65</v>
      </c>
      <c r="X1470" s="93" t="s">
        <v>30</v>
      </c>
      <c r="Y1470" s="93" t="s">
        <v>1011</v>
      </c>
      <c r="Z1470" s="134">
        <f>VLOOKUP(W1470,Sheet2!$B:$D,3,FALSE)</f>
        <v>1.76</v>
      </c>
      <c r="AA1470" s="93">
        <f>AA1469/10</f>
        <v>0.22666666666666666</v>
      </c>
      <c r="AB1470" s="93">
        <f>AD1470/AC1466</f>
        <v>7.764705882352942</v>
      </c>
      <c r="AC1470" s="93">
        <f>AC1466/AA1470</f>
        <v>1.610294117647058</v>
      </c>
      <c r="AD1470" s="94">
        <f>AC1470*Z1470</f>
        <v>2.8341176470588221</v>
      </c>
      <c r="AE1470" s="190"/>
      <c r="AF1470" s="191"/>
      <c r="AG1470" s="191"/>
      <c r="AH1470" s="191"/>
      <c r="AI1470" s="186"/>
      <c r="AK1470" s="171"/>
    </row>
    <row r="1471" spans="1:41" s="103" customFormat="1" ht="19.899999999999999" customHeight="1" x14ac:dyDescent="0.25">
      <c r="A1471" s="51"/>
      <c r="B1471" s="52"/>
      <c r="C1471" s="165"/>
      <c r="D1471" s="52"/>
      <c r="E1471" s="115"/>
      <c r="F1471" s="58"/>
      <c r="G1471" s="58"/>
      <c r="H1471" s="58"/>
      <c r="I1471" s="55"/>
      <c r="J1471" s="113">
        <f>J1465</f>
        <v>0.36499999999999977</v>
      </c>
      <c r="K1471" s="212">
        <f>K1465</f>
        <v>0.36499999999999977</v>
      </c>
      <c r="L1471" s="58"/>
      <c r="M1471" s="58">
        <f>K1471-L1471</f>
        <v>0.36499999999999977</v>
      </c>
      <c r="N1471" s="166"/>
      <c r="O1471" s="58"/>
      <c r="P1471" s="58"/>
      <c r="Q1471" s="58"/>
      <c r="R1471" s="58"/>
      <c r="S1471" s="58"/>
      <c r="T1471" s="220"/>
      <c r="U1471" s="88"/>
      <c r="V1471" s="56"/>
      <c r="W1471" s="57" t="s">
        <v>1352</v>
      </c>
      <c r="X1471" s="53"/>
      <c r="Y1471" s="91" t="s">
        <v>35</v>
      </c>
      <c r="Z1471" s="136">
        <f>AD1471/AC1471</f>
        <v>2950</v>
      </c>
      <c r="AA1471" s="58"/>
      <c r="AB1471" s="53">
        <f>AD1471/AC1471</f>
        <v>2950</v>
      </c>
      <c r="AC1471" s="53">
        <f>M1471+$AE$10</f>
        <v>0.36499999999999977</v>
      </c>
      <c r="AD1471" s="54">
        <f>SUM(AD1472:AD1477)</f>
        <v>1076.7499999999993</v>
      </c>
      <c r="AE1471" s="184">
        <f>SUMIFS($AD$37:$AD$12971,$V$37:$V$12971,$V1471,$X$37:$X$12971,AE$13)</f>
        <v>0</v>
      </c>
      <c r="AF1471" s="185">
        <f>SUMIFS($AD$37:$AD$12971,$V$37:$V$12971,$V1471,$X$37:$X$12971,AF$13)</f>
        <v>0</v>
      </c>
      <c r="AG1471" s="185">
        <f>SUMIFS($AD$37:$AD$12971,$V$37:$V$12971,$V1471,$X$37:$X$12971,AG$13)</f>
        <v>0</v>
      </c>
      <c r="AH1471" s="187">
        <f>SUMIFS($AD$37:$AD$12971,$V$37:$V$12971,$V1471,$X$37:$X$12971,AH$13)</f>
        <v>0</v>
      </c>
      <c r="AI1471" s="161">
        <f t="shared" ref="AI1471" si="1121">SUM(AE1471:AH1471)</f>
        <v>0</v>
      </c>
      <c r="AK1471" s="172"/>
    </row>
    <row r="1472" spans="1:41" s="102" customFormat="1" ht="19.899999999999999" customHeight="1" x14ac:dyDescent="0.25">
      <c r="A1472" s="45"/>
      <c r="B1472" s="59"/>
      <c r="C1472" s="137"/>
      <c r="D1472" s="59"/>
      <c r="E1472" s="116"/>
      <c r="F1472" s="120"/>
      <c r="G1472" s="120"/>
      <c r="H1472" s="120"/>
      <c r="I1472" s="60"/>
      <c r="J1472" s="116"/>
      <c r="K1472" s="213"/>
      <c r="L1472" s="120"/>
      <c r="M1472" s="120"/>
      <c r="N1472" s="167"/>
      <c r="O1472" s="120"/>
      <c r="P1472" s="120"/>
      <c r="Q1472" s="120"/>
      <c r="R1472" s="120"/>
      <c r="S1472" s="120"/>
      <c r="T1472" s="221"/>
      <c r="U1472" s="89"/>
      <c r="V1472" s="61"/>
      <c r="W1472" s="92" t="s">
        <v>1353</v>
      </c>
      <c r="X1472" s="93" t="s">
        <v>30</v>
      </c>
      <c r="Y1472" s="93" t="s">
        <v>66</v>
      </c>
      <c r="Z1472" s="134">
        <f>VLOOKUP(W1472,Sheet2!$B:$D,3,FALSE)</f>
        <v>350</v>
      </c>
      <c r="AA1472" s="93">
        <f>1/(2*1*0.25*4)</f>
        <v>0.5</v>
      </c>
      <c r="AB1472" s="93">
        <f>AD1472/AC1471</f>
        <v>700</v>
      </c>
      <c r="AC1472" s="93">
        <f>AC1471/AA1472</f>
        <v>0.72999999999999954</v>
      </c>
      <c r="AD1472" s="94">
        <f t="shared" ref="AD1472:AD1473" si="1122">AC1472*Z1472</f>
        <v>255.49999999999983</v>
      </c>
      <c r="AE1472" s="190"/>
      <c r="AF1472" s="191"/>
      <c r="AG1472" s="191"/>
      <c r="AH1472" s="191"/>
      <c r="AI1472" s="186"/>
      <c r="AK1472" s="171"/>
    </row>
    <row r="1473" spans="1:37" s="102" customFormat="1" ht="19.899999999999999" customHeight="1" x14ac:dyDescent="0.25">
      <c r="A1473" s="45"/>
      <c r="B1473" s="59"/>
      <c r="C1473" s="137"/>
      <c r="D1473" s="59"/>
      <c r="E1473" s="116"/>
      <c r="F1473" s="120"/>
      <c r="G1473" s="120"/>
      <c r="H1473" s="120"/>
      <c r="I1473" s="60"/>
      <c r="J1473" s="116"/>
      <c r="K1473" s="213"/>
      <c r="L1473" s="120"/>
      <c r="M1473" s="120"/>
      <c r="N1473" s="167"/>
      <c r="O1473" s="120"/>
      <c r="P1473" s="120"/>
      <c r="Q1473" s="120"/>
      <c r="R1473" s="120"/>
      <c r="S1473" s="120"/>
      <c r="T1473" s="221"/>
      <c r="U1473" s="89"/>
      <c r="V1473" s="61"/>
      <c r="W1473" s="92" t="s">
        <v>99</v>
      </c>
      <c r="X1473" s="93" t="s">
        <v>30</v>
      </c>
      <c r="Y1473" s="93" t="s">
        <v>67</v>
      </c>
      <c r="Z1473" s="134">
        <f>VLOOKUP(W1473,Sheet2!$B:$D,3,FALSE)</f>
        <v>2500</v>
      </c>
      <c r="AA1473" s="93">
        <f>1/(2*1*0.25*4*0.08)</f>
        <v>6.25</v>
      </c>
      <c r="AB1473" s="93">
        <f>AD1473/AC1471</f>
        <v>400</v>
      </c>
      <c r="AC1473" s="93">
        <f>AC1471/AA1473</f>
        <v>5.8399999999999966E-2</v>
      </c>
      <c r="AD1473" s="94">
        <f t="shared" si="1122"/>
        <v>145.99999999999991</v>
      </c>
      <c r="AE1473" s="190"/>
      <c r="AF1473" s="191"/>
      <c r="AG1473" s="191"/>
      <c r="AH1473" s="191"/>
      <c r="AI1473" s="186"/>
      <c r="AK1473" s="171"/>
    </row>
    <row r="1474" spans="1:37" s="102" customFormat="1" ht="19.899999999999999" customHeight="1" x14ac:dyDescent="0.25">
      <c r="A1474" s="45"/>
      <c r="B1474" s="59"/>
      <c r="C1474" s="137"/>
      <c r="D1474" s="59"/>
      <c r="E1474" s="116"/>
      <c r="F1474" s="120"/>
      <c r="G1474" s="120"/>
      <c r="H1474" s="120"/>
      <c r="I1474" s="60"/>
      <c r="J1474" s="116"/>
      <c r="K1474" s="213"/>
      <c r="L1474" s="120"/>
      <c r="M1474" s="120"/>
      <c r="N1474" s="167"/>
      <c r="O1474" s="120"/>
      <c r="P1474" s="120"/>
      <c r="Q1474" s="120"/>
      <c r="R1474" s="120"/>
      <c r="S1474" s="120"/>
      <c r="T1474" s="221"/>
      <c r="U1474" s="89"/>
      <c r="V1474" s="61"/>
      <c r="W1474" s="92" t="s">
        <v>1355</v>
      </c>
      <c r="X1474" s="93" t="s">
        <v>32</v>
      </c>
      <c r="Y1474" s="93" t="s">
        <v>66</v>
      </c>
      <c r="Z1474" s="134">
        <f>VLOOKUP(W1474,Sheet2!$B:$D,3,FALSE)</f>
        <v>450</v>
      </c>
      <c r="AA1474" s="93">
        <f>AA1472</f>
        <v>0.5</v>
      </c>
      <c r="AB1474" s="93">
        <f>AD1474/AC1471</f>
        <v>900</v>
      </c>
      <c r="AC1474" s="93">
        <f>AC1471/AA1474</f>
        <v>0.72999999999999954</v>
      </c>
      <c r="AD1474" s="94">
        <f>AC1474*Z1474</f>
        <v>328.49999999999977</v>
      </c>
      <c r="AE1474" s="190"/>
      <c r="AF1474" s="191"/>
      <c r="AG1474" s="191"/>
      <c r="AH1474" s="191"/>
      <c r="AI1474" s="186"/>
      <c r="AK1474" s="171"/>
    </row>
    <row r="1475" spans="1:37" s="102" customFormat="1" ht="19.899999999999999" customHeight="1" x14ac:dyDescent="0.25">
      <c r="A1475" s="45"/>
      <c r="B1475" s="59"/>
      <c r="C1475" s="137"/>
      <c r="D1475" s="59"/>
      <c r="E1475" s="116"/>
      <c r="F1475" s="120"/>
      <c r="G1475" s="120"/>
      <c r="H1475" s="120"/>
      <c r="I1475" s="60"/>
      <c r="J1475" s="116"/>
      <c r="K1475" s="213"/>
      <c r="L1475" s="120"/>
      <c r="M1475" s="120"/>
      <c r="N1475" s="167"/>
      <c r="O1475" s="120"/>
      <c r="P1475" s="120"/>
      <c r="Q1475" s="120"/>
      <c r="R1475" s="120"/>
      <c r="S1475" s="120"/>
      <c r="T1475" s="221"/>
      <c r="U1475" s="89"/>
      <c r="V1475" s="61"/>
      <c r="W1475" s="92" t="s">
        <v>1362</v>
      </c>
      <c r="X1475" s="93" t="s">
        <v>30</v>
      </c>
      <c r="Y1475" s="93" t="s">
        <v>35</v>
      </c>
      <c r="Z1475" s="134">
        <f>VLOOKUP(W1475,Sheet2!$B:$D,3,FALSE)</f>
        <v>400</v>
      </c>
      <c r="AA1475" s="93">
        <v>0.5</v>
      </c>
      <c r="AB1475" s="93">
        <f>AD1475/AC1471</f>
        <v>800</v>
      </c>
      <c r="AC1475" s="93">
        <f>AC1471/AA1475</f>
        <v>0.72999999999999954</v>
      </c>
      <c r="AD1475" s="94">
        <f t="shared" ref="AD1475" si="1123">AC1475*Z1475</f>
        <v>291.99999999999983</v>
      </c>
      <c r="AE1475" s="190"/>
      <c r="AF1475" s="191"/>
      <c r="AG1475" s="191"/>
      <c r="AH1475" s="191"/>
      <c r="AI1475" s="186"/>
      <c r="AK1475" s="171"/>
    </row>
    <row r="1476" spans="1:37" s="102" customFormat="1" ht="19.899999999999999" customHeight="1" x14ac:dyDescent="0.25">
      <c r="A1476" s="45"/>
      <c r="B1476" s="59"/>
      <c r="C1476" s="137"/>
      <c r="D1476" s="59"/>
      <c r="E1476" s="116"/>
      <c r="F1476" s="120"/>
      <c r="G1476" s="120"/>
      <c r="H1476" s="120"/>
      <c r="I1476" s="60"/>
      <c r="J1476" s="116"/>
      <c r="K1476" s="213"/>
      <c r="L1476" s="120"/>
      <c r="M1476" s="120"/>
      <c r="N1476" s="167"/>
      <c r="O1476" s="120"/>
      <c r="P1476" s="120"/>
      <c r="Q1476" s="120"/>
      <c r="R1476" s="120"/>
      <c r="S1476" s="120"/>
      <c r="T1476" s="221"/>
      <c r="U1476" s="89"/>
      <c r="V1476" s="61"/>
      <c r="W1476" s="92" t="s">
        <v>107</v>
      </c>
      <c r="X1476" s="93" t="s">
        <v>31</v>
      </c>
      <c r="Y1476" s="93" t="s">
        <v>93</v>
      </c>
      <c r="Z1476" s="134">
        <f>VLOOKUP(W1476,Sheet2!$B:$D,3,FALSE)</f>
        <v>17</v>
      </c>
      <c r="AA1476" s="93">
        <f>1/5</f>
        <v>0.2</v>
      </c>
      <c r="AB1476" s="93">
        <f>AD1476/AC1471</f>
        <v>85</v>
      </c>
      <c r="AC1476" s="93">
        <f>AC1471/AA1476</f>
        <v>1.8249999999999988</v>
      </c>
      <c r="AD1476" s="94">
        <f>AC1476*Z1476</f>
        <v>31.024999999999981</v>
      </c>
      <c r="AE1476" s="190"/>
      <c r="AF1476" s="191"/>
      <c r="AG1476" s="191"/>
      <c r="AH1476" s="191"/>
      <c r="AI1476" s="186"/>
      <c r="AK1476" s="171"/>
    </row>
    <row r="1477" spans="1:37" s="102" customFormat="1" ht="19.899999999999999" customHeight="1" x14ac:dyDescent="0.25">
      <c r="A1477" s="45"/>
      <c r="B1477" s="59"/>
      <c r="C1477" s="137"/>
      <c r="D1477" s="59"/>
      <c r="E1477" s="116"/>
      <c r="F1477" s="120"/>
      <c r="G1477" s="120"/>
      <c r="H1477" s="120"/>
      <c r="I1477" s="60"/>
      <c r="J1477" s="116"/>
      <c r="K1477" s="213"/>
      <c r="L1477" s="120"/>
      <c r="M1477" s="120"/>
      <c r="N1477" s="167"/>
      <c r="O1477" s="120"/>
      <c r="P1477" s="120"/>
      <c r="Q1477" s="120"/>
      <c r="R1477" s="120"/>
      <c r="S1477" s="120"/>
      <c r="T1477" s="221"/>
      <c r="U1477" s="89"/>
      <c r="V1477" s="61"/>
      <c r="W1477" s="92" t="s">
        <v>112</v>
      </c>
      <c r="X1477" s="93" t="s">
        <v>31</v>
      </c>
      <c r="Y1477" s="93" t="s">
        <v>93</v>
      </c>
      <c r="Z1477" s="134">
        <f>VLOOKUP(W1477,Sheet2!$B:$D,3,FALSE)</f>
        <v>13</v>
      </c>
      <c r="AA1477" s="93">
        <f>AA1476</f>
        <v>0.2</v>
      </c>
      <c r="AB1477" s="93">
        <f>AD1477/AC1471</f>
        <v>65</v>
      </c>
      <c r="AC1477" s="93">
        <f>AC1471/AA1477</f>
        <v>1.8249999999999988</v>
      </c>
      <c r="AD1477" s="94">
        <f>AC1477*Z1477</f>
        <v>23.724999999999984</v>
      </c>
      <c r="AE1477" s="190"/>
      <c r="AF1477" s="191"/>
      <c r="AG1477" s="191"/>
      <c r="AH1477" s="191"/>
      <c r="AI1477" s="186"/>
      <c r="AK1477" s="171"/>
    </row>
    <row r="1478" spans="1:37" s="103" customFormat="1" ht="19.899999999999999" customHeight="1" x14ac:dyDescent="0.25">
      <c r="A1478" s="51"/>
      <c r="B1478" s="52"/>
      <c r="C1478" s="165"/>
      <c r="D1478" s="52"/>
      <c r="E1478" s="115"/>
      <c r="F1478" s="58"/>
      <c r="G1478" s="58"/>
      <c r="H1478" s="58"/>
      <c r="I1478" s="55"/>
      <c r="J1478" s="113">
        <f>J1465</f>
        <v>0.36499999999999977</v>
      </c>
      <c r="K1478" s="212">
        <f>K1465</f>
        <v>0.36499999999999977</v>
      </c>
      <c r="L1478" s="58"/>
      <c r="M1478" s="58">
        <f>K1478-L1478</f>
        <v>0.36499999999999977</v>
      </c>
      <c r="N1478" s="166"/>
      <c r="O1478" s="58"/>
      <c r="P1478" s="58"/>
      <c r="Q1478" s="58"/>
      <c r="R1478" s="58"/>
      <c r="S1478" s="58"/>
      <c r="T1478" s="220"/>
      <c r="U1478" s="88"/>
      <c r="V1478" s="56"/>
      <c r="W1478" s="57" t="s">
        <v>1358</v>
      </c>
      <c r="X1478" s="53"/>
      <c r="Y1478" s="91" t="s">
        <v>35</v>
      </c>
      <c r="Z1478" s="136">
        <f>AD1478/AC1478</f>
        <v>1120</v>
      </c>
      <c r="AA1478" s="58"/>
      <c r="AB1478" s="53">
        <f>AD1478/AC1478</f>
        <v>1120</v>
      </c>
      <c r="AC1478" s="53">
        <f>M1478+$AE$10</f>
        <v>0.36499999999999977</v>
      </c>
      <c r="AD1478" s="54">
        <f>SUM(AD1479:AD1480)</f>
        <v>408.79999999999973</v>
      </c>
      <c r="AE1478" s="184">
        <f>SUMIFS($AD$37:$AD$12971,$V$37:$V$12971,$V1478,$X$37:$X$12971,AE$13)</f>
        <v>0</v>
      </c>
      <c r="AF1478" s="185">
        <f>SUMIFS($AD$37:$AD$12971,$V$37:$V$12971,$V1478,$X$37:$X$12971,AF$13)</f>
        <v>0</v>
      </c>
      <c r="AG1478" s="185">
        <f>SUMIFS($AD$37:$AD$12971,$V$37:$V$12971,$V1478,$X$37:$X$12971,AG$13)</f>
        <v>0</v>
      </c>
      <c r="AH1478" s="187">
        <f>SUMIFS($AD$37:$AD$12971,$V$37:$V$12971,$V1478,$X$37:$X$12971,AH$13)</f>
        <v>0</v>
      </c>
      <c r="AI1478" s="161">
        <f t="shared" ref="AI1478" si="1124">SUM(AE1478:AH1478)</f>
        <v>0</v>
      </c>
      <c r="AK1478" s="172"/>
    </row>
    <row r="1479" spans="1:37" s="102" customFormat="1" ht="19.899999999999999" customHeight="1" x14ac:dyDescent="0.25">
      <c r="A1479" s="45"/>
      <c r="B1479" s="59"/>
      <c r="C1479" s="137"/>
      <c r="D1479" s="59"/>
      <c r="E1479" s="116"/>
      <c r="F1479" s="120"/>
      <c r="G1479" s="120"/>
      <c r="H1479" s="120"/>
      <c r="I1479" s="60"/>
      <c r="J1479" s="116"/>
      <c r="K1479" s="213"/>
      <c r="L1479" s="120"/>
      <c r="M1479" s="120"/>
      <c r="N1479" s="167"/>
      <c r="O1479" s="120"/>
      <c r="P1479" s="120"/>
      <c r="Q1479" s="120"/>
      <c r="R1479" s="120"/>
      <c r="S1479" s="120"/>
      <c r="T1479" s="221"/>
      <c r="U1479" s="89"/>
      <c r="V1479" s="61"/>
      <c r="W1479" s="92" t="s">
        <v>1359</v>
      </c>
      <c r="X1479" s="93" t="s">
        <v>32</v>
      </c>
      <c r="Y1479" s="93" t="s">
        <v>64</v>
      </c>
      <c r="Z1479" s="134">
        <f>VLOOKUP(W1479,Sheet2!$B:$D,3,FALSE)</f>
        <v>40</v>
      </c>
      <c r="AA1479" s="93">
        <f>1/16</f>
        <v>6.25E-2</v>
      </c>
      <c r="AB1479" s="93">
        <f t="shared" ref="AB1479" si="1125">AD1479/AC1478</f>
        <v>640</v>
      </c>
      <c r="AC1479" s="93">
        <f>AC1478/AA1479</f>
        <v>5.8399999999999963</v>
      </c>
      <c r="AD1479" s="94">
        <f t="shared" ref="AD1479:AD1480" si="1126">AC1479*Z1479</f>
        <v>233.59999999999985</v>
      </c>
      <c r="AE1479" s="190"/>
      <c r="AF1479" s="191"/>
      <c r="AG1479" s="191"/>
      <c r="AH1479" s="191"/>
      <c r="AI1479" s="186"/>
      <c r="AK1479" s="171"/>
    </row>
    <row r="1480" spans="1:37" s="102" customFormat="1" ht="19.899999999999999" customHeight="1" x14ac:dyDescent="0.25">
      <c r="A1480" s="45"/>
      <c r="B1480" s="59"/>
      <c r="C1480" s="137"/>
      <c r="D1480" s="59"/>
      <c r="E1480" s="116"/>
      <c r="F1480" s="120"/>
      <c r="G1480" s="120"/>
      <c r="H1480" s="120"/>
      <c r="I1480" s="60"/>
      <c r="J1480" s="116"/>
      <c r="K1480" s="213"/>
      <c r="L1480" s="120"/>
      <c r="M1480" s="120"/>
      <c r="N1480" s="167"/>
      <c r="O1480" s="120"/>
      <c r="P1480" s="120"/>
      <c r="Q1480" s="120"/>
      <c r="R1480" s="120"/>
      <c r="S1480" s="120"/>
      <c r="T1480" s="221"/>
      <c r="U1480" s="89"/>
      <c r="V1480" s="61"/>
      <c r="W1480" s="92" t="s">
        <v>1360</v>
      </c>
      <c r="X1480" s="93" t="s">
        <v>32</v>
      </c>
      <c r="Y1480" s="93" t="s">
        <v>64</v>
      </c>
      <c r="Z1480" s="134">
        <f>VLOOKUP(W1480,Sheet2!$B:$D,3,FALSE)</f>
        <v>30</v>
      </c>
      <c r="AA1480" s="93">
        <f>AA1479</f>
        <v>6.25E-2</v>
      </c>
      <c r="AB1480" s="93">
        <f>AD1480/AC1478</f>
        <v>479.99999999999994</v>
      </c>
      <c r="AC1480" s="93">
        <f>AC1478/AA1480</f>
        <v>5.8399999999999963</v>
      </c>
      <c r="AD1480" s="94">
        <f t="shared" si="1126"/>
        <v>175.19999999999987</v>
      </c>
      <c r="AE1480" s="190"/>
      <c r="AF1480" s="191"/>
      <c r="AG1480" s="191"/>
      <c r="AH1480" s="191"/>
      <c r="AI1480" s="186"/>
      <c r="AK1480" s="171"/>
    </row>
    <row r="1481" spans="1:37" s="103" customFormat="1" ht="19.899999999999999" customHeight="1" x14ac:dyDescent="0.25">
      <c r="A1481" s="51"/>
      <c r="B1481" s="52"/>
      <c r="C1481" s="165"/>
      <c r="D1481" s="52"/>
      <c r="E1481" s="115"/>
      <c r="F1481" s="58"/>
      <c r="G1481" s="58"/>
      <c r="H1481" s="58"/>
      <c r="I1481" s="55"/>
      <c r="J1481" s="113">
        <f>J1465</f>
        <v>0.36499999999999977</v>
      </c>
      <c r="K1481" s="212">
        <f>K1465</f>
        <v>0.36499999999999977</v>
      </c>
      <c r="L1481" s="58"/>
      <c r="M1481" s="58">
        <f>K1481-L1481</f>
        <v>0.36499999999999977</v>
      </c>
      <c r="N1481" s="166"/>
      <c r="O1481" s="58"/>
      <c r="P1481" s="58"/>
      <c r="Q1481" s="58"/>
      <c r="R1481" s="58"/>
      <c r="S1481" s="58"/>
      <c r="T1481" s="220"/>
      <c r="U1481" s="88"/>
      <c r="V1481" s="56"/>
      <c r="W1481" s="57" t="s">
        <v>1272</v>
      </c>
      <c r="X1481" s="53"/>
      <c r="Y1481" s="91" t="s">
        <v>35</v>
      </c>
      <c r="Z1481" s="136">
        <f>AD1481/AC1481</f>
        <v>89.47443137254902</v>
      </c>
      <c r="AA1481" s="58"/>
      <c r="AB1481" s="53">
        <f>AD1481/AC1481</f>
        <v>89.47443137254902</v>
      </c>
      <c r="AC1481" s="53">
        <f>M1481+$AE$10</f>
        <v>0.36499999999999977</v>
      </c>
      <c r="AD1481" s="54">
        <f>SUM(AD1482:AD1490)</f>
        <v>32.658167450980372</v>
      </c>
      <c r="AE1481" s="184">
        <f>SUMIFS($AD$37:$AD$12971,$V$37:$V$12971,$V1481,$X$37:$X$12971,AE$13)</f>
        <v>0</v>
      </c>
      <c r="AF1481" s="185">
        <f>SUMIFS($AD$37:$AD$12971,$V$37:$V$12971,$V1481,$X$37:$X$12971,AF$13)</f>
        <v>0</v>
      </c>
      <c r="AG1481" s="185">
        <f>SUMIFS($AD$37:$AD$12971,$V$37:$V$12971,$V1481,$X$37:$X$12971,AG$13)</f>
        <v>0</v>
      </c>
      <c r="AH1481" s="187">
        <f>SUMIFS($AD$37:$AD$12971,$V$37:$V$12971,$V1481,$X$37:$X$12971,AH$13)</f>
        <v>0</v>
      </c>
      <c r="AI1481" s="161">
        <f t="shared" ref="AI1481" si="1127">SUM(AE1481:AH1481)</f>
        <v>0</v>
      </c>
      <c r="AK1481" s="172"/>
    </row>
    <row r="1482" spans="1:37" s="102" customFormat="1" ht="19.899999999999999" customHeight="1" x14ac:dyDescent="0.25">
      <c r="A1482" s="45"/>
      <c r="B1482" s="59"/>
      <c r="C1482" s="137"/>
      <c r="D1482" s="59"/>
      <c r="E1482" s="116"/>
      <c r="F1482" s="120"/>
      <c r="G1482" s="120"/>
      <c r="H1482" s="120"/>
      <c r="I1482" s="60"/>
      <c r="J1482" s="116"/>
      <c r="K1482" s="213"/>
      <c r="L1482" s="120"/>
      <c r="M1482" s="120"/>
      <c r="N1482" s="167"/>
      <c r="O1482" s="120"/>
      <c r="P1482" s="120"/>
      <c r="Q1482" s="120"/>
      <c r="R1482" s="120"/>
      <c r="S1482" s="120"/>
      <c r="T1482" s="221"/>
      <c r="U1482" s="89"/>
      <c r="V1482" s="61"/>
      <c r="W1482" s="92" t="s">
        <v>1273</v>
      </c>
      <c r="X1482" s="93" t="s">
        <v>30</v>
      </c>
      <c r="Y1482" s="93" t="s">
        <v>66</v>
      </c>
      <c r="Z1482" s="134">
        <f>VLOOKUP(W1482,Sheet2!$B:$D,3,FALSE)</f>
        <v>10</v>
      </c>
      <c r="AA1482" s="93">
        <f>1/(2.5*1*0.5*4)</f>
        <v>0.2</v>
      </c>
      <c r="AB1482" s="93">
        <f>AD1482/AC1481</f>
        <v>50</v>
      </c>
      <c r="AC1482" s="93">
        <f>AC1481/AA1482</f>
        <v>1.8249999999999988</v>
      </c>
      <c r="AD1482" s="94">
        <f t="shared" ref="AD1482:AD1484" si="1128">AC1482*Z1482</f>
        <v>18.249999999999989</v>
      </c>
      <c r="AE1482" s="190"/>
      <c r="AF1482" s="191"/>
      <c r="AG1482" s="191"/>
      <c r="AH1482" s="191"/>
      <c r="AI1482" s="186"/>
      <c r="AK1482" s="171"/>
    </row>
    <row r="1483" spans="1:37" s="102" customFormat="1" ht="19.899999999999999" customHeight="1" x14ac:dyDescent="0.25">
      <c r="A1483" s="45"/>
      <c r="B1483" s="59"/>
      <c r="C1483" s="137"/>
      <c r="D1483" s="59"/>
      <c r="E1483" s="116"/>
      <c r="F1483" s="120"/>
      <c r="G1483" s="120"/>
      <c r="H1483" s="120"/>
      <c r="I1483" s="60"/>
      <c r="J1483" s="116"/>
      <c r="K1483" s="213"/>
      <c r="L1483" s="120"/>
      <c r="M1483" s="120"/>
      <c r="N1483" s="167"/>
      <c r="O1483" s="120"/>
      <c r="P1483" s="120"/>
      <c r="Q1483" s="120"/>
      <c r="R1483" s="120"/>
      <c r="S1483" s="120"/>
      <c r="T1483" s="221"/>
      <c r="U1483" s="89"/>
      <c r="V1483" s="61"/>
      <c r="W1483" s="92" t="s">
        <v>134</v>
      </c>
      <c r="X1483" s="93" t="s">
        <v>29</v>
      </c>
      <c r="Y1483" s="93" t="s">
        <v>93</v>
      </c>
      <c r="Z1483" s="134">
        <f>VLOOKUP(W1483,Sheet2!$B:$D,3,FALSE)</f>
        <v>65.599999999999994</v>
      </c>
      <c r="AA1483" s="93">
        <f>100/(2.5*1*0.5*4)</f>
        <v>20</v>
      </c>
      <c r="AB1483" s="93">
        <f t="shared" ref="AB1483" si="1129">AD1483/AC1481</f>
        <v>3.28</v>
      </c>
      <c r="AC1483" s="93">
        <f>AC1481/AA1483</f>
        <v>1.8249999999999988E-2</v>
      </c>
      <c r="AD1483" s="94">
        <f t="shared" si="1128"/>
        <v>1.1971999999999992</v>
      </c>
      <c r="AE1483" s="190"/>
      <c r="AF1483" s="191"/>
      <c r="AG1483" s="191"/>
      <c r="AH1483" s="191"/>
      <c r="AI1483" s="186"/>
      <c r="AK1483" s="171"/>
    </row>
    <row r="1484" spans="1:37" s="102" customFormat="1" ht="19.899999999999999" customHeight="1" x14ac:dyDescent="0.25">
      <c r="A1484" s="45"/>
      <c r="B1484" s="59"/>
      <c r="C1484" s="137"/>
      <c r="D1484" s="59"/>
      <c r="E1484" s="116"/>
      <c r="F1484" s="120"/>
      <c r="G1484" s="120"/>
      <c r="H1484" s="120"/>
      <c r="I1484" s="60"/>
      <c r="J1484" s="116"/>
      <c r="K1484" s="213"/>
      <c r="L1484" s="120"/>
      <c r="M1484" s="120"/>
      <c r="N1484" s="167"/>
      <c r="O1484" s="120"/>
      <c r="P1484" s="120"/>
      <c r="Q1484" s="120"/>
      <c r="R1484" s="120"/>
      <c r="S1484" s="120"/>
      <c r="T1484" s="221"/>
      <c r="U1484" s="89"/>
      <c r="V1484" s="61"/>
      <c r="W1484" s="92" t="s">
        <v>65</v>
      </c>
      <c r="X1484" s="93" t="s">
        <v>30</v>
      </c>
      <c r="Y1484" s="93" t="s">
        <v>1011</v>
      </c>
      <c r="Z1484" s="134">
        <f>VLOOKUP(W1484,Sheet2!$B:$D,3,FALSE)</f>
        <v>1.76</v>
      </c>
      <c r="AA1484" s="93">
        <f>AA1483/9</f>
        <v>2.2222222222222223</v>
      </c>
      <c r="AB1484" s="93">
        <f>AD1484/AC1481</f>
        <v>0.79200000000000004</v>
      </c>
      <c r="AC1484" s="93">
        <f>AC1481/AA1484</f>
        <v>0.1642499999999999</v>
      </c>
      <c r="AD1484" s="94">
        <f t="shared" si="1128"/>
        <v>0.28907999999999984</v>
      </c>
      <c r="AE1484" s="190"/>
      <c r="AF1484" s="191"/>
      <c r="AG1484" s="191"/>
      <c r="AH1484" s="191"/>
      <c r="AI1484" s="186"/>
      <c r="AK1484" s="171"/>
    </row>
    <row r="1485" spans="1:37" s="102" customFormat="1" ht="19.899999999999999" customHeight="1" x14ac:dyDescent="0.25">
      <c r="A1485" s="45"/>
      <c r="B1485" s="59"/>
      <c r="C1485" s="137"/>
      <c r="D1485" s="59"/>
      <c r="E1485" s="116"/>
      <c r="F1485" s="120"/>
      <c r="G1485" s="120"/>
      <c r="H1485" s="120"/>
      <c r="I1485" s="60"/>
      <c r="J1485" s="116"/>
      <c r="K1485" s="213"/>
      <c r="L1485" s="120"/>
      <c r="M1485" s="120"/>
      <c r="N1485" s="167"/>
      <c r="O1485" s="120"/>
      <c r="P1485" s="120"/>
      <c r="Q1485" s="120"/>
      <c r="R1485" s="120"/>
      <c r="S1485" s="120"/>
      <c r="T1485" s="221"/>
      <c r="U1485" s="89"/>
      <c r="V1485" s="61"/>
      <c r="W1485" s="92" t="s">
        <v>161</v>
      </c>
      <c r="X1485" s="93" t="s">
        <v>29</v>
      </c>
      <c r="Y1485" s="93" t="s">
        <v>93</v>
      </c>
      <c r="Z1485" s="134">
        <f>VLOOKUP(W1485,Sheet2!$B:$D,3,FALSE)</f>
        <v>48</v>
      </c>
      <c r="AA1485" s="93">
        <f>(16*0.85*1.5)/(2.5*1*0.5*4)</f>
        <v>4.08</v>
      </c>
      <c r="AB1485" s="93">
        <f>AD1485/AC1481</f>
        <v>11.76470588235294</v>
      </c>
      <c r="AC1485" s="93">
        <f>AC1481/AA1485</f>
        <v>8.9460784313725436E-2</v>
      </c>
      <c r="AD1485" s="94">
        <f>AC1485*Z1485</f>
        <v>4.2941176470588207</v>
      </c>
      <c r="AE1485" s="190"/>
      <c r="AF1485" s="191"/>
      <c r="AG1485" s="191"/>
      <c r="AH1485" s="191"/>
      <c r="AI1485" s="186"/>
      <c r="AK1485" s="171"/>
    </row>
    <row r="1486" spans="1:37" s="102" customFormat="1" ht="19.899999999999999" customHeight="1" x14ac:dyDescent="0.25">
      <c r="A1486" s="45"/>
      <c r="B1486" s="59"/>
      <c r="C1486" s="137"/>
      <c r="D1486" s="59"/>
      <c r="E1486" s="116"/>
      <c r="F1486" s="120"/>
      <c r="G1486" s="120"/>
      <c r="H1486" s="120"/>
      <c r="I1486" s="60"/>
      <c r="J1486" s="116"/>
      <c r="K1486" s="213"/>
      <c r="L1486" s="120"/>
      <c r="M1486" s="120"/>
      <c r="N1486" s="167"/>
      <c r="O1486" s="120"/>
      <c r="P1486" s="120"/>
      <c r="Q1486" s="120"/>
      <c r="R1486" s="120"/>
      <c r="S1486" s="120"/>
      <c r="T1486" s="221"/>
      <c r="U1486" s="89"/>
      <c r="V1486" s="61"/>
      <c r="W1486" s="92" t="s">
        <v>65</v>
      </c>
      <c r="X1486" s="93" t="s">
        <v>30</v>
      </c>
      <c r="Y1486" s="93" t="s">
        <v>1011</v>
      </c>
      <c r="Z1486" s="134">
        <f>VLOOKUP(W1486,Sheet2!$B:$D,3,FALSE)</f>
        <v>1.76</v>
      </c>
      <c r="AA1486" s="93">
        <f>AA1485/10</f>
        <v>0.40800000000000003</v>
      </c>
      <c r="AB1486" s="93">
        <f>AD1486/AC1481</f>
        <v>4.3137254901960782</v>
      </c>
      <c r="AC1486" s="93">
        <f>AC1481/AA1486</f>
        <v>0.89460784313725428</v>
      </c>
      <c r="AD1486" s="94">
        <f>AC1486*Z1486</f>
        <v>1.5745098039215675</v>
      </c>
      <c r="AE1486" s="190"/>
      <c r="AF1486" s="191"/>
      <c r="AG1486" s="191"/>
      <c r="AH1486" s="191"/>
      <c r="AI1486" s="186"/>
      <c r="AK1486" s="171"/>
    </row>
    <row r="1487" spans="1:37" s="102" customFormat="1" ht="19.899999999999999" customHeight="1" x14ac:dyDescent="0.25">
      <c r="A1487" s="45"/>
      <c r="B1487" s="59"/>
      <c r="C1487" s="137"/>
      <c r="D1487" s="59"/>
      <c r="E1487" s="116"/>
      <c r="F1487" s="120"/>
      <c r="G1487" s="120"/>
      <c r="H1487" s="120"/>
      <c r="I1487" s="60"/>
      <c r="J1487" s="116"/>
      <c r="K1487" s="213"/>
      <c r="L1487" s="120"/>
      <c r="M1487" s="120"/>
      <c r="N1487" s="167"/>
      <c r="O1487" s="120"/>
      <c r="P1487" s="120"/>
      <c r="Q1487" s="120"/>
      <c r="R1487" s="120"/>
      <c r="S1487" s="120"/>
      <c r="T1487" s="221"/>
      <c r="U1487" s="89"/>
      <c r="V1487" s="61"/>
      <c r="W1487" s="92" t="s">
        <v>173</v>
      </c>
      <c r="X1487" s="93" t="s">
        <v>29</v>
      </c>
      <c r="Y1487" s="93" t="s">
        <v>93</v>
      </c>
      <c r="Z1487" s="134">
        <f>VLOOKUP(W1487,Sheet2!$B:$D,3,FALSE)</f>
        <v>36</v>
      </c>
      <c r="AA1487" s="93">
        <f>50/(2.5*1*0.5*4)</f>
        <v>10</v>
      </c>
      <c r="AB1487" s="93">
        <f>AD1487/AC1481</f>
        <v>3.6</v>
      </c>
      <c r="AC1487" s="93">
        <f>AC1481/AA1487</f>
        <v>3.6499999999999977E-2</v>
      </c>
      <c r="AD1487" s="94">
        <f>AC1487*Z1487</f>
        <v>1.3139999999999992</v>
      </c>
      <c r="AE1487" s="190"/>
      <c r="AF1487" s="191"/>
      <c r="AG1487" s="191"/>
      <c r="AH1487" s="191"/>
      <c r="AI1487" s="186"/>
      <c r="AK1487" s="171"/>
    </row>
    <row r="1488" spans="1:37" s="102" customFormat="1" ht="19.899999999999999" customHeight="1" x14ac:dyDescent="0.25">
      <c r="A1488" s="45"/>
      <c r="B1488" s="59"/>
      <c r="C1488" s="137"/>
      <c r="D1488" s="59"/>
      <c r="E1488" s="116"/>
      <c r="F1488" s="120"/>
      <c r="G1488" s="120"/>
      <c r="H1488" s="120"/>
      <c r="I1488" s="60"/>
      <c r="J1488" s="116"/>
      <c r="K1488" s="213"/>
      <c r="L1488" s="120"/>
      <c r="M1488" s="120"/>
      <c r="N1488" s="167"/>
      <c r="O1488" s="120"/>
      <c r="P1488" s="120"/>
      <c r="Q1488" s="120"/>
      <c r="R1488" s="120"/>
      <c r="S1488" s="120"/>
      <c r="T1488" s="221"/>
      <c r="U1488" s="89"/>
      <c r="V1488" s="61"/>
      <c r="W1488" s="92" t="s">
        <v>65</v>
      </c>
      <c r="X1488" s="93" t="s">
        <v>30</v>
      </c>
      <c r="Y1488" s="93" t="s">
        <v>1011</v>
      </c>
      <c r="Z1488" s="134">
        <f>VLOOKUP(W1488,Sheet2!$B:$D,3,FALSE)</f>
        <v>1.76</v>
      </c>
      <c r="AA1488" s="93">
        <f>AA1487/9</f>
        <v>1.1111111111111112</v>
      </c>
      <c r="AB1488" s="93">
        <f>AD1488/AC1481</f>
        <v>1.5840000000000001</v>
      </c>
      <c r="AC1488" s="93">
        <f>AC1481/AA1488</f>
        <v>0.32849999999999979</v>
      </c>
      <c r="AD1488" s="94">
        <f>AC1488*Z1488</f>
        <v>0.57815999999999967</v>
      </c>
      <c r="AE1488" s="190"/>
      <c r="AF1488" s="191"/>
      <c r="AG1488" s="191"/>
      <c r="AH1488" s="191"/>
      <c r="AI1488" s="186"/>
      <c r="AK1488" s="171"/>
    </row>
    <row r="1489" spans="1:41" s="102" customFormat="1" ht="19.899999999999999" customHeight="1" x14ac:dyDescent="0.25">
      <c r="A1489" s="45"/>
      <c r="B1489" s="59"/>
      <c r="C1489" s="137"/>
      <c r="D1489" s="59"/>
      <c r="E1489" s="116"/>
      <c r="F1489" s="120"/>
      <c r="G1489" s="120"/>
      <c r="H1489" s="120"/>
      <c r="I1489" s="60"/>
      <c r="J1489" s="116"/>
      <c r="K1489" s="213"/>
      <c r="L1489" s="120"/>
      <c r="M1489" s="120"/>
      <c r="N1489" s="167"/>
      <c r="O1489" s="120"/>
      <c r="P1489" s="120"/>
      <c r="Q1489" s="120"/>
      <c r="R1489" s="120"/>
      <c r="S1489" s="120"/>
      <c r="T1489" s="221"/>
      <c r="U1489" s="89"/>
      <c r="V1489" s="61"/>
      <c r="W1489" s="92" t="s">
        <v>1030</v>
      </c>
      <c r="X1489" s="93" t="s">
        <v>29</v>
      </c>
      <c r="Y1489" s="93" t="s">
        <v>93</v>
      </c>
      <c r="Z1489" s="134">
        <f>VLOOKUP(W1489,Sheet2!$B:$D,3,FALSE)</f>
        <v>23</v>
      </c>
      <c r="AA1489" s="93">
        <f>1*2</f>
        <v>2</v>
      </c>
      <c r="AB1489" s="93">
        <f>AD1489/AC1481</f>
        <v>11.5</v>
      </c>
      <c r="AC1489" s="93">
        <f>AC1481/AA1489</f>
        <v>0.18249999999999988</v>
      </c>
      <c r="AD1489" s="94">
        <f t="shared" ref="AD1489:AD1490" si="1130">AC1489*Z1489</f>
        <v>4.1974999999999971</v>
      </c>
      <c r="AE1489" s="190"/>
      <c r="AF1489" s="191"/>
      <c r="AG1489" s="191"/>
      <c r="AH1489" s="191"/>
      <c r="AI1489" s="186"/>
      <c r="AK1489" s="171"/>
    </row>
    <row r="1490" spans="1:41" s="102" customFormat="1" ht="19.899999999999999" customHeight="1" x14ac:dyDescent="0.25">
      <c r="A1490" s="45"/>
      <c r="B1490" s="59"/>
      <c r="C1490" s="137"/>
      <c r="D1490" s="59"/>
      <c r="E1490" s="116"/>
      <c r="F1490" s="120"/>
      <c r="G1490" s="120"/>
      <c r="H1490" s="120"/>
      <c r="I1490" s="60"/>
      <c r="J1490" s="116"/>
      <c r="K1490" s="213"/>
      <c r="L1490" s="120"/>
      <c r="M1490" s="120"/>
      <c r="N1490" s="167"/>
      <c r="O1490" s="120"/>
      <c r="P1490" s="120"/>
      <c r="Q1490" s="120"/>
      <c r="R1490" s="120"/>
      <c r="S1490" s="120"/>
      <c r="T1490" s="221"/>
      <c r="U1490" s="89"/>
      <c r="V1490" s="61"/>
      <c r="W1490" s="92" t="s">
        <v>65</v>
      </c>
      <c r="X1490" s="93" t="s">
        <v>30</v>
      </c>
      <c r="Y1490" s="93" t="s">
        <v>1011</v>
      </c>
      <c r="Z1490" s="134">
        <f>VLOOKUP(W1490,Sheet2!$B:$D,3,FALSE)</f>
        <v>1.76</v>
      </c>
      <c r="AA1490" s="93">
        <f>AA1489/3</f>
        <v>0.66666666666666663</v>
      </c>
      <c r="AB1490" s="93">
        <f>AD1490/AC1481</f>
        <v>2.6399999999999997</v>
      </c>
      <c r="AC1490" s="93">
        <f>AC1481/AA1490</f>
        <v>0.54749999999999965</v>
      </c>
      <c r="AD1490" s="94">
        <f t="shared" si="1130"/>
        <v>0.96359999999999935</v>
      </c>
      <c r="AE1490" s="190"/>
      <c r="AF1490" s="191"/>
      <c r="AG1490" s="191"/>
      <c r="AH1490" s="191"/>
      <c r="AI1490" s="186"/>
      <c r="AK1490" s="171"/>
    </row>
    <row r="1491" spans="1:41" ht="20.100000000000001" customHeight="1" x14ac:dyDescent="0.25">
      <c r="A1491" s="277" t="s">
        <v>216</v>
      </c>
      <c r="B1491" s="278"/>
      <c r="C1491" s="64" t="s">
        <v>349</v>
      </c>
      <c r="D1491" s="46" t="s">
        <v>215</v>
      </c>
      <c r="E1491" s="114">
        <v>0.45000000000000018</v>
      </c>
      <c r="F1491" s="44">
        <v>23036</v>
      </c>
      <c r="G1491" s="44">
        <f t="shared" si="607"/>
        <v>10366.200000000004</v>
      </c>
      <c r="H1491" s="44">
        <f t="shared" si="608"/>
        <v>8235.6904156862747</v>
      </c>
      <c r="I1491" s="43">
        <f t="shared" si="609"/>
        <v>3706.0606870588249</v>
      </c>
      <c r="J1491" s="112">
        <f t="shared" si="610"/>
        <v>0.45000000000000018</v>
      </c>
      <c r="K1491" s="211">
        <f t="shared" si="611"/>
        <v>0.45000000000000018</v>
      </c>
      <c r="L1491" s="44"/>
      <c r="M1491" s="44">
        <f t="shared" si="612"/>
        <v>0.45000000000000018</v>
      </c>
      <c r="N1491" s="173">
        <f t="shared" si="613"/>
        <v>1</v>
      </c>
      <c r="O1491" s="44">
        <f t="shared" si="614"/>
        <v>23036</v>
      </c>
      <c r="P1491" s="44">
        <f t="shared" si="615"/>
        <v>10366.200000000004</v>
      </c>
      <c r="Q1491" s="44">
        <f t="shared" si="616"/>
        <v>8235.6904156862747</v>
      </c>
      <c r="R1491" s="44">
        <f t="shared" si="617"/>
        <v>3706.0606870588249</v>
      </c>
      <c r="S1491" s="123"/>
      <c r="T1491" s="219">
        <f t="shared" si="618"/>
        <v>3706.0606870588249</v>
      </c>
      <c r="U1491" s="87"/>
      <c r="V1491" s="47"/>
      <c r="W1491" s="48"/>
      <c r="X1491" s="48"/>
      <c r="Y1491" s="48"/>
      <c r="Z1491" s="135"/>
      <c r="AA1491" s="49"/>
      <c r="AB1491" s="50">
        <f t="shared" si="619"/>
        <v>8235.6904156862747</v>
      </c>
      <c r="AC1491" s="42">
        <f t="shared" si="620"/>
        <v>0.45000000000000018</v>
      </c>
      <c r="AD1491" s="90">
        <f>AD1492+AD1497+AD1504+AD1507</f>
        <v>3706.0606870588249</v>
      </c>
      <c r="AE1491" s="188">
        <f t="shared" ref="AE1491" si="1131">AE1492+AE1497+AE1504+AE1507</f>
        <v>0</v>
      </c>
      <c r="AF1491" s="189">
        <f t="shared" ref="AF1491" si="1132">AF1492+AF1497+AF1504+AF1507</f>
        <v>0</v>
      </c>
      <c r="AG1491" s="189">
        <f t="shared" ref="AG1491" si="1133">AG1492+AG1497+AG1504+AG1507</f>
        <v>0</v>
      </c>
      <c r="AH1491" s="189">
        <f t="shared" ref="AH1491" si="1134">AH1492+AH1497+AH1504+AH1507</f>
        <v>0</v>
      </c>
      <c r="AI1491" s="161">
        <f t="shared" ref="AI1491" si="1135">SUM(AE1491:AH1491)</f>
        <v>0</v>
      </c>
      <c r="AK1491" s="169">
        <v>5</v>
      </c>
      <c r="AO1491" s="19" t="s">
        <v>63</v>
      </c>
    </row>
    <row r="1492" spans="1:41" s="103" customFormat="1" ht="19.899999999999999" customHeight="1" x14ac:dyDescent="0.25">
      <c r="A1492" s="51"/>
      <c r="B1492" s="52"/>
      <c r="C1492" s="165"/>
      <c r="D1492" s="52"/>
      <c r="E1492" s="115"/>
      <c r="F1492" s="58"/>
      <c r="G1492" s="58"/>
      <c r="H1492" s="58"/>
      <c r="I1492" s="55"/>
      <c r="J1492" s="113">
        <f>J1491</f>
        <v>0.45000000000000018</v>
      </c>
      <c r="K1492" s="212">
        <f>K1491</f>
        <v>0.45000000000000018</v>
      </c>
      <c r="L1492" s="58"/>
      <c r="M1492" s="58">
        <f>K1492-L1492</f>
        <v>0.45000000000000018</v>
      </c>
      <c r="N1492" s="166"/>
      <c r="O1492" s="58"/>
      <c r="P1492" s="58"/>
      <c r="Q1492" s="58"/>
      <c r="R1492" s="58"/>
      <c r="S1492" s="58"/>
      <c r="T1492" s="220"/>
      <c r="U1492" s="88"/>
      <c r="V1492" s="56"/>
      <c r="W1492" s="57" t="s">
        <v>1365</v>
      </c>
      <c r="X1492" s="53"/>
      <c r="Y1492" s="91" t="s">
        <v>35</v>
      </c>
      <c r="Z1492" s="136">
        <f>AD1492/AC1492</f>
        <v>72.397552941176485</v>
      </c>
      <c r="AA1492" s="58"/>
      <c r="AB1492" s="53">
        <f>AD1492/AC1492</f>
        <v>72.397552941176485</v>
      </c>
      <c r="AC1492" s="53">
        <f>M1492+$AE$10</f>
        <v>0.45000000000000018</v>
      </c>
      <c r="AD1492" s="54">
        <f>SUM(AD1493:AD1496)</f>
        <v>32.578898823529428</v>
      </c>
      <c r="AE1492" s="184">
        <f>SUMIFS($AD$37:$AD$12971,$V$37:$V$12971,$V1492,$X$37:$X$12971,AE$13)</f>
        <v>0</v>
      </c>
      <c r="AF1492" s="185">
        <f>SUMIFS($AD$37:$AD$12971,$V$37:$V$12971,$V1492,$X$37:$X$12971,AF$13)</f>
        <v>0</v>
      </c>
      <c r="AG1492" s="185">
        <f>SUMIFS($AD$37:$AD$12971,$V$37:$V$12971,$V1492,$X$37:$X$12971,AG$13)</f>
        <v>0</v>
      </c>
      <c r="AH1492" s="187">
        <f>SUMIFS($AD$37:$AD$12971,$V$37:$V$12971,$V1492,$X$37:$X$12971,AH$13)</f>
        <v>0</v>
      </c>
      <c r="AI1492" s="161">
        <f t="shared" ref="AI1492" si="1136">SUM(AE1492:AH1492)</f>
        <v>0</v>
      </c>
      <c r="AK1492" s="172"/>
    </row>
    <row r="1493" spans="1:41" s="102" customFormat="1" ht="19.899999999999999" customHeight="1" x14ac:dyDescent="0.25">
      <c r="A1493" s="45"/>
      <c r="B1493" s="59"/>
      <c r="C1493" s="137"/>
      <c r="D1493" s="59"/>
      <c r="E1493" s="116"/>
      <c r="F1493" s="120"/>
      <c r="G1493" s="120"/>
      <c r="H1493" s="120"/>
      <c r="I1493" s="60"/>
      <c r="J1493" s="116"/>
      <c r="K1493" s="213"/>
      <c r="L1493" s="120"/>
      <c r="M1493" s="120"/>
      <c r="N1493" s="167"/>
      <c r="O1493" s="120"/>
      <c r="P1493" s="120"/>
      <c r="Q1493" s="120"/>
      <c r="R1493" s="120"/>
      <c r="S1493" s="120"/>
      <c r="T1493" s="221"/>
      <c r="U1493" s="89"/>
      <c r="V1493" s="61"/>
      <c r="W1493" s="92" t="s">
        <v>129</v>
      </c>
      <c r="X1493" s="93" t="s">
        <v>29</v>
      </c>
      <c r="Y1493" s="93" t="s">
        <v>93</v>
      </c>
      <c r="Z1493" s="134">
        <f>VLOOKUP(W1493,Sheet2!$B:$D,3,FALSE)</f>
        <v>56</v>
      </c>
      <c r="AA1493" s="93">
        <f>100/(3*3*2)</f>
        <v>5.5555555555555554</v>
      </c>
      <c r="AB1493" s="93">
        <f t="shared" ref="AB1493" si="1137">AD1493/AC1492</f>
        <v>10.079999999999998</v>
      </c>
      <c r="AC1493" s="93">
        <f>AC1492/AA1493</f>
        <v>8.100000000000003E-2</v>
      </c>
      <c r="AD1493" s="94">
        <f t="shared" ref="AD1493:AD1494" si="1138">AC1493*Z1493</f>
        <v>4.5360000000000014</v>
      </c>
      <c r="AE1493" s="190"/>
      <c r="AF1493" s="191"/>
      <c r="AG1493" s="191"/>
      <c r="AH1493" s="191"/>
      <c r="AI1493" s="186"/>
      <c r="AK1493" s="171"/>
    </row>
    <row r="1494" spans="1:41" s="102" customFormat="1" ht="19.899999999999999" customHeight="1" x14ac:dyDescent="0.25">
      <c r="A1494" s="45"/>
      <c r="B1494" s="59"/>
      <c r="C1494" s="137"/>
      <c r="D1494" s="59"/>
      <c r="E1494" s="116"/>
      <c r="F1494" s="120"/>
      <c r="G1494" s="120"/>
      <c r="H1494" s="120"/>
      <c r="I1494" s="60"/>
      <c r="J1494" s="116"/>
      <c r="K1494" s="213"/>
      <c r="L1494" s="120"/>
      <c r="M1494" s="120"/>
      <c r="N1494" s="167"/>
      <c r="O1494" s="120"/>
      <c r="P1494" s="120"/>
      <c r="Q1494" s="120"/>
      <c r="R1494" s="120"/>
      <c r="S1494" s="120"/>
      <c r="T1494" s="221"/>
      <c r="U1494" s="89"/>
      <c r="V1494" s="61"/>
      <c r="W1494" s="92" t="s">
        <v>65</v>
      </c>
      <c r="X1494" s="93" t="s">
        <v>30</v>
      </c>
      <c r="Y1494" s="93" t="s">
        <v>1011</v>
      </c>
      <c r="Z1494" s="134">
        <f>VLOOKUP(W1494,Sheet2!$B:$D,3,FALSE)</f>
        <v>1.76</v>
      </c>
      <c r="AA1494" s="93">
        <f>AA1493/14</f>
        <v>0.3968253968253968</v>
      </c>
      <c r="AB1494" s="93">
        <f>AD1494/AC1492</f>
        <v>4.4352</v>
      </c>
      <c r="AC1494" s="93">
        <f>AC1492/AA1494</f>
        <v>1.1340000000000006</v>
      </c>
      <c r="AD1494" s="94">
        <f t="shared" si="1138"/>
        <v>1.9958400000000009</v>
      </c>
      <c r="AE1494" s="190"/>
      <c r="AF1494" s="191"/>
      <c r="AG1494" s="191"/>
      <c r="AH1494" s="191"/>
      <c r="AI1494" s="186"/>
      <c r="AK1494" s="171"/>
    </row>
    <row r="1495" spans="1:41" s="102" customFormat="1" ht="19.899999999999999" customHeight="1" x14ac:dyDescent="0.25">
      <c r="A1495" s="45"/>
      <c r="B1495" s="59"/>
      <c r="C1495" s="137"/>
      <c r="D1495" s="59"/>
      <c r="E1495" s="116"/>
      <c r="F1495" s="120"/>
      <c r="G1495" s="120"/>
      <c r="H1495" s="120"/>
      <c r="I1495" s="60"/>
      <c r="J1495" s="116"/>
      <c r="K1495" s="213"/>
      <c r="L1495" s="120"/>
      <c r="M1495" s="120"/>
      <c r="N1495" s="167"/>
      <c r="O1495" s="120"/>
      <c r="P1495" s="120"/>
      <c r="Q1495" s="120"/>
      <c r="R1495" s="120"/>
      <c r="S1495" s="120"/>
      <c r="T1495" s="221"/>
      <c r="U1495" s="89"/>
      <c r="V1495" s="61"/>
      <c r="W1495" s="92" t="s">
        <v>161</v>
      </c>
      <c r="X1495" s="93" t="s">
        <v>29</v>
      </c>
      <c r="Y1495" s="93" t="s">
        <v>93</v>
      </c>
      <c r="Z1495" s="134">
        <f>VLOOKUP(W1495,Sheet2!$B:$D,3,FALSE)</f>
        <v>48</v>
      </c>
      <c r="AA1495" s="93">
        <f>(16*0.85*1.5)/(3*3*2)</f>
        <v>1.1333333333333333</v>
      </c>
      <c r="AB1495" s="93">
        <f>AD1495/AC1492</f>
        <v>42.352941176470587</v>
      </c>
      <c r="AC1495" s="93">
        <f>AC1492/AA1495</f>
        <v>0.39705882352941191</v>
      </c>
      <c r="AD1495" s="94">
        <f>AC1495*Z1495</f>
        <v>19.058823529411772</v>
      </c>
      <c r="AE1495" s="190"/>
      <c r="AF1495" s="191"/>
      <c r="AG1495" s="191"/>
      <c r="AH1495" s="191"/>
      <c r="AI1495" s="186"/>
      <c r="AK1495" s="171"/>
    </row>
    <row r="1496" spans="1:41" s="102" customFormat="1" ht="19.899999999999999" customHeight="1" x14ac:dyDescent="0.25">
      <c r="A1496" s="45"/>
      <c r="B1496" s="59"/>
      <c r="C1496" s="137"/>
      <c r="D1496" s="59"/>
      <c r="E1496" s="116"/>
      <c r="F1496" s="120"/>
      <c r="G1496" s="120"/>
      <c r="H1496" s="120"/>
      <c r="I1496" s="60"/>
      <c r="J1496" s="116"/>
      <c r="K1496" s="213"/>
      <c r="L1496" s="120"/>
      <c r="M1496" s="120"/>
      <c r="N1496" s="167"/>
      <c r="O1496" s="120"/>
      <c r="P1496" s="120"/>
      <c r="Q1496" s="120"/>
      <c r="R1496" s="120"/>
      <c r="S1496" s="120"/>
      <c r="T1496" s="221"/>
      <c r="U1496" s="89"/>
      <c r="V1496" s="61"/>
      <c r="W1496" s="92" t="s">
        <v>65</v>
      </c>
      <c r="X1496" s="93" t="s">
        <v>30</v>
      </c>
      <c r="Y1496" s="93" t="s">
        <v>1011</v>
      </c>
      <c r="Z1496" s="134">
        <f>VLOOKUP(W1496,Sheet2!$B:$D,3,FALSE)</f>
        <v>1.76</v>
      </c>
      <c r="AA1496" s="93">
        <f>AA1495/10</f>
        <v>0.11333333333333333</v>
      </c>
      <c r="AB1496" s="93">
        <f>AD1496/AC1492</f>
        <v>15.529411764705884</v>
      </c>
      <c r="AC1496" s="93">
        <f>AC1492/AA1496</f>
        <v>3.9705882352941195</v>
      </c>
      <c r="AD1496" s="94">
        <f>AC1496*Z1496</f>
        <v>6.9882352941176507</v>
      </c>
      <c r="AE1496" s="190"/>
      <c r="AF1496" s="191"/>
      <c r="AG1496" s="191"/>
      <c r="AH1496" s="191"/>
      <c r="AI1496" s="186"/>
      <c r="AK1496" s="171"/>
    </row>
    <row r="1497" spans="1:41" s="103" customFormat="1" ht="19.899999999999999" customHeight="1" x14ac:dyDescent="0.25">
      <c r="A1497" s="51"/>
      <c r="B1497" s="52"/>
      <c r="C1497" s="165"/>
      <c r="D1497" s="52"/>
      <c r="E1497" s="115"/>
      <c r="F1497" s="58"/>
      <c r="G1497" s="58"/>
      <c r="H1497" s="58"/>
      <c r="I1497" s="55"/>
      <c r="J1497" s="113">
        <f>J1491</f>
        <v>0.45000000000000018</v>
      </c>
      <c r="K1497" s="212">
        <f>K1491</f>
        <v>0.45000000000000018</v>
      </c>
      <c r="L1497" s="58"/>
      <c r="M1497" s="58">
        <f>K1497-L1497</f>
        <v>0.45000000000000018</v>
      </c>
      <c r="N1497" s="166"/>
      <c r="O1497" s="58"/>
      <c r="P1497" s="58"/>
      <c r="Q1497" s="58"/>
      <c r="R1497" s="58"/>
      <c r="S1497" s="58"/>
      <c r="T1497" s="220"/>
      <c r="U1497" s="88"/>
      <c r="V1497" s="56"/>
      <c r="W1497" s="57" t="s">
        <v>1352</v>
      </c>
      <c r="X1497" s="53"/>
      <c r="Y1497" s="91" t="s">
        <v>35</v>
      </c>
      <c r="Z1497" s="136">
        <f>AD1497/AC1497</f>
        <v>5750</v>
      </c>
      <c r="AA1497" s="58"/>
      <c r="AB1497" s="53">
        <f>AD1497/AC1497</f>
        <v>5750</v>
      </c>
      <c r="AC1497" s="53">
        <f>M1497+$AE$10</f>
        <v>0.45000000000000018</v>
      </c>
      <c r="AD1497" s="54">
        <f>SUM(AD1498:AD1503)</f>
        <v>2587.5000000000009</v>
      </c>
      <c r="AE1497" s="184">
        <f>SUMIFS($AD$37:$AD$12971,$V$37:$V$12971,$V1497,$X$37:$X$12971,AE$13)</f>
        <v>0</v>
      </c>
      <c r="AF1497" s="185">
        <f>SUMIFS($AD$37:$AD$12971,$V$37:$V$12971,$V1497,$X$37:$X$12971,AF$13)</f>
        <v>0</v>
      </c>
      <c r="AG1497" s="185">
        <f>SUMIFS($AD$37:$AD$12971,$V$37:$V$12971,$V1497,$X$37:$X$12971,AG$13)</f>
        <v>0</v>
      </c>
      <c r="AH1497" s="187">
        <f>SUMIFS($AD$37:$AD$12971,$V$37:$V$12971,$V1497,$X$37:$X$12971,AH$13)</f>
        <v>0</v>
      </c>
      <c r="AI1497" s="161">
        <f t="shared" ref="AI1497" si="1139">SUM(AE1497:AH1497)</f>
        <v>0</v>
      </c>
      <c r="AK1497" s="172"/>
    </row>
    <row r="1498" spans="1:41" s="102" customFormat="1" ht="19.899999999999999" customHeight="1" x14ac:dyDescent="0.25">
      <c r="A1498" s="45"/>
      <c r="B1498" s="59"/>
      <c r="C1498" s="137"/>
      <c r="D1498" s="59"/>
      <c r="E1498" s="116"/>
      <c r="F1498" s="120"/>
      <c r="G1498" s="120"/>
      <c r="H1498" s="120"/>
      <c r="I1498" s="60"/>
      <c r="J1498" s="116"/>
      <c r="K1498" s="213"/>
      <c r="L1498" s="120"/>
      <c r="M1498" s="120"/>
      <c r="N1498" s="167"/>
      <c r="O1498" s="120"/>
      <c r="P1498" s="120"/>
      <c r="Q1498" s="120"/>
      <c r="R1498" s="120"/>
      <c r="S1498" s="120"/>
      <c r="T1498" s="221"/>
      <c r="U1498" s="89"/>
      <c r="V1498" s="61"/>
      <c r="W1498" s="92" t="s">
        <v>1353</v>
      </c>
      <c r="X1498" s="93" t="s">
        <v>30</v>
      </c>
      <c r="Y1498" s="93" t="s">
        <v>66</v>
      </c>
      <c r="Z1498" s="134">
        <f>VLOOKUP(W1498,Sheet2!$B:$D,3,FALSE)</f>
        <v>350</v>
      </c>
      <c r="AA1498" s="93">
        <f>1/(2*2*0.25*4)</f>
        <v>0.25</v>
      </c>
      <c r="AB1498" s="93">
        <f>AD1498/AC1497</f>
        <v>1400</v>
      </c>
      <c r="AC1498" s="93">
        <f>AC1497/AA1498</f>
        <v>1.8000000000000007</v>
      </c>
      <c r="AD1498" s="94">
        <f t="shared" ref="AD1498:AD1499" si="1140">AC1498*Z1498</f>
        <v>630.00000000000023</v>
      </c>
      <c r="AE1498" s="190"/>
      <c r="AF1498" s="191"/>
      <c r="AG1498" s="191"/>
      <c r="AH1498" s="191"/>
      <c r="AI1498" s="186"/>
      <c r="AK1498" s="171"/>
    </row>
    <row r="1499" spans="1:41" s="102" customFormat="1" ht="19.899999999999999" customHeight="1" x14ac:dyDescent="0.25">
      <c r="A1499" s="45"/>
      <c r="B1499" s="59"/>
      <c r="C1499" s="137"/>
      <c r="D1499" s="59"/>
      <c r="E1499" s="116"/>
      <c r="F1499" s="120"/>
      <c r="G1499" s="120"/>
      <c r="H1499" s="120"/>
      <c r="I1499" s="60"/>
      <c r="J1499" s="116"/>
      <c r="K1499" s="213"/>
      <c r="L1499" s="120"/>
      <c r="M1499" s="120"/>
      <c r="N1499" s="167"/>
      <c r="O1499" s="120"/>
      <c r="P1499" s="120"/>
      <c r="Q1499" s="120"/>
      <c r="R1499" s="120"/>
      <c r="S1499" s="120"/>
      <c r="T1499" s="221"/>
      <c r="U1499" s="89"/>
      <c r="V1499" s="61"/>
      <c r="W1499" s="92" t="s">
        <v>99</v>
      </c>
      <c r="X1499" s="93" t="s">
        <v>30</v>
      </c>
      <c r="Y1499" s="93" t="s">
        <v>67</v>
      </c>
      <c r="Z1499" s="134">
        <f>VLOOKUP(W1499,Sheet2!$B:$D,3,FALSE)</f>
        <v>2500</v>
      </c>
      <c r="AA1499" s="93">
        <f>1/(2*2*0.25*4*0.08)</f>
        <v>3.125</v>
      </c>
      <c r="AB1499" s="93">
        <f>AD1499/AC1497</f>
        <v>799.99999999999989</v>
      </c>
      <c r="AC1499" s="93">
        <f>AC1497/AA1499</f>
        <v>0.14400000000000004</v>
      </c>
      <c r="AD1499" s="94">
        <f t="shared" si="1140"/>
        <v>360.00000000000011</v>
      </c>
      <c r="AE1499" s="190"/>
      <c r="AF1499" s="191"/>
      <c r="AG1499" s="191"/>
      <c r="AH1499" s="191"/>
      <c r="AI1499" s="186"/>
      <c r="AK1499" s="171"/>
    </row>
    <row r="1500" spans="1:41" s="102" customFormat="1" ht="19.899999999999999" customHeight="1" x14ac:dyDescent="0.25">
      <c r="A1500" s="45"/>
      <c r="B1500" s="59"/>
      <c r="C1500" s="137"/>
      <c r="D1500" s="59"/>
      <c r="E1500" s="116"/>
      <c r="F1500" s="120"/>
      <c r="G1500" s="120"/>
      <c r="H1500" s="120"/>
      <c r="I1500" s="60"/>
      <c r="J1500" s="116"/>
      <c r="K1500" s="213"/>
      <c r="L1500" s="120"/>
      <c r="M1500" s="120"/>
      <c r="N1500" s="167"/>
      <c r="O1500" s="120"/>
      <c r="P1500" s="120"/>
      <c r="Q1500" s="120"/>
      <c r="R1500" s="120"/>
      <c r="S1500" s="120"/>
      <c r="T1500" s="221"/>
      <c r="U1500" s="89"/>
      <c r="V1500" s="61"/>
      <c r="W1500" s="92" t="s">
        <v>1355</v>
      </c>
      <c r="X1500" s="93" t="s">
        <v>32</v>
      </c>
      <c r="Y1500" s="93" t="s">
        <v>66</v>
      </c>
      <c r="Z1500" s="134">
        <f>VLOOKUP(W1500,Sheet2!$B:$D,3,FALSE)</f>
        <v>450</v>
      </c>
      <c r="AA1500" s="93">
        <f>AA1498</f>
        <v>0.25</v>
      </c>
      <c r="AB1500" s="93">
        <f>AD1500/AC1497</f>
        <v>1800</v>
      </c>
      <c r="AC1500" s="93">
        <f>AC1497/AA1500</f>
        <v>1.8000000000000007</v>
      </c>
      <c r="AD1500" s="94">
        <f>AC1500*Z1500</f>
        <v>810.00000000000034</v>
      </c>
      <c r="AE1500" s="190"/>
      <c r="AF1500" s="191"/>
      <c r="AG1500" s="191"/>
      <c r="AH1500" s="191"/>
      <c r="AI1500" s="186"/>
      <c r="AK1500" s="171"/>
    </row>
    <row r="1501" spans="1:41" s="102" customFormat="1" ht="19.899999999999999" customHeight="1" x14ac:dyDescent="0.25">
      <c r="A1501" s="45"/>
      <c r="B1501" s="59"/>
      <c r="C1501" s="137"/>
      <c r="D1501" s="59"/>
      <c r="E1501" s="116"/>
      <c r="F1501" s="120"/>
      <c r="G1501" s="120"/>
      <c r="H1501" s="120"/>
      <c r="I1501" s="60"/>
      <c r="J1501" s="116"/>
      <c r="K1501" s="213"/>
      <c r="L1501" s="120"/>
      <c r="M1501" s="120"/>
      <c r="N1501" s="167"/>
      <c r="O1501" s="120"/>
      <c r="P1501" s="120"/>
      <c r="Q1501" s="120"/>
      <c r="R1501" s="120"/>
      <c r="S1501" s="120"/>
      <c r="T1501" s="221"/>
      <c r="U1501" s="89"/>
      <c r="V1501" s="61"/>
      <c r="W1501" s="92" t="s">
        <v>1362</v>
      </c>
      <c r="X1501" s="93" t="s">
        <v>30</v>
      </c>
      <c r="Y1501" s="93" t="s">
        <v>35</v>
      </c>
      <c r="Z1501" s="134">
        <f>VLOOKUP(W1501,Sheet2!$B:$D,3,FALSE)</f>
        <v>400</v>
      </c>
      <c r="AA1501" s="93">
        <v>0.25</v>
      </c>
      <c r="AB1501" s="93">
        <f>AD1501/AC1497</f>
        <v>1599.9999999999998</v>
      </c>
      <c r="AC1501" s="93">
        <f>AC1497/AA1501</f>
        <v>1.8000000000000007</v>
      </c>
      <c r="AD1501" s="94">
        <f t="shared" ref="AD1501" si="1141">AC1501*Z1501</f>
        <v>720.00000000000023</v>
      </c>
      <c r="AE1501" s="190"/>
      <c r="AF1501" s="191"/>
      <c r="AG1501" s="191"/>
      <c r="AH1501" s="191"/>
      <c r="AI1501" s="186"/>
      <c r="AK1501" s="171"/>
    </row>
    <row r="1502" spans="1:41" s="102" customFormat="1" ht="19.899999999999999" customHeight="1" x14ac:dyDescent="0.25">
      <c r="A1502" s="45"/>
      <c r="B1502" s="59"/>
      <c r="C1502" s="137"/>
      <c r="D1502" s="59"/>
      <c r="E1502" s="116"/>
      <c r="F1502" s="120"/>
      <c r="G1502" s="120"/>
      <c r="H1502" s="120"/>
      <c r="I1502" s="60"/>
      <c r="J1502" s="116"/>
      <c r="K1502" s="213"/>
      <c r="L1502" s="120"/>
      <c r="M1502" s="120"/>
      <c r="N1502" s="167"/>
      <c r="O1502" s="120"/>
      <c r="P1502" s="120"/>
      <c r="Q1502" s="120"/>
      <c r="R1502" s="120"/>
      <c r="S1502" s="120"/>
      <c r="T1502" s="221"/>
      <c r="U1502" s="89"/>
      <c r="V1502" s="61"/>
      <c r="W1502" s="92" t="s">
        <v>107</v>
      </c>
      <c r="X1502" s="93" t="s">
        <v>31</v>
      </c>
      <c r="Y1502" s="93" t="s">
        <v>93</v>
      </c>
      <c r="Z1502" s="134">
        <f>VLOOKUP(W1502,Sheet2!$B:$D,3,FALSE)</f>
        <v>17</v>
      </c>
      <c r="AA1502" s="93">
        <f>1/5</f>
        <v>0.2</v>
      </c>
      <c r="AB1502" s="93">
        <f>AD1502/AC1497</f>
        <v>85</v>
      </c>
      <c r="AC1502" s="93">
        <f>AC1497/AA1502</f>
        <v>2.2500000000000009</v>
      </c>
      <c r="AD1502" s="94">
        <f>AC1502*Z1502</f>
        <v>38.250000000000014</v>
      </c>
      <c r="AE1502" s="190"/>
      <c r="AF1502" s="191"/>
      <c r="AG1502" s="191"/>
      <c r="AH1502" s="191"/>
      <c r="AI1502" s="186"/>
      <c r="AK1502" s="171"/>
    </row>
    <row r="1503" spans="1:41" s="102" customFormat="1" ht="19.899999999999999" customHeight="1" x14ac:dyDescent="0.25">
      <c r="A1503" s="45"/>
      <c r="B1503" s="59"/>
      <c r="C1503" s="137"/>
      <c r="D1503" s="59"/>
      <c r="E1503" s="116"/>
      <c r="F1503" s="120"/>
      <c r="G1503" s="120"/>
      <c r="H1503" s="120"/>
      <c r="I1503" s="60"/>
      <c r="J1503" s="116"/>
      <c r="K1503" s="213"/>
      <c r="L1503" s="120"/>
      <c r="M1503" s="120"/>
      <c r="N1503" s="167"/>
      <c r="O1503" s="120"/>
      <c r="P1503" s="120"/>
      <c r="Q1503" s="120"/>
      <c r="R1503" s="120"/>
      <c r="S1503" s="120"/>
      <c r="T1503" s="221"/>
      <c r="U1503" s="89"/>
      <c r="V1503" s="61"/>
      <c r="W1503" s="92" t="s">
        <v>112</v>
      </c>
      <c r="X1503" s="93" t="s">
        <v>31</v>
      </c>
      <c r="Y1503" s="93" t="s">
        <v>93</v>
      </c>
      <c r="Z1503" s="134">
        <f>VLOOKUP(W1503,Sheet2!$B:$D,3,FALSE)</f>
        <v>13</v>
      </c>
      <c r="AA1503" s="93">
        <f>AA1502</f>
        <v>0.2</v>
      </c>
      <c r="AB1503" s="93">
        <f>AD1503/AC1497</f>
        <v>65</v>
      </c>
      <c r="AC1503" s="93">
        <f>AC1497/AA1503</f>
        <v>2.2500000000000009</v>
      </c>
      <c r="AD1503" s="94">
        <f>AC1503*Z1503</f>
        <v>29.250000000000011</v>
      </c>
      <c r="AE1503" s="190"/>
      <c r="AF1503" s="191"/>
      <c r="AG1503" s="191"/>
      <c r="AH1503" s="191"/>
      <c r="AI1503" s="186"/>
      <c r="AK1503" s="171"/>
    </row>
    <row r="1504" spans="1:41" s="103" customFormat="1" ht="19.899999999999999" customHeight="1" x14ac:dyDescent="0.25">
      <c r="A1504" s="51"/>
      <c r="B1504" s="52"/>
      <c r="C1504" s="165"/>
      <c r="D1504" s="52"/>
      <c r="E1504" s="115"/>
      <c r="F1504" s="58"/>
      <c r="G1504" s="58"/>
      <c r="H1504" s="58"/>
      <c r="I1504" s="55"/>
      <c r="J1504" s="113">
        <f>J1491</f>
        <v>0.45000000000000018</v>
      </c>
      <c r="K1504" s="212">
        <f>K1491</f>
        <v>0.45000000000000018</v>
      </c>
      <c r="L1504" s="58"/>
      <c r="M1504" s="58">
        <f>K1504-L1504</f>
        <v>0.45000000000000018</v>
      </c>
      <c r="N1504" s="166"/>
      <c r="O1504" s="58"/>
      <c r="P1504" s="58"/>
      <c r="Q1504" s="58"/>
      <c r="R1504" s="58"/>
      <c r="S1504" s="58"/>
      <c r="T1504" s="220"/>
      <c r="U1504" s="88"/>
      <c r="V1504" s="56"/>
      <c r="W1504" s="57" t="s">
        <v>1358</v>
      </c>
      <c r="X1504" s="53"/>
      <c r="Y1504" s="91" t="s">
        <v>35</v>
      </c>
      <c r="Z1504" s="136">
        <f>AD1504/AC1504</f>
        <v>2240</v>
      </c>
      <c r="AA1504" s="58"/>
      <c r="AB1504" s="53">
        <f>AD1504/AC1504</f>
        <v>2240</v>
      </c>
      <c r="AC1504" s="53">
        <f>M1504+$AE$10</f>
        <v>0.45000000000000018</v>
      </c>
      <c r="AD1504" s="54">
        <f>SUM(AD1505:AD1506)</f>
        <v>1008.0000000000005</v>
      </c>
      <c r="AE1504" s="184">
        <f>SUMIFS($AD$37:$AD$12971,$V$37:$V$12971,$V1504,$X$37:$X$12971,AE$13)</f>
        <v>0</v>
      </c>
      <c r="AF1504" s="185">
        <f>SUMIFS($AD$37:$AD$12971,$V$37:$V$12971,$V1504,$X$37:$X$12971,AF$13)</f>
        <v>0</v>
      </c>
      <c r="AG1504" s="185">
        <f>SUMIFS($AD$37:$AD$12971,$V$37:$V$12971,$V1504,$X$37:$X$12971,AG$13)</f>
        <v>0</v>
      </c>
      <c r="AH1504" s="187">
        <f>SUMIFS($AD$37:$AD$12971,$V$37:$V$12971,$V1504,$X$37:$X$12971,AH$13)</f>
        <v>0</v>
      </c>
      <c r="AI1504" s="161">
        <f t="shared" ref="AI1504" si="1142">SUM(AE1504:AH1504)</f>
        <v>0</v>
      </c>
      <c r="AK1504" s="172"/>
    </row>
    <row r="1505" spans="1:41" s="102" customFormat="1" ht="19.899999999999999" customHeight="1" x14ac:dyDescent="0.25">
      <c r="A1505" s="45"/>
      <c r="B1505" s="59"/>
      <c r="C1505" s="137"/>
      <c r="D1505" s="59"/>
      <c r="E1505" s="116"/>
      <c r="F1505" s="120"/>
      <c r="G1505" s="120"/>
      <c r="H1505" s="120"/>
      <c r="I1505" s="60"/>
      <c r="J1505" s="116"/>
      <c r="K1505" s="213"/>
      <c r="L1505" s="120"/>
      <c r="M1505" s="120"/>
      <c r="N1505" s="167"/>
      <c r="O1505" s="120"/>
      <c r="P1505" s="120"/>
      <c r="Q1505" s="120"/>
      <c r="R1505" s="120"/>
      <c r="S1505" s="120"/>
      <c r="T1505" s="221"/>
      <c r="U1505" s="89"/>
      <c r="V1505" s="61"/>
      <c r="W1505" s="92" t="s">
        <v>1359</v>
      </c>
      <c r="X1505" s="93" t="s">
        <v>32</v>
      </c>
      <c r="Y1505" s="93" t="s">
        <v>64</v>
      </c>
      <c r="Z1505" s="134">
        <f>VLOOKUP(W1505,Sheet2!$B:$D,3,FALSE)</f>
        <v>40</v>
      </c>
      <c r="AA1505" s="93">
        <f>1/32</f>
        <v>3.125E-2</v>
      </c>
      <c r="AB1505" s="93">
        <f t="shared" ref="AB1505" si="1143">AD1505/AC1504</f>
        <v>1280</v>
      </c>
      <c r="AC1505" s="93">
        <f>AC1504/AA1505</f>
        <v>14.400000000000006</v>
      </c>
      <c r="AD1505" s="94">
        <f t="shared" ref="AD1505:AD1506" si="1144">AC1505*Z1505</f>
        <v>576.00000000000023</v>
      </c>
      <c r="AE1505" s="190"/>
      <c r="AF1505" s="191"/>
      <c r="AG1505" s="191"/>
      <c r="AH1505" s="191"/>
      <c r="AI1505" s="186"/>
      <c r="AK1505" s="171"/>
    </row>
    <row r="1506" spans="1:41" s="102" customFormat="1" ht="19.899999999999999" customHeight="1" x14ac:dyDescent="0.25">
      <c r="A1506" s="45"/>
      <c r="B1506" s="59"/>
      <c r="C1506" s="137"/>
      <c r="D1506" s="59"/>
      <c r="E1506" s="116"/>
      <c r="F1506" s="120"/>
      <c r="G1506" s="120"/>
      <c r="H1506" s="120"/>
      <c r="I1506" s="60"/>
      <c r="J1506" s="116"/>
      <c r="K1506" s="213"/>
      <c r="L1506" s="120"/>
      <c r="M1506" s="120"/>
      <c r="N1506" s="167"/>
      <c r="O1506" s="120"/>
      <c r="P1506" s="120"/>
      <c r="Q1506" s="120"/>
      <c r="R1506" s="120"/>
      <c r="S1506" s="120"/>
      <c r="T1506" s="221"/>
      <c r="U1506" s="89"/>
      <c r="V1506" s="61"/>
      <c r="W1506" s="92" t="s">
        <v>1360</v>
      </c>
      <c r="X1506" s="93" t="s">
        <v>32</v>
      </c>
      <c r="Y1506" s="93" t="s">
        <v>64</v>
      </c>
      <c r="Z1506" s="134">
        <f>VLOOKUP(W1506,Sheet2!$B:$D,3,FALSE)</f>
        <v>30</v>
      </c>
      <c r="AA1506" s="93">
        <f>AA1505</f>
        <v>3.125E-2</v>
      </c>
      <c r="AB1506" s="93">
        <f>AD1506/AC1504</f>
        <v>960</v>
      </c>
      <c r="AC1506" s="93">
        <f>AC1504/AA1506</f>
        <v>14.400000000000006</v>
      </c>
      <c r="AD1506" s="94">
        <f t="shared" si="1144"/>
        <v>432.00000000000017</v>
      </c>
      <c r="AE1506" s="190"/>
      <c r="AF1506" s="191"/>
      <c r="AG1506" s="191"/>
      <c r="AH1506" s="191"/>
      <c r="AI1506" s="186"/>
      <c r="AK1506" s="171"/>
    </row>
    <row r="1507" spans="1:41" s="103" customFormat="1" ht="19.899999999999999" customHeight="1" x14ac:dyDescent="0.25">
      <c r="A1507" s="51"/>
      <c r="B1507" s="52"/>
      <c r="C1507" s="165"/>
      <c r="D1507" s="52"/>
      <c r="E1507" s="115"/>
      <c r="F1507" s="58"/>
      <c r="G1507" s="58"/>
      <c r="H1507" s="58"/>
      <c r="I1507" s="55"/>
      <c r="J1507" s="113">
        <f>J1491</f>
        <v>0.45000000000000018</v>
      </c>
      <c r="K1507" s="212">
        <f>K1491</f>
        <v>0.45000000000000018</v>
      </c>
      <c r="L1507" s="58"/>
      <c r="M1507" s="58">
        <f>K1507-L1507</f>
        <v>0.45000000000000018</v>
      </c>
      <c r="N1507" s="166"/>
      <c r="O1507" s="58"/>
      <c r="P1507" s="58"/>
      <c r="Q1507" s="58"/>
      <c r="R1507" s="58"/>
      <c r="S1507" s="58"/>
      <c r="T1507" s="220"/>
      <c r="U1507" s="88"/>
      <c r="V1507" s="56"/>
      <c r="W1507" s="57" t="s">
        <v>1272</v>
      </c>
      <c r="X1507" s="53"/>
      <c r="Y1507" s="91" t="s">
        <v>35</v>
      </c>
      <c r="Z1507" s="136">
        <f>AD1507/AC1507</f>
        <v>173.29286274509803</v>
      </c>
      <c r="AA1507" s="58"/>
      <c r="AB1507" s="53">
        <f>AD1507/AC1507</f>
        <v>173.29286274509803</v>
      </c>
      <c r="AC1507" s="53">
        <f>M1507+$AE$10</f>
        <v>0.45000000000000018</v>
      </c>
      <c r="AD1507" s="54">
        <f>SUM(AD1508:AD1516)</f>
        <v>77.981788235294147</v>
      </c>
      <c r="AE1507" s="184">
        <f>SUMIFS($AD$37:$AD$12971,$V$37:$V$12971,$V1507,$X$37:$X$12971,AE$13)</f>
        <v>0</v>
      </c>
      <c r="AF1507" s="185">
        <f>SUMIFS($AD$37:$AD$12971,$V$37:$V$12971,$V1507,$X$37:$X$12971,AF$13)</f>
        <v>0</v>
      </c>
      <c r="AG1507" s="185">
        <f>SUMIFS($AD$37:$AD$12971,$V$37:$V$12971,$V1507,$X$37:$X$12971,AG$13)</f>
        <v>0</v>
      </c>
      <c r="AH1507" s="187">
        <f>SUMIFS($AD$37:$AD$12971,$V$37:$V$12971,$V1507,$X$37:$X$12971,AH$13)</f>
        <v>0</v>
      </c>
      <c r="AI1507" s="161">
        <f t="shared" ref="AI1507" si="1145">SUM(AE1507:AH1507)</f>
        <v>0</v>
      </c>
      <c r="AK1507" s="172"/>
    </row>
    <row r="1508" spans="1:41" s="102" customFormat="1" ht="19.899999999999999" customHeight="1" x14ac:dyDescent="0.25">
      <c r="A1508" s="45"/>
      <c r="B1508" s="59"/>
      <c r="C1508" s="137"/>
      <c r="D1508" s="59"/>
      <c r="E1508" s="116"/>
      <c r="F1508" s="120"/>
      <c r="G1508" s="120"/>
      <c r="H1508" s="120"/>
      <c r="I1508" s="60"/>
      <c r="J1508" s="116"/>
      <c r="K1508" s="213"/>
      <c r="L1508" s="120"/>
      <c r="M1508" s="120"/>
      <c r="N1508" s="167"/>
      <c r="O1508" s="120"/>
      <c r="P1508" s="120"/>
      <c r="Q1508" s="120"/>
      <c r="R1508" s="120"/>
      <c r="S1508" s="120"/>
      <c r="T1508" s="221"/>
      <c r="U1508" s="89"/>
      <c r="V1508" s="61"/>
      <c r="W1508" s="92" t="s">
        <v>1273</v>
      </c>
      <c r="X1508" s="93" t="s">
        <v>30</v>
      </c>
      <c r="Y1508" s="93" t="s">
        <v>66</v>
      </c>
      <c r="Z1508" s="134">
        <f>VLOOKUP(W1508,Sheet2!$B:$D,3,FALSE)</f>
        <v>10</v>
      </c>
      <c r="AA1508" s="93">
        <f>1/(2.5*2*0.5*4)</f>
        <v>0.1</v>
      </c>
      <c r="AB1508" s="93">
        <f>AD1508/AC1507</f>
        <v>99.999999999999986</v>
      </c>
      <c r="AC1508" s="93">
        <f>AC1507/AA1508</f>
        <v>4.5000000000000018</v>
      </c>
      <c r="AD1508" s="94">
        <f t="shared" ref="AD1508:AD1510" si="1146">AC1508*Z1508</f>
        <v>45.000000000000014</v>
      </c>
      <c r="AE1508" s="190"/>
      <c r="AF1508" s="191"/>
      <c r="AG1508" s="191"/>
      <c r="AH1508" s="191"/>
      <c r="AI1508" s="186"/>
      <c r="AK1508" s="171"/>
    </row>
    <row r="1509" spans="1:41" s="102" customFormat="1" ht="19.899999999999999" customHeight="1" x14ac:dyDescent="0.25">
      <c r="A1509" s="45"/>
      <c r="B1509" s="59"/>
      <c r="C1509" s="137"/>
      <c r="D1509" s="59"/>
      <c r="E1509" s="116"/>
      <c r="F1509" s="120"/>
      <c r="G1509" s="120"/>
      <c r="H1509" s="120"/>
      <c r="I1509" s="60"/>
      <c r="J1509" s="116"/>
      <c r="K1509" s="213"/>
      <c r="L1509" s="120"/>
      <c r="M1509" s="120"/>
      <c r="N1509" s="167"/>
      <c r="O1509" s="120"/>
      <c r="P1509" s="120"/>
      <c r="Q1509" s="120"/>
      <c r="R1509" s="120"/>
      <c r="S1509" s="120"/>
      <c r="T1509" s="221"/>
      <c r="U1509" s="89"/>
      <c r="V1509" s="61"/>
      <c r="W1509" s="92" t="s">
        <v>134</v>
      </c>
      <c r="X1509" s="93" t="s">
        <v>29</v>
      </c>
      <c r="Y1509" s="93" t="s">
        <v>93</v>
      </c>
      <c r="Z1509" s="134">
        <f>VLOOKUP(W1509,Sheet2!$B:$D,3,FALSE)</f>
        <v>65.599999999999994</v>
      </c>
      <c r="AA1509" s="93">
        <f>100/(2.5*2*0.5*4)</f>
        <v>10</v>
      </c>
      <c r="AB1509" s="93">
        <f t="shared" ref="AB1509" si="1147">AD1509/AC1507</f>
        <v>6.56</v>
      </c>
      <c r="AC1509" s="93">
        <f>AC1507/AA1509</f>
        <v>4.5000000000000019E-2</v>
      </c>
      <c r="AD1509" s="94">
        <f t="shared" si="1146"/>
        <v>2.9520000000000008</v>
      </c>
      <c r="AE1509" s="190"/>
      <c r="AF1509" s="191"/>
      <c r="AG1509" s="191"/>
      <c r="AH1509" s="191"/>
      <c r="AI1509" s="186"/>
      <c r="AK1509" s="171"/>
    </row>
    <row r="1510" spans="1:41" s="102" customFormat="1" ht="19.899999999999999" customHeight="1" x14ac:dyDescent="0.25">
      <c r="A1510" s="45"/>
      <c r="B1510" s="59"/>
      <c r="C1510" s="137"/>
      <c r="D1510" s="59"/>
      <c r="E1510" s="116"/>
      <c r="F1510" s="120"/>
      <c r="G1510" s="120"/>
      <c r="H1510" s="120"/>
      <c r="I1510" s="60"/>
      <c r="J1510" s="116"/>
      <c r="K1510" s="213"/>
      <c r="L1510" s="120"/>
      <c r="M1510" s="120"/>
      <c r="N1510" s="167"/>
      <c r="O1510" s="120"/>
      <c r="P1510" s="120"/>
      <c r="Q1510" s="120"/>
      <c r="R1510" s="120"/>
      <c r="S1510" s="120"/>
      <c r="T1510" s="221"/>
      <c r="U1510" s="89"/>
      <c r="V1510" s="61"/>
      <c r="W1510" s="92" t="s">
        <v>65</v>
      </c>
      <c r="X1510" s="93" t="s">
        <v>30</v>
      </c>
      <c r="Y1510" s="93" t="s">
        <v>1011</v>
      </c>
      <c r="Z1510" s="134">
        <f>VLOOKUP(W1510,Sheet2!$B:$D,3,FALSE)</f>
        <v>1.76</v>
      </c>
      <c r="AA1510" s="93">
        <f>AA1509/9</f>
        <v>1.1111111111111112</v>
      </c>
      <c r="AB1510" s="93">
        <f>AD1510/AC1507</f>
        <v>1.5839999999999999</v>
      </c>
      <c r="AC1510" s="93">
        <f>AC1507/AA1510</f>
        <v>0.40500000000000014</v>
      </c>
      <c r="AD1510" s="94">
        <f t="shared" si="1146"/>
        <v>0.71280000000000021</v>
      </c>
      <c r="AE1510" s="190"/>
      <c r="AF1510" s="191"/>
      <c r="AG1510" s="191"/>
      <c r="AH1510" s="191"/>
      <c r="AI1510" s="186"/>
      <c r="AK1510" s="171"/>
    </row>
    <row r="1511" spans="1:41" s="102" customFormat="1" ht="19.899999999999999" customHeight="1" x14ac:dyDescent="0.25">
      <c r="A1511" s="45"/>
      <c r="B1511" s="59"/>
      <c r="C1511" s="137"/>
      <c r="D1511" s="59"/>
      <c r="E1511" s="116"/>
      <c r="F1511" s="120"/>
      <c r="G1511" s="120"/>
      <c r="H1511" s="120"/>
      <c r="I1511" s="60"/>
      <c r="J1511" s="116"/>
      <c r="K1511" s="213"/>
      <c r="L1511" s="120"/>
      <c r="M1511" s="120"/>
      <c r="N1511" s="167"/>
      <c r="O1511" s="120"/>
      <c r="P1511" s="120"/>
      <c r="Q1511" s="120"/>
      <c r="R1511" s="120"/>
      <c r="S1511" s="120"/>
      <c r="T1511" s="221"/>
      <c r="U1511" s="89"/>
      <c r="V1511" s="61"/>
      <c r="W1511" s="92" t="s">
        <v>161</v>
      </c>
      <c r="X1511" s="93" t="s">
        <v>29</v>
      </c>
      <c r="Y1511" s="93" t="s">
        <v>93</v>
      </c>
      <c r="Z1511" s="134">
        <f>VLOOKUP(W1511,Sheet2!$B:$D,3,FALSE)</f>
        <v>48</v>
      </c>
      <c r="AA1511" s="93">
        <f>(16*0.85*1.5)/(2.5*2*0.5*4)</f>
        <v>2.04</v>
      </c>
      <c r="AB1511" s="93">
        <f>AD1511/AC1507</f>
        <v>23.52941176470588</v>
      </c>
      <c r="AC1511" s="93">
        <f>AC1507/AA1511</f>
        <v>0.22058823529411772</v>
      </c>
      <c r="AD1511" s="94">
        <f>AC1511*Z1511</f>
        <v>10.58823529411765</v>
      </c>
      <c r="AE1511" s="190"/>
      <c r="AF1511" s="191"/>
      <c r="AG1511" s="191"/>
      <c r="AH1511" s="191"/>
      <c r="AI1511" s="186"/>
      <c r="AK1511" s="171"/>
    </row>
    <row r="1512" spans="1:41" s="102" customFormat="1" ht="19.899999999999999" customHeight="1" x14ac:dyDescent="0.25">
      <c r="A1512" s="45"/>
      <c r="B1512" s="59"/>
      <c r="C1512" s="137"/>
      <c r="D1512" s="59"/>
      <c r="E1512" s="116"/>
      <c r="F1512" s="120"/>
      <c r="G1512" s="120"/>
      <c r="H1512" s="120"/>
      <c r="I1512" s="60"/>
      <c r="J1512" s="116"/>
      <c r="K1512" s="213"/>
      <c r="L1512" s="120"/>
      <c r="M1512" s="120"/>
      <c r="N1512" s="167"/>
      <c r="O1512" s="120"/>
      <c r="P1512" s="120"/>
      <c r="Q1512" s="120"/>
      <c r="R1512" s="120"/>
      <c r="S1512" s="120"/>
      <c r="T1512" s="221"/>
      <c r="U1512" s="89"/>
      <c r="V1512" s="61"/>
      <c r="W1512" s="92" t="s">
        <v>65</v>
      </c>
      <c r="X1512" s="93" t="s">
        <v>30</v>
      </c>
      <c r="Y1512" s="93" t="s">
        <v>1011</v>
      </c>
      <c r="Z1512" s="134">
        <f>VLOOKUP(W1512,Sheet2!$B:$D,3,FALSE)</f>
        <v>1.76</v>
      </c>
      <c r="AA1512" s="93">
        <f>AA1511/10</f>
        <v>0.20400000000000001</v>
      </c>
      <c r="AB1512" s="93">
        <f>AD1512/AC1507</f>
        <v>8.6274509803921546</v>
      </c>
      <c r="AC1512" s="93">
        <f>AC1507/AA1512</f>
        <v>2.2058823529411771</v>
      </c>
      <c r="AD1512" s="94">
        <f>AC1512*Z1512</f>
        <v>3.8823529411764715</v>
      </c>
      <c r="AE1512" s="190"/>
      <c r="AF1512" s="191"/>
      <c r="AG1512" s="191"/>
      <c r="AH1512" s="191"/>
      <c r="AI1512" s="186"/>
      <c r="AK1512" s="171"/>
    </row>
    <row r="1513" spans="1:41" s="102" customFormat="1" ht="19.899999999999999" customHeight="1" x14ac:dyDescent="0.25">
      <c r="A1513" s="45"/>
      <c r="B1513" s="59"/>
      <c r="C1513" s="137"/>
      <c r="D1513" s="59"/>
      <c r="E1513" s="116"/>
      <c r="F1513" s="120"/>
      <c r="G1513" s="120"/>
      <c r="H1513" s="120"/>
      <c r="I1513" s="60"/>
      <c r="J1513" s="116"/>
      <c r="K1513" s="213"/>
      <c r="L1513" s="120"/>
      <c r="M1513" s="120"/>
      <c r="N1513" s="167"/>
      <c r="O1513" s="120"/>
      <c r="P1513" s="120"/>
      <c r="Q1513" s="120"/>
      <c r="R1513" s="120"/>
      <c r="S1513" s="120"/>
      <c r="T1513" s="221"/>
      <c r="U1513" s="89"/>
      <c r="V1513" s="61"/>
      <c r="W1513" s="92" t="s">
        <v>173</v>
      </c>
      <c r="X1513" s="93" t="s">
        <v>29</v>
      </c>
      <c r="Y1513" s="93" t="s">
        <v>93</v>
      </c>
      <c r="Z1513" s="134">
        <f>VLOOKUP(W1513,Sheet2!$B:$D,3,FALSE)</f>
        <v>36</v>
      </c>
      <c r="AA1513" s="93">
        <f>50/(2.5*2*0.5*4)</f>
        <v>5</v>
      </c>
      <c r="AB1513" s="93">
        <f>AD1513/AC1507</f>
        <v>7.2</v>
      </c>
      <c r="AC1513" s="93">
        <f>AC1507/AA1513</f>
        <v>9.0000000000000038E-2</v>
      </c>
      <c r="AD1513" s="94">
        <f>AC1513*Z1513</f>
        <v>3.2400000000000015</v>
      </c>
      <c r="AE1513" s="190"/>
      <c r="AF1513" s="191"/>
      <c r="AG1513" s="191"/>
      <c r="AH1513" s="191"/>
      <c r="AI1513" s="186"/>
      <c r="AK1513" s="171"/>
    </row>
    <row r="1514" spans="1:41" s="102" customFormat="1" ht="19.899999999999999" customHeight="1" x14ac:dyDescent="0.25">
      <c r="A1514" s="45"/>
      <c r="B1514" s="59"/>
      <c r="C1514" s="137"/>
      <c r="D1514" s="59"/>
      <c r="E1514" s="116"/>
      <c r="F1514" s="120"/>
      <c r="G1514" s="120"/>
      <c r="H1514" s="120"/>
      <c r="I1514" s="60"/>
      <c r="J1514" s="116"/>
      <c r="K1514" s="213"/>
      <c r="L1514" s="120"/>
      <c r="M1514" s="120"/>
      <c r="N1514" s="167"/>
      <c r="O1514" s="120"/>
      <c r="P1514" s="120"/>
      <c r="Q1514" s="120"/>
      <c r="R1514" s="120"/>
      <c r="S1514" s="120"/>
      <c r="T1514" s="221"/>
      <c r="U1514" s="89"/>
      <c r="V1514" s="61"/>
      <c r="W1514" s="92" t="s">
        <v>65</v>
      </c>
      <c r="X1514" s="93" t="s">
        <v>30</v>
      </c>
      <c r="Y1514" s="93" t="s">
        <v>1011</v>
      </c>
      <c r="Z1514" s="134">
        <f>VLOOKUP(W1514,Sheet2!$B:$D,3,FALSE)</f>
        <v>1.76</v>
      </c>
      <c r="AA1514" s="93">
        <f>AA1513/9</f>
        <v>0.55555555555555558</v>
      </c>
      <c r="AB1514" s="93">
        <f>AD1514/AC1507</f>
        <v>3.1679999999999997</v>
      </c>
      <c r="AC1514" s="93">
        <f>AC1507/AA1514</f>
        <v>0.81000000000000028</v>
      </c>
      <c r="AD1514" s="94">
        <f>AC1514*Z1514</f>
        <v>1.4256000000000004</v>
      </c>
      <c r="AE1514" s="190"/>
      <c r="AF1514" s="191"/>
      <c r="AG1514" s="191"/>
      <c r="AH1514" s="191"/>
      <c r="AI1514" s="186"/>
      <c r="AK1514" s="171"/>
    </row>
    <row r="1515" spans="1:41" s="102" customFormat="1" ht="19.899999999999999" customHeight="1" x14ac:dyDescent="0.25">
      <c r="A1515" s="45"/>
      <c r="B1515" s="59"/>
      <c r="C1515" s="137"/>
      <c r="D1515" s="59"/>
      <c r="E1515" s="116"/>
      <c r="F1515" s="120"/>
      <c r="G1515" s="120"/>
      <c r="H1515" s="120"/>
      <c r="I1515" s="60"/>
      <c r="J1515" s="116"/>
      <c r="K1515" s="213"/>
      <c r="L1515" s="120"/>
      <c r="M1515" s="120"/>
      <c r="N1515" s="167"/>
      <c r="O1515" s="120"/>
      <c r="P1515" s="120"/>
      <c r="Q1515" s="120"/>
      <c r="R1515" s="120"/>
      <c r="S1515" s="120"/>
      <c r="T1515" s="221"/>
      <c r="U1515" s="89"/>
      <c r="V1515" s="61"/>
      <c r="W1515" s="92" t="s">
        <v>1030</v>
      </c>
      <c r="X1515" s="93" t="s">
        <v>29</v>
      </c>
      <c r="Y1515" s="93" t="s">
        <v>93</v>
      </c>
      <c r="Z1515" s="134">
        <f>VLOOKUP(W1515,Sheet2!$B:$D,3,FALSE)</f>
        <v>23</v>
      </c>
      <c r="AA1515" s="93">
        <f>1*1.25</f>
        <v>1.25</v>
      </c>
      <c r="AB1515" s="93">
        <f>AD1515/AC1507</f>
        <v>18.399999999999999</v>
      </c>
      <c r="AC1515" s="93">
        <f>AC1507/AA1515</f>
        <v>0.36000000000000015</v>
      </c>
      <c r="AD1515" s="94">
        <f t="shared" ref="AD1515:AD1516" si="1148">AC1515*Z1515</f>
        <v>8.2800000000000029</v>
      </c>
      <c r="AE1515" s="190"/>
      <c r="AF1515" s="191"/>
      <c r="AG1515" s="191"/>
      <c r="AH1515" s="191"/>
      <c r="AI1515" s="186"/>
      <c r="AK1515" s="171"/>
    </row>
    <row r="1516" spans="1:41" s="102" customFormat="1" ht="19.899999999999999" customHeight="1" x14ac:dyDescent="0.25">
      <c r="A1516" s="45"/>
      <c r="B1516" s="59"/>
      <c r="C1516" s="137"/>
      <c r="D1516" s="59"/>
      <c r="E1516" s="116"/>
      <c r="F1516" s="120"/>
      <c r="G1516" s="120"/>
      <c r="H1516" s="120"/>
      <c r="I1516" s="60"/>
      <c r="J1516" s="116"/>
      <c r="K1516" s="213"/>
      <c r="L1516" s="120"/>
      <c r="M1516" s="120"/>
      <c r="N1516" s="167"/>
      <c r="O1516" s="120"/>
      <c r="P1516" s="120"/>
      <c r="Q1516" s="120"/>
      <c r="R1516" s="120"/>
      <c r="S1516" s="120"/>
      <c r="T1516" s="221"/>
      <c r="U1516" s="89"/>
      <c r="V1516" s="61"/>
      <c r="W1516" s="92" t="s">
        <v>65</v>
      </c>
      <c r="X1516" s="93" t="s">
        <v>30</v>
      </c>
      <c r="Y1516" s="93" t="s">
        <v>1011</v>
      </c>
      <c r="Z1516" s="134">
        <f>VLOOKUP(W1516,Sheet2!$B:$D,3,FALSE)</f>
        <v>1.76</v>
      </c>
      <c r="AA1516" s="93">
        <f>AA1515/3</f>
        <v>0.41666666666666669</v>
      </c>
      <c r="AB1516" s="93">
        <f>AD1516/AC1507</f>
        <v>4.2239999999999993</v>
      </c>
      <c r="AC1516" s="93">
        <f>AC1507/AA1516</f>
        <v>1.0800000000000003</v>
      </c>
      <c r="AD1516" s="94">
        <f t="shared" si="1148"/>
        <v>1.9008000000000005</v>
      </c>
      <c r="AE1516" s="190"/>
      <c r="AF1516" s="191"/>
      <c r="AG1516" s="191"/>
      <c r="AH1516" s="191"/>
      <c r="AI1516" s="186"/>
      <c r="AK1516" s="171"/>
    </row>
    <row r="1517" spans="1:41" ht="20.100000000000001" customHeight="1" x14ac:dyDescent="0.25">
      <c r="A1517" s="277" t="s">
        <v>216</v>
      </c>
      <c r="B1517" s="278"/>
      <c r="C1517" s="64" t="s">
        <v>358</v>
      </c>
      <c r="D1517" s="46" t="s">
        <v>215</v>
      </c>
      <c r="E1517" s="114"/>
      <c r="F1517" s="44">
        <v>0</v>
      </c>
      <c r="G1517" s="44">
        <f t="shared" si="607"/>
        <v>0</v>
      </c>
      <c r="H1517" s="44">
        <f t="shared" si="608"/>
        <v>0</v>
      </c>
      <c r="I1517" s="43">
        <f t="shared" si="609"/>
        <v>0</v>
      </c>
      <c r="J1517" s="112">
        <f t="shared" si="610"/>
        <v>0</v>
      </c>
      <c r="K1517" s="211">
        <f t="shared" si="611"/>
        <v>0</v>
      </c>
      <c r="L1517" s="44"/>
      <c r="M1517" s="44">
        <f t="shared" si="612"/>
        <v>0</v>
      </c>
      <c r="N1517" s="173">
        <f t="shared" si="613"/>
        <v>0</v>
      </c>
      <c r="O1517" s="44">
        <f t="shared" si="614"/>
        <v>0</v>
      </c>
      <c r="P1517" s="44">
        <f t="shared" si="615"/>
        <v>0</v>
      </c>
      <c r="Q1517" s="44">
        <f t="shared" si="616"/>
        <v>0</v>
      </c>
      <c r="R1517" s="44">
        <f t="shared" si="617"/>
        <v>0</v>
      </c>
      <c r="S1517" s="123"/>
      <c r="T1517" s="219">
        <f t="shared" si="618"/>
        <v>0</v>
      </c>
      <c r="U1517" s="87"/>
      <c r="V1517" s="47"/>
      <c r="W1517" s="48"/>
      <c r="X1517" s="48"/>
      <c r="Y1517" s="48"/>
      <c r="Z1517" s="135"/>
      <c r="AA1517" s="49"/>
      <c r="AB1517" s="50">
        <f t="shared" si="619"/>
        <v>0</v>
      </c>
      <c r="AC1517" s="42">
        <f t="shared" si="620"/>
        <v>9.9999999999999998E-20</v>
      </c>
      <c r="AD1517" s="90"/>
      <c r="AE1517" s="188"/>
      <c r="AF1517" s="189"/>
      <c r="AG1517" s="189"/>
      <c r="AH1517" s="189"/>
      <c r="AI1517" s="161"/>
    </row>
    <row r="1518" spans="1:41" ht="20.100000000000001" customHeight="1" x14ac:dyDescent="0.25">
      <c r="A1518" s="277" t="s">
        <v>216</v>
      </c>
      <c r="B1518" s="278"/>
      <c r="C1518" s="64" t="s">
        <v>351</v>
      </c>
      <c r="D1518" s="46" t="s">
        <v>215</v>
      </c>
      <c r="E1518" s="114"/>
      <c r="F1518" s="44">
        <v>0</v>
      </c>
      <c r="G1518" s="44">
        <f t="shared" si="607"/>
        <v>0</v>
      </c>
      <c r="H1518" s="44">
        <f t="shared" si="608"/>
        <v>0</v>
      </c>
      <c r="I1518" s="43">
        <f t="shared" si="609"/>
        <v>0</v>
      </c>
      <c r="J1518" s="112">
        <f t="shared" si="610"/>
        <v>0</v>
      </c>
      <c r="K1518" s="211">
        <f t="shared" si="611"/>
        <v>0</v>
      </c>
      <c r="L1518" s="44"/>
      <c r="M1518" s="44">
        <f t="shared" si="612"/>
        <v>0</v>
      </c>
      <c r="N1518" s="173">
        <f t="shared" si="613"/>
        <v>0</v>
      </c>
      <c r="O1518" s="44">
        <f t="shared" si="614"/>
        <v>0</v>
      </c>
      <c r="P1518" s="44">
        <f t="shared" si="615"/>
        <v>0</v>
      </c>
      <c r="Q1518" s="44">
        <f t="shared" si="616"/>
        <v>0</v>
      </c>
      <c r="R1518" s="44">
        <f t="shared" si="617"/>
        <v>0</v>
      </c>
      <c r="S1518" s="123"/>
      <c r="T1518" s="219">
        <f t="shared" si="618"/>
        <v>0</v>
      </c>
      <c r="U1518" s="87"/>
      <c r="V1518" s="47"/>
      <c r="W1518" s="48"/>
      <c r="X1518" s="48"/>
      <c r="Y1518" s="48"/>
      <c r="Z1518" s="135"/>
      <c r="AA1518" s="49"/>
      <c r="AB1518" s="50">
        <f t="shared" si="619"/>
        <v>0</v>
      </c>
      <c r="AC1518" s="42">
        <f t="shared" si="620"/>
        <v>9.9999999999999998E-20</v>
      </c>
      <c r="AD1518" s="90"/>
      <c r="AE1518" s="188"/>
      <c r="AF1518" s="189"/>
      <c r="AG1518" s="189"/>
      <c r="AH1518" s="189"/>
      <c r="AI1518" s="161"/>
    </row>
    <row r="1519" spans="1:41" s="306" customFormat="1" ht="20.100000000000001" customHeight="1" x14ac:dyDescent="0.25">
      <c r="A1519" s="287" t="s">
        <v>216</v>
      </c>
      <c r="B1519" s="288"/>
      <c r="C1519" s="310" t="s">
        <v>359</v>
      </c>
      <c r="D1519" s="289"/>
      <c r="E1519" s="290"/>
      <c r="F1519" s="291"/>
      <c r="G1519" s="291">
        <f t="shared" si="607"/>
        <v>0</v>
      </c>
      <c r="H1519" s="291">
        <f t="shared" si="608"/>
        <v>0</v>
      </c>
      <c r="I1519" s="292">
        <f t="shared" si="609"/>
        <v>0</v>
      </c>
      <c r="J1519" s="290">
        <f t="shared" si="610"/>
        <v>0</v>
      </c>
      <c r="K1519" s="293">
        <f t="shared" si="611"/>
        <v>0</v>
      </c>
      <c r="L1519" s="291"/>
      <c r="M1519" s="291">
        <f t="shared" si="612"/>
        <v>0</v>
      </c>
      <c r="N1519" s="294">
        <f t="shared" si="613"/>
        <v>0</v>
      </c>
      <c r="O1519" s="291">
        <f t="shared" si="614"/>
        <v>0</v>
      </c>
      <c r="P1519" s="291">
        <f t="shared" si="615"/>
        <v>0</v>
      </c>
      <c r="Q1519" s="291">
        <f t="shared" si="616"/>
        <v>0</v>
      </c>
      <c r="R1519" s="291">
        <f t="shared" si="617"/>
        <v>0</v>
      </c>
      <c r="S1519" s="291"/>
      <c r="T1519" s="295">
        <f t="shared" si="618"/>
        <v>0</v>
      </c>
      <c r="U1519" s="296"/>
      <c r="V1519" s="297"/>
      <c r="W1519" s="298"/>
      <c r="X1519" s="299"/>
      <c r="Y1519" s="300"/>
      <c r="Z1519" s="301"/>
      <c r="AA1519" s="300"/>
      <c r="AB1519" s="300">
        <f t="shared" si="619"/>
        <v>0</v>
      </c>
      <c r="AC1519" s="300">
        <f t="shared" si="620"/>
        <v>9.9999999999999998E-20</v>
      </c>
      <c r="AD1519" s="302"/>
      <c r="AE1519" s="303"/>
      <c r="AF1519" s="304"/>
      <c r="AG1519" s="304"/>
      <c r="AH1519" s="304"/>
      <c r="AI1519" s="305"/>
      <c r="AK1519" s="307"/>
    </row>
    <row r="1520" spans="1:41" ht="20.100000000000001" customHeight="1" x14ac:dyDescent="0.25">
      <c r="A1520" s="277" t="s">
        <v>216</v>
      </c>
      <c r="B1520" s="278"/>
      <c r="C1520" s="64" t="s">
        <v>360</v>
      </c>
      <c r="D1520" s="46" t="s">
        <v>215</v>
      </c>
      <c r="E1520" s="114">
        <v>1.0000000000000002</v>
      </c>
      <c r="F1520" s="44">
        <v>21399</v>
      </c>
      <c r="G1520" s="44">
        <f t="shared" si="607"/>
        <v>21399.000000000004</v>
      </c>
      <c r="H1520" s="44">
        <f t="shared" si="608"/>
        <v>10630.41297254902</v>
      </c>
      <c r="I1520" s="43">
        <f t="shared" si="609"/>
        <v>10630.412972549022</v>
      </c>
      <c r="J1520" s="112">
        <f t="shared" si="610"/>
        <v>1.0000000000000002</v>
      </c>
      <c r="K1520" s="211">
        <f t="shared" si="611"/>
        <v>1.0000000000000002</v>
      </c>
      <c r="L1520" s="44"/>
      <c r="M1520" s="44">
        <f t="shared" si="612"/>
        <v>1.0000000000000002</v>
      </c>
      <c r="N1520" s="173">
        <f t="shared" si="613"/>
        <v>1</v>
      </c>
      <c r="O1520" s="44">
        <f t="shared" si="614"/>
        <v>21399</v>
      </c>
      <c r="P1520" s="44">
        <f t="shared" si="615"/>
        <v>21399.000000000004</v>
      </c>
      <c r="Q1520" s="44">
        <f t="shared" si="616"/>
        <v>10630.41297254902</v>
      </c>
      <c r="R1520" s="44">
        <f t="shared" si="617"/>
        <v>10630.412972549022</v>
      </c>
      <c r="S1520" s="123"/>
      <c r="T1520" s="219">
        <f t="shared" si="618"/>
        <v>10630.412972549022</v>
      </c>
      <c r="U1520" s="87"/>
      <c r="V1520" s="47"/>
      <c r="W1520" s="48"/>
      <c r="X1520" s="48"/>
      <c r="Y1520" s="48"/>
      <c r="Z1520" s="135"/>
      <c r="AA1520" s="49"/>
      <c r="AB1520" s="50">
        <f t="shared" si="619"/>
        <v>10630.41297254902</v>
      </c>
      <c r="AC1520" s="42">
        <f t="shared" si="620"/>
        <v>1.0000000000000002</v>
      </c>
      <c r="AD1520" s="90">
        <f>AD1521+AD1526+AD1538+AD1541</f>
        <v>10630.412972549022</v>
      </c>
      <c r="AE1520" s="188">
        <f t="shared" ref="AE1520:AH1520" si="1149">AE1521+AE1526+AE1538+AE1541</f>
        <v>0</v>
      </c>
      <c r="AF1520" s="189">
        <f t="shared" si="1149"/>
        <v>0</v>
      </c>
      <c r="AG1520" s="189">
        <f t="shared" si="1149"/>
        <v>0</v>
      </c>
      <c r="AH1520" s="189">
        <f t="shared" si="1149"/>
        <v>0</v>
      </c>
      <c r="AI1520" s="161">
        <f t="shared" ref="AI1520" si="1150">SUM(AE1520:AH1520)</f>
        <v>0</v>
      </c>
      <c r="AK1520" s="169">
        <v>5</v>
      </c>
      <c r="AO1520" s="19" t="s">
        <v>63</v>
      </c>
    </row>
    <row r="1521" spans="1:37" s="103" customFormat="1" ht="19.899999999999999" customHeight="1" x14ac:dyDescent="0.25">
      <c r="A1521" s="51"/>
      <c r="B1521" s="52"/>
      <c r="C1521" s="165"/>
      <c r="D1521" s="52"/>
      <c r="E1521" s="115"/>
      <c r="F1521" s="58"/>
      <c r="G1521" s="58"/>
      <c r="H1521" s="58"/>
      <c r="I1521" s="55"/>
      <c r="J1521" s="113">
        <f>J1520</f>
        <v>1.0000000000000002</v>
      </c>
      <c r="K1521" s="212">
        <f>K1520</f>
        <v>1.0000000000000002</v>
      </c>
      <c r="L1521" s="58"/>
      <c r="M1521" s="58">
        <f>K1521-L1521</f>
        <v>1.0000000000000002</v>
      </c>
      <c r="N1521" s="166"/>
      <c r="O1521" s="58"/>
      <c r="P1521" s="58"/>
      <c r="Q1521" s="58"/>
      <c r="R1521" s="58"/>
      <c r="S1521" s="58"/>
      <c r="T1521" s="220"/>
      <c r="U1521" s="88"/>
      <c r="V1521" s="56"/>
      <c r="W1521" s="57" t="s">
        <v>1365</v>
      </c>
      <c r="X1521" s="53"/>
      <c r="Y1521" s="91" t="s">
        <v>35</v>
      </c>
      <c r="Z1521" s="136">
        <f>AD1521/AC1521</f>
        <v>72.397552941176471</v>
      </c>
      <c r="AA1521" s="58"/>
      <c r="AB1521" s="53">
        <f>AD1521/AC1521</f>
        <v>72.397552941176471</v>
      </c>
      <c r="AC1521" s="53">
        <f>M1521+$AE$10</f>
        <v>1.0000000000000002</v>
      </c>
      <c r="AD1521" s="54">
        <f>SUM(AD1522:AD1525)</f>
        <v>72.397552941176485</v>
      </c>
      <c r="AE1521" s="184">
        <f>SUMIFS($AD$37:$AD$12971,$V$37:$V$12971,$V1521,$X$37:$X$12971,AE$13)</f>
        <v>0</v>
      </c>
      <c r="AF1521" s="185">
        <f>SUMIFS($AD$37:$AD$12971,$V$37:$V$12971,$V1521,$X$37:$X$12971,AF$13)</f>
        <v>0</v>
      </c>
      <c r="AG1521" s="185">
        <f>SUMIFS($AD$37:$AD$12971,$V$37:$V$12971,$V1521,$X$37:$X$12971,AG$13)</f>
        <v>0</v>
      </c>
      <c r="AH1521" s="187">
        <f>SUMIFS($AD$37:$AD$12971,$V$37:$V$12971,$V1521,$X$37:$X$12971,AH$13)</f>
        <v>0</v>
      </c>
      <c r="AI1521" s="161">
        <f t="shared" ref="AI1521" si="1151">SUM(AE1521:AH1521)</f>
        <v>0</v>
      </c>
      <c r="AK1521" s="172"/>
    </row>
    <row r="1522" spans="1:37" s="102" customFormat="1" ht="19.899999999999999" customHeight="1" x14ac:dyDescent="0.25">
      <c r="A1522" s="45"/>
      <c r="B1522" s="59"/>
      <c r="C1522" s="137"/>
      <c r="D1522" s="59"/>
      <c r="E1522" s="116"/>
      <c r="F1522" s="120"/>
      <c r="G1522" s="120"/>
      <c r="H1522" s="120"/>
      <c r="I1522" s="60"/>
      <c r="J1522" s="116"/>
      <c r="K1522" s="213"/>
      <c r="L1522" s="120"/>
      <c r="M1522" s="120"/>
      <c r="N1522" s="167"/>
      <c r="O1522" s="120"/>
      <c r="P1522" s="120"/>
      <c r="Q1522" s="120"/>
      <c r="R1522" s="120"/>
      <c r="S1522" s="120"/>
      <c r="T1522" s="221"/>
      <c r="U1522" s="89"/>
      <c r="V1522" s="61"/>
      <c r="W1522" s="92" t="s">
        <v>129</v>
      </c>
      <c r="X1522" s="93" t="s">
        <v>29</v>
      </c>
      <c r="Y1522" s="93" t="s">
        <v>93</v>
      </c>
      <c r="Z1522" s="134">
        <f>VLOOKUP(W1522,Sheet2!$B:$D,3,FALSE)</f>
        <v>56</v>
      </c>
      <c r="AA1522" s="93">
        <f>100/(3*3*2)</f>
        <v>5.5555555555555554</v>
      </c>
      <c r="AB1522" s="93">
        <f t="shared" ref="AB1522" si="1152">AD1522/AC1521</f>
        <v>10.08</v>
      </c>
      <c r="AC1522" s="93">
        <f>AC1521/AA1522</f>
        <v>0.18000000000000005</v>
      </c>
      <c r="AD1522" s="94">
        <f t="shared" ref="AD1522:AD1523" si="1153">AC1522*Z1522</f>
        <v>10.080000000000002</v>
      </c>
      <c r="AE1522" s="190"/>
      <c r="AF1522" s="191"/>
      <c r="AG1522" s="191"/>
      <c r="AH1522" s="191"/>
      <c r="AI1522" s="186"/>
      <c r="AK1522" s="171"/>
    </row>
    <row r="1523" spans="1:37" s="102" customFormat="1" ht="19.899999999999999" customHeight="1" x14ac:dyDescent="0.25">
      <c r="A1523" s="45"/>
      <c r="B1523" s="59"/>
      <c r="C1523" s="137"/>
      <c r="D1523" s="59"/>
      <c r="E1523" s="116"/>
      <c r="F1523" s="120"/>
      <c r="G1523" s="120"/>
      <c r="H1523" s="120"/>
      <c r="I1523" s="60"/>
      <c r="J1523" s="116"/>
      <c r="K1523" s="213"/>
      <c r="L1523" s="120"/>
      <c r="M1523" s="120"/>
      <c r="N1523" s="167"/>
      <c r="O1523" s="120"/>
      <c r="P1523" s="120"/>
      <c r="Q1523" s="120"/>
      <c r="R1523" s="120"/>
      <c r="S1523" s="120"/>
      <c r="T1523" s="221"/>
      <c r="U1523" s="89"/>
      <c r="V1523" s="61"/>
      <c r="W1523" s="92" t="s">
        <v>65</v>
      </c>
      <c r="X1523" s="93" t="s">
        <v>30</v>
      </c>
      <c r="Y1523" s="93" t="s">
        <v>1011</v>
      </c>
      <c r="Z1523" s="134">
        <f>VLOOKUP(W1523,Sheet2!$B:$D,3,FALSE)</f>
        <v>1.76</v>
      </c>
      <c r="AA1523" s="93">
        <f>AA1522/14</f>
        <v>0.3968253968253968</v>
      </c>
      <c r="AB1523" s="93">
        <f>AD1523/AC1521</f>
        <v>4.4352000000000009</v>
      </c>
      <c r="AC1523" s="93">
        <f>AC1521/AA1523</f>
        <v>2.5200000000000009</v>
      </c>
      <c r="AD1523" s="94">
        <f t="shared" si="1153"/>
        <v>4.4352000000000018</v>
      </c>
      <c r="AE1523" s="190"/>
      <c r="AF1523" s="191"/>
      <c r="AG1523" s="191"/>
      <c r="AH1523" s="191"/>
      <c r="AI1523" s="186"/>
      <c r="AK1523" s="171"/>
    </row>
    <row r="1524" spans="1:37" s="102" customFormat="1" ht="19.899999999999999" customHeight="1" x14ac:dyDescent="0.25">
      <c r="A1524" s="45"/>
      <c r="B1524" s="59"/>
      <c r="C1524" s="137"/>
      <c r="D1524" s="59"/>
      <c r="E1524" s="116"/>
      <c r="F1524" s="120"/>
      <c r="G1524" s="120"/>
      <c r="H1524" s="120"/>
      <c r="I1524" s="60"/>
      <c r="J1524" s="116"/>
      <c r="K1524" s="213"/>
      <c r="L1524" s="120"/>
      <c r="M1524" s="120"/>
      <c r="N1524" s="167"/>
      <c r="O1524" s="120"/>
      <c r="P1524" s="120"/>
      <c r="Q1524" s="120"/>
      <c r="R1524" s="120"/>
      <c r="S1524" s="120"/>
      <c r="T1524" s="221"/>
      <c r="U1524" s="89"/>
      <c r="V1524" s="61"/>
      <c r="W1524" s="92" t="s">
        <v>161</v>
      </c>
      <c r="X1524" s="93" t="s">
        <v>29</v>
      </c>
      <c r="Y1524" s="93" t="s">
        <v>93</v>
      </c>
      <c r="Z1524" s="134">
        <f>VLOOKUP(W1524,Sheet2!$B:$D,3,FALSE)</f>
        <v>48</v>
      </c>
      <c r="AA1524" s="93">
        <f>(16*0.85*1.5)/(3*3*2)</f>
        <v>1.1333333333333333</v>
      </c>
      <c r="AB1524" s="93">
        <f>AD1524/AC1521</f>
        <v>42.352941176470587</v>
      </c>
      <c r="AC1524" s="93">
        <f>AC1521/AA1524</f>
        <v>0.88235294117647078</v>
      </c>
      <c r="AD1524" s="94">
        <f>AC1524*Z1524</f>
        <v>42.352941176470594</v>
      </c>
      <c r="AE1524" s="190"/>
      <c r="AF1524" s="191"/>
      <c r="AG1524" s="191"/>
      <c r="AH1524" s="191"/>
      <c r="AI1524" s="186"/>
      <c r="AK1524" s="171"/>
    </row>
    <row r="1525" spans="1:37" s="102" customFormat="1" ht="19.899999999999999" customHeight="1" x14ac:dyDescent="0.25">
      <c r="A1525" s="45"/>
      <c r="B1525" s="59"/>
      <c r="C1525" s="137"/>
      <c r="D1525" s="59"/>
      <c r="E1525" s="116"/>
      <c r="F1525" s="120"/>
      <c r="G1525" s="120"/>
      <c r="H1525" s="120"/>
      <c r="I1525" s="60"/>
      <c r="J1525" s="116"/>
      <c r="K1525" s="213"/>
      <c r="L1525" s="120"/>
      <c r="M1525" s="120"/>
      <c r="N1525" s="167"/>
      <c r="O1525" s="120"/>
      <c r="P1525" s="120"/>
      <c r="Q1525" s="120"/>
      <c r="R1525" s="120"/>
      <c r="S1525" s="120"/>
      <c r="T1525" s="221"/>
      <c r="U1525" s="89"/>
      <c r="V1525" s="61"/>
      <c r="W1525" s="92" t="s">
        <v>65</v>
      </c>
      <c r="X1525" s="93" t="s">
        <v>30</v>
      </c>
      <c r="Y1525" s="93" t="s">
        <v>1011</v>
      </c>
      <c r="Z1525" s="134">
        <f>VLOOKUP(W1525,Sheet2!$B:$D,3,FALSE)</f>
        <v>1.76</v>
      </c>
      <c r="AA1525" s="93">
        <f>AA1524/10</f>
        <v>0.11333333333333333</v>
      </c>
      <c r="AB1525" s="93">
        <f>AD1525/AC1521</f>
        <v>15.529411764705882</v>
      </c>
      <c r="AC1525" s="93">
        <f>AC1521/AA1525</f>
        <v>8.8235294117647083</v>
      </c>
      <c r="AD1525" s="94">
        <f>AC1525*Z1525</f>
        <v>15.529411764705886</v>
      </c>
      <c r="AE1525" s="190"/>
      <c r="AF1525" s="191"/>
      <c r="AG1525" s="191"/>
      <c r="AH1525" s="191"/>
      <c r="AI1525" s="186"/>
      <c r="AK1525" s="171"/>
    </row>
    <row r="1526" spans="1:37" s="103" customFormat="1" ht="19.899999999999999" customHeight="1" x14ac:dyDescent="0.25">
      <c r="A1526" s="51"/>
      <c r="B1526" s="52"/>
      <c r="C1526" s="165"/>
      <c r="D1526" s="52"/>
      <c r="E1526" s="115"/>
      <c r="F1526" s="58"/>
      <c r="G1526" s="58"/>
      <c r="H1526" s="58"/>
      <c r="I1526" s="55"/>
      <c r="J1526" s="113">
        <f>J1520</f>
        <v>1.0000000000000002</v>
      </c>
      <c r="K1526" s="212">
        <f>K1520</f>
        <v>1.0000000000000002</v>
      </c>
      <c r="L1526" s="58"/>
      <c r="M1526" s="58">
        <f>K1526-L1526</f>
        <v>1.0000000000000002</v>
      </c>
      <c r="N1526" s="166"/>
      <c r="O1526" s="58"/>
      <c r="P1526" s="58"/>
      <c r="Q1526" s="58"/>
      <c r="R1526" s="58"/>
      <c r="S1526" s="58"/>
      <c r="T1526" s="220"/>
      <c r="U1526" s="88"/>
      <c r="V1526" s="56"/>
      <c r="W1526" s="57" t="s">
        <v>1352</v>
      </c>
      <c r="X1526" s="53"/>
      <c r="Y1526" s="91" t="s">
        <v>35</v>
      </c>
      <c r="Z1526" s="136">
        <f>AD1526/AC1526</f>
        <v>7936.6</v>
      </c>
      <c r="AA1526" s="58"/>
      <c r="AB1526" s="53">
        <f>AD1526/AC1526</f>
        <v>7936.6</v>
      </c>
      <c r="AC1526" s="53">
        <f>M1526+$AE$10</f>
        <v>1.0000000000000002</v>
      </c>
      <c r="AD1526" s="54">
        <f>SUM(AD1527:AD1537)</f>
        <v>7936.6000000000022</v>
      </c>
      <c r="AE1526" s="184">
        <f>SUMIFS($AD$37:$AD$12971,$V$37:$V$12971,$V1526,$X$37:$X$12971,AE$13)</f>
        <v>0</v>
      </c>
      <c r="AF1526" s="185">
        <f>SUMIFS($AD$37:$AD$12971,$V$37:$V$12971,$V1526,$X$37:$X$12971,AF$13)</f>
        <v>0</v>
      </c>
      <c r="AG1526" s="185">
        <f>SUMIFS($AD$37:$AD$12971,$V$37:$V$12971,$V1526,$X$37:$X$12971,AG$13)</f>
        <v>0</v>
      </c>
      <c r="AH1526" s="187">
        <f>SUMIFS($AD$37:$AD$12971,$V$37:$V$12971,$V1526,$X$37:$X$12971,AH$13)</f>
        <v>0</v>
      </c>
      <c r="AI1526" s="161">
        <f t="shared" ref="AI1526" si="1154">SUM(AE1526:AH1526)</f>
        <v>0</v>
      </c>
      <c r="AK1526" s="172"/>
    </row>
    <row r="1527" spans="1:37" s="102" customFormat="1" ht="19.899999999999999" customHeight="1" x14ac:dyDescent="0.25">
      <c r="A1527" s="45"/>
      <c r="B1527" s="59"/>
      <c r="C1527" s="137"/>
      <c r="D1527" s="59"/>
      <c r="E1527" s="116"/>
      <c r="F1527" s="120"/>
      <c r="G1527" s="120"/>
      <c r="H1527" s="120"/>
      <c r="I1527" s="60"/>
      <c r="J1527" s="116"/>
      <c r="K1527" s="213"/>
      <c r="L1527" s="120"/>
      <c r="M1527" s="120"/>
      <c r="N1527" s="167"/>
      <c r="O1527" s="120"/>
      <c r="P1527" s="120"/>
      <c r="Q1527" s="120"/>
      <c r="R1527" s="120"/>
      <c r="S1527" s="120"/>
      <c r="T1527" s="221"/>
      <c r="U1527" s="89"/>
      <c r="V1527" s="61"/>
      <c r="W1527" s="92" t="s">
        <v>1032</v>
      </c>
      <c r="X1527" s="93" t="s">
        <v>30</v>
      </c>
      <c r="Y1527" s="93" t="s">
        <v>66</v>
      </c>
      <c r="Z1527" s="134">
        <f>VLOOKUP(W1527,Sheet2!$B:$D,3,FALSE)</f>
        <v>250</v>
      </c>
      <c r="AA1527" s="93">
        <f>1/(3*3*0.1)</f>
        <v>1.1111111111111112</v>
      </c>
      <c r="AB1527" s="93">
        <f t="shared" ref="AB1527" si="1155">AD1527/AC1526</f>
        <v>224.99999999999997</v>
      </c>
      <c r="AC1527" s="93">
        <f>AC1526/AA1527</f>
        <v>0.90000000000000013</v>
      </c>
      <c r="AD1527" s="94">
        <f t="shared" ref="AD1527:AD1529" si="1156">AC1527*Z1527</f>
        <v>225.00000000000003</v>
      </c>
      <c r="AE1527" s="190"/>
      <c r="AF1527" s="191"/>
      <c r="AG1527" s="191"/>
      <c r="AH1527" s="191"/>
      <c r="AI1527" s="186"/>
      <c r="AK1527" s="171"/>
    </row>
    <row r="1528" spans="1:37" s="102" customFormat="1" ht="19.899999999999999" customHeight="1" x14ac:dyDescent="0.25">
      <c r="A1528" s="45"/>
      <c r="B1528" s="59"/>
      <c r="C1528" s="137"/>
      <c r="D1528" s="59"/>
      <c r="E1528" s="116"/>
      <c r="F1528" s="120"/>
      <c r="G1528" s="120"/>
      <c r="H1528" s="120"/>
      <c r="I1528" s="60"/>
      <c r="J1528" s="116"/>
      <c r="K1528" s="213"/>
      <c r="L1528" s="120"/>
      <c r="M1528" s="120"/>
      <c r="N1528" s="167"/>
      <c r="O1528" s="120"/>
      <c r="P1528" s="120"/>
      <c r="Q1528" s="120"/>
      <c r="R1528" s="120"/>
      <c r="S1528" s="120"/>
      <c r="T1528" s="221"/>
      <c r="U1528" s="89"/>
      <c r="V1528" s="61"/>
      <c r="W1528" s="92" t="s">
        <v>1353</v>
      </c>
      <c r="X1528" s="93" t="s">
        <v>30</v>
      </c>
      <c r="Y1528" s="93" t="s">
        <v>66</v>
      </c>
      <c r="Z1528" s="134">
        <f>VLOOKUP(W1528,Sheet2!$B:$D,3,FALSE)</f>
        <v>350</v>
      </c>
      <c r="AA1528" s="93">
        <f>1/(2*1.5*0.25*5)</f>
        <v>0.26666666666666666</v>
      </c>
      <c r="AB1528" s="93">
        <f>AD1528/AC1526</f>
        <v>1312.5</v>
      </c>
      <c r="AC1528" s="93">
        <f>AC1526/AA1528</f>
        <v>3.7500000000000009</v>
      </c>
      <c r="AD1528" s="94">
        <f t="shared" si="1156"/>
        <v>1312.5000000000002</v>
      </c>
      <c r="AE1528" s="190"/>
      <c r="AF1528" s="191"/>
      <c r="AG1528" s="191"/>
      <c r="AH1528" s="191"/>
      <c r="AI1528" s="186"/>
      <c r="AK1528" s="171"/>
    </row>
    <row r="1529" spans="1:37" s="102" customFormat="1" ht="19.899999999999999" customHeight="1" x14ac:dyDescent="0.25">
      <c r="A1529" s="45"/>
      <c r="B1529" s="59"/>
      <c r="C1529" s="137"/>
      <c r="D1529" s="59"/>
      <c r="E1529" s="116"/>
      <c r="F1529" s="120"/>
      <c r="G1529" s="120"/>
      <c r="H1529" s="120"/>
      <c r="I1529" s="60"/>
      <c r="J1529" s="116"/>
      <c r="K1529" s="213"/>
      <c r="L1529" s="120"/>
      <c r="M1529" s="120"/>
      <c r="N1529" s="167"/>
      <c r="O1529" s="120"/>
      <c r="P1529" s="120"/>
      <c r="Q1529" s="120"/>
      <c r="R1529" s="120"/>
      <c r="S1529" s="120"/>
      <c r="T1529" s="221"/>
      <c r="U1529" s="89"/>
      <c r="V1529" s="61"/>
      <c r="W1529" s="92" t="s">
        <v>99</v>
      </c>
      <c r="X1529" s="93" t="s">
        <v>30</v>
      </c>
      <c r="Y1529" s="93" t="s">
        <v>67</v>
      </c>
      <c r="Z1529" s="134">
        <f>VLOOKUP(W1529,Sheet2!$B:$D,3,FALSE)</f>
        <v>2500</v>
      </c>
      <c r="AA1529" s="93">
        <f>1/(2*1.5*0.25*5*0.08)</f>
        <v>3.3333333333333335</v>
      </c>
      <c r="AB1529" s="93">
        <f>AD1529/AC1526</f>
        <v>750</v>
      </c>
      <c r="AC1529" s="93">
        <f>AC1526/AA1529</f>
        <v>0.30000000000000004</v>
      </c>
      <c r="AD1529" s="94">
        <f t="shared" si="1156"/>
        <v>750.00000000000011</v>
      </c>
      <c r="AE1529" s="190"/>
      <c r="AF1529" s="191"/>
      <c r="AG1529" s="191"/>
      <c r="AH1529" s="191"/>
      <c r="AI1529" s="186"/>
      <c r="AK1529" s="171"/>
    </row>
    <row r="1530" spans="1:37" s="102" customFormat="1" ht="19.899999999999999" customHeight="1" x14ac:dyDescent="0.25">
      <c r="A1530" s="45"/>
      <c r="B1530" s="59"/>
      <c r="C1530" s="137"/>
      <c r="D1530" s="59"/>
      <c r="E1530" s="116"/>
      <c r="F1530" s="120"/>
      <c r="G1530" s="120"/>
      <c r="H1530" s="120"/>
      <c r="I1530" s="60"/>
      <c r="J1530" s="116"/>
      <c r="K1530" s="213"/>
      <c r="L1530" s="120"/>
      <c r="M1530" s="120"/>
      <c r="N1530" s="167"/>
      <c r="O1530" s="120"/>
      <c r="P1530" s="120"/>
      <c r="Q1530" s="120"/>
      <c r="R1530" s="120"/>
      <c r="S1530" s="120"/>
      <c r="T1530" s="221"/>
      <c r="U1530" s="89"/>
      <c r="V1530" s="61"/>
      <c r="W1530" s="92" t="s">
        <v>1354</v>
      </c>
      <c r="X1530" s="93" t="s">
        <v>32</v>
      </c>
      <c r="Y1530" s="93" t="s">
        <v>66</v>
      </c>
      <c r="Z1530" s="134">
        <f>VLOOKUP(W1530,Sheet2!$B:$D,3,FALSE)</f>
        <v>150</v>
      </c>
      <c r="AA1530" s="93">
        <f>AA1527</f>
        <v>1.1111111111111112</v>
      </c>
      <c r="AB1530" s="93">
        <f>AD1530/AC1526</f>
        <v>135</v>
      </c>
      <c r="AC1530" s="93">
        <f>AC1526/AA1530</f>
        <v>0.90000000000000013</v>
      </c>
      <c r="AD1530" s="94">
        <f>AC1530*Z1530</f>
        <v>135.00000000000003</v>
      </c>
      <c r="AE1530" s="190"/>
      <c r="AF1530" s="191"/>
      <c r="AG1530" s="191"/>
      <c r="AH1530" s="191"/>
      <c r="AI1530" s="186"/>
      <c r="AK1530" s="171"/>
    </row>
    <row r="1531" spans="1:37" s="102" customFormat="1" ht="19.899999999999999" customHeight="1" x14ac:dyDescent="0.25">
      <c r="A1531" s="45"/>
      <c r="B1531" s="59"/>
      <c r="C1531" s="137"/>
      <c r="D1531" s="59"/>
      <c r="E1531" s="116"/>
      <c r="F1531" s="120"/>
      <c r="G1531" s="120"/>
      <c r="H1531" s="120"/>
      <c r="I1531" s="60"/>
      <c r="J1531" s="116"/>
      <c r="K1531" s="213"/>
      <c r="L1531" s="120"/>
      <c r="M1531" s="120"/>
      <c r="N1531" s="167"/>
      <c r="O1531" s="120"/>
      <c r="P1531" s="120"/>
      <c r="Q1531" s="120"/>
      <c r="R1531" s="120"/>
      <c r="S1531" s="120"/>
      <c r="T1531" s="221"/>
      <c r="U1531" s="89"/>
      <c r="V1531" s="61"/>
      <c r="W1531" s="92" t="s">
        <v>1355</v>
      </c>
      <c r="X1531" s="93" t="s">
        <v>32</v>
      </c>
      <c r="Y1531" s="93" t="s">
        <v>66</v>
      </c>
      <c r="Z1531" s="134">
        <f>VLOOKUP(W1531,Sheet2!$B:$D,3,FALSE)</f>
        <v>450</v>
      </c>
      <c r="AA1531" s="93">
        <f>AA1528</f>
        <v>0.26666666666666666</v>
      </c>
      <c r="AB1531" s="93">
        <f>AD1531/AC1526</f>
        <v>1687.5</v>
      </c>
      <c r="AC1531" s="93">
        <f>AC1526/AA1531</f>
        <v>3.7500000000000009</v>
      </c>
      <c r="AD1531" s="94">
        <f>AC1531*Z1531</f>
        <v>1687.5000000000005</v>
      </c>
      <c r="AE1531" s="190"/>
      <c r="AF1531" s="191"/>
      <c r="AG1531" s="191"/>
      <c r="AH1531" s="191"/>
      <c r="AI1531" s="186"/>
      <c r="AK1531" s="171"/>
    </row>
    <row r="1532" spans="1:37" s="102" customFormat="1" ht="19.899999999999999" customHeight="1" x14ac:dyDescent="0.25">
      <c r="A1532" s="45"/>
      <c r="B1532" s="59"/>
      <c r="C1532" s="137"/>
      <c r="D1532" s="59"/>
      <c r="E1532" s="116"/>
      <c r="F1532" s="120"/>
      <c r="G1532" s="120"/>
      <c r="H1532" s="120"/>
      <c r="I1532" s="60"/>
      <c r="J1532" s="116"/>
      <c r="K1532" s="213"/>
      <c r="L1532" s="120"/>
      <c r="M1532" s="120"/>
      <c r="N1532" s="167"/>
      <c r="O1532" s="120"/>
      <c r="P1532" s="120"/>
      <c r="Q1532" s="120"/>
      <c r="R1532" s="120"/>
      <c r="S1532" s="120"/>
      <c r="T1532" s="221"/>
      <c r="U1532" s="89"/>
      <c r="V1532" s="61"/>
      <c r="W1532" s="92" t="s">
        <v>1356</v>
      </c>
      <c r="X1532" s="93" t="s">
        <v>30</v>
      </c>
      <c r="Y1532" s="93" t="s">
        <v>35</v>
      </c>
      <c r="Z1532" s="134">
        <f>VLOOKUP(W1532,Sheet2!$B:$D,3,FALSE)</f>
        <v>3500</v>
      </c>
      <c r="AA1532" s="93">
        <v>1</v>
      </c>
      <c r="AB1532" s="93">
        <f>AD1532/AC1526</f>
        <v>3500</v>
      </c>
      <c r="AC1532" s="93">
        <f>AC1526/AA1532</f>
        <v>1.0000000000000002</v>
      </c>
      <c r="AD1532" s="94">
        <f t="shared" ref="AD1532:AD1533" si="1157">AC1532*Z1532</f>
        <v>3500.0000000000009</v>
      </c>
      <c r="AE1532" s="190"/>
      <c r="AF1532" s="191"/>
      <c r="AG1532" s="191"/>
      <c r="AH1532" s="191"/>
      <c r="AI1532" s="186"/>
      <c r="AK1532" s="171"/>
    </row>
    <row r="1533" spans="1:37" s="102" customFormat="1" ht="19.899999999999999" customHeight="1" x14ac:dyDescent="0.25">
      <c r="A1533" s="45"/>
      <c r="B1533" s="59"/>
      <c r="C1533" s="137"/>
      <c r="D1533" s="59"/>
      <c r="E1533" s="116"/>
      <c r="F1533" s="120"/>
      <c r="G1533" s="120"/>
      <c r="H1533" s="120"/>
      <c r="I1533" s="60"/>
      <c r="J1533" s="116"/>
      <c r="K1533" s="213"/>
      <c r="L1533" s="120"/>
      <c r="M1533" s="120"/>
      <c r="N1533" s="167"/>
      <c r="O1533" s="120"/>
      <c r="P1533" s="120"/>
      <c r="Q1533" s="120"/>
      <c r="R1533" s="120"/>
      <c r="S1533" s="120"/>
      <c r="T1533" s="221"/>
      <c r="U1533" s="89"/>
      <c r="V1533" s="61"/>
      <c r="W1533" s="92" t="s">
        <v>174</v>
      </c>
      <c r="X1533" s="93" t="s">
        <v>29</v>
      </c>
      <c r="Y1533" s="93" t="s">
        <v>93</v>
      </c>
      <c r="Z1533" s="134">
        <f>VLOOKUP(W1533,Sheet2!$B:$D,3,FALSE)</f>
        <v>80</v>
      </c>
      <c r="AA1533" s="93">
        <v>4</v>
      </c>
      <c r="AB1533" s="93">
        <f>AD1533/AC1526</f>
        <v>20</v>
      </c>
      <c r="AC1533" s="93">
        <f>AC1526/AA1533</f>
        <v>0.25000000000000006</v>
      </c>
      <c r="AD1533" s="94">
        <f t="shared" si="1157"/>
        <v>20.000000000000004</v>
      </c>
      <c r="AE1533" s="190"/>
      <c r="AF1533" s="191"/>
      <c r="AG1533" s="191"/>
      <c r="AH1533" s="191"/>
      <c r="AI1533" s="186"/>
      <c r="AK1533" s="171"/>
    </row>
    <row r="1534" spans="1:37" s="102" customFormat="1" ht="19.899999999999999" customHeight="1" x14ac:dyDescent="0.25">
      <c r="A1534" s="45"/>
      <c r="B1534" s="59"/>
      <c r="C1534" s="137"/>
      <c r="D1534" s="59"/>
      <c r="E1534" s="116"/>
      <c r="F1534" s="120"/>
      <c r="G1534" s="120"/>
      <c r="H1534" s="120"/>
      <c r="I1534" s="60"/>
      <c r="J1534" s="116"/>
      <c r="K1534" s="213"/>
      <c r="L1534" s="120"/>
      <c r="M1534" s="120"/>
      <c r="N1534" s="167"/>
      <c r="O1534" s="120"/>
      <c r="P1534" s="120"/>
      <c r="Q1534" s="120"/>
      <c r="R1534" s="120"/>
      <c r="S1534" s="120"/>
      <c r="T1534" s="221"/>
      <c r="U1534" s="89"/>
      <c r="V1534" s="61"/>
      <c r="W1534" s="92" t="s">
        <v>65</v>
      </c>
      <c r="X1534" s="93" t="s">
        <v>30</v>
      </c>
      <c r="Y1534" s="93" t="s">
        <v>93</v>
      </c>
      <c r="Z1534" s="134">
        <f>VLOOKUP(W1534,Sheet2!$B:$D,3,FALSE)</f>
        <v>1.76</v>
      </c>
      <c r="AA1534" s="93">
        <f>AA1533/15</f>
        <v>0.26666666666666666</v>
      </c>
      <c r="AB1534" s="93">
        <f>AD1534/AC1526</f>
        <v>6.6</v>
      </c>
      <c r="AC1534" s="93">
        <f>AC1526/AA1534</f>
        <v>3.7500000000000009</v>
      </c>
      <c r="AD1534" s="94">
        <f>AC1534*Z1534</f>
        <v>6.6000000000000014</v>
      </c>
      <c r="AE1534" s="190"/>
      <c r="AF1534" s="191"/>
      <c r="AG1534" s="191"/>
      <c r="AH1534" s="191"/>
      <c r="AI1534" s="186"/>
      <c r="AK1534" s="171"/>
    </row>
    <row r="1535" spans="1:37" s="102" customFormat="1" ht="19.899999999999999" customHeight="1" x14ac:dyDescent="0.25">
      <c r="A1535" s="45"/>
      <c r="B1535" s="59"/>
      <c r="C1535" s="137"/>
      <c r="D1535" s="59"/>
      <c r="E1535" s="116"/>
      <c r="F1535" s="120"/>
      <c r="G1535" s="120"/>
      <c r="H1535" s="120"/>
      <c r="I1535" s="60"/>
      <c r="J1535" s="116"/>
      <c r="K1535" s="213"/>
      <c r="L1535" s="120"/>
      <c r="M1535" s="120"/>
      <c r="N1535" s="167"/>
      <c r="O1535" s="120"/>
      <c r="P1535" s="120"/>
      <c r="Q1535" s="120"/>
      <c r="R1535" s="120"/>
      <c r="S1535" s="120"/>
      <c r="T1535" s="221"/>
      <c r="U1535" s="89"/>
      <c r="V1535" s="61"/>
      <c r="W1535" s="92" t="s">
        <v>1357</v>
      </c>
      <c r="X1535" s="93" t="s">
        <v>30</v>
      </c>
      <c r="Y1535" s="93" t="s">
        <v>1349</v>
      </c>
      <c r="Z1535" s="134">
        <f>VLOOKUP(W1535,Sheet2!$B:$D,3,FALSE)</f>
        <v>150</v>
      </c>
      <c r="AA1535" s="93">
        <v>1</v>
      </c>
      <c r="AB1535" s="93">
        <f>AD1535/AC1526</f>
        <v>150</v>
      </c>
      <c r="AC1535" s="93">
        <f>AC1526/AA1535</f>
        <v>1.0000000000000002</v>
      </c>
      <c r="AD1535" s="94">
        <f>AC1535*Z1535</f>
        <v>150.00000000000003</v>
      </c>
      <c r="AE1535" s="190"/>
      <c r="AF1535" s="191"/>
      <c r="AG1535" s="191"/>
      <c r="AH1535" s="191"/>
      <c r="AI1535" s="186"/>
      <c r="AK1535" s="171"/>
    </row>
    <row r="1536" spans="1:37" s="102" customFormat="1" ht="19.899999999999999" customHeight="1" x14ac:dyDescent="0.25">
      <c r="A1536" s="45"/>
      <c r="B1536" s="59"/>
      <c r="C1536" s="137"/>
      <c r="D1536" s="59"/>
      <c r="E1536" s="116"/>
      <c r="F1536" s="120"/>
      <c r="G1536" s="120"/>
      <c r="H1536" s="120"/>
      <c r="I1536" s="60"/>
      <c r="J1536" s="116"/>
      <c r="K1536" s="213"/>
      <c r="L1536" s="120"/>
      <c r="M1536" s="120"/>
      <c r="N1536" s="167"/>
      <c r="O1536" s="120"/>
      <c r="P1536" s="120"/>
      <c r="Q1536" s="120"/>
      <c r="R1536" s="120"/>
      <c r="S1536" s="120"/>
      <c r="T1536" s="221"/>
      <c r="U1536" s="89"/>
      <c r="V1536" s="61"/>
      <c r="W1536" s="92" t="s">
        <v>107</v>
      </c>
      <c r="X1536" s="93" t="s">
        <v>31</v>
      </c>
      <c r="Y1536" s="93" t="s">
        <v>93</v>
      </c>
      <c r="Z1536" s="134">
        <f>VLOOKUP(W1536,Sheet2!$B:$D,3,FALSE)</f>
        <v>17</v>
      </c>
      <c r="AA1536" s="93">
        <f>1/5</f>
        <v>0.2</v>
      </c>
      <c r="AB1536" s="93">
        <f>AD1536/AC1526</f>
        <v>85</v>
      </c>
      <c r="AC1536" s="93">
        <f>AC1526/AA1536</f>
        <v>5.0000000000000009</v>
      </c>
      <c r="AD1536" s="94">
        <f>AC1536*Z1536</f>
        <v>85.000000000000014</v>
      </c>
      <c r="AE1536" s="190"/>
      <c r="AF1536" s="191"/>
      <c r="AG1536" s="191"/>
      <c r="AH1536" s="191"/>
      <c r="AI1536" s="186"/>
      <c r="AK1536" s="171"/>
    </row>
    <row r="1537" spans="1:37" s="102" customFormat="1" ht="19.899999999999999" customHeight="1" x14ac:dyDescent="0.25">
      <c r="A1537" s="45"/>
      <c r="B1537" s="59"/>
      <c r="C1537" s="137"/>
      <c r="D1537" s="59"/>
      <c r="E1537" s="116"/>
      <c r="F1537" s="120"/>
      <c r="G1537" s="120"/>
      <c r="H1537" s="120"/>
      <c r="I1537" s="60"/>
      <c r="J1537" s="116"/>
      <c r="K1537" s="213"/>
      <c r="L1537" s="120"/>
      <c r="M1537" s="120"/>
      <c r="N1537" s="167"/>
      <c r="O1537" s="120"/>
      <c r="P1537" s="120"/>
      <c r="Q1537" s="120"/>
      <c r="R1537" s="120"/>
      <c r="S1537" s="120"/>
      <c r="T1537" s="221"/>
      <c r="U1537" s="89"/>
      <c r="V1537" s="61"/>
      <c r="W1537" s="92" t="s">
        <v>112</v>
      </c>
      <c r="X1537" s="93" t="s">
        <v>31</v>
      </c>
      <c r="Y1537" s="93" t="s">
        <v>93</v>
      </c>
      <c r="Z1537" s="134">
        <f>VLOOKUP(W1537,Sheet2!$B:$D,3,FALSE)</f>
        <v>13</v>
      </c>
      <c r="AA1537" s="93">
        <f>AA1536</f>
        <v>0.2</v>
      </c>
      <c r="AB1537" s="93">
        <f>AD1537/AC1526</f>
        <v>65</v>
      </c>
      <c r="AC1537" s="93">
        <f>AC1526/AA1537</f>
        <v>5.0000000000000009</v>
      </c>
      <c r="AD1537" s="94">
        <f>AC1537*Z1537</f>
        <v>65.000000000000014</v>
      </c>
      <c r="AE1537" s="190"/>
      <c r="AF1537" s="191"/>
      <c r="AG1537" s="191"/>
      <c r="AH1537" s="191"/>
      <c r="AI1537" s="186"/>
      <c r="AK1537" s="171"/>
    </row>
    <row r="1538" spans="1:37" s="103" customFormat="1" ht="19.899999999999999" customHeight="1" x14ac:dyDescent="0.25">
      <c r="A1538" s="51"/>
      <c r="B1538" s="52"/>
      <c r="C1538" s="165"/>
      <c r="D1538" s="52"/>
      <c r="E1538" s="115"/>
      <c r="F1538" s="58"/>
      <c r="G1538" s="58"/>
      <c r="H1538" s="58"/>
      <c r="I1538" s="55"/>
      <c r="J1538" s="113">
        <f>J1520</f>
        <v>1.0000000000000002</v>
      </c>
      <c r="K1538" s="212">
        <f>K1520</f>
        <v>1.0000000000000002</v>
      </c>
      <c r="L1538" s="58"/>
      <c r="M1538" s="58">
        <f>K1538-L1538</f>
        <v>1.0000000000000002</v>
      </c>
      <c r="N1538" s="166"/>
      <c r="O1538" s="58"/>
      <c r="P1538" s="58"/>
      <c r="Q1538" s="58"/>
      <c r="R1538" s="58"/>
      <c r="S1538" s="58"/>
      <c r="T1538" s="220"/>
      <c r="U1538" s="88"/>
      <c r="V1538" s="56"/>
      <c r="W1538" s="57" t="s">
        <v>1358</v>
      </c>
      <c r="X1538" s="53"/>
      <c r="Y1538" s="91" t="s">
        <v>35</v>
      </c>
      <c r="Z1538" s="136">
        <f>AD1538/AC1538</f>
        <v>2450</v>
      </c>
      <c r="AA1538" s="58"/>
      <c r="AB1538" s="53">
        <f>AD1538/AC1538</f>
        <v>2450</v>
      </c>
      <c r="AC1538" s="53">
        <f>M1538+$AE$10</f>
        <v>1.0000000000000002</v>
      </c>
      <c r="AD1538" s="54">
        <f>SUM(AD1539:AD1540)</f>
        <v>2450.0000000000005</v>
      </c>
      <c r="AE1538" s="184">
        <f>SUMIFS($AD$37:$AD$12971,$V$37:$V$12971,$V1538,$X$37:$X$12971,AE$13)</f>
        <v>0</v>
      </c>
      <c r="AF1538" s="185">
        <f>SUMIFS($AD$37:$AD$12971,$V$37:$V$12971,$V1538,$X$37:$X$12971,AF$13)</f>
        <v>0</v>
      </c>
      <c r="AG1538" s="185">
        <f>SUMIFS($AD$37:$AD$12971,$V$37:$V$12971,$V1538,$X$37:$X$12971,AG$13)</f>
        <v>0</v>
      </c>
      <c r="AH1538" s="187">
        <f>SUMIFS($AD$37:$AD$12971,$V$37:$V$12971,$V1538,$X$37:$X$12971,AH$13)</f>
        <v>0</v>
      </c>
      <c r="AI1538" s="161">
        <f t="shared" ref="AI1538" si="1158">SUM(AE1538:AH1538)</f>
        <v>0</v>
      </c>
      <c r="AK1538" s="172"/>
    </row>
    <row r="1539" spans="1:37" s="102" customFormat="1" ht="19.899999999999999" customHeight="1" x14ac:dyDescent="0.25">
      <c r="A1539" s="45"/>
      <c r="B1539" s="59"/>
      <c r="C1539" s="137"/>
      <c r="D1539" s="59"/>
      <c r="E1539" s="116"/>
      <c r="F1539" s="120"/>
      <c r="G1539" s="120"/>
      <c r="H1539" s="120"/>
      <c r="I1539" s="60"/>
      <c r="J1539" s="116"/>
      <c r="K1539" s="213"/>
      <c r="L1539" s="120"/>
      <c r="M1539" s="120"/>
      <c r="N1539" s="167"/>
      <c r="O1539" s="120"/>
      <c r="P1539" s="120"/>
      <c r="Q1539" s="120"/>
      <c r="R1539" s="120"/>
      <c r="S1539" s="120"/>
      <c r="T1539" s="221"/>
      <c r="U1539" s="89"/>
      <c r="V1539" s="61"/>
      <c r="W1539" s="92" t="s">
        <v>1359</v>
      </c>
      <c r="X1539" s="93" t="s">
        <v>32</v>
      </c>
      <c r="Y1539" s="93" t="s">
        <v>64</v>
      </c>
      <c r="Z1539" s="134">
        <f>VLOOKUP(W1539,Sheet2!$B:$D,3,FALSE)</f>
        <v>40</v>
      </c>
      <c r="AA1539" s="93">
        <f>1/35</f>
        <v>2.8571428571428571E-2</v>
      </c>
      <c r="AB1539" s="93">
        <f t="shared" ref="AB1539" si="1159">AD1539/AC1538</f>
        <v>1400</v>
      </c>
      <c r="AC1539" s="93">
        <f>AC1538/AA1539</f>
        <v>35.000000000000007</v>
      </c>
      <c r="AD1539" s="94">
        <f t="shared" ref="AD1539:AD1540" si="1160">AC1539*Z1539</f>
        <v>1400.0000000000002</v>
      </c>
      <c r="AE1539" s="190"/>
      <c r="AF1539" s="191"/>
      <c r="AG1539" s="191"/>
      <c r="AH1539" s="191"/>
      <c r="AI1539" s="186"/>
      <c r="AK1539" s="171"/>
    </row>
    <row r="1540" spans="1:37" s="102" customFormat="1" ht="19.899999999999999" customHeight="1" x14ac:dyDescent="0.25">
      <c r="A1540" s="45"/>
      <c r="B1540" s="59"/>
      <c r="C1540" s="137"/>
      <c r="D1540" s="59"/>
      <c r="E1540" s="116"/>
      <c r="F1540" s="120"/>
      <c r="G1540" s="120"/>
      <c r="H1540" s="120"/>
      <c r="I1540" s="60"/>
      <c r="J1540" s="116"/>
      <c r="K1540" s="213"/>
      <c r="L1540" s="120"/>
      <c r="M1540" s="120"/>
      <c r="N1540" s="167"/>
      <c r="O1540" s="120"/>
      <c r="P1540" s="120"/>
      <c r="Q1540" s="120"/>
      <c r="R1540" s="120"/>
      <c r="S1540" s="120"/>
      <c r="T1540" s="221"/>
      <c r="U1540" s="89"/>
      <c r="V1540" s="61"/>
      <c r="W1540" s="92" t="s">
        <v>1360</v>
      </c>
      <c r="X1540" s="93" t="s">
        <v>32</v>
      </c>
      <c r="Y1540" s="93" t="s">
        <v>64</v>
      </c>
      <c r="Z1540" s="134">
        <f>VLOOKUP(W1540,Sheet2!$B:$D,3,FALSE)</f>
        <v>30</v>
      </c>
      <c r="AA1540" s="93">
        <f>AA1539</f>
        <v>2.8571428571428571E-2</v>
      </c>
      <c r="AB1540" s="93">
        <f>AD1540/AC1538</f>
        <v>1050</v>
      </c>
      <c r="AC1540" s="93">
        <f>AC1538/AA1540</f>
        <v>35.000000000000007</v>
      </c>
      <c r="AD1540" s="94">
        <f t="shared" si="1160"/>
        <v>1050.0000000000002</v>
      </c>
      <c r="AE1540" s="190"/>
      <c r="AF1540" s="191"/>
      <c r="AG1540" s="191"/>
      <c r="AH1540" s="191"/>
      <c r="AI1540" s="186"/>
      <c r="AK1540" s="171"/>
    </row>
    <row r="1541" spans="1:37" s="103" customFormat="1" ht="19.899999999999999" customHeight="1" x14ac:dyDescent="0.25">
      <c r="A1541" s="51"/>
      <c r="B1541" s="52"/>
      <c r="C1541" s="165"/>
      <c r="D1541" s="52"/>
      <c r="E1541" s="115"/>
      <c r="F1541" s="58"/>
      <c r="G1541" s="58"/>
      <c r="H1541" s="58"/>
      <c r="I1541" s="55"/>
      <c r="J1541" s="113">
        <f>J1520</f>
        <v>1.0000000000000002</v>
      </c>
      <c r="K1541" s="212">
        <f>K1520</f>
        <v>1.0000000000000002</v>
      </c>
      <c r="L1541" s="58"/>
      <c r="M1541" s="58">
        <f>K1541-L1541</f>
        <v>1.0000000000000002</v>
      </c>
      <c r="N1541" s="166"/>
      <c r="O1541" s="58"/>
      <c r="P1541" s="58"/>
      <c r="Q1541" s="58"/>
      <c r="R1541" s="58"/>
      <c r="S1541" s="58"/>
      <c r="T1541" s="220"/>
      <c r="U1541" s="88"/>
      <c r="V1541" s="56"/>
      <c r="W1541" s="57" t="s">
        <v>1272</v>
      </c>
      <c r="X1541" s="53"/>
      <c r="Y1541" s="91" t="s">
        <v>35</v>
      </c>
      <c r="Z1541" s="136">
        <f>AD1541/AC1541</f>
        <v>171.41541960784315</v>
      </c>
      <c r="AA1541" s="58"/>
      <c r="AB1541" s="53">
        <f>AD1541/AC1541</f>
        <v>171.41541960784315</v>
      </c>
      <c r="AC1541" s="53">
        <f>M1541+$AE$10</f>
        <v>1.0000000000000002</v>
      </c>
      <c r="AD1541" s="54">
        <f>SUM(AD1542:AD1550)</f>
        <v>171.41541960784318</v>
      </c>
      <c r="AE1541" s="184">
        <f>SUMIFS($AD$37:$AD$12971,$V$37:$V$12971,$V1541,$X$37:$X$12971,AE$13)</f>
        <v>0</v>
      </c>
      <c r="AF1541" s="185">
        <f>SUMIFS($AD$37:$AD$12971,$V$37:$V$12971,$V1541,$X$37:$X$12971,AF$13)</f>
        <v>0</v>
      </c>
      <c r="AG1541" s="185">
        <f>SUMIFS($AD$37:$AD$12971,$V$37:$V$12971,$V1541,$X$37:$X$12971,AG$13)</f>
        <v>0</v>
      </c>
      <c r="AH1541" s="187">
        <f>SUMIFS($AD$37:$AD$12971,$V$37:$V$12971,$V1541,$X$37:$X$12971,AH$13)</f>
        <v>0</v>
      </c>
      <c r="AI1541" s="161">
        <f t="shared" ref="AI1541" si="1161">SUM(AE1541:AH1541)</f>
        <v>0</v>
      </c>
      <c r="AK1541" s="172"/>
    </row>
    <row r="1542" spans="1:37" s="102" customFormat="1" ht="19.899999999999999" customHeight="1" x14ac:dyDescent="0.25">
      <c r="A1542" s="45"/>
      <c r="B1542" s="59"/>
      <c r="C1542" s="137"/>
      <c r="D1542" s="59"/>
      <c r="E1542" s="116"/>
      <c r="F1542" s="120"/>
      <c r="G1542" s="120"/>
      <c r="H1542" s="120"/>
      <c r="I1542" s="60"/>
      <c r="J1542" s="116"/>
      <c r="K1542" s="213"/>
      <c r="L1542" s="120"/>
      <c r="M1542" s="120"/>
      <c r="N1542" s="167"/>
      <c r="O1542" s="120"/>
      <c r="P1542" s="120"/>
      <c r="Q1542" s="120"/>
      <c r="R1542" s="120"/>
      <c r="S1542" s="120"/>
      <c r="T1542" s="221"/>
      <c r="U1542" s="89"/>
      <c r="V1542" s="61"/>
      <c r="W1542" s="92" t="s">
        <v>1273</v>
      </c>
      <c r="X1542" s="93" t="s">
        <v>30</v>
      </c>
      <c r="Y1542" s="93" t="s">
        <v>66</v>
      </c>
      <c r="Z1542" s="134">
        <f>VLOOKUP(W1542,Sheet2!$B:$D,3,FALSE)</f>
        <v>10</v>
      </c>
      <c r="AA1542" s="93">
        <f>1/(2.5*1.9*0.5*4)</f>
        <v>0.10526315789473684</v>
      </c>
      <c r="AB1542" s="93">
        <f>AD1542/AC1541</f>
        <v>95</v>
      </c>
      <c r="AC1542" s="93">
        <f>AC1541/AA1542</f>
        <v>9.5000000000000018</v>
      </c>
      <c r="AD1542" s="94">
        <f t="shared" ref="AD1542:AD1544" si="1162">AC1542*Z1542</f>
        <v>95.000000000000014</v>
      </c>
      <c r="AE1542" s="190"/>
      <c r="AF1542" s="191"/>
      <c r="AG1542" s="191"/>
      <c r="AH1542" s="191"/>
      <c r="AI1542" s="186"/>
      <c r="AK1542" s="171"/>
    </row>
    <row r="1543" spans="1:37" s="102" customFormat="1" ht="19.899999999999999" customHeight="1" x14ac:dyDescent="0.25">
      <c r="A1543" s="45"/>
      <c r="B1543" s="59"/>
      <c r="C1543" s="137"/>
      <c r="D1543" s="59"/>
      <c r="E1543" s="116"/>
      <c r="F1543" s="120"/>
      <c r="G1543" s="120"/>
      <c r="H1543" s="120"/>
      <c r="I1543" s="60"/>
      <c r="J1543" s="116"/>
      <c r="K1543" s="213"/>
      <c r="L1543" s="120"/>
      <c r="M1543" s="120"/>
      <c r="N1543" s="167"/>
      <c r="O1543" s="120"/>
      <c r="P1543" s="120"/>
      <c r="Q1543" s="120"/>
      <c r="R1543" s="120"/>
      <c r="S1543" s="120"/>
      <c r="T1543" s="221"/>
      <c r="U1543" s="89"/>
      <c r="V1543" s="61"/>
      <c r="W1543" s="92" t="s">
        <v>134</v>
      </c>
      <c r="X1543" s="93" t="s">
        <v>29</v>
      </c>
      <c r="Y1543" s="93" t="s">
        <v>93</v>
      </c>
      <c r="Z1543" s="134">
        <f>VLOOKUP(W1543,Sheet2!$B:$D,3,FALSE)</f>
        <v>65.599999999999994</v>
      </c>
      <c r="AA1543" s="93">
        <f>100/(2.5*1.9*0.5*4)</f>
        <v>10.526315789473685</v>
      </c>
      <c r="AB1543" s="93">
        <f t="shared" ref="AB1543" si="1163">AD1543/AC1541</f>
        <v>6.2319999999999984</v>
      </c>
      <c r="AC1543" s="93">
        <f>AC1541/AA1543</f>
        <v>9.5000000000000015E-2</v>
      </c>
      <c r="AD1543" s="94">
        <f t="shared" si="1162"/>
        <v>6.2320000000000002</v>
      </c>
      <c r="AE1543" s="190"/>
      <c r="AF1543" s="191"/>
      <c r="AG1543" s="191"/>
      <c r="AH1543" s="191"/>
      <c r="AI1543" s="186"/>
      <c r="AK1543" s="171"/>
    </row>
    <row r="1544" spans="1:37" s="102" customFormat="1" ht="19.899999999999999" customHeight="1" x14ac:dyDescent="0.25">
      <c r="A1544" s="45"/>
      <c r="B1544" s="59"/>
      <c r="C1544" s="137"/>
      <c r="D1544" s="59"/>
      <c r="E1544" s="116"/>
      <c r="F1544" s="120"/>
      <c r="G1544" s="120"/>
      <c r="H1544" s="120"/>
      <c r="I1544" s="60"/>
      <c r="J1544" s="116"/>
      <c r="K1544" s="213"/>
      <c r="L1544" s="120"/>
      <c r="M1544" s="120"/>
      <c r="N1544" s="167"/>
      <c r="O1544" s="120"/>
      <c r="P1544" s="120"/>
      <c r="Q1544" s="120"/>
      <c r="R1544" s="120"/>
      <c r="S1544" s="120"/>
      <c r="T1544" s="221"/>
      <c r="U1544" s="89"/>
      <c r="V1544" s="61"/>
      <c r="W1544" s="92" t="s">
        <v>65</v>
      </c>
      <c r="X1544" s="93" t="s">
        <v>30</v>
      </c>
      <c r="Y1544" s="93" t="s">
        <v>1011</v>
      </c>
      <c r="Z1544" s="134">
        <f>VLOOKUP(W1544,Sheet2!$B:$D,3,FALSE)</f>
        <v>1.76</v>
      </c>
      <c r="AA1544" s="93">
        <f>AA1543/9</f>
        <v>1.169590643274854</v>
      </c>
      <c r="AB1544" s="93">
        <f>AD1544/AC1541</f>
        <v>1.5047999999999997</v>
      </c>
      <c r="AC1544" s="93">
        <f>AC1541/AA1544</f>
        <v>0.85500000000000009</v>
      </c>
      <c r="AD1544" s="94">
        <f t="shared" si="1162"/>
        <v>1.5048000000000001</v>
      </c>
      <c r="AE1544" s="190"/>
      <c r="AF1544" s="191"/>
      <c r="AG1544" s="191"/>
      <c r="AH1544" s="191"/>
      <c r="AI1544" s="186"/>
      <c r="AK1544" s="171"/>
    </row>
    <row r="1545" spans="1:37" s="102" customFormat="1" ht="19.899999999999999" customHeight="1" x14ac:dyDescent="0.25">
      <c r="A1545" s="45"/>
      <c r="B1545" s="59"/>
      <c r="C1545" s="137"/>
      <c r="D1545" s="59"/>
      <c r="E1545" s="116"/>
      <c r="F1545" s="120"/>
      <c r="G1545" s="120"/>
      <c r="H1545" s="120"/>
      <c r="I1545" s="60"/>
      <c r="J1545" s="116"/>
      <c r="K1545" s="213"/>
      <c r="L1545" s="120"/>
      <c r="M1545" s="120"/>
      <c r="N1545" s="167"/>
      <c r="O1545" s="120"/>
      <c r="P1545" s="120"/>
      <c r="Q1545" s="120"/>
      <c r="R1545" s="120"/>
      <c r="S1545" s="120"/>
      <c r="T1545" s="221"/>
      <c r="U1545" s="89"/>
      <c r="V1545" s="61"/>
      <c r="W1545" s="92" t="s">
        <v>161</v>
      </c>
      <c r="X1545" s="93" t="s">
        <v>29</v>
      </c>
      <c r="Y1545" s="93" t="s">
        <v>93</v>
      </c>
      <c r="Z1545" s="134">
        <f>VLOOKUP(W1545,Sheet2!$B:$D,3,FALSE)</f>
        <v>48</v>
      </c>
      <c r="AA1545" s="93">
        <f>(16*0.85*1.5)/(2.5*1.9*0.5*4)</f>
        <v>2.1473684210526316</v>
      </c>
      <c r="AB1545" s="93">
        <f>AD1545/AC1541</f>
        <v>22.352941176470591</v>
      </c>
      <c r="AC1545" s="93">
        <f>AC1541/AA1545</f>
        <v>0.46568627450980404</v>
      </c>
      <c r="AD1545" s="94">
        <f>AC1545*Z1545</f>
        <v>22.352941176470594</v>
      </c>
      <c r="AE1545" s="190"/>
      <c r="AF1545" s="191"/>
      <c r="AG1545" s="191"/>
      <c r="AH1545" s="191"/>
      <c r="AI1545" s="186"/>
      <c r="AK1545" s="171"/>
    </row>
    <row r="1546" spans="1:37" s="102" customFormat="1" ht="19.899999999999999" customHeight="1" x14ac:dyDescent="0.25">
      <c r="A1546" s="45"/>
      <c r="B1546" s="59"/>
      <c r="C1546" s="137"/>
      <c r="D1546" s="59"/>
      <c r="E1546" s="116"/>
      <c r="F1546" s="120"/>
      <c r="G1546" s="120"/>
      <c r="H1546" s="120"/>
      <c r="I1546" s="60"/>
      <c r="J1546" s="116"/>
      <c r="K1546" s="213"/>
      <c r="L1546" s="120"/>
      <c r="M1546" s="120"/>
      <c r="N1546" s="167"/>
      <c r="O1546" s="120"/>
      <c r="P1546" s="120"/>
      <c r="Q1546" s="120"/>
      <c r="R1546" s="120"/>
      <c r="S1546" s="120"/>
      <c r="T1546" s="221"/>
      <c r="U1546" s="89"/>
      <c r="V1546" s="61"/>
      <c r="W1546" s="92" t="s">
        <v>65</v>
      </c>
      <c r="X1546" s="93" t="s">
        <v>30</v>
      </c>
      <c r="Y1546" s="93" t="s">
        <v>1011</v>
      </c>
      <c r="Z1546" s="134">
        <f>VLOOKUP(W1546,Sheet2!$B:$D,3,FALSE)</f>
        <v>1.76</v>
      </c>
      <c r="AA1546" s="93">
        <f>AA1545/10</f>
        <v>0.21473684210526317</v>
      </c>
      <c r="AB1546" s="93">
        <f>AD1546/AC1541</f>
        <v>8.1960784313725483</v>
      </c>
      <c r="AC1546" s="93">
        <f>AC1541/AA1546</f>
        <v>4.6568627450980395</v>
      </c>
      <c r="AD1546" s="94">
        <f>AC1546*Z1546</f>
        <v>8.1960784313725501</v>
      </c>
      <c r="AE1546" s="190"/>
      <c r="AF1546" s="191"/>
      <c r="AG1546" s="191"/>
      <c r="AH1546" s="191"/>
      <c r="AI1546" s="186"/>
      <c r="AK1546" s="171"/>
    </row>
    <row r="1547" spans="1:37" s="102" customFormat="1" ht="19.899999999999999" customHeight="1" x14ac:dyDescent="0.25">
      <c r="A1547" s="45"/>
      <c r="B1547" s="59"/>
      <c r="C1547" s="137"/>
      <c r="D1547" s="59"/>
      <c r="E1547" s="116"/>
      <c r="F1547" s="120"/>
      <c r="G1547" s="120"/>
      <c r="H1547" s="120"/>
      <c r="I1547" s="60"/>
      <c r="J1547" s="116"/>
      <c r="K1547" s="213"/>
      <c r="L1547" s="120"/>
      <c r="M1547" s="120"/>
      <c r="N1547" s="167"/>
      <c r="O1547" s="120"/>
      <c r="P1547" s="120"/>
      <c r="Q1547" s="120"/>
      <c r="R1547" s="120"/>
      <c r="S1547" s="120"/>
      <c r="T1547" s="221"/>
      <c r="U1547" s="89"/>
      <c r="V1547" s="61"/>
      <c r="W1547" s="92" t="s">
        <v>173</v>
      </c>
      <c r="X1547" s="93" t="s">
        <v>29</v>
      </c>
      <c r="Y1547" s="93" t="s">
        <v>93</v>
      </c>
      <c r="Z1547" s="134">
        <f>VLOOKUP(W1547,Sheet2!$B:$D,3,FALSE)</f>
        <v>36</v>
      </c>
      <c r="AA1547" s="93">
        <f>50/(2.5*1.9*0.5*4)</f>
        <v>5.2631578947368425</v>
      </c>
      <c r="AB1547" s="93">
        <f>AD1547/AC1541</f>
        <v>6.839999999999999</v>
      </c>
      <c r="AC1547" s="93">
        <f>AC1541/AA1547</f>
        <v>0.19000000000000003</v>
      </c>
      <c r="AD1547" s="94">
        <f>AC1547*Z1547</f>
        <v>6.8400000000000007</v>
      </c>
      <c r="AE1547" s="190"/>
      <c r="AF1547" s="191"/>
      <c r="AG1547" s="191"/>
      <c r="AH1547" s="191"/>
      <c r="AI1547" s="186"/>
      <c r="AK1547" s="171"/>
    </row>
    <row r="1548" spans="1:37" s="102" customFormat="1" ht="19.899999999999999" customHeight="1" x14ac:dyDescent="0.25">
      <c r="A1548" s="45"/>
      <c r="B1548" s="59"/>
      <c r="C1548" s="137"/>
      <c r="D1548" s="59"/>
      <c r="E1548" s="116"/>
      <c r="F1548" s="120"/>
      <c r="G1548" s="120"/>
      <c r="H1548" s="120"/>
      <c r="I1548" s="60"/>
      <c r="J1548" s="116"/>
      <c r="K1548" s="213"/>
      <c r="L1548" s="120"/>
      <c r="M1548" s="120"/>
      <c r="N1548" s="167"/>
      <c r="O1548" s="120"/>
      <c r="P1548" s="120"/>
      <c r="Q1548" s="120"/>
      <c r="R1548" s="120"/>
      <c r="S1548" s="120"/>
      <c r="T1548" s="221"/>
      <c r="U1548" s="89"/>
      <c r="V1548" s="61"/>
      <c r="W1548" s="92" t="s">
        <v>65</v>
      </c>
      <c r="X1548" s="93" t="s">
        <v>30</v>
      </c>
      <c r="Y1548" s="93" t="s">
        <v>1011</v>
      </c>
      <c r="Z1548" s="134">
        <f>VLOOKUP(W1548,Sheet2!$B:$D,3,FALSE)</f>
        <v>1.76</v>
      </c>
      <c r="AA1548" s="93">
        <f>AA1547/9</f>
        <v>0.58479532163742698</v>
      </c>
      <c r="AB1548" s="93">
        <f>AD1548/AC1541</f>
        <v>3.0095999999999994</v>
      </c>
      <c r="AC1548" s="93">
        <f>AC1541/AA1548</f>
        <v>1.7100000000000002</v>
      </c>
      <c r="AD1548" s="94">
        <f>AC1548*Z1548</f>
        <v>3.0096000000000003</v>
      </c>
      <c r="AE1548" s="190"/>
      <c r="AF1548" s="191"/>
      <c r="AG1548" s="191"/>
      <c r="AH1548" s="191"/>
      <c r="AI1548" s="186"/>
      <c r="AK1548" s="171"/>
    </row>
    <row r="1549" spans="1:37" s="102" customFormat="1" ht="19.899999999999999" customHeight="1" x14ac:dyDescent="0.25">
      <c r="A1549" s="45"/>
      <c r="B1549" s="59"/>
      <c r="C1549" s="137"/>
      <c r="D1549" s="59"/>
      <c r="E1549" s="116"/>
      <c r="F1549" s="120"/>
      <c r="G1549" s="120"/>
      <c r="H1549" s="120"/>
      <c r="I1549" s="60"/>
      <c r="J1549" s="116"/>
      <c r="K1549" s="213"/>
      <c r="L1549" s="120"/>
      <c r="M1549" s="120"/>
      <c r="N1549" s="167"/>
      <c r="O1549" s="120"/>
      <c r="P1549" s="120"/>
      <c r="Q1549" s="120"/>
      <c r="R1549" s="120"/>
      <c r="S1549" s="120"/>
      <c r="T1549" s="221"/>
      <c r="U1549" s="89"/>
      <c r="V1549" s="61"/>
      <c r="W1549" s="92" t="s">
        <v>1030</v>
      </c>
      <c r="X1549" s="93" t="s">
        <v>29</v>
      </c>
      <c r="Y1549" s="93" t="s">
        <v>93</v>
      </c>
      <c r="Z1549" s="134">
        <f>VLOOKUP(W1549,Sheet2!$B:$D,3,FALSE)</f>
        <v>23</v>
      </c>
      <c r="AA1549" s="93">
        <v>1</v>
      </c>
      <c r="AB1549" s="93">
        <f>AD1549/AC1541</f>
        <v>23</v>
      </c>
      <c r="AC1549" s="93">
        <f>AC1541/AA1549</f>
        <v>1.0000000000000002</v>
      </c>
      <c r="AD1549" s="94">
        <f t="shared" ref="AD1549:AD1550" si="1164">AC1549*Z1549</f>
        <v>23.000000000000004</v>
      </c>
      <c r="AE1549" s="190"/>
      <c r="AF1549" s="191"/>
      <c r="AG1549" s="191"/>
      <c r="AH1549" s="191"/>
      <c r="AI1549" s="186"/>
      <c r="AK1549" s="171"/>
    </row>
    <row r="1550" spans="1:37" s="102" customFormat="1" ht="19.899999999999999" customHeight="1" x14ac:dyDescent="0.25">
      <c r="A1550" s="45"/>
      <c r="B1550" s="59"/>
      <c r="C1550" s="137"/>
      <c r="D1550" s="59"/>
      <c r="E1550" s="116"/>
      <c r="F1550" s="120"/>
      <c r="G1550" s="120"/>
      <c r="H1550" s="120"/>
      <c r="I1550" s="60"/>
      <c r="J1550" s="116"/>
      <c r="K1550" s="213"/>
      <c r="L1550" s="120"/>
      <c r="M1550" s="120"/>
      <c r="N1550" s="167"/>
      <c r="O1550" s="120"/>
      <c r="P1550" s="120"/>
      <c r="Q1550" s="120"/>
      <c r="R1550" s="120"/>
      <c r="S1550" s="120"/>
      <c r="T1550" s="221"/>
      <c r="U1550" s="89"/>
      <c r="V1550" s="61"/>
      <c r="W1550" s="92" t="s">
        <v>65</v>
      </c>
      <c r="X1550" s="93" t="s">
        <v>30</v>
      </c>
      <c r="Y1550" s="93" t="s">
        <v>1011</v>
      </c>
      <c r="Z1550" s="134">
        <f>VLOOKUP(W1550,Sheet2!$B:$D,3,FALSE)</f>
        <v>1.76</v>
      </c>
      <c r="AA1550" s="93">
        <f>AA1549/3</f>
        <v>0.33333333333333331</v>
      </c>
      <c r="AB1550" s="93">
        <f>AD1550/AC1541</f>
        <v>5.2800000000000011</v>
      </c>
      <c r="AC1550" s="93">
        <f>AC1541/AA1550</f>
        <v>3.0000000000000009</v>
      </c>
      <c r="AD1550" s="94">
        <f t="shared" si="1164"/>
        <v>5.280000000000002</v>
      </c>
      <c r="AE1550" s="190"/>
      <c r="AF1550" s="191"/>
      <c r="AG1550" s="191"/>
      <c r="AH1550" s="191"/>
      <c r="AI1550" s="186"/>
      <c r="AK1550" s="171"/>
    </row>
    <row r="1551" spans="1:37" ht="20.100000000000001" customHeight="1" x14ac:dyDescent="0.25">
      <c r="A1551" s="277" t="s">
        <v>216</v>
      </c>
      <c r="B1551" s="278"/>
      <c r="C1551" s="64" t="s">
        <v>361</v>
      </c>
      <c r="D1551" s="46" t="s">
        <v>215</v>
      </c>
      <c r="E1551" s="114"/>
      <c r="F1551" s="44">
        <v>0</v>
      </c>
      <c r="G1551" s="44">
        <f t="shared" si="607"/>
        <v>0</v>
      </c>
      <c r="H1551" s="44">
        <f t="shared" si="608"/>
        <v>0</v>
      </c>
      <c r="I1551" s="43">
        <f t="shared" si="609"/>
        <v>0</v>
      </c>
      <c r="J1551" s="112">
        <f t="shared" si="610"/>
        <v>0</v>
      </c>
      <c r="K1551" s="211">
        <f t="shared" si="611"/>
        <v>0</v>
      </c>
      <c r="L1551" s="44"/>
      <c r="M1551" s="44">
        <f t="shared" si="612"/>
        <v>0</v>
      </c>
      <c r="N1551" s="173">
        <f t="shared" si="613"/>
        <v>0</v>
      </c>
      <c r="O1551" s="44">
        <f t="shared" si="614"/>
        <v>0</v>
      </c>
      <c r="P1551" s="44">
        <f t="shared" si="615"/>
        <v>0</v>
      </c>
      <c r="Q1551" s="44">
        <f t="shared" si="616"/>
        <v>0</v>
      </c>
      <c r="R1551" s="44">
        <f t="shared" si="617"/>
        <v>0</v>
      </c>
      <c r="S1551" s="123"/>
      <c r="T1551" s="219">
        <f t="shared" si="618"/>
        <v>0</v>
      </c>
      <c r="U1551" s="87"/>
      <c r="V1551" s="47"/>
      <c r="W1551" s="48"/>
      <c r="X1551" s="48"/>
      <c r="Y1551" s="48"/>
      <c r="Z1551" s="135"/>
      <c r="AA1551" s="49"/>
      <c r="AB1551" s="50">
        <f t="shared" si="619"/>
        <v>0</v>
      </c>
      <c r="AC1551" s="42">
        <f t="shared" si="620"/>
        <v>9.9999999999999998E-20</v>
      </c>
      <c r="AD1551" s="90"/>
      <c r="AE1551" s="188"/>
      <c r="AF1551" s="189"/>
      <c r="AG1551" s="189"/>
      <c r="AH1551" s="189"/>
      <c r="AI1551" s="161"/>
    </row>
    <row r="1552" spans="1:37" ht="20.100000000000001" customHeight="1" x14ac:dyDescent="0.25">
      <c r="A1552" s="277" t="s">
        <v>216</v>
      </c>
      <c r="B1552" s="278"/>
      <c r="C1552" s="64" t="s">
        <v>362</v>
      </c>
      <c r="D1552" s="46" t="s">
        <v>215</v>
      </c>
      <c r="E1552" s="114"/>
      <c r="F1552" s="44">
        <v>0</v>
      </c>
      <c r="G1552" s="44">
        <f t="shared" si="607"/>
        <v>0</v>
      </c>
      <c r="H1552" s="44">
        <f t="shared" si="608"/>
        <v>0</v>
      </c>
      <c r="I1552" s="43">
        <f t="shared" si="609"/>
        <v>0</v>
      </c>
      <c r="J1552" s="112">
        <f t="shared" si="610"/>
        <v>0</v>
      </c>
      <c r="K1552" s="211">
        <f t="shared" si="611"/>
        <v>0</v>
      </c>
      <c r="L1552" s="44"/>
      <c r="M1552" s="44">
        <f t="shared" si="612"/>
        <v>0</v>
      </c>
      <c r="N1552" s="173">
        <f t="shared" si="613"/>
        <v>0</v>
      </c>
      <c r="O1552" s="44">
        <f t="shared" si="614"/>
        <v>0</v>
      </c>
      <c r="P1552" s="44">
        <f t="shared" si="615"/>
        <v>0</v>
      </c>
      <c r="Q1552" s="44">
        <f t="shared" si="616"/>
        <v>0</v>
      </c>
      <c r="R1552" s="44">
        <f t="shared" si="617"/>
        <v>0</v>
      </c>
      <c r="S1552" s="123"/>
      <c r="T1552" s="219">
        <f t="shared" si="618"/>
        <v>0</v>
      </c>
      <c r="U1552" s="87"/>
      <c r="V1552" s="47"/>
      <c r="W1552" s="48"/>
      <c r="X1552" s="48"/>
      <c r="Y1552" s="48"/>
      <c r="Z1552" s="135"/>
      <c r="AA1552" s="49"/>
      <c r="AB1552" s="50">
        <f t="shared" si="619"/>
        <v>0</v>
      </c>
      <c r="AC1552" s="42">
        <f t="shared" si="620"/>
        <v>9.9999999999999998E-20</v>
      </c>
      <c r="AD1552" s="90"/>
      <c r="AE1552" s="188"/>
      <c r="AF1552" s="189"/>
      <c r="AG1552" s="189"/>
      <c r="AH1552" s="189"/>
      <c r="AI1552" s="161"/>
    </row>
    <row r="1553" spans="1:41" ht="20.100000000000001" customHeight="1" x14ac:dyDescent="0.25">
      <c r="A1553" s="277" t="s">
        <v>216</v>
      </c>
      <c r="B1553" s="278"/>
      <c r="C1553" s="64" t="s">
        <v>363</v>
      </c>
      <c r="D1553" s="46" t="s">
        <v>215</v>
      </c>
      <c r="E1553" s="114">
        <v>7.4850000000000003</v>
      </c>
      <c r="F1553" s="44">
        <v>26765</v>
      </c>
      <c r="G1553" s="44">
        <f t="shared" si="607"/>
        <v>200336.02499999999</v>
      </c>
      <c r="H1553" s="44">
        <f t="shared" si="608"/>
        <v>12286.179576470588</v>
      </c>
      <c r="I1553" s="43">
        <f t="shared" si="609"/>
        <v>91962.054129882352</v>
      </c>
      <c r="J1553" s="112">
        <f t="shared" si="610"/>
        <v>7.4850000000000003</v>
      </c>
      <c r="K1553" s="211">
        <f t="shared" si="611"/>
        <v>7.4850000000000003</v>
      </c>
      <c r="L1553" s="44"/>
      <c r="M1553" s="44">
        <f t="shared" si="612"/>
        <v>7.4850000000000003</v>
      </c>
      <c r="N1553" s="173">
        <f t="shared" si="613"/>
        <v>1</v>
      </c>
      <c r="O1553" s="44">
        <f t="shared" si="614"/>
        <v>26765</v>
      </c>
      <c r="P1553" s="44">
        <f t="shared" si="615"/>
        <v>200336.02499999999</v>
      </c>
      <c r="Q1553" s="44">
        <f t="shared" si="616"/>
        <v>12286.179576470588</v>
      </c>
      <c r="R1553" s="44">
        <f t="shared" si="617"/>
        <v>91962.054129882352</v>
      </c>
      <c r="S1553" s="123"/>
      <c r="T1553" s="219">
        <f t="shared" si="618"/>
        <v>91962.054129882352</v>
      </c>
      <c r="U1553" s="87"/>
      <c r="V1553" s="47"/>
      <c r="W1553" s="48"/>
      <c r="X1553" s="48"/>
      <c r="Y1553" s="48"/>
      <c r="Z1553" s="135"/>
      <c r="AA1553" s="49"/>
      <c r="AB1553" s="50">
        <f t="shared" si="619"/>
        <v>12286.179576470588</v>
      </c>
      <c r="AC1553" s="42">
        <f t="shared" si="620"/>
        <v>7.4850000000000003</v>
      </c>
      <c r="AD1553" s="90">
        <f>AD1554+AD1559+AD1571+AD1574</f>
        <v>91962.054129882352</v>
      </c>
      <c r="AE1553" s="188">
        <f t="shared" ref="AE1553" si="1165">AE1554+AE1559+AE1571+AE1574</f>
        <v>0</v>
      </c>
      <c r="AF1553" s="189">
        <f t="shared" ref="AF1553" si="1166">AF1554+AF1559+AF1571+AF1574</f>
        <v>0</v>
      </c>
      <c r="AG1553" s="189">
        <f t="shared" ref="AG1553" si="1167">AG1554+AG1559+AG1571+AG1574</f>
        <v>0</v>
      </c>
      <c r="AH1553" s="189">
        <f t="shared" ref="AH1553" si="1168">AH1554+AH1559+AH1571+AH1574</f>
        <v>0</v>
      </c>
      <c r="AI1553" s="161">
        <f t="shared" ref="AI1553" si="1169">SUM(AE1553:AH1553)</f>
        <v>0</v>
      </c>
      <c r="AK1553" s="169">
        <v>5</v>
      </c>
      <c r="AO1553" s="19" t="s">
        <v>63</v>
      </c>
    </row>
    <row r="1554" spans="1:41" s="103" customFormat="1" ht="19.899999999999999" customHeight="1" x14ac:dyDescent="0.25">
      <c r="A1554" s="51"/>
      <c r="B1554" s="52"/>
      <c r="C1554" s="165"/>
      <c r="D1554" s="52"/>
      <c r="E1554" s="115"/>
      <c r="F1554" s="58"/>
      <c r="G1554" s="58"/>
      <c r="H1554" s="58"/>
      <c r="I1554" s="55"/>
      <c r="J1554" s="113">
        <f>J1553</f>
        <v>7.4850000000000003</v>
      </c>
      <c r="K1554" s="212">
        <f>K1553</f>
        <v>7.4850000000000003</v>
      </c>
      <c r="L1554" s="58"/>
      <c r="M1554" s="58">
        <f>K1554-L1554</f>
        <v>7.4850000000000003</v>
      </c>
      <c r="N1554" s="166"/>
      <c r="O1554" s="58"/>
      <c r="P1554" s="58"/>
      <c r="Q1554" s="58"/>
      <c r="R1554" s="58"/>
      <c r="S1554" s="58"/>
      <c r="T1554" s="220"/>
      <c r="U1554" s="88"/>
      <c r="V1554" s="56"/>
      <c r="W1554" s="57" t="s">
        <v>1351</v>
      </c>
      <c r="X1554" s="53"/>
      <c r="Y1554" s="91" t="s">
        <v>35</v>
      </c>
      <c r="Z1554" s="136">
        <f>AD1554/AC1554</f>
        <v>90.496941176470571</v>
      </c>
      <c r="AA1554" s="58"/>
      <c r="AB1554" s="53">
        <f>AD1554/AC1554</f>
        <v>90.496941176470571</v>
      </c>
      <c r="AC1554" s="53">
        <f>M1554+$AE$10</f>
        <v>7.4850000000000003</v>
      </c>
      <c r="AD1554" s="54">
        <f>SUM(AD1555:AD1558)</f>
        <v>677.36960470588224</v>
      </c>
      <c r="AE1554" s="184">
        <f>SUMIFS($AD$37:$AD$12971,$V$37:$V$12971,$V1554,$X$37:$X$12971,AE$13)</f>
        <v>0</v>
      </c>
      <c r="AF1554" s="185">
        <f>SUMIFS($AD$37:$AD$12971,$V$37:$V$12971,$V1554,$X$37:$X$12971,AF$13)</f>
        <v>0</v>
      </c>
      <c r="AG1554" s="185">
        <f>SUMIFS($AD$37:$AD$12971,$V$37:$V$12971,$V1554,$X$37:$X$12971,AG$13)</f>
        <v>0</v>
      </c>
      <c r="AH1554" s="187">
        <f>SUMIFS($AD$37:$AD$12971,$V$37:$V$12971,$V1554,$X$37:$X$12971,AH$13)</f>
        <v>0</v>
      </c>
      <c r="AI1554" s="161">
        <f t="shared" ref="AI1554" si="1170">SUM(AE1554:AH1554)</f>
        <v>0</v>
      </c>
      <c r="AK1554" s="172"/>
    </row>
    <row r="1555" spans="1:41" s="102" customFormat="1" ht="19.899999999999999" customHeight="1" x14ac:dyDescent="0.25">
      <c r="A1555" s="45"/>
      <c r="B1555" s="59"/>
      <c r="C1555" s="137"/>
      <c r="D1555" s="59"/>
      <c r="E1555" s="116"/>
      <c r="F1555" s="120"/>
      <c r="G1555" s="120"/>
      <c r="H1555" s="120"/>
      <c r="I1555" s="60"/>
      <c r="J1555" s="116"/>
      <c r="K1555" s="213"/>
      <c r="L1555" s="120"/>
      <c r="M1555" s="120"/>
      <c r="N1555" s="167"/>
      <c r="O1555" s="120"/>
      <c r="P1555" s="120"/>
      <c r="Q1555" s="120"/>
      <c r="R1555" s="120"/>
      <c r="S1555" s="120"/>
      <c r="T1555" s="221"/>
      <c r="U1555" s="89"/>
      <c r="V1555" s="61"/>
      <c r="W1555" s="92" t="s">
        <v>129</v>
      </c>
      <c r="X1555" s="93" t="s">
        <v>29</v>
      </c>
      <c r="Y1555" s="93" t="s">
        <v>93</v>
      </c>
      <c r="Z1555" s="134">
        <f>VLOOKUP(W1555,Sheet2!$B:$D,3,FALSE)</f>
        <v>56</v>
      </c>
      <c r="AA1555" s="93">
        <f>100/(3*3*2.5)</f>
        <v>4.4444444444444446</v>
      </c>
      <c r="AB1555" s="93">
        <f t="shared" ref="AB1555" si="1171">AD1555/AC1554</f>
        <v>12.6</v>
      </c>
      <c r="AC1555" s="93">
        <f>AC1554/AA1555</f>
        <v>1.6841250000000001</v>
      </c>
      <c r="AD1555" s="94">
        <f t="shared" ref="AD1555:AD1556" si="1172">AC1555*Z1555</f>
        <v>94.311000000000007</v>
      </c>
      <c r="AE1555" s="190"/>
      <c r="AF1555" s="191"/>
      <c r="AG1555" s="191"/>
      <c r="AH1555" s="191"/>
      <c r="AI1555" s="186"/>
      <c r="AK1555" s="171"/>
    </row>
    <row r="1556" spans="1:41" s="102" customFormat="1" ht="19.899999999999999" customHeight="1" x14ac:dyDescent="0.25">
      <c r="A1556" s="45"/>
      <c r="B1556" s="59"/>
      <c r="C1556" s="137"/>
      <c r="D1556" s="59"/>
      <c r="E1556" s="116"/>
      <c r="F1556" s="120"/>
      <c r="G1556" s="120"/>
      <c r="H1556" s="120"/>
      <c r="I1556" s="60"/>
      <c r="J1556" s="116"/>
      <c r="K1556" s="213"/>
      <c r="L1556" s="120"/>
      <c r="M1556" s="120"/>
      <c r="N1556" s="167"/>
      <c r="O1556" s="120"/>
      <c r="P1556" s="120"/>
      <c r="Q1556" s="120"/>
      <c r="R1556" s="120"/>
      <c r="S1556" s="120"/>
      <c r="T1556" s="221"/>
      <c r="U1556" s="89"/>
      <c r="V1556" s="61"/>
      <c r="W1556" s="92" t="s">
        <v>65</v>
      </c>
      <c r="X1556" s="93" t="s">
        <v>30</v>
      </c>
      <c r="Y1556" s="93" t="s">
        <v>1011</v>
      </c>
      <c r="Z1556" s="134">
        <f>VLOOKUP(W1556,Sheet2!$B:$D,3,FALSE)</f>
        <v>1.76</v>
      </c>
      <c r="AA1556" s="93">
        <f>AA1555/14</f>
        <v>0.3174603174603175</v>
      </c>
      <c r="AB1556" s="93">
        <f>AD1556/AC1554</f>
        <v>5.5439999999999996</v>
      </c>
      <c r="AC1556" s="93">
        <f>AC1554/AA1556</f>
        <v>23.577749999999998</v>
      </c>
      <c r="AD1556" s="94">
        <f t="shared" si="1172"/>
        <v>41.496839999999999</v>
      </c>
      <c r="AE1556" s="190"/>
      <c r="AF1556" s="191"/>
      <c r="AG1556" s="191"/>
      <c r="AH1556" s="191"/>
      <c r="AI1556" s="186"/>
      <c r="AK1556" s="171"/>
    </row>
    <row r="1557" spans="1:41" s="102" customFormat="1" ht="19.899999999999999" customHeight="1" x14ac:dyDescent="0.25">
      <c r="A1557" s="45"/>
      <c r="B1557" s="59"/>
      <c r="C1557" s="137"/>
      <c r="D1557" s="59"/>
      <c r="E1557" s="116"/>
      <c r="F1557" s="120"/>
      <c r="G1557" s="120"/>
      <c r="H1557" s="120"/>
      <c r="I1557" s="60"/>
      <c r="J1557" s="116"/>
      <c r="K1557" s="213"/>
      <c r="L1557" s="120"/>
      <c r="M1557" s="120"/>
      <c r="N1557" s="167"/>
      <c r="O1557" s="120"/>
      <c r="P1557" s="120"/>
      <c r="Q1557" s="120"/>
      <c r="R1557" s="120"/>
      <c r="S1557" s="120"/>
      <c r="T1557" s="221"/>
      <c r="U1557" s="89"/>
      <c r="V1557" s="61"/>
      <c r="W1557" s="92" t="s">
        <v>161</v>
      </c>
      <c r="X1557" s="93" t="s">
        <v>29</v>
      </c>
      <c r="Y1557" s="93" t="s">
        <v>93</v>
      </c>
      <c r="Z1557" s="134">
        <f>VLOOKUP(W1557,Sheet2!$B:$D,3,FALSE)</f>
        <v>48</v>
      </c>
      <c r="AA1557" s="93">
        <f>(16*0.85*1.5)/(3*3*2.5)</f>
        <v>0.90666666666666662</v>
      </c>
      <c r="AB1557" s="93">
        <f>AD1557/AC1554</f>
        <v>52.941176470588232</v>
      </c>
      <c r="AC1557" s="93">
        <f>AC1554/AA1557</f>
        <v>8.2555147058823533</v>
      </c>
      <c r="AD1557" s="94">
        <f>AC1557*Z1557</f>
        <v>396.26470588235293</v>
      </c>
      <c r="AE1557" s="190"/>
      <c r="AF1557" s="191"/>
      <c r="AG1557" s="191"/>
      <c r="AH1557" s="191"/>
      <c r="AI1557" s="186"/>
      <c r="AK1557" s="171"/>
    </row>
    <row r="1558" spans="1:41" s="102" customFormat="1" ht="19.899999999999999" customHeight="1" x14ac:dyDescent="0.25">
      <c r="A1558" s="45"/>
      <c r="B1558" s="59"/>
      <c r="C1558" s="137"/>
      <c r="D1558" s="59"/>
      <c r="E1558" s="116"/>
      <c r="F1558" s="120"/>
      <c r="G1558" s="120"/>
      <c r="H1558" s="120"/>
      <c r="I1558" s="60"/>
      <c r="J1558" s="116"/>
      <c r="K1558" s="213"/>
      <c r="L1558" s="120"/>
      <c r="M1558" s="120"/>
      <c r="N1558" s="167"/>
      <c r="O1558" s="120"/>
      <c r="P1558" s="120"/>
      <c r="Q1558" s="120"/>
      <c r="R1558" s="120"/>
      <c r="S1558" s="120"/>
      <c r="T1558" s="221"/>
      <c r="U1558" s="89"/>
      <c r="V1558" s="61"/>
      <c r="W1558" s="92" t="s">
        <v>65</v>
      </c>
      <c r="X1558" s="93" t="s">
        <v>30</v>
      </c>
      <c r="Y1558" s="93" t="s">
        <v>1011</v>
      </c>
      <c r="Z1558" s="134">
        <f>VLOOKUP(W1558,Sheet2!$B:$D,3,FALSE)</f>
        <v>1.76</v>
      </c>
      <c r="AA1558" s="93">
        <f>AA1557/10</f>
        <v>9.0666666666666659E-2</v>
      </c>
      <c r="AB1558" s="93">
        <f>AD1558/AC1554</f>
        <v>19.411764705882355</v>
      </c>
      <c r="AC1558" s="93">
        <f>AC1554/AA1558</f>
        <v>82.555147058823536</v>
      </c>
      <c r="AD1558" s="94">
        <f>AC1558*Z1558</f>
        <v>145.29705882352943</v>
      </c>
      <c r="AE1558" s="190"/>
      <c r="AF1558" s="191"/>
      <c r="AG1558" s="191"/>
      <c r="AH1558" s="191"/>
      <c r="AI1558" s="186"/>
      <c r="AK1558" s="171"/>
    </row>
    <row r="1559" spans="1:41" s="103" customFormat="1" ht="19.899999999999999" customHeight="1" x14ac:dyDescent="0.25">
      <c r="A1559" s="51"/>
      <c r="B1559" s="52"/>
      <c r="C1559" s="165"/>
      <c r="D1559" s="52"/>
      <c r="E1559" s="115"/>
      <c r="F1559" s="58"/>
      <c r="G1559" s="58"/>
      <c r="H1559" s="58"/>
      <c r="I1559" s="55"/>
      <c r="J1559" s="113">
        <f>J1553</f>
        <v>7.4850000000000003</v>
      </c>
      <c r="K1559" s="212">
        <f>K1553</f>
        <v>7.4850000000000003</v>
      </c>
      <c r="L1559" s="58"/>
      <c r="M1559" s="58">
        <f>K1559-L1559</f>
        <v>7.4850000000000003</v>
      </c>
      <c r="N1559" s="166"/>
      <c r="O1559" s="58"/>
      <c r="P1559" s="58"/>
      <c r="Q1559" s="58"/>
      <c r="R1559" s="58"/>
      <c r="S1559" s="58"/>
      <c r="T1559" s="220"/>
      <c r="U1559" s="88"/>
      <c r="V1559" s="56"/>
      <c r="W1559" s="57" t="s">
        <v>1352</v>
      </c>
      <c r="X1559" s="53"/>
      <c r="Y1559" s="91" t="s">
        <v>35</v>
      </c>
      <c r="Z1559" s="136">
        <f>AD1559/AC1559</f>
        <v>9186.6</v>
      </c>
      <c r="AA1559" s="58"/>
      <c r="AB1559" s="53">
        <f>AD1559/AC1559</f>
        <v>9186.6</v>
      </c>
      <c r="AC1559" s="53">
        <f>M1559+$AE$10</f>
        <v>7.4850000000000003</v>
      </c>
      <c r="AD1559" s="54">
        <f>SUM(AD1560:AD1570)</f>
        <v>68761.701000000001</v>
      </c>
      <c r="AE1559" s="184">
        <f>SUMIFS($AD$37:$AD$12971,$V$37:$V$12971,$V1559,$X$37:$X$12971,AE$13)</f>
        <v>0</v>
      </c>
      <c r="AF1559" s="185">
        <f>SUMIFS($AD$37:$AD$12971,$V$37:$V$12971,$V1559,$X$37:$X$12971,AF$13)</f>
        <v>0</v>
      </c>
      <c r="AG1559" s="185">
        <f>SUMIFS($AD$37:$AD$12971,$V$37:$V$12971,$V1559,$X$37:$X$12971,AG$13)</f>
        <v>0</v>
      </c>
      <c r="AH1559" s="187">
        <f>SUMIFS($AD$37:$AD$12971,$V$37:$V$12971,$V1559,$X$37:$X$12971,AH$13)</f>
        <v>0</v>
      </c>
      <c r="AI1559" s="161">
        <f t="shared" ref="AI1559" si="1173">SUM(AE1559:AH1559)</f>
        <v>0</v>
      </c>
      <c r="AK1559" s="172"/>
    </row>
    <row r="1560" spans="1:41" s="102" customFormat="1" ht="19.899999999999999" customHeight="1" x14ac:dyDescent="0.25">
      <c r="A1560" s="45"/>
      <c r="B1560" s="59"/>
      <c r="C1560" s="137"/>
      <c r="D1560" s="59"/>
      <c r="E1560" s="116"/>
      <c r="F1560" s="120"/>
      <c r="G1560" s="120"/>
      <c r="H1560" s="120"/>
      <c r="I1560" s="60"/>
      <c r="J1560" s="116"/>
      <c r="K1560" s="213"/>
      <c r="L1560" s="120"/>
      <c r="M1560" s="120"/>
      <c r="N1560" s="167"/>
      <c r="O1560" s="120"/>
      <c r="P1560" s="120"/>
      <c r="Q1560" s="120"/>
      <c r="R1560" s="120"/>
      <c r="S1560" s="120"/>
      <c r="T1560" s="221"/>
      <c r="U1560" s="89"/>
      <c r="V1560" s="61"/>
      <c r="W1560" s="92" t="s">
        <v>1032</v>
      </c>
      <c r="X1560" s="93" t="s">
        <v>30</v>
      </c>
      <c r="Y1560" s="93" t="s">
        <v>66</v>
      </c>
      <c r="Z1560" s="134">
        <f>VLOOKUP(W1560,Sheet2!$B:$D,3,FALSE)</f>
        <v>250</v>
      </c>
      <c r="AA1560" s="93">
        <f>1/(3*3*0.1)</f>
        <v>1.1111111111111112</v>
      </c>
      <c r="AB1560" s="93">
        <f t="shared" ref="AB1560" si="1174">AD1560/AC1559</f>
        <v>225</v>
      </c>
      <c r="AC1560" s="93">
        <f>AC1559/AA1560</f>
        <v>6.7365000000000004</v>
      </c>
      <c r="AD1560" s="94">
        <f t="shared" ref="AD1560:AD1562" si="1175">AC1560*Z1560</f>
        <v>1684.125</v>
      </c>
      <c r="AE1560" s="190"/>
      <c r="AF1560" s="191"/>
      <c r="AG1560" s="191"/>
      <c r="AH1560" s="191"/>
      <c r="AI1560" s="186"/>
      <c r="AK1560" s="171"/>
    </row>
    <row r="1561" spans="1:41" s="102" customFormat="1" ht="19.899999999999999" customHeight="1" x14ac:dyDescent="0.25">
      <c r="A1561" s="45"/>
      <c r="B1561" s="59"/>
      <c r="C1561" s="137"/>
      <c r="D1561" s="59"/>
      <c r="E1561" s="116"/>
      <c r="F1561" s="120"/>
      <c r="G1561" s="120"/>
      <c r="H1561" s="120"/>
      <c r="I1561" s="60"/>
      <c r="J1561" s="116"/>
      <c r="K1561" s="213"/>
      <c r="L1561" s="120"/>
      <c r="M1561" s="120"/>
      <c r="N1561" s="167"/>
      <c r="O1561" s="120"/>
      <c r="P1561" s="120"/>
      <c r="Q1561" s="120"/>
      <c r="R1561" s="120"/>
      <c r="S1561" s="120"/>
      <c r="T1561" s="221"/>
      <c r="U1561" s="89"/>
      <c r="V1561" s="61"/>
      <c r="W1561" s="92" t="s">
        <v>1353</v>
      </c>
      <c r="X1561" s="93" t="s">
        <v>30</v>
      </c>
      <c r="Y1561" s="93" t="s">
        <v>66</v>
      </c>
      <c r="Z1561" s="134">
        <f>VLOOKUP(W1561,Sheet2!$B:$D,3,FALSE)</f>
        <v>350</v>
      </c>
      <c r="AA1561" s="93">
        <f>1/(2*2*0.25*5)</f>
        <v>0.2</v>
      </c>
      <c r="AB1561" s="93">
        <f>AD1561/AC1559</f>
        <v>1749.9999999999998</v>
      </c>
      <c r="AC1561" s="93">
        <f>AC1559/AA1561</f>
        <v>37.424999999999997</v>
      </c>
      <c r="AD1561" s="94">
        <f t="shared" si="1175"/>
        <v>13098.749999999998</v>
      </c>
      <c r="AE1561" s="190"/>
      <c r="AF1561" s="191"/>
      <c r="AG1561" s="191"/>
      <c r="AH1561" s="191"/>
      <c r="AI1561" s="186"/>
      <c r="AK1561" s="171"/>
    </row>
    <row r="1562" spans="1:41" s="102" customFormat="1" ht="19.899999999999999" customHeight="1" x14ac:dyDescent="0.25">
      <c r="A1562" s="45"/>
      <c r="B1562" s="59"/>
      <c r="C1562" s="137"/>
      <c r="D1562" s="59"/>
      <c r="E1562" s="116"/>
      <c r="F1562" s="120"/>
      <c r="G1562" s="120"/>
      <c r="H1562" s="120"/>
      <c r="I1562" s="60"/>
      <c r="J1562" s="116"/>
      <c r="K1562" s="213"/>
      <c r="L1562" s="120"/>
      <c r="M1562" s="120"/>
      <c r="N1562" s="167"/>
      <c r="O1562" s="120"/>
      <c r="P1562" s="120"/>
      <c r="Q1562" s="120"/>
      <c r="R1562" s="120"/>
      <c r="S1562" s="120"/>
      <c r="T1562" s="221"/>
      <c r="U1562" s="89"/>
      <c r="V1562" s="61"/>
      <c r="W1562" s="92" t="s">
        <v>99</v>
      </c>
      <c r="X1562" s="93" t="s">
        <v>30</v>
      </c>
      <c r="Y1562" s="93" t="s">
        <v>67</v>
      </c>
      <c r="Z1562" s="134">
        <f>VLOOKUP(W1562,Sheet2!$B:$D,3,FALSE)</f>
        <v>2500</v>
      </c>
      <c r="AA1562" s="93">
        <f>1/(2*2*0.25*5*0.08)</f>
        <v>2.5</v>
      </c>
      <c r="AB1562" s="93">
        <f>AD1562/AC1559</f>
        <v>1000.0000000000001</v>
      </c>
      <c r="AC1562" s="93">
        <f>AC1559/AA1562</f>
        <v>2.9940000000000002</v>
      </c>
      <c r="AD1562" s="94">
        <f t="shared" si="1175"/>
        <v>7485.0000000000009</v>
      </c>
      <c r="AE1562" s="190"/>
      <c r="AF1562" s="191"/>
      <c r="AG1562" s="191"/>
      <c r="AH1562" s="191"/>
      <c r="AI1562" s="186"/>
      <c r="AK1562" s="171"/>
    </row>
    <row r="1563" spans="1:41" s="102" customFormat="1" ht="19.899999999999999" customHeight="1" x14ac:dyDescent="0.25">
      <c r="A1563" s="45"/>
      <c r="B1563" s="59"/>
      <c r="C1563" s="137"/>
      <c r="D1563" s="59"/>
      <c r="E1563" s="116"/>
      <c r="F1563" s="120"/>
      <c r="G1563" s="120"/>
      <c r="H1563" s="120"/>
      <c r="I1563" s="60"/>
      <c r="J1563" s="116"/>
      <c r="K1563" s="213"/>
      <c r="L1563" s="120"/>
      <c r="M1563" s="120"/>
      <c r="N1563" s="167"/>
      <c r="O1563" s="120"/>
      <c r="P1563" s="120"/>
      <c r="Q1563" s="120"/>
      <c r="R1563" s="120"/>
      <c r="S1563" s="120"/>
      <c r="T1563" s="221"/>
      <c r="U1563" s="89"/>
      <c r="V1563" s="61"/>
      <c r="W1563" s="92" t="s">
        <v>1354</v>
      </c>
      <c r="X1563" s="93" t="s">
        <v>32</v>
      </c>
      <c r="Y1563" s="93" t="s">
        <v>66</v>
      </c>
      <c r="Z1563" s="134">
        <f>VLOOKUP(W1563,Sheet2!$B:$D,3,FALSE)</f>
        <v>150</v>
      </c>
      <c r="AA1563" s="93">
        <f>AA1560</f>
        <v>1.1111111111111112</v>
      </c>
      <c r="AB1563" s="93">
        <f>AD1563/AC1559</f>
        <v>135</v>
      </c>
      <c r="AC1563" s="93">
        <f>AC1559/AA1563</f>
        <v>6.7365000000000004</v>
      </c>
      <c r="AD1563" s="94">
        <f>AC1563*Z1563</f>
        <v>1010.475</v>
      </c>
      <c r="AE1563" s="190"/>
      <c r="AF1563" s="191"/>
      <c r="AG1563" s="191"/>
      <c r="AH1563" s="191"/>
      <c r="AI1563" s="186"/>
      <c r="AK1563" s="171"/>
    </row>
    <row r="1564" spans="1:41" s="102" customFormat="1" ht="19.899999999999999" customHeight="1" x14ac:dyDescent="0.25">
      <c r="A1564" s="45"/>
      <c r="B1564" s="59"/>
      <c r="C1564" s="137"/>
      <c r="D1564" s="59"/>
      <c r="E1564" s="116"/>
      <c r="F1564" s="120"/>
      <c r="G1564" s="120"/>
      <c r="H1564" s="120"/>
      <c r="I1564" s="60"/>
      <c r="J1564" s="116"/>
      <c r="K1564" s="213"/>
      <c r="L1564" s="120"/>
      <c r="M1564" s="120"/>
      <c r="N1564" s="167"/>
      <c r="O1564" s="120"/>
      <c r="P1564" s="120"/>
      <c r="Q1564" s="120"/>
      <c r="R1564" s="120"/>
      <c r="S1564" s="120"/>
      <c r="T1564" s="221"/>
      <c r="U1564" s="89"/>
      <c r="V1564" s="61"/>
      <c r="W1564" s="92" t="s">
        <v>1355</v>
      </c>
      <c r="X1564" s="93" t="s">
        <v>32</v>
      </c>
      <c r="Y1564" s="93" t="s">
        <v>66</v>
      </c>
      <c r="Z1564" s="134">
        <f>VLOOKUP(W1564,Sheet2!$B:$D,3,FALSE)</f>
        <v>450</v>
      </c>
      <c r="AA1564" s="93">
        <f>AA1561</f>
        <v>0.2</v>
      </c>
      <c r="AB1564" s="93">
        <f>AD1564/AC1559</f>
        <v>2250</v>
      </c>
      <c r="AC1564" s="93">
        <f>AC1559/AA1564</f>
        <v>37.424999999999997</v>
      </c>
      <c r="AD1564" s="94">
        <f>AC1564*Z1564</f>
        <v>16841.25</v>
      </c>
      <c r="AE1564" s="190"/>
      <c r="AF1564" s="191"/>
      <c r="AG1564" s="191"/>
      <c r="AH1564" s="191"/>
      <c r="AI1564" s="186"/>
      <c r="AK1564" s="171"/>
    </row>
    <row r="1565" spans="1:41" s="102" customFormat="1" ht="19.899999999999999" customHeight="1" x14ac:dyDescent="0.25">
      <c r="A1565" s="45"/>
      <c r="B1565" s="59"/>
      <c r="C1565" s="137"/>
      <c r="D1565" s="59"/>
      <c r="E1565" s="116"/>
      <c r="F1565" s="120"/>
      <c r="G1565" s="120"/>
      <c r="H1565" s="120"/>
      <c r="I1565" s="60"/>
      <c r="J1565" s="116"/>
      <c r="K1565" s="213"/>
      <c r="L1565" s="120"/>
      <c r="M1565" s="120"/>
      <c r="N1565" s="167"/>
      <c r="O1565" s="120"/>
      <c r="P1565" s="120"/>
      <c r="Q1565" s="120"/>
      <c r="R1565" s="120"/>
      <c r="S1565" s="120"/>
      <c r="T1565" s="221"/>
      <c r="U1565" s="89"/>
      <c r="V1565" s="61"/>
      <c r="W1565" s="92" t="s">
        <v>1356</v>
      </c>
      <c r="X1565" s="93" t="s">
        <v>30</v>
      </c>
      <c r="Y1565" s="93" t="s">
        <v>35</v>
      </c>
      <c r="Z1565" s="134">
        <f>VLOOKUP(W1565,Sheet2!$B:$D,3,FALSE)</f>
        <v>3500</v>
      </c>
      <c r="AA1565" s="93">
        <v>1</v>
      </c>
      <c r="AB1565" s="93">
        <f>AD1565/AC1559</f>
        <v>3500</v>
      </c>
      <c r="AC1565" s="93">
        <f>AC1559/AA1565</f>
        <v>7.4850000000000003</v>
      </c>
      <c r="AD1565" s="94">
        <f t="shared" ref="AD1565:AD1566" si="1176">AC1565*Z1565</f>
        <v>26197.5</v>
      </c>
      <c r="AE1565" s="190"/>
      <c r="AF1565" s="191"/>
      <c r="AG1565" s="191"/>
      <c r="AH1565" s="191"/>
      <c r="AI1565" s="186"/>
      <c r="AK1565" s="171"/>
    </row>
    <row r="1566" spans="1:41" s="102" customFormat="1" ht="19.899999999999999" customHeight="1" x14ac:dyDescent="0.25">
      <c r="A1566" s="45"/>
      <c r="B1566" s="59"/>
      <c r="C1566" s="137"/>
      <c r="D1566" s="59"/>
      <c r="E1566" s="116"/>
      <c r="F1566" s="120"/>
      <c r="G1566" s="120"/>
      <c r="H1566" s="120"/>
      <c r="I1566" s="60"/>
      <c r="J1566" s="116"/>
      <c r="K1566" s="213"/>
      <c r="L1566" s="120"/>
      <c r="M1566" s="120"/>
      <c r="N1566" s="167"/>
      <c r="O1566" s="120"/>
      <c r="P1566" s="120"/>
      <c r="Q1566" s="120"/>
      <c r="R1566" s="120"/>
      <c r="S1566" s="120"/>
      <c r="T1566" s="221"/>
      <c r="U1566" s="89"/>
      <c r="V1566" s="61"/>
      <c r="W1566" s="92" t="s">
        <v>174</v>
      </c>
      <c r="X1566" s="93" t="s">
        <v>29</v>
      </c>
      <c r="Y1566" s="93" t="s">
        <v>93</v>
      </c>
      <c r="Z1566" s="134">
        <f>VLOOKUP(W1566,Sheet2!$B:$D,3,FALSE)</f>
        <v>80</v>
      </c>
      <c r="AA1566" s="93">
        <v>4</v>
      </c>
      <c r="AB1566" s="93">
        <f>AD1566/AC1559</f>
        <v>20</v>
      </c>
      <c r="AC1566" s="93">
        <f>AC1559/AA1566</f>
        <v>1.8712500000000001</v>
      </c>
      <c r="AD1566" s="94">
        <f t="shared" si="1176"/>
        <v>149.70000000000002</v>
      </c>
      <c r="AE1566" s="190"/>
      <c r="AF1566" s="191"/>
      <c r="AG1566" s="191"/>
      <c r="AH1566" s="191"/>
      <c r="AI1566" s="186"/>
      <c r="AK1566" s="171"/>
    </row>
    <row r="1567" spans="1:41" s="102" customFormat="1" ht="19.899999999999999" customHeight="1" x14ac:dyDescent="0.25">
      <c r="A1567" s="45"/>
      <c r="B1567" s="59"/>
      <c r="C1567" s="137"/>
      <c r="D1567" s="59"/>
      <c r="E1567" s="116"/>
      <c r="F1567" s="120"/>
      <c r="G1567" s="120"/>
      <c r="H1567" s="120"/>
      <c r="I1567" s="60"/>
      <c r="J1567" s="116"/>
      <c r="K1567" s="213"/>
      <c r="L1567" s="120"/>
      <c r="M1567" s="120"/>
      <c r="N1567" s="167"/>
      <c r="O1567" s="120"/>
      <c r="P1567" s="120"/>
      <c r="Q1567" s="120"/>
      <c r="R1567" s="120"/>
      <c r="S1567" s="120"/>
      <c r="T1567" s="221"/>
      <c r="U1567" s="89"/>
      <c r="V1567" s="61"/>
      <c r="W1567" s="92" t="s">
        <v>65</v>
      </c>
      <c r="X1567" s="93" t="s">
        <v>30</v>
      </c>
      <c r="Y1567" s="93" t="s">
        <v>93</v>
      </c>
      <c r="Z1567" s="134">
        <f>VLOOKUP(W1567,Sheet2!$B:$D,3,FALSE)</f>
        <v>1.76</v>
      </c>
      <c r="AA1567" s="93">
        <f>AA1566/15</f>
        <v>0.26666666666666666</v>
      </c>
      <c r="AB1567" s="93">
        <f>AD1567/AC1559</f>
        <v>6.6000000000000005</v>
      </c>
      <c r="AC1567" s="93">
        <f>AC1559/AA1567</f>
        <v>28.068750000000001</v>
      </c>
      <c r="AD1567" s="94">
        <f>AC1567*Z1567</f>
        <v>49.401000000000003</v>
      </c>
      <c r="AE1567" s="190"/>
      <c r="AF1567" s="191"/>
      <c r="AG1567" s="191"/>
      <c r="AH1567" s="191"/>
      <c r="AI1567" s="186"/>
      <c r="AK1567" s="171"/>
    </row>
    <row r="1568" spans="1:41" s="102" customFormat="1" ht="19.899999999999999" customHeight="1" x14ac:dyDescent="0.25">
      <c r="A1568" s="45"/>
      <c r="B1568" s="59"/>
      <c r="C1568" s="137"/>
      <c r="D1568" s="59"/>
      <c r="E1568" s="116"/>
      <c r="F1568" s="120"/>
      <c r="G1568" s="120"/>
      <c r="H1568" s="120"/>
      <c r="I1568" s="60"/>
      <c r="J1568" s="116"/>
      <c r="K1568" s="213"/>
      <c r="L1568" s="120"/>
      <c r="M1568" s="120"/>
      <c r="N1568" s="167"/>
      <c r="O1568" s="120"/>
      <c r="P1568" s="120"/>
      <c r="Q1568" s="120"/>
      <c r="R1568" s="120"/>
      <c r="S1568" s="120"/>
      <c r="T1568" s="221"/>
      <c r="U1568" s="89"/>
      <c r="V1568" s="61"/>
      <c r="W1568" s="92" t="s">
        <v>1357</v>
      </c>
      <c r="X1568" s="93" t="s">
        <v>30</v>
      </c>
      <c r="Y1568" s="93" t="s">
        <v>1349</v>
      </c>
      <c r="Z1568" s="134">
        <f>VLOOKUP(W1568,Sheet2!$B:$D,3,FALSE)</f>
        <v>150</v>
      </c>
      <c r="AA1568" s="93">
        <v>1</v>
      </c>
      <c r="AB1568" s="93">
        <f>AD1568/AC1559</f>
        <v>150</v>
      </c>
      <c r="AC1568" s="93">
        <f>AC1559/AA1568</f>
        <v>7.4850000000000003</v>
      </c>
      <c r="AD1568" s="94">
        <f>AC1568*Z1568</f>
        <v>1122.75</v>
      </c>
      <c r="AE1568" s="190"/>
      <c r="AF1568" s="191"/>
      <c r="AG1568" s="191"/>
      <c r="AH1568" s="191"/>
      <c r="AI1568" s="186"/>
      <c r="AK1568" s="171"/>
    </row>
    <row r="1569" spans="1:41" s="102" customFormat="1" ht="19.899999999999999" customHeight="1" x14ac:dyDescent="0.25">
      <c r="A1569" s="45"/>
      <c r="B1569" s="59"/>
      <c r="C1569" s="137"/>
      <c r="D1569" s="59"/>
      <c r="E1569" s="116"/>
      <c r="F1569" s="120"/>
      <c r="G1569" s="120"/>
      <c r="H1569" s="120"/>
      <c r="I1569" s="60"/>
      <c r="J1569" s="116"/>
      <c r="K1569" s="213"/>
      <c r="L1569" s="120"/>
      <c r="M1569" s="120"/>
      <c r="N1569" s="167"/>
      <c r="O1569" s="120"/>
      <c r="P1569" s="120"/>
      <c r="Q1569" s="120"/>
      <c r="R1569" s="120"/>
      <c r="S1569" s="120"/>
      <c r="T1569" s="221"/>
      <c r="U1569" s="89"/>
      <c r="V1569" s="61"/>
      <c r="W1569" s="92" t="s">
        <v>107</v>
      </c>
      <c r="X1569" s="93" t="s">
        <v>31</v>
      </c>
      <c r="Y1569" s="93" t="s">
        <v>93</v>
      </c>
      <c r="Z1569" s="134">
        <f>VLOOKUP(W1569,Sheet2!$B:$D,3,FALSE)</f>
        <v>17</v>
      </c>
      <c r="AA1569" s="93">
        <f>1/5</f>
        <v>0.2</v>
      </c>
      <c r="AB1569" s="93">
        <f>AD1569/AC1559</f>
        <v>84.999999999999986</v>
      </c>
      <c r="AC1569" s="93">
        <f>AC1559/AA1569</f>
        <v>37.424999999999997</v>
      </c>
      <c r="AD1569" s="94">
        <f>AC1569*Z1569</f>
        <v>636.22499999999991</v>
      </c>
      <c r="AE1569" s="190"/>
      <c r="AF1569" s="191"/>
      <c r="AG1569" s="191"/>
      <c r="AH1569" s="191"/>
      <c r="AI1569" s="186"/>
      <c r="AK1569" s="171"/>
    </row>
    <row r="1570" spans="1:41" s="102" customFormat="1" ht="19.899999999999999" customHeight="1" x14ac:dyDescent="0.25">
      <c r="A1570" s="45"/>
      <c r="B1570" s="59"/>
      <c r="C1570" s="137"/>
      <c r="D1570" s="59"/>
      <c r="E1570" s="116"/>
      <c r="F1570" s="120"/>
      <c r="G1570" s="120"/>
      <c r="H1570" s="120"/>
      <c r="I1570" s="60"/>
      <c r="J1570" s="116"/>
      <c r="K1570" s="213"/>
      <c r="L1570" s="120"/>
      <c r="M1570" s="120"/>
      <c r="N1570" s="167"/>
      <c r="O1570" s="120"/>
      <c r="P1570" s="120"/>
      <c r="Q1570" s="120"/>
      <c r="R1570" s="120"/>
      <c r="S1570" s="120"/>
      <c r="T1570" s="221"/>
      <c r="U1570" s="89"/>
      <c r="V1570" s="61"/>
      <c r="W1570" s="92" t="s">
        <v>112</v>
      </c>
      <c r="X1570" s="93" t="s">
        <v>31</v>
      </c>
      <c r="Y1570" s="93" t="s">
        <v>93</v>
      </c>
      <c r="Z1570" s="134">
        <f>VLOOKUP(W1570,Sheet2!$B:$D,3,FALSE)</f>
        <v>13</v>
      </c>
      <c r="AA1570" s="93">
        <f>AA1569</f>
        <v>0.2</v>
      </c>
      <c r="AB1570" s="93">
        <f>AD1570/AC1559</f>
        <v>65</v>
      </c>
      <c r="AC1570" s="93">
        <f>AC1559/AA1570</f>
        <v>37.424999999999997</v>
      </c>
      <c r="AD1570" s="94">
        <f>AC1570*Z1570</f>
        <v>486.52499999999998</v>
      </c>
      <c r="AE1570" s="190"/>
      <c r="AF1570" s="191"/>
      <c r="AG1570" s="191"/>
      <c r="AH1570" s="191"/>
      <c r="AI1570" s="186"/>
      <c r="AK1570" s="171"/>
    </row>
    <row r="1571" spans="1:41" s="103" customFormat="1" ht="19.899999999999999" customHeight="1" x14ac:dyDescent="0.25">
      <c r="A1571" s="51"/>
      <c r="B1571" s="52"/>
      <c r="C1571" s="165"/>
      <c r="D1571" s="52"/>
      <c r="E1571" s="115"/>
      <c r="F1571" s="58"/>
      <c r="G1571" s="58"/>
      <c r="H1571" s="58"/>
      <c r="I1571" s="55"/>
      <c r="J1571" s="113">
        <f>J1553</f>
        <v>7.4850000000000003</v>
      </c>
      <c r="K1571" s="212">
        <f>K1553</f>
        <v>7.4850000000000003</v>
      </c>
      <c r="L1571" s="58"/>
      <c r="M1571" s="58">
        <f>K1571-L1571</f>
        <v>7.4850000000000003</v>
      </c>
      <c r="N1571" s="166"/>
      <c r="O1571" s="58"/>
      <c r="P1571" s="58"/>
      <c r="Q1571" s="58"/>
      <c r="R1571" s="58"/>
      <c r="S1571" s="58"/>
      <c r="T1571" s="220"/>
      <c r="U1571" s="88"/>
      <c r="V1571" s="56"/>
      <c r="W1571" s="57" t="s">
        <v>1358</v>
      </c>
      <c r="X1571" s="53"/>
      <c r="Y1571" s="91" t="s">
        <v>35</v>
      </c>
      <c r="Z1571" s="136">
        <f>AD1571/AC1571</f>
        <v>2800</v>
      </c>
      <c r="AA1571" s="58"/>
      <c r="AB1571" s="53">
        <f>AD1571/AC1571</f>
        <v>2800</v>
      </c>
      <c r="AC1571" s="53">
        <f>M1571+$AE$10</f>
        <v>7.4850000000000003</v>
      </c>
      <c r="AD1571" s="54">
        <f>SUM(AD1572:AD1573)</f>
        <v>20958</v>
      </c>
      <c r="AE1571" s="184">
        <f>SUMIFS($AD$37:$AD$12971,$V$37:$V$12971,$V1571,$X$37:$X$12971,AE$13)</f>
        <v>0</v>
      </c>
      <c r="AF1571" s="185">
        <f>SUMIFS($AD$37:$AD$12971,$V$37:$V$12971,$V1571,$X$37:$X$12971,AF$13)</f>
        <v>0</v>
      </c>
      <c r="AG1571" s="185">
        <f>SUMIFS($AD$37:$AD$12971,$V$37:$V$12971,$V1571,$X$37:$X$12971,AG$13)</f>
        <v>0</v>
      </c>
      <c r="AH1571" s="187">
        <f>SUMIFS($AD$37:$AD$12971,$V$37:$V$12971,$V1571,$X$37:$X$12971,AH$13)</f>
        <v>0</v>
      </c>
      <c r="AI1571" s="161">
        <f t="shared" ref="AI1571" si="1177">SUM(AE1571:AH1571)</f>
        <v>0</v>
      </c>
      <c r="AK1571" s="172"/>
    </row>
    <row r="1572" spans="1:41" s="102" customFormat="1" ht="19.899999999999999" customHeight="1" x14ac:dyDescent="0.25">
      <c r="A1572" s="45"/>
      <c r="B1572" s="59"/>
      <c r="C1572" s="137"/>
      <c r="D1572" s="59"/>
      <c r="E1572" s="116"/>
      <c r="F1572" s="120"/>
      <c r="G1572" s="120"/>
      <c r="H1572" s="120"/>
      <c r="I1572" s="60"/>
      <c r="J1572" s="116"/>
      <c r="K1572" s="213"/>
      <c r="L1572" s="120"/>
      <c r="M1572" s="120"/>
      <c r="N1572" s="167"/>
      <c r="O1572" s="120"/>
      <c r="P1572" s="120"/>
      <c r="Q1572" s="120"/>
      <c r="R1572" s="120"/>
      <c r="S1572" s="120"/>
      <c r="T1572" s="221"/>
      <c r="U1572" s="89"/>
      <c r="V1572" s="61"/>
      <c r="W1572" s="92" t="s">
        <v>1359</v>
      </c>
      <c r="X1572" s="93" t="s">
        <v>32</v>
      </c>
      <c r="Y1572" s="93" t="s">
        <v>64</v>
      </c>
      <c r="Z1572" s="134">
        <f>VLOOKUP(W1572,Sheet2!$B:$D,3,FALSE)</f>
        <v>40</v>
      </c>
      <c r="AA1572" s="93">
        <f>1/40</f>
        <v>2.5000000000000001E-2</v>
      </c>
      <c r="AB1572" s="93">
        <f t="shared" ref="AB1572" si="1178">AD1572/AC1571</f>
        <v>1600</v>
      </c>
      <c r="AC1572" s="93">
        <f>AC1571/AA1572</f>
        <v>299.39999999999998</v>
      </c>
      <c r="AD1572" s="94">
        <f t="shared" ref="AD1572:AD1573" si="1179">AC1572*Z1572</f>
        <v>11976</v>
      </c>
      <c r="AE1572" s="190"/>
      <c r="AF1572" s="191"/>
      <c r="AG1572" s="191"/>
      <c r="AH1572" s="191"/>
      <c r="AI1572" s="186"/>
      <c r="AK1572" s="171"/>
    </row>
    <row r="1573" spans="1:41" s="102" customFormat="1" ht="19.899999999999999" customHeight="1" x14ac:dyDescent="0.25">
      <c r="A1573" s="45"/>
      <c r="B1573" s="59"/>
      <c r="C1573" s="137"/>
      <c r="D1573" s="59"/>
      <c r="E1573" s="116"/>
      <c r="F1573" s="120"/>
      <c r="G1573" s="120"/>
      <c r="H1573" s="120"/>
      <c r="I1573" s="60"/>
      <c r="J1573" s="116"/>
      <c r="K1573" s="213"/>
      <c r="L1573" s="120"/>
      <c r="M1573" s="120"/>
      <c r="N1573" s="167"/>
      <c r="O1573" s="120"/>
      <c r="P1573" s="120"/>
      <c r="Q1573" s="120"/>
      <c r="R1573" s="120"/>
      <c r="S1573" s="120"/>
      <c r="T1573" s="221"/>
      <c r="U1573" s="89"/>
      <c r="V1573" s="61"/>
      <c r="W1573" s="92" t="s">
        <v>1360</v>
      </c>
      <c r="X1573" s="93" t="s">
        <v>32</v>
      </c>
      <c r="Y1573" s="93" t="s">
        <v>64</v>
      </c>
      <c r="Z1573" s="134">
        <f>VLOOKUP(W1573,Sheet2!$B:$D,3,FALSE)</f>
        <v>30</v>
      </c>
      <c r="AA1573" s="93">
        <f>AA1572</f>
        <v>2.5000000000000001E-2</v>
      </c>
      <c r="AB1573" s="93">
        <f>AD1573/AC1571</f>
        <v>1200</v>
      </c>
      <c r="AC1573" s="93">
        <f>AC1571/AA1573</f>
        <v>299.39999999999998</v>
      </c>
      <c r="AD1573" s="94">
        <f t="shared" si="1179"/>
        <v>8982</v>
      </c>
      <c r="AE1573" s="190"/>
      <c r="AF1573" s="191"/>
      <c r="AG1573" s="191"/>
      <c r="AH1573" s="191"/>
      <c r="AI1573" s="186"/>
      <c r="AK1573" s="171"/>
    </row>
    <row r="1574" spans="1:41" s="103" customFormat="1" ht="19.899999999999999" customHeight="1" x14ac:dyDescent="0.25">
      <c r="A1574" s="51"/>
      <c r="B1574" s="52"/>
      <c r="C1574" s="165"/>
      <c r="D1574" s="52"/>
      <c r="E1574" s="115"/>
      <c r="F1574" s="58"/>
      <c r="G1574" s="58"/>
      <c r="H1574" s="58"/>
      <c r="I1574" s="55"/>
      <c r="J1574" s="113">
        <f>J1553</f>
        <v>7.4850000000000003</v>
      </c>
      <c r="K1574" s="212">
        <f>K1553</f>
        <v>7.4850000000000003</v>
      </c>
      <c r="L1574" s="58"/>
      <c r="M1574" s="58">
        <f>K1574-L1574</f>
        <v>7.4850000000000003</v>
      </c>
      <c r="N1574" s="166"/>
      <c r="O1574" s="58"/>
      <c r="P1574" s="58"/>
      <c r="Q1574" s="58"/>
      <c r="R1574" s="58"/>
      <c r="S1574" s="58"/>
      <c r="T1574" s="220"/>
      <c r="U1574" s="88"/>
      <c r="V1574" s="56"/>
      <c r="W1574" s="57" t="s">
        <v>1272</v>
      </c>
      <c r="X1574" s="53"/>
      <c r="Y1574" s="91" t="s">
        <v>35</v>
      </c>
      <c r="Z1574" s="136">
        <f>AD1574/AC1574</f>
        <v>209.08263529411767</v>
      </c>
      <c r="AA1574" s="58"/>
      <c r="AB1574" s="53">
        <f>AD1574/AC1574</f>
        <v>209.08263529411767</v>
      </c>
      <c r="AC1574" s="53">
        <f>M1574+$AE$10</f>
        <v>7.4850000000000003</v>
      </c>
      <c r="AD1574" s="54">
        <f>SUM(AD1575:AD1583)</f>
        <v>1564.9835251764707</v>
      </c>
      <c r="AE1574" s="184">
        <f>SUMIFS($AD$37:$AD$12971,$V$37:$V$12971,$V1574,$X$37:$X$12971,AE$13)</f>
        <v>0</v>
      </c>
      <c r="AF1574" s="185">
        <f>SUMIFS($AD$37:$AD$12971,$V$37:$V$12971,$V1574,$X$37:$X$12971,AF$13)</f>
        <v>0</v>
      </c>
      <c r="AG1574" s="185">
        <f>SUMIFS($AD$37:$AD$12971,$V$37:$V$12971,$V1574,$X$37:$X$12971,AG$13)</f>
        <v>0</v>
      </c>
      <c r="AH1574" s="187">
        <f>SUMIFS($AD$37:$AD$12971,$V$37:$V$12971,$V1574,$X$37:$X$12971,AH$13)</f>
        <v>0</v>
      </c>
      <c r="AI1574" s="161">
        <f t="shared" ref="AI1574" si="1180">SUM(AE1574:AH1574)</f>
        <v>0</v>
      </c>
      <c r="AK1574" s="172"/>
    </row>
    <row r="1575" spans="1:41" s="102" customFormat="1" ht="19.899999999999999" customHeight="1" x14ac:dyDescent="0.25">
      <c r="A1575" s="45"/>
      <c r="B1575" s="59"/>
      <c r="C1575" s="137"/>
      <c r="D1575" s="59"/>
      <c r="E1575" s="116"/>
      <c r="F1575" s="120"/>
      <c r="G1575" s="120"/>
      <c r="H1575" s="120"/>
      <c r="I1575" s="60"/>
      <c r="J1575" s="116"/>
      <c r="K1575" s="213"/>
      <c r="L1575" s="120"/>
      <c r="M1575" s="120"/>
      <c r="N1575" s="167"/>
      <c r="O1575" s="120"/>
      <c r="P1575" s="120"/>
      <c r="Q1575" s="120"/>
      <c r="R1575" s="120"/>
      <c r="S1575" s="120"/>
      <c r="T1575" s="221"/>
      <c r="U1575" s="89"/>
      <c r="V1575" s="61"/>
      <c r="W1575" s="92" t="s">
        <v>1273</v>
      </c>
      <c r="X1575" s="93" t="s">
        <v>30</v>
      </c>
      <c r="Y1575" s="93" t="s">
        <v>66</v>
      </c>
      <c r="Z1575" s="134">
        <f>VLOOKUP(W1575,Sheet2!$B:$D,3,FALSE)</f>
        <v>10</v>
      </c>
      <c r="AA1575" s="93">
        <f>1/(2.5*2.4*0.5*4)</f>
        <v>8.3333333333333329E-2</v>
      </c>
      <c r="AB1575" s="93">
        <f>AD1575/AC1574</f>
        <v>120</v>
      </c>
      <c r="AC1575" s="93">
        <f>AC1574/AA1575</f>
        <v>89.820000000000007</v>
      </c>
      <c r="AD1575" s="94">
        <f t="shared" ref="AD1575:AD1577" si="1181">AC1575*Z1575</f>
        <v>898.2</v>
      </c>
      <c r="AE1575" s="190"/>
      <c r="AF1575" s="191"/>
      <c r="AG1575" s="191"/>
      <c r="AH1575" s="191"/>
      <c r="AI1575" s="186"/>
      <c r="AK1575" s="171"/>
    </row>
    <row r="1576" spans="1:41" s="102" customFormat="1" ht="19.899999999999999" customHeight="1" x14ac:dyDescent="0.25">
      <c r="A1576" s="45"/>
      <c r="B1576" s="59"/>
      <c r="C1576" s="137"/>
      <c r="D1576" s="59"/>
      <c r="E1576" s="116"/>
      <c r="F1576" s="120"/>
      <c r="G1576" s="120"/>
      <c r="H1576" s="120"/>
      <c r="I1576" s="60"/>
      <c r="J1576" s="116"/>
      <c r="K1576" s="213"/>
      <c r="L1576" s="120"/>
      <c r="M1576" s="120"/>
      <c r="N1576" s="167"/>
      <c r="O1576" s="120"/>
      <c r="P1576" s="120"/>
      <c r="Q1576" s="120"/>
      <c r="R1576" s="120"/>
      <c r="S1576" s="120"/>
      <c r="T1576" s="221"/>
      <c r="U1576" s="89"/>
      <c r="V1576" s="61"/>
      <c r="W1576" s="92" t="s">
        <v>134</v>
      </c>
      <c r="X1576" s="93" t="s">
        <v>29</v>
      </c>
      <c r="Y1576" s="93" t="s">
        <v>93</v>
      </c>
      <c r="Z1576" s="134">
        <f>VLOOKUP(W1576,Sheet2!$B:$D,3,FALSE)</f>
        <v>65.599999999999994</v>
      </c>
      <c r="AA1576" s="93">
        <f>100/(2.5*2.4*0.5*4)</f>
        <v>8.3333333333333339</v>
      </c>
      <c r="AB1576" s="93">
        <f t="shared" ref="AB1576" si="1182">AD1576/AC1574</f>
        <v>7.871999999999999</v>
      </c>
      <c r="AC1576" s="93">
        <f>AC1574/AA1576</f>
        <v>0.8982</v>
      </c>
      <c r="AD1576" s="94">
        <f t="shared" si="1181"/>
        <v>58.921919999999993</v>
      </c>
      <c r="AE1576" s="190"/>
      <c r="AF1576" s="191"/>
      <c r="AG1576" s="191"/>
      <c r="AH1576" s="191"/>
      <c r="AI1576" s="186"/>
      <c r="AK1576" s="171"/>
    </row>
    <row r="1577" spans="1:41" s="102" customFormat="1" ht="19.899999999999999" customHeight="1" x14ac:dyDescent="0.25">
      <c r="A1577" s="45"/>
      <c r="B1577" s="59"/>
      <c r="C1577" s="137"/>
      <c r="D1577" s="59"/>
      <c r="E1577" s="116"/>
      <c r="F1577" s="120"/>
      <c r="G1577" s="120"/>
      <c r="H1577" s="120"/>
      <c r="I1577" s="60"/>
      <c r="J1577" s="116"/>
      <c r="K1577" s="213"/>
      <c r="L1577" s="120"/>
      <c r="M1577" s="120"/>
      <c r="N1577" s="167"/>
      <c r="O1577" s="120"/>
      <c r="P1577" s="120"/>
      <c r="Q1577" s="120"/>
      <c r="R1577" s="120"/>
      <c r="S1577" s="120"/>
      <c r="T1577" s="221"/>
      <c r="U1577" s="89"/>
      <c r="V1577" s="61"/>
      <c r="W1577" s="92" t="s">
        <v>65</v>
      </c>
      <c r="X1577" s="93" t="s">
        <v>30</v>
      </c>
      <c r="Y1577" s="93" t="s">
        <v>1011</v>
      </c>
      <c r="Z1577" s="134">
        <f>VLOOKUP(W1577,Sheet2!$B:$D,3,FALSE)</f>
        <v>1.76</v>
      </c>
      <c r="AA1577" s="93">
        <f>AA1576/9</f>
        <v>0.92592592592592604</v>
      </c>
      <c r="AB1577" s="93">
        <f>AD1577/AC1574</f>
        <v>1.9008</v>
      </c>
      <c r="AC1577" s="93">
        <f>AC1574/AA1577</f>
        <v>8.0838000000000001</v>
      </c>
      <c r="AD1577" s="94">
        <f t="shared" si="1181"/>
        <v>14.227488000000001</v>
      </c>
      <c r="AE1577" s="190"/>
      <c r="AF1577" s="191"/>
      <c r="AG1577" s="191"/>
      <c r="AH1577" s="191"/>
      <c r="AI1577" s="186"/>
      <c r="AK1577" s="171"/>
    </row>
    <row r="1578" spans="1:41" s="102" customFormat="1" ht="19.899999999999999" customHeight="1" x14ac:dyDescent="0.25">
      <c r="A1578" s="45"/>
      <c r="B1578" s="59"/>
      <c r="C1578" s="137"/>
      <c r="D1578" s="59"/>
      <c r="E1578" s="116"/>
      <c r="F1578" s="120"/>
      <c r="G1578" s="120"/>
      <c r="H1578" s="120"/>
      <c r="I1578" s="60"/>
      <c r="J1578" s="116"/>
      <c r="K1578" s="213"/>
      <c r="L1578" s="120"/>
      <c r="M1578" s="120"/>
      <c r="N1578" s="167"/>
      <c r="O1578" s="120"/>
      <c r="P1578" s="120"/>
      <c r="Q1578" s="120"/>
      <c r="R1578" s="120"/>
      <c r="S1578" s="120"/>
      <c r="T1578" s="221"/>
      <c r="U1578" s="89"/>
      <c r="V1578" s="61"/>
      <c r="W1578" s="92" t="s">
        <v>161</v>
      </c>
      <c r="X1578" s="93" t="s">
        <v>29</v>
      </c>
      <c r="Y1578" s="93" t="s">
        <v>93</v>
      </c>
      <c r="Z1578" s="134">
        <f>VLOOKUP(W1578,Sheet2!$B:$D,3,FALSE)</f>
        <v>48</v>
      </c>
      <c r="AA1578" s="93">
        <f>(16*0.85*1.5)/(2.5*2.4*0.5*4)</f>
        <v>1.7</v>
      </c>
      <c r="AB1578" s="93">
        <f>AD1578/AC1574</f>
        <v>28.235294117647062</v>
      </c>
      <c r="AC1578" s="93">
        <f>AC1574/AA1578</f>
        <v>4.4029411764705886</v>
      </c>
      <c r="AD1578" s="94">
        <f>AC1578*Z1578</f>
        <v>211.34117647058827</v>
      </c>
      <c r="AE1578" s="190"/>
      <c r="AF1578" s="191"/>
      <c r="AG1578" s="191"/>
      <c r="AH1578" s="191"/>
      <c r="AI1578" s="186"/>
      <c r="AK1578" s="171"/>
    </row>
    <row r="1579" spans="1:41" s="102" customFormat="1" ht="19.899999999999999" customHeight="1" x14ac:dyDescent="0.25">
      <c r="A1579" s="45"/>
      <c r="B1579" s="59"/>
      <c r="C1579" s="137"/>
      <c r="D1579" s="59"/>
      <c r="E1579" s="116"/>
      <c r="F1579" s="120"/>
      <c r="G1579" s="120"/>
      <c r="H1579" s="120"/>
      <c r="I1579" s="60"/>
      <c r="J1579" s="116"/>
      <c r="K1579" s="213"/>
      <c r="L1579" s="120"/>
      <c r="M1579" s="120"/>
      <c r="N1579" s="167"/>
      <c r="O1579" s="120"/>
      <c r="P1579" s="120"/>
      <c r="Q1579" s="120"/>
      <c r="R1579" s="120"/>
      <c r="S1579" s="120"/>
      <c r="T1579" s="221"/>
      <c r="U1579" s="89"/>
      <c r="V1579" s="61"/>
      <c r="W1579" s="92" t="s">
        <v>65</v>
      </c>
      <c r="X1579" s="93" t="s">
        <v>30</v>
      </c>
      <c r="Y1579" s="93" t="s">
        <v>1011</v>
      </c>
      <c r="Z1579" s="134">
        <f>VLOOKUP(W1579,Sheet2!$B:$D,3,FALSE)</f>
        <v>1.76</v>
      </c>
      <c r="AA1579" s="93">
        <f>AA1578/10</f>
        <v>0.16999999999999998</v>
      </c>
      <c r="AB1579" s="93">
        <f>AD1579/AC1574</f>
        <v>10.352941176470591</v>
      </c>
      <c r="AC1579" s="93">
        <f>AC1574/AA1579</f>
        <v>44.029411764705891</v>
      </c>
      <c r="AD1579" s="94">
        <f>AC1579*Z1579</f>
        <v>77.491764705882375</v>
      </c>
      <c r="AE1579" s="190"/>
      <c r="AF1579" s="191"/>
      <c r="AG1579" s="191"/>
      <c r="AH1579" s="191"/>
      <c r="AI1579" s="186"/>
      <c r="AK1579" s="171"/>
    </row>
    <row r="1580" spans="1:41" s="102" customFormat="1" ht="19.899999999999999" customHeight="1" x14ac:dyDescent="0.25">
      <c r="A1580" s="45"/>
      <c r="B1580" s="59"/>
      <c r="C1580" s="137"/>
      <c r="D1580" s="59"/>
      <c r="E1580" s="116"/>
      <c r="F1580" s="120"/>
      <c r="G1580" s="120"/>
      <c r="H1580" s="120"/>
      <c r="I1580" s="60"/>
      <c r="J1580" s="116"/>
      <c r="K1580" s="213"/>
      <c r="L1580" s="120"/>
      <c r="M1580" s="120"/>
      <c r="N1580" s="167"/>
      <c r="O1580" s="120"/>
      <c r="P1580" s="120"/>
      <c r="Q1580" s="120"/>
      <c r="R1580" s="120"/>
      <c r="S1580" s="120"/>
      <c r="T1580" s="221"/>
      <c r="U1580" s="89"/>
      <c r="V1580" s="61"/>
      <c r="W1580" s="92" t="s">
        <v>173</v>
      </c>
      <c r="X1580" s="93" t="s">
        <v>29</v>
      </c>
      <c r="Y1580" s="93" t="s">
        <v>93</v>
      </c>
      <c r="Z1580" s="134">
        <f>VLOOKUP(W1580,Sheet2!$B:$D,3,FALSE)</f>
        <v>36</v>
      </c>
      <c r="AA1580" s="93">
        <f>50/(2.5*2.4*0.5*4)</f>
        <v>4.166666666666667</v>
      </c>
      <c r="AB1580" s="93">
        <f>AD1580/AC1574</f>
        <v>8.64</v>
      </c>
      <c r="AC1580" s="93">
        <f>AC1574/AA1580</f>
        <v>1.7964</v>
      </c>
      <c r="AD1580" s="94">
        <f>AC1580*Z1580</f>
        <v>64.670400000000001</v>
      </c>
      <c r="AE1580" s="190"/>
      <c r="AF1580" s="191"/>
      <c r="AG1580" s="191"/>
      <c r="AH1580" s="191"/>
      <c r="AI1580" s="186"/>
      <c r="AK1580" s="171"/>
    </row>
    <row r="1581" spans="1:41" s="102" customFormat="1" ht="19.899999999999999" customHeight="1" x14ac:dyDescent="0.25">
      <c r="A1581" s="45"/>
      <c r="B1581" s="59"/>
      <c r="C1581" s="137"/>
      <c r="D1581" s="59"/>
      <c r="E1581" s="116"/>
      <c r="F1581" s="120"/>
      <c r="G1581" s="120"/>
      <c r="H1581" s="120"/>
      <c r="I1581" s="60"/>
      <c r="J1581" s="116"/>
      <c r="K1581" s="213"/>
      <c r="L1581" s="120"/>
      <c r="M1581" s="120"/>
      <c r="N1581" s="167"/>
      <c r="O1581" s="120"/>
      <c r="P1581" s="120"/>
      <c r="Q1581" s="120"/>
      <c r="R1581" s="120"/>
      <c r="S1581" s="120"/>
      <c r="T1581" s="221"/>
      <c r="U1581" s="89"/>
      <c r="V1581" s="61"/>
      <c r="W1581" s="92" t="s">
        <v>65</v>
      </c>
      <c r="X1581" s="93" t="s">
        <v>30</v>
      </c>
      <c r="Y1581" s="93" t="s">
        <v>1011</v>
      </c>
      <c r="Z1581" s="134">
        <f>VLOOKUP(W1581,Sheet2!$B:$D,3,FALSE)</f>
        <v>1.76</v>
      </c>
      <c r="AA1581" s="93">
        <f>AA1580/9</f>
        <v>0.46296296296296302</v>
      </c>
      <c r="AB1581" s="93">
        <f>AD1581/AC1574</f>
        <v>3.8016000000000001</v>
      </c>
      <c r="AC1581" s="93">
        <f>AC1574/AA1581</f>
        <v>16.1676</v>
      </c>
      <c r="AD1581" s="94">
        <f>AC1581*Z1581</f>
        <v>28.454976000000002</v>
      </c>
      <c r="AE1581" s="190"/>
      <c r="AF1581" s="191"/>
      <c r="AG1581" s="191"/>
      <c r="AH1581" s="191"/>
      <c r="AI1581" s="186"/>
      <c r="AK1581" s="171"/>
    </row>
    <row r="1582" spans="1:41" s="102" customFormat="1" ht="19.899999999999999" customHeight="1" x14ac:dyDescent="0.25">
      <c r="A1582" s="45"/>
      <c r="B1582" s="59"/>
      <c r="C1582" s="137"/>
      <c r="D1582" s="59"/>
      <c r="E1582" s="116"/>
      <c r="F1582" s="120"/>
      <c r="G1582" s="120"/>
      <c r="H1582" s="120"/>
      <c r="I1582" s="60"/>
      <c r="J1582" s="116"/>
      <c r="K1582" s="213"/>
      <c r="L1582" s="120"/>
      <c r="M1582" s="120"/>
      <c r="N1582" s="167"/>
      <c r="O1582" s="120"/>
      <c r="P1582" s="120"/>
      <c r="Q1582" s="120"/>
      <c r="R1582" s="120"/>
      <c r="S1582" s="120"/>
      <c r="T1582" s="221"/>
      <c r="U1582" s="89"/>
      <c r="V1582" s="61"/>
      <c r="W1582" s="92" t="s">
        <v>1030</v>
      </c>
      <c r="X1582" s="93" t="s">
        <v>29</v>
      </c>
      <c r="Y1582" s="93" t="s">
        <v>93</v>
      </c>
      <c r="Z1582" s="134">
        <f>VLOOKUP(W1582,Sheet2!$B:$D,3,FALSE)</f>
        <v>23</v>
      </c>
      <c r="AA1582" s="93">
        <v>1</v>
      </c>
      <c r="AB1582" s="93">
        <f>AD1582/AC1574</f>
        <v>23</v>
      </c>
      <c r="AC1582" s="93">
        <f>AC1574/AA1582</f>
        <v>7.4850000000000003</v>
      </c>
      <c r="AD1582" s="94">
        <f t="shared" ref="AD1582:AD1583" si="1183">AC1582*Z1582</f>
        <v>172.155</v>
      </c>
      <c r="AE1582" s="190"/>
      <c r="AF1582" s="191"/>
      <c r="AG1582" s="191"/>
      <c r="AH1582" s="191"/>
      <c r="AI1582" s="186"/>
      <c r="AK1582" s="171"/>
    </row>
    <row r="1583" spans="1:41" s="102" customFormat="1" ht="19.899999999999999" customHeight="1" x14ac:dyDescent="0.25">
      <c r="A1583" s="45"/>
      <c r="B1583" s="59"/>
      <c r="C1583" s="137"/>
      <c r="D1583" s="59"/>
      <c r="E1583" s="116"/>
      <c r="F1583" s="120"/>
      <c r="G1583" s="120"/>
      <c r="H1583" s="120"/>
      <c r="I1583" s="60"/>
      <c r="J1583" s="116"/>
      <c r="K1583" s="213"/>
      <c r="L1583" s="120"/>
      <c r="M1583" s="120"/>
      <c r="N1583" s="167"/>
      <c r="O1583" s="120"/>
      <c r="P1583" s="120"/>
      <c r="Q1583" s="120"/>
      <c r="R1583" s="120"/>
      <c r="S1583" s="120"/>
      <c r="T1583" s="221"/>
      <c r="U1583" s="89"/>
      <c r="V1583" s="61"/>
      <c r="W1583" s="92" t="s">
        <v>65</v>
      </c>
      <c r="X1583" s="93" t="s">
        <v>30</v>
      </c>
      <c r="Y1583" s="93" t="s">
        <v>1011</v>
      </c>
      <c r="Z1583" s="134">
        <f>VLOOKUP(W1583,Sheet2!$B:$D,3,FALSE)</f>
        <v>1.76</v>
      </c>
      <c r="AA1583" s="93">
        <f>AA1582/3</f>
        <v>0.33333333333333331</v>
      </c>
      <c r="AB1583" s="93">
        <f>AD1583/AC1574</f>
        <v>5.28</v>
      </c>
      <c r="AC1583" s="93">
        <f>AC1574/AA1583</f>
        <v>22.455000000000002</v>
      </c>
      <c r="AD1583" s="94">
        <f t="shared" si="1183"/>
        <v>39.520800000000001</v>
      </c>
      <c r="AE1583" s="190"/>
      <c r="AF1583" s="191"/>
      <c r="AG1583" s="191"/>
      <c r="AH1583" s="191"/>
      <c r="AI1583" s="186"/>
      <c r="AK1583" s="171"/>
    </row>
    <row r="1584" spans="1:41" ht="20.100000000000001" customHeight="1" x14ac:dyDescent="0.25">
      <c r="A1584" s="277" t="s">
        <v>216</v>
      </c>
      <c r="B1584" s="278"/>
      <c r="C1584" s="64" t="s">
        <v>333</v>
      </c>
      <c r="D1584" s="46" t="s">
        <v>215</v>
      </c>
      <c r="E1584" s="114">
        <v>0.38000000000000012</v>
      </c>
      <c r="F1584" s="44">
        <v>11329</v>
      </c>
      <c r="G1584" s="44">
        <f t="shared" si="607"/>
        <v>4305.0200000000013</v>
      </c>
      <c r="H1584" s="44">
        <f t="shared" si="608"/>
        <v>4195.6732078431378</v>
      </c>
      <c r="I1584" s="43">
        <f t="shared" si="609"/>
        <v>1594.3558189803928</v>
      </c>
      <c r="J1584" s="112">
        <f t="shared" si="610"/>
        <v>0.38000000000000012</v>
      </c>
      <c r="K1584" s="211">
        <f t="shared" si="611"/>
        <v>0.38000000000000012</v>
      </c>
      <c r="L1584" s="44"/>
      <c r="M1584" s="44">
        <f t="shared" si="612"/>
        <v>0.38000000000000012</v>
      </c>
      <c r="N1584" s="173">
        <f t="shared" si="613"/>
        <v>1</v>
      </c>
      <c r="O1584" s="44">
        <f t="shared" si="614"/>
        <v>11329</v>
      </c>
      <c r="P1584" s="44">
        <f t="shared" si="615"/>
        <v>4305.0200000000013</v>
      </c>
      <c r="Q1584" s="44">
        <f t="shared" si="616"/>
        <v>4195.6732078431378</v>
      </c>
      <c r="R1584" s="44">
        <f t="shared" si="617"/>
        <v>1594.3558189803928</v>
      </c>
      <c r="S1584" s="123"/>
      <c r="T1584" s="219">
        <f t="shared" si="618"/>
        <v>1594.3558189803928</v>
      </c>
      <c r="U1584" s="87"/>
      <c r="V1584" s="47"/>
      <c r="W1584" s="48"/>
      <c r="X1584" s="48"/>
      <c r="Y1584" s="48"/>
      <c r="Z1584" s="135"/>
      <c r="AA1584" s="49"/>
      <c r="AB1584" s="50">
        <f t="shared" si="619"/>
        <v>4195.6732078431378</v>
      </c>
      <c r="AC1584" s="42">
        <f t="shared" si="620"/>
        <v>0.38000000000000012</v>
      </c>
      <c r="AD1584" s="90">
        <f>AD1585+AD1590+AD1597+AD1600</f>
        <v>1594.3558189803928</v>
      </c>
      <c r="AE1584" s="188">
        <f t="shared" ref="AE1584:AH1584" si="1184">AE1585+AE1590+AE1597+AE1600</f>
        <v>0</v>
      </c>
      <c r="AF1584" s="189">
        <f t="shared" si="1184"/>
        <v>0</v>
      </c>
      <c r="AG1584" s="189">
        <f t="shared" si="1184"/>
        <v>0</v>
      </c>
      <c r="AH1584" s="189">
        <f t="shared" si="1184"/>
        <v>0</v>
      </c>
      <c r="AI1584" s="161">
        <f t="shared" ref="AI1584" si="1185">SUM(AE1584:AH1584)</f>
        <v>0</v>
      </c>
      <c r="AK1584" s="169">
        <v>5</v>
      </c>
      <c r="AO1584" s="19" t="s">
        <v>63</v>
      </c>
    </row>
    <row r="1585" spans="1:37" s="103" customFormat="1" ht="19.899999999999999" customHeight="1" x14ac:dyDescent="0.25">
      <c r="A1585" s="51"/>
      <c r="B1585" s="52"/>
      <c r="C1585" s="165"/>
      <c r="D1585" s="52"/>
      <c r="E1585" s="115"/>
      <c r="F1585" s="58"/>
      <c r="G1585" s="58"/>
      <c r="H1585" s="58"/>
      <c r="I1585" s="55"/>
      <c r="J1585" s="113">
        <f>J1584</f>
        <v>0.38000000000000012</v>
      </c>
      <c r="K1585" s="212">
        <f>K1584</f>
        <v>0.38000000000000012</v>
      </c>
      <c r="L1585" s="58"/>
      <c r="M1585" s="58">
        <f>K1585-L1585</f>
        <v>0.38000000000000012</v>
      </c>
      <c r="N1585" s="166"/>
      <c r="O1585" s="58"/>
      <c r="P1585" s="58"/>
      <c r="Q1585" s="58"/>
      <c r="R1585" s="58"/>
      <c r="S1585" s="58"/>
      <c r="T1585" s="220"/>
      <c r="U1585" s="88"/>
      <c r="V1585" s="56"/>
      <c r="W1585" s="57" t="s">
        <v>1363</v>
      </c>
      <c r="X1585" s="53"/>
      <c r="Y1585" s="91" t="s">
        <v>35</v>
      </c>
      <c r="Z1585" s="136">
        <f>AD1585/AC1585</f>
        <v>36.198776470588236</v>
      </c>
      <c r="AA1585" s="58"/>
      <c r="AB1585" s="53">
        <f>AD1585/AC1585</f>
        <v>36.198776470588236</v>
      </c>
      <c r="AC1585" s="53">
        <f>M1585+$AE$10</f>
        <v>0.38000000000000012</v>
      </c>
      <c r="AD1585" s="54">
        <f>SUM(AD1586:AD1589)</f>
        <v>13.755535058823533</v>
      </c>
      <c r="AE1585" s="184">
        <f>SUMIFS($AD$37:$AD$12971,$V$37:$V$12971,$V1585,$X$37:$X$12971,AE$13)</f>
        <v>0</v>
      </c>
      <c r="AF1585" s="185">
        <f>SUMIFS($AD$37:$AD$12971,$V$37:$V$12971,$V1585,$X$37:$X$12971,AF$13)</f>
        <v>0</v>
      </c>
      <c r="AG1585" s="185">
        <f>SUMIFS($AD$37:$AD$12971,$V$37:$V$12971,$V1585,$X$37:$X$12971,AG$13)</f>
        <v>0</v>
      </c>
      <c r="AH1585" s="187">
        <f>SUMIFS($AD$37:$AD$12971,$V$37:$V$12971,$V1585,$X$37:$X$12971,AH$13)</f>
        <v>0</v>
      </c>
      <c r="AI1585" s="161">
        <f t="shared" ref="AI1585" si="1186">SUM(AE1585:AH1585)</f>
        <v>0</v>
      </c>
      <c r="AK1585" s="172"/>
    </row>
    <row r="1586" spans="1:37" s="102" customFormat="1" ht="19.899999999999999" customHeight="1" x14ac:dyDescent="0.25">
      <c r="A1586" s="45"/>
      <c r="B1586" s="59"/>
      <c r="C1586" s="137"/>
      <c r="D1586" s="59"/>
      <c r="E1586" s="116"/>
      <c r="F1586" s="120"/>
      <c r="G1586" s="120"/>
      <c r="H1586" s="120"/>
      <c r="I1586" s="60"/>
      <c r="J1586" s="116"/>
      <c r="K1586" s="213"/>
      <c r="L1586" s="120"/>
      <c r="M1586" s="120"/>
      <c r="N1586" s="167"/>
      <c r="O1586" s="120"/>
      <c r="P1586" s="120"/>
      <c r="Q1586" s="120"/>
      <c r="R1586" s="120"/>
      <c r="S1586" s="120"/>
      <c r="T1586" s="221"/>
      <c r="U1586" s="89"/>
      <c r="V1586" s="61"/>
      <c r="W1586" s="92" t="s">
        <v>129</v>
      </c>
      <c r="X1586" s="93" t="s">
        <v>29</v>
      </c>
      <c r="Y1586" s="93" t="s">
        <v>93</v>
      </c>
      <c r="Z1586" s="134">
        <f>VLOOKUP(W1586,Sheet2!$B:$D,3,FALSE)</f>
        <v>56</v>
      </c>
      <c r="AA1586" s="93">
        <f>100/(3*3*1)</f>
        <v>11.111111111111111</v>
      </c>
      <c r="AB1586" s="93">
        <f t="shared" ref="AB1586" si="1187">AD1586/AC1585</f>
        <v>5.04</v>
      </c>
      <c r="AC1586" s="93">
        <f>AC1585/AA1586</f>
        <v>3.4200000000000008E-2</v>
      </c>
      <c r="AD1586" s="94">
        <f t="shared" ref="AD1586:AD1587" si="1188">AC1586*Z1586</f>
        <v>1.9152000000000005</v>
      </c>
      <c r="AE1586" s="190"/>
      <c r="AF1586" s="191"/>
      <c r="AG1586" s="191"/>
      <c r="AH1586" s="191"/>
      <c r="AI1586" s="186"/>
      <c r="AK1586" s="171"/>
    </row>
    <row r="1587" spans="1:37" s="102" customFormat="1" ht="19.899999999999999" customHeight="1" x14ac:dyDescent="0.25">
      <c r="A1587" s="45"/>
      <c r="B1587" s="59"/>
      <c r="C1587" s="137"/>
      <c r="D1587" s="59"/>
      <c r="E1587" s="116"/>
      <c r="F1587" s="120"/>
      <c r="G1587" s="120"/>
      <c r="H1587" s="120"/>
      <c r="I1587" s="60"/>
      <c r="J1587" s="116"/>
      <c r="K1587" s="213"/>
      <c r="L1587" s="120"/>
      <c r="M1587" s="120"/>
      <c r="N1587" s="167"/>
      <c r="O1587" s="120"/>
      <c r="P1587" s="120"/>
      <c r="Q1587" s="120"/>
      <c r="R1587" s="120"/>
      <c r="S1587" s="120"/>
      <c r="T1587" s="221"/>
      <c r="U1587" s="89"/>
      <c r="V1587" s="61"/>
      <c r="W1587" s="92" t="s">
        <v>65</v>
      </c>
      <c r="X1587" s="93" t="s">
        <v>30</v>
      </c>
      <c r="Y1587" s="93" t="s">
        <v>1011</v>
      </c>
      <c r="Z1587" s="134">
        <f>VLOOKUP(W1587,Sheet2!$B:$D,3,FALSE)</f>
        <v>1.76</v>
      </c>
      <c r="AA1587" s="93">
        <f>AA1586/14</f>
        <v>0.79365079365079361</v>
      </c>
      <c r="AB1587" s="93">
        <f>AD1587/AC1585</f>
        <v>2.2176</v>
      </c>
      <c r="AC1587" s="93">
        <f>AC1585/AA1587</f>
        <v>0.47880000000000017</v>
      </c>
      <c r="AD1587" s="94">
        <f t="shared" si="1188"/>
        <v>0.84268800000000033</v>
      </c>
      <c r="AE1587" s="190"/>
      <c r="AF1587" s="191"/>
      <c r="AG1587" s="191"/>
      <c r="AH1587" s="191"/>
      <c r="AI1587" s="186"/>
      <c r="AK1587" s="171"/>
    </row>
    <row r="1588" spans="1:37" s="102" customFormat="1" ht="19.899999999999999" customHeight="1" x14ac:dyDescent="0.25">
      <c r="A1588" s="45"/>
      <c r="B1588" s="59"/>
      <c r="C1588" s="137"/>
      <c r="D1588" s="59"/>
      <c r="E1588" s="116"/>
      <c r="F1588" s="120"/>
      <c r="G1588" s="120"/>
      <c r="H1588" s="120"/>
      <c r="I1588" s="60"/>
      <c r="J1588" s="116"/>
      <c r="K1588" s="213"/>
      <c r="L1588" s="120"/>
      <c r="M1588" s="120"/>
      <c r="N1588" s="167"/>
      <c r="O1588" s="120"/>
      <c r="P1588" s="120"/>
      <c r="Q1588" s="120"/>
      <c r="R1588" s="120"/>
      <c r="S1588" s="120"/>
      <c r="T1588" s="221"/>
      <c r="U1588" s="89"/>
      <c r="V1588" s="61"/>
      <c r="W1588" s="92" t="s">
        <v>161</v>
      </c>
      <c r="X1588" s="93" t="s">
        <v>29</v>
      </c>
      <c r="Y1588" s="93" t="s">
        <v>93</v>
      </c>
      <c r="Z1588" s="134">
        <f>VLOOKUP(W1588,Sheet2!$B:$D,3,FALSE)</f>
        <v>48</v>
      </c>
      <c r="AA1588" s="93">
        <f>(16*0.85*1.5)/(3*3*1)</f>
        <v>2.2666666666666666</v>
      </c>
      <c r="AB1588" s="93">
        <f>AD1588/AC1585</f>
        <v>21.176470588235293</v>
      </c>
      <c r="AC1588" s="93">
        <f>AC1585/AA1588</f>
        <v>0.16764705882352945</v>
      </c>
      <c r="AD1588" s="94">
        <f>AC1588*Z1588</f>
        <v>8.0470588235294134</v>
      </c>
      <c r="AE1588" s="190"/>
      <c r="AF1588" s="191"/>
      <c r="AG1588" s="191"/>
      <c r="AH1588" s="191"/>
      <c r="AI1588" s="186"/>
      <c r="AK1588" s="171"/>
    </row>
    <row r="1589" spans="1:37" s="102" customFormat="1" ht="19.899999999999999" customHeight="1" x14ac:dyDescent="0.25">
      <c r="A1589" s="45"/>
      <c r="B1589" s="59"/>
      <c r="C1589" s="137"/>
      <c r="D1589" s="59"/>
      <c r="E1589" s="116"/>
      <c r="F1589" s="120"/>
      <c r="G1589" s="120"/>
      <c r="H1589" s="120"/>
      <c r="I1589" s="60"/>
      <c r="J1589" s="116"/>
      <c r="K1589" s="213"/>
      <c r="L1589" s="120"/>
      <c r="M1589" s="120"/>
      <c r="N1589" s="167"/>
      <c r="O1589" s="120"/>
      <c r="P1589" s="120"/>
      <c r="Q1589" s="120"/>
      <c r="R1589" s="120"/>
      <c r="S1589" s="120"/>
      <c r="T1589" s="221"/>
      <c r="U1589" s="89"/>
      <c r="V1589" s="61"/>
      <c r="W1589" s="92" t="s">
        <v>65</v>
      </c>
      <c r="X1589" s="93" t="s">
        <v>30</v>
      </c>
      <c r="Y1589" s="93" t="s">
        <v>1011</v>
      </c>
      <c r="Z1589" s="134">
        <f>VLOOKUP(W1589,Sheet2!$B:$D,3,FALSE)</f>
        <v>1.76</v>
      </c>
      <c r="AA1589" s="93">
        <f>AA1588/10</f>
        <v>0.22666666666666666</v>
      </c>
      <c r="AB1589" s="93">
        <f>AD1589/AC1585</f>
        <v>7.7647058823529429</v>
      </c>
      <c r="AC1589" s="93">
        <f>AC1585/AA1589</f>
        <v>1.6764705882352948</v>
      </c>
      <c r="AD1589" s="94">
        <f>AC1589*Z1589</f>
        <v>2.9505882352941191</v>
      </c>
      <c r="AE1589" s="190"/>
      <c r="AF1589" s="191"/>
      <c r="AG1589" s="191"/>
      <c r="AH1589" s="191"/>
      <c r="AI1589" s="186"/>
      <c r="AK1589" s="171"/>
    </row>
    <row r="1590" spans="1:37" s="103" customFormat="1" ht="19.899999999999999" customHeight="1" x14ac:dyDescent="0.25">
      <c r="A1590" s="51"/>
      <c r="B1590" s="52"/>
      <c r="C1590" s="165"/>
      <c r="D1590" s="52"/>
      <c r="E1590" s="115"/>
      <c r="F1590" s="58"/>
      <c r="G1590" s="58"/>
      <c r="H1590" s="58"/>
      <c r="I1590" s="55"/>
      <c r="J1590" s="113">
        <f>J1584</f>
        <v>0.38000000000000012</v>
      </c>
      <c r="K1590" s="212">
        <f>K1584</f>
        <v>0.38000000000000012</v>
      </c>
      <c r="L1590" s="58"/>
      <c r="M1590" s="58">
        <f>K1590-L1590</f>
        <v>0.38000000000000012</v>
      </c>
      <c r="N1590" s="166"/>
      <c r="O1590" s="58"/>
      <c r="P1590" s="58"/>
      <c r="Q1590" s="58"/>
      <c r="R1590" s="58"/>
      <c r="S1590" s="58"/>
      <c r="T1590" s="220"/>
      <c r="U1590" s="88"/>
      <c r="V1590" s="56"/>
      <c r="W1590" s="57" t="s">
        <v>1352</v>
      </c>
      <c r="X1590" s="53"/>
      <c r="Y1590" s="91" t="s">
        <v>35</v>
      </c>
      <c r="Z1590" s="136">
        <f>AD1590/AC1590</f>
        <v>2950.0000000000005</v>
      </c>
      <c r="AA1590" s="58"/>
      <c r="AB1590" s="53">
        <f>AD1590/AC1590</f>
        <v>2950.0000000000005</v>
      </c>
      <c r="AC1590" s="53">
        <f>M1590+$AE$10</f>
        <v>0.38000000000000012</v>
      </c>
      <c r="AD1590" s="54">
        <f>SUM(AD1591:AD1596)</f>
        <v>1121.0000000000005</v>
      </c>
      <c r="AE1590" s="184">
        <f>SUMIFS($AD$37:$AD$12971,$V$37:$V$12971,$V1590,$X$37:$X$12971,AE$13)</f>
        <v>0</v>
      </c>
      <c r="AF1590" s="185">
        <f>SUMIFS($AD$37:$AD$12971,$V$37:$V$12971,$V1590,$X$37:$X$12971,AF$13)</f>
        <v>0</v>
      </c>
      <c r="AG1590" s="185">
        <f>SUMIFS($AD$37:$AD$12971,$V$37:$V$12971,$V1590,$X$37:$X$12971,AG$13)</f>
        <v>0</v>
      </c>
      <c r="AH1590" s="187">
        <f>SUMIFS($AD$37:$AD$12971,$V$37:$V$12971,$V1590,$X$37:$X$12971,AH$13)</f>
        <v>0</v>
      </c>
      <c r="AI1590" s="161">
        <f t="shared" ref="AI1590" si="1189">SUM(AE1590:AH1590)</f>
        <v>0</v>
      </c>
      <c r="AK1590" s="172"/>
    </row>
    <row r="1591" spans="1:37" s="102" customFormat="1" ht="19.899999999999999" customHeight="1" x14ac:dyDescent="0.25">
      <c r="A1591" s="45"/>
      <c r="B1591" s="59"/>
      <c r="C1591" s="137"/>
      <c r="D1591" s="59"/>
      <c r="E1591" s="116"/>
      <c r="F1591" s="120"/>
      <c r="G1591" s="120"/>
      <c r="H1591" s="120"/>
      <c r="I1591" s="60"/>
      <c r="J1591" s="116"/>
      <c r="K1591" s="213"/>
      <c r="L1591" s="120"/>
      <c r="M1591" s="120"/>
      <c r="N1591" s="167"/>
      <c r="O1591" s="120"/>
      <c r="P1591" s="120"/>
      <c r="Q1591" s="120"/>
      <c r="R1591" s="120"/>
      <c r="S1591" s="120"/>
      <c r="T1591" s="221"/>
      <c r="U1591" s="89"/>
      <c r="V1591" s="61"/>
      <c r="W1591" s="92" t="s">
        <v>1353</v>
      </c>
      <c r="X1591" s="93" t="s">
        <v>30</v>
      </c>
      <c r="Y1591" s="93" t="s">
        <v>66</v>
      </c>
      <c r="Z1591" s="134">
        <f>VLOOKUP(W1591,Sheet2!$B:$D,3,FALSE)</f>
        <v>350</v>
      </c>
      <c r="AA1591" s="93">
        <f>1/(2*1*0.25*4)</f>
        <v>0.5</v>
      </c>
      <c r="AB1591" s="93">
        <f>AD1591/AC1590</f>
        <v>699.99999999999989</v>
      </c>
      <c r="AC1591" s="93">
        <f>AC1590/AA1591</f>
        <v>0.76000000000000023</v>
      </c>
      <c r="AD1591" s="94">
        <f t="shared" ref="AD1591:AD1592" si="1190">AC1591*Z1591</f>
        <v>266.00000000000006</v>
      </c>
      <c r="AE1591" s="190"/>
      <c r="AF1591" s="191"/>
      <c r="AG1591" s="191"/>
      <c r="AH1591" s="191"/>
      <c r="AI1591" s="186"/>
      <c r="AK1591" s="171"/>
    </row>
    <row r="1592" spans="1:37" s="102" customFormat="1" ht="19.899999999999999" customHeight="1" x14ac:dyDescent="0.25">
      <c r="A1592" s="45"/>
      <c r="B1592" s="59"/>
      <c r="C1592" s="137"/>
      <c r="D1592" s="59"/>
      <c r="E1592" s="116"/>
      <c r="F1592" s="120"/>
      <c r="G1592" s="120"/>
      <c r="H1592" s="120"/>
      <c r="I1592" s="60"/>
      <c r="J1592" s="116"/>
      <c r="K1592" s="213"/>
      <c r="L1592" s="120"/>
      <c r="M1592" s="120"/>
      <c r="N1592" s="167"/>
      <c r="O1592" s="120"/>
      <c r="P1592" s="120"/>
      <c r="Q1592" s="120"/>
      <c r="R1592" s="120"/>
      <c r="S1592" s="120"/>
      <c r="T1592" s="221"/>
      <c r="U1592" s="89"/>
      <c r="V1592" s="61"/>
      <c r="W1592" s="92" t="s">
        <v>99</v>
      </c>
      <c r="X1592" s="93" t="s">
        <v>30</v>
      </c>
      <c r="Y1592" s="93" t="s">
        <v>67</v>
      </c>
      <c r="Z1592" s="134">
        <f>VLOOKUP(W1592,Sheet2!$B:$D,3,FALSE)</f>
        <v>2500</v>
      </c>
      <c r="AA1592" s="93">
        <f>1/(2*1*0.25*4*0.08)</f>
        <v>6.25</v>
      </c>
      <c r="AB1592" s="93">
        <f>AD1592/AC1590</f>
        <v>400</v>
      </c>
      <c r="AC1592" s="93">
        <f>AC1590/AA1592</f>
        <v>6.0800000000000021E-2</v>
      </c>
      <c r="AD1592" s="94">
        <f t="shared" si="1190"/>
        <v>152.00000000000006</v>
      </c>
      <c r="AE1592" s="190"/>
      <c r="AF1592" s="191"/>
      <c r="AG1592" s="191"/>
      <c r="AH1592" s="191"/>
      <c r="AI1592" s="186"/>
      <c r="AK1592" s="171"/>
    </row>
    <row r="1593" spans="1:37" s="102" customFormat="1" ht="19.899999999999999" customHeight="1" x14ac:dyDescent="0.25">
      <c r="A1593" s="45"/>
      <c r="B1593" s="59"/>
      <c r="C1593" s="137"/>
      <c r="D1593" s="59"/>
      <c r="E1593" s="116"/>
      <c r="F1593" s="120"/>
      <c r="G1593" s="120"/>
      <c r="H1593" s="120"/>
      <c r="I1593" s="60"/>
      <c r="J1593" s="116"/>
      <c r="K1593" s="213"/>
      <c r="L1593" s="120"/>
      <c r="M1593" s="120"/>
      <c r="N1593" s="167"/>
      <c r="O1593" s="120"/>
      <c r="P1593" s="120"/>
      <c r="Q1593" s="120"/>
      <c r="R1593" s="120"/>
      <c r="S1593" s="120"/>
      <c r="T1593" s="221"/>
      <c r="U1593" s="89"/>
      <c r="V1593" s="61"/>
      <c r="W1593" s="92" t="s">
        <v>1355</v>
      </c>
      <c r="X1593" s="93" t="s">
        <v>32</v>
      </c>
      <c r="Y1593" s="93" t="s">
        <v>66</v>
      </c>
      <c r="Z1593" s="134">
        <f>VLOOKUP(W1593,Sheet2!$B:$D,3,FALSE)</f>
        <v>450</v>
      </c>
      <c r="AA1593" s="93">
        <f>AA1591</f>
        <v>0.5</v>
      </c>
      <c r="AB1593" s="93">
        <f>AD1593/AC1590</f>
        <v>900</v>
      </c>
      <c r="AC1593" s="93">
        <f>AC1590/AA1593</f>
        <v>0.76000000000000023</v>
      </c>
      <c r="AD1593" s="94">
        <f>AC1593*Z1593</f>
        <v>342.00000000000011</v>
      </c>
      <c r="AE1593" s="190"/>
      <c r="AF1593" s="191"/>
      <c r="AG1593" s="191"/>
      <c r="AH1593" s="191"/>
      <c r="AI1593" s="186"/>
      <c r="AK1593" s="171"/>
    </row>
    <row r="1594" spans="1:37" s="102" customFormat="1" ht="19.899999999999999" customHeight="1" x14ac:dyDescent="0.25">
      <c r="A1594" s="45"/>
      <c r="B1594" s="59"/>
      <c r="C1594" s="137"/>
      <c r="D1594" s="59"/>
      <c r="E1594" s="116"/>
      <c r="F1594" s="120"/>
      <c r="G1594" s="120"/>
      <c r="H1594" s="120"/>
      <c r="I1594" s="60"/>
      <c r="J1594" s="116"/>
      <c r="K1594" s="213"/>
      <c r="L1594" s="120"/>
      <c r="M1594" s="120"/>
      <c r="N1594" s="167"/>
      <c r="O1594" s="120"/>
      <c r="P1594" s="120"/>
      <c r="Q1594" s="120"/>
      <c r="R1594" s="120"/>
      <c r="S1594" s="120"/>
      <c r="T1594" s="221"/>
      <c r="U1594" s="89"/>
      <c r="V1594" s="61"/>
      <c r="W1594" s="92" t="s">
        <v>1362</v>
      </c>
      <c r="X1594" s="93" t="s">
        <v>30</v>
      </c>
      <c r="Y1594" s="93" t="s">
        <v>35</v>
      </c>
      <c r="Z1594" s="134">
        <f>VLOOKUP(W1594,Sheet2!$B:$D,3,FALSE)</f>
        <v>400</v>
      </c>
      <c r="AA1594" s="93">
        <v>0.5</v>
      </c>
      <c r="AB1594" s="93">
        <f>AD1594/AC1590</f>
        <v>800</v>
      </c>
      <c r="AC1594" s="93">
        <f>AC1590/AA1594</f>
        <v>0.76000000000000023</v>
      </c>
      <c r="AD1594" s="94">
        <f t="shared" ref="AD1594" si="1191">AC1594*Z1594</f>
        <v>304.00000000000011</v>
      </c>
      <c r="AE1594" s="190"/>
      <c r="AF1594" s="191"/>
      <c r="AG1594" s="191"/>
      <c r="AH1594" s="191"/>
      <c r="AI1594" s="186"/>
      <c r="AK1594" s="171"/>
    </row>
    <row r="1595" spans="1:37" s="102" customFormat="1" ht="19.899999999999999" customHeight="1" x14ac:dyDescent="0.25">
      <c r="A1595" s="45"/>
      <c r="B1595" s="59"/>
      <c r="C1595" s="137"/>
      <c r="D1595" s="59"/>
      <c r="E1595" s="116"/>
      <c r="F1595" s="120"/>
      <c r="G1595" s="120"/>
      <c r="H1595" s="120"/>
      <c r="I1595" s="60"/>
      <c r="J1595" s="116"/>
      <c r="K1595" s="213"/>
      <c r="L1595" s="120"/>
      <c r="M1595" s="120"/>
      <c r="N1595" s="167"/>
      <c r="O1595" s="120"/>
      <c r="P1595" s="120"/>
      <c r="Q1595" s="120"/>
      <c r="R1595" s="120"/>
      <c r="S1595" s="120"/>
      <c r="T1595" s="221"/>
      <c r="U1595" s="89"/>
      <c r="V1595" s="61"/>
      <c r="W1595" s="92" t="s">
        <v>107</v>
      </c>
      <c r="X1595" s="93" t="s">
        <v>31</v>
      </c>
      <c r="Y1595" s="93" t="s">
        <v>93</v>
      </c>
      <c r="Z1595" s="134">
        <f>VLOOKUP(W1595,Sheet2!$B:$D,3,FALSE)</f>
        <v>17</v>
      </c>
      <c r="AA1595" s="93">
        <f>1/5</f>
        <v>0.2</v>
      </c>
      <c r="AB1595" s="93">
        <f>AD1595/AC1590</f>
        <v>85</v>
      </c>
      <c r="AC1595" s="93">
        <f>AC1590/AA1595</f>
        <v>1.9000000000000006</v>
      </c>
      <c r="AD1595" s="94">
        <f>AC1595*Z1595</f>
        <v>32.300000000000011</v>
      </c>
      <c r="AE1595" s="190"/>
      <c r="AF1595" s="191"/>
      <c r="AG1595" s="191"/>
      <c r="AH1595" s="191"/>
      <c r="AI1595" s="186"/>
      <c r="AK1595" s="171"/>
    </row>
    <row r="1596" spans="1:37" s="102" customFormat="1" ht="19.899999999999999" customHeight="1" x14ac:dyDescent="0.25">
      <c r="A1596" s="45"/>
      <c r="B1596" s="59"/>
      <c r="C1596" s="137"/>
      <c r="D1596" s="59"/>
      <c r="E1596" s="116"/>
      <c r="F1596" s="120"/>
      <c r="G1596" s="120"/>
      <c r="H1596" s="120"/>
      <c r="I1596" s="60"/>
      <c r="J1596" s="116"/>
      <c r="K1596" s="213"/>
      <c r="L1596" s="120"/>
      <c r="M1596" s="120"/>
      <c r="N1596" s="167"/>
      <c r="O1596" s="120"/>
      <c r="P1596" s="120"/>
      <c r="Q1596" s="120"/>
      <c r="R1596" s="120"/>
      <c r="S1596" s="120"/>
      <c r="T1596" s="221"/>
      <c r="U1596" s="89"/>
      <c r="V1596" s="61"/>
      <c r="W1596" s="92" t="s">
        <v>112</v>
      </c>
      <c r="X1596" s="93" t="s">
        <v>31</v>
      </c>
      <c r="Y1596" s="93" t="s">
        <v>93</v>
      </c>
      <c r="Z1596" s="134">
        <f>VLOOKUP(W1596,Sheet2!$B:$D,3,FALSE)</f>
        <v>13</v>
      </c>
      <c r="AA1596" s="93">
        <f>AA1595</f>
        <v>0.2</v>
      </c>
      <c r="AB1596" s="93">
        <f>AD1596/AC1590</f>
        <v>65</v>
      </c>
      <c r="AC1596" s="93">
        <f>AC1590/AA1596</f>
        <v>1.9000000000000006</v>
      </c>
      <c r="AD1596" s="94">
        <f>AC1596*Z1596</f>
        <v>24.700000000000006</v>
      </c>
      <c r="AE1596" s="190"/>
      <c r="AF1596" s="191"/>
      <c r="AG1596" s="191"/>
      <c r="AH1596" s="191"/>
      <c r="AI1596" s="186"/>
      <c r="AK1596" s="171"/>
    </row>
    <row r="1597" spans="1:37" s="103" customFormat="1" ht="19.899999999999999" customHeight="1" x14ac:dyDescent="0.25">
      <c r="A1597" s="51"/>
      <c r="B1597" s="52"/>
      <c r="C1597" s="165"/>
      <c r="D1597" s="52"/>
      <c r="E1597" s="115"/>
      <c r="F1597" s="58"/>
      <c r="G1597" s="58"/>
      <c r="H1597" s="58"/>
      <c r="I1597" s="55"/>
      <c r="J1597" s="113">
        <f>J1584</f>
        <v>0.38000000000000012</v>
      </c>
      <c r="K1597" s="212">
        <f>K1584</f>
        <v>0.38000000000000012</v>
      </c>
      <c r="L1597" s="58"/>
      <c r="M1597" s="58">
        <f>K1597-L1597</f>
        <v>0.38000000000000012</v>
      </c>
      <c r="N1597" s="166"/>
      <c r="O1597" s="58"/>
      <c r="P1597" s="58"/>
      <c r="Q1597" s="58"/>
      <c r="R1597" s="58"/>
      <c r="S1597" s="58"/>
      <c r="T1597" s="220"/>
      <c r="U1597" s="88"/>
      <c r="V1597" s="56"/>
      <c r="W1597" s="57" t="s">
        <v>1358</v>
      </c>
      <c r="X1597" s="53"/>
      <c r="Y1597" s="91" t="s">
        <v>35</v>
      </c>
      <c r="Z1597" s="136">
        <f>AD1597/AC1597</f>
        <v>1120</v>
      </c>
      <c r="AA1597" s="58"/>
      <c r="AB1597" s="53">
        <f>AD1597/AC1597</f>
        <v>1120</v>
      </c>
      <c r="AC1597" s="53">
        <f>M1597+$AE$10</f>
        <v>0.38000000000000012</v>
      </c>
      <c r="AD1597" s="54">
        <f>SUM(AD1598:AD1599)</f>
        <v>425.60000000000014</v>
      </c>
      <c r="AE1597" s="184">
        <f>SUMIFS($AD$37:$AD$12971,$V$37:$V$12971,$V1597,$X$37:$X$12971,AE$13)</f>
        <v>0</v>
      </c>
      <c r="AF1597" s="185">
        <f>SUMIFS($AD$37:$AD$12971,$V$37:$V$12971,$V1597,$X$37:$X$12971,AF$13)</f>
        <v>0</v>
      </c>
      <c r="AG1597" s="185">
        <f>SUMIFS($AD$37:$AD$12971,$V$37:$V$12971,$V1597,$X$37:$X$12971,AG$13)</f>
        <v>0</v>
      </c>
      <c r="AH1597" s="187">
        <f>SUMIFS($AD$37:$AD$12971,$V$37:$V$12971,$V1597,$X$37:$X$12971,AH$13)</f>
        <v>0</v>
      </c>
      <c r="AI1597" s="161">
        <f t="shared" ref="AI1597" si="1192">SUM(AE1597:AH1597)</f>
        <v>0</v>
      </c>
      <c r="AK1597" s="172"/>
    </row>
    <row r="1598" spans="1:37" s="102" customFormat="1" ht="19.899999999999999" customHeight="1" x14ac:dyDescent="0.25">
      <c r="A1598" s="45"/>
      <c r="B1598" s="59"/>
      <c r="C1598" s="137"/>
      <c r="D1598" s="59"/>
      <c r="E1598" s="116"/>
      <c r="F1598" s="120"/>
      <c r="G1598" s="120"/>
      <c r="H1598" s="120"/>
      <c r="I1598" s="60"/>
      <c r="J1598" s="116"/>
      <c r="K1598" s="213"/>
      <c r="L1598" s="120"/>
      <c r="M1598" s="120"/>
      <c r="N1598" s="167"/>
      <c r="O1598" s="120"/>
      <c r="P1598" s="120"/>
      <c r="Q1598" s="120"/>
      <c r="R1598" s="120"/>
      <c r="S1598" s="120"/>
      <c r="T1598" s="221"/>
      <c r="U1598" s="89"/>
      <c r="V1598" s="61"/>
      <c r="W1598" s="92" t="s">
        <v>1359</v>
      </c>
      <c r="X1598" s="93" t="s">
        <v>32</v>
      </c>
      <c r="Y1598" s="93" t="s">
        <v>64</v>
      </c>
      <c r="Z1598" s="134">
        <f>VLOOKUP(W1598,Sheet2!$B:$D,3,FALSE)</f>
        <v>40</v>
      </c>
      <c r="AA1598" s="93">
        <f>1/16</f>
        <v>6.25E-2</v>
      </c>
      <c r="AB1598" s="93">
        <f t="shared" ref="AB1598" si="1193">AD1598/AC1597</f>
        <v>640</v>
      </c>
      <c r="AC1598" s="93">
        <f>AC1597/AA1598</f>
        <v>6.0800000000000018</v>
      </c>
      <c r="AD1598" s="94">
        <f t="shared" ref="AD1598:AD1599" si="1194">AC1598*Z1598</f>
        <v>243.20000000000007</v>
      </c>
      <c r="AE1598" s="190"/>
      <c r="AF1598" s="191"/>
      <c r="AG1598" s="191"/>
      <c r="AH1598" s="191"/>
      <c r="AI1598" s="186"/>
      <c r="AK1598" s="171"/>
    </row>
    <row r="1599" spans="1:37" s="102" customFormat="1" ht="19.899999999999999" customHeight="1" x14ac:dyDescent="0.25">
      <c r="A1599" s="45"/>
      <c r="B1599" s="59"/>
      <c r="C1599" s="137"/>
      <c r="D1599" s="59"/>
      <c r="E1599" s="116"/>
      <c r="F1599" s="120"/>
      <c r="G1599" s="120"/>
      <c r="H1599" s="120"/>
      <c r="I1599" s="60"/>
      <c r="J1599" s="116"/>
      <c r="K1599" s="213"/>
      <c r="L1599" s="120"/>
      <c r="M1599" s="120"/>
      <c r="N1599" s="167"/>
      <c r="O1599" s="120"/>
      <c r="P1599" s="120"/>
      <c r="Q1599" s="120"/>
      <c r="R1599" s="120"/>
      <c r="S1599" s="120"/>
      <c r="T1599" s="221"/>
      <c r="U1599" s="89"/>
      <c r="V1599" s="61"/>
      <c r="W1599" s="92" t="s">
        <v>1360</v>
      </c>
      <c r="X1599" s="93" t="s">
        <v>32</v>
      </c>
      <c r="Y1599" s="93" t="s">
        <v>64</v>
      </c>
      <c r="Z1599" s="134">
        <f>VLOOKUP(W1599,Sheet2!$B:$D,3,FALSE)</f>
        <v>30</v>
      </c>
      <c r="AA1599" s="93">
        <f>AA1598</f>
        <v>6.25E-2</v>
      </c>
      <c r="AB1599" s="93">
        <f>AD1599/AC1597</f>
        <v>480</v>
      </c>
      <c r="AC1599" s="93">
        <f>AC1597/AA1599</f>
        <v>6.0800000000000018</v>
      </c>
      <c r="AD1599" s="94">
        <f t="shared" si="1194"/>
        <v>182.40000000000006</v>
      </c>
      <c r="AE1599" s="190"/>
      <c r="AF1599" s="191"/>
      <c r="AG1599" s="191"/>
      <c r="AH1599" s="191"/>
      <c r="AI1599" s="186"/>
      <c r="AK1599" s="171"/>
    </row>
    <row r="1600" spans="1:37" s="103" customFormat="1" ht="19.899999999999999" customHeight="1" x14ac:dyDescent="0.25">
      <c r="A1600" s="51"/>
      <c r="B1600" s="52"/>
      <c r="C1600" s="165"/>
      <c r="D1600" s="52"/>
      <c r="E1600" s="115"/>
      <c r="F1600" s="58"/>
      <c r="G1600" s="58"/>
      <c r="H1600" s="58"/>
      <c r="I1600" s="55"/>
      <c r="J1600" s="113">
        <f>J1584</f>
        <v>0.38000000000000012</v>
      </c>
      <c r="K1600" s="212">
        <f>K1584</f>
        <v>0.38000000000000012</v>
      </c>
      <c r="L1600" s="58"/>
      <c r="M1600" s="58">
        <f>K1600-L1600</f>
        <v>0.38000000000000012</v>
      </c>
      <c r="N1600" s="166"/>
      <c r="O1600" s="58"/>
      <c r="P1600" s="58"/>
      <c r="Q1600" s="58"/>
      <c r="R1600" s="58"/>
      <c r="S1600" s="58"/>
      <c r="T1600" s="220"/>
      <c r="U1600" s="88"/>
      <c r="V1600" s="56"/>
      <c r="W1600" s="57" t="s">
        <v>1272</v>
      </c>
      <c r="X1600" s="53"/>
      <c r="Y1600" s="91" t="s">
        <v>35</v>
      </c>
      <c r="Z1600" s="136">
        <f>AD1600/AC1600</f>
        <v>89.474431372549034</v>
      </c>
      <c r="AA1600" s="58"/>
      <c r="AB1600" s="53">
        <f>AD1600/AC1600</f>
        <v>89.474431372549034</v>
      </c>
      <c r="AC1600" s="53">
        <f>M1600+$AE$10</f>
        <v>0.38000000000000012</v>
      </c>
      <c r="AD1600" s="54">
        <f>SUM(AD1601:AD1609)</f>
        <v>34.000283921568645</v>
      </c>
      <c r="AE1600" s="184">
        <f>SUMIFS($AD$37:$AD$12971,$V$37:$V$12971,$V1600,$X$37:$X$12971,AE$13)</f>
        <v>0</v>
      </c>
      <c r="AF1600" s="185">
        <f>SUMIFS($AD$37:$AD$12971,$V$37:$V$12971,$V1600,$X$37:$X$12971,AF$13)</f>
        <v>0</v>
      </c>
      <c r="AG1600" s="185">
        <f>SUMIFS($AD$37:$AD$12971,$V$37:$V$12971,$V1600,$X$37:$X$12971,AG$13)</f>
        <v>0</v>
      </c>
      <c r="AH1600" s="187">
        <f>SUMIFS($AD$37:$AD$12971,$V$37:$V$12971,$V1600,$X$37:$X$12971,AH$13)</f>
        <v>0</v>
      </c>
      <c r="AI1600" s="161">
        <f t="shared" ref="AI1600" si="1195">SUM(AE1600:AH1600)</f>
        <v>0</v>
      </c>
      <c r="AK1600" s="172"/>
    </row>
    <row r="1601" spans="1:41" s="102" customFormat="1" ht="19.899999999999999" customHeight="1" x14ac:dyDescent="0.25">
      <c r="A1601" s="45"/>
      <c r="B1601" s="59"/>
      <c r="C1601" s="137"/>
      <c r="D1601" s="59"/>
      <c r="E1601" s="116"/>
      <c r="F1601" s="120"/>
      <c r="G1601" s="120"/>
      <c r="H1601" s="120"/>
      <c r="I1601" s="60"/>
      <c r="J1601" s="116"/>
      <c r="K1601" s="213"/>
      <c r="L1601" s="120"/>
      <c r="M1601" s="120"/>
      <c r="N1601" s="167"/>
      <c r="O1601" s="120"/>
      <c r="P1601" s="120"/>
      <c r="Q1601" s="120"/>
      <c r="R1601" s="120"/>
      <c r="S1601" s="120"/>
      <c r="T1601" s="221"/>
      <c r="U1601" s="89"/>
      <c r="V1601" s="61"/>
      <c r="W1601" s="92" t="s">
        <v>1273</v>
      </c>
      <c r="X1601" s="93" t="s">
        <v>30</v>
      </c>
      <c r="Y1601" s="93" t="s">
        <v>66</v>
      </c>
      <c r="Z1601" s="134">
        <f>VLOOKUP(W1601,Sheet2!$B:$D,3,FALSE)</f>
        <v>10</v>
      </c>
      <c r="AA1601" s="93">
        <f>1/(2.5*1*0.5*4)</f>
        <v>0.2</v>
      </c>
      <c r="AB1601" s="93">
        <f>AD1601/AC1600</f>
        <v>50</v>
      </c>
      <c r="AC1601" s="93">
        <f>AC1600/AA1601</f>
        <v>1.9000000000000006</v>
      </c>
      <c r="AD1601" s="94">
        <f t="shared" ref="AD1601:AD1603" si="1196">AC1601*Z1601</f>
        <v>19.000000000000007</v>
      </c>
      <c r="AE1601" s="190"/>
      <c r="AF1601" s="191"/>
      <c r="AG1601" s="191"/>
      <c r="AH1601" s="191"/>
      <c r="AI1601" s="186"/>
      <c r="AK1601" s="171"/>
    </row>
    <row r="1602" spans="1:41" s="102" customFormat="1" ht="19.899999999999999" customHeight="1" x14ac:dyDescent="0.25">
      <c r="A1602" s="45"/>
      <c r="B1602" s="59"/>
      <c r="C1602" s="137"/>
      <c r="D1602" s="59"/>
      <c r="E1602" s="116"/>
      <c r="F1602" s="120"/>
      <c r="G1602" s="120"/>
      <c r="H1602" s="120"/>
      <c r="I1602" s="60"/>
      <c r="J1602" s="116"/>
      <c r="K1602" s="213"/>
      <c r="L1602" s="120"/>
      <c r="M1602" s="120"/>
      <c r="N1602" s="167"/>
      <c r="O1602" s="120"/>
      <c r="P1602" s="120"/>
      <c r="Q1602" s="120"/>
      <c r="R1602" s="120"/>
      <c r="S1602" s="120"/>
      <c r="T1602" s="221"/>
      <c r="U1602" s="89"/>
      <c r="V1602" s="61"/>
      <c r="W1602" s="92" t="s">
        <v>134</v>
      </c>
      <c r="X1602" s="93" t="s">
        <v>29</v>
      </c>
      <c r="Y1602" s="93" t="s">
        <v>93</v>
      </c>
      <c r="Z1602" s="134">
        <f>VLOOKUP(W1602,Sheet2!$B:$D,3,FALSE)</f>
        <v>65.599999999999994</v>
      </c>
      <c r="AA1602" s="93">
        <f>100/(2.5*1*0.5*4)</f>
        <v>20</v>
      </c>
      <c r="AB1602" s="93">
        <f t="shared" ref="AB1602" si="1197">AD1602/AC1600</f>
        <v>3.2800000000000002</v>
      </c>
      <c r="AC1602" s="93">
        <f>AC1600/AA1602</f>
        <v>1.9000000000000006E-2</v>
      </c>
      <c r="AD1602" s="94">
        <f t="shared" si="1196"/>
        <v>1.2464000000000004</v>
      </c>
      <c r="AE1602" s="190"/>
      <c r="AF1602" s="191"/>
      <c r="AG1602" s="191"/>
      <c r="AH1602" s="191"/>
      <c r="AI1602" s="186"/>
      <c r="AK1602" s="171"/>
    </row>
    <row r="1603" spans="1:41" s="102" customFormat="1" ht="19.899999999999999" customHeight="1" x14ac:dyDescent="0.25">
      <c r="A1603" s="45"/>
      <c r="B1603" s="59"/>
      <c r="C1603" s="137"/>
      <c r="D1603" s="59"/>
      <c r="E1603" s="116"/>
      <c r="F1603" s="120"/>
      <c r="G1603" s="120"/>
      <c r="H1603" s="120"/>
      <c r="I1603" s="60"/>
      <c r="J1603" s="116"/>
      <c r="K1603" s="213"/>
      <c r="L1603" s="120"/>
      <c r="M1603" s="120"/>
      <c r="N1603" s="167"/>
      <c r="O1603" s="120"/>
      <c r="P1603" s="120"/>
      <c r="Q1603" s="120"/>
      <c r="R1603" s="120"/>
      <c r="S1603" s="120"/>
      <c r="T1603" s="221"/>
      <c r="U1603" s="89"/>
      <c r="V1603" s="61"/>
      <c r="W1603" s="92" t="s">
        <v>65</v>
      </c>
      <c r="X1603" s="93" t="s">
        <v>30</v>
      </c>
      <c r="Y1603" s="93" t="s">
        <v>1011</v>
      </c>
      <c r="Z1603" s="134">
        <f>VLOOKUP(W1603,Sheet2!$B:$D,3,FALSE)</f>
        <v>1.76</v>
      </c>
      <c r="AA1603" s="93">
        <f>AA1602/9</f>
        <v>2.2222222222222223</v>
      </c>
      <c r="AB1603" s="93">
        <f>AD1603/AC1600</f>
        <v>0.79199999999999993</v>
      </c>
      <c r="AC1603" s="93">
        <f>AC1600/AA1603</f>
        <v>0.17100000000000004</v>
      </c>
      <c r="AD1603" s="94">
        <f t="shared" si="1196"/>
        <v>0.30096000000000006</v>
      </c>
      <c r="AE1603" s="190"/>
      <c r="AF1603" s="191"/>
      <c r="AG1603" s="191"/>
      <c r="AH1603" s="191"/>
      <c r="AI1603" s="186"/>
      <c r="AK1603" s="171"/>
    </row>
    <row r="1604" spans="1:41" s="102" customFormat="1" ht="19.899999999999999" customHeight="1" x14ac:dyDescent="0.25">
      <c r="A1604" s="45"/>
      <c r="B1604" s="59"/>
      <c r="C1604" s="137"/>
      <c r="D1604" s="59"/>
      <c r="E1604" s="116"/>
      <c r="F1604" s="120"/>
      <c r="G1604" s="120"/>
      <c r="H1604" s="120"/>
      <c r="I1604" s="60"/>
      <c r="J1604" s="116"/>
      <c r="K1604" s="213"/>
      <c r="L1604" s="120"/>
      <c r="M1604" s="120"/>
      <c r="N1604" s="167"/>
      <c r="O1604" s="120"/>
      <c r="P1604" s="120"/>
      <c r="Q1604" s="120"/>
      <c r="R1604" s="120"/>
      <c r="S1604" s="120"/>
      <c r="T1604" s="221"/>
      <c r="U1604" s="89"/>
      <c r="V1604" s="61"/>
      <c r="W1604" s="92" t="s">
        <v>161</v>
      </c>
      <c r="X1604" s="93" t="s">
        <v>29</v>
      </c>
      <c r="Y1604" s="93" t="s">
        <v>93</v>
      </c>
      <c r="Z1604" s="134">
        <f>VLOOKUP(W1604,Sheet2!$B:$D,3,FALSE)</f>
        <v>48</v>
      </c>
      <c r="AA1604" s="93">
        <f>(16*0.85*1.5)/(2.5*1*0.5*4)</f>
        <v>4.08</v>
      </c>
      <c r="AB1604" s="93">
        <f>AD1604/AC1600</f>
        <v>11.764705882352942</v>
      </c>
      <c r="AC1604" s="93">
        <f>AC1600/AA1604</f>
        <v>9.3137254901960814E-2</v>
      </c>
      <c r="AD1604" s="94">
        <f>AC1604*Z1604</f>
        <v>4.4705882352941195</v>
      </c>
      <c r="AE1604" s="190"/>
      <c r="AF1604" s="191"/>
      <c r="AG1604" s="191"/>
      <c r="AH1604" s="191"/>
      <c r="AI1604" s="186"/>
      <c r="AK1604" s="171"/>
    </row>
    <row r="1605" spans="1:41" s="102" customFormat="1" ht="19.899999999999999" customHeight="1" x14ac:dyDescent="0.25">
      <c r="A1605" s="45"/>
      <c r="B1605" s="59"/>
      <c r="C1605" s="137"/>
      <c r="D1605" s="59"/>
      <c r="E1605" s="116"/>
      <c r="F1605" s="120"/>
      <c r="G1605" s="120"/>
      <c r="H1605" s="120"/>
      <c r="I1605" s="60"/>
      <c r="J1605" s="116"/>
      <c r="K1605" s="213"/>
      <c r="L1605" s="120"/>
      <c r="M1605" s="120"/>
      <c r="N1605" s="167"/>
      <c r="O1605" s="120"/>
      <c r="P1605" s="120"/>
      <c r="Q1605" s="120"/>
      <c r="R1605" s="120"/>
      <c r="S1605" s="120"/>
      <c r="T1605" s="221"/>
      <c r="U1605" s="89"/>
      <c r="V1605" s="61"/>
      <c r="W1605" s="92" t="s">
        <v>65</v>
      </c>
      <c r="X1605" s="93" t="s">
        <v>30</v>
      </c>
      <c r="Y1605" s="93" t="s">
        <v>1011</v>
      </c>
      <c r="Z1605" s="134">
        <f>VLOOKUP(W1605,Sheet2!$B:$D,3,FALSE)</f>
        <v>1.76</v>
      </c>
      <c r="AA1605" s="93">
        <f>AA1604/10</f>
        <v>0.40800000000000003</v>
      </c>
      <c r="AB1605" s="93">
        <f>AD1605/AC1600</f>
        <v>4.3137254901960782</v>
      </c>
      <c r="AC1605" s="93">
        <f>AC1600/AA1605</f>
        <v>0.93137254901960809</v>
      </c>
      <c r="AD1605" s="94">
        <f>AC1605*Z1605</f>
        <v>1.6392156862745102</v>
      </c>
      <c r="AE1605" s="190"/>
      <c r="AF1605" s="191"/>
      <c r="AG1605" s="191"/>
      <c r="AH1605" s="191"/>
      <c r="AI1605" s="186"/>
      <c r="AK1605" s="171"/>
    </row>
    <row r="1606" spans="1:41" s="102" customFormat="1" ht="19.899999999999999" customHeight="1" x14ac:dyDescent="0.25">
      <c r="A1606" s="45"/>
      <c r="B1606" s="59"/>
      <c r="C1606" s="137"/>
      <c r="D1606" s="59"/>
      <c r="E1606" s="116"/>
      <c r="F1606" s="120"/>
      <c r="G1606" s="120"/>
      <c r="H1606" s="120"/>
      <c r="I1606" s="60"/>
      <c r="J1606" s="116"/>
      <c r="K1606" s="213"/>
      <c r="L1606" s="120"/>
      <c r="M1606" s="120"/>
      <c r="N1606" s="167"/>
      <c r="O1606" s="120"/>
      <c r="P1606" s="120"/>
      <c r="Q1606" s="120"/>
      <c r="R1606" s="120"/>
      <c r="S1606" s="120"/>
      <c r="T1606" s="221"/>
      <c r="U1606" s="89"/>
      <c r="V1606" s="61"/>
      <c r="W1606" s="92" t="s">
        <v>173</v>
      </c>
      <c r="X1606" s="93" t="s">
        <v>29</v>
      </c>
      <c r="Y1606" s="93" t="s">
        <v>93</v>
      </c>
      <c r="Z1606" s="134">
        <f>VLOOKUP(W1606,Sheet2!$B:$D,3,FALSE)</f>
        <v>36</v>
      </c>
      <c r="AA1606" s="93">
        <f>50/(2.5*1*0.5*4)</f>
        <v>10</v>
      </c>
      <c r="AB1606" s="93">
        <f>AD1606/AC1600</f>
        <v>3.6000000000000005</v>
      </c>
      <c r="AC1606" s="93">
        <f>AC1600/AA1606</f>
        <v>3.8000000000000013E-2</v>
      </c>
      <c r="AD1606" s="94">
        <f>AC1606*Z1606</f>
        <v>1.3680000000000005</v>
      </c>
      <c r="AE1606" s="190"/>
      <c r="AF1606" s="191"/>
      <c r="AG1606" s="191"/>
      <c r="AH1606" s="191"/>
      <c r="AI1606" s="186"/>
      <c r="AK1606" s="171"/>
    </row>
    <row r="1607" spans="1:41" s="102" customFormat="1" ht="19.899999999999999" customHeight="1" x14ac:dyDescent="0.25">
      <c r="A1607" s="45"/>
      <c r="B1607" s="59"/>
      <c r="C1607" s="137"/>
      <c r="D1607" s="59"/>
      <c r="E1607" s="116"/>
      <c r="F1607" s="120"/>
      <c r="G1607" s="120"/>
      <c r="H1607" s="120"/>
      <c r="I1607" s="60"/>
      <c r="J1607" s="116"/>
      <c r="K1607" s="213"/>
      <c r="L1607" s="120"/>
      <c r="M1607" s="120"/>
      <c r="N1607" s="167"/>
      <c r="O1607" s="120"/>
      <c r="P1607" s="120"/>
      <c r="Q1607" s="120"/>
      <c r="R1607" s="120"/>
      <c r="S1607" s="120"/>
      <c r="T1607" s="221"/>
      <c r="U1607" s="89"/>
      <c r="V1607" s="61"/>
      <c r="W1607" s="92" t="s">
        <v>65</v>
      </c>
      <c r="X1607" s="93" t="s">
        <v>30</v>
      </c>
      <c r="Y1607" s="93" t="s">
        <v>1011</v>
      </c>
      <c r="Z1607" s="134">
        <f>VLOOKUP(W1607,Sheet2!$B:$D,3,FALSE)</f>
        <v>1.76</v>
      </c>
      <c r="AA1607" s="93">
        <f>AA1606/9</f>
        <v>1.1111111111111112</v>
      </c>
      <c r="AB1607" s="93">
        <f>AD1607/AC1600</f>
        <v>1.5839999999999999</v>
      </c>
      <c r="AC1607" s="93">
        <f>AC1600/AA1607</f>
        <v>0.34200000000000008</v>
      </c>
      <c r="AD1607" s="94">
        <f>AC1607*Z1607</f>
        <v>0.60192000000000012</v>
      </c>
      <c r="AE1607" s="190"/>
      <c r="AF1607" s="191"/>
      <c r="AG1607" s="191"/>
      <c r="AH1607" s="191"/>
      <c r="AI1607" s="186"/>
      <c r="AK1607" s="171"/>
    </row>
    <row r="1608" spans="1:41" s="102" customFormat="1" ht="19.899999999999999" customHeight="1" x14ac:dyDescent="0.25">
      <c r="A1608" s="45"/>
      <c r="B1608" s="59"/>
      <c r="C1608" s="137"/>
      <c r="D1608" s="59"/>
      <c r="E1608" s="116"/>
      <c r="F1608" s="120"/>
      <c r="G1608" s="120"/>
      <c r="H1608" s="120"/>
      <c r="I1608" s="60"/>
      <c r="J1608" s="116"/>
      <c r="K1608" s="213"/>
      <c r="L1608" s="120"/>
      <c r="M1608" s="120"/>
      <c r="N1608" s="167"/>
      <c r="O1608" s="120"/>
      <c r="P1608" s="120"/>
      <c r="Q1608" s="120"/>
      <c r="R1608" s="120"/>
      <c r="S1608" s="120"/>
      <c r="T1608" s="221"/>
      <c r="U1608" s="89"/>
      <c r="V1608" s="61"/>
      <c r="W1608" s="92" t="s">
        <v>1030</v>
      </c>
      <c r="X1608" s="93" t="s">
        <v>29</v>
      </c>
      <c r="Y1608" s="93" t="s">
        <v>93</v>
      </c>
      <c r="Z1608" s="134">
        <f>VLOOKUP(W1608,Sheet2!$B:$D,3,FALSE)</f>
        <v>23</v>
      </c>
      <c r="AA1608" s="93">
        <f>1*2</f>
        <v>2</v>
      </c>
      <c r="AB1608" s="93">
        <f>AD1608/AC1600</f>
        <v>11.5</v>
      </c>
      <c r="AC1608" s="93">
        <f>AC1600/AA1608</f>
        <v>0.19000000000000006</v>
      </c>
      <c r="AD1608" s="94">
        <f t="shared" ref="AD1608:AD1609" si="1198">AC1608*Z1608</f>
        <v>4.370000000000001</v>
      </c>
      <c r="AE1608" s="190"/>
      <c r="AF1608" s="191"/>
      <c r="AG1608" s="191"/>
      <c r="AH1608" s="191"/>
      <c r="AI1608" s="186"/>
      <c r="AK1608" s="171"/>
    </row>
    <row r="1609" spans="1:41" s="102" customFormat="1" ht="19.899999999999999" customHeight="1" x14ac:dyDescent="0.25">
      <c r="A1609" s="45"/>
      <c r="B1609" s="59"/>
      <c r="C1609" s="137"/>
      <c r="D1609" s="59"/>
      <c r="E1609" s="116"/>
      <c r="F1609" s="120"/>
      <c r="G1609" s="120"/>
      <c r="H1609" s="120"/>
      <c r="I1609" s="60"/>
      <c r="J1609" s="116"/>
      <c r="K1609" s="213"/>
      <c r="L1609" s="120"/>
      <c r="M1609" s="120"/>
      <c r="N1609" s="167"/>
      <c r="O1609" s="120"/>
      <c r="P1609" s="120"/>
      <c r="Q1609" s="120"/>
      <c r="R1609" s="120"/>
      <c r="S1609" s="120"/>
      <c r="T1609" s="221"/>
      <c r="U1609" s="89"/>
      <c r="V1609" s="61"/>
      <c r="W1609" s="92" t="s">
        <v>65</v>
      </c>
      <c r="X1609" s="93" t="s">
        <v>30</v>
      </c>
      <c r="Y1609" s="93" t="s">
        <v>1011</v>
      </c>
      <c r="Z1609" s="134">
        <f>VLOOKUP(W1609,Sheet2!$B:$D,3,FALSE)</f>
        <v>1.76</v>
      </c>
      <c r="AA1609" s="93">
        <f>AA1608/3</f>
        <v>0.66666666666666663</v>
      </c>
      <c r="AB1609" s="93">
        <f>AD1609/AC1600</f>
        <v>2.64</v>
      </c>
      <c r="AC1609" s="93">
        <f>AC1600/AA1609</f>
        <v>0.57000000000000017</v>
      </c>
      <c r="AD1609" s="94">
        <f t="shared" si="1198"/>
        <v>1.0032000000000003</v>
      </c>
      <c r="AE1609" s="190"/>
      <c r="AF1609" s="191"/>
      <c r="AG1609" s="191"/>
      <c r="AH1609" s="191"/>
      <c r="AI1609" s="186"/>
      <c r="AK1609" s="171"/>
    </row>
    <row r="1610" spans="1:41" ht="20.100000000000001" customHeight="1" x14ac:dyDescent="0.25">
      <c r="A1610" s="277" t="s">
        <v>216</v>
      </c>
      <c r="B1610" s="278"/>
      <c r="C1610" s="64" t="s">
        <v>364</v>
      </c>
      <c r="D1610" s="46" t="s">
        <v>215</v>
      </c>
      <c r="E1610" s="114">
        <v>2.25</v>
      </c>
      <c r="F1610" s="44">
        <v>27505</v>
      </c>
      <c r="G1610" s="44">
        <f t="shared" si="607"/>
        <v>61886.25</v>
      </c>
      <c r="H1610" s="44">
        <f t="shared" si="608"/>
        <v>12286.179576470588</v>
      </c>
      <c r="I1610" s="43">
        <f t="shared" si="609"/>
        <v>27643.904047058822</v>
      </c>
      <c r="J1610" s="112">
        <f t="shared" si="610"/>
        <v>2.25</v>
      </c>
      <c r="K1610" s="211">
        <f t="shared" si="611"/>
        <v>2.25</v>
      </c>
      <c r="L1610" s="44"/>
      <c r="M1610" s="44">
        <f t="shared" si="612"/>
        <v>2.25</v>
      </c>
      <c r="N1610" s="173">
        <f t="shared" si="613"/>
        <v>1</v>
      </c>
      <c r="O1610" s="44">
        <f t="shared" si="614"/>
        <v>27505</v>
      </c>
      <c r="P1610" s="44">
        <f t="shared" si="615"/>
        <v>61886.25</v>
      </c>
      <c r="Q1610" s="44">
        <f t="shared" si="616"/>
        <v>12286.179576470588</v>
      </c>
      <c r="R1610" s="44">
        <f t="shared" si="617"/>
        <v>27643.904047058822</v>
      </c>
      <c r="S1610" s="123"/>
      <c r="T1610" s="219">
        <f t="shared" si="618"/>
        <v>27643.904047058822</v>
      </c>
      <c r="U1610" s="87"/>
      <c r="V1610" s="47"/>
      <c r="W1610" s="48"/>
      <c r="X1610" s="48"/>
      <c r="Y1610" s="48"/>
      <c r="Z1610" s="135"/>
      <c r="AA1610" s="49"/>
      <c r="AB1610" s="50">
        <f t="shared" si="619"/>
        <v>12286.179576470588</v>
      </c>
      <c r="AC1610" s="42">
        <f t="shared" si="620"/>
        <v>2.25</v>
      </c>
      <c r="AD1610" s="90">
        <f>AD1611+AD1616+AD1628+AD1631</f>
        <v>27643.904047058822</v>
      </c>
      <c r="AE1610" s="188">
        <f t="shared" ref="AE1610" si="1199">AE1611+AE1616+AE1628+AE1631</f>
        <v>0</v>
      </c>
      <c r="AF1610" s="189">
        <f t="shared" ref="AF1610" si="1200">AF1611+AF1616+AF1628+AF1631</f>
        <v>0</v>
      </c>
      <c r="AG1610" s="189">
        <f t="shared" ref="AG1610" si="1201">AG1611+AG1616+AG1628+AG1631</f>
        <v>0</v>
      </c>
      <c r="AH1610" s="189">
        <f t="shared" ref="AH1610" si="1202">AH1611+AH1616+AH1628+AH1631</f>
        <v>0</v>
      </c>
      <c r="AI1610" s="161">
        <f t="shared" ref="AI1610:AI1641" si="1203">SUM(AE1610:AH1610)</f>
        <v>0</v>
      </c>
      <c r="AK1610" s="169">
        <v>5</v>
      </c>
      <c r="AO1610" s="19" t="s">
        <v>63</v>
      </c>
    </row>
    <row r="1611" spans="1:41" s="103" customFormat="1" ht="19.899999999999999" customHeight="1" x14ac:dyDescent="0.25">
      <c r="A1611" s="51"/>
      <c r="B1611" s="52"/>
      <c r="C1611" s="165"/>
      <c r="D1611" s="52"/>
      <c r="E1611" s="115"/>
      <c r="F1611" s="58"/>
      <c r="G1611" s="58"/>
      <c r="H1611" s="58"/>
      <c r="I1611" s="55"/>
      <c r="J1611" s="113">
        <f>J1610</f>
        <v>2.25</v>
      </c>
      <c r="K1611" s="212">
        <f>K1610</f>
        <v>2.25</v>
      </c>
      <c r="L1611" s="58"/>
      <c r="M1611" s="58">
        <f>K1611-L1611</f>
        <v>2.25</v>
      </c>
      <c r="N1611" s="166"/>
      <c r="O1611" s="58"/>
      <c r="P1611" s="58"/>
      <c r="Q1611" s="58"/>
      <c r="R1611" s="58"/>
      <c r="S1611" s="58"/>
      <c r="T1611" s="220"/>
      <c r="U1611" s="88"/>
      <c r="V1611" s="56"/>
      <c r="W1611" s="57" t="s">
        <v>1351</v>
      </c>
      <c r="X1611" s="53"/>
      <c r="Y1611" s="91" t="s">
        <v>35</v>
      </c>
      <c r="Z1611" s="136">
        <f>AD1611/AC1611</f>
        <v>90.4969411764706</v>
      </c>
      <c r="AA1611" s="58"/>
      <c r="AB1611" s="53">
        <f>AD1611/AC1611</f>
        <v>90.4969411764706</v>
      </c>
      <c r="AC1611" s="53">
        <f>M1611+$AE$10</f>
        <v>2.25</v>
      </c>
      <c r="AD1611" s="54">
        <f>SUM(AD1612:AD1615)</f>
        <v>203.61811764705885</v>
      </c>
      <c r="AE1611" s="184">
        <f>SUMIFS($AD$37:$AD$12971,$V$37:$V$12971,$V1611,$X$37:$X$12971,AE$13)</f>
        <v>0</v>
      </c>
      <c r="AF1611" s="185">
        <f>SUMIFS($AD$37:$AD$12971,$V$37:$V$12971,$V1611,$X$37:$X$12971,AF$13)</f>
        <v>0</v>
      </c>
      <c r="AG1611" s="185">
        <f>SUMIFS($AD$37:$AD$12971,$V$37:$V$12971,$V1611,$X$37:$X$12971,AG$13)</f>
        <v>0</v>
      </c>
      <c r="AH1611" s="187">
        <f>SUMIFS($AD$37:$AD$12971,$V$37:$V$12971,$V1611,$X$37:$X$12971,AH$13)</f>
        <v>0</v>
      </c>
      <c r="AI1611" s="161">
        <f t="shared" ref="AI1611" si="1204">SUM(AE1611:AH1611)</f>
        <v>0</v>
      </c>
      <c r="AK1611" s="172"/>
    </row>
    <row r="1612" spans="1:41" s="102" customFormat="1" ht="19.899999999999999" customHeight="1" x14ac:dyDescent="0.25">
      <c r="A1612" s="45"/>
      <c r="B1612" s="59"/>
      <c r="C1612" s="137"/>
      <c r="D1612" s="59"/>
      <c r="E1612" s="116"/>
      <c r="F1612" s="120"/>
      <c r="G1612" s="120"/>
      <c r="H1612" s="120"/>
      <c r="I1612" s="60"/>
      <c r="J1612" s="116"/>
      <c r="K1612" s="213"/>
      <c r="L1612" s="120"/>
      <c r="M1612" s="120"/>
      <c r="N1612" s="167"/>
      <c r="O1612" s="120"/>
      <c r="P1612" s="120"/>
      <c r="Q1612" s="120"/>
      <c r="R1612" s="120"/>
      <c r="S1612" s="120"/>
      <c r="T1612" s="221"/>
      <c r="U1612" s="89"/>
      <c r="V1612" s="61"/>
      <c r="W1612" s="92" t="s">
        <v>129</v>
      </c>
      <c r="X1612" s="93" t="s">
        <v>29</v>
      </c>
      <c r="Y1612" s="93" t="s">
        <v>93</v>
      </c>
      <c r="Z1612" s="134">
        <f>VLOOKUP(W1612,Sheet2!$B:$D,3,FALSE)</f>
        <v>56</v>
      </c>
      <c r="AA1612" s="93">
        <f>100/(3*3*2.5)</f>
        <v>4.4444444444444446</v>
      </c>
      <c r="AB1612" s="93">
        <f t="shared" ref="AB1612" si="1205">AD1612/AC1611</f>
        <v>12.6</v>
      </c>
      <c r="AC1612" s="93">
        <f>AC1611/AA1612</f>
        <v>0.50624999999999998</v>
      </c>
      <c r="AD1612" s="94">
        <f t="shared" ref="AD1612:AD1613" si="1206">AC1612*Z1612</f>
        <v>28.349999999999998</v>
      </c>
      <c r="AE1612" s="190"/>
      <c r="AF1612" s="191"/>
      <c r="AG1612" s="191"/>
      <c r="AH1612" s="191"/>
      <c r="AI1612" s="186"/>
      <c r="AK1612" s="171"/>
    </row>
    <row r="1613" spans="1:41" s="102" customFormat="1" ht="19.899999999999999" customHeight="1" x14ac:dyDescent="0.25">
      <c r="A1613" s="45"/>
      <c r="B1613" s="59"/>
      <c r="C1613" s="137"/>
      <c r="D1613" s="59"/>
      <c r="E1613" s="116"/>
      <c r="F1613" s="120"/>
      <c r="G1613" s="120"/>
      <c r="H1613" s="120"/>
      <c r="I1613" s="60"/>
      <c r="J1613" s="116"/>
      <c r="K1613" s="213"/>
      <c r="L1613" s="120"/>
      <c r="M1613" s="120"/>
      <c r="N1613" s="167"/>
      <c r="O1613" s="120"/>
      <c r="P1613" s="120"/>
      <c r="Q1613" s="120"/>
      <c r="R1613" s="120"/>
      <c r="S1613" s="120"/>
      <c r="T1613" s="221"/>
      <c r="U1613" s="89"/>
      <c r="V1613" s="61"/>
      <c r="W1613" s="92" t="s">
        <v>65</v>
      </c>
      <c r="X1613" s="93" t="s">
        <v>30</v>
      </c>
      <c r="Y1613" s="93" t="s">
        <v>1011</v>
      </c>
      <c r="Z1613" s="134">
        <f>VLOOKUP(W1613,Sheet2!$B:$D,3,FALSE)</f>
        <v>1.76</v>
      </c>
      <c r="AA1613" s="93">
        <f>AA1612/14</f>
        <v>0.3174603174603175</v>
      </c>
      <c r="AB1613" s="93">
        <f>AD1613/AC1611</f>
        <v>5.5439999999999996</v>
      </c>
      <c r="AC1613" s="93">
        <f>AC1611/AA1613</f>
        <v>7.0874999999999995</v>
      </c>
      <c r="AD1613" s="94">
        <f t="shared" si="1206"/>
        <v>12.473999999999998</v>
      </c>
      <c r="AE1613" s="190"/>
      <c r="AF1613" s="191"/>
      <c r="AG1613" s="191"/>
      <c r="AH1613" s="191"/>
      <c r="AI1613" s="186"/>
      <c r="AK1613" s="171"/>
    </row>
    <row r="1614" spans="1:41" s="102" customFormat="1" ht="19.899999999999999" customHeight="1" x14ac:dyDescent="0.25">
      <c r="A1614" s="45"/>
      <c r="B1614" s="59"/>
      <c r="C1614" s="137"/>
      <c r="D1614" s="59"/>
      <c r="E1614" s="116"/>
      <c r="F1614" s="120"/>
      <c r="G1614" s="120"/>
      <c r="H1614" s="120"/>
      <c r="I1614" s="60"/>
      <c r="J1614" s="116"/>
      <c r="K1614" s="213"/>
      <c r="L1614" s="120"/>
      <c r="M1614" s="120"/>
      <c r="N1614" s="167"/>
      <c r="O1614" s="120"/>
      <c r="P1614" s="120"/>
      <c r="Q1614" s="120"/>
      <c r="R1614" s="120"/>
      <c r="S1614" s="120"/>
      <c r="T1614" s="221"/>
      <c r="U1614" s="89"/>
      <c r="V1614" s="61"/>
      <c r="W1614" s="92" t="s">
        <v>161</v>
      </c>
      <c r="X1614" s="93" t="s">
        <v>29</v>
      </c>
      <c r="Y1614" s="93" t="s">
        <v>93</v>
      </c>
      <c r="Z1614" s="134">
        <f>VLOOKUP(W1614,Sheet2!$B:$D,3,FALSE)</f>
        <v>48</v>
      </c>
      <c r="AA1614" s="93">
        <f>(16*0.85*1.5)/(3*3*2.5)</f>
        <v>0.90666666666666662</v>
      </c>
      <c r="AB1614" s="93">
        <f>AD1614/AC1611</f>
        <v>52.941176470588239</v>
      </c>
      <c r="AC1614" s="93">
        <f>AC1611/AA1614</f>
        <v>2.4816176470588238</v>
      </c>
      <c r="AD1614" s="94">
        <f>AC1614*Z1614</f>
        <v>119.11764705882354</v>
      </c>
      <c r="AE1614" s="190"/>
      <c r="AF1614" s="191"/>
      <c r="AG1614" s="191"/>
      <c r="AH1614" s="191"/>
      <c r="AI1614" s="186"/>
      <c r="AK1614" s="171"/>
    </row>
    <row r="1615" spans="1:41" s="102" customFormat="1" ht="19.899999999999999" customHeight="1" x14ac:dyDescent="0.25">
      <c r="A1615" s="45"/>
      <c r="B1615" s="59"/>
      <c r="C1615" s="137"/>
      <c r="D1615" s="59"/>
      <c r="E1615" s="116"/>
      <c r="F1615" s="120"/>
      <c r="G1615" s="120"/>
      <c r="H1615" s="120"/>
      <c r="I1615" s="60"/>
      <c r="J1615" s="116"/>
      <c r="K1615" s="213"/>
      <c r="L1615" s="120"/>
      <c r="M1615" s="120"/>
      <c r="N1615" s="167"/>
      <c r="O1615" s="120"/>
      <c r="P1615" s="120"/>
      <c r="Q1615" s="120"/>
      <c r="R1615" s="120"/>
      <c r="S1615" s="120"/>
      <c r="T1615" s="221"/>
      <c r="U1615" s="89"/>
      <c r="V1615" s="61"/>
      <c r="W1615" s="92" t="s">
        <v>65</v>
      </c>
      <c r="X1615" s="93" t="s">
        <v>30</v>
      </c>
      <c r="Y1615" s="93" t="s">
        <v>1011</v>
      </c>
      <c r="Z1615" s="134">
        <f>VLOOKUP(W1615,Sheet2!$B:$D,3,FALSE)</f>
        <v>1.76</v>
      </c>
      <c r="AA1615" s="93">
        <f>AA1614/10</f>
        <v>9.0666666666666659E-2</v>
      </c>
      <c r="AB1615" s="93">
        <f>AD1615/AC1611</f>
        <v>19.411764705882359</v>
      </c>
      <c r="AC1615" s="93">
        <f>AC1611/AA1615</f>
        <v>24.816176470588239</v>
      </c>
      <c r="AD1615" s="94">
        <f>AC1615*Z1615</f>
        <v>43.676470588235304</v>
      </c>
      <c r="AE1615" s="190"/>
      <c r="AF1615" s="191"/>
      <c r="AG1615" s="191"/>
      <c r="AH1615" s="191"/>
      <c r="AI1615" s="186"/>
      <c r="AK1615" s="171"/>
    </row>
    <row r="1616" spans="1:41" s="103" customFormat="1" ht="19.899999999999999" customHeight="1" x14ac:dyDescent="0.25">
      <c r="A1616" s="51"/>
      <c r="B1616" s="52"/>
      <c r="C1616" s="165"/>
      <c r="D1616" s="52"/>
      <c r="E1616" s="115"/>
      <c r="F1616" s="58"/>
      <c r="G1616" s="58"/>
      <c r="H1616" s="58"/>
      <c r="I1616" s="55"/>
      <c r="J1616" s="113">
        <f>J1610</f>
        <v>2.25</v>
      </c>
      <c r="K1616" s="212">
        <f>K1610</f>
        <v>2.25</v>
      </c>
      <c r="L1616" s="58"/>
      <c r="M1616" s="58">
        <f>K1616-L1616</f>
        <v>2.25</v>
      </c>
      <c r="N1616" s="166"/>
      <c r="O1616" s="58"/>
      <c r="P1616" s="58"/>
      <c r="Q1616" s="58"/>
      <c r="R1616" s="58"/>
      <c r="S1616" s="58"/>
      <c r="T1616" s="220"/>
      <c r="U1616" s="88"/>
      <c r="V1616" s="56"/>
      <c r="W1616" s="57" t="s">
        <v>1352</v>
      </c>
      <c r="X1616" s="53"/>
      <c r="Y1616" s="91" t="s">
        <v>35</v>
      </c>
      <c r="Z1616" s="136">
        <f>AD1616/AC1616</f>
        <v>9186.5999999999985</v>
      </c>
      <c r="AA1616" s="58"/>
      <c r="AB1616" s="53">
        <f>AD1616/AC1616</f>
        <v>9186.5999999999985</v>
      </c>
      <c r="AC1616" s="53">
        <f>M1616+$AE$10</f>
        <v>2.25</v>
      </c>
      <c r="AD1616" s="54">
        <f>SUM(AD1617:AD1627)</f>
        <v>20669.849999999999</v>
      </c>
      <c r="AE1616" s="184">
        <f>SUMIFS($AD$37:$AD$12971,$V$37:$V$12971,$V1616,$X$37:$X$12971,AE$13)</f>
        <v>0</v>
      </c>
      <c r="AF1616" s="185">
        <f>SUMIFS($AD$37:$AD$12971,$V$37:$V$12971,$V1616,$X$37:$X$12971,AF$13)</f>
        <v>0</v>
      </c>
      <c r="AG1616" s="185">
        <f>SUMIFS($AD$37:$AD$12971,$V$37:$V$12971,$V1616,$X$37:$X$12971,AG$13)</f>
        <v>0</v>
      </c>
      <c r="AH1616" s="187">
        <f>SUMIFS($AD$37:$AD$12971,$V$37:$V$12971,$V1616,$X$37:$X$12971,AH$13)</f>
        <v>0</v>
      </c>
      <c r="AI1616" s="161">
        <f t="shared" ref="AI1616" si="1207">SUM(AE1616:AH1616)</f>
        <v>0</v>
      </c>
      <c r="AK1616" s="172"/>
    </row>
    <row r="1617" spans="1:37" s="102" customFormat="1" ht="19.899999999999999" customHeight="1" x14ac:dyDescent="0.25">
      <c r="A1617" s="45"/>
      <c r="B1617" s="59"/>
      <c r="C1617" s="137"/>
      <c r="D1617" s="59"/>
      <c r="E1617" s="116"/>
      <c r="F1617" s="120"/>
      <c r="G1617" s="120"/>
      <c r="H1617" s="120"/>
      <c r="I1617" s="60"/>
      <c r="J1617" s="116"/>
      <c r="K1617" s="213"/>
      <c r="L1617" s="120"/>
      <c r="M1617" s="120"/>
      <c r="N1617" s="167"/>
      <c r="O1617" s="120"/>
      <c r="P1617" s="120"/>
      <c r="Q1617" s="120"/>
      <c r="R1617" s="120"/>
      <c r="S1617" s="120"/>
      <c r="T1617" s="221"/>
      <c r="U1617" s="89"/>
      <c r="V1617" s="61"/>
      <c r="W1617" s="92" t="s">
        <v>1032</v>
      </c>
      <c r="X1617" s="93" t="s">
        <v>30</v>
      </c>
      <c r="Y1617" s="93" t="s">
        <v>66</v>
      </c>
      <c r="Z1617" s="134">
        <f>VLOOKUP(W1617,Sheet2!$B:$D,3,FALSE)</f>
        <v>250</v>
      </c>
      <c r="AA1617" s="93">
        <f>1/(3*3*0.1)</f>
        <v>1.1111111111111112</v>
      </c>
      <c r="AB1617" s="93">
        <f t="shared" ref="AB1617" si="1208">AD1617/AC1616</f>
        <v>225</v>
      </c>
      <c r="AC1617" s="93">
        <f>AC1616/AA1617</f>
        <v>2.0249999999999999</v>
      </c>
      <c r="AD1617" s="94">
        <f t="shared" ref="AD1617:AD1619" si="1209">AC1617*Z1617</f>
        <v>506.25</v>
      </c>
      <c r="AE1617" s="190"/>
      <c r="AF1617" s="191"/>
      <c r="AG1617" s="191"/>
      <c r="AH1617" s="191"/>
      <c r="AI1617" s="186"/>
      <c r="AK1617" s="171"/>
    </row>
    <row r="1618" spans="1:37" s="102" customFormat="1" ht="19.899999999999999" customHeight="1" x14ac:dyDescent="0.25">
      <c r="A1618" s="45"/>
      <c r="B1618" s="59"/>
      <c r="C1618" s="137"/>
      <c r="D1618" s="59"/>
      <c r="E1618" s="116"/>
      <c r="F1618" s="120"/>
      <c r="G1618" s="120"/>
      <c r="H1618" s="120"/>
      <c r="I1618" s="60"/>
      <c r="J1618" s="116"/>
      <c r="K1618" s="213"/>
      <c r="L1618" s="120"/>
      <c r="M1618" s="120"/>
      <c r="N1618" s="167"/>
      <c r="O1618" s="120"/>
      <c r="P1618" s="120"/>
      <c r="Q1618" s="120"/>
      <c r="R1618" s="120"/>
      <c r="S1618" s="120"/>
      <c r="T1618" s="221"/>
      <c r="U1618" s="89"/>
      <c r="V1618" s="61"/>
      <c r="W1618" s="92" t="s">
        <v>1353</v>
      </c>
      <c r="X1618" s="93" t="s">
        <v>30</v>
      </c>
      <c r="Y1618" s="93" t="s">
        <v>66</v>
      </c>
      <c r="Z1618" s="134">
        <f>VLOOKUP(W1618,Sheet2!$B:$D,3,FALSE)</f>
        <v>350</v>
      </c>
      <c r="AA1618" s="93">
        <f>1/(2*2*0.25*5)</f>
        <v>0.2</v>
      </c>
      <c r="AB1618" s="93">
        <f>AD1618/AC1616</f>
        <v>1750</v>
      </c>
      <c r="AC1618" s="93">
        <f>AC1616/AA1618</f>
        <v>11.25</v>
      </c>
      <c r="AD1618" s="94">
        <f t="shared" si="1209"/>
        <v>3937.5</v>
      </c>
      <c r="AE1618" s="190"/>
      <c r="AF1618" s="191"/>
      <c r="AG1618" s="191"/>
      <c r="AH1618" s="191"/>
      <c r="AI1618" s="186"/>
      <c r="AK1618" s="171"/>
    </row>
    <row r="1619" spans="1:37" s="102" customFormat="1" ht="19.899999999999999" customHeight="1" x14ac:dyDescent="0.25">
      <c r="A1619" s="45"/>
      <c r="B1619" s="59"/>
      <c r="C1619" s="137"/>
      <c r="D1619" s="59"/>
      <c r="E1619" s="116"/>
      <c r="F1619" s="120"/>
      <c r="G1619" s="120"/>
      <c r="H1619" s="120"/>
      <c r="I1619" s="60"/>
      <c r="J1619" s="116"/>
      <c r="K1619" s="213"/>
      <c r="L1619" s="120"/>
      <c r="M1619" s="120"/>
      <c r="N1619" s="167"/>
      <c r="O1619" s="120"/>
      <c r="P1619" s="120"/>
      <c r="Q1619" s="120"/>
      <c r="R1619" s="120"/>
      <c r="S1619" s="120"/>
      <c r="T1619" s="221"/>
      <c r="U1619" s="89"/>
      <c r="V1619" s="61"/>
      <c r="W1619" s="92" t="s">
        <v>99</v>
      </c>
      <c r="X1619" s="93" t="s">
        <v>30</v>
      </c>
      <c r="Y1619" s="93" t="s">
        <v>67</v>
      </c>
      <c r="Z1619" s="134">
        <f>VLOOKUP(W1619,Sheet2!$B:$D,3,FALSE)</f>
        <v>2500</v>
      </c>
      <c r="AA1619" s="93">
        <f>1/(2*2*0.25*5*0.08)</f>
        <v>2.5</v>
      </c>
      <c r="AB1619" s="93">
        <f>AD1619/AC1616</f>
        <v>1000</v>
      </c>
      <c r="AC1619" s="93">
        <f>AC1616/AA1619</f>
        <v>0.9</v>
      </c>
      <c r="AD1619" s="94">
        <f t="shared" si="1209"/>
        <v>2250</v>
      </c>
      <c r="AE1619" s="190"/>
      <c r="AF1619" s="191"/>
      <c r="AG1619" s="191"/>
      <c r="AH1619" s="191"/>
      <c r="AI1619" s="186"/>
      <c r="AK1619" s="171"/>
    </row>
    <row r="1620" spans="1:37" s="102" customFormat="1" ht="19.899999999999999" customHeight="1" x14ac:dyDescent="0.25">
      <c r="A1620" s="45"/>
      <c r="B1620" s="59"/>
      <c r="C1620" s="137"/>
      <c r="D1620" s="59"/>
      <c r="E1620" s="116"/>
      <c r="F1620" s="120"/>
      <c r="G1620" s="120"/>
      <c r="H1620" s="120"/>
      <c r="I1620" s="60"/>
      <c r="J1620" s="116"/>
      <c r="K1620" s="213"/>
      <c r="L1620" s="120"/>
      <c r="M1620" s="120"/>
      <c r="N1620" s="167"/>
      <c r="O1620" s="120"/>
      <c r="P1620" s="120"/>
      <c r="Q1620" s="120"/>
      <c r="R1620" s="120"/>
      <c r="S1620" s="120"/>
      <c r="T1620" s="221"/>
      <c r="U1620" s="89"/>
      <c r="V1620" s="61"/>
      <c r="W1620" s="92" t="s">
        <v>1354</v>
      </c>
      <c r="X1620" s="93" t="s">
        <v>32</v>
      </c>
      <c r="Y1620" s="93" t="s">
        <v>66</v>
      </c>
      <c r="Z1620" s="134">
        <f>VLOOKUP(W1620,Sheet2!$B:$D,3,FALSE)</f>
        <v>150</v>
      </c>
      <c r="AA1620" s="93">
        <f>AA1617</f>
        <v>1.1111111111111112</v>
      </c>
      <c r="AB1620" s="93">
        <f>AD1620/AC1616</f>
        <v>135</v>
      </c>
      <c r="AC1620" s="93">
        <f>AC1616/AA1620</f>
        <v>2.0249999999999999</v>
      </c>
      <c r="AD1620" s="94">
        <f>AC1620*Z1620</f>
        <v>303.75</v>
      </c>
      <c r="AE1620" s="190"/>
      <c r="AF1620" s="191"/>
      <c r="AG1620" s="191"/>
      <c r="AH1620" s="191"/>
      <c r="AI1620" s="186"/>
      <c r="AK1620" s="171"/>
    </row>
    <row r="1621" spans="1:37" s="102" customFormat="1" ht="19.899999999999999" customHeight="1" x14ac:dyDescent="0.25">
      <c r="A1621" s="45"/>
      <c r="B1621" s="59"/>
      <c r="C1621" s="137"/>
      <c r="D1621" s="59"/>
      <c r="E1621" s="116"/>
      <c r="F1621" s="120"/>
      <c r="G1621" s="120"/>
      <c r="H1621" s="120"/>
      <c r="I1621" s="60"/>
      <c r="J1621" s="116"/>
      <c r="K1621" s="213"/>
      <c r="L1621" s="120"/>
      <c r="M1621" s="120"/>
      <c r="N1621" s="167"/>
      <c r="O1621" s="120"/>
      <c r="P1621" s="120"/>
      <c r="Q1621" s="120"/>
      <c r="R1621" s="120"/>
      <c r="S1621" s="120"/>
      <c r="T1621" s="221"/>
      <c r="U1621" s="89"/>
      <c r="V1621" s="61"/>
      <c r="W1621" s="92" t="s">
        <v>1355</v>
      </c>
      <c r="X1621" s="93" t="s">
        <v>32</v>
      </c>
      <c r="Y1621" s="93" t="s">
        <v>66</v>
      </c>
      <c r="Z1621" s="134">
        <f>VLOOKUP(W1621,Sheet2!$B:$D,3,FALSE)</f>
        <v>450</v>
      </c>
      <c r="AA1621" s="93">
        <f>AA1618</f>
        <v>0.2</v>
      </c>
      <c r="AB1621" s="93">
        <f>AD1621/AC1616</f>
        <v>2250</v>
      </c>
      <c r="AC1621" s="93">
        <f>AC1616/AA1621</f>
        <v>11.25</v>
      </c>
      <c r="AD1621" s="94">
        <f>AC1621*Z1621</f>
        <v>5062.5</v>
      </c>
      <c r="AE1621" s="190"/>
      <c r="AF1621" s="191"/>
      <c r="AG1621" s="191"/>
      <c r="AH1621" s="191"/>
      <c r="AI1621" s="186"/>
      <c r="AK1621" s="171"/>
    </row>
    <row r="1622" spans="1:37" s="102" customFormat="1" ht="19.899999999999999" customHeight="1" x14ac:dyDescent="0.25">
      <c r="A1622" s="45"/>
      <c r="B1622" s="59"/>
      <c r="C1622" s="137"/>
      <c r="D1622" s="59"/>
      <c r="E1622" s="116"/>
      <c r="F1622" s="120"/>
      <c r="G1622" s="120"/>
      <c r="H1622" s="120"/>
      <c r="I1622" s="60"/>
      <c r="J1622" s="116"/>
      <c r="K1622" s="213"/>
      <c r="L1622" s="120"/>
      <c r="M1622" s="120"/>
      <c r="N1622" s="167"/>
      <c r="O1622" s="120"/>
      <c r="P1622" s="120"/>
      <c r="Q1622" s="120"/>
      <c r="R1622" s="120"/>
      <c r="S1622" s="120"/>
      <c r="T1622" s="221"/>
      <c r="U1622" s="89"/>
      <c r="V1622" s="61"/>
      <c r="W1622" s="92" t="s">
        <v>1356</v>
      </c>
      <c r="X1622" s="93" t="s">
        <v>30</v>
      </c>
      <c r="Y1622" s="93" t="s">
        <v>35</v>
      </c>
      <c r="Z1622" s="134">
        <f>VLOOKUP(W1622,Sheet2!$B:$D,3,FALSE)</f>
        <v>3500</v>
      </c>
      <c r="AA1622" s="93">
        <v>1</v>
      </c>
      <c r="AB1622" s="93">
        <f>AD1622/AC1616</f>
        <v>3500</v>
      </c>
      <c r="AC1622" s="93">
        <f>AC1616/AA1622</f>
        <v>2.25</v>
      </c>
      <c r="AD1622" s="94">
        <f t="shared" ref="AD1622:AD1623" si="1210">AC1622*Z1622</f>
        <v>7875</v>
      </c>
      <c r="AE1622" s="190"/>
      <c r="AF1622" s="191"/>
      <c r="AG1622" s="191"/>
      <c r="AH1622" s="191"/>
      <c r="AI1622" s="186"/>
      <c r="AK1622" s="171"/>
    </row>
    <row r="1623" spans="1:37" s="102" customFormat="1" ht="19.899999999999999" customHeight="1" x14ac:dyDescent="0.25">
      <c r="A1623" s="45"/>
      <c r="B1623" s="59"/>
      <c r="C1623" s="137"/>
      <c r="D1623" s="59"/>
      <c r="E1623" s="116"/>
      <c r="F1623" s="120"/>
      <c r="G1623" s="120"/>
      <c r="H1623" s="120"/>
      <c r="I1623" s="60"/>
      <c r="J1623" s="116"/>
      <c r="K1623" s="213"/>
      <c r="L1623" s="120"/>
      <c r="M1623" s="120"/>
      <c r="N1623" s="167"/>
      <c r="O1623" s="120"/>
      <c r="P1623" s="120"/>
      <c r="Q1623" s="120"/>
      <c r="R1623" s="120"/>
      <c r="S1623" s="120"/>
      <c r="T1623" s="221"/>
      <c r="U1623" s="89"/>
      <c r="V1623" s="61"/>
      <c r="W1623" s="92" t="s">
        <v>174</v>
      </c>
      <c r="X1623" s="93" t="s">
        <v>29</v>
      </c>
      <c r="Y1623" s="93" t="s">
        <v>93</v>
      </c>
      <c r="Z1623" s="134">
        <f>VLOOKUP(W1623,Sheet2!$B:$D,3,FALSE)</f>
        <v>80</v>
      </c>
      <c r="AA1623" s="93">
        <v>4</v>
      </c>
      <c r="AB1623" s="93">
        <f>AD1623/AC1616</f>
        <v>20</v>
      </c>
      <c r="AC1623" s="93">
        <f>AC1616/AA1623</f>
        <v>0.5625</v>
      </c>
      <c r="AD1623" s="94">
        <f t="shared" si="1210"/>
        <v>45</v>
      </c>
      <c r="AE1623" s="190"/>
      <c r="AF1623" s="191"/>
      <c r="AG1623" s="191"/>
      <c r="AH1623" s="191"/>
      <c r="AI1623" s="186"/>
      <c r="AK1623" s="171"/>
    </row>
    <row r="1624" spans="1:37" s="102" customFormat="1" ht="19.899999999999999" customHeight="1" x14ac:dyDescent="0.25">
      <c r="A1624" s="45"/>
      <c r="B1624" s="59"/>
      <c r="C1624" s="137"/>
      <c r="D1624" s="59"/>
      <c r="E1624" s="116"/>
      <c r="F1624" s="120"/>
      <c r="G1624" s="120"/>
      <c r="H1624" s="120"/>
      <c r="I1624" s="60"/>
      <c r="J1624" s="116"/>
      <c r="K1624" s="213"/>
      <c r="L1624" s="120"/>
      <c r="M1624" s="120"/>
      <c r="N1624" s="167"/>
      <c r="O1624" s="120"/>
      <c r="P1624" s="120"/>
      <c r="Q1624" s="120"/>
      <c r="R1624" s="120"/>
      <c r="S1624" s="120"/>
      <c r="T1624" s="221"/>
      <c r="U1624" s="89"/>
      <c r="V1624" s="61"/>
      <c r="W1624" s="92" t="s">
        <v>65</v>
      </c>
      <c r="X1624" s="93" t="s">
        <v>30</v>
      </c>
      <c r="Y1624" s="93" t="s">
        <v>93</v>
      </c>
      <c r="Z1624" s="134">
        <f>VLOOKUP(W1624,Sheet2!$B:$D,3,FALSE)</f>
        <v>1.76</v>
      </c>
      <c r="AA1624" s="93">
        <f>AA1623/15</f>
        <v>0.26666666666666666</v>
      </c>
      <c r="AB1624" s="93">
        <f>AD1624/AC1616</f>
        <v>6.6</v>
      </c>
      <c r="AC1624" s="93">
        <f>AC1616/AA1624</f>
        <v>8.4375</v>
      </c>
      <c r="AD1624" s="94">
        <f>AC1624*Z1624</f>
        <v>14.85</v>
      </c>
      <c r="AE1624" s="190"/>
      <c r="AF1624" s="191"/>
      <c r="AG1624" s="191"/>
      <c r="AH1624" s="191"/>
      <c r="AI1624" s="186"/>
      <c r="AK1624" s="171"/>
    </row>
    <row r="1625" spans="1:37" s="102" customFormat="1" ht="19.899999999999999" customHeight="1" x14ac:dyDescent="0.25">
      <c r="A1625" s="45"/>
      <c r="B1625" s="59"/>
      <c r="C1625" s="137"/>
      <c r="D1625" s="59"/>
      <c r="E1625" s="116"/>
      <c r="F1625" s="120"/>
      <c r="G1625" s="120"/>
      <c r="H1625" s="120"/>
      <c r="I1625" s="60"/>
      <c r="J1625" s="116"/>
      <c r="K1625" s="213"/>
      <c r="L1625" s="120"/>
      <c r="M1625" s="120"/>
      <c r="N1625" s="167"/>
      <c r="O1625" s="120"/>
      <c r="P1625" s="120"/>
      <c r="Q1625" s="120"/>
      <c r="R1625" s="120"/>
      <c r="S1625" s="120"/>
      <c r="T1625" s="221"/>
      <c r="U1625" s="89"/>
      <c r="V1625" s="61"/>
      <c r="W1625" s="92" t="s">
        <v>1357</v>
      </c>
      <c r="X1625" s="93" t="s">
        <v>30</v>
      </c>
      <c r="Y1625" s="93" t="s">
        <v>1349</v>
      </c>
      <c r="Z1625" s="134">
        <f>VLOOKUP(W1625,Sheet2!$B:$D,3,FALSE)</f>
        <v>150</v>
      </c>
      <c r="AA1625" s="93">
        <v>1</v>
      </c>
      <c r="AB1625" s="93">
        <f>AD1625/AC1616</f>
        <v>150</v>
      </c>
      <c r="AC1625" s="93">
        <f>AC1616/AA1625</f>
        <v>2.25</v>
      </c>
      <c r="AD1625" s="94">
        <f>AC1625*Z1625</f>
        <v>337.5</v>
      </c>
      <c r="AE1625" s="190"/>
      <c r="AF1625" s="191"/>
      <c r="AG1625" s="191"/>
      <c r="AH1625" s="191"/>
      <c r="AI1625" s="186"/>
      <c r="AK1625" s="171"/>
    </row>
    <row r="1626" spans="1:37" s="102" customFormat="1" ht="19.899999999999999" customHeight="1" x14ac:dyDescent="0.25">
      <c r="A1626" s="45"/>
      <c r="B1626" s="59"/>
      <c r="C1626" s="137"/>
      <c r="D1626" s="59"/>
      <c r="E1626" s="116"/>
      <c r="F1626" s="120"/>
      <c r="G1626" s="120"/>
      <c r="H1626" s="120"/>
      <c r="I1626" s="60"/>
      <c r="J1626" s="116"/>
      <c r="K1626" s="213"/>
      <c r="L1626" s="120"/>
      <c r="M1626" s="120"/>
      <c r="N1626" s="167"/>
      <c r="O1626" s="120"/>
      <c r="P1626" s="120"/>
      <c r="Q1626" s="120"/>
      <c r="R1626" s="120"/>
      <c r="S1626" s="120"/>
      <c r="T1626" s="221"/>
      <c r="U1626" s="89"/>
      <c r="V1626" s="61"/>
      <c r="W1626" s="92" t="s">
        <v>107</v>
      </c>
      <c r="X1626" s="93" t="s">
        <v>31</v>
      </c>
      <c r="Y1626" s="93" t="s">
        <v>93</v>
      </c>
      <c r="Z1626" s="134">
        <f>VLOOKUP(W1626,Sheet2!$B:$D,3,FALSE)</f>
        <v>17</v>
      </c>
      <c r="AA1626" s="93">
        <f>1/5</f>
        <v>0.2</v>
      </c>
      <c r="AB1626" s="93">
        <f>AD1626/AC1616</f>
        <v>85</v>
      </c>
      <c r="AC1626" s="93">
        <f>AC1616/AA1626</f>
        <v>11.25</v>
      </c>
      <c r="AD1626" s="94">
        <f>AC1626*Z1626</f>
        <v>191.25</v>
      </c>
      <c r="AE1626" s="190"/>
      <c r="AF1626" s="191"/>
      <c r="AG1626" s="191"/>
      <c r="AH1626" s="191"/>
      <c r="AI1626" s="186"/>
      <c r="AK1626" s="171"/>
    </row>
    <row r="1627" spans="1:37" s="102" customFormat="1" ht="19.899999999999999" customHeight="1" x14ac:dyDescent="0.25">
      <c r="A1627" s="45"/>
      <c r="B1627" s="59"/>
      <c r="C1627" s="137"/>
      <c r="D1627" s="59"/>
      <c r="E1627" s="116"/>
      <c r="F1627" s="120"/>
      <c r="G1627" s="120"/>
      <c r="H1627" s="120"/>
      <c r="I1627" s="60"/>
      <c r="J1627" s="116"/>
      <c r="K1627" s="213"/>
      <c r="L1627" s="120"/>
      <c r="M1627" s="120"/>
      <c r="N1627" s="167"/>
      <c r="O1627" s="120"/>
      <c r="P1627" s="120"/>
      <c r="Q1627" s="120"/>
      <c r="R1627" s="120"/>
      <c r="S1627" s="120"/>
      <c r="T1627" s="221"/>
      <c r="U1627" s="89"/>
      <c r="V1627" s="61"/>
      <c r="W1627" s="92" t="s">
        <v>112</v>
      </c>
      <c r="X1627" s="93" t="s">
        <v>31</v>
      </c>
      <c r="Y1627" s="93" t="s">
        <v>93</v>
      </c>
      <c r="Z1627" s="134">
        <f>VLOOKUP(W1627,Sheet2!$B:$D,3,FALSE)</f>
        <v>13</v>
      </c>
      <c r="AA1627" s="93">
        <f>AA1626</f>
        <v>0.2</v>
      </c>
      <c r="AB1627" s="93">
        <f>AD1627/AC1616</f>
        <v>65</v>
      </c>
      <c r="AC1627" s="93">
        <f>AC1616/AA1627</f>
        <v>11.25</v>
      </c>
      <c r="AD1627" s="94">
        <f>AC1627*Z1627</f>
        <v>146.25</v>
      </c>
      <c r="AE1627" s="190"/>
      <c r="AF1627" s="191"/>
      <c r="AG1627" s="191"/>
      <c r="AH1627" s="191"/>
      <c r="AI1627" s="186"/>
      <c r="AK1627" s="171"/>
    </row>
    <row r="1628" spans="1:37" s="103" customFormat="1" ht="19.899999999999999" customHeight="1" x14ac:dyDescent="0.25">
      <c r="A1628" s="51"/>
      <c r="B1628" s="52"/>
      <c r="C1628" s="165"/>
      <c r="D1628" s="52"/>
      <c r="E1628" s="115"/>
      <c r="F1628" s="58"/>
      <c r="G1628" s="58"/>
      <c r="H1628" s="58"/>
      <c r="I1628" s="55"/>
      <c r="J1628" s="113">
        <f>J1610</f>
        <v>2.25</v>
      </c>
      <c r="K1628" s="212">
        <f>K1610</f>
        <v>2.25</v>
      </c>
      <c r="L1628" s="58"/>
      <c r="M1628" s="58">
        <f>K1628-L1628</f>
        <v>2.25</v>
      </c>
      <c r="N1628" s="166"/>
      <c r="O1628" s="58"/>
      <c r="P1628" s="58"/>
      <c r="Q1628" s="58"/>
      <c r="R1628" s="58"/>
      <c r="S1628" s="58"/>
      <c r="T1628" s="220"/>
      <c r="U1628" s="88"/>
      <c r="V1628" s="56"/>
      <c r="W1628" s="57" t="s">
        <v>1358</v>
      </c>
      <c r="X1628" s="53"/>
      <c r="Y1628" s="91" t="s">
        <v>35</v>
      </c>
      <c r="Z1628" s="136">
        <f>AD1628/AC1628</f>
        <v>2800</v>
      </c>
      <c r="AA1628" s="58"/>
      <c r="AB1628" s="53">
        <f>AD1628/AC1628</f>
        <v>2800</v>
      </c>
      <c r="AC1628" s="53">
        <f>M1628+$AE$10</f>
        <v>2.25</v>
      </c>
      <c r="AD1628" s="54">
        <f>SUM(AD1629:AD1630)</f>
        <v>6300</v>
      </c>
      <c r="AE1628" s="184">
        <f>SUMIFS($AD$37:$AD$12971,$V$37:$V$12971,$V1628,$X$37:$X$12971,AE$13)</f>
        <v>0</v>
      </c>
      <c r="AF1628" s="185">
        <f>SUMIFS($AD$37:$AD$12971,$V$37:$V$12971,$V1628,$X$37:$X$12971,AF$13)</f>
        <v>0</v>
      </c>
      <c r="AG1628" s="185">
        <f>SUMIFS($AD$37:$AD$12971,$V$37:$V$12971,$V1628,$X$37:$X$12971,AG$13)</f>
        <v>0</v>
      </c>
      <c r="AH1628" s="187">
        <f>SUMIFS($AD$37:$AD$12971,$V$37:$V$12971,$V1628,$X$37:$X$12971,AH$13)</f>
        <v>0</v>
      </c>
      <c r="AI1628" s="161">
        <f t="shared" ref="AI1628" si="1211">SUM(AE1628:AH1628)</f>
        <v>0</v>
      </c>
      <c r="AK1628" s="172"/>
    </row>
    <row r="1629" spans="1:37" s="102" customFormat="1" ht="19.899999999999999" customHeight="1" x14ac:dyDescent="0.25">
      <c r="A1629" s="45"/>
      <c r="B1629" s="59"/>
      <c r="C1629" s="137"/>
      <c r="D1629" s="59"/>
      <c r="E1629" s="116"/>
      <c r="F1629" s="120"/>
      <c r="G1629" s="120"/>
      <c r="H1629" s="120"/>
      <c r="I1629" s="60"/>
      <c r="J1629" s="116"/>
      <c r="K1629" s="213"/>
      <c r="L1629" s="120"/>
      <c r="M1629" s="120"/>
      <c r="N1629" s="167"/>
      <c r="O1629" s="120"/>
      <c r="P1629" s="120"/>
      <c r="Q1629" s="120"/>
      <c r="R1629" s="120"/>
      <c r="S1629" s="120"/>
      <c r="T1629" s="221"/>
      <c r="U1629" s="89"/>
      <c r="V1629" s="61"/>
      <c r="W1629" s="92" t="s">
        <v>1359</v>
      </c>
      <c r="X1629" s="93" t="s">
        <v>32</v>
      </c>
      <c r="Y1629" s="93" t="s">
        <v>64</v>
      </c>
      <c r="Z1629" s="134">
        <f>VLOOKUP(W1629,Sheet2!$B:$D,3,FALSE)</f>
        <v>40</v>
      </c>
      <c r="AA1629" s="93">
        <f>1/40</f>
        <v>2.5000000000000001E-2</v>
      </c>
      <c r="AB1629" s="93">
        <f t="shared" ref="AB1629" si="1212">AD1629/AC1628</f>
        <v>1600</v>
      </c>
      <c r="AC1629" s="93">
        <f>AC1628/AA1629</f>
        <v>90</v>
      </c>
      <c r="AD1629" s="94">
        <f t="shared" ref="AD1629:AD1630" si="1213">AC1629*Z1629</f>
        <v>3600</v>
      </c>
      <c r="AE1629" s="190"/>
      <c r="AF1629" s="191"/>
      <c r="AG1629" s="191"/>
      <c r="AH1629" s="191"/>
      <c r="AI1629" s="186"/>
      <c r="AK1629" s="171"/>
    </row>
    <row r="1630" spans="1:37" s="102" customFormat="1" ht="19.899999999999999" customHeight="1" x14ac:dyDescent="0.25">
      <c r="A1630" s="45"/>
      <c r="B1630" s="59"/>
      <c r="C1630" s="137"/>
      <c r="D1630" s="59"/>
      <c r="E1630" s="116"/>
      <c r="F1630" s="120"/>
      <c r="G1630" s="120"/>
      <c r="H1630" s="120"/>
      <c r="I1630" s="60"/>
      <c r="J1630" s="116"/>
      <c r="K1630" s="213"/>
      <c r="L1630" s="120"/>
      <c r="M1630" s="120"/>
      <c r="N1630" s="167"/>
      <c r="O1630" s="120"/>
      <c r="P1630" s="120"/>
      <c r="Q1630" s="120"/>
      <c r="R1630" s="120"/>
      <c r="S1630" s="120"/>
      <c r="T1630" s="221"/>
      <c r="U1630" s="89"/>
      <c r="V1630" s="61"/>
      <c r="W1630" s="92" t="s">
        <v>1360</v>
      </c>
      <c r="X1630" s="93" t="s">
        <v>32</v>
      </c>
      <c r="Y1630" s="93" t="s">
        <v>64</v>
      </c>
      <c r="Z1630" s="134">
        <f>VLOOKUP(W1630,Sheet2!$B:$D,3,FALSE)</f>
        <v>30</v>
      </c>
      <c r="AA1630" s="93">
        <f>AA1629</f>
        <v>2.5000000000000001E-2</v>
      </c>
      <c r="AB1630" s="93">
        <f>AD1630/AC1628</f>
        <v>1200</v>
      </c>
      <c r="AC1630" s="93">
        <f>AC1628/AA1630</f>
        <v>90</v>
      </c>
      <c r="AD1630" s="94">
        <f t="shared" si="1213"/>
        <v>2700</v>
      </c>
      <c r="AE1630" s="190"/>
      <c r="AF1630" s="191"/>
      <c r="AG1630" s="191"/>
      <c r="AH1630" s="191"/>
      <c r="AI1630" s="186"/>
      <c r="AK1630" s="171"/>
    </row>
    <row r="1631" spans="1:37" s="103" customFormat="1" ht="19.899999999999999" customHeight="1" x14ac:dyDescent="0.25">
      <c r="A1631" s="51"/>
      <c r="B1631" s="52"/>
      <c r="C1631" s="165"/>
      <c r="D1631" s="52"/>
      <c r="E1631" s="115"/>
      <c r="F1631" s="58"/>
      <c r="G1631" s="58"/>
      <c r="H1631" s="58"/>
      <c r="I1631" s="55"/>
      <c r="J1631" s="113">
        <f>J1610</f>
        <v>2.25</v>
      </c>
      <c r="K1631" s="212">
        <f>K1610</f>
        <v>2.25</v>
      </c>
      <c r="L1631" s="58"/>
      <c r="M1631" s="58">
        <f>K1631-L1631</f>
        <v>2.25</v>
      </c>
      <c r="N1631" s="166"/>
      <c r="O1631" s="58"/>
      <c r="P1631" s="58"/>
      <c r="Q1631" s="58"/>
      <c r="R1631" s="58"/>
      <c r="S1631" s="58"/>
      <c r="T1631" s="220"/>
      <c r="U1631" s="88"/>
      <c r="V1631" s="56"/>
      <c r="W1631" s="57" t="s">
        <v>1272</v>
      </c>
      <c r="X1631" s="53"/>
      <c r="Y1631" s="91" t="s">
        <v>35</v>
      </c>
      <c r="Z1631" s="136">
        <f>AD1631/AC1631</f>
        <v>209.08263529411764</v>
      </c>
      <c r="AA1631" s="58"/>
      <c r="AB1631" s="53">
        <f>AD1631/AC1631</f>
        <v>209.08263529411764</v>
      </c>
      <c r="AC1631" s="53">
        <f>M1631+$AE$10</f>
        <v>2.25</v>
      </c>
      <c r="AD1631" s="54">
        <f>SUM(AD1632:AD1640)</f>
        <v>470.43592941176468</v>
      </c>
      <c r="AE1631" s="184">
        <f>SUMIFS($AD$37:$AD$12971,$V$37:$V$12971,$V1631,$X$37:$X$12971,AE$13)</f>
        <v>0</v>
      </c>
      <c r="AF1631" s="185">
        <f>SUMIFS($AD$37:$AD$12971,$V$37:$V$12971,$V1631,$X$37:$X$12971,AF$13)</f>
        <v>0</v>
      </c>
      <c r="AG1631" s="185">
        <f>SUMIFS($AD$37:$AD$12971,$V$37:$V$12971,$V1631,$X$37:$X$12971,AG$13)</f>
        <v>0</v>
      </c>
      <c r="AH1631" s="187">
        <f>SUMIFS($AD$37:$AD$12971,$V$37:$V$12971,$V1631,$X$37:$X$12971,AH$13)</f>
        <v>0</v>
      </c>
      <c r="AI1631" s="161">
        <f t="shared" ref="AI1631" si="1214">SUM(AE1631:AH1631)</f>
        <v>0</v>
      </c>
      <c r="AK1631" s="172"/>
    </row>
    <row r="1632" spans="1:37" s="102" customFormat="1" ht="19.899999999999999" customHeight="1" x14ac:dyDescent="0.25">
      <c r="A1632" s="45"/>
      <c r="B1632" s="59"/>
      <c r="C1632" s="137"/>
      <c r="D1632" s="59"/>
      <c r="E1632" s="116"/>
      <c r="F1632" s="120"/>
      <c r="G1632" s="120"/>
      <c r="H1632" s="120"/>
      <c r="I1632" s="60"/>
      <c r="J1632" s="116"/>
      <c r="K1632" s="213"/>
      <c r="L1632" s="120"/>
      <c r="M1632" s="120"/>
      <c r="N1632" s="167"/>
      <c r="O1632" s="120"/>
      <c r="P1632" s="120"/>
      <c r="Q1632" s="120"/>
      <c r="R1632" s="120"/>
      <c r="S1632" s="120"/>
      <c r="T1632" s="221"/>
      <c r="U1632" s="89"/>
      <c r="V1632" s="61"/>
      <c r="W1632" s="92" t="s">
        <v>1273</v>
      </c>
      <c r="X1632" s="93" t="s">
        <v>30</v>
      </c>
      <c r="Y1632" s="93" t="s">
        <v>66</v>
      </c>
      <c r="Z1632" s="134">
        <f>VLOOKUP(W1632,Sheet2!$B:$D,3,FALSE)</f>
        <v>10</v>
      </c>
      <c r="AA1632" s="93">
        <f>1/(2.5*2.4*0.5*4)</f>
        <v>8.3333333333333329E-2</v>
      </c>
      <c r="AB1632" s="93">
        <f>AD1632/AC1631</f>
        <v>120</v>
      </c>
      <c r="AC1632" s="93">
        <f>AC1631/AA1632</f>
        <v>27</v>
      </c>
      <c r="AD1632" s="94">
        <f t="shared" ref="AD1632:AD1634" si="1215">AC1632*Z1632</f>
        <v>270</v>
      </c>
      <c r="AE1632" s="190"/>
      <c r="AF1632" s="191"/>
      <c r="AG1632" s="191"/>
      <c r="AH1632" s="191"/>
      <c r="AI1632" s="186"/>
      <c r="AK1632" s="171"/>
    </row>
    <row r="1633" spans="1:41" s="102" customFormat="1" ht="19.899999999999999" customHeight="1" x14ac:dyDescent="0.25">
      <c r="A1633" s="45"/>
      <c r="B1633" s="59"/>
      <c r="C1633" s="137"/>
      <c r="D1633" s="59"/>
      <c r="E1633" s="116"/>
      <c r="F1633" s="120"/>
      <c r="G1633" s="120"/>
      <c r="H1633" s="120"/>
      <c r="I1633" s="60"/>
      <c r="J1633" s="116"/>
      <c r="K1633" s="213"/>
      <c r="L1633" s="120"/>
      <c r="M1633" s="120"/>
      <c r="N1633" s="167"/>
      <c r="O1633" s="120"/>
      <c r="P1633" s="120"/>
      <c r="Q1633" s="120"/>
      <c r="R1633" s="120"/>
      <c r="S1633" s="120"/>
      <c r="T1633" s="221"/>
      <c r="U1633" s="89"/>
      <c r="V1633" s="61"/>
      <c r="W1633" s="92" t="s">
        <v>134</v>
      </c>
      <c r="X1633" s="93" t="s">
        <v>29</v>
      </c>
      <c r="Y1633" s="93" t="s">
        <v>93</v>
      </c>
      <c r="Z1633" s="134">
        <f>VLOOKUP(W1633,Sheet2!$B:$D,3,FALSE)</f>
        <v>65.599999999999994</v>
      </c>
      <c r="AA1633" s="93">
        <f>100/(2.5*2.4*0.5*4)</f>
        <v>8.3333333333333339</v>
      </c>
      <c r="AB1633" s="93">
        <f t="shared" ref="AB1633" si="1216">AD1633/AC1631</f>
        <v>7.8719999999999981</v>
      </c>
      <c r="AC1633" s="93">
        <f>AC1631/AA1633</f>
        <v>0.26999999999999996</v>
      </c>
      <c r="AD1633" s="94">
        <f t="shared" si="1215"/>
        <v>17.711999999999996</v>
      </c>
      <c r="AE1633" s="190"/>
      <c r="AF1633" s="191"/>
      <c r="AG1633" s="191"/>
      <c r="AH1633" s="191"/>
      <c r="AI1633" s="186"/>
      <c r="AK1633" s="171"/>
    </row>
    <row r="1634" spans="1:41" s="102" customFormat="1" ht="19.899999999999999" customHeight="1" x14ac:dyDescent="0.25">
      <c r="A1634" s="45"/>
      <c r="B1634" s="59"/>
      <c r="C1634" s="137"/>
      <c r="D1634" s="59"/>
      <c r="E1634" s="116"/>
      <c r="F1634" s="120"/>
      <c r="G1634" s="120"/>
      <c r="H1634" s="120"/>
      <c r="I1634" s="60"/>
      <c r="J1634" s="116"/>
      <c r="K1634" s="213"/>
      <c r="L1634" s="120"/>
      <c r="M1634" s="120"/>
      <c r="N1634" s="167"/>
      <c r="O1634" s="120"/>
      <c r="P1634" s="120"/>
      <c r="Q1634" s="120"/>
      <c r="R1634" s="120"/>
      <c r="S1634" s="120"/>
      <c r="T1634" s="221"/>
      <c r="U1634" s="89"/>
      <c r="V1634" s="61"/>
      <c r="W1634" s="92" t="s">
        <v>65</v>
      </c>
      <c r="X1634" s="93" t="s">
        <v>30</v>
      </c>
      <c r="Y1634" s="93" t="s">
        <v>1011</v>
      </c>
      <c r="Z1634" s="134">
        <f>VLOOKUP(W1634,Sheet2!$B:$D,3,FALSE)</f>
        <v>1.76</v>
      </c>
      <c r="AA1634" s="93">
        <f>AA1633/9</f>
        <v>0.92592592592592604</v>
      </c>
      <c r="AB1634" s="93">
        <f>AD1634/AC1631</f>
        <v>1.9007999999999998</v>
      </c>
      <c r="AC1634" s="93">
        <f>AC1631/AA1634</f>
        <v>2.4299999999999997</v>
      </c>
      <c r="AD1634" s="94">
        <f t="shared" si="1215"/>
        <v>4.2767999999999997</v>
      </c>
      <c r="AE1634" s="190"/>
      <c r="AF1634" s="191"/>
      <c r="AG1634" s="191"/>
      <c r="AH1634" s="191"/>
      <c r="AI1634" s="186"/>
      <c r="AK1634" s="171"/>
    </row>
    <row r="1635" spans="1:41" s="102" customFormat="1" ht="19.899999999999999" customHeight="1" x14ac:dyDescent="0.25">
      <c r="A1635" s="45"/>
      <c r="B1635" s="59"/>
      <c r="C1635" s="137"/>
      <c r="D1635" s="59"/>
      <c r="E1635" s="116"/>
      <c r="F1635" s="120"/>
      <c r="G1635" s="120"/>
      <c r="H1635" s="120"/>
      <c r="I1635" s="60"/>
      <c r="J1635" s="116"/>
      <c r="K1635" s="213"/>
      <c r="L1635" s="120"/>
      <c r="M1635" s="120"/>
      <c r="N1635" s="167"/>
      <c r="O1635" s="120"/>
      <c r="P1635" s="120"/>
      <c r="Q1635" s="120"/>
      <c r="R1635" s="120"/>
      <c r="S1635" s="120"/>
      <c r="T1635" s="221"/>
      <c r="U1635" s="89"/>
      <c r="V1635" s="61"/>
      <c r="W1635" s="92" t="s">
        <v>161</v>
      </c>
      <c r="X1635" s="93" t="s">
        <v>29</v>
      </c>
      <c r="Y1635" s="93" t="s">
        <v>93</v>
      </c>
      <c r="Z1635" s="134">
        <f>VLOOKUP(W1635,Sheet2!$B:$D,3,FALSE)</f>
        <v>48</v>
      </c>
      <c r="AA1635" s="93">
        <f>(16*0.85*1.5)/(2.5*2.4*0.5*4)</f>
        <v>1.7</v>
      </c>
      <c r="AB1635" s="93">
        <f>AD1635/AC1631</f>
        <v>28.235294117647058</v>
      </c>
      <c r="AC1635" s="93">
        <f>AC1631/AA1635</f>
        <v>1.3235294117647058</v>
      </c>
      <c r="AD1635" s="94">
        <f>AC1635*Z1635</f>
        <v>63.529411764705884</v>
      </c>
      <c r="AE1635" s="190"/>
      <c r="AF1635" s="191"/>
      <c r="AG1635" s="191"/>
      <c r="AH1635" s="191"/>
      <c r="AI1635" s="186"/>
      <c r="AK1635" s="171"/>
    </row>
    <row r="1636" spans="1:41" s="102" customFormat="1" ht="19.899999999999999" customHeight="1" x14ac:dyDescent="0.25">
      <c r="A1636" s="45"/>
      <c r="B1636" s="59"/>
      <c r="C1636" s="137"/>
      <c r="D1636" s="59"/>
      <c r="E1636" s="116"/>
      <c r="F1636" s="120"/>
      <c r="G1636" s="120"/>
      <c r="H1636" s="120"/>
      <c r="I1636" s="60"/>
      <c r="J1636" s="116"/>
      <c r="K1636" s="213"/>
      <c r="L1636" s="120"/>
      <c r="M1636" s="120"/>
      <c r="N1636" s="167"/>
      <c r="O1636" s="120"/>
      <c r="P1636" s="120"/>
      <c r="Q1636" s="120"/>
      <c r="R1636" s="120"/>
      <c r="S1636" s="120"/>
      <c r="T1636" s="221"/>
      <c r="U1636" s="89"/>
      <c r="V1636" s="61"/>
      <c r="W1636" s="92" t="s">
        <v>65</v>
      </c>
      <c r="X1636" s="93" t="s">
        <v>30</v>
      </c>
      <c r="Y1636" s="93" t="s">
        <v>1011</v>
      </c>
      <c r="Z1636" s="134">
        <f>VLOOKUP(W1636,Sheet2!$B:$D,3,FALSE)</f>
        <v>1.76</v>
      </c>
      <c r="AA1636" s="93">
        <f>AA1635/10</f>
        <v>0.16999999999999998</v>
      </c>
      <c r="AB1636" s="93">
        <f>AD1636/AC1631</f>
        <v>10.352941176470589</v>
      </c>
      <c r="AC1636" s="93">
        <f>AC1631/AA1636</f>
        <v>13.23529411764706</v>
      </c>
      <c r="AD1636" s="94">
        <f>AC1636*Z1636</f>
        <v>23.294117647058826</v>
      </c>
      <c r="AE1636" s="190"/>
      <c r="AF1636" s="191"/>
      <c r="AG1636" s="191"/>
      <c r="AH1636" s="191"/>
      <c r="AI1636" s="186"/>
      <c r="AK1636" s="171"/>
    </row>
    <row r="1637" spans="1:41" s="102" customFormat="1" ht="19.899999999999999" customHeight="1" x14ac:dyDescent="0.25">
      <c r="A1637" s="45"/>
      <c r="B1637" s="59"/>
      <c r="C1637" s="137"/>
      <c r="D1637" s="59"/>
      <c r="E1637" s="116"/>
      <c r="F1637" s="120"/>
      <c r="G1637" s="120"/>
      <c r="H1637" s="120"/>
      <c r="I1637" s="60"/>
      <c r="J1637" s="116"/>
      <c r="K1637" s="213"/>
      <c r="L1637" s="120"/>
      <c r="M1637" s="120"/>
      <c r="N1637" s="167"/>
      <c r="O1637" s="120"/>
      <c r="P1637" s="120"/>
      <c r="Q1637" s="120"/>
      <c r="R1637" s="120"/>
      <c r="S1637" s="120"/>
      <c r="T1637" s="221"/>
      <c r="U1637" s="89"/>
      <c r="V1637" s="61"/>
      <c r="W1637" s="92" t="s">
        <v>173</v>
      </c>
      <c r="X1637" s="93" t="s">
        <v>29</v>
      </c>
      <c r="Y1637" s="93" t="s">
        <v>93</v>
      </c>
      <c r="Z1637" s="134">
        <f>VLOOKUP(W1637,Sheet2!$B:$D,3,FALSE)</f>
        <v>36</v>
      </c>
      <c r="AA1637" s="93">
        <f>50/(2.5*2.4*0.5*4)</f>
        <v>4.166666666666667</v>
      </c>
      <c r="AB1637" s="93">
        <f>AD1637/AC1631</f>
        <v>8.6399999999999988</v>
      </c>
      <c r="AC1637" s="93">
        <f>AC1631/AA1637</f>
        <v>0.53999999999999992</v>
      </c>
      <c r="AD1637" s="94">
        <f>AC1637*Z1637</f>
        <v>19.439999999999998</v>
      </c>
      <c r="AE1637" s="190"/>
      <c r="AF1637" s="191"/>
      <c r="AG1637" s="191"/>
      <c r="AH1637" s="191"/>
      <c r="AI1637" s="186"/>
      <c r="AK1637" s="171"/>
    </row>
    <row r="1638" spans="1:41" s="102" customFormat="1" ht="19.899999999999999" customHeight="1" x14ac:dyDescent="0.25">
      <c r="A1638" s="45"/>
      <c r="B1638" s="59"/>
      <c r="C1638" s="137"/>
      <c r="D1638" s="59"/>
      <c r="E1638" s="116"/>
      <c r="F1638" s="120"/>
      <c r="G1638" s="120"/>
      <c r="H1638" s="120"/>
      <c r="I1638" s="60"/>
      <c r="J1638" s="116"/>
      <c r="K1638" s="213"/>
      <c r="L1638" s="120"/>
      <c r="M1638" s="120"/>
      <c r="N1638" s="167"/>
      <c r="O1638" s="120"/>
      <c r="P1638" s="120"/>
      <c r="Q1638" s="120"/>
      <c r="R1638" s="120"/>
      <c r="S1638" s="120"/>
      <c r="T1638" s="221"/>
      <c r="U1638" s="89"/>
      <c r="V1638" s="61"/>
      <c r="W1638" s="92" t="s">
        <v>65</v>
      </c>
      <c r="X1638" s="93" t="s">
        <v>30</v>
      </c>
      <c r="Y1638" s="93" t="s">
        <v>1011</v>
      </c>
      <c r="Z1638" s="134">
        <f>VLOOKUP(W1638,Sheet2!$B:$D,3,FALSE)</f>
        <v>1.76</v>
      </c>
      <c r="AA1638" s="93">
        <f>AA1637/9</f>
        <v>0.46296296296296302</v>
      </c>
      <c r="AB1638" s="93">
        <f>AD1638/AC1631</f>
        <v>3.8015999999999996</v>
      </c>
      <c r="AC1638" s="93">
        <f>AC1631/AA1638</f>
        <v>4.8599999999999994</v>
      </c>
      <c r="AD1638" s="94">
        <f>AC1638*Z1638</f>
        <v>8.5535999999999994</v>
      </c>
      <c r="AE1638" s="190"/>
      <c r="AF1638" s="191"/>
      <c r="AG1638" s="191"/>
      <c r="AH1638" s="191"/>
      <c r="AI1638" s="186"/>
      <c r="AK1638" s="171"/>
    </row>
    <row r="1639" spans="1:41" s="102" customFormat="1" ht="19.899999999999999" customHeight="1" x14ac:dyDescent="0.25">
      <c r="A1639" s="45"/>
      <c r="B1639" s="59"/>
      <c r="C1639" s="137"/>
      <c r="D1639" s="59"/>
      <c r="E1639" s="116"/>
      <c r="F1639" s="120"/>
      <c r="G1639" s="120"/>
      <c r="H1639" s="120"/>
      <c r="I1639" s="60"/>
      <c r="J1639" s="116"/>
      <c r="K1639" s="213"/>
      <c r="L1639" s="120"/>
      <c r="M1639" s="120"/>
      <c r="N1639" s="167"/>
      <c r="O1639" s="120"/>
      <c r="P1639" s="120"/>
      <c r="Q1639" s="120"/>
      <c r="R1639" s="120"/>
      <c r="S1639" s="120"/>
      <c r="T1639" s="221"/>
      <c r="U1639" s="89"/>
      <c r="V1639" s="61"/>
      <c r="W1639" s="92" t="s">
        <v>1030</v>
      </c>
      <c r="X1639" s="93" t="s">
        <v>29</v>
      </c>
      <c r="Y1639" s="93" t="s">
        <v>93</v>
      </c>
      <c r="Z1639" s="134">
        <f>VLOOKUP(W1639,Sheet2!$B:$D,3,FALSE)</f>
        <v>23</v>
      </c>
      <c r="AA1639" s="93">
        <v>1</v>
      </c>
      <c r="AB1639" s="93">
        <f>AD1639/AC1631</f>
        <v>23</v>
      </c>
      <c r="AC1639" s="93">
        <f>AC1631/AA1639</f>
        <v>2.25</v>
      </c>
      <c r="AD1639" s="94">
        <f t="shared" ref="AD1639:AD1640" si="1217">AC1639*Z1639</f>
        <v>51.75</v>
      </c>
      <c r="AE1639" s="190"/>
      <c r="AF1639" s="191"/>
      <c r="AG1639" s="191"/>
      <c r="AH1639" s="191"/>
      <c r="AI1639" s="186"/>
      <c r="AK1639" s="171"/>
    </row>
    <row r="1640" spans="1:41" s="102" customFormat="1" ht="19.899999999999999" customHeight="1" x14ac:dyDescent="0.25">
      <c r="A1640" s="45"/>
      <c r="B1640" s="59"/>
      <c r="C1640" s="137"/>
      <c r="D1640" s="59"/>
      <c r="E1640" s="116"/>
      <c r="F1640" s="120"/>
      <c r="G1640" s="120"/>
      <c r="H1640" s="120"/>
      <c r="I1640" s="60"/>
      <c r="J1640" s="116"/>
      <c r="K1640" s="213"/>
      <c r="L1640" s="120"/>
      <c r="M1640" s="120"/>
      <c r="N1640" s="167"/>
      <c r="O1640" s="120"/>
      <c r="P1640" s="120"/>
      <c r="Q1640" s="120"/>
      <c r="R1640" s="120"/>
      <c r="S1640" s="120"/>
      <c r="T1640" s="221"/>
      <c r="U1640" s="89"/>
      <c r="V1640" s="61"/>
      <c r="W1640" s="92" t="s">
        <v>65</v>
      </c>
      <c r="X1640" s="93" t="s">
        <v>30</v>
      </c>
      <c r="Y1640" s="93" t="s">
        <v>1011</v>
      </c>
      <c r="Z1640" s="134">
        <f>VLOOKUP(W1640,Sheet2!$B:$D,3,FALSE)</f>
        <v>1.76</v>
      </c>
      <c r="AA1640" s="93">
        <f>AA1639/3</f>
        <v>0.33333333333333331</v>
      </c>
      <c r="AB1640" s="93">
        <f>AD1640/AC1631</f>
        <v>5.28</v>
      </c>
      <c r="AC1640" s="93">
        <f>AC1631/AA1640</f>
        <v>6.75</v>
      </c>
      <c r="AD1640" s="94">
        <f t="shared" si="1217"/>
        <v>11.88</v>
      </c>
      <c r="AE1640" s="190"/>
      <c r="AF1640" s="191"/>
      <c r="AG1640" s="191"/>
      <c r="AH1640" s="191"/>
      <c r="AI1640" s="186"/>
      <c r="AK1640" s="171"/>
    </row>
    <row r="1641" spans="1:41" ht="20.100000000000001" customHeight="1" x14ac:dyDescent="0.25">
      <c r="A1641" s="277" t="s">
        <v>216</v>
      </c>
      <c r="B1641" s="278"/>
      <c r="C1641" s="64" t="s">
        <v>365</v>
      </c>
      <c r="D1641" s="46" t="s">
        <v>215</v>
      </c>
      <c r="E1641" s="114">
        <v>2.8375000000000004</v>
      </c>
      <c r="F1641" s="44">
        <v>28701</v>
      </c>
      <c r="G1641" s="44">
        <f t="shared" si="607"/>
        <v>81439.087500000009</v>
      </c>
      <c r="H1641" s="44">
        <f t="shared" si="608"/>
        <v>12286.179576470591</v>
      </c>
      <c r="I1641" s="43">
        <f t="shared" si="609"/>
        <v>34862.034548235308</v>
      </c>
      <c r="J1641" s="112">
        <f t="shared" si="610"/>
        <v>2.8375000000000004</v>
      </c>
      <c r="K1641" s="211">
        <f t="shared" si="611"/>
        <v>2.8375000000000004</v>
      </c>
      <c r="L1641" s="44"/>
      <c r="M1641" s="44">
        <f t="shared" si="612"/>
        <v>2.8375000000000004</v>
      </c>
      <c r="N1641" s="173">
        <f t="shared" si="613"/>
        <v>1</v>
      </c>
      <c r="O1641" s="44">
        <f t="shared" si="614"/>
        <v>28701</v>
      </c>
      <c r="P1641" s="44">
        <f t="shared" si="615"/>
        <v>81439.087500000009</v>
      </c>
      <c r="Q1641" s="44">
        <f t="shared" si="616"/>
        <v>12286.179576470591</v>
      </c>
      <c r="R1641" s="44">
        <f t="shared" si="617"/>
        <v>34862.034548235308</v>
      </c>
      <c r="S1641" s="123"/>
      <c r="T1641" s="219">
        <f t="shared" si="618"/>
        <v>34862.034548235308</v>
      </c>
      <c r="U1641" s="87"/>
      <c r="V1641" s="47"/>
      <c r="W1641" s="48"/>
      <c r="X1641" s="48"/>
      <c r="Y1641" s="48"/>
      <c r="Z1641" s="135"/>
      <c r="AA1641" s="49"/>
      <c r="AB1641" s="50">
        <f t="shared" si="619"/>
        <v>12286.179576470591</v>
      </c>
      <c r="AC1641" s="42">
        <f t="shared" si="620"/>
        <v>2.8375000000000004</v>
      </c>
      <c r="AD1641" s="90">
        <f>AD1642+AD1647+AD1659+AD1662</f>
        <v>34862.034548235308</v>
      </c>
      <c r="AE1641" s="188">
        <f t="shared" ref="AE1641" si="1218">AE1642+AE1647+AE1659+AE1662</f>
        <v>0</v>
      </c>
      <c r="AF1641" s="189">
        <f t="shared" ref="AF1641" si="1219">AF1642+AF1647+AF1659+AF1662</f>
        <v>0</v>
      </c>
      <c r="AG1641" s="189">
        <f t="shared" ref="AG1641" si="1220">AG1642+AG1647+AG1659+AG1662</f>
        <v>0</v>
      </c>
      <c r="AH1641" s="189">
        <f t="shared" ref="AH1641" si="1221">AH1642+AH1647+AH1659+AH1662</f>
        <v>0</v>
      </c>
      <c r="AI1641" s="161">
        <f t="shared" si="1203"/>
        <v>0</v>
      </c>
      <c r="AK1641" s="169">
        <v>5</v>
      </c>
      <c r="AO1641" s="19" t="s">
        <v>63</v>
      </c>
    </row>
    <row r="1642" spans="1:41" s="103" customFormat="1" ht="19.899999999999999" customHeight="1" x14ac:dyDescent="0.25">
      <c r="A1642" s="51"/>
      <c r="B1642" s="52"/>
      <c r="C1642" s="165"/>
      <c r="D1642" s="52"/>
      <c r="E1642" s="115"/>
      <c r="F1642" s="58"/>
      <c r="G1642" s="58"/>
      <c r="H1642" s="58"/>
      <c r="I1642" s="55"/>
      <c r="J1642" s="113">
        <f>J1641</f>
        <v>2.8375000000000004</v>
      </c>
      <c r="K1642" s="212">
        <f>K1641</f>
        <v>2.8375000000000004</v>
      </c>
      <c r="L1642" s="58"/>
      <c r="M1642" s="58">
        <f>K1642-L1642</f>
        <v>2.8375000000000004</v>
      </c>
      <c r="N1642" s="166"/>
      <c r="O1642" s="58"/>
      <c r="P1642" s="58"/>
      <c r="Q1642" s="58"/>
      <c r="R1642" s="58"/>
      <c r="S1642" s="58"/>
      <c r="T1642" s="220"/>
      <c r="U1642" s="88"/>
      <c r="V1642" s="56"/>
      <c r="W1642" s="57" t="s">
        <v>1351</v>
      </c>
      <c r="X1642" s="53"/>
      <c r="Y1642" s="91" t="s">
        <v>35</v>
      </c>
      <c r="Z1642" s="136">
        <f>AD1642/AC1642</f>
        <v>90.496941176470585</v>
      </c>
      <c r="AA1642" s="58"/>
      <c r="AB1642" s="53">
        <f>AD1642/AC1642</f>
        <v>90.496941176470585</v>
      </c>
      <c r="AC1642" s="53">
        <f>M1642+$AE$10</f>
        <v>2.8375000000000004</v>
      </c>
      <c r="AD1642" s="54">
        <f>SUM(AD1643:AD1646)</f>
        <v>256.78507058823533</v>
      </c>
      <c r="AE1642" s="184">
        <f>SUMIFS($AD$37:$AD$12971,$V$37:$V$12971,$V1642,$X$37:$X$12971,AE$13)</f>
        <v>0</v>
      </c>
      <c r="AF1642" s="185">
        <f>SUMIFS($AD$37:$AD$12971,$V$37:$V$12971,$V1642,$X$37:$X$12971,AF$13)</f>
        <v>0</v>
      </c>
      <c r="AG1642" s="185">
        <f>SUMIFS($AD$37:$AD$12971,$V$37:$V$12971,$V1642,$X$37:$X$12971,AG$13)</f>
        <v>0</v>
      </c>
      <c r="AH1642" s="187">
        <f>SUMIFS($AD$37:$AD$12971,$V$37:$V$12971,$V1642,$X$37:$X$12971,AH$13)</f>
        <v>0</v>
      </c>
      <c r="AI1642" s="161">
        <f t="shared" ref="AI1642" si="1222">SUM(AE1642:AH1642)</f>
        <v>0</v>
      </c>
      <c r="AK1642" s="172"/>
    </row>
    <row r="1643" spans="1:41" s="102" customFormat="1" ht="19.899999999999999" customHeight="1" x14ac:dyDescent="0.25">
      <c r="A1643" s="45"/>
      <c r="B1643" s="59"/>
      <c r="C1643" s="137"/>
      <c r="D1643" s="59"/>
      <c r="E1643" s="116"/>
      <c r="F1643" s="120"/>
      <c r="G1643" s="120"/>
      <c r="H1643" s="120"/>
      <c r="I1643" s="60"/>
      <c r="J1643" s="116"/>
      <c r="K1643" s="213"/>
      <c r="L1643" s="120"/>
      <c r="M1643" s="120"/>
      <c r="N1643" s="167"/>
      <c r="O1643" s="120"/>
      <c r="P1643" s="120"/>
      <c r="Q1643" s="120"/>
      <c r="R1643" s="120"/>
      <c r="S1643" s="120"/>
      <c r="T1643" s="221"/>
      <c r="U1643" s="89"/>
      <c r="V1643" s="61"/>
      <c r="W1643" s="92" t="s">
        <v>129</v>
      </c>
      <c r="X1643" s="93" t="s">
        <v>29</v>
      </c>
      <c r="Y1643" s="93" t="s">
        <v>93</v>
      </c>
      <c r="Z1643" s="134">
        <f>VLOOKUP(W1643,Sheet2!$B:$D,3,FALSE)</f>
        <v>56</v>
      </c>
      <c r="AA1643" s="93">
        <f>100/(3*3*2.5)</f>
        <v>4.4444444444444446</v>
      </c>
      <c r="AB1643" s="93">
        <f t="shared" ref="AB1643" si="1223">AD1643/AC1642</f>
        <v>12.6</v>
      </c>
      <c r="AC1643" s="93">
        <f>AC1642/AA1643</f>
        <v>0.6384375000000001</v>
      </c>
      <c r="AD1643" s="94">
        <f t="shared" ref="AD1643:AD1644" si="1224">AC1643*Z1643</f>
        <v>35.752500000000005</v>
      </c>
      <c r="AE1643" s="190"/>
      <c r="AF1643" s="191"/>
      <c r="AG1643" s="191"/>
      <c r="AH1643" s="191"/>
      <c r="AI1643" s="186"/>
      <c r="AK1643" s="171"/>
    </row>
    <row r="1644" spans="1:41" s="102" customFormat="1" ht="19.899999999999999" customHeight="1" x14ac:dyDescent="0.25">
      <c r="A1644" s="45"/>
      <c r="B1644" s="59"/>
      <c r="C1644" s="137"/>
      <c r="D1644" s="59"/>
      <c r="E1644" s="116"/>
      <c r="F1644" s="120"/>
      <c r="G1644" s="120"/>
      <c r="H1644" s="120"/>
      <c r="I1644" s="60"/>
      <c r="J1644" s="116"/>
      <c r="K1644" s="213"/>
      <c r="L1644" s="120"/>
      <c r="M1644" s="120"/>
      <c r="N1644" s="167"/>
      <c r="O1644" s="120"/>
      <c r="P1644" s="120"/>
      <c r="Q1644" s="120"/>
      <c r="R1644" s="120"/>
      <c r="S1644" s="120"/>
      <c r="T1644" s="221"/>
      <c r="U1644" s="89"/>
      <c r="V1644" s="61"/>
      <c r="W1644" s="92" t="s">
        <v>65</v>
      </c>
      <c r="X1644" s="93" t="s">
        <v>30</v>
      </c>
      <c r="Y1644" s="93" t="s">
        <v>1011</v>
      </c>
      <c r="Z1644" s="134">
        <f>VLOOKUP(W1644,Sheet2!$B:$D,3,FALSE)</f>
        <v>1.76</v>
      </c>
      <c r="AA1644" s="93">
        <f>AA1643/14</f>
        <v>0.3174603174603175</v>
      </c>
      <c r="AB1644" s="93">
        <f>AD1644/AC1642</f>
        <v>5.5439999999999996</v>
      </c>
      <c r="AC1644" s="93">
        <f>AC1642/AA1644</f>
        <v>8.9381249999999994</v>
      </c>
      <c r="AD1644" s="94">
        <f t="shared" si="1224"/>
        <v>15.7311</v>
      </c>
      <c r="AE1644" s="190"/>
      <c r="AF1644" s="191"/>
      <c r="AG1644" s="191"/>
      <c r="AH1644" s="191"/>
      <c r="AI1644" s="186"/>
      <c r="AK1644" s="171"/>
    </row>
    <row r="1645" spans="1:41" s="102" customFormat="1" ht="19.899999999999999" customHeight="1" x14ac:dyDescent="0.25">
      <c r="A1645" s="45"/>
      <c r="B1645" s="59"/>
      <c r="C1645" s="137"/>
      <c r="D1645" s="59"/>
      <c r="E1645" s="116"/>
      <c r="F1645" s="120"/>
      <c r="G1645" s="120"/>
      <c r="H1645" s="120"/>
      <c r="I1645" s="60"/>
      <c r="J1645" s="116"/>
      <c r="K1645" s="213"/>
      <c r="L1645" s="120"/>
      <c r="M1645" s="120"/>
      <c r="N1645" s="167"/>
      <c r="O1645" s="120"/>
      <c r="P1645" s="120"/>
      <c r="Q1645" s="120"/>
      <c r="R1645" s="120"/>
      <c r="S1645" s="120"/>
      <c r="T1645" s="221"/>
      <c r="U1645" s="89"/>
      <c r="V1645" s="61"/>
      <c r="W1645" s="92" t="s">
        <v>161</v>
      </c>
      <c r="X1645" s="93" t="s">
        <v>29</v>
      </c>
      <c r="Y1645" s="93" t="s">
        <v>93</v>
      </c>
      <c r="Z1645" s="134">
        <f>VLOOKUP(W1645,Sheet2!$B:$D,3,FALSE)</f>
        <v>48</v>
      </c>
      <c r="AA1645" s="93">
        <f>(16*0.85*1.5)/(3*3*2.5)</f>
        <v>0.90666666666666662</v>
      </c>
      <c r="AB1645" s="93">
        <f>AD1645/AC1642</f>
        <v>52.941176470588239</v>
      </c>
      <c r="AC1645" s="93">
        <f>AC1642/AA1645</f>
        <v>3.1295955882352948</v>
      </c>
      <c r="AD1645" s="94">
        <f>AC1645*Z1645</f>
        <v>150.22058823529414</v>
      </c>
      <c r="AE1645" s="190"/>
      <c r="AF1645" s="191"/>
      <c r="AG1645" s="191"/>
      <c r="AH1645" s="191"/>
      <c r="AI1645" s="186"/>
      <c r="AK1645" s="171"/>
    </row>
    <row r="1646" spans="1:41" s="102" customFormat="1" ht="19.899999999999999" customHeight="1" x14ac:dyDescent="0.25">
      <c r="A1646" s="45"/>
      <c r="B1646" s="59"/>
      <c r="C1646" s="137"/>
      <c r="D1646" s="59"/>
      <c r="E1646" s="116"/>
      <c r="F1646" s="120"/>
      <c r="G1646" s="120"/>
      <c r="H1646" s="120"/>
      <c r="I1646" s="60"/>
      <c r="J1646" s="116"/>
      <c r="K1646" s="213"/>
      <c r="L1646" s="120"/>
      <c r="M1646" s="120"/>
      <c r="N1646" s="167"/>
      <c r="O1646" s="120"/>
      <c r="P1646" s="120"/>
      <c r="Q1646" s="120"/>
      <c r="R1646" s="120"/>
      <c r="S1646" s="120"/>
      <c r="T1646" s="221"/>
      <c r="U1646" s="89"/>
      <c r="V1646" s="61"/>
      <c r="W1646" s="92" t="s">
        <v>65</v>
      </c>
      <c r="X1646" s="93" t="s">
        <v>30</v>
      </c>
      <c r="Y1646" s="93" t="s">
        <v>1011</v>
      </c>
      <c r="Z1646" s="134">
        <f>VLOOKUP(W1646,Sheet2!$B:$D,3,FALSE)</f>
        <v>1.76</v>
      </c>
      <c r="AA1646" s="93">
        <f>AA1645/10</f>
        <v>9.0666666666666659E-2</v>
      </c>
      <c r="AB1646" s="93">
        <f>AD1646/AC1642</f>
        <v>19.411764705882355</v>
      </c>
      <c r="AC1646" s="93">
        <f>AC1642/AA1646</f>
        <v>31.295955882352949</v>
      </c>
      <c r="AD1646" s="94">
        <f>AC1646*Z1646</f>
        <v>55.080882352941188</v>
      </c>
      <c r="AE1646" s="190"/>
      <c r="AF1646" s="191"/>
      <c r="AG1646" s="191"/>
      <c r="AH1646" s="191"/>
      <c r="AI1646" s="186"/>
      <c r="AK1646" s="171"/>
    </row>
    <row r="1647" spans="1:41" s="103" customFormat="1" ht="19.899999999999999" customHeight="1" x14ac:dyDescent="0.25">
      <c r="A1647" s="51"/>
      <c r="B1647" s="52"/>
      <c r="C1647" s="165"/>
      <c r="D1647" s="52"/>
      <c r="E1647" s="115"/>
      <c r="F1647" s="58"/>
      <c r="G1647" s="58"/>
      <c r="H1647" s="58"/>
      <c r="I1647" s="55"/>
      <c r="J1647" s="113">
        <f>J1641</f>
        <v>2.8375000000000004</v>
      </c>
      <c r="K1647" s="212">
        <f>K1641</f>
        <v>2.8375000000000004</v>
      </c>
      <c r="L1647" s="58"/>
      <c r="M1647" s="58">
        <f>K1647-L1647</f>
        <v>2.8375000000000004</v>
      </c>
      <c r="N1647" s="166"/>
      <c r="O1647" s="58"/>
      <c r="P1647" s="58"/>
      <c r="Q1647" s="58"/>
      <c r="R1647" s="58"/>
      <c r="S1647" s="58"/>
      <c r="T1647" s="220"/>
      <c r="U1647" s="88"/>
      <c r="V1647" s="56"/>
      <c r="W1647" s="57" t="s">
        <v>1352</v>
      </c>
      <c r="X1647" s="53"/>
      <c r="Y1647" s="91" t="s">
        <v>35</v>
      </c>
      <c r="Z1647" s="136">
        <f>AD1647/AC1647</f>
        <v>9186.6000000000022</v>
      </c>
      <c r="AA1647" s="58"/>
      <c r="AB1647" s="53">
        <f>AD1647/AC1647</f>
        <v>9186.6000000000022</v>
      </c>
      <c r="AC1647" s="53">
        <f>M1647+$AE$10</f>
        <v>2.8375000000000004</v>
      </c>
      <c r="AD1647" s="54">
        <f>SUM(AD1648:AD1658)</f>
        <v>26066.977500000008</v>
      </c>
      <c r="AE1647" s="184">
        <f>SUMIFS($AD$37:$AD$12971,$V$37:$V$12971,$V1647,$X$37:$X$12971,AE$13)</f>
        <v>0</v>
      </c>
      <c r="AF1647" s="185">
        <f>SUMIFS($AD$37:$AD$12971,$V$37:$V$12971,$V1647,$X$37:$X$12971,AF$13)</f>
        <v>0</v>
      </c>
      <c r="AG1647" s="185">
        <f>SUMIFS($AD$37:$AD$12971,$V$37:$V$12971,$V1647,$X$37:$X$12971,AG$13)</f>
        <v>0</v>
      </c>
      <c r="AH1647" s="187">
        <f>SUMIFS($AD$37:$AD$12971,$V$37:$V$12971,$V1647,$X$37:$X$12971,AH$13)</f>
        <v>0</v>
      </c>
      <c r="AI1647" s="161">
        <f t="shared" ref="AI1647" si="1225">SUM(AE1647:AH1647)</f>
        <v>0</v>
      </c>
      <c r="AK1647" s="172"/>
    </row>
    <row r="1648" spans="1:41" s="102" customFormat="1" ht="19.899999999999999" customHeight="1" x14ac:dyDescent="0.25">
      <c r="A1648" s="45"/>
      <c r="B1648" s="59"/>
      <c r="C1648" s="137"/>
      <c r="D1648" s="59"/>
      <c r="E1648" s="116"/>
      <c r="F1648" s="120"/>
      <c r="G1648" s="120"/>
      <c r="H1648" s="120"/>
      <c r="I1648" s="60"/>
      <c r="J1648" s="116"/>
      <c r="K1648" s="213"/>
      <c r="L1648" s="120"/>
      <c r="M1648" s="120"/>
      <c r="N1648" s="167"/>
      <c r="O1648" s="120"/>
      <c r="P1648" s="120"/>
      <c r="Q1648" s="120"/>
      <c r="R1648" s="120"/>
      <c r="S1648" s="120"/>
      <c r="T1648" s="221"/>
      <c r="U1648" s="89"/>
      <c r="V1648" s="61"/>
      <c r="W1648" s="92" t="s">
        <v>1032</v>
      </c>
      <c r="X1648" s="93" t="s">
        <v>30</v>
      </c>
      <c r="Y1648" s="93" t="s">
        <v>66</v>
      </c>
      <c r="Z1648" s="134">
        <f>VLOOKUP(W1648,Sheet2!$B:$D,3,FALSE)</f>
        <v>250</v>
      </c>
      <c r="AA1648" s="93">
        <f>1/(3*3*0.1)</f>
        <v>1.1111111111111112</v>
      </c>
      <c r="AB1648" s="93">
        <f t="shared" ref="AB1648" si="1226">AD1648/AC1647</f>
        <v>225</v>
      </c>
      <c r="AC1648" s="93">
        <f>AC1647/AA1648</f>
        <v>2.5537500000000004</v>
      </c>
      <c r="AD1648" s="94">
        <f t="shared" ref="AD1648:AD1650" si="1227">AC1648*Z1648</f>
        <v>638.43750000000011</v>
      </c>
      <c r="AE1648" s="190"/>
      <c r="AF1648" s="191"/>
      <c r="AG1648" s="191"/>
      <c r="AH1648" s="191"/>
      <c r="AI1648" s="186"/>
      <c r="AK1648" s="171"/>
    </row>
    <row r="1649" spans="1:37" s="102" customFormat="1" ht="19.899999999999999" customHeight="1" x14ac:dyDescent="0.25">
      <c r="A1649" s="45"/>
      <c r="B1649" s="59"/>
      <c r="C1649" s="137"/>
      <c r="D1649" s="59"/>
      <c r="E1649" s="116"/>
      <c r="F1649" s="120"/>
      <c r="G1649" s="120"/>
      <c r="H1649" s="120"/>
      <c r="I1649" s="60"/>
      <c r="J1649" s="116"/>
      <c r="K1649" s="213"/>
      <c r="L1649" s="120"/>
      <c r="M1649" s="120"/>
      <c r="N1649" s="167"/>
      <c r="O1649" s="120"/>
      <c r="P1649" s="120"/>
      <c r="Q1649" s="120"/>
      <c r="R1649" s="120"/>
      <c r="S1649" s="120"/>
      <c r="T1649" s="221"/>
      <c r="U1649" s="89"/>
      <c r="V1649" s="61"/>
      <c r="W1649" s="92" t="s">
        <v>1353</v>
      </c>
      <c r="X1649" s="93" t="s">
        <v>30</v>
      </c>
      <c r="Y1649" s="93" t="s">
        <v>66</v>
      </c>
      <c r="Z1649" s="134">
        <f>VLOOKUP(W1649,Sheet2!$B:$D,3,FALSE)</f>
        <v>350</v>
      </c>
      <c r="AA1649" s="93">
        <f>1/(2*2*0.25*5)</f>
        <v>0.2</v>
      </c>
      <c r="AB1649" s="93">
        <f>AD1649/AC1647</f>
        <v>1750</v>
      </c>
      <c r="AC1649" s="93">
        <f>AC1647/AA1649</f>
        <v>14.187500000000002</v>
      </c>
      <c r="AD1649" s="94">
        <f t="shared" si="1227"/>
        <v>4965.6250000000009</v>
      </c>
      <c r="AE1649" s="190"/>
      <c r="AF1649" s="191"/>
      <c r="AG1649" s="191"/>
      <c r="AH1649" s="191"/>
      <c r="AI1649" s="186"/>
      <c r="AK1649" s="171"/>
    </row>
    <row r="1650" spans="1:37" s="102" customFormat="1" ht="19.899999999999999" customHeight="1" x14ac:dyDescent="0.25">
      <c r="A1650" s="45"/>
      <c r="B1650" s="59"/>
      <c r="C1650" s="137"/>
      <c r="D1650" s="59"/>
      <c r="E1650" s="116"/>
      <c r="F1650" s="120"/>
      <c r="G1650" s="120"/>
      <c r="H1650" s="120"/>
      <c r="I1650" s="60"/>
      <c r="J1650" s="116"/>
      <c r="K1650" s="213"/>
      <c r="L1650" s="120"/>
      <c r="M1650" s="120"/>
      <c r="N1650" s="167"/>
      <c r="O1650" s="120"/>
      <c r="P1650" s="120"/>
      <c r="Q1650" s="120"/>
      <c r="R1650" s="120"/>
      <c r="S1650" s="120"/>
      <c r="T1650" s="221"/>
      <c r="U1650" s="89"/>
      <c r="V1650" s="61"/>
      <c r="W1650" s="92" t="s">
        <v>99</v>
      </c>
      <c r="X1650" s="93" t="s">
        <v>30</v>
      </c>
      <c r="Y1650" s="93" t="s">
        <v>67</v>
      </c>
      <c r="Z1650" s="134">
        <f>VLOOKUP(W1650,Sheet2!$B:$D,3,FALSE)</f>
        <v>2500</v>
      </c>
      <c r="AA1650" s="93">
        <f>1/(2*2*0.25*5*0.08)</f>
        <v>2.5</v>
      </c>
      <c r="AB1650" s="93">
        <f>AD1650/AC1647</f>
        <v>1000</v>
      </c>
      <c r="AC1650" s="93">
        <f>AC1647/AA1650</f>
        <v>1.1350000000000002</v>
      </c>
      <c r="AD1650" s="94">
        <f t="shared" si="1227"/>
        <v>2837.5000000000005</v>
      </c>
      <c r="AE1650" s="190"/>
      <c r="AF1650" s="191"/>
      <c r="AG1650" s="191"/>
      <c r="AH1650" s="191"/>
      <c r="AI1650" s="186"/>
      <c r="AK1650" s="171"/>
    </row>
    <row r="1651" spans="1:37" s="102" customFormat="1" ht="19.899999999999999" customHeight="1" x14ac:dyDescent="0.25">
      <c r="A1651" s="45"/>
      <c r="B1651" s="59"/>
      <c r="C1651" s="137"/>
      <c r="D1651" s="59"/>
      <c r="E1651" s="116"/>
      <c r="F1651" s="120"/>
      <c r="G1651" s="120"/>
      <c r="H1651" s="120"/>
      <c r="I1651" s="60"/>
      <c r="J1651" s="116"/>
      <c r="K1651" s="213"/>
      <c r="L1651" s="120"/>
      <c r="M1651" s="120"/>
      <c r="N1651" s="167"/>
      <c r="O1651" s="120"/>
      <c r="P1651" s="120"/>
      <c r="Q1651" s="120"/>
      <c r="R1651" s="120"/>
      <c r="S1651" s="120"/>
      <c r="T1651" s="221"/>
      <c r="U1651" s="89"/>
      <c r="V1651" s="61"/>
      <c r="W1651" s="92" t="s">
        <v>1354</v>
      </c>
      <c r="X1651" s="93" t="s">
        <v>32</v>
      </c>
      <c r="Y1651" s="93" t="s">
        <v>66</v>
      </c>
      <c r="Z1651" s="134">
        <f>VLOOKUP(W1651,Sheet2!$B:$D,3,FALSE)</f>
        <v>150</v>
      </c>
      <c r="AA1651" s="93">
        <f>AA1648</f>
        <v>1.1111111111111112</v>
      </c>
      <c r="AB1651" s="93">
        <f>AD1651/AC1647</f>
        <v>135</v>
      </c>
      <c r="AC1651" s="93">
        <f>AC1647/AA1651</f>
        <v>2.5537500000000004</v>
      </c>
      <c r="AD1651" s="94">
        <f>AC1651*Z1651</f>
        <v>383.06250000000006</v>
      </c>
      <c r="AE1651" s="190"/>
      <c r="AF1651" s="191"/>
      <c r="AG1651" s="191"/>
      <c r="AH1651" s="191"/>
      <c r="AI1651" s="186"/>
      <c r="AK1651" s="171"/>
    </row>
    <row r="1652" spans="1:37" s="102" customFormat="1" ht="19.899999999999999" customHeight="1" x14ac:dyDescent="0.25">
      <c r="A1652" s="45"/>
      <c r="B1652" s="59"/>
      <c r="C1652" s="137"/>
      <c r="D1652" s="59"/>
      <c r="E1652" s="116"/>
      <c r="F1652" s="120"/>
      <c r="G1652" s="120"/>
      <c r="H1652" s="120"/>
      <c r="I1652" s="60"/>
      <c r="J1652" s="116"/>
      <c r="K1652" s="213"/>
      <c r="L1652" s="120"/>
      <c r="M1652" s="120"/>
      <c r="N1652" s="167"/>
      <c r="O1652" s="120"/>
      <c r="P1652" s="120"/>
      <c r="Q1652" s="120"/>
      <c r="R1652" s="120"/>
      <c r="S1652" s="120"/>
      <c r="T1652" s="221"/>
      <c r="U1652" s="89"/>
      <c r="V1652" s="61"/>
      <c r="W1652" s="92" t="s">
        <v>1355</v>
      </c>
      <c r="X1652" s="93" t="s">
        <v>32</v>
      </c>
      <c r="Y1652" s="93" t="s">
        <v>66</v>
      </c>
      <c r="Z1652" s="134">
        <f>VLOOKUP(W1652,Sheet2!$B:$D,3,FALSE)</f>
        <v>450</v>
      </c>
      <c r="AA1652" s="93">
        <f>AA1649</f>
        <v>0.2</v>
      </c>
      <c r="AB1652" s="93">
        <f>AD1652/AC1647</f>
        <v>2250</v>
      </c>
      <c r="AC1652" s="93">
        <f>AC1647/AA1652</f>
        <v>14.187500000000002</v>
      </c>
      <c r="AD1652" s="94">
        <f>AC1652*Z1652</f>
        <v>6384.3750000000009</v>
      </c>
      <c r="AE1652" s="190"/>
      <c r="AF1652" s="191"/>
      <c r="AG1652" s="191"/>
      <c r="AH1652" s="191"/>
      <c r="AI1652" s="186"/>
      <c r="AK1652" s="171"/>
    </row>
    <row r="1653" spans="1:37" s="102" customFormat="1" ht="19.899999999999999" customHeight="1" x14ac:dyDescent="0.25">
      <c r="A1653" s="45"/>
      <c r="B1653" s="59"/>
      <c r="C1653" s="137"/>
      <c r="D1653" s="59"/>
      <c r="E1653" s="116"/>
      <c r="F1653" s="120"/>
      <c r="G1653" s="120"/>
      <c r="H1653" s="120"/>
      <c r="I1653" s="60"/>
      <c r="J1653" s="116"/>
      <c r="K1653" s="213"/>
      <c r="L1653" s="120"/>
      <c r="M1653" s="120"/>
      <c r="N1653" s="167"/>
      <c r="O1653" s="120"/>
      <c r="P1653" s="120"/>
      <c r="Q1653" s="120"/>
      <c r="R1653" s="120"/>
      <c r="S1653" s="120"/>
      <c r="T1653" s="221"/>
      <c r="U1653" s="89"/>
      <c r="V1653" s="61"/>
      <c r="W1653" s="92" t="s">
        <v>1356</v>
      </c>
      <c r="X1653" s="93" t="s">
        <v>30</v>
      </c>
      <c r="Y1653" s="93" t="s">
        <v>35</v>
      </c>
      <c r="Z1653" s="134">
        <f>VLOOKUP(W1653,Sheet2!$B:$D,3,FALSE)</f>
        <v>3500</v>
      </c>
      <c r="AA1653" s="93">
        <v>1</v>
      </c>
      <c r="AB1653" s="93">
        <f>AD1653/AC1647</f>
        <v>3500</v>
      </c>
      <c r="AC1653" s="93">
        <f>AC1647/AA1653</f>
        <v>2.8375000000000004</v>
      </c>
      <c r="AD1653" s="94">
        <f t="shared" ref="AD1653:AD1654" si="1228">AC1653*Z1653</f>
        <v>9931.2500000000018</v>
      </c>
      <c r="AE1653" s="190"/>
      <c r="AF1653" s="191"/>
      <c r="AG1653" s="191"/>
      <c r="AH1653" s="191"/>
      <c r="AI1653" s="186"/>
      <c r="AK1653" s="171"/>
    </row>
    <row r="1654" spans="1:37" s="102" customFormat="1" ht="19.899999999999999" customHeight="1" x14ac:dyDescent="0.25">
      <c r="A1654" s="45"/>
      <c r="B1654" s="59"/>
      <c r="C1654" s="137"/>
      <c r="D1654" s="59"/>
      <c r="E1654" s="116"/>
      <c r="F1654" s="120"/>
      <c r="G1654" s="120"/>
      <c r="H1654" s="120"/>
      <c r="I1654" s="60"/>
      <c r="J1654" s="116"/>
      <c r="K1654" s="213"/>
      <c r="L1654" s="120"/>
      <c r="M1654" s="120"/>
      <c r="N1654" s="167"/>
      <c r="O1654" s="120"/>
      <c r="P1654" s="120"/>
      <c r="Q1654" s="120"/>
      <c r="R1654" s="120"/>
      <c r="S1654" s="120"/>
      <c r="T1654" s="221"/>
      <c r="U1654" s="89"/>
      <c r="V1654" s="61"/>
      <c r="W1654" s="92" t="s">
        <v>174</v>
      </c>
      <c r="X1654" s="93" t="s">
        <v>29</v>
      </c>
      <c r="Y1654" s="93" t="s">
        <v>93</v>
      </c>
      <c r="Z1654" s="134">
        <f>VLOOKUP(W1654,Sheet2!$B:$D,3,FALSE)</f>
        <v>80</v>
      </c>
      <c r="AA1654" s="93">
        <v>4</v>
      </c>
      <c r="AB1654" s="93">
        <f>AD1654/AC1647</f>
        <v>20</v>
      </c>
      <c r="AC1654" s="93">
        <f>AC1647/AA1654</f>
        <v>0.70937500000000009</v>
      </c>
      <c r="AD1654" s="94">
        <f t="shared" si="1228"/>
        <v>56.750000000000007</v>
      </c>
      <c r="AE1654" s="190"/>
      <c r="AF1654" s="191"/>
      <c r="AG1654" s="191"/>
      <c r="AH1654" s="191"/>
      <c r="AI1654" s="186"/>
      <c r="AK1654" s="171"/>
    </row>
    <row r="1655" spans="1:37" s="102" customFormat="1" ht="19.899999999999999" customHeight="1" x14ac:dyDescent="0.25">
      <c r="A1655" s="45"/>
      <c r="B1655" s="59"/>
      <c r="C1655" s="137"/>
      <c r="D1655" s="59"/>
      <c r="E1655" s="116"/>
      <c r="F1655" s="120"/>
      <c r="G1655" s="120"/>
      <c r="H1655" s="120"/>
      <c r="I1655" s="60"/>
      <c r="J1655" s="116"/>
      <c r="K1655" s="213"/>
      <c r="L1655" s="120"/>
      <c r="M1655" s="120"/>
      <c r="N1655" s="167"/>
      <c r="O1655" s="120"/>
      <c r="P1655" s="120"/>
      <c r="Q1655" s="120"/>
      <c r="R1655" s="120"/>
      <c r="S1655" s="120"/>
      <c r="T1655" s="221"/>
      <c r="U1655" s="89"/>
      <c r="V1655" s="61"/>
      <c r="W1655" s="92" t="s">
        <v>65</v>
      </c>
      <c r="X1655" s="93" t="s">
        <v>30</v>
      </c>
      <c r="Y1655" s="93" t="s">
        <v>93</v>
      </c>
      <c r="Z1655" s="134">
        <f>VLOOKUP(W1655,Sheet2!$B:$D,3,FALSE)</f>
        <v>1.76</v>
      </c>
      <c r="AA1655" s="93">
        <f>AA1654/15</f>
        <v>0.26666666666666666</v>
      </c>
      <c r="AB1655" s="93">
        <f>AD1655/AC1647</f>
        <v>6.6000000000000005</v>
      </c>
      <c r="AC1655" s="93">
        <f>AC1647/AA1655</f>
        <v>10.640625000000002</v>
      </c>
      <c r="AD1655" s="94">
        <f>AC1655*Z1655</f>
        <v>18.727500000000003</v>
      </c>
      <c r="AE1655" s="190"/>
      <c r="AF1655" s="191"/>
      <c r="AG1655" s="191"/>
      <c r="AH1655" s="191"/>
      <c r="AI1655" s="186"/>
      <c r="AK1655" s="171"/>
    </row>
    <row r="1656" spans="1:37" s="102" customFormat="1" ht="19.899999999999999" customHeight="1" x14ac:dyDescent="0.25">
      <c r="A1656" s="45"/>
      <c r="B1656" s="59"/>
      <c r="C1656" s="137"/>
      <c r="D1656" s="59"/>
      <c r="E1656" s="116"/>
      <c r="F1656" s="120"/>
      <c r="G1656" s="120"/>
      <c r="H1656" s="120"/>
      <c r="I1656" s="60"/>
      <c r="J1656" s="116"/>
      <c r="K1656" s="213"/>
      <c r="L1656" s="120"/>
      <c r="M1656" s="120"/>
      <c r="N1656" s="167"/>
      <c r="O1656" s="120"/>
      <c r="P1656" s="120"/>
      <c r="Q1656" s="120"/>
      <c r="R1656" s="120"/>
      <c r="S1656" s="120"/>
      <c r="T1656" s="221"/>
      <c r="U1656" s="89"/>
      <c r="V1656" s="61"/>
      <c r="W1656" s="92" t="s">
        <v>1357</v>
      </c>
      <c r="X1656" s="93" t="s">
        <v>30</v>
      </c>
      <c r="Y1656" s="93" t="s">
        <v>1349</v>
      </c>
      <c r="Z1656" s="134">
        <f>VLOOKUP(W1656,Sheet2!$B:$D,3,FALSE)</f>
        <v>150</v>
      </c>
      <c r="AA1656" s="93">
        <v>1</v>
      </c>
      <c r="AB1656" s="93">
        <f>AD1656/AC1647</f>
        <v>150</v>
      </c>
      <c r="AC1656" s="93">
        <f>AC1647/AA1656</f>
        <v>2.8375000000000004</v>
      </c>
      <c r="AD1656" s="94">
        <f>AC1656*Z1656</f>
        <v>425.62500000000006</v>
      </c>
      <c r="AE1656" s="190"/>
      <c r="AF1656" s="191"/>
      <c r="AG1656" s="191"/>
      <c r="AH1656" s="191"/>
      <c r="AI1656" s="186"/>
      <c r="AK1656" s="171"/>
    </row>
    <row r="1657" spans="1:37" s="102" customFormat="1" ht="19.899999999999999" customHeight="1" x14ac:dyDescent="0.25">
      <c r="A1657" s="45"/>
      <c r="B1657" s="59"/>
      <c r="C1657" s="137"/>
      <c r="D1657" s="59"/>
      <c r="E1657" s="116"/>
      <c r="F1657" s="120"/>
      <c r="G1657" s="120"/>
      <c r="H1657" s="120"/>
      <c r="I1657" s="60"/>
      <c r="J1657" s="116"/>
      <c r="K1657" s="213"/>
      <c r="L1657" s="120"/>
      <c r="M1657" s="120"/>
      <c r="N1657" s="167"/>
      <c r="O1657" s="120"/>
      <c r="P1657" s="120"/>
      <c r="Q1657" s="120"/>
      <c r="R1657" s="120"/>
      <c r="S1657" s="120"/>
      <c r="T1657" s="221"/>
      <c r="U1657" s="89"/>
      <c r="V1657" s="61"/>
      <c r="W1657" s="92" t="s">
        <v>107</v>
      </c>
      <c r="X1657" s="93" t="s">
        <v>31</v>
      </c>
      <c r="Y1657" s="93" t="s">
        <v>93</v>
      </c>
      <c r="Z1657" s="134">
        <f>VLOOKUP(W1657,Sheet2!$B:$D,3,FALSE)</f>
        <v>17</v>
      </c>
      <c r="AA1657" s="93">
        <f>1/5</f>
        <v>0.2</v>
      </c>
      <c r="AB1657" s="93">
        <f>AD1657/AC1647</f>
        <v>85</v>
      </c>
      <c r="AC1657" s="93">
        <f>AC1647/AA1657</f>
        <v>14.187500000000002</v>
      </c>
      <c r="AD1657" s="94">
        <f>AC1657*Z1657</f>
        <v>241.18750000000003</v>
      </c>
      <c r="AE1657" s="190"/>
      <c r="AF1657" s="191"/>
      <c r="AG1657" s="191"/>
      <c r="AH1657" s="191"/>
      <c r="AI1657" s="186"/>
      <c r="AK1657" s="171"/>
    </row>
    <row r="1658" spans="1:37" s="102" customFormat="1" ht="19.899999999999999" customHeight="1" x14ac:dyDescent="0.25">
      <c r="A1658" s="45"/>
      <c r="B1658" s="59"/>
      <c r="C1658" s="137"/>
      <c r="D1658" s="59"/>
      <c r="E1658" s="116"/>
      <c r="F1658" s="120"/>
      <c r="G1658" s="120"/>
      <c r="H1658" s="120"/>
      <c r="I1658" s="60"/>
      <c r="J1658" s="116"/>
      <c r="K1658" s="213"/>
      <c r="L1658" s="120"/>
      <c r="M1658" s="120"/>
      <c r="N1658" s="167"/>
      <c r="O1658" s="120"/>
      <c r="P1658" s="120"/>
      <c r="Q1658" s="120"/>
      <c r="R1658" s="120"/>
      <c r="S1658" s="120"/>
      <c r="T1658" s="221"/>
      <c r="U1658" s="89"/>
      <c r="V1658" s="61"/>
      <c r="W1658" s="92" t="s">
        <v>112</v>
      </c>
      <c r="X1658" s="93" t="s">
        <v>31</v>
      </c>
      <c r="Y1658" s="93" t="s">
        <v>93</v>
      </c>
      <c r="Z1658" s="134">
        <f>VLOOKUP(W1658,Sheet2!$B:$D,3,FALSE)</f>
        <v>13</v>
      </c>
      <c r="AA1658" s="93">
        <f>AA1657</f>
        <v>0.2</v>
      </c>
      <c r="AB1658" s="93">
        <f>AD1658/AC1647</f>
        <v>65</v>
      </c>
      <c r="AC1658" s="93">
        <f>AC1647/AA1658</f>
        <v>14.187500000000002</v>
      </c>
      <c r="AD1658" s="94">
        <f>AC1658*Z1658</f>
        <v>184.43750000000003</v>
      </c>
      <c r="AE1658" s="190"/>
      <c r="AF1658" s="191"/>
      <c r="AG1658" s="191"/>
      <c r="AH1658" s="191"/>
      <c r="AI1658" s="186"/>
      <c r="AK1658" s="171"/>
    </row>
    <row r="1659" spans="1:37" s="103" customFormat="1" ht="19.899999999999999" customHeight="1" x14ac:dyDescent="0.25">
      <c r="A1659" s="51"/>
      <c r="B1659" s="52"/>
      <c r="C1659" s="165"/>
      <c r="D1659" s="52"/>
      <c r="E1659" s="115"/>
      <c r="F1659" s="58"/>
      <c r="G1659" s="58"/>
      <c r="H1659" s="58"/>
      <c r="I1659" s="55"/>
      <c r="J1659" s="113">
        <f>J1641</f>
        <v>2.8375000000000004</v>
      </c>
      <c r="K1659" s="212">
        <f>K1641</f>
        <v>2.8375000000000004</v>
      </c>
      <c r="L1659" s="58"/>
      <c r="M1659" s="58">
        <f>K1659-L1659</f>
        <v>2.8375000000000004</v>
      </c>
      <c r="N1659" s="166"/>
      <c r="O1659" s="58"/>
      <c r="P1659" s="58"/>
      <c r="Q1659" s="58"/>
      <c r="R1659" s="58"/>
      <c r="S1659" s="58"/>
      <c r="T1659" s="220"/>
      <c r="U1659" s="88"/>
      <c r="V1659" s="56"/>
      <c r="W1659" s="57" t="s">
        <v>1358</v>
      </c>
      <c r="X1659" s="53"/>
      <c r="Y1659" s="91" t="s">
        <v>35</v>
      </c>
      <c r="Z1659" s="136">
        <f>AD1659/AC1659</f>
        <v>2800.0000000000005</v>
      </c>
      <c r="AA1659" s="58"/>
      <c r="AB1659" s="53">
        <f>AD1659/AC1659</f>
        <v>2800.0000000000005</v>
      </c>
      <c r="AC1659" s="53">
        <f>M1659+$AE$10</f>
        <v>2.8375000000000004</v>
      </c>
      <c r="AD1659" s="54">
        <f>SUM(AD1660:AD1661)</f>
        <v>7945.0000000000018</v>
      </c>
      <c r="AE1659" s="184">
        <f>SUMIFS($AD$37:$AD$12971,$V$37:$V$12971,$V1659,$X$37:$X$12971,AE$13)</f>
        <v>0</v>
      </c>
      <c r="AF1659" s="185">
        <f>SUMIFS($AD$37:$AD$12971,$V$37:$V$12971,$V1659,$X$37:$X$12971,AF$13)</f>
        <v>0</v>
      </c>
      <c r="AG1659" s="185">
        <f>SUMIFS($AD$37:$AD$12971,$V$37:$V$12971,$V1659,$X$37:$X$12971,AG$13)</f>
        <v>0</v>
      </c>
      <c r="AH1659" s="187">
        <f>SUMIFS($AD$37:$AD$12971,$V$37:$V$12971,$V1659,$X$37:$X$12971,AH$13)</f>
        <v>0</v>
      </c>
      <c r="AI1659" s="161">
        <f t="shared" ref="AI1659" si="1229">SUM(AE1659:AH1659)</f>
        <v>0</v>
      </c>
      <c r="AK1659" s="172"/>
    </row>
    <row r="1660" spans="1:37" s="102" customFormat="1" ht="19.899999999999999" customHeight="1" x14ac:dyDescent="0.25">
      <c r="A1660" s="45"/>
      <c r="B1660" s="59"/>
      <c r="C1660" s="137"/>
      <c r="D1660" s="59"/>
      <c r="E1660" s="116"/>
      <c r="F1660" s="120"/>
      <c r="G1660" s="120"/>
      <c r="H1660" s="120"/>
      <c r="I1660" s="60"/>
      <c r="J1660" s="116"/>
      <c r="K1660" s="213"/>
      <c r="L1660" s="120"/>
      <c r="M1660" s="120"/>
      <c r="N1660" s="167"/>
      <c r="O1660" s="120"/>
      <c r="P1660" s="120"/>
      <c r="Q1660" s="120"/>
      <c r="R1660" s="120"/>
      <c r="S1660" s="120"/>
      <c r="T1660" s="221"/>
      <c r="U1660" s="89"/>
      <c r="V1660" s="61"/>
      <c r="W1660" s="92" t="s">
        <v>1359</v>
      </c>
      <c r="X1660" s="93" t="s">
        <v>32</v>
      </c>
      <c r="Y1660" s="93" t="s">
        <v>64</v>
      </c>
      <c r="Z1660" s="134">
        <f>VLOOKUP(W1660,Sheet2!$B:$D,3,FALSE)</f>
        <v>40</v>
      </c>
      <c r="AA1660" s="93">
        <f>1/40</f>
        <v>2.5000000000000001E-2</v>
      </c>
      <c r="AB1660" s="93">
        <f t="shared" ref="AB1660" si="1230">AD1660/AC1659</f>
        <v>1600.0000000000002</v>
      </c>
      <c r="AC1660" s="93">
        <f>AC1659/AA1660</f>
        <v>113.50000000000001</v>
      </c>
      <c r="AD1660" s="94">
        <f t="shared" ref="AD1660:AD1661" si="1231">AC1660*Z1660</f>
        <v>4540.0000000000009</v>
      </c>
      <c r="AE1660" s="190"/>
      <c r="AF1660" s="191"/>
      <c r="AG1660" s="191"/>
      <c r="AH1660" s="191"/>
      <c r="AI1660" s="186"/>
      <c r="AK1660" s="171"/>
    </row>
    <row r="1661" spans="1:37" s="102" customFormat="1" ht="19.899999999999999" customHeight="1" x14ac:dyDescent="0.25">
      <c r="A1661" s="45"/>
      <c r="B1661" s="59"/>
      <c r="C1661" s="137"/>
      <c r="D1661" s="59"/>
      <c r="E1661" s="116"/>
      <c r="F1661" s="120"/>
      <c r="G1661" s="120"/>
      <c r="H1661" s="120"/>
      <c r="I1661" s="60"/>
      <c r="J1661" s="116"/>
      <c r="K1661" s="213"/>
      <c r="L1661" s="120"/>
      <c r="M1661" s="120"/>
      <c r="N1661" s="167"/>
      <c r="O1661" s="120"/>
      <c r="P1661" s="120"/>
      <c r="Q1661" s="120"/>
      <c r="R1661" s="120"/>
      <c r="S1661" s="120"/>
      <c r="T1661" s="221"/>
      <c r="U1661" s="89"/>
      <c r="V1661" s="61"/>
      <c r="W1661" s="92" t="s">
        <v>1360</v>
      </c>
      <c r="X1661" s="93" t="s">
        <v>32</v>
      </c>
      <c r="Y1661" s="93" t="s">
        <v>64</v>
      </c>
      <c r="Z1661" s="134">
        <f>VLOOKUP(W1661,Sheet2!$B:$D,3,FALSE)</f>
        <v>30</v>
      </c>
      <c r="AA1661" s="93">
        <f>AA1660</f>
        <v>2.5000000000000001E-2</v>
      </c>
      <c r="AB1661" s="93">
        <f>AD1661/AC1659</f>
        <v>1200</v>
      </c>
      <c r="AC1661" s="93">
        <f>AC1659/AA1661</f>
        <v>113.50000000000001</v>
      </c>
      <c r="AD1661" s="94">
        <f t="shared" si="1231"/>
        <v>3405.0000000000005</v>
      </c>
      <c r="AE1661" s="190"/>
      <c r="AF1661" s="191"/>
      <c r="AG1661" s="191"/>
      <c r="AH1661" s="191"/>
      <c r="AI1661" s="186"/>
      <c r="AK1661" s="171"/>
    </row>
    <row r="1662" spans="1:37" s="103" customFormat="1" ht="19.899999999999999" customHeight="1" x14ac:dyDescent="0.25">
      <c r="A1662" s="51"/>
      <c r="B1662" s="52"/>
      <c r="C1662" s="165"/>
      <c r="D1662" s="52"/>
      <c r="E1662" s="115"/>
      <c r="F1662" s="58"/>
      <c r="G1662" s="58"/>
      <c r="H1662" s="58"/>
      <c r="I1662" s="55"/>
      <c r="J1662" s="113">
        <f>J1641</f>
        <v>2.8375000000000004</v>
      </c>
      <c r="K1662" s="212">
        <f>K1641</f>
        <v>2.8375000000000004</v>
      </c>
      <c r="L1662" s="58"/>
      <c r="M1662" s="58">
        <f>K1662-L1662</f>
        <v>2.8375000000000004</v>
      </c>
      <c r="N1662" s="166"/>
      <c r="O1662" s="58"/>
      <c r="P1662" s="58"/>
      <c r="Q1662" s="58"/>
      <c r="R1662" s="58"/>
      <c r="S1662" s="58"/>
      <c r="T1662" s="220"/>
      <c r="U1662" s="88"/>
      <c r="V1662" s="56"/>
      <c r="W1662" s="57" t="s">
        <v>1272</v>
      </c>
      <c r="X1662" s="53"/>
      <c r="Y1662" s="91" t="s">
        <v>35</v>
      </c>
      <c r="Z1662" s="136">
        <f>AD1662/AC1662</f>
        <v>209.08263529411767</v>
      </c>
      <c r="AA1662" s="58"/>
      <c r="AB1662" s="53">
        <f>AD1662/AC1662</f>
        <v>209.08263529411767</v>
      </c>
      <c r="AC1662" s="53">
        <f>M1662+$AE$10</f>
        <v>2.8375000000000004</v>
      </c>
      <c r="AD1662" s="54">
        <f>SUM(AD1663:AD1671)</f>
        <v>593.27197764705897</v>
      </c>
      <c r="AE1662" s="184">
        <f>SUMIFS($AD$37:$AD$12971,$V$37:$V$12971,$V1662,$X$37:$X$12971,AE$13)</f>
        <v>0</v>
      </c>
      <c r="AF1662" s="185">
        <f>SUMIFS($AD$37:$AD$12971,$V$37:$V$12971,$V1662,$X$37:$X$12971,AF$13)</f>
        <v>0</v>
      </c>
      <c r="AG1662" s="185">
        <f>SUMIFS($AD$37:$AD$12971,$V$37:$V$12971,$V1662,$X$37:$X$12971,AG$13)</f>
        <v>0</v>
      </c>
      <c r="AH1662" s="187">
        <f>SUMIFS($AD$37:$AD$12971,$V$37:$V$12971,$V1662,$X$37:$X$12971,AH$13)</f>
        <v>0</v>
      </c>
      <c r="AI1662" s="161">
        <f t="shared" ref="AI1662" si="1232">SUM(AE1662:AH1662)</f>
        <v>0</v>
      </c>
      <c r="AK1662" s="172"/>
    </row>
    <row r="1663" spans="1:37" s="102" customFormat="1" ht="19.899999999999999" customHeight="1" x14ac:dyDescent="0.25">
      <c r="A1663" s="45"/>
      <c r="B1663" s="59"/>
      <c r="C1663" s="137"/>
      <c r="D1663" s="59"/>
      <c r="E1663" s="116"/>
      <c r="F1663" s="120"/>
      <c r="G1663" s="120"/>
      <c r="H1663" s="120"/>
      <c r="I1663" s="60"/>
      <c r="J1663" s="116"/>
      <c r="K1663" s="213"/>
      <c r="L1663" s="120"/>
      <c r="M1663" s="120"/>
      <c r="N1663" s="167"/>
      <c r="O1663" s="120"/>
      <c r="P1663" s="120"/>
      <c r="Q1663" s="120"/>
      <c r="R1663" s="120"/>
      <c r="S1663" s="120"/>
      <c r="T1663" s="221"/>
      <c r="U1663" s="89"/>
      <c r="V1663" s="61"/>
      <c r="W1663" s="92" t="s">
        <v>1273</v>
      </c>
      <c r="X1663" s="93" t="s">
        <v>30</v>
      </c>
      <c r="Y1663" s="93" t="s">
        <v>66</v>
      </c>
      <c r="Z1663" s="134">
        <f>VLOOKUP(W1663,Sheet2!$B:$D,3,FALSE)</f>
        <v>10</v>
      </c>
      <c r="AA1663" s="93">
        <f>1/(2.5*2.4*0.5*4)</f>
        <v>8.3333333333333329E-2</v>
      </c>
      <c r="AB1663" s="93">
        <f>AD1663/AC1662</f>
        <v>120</v>
      </c>
      <c r="AC1663" s="93">
        <f>AC1662/AA1663</f>
        <v>34.050000000000004</v>
      </c>
      <c r="AD1663" s="94">
        <f t="shared" ref="AD1663:AD1665" si="1233">AC1663*Z1663</f>
        <v>340.50000000000006</v>
      </c>
      <c r="AE1663" s="190"/>
      <c r="AF1663" s="191"/>
      <c r="AG1663" s="191"/>
      <c r="AH1663" s="191"/>
      <c r="AI1663" s="186"/>
      <c r="AK1663" s="171"/>
    </row>
    <row r="1664" spans="1:37" s="102" customFormat="1" ht="19.899999999999999" customHeight="1" x14ac:dyDescent="0.25">
      <c r="A1664" s="45"/>
      <c r="B1664" s="59"/>
      <c r="C1664" s="137"/>
      <c r="D1664" s="59"/>
      <c r="E1664" s="116"/>
      <c r="F1664" s="120"/>
      <c r="G1664" s="120"/>
      <c r="H1664" s="120"/>
      <c r="I1664" s="60"/>
      <c r="J1664" s="116"/>
      <c r="K1664" s="213"/>
      <c r="L1664" s="120"/>
      <c r="M1664" s="120"/>
      <c r="N1664" s="167"/>
      <c r="O1664" s="120"/>
      <c r="P1664" s="120"/>
      <c r="Q1664" s="120"/>
      <c r="R1664" s="120"/>
      <c r="S1664" s="120"/>
      <c r="T1664" s="221"/>
      <c r="U1664" s="89"/>
      <c r="V1664" s="61"/>
      <c r="W1664" s="92" t="s">
        <v>134</v>
      </c>
      <c r="X1664" s="93" t="s">
        <v>29</v>
      </c>
      <c r="Y1664" s="93" t="s">
        <v>93</v>
      </c>
      <c r="Z1664" s="134">
        <f>VLOOKUP(W1664,Sheet2!$B:$D,3,FALSE)</f>
        <v>65.599999999999994</v>
      </c>
      <c r="AA1664" s="93">
        <f>100/(2.5*2.4*0.5*4)</f>
        <v>8.3333333333333339</v>
      </c>
      <c r="AB1664" s="93">
        <f t="shared" ref="AB1664" si="1234">AD1664/AC1662</f>
        <v>7.871999999999999</v>
      </c>
      <c r="AC1664" s="93">
        <f>AC1662/AA1664</f>
        <v>0.34050000000000002</v>
      </c>
      <c r="AD1664" s="94">
        <f t="shared" si="1233"/>
        <v>22.3368</v>
      </c>
      <c r="AE1664" s="190"/>
      <c r="AF1664" s="191"/>
      <c r="AG1664" s="191"/>
      <c r="AH1664" s="191"/>
      <c r="AI1664" s="186"/>
      <c r="AK1664" s="171"/>
    </row>
    <row r="1665" spans="1:41" s="102" customFormat="1" ht="19.899999999999999" customHeight="1" x14ac:dyDescent="0.25">
      <c r="A1665" s="45"/>
      <c r="B1665" s="59"/>
      <c r="C1665" s="137"/>
      <c r="D1665" s="59"/>
      <c r="E1665" s="116"/>
      <c r="F1665" s="120"/>
      <c r="G1665" s="120"/>
      <c r="H1665" s="120"/>
      <c r="I1665" s="60"/>
      <c r="J1665" s="116"/>
      <c r="K1665" s="213"/>
      <c r="L1665" s="120"/>
      <c r="M1665" s="120"/>
      <c r="N1665" s="167"/>
      <c r="O1665" s="120"/>
      <c r="P1665" s="120"/>
      <c r="Q1665" s="120"/>
      <c r="R1665" s="120"/>
      <c r="S1665" s="120"/>
      <c r="T1665" s="221"/>
      <c r="U1665" s="89"/>
      <c r="V1665" s="61"/>
      <c r="W1665" s="92" t="s">
        <v>65</v>
      </c>
      <c r="X1665" s="93" t="s">
        <v>30</v>
      </c>
      <c r="Y1665" s="93" t="s">
        <v>1011</v>
      </c>
      <c r="Z1665" s="134">
        <f>VLOOKUP(W1665,Sheet2!$B:$D,3,FALSE)</f>
        <v>1.76</v>
      </c>
      <c r="AA1665" s="93">
        <f>AA1664/9</f>
        <v>0.92592592592592604</v>
      </c>
      <c r="AB1665" s="93">
        <f>AD1665/AC1662</f>
        <v>1.9008</v>
      </c>
      <c r="AC1665" s="93">
        <f>AC1662/AA1665</f>
        <v>3.0645000000000002</v>
      </c>
      <c r="AD1665" s="94">
        <f t="shared" si="1233"/>
        <v>5.3935200000000005</v>
      </c>
      <c r="AE1665" s="190"/>
      <c r="AF1665" s="191"/>
      <c r="AG1665" s="191"/>
      <c r="AH1665" s="191"/>
      <c r="AI1665" s="186"/>
      <c r="AK1665" s="171"/>
    </row>
    <row r="1666" spans="1:41" s="102" customFormat="1" ht="19.899999999999999" customHeight="1" x14ac:dyDescent="0.25">
      <c r="A1666" s="45"/>
      <c r="B1666" s="59"/>
      <c r="C1666" s="137"/>
      <c r="D1666" s="59"/>
      <c r="E1666" s="116"/>
      <c r="F1666" s="120"/>
      <c r="G1666" s="120"/>
      <c r="H1666" s="120"/>
      <c r="I1666" s="60"/>
      <c r="J1666" s="116"/>
      <c r="K1666" s="213"/>
      <c r="L1666" s="120"/>
      <c r="M1666" s="120"/>
      <c r="N1666" s="167"/>
      <c r="O1666" s="120"/>
      <c r="P1666" s="120"/>
      <c r="Q1666" s="120"/>
      <c r="R1666" s="120"/>
      <c r="S1666" s="120"/>
      <c r="T1666" s="221"/>
      <c r="U1666" s="89"/>
      <c r="V1666" s="61"/>
      <c r="W1666" s="92" t="s">
        <v>161</v>
      </c>
      <c r="X1666" s="93" t="s">
        <v>29</v>
      </c>
      <c r="Y1666" s="93" t="s">
        <v>93</v>
      </c>
      <c r="Z1666" s="134">
        <f>VLOOKUP(W1666,Sheet2!$B:$D,3,FALSE)</f>
        <v>48</v>
      </c>
      <c r="AA1666" s="93">
        <f>(16*0.85*1.5)/(2.5*2.4*0.5*4)</f>
        <v>1.7</v>
      </c>
      <c r="AB1666" s="93">
        <f>AD1666/AC1662</f>
        <v>28.235294117647058</v>
      </c>
      <c r="AC1666" s="93">
        <f>AC1662/AA1666</f>
        <v>1.6691176470588238</v>
      </c>
      <c r="AD1666" s="94">
        <f>AC1666*Z1666</f>
        <v>80.117647058823536</v>
      </c>
      <c r="AE1666" s="190"/>
      <c r="AF1666" s="191"/>
      <c r="AG1666" s="191"/>
      <c r="AH1666" s="191"/>
      <c r="AI1666" s="186"/>
      <c r="AK1666" s="171"/>
    </row>
    <row r="1667" spans="1:41" s="102" customFormat="1" ht="19.899999999999999" customHeight="1" x14ac:dyDescent="0.25">
      <c r="A1667" s="45"/>
      <c r="B1667" s="59"/>
      <c r="C1667" s="137"/>
      <c r="D1667" s="59"/>
      <c r="E1667" s="116"/>
      <c r="F1667" s="120"/>
      <c r="G1667" s="120"/>
      <c r="H1667" s="120"/>
      <c r="I1667" s="60"/>
      <c r="J1667" s="116"/>
      <c r="K1667" s="213"/>
      <c r="L1667" s="120"/>
      <c r="M1667" s="120"/>
      <c r="N1667" s="167"/>
      <c r="O1667" s="120"/>
      <c r="P1667" s="120"/>
      <c r="Q1667" s="120"/>
      <c r="R1667" s="120"/>
      <c r="S1667" s="120"/>
      <c r="T1667" s="221"/>
      <c r="U1667" s="89"/>
      <c r="V1667" s="61"/>
      <c r="W1667" s="92" t="s">
        <v>65</v>
      </c>
      <c r="X1667" s="93" t="s">
        <v>30</v>
      </c>
      <c r="Y1667" s="93" t="s">
        <v>1011</v>
      </c>
      <c r="Z1667" s="134">
        <f>VLOOKUP(W1667,Sheet2!$B:$D,3,FALSE)</f>
        <v>1.76</v>
      </c>
      <c r="AA1667" s="93">
        <f>AA1666/10</f>
        <v>0.16999999999999998</v>
      </c>
      <c r="AB1667" s="93">
        <f>AD1667/AC1662</f>
        <v>10.352941176470589</v>
      </c>
      <c r="AC1667" s="93">
        <f>AC1662/AA1667</f>
        <v>16.691176470588239</v>
      </c>
      <c r="AD1667" s="94">
        <f>AC1667*Z1667</f>
        <v>29.3764705882353</v>
      </c>
      <c r="AE1667" s="190"/>
      <c r="AF1667" s="191"/>
      <c r="AG1667" s="191"/>
      <c r="AH1667" s="191"/>
      <c r="AI1667" s="186"/>
      <c r="AK1667" s="171"/>
    </row>
    <row r="1668" spans="1:41" s="102" customFormat="1" ht="19.899999999999999" customHeight="1" x14ac:dyDescent="0.25">
      <c r="A1668" s="45"/>
      <c r="B1668" s="59"/>
      <c r="C1668" s="137"/>
      <c r="D1668" s="59"/>
      <c r="E1668" s="116"/>
      <c r="F1668" s="120"/>
      <c r="G1668" s="120"/>
      <c r="H1668" s="120"/>
      <c r="I1668" s="60"/>
      <c r="J1668" s="116"/>
      <c r="K1668" s="213"/>
      <c r="L1668" s="120"/>
      <c r="M1668" s="120"/>
      <c r="N1668" s="167"/>
      <c r="O1668" s="120"/>
      <c r="P1668" s="120"/>
      <c r="Q1668" s="120"/>
      <c r="R1668" s="120"/>
      <c r="S1668" s="120"/>
      <c r="T1668" s="221"/>
      <c r="U1668" s="89"/>
      <c r="V1668" s="61"/>
      <c r="W1668" s="92" t="s">
        <v>173</v>
      </c>
      <c r="X1668" s="93" t="s">
        <v>29</v>
      </c>
      <c r="Y1668" s="93" t="s">
        <v>93</v>
      </c>
      <c r="Z1668" s="134">
        <f>VLOOKUP(W1668,Sheet2!$B:$D,3,FALSE)</f>
        <v>36</v>
      </c>
      <c r="AA1668" s="93">
        <f>50/(2.5*2.4*0.5*4)</f>
        <v>4.166666666666667</v>
      </c>
      <c r="AB1668" s="93">
        <f>AD1668/AC1662</f>
        <v>8.6399999999999988</v>
      </c>
      <c r="AC1668" s="93">
        <f>AC1662/AA1668</f>
        <v>0.68100000000000005</v>
      </c>
      <c r="AD1668" s="94">
        <f>AC1668*Z1668</f>
        <v>24.516000000000002</v>
      </c>
      <c r="AE1668" s="190"/>
      <c r="AF1668" s="191"/>
      <c r="AG1668" s="191"/>
      <c r="AH1668" s="191"/>
      <c r="AI1668" s="186"/>
      <c r="AK1668" s="171"/>
    </row>
    <row r="1669" spans="1:41" s="102" customFormat="1" ht="19.899999999999999" customHeight="1" x14ac:dyDescent="0.25">
      <c r="A1669" s="45"/>
      <c r="B1669" s="59"/>
      <c r="C1669" s="137"/>
      <c r="D1669" s="59"/>
      <c r="E1669" s="116"/>
      <c r="F1669" s="120"/>
      <c r="G1669" s="120"/>
      <c r="H1669" s="120"/>
      <c r="I1669" s="60"/>
      <c r="J1669" s="116"/>
      <c r="K1669" s="213"/>
      <c r="L1669" s="120"/>
      <c r="M1669" s="120"/>
      <c r="N1669" s="167"/>
      <c r="O1669" s="120"/>
      <c r="P1669" s="120"/>
      <c r="Q1669" s="120"/>
      <c r="R1669" s="120"/>
      <c r="S1669" s="120"/>
      <c r="T1669" s="221"/>
      <c r="U1669" s="89"/>
      <c r="V1669" s="61"/>
      <c r="W1669" s="92" t="s">
        <v>65</v>
      </c>
      <c r="X1669" s="93" t="s">
        <v>30</v>
      </c>
      <c r="Y1669" s="93" t="s">
        <v>1011</v>
      </c>
      <c r="Z1669" s="134">
        <f>VLOOKUP(W1669,Sheet2!$B:$D,3,FALSE)</f>
        <v>1.76</v>
      </c>
      <c r="AA1669" s="93">
        <f>AA1668/9</f>
        <v>0.46296296296296302</v>
      </c>
      <c r="AB1669" s="93">
        <f>AD1669/AC1662</f>
        <v>3.8016000000000001</v>
      </c>
      <c r="AC1669" s="93">
        <f>AC1662/AA1669</f>
        <v>6.1290000000000004</v>
      </c>
      <c r="AD1669" s="94">
        <f>AC1669*Z1669</f>
        <v>10.787040000000001</v>
      </c>
      <c r="AE1669" s="190"/>
      <c r="AF1669" s="191"/>
      <c r="AG1669" s="191"/>
      <c r="AH1669" s="191"/>
      <c r="AI1669" s="186"/>
      <c r="AK1669" s="171"/>
    </row>
    <row r="1670" spans="1:41" s="102" customFormat="1" ht="19.899999999999999" customHeight="1" x14ac:dyDescent="0.25">
      <c r="A1670" s="45"/>
      <c r="B1670" s="59"/>
      <c r="C1670" s="137"/>
      <c r="D1670" s="59"/>
      <c r="E1670" s="116"/>
      <c r="F1670" s="120"/>
      <c r="G1670" s="120"/>
      <c r="H1670" s="120"/>
      <c r="I1670" s="60"/>
      <c r="J1670" s="116"/>
      <c r="K1670" s="213"/>
      <c r="L1670" s="120"/>
      <c r="M1670" s="120"/>
      <c r="N1670" s="167"/>
      <c r="O1670" s="120"/>
      <c r="P1670" s="120"/>
      <c r="Q1670" s="120"/>
      <c r="R1670" s="120"/>
      <c r="S1670" s="120"/>
      <c r="T1670" s="221"/>
      <c r="U1670" s="89"/>
      <c r="V1670" s="61"/>
      <c r="W1670" s="92" t="s">
        <v>1030</v>
      </c>
      <c r="X1670" s="93" t="s">
        <v>29</v>
      </c>
      <c r="Y1670" s="93" t="s">
        <v>93</v>
      </c>
      <c r="Z1670" s="134">
        <f>VLOOKUP(W1670,Sheet2!$B:$D,3,FALSE)</f>
        <v>23</v>
      </c>
      <c r="AA1670" s="93">
        <v>1</v>
      </c>
      <c r="AB1670" s="93">
        <f>AD1670/AC1662</f>
        <v>22.999999999999996</v>
      </c>
      <c r="AC1670" s="93">
        <f>AC1662/AA1670</f>
        <v>2.8375000000000004</v>
      </c>
      <c r="AD1670" s="94">
        <f t="shared" ref="AD1670:AD1671" si="1235">AC1670*Z1670</f>
        <v>65.262500000000003</v>
      </c>
      <c r="AE1670" s="190"/>
      <c r="AF1670" s="191"/>
      <c r="AG1670" s="191"/>
      <c r="AH1670" s="191"/>
      <c r="AI1670" s="186"/>
      <c r="AK1670" s="171"/>
    </row>
    <row r="1671" spans="1:41" s="102" customFormat="1" ht="19.899999999999999" customHeight="1" x14ac:dyDescent="0.25">
      <c r="A1671" s="45"/>
      <c r="B1671" s="59"/>
      <c r="C1671" s="137"/>
      <c r="D1671" s="59"/>
      <c r="E1671" s="116"/>
      <c r="F1671" s="120"/>
      <c r="G1671" s="120"/>
      <c r="H1671" s="120"/>
      <c r="I1671" s="60"/>
      <c r="J1671" s="116"/>
      <c r="K1671" s="213"/>
      <c r="L1671" s="120"/>
      <c r="M1671" s="120"/>
      <c r="N1671" s="167"/>
      <c r="O1671" s="120"/>
      <c r="P1671" s="120"/>
      <c r="Q1671" s="120"/>
      <c r="R1671" s="120"/>
      <c r="S1671" s="120"/>
      <c r="T1671" s="221"/>
      <c r="U1671" s="89"/>
      <c r="V1671" s="61"/>
      <c r="W1671" s="92" t="s">
        <v>65</v>
      </c>
      <c r="X1671" s="93" t="s">
        <v>30</v>
      </c>
      <c r="Y1671" s="93" t="s">
        <v>1011</v>
      </c>
      <c r="Z1671" s="134">
        <f>VLOOKUP(W1671,Sheet2!$B:$D,3,FALSE)</f>
        <v>1.76</v>
      </c>
      <c r="AA1671" s="93">
        <f>AA1670/3</f>
        <v>0.33333333333333331</v>
      </c>
      <c r="AB1671" s="93">
        <f>AD1671/AC1662</f>
        <v>5.2799999999999994</v>
      </c>
      <c r="AC1671" s="93">
        <f>AC1662/AA1671</f>
        <v>8.5125000000000011</v>
      </c>
      <c r="AD1671" s="94">
        <f t="shared" si="1235"/>
        <v>14.982000000000001</v>
      </c>
      <c r="AE1671" s="190"/>
      <c r="AF1671" s="191"/>
      <c r="AG1671" s="191"/>
      <c r="AH1671" s="191"/>
      <c r="AI1671" s="186"/>
      <c r="AK1671" s="171"/>
    </row>
    <row r="1672" spans="1:41" s="306" customFormat="1" ht="30" x14ac:dyDescent="0.25">
      <c r="A1672" s="287" t="s">
        <v>216</v>
      </c>
      <c r="B1672" s="288"/>
      <c r="C1672" s="286" t="s">
        <v>366</v>
      </c>
      <c r="D1672" s="289"/>
      <c r="E1672" s="290"/>
      <c r="F1672" s="291">
        <v>0</v>
      </c>
      <c r="G1672" s="291">
        <f t="shared" si="607"/>
        <v>0</v>
      </c>
      <c r="H1672" s="291">
        <f t="shared" si="608"/>
        <v>0</v>
      </c>
      <c r="I1672" s="292">
        <f t="shared" si="609"/>
        <v>0</v>
      </c>
      <c r="J1672" s="290">
        <f t="shared" si="610"/>
        <v>0</v>
      </c>
      <c r="K1672" s="293">
        <f t="shared" si="611"/>
        <v>0</v>
      </c>
      <c r="L1672" s="291"/>
      <c r="M1672" s="291">
        <f t="shared" si="612"/>
        <v>0</v>
      </c>
      <c r="N1672" s="294">
        <f t="shared" si="613"/>
        <v>0</v>
      </c>
      <c r="O1672" s="291">
        <f t="shared" si="614"/>
        <v>0</v>
      </c>
      <c r="P1672" s="291">
        <f t="shared" si="615"/>
        <v>0</v>
      </c>
      <c r="Q1672" s="291">
        <f t="shared" si="616"/>
        <v>0</v>
      </c>
      <c r="R1672" s="291">
        <f t="shared" si="617"/>
        <v>0</v>
      </c>
      <c r="S1672" s="291"/>
      <c r="T1672" s="295">
        <f t="shared" si="618"/>
        <v>0</v>
      </c>
      <c r="U1672" s="296"/>
      <c r="V1672" s="297"/>
      <c r="W1672" s="298"/>
      <c r="X1672" s="299"/>
      <c r="Y1672" s="300"/>
      <c r="Z1672" s="301"/>
      <c r="AA1672" s="300"/>
      <c r="AB1672" s="300">
        <f t="shared" si="619"/>
        <v>0</v>
      </c>
      <c r="AC1672" s="300">
        <f t="shared" si="620"/>
        <v>9.9999999999999998E-20</v>
      </c>
      <c r="AD1672" s="302"/>
      <c r="AE1672" s="303"/>
      <c r="AF1672" s="304"/>
      <c r="AG1672" s="304"/>
      <c r="AH1672" s="304"/>
      <c r="AI1672" s="305"/>
      <c r="AK1672" s="307"/>
    </row>
    <row r="1673" spans="1:41" s="306" customFormat="1" ht="20.100000000000001" customHeight="1" x14ac:dyDescent="0.25">
      <c r="A1673" s="287" t="s">
        <v>216</v>
      </c>
      <c r="B1673" s="288"/>
      <c r="C1673" s="286" t="s">
        <v>367</v>
      </c>
      <c r="D1673" s="289"/>
      <c r="E1673" s="290"/>
      <c r="F1673" s="291">
        <v>0</v>
      </c>
      <c r="G1673" s="291">
        <f t="shared" si="607"/>
        <v>0</v>
      </c>
      <c r="H1673" s="291">
        <f t="shared" si="608"/>
        <v>0</v>
      </c>
      <c r="I1673" s="292">
        <f t="shared" si="609"/>
        <v>0</v>
      </c>
      <c r="J1673" s="290">
        <f t="shared" si="610"/>
        <v>0</v>
      </c>
      <c r="K1673" s="293">
        <f t="shared" si="611"/>
        <v>0</v>
      </c>
      <c r="L1673" s="291"/>
      <c r="M1673" s="291">
        <f t="shared" si="612"/>
        <v>0</v>
      </c>
      <c r="N1673" s="294">
        <f t="shared" si="613"/>
        <v>0</v>
      </c>
      <c r="O1673" s="291">
        <f t="shared" si="614"/>
        <v>0</v>
      </c>
      <c r="P1673" s="291">
        <f t="shared" si="615"/>
        <v>0</v>
      </c>
      <c r="Q1673" s="291">
        <f t="shared" si="616"/>
        <v>0</v>
      </c>
      <c r="R1673" s="291">
        <f t="shared" si="617"/>
        <v>0</v>
      </c>
      <c r="S1673" s="291"/>
      <c r="T1673" s="295">
        <f t="shared" si="618"/>
        <v>0</v>
      </c>
      <c r="U1673" s="296"/>
      <c r="V1673" s="297"/>
      <c r="W1673" s="298"/>
      <c r="X1673" s="299"/>
      <c r="Y1673" s="300"/>
      <c r="Z1673" s="301"/>
      <c r="AA1673" s="300"/>
      <c r="AB1673" s="300">
        <f t="shared" si="619"/>
        <v>0</v>
      </c>
      <c r="AC1673" s="300">
        <f t="shared" si="620"/>
        <v>9.9999999999999998E-20</v>
      </c>
      <c r="AD1673" s="302"/>
      <c r="AE1673" s="303"/>
      <c r="AF1673" s="304"/>
      <c r="AG1673" s="304"/>
      <c r="AH1673" s="304"/>
      <c r="AI1673" s="305"/>
      <c r="AK1673" s="307"/>
    </row>
    <row r="1674" spans="1:41" s="306" customFormat="1" ht="90" x14ac:dyDescent="0.25">
      <c r="A1674" s="287" t="s">
        <v>216</v>
      </c>
      <c r="B1674" s="288"/>
      <c r="C1674" s="286" t="s">
        <v>368</v>
      </c>
      <c r="D1674" s="289"/>
      <c r="E1674" s="290"/>
      <c r="F1674" s="291"/>
      <c r="G1674" s="291">
        <f t="shared" si="607"/>
        <v>0</v>
      </c>
      <c r="H1674" s="291">
        <f t="shared" si="608"/>
        <v>0</v>
      </c>
      <c r="I1674" s="292">
        <f t="shared" si="609"/>
        <v>0</v>
      </c>
      <c r="J1674" s="290">
        <f t="shared" si="610"/>
        <v>0</v>
      </c>
      <c r="K1674" s="293">
        <f t="shared" si="611"/>
        <v>0</v>
      </c>
      <c r="L1674" s="291"/>
      <c r="M1674" s="291">
        <f t="shared" si="612"/>
        <v>0</v>
      </c>
      <c r="N1674" s="294">
        <f t="shared" si="613"/>
        <v>0</v>
      </c>
      <c r="O1674" s="291">
        <f t="shared" si="614"/>
        <v>0</v>
      </c>
      <c r="P1674" s="291">
        <f t="shared" si="615"/>
        <v>0</v>
      </c>
      <c r="Q1674" s="291">
        <f t="shared" si="616"/>
        <v>0</v>
      </c>
      <c r="R1674" s="291">
        <f t="shared" si="617"/>
        <v>0</v>
      </c>
      <c r="S1674" s="291"/>
      <c r="T1674" s="295">
        <f t="shared" si="618"/>
        <v>0</v>
      </c>
      <c r="U1674" s="296"/>
      <c r="V1674" s="297"/>
      <c r="W1674" s="298"/>
      <c r="X1674" s="299"/>
      <c r="Y1674" s="300"/>
      <c r="Z1674" s="301"/>
      <c r="AA1674" s="300"/>
      <c r="AB1674" s="300">
        <f t="shared" si="619"/>
        <v>0</v>
      </c>
      <c r="AC1674" s="300">
        <f t="shared" si="620"/>
        <v>9.9999999999999998E-20</v>
      </c>
      <c r="AD1674" s="302"/>
      <c r="AE1674" s="303"/>
      <c r="AF1674" s="304"/>
      <c r="AG1674" s="304"/>
      <c r="AH1674" s="304"/>
      <c r="AI1674" s="305"/>
      <c r="AK1674" s="307"/>
    </row>
    <row r="1675" spans="1:41" ht="29.25" customHeight="1" x14ac:dyDescent="0.25">
      <c r="A1675" s="277" t="s">
        <v>216</v>
      </c>
      <c r="B1675" s="278"/>
      <c r="C1675" s="64" t="s">
        <v>369</v>
      </c>
      <c r="D1675" s="46" t="s">
        <v>215</v>
      </c>
      <c r="E1675" s="114"/>
      <c r="F1675" s="44">
        <v>0</v>
      </c>
      <c r="G1675" s="44">
        <f t="shared" si="607"/>
        <v>0</v>
      </c>
      <c r="H1675" s="44">
        <f t="shared" si="608"/>
        <v>0</v>
      </c>
      <c r="I1675" s="43">
        <f t="shared" si="609"/>
        <v>0</v>
      </c>
      <c r="J1675" s="112">
        <f t="shared" si="610"/>
        <v>0</v>
      </c>
      <c r="K1675" s="211">
        <f t="shared" si="611"/>
        <v>0</v>
      </c>
      <c r="L1675" s="44"/>
      <c r="M1675" s="44">
        <f t="shared" si="612"/>
        <v>0</v>
      </c>
      <c r="N1675" s="173">
        <f t="shared" si="613"/>
        <v>0</v>
      </c>
      <c r="O1675" s="44">
        <f t="shared" si="614"/>
        <v>0</v>
      </c>
      <c r="P1675" s="44">
        <f t="shared" si="615"/>
        <v>0</v>
      </c>
      <c r="Q1675" s="44">
        <f t="shared" si="616"/>
        <v>0</v>
      </c>
      <c r="R1675" s="44">
        <f t="shared" si="617"/>
        <v>0</v>
      </c>
      <c r="S1675" s="123"/>
      <c r="T1675" s="219">
        <f t="shared" si="618"/>
        <v>0</v>
      </c>
      <c r="U1675" s="87"/>
      <c r="V1675" s="47"/>
      <c r="W1675" s="48"/>
      <c r="X1675" s="48"/>
      <c r="Y1675" s="48"/>
      <c r="Z1675" s="135"/>
      <c r="AA1675" s="49"/>
      <c r="AB1675" s="50">
        <f t="shared" si="619"/>
        <v>0</v>
      </c>
      <c r="AC1675" s="42">
        <f t="shared" si="620"/>
        <v>9.9999999999999998E-20</v>
      </c>
      <c r="AD1675" s="90"/>
      <c r="AE1675" s="188"/>
      <c r="AF1675" s="189"/>
      <c r="AG1675" s="189"/>
      <c r="AH1675" s="189"/>
      <c r="AI1675" s="161"/>
    </row>
    <row r="1676" spans="1:41" ht="27" customHeight="1" x14ac:dyDescent="0.25">
      <c r="A1676" s="277" t="s">
        <v>216</v>
      </c>
      <c r="B1676" s="278"/>
      <c r="C1676" s="64" t="s">
        <v>370</v>
      </c>
      <c r="D1676" s="46" t="s">
        <v>215</v>
      </c>
      <c r="E1676" s="114"/>
      <c r="F1676" s="44">
        <v>0</v>
      </c>
      <c r="G1676" s="44">
        <f t="shared" si="607"/>
        <v>0</v>
      </c>
      <c r="H1676" s="44">
        <f t="shared" si="608"/>
        <v>0</v>
      </c>
      <c r="I1676" s="43">
        <f t="shared" si="609"/>
        <v>0</v>
      </c>
      <c r="J1676" s="112">
        <f t="shared" si="610"/>
        <v>0</v>
      </c>
      <c r="K1676" s="211">
        <f t="shared" si="611"/>
        <v>0</v>
      </c>
      <c r="L1676" s="44"/>
      <c r="M1676" s="44">
        <f t="shared" si="612"/>
        <v>0</v>
      </c>
      <c r="N1676" s="173">
        <f t="shared" si="613"/>
        <v>0</v>
      </c>
      <c r="O1676" s="44">
        <f t="shared" si="614"/>
        <v>0</v>
      </c>
      <c r="P1676" s="44">
        <f t="shared" si="615"/>
        <v>0</v>
      </c>
      <c r="Q1676" s="44">
        <f t="shared" si="616"/>
        <v>0</v>
      </c>
      <c r="R1676" s="44">
        <f t="shared" si="617"/>
        <v>0</v>
      </c>
      <c r="S1676" s="123"/>
      <c r="T1676" s="219">
        <f t="shared" si="618"/>
        <v>0</v>
      </c>
      <c r="U1676" s="87"/>
      <c r="V1676" s="47"/>
      <c r="W1676" s="48"/>
      <c r="X1676" s="48"/>
      <c r="Y1676" s="48"/>
      <c r="Z1676" s="135"/>
      <c r="AA1676" s="49"/>
      <c r="AB1676" s="50">
        <f t="shared" si="619"/>
        <v>0</v>
      </c>
      <c r="AC1676" s="42">
        <f t="shared" si="620"/>
        <v>9.9999999999999998E-20</v>
      </c>
      <c r="AD1676" s="90"/>
      <c r="AE1676" s="188"/>
      <c r="AF1676" s="189"/>
      <c r="AG1676" s="189"/>
      <c r="AH1676" s="189"/>
      <c r="AI1676" s="161"/>
    </row>
    <row r="1677" spans="1:41" ht="25.5" x14ac:dyDescent="0.25">
      <c r="A1677" s="277" t="s">
        <v>216</v>
      </c>
      <c r="B1677" s="278"/>
      <c r="C1677" s="64" t="s">
        <v>371</v>
      </c>
      <c r="D1677" s="46" t="s">
        <v>215</v>
      </c>
      <c r="E1677" s="114">
        <v>6.34</v>
      </c>
      <c r="F1677" s="44">
        <v>47205</v>
      </c>
      <c r="G1677" s="44">
        <f t="shared" si="607"/>
        <v>299279.7</v>
      </c>
      <c r="H1677" s="44">
        <f t="shared" si="608"/>
        <v>28614.789576470586</v>
      </c>
      <c r="I1677" s="43">
        <f t="shared" si="609"/>
        <v>181417.76591482351</v>
      </c>
      <c r="J1677" s="112">
        <f t="shared" si="610"/>
        <v>6.34</v>
      </c>
      <c r="K1677" s="211">
        <f t="shared" si="611"/>
        <v>6.34</v>
      </c>
      <c r="L1677" s="44"/>
      <c r="M1677" s="44">
        <f t="shared" si="612"/>
        <v>6.34</v>
      </c>
      <c r="N1677" s="173">
        <f t="shared" si="613"/>
        <v>1</v>
      </c>
      <c r="O1677" s="44">
        <f t="shared" si="614"/>
        <v>47205</v>
      </c>
      <c r="P1677" s="44">
        <f t="shared" si="615"/>
        <v>299279.7</v>
      </c>
      <c r="Q1677" s="44">
        <f t="shared" si="616"/>
        <v>28614.789576470586</v>
      </c>
      <c r="R1677" s="44">
        <f t="shared" si="617"/>
        <v>181417.76591482351</v>
      </c>
      <c r="S1677" s="123"/>
      <c r="T1677" s="219">
        <f t="shared" si="618"/>
        <v>181417.76591482351</v>
      </c>
      <c r="U1677" s="87"/>
      <c r="V1677" s="47"/>
      <c r="W1677" s="48"/>
      <c r="X1677" s="48"/>
      <c r="Y1677" s="48"/>
      <c r="Z1677" s="135"/>
      <c r="AA1677" s="49"/>
      <c r="AB1677" s="50">
        <f t="shared" si="619"/>
        <v>28614.789576470586</v>
      </c>
      <c r="AC1677" s="42">
        <f t="shared" si="620"/>
        <v>6.34</v>
      </c>
      <c r="AD1677" s="90">
        <f>AD1678+AD1683+AD1696+AD1699</f>
        <v>181417.76591482351</v>
      </c>
      <c r="AE1677" s="188">
        <f t="shared" ref="AE1677:AH1677" si="1236">AE1678+AE1683+AE1696+AE1699</f>
        <v>0</v>
      </c>
      <c r="AF1677" s="189">
        <f t="shared" si="1236"/>
        <v>0</v>
      </c>
      <c r="AG1677" s="189">
        <f t="shared" si="1236"/>
        <v>0</v>
      </c>
      <c r="AH1677" s="189">
        <f t="shared" si="1236"/>
        <v>0</v>
      </c>
      <c r="AI1677" s="161">
        <f t="shared" ref="AI1677" si="1237">SUM(AE1677:AH1677)</f>
        <v>0</v>
      </c>
      <c r="AK1677" s="169">
        <v>5</v>
      </c>
      <c r="AO1677" s="19" t="s">
        <v>63</v>
      </c>
    </row>
    <row r="1678" spans="1:41" s="103" customFormat="1" x14ac:dyDescent="0.25">
      <c r="A1678" s="51"/>
      <c r="B1678" s="52"/>
      <c r="C1678" s="165"/>
      <c r="D1678" s="52"/>
      <c r="E1678" s="115"/>
      <c r="F1678" s="58"/>
      <c r="G1678" s="58"/>
      <c r="H1678" s="58"/>
      <c r="I1678" s="55"/>
      <c r="J1678" s="113">
        <f>J1677</f>
        <v>6.34</v>
      </c>
      <c r="K1678" s="212">
        <f>K1677</f>
        <v>6.34</v>
      </c>
      <c r="L1678" s="58"/>
      <c r="M1678" s="58">
        <f>K1678-L1678</f>
        <v>6.34</v>
      </c>
      <c r="N1678" s="166"/>
      <c r="O1678" s="58"/>
      <c r="P1678" s="58"/>
      <c r="Q1678" s="58"/>
      <c r="R1678" s="58"/>
      <c r="S1678" s="58"/>
      <c r="T1678" s="220"/>
      <c r="U1678" s="88"/>
      <c r="V1678" s="56"/>
      <c r="W1678" s="57" t="s">
        <v>1351</v>
      </c>
      <c r="X1678" s="53"/>
      <c r="Y1678" s="91" t="s">
        <v>35</v>
      </c>
      <c r="Z1678" s="136">
        <f>AD1678/AC1678</f>
        <v>90.4969411764706</v>
      </c>
      <c r="AA1678" s="58"/>
      <c r="AB1678" s="53">
        <f>AD1678/AC1678</f>
        <v>90.4969411764706</v>
      </c>
      <c r="AC1678" s="53">
        <f>M1678+$AE$10</f>
        <v>6.34</v>
      </c>
      <c r="AD1678" s="54">
        <f>SUM(AD1679:AD1682)</f>
        <v>573.75060705882356</v>
      </c>
      <c r="AE1678" s="184">
        <f>SUMIFS($AD$37:$AD$12971,$V$37:$V$12971,$V1678,$X$37:$X$12971,AE$13)</f>
        <v>0</v>
      </c>
      <c r="AF1678" s="185">
        <f>SUMIFS($AD$37:$AD$12971,$V$37:$V$12971,$V1678,$X$37:$X$12971,AF$13)</f>
        <v>0</v>
      </c>
      <c r="AG1678" s="185">
        <f>SUMIFS($AD$37:$AD$12971,$V$37:$V$12971,$V1678,$X$37:$X$12971,AG$13)</f>
        <v>0</v>
      </c>
      <c r="AH1678" s="187">
        <f>SUMIFS($AD$37:$AD$12971,$V$37:$V$12971,$V1678,$X$37:$X$12971,AH$13)</f>
        <v>0</v>
      </c>
      <c r="AI1678" s="161">
        <f t="shared" ref="AI1678" si="1238">SUM(AE1678:AH1678)</f>
        <v>0</v>
      </c>
      <c r="AK1678" s="172"/>
    </row>
    <row r="1679" spans="1:41" s="102" customFormat="1" x14ac:dyDescent="0.25">
      <c r="A1679" s="45"/>
      <c r="B1679" s="59"/>
      <c r="C1679" s="137"/>
      <c r="D1679" s="59"/>
      <c r="E1679" s="116"/>
      <c r="F1679" s="120"/>
      <c r="G1679" s="120"/>
      <c r="H1679" s="120"/>
      <c r="I1679" s="60"/>
      <c r="J1679" s="116"/>
      <c r="K1679" s="213"/>
      <c r="L1679" s="120"/>
      <c r="M1679" s="120"/>
      <c r="N1679" s="167"/>
      <c r="O1679" s="120"/>
      <c r="P1679" s="120"/>
      <c r="Q1679" s="120"/>
      <c r="R1679" s="120"/>
      <c r="S1679" s="120"/>
      <c r="T1679" s="221"/>
      <c r="U1679" s="89"/>
      <c r="V1679" s="61"/>
      <c r="W1679" s="92" t="s">
        <v>129</v>
      </c>
      <c r="X1679" s="93" t="s">
        <v>29</v>
      </c>
      <c r="Y1679" s="93" t="s">
        <v>93</v>
      </c>
      <c r="Z1679" s="134">
        <f>VLOOKUP(W1679,Sheet2!$B:$D,3,FALSE)</f>
        <v>56</v>
      </c>
      <c r="AA1679" s="93">
        <f>100/(3*3*2.5)</f>
        <v>4.4444444444444446</v>
      </c>
      <c r="AB1679" s="93">
        <f t="shared" ref="AB1679" si="1239">AD1679/AC1678</f>
        <v>12.599999999999998</v>
      </c>
      <c r="AC1679" s="93">
        <f>AC1678/AA1679</f>
        <v>1.4264999999999999</v>
      </c>
      <c r="AD1679" s="94">
        <f t="shared" ref="AD1679:AD1680" si="1240">AC1679*Z1679</f>
        <v>79.883999999999986</v>
      </c>
      <c r="AE1679" s="190"/>
      <c r="AF1679" s="191"/>
      <c r="AG1679" s="191"/>
      <c r="AH1679" s="191"/>
      <c r="AI1679" s="186"/>
      <c r="AK1679" s="171"/>
    </row>
    <row r="1680" spans="1:41" s="102" customFormat="1" x14ac:dyDescent="0.25">
      <c r="A1680" s="45"/>
      <c r="B1680" s="59"/>
      <c r="C1680" s="137"/>
      <c r="D1680" s="59"/>
      <c r="E1680" s="116"/>
      <c r="F1680" s="120"/>
      <c r="G1680" s="120"/>
      <c r="H1680" s="120"/>
      <c r="I1680" s="60"/>
      <c r="J1680" s="116"/>
      <c r="K1680" s="213"/>
      <c r="L1680" s="120"/>
      <c r="M1680" s="120"/>
      <c r="N1680" s="167"/>
      <c r="O1680" s="120"/>
      <c r="P1680" s="120"/>
      <c r="Q1680" s="120"/>
      <c r="R1680" s="120"/>
      <c r="S1680" s="120"/>
      <c r="T1680" s="221"/>
      <c r="U1680" s="89"/>
      <c r="V1680" s="61"/>
      <c r="W1680" s="92" t="s">
        <v>65</v>
      </c>
      <c r="X1680" s="93" t="s">
        <v>30</v>
      </c>
      <c r="Y1680" s="93" t="s">
        <v>1011</v>
      </c>
      <c r="Z1680" s="134">
        <f>VLOOKUP(W1680,Sheet2!$B:$D,3,FALSE)</f>
        <v>1.76</v>
      </c>
      <c r="AA1680" s="93">
        <f>AA1679/14</f>
        <v>0.3174603174603175</v>
      </c>
      <c r="AB1680" s="93">
        <f>AD1680/AC1678</f>
        <v>5.5439999999999996</v>
      </c>
      <c r="AC1680" s="93">
        <f>AC1678/AA1680</f>
        <v>19.970999999999997</v>
      </c>
      <c r="AD1680" s="94">
        <f t="shared" si="1240"/>
        <v>35.148959999999995</v>
      </c>
      <c r="AE1680" s="190"/>
      <c r="AF1680" s="191"/>
      <c r="AG1680" s="191"/>
      <c r="AH1680" s="191"/>
      <c r="AI1680" s="186"/>
      <c r="AK1680" s="171"/>
    </row>
    <row r="1681" spans="1:37" s="102" customFormat="1" x14ac:dyDescent="0.25">
      <c r="A1681" s="45"/>
      <c r="B1681" s="59"/>
      <c r="C1681" s="137"/>
      <c r="D1681" s="59"/>
      <c r="E1681" s="116"/>
      <c r="F1681" s="120"/>
      <c r="G1681" s="120"/>
      <c r="H1681" s="120"/>
      <c r="I1681" s="60"/>
      <c r="J1681" s="116"/>
      <c r="K1681" s="213"/>
      <c r="L1681" s="120"/>
      <c r="M1681" s="120"/>
      <c r="N1681" s="167"/>
      <c r="O1681" s="120"/>
      <c r="P1681" s="120"/>
      <c r="Q1681" s="120"/>
      <c r="R1681" s="120"/>
      <c r="S1681" s="120"/>
      <c r="T1681" s="221"/>
      <c r="U1681" s="89"/>
      <c r="V1681" s="61"/>
      <c r="W1681" s="92" t="s">
        <v>161</v>
      </c>
      <c r="X1681" s="93" t="s">
        <v>29</v>
      </c>
      <c r="Y1681" s="93" t="s">
        <v>93</v>
      </c>
      <c r="Z1681" s="134">
        <f>VLOOKUP(W1681,Sheet2!$B:$D,3,FALSE)</f>
        <v>48</v>
      </c>
      <c r="AA1681" s="93">
        <f>(16*0.85*1.5)/(3*3*2.5)</f>
        <v>0.90666666666666662</v>
      </c>
      <c r="AB1681" s="93">
        <f>AD1681/AC1678</f>
        <v>52.941176470588239</v>
      </c>
      <c r="AC1681" s="93">
        <f>AC1678/AA1681</f>
        <v>6.9926470588235299</v>
      </c>
      <c r="AD1681" s="94">
        <f>AC1681*Z1681</f>
        <v>335.64705882352945</v>
      </c>
      <c r="AE1681" s="190"/>
      <c r="AF1681" s="191"/>
      <c r="AG1681" s="191"/>
      <c r="AH1681" s="191"/>
      <c r="AI1681" s="186"/>
      <c r="AK1681" s="171"/>
    </row>
    <row r="1682" spans="1:37" s="102" customFormat="1" x14ac:dyDescent="0.25">
      <c r="A1682" s="45"/>
      <c r="B1682" s="59"/>
      <c r="C1682" s="137"/>
      <c r="D1682" s="59"/>
      <c r="E1682" s="116"/>
      <c r="F1682" s="120"/>
      <c r="G1682" s="120"/>
      <c r="H1682" s="120"/>
      <c r="I1682" s="60"/>
      <c r="J1682" s="116"/>
      <c r="K1682" s="213"/>
      <c r="L1682" s="120"/>
      <c r="M1682" s="120"/>
      <c r="N1682" s="167"/>
      <c r="O1682" s="120"/>
      <c r="P1682" s="120"/>
      <c r="Q1682" s="120"/>
      <c r="R1682" s="120"/>
      <c r="S1682" s="120"/>
      <c r="T1682" s="221"/>
      <c r="U1682" s="89"/>
      <c r="V1682" s="61"/>
      <c r="W1682" s="92" t="s">
        <v>65</v>
      </c>
      <c r="X1682" s="93" t="s">
        <v>30</v>
      </c>
      <c r="Y1682" s="93" t="s">
        <v>1011</v>
      </c>
      <c r="Z1682" s="134">
        <f>VLOOKUP(W1682,Sheet2!$B:$D,3,FALSE)</f>
        <v>1.76</v>
      </c>
      <c r="AA1682" s="93">
        <f>AA1681/10</f>
        <v>9.0666666666666659E-2</v>
      </c>
      <c r="AB1682" s="93">
        <f>AD1682/AC1678</f>
        <v>19.411764705882355</v>
      </c>
      <c r="AC1682" s="93">
        <f>AC1678/AA1682</f>
        <v>69.926470588235304</v>
      </c>
      <c r="AD1682" s="94">
        <f>AC1682*Z1682</f>
        <v>123.07058823529414</v>
      </c>
      <c r="AE1682" s="190"/>
      <c r="AF1682" s="191"/>
      <c r="AG1682" s="191"/>
      <c r="AH1682" s="191"/>
      <c r="AI1682" s="186"/>
      <c r="AK1682" s="171"/>
    </row>
    <row r="1683" spans="1:37" s="103" customFormat="1" x14ac:dyDescent="0.25">
      <c r="A1683" s="51"/>
      <c r="B1683" s="52"/>
      <c r="C1683" s="165"/>
      <c r="D1683" s="52"/>
      <c r="E1683" s="115"/>
      <c r="F1683" s="58"/>
      <c r="G1683" s="58"/>
      <c r="H1683" s="58"/>
      <c r="I1683" s="55"/>
      <c r="J1683" s="113">
        <f>J1677</f>
        <v>6.34</v>
      </c>
      <c r="K1683" s="212">
        <f>K1677</f>
        <v>6.34</v>
      </c>
      <c r="L1683" s="58"/>
      <c r="M1683" s="58">
        <f>K1683-L1683</f>
        <v>6.34</v>
      </c>
      <c r="N1683" s="166"/>
      <c r="O1683" s="58"/>
      <c r="P1683" s="58"/>
      <c r="Q1683" s="58"/>
      <c r="R1683" s="58"/>
      <c r="S1683" s="58"/>
      <c r="T1683" s="220"/>
      <c r="U1683" s="88"/>
      <c r="V1683" s="56"/>
      <c r="W1683" s="57" t="s">
        <v>1370</v>
      </c>
      <c r="X1683" s="53"/>
      <c r="Y1683" s="91" t="s">
        <v>35</v>
      </c>
      <c r="Z1683" s="136">
        <f>AD1683/AC1683</f>
        <v>25515.21</v>
      </c>
      <c r="AA1683" s="58"/>
      <c r="AB1683" s="53">
        <f>AD1683/AC1683</f>
        <v>25515.21</v>
      </c>
      <c r="AC1683" s="53">
        <f>M1683+$AE$10</f>
        <v>6.34</v>
      </c>
      <c r="AD1683" s="54">
        <f>SUM(AD1684:AD1695)</f>
        <v>161766.4314</v>
      </c>
      <c r="AE1683" s="184">
        <f>SUMIFS($AD$37:$AD$12971,$V$37:$V$12971,$V1683,$X$37:$X$12971,AE$13)</f>
        <v>0</v>
      </c>
      <c r="AF1683" s="185">
        <f>SUMIFS($AD$37:$AD$12971,$V$37:$V$12971,$V1683,$X$37:$X$12971,AF$13)</f>
        <v>0</v>
      </c>
      <c r="AG1683" s="185">
        <f>SUMIFS($AD$37:$AD$12971,$V$37:$V$12971,$V1683,$X$37:$X$12971,AG$13)</f>
        <v>0</v>
      </c>
      <c r="AH1683" s="187">
        <f>SUMIFS($AD$37:$AD$12971,$V$37:$V$12971,$V1683,$X$37:$X$12971,AH$13)</f>
        <v>0</v>
      </c>
      <c r="AI1683" s="161">
        <f t="shared" ref="AI1683" si="1241">SUM(AE1683:AH1683)</f>
        <v>0</v>
      </c>
      <c r="AK1683" s="172"/>
    </row>
    <row r="1684" spans="1:37" s="102" customFormat="1" x14ac:dyDescent="0.25">
      <c r="A1684" s="45"/>
      <c r="B1684" s="59"/>
      <c r="C1684" s="137"/>
      <c r="D1684" s="59"/>
      <c r="E1684" s="116"/>
      <c r="F1684" s="120"/>
      <c r="G1684" s="120"/>
      <c r="H1684" s="120"/>
      <c r="I1684" s="60"/>
      <c r="J1684" s="116"/>
      <c r="K1684" s="213"/>
      <c r="L1684" s="120"/>
      <c r="M1684" s="120"/>
      <c r="N1684" s="167"/>
      <c r="O1684" s="120"/>
      <c r="P1684" s="120"/>
      <c r="Q1684" s="120"/>
      <c r="R1684" s="120"/>
      <c r="S1684" s="120"/>
      <c r="T1684" s="221"/>
      <c r="U1684" s="89"/>
      <c r="V1684" s="61"/>
      <c r="W1684" s="92" t="s">
        <v>1032</v>
      </c>
      <c r="X1684" s="93" t="s">
        <v>30</v>
      </c>
      <c r="Y1684" s="93" t="s">
        <v>66</v>
      </c>
      <c r="Z1684" s="134">
        <f>VLOOKUP(W1684,Sheet2!$B:$D,3,FALSE)</f>
        <v>250</v>
      </c>
      <c r="AA1684" s="93">
        <f>1/(3*3*0.1)</f>
        <v>1.1111111111111112</v>
      </c>
      <c r="AB1684" s="93">
        <f t="shared" ref="AB1684" si="1242">AD1684/AC1683</f>
        <v>224.99999999999997</v>
      </c>
      <c r="AC1684" s="93">
        <f>AC1683/AA1684</f>
        <v>5.7059999999999995</v>
      </c>
      <c r="AD1684" s="94">
        <f t="shared" ref="AD1684:AD1686" si="1243">AC1684*Z1684</f>
        <v>1426.4999999999998</v>
      </c>
      <c r="AE1684" s="190"/>
      <c r="AF1684" s="191"/>
      <c r="AG1684" s="191"/>
      <c r="AH1684" s="191"/>
      <c r="AI1684" s="186"/>
      <c r="AK1684" s="171"/>
    </row>
    <row r="1685" spans="1:37" s="102" customFormat="1" x14ac:dyDescent="0.25">
      <c r="A1685" s="45"/>
      <c r="B1685" s="59"/>
      <c r="C1685" s="137"/>
      <c r="D1685" s="59"/>
      <c r="E1685" s="116"/>
      <c r="F1685" s="120"/>
      <c r="G1685" s="120"/>
      <c r="H1685" s="120"/>
      <c r="I1685" s="60"/>
      <c r="J1685" s="116"/>
      <c r="K1685" s="213"/>
      <c r="L1685" s="120"/>
      <c r="M1685" s="120"/>
      <c r="N1685" s="167"/>
      <c r="O1685" s="120"/>
      <c r="P1685" s="120"/>
      <c r="Q1685" s="120"/>
      <c r="R1685" s="120"/>
      <c r="S1685" s="120"/>
      <c r="T1685" s="221"/>
      <c r="U1685" s="89"/>
      <c r="V1685" s="61"/>
      <c r="W1685" s="92" t="s">
        <v>1353</v>
      </c>
      <c r="X1685" s="93" t="s">
        <v>30</v>
      </c>
      <c r="Y1685" s="93" t="s">
        <v>66</v>
      </c>
      <c r="Z1685" s="134">
        <f>VLOOKUP(W1685,Sheet2!$B:$D,3,FALSE)</f>
        <v>350</v>
      </c>
      <c r="AA1685" s="93">
        <f>1/(2*2*0.25*5)</f>
        <v>0.2</v>
      </c>
      <c r="AB1685" s="93">
        <f>AD1685/AC1683</f>
        <v>1750</v>
      </c>
      <c r="AC1685" s="93">
        <f>AC1683/AA1685</f>
        <v>31.7</v>
      </c>
      <c r="AD1685" s="94">
        <f t="shared" si="1243"/>
        <v>11095</v>
      </c>
      <c r="AE1685" s="190"/>
      <c r="AF1685" s="191"/>
      <c r="AG1685" s="191"/>
      <c r="AH1685" s="191"/>
      <c r="AI1685" s="186"/>
      <c r="AK1685" s="171"/>
    </row>
    <row r="1686" spans="1:37" s="102" customFormat="1" x14ac:dyDescent="0.25">
      <c r="A1686" s="45"/>
      <c r="B1686" s="59"/>
      <c r="C1686" s="137"/>
      <c r="D1686" s="59"/>
      <c r="E1686" s="116"/>
      <c r="F1686" s="120"/>
      <c r="G1686" s="120"/>
      <c r="H1686" s="120"/>
      <c r="I1686" s="60"/>
      <c r="J1686" s="116"/>
      <c r="K1686" s="213"/>
      <c r="L1686" s="120"/>
      <c r="M1686" s="120"/>
      <c r="N1686" s="167"/>
      <c r="O1686" s="120"/>
      <c r="P1686" s="120"/>
      <c r="Q1686" s="120"/>
      <c r="R1686" s="120"/>
      <c r="S1686" s="120"/>
      <c r="T1686" s="221"/>
      <c r="U1686" s="89"/>
      <c r="V1686" s="61"/>
      <c r="W1686" s="92" t="s">
        <v>99</v>
      </c>
      <c r="X1686" s="93" t="s">
        <v>30</v>
      </c>
      <c r="Y1686" s="93" t="s">
        <v>67</v>
      </c>
      <c r="Z1686" s="134">
        <f>VLOOKUP(W1686,Sheet2!$B:$D,3,FALSE)</f>
        <v>2500</v>
      </c>
      <c r="AA1686" s="93">
        <f>1/(2*2*0.25*5*0.08)</f>
        <v>2.5</v>
      </c>
      <c r="AB1686" s="93">
        <f>AD1686/AC1683</f>
        <v>1000</v>
      </c>
      <c r="AC1686" s="93">
        <f>AC1683/AA1686</f>
        <v>2.536</v>
      </c>
      <c r="AD1686" s="94">
        <f t="shared" si="1243"/>
        <v>6340</v>
      </c>
      <c r="AE1686" s="190"/>
      <c r="AF1686" s="191"/>
      <c r="AG1686" s="191"/>
      <c r="AH1686" s="191"/>
      <c r="AI1686" s="186"/>
      <c r="AK1686" s="171"/>
    </row>
    <row r="1687" spans="1:37" s="102" customFormat="1" x14ac:dyDescent="0.25">
      <c r="A1687" s="45"/>
      <c r="B1687" s="59"/>
      <c r="C1687" s="137"/>
      <c r="D1687" s="59"/>
      <c r="E1687" s="116"/>
      <c r="F1687" s="120"/>
      <c r="G1687" s="120"/>
      <c r="H1687" s="120"/>
      <c r="I1687" s="60"/>
      <c r="J1687" s="116"/>
      <c r="K1687" s="213"/>
      <c r="L1687" s="120"/>
      <c r="M1687" s="120"/>
      <c r="N1687" s="167"/>
      <c r="O1687" s="120"/>
      <c r="P1687" s="120"/>
      <c r="Q1687" s="120"/>
      <c r="R1687" s="120"/>
      <c r="S1687" s="120"/>
      <c r="T1687" s="221"/>
      <c r="U1687" s="89"/>
      <c r="V1687" s="61"/>
      <c r="W1687" s="92" t="s">
        <v>1354</v>
      </c>
      <c r="X1687" s="93" t="s">
        <v>32</v>
      </c>
      <c r="Y1687" s="93" t="s">
        <v>66</v>
      </c>
      <c r="Z1687" s="134">
        <f>VLOOKUP(W1687,Sheet2!$B:$D,3,FALSE)</f>
        <v>150</v>
      </c>
      <c r="AA1687" s="93">
        <f>AA1684</f>
        <v>1.1111111111111112</v>
      </c>
      <c r="AB1687" s="93">
        <f>AD1687/AC1683</f>
        <v>135</v>
      </c>
      <c r="AC1687" s="93">
        <f>AC1683/AA1687</f>
        <v>5.7059999999999995</v>
      </c>
      <c r="AD1687" s="94">
        <f>AC1687*Z1687</f>
        <v>855.9</v>
      </c>
      <c r="AE1687" s="190"/>
      <c r="AF1687" s="191"/>
      <c r="AG1687" s="191"/>
      <c r="AH1687" s="191"/>
      <c r="AI1687" s="186"/>
      <c r="AK1687" s="171"/>
    </row>
    <row r="1688" spans="1:37" s="102" customFormat="1" x14ac:dyDescent="0.25">
      <c r="A1688" s="45"/>
      <c r="B1688" s="59"/>
      <c r="C1688" s="137"/>
      <c r="D1688" s="59"/>
      <c r="E1688" s="116"/>
      <c r="F1688" s="120"/>
      <c r="G1688" s="120"/>
      <c r="H1688" s="120"/>
      <c r="I1688" s="60"/>
      <c r="J1688" s="116"/>
      <c r="K1688" s="213"/>
      <c r="L1688" s="120"/>
      <c r="M1688" s="120"/>
      <c r="N1688" s="167"/>
      <c r="O1688" s="120"/>
      <c r="P1688" s="120"/>
      <c r="Q1688" s="120"/>
      <c r="R1688" s="120"/>
      <c r="S1688" s="120"/>
      <c r="T1688" s="221"/>
      <c r="U1688" s="89"/>
      <c r="V1688" s="61"/>
      <c r="W1688" s="92" t="s">
        <v>1355</v>
      </c>
      <c r="X1688" s="93" t="s">
        <v>32</v>
      </c>
      <c r="Y1688" s="93" t="s">
        <v>66</v>
      </c>
      <c r="Z1688" s="134">
        <f>VLOOKUP(W1688,Sheet2!$B:$D,3,FALSE)</f>
        <v>450</v>
      </c>
      <c r="AA1688" s="93">
        <f>AA1685</f>
        <v>0.2</v>
      </c>
      <c r="AB1688" s="93">
        <f>AD1688/AC1683</f>
        <v>2250</v>
      </c>
      <c r="AC1688" s="93">
        <f>AC1683/AA1688</f>
        <v>31.7</v>
      </c>
      <c r="AD1688" s="94">
        <f>AC1688*Z1688</f>
        <v>14265</v>
      </c>
      <c r="AE1688" s="190"/>
      <c r="AF1688" s="191"/>
      <c r="AG1688" s="191"/>
      <c r="AH1688" s="191"/>
      <c r="AI1688" s="186"/>
      <c r="AK1688" s="171"/>
    </row>
    <row r="1689" spans="1:37" s="102" customFormat="1" x14ac:dyDescent="0.25">
      <c r="A1689" s="45"/>
      <c r="B1689" s="59"/>
      <c r="C1689" s="137"/>
      <c r="D1689" s="59"/>
      <c r="E1689" s="116"/>
      <c r="F1689" s="120"/>
      <c r="G1689" s="120"/>
      <c r="H1689" s="120"/>
      <c r="I1689" s="60"/>
      <c r="J1689" s="116"/>
      <c r="K1689" s="213"/>
      <c r="L1689" s="120"/>
      <c r="M1689" s="120"/>
      <c r="N1689" s="167"/>
      <c r="O1689" s="120"/>
      <c r="P1689" s="120"/>
      <c r="Q1689" s="120"/>
      <c r="R1689" s="120"/>
      <c r="S1689" s="120"/>
      <c r="T1689" s="221"/>
      <c r="U1689" s="89"/>
      <c r="V1689" s="61"/>
      <c r="W1689" s="92" t="s">
        <v>1356</v>
      </c>
      <c r="X1689" s="93" t="s">
        <v>30</v>
      </c>
      <c r="Y1689" s="93" t="s">
        <v>35</v>
      </c>
      <c r="Z1689" s="134">
        <f>VLOOKUP(W1689,Sheet2!$B:$D,3,FALSE)</f>
        <v>3500</v>
      </c>
      <c r="AA1689" s="93">
        <v>1</v>
      </c>
      <c r="AB1689" s="93">
        <f>AD1689/AC1683</f>
        <v>3500</v>
      </c>
      <c r="AC1689" s="93">
        <f>AC1683/AA1689</f>
        <v>6.34</v>
      </c>
      <c r="AD1689" s="94">
        <f t="shared" ref="AD1689:AD1691" si="1244">AC1689*Z1689</f>
        <v>22190</v>
      </c>
      <c r="AE1689" s="190"/>
      <c r="AF1689" s="191"/>
      <c r="AG1689" s="191"/>
      <c r="AH1689" s="191"/>
      <c r="AI1689" s="186"/>
      <c r="AK1689" s="171"/>
    </row>
    <row r="1690" spans="1:37" s="102" customFormat="1" x14ac:dyDescent="0.25">
      <c r="A1690" s="45"/>
      <c r="B1690" s="59"/>
      <c r="C1690" s="137"/>
      <c r="D1690" s="59"/>
      <c r="E1690" s="116"/>
      <c r="F1690" s="120"/>
      <c r="G1690" s="120"/>
      <c r="H1690" s="120"/>
      <c r="I1690" s="60"/>
      <c r="J1690" s="116"/>
      <c r="K1690" s="213"/>
      <c r="L1690" s="120"/>
      <c r="M1690" s="120"/>
      <c r="N1690" s="167"/>
      <c r="O1690" s="120"/>
      <c r="P1690" s="120"/>
      <c r="Q1690" s="120"/>
      <c r="R1690" s="120"/>
      <c r="S1690" s="120"/>
      <c r="T1690" s="221"/>
      <c r="U1690" s="89"/>
      <c r="V1690" s="61"/>
      <c r="W1690" s="92" t="s">
        <v>1367</v>
      </c>
      <c r="X1690" s="93" t="s">
        <v>30</v>
      </c>
      <c r="Y1690" s="93" t="s">
        <v>35</v>
      </c>
      <c r="Z1690" s="134">
        <f>VLOOKUP(W1690,Sheet2!$B:$D,3,FALSE)</f>
        <v>16328.61</v>
      </c>
      <c r="AA1690" s="93">
        <v>1</v>
      </c>
      <c r="AB1690" s="93">
        <f>AD1690/AC1683</f>
        <v>16328.61</v>
      </c>
      <c r="AC1690" s="93">
        <f>AC1683/AA1690</f>
        <v>6.34</v>
      </c>
      <c r="AD1690" s="94">
        <f t="shared" ref="AD1690" si="1245">AC1690*Z1690</f>
        <v>103523.38740000001</v>
      </c>
      <c r="AE1690" s="190"/>
      <c r="AF1690" s="191"/>
      <c r="AG1690" s="191"/>
      <c r="AH1690" s="191"/>
      <c r="AI1690" s="186"/>
      <c r="AK1690" s="171"/>
    </row>
    <row r="1691" spans="1:37" s="102" customFormat="1" x14ac:dyDescent="0.25">
      <c r="A1691" s="45"/>
      <c r="B1691" s="59"/>
      <c r="C1691" s="137"/>
      <c r="D1691" s="59"/>
      <c r="E1691" s="116"/>
      <c r="F1691" s="120"/>
      <c r="G1691" s="120"/>
      <c r="H1691" s="120"/>
      <c r="I1691" s="60"/>
      <c r="J1691" s="116"/>
      <c r="K1691" s="213"/>
      <c r="L1691" s="120"/>
      <c r="M1691" s="120"/>
      <c r="N1691" s="167"/>
      <c r="O1691" s="120"/>
      <c r="P1691" s="120"/>
      <c r="Q1691" s="120"/>
      <c r="R1691" s="120"/>
      <c r="S1691" s="120"/>
      <c r="T1691" s="221"/>
      <c r="U1691" s="89"/>
      <c r="V1691" s="61"/>
      <c r="W1691" s="92" t="s">
        <v>174</v>
      </c>
      <c r="X1691" s="93" t="s">
        <v>29</v>
      </c>
      <c r="Y1691" s="93" t="s">
        <v>93</v>
      </c>
      <c r="Z1691" s="134">
        <f>VLOOKUP(W1691,Sheet2!$B:$D,3,FALSE)</f>
        <v>80</v>
      </c>
      <c r="AA1691" s="93">
        <v>4</v>
      </c>
      <c r="AB1691" s="93">
        <f>AD1691/AC1683</f>
        <v>20</v>
      </c>
      <c r="AC1691" s="93">
        <f>AC1683/AA1691</f>
        <v>1.585</v>
      </c>
      <c r="AD1691" s="94">
        <f t="shared" si="1244"/>
        <v>126.8</v>
      </c>
      <c r="AE1691" s="190"/>
      <c r="AF1691" s="191"/>
      <c r="AG1691" s="191"/>
      <c r="AH1691" s="191"/>
      <c r="AI1691" s="186"/>
      <c r="AK1691" s="171"/>
    </row>
    <row r="1692" spans="1:37" s="102" customFormat="1" x14ac:dyDescent="0.25">
      <c r="A1692" s="45"/>
      <c r="B1692" s="59"/>
      <c r="C1692" s="137"/>
      <c r="D1692" s="59"/>
      <c r="E1692" s="116"/>
      <c r="F1692" s="120"/>
      <c r="G1692" s="120"/>
      <c r="H1692" s="120"/>
      <c r="I1692" s="60"/>
      <c r="J1692" s="116"/>
      <c r="K1692" s="213"/>
      <c r="L1692" s="120"/>
      <c r="M1692" s="120"/>
      <c r="N1692" s="167"/>
      <c r="O1692" s="120"/>
      <c r="P1692" s="120"/>
      <c r="Q1692" s="120"/>
      <c r="R1692" s="120"/>
      <c r="S1692" s="120"/>
      <c r="T1692" s="221"/>
      <c r="U1692" s="89"/>
      <c r="V1692" s="61"/>
      <c r="W1692" s="92" t="s">
        <v>65</v>
      </c>
      <c r="X1692" s="93" t="s">
        <v>30</v>
      </c>
      <c r="Y1692" s="93" t="s">
        <v>93</v>
      </c>
      <c r="Z1692" s="134">
        <f>VLOOKUP(W1692,Sheet2!$B:$D,3,FALSE)</f>
        <v>1.76</v>
      </c>
      <c r="AA1692" s="93">
        <f>AA1691/15</f>
        <v>0.26666666666666666</v>
      </c>
      <c r="AB1692" s="93">
        <f>AD1692/AC1683</f>
        <v>6.6000000000000005</v>
      </c>
      <c r="AC1692" s="93">
        <f>AC1683/AA1692</f>
        <v>23.774999999999999</v>
      </c>
      <c r="AD1692" s="94">
        <f>AC1692*Z1692</f>
        <v>41.844000000000001</v>
      </c>
      <c r="AE1692" s="190"/>
      <c r="AF1692" s="191"/>
      <c r="AG1692" s="191"/>
      <c r="AH1692" s="191"/>
      <c r="AI1692" s="186"/>
      <c r="AK1692" s="171"/>
    </row>
    <row r="1693" spans="1:37" s="102" customFormat="1" x14ac:dyDescent="0.25">
      <c r="A1693" s="45"/>
      <c r="B1693" s="59"/>
      <c r="C1693" s="137"/>
      <c r="D1693" s="59"/>
      <c r="E1693" s="116"/>
      <c r="F1693" s="120"/>
      <c r="G1693" s="120"/>
      <c r="H1693" s="120"/>
      <c r="I1693" s="60"/>
      <c r="J1693" s="116"/>
      <c r="K1693" s="213"/>
      <c r="L1693" s="120"/>
      <c r="M1693" s="120"/>
      <c r="N1693" s="167"/>
      <c r="O1693" s="120"/>
      <c r="P1693" s="120"/>
      <c r="Q1693" s="120"/>
      <c r="R1693" s="120"/>
      <c r="S1693" s="120"/>
      <c r="T1693" s="221"/>
      <c r="U1693" s="89"/>
      <c r="V1693" s="61"/>
      <c r="W1693" s="92" t="s">
        <v>1357</v>
      </c>
      <c r="X1693" s="93" t="s">
        <v>30</v>
      </c>
      <c r="Y1693" s="93" t="s">
        <v>1349</v>
      </c>
      <c r="Z1693" s="134">
        <f>VLOOKUP(W1693,Sheet2!$B:$D,3,FALSE)</f>
        <v>150</v>
      </c>
      <c r="AA1693" s="93">
        <v>1</v>
      </c>
      <c r="AB1693" s="93">
        <f>AD1693/AC1683</f>
        <v>150</v>
      </c>
      <c r="AC1693" s="93">
        <f>AC1683/AA1693</f>
        <v>6.34</v>
      </c>
      <c r="AD1693" s="94">
        <f>AC1693*Z1693</f>
        <v>951</v>
      </c>
      <c r="AE1693" s="190"/>
      <c r="AF1693" s="191"/>
      <c r="AG1693" s="191"/>
      <c r="AH1693" s="191"/>
      <c r="AI1693" s="186"/>
      <c r="AK1693" s="171"/>
    </row>
    <row r="1694" spans="1:37" s="102" customFormat="1" x14ac:dyDescent="0.25">
      <c r="A1694" s="45"/>
      <c r="B1694" s="59"/>
      <c r="C1694" s="137"/>
      <c r="D1694" s="59"/>
      <c r="E1694" s="116"/>
      <c r="F1694" s="120"/>
      <c r="G1694" s="120"/>
      <c r="H1694" s="120"/>
      <c r="I1694" s="60"/>
      <c r="J1694" s="116"/>
      <c r="K1694" s="213"/>
      <c r="L1694" s="120"/>
      <c r="M1694" s="120"/>
      <c r="N1694" s="167"/>
      <c r="O1694" s="120"/>
      <c r="P1694" s="120"/>
      <c r="Q1694" s="120"/>
      <c r="R1694" s="120"/>
      <c r="S1694" s="120"/>
      <c r="T1694" s="221"/>
      <c r="U1694" s="89"/>
      <c r="V1694" s="61"/>
      <c r="W1694" s="92" t="s">
        <v>107</v>
      </c>
      <c r="X1694" s="93" t="s">
        <v>31</v>
      </c>
      <c r="Y1694" s="93" t="s">
        <v>93</v>
      </c>
      <c r="Z1694" s="134">
        <f>VLOOKUP(W1694,Sheet2!$B:$D,3,FALSE)</f>
        <v>17</v>
      </c>
      <c r="AA1694" s="93">
        <f>1/5</f>
        <v>0.2</v>
      </c>
      <c r="AB1694" s="93">
        <f>AD1694/AC1683</f>
        <v>85</v>
      </c>
      <c r="AC1694" s="93">
        <f>AC1683/AA1694</f>
        <v>31.7</v>
      </c>
      <c r="AD1694" s="94">
        <f>AC1694*Z1694</f>
        <v>538.9</v>
      </c>
      <c r="AE1694" s="190"/>
      <c r="AF1694" s="191"/>
      <c r="AG1694" s="191"/>
      <c r="AH1694" s="191"/>
      <c r="AI1694" s="186"/>
      <c r="AK1694" s="171"/>
    </row>
    <row r="1695" spans="1:37" s="102" customFormat="1" x14ac:dyDescent="0.25">
      <c r="A1695" s="45"/>
      <c r="B1695" s="59"/>
      <c r="C1695" s="137"/>
      <c r="D1695" s="59"/>
      <c r="E1695" s="116"/>
      <c r="F1695" s="120"/>
      <c r="G1695" s="120"/>
      <c r="H1695" s="120"/>
      <c r="I1695" s="60"/>
      <c r="J1695" s="116"/>
      <c r="K1695" s="213"/>
      <c r="L1695" s="120"/>
      <c r="M1695" s="120"/>
      <c r="N1695" s="167"/>
      <c r="O1695" s="120"/>
      <c r="P1695" s="120"/>
      <c r="Q1695" s="120"/>
      <c r="R1695" s="120"/>
      <c r="S1695" s="120"/>
      <c r="T1695" s="221"/>
      <c r="U1695" s="89"/>
      <c r="V1695" s="61"/>
      <c r="W1695" s="92" t="s">
        <v>112</v>
      </c>
      <c r="X1695" s="93" t="s">
        <v>31</v>
      </c>
      <c r="Y1695" s="93" t="s">
        <v>93</v>
      </c>
      <c r="Z1695" s="134">
        <f>VLOOKUP(W1695,Sheet2!$B:$D,3,FALSE)</f>
        <v>13</v>
      </c>
      <c r="AA1695" s="93">
        <f>AA1694</f>
        <v>0.2</v>
      </c>
      <c r="AB1695" s="93">
        <f>AD1695/AC1683</f>
        <v>65</v>
      </c>
      <c r="AC1695" s="93">
        <f>AC1683/AA1695</f>
        <v>31.7</v>
      </c>
      <c r="AD1695" s="94">
        <f>AC1695*Z1695</f>
        <v>412.09999999999997</v>
      </c>
      <c r="AE1695" s="190"/>
      <c r="AF1695" s="191"/>
      <c r="AG1695" s="191"/>
      <c r="AH1695" s="191"/>
      <c r="AI1695" s="186"/>
      <c r="AK1695" s="171"/>
    </row>
    <row r="1696" spans="1:37" s="103" customFormat="1" x14ac:dyDescent="0.25">
      <c r="A1696" s="51"/>
      <c r="B1696" s="52"/>
      <c r="C1696" s="165"/>
      <c r="D1696" s="52"/>
      <c r="E1696" s="115"/>
      <c r="F1696" s="58"/>
      <c r="G1696" s="58"/>
      <c r="H1696" s="58"/>
      <c r="I1696" s="55"/>
      <c r="J1696" s="113">
        <f>J1677</f>
        <v>6.34</v>
      </c>
      <c r="K1696" s="212">
        <f>K1677</f>
        <v>6.34</v>
      </c>
      <c r="L1696" s="58"/>
      <c r="M1696" s="58">
        <f>K1696-L1696</f>
        <v>6.34</v>
      </c>
      <c r="N1696" s="166"/>
      <c r="O1696" s="58"/>
      <c r="P1696" s="58"/>
      <c r="Q1696" s="58"/>
      <c r="R1696" s="58"/>
      <c r="S1696" s="58"/>
      <c r="T1696" s="220"/>
      <c r="U1696" s="88"/>
      <c r="V1696" s="56"/>
      <c r="W1696" s="57" t="s">
        <v>1358</v>
      </c>
      <c r="X1696" s="53"/>
      <c r="Y1696" s="91" t="s">
        <v>35</v>
      </c>
      <c r="Z1696" s="136">
        <f>AD1696/AC1696</f>
        <v>2800</v>
      </c>
      <c r="AA1696" s="58"/>
      <c r="AB1696" s="53">
        <f>AD1696/AC1696</f>
        <v>2800</v>
      </c>
      <c r="AC1696" s="53">
        <f>M1696+$AE$10</f>
        <v>6.34</v>
      </c>
      <c r="AD1696" s="54">
        <f>SUM(AD1697:AD1698)</f>
        <v>17752</v>
      </c>
      <c r="AE1696" s="184">
        <f>SUMIFS($AD$37:$AD$12971,$V$37:$V$12971,$V1696,$X$37:$X$12971,AE$13)</f>
        <v>0</v>
      </c>
      <c r="AF1696" s="185">
        <f>SUMIFS($AD$37:$AD$12971,$V$37:$V$12971,$V1696,$X$37:$X$12971,AF$13)</f>
        <v>0</v>
      </c>
      <c r="AG1696" s="185">
        <f>SUMIFS($AD$37:$AD$12971,$V$37:$V$12971,$V1696,$X$37:$X$12971,AG$13)</f>
        <v>0</v>
      </c>
      <c r="AH1696" s="187">
        <f>SUMIFS($AD$37:$AD$12971,$V$37:$V$12971,$V1696,$X$37:$X$12971,AH$13)</f>
        <v>0</v>
      </c>
      <c r="AI1696" s="161">
        <f t="shared" ref="AI1696" si="1246">SUM(AE1696:AH1696)</f>
        <v>0</v>
      </c>
      <c r="AK1696" s="172"/>
    </row>
    <row r="1697" spans="1:41" s="102" customFormat="1" x14ac:dyDescent="0.25">
      <c r="A1697" s="45"/>
      <c r="B1697" s="59"/>
      <c r="C1697" s="137"/>
      <c r="D1697" s="59"/>
      <c r="E1697" s="116"/>
      <c r="F1697" s="120"/>
      <c r="G1697" s="120"/>
      <c r="H1697" s="120"/>
      <c r="I1697" s="60"/>
      <c r="J1697" s="116"/>
      <c r="K1697" s="213"/>
      <c r="L1697" s="120"/>
      <c r="M1697" s="120"/>
      <c r="N1697" s="167"/>
      <c r="O1697" s="120"/>
      <c r="P1697" s="120"/>
      <c r="Q1697" s="120"/>
      <c r="R1697" s="120"/>
      <c r="S1697" s="120"/>
      <c r="T1697" s="221"/>
      <c r="U1697" s="89"/>
      <c r="V1697" s="61"/>
      <c r="W1697" s="92" t="s">
        <v>1359</v>
      </c>
      <c r="X1697" s="93" t="s">
        <v>32</v>
      </c>
      <c r="Y1697" s="93" t="s">
        <v>64</v>
      </c>
      <c r="Z1697" s="134">
        <f>VLOOKUP(W1697,Sheet2!$B:$D,3,FALSE)</f>
        <v>40</v>
      </c>
      <c r="AA1697" s="93">
        <f>1/40</f>
        <v>2.5000000000000001E-2</v>
      </c>
      <c r="AB1697" s="93">
        <f t="shared" ref="AB1697" si="1247">AD1697/AC1696</f>
        <v>1600</v>
      </c>
      <c r="AC1697" s="93">
        <f>AC1696/AA1697</f>
        <v>253.6</v>
      </c>
      <c r="AD1697" s="94">
        <f t="shared" ref="AD1697:AD1698" si="1248">AC1697*Z1697</f>
        <v>10144</v>
      </c>
      <c r="AE1697" s="190"/>
      <c r="AF1697" s="191"/>
      <c r="AG1697" s="191"/>
      <c r="AH1697" s="191"/>
      <c r="AI1697" s="186"/>
      <c r="AK1697" s="171"/>
    </row>
    <row r="1698" spans="1:41" s="102" customFormat="1" x14ac:dyDescent="0.25">
      <c r="A1698" s="45"/>
      <c r="B1698" s="59"/>
      <c r="C1698" s="137"/>
      <c r="D1698" s="59"/>
      <c r="E1698" s="116"/>
      <c r="F1698" s="120"/>
      <c r="G1698" s="120"/>
      <c r="H1698" s="120"/>
      <c r="I1698" s="60"/>
      <c r="J1698" s="116"/>
      <c r="K1698" s="213"/>
      <c r="L1698" s="120"/>
      <c r="M1698" s="120"/>
      <c r="N1698" s="167"/>
      <c r="O1698" s="120"/>
      <c r="P1698" s="120"/>
      <c r="Q1698" s="120"/>
      <c r="R1698" s="120"/>
      <c r="S1698" s="120"/>
      <c r="T1698" s="221"/>
      <c r="U1698" s="89"/>
      <c r="V1698" s="61"/>
      <c r="W1698" s="92" t="s">
        <v>1360</v>
      </c>
      <c r="X1698" s="93" t="s">
        <v>32</v>
      </c>
      <c r="Y1698" s="93" t="s">
        <v>64</v>
      </c>
      <c r="Z1698" s="134">
        <f>VLOOKUP(W1698,Sheet2!$B:$D,3,FALSE)</f>
        <v>30</v>
      </c>
      <c r="AA1698" s="93">
        <f>AA1697</f>
        <v>2.5000000000000001E-2</v>
      </c>
      <c r="AB1698" s="93">
        <f>AD1698/AC1696</f>
        <v>1200</v>
      </c>
      <c r="AC1698" s="93">
        <f>AC1696/AA1698</f>
        <v>253.6</v>
      </c>
      <c r="AD1698" s="94">
        <f t="shared" si="1248"/>
        <v>7608</v>
      </c>
      <c r="AE1698" s="190"/>
      <c r="AF1698" s="191"/>
      <c r="AG1698" s="191"/>
      <c r="AH1698" s="191"/>
      <c r="AI1698" s="186"/>
      <c r="AK1698" s="171"/>
    </row>
    <row r="1699" spans="1:41" s="103" customFormat="1" x14ac:dyDescent="0.25">
      <c r="A1699" s="51"/>
      <c r="B1699" s="52"/>
      <c r="C1699" s="165"/>
      <c r="D1699" s="52"/>
      <c r="E1699" s="115"/>
      <c r="F1699" s="58"/>
      <c r="G1699" s="58"/>
      <c r="H1699" s="58"/>
      <c r="I1699" s="55"/>
      <c r="J1699" s="113">
        <f>J1677</f>
        <v>6.34</v>
      </c>
      <c r="K1699" s="212">
        <f>K1677</f>
        <v>6.34</v>
      </c>
      <c r="L1699" s="58"/>
      <c r="M1699" s="58">
        <f>K1699-L1699</f>
        <v>6.34</v>
      </c>
      <c r="N1699" s="166"/>
      <c r="O1699" s="58"/>
      <c r="P1699" s="58"/>
      <c r="Q1699" s="58"/>
      <c r="R1699" s="58"/>
      <c r="S1699" s="58"/>
      <c r="T1699" s="220"/>
      <c r="U1699" s="88"/>
      <c r="V1699" s="56"/>
      <c r="W1699" s="57" t="s">
        <v>1272</v>
      </c>
      <c r="X1699" s="53"/>
      <c r="Y1699" s="91" t="s">
        <v>35</v>
      </c>
      <c r="Z1699" s="136">
        <f>AD1699/AC1699</f>
        <v>209.08263529411761</v>
      </c>
      <c r="AA1699" s="58"/>
      <c r="AB1699" s="53">
        <f>AD1699/AC1699</f>
        <v>209.08263529411761</v>
      </c>
      <c r="AC1699" s="53">
        <f>M1699+$AE$10</f>
        <v>6.34</v>
      </c>
      <c r="AD1699" s="54">
        <f>SUM(AD1700:AD1708)</f>
        <v>1325.5839077647056</v>
      </c>
      <c r="AE1699" s="184">
        <f>SUMIFS($AD$37:$AD$12971,$V$37:$V$12971,$V1699,$X$37:$X$12971,AE$13)</f>
        <v>0</v>
      </c>
      <c r="AF1699" s="185">
        <f>SUMIFS($AD$37:$AD$12971,$V$37:$V$12971,$V1699,$X$37:$X$12971,AF$13)</f>
        <v>0</v>
      </c>
      <c r="AG1699" s="185">
        <f>SUMIFS($AD$37:$AD$12971,$V$37:$V$12971,$V1699,$X$37:$X$12971,AG$13)</f>
        <v>0</v>
      </c>
      <c r="AH1699" s="187">
        <f>SUMIFS($AD$37:$AD$12971,$V$37:$V$12971,$V1699,$X$37:$X$12971,AH$13)</f>
        <v>0</v>
      </c>
      <c r="AI1699" s="161">
        <f t="shared" ref="AI1699" si="1249">SUM(AE1699:AH1699)</f>
        <v>0</v>
      </c>
      <c r="AK1699" s="172"/>
    </row>
    <row r="1700" spans="1:41" s="102" customFormat="1" x14ac:dyDescent="0.25">
      <c r="A1700" s="45"/>
      <c r="B1700" s="59"/>
      <c r="C1700" s="137"/>
      <c r="D1700" s="59"/>
      <c r="E1700" s="116"/>
      <c r="F1700" s="120"/>
      <c r="G1700" s="120"/>
      <c r="H1700" s="120"/>
      <c r="I1700" s="60"/>
      <c r="J1700" s="116"/>
      <c r="K1700" s="213"/>
      <c r="L1700" s="120"/>
      <c r="M1700" s="120"/>
      <c r="N1700" s="167"/>
      <c r="O1700" s="120"/>
      <c r="P1700" s="120"/>
      <c r="Q1700" s="120"/>
      <c r="R1700" s="120"/>
      <c r="S1700" s="120"/>
      <c r="T1700" s="221"/>
      <c r="U1700" s="89"/>
      <c r="V1700" s="61"/>
      <c r="W1700" s="92" t="s">
        <v>1273</v>
      </c>
      <c r="X1700" s="93" t="s">
        <v>30</v>
      </c>
      <c r="Y1700" s="93" t="s">
        <v>66</v>
      </c>
      <c r="Z1700" s="134">
        <f>VLOOKUP(W1700,Sheet2!$B:$D,3,FALSE)</f>
        <v>10</v>
      </c>
      <c r="AA1700" s="93">
        <f>1/(2.5*2.4*0.5*4)</f>
        <v>8.3333333333333329E-2</v>
      </c>
      <c r="AB1700" s="93">
        <f>AD1700/AC1699</f>
        <v>120</v>
      </c>
      <c r="AC1700" s="93">
        <f>AC1699/AA1700</f>
        <v>76.08</v>
      </c>
      <c r="AD1700" s="94">
        <f t="shared" ref="AD1700:AD1702" si="1250">AC1700*Z1700</f>
        <v>760.8</v>
      </c>
      <c r="AE1700" s="190"/>
      <c r="AF1700" s="191"/>
      <c r="AG1700" s="191"/>
      <c r="AH1700" s="191"/>
      <c r="AI1700" s="186"/>
      <c r="AK1700" s="171"/>
    </row>
    <row r="1701" spans="1:41" s="102" customFormat="1" x14ac:dyDescent="0.25">
      <c r="A1701" s="45"/>
      <c r="B1701" s="59"/>
      <c r="C1701" s="137"/>
      <c r="D1701" s="59"/>
      <c r="E1701" s="116"/>
      <c r="F1701" s="120"/>
      <c r="G1701" s="120"/>
      <c r="H1701" s="120"/>
      <c r="I1701" s="60"/>
      <c r="J1701" s="116"/>
      <c r="K1701" s="213"/>
      <c r="L1701" s="120"/>
      <c r="M1701" s="120"/>
      <c r="N1701" s="167"/>
      <c r="O1701" s="120"/>
      <c r="P1701" s="120"/>
      <c r="Q1701" s="120"/>
      <c r="R1701" s="120"/>
      <c r="S1701" s="120"/>
      <c r="T1701" s="221"/>
      <c r="U1701" s="89"/>
      <c r="V1701" s="61"/>
      <c r="W1701" s="92" t="s">
        <v>134</v>
      </c>
      <c r="X1701" s="93" t="s">
        <v>29</v>
      </c>
      <c r="Y1701" s="93" t="s">
        <v>93</v>
      </c>
      <c r="Z1701" s="134">
        <f>VLOOKUP(W1701,Sheet2!$B:$D,3,FALSE)</f>
        <v>65.599999999999994</v>
      </c>
      <c r="AA1701" s="93">
        <f>100/(2.5*2.4*0.5*4)</f>
        <v>8.3333333333333339</v>
      </c>
      <c r="AB1701" s="93">
        <f t="shared" ref="AB1701" si="1251">AD1701/AC1699</f>
        <v>7.871999999999999</v>
      </c>
      <c r="AC1701" s="93">
        <f>AC1699/AA1701</f>
        <v>0.76079999999999992</v>
      </c>
      <c r="AD1701" s="94">
        <f t="shared" si="1250"/>
        <v>49.90847999999999</v>
      </c>
      <c r="AE1701" s="190"/>
      <c r="AF1701" s="191"/>
      <c r="AG1701" s="191"/>
      <c r="AH1701" s="191"/>
      <c r="AI1701" s="186"/>
      <c r="AK1701" s="171"/>
    </row>
    <row r="1702" spans="1:41" s="102" customFormat="1" x14ac:dyDescent="0.25">
      <c r="A1702" s="45"/>
      <c r="B1702" s="59"/>
      <c r="C1702" s="137"/>
      <c r="D1702" s="59"/>
      <c r="E1702" s="116"/>
      <c r="F1702" s="120"/>
      <c r="G1702" s="120"/>
      <c r="H1702" s="120"/>
      <c r="I1702" s="60"/>
      <c r="J1702" s="116"/>
      <c r="K1702" s="213"/>
      <c r="L1702" s="120"/>
      <c r="M1702" s="120"/>
      <c r="N1702" s="167"/>
      <c r="O1702" s="120"/>
      <c r="P1702" s="120"/>
      <c r="Q1702" s="120"/>
      <c r="R1702" s="120"/>
      <c r="S1702" s="120"/>
      <c r="T1702" s="221"/>
      <c r="U1702" s="89"/>
      <c r="V1702" s="61"/>
      <c r="W1702" s="92" t="s">
        <v>65</v>
      </c>
      <c r="X1702" s="93" t="s">
        <v>30</v>
      </c>
      <c r="Y1702" s="93" t="s">
        <v>1011</v>
      </c>
      <c r="Z1702" s="134">
        <f>VLOOKUP(W1702,Sheet2!$B:$D,3,FALSE)</f>
        <v>1.76</v>
      </c>
      <c r="AA1702" s="93">
        <f>AA1701/9</f>
        <v>0.92592592592592604</v>
      </c>
      <c r="AB1702" s="93">
        <f>AD1702/AC1699</f>
        <v>1.9007999999999996</v>
      </c>
      <c r="AC1702" s="93">
        <f>AC1699/AA1702</f>
        <v>6.8471999999999991</v>
      </c>
      <c r="AD1702" s="94">
        <f t="shared" si="1250"/>
        <v>12.051071999999998</v>
      </c>
      <c r="AE1702" s="190"/>
      <c r="AF1702" s="191"/>
      <c r="AG1702" s="191"/>
      <c r="AH1702" s="191"/>
      <c r="AI1702" s="186"/>
      <c r="AK1702" s="171"/>
    </row>
    <row r="1703" spans="1:41" s="102" customFormat="1" x14ac:dyDescent="0.25">
      <c r="A1703" s="45"/>
      <c r="B1703" s="59"/>
      <c r="C1703" s="137"/>
      <c r="D1703" s="59"/>
      <c r="E1703" s="116"/>
      <c r="F1703" s="120"/>
      <c r="G1703" s="120"/>
      <c r="H1703" s="120"/>
      <c r="I1703" s="60"/>
      <c r="J1703" s="116"/>
      <c r="K1703" s="213"/>
      <c r="L1703" s="120"/>
      <c r="M1703" s="120"/>
      <c r="N1703" s="167"/>
      <c r="O1703" s="120"/>
      <c r="P1703" s="120"/>
      <c r="Q1703" s="120"/>
      <c r="R1703" s="120"/>
      <c r="S1703" s="120"/>
      <c r="T1703" s="221"/>
      <c r="U1703" s="89"/>
      <c r="V1703" s="61"/>
      <c r="W1703" s="92" t="s">
        <v>161</v>
      </c>
      <c r="X1703" s="93" t="s">
        <v>29</v>
      </c>
      <c r="Y1703" s="93" t="s">
        <v>93</v>
      </c>
      <c r="Z1703" s="134">
        <f>VLOOKUP(W1703,Sheet2!$B:$D,3,FALSE)</f>
        <v>48</v>
      </c>
      <c r="AA1703" s="93">
        <f>(16*0.85*1.5)/(2.5*2.4*0.5*4)</f>
        <v>1.7</v>
      </c>
      <c r="AB1703" s="93">
        <f>AD1703/AC1699</f>
        <v>28.235294117647058</v>
      </c>
      <c r="AC1703" s="93">
        <f>AC1699/AA1703</f>
        <v>3.7294117647058824</v>
      </c>
      <c r="AD1703" s="94">
        <f>AC1703*Z1703</f>
        <v>179.01176470588234</v>
      </c>
      <c r="AE1703" s="190"/>
      <c r="AF1703" s="191"/>
      <c r="AG1703" s="191"/>
      <c r="AH1703" s="191"/>
      <c r="AI1703" s="186"/>
      <c r="AK1703" s="171"/>
    </row>
    <row r="1704" spans="1:41" s="102" customFormat="1" x14ac:dyDescent="0.25">
      <c r="A1704" s="45"/>
      <c r="B1704" s="59"/>
      <c r="C1704" s="137"/>
      <c r="D1704" s="59"/>
      <c r="E1704" s="116"/>
      <c r="F1704" s="120"/>
      <c r="G1704" s="120"/>
      <c r="H1704" s="120"/>
      <c r="I1704" s="60"/>
      <c r="J1704" s="116"/>
      <c r="K1704" s="213"/>
      <c r="L1704" s="120"/>
      <c r="M1704" s="120"/>
      <c r="N1704" s="167"/>
      <c r="O1704" s="120"/>
      <c r="P1704" s="120"/>
      <c r="Q1704" s="120"/>
      <c r="R1704" s="120"/>
      <c r="S1704" s="120"/>
      <c r="T1704" s="221"/>
      <c r="U1704" s="89"/>
      <c r="V1704" s="61"/>
      <c r="W1704" s="92" t="s">
        <v>65</v>
      </c>
      <c r="X1704" s="93" t="s">
        <v>30</v>
      </c>
      <c r="Y1704" s="93" t="s">
        <v>1011</v>
      </c>
      <c r="Z1704" s="134">
        <f>VLOOKUP(W1704,Sheet2!$B:$D,3,FALSE)</f>
        <v>1.76</v>
      </c>
      <c r="AA1704" s="93">
        <f>AA1703/10</f>
        <v>0.16999999999999998</v>
      </c>
      <c r="AB1704" s="93">
        <f>AD1704/AC1699</f>
        <v>10.352941176470589</v>
      </c>
      <c r="AC1704" s="93">
        <f>AC1699/AA1704</f>
        <v>37.294117647058826</v>
      </c>
      <c r="AD1704" s="94">
        <f>AC1704*Z1704</f>
        <v>65.637647058823532</v>
      </c>
      <c r="AE1704" s="190"/>
      <c r="AF1704" s="191"/>
      <c r="AG1704" s="191"/>
      <c r="AH1704" s="191"/>
      <c r="AI1704" s="186"/>
      <c r="AK1704" s="171"/>
    </row>
    <row r="1705" spans="1:41" s="102" customFormat="1" x14ac:dyDescent="0.25">
      <c r="A1705" s="45"/>
      <c r="B1705" s="59"/>
      <c r="C1705" s="137"/>
      <c r="D1705" s="59"/>
      <c r="E1705" s="116"/>
      <c r="F1705" s="120"/>
      <c r="G1705" s="120"/>
      <c r="H1705" s="120"/>
      <c r="I1705" s="60"/>
      <c r="J1705" s="116"/>
      <c r="K1705" s="213"/>
      <c r="L1705" s="120"/>
      <c r="M1705" s="120"/>
      <c r="N1705" s="167"/>
      <c r="O1705" s="120"/>
      <c r="P1705" s="120"/>
      <c r="Q1705" s="120"/>
      <c r="R1705" s="120"/>
      <c r="S1705" s="120"/>
      <c r="T1705" s="221"/>
      <c r="U1705" s="89"/>
      <c r="V1705" s="61"/>
      <c r="W1705" s="92" t="s">
        <v>173</v>
      </c>
      <c r="X1705" s="93" t="s">
        <v>29</v>
      </c>
      <c r="Y1705" s="93" t="s">
        <v>93</v>
      </c>
      <c r="Z1705" s="134">
        <f>VLOOKUP(W1705,Sheet2!$B:$D,3,FALSE)</f>
        <v>36</v>
      </c>
      <c r="AA1705" s="93">
        <f>50/(2.5*2.4*0.5*4)</f>
        <v>4.166666666666667</v>
      </c>
      <c r="AB1705" s="93">
        <f>AD1705/AC1699</f>
        <v>8.6399999999999988</v>
      </c>
      <c r="AC1705" s="93">
        <f>AC1699/AA1705</f>
        <v>1.5215999999999998</v>
      </c>
      <c r="AD1705" s="94">
        <f>AC1705*Z1705</f>
        <v>54.777599999999993</v>
      </c>
      <c r="AE1705" s="190"/>
      <c r="AF1705" s="191"/>
      <c r="AG1705" s="191"/>
      <c r="AH1705" s="191"/>
      <c r="AI1705" s="186"/>
      <c r="AK1705" s="171"/>
    </row>
    <row r="1706" spans="1:41" s="102" customFormat="1" x14ac:dyDescent="0.25">
      <c r="A1706" s="45"/>
      <c r="B1706" s="59"/>
      <c r="C1706" s="137"/>
      <c r="D1706" s="59"/>
      <c r="E1706" s="116"/>
      <c r="F1706" s="120"/>
      <c r="G1706" s="120"/>
      <c r="H1706" s="120"/>
      <c r="I1706" s="60"/>
      <c r="J1706" s="116"/>
      <c r="K1706" s="213"/>
      <c r="L1706" s="120"/>
      <c r="M1706" s="120"/>
      <c r="N1706" s="167"/>
      <c r="O1706" s="120"/>
      <c r="P1706" s="120"/>
      <c r="Q1706" s="120"/>
      <c r="R1706" s="120"/>
      <c r="S1706" s="120"/>
      <c r="T1706" s="221"/>
      <c r="U1706" s="89"/>
      <c r="V1706" s="61"/>
      <c r="W1706" s="92" t="s">
        <v>65</v>
      </c>
      <c r="X1706" s="93" t="s">
        <v>30</v>
      </c>
      <c r="Y1706" s="93" t="s">
        <v>1011</v>
      </c>
      <c r="Z1706" s="134">
        <f>VLOOKUP(W1706,Sheet2!$B:$D,3,FALSE)</f>
        <v>1.76</v>
      </c>
      <c r="AA1706" s="93">
        <f>AA1705/9</f>
        <v>0.46296296296296302</v>
      </c>
      <c r="AB1706" s="93">
        <f>AD1706/AC1699</f>
        <v>3.8015999999999992</v>
      </c>
      <c r="AC1706" s="93">
        <f>AC1699/AA1706</f>
        <v>13.694399999999998</v>
      </c>
      <c r="AD1706" s="94">
        <f>AC1706*Z1706</f>
        <v>24.102143999999996</v>
      </c>
      <c r="AE1706" s="190"/>
      <c r="AF1706" s="191"/>
      <c r="AG1706" s="191"/>
      <c r="AH1706" s="191"/>
      <c r="AI1706" s="186"/>
      <c r="AK1706" s="171"/>
    </row>
    <row r="1707" spans="1:41" s="102" customFormat="1" x14ac:dyDescent="0.25">
      <c r="A1707" s="45"/>
      <c r="B1707" s="59"/>
      <c r="C1707" s="137"/>
      <c r="D1707" s="59"/>
      <c r="E1707" s="116"/>
      <c r="F1707" s="120"/>
      <c r="G1707" s="120"/>
      <c r="H1707" s="120"/>
      <c r="I1707" s="60"/>
      <c r="J1707" s="116"/>
      <c r="K1707" s="213"/>
      <c r="L1707" s="120"/>
      <c r="M1707" s="120"/>
      <c r="N1707" s="167"/>
      <c r="O1707" s="120"/>
      <c r="P1707" s="120"/>
      <c r="Q1707" s="120"/>
      <c r="R1707" s="120"/>
      <c r="S1707" s="120"/>
      <c r="T1707" s="221"/>
      <c r="U1707" s="89"/>
      <c r="V1707" s="61"/>
      <c r="W1707" s="92" t="s">
        <v>1030</v>
      </c>
      <c r="X1707" s="93" t="s">
        <v>29</v>
      </c>
      <c r="Y1707" s="93" t="s">
        <v>93</v>
      </c>
      <c r="Z1707" s="134">
        <f>VLOOKUP(W1707,Sheet2!$B:$D,3,FALSE)</f>
        <v>23</v>
      </c>
      <c r="AA1707" s="93">
        <v>1</v>
      </c>
      <c r="AB1707" s="93">
        <f>AD1707/AC1699</f>
        <v>23</v>
      </c>
      <c r="AC1707" s="93">
        <f>AC1699/AA1707</f>
        <v>6.34</v>
      </c>
      <c r="AD1707" s="94">
        <f t="shared" ref="AD1707:AD1708" si="1252">AC1707*Z1707</f>
        <v>145.82</v>
      </c>
      <c r="AE1707" s="190"/>
      <c r="AF1707" s="191"/>
      <c r="AG1707" s="191"/>
      <c r="AH1707" s="191"/>
      <c r="AI1707" s="186"/>
      <c r="AK1707" s="171"/>
    </row>
    <row r="1708" spans="1:41" s="102" customFormat="1" x14ac:dyDescent="0.25">
      <c r="A1708" s="45"/>
      <c r="B1708" s="59"/>
      <c r="C1708" s="137"/>
      <c r="D1708" s="59"/>
      <c r="E1708" s="116"/>
      <c r="F1708" s="120"/>
      <c r="G1708" s="120"/>
      <c r="H1708" s="120"/>
      <c r="I1708" s="60"/>
      <c r="J1708" s="116"/>
      <c r="K1708" s="213"/>
      <c r="L1708" s="120"/>
      <c r="M1708" s="120"/>
      <c r="N1708" s="167"/>
      <c r="O1708" s="120"/>
      <c r="P1708" s="120"/>
      <c r="Q1708" s="120"/>
      <c r="R1708" s="120"/>
      <c r="S1708" s="120"/>
      <c r="T1708" s="221"/>
      <c r="U1708" s="89"/>
      <c r="V1708" s="61"/>
      <c r="W1708" s="92" t="s">
        <v>65</v>
      </c>
      <c r="X1708" s="93" t="s">
        <v>30</v>
      </c>
      <c r="Y1708" s="93" t="s">
        <v>1011</v>
      </c>
      <c r="Z1708" s="134">
        <f>VLOOKUP(W1708,Sheet2!$B:$D,3,FALSE)</f>
        <v>1.76</v>
      </c>
      <c r="AA1708" s="93">
        <f>AA1707/3</f>
        <v>0.33333333333333331</v>
      </c>
      <c r="AB1708" s="93">
        <f>AD1708/AC1699</f>
        <v>5.28</v>
      </c>
      <c r="AC1708" s="93">
        <f>AC1699/AA1708</f>
        <v>19.02</v>
      </c>
      <c r="AD1708" s="94">
        <f t="shared" si="1252"/>
        <v>33.475200000000001</v>
      </c>
      <c r="AE1708" s="190"/>
      <c r="AF1708" s="191"/>
      <c r="AG1708" s="191"/>
      <c r="AH1708" s="191"/>
      <c r="AI1708" s="186"/>
      <c r="AK1708" s="171"/>
    </row>
    <row r="1709" spans="1:41" ht="25.5" x14ac:dyDescent="0.25">
      <c r="A1709" s="277" t="s">
        <v>216</v>
      </c>
      <c r="B1709" s="278"/>
      <c r="C1709" s="64" t="s">
        <v>372</v>
      </c>
      <c r="D1709" s="46" t="s">
        <v>215</v>
      </c>
      <c r="E1709" s="114">
        <v>0.81</v>
      </c>
      <c r="F1709" s="44">
        <v>71752</v>
      </c>
      <c r="G1709" s="44">
        <f t="shared" si="607"/>
        <v>58119.12</v>
      </c>
      <c r="H1709" s="44">
        <f t="shared" si="608"/>
        <v>49411.372847058818</v>
      </c>
      <c r="I1709" s="43">
        <f t="shared" si="609"/>
        <v>40023.212006117647</v>
      </c>
      <c r="J1709" s="112">
        <f t="shared" si="610"/>
        <v>0.81</v>
      </c>
      <c r="K1709" s="211">
        <f t="shared" si="611"/>
        <v>0.81</v>
      </c>
      <c r="L1709" s="44"/>
      <c r="M1709" s="44">
        <f t="shared" si="612"/>
        <v>0.81</v>
      </c>
      <c r="N1709" s="173">
        <f t="shared" si="613"/>
        <v>1</v>
      </c>
      <c r="O1709" s="44">
        <f t="shared" si="614"/>
        <v>71752</v>
      </c>
      <c r="P1709" s="44">
        <f t="shared" si="615"/>
        <v>58119.12</v>
      </c>
      <c r="Q1709" s="44">
        <f t="shared" si="616"/>
        <v>49411.372847058818</v>
      </c>
      <c r="R1709" s="44">
        <f t="shared" si="617"/>
        <v>40023.212006117647</v>
      </c>
      <c r="S1709" s="123"/>
      <c r="T1709" s="219">
        <f t="shared" si="618"/>
        <v>40023.212006117647</v>
      </c>
      <c r="U1709" s="87"/>
      <c r="V1709" s="47"/>
      <c r="W1709" s="48"/>
      <c r="X1709" s="48"/>
      <c r="Y1709" s="48"/>
      <c r="Z1709" s="135"/>
      <c r="AA1709" s="49"/>
      <c r="AB1709" s="50">
        <f t="shared" si="619"/>
        <v>49411.372847058818</v>
      </c>
      <c r="AC1709" s="42">
        <f t="shared" si="620"/>
        <v>0.81</v>
      </c>
      <c r="AD1709" s="90">
        <f>AD1710+AD1715+AD1728+AD1731</f>
        <v>40023.212006117647</v>
      </c>
      <c r="AE1709" s="188">
        <f t="shared" ref="AE1709:AH1709" si="1253">AE1710+AE1715+AE1728+AE1731</f>
        <v>0</v>
      </c>
      <c r="AF1709" s="189">
        <f t="shared" si="1253"/>
        <v>0</v>
      </c>
      <c r="AG1709" s="189">
        <f t="shared" si="1253"/>
        <v>0</v>
      </c>
      <c r="AH1709" s="189">
        <f t="shared" si="1253"/>
        <v>0</v>
      </c>
      <c r="AI1709" s="161">
        <f t="shared" ref="AI1709:AI1741" si="1254">SUM(AE1709:AH1709)</f>
        <v>0</v>
      </c>
      <c r="AK1709" s="169">
        <v>5</v>
      </c>
      <c r="AO1709" s="19" t="s">
        <v>63</v>
      </c>
    </row>
    <row r="1710" spans="1:41" s="103" customFormat="1" ht="19.899999999999999" customHeight="1" x14ac:dyDescent="0.25">
      <c r="A1710" s="51"/>
      <c r="B1710" s="52"/>
      <c r="C1710" s="165"/>
      <c r="D1710" s="52"/>
      <c r="E1710" s="115"/>
      <c r="F1710" s="58"/>
      <c r="G1710" s="58"/>
      <c r="H1710" s="58"/>
      <c r="I1710" s="55"/>
      <c r="J1710" s="113">
        <f>J1709</f>
        <v>0.81</v>
      </c>
      <c r="K1710" s="212">
        <f>K1709</f>
        <v>0.81</v>
      </c>
      <c r="L1710" s="58"/>
      <c r="M1710" s="58">
        <f>K1710-L1710</f>
        <v>0.81</v>
      </c>
      <c r="N1710" s="166"/>
      <c r="O1710" s="58"/>
      <c r="P1710" s="58"/>
      <c r="Q1710" s="58"/>
      <c r="R1710" s="58"/>
      <c r="S1710" s="58"/>
      <c r="T1710" s="220"/>
      <c r="U1710" s="88"/>
      <c r="V1710" s="56"/>
      <c r="W1710" s="57" t="s">
        <v>1371</v>
      </c>
      <c r="X1710" s="53"/>
      <c r="Y1710" s="91" t="s">
        <v>35</v>
      </c>
      <c r="Z1710" s="136">
        <f>AD1710/AC1710</f>
        <v>108.5963294117647</v>
      </c>
      <c r="AA1710" s="58"/>
      <c r="AB1710" s="53">
        <f>AD1710/AC1710</f>
        <v>108.5963294117647</v>
      </c>
      <c r="AC1710" s="53">
        <f>M1710+$AE$10</f>
        <v>0.81</v>
      </c>
      <c r="AD1710" s="54">
        <f>SUM(AD1711:AD1714)</f>
        <v>87.963026823529418</v>
      </c>
      <c r="AE1710" s="184">
        <f>SUMIFS($AD$37:$AD$12971,$V$37:$V$12971,$V1710,$X$37:$X$12971,AE$13)</f>
        <v>0</v>
      </c>
      <c r="AF1710" s="185">
        <f>SUMIFS($AD$37:$AD$12971,$V$37:$V$12971,$V1710,$X$37:$X$12971,AF$13)</f>
        <v>0</v>
      </c>
      <c r="AG1710" s="185">
        <f>SUMIFS($AD$37:$AD$12971,$V$37:$V$12971,$V1710,$X$37:$X$12971,AG$13)</f>
        <v>0</v>
      </c>
      <c r="AH1710" s="187">
        <f>SUMIFS($AD$37:$AD$12971,$V$37:$V$12971,$V1710,$X$37:$X$12971,AH$13)</f>
        <v>0</v>
      </c>
      <c r="AI1710" s="161">
        <f t="shared" si="1254"/>
        <v>0</v>
      </c>
      <c r="AK1710" s="172"/>
    </row>
    <row r="1711" spans="1:41" s="102" customFormat="1" ht="19.899999999999999" customHeight="1" x14ac:dyDescent="0.25">
      <c r="A1711" s="45"/>
      <c r="B1711" s="59"/>
      <c r="C1711" s="137"/>
      <c r="D1711" s="59"/>
      <c r="E1711" s="116"/>
      <c r="F1711" s="120"/>
      <c r="G1711" s="120"/>
      <c r="H1711" s="120"/>
      <c r="I1711" s="60"/>
      <c r="J1711" s="116"/>
      <c r="K1711" s="213"/>
      <c r="L1711" s="120"/>
      <c r="M1711" s="120"/>
      <c r="N1711" s="167"/>
      <c r="O1711" s="120"/>
      <c r="P1711" s="120"/>
      <c r="Q1711" s="120"/>
      <c r="R1711" s="120"/>
      <c r="S1711" s="120"/>
      <c r="T1711" s="221"/>
      <c r="U1711" s="89"/>
      <c r="V1711" s="61"/>
      <c r="W1711" s="92" t="s">
        <v>129</v>
      </c>
      <c r="X1711" s="93" t="s">
        <v>29</v>
      </c>
      <c r="Y1711" s="93" t="s">
        <v>93</v>
      </c>
      <c r="Z1711" s="134">
        <f>VLOOKUP(W1711,Sheet2!$B:$D,3,FALSE)</f>
        <v>56</v>
      </c>
      <c r="AA1711" s="93">
        <f>100/(3*3*3)</f>
        <v>3.7037037037037037</v>
      </c>
      <c r="AB1711" s="93">
        <f t="shared" ref="AB1711" si="1255">AD1711/AC1710</f>
        <v>15.119999999999997</v>
      </c>
      <c r="AC1711" s="93">
        <f>AC1710/AA1711</f>
        <v>0.21870000000000001</v>
      </c>
      <c r="AD1711" s="94">
        <f t="shared" ref="AD1711:AD1712" si="1256">AC1711*Z1711</f>
        <v>12.247199999999999</v>
      </c>
      <c r="AE1711" s="190"/>
      <c r="AF1711" s="191"/>
      <c r="AG1711" s="191"/>
      <c r="AH1711" s="191"/>
      <c r="AI1711" s="186"/>
      <c r="AK1711" s="171"/>
    </row>
    <row r="1712" spans="1:41" s="102" customFormat="1" ht="19.899999999999999" customHeight="1" x14ac:dyDescent="0.25">
      <c r="A1712" s="45"/>
      <c r="B1712" s="59"/>
      <c r="C1712" s="137"/>
      <c r="D1712" s="59"/>
      <c r="E1712" s="116"/>
      <c r="F1712" s="120"/>
      <c r="G1712" s="120"/>
      <c r="H1712" s="120"/>
      <c r="I1712" s="60"/>
      <c r="J1712" s="116"/>
      <c r="K1712" s="213"/>
      <c r="L1712" s="120"/>
      <c r="M1712" s="120"/>
      <c r="N1712" s="167"/>
      <c r="O1712" s="120"/>
      <c r="P1712" s="120"/>
      <c r="Q1712" s="120"/>
      <c r="R1712" s="120"/>
      <c r="S1712" s="120"/>
      <c r="T1712" s="221"/>
      <c r="U1712" s="89"/>
      <c r="V1712" s="61"/>
      <c r="W1712" s="92" t="s">
        <v>65</v>
      </c>
      <c r="X1712" s="93" t="s">
        <v>30</v>
      </c>
      <c r="Y1712" s="93" t="s">
        <v>1011</v>
      </c>
      <c r="Z1712" s="134">
        <f>VLOOKUP(W1712,Sheet2!$B:$D,3,FALSE)</f>
        <v>1.76</v>
      </c>
      <c r="AA1712" s="93">
        <f>AA1711/14</f>
        <v>0.26455026455026454</v>
      </c>
      <c r="AB1712" s="93">
        <f>AD1712/AC1710</f>
        <v>6.6528</v>
      </c>
      <c r="AC1712" s="93">
        <f>AC1710/AA1712</f>
        <v>3.0618000000000003</v>
      </c>
      <c r="AD1712" s="94">
        <f t="shared" si="1256"/>
        <v>5.3887680000000007</v>
      </c>
      <c r="AE1712" s="190"/>
      <c r="AF1712" s="191"/>
      <c r="AG1712" s="191"/>
      <c r="AH1712" s="191"/>
      <c r="AI1712" s="186"/>
      <c r="AK1712" s="171"/>
    </row>
    <row r="1713" spans="1:37" s="102" customFormat="1" ht="19.899999999999999" customHeight="1" x14ac:dyDescent="0.25">
      <c r="A1713" s="45"/>
      <c r="B1713" s="59"/>
      <c r="C1713" s="137"/>
      <c r="D1713" s="59"/>
      <c r="E1713" s="116"/>
      <c r="F1713" s="120"/>
      <c r="G1713" s="120"/>
      <c r="H1713" s="120"/>
      <c r="I1713" s="60"/>
      <c r="J1713" s="116"/>
      <c r="K1713" s="213"/>
      <c r="L1713" s="120"/>
      <c r="M1713" s="120"/>
      <c r="N1713" s="167"/>
      <c r="O1713" s="120"/>
      <c r="P1713" s="120"/>
      <c r="Q1713" s="120"/>
      <c r="R1713" s="120"/>
      <c r="S1713" s="120"/>
      <c r="T1713" s="221"/>
      <c r="U1713" s="89"/>
      <c r="V1713" s="61"/>
      <c r="W1713" s="92" t="s">
        <v>161</v>
      </c>
      <c r="X1713" s="93" t="s">
        <v>29</v>
      </c>
      <c r="Y1713" s="93" t="s">
        <v>93</v>
      </c>
      <c r="Z1713" s="134">
        <f>VLOOKUP(W1713,Sheet2!$B:$D,3,FALSE)</f>
        <v>48</v>
      </c>
      <c r="AA1713" s="93">
        <f>(16*0.85*1.5)/(3*3*3)</f>
        <v>0.75555555555555554</v>
      </c>
      <c r="AB1713" s="93">
        <f>AD1713/AC1710</f>
        <v>63.529411764705891</v>
      </c>
      <c r="AC1713" s="93">
        <f>AC1710/AA1713</f>
        <v>1.072058823529412</v>
      </c>
      <c r="AD1713" s="94">
        <f>AC1713*Z1713</f>
        <v>51.458823529411774</v>
      </c>
      <c r="AE1713" s="190"/>
      <c r="AF1713" s="191"/>
      <c r="AG1713" s="191"/>
      <c r="AH1713" s="191"/>
      <c r="AI1713" s="186"/>
      <c r="AK1713" s="171"/>
    </row>
    <row r="1714" spans="1:37" s="102" customFormat="1" ht="19.899999999999999" customHeight="1" x14ac:dyDescent="0.25">
      <c r="A1714" s="45"/>
      <c r="B1714" s="59"/>
      <c r="C1714" s="137"/>
      <c r="D1714" s="59"/>
      <c r="E1714" s="116"/>
      <c r="F1714" s="120"/>
      <c r="G1714" s="120"/>
      <c r="H1714" s="120"/>
      <c r="I1714" s="60"/>
      <c r="J1714" s="116"/>
      <c r="K1714" s="213"/>
      <c r="L1714" s="120"/>
      <c r="M1714" s="120"/>
      <c r="N1714" s="167"/>
      <c r="O1714" s="120"/>
      <c r="P1714" s="120"/>
      <c r="Q1714" s="120"/>
      <c r="R1714" s="120"/>
      <c r="S1714" s="120"/>
      <c r="T1714" s="221"/>
      <c r="U1714" s="89"/>
      <c r="V1714" s="61"/>
      <c r="W1714" s="92" t="s">
        <v>65</v>
      </c>
      <c r="X1714" s="93" t="s">
        <v>30</v>
      </c>
      <c r="Y1714" s="93" t="s">
        <v>1011</v>
      </c>
      <c r="Z1714" s="134">
        <f>VLOOKUP(W1714,Sheet2!$B:$D,3,FALSE)</f>
        <v>1.76</v>
      </c>
      <c r="AA1714" s="93">
        <f>AA1713/10</f>
        <v>7.5555555555555556E-2</v>
      </c>
      <c r="AB1714" s="93">
        <f>AD1714/AC1710</f>
        <v>23.294117647058822</v>
      </c>
      <c r="AC1714" s="93">
        <f>AC1710/AA1714</f>
        <v>10.720588235294118</v>
      </c>
      <c r="AD1714" s="94">
        <f>AC1714*Z1714</f>
        <v>18.868235294117646</v>
      </c>
      <c r="AE1714" s="190"/>
      <c r="AF1714" s="191"/>
      <c r="AG1714" s="191"/>
      <c r="AH1714" s="191"/>
      <c r="AI1714" s="186"/>
      <c r="AK1714" s="171"/>
    </row>
    <row r="1715" spans="1:37" s="103" customFormat="1" ht="19.899999999999999" customHeight="1" x14ac:dyDescent="0.25">
      <c r="A1715" s="51"/>
      <c r="B1715" s="52"/>
      <c r="C1715" s="165"/>
      <c r="D1715" s="52"/>
      <c r="E1715" s="115"/>
      <c r="F1715" s="58"/>
      <c r="G1715" s="58"/>
      <c r="H1715" s="58"/>
      <c r="I1715" s="55"/>
      <c r="J1715" s="113">
        <f>J1709</f>
        <v>0.81</v>
      </c>
      <c r="K1715" s="212">
        <f>K1709</f>
        <v>0.81</v>
      </c>
      <c r="L1715" s="58"/>
      <c r="M1715" s="58">
        <f>K1715-L1715</f>
        <v>0.81</v>
      </c>
      <c r="N1715" s="166"/>
      <c r="O1715" s="58"/>
      <c r="P1715" s="58"/>
      <c r="Q1715" s="58"/>
      <c r="R1715" s="58"/>
      <c r="S1715" s="58"/>
      <c r="T1715" s="220"/>
      <c r="U1715" s="88"/>
      <c r="V1715" s="56"/>
      <c r="W1715" s="57" t="s">
        <v>1370</v>
      </c>
      <c r="X1715" s="53"/>
      <c r="Y1715" s="91" t="s">
        <v>35</v>
      </c>
      <c r="Z1715" s="136">
        <f>AD1715/AC1715</f>
        <v>45686.6</v>
      </c>
      <c r="AA1715" s="58"/>
      <c r="AB1715" s="53">
        <f>AD1715/AC1715</f>
        <v>45686.6</v>
      </c>
      <c r="AC1715" s="53">
        <f>M1715+$AE$10</f>
        <v>0.81</v>
      </c>
      <c r="AD1715" s="54">
        <f>SUM(AD1716:AD1727)</f>
        <v>37006.146000000001</v>
      </c>
      <c r="AE1715" s="184">
        <f>SUMIFS($AD$37:$AD$12971,$V$37:$V$12971,$V1715,$X$37:$X$12971,AE$13)</f>
        <v>0</v>
      </c>
      <c r="AF1715" s="185">
        <f>SUMIFS($AD$37:$AD$12971,$V$37:$V$12971,$V1715,$X$37:$X$12971,AF$13)</f>
        <v>0</v>
      </c>
      <c r="AG1715" s="185">
        <f>SUMIFS($AD$37:$AD$12971,$V$37:$V$12971,$V1715,$X$37:$X$12971,AG$13)</f>
        <v>0</v>
      </c>
      <c r="AH1715" s="187">
        <f>SUMIFS($AD$37:$AD$12971,$V$37:$V$12971,$V1715,$X$37:$X$12971,AH$13)</f>
        <v>0</v>
      </c>
      <c r="AI1715" s="161">
        <f t="shared" ref="AI1715" si="1257">SUM(AE1715:AH1715)</f>
        <v>0</v>
      </c>
      <c r="AK1715" s="172"/>
    </row>
    <row r="1716" spans="1:37" s="102" customFormat="1" ht="19.899999999999999" customHeight="1" x14ac:dyDescent="0.25">
      <c r="A1716" s="45"/>
      <c r="B1716" s="59"/>
      <c r="C1716" s="137"/>
      <c r="D1716" s="59"/>
      <c r="E1716" s="116"/>
      <c r="F1716" s="120"/>
      <c r="G1716" s="120"/>
      <c r="H1716" s="120"/>
      <c r="I1716" s="60"/>
      <c r="J1716" s="116"/>
      <c r="K1716" s="213"/>
      <c r="L1716" s="120"/>
      <c r="M1716" s="120"/>
      <c r="N1716" s="167"/>
      <c r="O1716" s="120"/>
      <c r="P1716" s="120"/>
      <c r="Q1716" s="120"/>
      <c r="R1716" s="120"/>
      <c r="S1716" s="120"/>
      <c r="T1716" s="221"/>
      <c r="U1716" s="89"/>
      <c r="V1716" s="61"/>
      <c r="W1716" s="92" t="s">
        <v>1032</v>
      </c>
      <c r="X1716" s="93" t="s">
        <v>30</v>
      </c>
      <c r="Y1716" s="93" t="s">
        <v>66</v>
      </c>
      <c r="Z1716" s="134">
        <f>VLOOKUP(W1716,Sheet2!$B:$D,3,FALSE)</f>
        <v>250</v>
      </c>
      <c r="AA1716" s="93">
        <f>1/(3*3*0.1)</f>
        <v>1.1111111111111112</v>
      </c>
      <c r="AB1716" s="93">
        <f t="shared" ref="AB1716" si="1258">AD1716/AC1715</f>
        <v>224.99999999999997</v>
      </c>
      <c r="AC1716" s="93">
        <f>AC1715/AA1716</f>
        <v>0.72899999999999998</v>
      </c>
      <c r="AD1716" s="94">
        <f t="shared" ref="AD1716:AD1718" si="1259">AC1716*Z1716</f>
        <v>182.25</v>
      </c>
      <c r="AE1716" s="190"/>
      <c r="AF1716" s="191"/>
      <c r="AG1716" s="191"/>
      <c r="AH1716" s="191"/>
      <c r="AI1716" s="186"/>
      <c r="AK1716" s="171"/>
    </row>
    <row r="1717" spans="1:37" s="102" customFormat="1" ht="19.899999999999999" customHeight="1" x14ac:dyDescent="0.25">
      <c r="A1717" s="45"/>
      <c r="B1717" s="59"/>
      <c r="C1717" s="137"/>
      <c r="D1717" s="59"/>
      <c r="E1717" s="116"/>
      <c r="F1717" s="120"/>
      <c r="G1717" s="120"/>
      <c r="H1717" s="120"/>
      <c r="I1717" s="60"/>
      <c r="J1717" s="116"/>
      <c r="K1717" s="213"/>
      <c r="L1717" s="120"/>
      <c r="M1717" s="120"/>
      <c r="N1717" s="167"/>
      <c r="O1717" s="120"/>
      <c r="P1717" s="120"/>
      <c r="Q1717" s="120"/>
      <c r="R1717" s="120"/>
      <c r="S1717" s="120"/>
      <c r="T1717" s="221"/>
      <c r="U1717" s="89"/>
      <c r="V1717" s="61"/>
      <c r="W1717" s="92" t="s">
        <v>1353</v>
      </c>
      <c r="X1717" s="93" t="s">
        <v>30</v>
      </c>
      <c r="Y1717" s="93" t="s">
        <v>66</v>
      </c>
      <c r="Z1717" s="134">
        <f>VLOOKUP(W1717,Sheet2!$B:$D,3,FALSE)</f>
        <v>350</v>
      </c>
      <c r="AA1717" s="93">
        <f>1/(2*2.5*0.25*5)</f>
        <v>0.16</v>
      </c>
      <c r="AB1717" s="93">
        <f>AD1717/AC1715</f>
        <v>2187.5</v>
      </c>
      <c r="AC1717" s="93">
        <f>AC1715/AA1717</f>
        <v>5.0625</v>
      </c>
      <c r="AD1717" s="94">
        <f t="shared" si="1259"/>
        <v>1771.875</v>
      </c>
      <c r="AE1717" s="190"/>
      <c r="AF1717" s="191"/>
      <c r="AG1717" s="191"/>
      <c r="AH1717" s="191"/>
      <c r="AI1717" s="186"/>
      <c r="AK1717" s="171"/>
    </row>
    <row r="1718" spans="1:37" s="102" customFormat="1" ht="19.899999999999999" customHeight="1" x14ac:dyDescent="0.25">
      <c r="A1718" s="45"/>
      <c r="B1718" s="59"/>
      <c r="C1718" s="137"/>
      <c r="D1718" s="59"/>
      <c r="E1718" s="116"/>
      <c r="F1718" s="120"/>
      <c r="G1718" s="120"/>
      <c r="H1718" s="120"/>
      <c r="I1718" s="60"/>
      <c r="J1718" s="116"/>
      <c r="K1718" s="213"/>
      <c r="L1718" s="120"/>
      <c r="M1718" s="120"/>
      <c r="N1718" s="167"/>
      <c r="O1718" s="120"/>
      <c r="P1718" s="120"/>
      <c r="Q1718" s="120"/>
      <c r="R1718" s="120"/>
      <c r="S1718" s="120"/>
      <c r="T1718" s="221"/>
      <c r="U1718" s="89"/>
      <c r="V1718" s="61"/>
      <c r="W1718" s="92" t="s">
        <v>99</v>
      </c>
      <c r="X1718" s="93" t="s">
        <v>30</v>
      </c>
      <c r="Y1718" s="93" t="s">
        <v>67</v>
      </c>
      <c r="Z1718" s="134">
        <f>VLOOKUP(W1718,Sheet2!$B:$D,3,FALSE)</f>
        <v>2500</v>
      </c>
      <c r="AA1718" s="93">
        <f>1/(2*2.5*0.25*5*0.08)</f>
        <v>2</v>
      </c>
      <c r="AB1718" s="93">
        <f>AD1718/AC1715</f>
        <v>1250</v>
      </c>
      <c r="AC1718" s="93">
        <f>AC1715/AA1718</f>
        <v>0.40500000000000003</v>
      </c>
      <c r="AD1718" s="94">
        <f t="shared" si="1259"/>
        <v>1012.5000000000001</v>
      </c>
      <c r="AE1718" s="190"/>
      <c r="AF1718" s="191"/>
      <c r="AG1718" s="191"/>
      <c r="AH1718" s="191"/>
      <c r="AI1718" s="186"/>
      <c r="AK1718" s="171"/>
    </row>
    <row r="1719" spans="1:37" s="102" customFormat="1" ht="19.899999999999999" customHeight="1" x14ac:dyDescent="0.25">
      <c r="A1719" s="45"/>
      <c r="B1719" s="59"/>
      <c r="C1719" s="137"/>
      <c r="D1719" s="59"/>
      <c r="E1719" s="116"/>
      <c r="F1719" s="120"/>
      <c r="G1719" s="120"/>
      <c r="H1719" s="120"/>
      <c r="I1719" s="60"/>
      <c r="J1719" s="116"/>
      <c r="K1719" s="213"/>
      <c r="L1719" s="120"/>
      <c r="M1719" s="120"/>
      <c r="N1719" s="167"/>
      <c r="O1719" s="120"/>
      <c r="P1719" s="120"/>
      <c r="Q1719" s="120"/>
      <c r="R1719" s="120"/>
      <c r="S1719" s="120"/>
      <c r="T1719" s="221"/>
      <c r="U1719" s="89"/>
      <c r="V1719" s="61"/>
      <c r="W1719" s="92" t="s">
        <v>1354</v>
      </c>
      <c r="X1719" s="93" t="s">
        <v>32</v>
      </c>
      <c r="Y1719" s="93" t="s">
        <v>66</v>
      </c>
      <c r="Z1719" s="134">
        <f>VLOOKUP(W1719,Sheet2!$B:$D,3,FALSE)</f>
        <v>150</v>
      </c>
      <c r="AA1719" s="93">
        <f>AA1716</f>
        <v>1.1111111111111112</v>
      </c>
      <c r="AB1719" s="93">
        <f>AD1719/AC1715</f>
        <v>134.99999999999997</v>
      </c>
      <c r="AC1719" s="93">
        <f>AC1715/AA1719</f>
        <v>0.72899999999999998</v>
      </c>
      <c r="AD1719" s="94">
        <f>AC1719*Z1719</f>
        <v>109.35</v>
      </c>
      <c r="AE1719" s="190"/>
      <c r="AF1719" s="191"/>
      <c r="AG1719" s="191"/>
      <c r="AH1719" s="191"/>
      <c r="AI1719" s="186"/>
      <c r="AK1719" s="171"/>
    </row>
    <row r="1720" spans="1:37" s="102" customFormat="1" ht="19.899999999999999" customHeight="1" x14ac:dyDescent="0.25">
      <c r="A1720" s="45"/>
      <c r="B1720" s="59"/>
      <c r="C1720" s="137"/>
      <c r="D1720" s="59"/>
      <c r="E1720" s="116"/>
      <c r="F1720" s="120"/>
      <c r="G1720" s="120"/>
      <c r="H1720" s="120"/>
      <c r="I1720" s="60"/>
      <c r="J1720" s="116"/>
      <c r="K1720" s="213"/>
      <c r="L1720" s="120"/>
      <c r="M1720" s="120"/>
      <c r="N1720" s="167"/>
      <c r="O1720" s="120"/>
      <c r="P1720" s="120"/>
      <c r="Q1720" s="120"/>
      <c r="R1720" s="120"/>
      <c r="S1720" s="120"/>
      <c r="T1720" s="221"/>
      <c r="U1720" s="89"/>
      <c r="V1720" s="61"/>
      <c r="W1720" s="92" t="s">
        <v>1355</v>
      </c>
      <c r="X1720" s="93" t="s">
        <v>32</v>
      </c>
      <c r="Y1720" s="93" t="s">
        <v>66</v>
      </c>
      <c r="Z1720" s="134">
        <f>VLOOKUP(W1720,Sheet2!$B:$D,3,FALSE)</f>
        <v>450</v>
      </c>
      <c r="AA1720" s="93">
        <f>AA1717</f>
        <v>0.16</v>
      </c>
      <c r="AB1720" s="93">
        <f>AD1720/AC1715</f>
        <v>2812.5</v>
      </c>
      <c r="AC1720" s="93">
        <f>AC1715/AA1720</f>
        <v>5.0625</v>
      </c>
      <c r="AD1720" s="94">
        <f>AC1720*Z1720</f>
        <v>2278.125</v>
      </c>
      <c r="AE1720" s="190"/>
      <c r="AF1720" s="191"/>
      <c r="AG1720" s="191"/>
      <c r="AH1720" s="191"/>
      <c r="AI1720" s="186"/>
      <c r="AK1720" s="171"/>
    </row>
    <row r="1721" spans="1:37" s="102" customFormat="1" ht="19.899999999999999" customHeight="1" x14ac:dyDescent="0.25">
      <c r="A1721" s="45"/>
      <c r="B1721" s="59"/>
      <c r="C1721" s="137"/>
      <c r="D1721" s="59"/>
      <c r="E1721" s="116"/>
      <c r="F1721" s="120"/>
      <c r="G1721" s="120"/>
      <c r="H1721" s="120"/>
      <c r="I1721" s="60"/>
      <c r="J1721" s="116"/>
      <c r="K1721" s="213"/>
      <c r="L1721" s="120"/>
      <c r="M1721" s="120"/>
      <c r="N1721" s="167"/>
      <c r="O1721" s="120"/>
      <c r="P1721" s="120"/>
      <c r="Q1721" s="120"/>
      <c r="R1721" s="120"/>
      <c r="S1721" s="120"/>
      <c r="T1721" s="221"/>
      <c r="U1721" s="89"/>
      <c r="V1721" s="61"/>
      <c r="W1721" s="92" t="s">
        <v>1356</v>
      </c>
      <c r="X1721" s="93" t="s">
        <v>30</v>
      </c>
      <c r="Y1721" s="93" t="s">
        <v>35</v>
      </c>
      <c r="Z1721" s="134">
        <f>VLOOKUP(W1721,Sheet2!$B:$D,3,FALSE)</f>
        <v>3500</v>
      </c>
      <c r="AA1721" s="93">
        <v>1</v>
      </c>
      <c r="AB1721" s="93">
        <f>AD1721/AC1715</f>
        <v>3499.9999999999995</v>
      </c>
      <c r="AC1721" s="93">
        <f>AC1715/AA1721</f>
        <v>0.81</v>
      </c>
      <c r="AD1721" s="94">
        <f t="shared" ref="AD1721:AD1723" si="1260">AC1721*Z1721</f>
        <v>2835</v>
      </c>
      <c r="AE1721" s="190"/>
      <c r="AF1721" s="191"/>
      <c r="AG1721" s="191"/>
      <c r="AH1721" s="191"/>
      <c r="AI1721" s="186"/>
      <c r="AK1721" s="171"/>
    </row>
    <row r="1722" spans="1:37" s="102" customFormat="1" ht="19.899999999999999" customHeight="1" x14ac:dyDescent="0.25">
      <c r="A1722" s="45"/>
      <c r="B1722" s="59"/>
      <c r="C1722" s="137"/>
      <c r="D1722" s="59"/>
      <c r="E1722" s="116"/>
      <c r="F1722" s="120"/>
      <c r="G1722" s="120"/>
      <c r="H1722" s="120"/>
      <c r="I1722" s="60"/>
      <c r="J1722" s="116"/>
      <c r="K1722" s="213"/>
      <c r="L1722" s="120"/>
      <c r="M1722" s="120"/>
      <c r="N1722" s="167"/>
      <c r="O1722" s="120"/>
      <c r="P1722" s="120"/>
      <c r="Q1722" s="120"/>
      <c r="R1722" s="120"/>
      <c r="S1722" s="120"/>
      <c r="T1722" s="221"/>
      <c r="U1722" s="89"/>
      <c r="V1722" s="61"/>
      <c r="W1722" s="92" t="s">
        <v>1368</v>
      </c>
      <c r="X1722" s="93" t="s">
        <v>30</v>
      </c>
      <c r="Y1722" s="93" t="s">
        <v>35</v>
      </c>
      <c r="Z1722" s="134">
        <f>VLOOKUP(W1722,Sheet2!$B:$D,3,FALSE)</f>
        <v>35250</v>
      </c>
      <c r="AA1722" s="93">
        <v>1</v>
      </c>
      <c r="AB1722" s="93">
        <f>AD1722/AC1715</f>
        <v>35250</v>
      </c>
      <c r="AC1722" s="93">
        <f>AC1715/AA1722</f>
        <v>0.81</v>
      </c>
      <c r="AD1722" s="94">
        <f t="shared" si="1260"/>
        <v>28552.500000000004</v>
      </c>
      <c r="AE1722" s="190"/>
      <c r="AF1722" s="191"/>
      <c r="AG1722" s="191"/>
      <c r="AH1722" s="191"/>
      <c r="AI1722" s="186"/>
      <c r="AK1722" s="171"/>
    </row>
    <row r="1723" spans="1:37" s="102" customFormat="1" ht="19.899999999999999" customHeight="1" x14ac:dyDescent="0.25">
      <c r="A1723" s="45"/>
      <c r="B1723" s="59"/>
      <c r="C1723" s="137"/>
      <c r="D1723" s="59"/>
      <c r="E1723" s="116"/>
      <c r="F1723" s="120"/>
      <c r="G1723" s="120"/>
      <c r="H1723" s="120"/>
      <c r="I1723" s="60"/>
      <c r="J1723" s="116"/>
      <c r="K1723" s="213"/>
      <c r="L1723" s="120"/>
      <c r="M1723" s="120"/>
      <c r="N1723" s="167"/>
      <c r="O1723" s="120"/>
      <c r="P1723" s="120"/>
      <c r="Q1723" s="120"/>
      <c r="R1723" s="120"/>
      <c r="S1723" s="120"/>
      <c r="T1723" s="221"/>
      <c r="U1723" s="89"/>
      <c r="V1723" s="61"/>
      <c r="W1723" s="92" t="s">
        <v>174</v>
      </c>
      <c r="X1723" s="93" t="s">
        <v>29</v>
      </c>
      <c r="Y1723" s="93" t="s">
        <v>93</v>
      </c>
      <c r="Z1723" s="134">
        <f>VLOOKUP(W1723,Sheet2!$B:$D,3,FALSE)</f>
        <v>80</v>
      </c>
      <c r="AA1723" s="93">
        <v>4</v>
      </c>
      <c r="AB1723" s="93">
        <f>AD1723/AC1715</f>
        <v>20.000000000000004</v>
      </c>
      <c r="AC1723" s="93">
        <f>AC1715/AA1723</f>
        <v>0.20250000000000001</v>
      </c>
      <c r="AD1723" s="94">
        <f t="shared" si="1260"/>
        <v>16.200000000000003</v>
      </c>
      <c r="AE1723" s="190"/>
      <c r="AF1723" s="191"/>
      <c r="AG1723" s="191"/>
      <c r="AH1723" s="191"/>
      <c r="AI1723" s="186"/>
      <c r="AK1723" s="171"/>
    </row>
    <row r="1724" spans="1:37" s="102" customFormat="1" ht="19.899999999999999" customHeight="1" x14ac:dyDescent="0.25">
      <c r="A1724" s="45"/>
      <c r="B1724" s="59"/>
      <c r="C1724" s="137"/>
      <c r="D1724" s="59"/>
      <c r="E1724" s="116"/>
      <c r="F1724" s="120"/>
      <c r="G1724" s="120"/>
      <c r="H1724" s="120"/>
      <c r="I1724" s="60"/>
      <c r="J1724" s="116"/>
      <c r="K1724" s="213"/>
      <c r="L1724" s="120"/>
      <c r="M1724" s="120"/>
      <c r="N1724" s="167"/>
      <c r="O1724" s="120"/>
      <c r="P1724" s="120"/>
      <c r="Q1724" s="120"/>
      <c r="R1724" s="120"/>
      <c r="S1724" s="120"/>
      <c r="T1724" s="221"/>
      <c r="U1724" s="89"/>
      <c r="V1724" s="61"/>
      <c r="W1724" s="92" t="s">
        <v>65</v>
      </c>
      <c r="X1724" s="93" t="s">
        <v>30</v>
      </c>
      <c r="Y1724" s="93" t="s">
        <v>93</v>
      </c>
      <c r="Z1724" s="134">
        <f>VLOOKUP(W1724,Sheet2!$B:$D,3,FALSE)</f>
        <v>1.76</v>
      </c>
      <c r="AA1724" s="93">
        <f>AA1723/15</f>
        <v>0.26666666666666666</v>
      </c>
      <c r="AB1724" s="93">
        <f>AD1724/AC1715</f>
        <v>6.6</v>
      </c>
      <c r="AC1724" s="93">
        <f>AC1715/AA1724</f>
        <v>3.0375000000000001</v>
      </c>
      <c r="AD1724" s="94">
        <f>AC1724*Z1724</f>
        <v>5.3460000000000001</v>
      </c>
      <c r="AE1724" s="190"/>
      <c r="AF1724" s="191"/>
      <c r="AG1724" s="191"/>
      <c r="AH1724" s="191"/>
      <c r="AI1724" s="186"/>
      <c r="AK1724" s="171"/>
    </row>
    <row r="1725" spans="1:37" s="102" customFormat="1" ht="19.899999999999999" customHeight="1" x14ac:dyDescent="0.25">
      <c r="A1725" s="45"/>
      <c r="B1725" s="59"/>
      <c r="C1725" s="137"/>
      <c r="D1725" s="59"/>
      <c r="E1725" s="116"/>
      <c r="F1725" s="120"/>
      <c r="G1725" s="120"/>
      <c r="H1725" s="120"/>
      <c r="I1725" s="60"/>
      <c r="J1725" s="116"/>
      <c r="K1725" s="213"/>
      <c r="L1725" s="120"/>
      <c r="M1725" s="120"/>
      <c r="N1725" s="167"/>
      <c r="O1725" s="120"/>
      <c r="P1725" s="120"/>
      <c r="Q1725" s="120"/>
      <c r="R1725" s="120"/>
      <c r="S1725" s="120"/>
      <c r="T1725" s="221"/>
      <c r="U1725" s="89"/>
      <c r="V1725" s="61"/>
      <c r="W1725" s="92" t="s">
        <v>1357</v>
      </c>
      <c r="X1725" s="93" t="s">
        <v>30</v>
      </c>
      <c r="Y1725" s="93" t="s">
        <v>1349</v>
      </c>
      <c r="Z1725" s="134">
        <f>VLOOKUP(W1725,Sheet2!$B:$D,3,FALSE)</f>
        <v>150</v>
      </c>
      <c r="AA1725" s="93">
        <v>1</v>
      </c>
      <c r="AB1725" s="93">
        <f>AD1725/AC1715</f>
        <v>150</v>
      </c>
      <c r="AC1725" s="93">
        <f>AC1715/AA1725</f>
        <v>0.81</v>
      </c>
      <c r="AD1725" s="94">
        <f>AC1725*Z1725</f>
        <v>121.50000000000001</v>
      </c>
      <c r="AE1725" s="190"/>
      <c r="AF1725" s="191"/>
      <c r="AG1725" s="191"/>
      <c r="AH1725" s="191"/>
      <c r="AI1725" s="186"/>
      <c r="AK1725" s="171"/>
    </row>
    <row r="1726" spans="1:37" s="102" customFormat="1" ht="19.899999999999999" customHeight="1" x14ac:dyDescent="0.25">
      <c r="A1726" s="45"/>
      <c r="B1726" s="59"/>
      <c r="C1726" s="137"/>
      <c r="D1726" s="59"/>
      <c r="E1726" s="116"/>
      <c r="F1726" s="120"/>
      <c r="G1726" s="120"/>
      <c r="H1726" s="120"/>
      <c r="I1726" s="60"/>
      <c r="J1726" s="116"/>
      <c r="K1726" s="213"/>
      <c r="L1726" s="120"/>
      <c r="M1726" s="120"/>
      <c r="N1726" s="167"/>
      <c r="O1726" s="120"/>
      <c r="P1726" s="120"/>
      <c r="Q1726" s="120"/>
      <c r="R1726" s="120"/>
      <c r="S1726" s="120"/>
      <c r="T1726" s="221"/>
      <c r="U1726" s="89"/>
      <c r="V1726" s="61"/>
      <c r="W1726" s="92" t="s">
        <v>107</v>
      </c>
      <c r="X1726" s="93" t="s">
        <v>31</v>
      </c>
      <c r="Y1726" s="93" t="s">
        <v>93</v>
      </c>
      <c r="Z1726" s="134">
        <f>VLOOKUP(W1726,Sheet2!$B:$D,3,FALSE)</f>
        <v>17</v>
      </c>
      <c r="AA1726" s="93">
        <f>1/5</f>
        <v>0.2</v>
      </c>
      <c r="AB1726" s="93">
        <f>AD1726/AC1715</f>
        <v>84.999999999999986</v>
      </c>
      <c r="AC1726" s="93">
        <f>AC1715/AA1726</f>
        <v>4.05</v>
      </c>
      <c r="AD1726" s="94">
        <f>AC1726*Z1726</f>
        <v>68.849999999999994</v>
      </c>
      <c r="AE1726" s="190"/>
      <c r="AF1726" s="191"/>
      <c r="AG1726" s="191"/>
      <c r="AH1726" s="191"/>
      <c r="AI1726" s="186"/>
      <c r="AK1726" s="171"/>
    </row>
    <row r="1727" spans="1:37" s="102" customFormat="1" ht="19.899999999999999" customHeight="1" x14ac:dyDescent="0.25">
      <c r="A1727" s="45"/>
      <c r="B1727" s="59"/>
      <c r="C1727" s="137"/>
      <c r="D1727" s="59"/>
      <c r="E1727" s="116"/>
      <c r="F1727" s="120"/>
      <c r="G1727" s="120"/>
      <c r="H1727" s="120"/>
      <c r="I1727" s="60"/>
      <c r="J1727" s="116"/>
      <c r="K1727" s="213"/>
      <c r="L1727" s="120"/>
      <c r="M1727" s="120"/>
      <c r="N1727" s="167"/>
      <c r="O1727" s="120"/>
      <c r="P1727" s="120"/>
      <c r="Q1727" s="120"/>
      <c r="R1727" s="120"/>
      <c r="S1727" s="120"/>
      <c r="T1727" s="221"/>
      <c r="U1727" s="89"/>
      <c r="V1727" s="61"/>
      <c r="W1727" s="92" t="s">
        <v>112</v>
      </c>
      <c r="X1727" s="93" t="s">
        <v>31</v>
      </c>
      <c r="Y1727" s="93" t="s">
        <v>93</v>
      </c>
      <c r="Z1727" s="134">
        <f>VLOOKUP(W1727,Sheet2!$B:$D,3,FALSE)</f>
        <v>13</v>
      </c>
      <c r="AA1727" s="93">
        <f>AA1726</f>
        <v>0.2</v>
      </c>
      <c r="AB1727" s="93">
        <f>AD1727/AC1715</f>
        <v>65</v>
      </c>
      <c r="AC1727" s="93">
        <f>AC1715/AA1727</f>
        <v>4.05</v>
      </c>
      <c r="AD1727" s="94">
        <f>AC1727*Z1727</f>
        <v>52.65</v>
      </c>
      <c r="AE1727" s="190"/>
      <c r="AF1727" s="191"/>
      <c r="AG1727" s="191"/>
      <c r="AH1727" s="191"/>
      <c r="AI1727" s="186"/>
      <c r="AK1727" s="171"/>
    </row>
    <row r="1728" spans="1:37" s="103" customFormat="1" ht="19.899999999999999" customHeight="1" x14ac:dyDescent="0.25">
      <c r="A1728" s="51"/>
      <c r="B1728" s="52"/>
      <c r="C1728" s="165"/>
      <c r="D1728" s="52"/>
      <c r="E1728" s="115"/>
      <c r="F1728" s="58"/>
      <c r="G1728" s="58"/>
      <c r="H1728" s="58"/>
      <c r="I1728" s="55"/>
      <c r="J1728" s="113">
        <f>J1709</f>
        <v>0.81</v>
      </c>
      <c r="K1728" s="212">
        <f>K1709</f>
        <v>0.81</v>
      </c>
      <c r="L1728" s="58"/>
      <c r="M1728" s="58">
        <f>K1728-L1728</f>
        <v>0.81</v>
      </c>
      <c r="N1728" s="166"/>
      <c r="O1728" s="58"/>
      <c r="P1728" s="58"/>
      <c r="Q1728" s="58"/>
      <c r="R1728" s="58"/>
      <c r="S1728" s="58"/>
      <c r="T1728" s="220"/>
      <c r="U1728" s="88"/>
      <c r="V1728" s="56"/>
      <c r="W1728" s="57" t="s">
        <v>1358</v>
      </c>
      <c r="X1728" s="53"/>
      <c r="Y1728" s="91" t="s">
        <v>35</v>
      </c>
      <c r="Z1728" s="136">
        <f>AD1728/AC1728</f>
        <v>3360.0000000000005</v>
      </c>
      <c r="AA1728" s="58"/>
      <c r="AB1728" s="53">
        <f>AD1728/AC1728</f>
        <v>3360.0000000000005</v>
      </c>
      <c r="AC1728" s="53">
        <f>M1728+$AE$10</f>
        <v>0.81</v>
      </c>
      <c r="AD1728" s="54">
        <f>SUM(AD1729:AD1730)</f>
        <v>2721.6000000000004</v>
      </c>
      <c r="AE1728" s="184">
        <f>SUMIFS($AD$37:$AD$12971,$V$37:$V$12971,$V1728,$X$37:$X$12971,AE$13)</f>
        <v>0</v>
      </c>
      <c r="AF1728" s="185">
        <f>SUMIFS($AD$37:$AD$12971,$V$37:$V$12971,$V1728,$X$37:$X$12971,AF$13)</f>
        <v>0</v>
      </c>
      <c r="AG1728" s="185">
        <f>SUMIFS($AD$37:$AD$12971,$V$37:$V$12971,$V1728,$X$37:$X$12971,AG$13)</f>
        <v>0</v>
      </c>
      <c r="AH1728" s="187">
        <f>SUMIFS($AD$37:$AD$12971,$V$37:$V$12971,$V1728,$X$37:$X$12971,AH$13)</f>
        <v>0</v>
      </c>
      <c r="AI1728" s="161">
        <f t="shared" ref="AI1728" si="1261">SUM(AE1728:AH1728)</f>
        <v>0</v>
      </c>
      <c r="AK1728" s="172"/>
    </row>
    <row r="1729" spans="1:41" s="102" customFormat="1" ht="19.899999999999999" customHeight="1" x14ac:dyDescent="0.25">
      <c r="A1729" s="45"/>
      <c r="B1729" s="59"/>
      <c r="C1729" s="137"/>
      <c r="D1729" s="59"/>
      <c r="E1729" s="116"/>
      <c r="F1729" s="120"/>
      <c r="G1729" s="120"/>
      <c r="H1729" s="120"/>
      <c r="I1729" s="60"/>
      <c r="J1729" s="116"/>
      <c r="K1729" s="213"/>
      <c r="L1729" s="120"/>
      <c r="M1729" s="120"/>
      <c r="N1729" s="167"/>
      <c r="O1729" s="120"/>
      <c r="P1729" s="120"/>
      <c r="Q1729" s="120"/>
      <c r="R1729" s="120"/>
      <c r="S1729" s="120"/>
      <c r="T1729" s="221"/>
      <c r="U1729" s="89"/>
      <c r="V1729" s="61"/>
      <c r="W1729" s="92" t="s">
        <v>1359</v>
      </c>
      <c r="X1729" s="93" t="s">
        <v>32</v>
      </c>
      <c r="Y1729" s="93" t="s">
        <v>64</v>
      </c>
      <c r="Z1729" s="134">
        <f>VLOOKUP(W1729,Sheet2!$B:$D,3,FALSE)</f>
        <v>40</v>
      </c>
      <c r="AA1729" s="93">
        <f>1/48</f>
        <v>2.0833333333333332E-2</v>
      </c>
      <c r="AB1729" s="93">
        <f t="shared" ref="AB1729" si="1262">AD1729/AC1728</f>
        <v>1920</v>
      </c>
      <c r="AC1729" s="93">
        <f>AC1728/AA1729</f>
        <v>38.880000000000003</v>
      </c>
      <c r="AD1729" s="94">
        <f t="shared" ref="AD1729:AD1730" si="1263">AC1729*Z1729</f>
        <v>1555.2</v>
      </c>
      <c r="AE1729" s="190"/>
      <c r="AF1729" s="191"/>
      <c r="AG1729" s="191"/>
      <c r="AH1729" s="191"/>
      <c r="AI1729" s="186"/>
      <c r="AK1729" s="171"/>
    </row>
    <row r="1730" spans="1:41" s="102" customFormat="1" ht="19.899999999999999" customHeight="1" x14ac:dyDescent="0.25">
      <c r="A1730" s="45"/>
      <c r="B1730" s="59"/>
      <c r="C1730" s="137"/>
      <c r="D1730" s="59"/>
      <c r="E1730" s="116"/>
      <c r="F1730" s="120"/>
      <c r="G1730" s="120"/>
      <c r="H1730" s="120"/>
      <c r="I1730" s="60"/>
      <c r="J1730" s="116"/>
      <c r="K1730" s="213"/>
      <c r="L1730" s="120"/>
      <c r="M1730" s="120"/>
      <c r="N1730" s="167"/>
      <c r="O1730" s="120"/>
      <c r="P1730" s="120"/>
      <c r="Q1730" s="120"/>
      <c r="R1730" s="120"/>
      <c r="S1730" s="120"/>
      <c r="T1730" s="221"/>
      <c r="U1730" s="89"/>
      <c r="V1730" s="61"/>
      <c r="W1730" s="92" t="s">
        <v>1360</v>
      </c>
      <c r="X1730" s="93" t="s">
        <v>32</v>
      </c>
      <c r="Y1730" s="93" t="s">
        <v>64</v>
      </c>
      <c r="Z1730" s="134">
        <f>VLOOKUP(W1730,Sheet2!$B:$D,3,FALSE)</f>
        <v>30</v>
      </c>
      <c r="AA1730" s="93">
        <f>AA1729</f>
        <v>2.0833333333333332E-2</v>
      </c>
      <c r="AB1730" s="93">
        <f>AD1730/AC1728</f>
        <v>1440</v>
      </c>
      <c r="AC1730" s="93">
        <f>AC1728/AA1730</f>
        <v>38.880000000000003</v>
      </c>
      <c r="AD1730" s="94">
        <f t="shared" si="1263"/>
        <v>1166.4000000000001</v>
      </c>
      <c r="AE1730" s="190"/>
      <c r="AF1730" s="191"/>
      <c r="AG1730" s="191"/>
      <c r="AH1730" s="191"/>
      <c r="AI1730" s="186"/>
      <c r="AK1730" s="171"/>
    </row>
    <row r="1731" spans="1:41" s="103" customFormat="1" ht="19.899999999999999" customHeight="1" x14ac:dyDescent="0.25">
      <c r="A1731" s="51"/>
      <c r="B1731" s="52"/>
      <c r="C1731" s="165"/>
      <c r="D1731" s="52"/>
      <c r="E1731" s="115"/>
      <c r="F1731" s="58"/>
      <c r="G1731" s="58"/>
      <c r="H1731" s="58"/>
      <c r="I1731" s="55"/>
      <c r="J1731" s="113">
        <f>J1709</f>
        <v>0.81</v>
      </c>
      <c r="K1731" s="212">
        <f>K1709</f>
        <v>0.81</v>
      </c>
      <c r="L1731" s="58"/>
      <c r="M1731" s="58">
        <f>K1731-L1731</f>
        <v>0.81</v>
      </c>
      <c r="N1731" s="166"/>
      <c r="O1731" s="58"/>
      <c r="P1731" s="58"/>
      <c r="Q1731" s="58"/>
      <c r="R1731" s="58"/>
      <c r="S1731" s="58"/>
      <c r="T1731" s="220"/>
      <c r="U1731" s="88"/>
      <c r="V1731" s="56"/>
      <c r="W1731" s="57" t="s">
        <v>1272</v>
      </c>
      <c r="X1731" s="53"/>
      <c r="Y1731" s="91" t="s">
        <v>35</v>
      </c>
      <c r="Z1731" s="136">
        <f>AD1731/AC1731</f>
        <v>256.17651764705886</v>
      </c>
      <c r="AA1731" s="58"/>
      <c r="AB1731" s="53">
        <f>AD1731/AC1731</f>
        <v>256.17651764705886</v>
      </c>
      <c r="AC1731" s="53">
        <f>M1731+$AE$10</f>
        <v>0.81</v>
      </c>
      <c r="AD1731" s="54">
        <f>SUM(AD1732:AD1740)</f>
        <v>207.50297929411769</v>
      </c>
      <c r="AE1731" s="184">
        <f>SUMIFS($AD$37:$AD$12971,$V$37:$V$12971,$V1731,$X$37:$X$12971,AE$13)</f>
        <v>0</v>
      </c>
      <c r="AF1731" s="185">
        <f>SUMIFS($AD$37:$AD$12971,$V$37:$V$12971,$V1731,$X$37:$X$12971,AF$13)</f>
        <v>0</v>
      </c>
      <c r="AG1731" s="185">
        <f>SUMIFS($AD$37:$AD$12971,$V$37:$V$12971,$V1731,$X$37:$X$12971,AG$13)</f>
        <v>0</v>
      </c>
      <c r="AH1731" s="187">
        <f>SUMIFS($AD$37:$AD$12971,$V$37:$V$12971,$V1731,$X$37:$X$12971,AH$13)</f>
        <v>0</v>
      </c>
      <c r="AI1731" s="161">
        <f t="shared" ref="AI1731" si="1264">SUM(AE1731:AH1731)</f>
        <v>0</v>
      </c>
      <c r="AK1731" s="172"/>
    </row>
    <row r="1732" spans="1:41" s="102" customFormat="1" ht="19.899999999999999" customHeight="1" x14ac:dyDescent="0.25">
      <c r="A1732" s="45"/>
      <c r="B1732" s="59"/>
      <c r="C1732" s="137"/>
      <c r="D1732" s="59"/>
      <c r="E1732" s="116"/>
      <c r="F1732" s="120"/>
      <c r="G1732" s="120"/>
      <c r="H1732" s="120"/>
      <c r="I1732" s="60"/>
      <c r="J1732" s="116"/>
      <c r="K1732" s="213"/>
      <c r="L1732" s="120"/>
      <c r="M1732" s="120"/>
      <c r="N1732" s="167"/>
      <c r="O1732" s="120"/>
      <c r="P1732" s="120"/>
      <c r="Q1732" s="120"/>
      <c r="R1732" s="120"/>
      <c r="S1732" s="120"/>
      <c r="T1732" s="221"/>
      <c r="U1732" s="89"/>
      <c r="V1732" s="61"/>
      <c r="W1732" s="92" t="s">
        <v>1273</v>
      </c>
      <c r="X1732" s="93" t="s">
        <v>30</v>
      </c>
      <c r="Y1732" s="93" t="s">
        <v>66</v>
      </c>
      <c r="Z1732" s="134">
        <f>VLOOKUP(W1732,Sheet2!$B:$D,3,FALSE)</f>
        <v>10</v>
      </c>
      <c r="AA1732" s="93">
        <f>1/(2.5*2.9*0.5*4)</f>
        <v>6.8965517241379309E-2</v>
      </c>
      <c r="AB1732" s="93">
        <f>AD1732/AC1731</f>
        <v>145</v>
      </c>
      <c r="AC1732" s="93">
        <f>AC1731/AA1732</f>
        <v>11.745000000000001</v>
      </c>
      <c r="AD1732" s="94">
        <f t="shared" ref="AD1732:AD1734" si="1265">AC1732*Z1732</f>
        <v>117.45000000000002</v>
      </c>
      <c r="AE1732" s="190"/>
      <c r="AF1732" s="191"/>
      <c r="AG1732" s="191"/>
      <c r="AH1732" s="191"/>
      <c r="AI1732" s="186"/>
      <c r="AK1732" s="171"/>
    </row>
    <row r="1733" spans="1:41" s="102" customFormat="1" ht="19.899999999999999" customHeight="1" x14ac:dyDescent="0.25">
      <c r="A1733" s="45"/>
      <c r="B1733" s="59"/>
      <c r="C1733" s="137"/>
      <c r="D1733" s="59"/>
      <c r="E1733" s="116"/>
      <c r="F1733" s="120"/>
      <c r="G1733" s="120"/>
      <c r="H1733" s="120"/>
      <c r="I1733" s="60"/>
      <c r="J1733" s="116"/>
      <c r="K1733" s="213"/>
      <c r="L1733" s="120"/>
      <c r="M1733" s="120"/>
      <c r="N1733" s="167"/>
      <c r="O1733" s="120"/>
      <c r="P1733" s="120"/>
      <c r="Q1733" s="120"/>
      <c r="R1733" s="120"/>
      <c r="S1733" s="120"/>
      <c r="T1733" s="221"/>
      <c r="U1733" s="89"/>
      <c r="V1733" s="61"/>
      <c r="W1733" s="92" t="s">
        <v>134</v>
      </c>
      <c r="X1733" s="93" t="s">
        <v>29</v>
      </c>
      <c r="Y1733" s="93" t="s">
        <v>93</v>
      </c>
      <c r="Z1733" s="134">
        <f>VLOOKUP(W1733,Sheet2!$B:$D,3,FALSE)</f>
        <v>65.599999999999994</v>
      </c>
      <c r="AA1733" s="93">
        <f>100/(2.5*2.9*0.5*4)</f>
        <v>6.8965517241379306</v>
      </c>
      <c r="AB1733" s="93">
        <f t="shared" ref="AB1733" si="1266">AD1733/AC1731</f>
        <v>9.5119999999999987</v>
      </c>
      <c r="AC1733" s="93">
        <f>AC1731/AA1733</f>
        <v>0.11745000000000001</v>
      </c>
      <c r="AD1733" s="94">
        <f t="shared" si="1265"/>
        <v>7.70472</v>
      </c>
      <c r="AE1733" s="190"/>
      <c r="AF1733" s="191"/>
      <c r="AG1733" s="191"/>
      <c r="AH1733" s="191"/>
      <c r="AI1733" s="186"/>
      <c r="AK1733" s="171"/>
    </row>
    <row r="1734" spans="1:41" s="102" customFormat="1" ht="19.899999999999999" customHeight="1" x14ac:dyDescent="0.25">
      <c r="A1734" s="45"/>
      <c r="B1734" s="59"/>
      <c r="C1734" s="137"/>
      <c r="D1734" s="59"/>
      <c r="E1734" s="116"/>
      <c r="F1734" s="120"/>
      <c r="G1734" s="120"/>
      <c r="H1734" s="120"/>
      <c r="I1734" s="60"/>
      <c r="J1734" s="116"/>
      <c r="K1734" s="213"/>
      <c r="L1734" s="120"/>
      <c r="M1734" s="120"/>
      <c r="N1734" s="167"/>
      <c r="O1734" s="120"/>
      <c r="P1734" s="120"/>
      <c r="Q1734" s="120"/>
      <c r="R1734" s="120"/>
      <c r="S1734" s="120"/>
      <c r="T1734" s="221"/>
      <c r="U1734" s="89"/>
      <c r="V1734" s="61"/>
      <c r="W1734" s="92" t="s">
        <v>65</v>
      </c>
      <c r="X1734" s="93" t="s">
        <v>30</v>
      </c>
      <c r="Y1734" s="93" t="s">
        <v>1011</v>
      </c>
      <c r="Z1734" s="134">
        <f>VLOOKUP(W1734,Sheet2!$B:$D,3,FALSE)</f>
        <v>1.76</v>
      </c>
      <c r="AA1734" s="93">
        <f>AA1733/9</f>
        <v>0.76628352490421447</v>
      </c>
      <c r="AB1734" s="93">
        <f>AD1734/AC1731</f>
        <v>2.2968000000000006</v>
      </c>
      <c r="AC1734" s="93">
        <f>AC1731/AA1734</f>
        <v>1.0570500000000003</v>
      </c>
      <c r="AD1734" s="94">
        <f t="shared" si="1265"/>
        <v>1.8604080000000005</v>
      </c>
      <c r="AE1734" s="190"/>
      <c r="AF1734" s="191"/>
      <c r="AG1734" s="191"/>
      <c r="AH1734" s="191"/>
      <c r="AI1734" s="186"/>
      <c r="AK1734" s="171"/>
    </row>
    <row r="1735" spans="1:41" s="102" customFormat="1" ht="19.899999999999999" customHeight="1" x14ac:dyDescent="0.25">
      <c r="A1735" s="45"/>
      <c r="B1735" s="59"/>
      <c r="C1735" s="137"/>
      <c r="D1735" s="59"/>
      <c r="E1735" s="116"/>
      <c r="F1735" s="120"/>
      <c r="G1735" s="120"/>
      <c r="H1735" s="120"/>
      <c r="I1735" s="60"/>
      <c r="J1735" s="116"/>
      <c r="K1735" s="213"/>
      <c r="L1735" s="120"/>
      <c r="M1735" s="120"/>
      <c r="N1735" s="167"/>
      <c r="O1735" s="120"/>
      <c r="P1735" s="120"/>
      <c r="Q1735" s="120"/>
      <c r="R1735" s="120"/>
      <c r="S1735" s="120"/>
      <c r="T1735" s="221"/>
      <c r="U1735" s="89"/>
      <c r="V1735" s="61"/>
      <c r="W1735" s="92" t="s">
        <v>161</v>
      </c>
      <c r="X1735" s="93" t="s">
        <v>29</v>
      </c>
      <c r="Y1735" s="93" t="s">
        <v>93</v>
      </c>
      <c r="Z1735" s="134">
        <f>VLOOKUP(W1735,Sheet2!$B:$D,3,FALSE)</f>
        <v>48</v>
      </c>
      <c r="AA1735" s="93">
        <f>(16*0.85*1.5)/(2.5*2.9*0.5*4)</f>
        <v>1.4068965517241379</v>
      </c>
      <c r="AB1735" s="93">
        <f>AD1735/AC1731</f>
        <v>34.117647058823536</v>
      </c>
      <c r="AC1735" s="93">
        <f>AC1731/AA1735</f>
        <v>0.57573529411764712</v>
      </c>
      <c r="AD1735" s="94">
        <f>AC1735*Z1735</f>
        <v>27.635294117647064</v>
      </c>
      <c r="AE1735" s="190"/>
      <c r="AF1735" s="191"/>
      <c r="AG1735" s="191"/>
      <c r="AH1735" s="191"/>
      <c r="AI1735" s="186"/>
      <c r="AK1735" s="171"/>
    </row>
    <row r="1736" spans="1:41" s="102" customFormat="1" ht="19.899999999999999" customHeight="1" x14ac:dyDescent="0.25">
      <c r="A1736" s="45"/>
      <c r="B1736" s="59"/>
      <c r="C1736" s="137"/>
      <c r="D1736" s="59"/>
      <c r="E1736" s="116"/>
      <c r="F1736" s="120"/>
      <c r="G1736" s="120"/>
      <c r="H1736" s="120"/>
      <c r="I1736" s="60"/>
      <c r="J1736" s="116"/>
      <c r="K1736" s="213"/>
      <c r="L1736" s="120"/>
      <c r="M1736" s="120"/>
      <c r="N1736" s="167"/>
      <c r="O1736" s="120"/>
      <c r="P1736" s="120"/>
      <c r="Q1736" s="120"/>
      <c r="R1736" s="120"/>
      <c r="S1736" s="120"/>
      <c r="T1736" s="221"/>
      <c r="U1736" s="89"/>
      <c r="V1736" s="61"/>
      <c r="W1736" s="92" t="s">
        <v>65</v>
      </c>
      <c r="X1736" s="93" t="s">
        <v>30</v>
      </c>
      <c r="Y1736" s="93" t="s">
        <v>1011</v>
      </c>
      <c r="Z1736" s="134">
        <f>VLOOKUP(W1736,Sheet2!$B:$D,3,FALSE)</f>
        <v>1.76</v>
      </c>
      <c r="AA1736" s="93">
        <f>AA1735/10</f>
        <v>0.14068965517241377</v>
      </c>
      <c r="AB1736" s="93">
        <f>AD1736/AC1731</f>
        <v>12.509803921568629</v>
      </c>
      <c r="AC1736" s="93">
        <f>AC1731/AA1736</f>
        <v>5.7573529411764719</v>
      </c>
      <c r="AD1736" s="94">
        <f>AC1736*Z1736</f>
        <v>10.13294117647059</v>
      </c>
      <c r="AE1736" s="190"/>
      <c r="AF1736" s="191"/>
      <c r="AG1736" s="191"/>
      <c r="AH1736" s="191"/>
      <c r="AI1736" s="186"/>
      <c r="AK1736" s="171"/>
    </row>
    <row r="1737" spans="1:41" s="102" customFormat="1" ht="19.899999999999999" customHeight="1" x14ac:dyDescent="0.25">
      <c r="A1737" s="45"/>
      <c r="B1737" s="59"/>
      <c r="C1737" s="137"/>
      <c r="D1737" s="59"/>
      <c r="E1737" s="116"/>
      <c r="F1737" s="120"/>
      <c r="G1737" s="120"/>
      <c r="H1737" s="120"/>
      <c r="I1737" s="60"/>
      <c r="J1737" s="116"/>
      <c r="K1737" s="213"/>
      <c r="L1737" s="120"/>
      <c r="M1737" s="120"/>
      <c r="N1737" s="167"/>
      <c r="O1737" s="120"/>
      <c r="P1737" s="120"/>
      <c r="Q1737" s="120"/>
      <c r="R1737" s="120"/>
      <c r="S1737" s="120"/>
      <c r="T1737" s="221"/>
      <c r="U1737" s="89"/>
      <c r="V1737" s="61"/>
      <c r="W1737" s="92" t="s">
        <v>173</v>
      </c>
      <c r="X1737" s="93" t="s">
        <v>29</v>
      </c>
      <c r="Y1737" s="93" t="s">
        <v>93</v>
      </c>
      <c r="Z1737" s="134">
        <f>VLOOKUP(W1737,Sheet2!$B:$D,3,FALSE)</f>
        <v>36</v>
      </c>
      <c r="AA1737" s="93">
        <f>50/(2.5*2.9*0.5*4)</f>
        <v>3.4482758620689653</v>
      </c>
      <c r="AB1737" s="93">
        <f>AD1737/AC1731</f>
        <v>10.44</v>
      </c>
      <c r="AC1737" s="93">
        <f>AC1731/AA1737</f>
        <v>0.23490000000000003</v>
      </c>
      <c r="AD1737" s="94">
        <f>AC1737*Z1737</f>
        <v>8.4564000000000004</v>
      </c>
      <c r="AE1737" s="190"/>
      <c r="AF1737" s="191"/>
      <c r="AG1737" s="191"/>
      <c r="AH1737" s="191"/>
      <c r="AI1737" s="186"/>
      <c r="AK1737" s="171"/>
    </row>
    <row r="1738" spans="1:41" s="102" customFormat="1" ht="19.899999999999999" customHeight="1" x14ac:dyDescent="0.25">
      <c r="A1738" s="45"/>
      <c r="B1738" s="59"/>
      <c r="C1738" s="137"/>
      <c r="D1738" s="59"/>
      <c r="E1738" s="116"/>
      <c r="F1738" s="120"/>
      <c r="G1738" s="120"/>
      <c r="H1738" s="120"/>
      <c r="I1738" s="60"/>
      <c r="J1738" s="116"/>
      <c r="K1738" s="213"/>
      <c r="L1738" s="120"/>
      <c r="M1738" s="120"/>
      <c r="N1738" s="167"/>
      <c r="O1738" s="120"/>
      <c r="P1738" s="120"/>
      <c r="Q1738" s="120"/>
      <c r="R1738" s="120"/>
      <c r="S1738" s="120"/>
      <c r="T1738" s="221"/>
      <c r="U1738" s="89"/>
      <c r="V1738" s="61"/>
      <c r="W1738" s="92" t="s">
        <v>65</v>
      </c>
      <c r="X1738" s="93" t="s">
        <v>30</v>
      </c>
      <c r="Y1738" s="93" t="s">
        <v>1011</v>
      </c>
      <c r="Z1738" s="134">
        <f>VLOOKUP(W1738,Sheet2!$B:$D,3,FALSE)</f>
        <v>1.76</v>
      </c>
      <c r="AA1738" s="93">
        <f>AA1737/9</f>
        <v>0.38314176245210724</v>
      </c>
      <c r="AB1738" s="93">
        <f>AD1738/AC1731</f>
        <v>4.5936000000000012</v>
      </c>
      <c r="AC1738" s="93">
        <f>AC1731/AA1738</f>
        <v>2.1141000000000005</v>
      </c>
      <c r="AD1738" s="94">
        <f>AC1738*Z1738</f>
        <v>3.720816000000001</v>
      </c>
      <c r="AE1738" s="190"/>
      <c r="AF1738" s="191"/>
      <c r="AG1738" s="191"/>
      <c r="AH1738" s="191"/>
      <c r="AI1738" s="186"/>
      <c r="AK1738" s="171"/>
    </row>
    <row r="1739" spans="1:41" s="102" customFormat="1" ht="19.899999999999999" customHeight="1" x14ac:dyDescent="0.25">
      <c r="A1739" s="45"/>
      <c r="B1739" s="59"/>
      <c r="C1739" s="137"/>
      <c r="D1739" s="59"/>
      <c r="E1739" s="116"/>
      <c r="F1739" s="120"/>
      <c r="G1739" s="120"/>
      <c r="H1739" s="120"/>
      <c r="I1739" s="60"/>
      <c r="J1739" s="116"/>
      <c r="K1739" s="213"/>
      <c r="L1739" s="120"/>
      <c r="M1739" s="120"/>
      <c r="N1739" s="167"/>
      <c r="O1739" s="120"/>
      <c r="P1739" s="120"/>
      <c r="Q1739" s="120"/>
      <c r="R1739" s="120"/>
      <c r="S1739" s="120"/>
      <c r="T1739" s="221"/>
      <c r="U1739" s="89"/>
      <c r="V1739" s="61"/>
      <c r="W1739" s="92" t="s">
        <v>1030</v>
      </c>
      <c r="X1739" s="93" t="s">
        <v>29</v>
      </c>
      <c r="Y1739" s="93" t="s">
        <v>93</v>
      </c>
      <c r="Z1739" s="134">
        <f>VLOOKUP(W1739,Sheet2!$B:$D,3,FALSE)</f>
        <v>23</v>
      </c>
      <c r="AA1739" s="93">
        <v>0.75</v>
      </c>
      <c r="AB1739" s="93">
        <f>AD1739/AC1731</f>
        <v>30.666666666666668</v>
      </c>
      <c r="AC1739" s="93">
        <f>AC1731/AA1739</f>
        <v>1.08</v>
      </c>
      <c r="AD1739" s="94">
        <f t="shared" ref="AD1739:AD1740" si="1267">AC1739*Z1739</f>
        <v>24.840000000000003</v>
      </c>
      <c r="AE1739" s="190"/>
      <c r="AF1739" s="191"/>
      <c r="AG1739" s="191"/>
      <c r="AH1739" s="191"/>
      <c r="AI1739" s="186"/>
      <c r="AK1739" s="171"/>
    </row>
    <row r="1740" spans="1:41" s="102" customFormat="1" ht="19.899999999999999" customHeight="1" x14ac:dyDescent="0.25">
      <c r="A1740" s="45"/>
      <c r="B1740" s="59"/>
      <c r="C1740" s="137"/>
      <c r="D1740" s="59"/>
      <c r="E1740" s="116"/>
      <c r="F1740" s="120"/>
      <c r="G1740" s="120"/>
      <c r="H1740" s="120"/>
      <c r="I1740" s="60"/>
      <c r="J1740" s="116"/>
      <c r="K1740" s="213"/>
      <c r="L1740" s="120"/>
      <c r="M1740" s="120"/>
      <c r="N1740" s="167"/>
      <c r="O1740" s="120"/>
      <c r="P1740" s="120"/>
      <c r="Q1740" s="120"/>
      <c r="R1740" s="120"/>
      <c r="S1740" s="120"/>
      <c r="T1740" s="221"/>
      <c r="U1740" s="89"/>
      <c r="V1740" s="61"/>
      <c r="W1740" s="92" t="s">
        <v>65</v>
      </c>
      <c r="X1740" s="93" t="s">
        <v>30</v>
      </c>
      <c r="Y1740" s="93" t="s">
        <v>1011</v>
      </c>
      <c r="Z1740" s="134">
        <f>VLOOKUP(W1740,Sheet2!$B:$D,3,FALSE)</f>
        <v>1.76</v>
      </c>
      <c r="AA1740" s="93">
        <f>AA1739/3</f>
        <v>0.25</v>
      </c>
      <c r="AB1740" s="93">
        <f>AD1740/AC1731</f>
        <v>7.0400000000000009</v>
      </c>
      <c r="AC1740" s="93">
        <f>AC1731/AA1740</f>
        <v>3.24</v>
      </c>
      <c r="AD1740" s="94">
        <f t="shared" si="1267"/>
        <v>5.7024000000000008</v>
      </c>
      <c r="AE1740" s="190"/>
      <c r="AF1740" s="191"/>
      <c r="AG1740" s="191"/>
      <c r="AH1740" s="191"/>
      <c r="AI1740" s="186"/>
      <c r="AK1740" s="171"/>
    </row>
    <row r="1741" spans="1:41" ht="25.5" x14ac:dyDescent="0.25">
      <c r="A1741" s="277" t="s">
        <v>216</v>
      </c>
      <c r="B1741" s="278"/>
      <c r="C1741" s="64" t="s">
        <v>373</v>
      </c>
      <c r="D1741" s="46" t="s">
        <v>97</v>
      </c>
      <c r="E1741" s="114">
        <v>1.8199999999999998</v>
      </c>
      <c r="F1741" s="44">
        <v>80690</v>
      </c>
      <c r="G1741" s="44">
        <f t="shared" si="607"/>
        <v>146855.79999999999</v>
      </c>
      <c r="H1741" s="44">
        <f t="shared" si="608"/>
        <v>62661.372847058818</v>
      </c>
      <c r="I1741" s="43">
        <f t="shared" si="609"/>
        <v>114043.69858164704</v>
      </c>
      <c r="J1741" s="112">
        <f t="shared" si="610"/>
        <v>1.8199999999999998</v>
      </c>
      <c r="K1741" s="211">
        <f t="shared" si="611"/>
        <v>1.8199999999999998</v>
      </c>
      <c r="L1741" s="44"/>
      <c r="M1741" s="44">
        <f t="shared" si="612"/>
        <v>1.8199999999999998</v>
      </c>
      <c r="N1741" s="173">
        <f t="shared" si="613"/>
        <v>1</v>
      </c>
      <c r="O1741" s="44">
        <f t="shared" si="614"/>
        <v>80690</v>
      </c>
      <c r="P1741" s="44">
        <f t="shared" si="615"/>
        <v>146855.79999999999</v>
      </c>
      <c r="Q1741" s="44">
        <f t="shared" si="616"/>
        <v>62661.372847058818</v>
      </c>
      <c r="R1741" s="44">
        <f t="shared" si="617"/>
        <v>114043.69858164704</v>
      </c>
      <c r="S1741" s="123"/>
      <c r="T1741" s="219">
        <f t="shared" si="618"/>
        <v>114043.69858164704</v>
      </c>
      <c r="U1741" s="87"/>
      <c r="V1741" s="47"/>
      <c r="W1741" s="48"/>
      <c r="X1741" s="48"/>
      <c r="Y1741" s="48"/>
      <c r="Z1741" s="135"/>
      <c r="AA1741" s="49"/>
      <c r="AB1741" s="50">
        <f t="shared" si="619"/>
        <v>62661.372847058818</v>
      </c>
      <c r="AC1741" s="42">
        <f t="shared" si="620"/>
        <v>1.8199999999999998</v>
      </c>
      <c r="AD1741" s="90">
        <f>AD1742+AD1747+AD1760+AD1763</f>
        <v>114043.69858164704</v>
      </c>
      <c r="AE1741" s="188">
        <f t="shared" ref="AE1741" si="1268">AE1742+AE1747+AE1760+AE1763</f>
        <v>0</v>
      </c>
      <c r="AF1741" s="189">
        <f t="shared" ref="AF1741" si="1269">AF1742+AF1747+AF1760+AF1763</f>
        <v>0</v>
      </c>
      <c r="AG1741" s="189">
        <f t="shared" ref="AG1741" si="1270">AG1742+AG1747+AG1760+AG1763</f>
        <v>0</v>
      </c>
      <c r="AH1741" s="189">
        <f t="shared" ref="AH1741" si="1271">AH1742+AH1747+AH1760+AH1763</f>
        <v>0</v>
      </c>
      <c r="AI1741" s="161">
        <f t="shared" si="1254"/>
        <v>0</v>
      </c>
      <c r="AK1741" s="169">
        <v>5</v>
      </c>
      <c r="AO1741" s="19" t="s">
        <v>63</v>
      </c>
    </row>
    <row r="1742" spans="1:41" s="103" customFormat="1" ht="19.899999999999999" customHeight="1" x14ac:dyDescent="0.25">
      <c r="A1742" s="51"/>
      <c r="B1742" s="52"/>
      <c r="C1742" s="165"/>
      <c r="D1742" s="52"/>
      <c r="E1742" s="115"/>
      <c r="F1742" s="58"/>
      <c r="G1742" s="58"/>
      <c r="H1742" s="58"/>
      <c r="I1742" s="55"/>
      <c r="J1742" s="113">
        <f>J1741</f>
        <v>1.8199999999999998</v>
      </c>
      <c r="K1742" s="212">
        <f>K1741</f>
        <v>1.8199999999999998</v>
      </c>
      <c r="L1742" s="58"/>
      <c r="M1742" s="58">
        <f>K1742-L1742</f>
        <v>1.8199999999999998</v>
      </c>
      <c r="N1742" s="166"/>
      <c r="O1742" s="58"/>
      <c r="P1742" s="58"/>
      <c r="Q1742" s="58"/>
      <c r="R1742" s="58"/>
      <c r="S1742" s="58"/>
      <c r="T1742" s="220"/>
      <c r="U1742" s="88"/>
      <c r="V1742" s="56"/>
      <c r="W1742" s="57" t="s">
        <v>1371</v>
      </c>
      <c r="X1742" s="53"/>
      <c r="Y1742" s="91" t="s">
        <v>35</v>
      </c>
      <c r="Z1742" s="136">
        <f>AD1742/AC1742</f>
        <v>108.59632941176473</v>
      </c>
      <c r="AA1742" s="58"/>
      <c r="AB1742" s="53">
        <f>AD1742/AC1742</f>
        <v>108.59632941176473</v>
      </c>
      <c r="AC1742" s="53">
        <f>M1742+$AE$10</f>
        <v>1.8199999999999998</v>
      </c>
      <c r="AD1742" s="54">
        <f>SUM(AD1743:AD1746)</f>
        <v>197.64531952941178</v>
      </c>
      <c r="AE1742" s="184">
        <f>SUMIFS($AD$37:$AD$12971,$V$37:$V$12971,$V1742,$X$37:$X$12971,AE$13)</f>
        <v>0</v>
      </c>
      <c r="AF1742" s="185">
        <f>SUMIFS($AD$37:$AD$12971,$V$37:$V$12971,$V1742,$X$37:$X$12971,AF$13)</f>
        <v>0</v>
      </c>
      <c r="AG1742" s="185">
        <f>SUMIFS($AD$37:$AD$12971,$V$37:$V$12971,$V1742,$X$37:$X$12971,AG$13)</f>
        <v>0</v>
      </c>
      <c r="AH1742" s="187">
        <f>SUMIFS($AD$37:$AD$12971,$V$37:$V$12971,$V1742,$X$37:$X$12971,AH$13)</f>
        <v>0</v>
      </c>
      <c r="AI1742" s="161">
        <f t="shared" ref="AI1742" si="1272">SUM(AE1742:AH1742)</f>
        <v>0</v>
      </c>
      <c r="AK1742" s="172"/>
    </row>
    <row r="1743" spans="1:41" s="102" customFormat="1" ht="19.899999999999999" customHeight="1" x14ac:dyDescent="0.25">
      <c r="A1743" s="45"/>
      <c r="B1743" s="59"/>
      <c r="C1743" s="137"/>
      <c r="D1743" s="59"/>
      <c r="E1743" s="116"/>
      <c r="F1743" s="120"/>
      <c r="G1743" s="120"/>
      <c r="H1743" s="120"/>
      <c r="I1743" s="60"/>
      <c r="J1743" s="116"/>
      <c r="K1743" s="213"/>
      <c r="L1743" s="120"/>
      <c r="M1743" s="120"/>
      <c r="N1743" s="167"/>
      <c r="O1743" s="120"/>
      <c r="P1743" s="120"/>
      <c r="Q1743" s="120"/>
      <c r="R1743" s="120"/>
      <c r="S1743" s="120"/>
      <c r="T1743" s="221"/>
      <c r="U1743" s="89"/>
      <c r="V1743" s="61"/>
      <c r="W1743" s="92" t="s">
        <v>129</v>
      </c>
      <c r="X1743" s="93" t="s">
        <v>29</v>
      </c>
      <c r="Y1743" s="93" t="s">
        <v>93</v>
      </c>
      <c r="Z1743" s="134">
        <f>VLOOKUP(W1743,Sheet2!$B:$D,3,FALSE)</f>
        <v>56</v>
      </c>
      <c r="AA1743" s="93">
        <f>100/(3*3*3)</f>
        <v>3.7037037037037037</v>
      </c>
      <c r="AB1743" s="93">
        <f t="shared" ref="AB1743" si="1273">AD1743/AC1742</f>
        <v>15.12</v>
      </c>
      <c r="AC1743" s="93">
        <f>AC1742/AA1743</f>
        <v>0.49139999999999995</v>
      </c>
      <c r="AD1743" s="94">
        <f t="shared" ref="AD1743:AD1744" si="1274">AC1743*Z1743</f>
        <v>27.518399999999996</v>
      </c>
      <c r="AE1743" s="190"/>
      <c r="AF1743" s="191"/>
      <c r="AG1743" s="191"/>
      <c r="AH1743" s="191"/>
      <c r="AI1743" s="186"/>
      <c r="AK1743" s="171"/>
    </row>
    <row r="1744" spans="1:41" s="102" customFormat="1" ht="19.899999999999999" customHeight="1" x14ac:dyDescent="0.25">
      <c r="A1744" s="45"/>
      <c r="B1744" s="59"/>
      <c r="C1744" s="137"/>
      <c r="D1744" s="59"/>
      <c r="E1744" s="116"/>
      <c r="F1744" s="120"/>
      <c r="G1744" s="120"/>
      <c r="H1744" s="120"/>
      <c r="I1744" s="60"/>
      <c r="J1744" s="116"/>
      <c r="K1744" s="213"/>
      <c r="L1744" s="120"/>
      <c r="M1744" s="120"/>
      <c r="N1744" s="167"/>
      <c r="O1744" s="120"/>
      <c r="P1744" s="120"/>
      <c r="Q1744" s="120"/>
      <c r="R1744" s="120"/>
      <c r="S1744" s="120"/>
      <c r="T1744" s="221"/>
      <c r="U1744" s="89"/>
      <c r="V1744" s="61"/>
      <c r="W1744" s="92" t="s">
        <v>65</v>
      </c>
      <c r="X1744" s="93" t="s">
        <v>30</v>
      </c>
      <c r="Y1744" s="93" t="s">
        <v>1011</v>
      </c>
      <c r="Z1744" s="134">
        <f>VLOOKUP(W1744,Sheet2!$B:$D,3,FALSE)</f>
        <v>1.76</v>
      </c>
      <c r="AA1744" s="93">
        <f>AA1743/14</f>
        <v>0.26455026455026454</v>
      </c>
      <c r="AB1744" s="93">
        <f>AD1744/AC1742</f>
        <v>6.6528</v>
      </c>
      <c r="AC1744" s="93">
        <f>AC1742/AA1744</f>
        <v>6.8795999999999999</v>
      </c>
      <c r="AD1744" s="94">
        <f t="shared" si="1274"/>
        <v>12.108096</v>
      </c>
      <c r="AE1744" s="190"/>
      <c r="AF1744" s="191"/>
      <c r="AG1744" s="191"/>
      <c r="AH1744" s="191"/>
      <c r="AI1744" s="186"/>
      <c r="AK1744" s="171"/>
    </row>
    <row r="1745" spans="1:37" s="102" customFormat="1" ht="19.899999999999999" customHeight="1" x14ac:dyDescent="0.25">
      <c r="A1745" s="45"/>
      <c r="B1745" s="59"/>
      <c r="C1745" s="137"/>
      <c r="D1745" s="59"/>
      <c r="E1745" s="116"/>
      <c r="F1745" s="120"/>
      <c r="G1745" s="120"/>
      <c r="H1745" s="120"/>
      <c r="I1745" s="60"/>
      <c r="J1745" s="116"/>
      <c r="K1745" s="213"/>
      <c r="L1745" s="120"/>
      <c r="M1745" s="120"/>
      <c r="N1745" s="167"/>
      <c r="O1745" s="120"/>
      <c r="P1745" s="120"/>
      <c r="Q1745" s="120"/>
      <c r="R1745" s="120"/>
      <c r="S1745" s="120"/>
      <c r="T1745" s="221"/>
      <c r="U1745" s="89"/>
      <c r="V1745" s="61"/>
      <c r="W1745" s="92" t="s">
        <v>161</v>
      </c>
      <c r="X1745" s="93" t="s">
        <v>29</v>
      </c>
      <c r="Y1745" s="93" t="s">
        <v>93</v>
      </c>
      <c r="Z1745" s="134">
        <f>VLOOKUP(W1745,Sheet2!$B:$D,3,FALSE)</f>
        <v>48</v>
      </c>
      <c r="AA1745" s="93">
        <f>(16*0.85*1.5)/(3*3*3)</f>
        <v>0.75555555555555554</v>
      </c>
      <c r="AB1745" s="93">
        <f>AD1745/AC1742</f>
        <v>63.529411764705891</v>
      </c>
      <c r="AC1745" s="93">
        <f>AC1742/AA1745</f>
        <v>2.4088235294117646</v>
      </c>
      <c r="AD1745" s="94">
        <f>AC1745*Z1745</f>
        <v>115.62352941176471</v>
      </c>
      <c r="AE1745" s="190"/>
      <c r="AF1745" s="191"/>
      <c r="AG1745" s="191"/>
      <c r="AH1745" s="191"/>
      <c r="AI1745" s="186"/>
      <c r="AK1745" s="171"/>
    </row>
    <row r="1746" spans="1:37" s="102" customFormat="1" ht="19.899999999999999" customHeight="1" x14ac:dyDescent="0.25">
      <c r="A1746" s="45"/>
      <c r="B1746" s="59"/>
      <c r="C1746" s="137"/>
      <c r="D1746" s="59"/>
      <c r="E1746" s="116"/>
      <c r="F1746" s="120"/>
      <c r="G1746" s="120"/>
      <c r="H1746" s="120"/>
      <c r="I1746" s="60"/>
      <c r="J1746" s="116"/>
      <c r="K1746" s="213"/>
      <c r="L1746" s="120"/>
      <c r="M1746" s="120"/>
      <c r="N1746" s="167"/>
      <c r="O1746" s="120"/>
      <c r="P1746" s="120"/>
      <c r="Q1746" s="120"/>
      <c r="R1746" s="120"/>
      <c r="S1746" s="120"/>
      <c r="T1746" s="221"/>
      <c r="U1746" s="89"/>
      <c r="V1746" s="61"/>
      <c r="W1746" s="92" t="s">
        <v>65</v>
      </c>
      <c r="X1746" s="93" t="s">
        <v>30</v>
      </c>
      <c r="Y1746" s="93" t="s">
        <v>1011</v>
      </c>
      <c r="Z1746" s="134">
        <f>VLOOKUP(W1746,Sheet2!$B:$D,3,FALSE)</f>
        <v>1.76</v>
      </c>
      <c r="AA1746" s="93">
        <f>AA1745/10</f>
        <v>7.5555555555555556E-2</v>
      </c>
      <c r="AB1746" s="93">
        <f>AD1746/AC1742</f>
        <v>23.294117647058822</v>
      </c>
      <c r="AC1746" s="93">
        <f>AC1742/AA1746</f>
        <v>24.088235294117645</v>
      </c>
      <c r="AD1746" s="94">
        <f>AC1746*Z1746</f>
        <v>42.395294117647055</v>
      </c>
      <c r="AE1746" s="190"/>
      <c r="AF1746" s="191"/>
      <c r="AG1746" s="191"/>
      <c r="AH1746" s="191"/>
      <c r="AI1746" s="186"/>
      <c r="AK1746" s="171"/>
    </row>
    <row r="1747" spans="1:37" s="103" customFormat="1" ht="19.899999999999999" customHeight="1" x14ac:dyDescent="0.25">
      <c r="A1747" s="51"/>
      <c r="B1747" s="52"/>
      <c r="C1747" s="165"/>
      <c r="D1747" s="52"/>
      <c r="E1747" s="115"/>
      <c r="F1747" s="58"/>
      <c r="G1747" s="58"/>
      <c r="H1747" s="58"/>
      <c r="I1747" s="55"/>
      <c r="J1747" s="113">
        <f>J1741</f>
        <v>1.8199999999999998</v>
      </c>
      <c r="K1747" s="212">
        <f>K1741</f>
        <v>1.8199999999999998</v>
      </c>
      <c r="L1747" s="58"/>
      <c r="M1747" s="58">
        <f>K1747-L1747</f>
        <v>1.8199999999999998</v>
      </c>
      <c r="N1747" s="166"/>
      <c r="O1747" s="58"/>
      <c r="P1747" s="58"/>
      <c r="Q1747" s="58"/>
      <c r="R1747" s="58"/>
      <c r="S1747" s="58"/>
      <c r="T1747" s="220"/>
      <c r="U1747" s="88"/>
      <c r="V1747" s="56"/>
      <c r="W1747" s="57" t="s">
        <v>1370</v>
      </c>
      <c r="X1747" s="53"/>
      <c r="Y1747" s="91" t="s">
        <v>35</v>
      </c>
      <c r="Z1747" s="136">
        <f>AD1747/AC1747</f>
        <v>58936.599999999991</v>
      </c>
      <c r="AA1747" s="58"/>
      <c r="AB1747" s="53">
        <f>AD1747/AC1747</f>
        <v>58936.599999999991</v>
      </c>
      <c r="AC1747" s="53">
        <f>M1747+$AE$10</f>
        <v>1.8199999999999998</v>
      </c>
      <c r="AD1747" s="54">
        <f>SUM(AD1748:AD1759)</f>
        <v>107264.61199999998</v>
      </c>
      <c r="AE1747" s="184">
        <f>SUMIFS($AD$37:$AD$12971,$V$37:$V$12971,$V1747,$X$37:$X$12971,AE$13)</f>
        <v>0</v>
      </c>
      <c r="AF1747" s="185">
        <f>SUMIFS($AD$37:$AD$12971,$V$37:$V$12971,$V1747,$X$37:$X$12971,AF$13)</f>
        <v>0</v>
      </c>
      <c r="AG1747" s="185">
        <f>SUMIFS($AD$37:$AD$12971,$V$37:$V$12971,$V1747,$X$37:$X$12971,AG$13)</f>
        <v>0</v>
      </c>
      <c r="AH1747" s="187">
        <f>SUMIFS($AD$37:$AD$12971,$V$37:$V$12971,$V1747,$X$37:$X$12971,AH$13)</f>
        <v>0</v>
      </c>
      <c r="AI1747" s="161">
        <f t="shared" ref="AI1747" si="1275">SUM(AE1747:AH1747)</f>
        <v>0</v>
      </c>
      <c r="AK1747" s="172"/>
    </row>
    <row r="1748" spans="1:37" s="102" customFormat="1" ht="19.899999999999999" customHeight="1" x14ac:dyDescent="0.25">
      <c r="A1748" s="45"/>
      <c r="B1748" s="59"/>
      <c r="C1748" s="137"/>
      <c r="D1748" s="59"/>
      <c r="E1748" s="116"/>
      <c r="F1748" s="120"/>
      <c r="G1748" s="120"/>
      <c r="H1748" s="120"/>
      <c r="I1748" s="60"/>
      <c r="J1748" s="116"/>
      <c r="K1748" s="213"/>
      <c r="L1748" s="120"/>
      <c r="M1748" s="120"/>
      <c r="N1748" s="167"/>
      <c r="O1748" s="120"/>
      <c r="P1748" s="120"/>
      <c r="Q1748" s="120"/>
      <c r="R1748" s="120"/>
      <c r="S1748" s="120"/>
      <c r="T1748" s="221"/>
      <c r="U1748" s="89"/>
      <c r="V1748" s="61"/>
      <c r="W1748" s="92" t="s">
        <v>1032</v>
      </c>
      <c r="X1748" s="93" t="s">
        <v>30</v>
      </c>
      <c r="Y1748" s="93" t="s">
        <v>66</v>
      </c>
      <c r="Z1748" s="134">
        <f>VLOOKUP(W1748,Sheet2!$B:$D,3,FALSE)</f>
        <v>250</v>
      </c>
      <c r="AA1748" s="93">
        <f>1/(3*3*0.1)</f>
        <v>1.1111111111111112</v>
      </c>
      <c r="AB1748" s="93">
        <f t="shared" ref="AB1748" si="1276">AD1748/AC1747</f>
        <v>225</v>
      </c>
      <c r="AC1748" s="93">
        <f>AC1747/AA1748</f>
        <v>1.6379999999999997</v>
      </c>
      <c r="AD1748" s="94">
        <f t="shared" ref="AD1748:AD1750" si="1277">AC1748*Z1748</f>
        <v>409.49999999999994</v>
      </c>
      <c r="AE1748" s="190"/>
      <c r="AF1748" s="191"/>
      <c r="AG1748" s="191"/>
      <c r="AH1748" s="191"/>
      <c r="AI1748" s="186"/>
      <c r="AK1748" s="171"/>
    </row>
    <row r="1749" spans="1:37" s="102" customFormat="1" ht="19.899999999999999" customHeight="1" x14ac:dyDescent="0.25">
      <c r="A1749" s="45"/>
      <c r="B1749" s="59"/>
      <c r="C1749" s="137"/>
      <c r="D1749" s="59"/>
      <c r="E1749" s="116"/>
      <c r="F1749" s="120"/>
      <c r="G1749" s="120"/>
      <c r="H1749" s="120"/>
      <c r="I1749" s="60"/>
      <c r="J1749" s="116"/>
      <c r="K1749" s="213"/>
      <c r="L1749" s="120"/>
      <c r="M1749" s="120"/>
      <c r="N1749" s="167"/>
      <c r="O1749" s="120"/>
      <c r="P1749" s="120"/>
      <c r="Q1749" s="120"/>
      <c r="R1749" s="120"/>
      <c r="S1749" s="120"/>
      <c r="T1749" s="221"/>
      <c r="U1749" s="89"/>
      <c r="V1749" s="61"/>
      <c r="W1749" s="92" t="s">
        <v>1353</v>
      </c>
      <c r="X1749" s="93" t="s">
        <v>30</v>
      </c>
      <c r="Y1749" s="93" t="s">
        <v>66</v>
      </c>
      <c r="Z1749" s="134">
        <f>VLOOKUP(W1749,Sheet2!$B:$D,3,FALSE)</f>
        <v>350</v>
      </c>
      <c r="AA1749" s="93">
        <f>1/(2*2.5*0.25*5)</f>
        <v>0.16</v>
      </c>
      <c r="AB1749" s="93">
        <f>AD1749/AC1747</f>
        <v>2187.5</v>
      </c>
      <c r="AC1749" s="93">
        <f>AC1747/AA1749</f>
        <v>11.374999999999998</v>
      </c>
      <c r="AD1749" s="94">
        <f t="shared" si="1277"/>
        <v>3981.2499999999995</v>
      </c>
      <c r="AE1749" s="190"/>
      <c r="AF1749" s="191"/>
      <c r="AG1749" s="191"/>
      <c r="AH1749" s="191"/>
      <c r="AI1749" s="186"/>
      <c r="AK1749" s="171"/>
    </row>
    <row r="1750" spans="1:37" s="102" customFormat="1" ht="19.899999999999999" customHeight="1" x14ac:dyDescent="0.25">
      <c r="A1750" s="45"/>
      <c r="B1750" s="59"/>
      <c r="C1750" s="137"/>
      <c r="D1750" s="59"/>
      <c r="E1750" s="116"/>
      <c r="F1750" s="120"/>
      <c r="G1750" s="120"/>
      <c r="H1750" s="120"/>
      <c r="I1750" s="60"/>
      <c r="J1750" s="116"/>
      <c r="K1750" s="213"/>
      <c r="L1750" s="120"/>
      <c r="M1750" s="120"/>
      <c r="N1750" s="167"/>
      <c r="O1750" s="120"/>
      <c r="P1750" s="120"/>
      <c r="Q1750" s="120"/>
      <c r="R1750" s="120"/>
      <c r="S1750" s="120"/>
      <c r="T1750" s="221"/>
      <c r="U1750" s="89"/>
      <c r="V1750" s="61"/>
      <c r="W1750" s="92" t="s">
        <v>99</v>
      </c>
      <c r="X1750" s="93" t="s">
        <v>30</v>
      </c>
      <c r="Y1750" s="93" t="s">
        <v>67</v>
      </c>
      <c r="Z1750" s="134">
        <f>VLOOKUP(W1750,Sheet2!$B:$D,3,FALSE)</f>
        <v>2500</v>
      </c>
      <c r="AA1750" s="93">
        <f>1/(2*2.5*0.25*5*0.08)</f>
        <v>2</v>
      </c>
      <c r="AB1750" s="93">
        <f>AD1750/AC1747</f>
        <v>1250</v>
      </c>
      <c r="AC1750" s="93">
        <f>AC1747/AA1750</f>
        <v>0.90999999999999992</v>
      </c>
      <c r="AD1750" s="94">
        <f t="shared" si="1277"/>
        <v>2275</v>
      </c>
      <c r="AE1750" s="190"/>
      <c r="AF1750" s="191"/>
      <c r="AG1750" s="191"/>
      <c r="AH1750" s="191"/>
      <c r="AI1750" s="186"/>
      <c r="AK1750" s="171"/>
    </row>
    <row r="1751" spans="1:37" s="102" customFormat="1" ht="19.899999999999999" customHeight="1" x14ac:dyDescent="0.25">
      <c r="A1751" s="45"/>
      <c r="B1751" s="59"/>
      <c r="C1751" s="137"/>
      <c r="D1751" s="59"/>
      <c r="E1751" s="116"/>
      <c r="F1751" s="120"/>
      <c r="G1751" s="120"/>
      <c r="H1751" s="120"/>
      <c r="I1751" s="60"/>
      <c r="J1751" s="116"/>
      <c r="K1751" s="213"/>
      <c r="L1751" s="120"/>
      <c r="M1751" s="120"/>
      <c r="N1751" s="167"/>
      <c r="O1751" s="120"/>
      <c r="P1751" s="120"/>
      <c r="Q1751" s="120"/>
      <c r="R1751" s="120"/>
      <c r="S1751" s="120"/>
      <c r="T1751" s="221"/>
      <c r="U1751" s="89"/>
      <c r="V1751" s="61"/>
      <c r="W1751" s="92" t="s">
        <v>1354</v>
      </c>
      <c r="X1751" s="93" t="s">
        <v>32</v>
      </c>
      <c r="Y1751" s="93" t="s">
        <v>66</v>
      </c>
      <c r="Z1751" s="134">
        <f>VLOOKUP(W1751,Sheet2!$B:$D,3,FALSE)</f>
        <v>150</v>
      </c>
      <c r="AA1751" s="93">
        <f>AA1748</f>
        <v>1.1111111111111112</v>
      </c>
      <c r="AB1751" s="93">
        <f>AD1751/AC1747</f>
        <v>135</v>
      </c>
      <c r="AC1751" s="93">
        <f>AC1747/AA1751</f>
        <v>1.6379999999999997</v>
      </c>
      <c r="AD1751" s="94">
        <f>AC1751*Z1751</f>
        <v>245.69999999999996</v>
      </c>
      <c r="AE1751" s="190"/>
      <c r="AF1751" s="191"/>
      <c r="AG1751" s="191"/>
      <c r="AH1751" s="191"/>
      <c r="AI1751" s="186"/>
      <c r="AK1751" s="171"/>
    </row>
    <row r="1752" spans="1:37" s="102" customFormat="1" ht="19.899999999999999" customHeight="1" x14ac:dyDescent="0.25">
      <c r="A1752" s="45"/>
      <c r="B1752" s="59"/>
      <c r="C1752" s="137"/>
      <c r="D1752" s="59"/>
      <c r="E1752" s="116"/>
      <c r="F1752" s="120"/>
      <c r="G1752" s="120"/>
      <c r="H1752" s="120"/>
      <c r="I1752" s="60"/>
      <c r="J1752" s="116"/>
      <c r="K1752" s="213"/>
      <c r="L1752" s="120"/>
      <c r="M1752" s="120"/>
      <c r="N1752" s="167"/>
      <c r="O1752" s="120"/>
      <c r="P1752" s="120"/>
      <c r="Q1752" s="120"/>
      <c r="R1752" s="120"/>
      <c r="S1752" s="120"/>
      <c r="T1752" s="221"/>
      <c r="U1752" s="89"/>
      <c r="V1752" s="61"/>
      <c r="W1752" s="92" t="s">
        <v>1355</v>
      </c>
      <c r="X1752" s="93" t="s">
        <v>32</v>
      </c>
      <c r="Y1752" s="93" t="s">
        <v>66</v>
      </c>
      <c r="Z1752" s="134">
        <f>VLOOKUP(W1752,Sheet2!$B:$D,3,FALSE)</f>
        <v>450</v>
      </c>
      <c r="AA1752" s="93">
        <f>AA1749</f>
        <v>0.16</v>
      </c>
      <c r="AB1752" s="93">
        <f>AD1752/AC1747</f>
        <v>2812.4999999999995</v>
      </c>
      <c r="AC1752" s="93">
        <f>AC1747/AA1752</f>
        <v>11.374999999999998</v>
      </c>
      <c r="AD1752" s="94">
        <f>AC1752*Z1752</f>
        <v>5118.7499999999991</v>
      </c>
      <c r="AE1752" s="190"/>
      <c r="AF1752" s="191"/>
      <c r="AG1752" s="191"/>
      <c r="AH1752" s="191"/>
      <c r="AI1752" s="186"/>
      <c r="AK1752" s="171"/>
    </row>
    <row r="1753" spans="1:37" s="102" customFormat="1" ht="19.899999999999999" customHeight="1" x14ac:dyDescent="0.25">
      <c r="A1753" s="45"/>
      <c r="B1753" s="59"/>
      <c r="C1753" s="137"/>
      <c r="D1753" s="59"/>
      <c r="E1753" s="116"/>
      <c r="F1753" s="120"/>
      <c r="G1753" s="120"/>
      <c r="H1753" s="120"/>
      <c r="I1753" s="60"/>
      <c r="J1753" s="116"/>
      <c r="K1753" s="213"/>
      <c r="L1753" s="120"/>
      <c r="M1753" s="120"/>
      <c r="N1753" s="167"/>
      <c r="O1753" s="120"/>
      <c r="P1753" s="120"/>
      <c r="Q1753" s="120"/>
      <c r="R1753" s="120"/>
      <c r="S1753" s="120"/>
      <c r="T1753" s="221"/>
      <c r="U1753" s="89"/>
      <c r="V1753" s="61"/>
      <c r="W1753" s="92" t="s">
        <v>1356</v>
      </c>
      <c r="X1753" s="93" t="s">
        <v>30</v>
      </c>
      <c r="Y1753" s="93" t="s">
        <v>35</v>
      </c>
      <c r="Z1753" s="134">
        <f>VLOOKUP(W1753,Sheet2!$B:$D,3,FALSE)</f>
        <v>3500</v>
      </c>
      <c r="AA1753" s="93">
        <v>1</v>
      </c>
      <c r="AB1753" s="93">
        <f>AD1753/AC1747</f>
        <v>3500</v>
      </c>
      <c r="AC1753" s="93">
        <f>AC1747/AA1753</f>
        <v>1.8199999999999998</v>
      </c>
      <c r="AD1753" s="94">
        <f t="shared" ref="AD1753:AD1755" si="1278">AC1753*Z1753</f>
        <v>6369.9999999999991</v>
      </c>
      <c r="AE1753" s="190"/>
      <c r="AF1753" s="191"/>
      <c r="AG1753" s="191"/>
      <c r="AH1753" s="191"/>
      <c r="AI1753" s="186"/>
      <c r="AK1753" s="171"/>
    </row>
    <row r="1754" spans="1:37" s="102" customFormat="1" ht="19.899999999999999" customHeight="1" x14ac:dyDescent="0.25">
      <c r="A1754" s="45"/>
      <c r="B1754" s="59"/>
      <c r="C1754" s="137"/>
      <c r="D1754" s="59"/>
      <c r="E1754" s="116"/>
      <c r="F1754" s="120"/>
      <c r="G1754" s="120"/>
      <c r="H1754" s="120"/>
      <c r="I1754" s="60"/>
      <c r="J1754" s="116"/>
      <c r="K1754" s="213"/>
      <c r="L1754" s="120"/>
      <c r="M1754" s="120"/>
      <c r="N1754" s="167"/>
      <c r="O1754" s="120"/>
      <c r="P1754" s="120"/>
      <c r="Q1754" s="120"/>
      <c r="R1754" s="120"/>
      <c r="S1754" s="120"/>
      <c r="T1754" s="221"/>
      <c r="U1754" s="89"/>
      <c r="V1754" s="61"/>
      <c r="W1754" s="92" t="s">
        <v>1369</v>
      </c>
      <c r="X1754" s="93" t="s">
        <v>30</v>
      </c>
      <c r="Y1754" s="93" t="s">
        <v>35</v>
      </c>
      <c r="Z1754" s="134">
        <f>VLOOKUP(W1754,Sheet2!$B:$D,3,FALSE)</f>
        <v>48500</v>
      </c>
      <c r="AA1754" s="93">
        <v>1</v>
      </c>
      <c r="AB1754" s="93">
        <f>AD1754/AC1747</f>
        <v>48499.999999999993</v>
      </c>
      <c r="AC1754" s="93">
        <f>AC1747/AA1754</f>
        <v>1.8199999999999998</v>
      </c>
      <c r="AD1754" s="94">
        <f t="shared" si="1278"/>
        <v>88269.999999999985</v>
      </c>
      <c r="AE1754" s="190"/>
      <c r="AF1754" s="191"/>
      <c r="AG1754" s="191"/>
      <c r="AH1754" s="191"/>
      <c r="AI1754" s="186"/>
      <c r="AK1754" s="171"/>
    </row>
    <row r="1755" spans="1:37" s="102" customFormat="1" ht="19.899999999999999" customHeight="1" x14ac:dyDescent="0.25">
      <c r="A1755" s="45"/>
      <c r="B1755" s="59"/>
      <c r="C1755" s="137"/>
      <c r="D1755" s="59"/>
      <c r="E1755" s="116"/>
      <c r="F1755" s="120"/>
      <c r="G1755" s="120"/>
      <c r="H1755" s="120"/>
      <c r="I1755" s="60"/>
      <c r="J1755" s="116"/>
      <c r="K1755" s="213"/>
      <c r="L1755" s="120"/>
      <c r="M1755" s="120"/>
      <c r="N1755" s="167"/>
      <c r="O1755" s="120"/>
      <c r="P1755" s="120"/>
      <c r="Q1755" s="120"/>
      <c r="R1755" s="120"/>
      <c r="S1755" s="120"/>
      <c r="T1755" s="221"/>
      <c r="U1755" s="89"/>
      <c r="V1755" s="61"/>
      <c r="W1755" s="92" t="s">
        <v>174</v>
      </c>
      <c r="X1755" s="93" t="s">
        <v>29</v>
      </c>
      <c r="Y1755" s="93" t="s">
        <v>93</v>
      </c>
      <c r="Z1755" s="134">
        <f>VLOOKUP(W1755,Sheet2!$B:$D,3,FALSE)</f>
        <v>80</v>
      </c>
      <c r="AA1755" s="93">
        <v>4</v>
      </c>
      <c r="AB1755" s="93">
        <f>AD1755/AC1747</f>
        <v>20</v>
      </c>
      <c r="AC1755" s="93">
        <f>AC1747/AA1755</f>
        <v>0.45499999999999996</v>
      </c>
      <c r="AD1755" s="94">
        <f t="shared" si="1278"/>
        <v>36.4</v>
      </c>
      <c r="AE1755" s="190"/>
      <c r="AF1755" s="191"/>
      <c r="AG1755" s="191"/>
      <c r="AH1755" s="191"/>
      <c r="AI1755" s="186"/>
      <c r="AK1755" s="171"/>
    </row>
    <row r="1756" spans="1:37" s="102" customFormat="1" ht="19.899999999999999" customHeight="1" x14ac:dyDescent="0.25">
      <c r="A1756" s="45"/>
      <c r="B1756" s="59"/>
      <c r="C1756" s="137"/>
      <c r="D1756" s="59"/>
      <c r="E1756" s="116"/>
      <c r="F1756" s="120"/>
      <c r="G1756" s="120"/>
      <c r="H1756" s="120"/>
      <c r="I1756" s="60"/>
      <c r="J1756" s="116"/>
      <c r="K1756" s="213"/>
      <c r="L1756" s="120"/>
      <c r="M1756" s="120"/>
      <c r="N1756" s="167"/>
      <c r="O1756" s="120"/>
      <c r="P1756" s="120"/>
      <c r="Q1756" s="120"/>
      <c r="R1756" s="120"/>
      <c r="S1756" s="120"/>
      <c r="T1756" s="221"/>
      <c r="U1756" s="89"/>
      <c r="V1756" s="61"/>
      <c r="W1756" s="92" t="s">
        <v>65</v>
      </c>
      <c r="X1756" s="93" t="s">
        <v>30</v>
      </c>
      <c r="Y1756" s="93" t="s">
        <v>93</v>
      </c>
      <c r="Z1756" s="134">
        <f>VLOOKUP(W1756,Sheet2!$B:$D,3,FALSE)</f>
        <v>1.76</v>
      </c>
      <c r="AA1756" s="93">
        <f>AA1755/15</f>
        <v>0.26666666666666666</v>
      </c>
      <c r="AB1756" s="93">
        <f>AD1756/AC1747</f>
        <v>6.6</v>
      </c>
      <c r="AC1756" s="93">
        <f>AC1747/AA1756</f>
        <v>6.8249999999999993</v>
      </c>
      <c r="AD1756" s="94">
        <f>AC1756*Z1756</f>
        <v>12.011999999999999</v>
      </c>
      <c r="AE1756" s="190"/>
      <c r="AF1756" s="191"/>
      <c r="AG1756" s="191"/>
      <c r="AH1756" s="191"/>
      <c r="AI1756" s="186"/>
      <c r="AK1756" s="171"/>
    </row>
    <row r="1757" spans="1:37" s="102" customFormat="1" ht="19.899999999999999" customHeight="1" x14ac:dyDescent="0.25">
      <c r="A1757" s="45"/>
      <c r="B1757" s="59"/>
      <c r="C1757" s="137"/>
      <c r="D1757" s="59"/>
      <c r="E1757" s="116"/>
      <c r="F1757" s="120"/>
      <c r="G1757" s="120"/>
      <c r="H1757" s="120"/>
      <c r="I1757" s="60"/>
      <c r="J1757" s="116"/>
      <c r="K1757" s="213"/>
      <c r="L1757" s="120"/>
      <c r="M1757" s="120"/>
      <c r="N1757" s="167"/>
      <c r="O1757" s="120"/>
      <c r="P1757" s="120"/>
      <c r="Q1757" s="120"/>
      <c r="R1757" s="120"/>
      <c r="S1757" s="120"/>
      <c r="T1757" s="221"/>
      <c r="U1757" s="89"/>
      <c r="V1757" s="61"/>
      <c r="W1757" s="92" t="s">
        <v>1357</v>
      </c>
      <c r="X1757" s="93" t="s">
        <v>30</v>
      </c>
      <c r="Y1757" s="93" t="s">
        <v>1349</v>
      </c>
      <c r="Z1757" s="134">
        <f>VLOOKUP(W1757,Sheet2!$B:$D,3,FALSE)</f>
        <v>150</v>
      </c>
      <c r="AA1757" s="93">
        <v>1</v>
      </c>
      <c r="AB1757" s="93">
        <f>AD1757/AC1747</f>
        <v>150</v>
      </c>
      <c r="AC1757" s="93">
        <f>AC1747/AA1757</f>
        <v>1.8199999999999998</v>
      </c>
      <c r="AD1757" s="94">
        <f>AC1757*Z1757</f>
        <v>273</v>
      </c>
      <c r="AE1757" s="190"/>
      <c r="AF1757" s="191"/>
      <c r="AG1757" s="191"/>
      <c r="AH1757" s="191"/>
      <c r="AI1757" s="186"/>
      <c r="AK1757" s="171"/>
    </row>
    <row r="1758" spans="1:37" s="102" customFormat="1" ht="19.899999999999999" customHeight="1" x14ac:dyDescent="0.25">
      <c r="A1758" s="45"/>
      <c r="B1758" s="59"/>
      <c r="C1758" s="137"/>
      <c r="D1758" s="59"/>
      <c r="E1758" s="116"/>
      <c r="F1758" s="120"/>
      <c r="G1758" s="120"/>
      <c r="H1758" s="120"/>
      <c r="I1758" s="60"/>
      <c r="J1758" s="116"/>
      <c r="K1758" s="213"/>
      <c r="L1758" s="120"/>
      <c r="M1758" s="120"/>
      <c r="N1758" s="167"/>
      <c r="O1758" s="120"/>
      <c r="P1758" s="120"/>
      <c r="Q1758" s="120"/>
      <c r="R1758" s="120"/>
      <c r="S1758" s="120"/>
      <c r="T1758" s="221"/>
      <c r="U1758" s="89"/>
      <c r="V1758" s="61"/>
      <c r="W1758" s="92" t="s">
        <v>107</v>
      </c>
      <c r="X1758" s="93" t="s">
        <v>31</v>
      </c>
      <c r="Y1758" s="93" t="s">
        <v>93</v>
      </c>
      <c r="Z1758" s="134">
        <f>VLOOKUP(W1758,Sheet2!$B:$D,3,FALSE)</f>
        <v>17</v>
      </c>
      <c r="AA1758" s="93">
        <f>1/5</f>
        <v>0.2</v>
      </c>
      <c r="AB1758" s="93">
        <f>AD1758/AC1747</f>
        <v>84.999999999999986</v>
      </c>
      <c r="AC1758" s="93">
        <f>AC1747/AA1758</f>
        <v>9.0999999999999979</v>
      </c>
      <c r="AD1758" s="94">
        <f>AC1758*Z1758</f>
        <v>154.69999999999996</v>
      </c>
      <c r="AE1758" s="190"/>
      <c r="AF1758" s="191"/>
      <c r="AG1758" s="191"/>
      <c r="AH1758" s="191"/>
      <c r="AI1758" s="186"/>
      <c r="AK1758" s="171"/>
    </row>
    <row r="1759" spans="1:37" s="102" customFormat="1" ht="19.899999999999999" customHeight="1" x14ac:dyDescent="0.25">
      <c r="A1759" s="45"/>
      <c r="B1759" s="59"/>
      <c r="C1759" s="137"/>
      <c r="D1759" s="59"/>
      <c r="E1759" s="116"/>
      <c r="F1759" s="120"/>
      <c r="G1759" s="120"/>
      <c r="H1759" s="120"/>
      <c r="I1759" s="60"/>
      <c r="J1759" s="116"/>
      <c r="K1759" s="213"/>
      <c r="L1759" s="120"/>
      <c r="M1759" s="120"/>
      <c r="N1759" s="167"/>
      <c r="O1759" s="120"/>
      <c r="P1759" s="120"/>
      <c r="Q1759" s="120"/>
      <c r="R1759" s="120"/>
      <c r="S1759" s="120"/>
      <c r="T1759" s="221"/>
      <c r="U1759" s="89"/>
      <c r="V1759" s="61"/>
      <c r="W1759" s="92" t="s">
        <v>112</v>
      </c>
      <c r="X1759" s="93" t="s">
        <v>31</v>
      </c>
      <c r="Y1759" s="93" t="s">
        <v>93</v>
      </c>
      <c r="Z1759" s="134">
        <f>VLOOKUP(W1759,Sheet2!$B:$D,3,FALSE)</f>
        <v>13</v>
      </c>
      <c r="AA1759" s="93">
        <f>AA1758</f>
        <v>0.2</v>
      </c>
      <c r="AB1759" s="93">
        <f>AD1759/AC1747</f>
        <v>64.999999999999986</v>
      </c>
      <c r="AC1759" s="93">
        <f>AC1747/AA1759</f>
        <v>9.0999999999999979</v>
      </c>
      <c r="AD1759" s="94">
        <f>AC1759*Z1759</f>
        <v>118.29999999999997</v>
      </c>
      <c r="AE1759" s="190"/>
      <c r="AF1759" s="191"/>
      <c r="AG1759" s="191"/>
      <c r="AH1759" s="191"/>
      <c r="AI1759" s="186"/>
      <c r="AK1759" s="171"/>
    </row>
    <row r="1760" spans="1:37" s="103" customFormat="1" ht="19.899999999999999" customHeight="1" x14ac:dyDescent="0.25">
      <c r="A1760" s="51"/>
      <c r="B1760" s="52"/>
      <c r="C1760" s="165"/>
      <c r="D1760" s="52"/>
      <c r="E1760" s="115"/>
      <c r="F1760" s="58"/>
      <c r="G1760" s="58"/>
      <c r="H1760" s="58"/>
      <c r="I1760" s="55"/>
      <c r="J1760" s="113">
        <f>J1741</f>
        <v>1.8199999999999998</v>
      </c>
      <c r="K1760" s="212">
        <f>K1741</f>
        <v>1.8199999999999998</v>
      </c>
      <c r="L1760" s="58"/>
      <c r="M1760" s="58">
        <f>K1760-L1760</f>
        <v>1.8199999999999998</v>
      </c>
      <c r="N1760" s="166"/>
      <c r="O1760" s="58"/>
      <c r="P1760" s="58"/>
      <c r="Q1760" s="58"/>
      <c r="R1760" s="58"/>
      <c r="S1760" s="58"/>
      <c r="T1760" s="220"/>
      <c r="U1760" s="88"/>
      <c r="V1760" s="56"/>
      <c r="W1760" s="57" t="s">
        <v>1358</v>
      </c>
      <c r="X1760" s="53"/>
      <c r="Y1760" s="91" t="s">
        <v>35</v>
      </c>
      <c r="Z1760" s="136">
        <f>AD1760/AC1760</f>
        <v>3360.0000000000009</v>
      </c>
      <c r="AA1760" s="58"/>
      <c r="AB1760" s="53">
        <f>AD1760/AC1760</f>
        <v>3360.0000000000009</v>
      </c>
      <c r="AC1760" s="53">
        <f>M1760+$AE$10</f>
        <v>1.8199999999999998</v>
      </c>
      <c r="AD1760" s="54">
        <f>SUM(AD1761:AD1762)</f>
        <v>6115.2000000000007</v>
      </c>
      <c r="AE1760" s="184">
        <f>SUMIFS($AD$37:$AD$12971,$V$37:$V$12971,$V1760,$X$37:$X$12971,AE$13)</f>
        <v>0</v>
      </c>
      <c r="AF1760" s="185">
        <f>SUMIFS($AD$37:$AD$12971,$V$37:$V$12971,$V1760,$X$37:$X$12971,AF$13)</f>
        <v>0</v>
      </c>
      <c r="AG1760" s="185">
        <f>SUMIFS($AD$37:$AD$12971,$V$37:$V$12971,$V1760,$X$37:$X$12971,AG$13)</f>
        <v>0</v>
      </c>
      <c r="AH1760" s="187">
        <f>SUMIFS($AD$37:$AD$12971,$V$37:$V$12971,$V1760,$X$37:$X$12971,AH$13)</f>
        <v>0</v>
      </c>
      <c r="AI1760" s="161">
        <f t="shared" ref="AI1760" si="1279">SUM(AE1760:AH1760)</f>
        <v>0</v>
      </c>
      <c r="AK1760" s="172"/>
    </row>
    <row r="1761" spans="1:37" s="102" customFormat="1" ht="19.899999999999999" customHeight="1" x14ac:dyDescent="0.25">
      <c r="A1761" s="45"/>
      <c r="B1761" s="59"/>
      <c r="C1761" s="137"/>
      <c r="D1761" s="59"/>
      <c r="E1761" s="116"/>
      <c r="F1761" s="120"/>
      <c r="G1761" s="120"/>
      <c r="H1761" s="120"/>
      <c r="I1761" s="60"/>
      <c r="J1761" s="116"/>
      <c r="K1761" s="213"/>
      <c r="L1761" s="120"/>
      <c r="M1761" s="120"/>
      <c r="N1761" s="167"/>
      <c r="O1761" s="120"/>
      <c r="P1761" s="120"/>
      <c r="Q1761" s="120"/>
      <c r="R1761" s="120"/>
      <c r="S1761" s="120"/>
      <c r="T1761" s="221"/>
      <c r="U1761" s="89"/>
      <c r="V1761" s="61"/>
      <c r="W1761" s="92" t="s">
        <v>1359</v>
      </c>
      <c r="X1761" s="93" t="s">
        <v>32</v>
      </c>
      <c r="Y1761" s="93" t="s">
        <v>64</v>
      </c>
      <c r="Z1761" s="134">
        <f>VLOOKUP(W1761,Sheet2!$B:$D,3,FALSE)</f>
        <v>40</v>
      </c>
      <c r="AA1761" s="93">
        <f>1/48</f>
        <v>2.0833333333333332E-2</v>
      </c>
      <c r="AB1761" s="93">
        <f t="shared" ref="AB1761" si="1280">AD1761/AC1760</f>
        <v>1920.0000000000002</v>
      </c>
      <c r="AC1761" s="93">
        <f>AC1760/AA1761</f>
        <v>87.36</v>
      </c>
      <c r="AD1761" s="94">
        <f t="shared" ref="AD1761:AD1762" si="1281">AC1761*Z1761</f>
        <v>3494.4</v>
      </c>
      <c r="AE1761" s="190"/>
      <c r="AF1761" s="191"/>
      <c r="AG1761" s="191"/>
      <c r="AH1761" s="191"/>
      <c r="AI1761" s="186"/>
      <c r="AK1761" s="171"/>
    </row>
    <row r="1762" spans="1:37" s="102" customFormat="1" ht="19.899999999999999" customHeight="1" x14ac:dyDescent="0.25">
      <c r="A1762" s="45"/>
      <c r="B1762" s="59"/>
      <c r="C1762" s="137"/>
      <c r="D1762" s="59"/>
      <c r="E1762" s="116"/>
      <c r="F1762" s="120"/>
      <c r="G1762" s="120"/>
      <c r="H1762" s="120"/>
      <c r="I1762" s="60"/>
      <c r="J1762" s="116"/>
      <c r="K1762" s="213"/>
      <c r="L1762" s="120"/>
      <c r="M1762" s="120"/>
      <c r="N1762" s="167"/>
      <c r="O1762" s="120"/>
      <c r="P1762" s="120"/>
      <c r="Q1762" s="120"/>
      <c r="R1762" s="120"/>
      <c r="S1762" s="120"/>
      <c r="T1762" s="221"/>
      <c r="U1762" s="89"/>
      <c r="V1762" s="61"/>
      <c r="W1762" s="92" t="s">
        <v>1360</v>
      </c>
      <c r="X1762" s="93" t="s">
        <v>32</v>
      </c>
      <c r="Y1762" s="93" t="s">
        <v>64</v>
      </c>
      <c r="Z1762" s="134">
        <f>VLOOKUP(W1762,Sheet2!$B:$D,3,FALSE)</f>
        <v>30</v>
      </c>
      <c r="AA1762" s="93">
        <f>AA1761</f>
        <v>2.0833333333333332E-2</v>
      </c>
      <c r="AB1762" s="93">
        <f>AD1762/AC1760</f>
        <v>1440.0000000000002</v>
      </c>
      <c r="AC1762" s="93">
        <f>AC1760/AA1762</f>
        <v>87.36</v>
      </c>
      <c r="AD1762" s="94">
        <f t="shared" si="1281"/>
        <v>2620.8000000000002</v>
      </c>
      <c r="AE1762" s="190"/>
      <c r="AF1762" s="191"/>
      <c r="AG1762" s="191"/>
      <c r="AH1762" s="191"/>
      <c r="AI1762" s="186"/>
      <c r="AK1762" s="171"/>
    </row>
    <row r="1763" spans="1:37" s="103" customFormat="1" ht="19.899999999999999" customHeight="1" x14ac:dyDescent="0.25">
      <c r="A1763" s="51"/>
      <c r="B1763" s="52"/>
      <c r="C1763" s="165"/>
      <c r="D1763" s="52"/>
      <c r="E1763" s="115"/>
      <c r="F1763" s="58"/>
      <c r="G1763" s="58"/>
      <c r="H1763" s="58"/>
      <c r="I1763" s="55"/>
      <c r="J1763" s="113">
        <f>J1741</f>
        <v>1.8199999999999998</v>
      </c>
      <c r="K1763" s="212">
        <f>K1741</f>
        <v>1.8199999999999998</v>
      </c>
      <c r="L1763" s="58"/>
      <c r="M1763" s="58">
        <f>K1763-L1763</f>
        <v>1.8199999999999998</v>
      </c>
      <c r="N1763" s="166"/>
      <c r="O1763" s="58"/>
      <c r="P1763" s="58"/>
      <c r="Q1763" s="58"/>
      <c r="R1763" s="58"/>
      <c r="S1763" s="58"/>
      <c r="T1763" s="220"/>
      <c r="U1763" s="88"/>
      <c r="V1763" s="56"/>
      <c r="W1763" s="57" t="s">
        <v>1272</v>
      </c>
      <c r="X1763" s="53"/>
      <c r="Y1763" s="91" t="s">
        <v>35</v>
      </c>
      <c r="Z1763" s="136">
        <f>AD1763/AC1763</f>
        <v>256.1765176470588</v>
      </c>
      <c r="AA1763" s="58"/>
      <c r="AB1763" s="53">
        <f>AD1763/AC1763</f>
        <v>256.1765176470588</v>
      </c>
      <c r="AC1763" s="53">
        <f>M1763+$AE$10</f>
        <v>1.8199999999999998</v>
      </c>
      <c r="AD1763" s="54">
        <f>SUM(AD1764:AD1772)</f>
        <v>466.24126211764695</v>
      </c>
      <c r="AE1763" s="184">
        <f>SUMIFS($AD$37:$AD$12971,$V$37:$V$12971,$V1763,$X$37:$X$12971,AE$13)</f>
        <v>0</v>
      </c>
      <c r="AF1763" s="185">
        <f>SUMIFS($AD$37:$AD$12971,$V$37:$V$12971,$V1763,$X$37:$X$12971,AF$13)</f>
        <v>0</v>
      </c>
      <c r="AG1763" s="185">
        <f>SUMIFS($AD$37:$AD$12971,$V$37:$V$12971,$V1763,$X$37:$X$12971,AG$13)</f>
        <v>0</v>
      </c>
      <c r="AH1763" s="187">
        <f>SUMIFS($AD$37:$AD$12971,$V$37:$V$12971,$V1763,$X$37:$X$12971,AH$13)</f>
        <v>0</v>
      </c>
      <c r="AI1763" s="161">
        <f t="shared" ref="AI1763" si="1282">SUM(AE1763:AH1763)</f>
        <v>0</v>
      </c>
      <c r="AK1763" s="172"/>
    </row>
    <row r="1764" spans="1:37" s="102" customFormat="1" ht="19.899999999999999" customHeight="1" x14ac:dyDescent="0.25">
      <c r="A1764" s="45"/>
      <c r="B1764" s="59"/>
      <c r="C1764" s="137"/>
      <c r="D1764" s="59"/>
      <c r="E1764" s="116"/>
      <c r="F1764" s="120"/>
      <c r="G1764" s="120"/>
      <c r="H1764" s="120"/>
      <c r="I1764" s="60"/>
      <c r="J1764" s="116"/>
      <c r="K1764" s="213"/>
      <c r="L1764" s="120"/>
      <c r="M1764" s="120"/>
      <c r="N1764" s="167"/>
      <c r="O1764" s="120"/>
      <c r="P1764" s="120"/>
      <c r="Q1764" s="120"/>
      <c r="R1764" s="120"/>
      <c r="S1764" s="120"/>
      <c r="T1764" s="221"/>
      <c r="U1764" s="89"/>
      <c r="V1764" s="61"/>
      <c r="W1764" s="92" t="s">
        <v>1273</v>
      </c>
      <c r="X1764" s="93" t="s">
        <v>30</v>
      </c>
      <c r="Y1764" s="93" t="s">
        <v>66</v>
      </c>
      <c r="Z1764" s="134">
        <f>VLOOKUP(W1764,Sheet2!$B:$D,3,FALSE)</f>
        <v>10</v>
      </c>
      <c r="AA1764" s="93">
        <f>1/(2.5*2.9*0.5*4)</f>
        <v>6.8965517241379309E-2</v>
      </c>
      <c r="AB1764" s="93">
        <f>AD1764/AC1763</f>
        <v>145</v>
      </c>
      <c r="AC1764" s="93">
        <f>AC1763/AA1764</f>
        <v>26.389999999999997</v>
      </c>
      <c r="AD1764" s="94">
        <f t="shared" ref="AD1764:AD1766" si="1283">AC1764*Z1764</f>
        <v>263.89999999999998</v>
      </c>
      <c r="AE1764" s="190"/>
      <c r="AF1764" s="191"/>
      <c r="AG1764" s="191"/>
      <c r="AH1764" s="191"/>
      <c r="AI1764" s="186"/>
      <c r="AK1764" s="171"/>
    </row>
    <row r="1765" spans="1:37" s="102" customFormat="1" ht="19.899999999999999" customHeight="1" x14ac:dyDescent="0.25">
      <c r="A1765" s="45"/>
      <c r="B1765" s="59"/>
      <c r="C1765" s="137"/>
      <c r="D1765" s="59"/>
      <c r="E1765" s="116"/>
      <c r="F1765" s="120"/>
      <c r="G1765" s="120"/>
      <c r="H1765" s="120"/>
      <c r="I1765" s="60"/>
      <c r="J1765" s="116"/>
      <c r="K1765" s="213"/>
      <c r="L1765" s="120"/>
      <c r="M1765" s="120"/>
      <c r="N1765" s="167"/>
      <c r="O1765" s="120"/>
      <c r="P1765" s="120"/>
      <c r="Q1765" s="120"/>
      <c r="R1765" s="120"/>
      <c r="S1765" s="120"/>
      <c r="T1765" s="221"/>
      <c r="U1765" s="89"/>
      <c r="V1765" s="61"/>
      <c r="W1765" s="92" t="s">
        <v>134</v>
      </c>
      <c r="X1765" s="93" t="s">
        <v>29</v>
      </c>
      <c r="Y1765" s="93" t="s">
        <v>93</v>
      </c>
      <c r="Z1765" s="134">
        <f>VLOOKUP(W1765,Sheet2!$B:$D,3,FALSE)</f>
        <v>65.599999999999994</v>
      </c>
      <c r="AA1765" s="93">
        <f>100/(2.5*2.9*0.5*4)</f>
        <v>6.8965517241379306</v>
      </c>
      <c r="AB1765" s="93">
        <f t="shared" ref="AB1765" si="1284">AD1765/AC1763</f>
        <v>9.5119999999999987</v>
      </c>
      <c r="AC1765" s="93">
        <f>AC1763/AA1765</f>
        <v>0.26389999999999997</v>
      </c>
      <c r="AD1765" s="94">
        <f t="shared" si="1283"/>
        <v>17.311839999999997</v>
      </c>
      <c r="AE1765" s="190"/>
      <c r="AF1765" s="191"/>
      <c r="AG1765" s="191"/>
      <c r="AH1765" s="191"/>
      <c r="AI1765" s="186"/>
      <c r="AK1765" s="171"/>
    </row>
    <row r="1766" spans="1:37" s="102" customFormat="1" ht="19.899999999999999" customHeight="1" x14ac:dyDescent="0.25">
      <c r="A1766" s="45"/>
      <c r="B1766" s="59"/>
      <c r="C1766" s="137"/>
      <c r="D1766" s="59"/>
      <c r="E1766" s="116"/>
      <c r="F1766" s="120"/>
      <c r="G1766" s="120"/>
      <c r="H1766" s="120"/>
      <c r="I1766" s="60"/>
      <c r="J1766" s="116"/>
      <c r="K1766" s="213"/>
      <c r="L1766" s="120"/>
      <c r="M1766" s="120"/>
      <c r="N1766" s="167"/>
      <c r="O1766" s="120"/>
      <c r="P1766" s="120"/>
      <c r="Q1766" s="120"/>
      <c r="R1766" s="120"/>
      <c r="S1766" s="120"/>
      <c r="T1766" s="221"/>
      <c r="U1766" s="89"/>
      <c r="V1766" s="61"/>
      <c r="W1766" s="92" t="s">
        <v>65</v>
      </c>
      <c r="X1766" s="93" t="s">
        <v>30</v>
      </c>
      <c r="Y1766" s="93" t="s">
        <v>1011</v>
      </c>
      <c r="Z1766" s="134">
        <f>VLOOKUP(W1766,Sheet2!$B:$D,3,FALSE)</f>
        <v>1.76</v>
      </c>
      <c r="AA1766" s="93">
        <f>AA1765/9</f>
        <v>0.76628352490421447</v>
      </c>
      <c r="AB1766" s="93">
        <f>AD1766/AC1763</f>
        <v>2.2968000000000002</v>
      </c>
      <c r="AC1766" s="93">
        <f>AC1763/AA1766</f>
        <v>2.3751000000000002</v>
      </c>
      <c r="AD1766" s="94">
        <f t="shared" si="1283"/>
        <v>4.1801760000000003</v>
      </c>
      <c r="AE1766" s="190"/>
      <c r="AF1766" s="191"/>
      <c r="AG1766" s="191"/>
      <c r="AH1766" s="191"/>
      <c r="AI1766" s="186"/>
      <c r="AK1766" s="171"/>
    </row>
    <row r="1767" spans="1:37" s="102" customFormat="1" ht="19.899999999999999" customHeight="1" x14ac:dyDescent="0.25">
      <c r="A1767" s="45"/>
      <c r="B1767" s="59"/>
      <c r="C1767" s="137"/>
      <c r="D1767" s="59"/>
      <c r="E1767" s="116"/>
      <c r="F1767" s="120"/>
      <c r="G1767" s="120"/>
      <c r="H1767" s="120"/>
      <c r="I1767" s="60"/>
      <c r="J1767" s="116"/>
      <c r="K1767" s="213"/>
      <c r="L1767" s="120"/>
      <c r="M1767" s="120"/>
      <c r="N1767" s="167"/>
      <c r="O1767" s="120"/>
      <c r="P1767" s="120"/>
      <c r="Q1767" s="120"/>
      <c r="R1767" s="120"/>
      <c r="S1767" s="120"/>
      <c r="T1767" s="221"/>
      <c r="U1767" s="89"/>
      <c r="V1767" s="61"/>
      <c r="W1767" s="92" t="s">
        <v>161</v>
      </c>
      <c r="X1767" s="93" t="s">
        <v>29</v>
      </c>
      <c r="Y1767" s="93" t="s">
        <v>93</v>
      </c>
      <c r="Z1767" s="134">
        <f>VLOOKUP(W1767,Sheet2!$B:$D,3,FALSE)</f>
        <v>48</v>
      </c>
      <c r="AA1767" s="93">
        <f>(16*0.85*1.5)/(2.5*2.9*0.5*4)</f>
        <v>1.4068965517241379</v>
      </c>
      <c r="AB1767" s="93">
        <f>AD1767/AC1763</f>
        <v>34.117647058823529</v>
      </c>
      <c r="AC1767" s="93">
        <f>AC1763/AA1767</f>
        <v>1.293627450980392</v>
      </c>
      <c r="AD1767" s="94">
        <f>AC1767*Z1767</f>
        <v>62.094117647058816</v>
      </c>
      <c r="AE1767" s="190"/>
      <c r="AF1767" s="191"/>
      <c r="AG1767" s="191"/>
      <c r="AH1767" s="191"/>
      <c r="AI1767" s="186"/>
      <c r="AK1767" s="171"/>
    </row>
    <row r="1768" spans="1:37" s="102" customFormat="1" ht="19.899999999999999" customHeight="1" x14ac:dyDescent="0.25">
      <c r="A1768" s="45"/>
      <c r="B1768" s="59"/>
      <c r="C1768" s="137"/>
      <c r="D1768" s="59"/>
      <c r="E1768" s="116"/>
      <c r="F1768" s="120"/>
      <c r="G1768" s="120"/>
      <c r="H1768" s="120"/>
      <c r="I1768" s="60"/>
      <c r="J1768" s="116"/>
      <c r="K1768" s="213"/>
      <c r="L1768" s="120"/>
      <c r="M1768" s="120"/>
      <c r="N1768" s="167"/>
      <c r="O1768" s="120"/>
      <c r="P1768" s="120"/>
      <c r="Q1768" s="120"/>
      <c r="R1768" s="120"/>
      <c r="S1768" s="120"/>
      <c r="T1768" s="221"/>
      <c r="U1768" s="89"/>
      <c r="V1768" s="61"/>
      <c r="W1768" s="92" t="s">
        <v>65</v>
      </c>
      <c r="X1768" s="93" t="s">
        <v>30</v>
      </c>
      <c r="Y1768" s="93" t="s">
        <v>1011</v>
      </c>
      <c r="Z1768" s="134">
        <f>VLOOKUP(W1768,Sheet2!$B:$D,3,FALSE)</f>
        <v>1.76</v>
      </c>
      <c r="AA1768" s="93">
        <f>AA1767/10</f>
        <v>0.14068965517241377</v>
      </c>
      <c r="AB1768" s="93">
        <f>AD1768/AC1763</f>
        <v>12.509803921568629</v>
      </c>
      <c r="AC1768" s="93">
        <f>AC1763/AA1768</f>
        <v>12.936274509803923</v>
      </c>
      <c r="AD1768" s="94">
        <f>AC1768*Z1768</f>
        <v>22.767843137254903</v>
      </c>
      <c r="AE1768" s="190"/>
      <c r="AF1768" s="191"/>
      <c r="AG1768" s="191"/>
      <c r="AH1768" s="191"/>
      <c r="AI1768" s="186"/>
      <c r="AK1768" s="171"/>
    </row>
    <row r="1769" spans="1:37" s="102" customFormat="1" ht="19.899999999999999" customHeight="1" x14ac:dyDescent="0.25">
      <c r="A1769" s="45"/>
      <c r="B1769" s="59"/>
      <c r="C1769" s="137"/>
      <c r="D1769" s="59"/>
      <c r="E1769" s="116"/>
      <c r="F1769" s="120"/>
      <c r="G1769" s="120"/>
      <c r="H1769" s="120"/>
      <c r="I1769" s="60"/>
      <c r="J1769" s="116"/>
      <c r="K1769" s="213"/>
      <c r="L1769" s="120"/>
      <c r="M1769" s="120"/>
      <c r="N1769" s="167"/>
      <c r="O1769" s="120"/>
      <c r="P1769" s="120"/>
      <c r="Q1769" s="120"/>
      <c r="R1769" s="120"/>
      <c r="S1769" s="120"/>
      <c r="T1769" s="221"/>
      <c r="U1769" s="89"/>
      <c r="V1769" s="61"/>
      <c r="W1769" s="92" t="s">
        <v>173</v>
      </c>
      <c r="X1769" s="93" t="s">
        <v>29</v>
      </c>
      <c r="Y1769" s="93" t="s">
        <v>93</v>
      </c>
      <c r="Z1769" s="134">
        <f>VLOOKUP(W1769,Sheet2!$B:$D,3,FALSE)</f>
        <v>36</v>
      </c>
      <c r="AA1769" s="93">
        <f>50/(2.5*2.9*0.5*4)</f>
        <v>3.4482758620689653</v>
      </c>
      <c r="AB1769" s="93">
        <f>AD1769/AC1763</f>
        <v>10.44</v>
      </c>
      <c r="AC1769" s="93">
        <f>AC1763/AA1769</f>
        <v>0.52779999999999994</v>
      </c>
      <c r="AD1769" s="94">
        <f>AC1769*Z1769</f>
        <v>19.000799999999998</v>
      </c>
      <c r="AE1769" s="190"/>
      <c r="AF1769" s="191"/>
      <c r="AG1769" s="191"/>
      <c r="AH1769" s="191"/>
      <c r="AI1769" s="186"/>
      <c r="AK1769" s="171"/>
    </row>
    <row r="1770" spans="1:37" s="102" customFormat="1" ht="19.899999999999999" customHeight="1" x14ac:dyDescent="0.25">
      <c r="A1770" s="45"/>
      <c r="B1770" s="59"/>
      <c r="C1770" s="137"/>
      <c r="D1770" s="59"/>
      <c r="E1770" s="116"/>
      <c r="F1770" s="120"/>
      <c r="G1770" s="120"/>
      <c r="H1770" s="120"/>
      <c r="I1770" s="60"/>
      <c r="J1770" s="116"/>
      <c r="K1770" s="213"/>
      <c r="L1770" s="120"/>
      <c r="M1770" s="120"/>
      <c r="N1770" s="167"/>
      <c r="O1770" s="120"/>
      <c r="P1770" s="120"/>
      <c r="Q1770" s="120"/>
      <c r="R1770" s="120"/>
      <c r="S1770" s="120"/>
      <c r="T1770" s="221"/>
      <c r="U1770" s="89"/>
      <c r="V1770" s="61"/>
      <c r="W1770" s="92" t="s">
        <v>65</v>
      </c>
      <c r="X1770" s="93" t="s">
        <v>30</v>
      </c>
      <c r="Y1770" s="93" t="s">
        <v>1011</v>
      </c>
      <c r="Z1770" s="134">
        <f>VLOOKUP(W1770,Sheet2!$B:$D,3,FALSE)</f>
        <v>1.76</v>
      </c>
      <c r="AA1770" s="93">
        <f>AA1769/9</f>
        <v>0.38314176245210724</v>
      </c>
      <c r="AB1770" s="93">
        <f>AD1770/AC1763</f>
        <v>4.5936000000000003</v>
      </c>
      <c r="AC1770" s="93">
        <f>AC1763/AA1770</f>
        <v>4.7502000000000004</v>
      </c>
      <c r="AD1770" s="94">
        <f>AC1770*Z1770</f>
        <v>8.3603520000000007</v>
      </c>
      <c r="AE1770" s="190"/>
      <c r="AF1770" s="191"/>
      <c r="AG1770" s="191"/>
      <c r="AH1770" s="191"/>
      <c r="AI1770" s="186"/>
      <c r="AK1770" s="171"/>
    </row>
    <row r="1771" spans="1:37" s="102" customFormat="1" ht="19.899999999999999" customHeight="1" x14ac:dyDescent="0.25">
      <c r="A1771" s="45"/>
      <c r="B1771" s="59"/>
      <c r="C1771" s="137"/>
      <c r="D1771" s="59"/>
      <c r="E1771" s="116"/>
      <c r="F1771" s="120"/>
      <c r="G1771" s="120"/>
      <c r="H1771" s="120"/>
      <c r="I1771" s="60"/>
      <c r="J1771" s="116"/>
      <c r="K1771" s="213"/>
      <c r="L1771" s="120"/>
      <c r="M1771" s="120"/>
      <c r="N1771" s="167"/>
      <c r="O1771" s="120"/>
      <c r="P1771" s="120"/>
      <c r="Q1771" s="120"/>
      <c r="R1771" s="120"/>
      <c r="S1771" s="120"/>
      <c r="T1771" s="221"/>
      <c r="U1771" s="89"/>
      <c r="V1771" s="61"/>
      <c r="W1771" s="92" t="s">
        <v>1030</v>
      </c>
      <c r="X1771" s="93" t="s">
        <v>29</v>
      </c>
      <c r="Y1771" s="93" t="s">
        <v>93</v>
      </c>
      <c r="Z1771" s="134">
        <f>VLOOKUP(W1771,Sheet2!$B:$D,3,FALSE)</f>
        <v>23</v>
      </c>
      <c r="AA1771" s="93">
        <v>0.75</v>
      </c>
      <c r="AB1771" s="93">
        <f>AD1771/AC1763</f>
        <v>30.666666666666664</v>
      </c>
      <c r="AC1771" s="93">
        <f>AC1763/AA1771</f>
        <v>2.4266666666666663</v>
      </c>
      <c r="AD1771" s="94">
        <f t="shared" ref="AD1771:AD1772" si="1285">AC1771*Z1771</f>
        <v>55.813333333333325</v>
      </c>
      <c r="AE1771" s="190"/>
      <c r="AF1771" s="191"/>
      <c r="AG1771" s="191"/>
      <c r="AH1771" s="191"/>
      <c r="AI1771" s="186"/>
      <c r="AK1771" s="171"/>
    </row>
    <row r="1772" spans="1:37" s="102" customFormat="1" ht="19.899999999999999" customHeight="1" x14ac:dyDescent="0.25">
      <c r="A1772" s="45"/>
      <c r="B1772" s="59"/>
      <c r="C1772" s="137"/>
      <c r="D1772" s="59"/>
      <c r="E1772" s="116"/>
      <c r="F1772" s="120"/>
      <c r="G1772" s="120"/>
      <c r="H1772" s="120"/>
      <c r="I1772" s="60"/>
      <c r="J1772" s="116"/>
      <c r="K1772" s="213"/>
      <c r="L1772" s="120"/>
      <c r="M1772" s="120"/>
      <c r="N1772" s="167"/>
      <c r="O1772" s="120"/>
      <c r="P1772" s="120"/>
      <c r="Q1772" s="120"/>
      <c r="R1772" s="120"/>
      <c r="S1772" s="120"/>
      <c r="T1772" s="221"/>
      <c r="U1772" s="89"/>
      <c r="V1772" s="61"/>
      <c r="W1772" s="92" t="s">
        <v>65</v>
      </c>
      <c r="X1772" s="93" t="s">
        <v>30</v>
      </c>
      <c r="Y1772" s="93" t="s">
        <v>1011</v>
      </c>
      <c r="Z1772" s="134">
        <f>VLOOKUP(W1772,Sheet2!$B:$D,3,FALSE)</f>
        <v>1.76</v>
      </c>
      <c r="AA1772" s="93">
        <f>AA1771/3</f>
        <v>0.25</v>
      </c>
      <c r="AB1772" s="93">
        <f>AD1772/AC1763</f>
        <v>7.04</v>
      </c>
      <c r="AC1772" s="93">
        <f>AC1763/AA1772</f>
        <v>7.2799999999999994</v>
      </c>
      <c r="AD1772" s="94">
        <f t="shared" si="1285"/>
        <v>12.812799999999999</v>
      </c>
      <c r="AE1772" s="190"/>
      <c r="AF1772" s="191"/>
      <c r="AG1772" s="191"/>
      <c r="AH1772" s="191"/>
      <c r="AI1772" s="186"/>
      <c r="AK1772" s="171"/>
    </row>
    <row r="1773" spans="1:37" s="306" customFormat="1" ht="20.100000000000001" customHeight="1" x14ac:dyDescent="0.25">
      <c r="A1773" s="287" t="s">
        <v>216</v>
      </c>
      <c r="B1773" s="288"/>
      <c r="C1773" s="286" t="s">
        <v>374</v>
      </c>
      <c r="D1773" s="289"/>
      <c r="E1773" s="290"/>
      <c r="F1773" s="291">
        <v>0</v>
      </c>
      <c r="G1773" s="291">
        <f t="shared" si="425"/>
        <v>0</v>
      </c>
      <c r="H1773" s="291">
        <f t="shared" si="426"/>
        <v>0</v>
      </c>
      <c r="I1773" s="292">
        <f t="shared" si="427"/>
        <v>0</v>
      </c>
      <c r="J1773" s="290">
        <f t="shared" si="428"/>
        <v>0</v>
      </c>
      <c r="K1773" s="293">
        <f t="shared" si="429"/>
        <v>0</v>
      </c>
      <c r="L1773" s="291"/>
      <c r="M1773" s="291">
        <f t="shared" si="435"/>
        <v>0</v>
      </c>
      <c r="N1773" s="294">
        <f t="shared" si="430"/>
        <v>0</v>
      </c>
      <c r="O1773" s="291">
        <f t="shared" si="431"/>
        <v>0</v>
      </c>
      <c r="P1773" s="291">
        <f t="shared" si="432"/>
        <v>0</v>
      </c>
      <c r="Q1773" s="291">
        <f t="shared" si="433"/>
        <v>0</v>
      </c>
      <c r="R1773" s="291">
        <f t="shared" si="436"/>
        <v>0</v>
      </c>
      <c r="S1773" s="291"/>
      <c r="T1773" s="295">
        <f t="shared" si="437"/>
        <v>0</v>
      </c>
      <c r="U1773" s="296"/>
      <c r="V1773" s="297"/>
      <c r="W1773" s="298"/>
      <c r="X1773" s="299"/>
      <c r="Y1773" s="300"/>
      <c r="Z1773" s="301"/>
      <c r="AA1773" s="300"/>
      <c r="AB1773" s="300">
        <f t="shared" si="434"/>
        <v>0</v>
      </c>
      <c r="AC1773" s="300">
        <f t="shared" si="438"/>
        <v>9.9999999999999998E-20</v>
      </c>
      <c r="AD1773" s="302"/>
      <c r="AE1773" s="303"/>
      <c r="AF1773" s="304"/>
      <c r="AG1773" s="304"/>
      <c r="AH1773" s="304"/>
      <c r="AI1773" s="305"/>
      <c r="AK1773" s="307"/>
    </row>
    <row r="1774" spans="1:37" s="306" customFormat="1" ht="90" x14ac:dyDescent="0.25">
      <c r="A1774" s="287" t="s">
        <v>216</v>
      </c>
      <c r="B1774" s="288"/>
      <c r="C1774" s="286" t="s">
        <v>375</v>
      </c>
      <c r="D1774" s="289"/>
      <c r="E1774" s="290"/>
      <c r="F1774" s="291">
        <v>0</v>
      </c>
      <c r="G1774" s="291">
        <f t="shared" si="425"/>
        <v>0</v>
      </c>
      <c r="H1774" s="291">
        <f t="shared" si="426"/>
        <v>0</v>
      </c>
      <c r="I1774" s="292">
        <f t="shared" si="427"/>
        <v>0</v>
      </c>
      <c r="J1774" s="290">
        <f t="shared" si="428"/>
        <v>0</v>
      </c>
      <c r="K1774" s="293">
        <f t="shared" si="429"/>
        <v>0</v>
      </c>
      <c r="L1774" s="291"/>
      <c r="M1774" s="291">
        <f t="shared" si="435"/>
        <v>0</v>
      </c>
      <c r="N1774" s="294">
        <f t="shared" si="430"/>
        <v>0</v>
      </c>
      <c r="O1774" s="291">
        <f t="shared" si="431"/>
        <v>0</v>
      </c>
      <c r="P1774" s="291">
        <f t="shared" si="432"/>
        <v>0</v>
      </c>
      <c r="Q1774" s="291">
        <f t="shared" si="433"/>
        <v>0</v>
      </c>
      <c r="R1774" s="291">
        <f t="shared" si="436"/>
        <v>0</v>
      </c>
      <c r="S1774" s="291"/>
      <c r="T1774" s="295">
        <f t="shared" si="437"/>
        <v>0</v>
      </c>
      <c r="U1774" s="296"/>
      <c r="V1774" s="297"/>
      <c r="W1774" s="298"/>
      <c r="X1774" s="299"/>
      <c r="Y1774" s="300"/>
      <c r="Z1774" s="301"/>
      <c r="AA1774" s="300"/>
      <c r="AB1774" s="300">
        <f t="shared" si="434"/>
        <v>0</v>
      </c>
      <c r="AC1774" s="300">
        <f t="shared" si="438"/>
        <v>9.9999999999999998E-20</v>
      </c>
      <c r="AD1774" s="302"/>
      <c r="AE1774" s="303"/>
      <c r="AF1774" s="304"/>
      <c r="AG1774" s="304"/>
      <c r="AH1774" s="304"/>
      <c r="AI1774" s="305"/>
      <c r="AK1774" s="307"/>
    </row>
    <row r="1775" spans="1:37" ht="20.100000000000001" customHeight="1" x14ac:dyDescent="0.25">
      <c r="A1775" s="277" t="s">
        <v>216</v>
      </c>
      <c r="B1775" s="278"/>
      <c r="C1775" s="64" t="s">
        <v>376</v>
      </c>
      <c r="D1775" s="46" t="s">
        <v>215</v>
      </c>
      <c r="E1775" s="114"/>
      <c r="F1775" s="44">
        <v>0</v>
      </c>
      <c r="G1775" s="44">
        <f t="shared" si="425"/>
        <v>0</v>
      </c>
      <c r="H1775" s="44">
        <f t="shared" si="426"/>
        <v>0</v>
      </c>
      <c r="I1775" s="43">
        <f t="shared" si="427"/>
        <v>0</v>
      </c>
      <c r="J1775" s="112">
        <f t="shared" si="428"/>
        <v>0</v>
      </c>
      <c r="K1775" s="211">
        <f t="shared" si="429"/>
        <v>0</v>
      </c>
      <c r="L1775" s="44"/>
      <c r="M1775" s="44">
        <f t="shared" si="435"/>
        <v>0</v>
      </c>
      <c r="N1775" s="173">
        <f t="shared" si="430"/>
        <v>0</v>
      </c>
      <c r="O1775" s="44">
        <f t="shared" si="431"/>
        <v>0</v>
      </c>
      <c r="P1775" s="44">
        <f t="shared" si="432"/>
        <v>0</v>
      </c>
      <c r="Q1775" s="44">
        <f t="shared" si="433"/>
        <v>0</v>
      </c>
      <c r="R1775" s="44">
        <f t="shared" si="436"/>
        <v>0</v>
      </c>
      <c r="S1775" s="123"/>
      <c r="T1775" s="219">
        <f t="shared" si="437"/>
        <v>0</v>
      </c>
      <c r="U1775" s="87"/>
      <c r="V1775" s="47"/>
      <c r="W1775" s="48"/>
      <c r="X1775" s="48"/>
      <c r="Y1775" s="48"/>
      <c r="Z1775" s="135"/>
      <c r="AA1775" s="49"/>
      <c r="AB1775" s="50">
        <f t="shared" si="434"/>
        <v>0</v>
      </c>
      <c r="AC1775" s="42">
        <f t="shared" si="438"/>
        <v>9.9999999999999998E-20</v>
      </c>
      <c r="AD1775" s="90"/>
      <c r="AE1775" s="188"/>
      <c r="AF1775" s="189"/>
      <c r="AG1775" s="189"/>
      <c r="AH1775" s="189"/>
      <c r="AI1775" s="161"/>
    </row>
    <row r="1776" spans="1:37" s="306" customFormat="1" ht="20.100000000000001" customHeight="1" x14ac:dyDescent="0.25">
      <c r="A1776" s="287" t="s">
        <v>216</v>
      </c>
      <c r="B1776" s="288"/>
      <c r="C1776" s="310" t="s">
        <v>377</v>
      </c>
      <c r="D1776" s="289"/>
      <c r="E1776" s="290"/>
      <c r="F1776" s="291">
        <v>0</v>
      </c>
      <c r="G1776" s="291">
        <f t="shared" si="425"/>
        <v>0</v>
      </c>
      <c r="H1776" s="291">
        <f t="shared" si="426"/>
        <v>0</v>
      </c>
      <c r="I1776" s="292">
        <f t="shared" si="427"/>
        <v>0</v>
      </c>
      <c r="J1776" s="290">
        <f t="shared" si="428"/>
        <v>0</v>
      </c>
      <c r="K1776" s="293">
        <f t="shared" si="429"/>
        <v>0</v>
      </c>
      <c r="L1776" s="291"/>
      <c r="M1776" s="291">
        <f t="shared" si="435"/>
        <v>0</v>
      </c>
      <c r="N1776" s="294">
        <f t="shared" si="430"/>
        <v>0</v>
      </c>
      <c r="O1776" s="291">
        <f t="shared" si="431"/>
        <v>0</v>
      </c>
      <c r="P1776" s="291">
        <f t="shared" si="432"/>
        <v>0</v>
      </c>
      <c r="Q1776" s="291">
        <f t="shared" si="433"/>
        <v>0</v>
      </c>
      <c r="R1776" s="291">
        <f t="shared" si="436"/>
        <v>0</v>
      </c>
      <c r="S1776" s="291"/>
      <c r="T1776" s="295">
        <f t="shared" si="437"/>
        <v>0</v>
      </c>
      <c r="U1776" s="296"/>
      <c r="V1776" s="297"/>
      <c r="W1776" s="298"/>
      <c r="X1776" s="299"/>
      <c r="Y1776" s="300"/>
      <c r="Z1776" s="301"/>
      <c r="AA1776" s="300"/>
      <c r="AB1776" s="300">
        <f t="shared" si="434"/>
        <v>0</v>
      </c>
      <c r="AC1776" s="300">
        <f t="shared" si="438"/>
        <v>9.9999999999999998E-20</v>
      </c>
      <c r="AD1776" s="302"/>
      <c r="AE1776" s="303"/>
      <c r="AF1776" s="304"/>
      <c r="AG1776" s="304"/>
      <c r="AH1776" s="304"/>
      <c r="AI1776" s="305"/>
      <c r="AK1776" s="307"/>
    </row>
    <row r="1777" spans="1:41" s="306" customFormat="1" ht="45" x14ac:dyDescent="0.25">
      <c r="A1777" s="287" t="s">
        <v>216</v>
      </c>
      <c r="B1777" s="288"/>
      <c r="C1777" s="286" t="s">
        <v>378</v>
      </c>
      <c r="D1777" s="289"/>
      <c r="E1777" s="290"/>
      <c r="F1777" s="291">
        <v>0</v>
      </c>
      <c r="G1777" s="291">
        <f t="shared" si="425"/>
        <v>0</v>
      </c>
      <c r="H1777" s="291">
        <f t="shared" si="426"/>
        <v>0</v>
      </c>
      <c r="I1777" s="292">
        <f t="shared" si="427"/>
        <v>0</v>
      </c>
      <c r="J1777" s="290">
        <f t="shared" si="428"/>
        <v>0</v>
      </c>
      <c r="K1777" s="293">
        <f t="shared" si="429"/>
        <v>0</v>
      </c>
      <c r="L1777" s="291"/>
      <c r="M1777" s="291">
        <f t="shared" si="435"/>
        <v>0</v>
      </c>
      <c r="N1777" s="294">
        <f t="shared" si="430"/>
        <v>0</v>
      </c>
      <c r="O1777" s="291">
        <f t="shared" si="431"/>
        <v>0</v>
      </c>
      <c r="P1777" s="291">
        <f t="shared" si="432"/>
        <v>0</v>
      </c>
      <c r="Q1777" s="291">
        <f t="shared" si="433"/>
        <v>0</v>
      </c>
      <c r="R1777" s="291">
        <f t="shared" si="436"/>
        <v>0</v>
      </c>
      <c r="S1777" s="291"/>
      <c r="T1777" s="295">
        <f t="shared" si="437"/>
        <v>0</v>
      </c>
      <c r="U1777" s="296"/>
      <c r="V1777" s="297"/>
      <c r="W1777" s="298"/>
      <c r="X1777" s="299"/>
      <c r="Y1777" s="300"/>
      <c r="Z1777" s="301"/>
      <c r="AA1777" s="300"/>
      <c r="AB1777" s="300">
        <f t="shared" si="434"/>
        <v>0</v>
      </c>
      <c r="AC1777" s="300">
        <f t="shared" si="438"/>
        <v>9.9999999999999998E-20</v>
      </c>
      <c r="AD1777" s="302"/>
      <c r="AE1777" s="303"/>
      <c r="AF1777" s="304"/>
      <c r="AG1777" s="304"/>
      <c r="AH1777" s="304"/>
      <c r="AI1777" s="305"/>
      <c r="AK1777" s="307"/>
    </row>
    <row r="1778" spans="1:41" ht="20.100000000000001" customHeight="1" x14ac:dyDescent="0.25">
      <c r="A1778" s="277" t="s">
        <v>216</v>
      </c>
      <c r="B1778" s="278"/>
      <c r="C1778" s="64" t="s">
        <v>379</v>
      </c>
      <c r="D1778" s="46" t="s">
        <v>97</v>
      </c>
      <c r="E1778" s="114"/>
      <c r="F1778" s="44">
        <v>0</v>
      </c>
      <c r="G1778" s="44">
        <f t="shared" ref="G1778:G2220" si="1286">F1778*E1778</f>
        <v>0</v>
      </c>
      <c r="H1778" s="44">
        <f t="shared" ref="H1778:H2220" si="1287">AB1778</f>
        <v>0</v>
      </c>
      <c r="I1778" s="43">
        <f t="shared" ref="I1778:I2220" si="1288">H1778*E1778</f>
        <v>0</v>
      </c>
      <c r="J1778" s="112">
        <f t="shared" ref="J1778:J2220" si="1289">E1778</f>
        <v>0</v>
      </c>
      <c r="K1778" s="211">
        <f t="shared" ref="K1778:K2220" si="1290">J1778</f>
        <v>0</v>
      </c>
      <c r="L1778" s="44"/>
      <c r="M1778" s="44">
        <f t="shared" si="435"/>
        <v>0</v>
      </c>
      <c r="N1778" s="173">
        <f t="shared" ref="N1778:N2220" si="1291">IFERROR(M1778/K1778,0)</f>
        <v>0</v>
      </c>
      <c r="O1778" s="44">
        <f t="shared" ref="O1778:O2220" si="1292">F1778</f>
        <v>0</v>
      </c>
      <c r="P1778" s="44">
        <f t="shared" ref="P1778:P2220" si="1293">K1778*O1778</f>
        <v>0</v>
      </c>
      <c r="Q1778" s="44">
        <f t="shared" ref="Q1778:Q2220" si="1294">AB1778</f>
        <v>0</v>
      </c>
      <c r="R1778" s="44">
        <f t="shared" si="436"/>
        <v>0</v>
      </c>
      <c r="S1778" s="123"/>
      <c r="T1778" s="219">
        <f t="shared" si="437"/>
        <v>0</v>
      </c>
      <c r="U1778" s="87"/>
      <c r="V1778" s="47"/>
      <c r="W1778" s="48"/>
      <c r="X1778" s="48"/>
      <c r="Y1778" s="48"/>
      <c r="Z1778" s="135"/>
      <c r="AA1778" s="49"/>
      <c r="AB1778" s="50">
        <f t="shared" ref="AB1778:AB2220" si="1295">AD1778/AC1778</f>
        <v>0</v>
      </c>
      <c r="AC1778" s="42">
        <f t="shared" si="438"/>
        <v>9.9999999999999998E-20</v>
      </c>
      <c r="AD1778" s="90"/>
      <c r="AE1778" s="188"/>
      <c r="AF1778" s="189"/>
      <c r="AG1778" s="189"/>
      <c r="AH1778" s="189"/>
      <c r="AI1778" s="161"/>
    </row>
    <row r="1779" spans="1:41" ht="20.100000000000001" customHeight="1" x14ac:dyDescent="0.25">
      <c r="A1779" s="277" t="s">
        <v>216</v>
      </c>
      <c r="B1779" s="278"/>
      <c r="C1779" s="64" t="s">
        <v>380</v>
      </c>
      <c r="D1779" s="46" t="s">
        <v>97</v>
      </c>
      <c r="E1779" s="114"/>
      <c r="F1779" s="44">
        <v>0</v>
      </c>
      <c r="G1779" s="44">
        <f t="shared" si="1286"/>
        <v>0</v>
      </c>
      <c r="H1779" s="44">
        <f t="shared" si="1287"/>
        <v>0</v>
      </c>
      <c r="I1779" s="43">
        <f t="shared" si="1288"/>
        <v>0</v>
      </c>
      <c r="J1779" s="112">
        <f t="shared" si="1289"/>
        <v>0</v>
      </c>
      <c r="K1779" s="211">
        <f t="shared" si="1290"/>
        <v>0</v>
      </c>
      <c r="L1779" s="44"/>
      <c r="M1779" s="44">
        <f t="shared" ref="M1779:M2225" si="1296">K1779-L1779</f>
        <v>0</v>
      </c>
      <c r="N1779" s="173">
        <f t="shared" si="1291"/>
        <v>0</v>
      </c>
      <c r="O1779" s="44">
        <f t="shared" si="1292"/>
        <v>0</v>
      </c>
      <c r="P1779" s="44">
        <f t="shared" si="1293"/>
        <v>0</v>
      </c>
      <c r="Q1779" s="44">
        <f t="shared" si="1294"/>
        <v>0</v>
      </c>
      <c r="R1779" s="44">
        <f t="shared" ref="R1779:R2225" si="1297">M1779*Q1779</f>
        <v>0</v>
      </c>
      <c r="S1779" s="123"/>
      <c r="T1779" s="219">
        <f t="shared" ref="T1779:T2225" si="1298">S1779+R1779</f>
        <v>0</v>
      </c>
      <c r="U1779" s="87"/>
      <c r="V1779" s="47"/>
      <c r="W1779" s="48"/>
      <c r="X1779" s="48"/>
      <c r="Y1779" s="48"/>
      <c r="Z1779" s="135"/>
      <c r="AA1779" s="49"/>
      <c r="AB1779" s="50">
        <f t="shared" si="1295"/>
        <v>0</v>
      </c>
      <c r="AC1779" s="42">
        <f t="shared" ref="AC1779:AC2225" si="1299">M1779+$AE$10</f>
        <v>9.9999999999999998E-20</v>
      </c>
      <c r="AD1779" s="90"/>
      <c r="AE1779" s="188"/>
      <c r="AF1779" s="189"/>
      <c r="AG1779" s="189"/>
      <c r="AH1779" s="189"/>
      <c r="AI1779" s="161"/>
    </row>
    <row r="1780" spans="1:41" ht="20.100000000000001" customHeight="1" x14ac:dyDescent="0.25">
      <c r="A1780" s="277" t="s">
        <v>216</v>
      </c>
      <c r="B1780" s="278"/>
      <c r="C1780" s="64" t="s">
        <v>381</v>
      </c>
      <c r="D1780" s="46" t="s">
        <v>97</v>
      </c>
      <c r="E1780" s="114"/>
      <c r="F1780" s="44">
        <v>0</v>
      </c>
      <c r="G1780" s="44">
        <f t="shared" si="1286"/>
        <v>0</v>
      </c>
      <c r="H1780" s="44">
        <f t="shared" si="1287"/>
        <v>0</v>
      </c>
      <c r="I1780" s="43">
        <f t="shared" si="1288"/>
        <v>0</v>
      </c>
      <c r="J1780" s="112">
        <f t="shared" si="1289"/>
        <v>0</v>
      </c>
      <c r="K1780" s="211">
        <f t="shared" si="1290"/>
        <v>0</v>
      </c>
      <c r="L1780" s="44"/>
      <c r="M1780" s="44">
        <f t="shared" si="1296"/>
        <v>0</v>
      </c>
      <c r="N1780" s="173">
        <f t="shared" si="1291"/>
        <v>0</v>
      </c>
      <c r="O1780" s="44">
        <f t="shared" si="1292"/>
        <v>0</v>
      </c>
      <c r="P1780" s="44">
        <f t="shared" si="1293"/>
        <v>0</v>
      </c>
      <c r="Q1780" s="44">
        <f t="shared" si="1294"/>
        <v>0</v>
      </c>
      <c r="R1780" s="44">
        <f t="shared" si="1297"/>
        <v>0</v>
      </c>
      <c r="S1780" s="123"/>
      <c r="T1780" s="219">
        <f t="shared" si="1298"/>
        <v>0</v>
      </c>
      <c r="U1780" s="87"/>
      <c r="V1780" s="47"/>
      <c r="W1780" s="48"/>
      <c r="X1780" s="48"/>
      <c r="Y1780" s="48"/>
      <c r="Z1780" s="135"/>
      <c r="AA1780" s="49"/>
      <c r="AB1780" s="50">
        <f t="shared" si="1295"/>
        <v>0</v>
      </c>
      <c r="AC1780" s="42">
        <f t="shared" si="1299"/>
        <v>9.9999999999999998E-20</v>
      </c>
      <c r="AD1780" s="90"/>
      <c r="AE1780" s="188"/>
      <c r="AF1780" s="189"/>
      <c r="AG1780" s="189"/>
      <c r="AH1780" s="189"/>
      <c r="AI1780" s="161"/>
    </row>
    <row r="1781" spans="1:41" ht="20.100000000000001" customHeight="1" x14ac:dyDescent="0.25">
      <c r="A1781" s="277" t="s">
        <v>216</v>
      </c>
      <c r="B1781" s="278"/>
      <c r="C1781" s="64" t="s">
        <v>382</v>
      </c>
      <c r="D1781" s="46" t="s">
        <v>97</v>
      </c>
      <c r="E1781" s="114"/>
      <c r="F1781" s="44">
        <v>0</v>
      </c>
      <c r="G1781" s="44">
        <f t="shared" si="1286"/>
        <v>0</v>
      </c>
      <c r="H1781" s="44">
        <f t="shared" si="1287"/>
        <v>0</v>
      </c>
      <c r="I1781" s="43">
        <f t="shared" si="1288"/>
        <v>0</v>
      </c>
      <c r="J1781" s="112">
        <f t="shared" si="1289"/>
        <v>0</v>
      </c>
      <c r="K1781" s="211">
        <f t="shared" si="1290"/>
        <v>0</v>
      </c>
      <c r="L1781" s="44"/>
      <c r="M1781" s="44">
        <f t="shared" si="1296"/>
        <v>0</v>
      </c>
      <c r="N1781" s="173">
        <f t="shared" si="1291"/>
        <v>0</v>
      </c>
      <c r="O1781" s="44">
        <f t="shared" si="1292"/>
        <v>0</v>
      </c>
      <c r="P1781" s="44">
        <f t="shared" si="1293"/>
        <v>0</v>
      </c>
      <c r="Q1781" s="44">
        <f t="shared" si="1294"/>
        <v>0</v>
      </c>
      <c r="R1781" s="44">
        <f t="shared" si="1297"/>
        <v>0</v>
      </c>
      <c r="S1781" s="123"/>
      <c r="T1781" s="219">
        <f t="shared" si="1298"/>
        <v>0</v>
      </c>
      <c r="U1781" s="87"/>
      <c r="V1781" s="47"/>
      <c r="W1781" s="48"/>
      <c r="X1781" s="48"/>
      <c r="Y1781" s="48"/>
      <c r="Z1781" s="135"/>
      <c r="AA1781" s="49"/>
      <c r="AB1781" s="50">
        <f t="shared" si="1295"/>
        <v>0</v>
      </c>
      <c r="AC1781" s="42">
        <f t="shared" si="1299"/>
        <v>9.9999999999999998E-20</v>
      </c>
      <c r="AD1781" s="90"/>
      <c r="AE1781" s="188"/>
      <c r="AF1781" s="189"/>
      <c r="AG1781" s="189"/>
      <c r="AH1781" s="189"/>
      <c r="AI1781" s="161"/>
    </row>
    <row r="1782" spans="1:41" ht="20.100000000000001" customHeight="1" x14ac:dyDescent="0.25">
      <c r="A1782" s="277" t="s">
        <v>216</v>
      </c>
      <c r="B1782" s="278"/>
      <c r="C1782" s="64" t="s">
        <v>383</v>
      </c>
      <c r="D1782" s="46" t="s">
        <v>97</v>
      </c>
      <c r="E1782" s="114"/>
      <c r="F1782" s="44">
        <v>0</v>
      </c>
      <c r="G1782" s="44">
        <f t="shared" si="1286"/>
        <v>0</v>
      </c>
      <c r="H1782" s="44">
        <f t="shared" si="1287"/>
        <v>0</v>
      </c>
      <c r="I1782" s="43">
        <f t="shared" si="1288"/>
        <v>0</v>
      </c>
      <c r="J1782" s="112">
        <f t="shared" si="1289"/>
        <v>0</v>
      </c>
      <c r="K1782" s="211">
        <f t="shared" si="1290"/>
        <v>0</v>
      </c>
      <c r="L1782" s="44"/>
      <c r="M1782" s="44">
        <f t="shared" si="1296"/>
        <v>0</v>
      </c>
      <c r="N1782" s="173">
        <f t="shared" si="1291"/>
        <v>0</v>
      </c>
      <c r="O1782" s="44">
        <f t="shared" si="1292"/>
        <v>0</v>
      </c>
      <c r="P1782" s="44">
        <f t="shared" si="1293"/>
        <v>0</v>
      </c>
      <c r="Q1782" s="44">
        <f t="shared" si="1294"/>
        <v>0</v>
      </c>
      <c r="R1782" s="44">
        <f t="shared" si="1297"/>
        <v>0</v>
      </c>
      <c r="S1782" s="123"/>
      <c r="T1782" s="219">
        <f t="shared" si="1298"/>
        <v>0</v>
      </c>
      <c r="U1782" s="87"/>
      <c r="V1782" s="47"/>
      <c r="W1782" s="48"/>
      <c r="X1782" s="48"/>
      <c r="Y1782" s="48"/>
      <c r="Z1782" s="135"/>
      <c r="AA1782" s="49"/>
      <c r="AB1782" s="50">
        <f t="shared" si="1295"/>
        <v>0</v>
      </c>
      <c r="AC1782" s="42">
        <f t="shared" si="1299"/>
        <v>9.9999999999999998E-20</v>
      </c>
      <c r="AD1782" s="90"/>
      <c r="AE1782" s="188"/>
      <c r="AF1782" s="189"/>
      <c r="AG1782" s="189"/>
      <c r="AH1782" s="189"/>
      <c r="AI1782" s="161"/>
    </row>
    <row r="1783" spans="1:41" ht="20.100000000000001" customHeight="1" x14ac:dyDescent="0.25">
      <c r="A1783" s="277" t="s">
        <v>216</v>
      </c>
      <c r="B1783" s="278"/>
      <c r="C1783" s="64" t="s">
        <v>384</v>
      </c>
      <c r="D1783" s="46" t="s">
        <v>97</v>
      </c>
      <c r="E1783" s="114"/>
      <c r="F1783" s="44">
        <v>0</v>
      </c>
      <c r="G1783" s="44">
        <f t="shared" si="1286"/>
        <v>0</v>
      </c>
      <c r="H1783" s="44">
        <f t="shared" si="1287"/>
        <v>0</v>
      </c>
      <c r="I1783" s="43">
        <f t="shared" si="1288"/>
        <v>0</v>
      </c>
      <c r="J1783" s="112">
        <f t="shared" si="1289"/>
        <v>0</v>
      </c>
      <c r="K1783" s="211">
        <f t="shared" si="1290"/>
        <v>0</v>
      </c>
      <c r="L1783" s="44"/>
      <c r="M1783" s="44">
        <f t="shared" si="1296"/>
        <v>0</v>
      </c>
      <c r="N1783" s="173">
        <f t="shared" si="1291"/>
        <v>0</v>
      </c>
      <c r="O1783" s="44">
        <f t="shared" si="1292"/>
        <v>0</v>
      </c>
      <c r="P1783" s="44">
        <f t="shared" si="1293"/>
        <v>0</v>
      </c>
      <c r="Q1783" s="44">
        <f t="shared" si="1294"/>
        <v>0</v>
      </c>
      <c r="R1783" s="44">
        <f t="shared" si="1297"/>
        <v>0</v>
      </c>
      <c r="S1783" s="123"/>
      <c r="T1783" s="219">
        <f t="shared" si="1298"/>
        <v>0</v>
      </c>
      <c r="U1783" s="87"/>
      <c r="V1783" s="47"/>
      <c r="W1783" s="48"/>
      <c r="X1783" s="48"/>
      <c r="Y1783" s="48"/>
      <c r="Z1783" s="135"/>
      <c r="AA1783" s="49"/>
      <c r="AB1783" s="50">
        <f t="shared" si="1295"/>
        <v>0</v>
      </c>
      <c r="AC1783" s="42">
        <f t="shared" si="1299"/>
        <v>9.9999999999999998E-20</v>
      </c>
      <c r="AD1783" s="90"/>
      <c r="AE1783" s="188"/>
      <c r="AF1783" s="189"/>
      <c r="AG1783" s="189"/>
      <c r="AH1783" s="189"/>
      <c r="AI1783" s="161"/>
    </row>
    <row r="1784" spans="1:41" s="306" customFormat="1" ht="60" x14ac:dyDescent="0.25">
      <c r="A1784" s="287" t="s">
        <v>216</v>
      </c>
      <c r="B1784" s="288"/>
      <c r="C1784" s="286" t="s">
        <v>385</v>
      </c>
      <c r="D1784" s="289"/>
      <c r="E1784" s="290"/>
      <c r="F1784" s="291"/>
      <c r="G1784" s="291">
        <f t="shared" si="1286"/>
        <v>0</v>
      </c>
      <c r="H1784" s="291">
        <f t="shared" si="1287"/>
        <v>0</v>
      </c>
      <c r="I1784" s="292">
        <f t="shared" si="1288"/>
        <v>0</v>
      </c>
      <c r="J1784" s="290">
        <f t="shared" si="1289"/>
        <v>0</v>
      </c>
      <c r="K1784" s="293">
        <f t="shared" si="1290"/>
        <v>0</v>
      </c>
      <c r="L1784" s="291"/>
      <c r="M1784" s="291">
        <f t="shared" si="1296"/>
        <v>0</v>
      </c>
      <c r="N1784" s="294">
        <f t="shared" si="1291"/>
        <v>0</v>
      </c>
      <c r="O1784" s="291">
        <f t="shared" si="1292"/>
        <v>0</v>
      </c>
      <c r="P1784" s="291">
        <f t="shared" si="1293"/>
        <v>0</v>
      </c>
      <c r="Q1784" s="291">
        <f t="shared" si="1294"/>
        <v>0</v>
      </c>
      <c r="R1784" s="291">
        <f t="shared" si="1297"/>
        <v>0</v>
      </c>
      <c r="S1784" s="291"/>
      <c r="T1784" s="295">
        <f t="shared" si="1298"/>
        <v>0</v>
      </c>
      <c r="U1784" s="296"/>
      <c r="V1784" s="297"/>
      <c r="W1784" s="298"/>
      <c r="X1784" s="299"/>
      <c r="Y1784" s="300"/>
      <c r="Z1784" s="301"/>
      <c r="AA1784" s="300"/>
      <c r="AB1784" s="300">
        <f t="shared" si="1295"/>
        <v>0</v>
      </c>
      <c r="AC1784" s="300">
        <f t="shared" si="1299"/>
        <v>9.9999999999999998E-20</v>
      </c>
      <c r="AD1784" s="302"/>
      <c r="AE1784" s="303"/>
      <c r="AF1784" s="304"/>
      <c r="AG1784" s="304"/>
      <c r="AH1784" s="304"/>
      <c r="AI1784" s="305"/>
      <c r="AK1784" s="307"/>
    </row>
    <row r="1785" spans="1:41" ht="20.100000000000001" customHeight="1" x14ac:dyDescent="0.25">
      <c r="A1785" s="277" t="s">
        <v>216</v>
      </c>
      <c r="B1785" s="278"/>
      <c r="C1785" s="64" t="s">
        <v>379</v>
      </c>
      <c r="D1785" s="46" t="s">
        <v>97</v>
      </c>
      <c r="E1785" s="114">
        <v>2342.5640000000094</v>
      </c>
      <c r="F1785" s="44">
        <v>31</v>
      </c>
      <c r="G1785" s="44">
        <f t="shared" si="1286"/>
        <v>72619.484000000288</v>
      </c>
      <c r="H1785" s="44">
        <f t="shared" si="1287"/>
        <v>13.087194771241828</v>
      </c>
      <c r="I1785" s="43">
        <f t="shared" si="1288"/>
        <v>30657.591332099466</v>
      </c>
      <c r="J1785" s="112">
        <f t="shared" si="1289"/>
        <v>2342.5640000000094</v>
      </c>
      <c r="K1785" s="211">
        <f t="shared" si="1290"/>
        <v>2342.5640000000094</v>
      </c>
      <c r="L1785" s="44"/>
      <c r="M1785" s="44">
        <f t="shared" si="1296"/>
        <v>2342.5640000000094</v>
      </c>
      <c r="N1785" s="173">
        <f t="shared" si="1291"/>
        <v>1</v>
      </c>
      <c r="O1785" s="44">
        <f t="shared" si="1292"/>
        <v>31</v>
      </c>
      <c r="P1785" s="44">
        <f t="shared" si="1293"/>
        <v>72619.484000000288</v>
      </c>
      <c r="Q1785" s="44">
        <f t="shared" si="1294"/>
        <v>13.087194771241828</v>
      </c>
      <c r="R1785" s="44">
        <f t="shared" si="1297"/>
        <v>30657.591332099466</v>
      </c>
      <c r="S1785" s="123"/>
      <c r="T1785" s="219">
        <f t="shared" si="1298"/>
        <v>30657.591332099466</v>
      </c>
      <c r="U1785" s="87"/>
      <c r="V1785" s="47"/>
      <c r="W1785" s="48"/>
      <c r="X1785" s="48"/>
      <c r="Y1785" s="48"/>
      <c r="Z1785" s="135"/>
      <c r="AA1785" s="49"/>
      <c r="AB1785" s="50">
        <f t="shared" si="1295"/>
        <v>13.087194771241828</v>
      </c>
      <c r="AC1785" s="42">
        <f t="shared" si="1299"/>
        <v>2342.5640000000094</v>
      </c>
      <c r="AD1785" s="90">
        <f>AD1786</f>
        <v>30657.591332099466</v>
      </c>
      <c r="AE1785" s="188">
        <f t="shared" ref="AE1785:AH1785" si="1300">AE1786</f>
        <v>0</v>
      </c>
      <c r="AF1785" s="189">
        <f t="shared" si="1300"/>
        <v>0</v>
      </c>
      <c r="AG1785" s="189">
        <f t="shared" si="1300"/>
        <v>0</v>
      </c>
      <c r="AH1785" s="189">
        <f t="shared" si="1300"/>
        <v>0</v>
      </c>
      <c r="AI1785" s="161">
        <f t="shared" ref="AI1785" si="1301">SUM(AE1785:AH1785)</f>
        <v>0</v>
      </c>
      <c r="AK1785" s="169">
        <v>5</v>
      </c>
      <c r="AO1785" s="19" t="s">
        <v>63</v>
      </c>
    </row>
    <row r="1786" spans="1:41" s="103" customFormat="1" ht="19.899999999999999" customHeight="1" x14ac:dyDescent="0.25">
      <c r="A1786" s="51"/>
      <c r="B1786" s="52"/>
      <c r="C1786" s="165"/>
      <c r="D1786" s="52"/>
      <c r="E1786" s="115"/>
      <c r="F1786" s="58"/>
      <c r="G1786" s="58"/>
      <c r="H1786" s="58"/>
      <c r="I1786" s="55"/>
      <c r="J1786" s="113">
        <f>J1785</f>
        <v>2342.5640000000094</v>
      </c>
      <c r="K1786" s="212">
        <f>K1785</f>
        <v>2342.5640000000094</v>
      </c>
      <c r="L1786" s="58"/>
      <c r="M1786" s="58">
        <f>K1786-L1786</f>
        <v>2342.5640000000094</v>
      </c>
      <c r="N1786" s="166"/>
      <c r="O1786" s="58"/>
      <c r="P1786" s="58"/>
      <c r="Q1786" s="58"/>
      <c r="R1786" s="58"/>
      <c r="S1786" s="58"/>
      <c r="T1786" s="220"/>
      <c r="U1786" s="88"/>
      <c r="V1786" s="56"/>
      <c r="W1786" s="57" t="s">
        <v>1372</v>
      </c>
      <c r="X1786" s="53"/>
      <c r="Y1786" s="91" t="s">
        <v>68</v>
      </c>
      <c r="Z1786" s="136">
        <f>AD1786/AC1786</f>
        <v>13.087194771241828</v>
      </c>
      <c r="AA1786" s="58"/>
      <c r="AB1786" s="53">
        <f>AD1786/AC1786</f>
        <v>13.087194771241828</v>
      </c>
      <c r="AC1786" s="53">
        <f>M1786+$AE$10</f>
        <v>2342.5640000000094</v>
      </c>
      <c r="AD1786" s="54">
        <f>SUM(AD1787:AD1796)</f>
        <v>30657.591332099466</v>
      </c>
      <c r="AE1786" s="184">
        <f>SUMIFS($AD$37:$AD$12971,$V$37:$V$12971,$V1786,$X$37:$X$12971,AE$13)</f>
        <v>0</v>
      </c>
      <c r="AF1786" s="185">
        <f>SUMIFS($AD$37:$AD$12971,$V$37:$V$12971,$V1786,$X$37:$X$12971,AF$13)</f>
        <v>0</v>
      </c>
      <c r="AG1786" s="185">
        <f>SUMIFS($AD$37:$AD$12971,$V$37:$V$12971,$V1786,$X$37:$X$12971,AG$13)</f>
        <v>0</v>
      </c>
      <c r="AH1786" s="187">
        <f>SUMIFS($AD$37:$AD$12971,$V$37:$V$12971,$V1786,$X$37:$X$12971,AH$13)</f>
        <v>0</v>
      </c>
      <c r="AI1786" s="161">
        <f t="shared" ref="AI1786" si="1302">SUM(AE1786:AH1786)</f>
        <v>0</v>
      </c>
      <c r="AK1786" s="172"/>
    </row>
    <row r="1787" spans="1:41" s="102" customFormat="1" ht="19.899999999999999" customHeight="1" x14ac:dyDescent="0.25">
      <c r="A1787" s="45"/>
      <c r="B1787" s="59"/>
      <c r="C1787" s="137"/>
      <c r="D1787" s="59"/>
      <c r="E1787" s="116"/>
      <c r="F1787" s="120"/>
      <c r="G1787" s="120"/>
      <c r="H1787" s="120"/>
      <c r="I1787" s="60"/>
      <c r="J1787" s="116"/>
      <c r="K1787" s="213"/>
      <c r="L1787" s="120"/>
      <c r="M1787" s="120"/>
      <c r="N1787" s="167"/>
      <c r="O1787" s="120"/>
      <c r="P1787" s="120"/>
      <c r="Q1787" s="120"/>
      <c r="R1787" s="120"/>
      <c r="S1787" s="120"/>
      <c r="T1787" s="221"/>
      <c r="U1787" s="89"/>
      <c r="V1787" s="61"/>
      <c r="W1787" s="92" t="s">
        <v>134</v>
      </c>
      <c r="X1787" s="93" t="s">
        <v>29</v>
      </c>
      <c r="Y1787" s="93" t="s">
        <v>93</v>
      </c>
      <c r="Z1787" s="134">
        <f>VLOOKUP(W1787,Sheet2!$B:$D,3,FALSE)</f>
        <v>65.599999999999994</v>
      </c>
      <c r="AA1787" s="93">
        <f>100/(1*2)</f>
        <v>50</v>
      </c>
      <c r="AB1787" s="93">
        <f>AD1787/AC1786</f>
        <v>1.3119999999999998</v>
      </c>
      <c r="AC1787" s="93">
        <f>AC1786/AA1787</f>
        <v>46.851280000000187</v>
      </c>
      <c r="AD1787" s="94">
        <f t="shared" ref="AD1787:AD1788" si="1303">AC1787*Z1787</f>
        <v>3073.4439680000119</v>
      </c>
      <c r="AE1787" s="190"/>
      <c r="AF1787" s="191"/>
      <c r="AG1787" s="191"/>
      <c r="AH1787" s="191"/>
      <c r="AI1787" s="186"/>
      <c r="AK1787" s="171"/>
    </row>
    <row r="1788" spans="1:41" s="102" customFormat="1" ht="19.899999999999999" customHeight="1" x14ac:dyDescent="0.25">
      <c r="A1788" s="45"/>
      <c r="B1788" s="59"/>
      <c r="C1788" s="137"/>
      <c r="D1788" s="59"/>
      <c r="E1788" s="116"/>
      <c r="F1788" s="120"/>
      <c r="G1788" s="120"/>
      <c r="H1788" s="120"/>
      <c r="I1788" s="60"/>
      <c r="J1788" s="116"/>
      <c r="K1788" s="213"/>
      <c r="L1788" s="120"/>
      <c r="M1788" s="120"/>
      <c r="N1788" s="167"/>
      <c r="O1788" s="120"/>
      <c r="P1788" s="120"/>
      <c r="Q1788" s="120"/>
      <c r="R1788" s="120"/>
      <c r="S1788" s="120"/>
      <c r="T1788" s="221"/>
      <c r="U1788" s="89"/>
      <c r="V1788" s="61"/>
      <c r="W1788" s="92" t="s">
        <v>65</v>
      </c>
      <c r="X1788" s="93" t="s">
        <v>30</v>
      </c>
      <c r="Y1788" s="93" t="s">
        <v>1011</v>
      </c>
      <c r="Z1788" s="134">
        <f>VLOOKUP(W1788,Sheet2!$B:$D,3,FALSE)</f>
        <v>1.76</v>
      </c>
      <c r="AA1788" s="93">
        <f>AA1787/9</f>
        <v>5.5555555555555554</v>
      </c>
      <c r="AB1788" s="93">
        <f>AD1788/AC1786</f>
        <v>0.31680000000000003</v>
      </c>
      <c r="AC1788" s="93">
        <f>AC1786/AA1788</f>
        <v>421.6615200000017</v>
      </c>
      <c r="AD1788" s="94">
        <f t="shared" si="1303"/>
        <v>742.12427520000301</v>
      </c>
      <c r="AE1788" s="190"/>
      <c r="AF1788" s="191"/>
      <c r="AG1788" s="191"/>
      <c r="AH1788" s="191"/>
      <c r="AI1788" s="186"/>
      <c r="AK1788" s="171"/>
    </row>
    <row r="1789" spans="1:41" s="102" customFormat="1" ht="19.899999999999999" customHeight="1" x14ac:dyDescent="0.25">
      <c r="A1789" s="45"/>
      <c r="B1789" s="59"/>
      <c r="C1789" s="137"/>
      <c r="D1789" s="59"/>
      <c r="E1789" s="116"/>
      <c r="F1789" s="120"/>
      <c r="G1789" s="120"/>
      <c r="H1789" s="120"/>
      <c r="I1789" s="60"/>
      <c r="J1789" s="116"/>
      <c r="K1789" s="213"/>
      <c r="L1789" s="120"/>
      <c r="M1789" s="120"/>
      <c r="N1789" s="167"/>
      <c r="O1789" s="120"/>
      <c r="P1789" s="120"/>
      <c r="Q1789" s="120"/>
      <c r="R1789" s="120"/>
      <c r="S1789" s="120"/>
      <c r="T1789" s="221"/>
      <c r="U1789" s="89"/>
      <c r="V1789" s="61"/>
      <c r="W1789" s="92" t="s">
        <v>161</v>
      </c>
      <c r="X1789" s="93" t="s">
        <v>29</v>
      </c>
      <c r="Y1789" s="93" t="s">
        <v>93</v>
      </c>
      <c r="Z1789" s="134">
        <f>VLOOKUP(W1789,Sheet2!$B:$D,3,FALSE)</f>
        <v>48</v>
      </c>
      <c r="AA1789" s="93">
        <f>(16*0.85*1.5)/(1*2)</f>
        <v>10.199999999999999</v>
      </c>
      <c r="AB1789" s="93">
        <f>AD1789/AC1786</f>
        <v>4.7058823529411766</v>
      </c>
      <c r="AC1789" s="93">
        <f>AC1786/AA1789</f>
        <v>229.66313725490289</v>
      </c>
      <c r="AD1789" s="94">
        <f>AC1789*Z1789</f>
        <v>11023.830588235338</v>
      </c>
      <c r="AE1789" s="190"/>
      <c r="AF1789" s="191"/>
      <c r="AG1789" s="191"/>
      <c r="AH1789" s="191"/>
      <c r="AI1789" s="186"/>
      <c r="AK1789" s="171"/>
    </row>
    <row r="1790" spans="1:41" s="102" customFormat="1" ht="19.899999999999999" customHeight="1" x14ac:dyDescent="0.25">
      <c r="A1790" s="45"/>
      <c r="B1790" s="59"/>
      <c r="C1790" s="137"/>
      <c r="D1790" s="59"/>
      <c r="E1790" s="116"/>
      <c r="F1790" s="120"/>
      <c r="G1790" s="120"/>
      <c r="H1790" s="120"/>
      <c r="I1790" s="60"/>
      <c r="J1790" s="116"/>
      <c r="K1790" s="213"/>
      <c r="L1790" s="120"/>
      <c r="M1790" s="120"/>
      <c r="N1790" s="167"/>
      <c r="O1790" s="120"/>
      <c r="P1790" s="120"/>
      <c r="Q1790" s="120"/>
      <c r="R1790" s="120"/>
      <c r="S1790" s="120"/>
      <c r="T1790" s="221"/>
      <c r="U1790" s="89"/>
      <c r="V1790" s="61"/>
      <c r="W1790" s="92" t="s">
        <v>65</v>
      </c>
      <c r="X1790" s="93" t="s">
        <v>30</v>
      </c>
      <c r="Y1790" s="93" t="s">
        <v>1011</v>
      </c>
      <c r="Z1790" s="134">
        <f>VLOOKUP(W1790,Sheet2!$B:$D,3,FALSE)</f>
        <v>1.76</v>
      </c>
      <c r="AA1790" s="93">
        <f>AA1789/10</f>
        <v>1.02</v>
      </c>
      <c r="AB1790" s="93">
        <f>AD1790/AC1786</f>
        <v>1.7254901960784312</v>
      </c>
      <c r="AC1790" s="93">
        <f>AC1786/AA1790</f>
        <v>2296.6313725490286</v>
      </c>
      <c r="AD1790" s="94">
        <f>AC1790*Z1790</f>
        <v>4042.0712156862905</v>
      </c>
      <c r="AE1790" s="190"/>
      <c r="AF1790" s="191"/>
      <c r="AG1790" s="191"/>
      <c r="AH1790" s="191"/>
      <c r="AI1790" s="186"/>
      <c r="AK1790" s="171"/>
    </row>
    <row r="1791" spans="1:41" s="102" customFormat="1" ht="19.899999999999999" customHeight="1" x14ac:dyDescent="0.25">
      <c r="A1791" s="45"/>
      <c r="B1791" s="59"/>
      <c r="C1791" s="137"/>
      <c r="D1791" s="59"/>
      <c r="E1791" s="116"/>
      <c r="F1791" s="120"/>
      <c r="G1791" s="120"/>
      <c r="H1791" s="120"/>
      <c r="I1791" s="60"/>
      <c r="J1791" s="116"/>
      <c r="K1791" s="213"/>
      <c r="L1791" s="120"/>
      <c r="M1791" s="120"/>
      <c r="N1791" s="167"/>
      <c r="O1791" s="120"/>
      <c r="P1791" s="120"/>
      <c r="Q1791" s="120"/>
      <c r="R1791" s="120"/>
      <c r="S1791" s="120"/>
      <c r="T1791" s="221"/>
      <c r="U1791" s="89"/>
      <c r="V1791" s="61"/>
      <c r="W1791" s="92" t="s">
        <v>173</v>
      </c>
      <c r="X1791" s="93" t="s">
        <v>29</v>
      </c>
      <c r="Y1791" s="93" t="s">
        <v>93</v>
      </c>
      <c r="Z1791" s="134">
        <f>VLOOKUP(W1791,Sheet2!$B:$D,3,FALSE)</f>
        <v>36</v>
      </c>
      <c r="AA1791" s="93">
        <f>50/(1*2)</f>
        <v>25</v>
      </c>
      <c r="AB1791" s="93">
        <f>AD1791/AC1786</f>
        <v>1.44</v>
      </c>
      <c r="AC1791" s="93">
        <f>AC1786/AA1791</f>
        <v>93.702560000000375</v>
      </c>
      <c r="AD1791" s="94">
        <f>AC1791*Z1791</f>
        <v>3373.2921600000136</v>
      </c>
      <c r="AE1791" s="190"/>
      <c r="AF1791" s="191"/>
      <c r="AG1791" s="191"/>
      <c r="AH1791" s="191"/>
      <c r="AI1791" s="186"/>
      <c r="AK1791" s="171"/>
    </row>
    <row r="1792" spans="1:41" s="102" customFormat="1" ht="19.899999999999999" customHeight="1" x14ac:dyDescent="0.25">
      <c r="A1792" s="45"/>
      <c r="B1792" s="59"/>
      <c r="C1792" s="137"/>
      <c r="D1792" s="59"/>
      <c r="E1792" s="116"/>
      <c r="F1792" s="120"/>
      <c r="G1792" s="120"/>
      <c r="H1792" s="120"/>
      <c r="I1792" s="60"/>
      <c r="J1792" s="116"/>
      <c r="K1792" s="213"/>
      <c r="L1792" s="120"/>
      <c r="M1792" s="120"/>
      <c r="N1792" s="167"/>
      <c r="O1792" s="120"/>
      <c r="P1792" s="120"/>
      <c r="Q1792" s="120"/>
      <c r="R1792" s="120"/>
      <c r="S1792" s="120"/>
      <c r="T1792" s="221"/>
      <c r="U1792" s="89"/>
      <c r="V1792" s="61"/>
      <c r="W1792" s="92" t="s">
        <v>65</v>
      </c>
      <c r="X1792" s="93" t="s">
        <v>30</v>
      </c>
      <c r="Y1792" s="93" t="s">
        <v>1011</v>
      </c>
      <c r="Z1792" s="134">
        <f>VLOOKUP(W1792,Sheet2!$B:$D,3,FALSE)</f>
        <v>1.76</v>
      </c>
      <c r="AA1792" s="93">
        <f>AA1791/9</f>
        <v>2.7777777777777777</v>
      </c>
      <c r="AB1792" s="93">
        <f>AD1792/AC1786</f>
        <v>0.63360000000000005</v>
      </c>
      <c r="AC1792" s="93">
        <f>AC1786/AA1792</f>
        <v>843.3230400000034</v>
      </c>
      <c r="AD1792" s="94">
        <f>AC1792*Z1792</f>
        <v>1484.248550400006</v>
      </c>
      <c r="AE1792" s="190"/>
      <c r="AF1792" s="191"/>
      <c r="AG1792" s="191"/>
      <c r="AH1792" s="191"/>
      <c r="AI1792" s="186"/>
      <c r="AK1792" s="171"/>
    </row>
    <row r="1793" spans="1:41" s="102" customFormat="1" ht="19.899999999999999" customHeight="1" x14ac:dyDescent="0.25">
      <c r="A1793" s="45"/>
      <c r="B1793" s="59"/>
      <c r="C1793" s="137"/>
      <c r="D1793" s="59"/>
      <c r="E1793" s="116"/>
      <c r="F1793" s="120"/>
      <c r="G1793" s="120"/>
      <c r="H1793" s="120"/>
      <c r="I1793" s="60"/>
      <c r="J1793" s="116"/>
      <c r="K1793" s="213"/>
      <c r="L1793" s="120"/>
      <c r="M1793" s="120"/>
      <c r="N1793" s="167"/>
      <c r="O1793" s="120"/>
      <c r="P1793" s="120"/>
      <c r="Q1793" s="120"/>
      <c r="R1793" s="120"/>
      <c r="S1793" s="120"/>
      <c r="T1793" s="221"/>
      <c r="U1793" s="89"/>
      <c r="V1793" s="61"/>
      <c r="W1793" s="92" t="s">
        <v>148</v>
      </c>
      <c r="X1793" s="93" t="s">
        <v>29</v>
      </c>
      <c r="Y1793" s="93" t="s">
        <v>93</v>
      </c>
      <c r="Z1793" s="134">
        <f>VLOOKUP(W1793,Sheet2!$B:$D,3,FALSE)</f>
        <v>48</v>
      </c>
      <c r="AA1793" s="93">
        <f>7.2/(2*1*0.1)</f>
        <v>36</v>
      </c>
      <c r="AB1793" s="93">
        <f>AD1793/AC1786</f>
        <v>1.3333333333333333</v>
      </c>
      <c r="AC1793" s="93">
        <f>AC1786/AA1793</f>
        <v>65.071222222222488</v>
      </c>
      <c r="AD1793" s="94">
        <f t="shared" ref="AD1793:AD1794" si="1304">AC1793*Z1793</f>
        <v>3123.4186666666792</v>
      </c>
      <c r="AE1793" s="190"/>
      <c r="AF1793" s="191"/>
      <c r="AG1793" s="191"/>
      <c r="AH1793" s="191"/>
      <c r="AI1793" s="186"/>
      <c r="AK1793" s="171"/>
    </row>
    <row r="1794" spans="1:41" s="102" customFormat="1" ht="19.899999999999999" customHeight="1" x14ac:dyDescent="0.25">
      <c r="A1794" s="45"/>
      <c r="B1794" s="59"/>
      <c r="C1794" s="137"/>
      <c r="D1794" s="59"/>
      <c r="E1794" s="116"/>
      <c r="F1794" s="120"/>
      <c r="G1794" s="120"/>
      <c r="H1794" s="120"/>
      <c r="I1794" s="60"/>
      <c r="J1794" s="116"/>
      <c r="K1794" s="213"/>
      <c r="L1794" s="120"/>
      <c r="M1794" s="120"/>
      <c r="N1794" s="167"/>
      <c r="O1794" s="120"/>
      <c r="P1794" s="120"/>
      <c r="Q1794" s="120"/>
      <c r="R1794" s="120"/>
      <c r="S1794" s="120"/>
      <c r="T1794" s="221"/>
      <c r="U1794" s="89"/>
      <c r="V1794" s="61"/>
      <c r="W1794" s="92" t="s">
        <v>65</v>
      </c>
      <c r="X1794" s="93" t="s">
        <v>30</v>
      </c>
      <c r="Y1794" s="93" t="s">
        <v>1011</v>
      </c>
      <c r="Z1794" s="134">
        <f>VLOOKUP(W1794,Sheet2!$B:$D,3,FALSE)</f>
        <v>1.76</v>
      </c>
      <c r="AA1794" s="93">
        <f>AA1793/10</f>
        <v>3.6</v>
      </c>
      <c r="AB1794" s="93">
        <f>AD1794/AC1786</f>
        <v>0.48888888888888882</v>
      </c>
      <c r="AC1794" s="93">
        <f>AC1786/AA1794</f>
        <v>650.7122222222248</v>
      </c>
      <c r="AD1794" s="94">
        <f t="shared" si="1304"/>
        <v>1145.2535111111156</v>
      </c>
      <c r="AE1794" s="190"/>
      <c r="AF1794" s="191"/>
      <c r="AG1794" s="191"/>
      <c r="AH1794" s="191"/>
      <c r="AI1794" s="186"/>
      <c r="AK1794" s="171"/>
    </row>
    <row r="1795" spans="1:41" s="102" customFormat="1" ht="19.899999999999999" customHeight="1" x14ac:dyDescent="0.25">
      <c r="A1795" s="45"/>
      <c r="B1795" s="59"/>
      <c r="C1795" s="137"/>
      <c r="D1795" s="59"/>
      <c r="E1795" s="116"/>
      <c r="F1795" s="120"/>
      <c r="G1795" s="120"/>
      <c r="H1795" s="120"/>
      <c r="I1795" s="60"/>
      <c r="J1795" s="116"/>
      <c r="K1795" s="213"/>
      <c r="L1795" s="120"/>
      <c r="M1795" s="120"/>
      <c r="N1795" s="167"/>
      <c r="O1795" s="120"/>
      <c r="P1795" s="120"/>
      <c r="Q1795" s="120"/>
      <c r="R1795" s="120"/>
      <c r="S1795" s="120"/>
      <c r="T1795" s="221"/>
      <c r="U1795" s="89"/>
      <c r="V1795" s="61"/>
      <c r="W1795" s="92" t="s">
        <v>1030</v>
      </c>
      <c r="X1795" s="93" t="s">
        <v>29</v>
      </c>
      <c r="Y1795" s="93" t="s">
        <v>93</v>
      </c>
      <c r="Z1795" s="134">
        <f>VLOOKUP(W1795,Sheet2!$B:$D,3,FALSE)</f>
        <v>23</v>
      </c>
      <c r="AA1795" s="93">
        <v>25</v>
      </c>
      <c r="AB1795" s="93">
        <f>AD1795/AC1786</f>
        <v>0.91999999999999993</v>
      </c>
      <c r="AC1795" s="93">
        <f>AC1786/AA1795</f>
        <v>93.702560000000375</v>
      </c>
      <c r="AD1795" s="94">
        <f t="shared" ref="AD1795:AD1796" si="1305">AC1795*Z1795</f>
        <v>2155.1588800000086</v>
      </c>
      <c r="AE1795" s="190"/>
      <c r="AF1795" s="191"/>
      <c r="AG1795" s="191"/>
      <c r="AH1795" s="191"/>
      <c r="AI1795" s="186"/>
      <c r="AK1795" s="171"/>
    </row>
    <row r="1796" spans="1:41" s="102" customFormat="1" ht="19.899999999999999" customHeight="1" x14ac:dyDescent="0.25">
      <c r="A1796" s="45"/>
      <c r="B1796" s="59"/>
      <c r="C1796" s="137"/>
      <c r="D1796" s="59"/>
      <c r="E1796" s="116"/>
      <c r="F1796" s="120"/>
      <c r="G1796" s="120"/>
      <c r="H1796" s="120"/>
      <c r="I1796" s="60"/>
      <c r="J1796" s="116"/>
      <c r="K1796" s="213"/>
      <c r="L1796" s="120"/>
      <c r="M1796" s="120"/>
      <c r="N1796" s="167"/>
      <c r="O1796" s="120"/>
      <c r="P1796" s="120"/>
      <c r="Q1796" s="120"/>
      <c r="R1796" s="120"/>
      <c r="S1796" s="120"/>
      <c r="T1796" s="221"/>
      <c r="U1796" s="89"/>
      <c r="V1796" s="61"/>
      <c r="W1796" s="92" t="s">
        <v>65</v>
      </c>
      <c r="X1796" s="93" t="s">
        <v>30</v>
      </c>
      <c r="Y1796" s="93" t="s">
        <v>1011</v>
      </c>
      <c r="Z1796" s="134">
        <f>VLOOKUP(W1796,Sheet2!$B:$D,3,FALSE)</f>
        <v>1.76</v>
      </c>
      <c r="AA1796" s="93">
        <f>AA1795/3</f>
        <v>8.3333333333333339</v>
      </c>
      <c r="AB1796" s="93">
        <f>AD1796/AC1786</f>
        <v>0.21119999999999997</v>
      </c>
      <c r="AC1796" s="93">
        <f>AC1786/AA1796</f>
        <v>281.1076800000011</v>
      </c>
      <c r="AD1796" s="94">
        <f t="shared" si="1305"/>
        <v>494.74951680000191</v>
      </c>
      <c r="AE1796" s="190"/>
      <c r="AF1796" s="191"/>
      <c r="AG1796" s="191"/>
      <c r="AH1796" s="191"/>
      <c r="AI1796" s="186"/>
      <c r="AK1796" s="171"/>
    </row>
    <row r="1797" spans="1:41" ht="20.100000000000001" customHeight="1" x14ac:dyDescent="0.25">
      <c r="A1797" s="277" t="s">
        <v>216</v>
      </c>
      <c r="B1797" s="278"/>
      <c r="C1797" s="64" t="s">
        <v>380</v>
      </c>
      <c r="D1797" s="46" t="s">
        <v>97</v>
      </c>
      <c r="E1797" s="114">
        <v>2369.5300000000007</v>
      </c>
      <c r="F1797" s="44">
        <v>35</v>
      </c>
      <c r="G1797" s="44">
        <f t="shared" si="1286"/>
        <v>82933.550000000017</v>
      </c>
      <c r="H1797" s="44">
        <f t="shared" si="1287"/>
        <v>13.08719477124183</v>
      </c>
      <c r="I1797" s="43">
        <f t="shared" si="1288"/>
        <v>31010.500626300662</v>
      </c>
      <c r="J1797" s="112">
        <f t="shared" si="1289"/>
        <v>2369.5300000000007</v>
      </c>
      <c r="K1797" s="211">
        <f t="shared" si="1290"/>
        <v>2369.5300000000007</v>
      </c>
      <c r="L1797" s="44"/>
      <c r="M1797" s="44">
        <f t="shared" si="1296"/>
        <v>2369.5300000000007</v>
      </c>
      <c r="N1797" s="173">
        <f t="shared" si="1291"/>
        <v>1</v>
      </c>
      <c r="O1797" s="44">
        <f t="shared" si="1292"/>
        <v>35</v>
      </c>
      <c r="P1797" s="44">
        <f t="shared" si="1293"/>
        <v>82933.550000000017</v>
      </c>
      <c r="Q1797" s="44">
        <f t="shared" si="1294"/>
        <v>13.08719477124183</v>
      </c>
      <c r="R1797" s="44">
        <f t="shared" si="1297"/>
        <v>31010.500626300662</v>
      </c>
      <c r="S1797" s="123"/>
      <c r="T1797" s="219">
        <f t="shared" si="1298"/>
        <v>31010.500626300662</v>
      </c>
      <c r="U1797" s="87"/>
      <c r="V1797" s="47"/>
      <c r="W1797" s="48"/>
      <c r="X1797" s="48"/>
      <c r="Y1797" s="48"/>
      <c r="Z1797" s="135"/>
      <c r="AA1797" s="49"/>
      <c r="AB1797" s="50">
        <f t="shared" si="1295"/>
        <v>13.08719477124183</v>
      </c>
      <c r="AC1797" s="42">
        <f t="shared" si="1299"/>
        <v>2369.5300000000007</v>
      </c>
      <c r="AD1797" s="90">
        <f>AD1798</f>
        <v>31010.500626300662</v>
      </c>
      <c r="AE1797" s="188">
        <f t="shared" ref="AE1797" si="1306">AE1798</f>
        <v>0</v>
      </c>
      <c r="AF1797" s="189">
        <f t="shared" ref="AF1797" si="1307">AF1798</f>
        <v>0</v>
      </c>
      <c r="AG1797" s="189">
        <f t="shared" ref="AG1797" si="1308">AG1798</f>
        <v>0</v>
      </c>
      <c r="AH1797" s="189">
        <f t="shared" ref="AH1797" si="1309">AH1798</f>
        <v>0</v>
      </c>
      <c r="AI1797" s="161">
        <f t="shared" ref="AI1797" si="1310">SUM(AE1797:AH1797)</f>
        <v>0</v>
      </c>
      <c r="AK1797" s="169">
        <v>5</v>
      </c>
      <c r="AO1797" s="19" t="s">
        <v>63</v>
      </c>
    </row>
    <row r="1798" spans="1:41" s="103" customFormat="1" ht="19.899999999999999" customHeight="1" x14ac:dyDescent="0.25">
      <c r="A1798" s="51"/>
      <c r="B1798" s="52"/>
      <c r="C1798" s="165"/>
      <c r="D1798" s="52"/>
      <c r="E1798" s="115"/>
      <c r="F1798" s="58"/>
      <c r="G1798" s="58"/>
      <c r="H1798" s="58"/>
      <c r="I1798" s="55"/>
      <c r="J1798" s="113">
        <f>J1797</f>
        <v>2369.5300000000007</v>
      </c>
      <c r="K1798" s="212">
        <f>K1797</f>
        <v>2369.5300000000007</v>
      </c>
      <c r="L1798" s="58"/>
      <c r="M1798" s="58">
        <f>K1798-L1798</f>
        <v>2369.5300000000007</v>
      </c>
      <c r="N1798" s="166"/>
      <c r="O1798" s="58"/>
      <c r="P1798" s="58"/>
      <c r="Q1798" s="58"/>
      <c r="R1798" s="58"/>
      <c r="S1798" s="58"/>
      <c r="T1798" s="220"/>
      <c r="U1798" s="88"/>
      <c r="V1798" s="56"/>
      <c r="W1798" s="57" t="s">
        <v>1372</v>
      </c>
      <c r="X1798" s="53"/>
      <c r="Y1798" s="91" t="s">
        <v>68</v>
      </c>
      <c r="Z1798" s="136">
        <f>AD1798/AC1798</f>
        <v>13.08719477124183</v>
      </c>
      <c r="AA1798" s="58"/>
      <c r="AB1798" s="53">
        <f>AD1798/AC1798</f>
        <v>13.08719477124183</v>
      </c>
      <c r="AC1798" s="53">
        <f>M1798+$AE$10</f>
        <v>2369.5300000000007</v>
      </c>
      <c r="AD1798" s="54">
        <f>SUM(AD1799:AD1808)</f>
        <v>31010.500626300662</v>
      </c>
      <c r="AE1798" s="184">
        <f>SUMIFS($AD$37:$AD$12971,$V$37:$V$12971,$V1798,$X$37:$X$12971,AE$13)</f>
        <v>0</v>
      </c>
      <c r="AF1798" s="185">
        <f>SUMIFS($AD$37:$AD$12971,$V$37:$V$12971,$V1798,$X$37:$X$12971,AF$13)</f>
        <v>0</v>
      </c>
      <c r="AG1798" s="185">
        <f>SUMIFS($AD$37:$AD$12971,$V$37:$V$12971,$V1798,$X$37:$X$12971,AG$13)</f>
        <v>0</v>
      </c>
      <c r="AH1798" s="187">
        <f>SUMIFS($AD$37:$AD$12971,$V$37:$V$12971,$V1798,$X$37:$X$12971,AH$13)</f>
        <v>0</v>
      </c>
      <c r="AI1798" s="161">
        <f t="shared" ref="AI1798" si="1311">SUM(AE1798:AH1798)</f>
        <v>0</v>
      </c>
      <c r="AK1798" s="172"/>
    </row>
    <row r="1799" spans="1:41" s="102" customFormat="1" ht="19.899999999999999" customHeight="1" x14ac:dyDescent="0.25">
      <c r="A1799" s="45"/>
      <c r="B1799" s="59"/>
      <c r="C1799" s="137"/>
      <c r="D1799" s="59"/>
      <c r="E1799" s="116"/>
      <c r="F1799" s="120"/>
      <c r="G1799" s="120"/>
      <c r="H1799" s="120"/>
      <c r="I1799" s="60"/>
      <c r="J1799" s="116"/>
      <c r="K1799" s="213"/>
      <c r="L1799" s="120"/>
      <c r="M1799" s="120"/>
      <c r="N1799" s="167"/>
      <c r="O1799" s="120"/>
      <c r="P1799" s="120"/>
      <c r="Q1799" s="120"/>
      <c r="R1799" s="120"/>
      <c r="S1799" s="120"/>
      <c r="T1799" s="221"/>
      <c r="U1799" s="89"/>
      <c r="V1799" s="61"/>
      <c r="W1799" s="92" t="s">
        <v>134</v>
      </c>
      <c r="X1799" s="93" t="s">
        <v>29</v>
      </c>
      <c r="Y1799" s="93" t="s">
        <v>93</v>
      </c>
      <c r="Z1799" s="134">
        <f>VLOOKUP(W1799,Sheet2!$B:$D,3,FALSE)</f>
        <v>65.599999999999994</v>
      </c>
      <c r="AA1799" s="93">
        <f>100/(1*2)</f>
        <v>50</v>
      </c>
      <c r="AB1799" s="93">
        <f>AD1799/AC1798</f>
        <v>1.3120000000000001</v>
      </c>
      <c r="AC1799" s="93">
        <f>AC1798/AA1799</f>
        <v>47.390600000000013</v>
      </c>
      <c r="AD1799" s="94">
        <f t="shared" ref="AD1799:AD1800" si="1312">AC1799*Z1799</f>
        <v>3108.8233600000008</v>
      </c>
      <c r="AE1799" s="190"/>
      <c r="AF1799" s="191"/>
      <c r="AG1799" s="191"/>
      <c r="AH1799" s="191"/>
      <c r="AI1799" s="186"/>
      <c r="AK1799" s="171"/>
    </row>
    <row r="1800" spans="1:41" s="102" customFormat="1" ht="19.899999999999999" customHeight="1" x14ac:dyDescent="0.25">
      <c r="A1800" s="45"/>
      <c r="B1800" s="59"/>
      <c r="C1800" s="137"/>
      <c r="D1800" s="59"/>
      <c r="E1800" s="116"/>
      <c r="F1800" s="120"/>
      <c r="G1800" s="120"/>
      <c r="H1800" s="120"/>
      <c r="I1800" s="60"/>
      <c r="J1800" s="116"/>
      <c r="K1800" s="213"/>
      <c r="L1800" s="120"/>
      <c r="M1800" s="120"/>
      <c r="N1800" s="167"/>
      <c r="O1800" s="120"/>
      <c r="P1800" s="120"/>
      <c r="Q1800" s="120"/>
      <c r="R1800" s="120"/>
      <c r="S1800" s="120"/>
      <c r="T1800" s="221"/>
      <c r="U1800" s="89"/>
      <c r="V1800" s="61"/>
      <c r="W1800" s="92" t="s">
        <v>65</v>
      </c>
      <c r="X1800" s="93" t="s">
        <v>30</v>
      </c>
      <c r="Y1800" s="93" t="s">
        <v>1011</v>
      </c>
      <c r="Z1800" s="134">
        <f>VLOOKUP(W1800,Sheet2!$B:$D,3,FALSE)</f>
        <v>1.76</v>
      </c>
      <c r="AA1800" s="93">
        <f>AA1799/9</f>
        <v>5.5555555555555554</v>
      </c>
      <c r="AB1800" s="93">
        <f>AD1800/AC1798</f>
        <v>0.31680000000000003</v>
      </c>
      <c r="AC1800" s="93">
        <f>AC1798/AA1800</f>
        <v>426.51540000000011</v>
      </c>
      <c r="AD1800" s="94">
        <f t="shared" si="1312"/>
        <v>750.66710400000022</v>
      </c>
      <c r="AE1800" s="190"/>
      <c r="AF1800" s="191"/>
      <c r="AG1800" s="191"/>
      <c r="AH1800" s="191"/>
      <c r="AI1800" s="186"/>
      <c r="AK1800" s="171"/>
    </row>
    <row r="1801" spans="1:41" s="102" customFormat="1" ht="19.899999999999999" customHeight="1" x14ac:dyDescent="0.25">
      <c r="A1801" s="45"/>
      <c r="B1801" s="59"/>
      <c r="C1801" s="137"/>
      <c r="D1801" s="59"/>
      <c r="E1801" s="116"/>
      <c r="F1801" s="120"/>
      <c r="G1801" s="120"/>
      <c r="H1801" s="120"/>
      <c r="I1801" s="60"/>
      <c r="J1801" s="116"/>
      <c r="K1801" s="213"/>
      <c r="L1801" s="120"/>
      <c r="M1801" s="120"/>
      <c r="N1801" s="167"/>
      <c r="O1801" s="120"/>
      <c r="P1801" s="120"/>
      <c r="Q1801" s="120"/>
      <c r="R1801" s="120"/>
      <c r="S1801" s="120"/>
      <c r="T1801" s="221"/>
      <c r="U1801" s="89"/>
      <c r="V1801" s="61"/>
      <c r="W1801" s="92" t="s">
        <v>161</v>
      </c>
      <c r="X1801" s="93" t="s">
        <v>29</v>
      </c>
      <c r="Y1801" s="93" t="s">
        <v>93</v>
      </c>
      <c r="Z1801" s="134">
        <f>VLOOKUP(W1801,Sheet2!$B:$D,3,FALSE)</f>
        <v>48</v>
      </c>
      <c r="AA1801" s="93">
        <f>(16*0.85*1.5)/(1*2)</f>
        <v>10.199999999999999</v>
      </c>
      <c r="AB1801" s="93">
        <f>AD1801/AC1798</f>
        <v>4.7058823529411775</v>
      </c>
      <c r="AC1801" s="93">
        <f>AC1798/AA1801</f>
        <v>232.30686274509813</v>
      </c>
      <c r="AD1801" s="94">
        <f>AC1801*Z1801</f>
        <v>11150.729411764711</v>
      </c>
      <c r="AE1801" s="190"/>
      <c r="AF1801" s="191"/>
      <c r="AG1801" s="191"/>
      <c r="AH1801" s="191"/>
      <c r="AI1801" s="186"/>
      <c r="AK1801" s="171"/>
    </row>
    <row r="1802" spans="1:41" s="102" customFormat="1" ht="19.899999999999999" customHeight="1" x14ac:dyDescent="0.25">
      <c r="A1802" s="45"/>
      <c r="B1802" s="59"/>
      <c r="C1802" s="137"/>
      <c r="D1802" s="59"/>
      <c r="E1802" s="116"/>
      <c r="F1802" s="120"/>
      <c r="G1802" s="120"/>
      <c r="H1802" s="120"/>
      <c r="I1802" s="60"/>
      <c r="J1802" s="116"/>
      <c r="K1802" s="213"/>
      <c r="L1802" s="120"/>
      <c r="M1802" s="120"/>
      <c r="N1802" s="167"/>
      <c r="O1802" s="120"/>
      <c r="P1802" s="120"/>
      <c r="Q1802" s="120"/>
      <c r="R1802" s="120"/>
      <c r="S1802" s="120"/>
      <c r="T1802" s="221"/>
      <c r="U1802" s="89"/>
      <c r="V1802" s="61"/>
      <c r="W1802" s="92" t="s">
        <v>65</v>
      </c>
      <c r="X1802" s="93" t="s">
        <v>30</v>
      </c>
      <c r="Y1802" s="93" t="s">
        <v>1011</v>
      </c>
      <c r="Z1802" s="134">
        <f>VLOOKUP(W1802,Sheet2!$B:$D,3,FALSE)</f>
        <v>1.76</v>
      </c>
      <c r="AA1802" s="93">
        <f>AA1801/10</f>
        <v>1.02</v>
      </c>
      <c r="AB1802" s="93">
        <f>AD1802/AC1798</f>
        <v>1.7254901960784312</v>
      </c>
      <c r="AC1802" s="93">
        <f>AC1798/AA1802</f>
        <v>2323.0686274509808</v>
      </c>
      <c r="AD1802" s="94">
        <f>AC1802*Z1802</f>
        <v>4088.6007843137263</v>
      </c>
      <c r="AE1802" s="190"/>
      <c r="AF1802" s="191"/>
      <c r="AG1802" s="191"/>
      <c r="AH1802" s="191"/>
      <c r="AI1802" s="186"/>
      <c r="AK1802" s="171"/>
    </row>
    <row r="1803" spans="1:41" s="102" customFormat="1" ht="19.899999999999999" customHeight="1" x14ac:dyDescent="0.25">
      <c r="A1803" s="45"/>
      <c r="B1803" s="59"/>
      <c r="C1803" s="137"/>
      <c r="D1803" s="59"/>
      <c r="E1803" s="116"/>
      <c r="F1803" s="120"/>
      <c r="G1803" s="120"/>
      <c r="H1803" s="120"/>
      <c r="I1803" s="60"/>
      <c r="J1803" s="116"/>
      <c r="K1803" s="213"/>
      <c r="L1803" s="120"/>
      <c r="M1803" s="120"/>
      <c r="N1803" s="167"/>
      <c r="O1803" s="120"/>
      <c r="P1803" s="120"/>
      <c r="Q1803" s="120"/>
      <c r="R1803" s="120"/>
      <c r="S1803" s="120"/>
      <c r="T1803" s="221"/>
      <c r="U1803" s="89"/>
      <c r="V1803" s="61"/>
      <c r="W1803" s="92" t="s">
        <v>173</v>
      </c>
      <c r="X1803" s="93" t="s">
        <v>29</v>
      </c>
      <c r="Y1803" s="93" t="s">
        <v>93</v>
      </c>
      <c r="Z1803" s="134">
        <f>VLOOKUP(W1803,Sheet2!$B:$D,3,FALSE)</f>
        <v>36</v>
      </c>
      <c r="AA1803" s="93">
        <f>50/(1*2)</f>
        <v>25</v>
      </c>
      <c r="AB1803" s="93">
        <f>AD1803/AC1798</f>
        <v>1.44</v>
      </c>
      <c r="AC1803" s="93">
        <f>AC1798/AA1803</f>
        <v>94.781200000000027</v>
      </c>
      <c r="AD1803" s="94">
        <f>AC1803*Z1803</f>
        <v>3412.1232000000009</v>
      </c>
      <c r="AE1803" s="190"/>
      <c r="AF1803" s="191"/>
      <c r="AG1803" s="191"/>
      <c r="AH1803" s="191"/>
      <c r="AI1803" s="186"/>
      <c r="AK1803" s="171"/>
    </row>
    <row r="1804" spans="1:41" s="102" customFormat="1" ht="19.899999999999999" customHeight="1" x14ac:dyDescent="0.25">
      <c r="A1804" s="45"/>
      <c r="B1804" s="59"/>
      <c r="C1804" s="137"/>
      <c r="D1804" s="59"/>
      <c r="E1804" s="116"/>
      <c r="F1804" s="120"/>
      <c r="G1804" s="120"/>
      <c r="H1804" s="120"/>
      <c r="I1804" s="60"/>
      <c r="J1804" s="116"/>
      <c r="K1804" s="213"/>
      <c r="L1804" s="120"/>
      <c r="M1804" s="120"/>
      <c r="N1804" s="167"/>
      <c r="O1804" s="120"/>
      <c r="P1804" s="120"/>
      <c r="Q1804" s="120"/>
      <c r="R1804" s="120"/>
      <c r="S1804" s="120"/>
      <c r="T1804" s="221"/>
      <c r="U1804" s="89"/>
      <c r="V1804" s="61"/>
      <c r="W1804" s="92" t="s">
        <v>65</v>
      </c>
      <c r="X1804" s="93" t="s">
        <v>30</v>
      </c>
      <c r="Y1804" s="93" t="s">
        <v>1011</v>
      </c>
      <c r="Z1804" s="134">
        <f>VLOOKUP(W1804,Sheet2!$B:$D,3,FALSE)</f>
        <v>1.76</v>
      </c>
      <c r="AA1804" s="93">
        <f>AA1803/9</f>
        <v>2.7777777777777777</v>
      </c>
      <c r="AB1804" s="93">
        <f>AD1804/AC1798</f>
        <v>0.63360000000000005</v>
      </c>
      <c r="AC1804" s="93">
        <f>AC1798/AA1804</f>
        <v>853.03080000000023</v>
      </c>
      <c r="AD1804" s="94">
        <f>AC1804*Z1804</f>
        <v>1501.3342080000004</v>
      </c>
      <c r="AE1804" s="190"/>
      <c r="AF1804" s="191"/>
      <c r="AG1804" s="191"/>
      <c r="AH1804" s="191"/>
      <c r="AI1804" s="186"/>
      <c r="AK1804" s="171"/>
    </row>
    <row r="1805" spans="1:41" s="102" customFormat="1" ht="19.899999999999999" customHeight="1" x14ac:dyDescent="0.25">
      <c r="A1805" s="45"/>
      <c r="B1805" s="59"/>
      <c r="C1805" s="137"/>
      <c r="D1805" s="59"/>
      <c r="E1805" s="116"/>
      <c r="F1805" s="120"/>
      <c r="G1805" s="120"/>
      <c r="H1805" s="120"/>
      <c r="I1805" s="60"/>
      <c r="J1805" s="116"/>
      <c r="K1805" s="213"/>
      <c r="L1805" s="120"/>
      <c r="M1805" s="120"/>
      <c r="N1805" s="167"/>
      <c r="O1805" s="120"/>
      <c r="P1805" s="120"/>
      <c r="Q1805" s="120"/>
      <c r="R1805" s="120"/>
      <c r="S1805" s="120"/>
      <c r="T1805" s="221"/>
      <c r="U1805" s="89"/>
      <c r="V1805" s="61"/>
      <c r="W1805" s="92" t="s">
        <v>148</v>
      </c>
      <c r="X1805" s="93" t="s">
        <v>29</v>
      </c>
      <c r="Y1805" s="93" t="s">
        <v>93</v>
      </c>
      <c r="Z1805" s="134">
        <f>VLOOKUP(W1805,Sheet2!$B:$D,3,FALSE)</f>
        <v>48</v>
      </c>
      <c r="AA1805" s="93">
        <f>7.2/(2*1*0.1)</f>
        <v>36</v>
      </c>
      <c r="AB1805" s="93">
        <f>AD1805/AC1798</f>
        <v>1.3333333333333333</v>
      </c>
      <c r="AC1805" s="93">
        <f>AC1798/AA1805</f>
        <v>65.82027777777779</v>
      </c>
      <c r="AD1805" s="94">
        <f t="shared" ref="AD1805:AD1808" si="1313">AC1805*Z1805</f>
        <v>3159.3733333333339</v>
      </c>
      <c r="AE1805" s="190"/>
      <c r="AF1805" s="191"/>
      <c r="AG1805" s="191"/>
      <c r="AH1805" s="191"/>
      <c r="AI1805" s="186"/>
      <c r="AK1805" s="171"/>
    </row>
    <row r="1806" spans="1:41" s="102" customFormat="1" ht="19.899999999999999" customHeight="1" x14ac:dyDescent="0.25">
      <c r="A1806" s="45"/>
      <c r="B1806" s="59"/>
      <c r="C1806" s="137"/>
      <c r="D1806" s="59"/>
      <c r="E1806" s="116"/>
      <c r="F1806" s="120"/>
      <c r="G1806" s="120"/>
      <c r="H1806" s="120"/>
      <c r="I1806" s="60"/>
      <c r="J1806" s="116"/>
      <c r="K1806" s="213"/>
      <c r="L1806" s="120"/>
      <c r="M1806" s="120"/>
      <c r="N1806" s="167"/>
      <c r="O1806" s="120"/>
      <c r="P1806" s="120"/>
      <c r="Q1806" s="120"/>
      <c r="R1806" s="120"/>
      <c r="S1806" s="120"/>
      <c r="T1806" s="221"/>
      <c r="U1806" s="89"/>
      <c r="V1806" s="61"/>
      <c r="W1806" s="92" t="s">
        <v>65</v>
      </c>
      <c r="X1806" s="93" t="s">
        <v>30</v>
      </c>
      <c r="Y1806" s="93" t="s">
        <v>1011</v>
      </c>
      <c r="Z1806" s="134">
        <f>VLOOKUP(W1806,Sheet2!$B:$D,3,FALSE)</f>
        <v>1.76</v>
      </c>
      <c r="AA1806" s="93">
        <f>AA1805/10</f>
        <v>3.6</v>
      </c>
      <c r="AB1806" s="93">
        <f>AD1806/AC1798</f>
        <v>0.48888888888888887</v>
      </c>
      <c r="AC1806" s="93">
        <f>AC1798/AA1806</f>
        <v>658.2027777777779</v>
      </c>
      <c r="AD1806" s="94">
        <f t="shared" si="1313"/>
        <v>1158.4368888888891</v>
      </c>
      <c r="AE1806" s="190"/>
      <c r="AF1806" s="191"/>
      <c r="AG1806" s="191"/>
      <c r="AH1806" s="191"/>
      <c r="AI1806" s="186"/>
      <c r="AK1806" s="171"/>
    </row>
    <row r="1807" spans="1:41" s="102" customFormat="1" ht="19.899999999999999" customHeight="1" x14ac:dyDescent="0.25">
      <c r="A1807" s="45"/>
      <c r="B1807" s="59"/>
      <c r="C1807" s="137"/>
      <c r="D1807" s="59"/>
      <c r="E1807" s="116"/>
      <c r="F1807" s="120"/>
      <c r="G1807" s="120"/>
      <c r="H1807" s="120"/>
      <c r="I1807" s="60"/>
      <c r="J1807" s="116"/>
      <c r="K1807" s="213"/>
      <c r="L1807" s="120"/>
      <c r="M1807" s="120"/>
      <c r="N1807" s="167"/>
      <c r="O1807" s="120"/>
      <c r="P1807" s="120"/>
      <c r="Q1807" s="120"/>
      <c r="R1807" s="120"/>
      <c r="S1807" s="120"/>
      <c r="T1807" s="221"/>
      <c r="U1807" s="89"/>
      <c r="V1807" s="61"/>
      <c r="W1807" s="92" t="s">
        <v>1030</v>
      </c>
      <c r="X1807" s="93" t="s">
        <v>29</v>
      </c>
      <c r="Y1807" s="93" t="s">
        <v>93</v>
      </c>
      <c r="Z1807" s="134">
        <f>VLOOKUP(W1807,Sheet2!$B:$D,3,FALSE)</f>
        <v>23</v>
      </c>
      <c r="AA1807" s="93">
        <v>25</v>
      </c>
      <c r="AB1807" s="93">
        <f>AD1807/AC1798</f>
        <v>0.91999999999999993</v>
      </c>
      <c r="AC1807" s="93">
        <f>AC1798/AA1807</f>
        <v>94.781200000000027</v>
      </c>
      <c r="AD1807" s="94">
        <f t="shared" si="1313"/>
        <v>2179.9676000000004</v>
      </c>
      <c r="AE1807" s="190"/>
      <c r="AF1807" s="191"/>
      <c r="AG1807" s="191"/>
      <c r="AH1807" s="191"/>
      <c r="AI1807" s="186"/>
      <c r="AK1807" s="171"/>
    </row>
    <row r="1808" spans="1:41" s="102" customFormat="1" ht="19.899999999999999" customHeight="1" x14ac:dyDescent="0.25">
      <c r="A1808" s="45"/>
      <c r="B1808" s="59"/>
      <c r="C1808" s="137"/>
      <c r="D1808" s="59"/>
      <c r="E1808" s="116"/>
      <c r="F1808" s="120"/>
      <c r="G1808" s="120"/>
      <c r="H1808" s="120"/>
      <c r="I1808" s="60"/>
      <c r="J1808" s="116"/>
      <c r="K1808" s="213"/>
      <c r="L1808" s="120"/>
      <c r="M1808" s="120"/>
      <c r="N1808" s="167"/>
      <c r="O1808" s="120"/>
      <c r="P1808" s="120"/>
      <c r="Q1808" s="120"/>
      <c r="R1808" s="120"/>
      <c r="S1808" s="120"/>
      <c r="T1808" s="221"/>
      <c r="U1808" s="89"/>
      <c r="V1808" s="61"/>
      <c r="W1808" s="92" t="s">
        <v>65</v>
      </c>
      <c r="X1808" s="93" t="s">
        <v>30</v>
      </c>
      <c r="Y1808" s="93" t="s">
        <v>1011</v>
      </c>
      <c r="Z1808" s="134">
        <f>VLOOKUP(W1808,Sheet2!$B:$D,3,FALSE)</f>
        <v>1.76</v>
      </c>
      <c r="AA1808" s="93">
        <f>AA1807/3</f>
        <v>8.3333333333333339</v>
      </c>
      <c r="AB1808" s="93">
        <f>AD1808/AC1798</f>
        <v>0.21119999999999997</v>
      </c>
      <c r="AC1808" s="93">
        <f>AC1798/AA1808</f>
        <v>284.34360000000004</v>
      </c>
      <c r="AD1808" s="94">
        <f t="shared" si="1313"/>
        <v>500.44473600000009</v>
      </c>
      <c r="AE1808" s="190"/>
      <c r="AF1808" s="191"/>
      <c r="AG1808" s="191"/>
      <c r="AH1808" s="191"/>
      <c r="AI1808" s="186"/>
      <c r="AK1808" s="171"/>
    </row>
    <row r="1809" spans="1:41" ht="20.100000000000001" customHeight="1" x14ac:dyDescent="0.25">
      <c r="A1809" s="277" t="s">
        <v>216</v>
      </c>
      <c r="B1809" s="278"/>
      <c r="C1809" s="64" t="s">
        <v>381</v>
      </c>
      <c r="D1809" s="46" t="s">
        <v>97</v>
      </c>
      <c r="E1809" s="114">
        <v>1283.8870000000024</v>
      </c>
      <c r="F1809" s="44">
        <v>43</v>
      </c>
      <c r="G1809" s="44">
        <f t="shared" si="1286"/>
        <v>55207.141000000105</v>
      </c>
      <c r="H1809" s="44">
        <f t="shared" si="1287"/>
        <v>13.087194771241832</v>
      </c>
      <c r="I1809" s="43">
        <f t="shared" si="1288"/>
        <v>16802.479233265392</v>
      </c>
      <c r="J1809" s="112">
        <f t="shared" si="1289"/>
        <v>1283.8870000000024</v>
      </c>
      <c r="K1809" s="211">
        <f t="shared" si="1290"/>
        <v>1283.8870000000024</v>
      </c>
      <c r="L1809" s="44"/>
      <c r="M1809" s="44">
        <f t="shared" si="1296"/>
        <v>1283.8870000000024</v>
      </c>
      <c r="N1809" s="173">
        <f t="shared" si="1291"/>
        <v>1</v>
      </c>
      <c r="O1809" s="44">
        <f t="shared" si="1292"/>
        <v>43</v>
      </c>
      <c r="P1809" s="44">
        <f t="shared" si="1293"/>
        <v>55207.141000000105</v>
      </c>
      <c r="Q1809" s="44">
        <f t="shared" si="1294"/>
        <v>13.087194771241832</v>
      </c>
      <c r="R1809" s="44">
        <f t="shared" si="1297"/>
        <v>16802.479233265392</v>
      </c>
      <c r="S1809" s="123"/>
      <c r="T1809" s="219">
        <f t="shared" si="1298"/>
        <v>16802.479233265392</v>
      </c>
      <c r="U1809" s="87"/>
      <c r="V1809" s="47"/>
      <c r="W1809" s="48"/>
      <c r="X1809" s="48"/>
      <c r="Y1809" s="48"/>
      <c r="Z1809" s="135"/>
      <c r="AA1809" s="49"/>
      <c r="AB1809" s="50">
        <f t="shared" si="1295"/>
        <v>13.087194771241832</v>
      </c>
      <c r="AC1809" s="42">
        <f t="shared" si="1299"/>
        <v>1283.8870000000024</v>
      </c>
      <c r="AD1809" s="90">
        <f>AD1810</f>
        <v>16802.479233265392</v>
      </c>
      <c r="AE1809" s="188">
        <f t="shared" ref="AE1809" si="1314">AE1810</f>
        <v>0</v>
      </c>
      <c r="AF1809" s="189">
        <f t="shared" ref="AF1809" si="1315">AF1810</f>
        <v>0</v>
      </c>
      <c r="AG1809" s="189">
        <f t="shared" ref="AG1809" si="1316">AG1810</f>
        <v>0</v>
      </c>
      <c r="AH1809" s="189">
        <f t="shared" ref="AH1809" si="1317">AH1810</f>
        <v>0</v>
      </c>
      <c r="AI1809" s="161">
        <f t="shared" ref="AI1809" si="1318">SUM(AE1809:AH1809)</f>
        <v>0</v>
      </c>
      <c r="AK1809" s="169">
        <v>5</v>
      </c>
      <c r="AO1809" s="19" t="s">
        <v>63</v>
      </c>
    </row>
    <row r="1810" spans="1:41" s="103" customFormat="1" ht="19.899999999999999" customHeight="1" x14ac:dyDescent="0.25">
      <c r="A1810" s="51"/>
      <c r="B1810" s="52"/>
      <c r="C1810" s="165"/>
      <c r="D1810" s="52"/>
      <c r="E1810" s="115"/>
      <c r="F1810" s="58"/>
      <c r="G1810" s="58"/>
      <c r="H1810" s="58"/>
      <c r="I1810" s="55"/>
      <c r="J1810" s="113">
        <f>J1809</f>
        <v>1283.8870000000024</v>
      </c>
      <c r="K1810" s="212">
        <f>K1809</f>
        <v>1283.8870000000024</v>
      </c>
      <c r="L1810" s="58"/>
      <c r="M1810" s="58">
        <f>K1810-L1810</f>
        <v>1283.8870000000024</v>
      </c>
      <c r="N1810" s="166"/>
      <c r="O1810" s="58"/>
      <c r="P1810" s="58"/>
      <c r="Q1810" s="58"/>
      <c r="R1810" s="58"/>
      <c r="S1810" s="58"/>
      <c r="T1810" s="220"/>
      <c r="U1810" s="88"/>
      <c r="V1810" s="56"/>
      <c r="W1810" s="57" t="s">
        <v>1372</v>
      </c>
      <c r="X1810" s="53"/>
      <c r="Y1810" s="91" t="s">
        <v>68</v>
      </c>
      <c r="Z1810" s="136">
        <f>AD1810/AC1810</f>
        <v>13.087194771241832</v>
      </c>
      <c r="AA1810" s="58"/>
      <c r="AB1810" s="53">
        <f>AD1810/AC1810</f>
        <v>13.087194771241832</v>
      </c>
      <c r="AC1810" s="53">
        <f>M1810+$AE$10</f>
        <v>1283.8870000000024</v>
      </c>
      <c r="AD1810" s="54">
        <f>SUM(AD1811:AD1820)</f>
        <v>16802.479233265392</v>
      </c>
      <c r="AE1810" s="184">
        <f>SUMIFS($AD$37:$AD$12971,$V$37:$V$12971,$V1810,$X$37:$X$12971,AE$13)</f>
        <v>0</v>
      </c>
      <c r="AF1810" s="185">
        <f>SUMIFS($AD$37:$AD$12971,$V$37:$V$12971,$V1810,$X$37:$X$12971,AF$13)</f>
        <v>0</v>
      </c>
      <c r="AG1810" s="185">
        <f>SUMIFS($AD$37:$AD$12971,$V$37:$V$12971,$V1810,$X$37:$X$12971,AG$13)</f>
        <v>0</v>
      </c>
      <c r="AH1810" s="187">
        <f>SUMIFS($AD$37:$AD$12971,$V$37:$V$12971,$V1810,$X$37:$X$12971,AH$13)</f>
        <v>0</v>
      </c>
      <c r="AI1810" s="161">
        <f t="shared" ref="AI1810" si="1319">SUM(AE1810:AH1810)</f>
        <v>0</v>
      </c>
      <c r="AK1810" s="172"/>
    </row>
    <row r="1811" spans="1:41" s="102" customFormat="1" ht="19.899999999999999" customHeight="1" x14ac:dyDescent="0.25">
      <c r="A1811" s="45"/>
      <c r="B1811" s="59"/>
      <c r="C1811" s="137"/>
      <c r="D1811" s="59"/>
      <c r="E1811" s="116"/>
      <c r="F1811" s="120"/>
      <c r="G1811" s="120"/>
      <c r="H1811" s="120"/>
      <c r="I1811" s="60"/>
      <c r="J1811" s="116"/>
      <c r="K1811" s="213"/>
      <c r="L1811" s="120"/>
      <c r="M1811" s="120"/>
      <c r="N1811" s="167"/>
      <c r="O1811" s="120"/>
      <c r="P1811" s="120"/>
      <c r="Q1811" s="120"/>
      <c r="R1811" s="120"/>
      <c r="S1811" s="120"/>
      <c r="T1811" s="221"/>
      <c r="U1811" s="89"/>
      <c r="V1811" s="61"/>
      <c r="W1811" s="92" t="s">
        <v>134</v>
      </c>
      <c r="X1811" s="93" t="s">
        <v>29</v>
      </c>
      <c r="Y1811" s="93" t="s">
        <v>93</v>
      </c>
      <c r="Z1811" s="134">
        <f>VLOOKUP(W1811,Sheet2!$B:$D,3,FALSE)</f>
        <v>65.599999999999994</v>
      </c>
      <c r="AA1811" s="93">
        <f>100/(1*2)</f>
        <v>50</v>
      </c>
      <c r="AB1811" s="93">
        <f>AD1811/AC1810</f>
        <v>1.3120000000000001</v>
      </c>
      <c r="AC1811" s="93">
        <f>AC1810/AA1811</f>
        <v>25.67774000000005</v>
      </c>
      <c r="AD1811" s="94">
        <f t="shared" ref="AD1811:AD1812" si="1320">AC1811*Z1811</f>
        <v>1684.4597440000032</v>
      </c>
      <c r="AE1811" s="190"/>
      <c r="AF1811" s="191"/>
      <c r="AG1811" s="191"/>
      <c r="AH1811" s="191"/>
      <c r="AI1811" s="186"/>
      <c r="AK1811" s="171"/>
    </row>
    <row r="1812" spans="1:41" s="102" customFormat="1" ht="19.899999999999999" customHeight="1" x14ac:dyDescent="0.25">
      <c r="A1812" s="45"/>
      <c r="B1812" s="59"/>
      <c r="C1812" s="137"/>
      <c r="D1812" s="59"/>
      <c r="E1812" s="116"/>
      <c r="F1812" s="120"/>
      <c r="G1812" s="120"/>
      <c r="H1812" s="120"/>
      <c r="I1812" s="60"/>
      <c r="J1812" s="116"/>
      <c r="K1812" s="213"/>
      <c r="L1812" s="120"/>
      <c r="M1812" s="120"/>
      <c r="N1812" s="167"/>
      <c r="O1812" s="120"/>
      <c r="P1812" s="120"/>
      <c r="Q1812" s="120"/>
      <c r="R1812" s="120"/>
      <c r="S1812" s="120"/>
      <c r="T1812" s="221"/>
      <c r="U1812" s="89"/>
      <c r="V1812" s="61"/>
      <c r="W1812" s="92" t="s">
        <v>65</v>
      </c>
      <c r="X1812" s="93" t="s">
        <v>30</v>
      </c>
      <c r="Y1812" s="93" t="s">
        <v>1011</v>
      </c>
      <c r="Z1812" s="134">
        <f>VLOOKUP(W1812,Sheet2!$B:$D,3,FALSE)</f>
        <v>1.76</v>
      </c>
      <c r="AA1812" s="93">
        <f>AA1811/9</f>
        <v>5.5555555555555554</v>
      </c>
      <c r="AB1812" s="93">
        <f>AD1812/AC1810</f>
        <v>0.31680000000000003</v>
      </c>
      <c r="AC1812" s="93">
        <f>AC1810/AA1812</f>
        <v>231.09966000000045</v>
      </c>
      <c r="AD1812" s="94">
        <f t="shared" si="1320"/>
        <v>406.73540160000078</v>
      </c>
      <c r="AE1812" s="190"/>
      <c r="AF1812" s="191"/>
      <c r="AG1812" s="191"/>
      <c r="AH1812" s="191"/>
      <c r="AI1812" s="186"/>
      <c r="AK1812" s="171"/>
    </row>
    <row r="1813" spans="1:41" s="102" customFormat="1" ht="19.899999999999999" customHeight="1" x14ac:dyDescent="0.25">
      <c r="A1813" s="45"/>
      <c r="B1813" s="59"/>
      <c r="C1813" s="137"/>
      <c r="D1813" s="59"/>
      <c r="E1813" s="116"/>
      <c r="F1813" s="120"/>
      <c r="G1813" s="120"/>
      <c r="H1813" s="120"/>
      <c r="I1813" s="60"/>
      <c r="J1813" s="116"/>
      <c r="K1813" s="213"/>
      <c r="L1813" s="120"/>
      <c r="M1813" s="120"/>
      <c r="N1813" s="167"/>
      <c r="O1813" s="120"/>
      <c r="P1813" s="120"/>
      <c r="Q1813" s="120"/>
      <c r="R1813" s="120"/>
      <c r="S1813" s="120"/>
      <c r="T1813" s="221"/>
      <c r="U1813" s="89"/>
      <c r="V1813" s="61"/>
      <c r="W1813" s="92" t="s">
        <v>161</v>
      </c>
      <c r="X1813" s="93" t="s">
        <v>29</v>
      </c>
      <c r="Y1813" s="93" t="s">
        <v>93</v>
      </c>
      <c r="Z1813" s="134">
        <f>VLOOKUP(W1813,Sheet2!$B:$D,3,FALSE)</f>
        <v>48</v>
      </c>
      <c r="AA1813" s="93">
        <f>(16*0.85*1.5)/(1*2)</f>
        <v>10.199999999999999</v>
      </c>
      <c r="AB1813" s="93">
        <f>AD1813/AC1810</f>
        <v>4.7058823529411766</v>
      </c>
      <c r="AC1813" s="93">
        <f>AC1810/AA1813</f>
        <v>125.87127450980417</v>
      </c>
      <c r="AD1813" s="94">
        <f>AC1813*Z1813</f>
        <v>6041.8211764706002</v>
      </c>
      <c r="AE1813" s="190"/>
      <c r="AF1813" s="191"/>
      <c r="AG1813" s="191"/>
      <c r="AH1813" s="191"/>
      <c r="AI1813" s="186"/>
      <c r="AK1813" s="171"/>
    </row>
    <row r="1814" spans="1:41" s="102" customFormat="1" ht="19.899999999999999" customHeight="1" x14ac:dyDescent="0.25">
      <c r="A1814" s="45"/>
      <c r="B1814" s="59"/>
      <c r="C1814" s="137"/>
      <c r="D1814" s="59"/>
      <c r="E1814" s="116"/>
      <c r="F1814" s="120"/>
      <c r="G1814" s="120"/>
      <c r="H1814" s="120"/>
      <c r="I1814" s="60"/>
      <c r="J1814" s="116"/>
      <c r="K1814" s="213"/>
      <c r="L1814" s="120"/>
      <c r="M1814" s="120"/>
      <c r="N1814" s="167"/>
      <c r="O1814" s="120"/>
      <c r="P1814" s="120"/>
      <c r="Q1814" s="120"/>
      <c r="R1814" s="120"/>
      <c r="S1814" s="120"/>
      <c r="T1814" s="221"/>
      <c r="U1814" s="89"/>
      <c r="V1814" s="61"/>
      <c r="W1814" s="92" t="s">
        <v>65</v>
      </c>
      <c r="X1814" s="93" t="s">
        <v>30</v>
      </c>
      <c r="Y1814" s="93" t="s">
        <v>1011</v>
      </c>
      <c r="Z1814" s="134">
        <f>VLOOKUP(W1814,Sheet2!$B:$D,3,FALSE)</f>
        <v>1.76</v>
      </c>
      <c r="AA1814" s="93">
        <f>AA1813/10</f>
        <v>1.02</v>
      </c>
      <c r="AB1814" s="93">
        <f>AD1814/AC1810</f>
        <v>1.725490196078431</v>
      </c>
      <c r="AC1814" s="93">
        <f>AC1810/AA1814</f>
        <v>1258.7127450980415</v>
      </c>
      <c r="AD1814" s="94">
        <f>AC1814*Z1814</f>
        <v>2215.3344313725529</v>
      </c>
      <c r="AE1814" s="190"/>
      <c r="AF1814" s="191"/>
      <c r="AG1814" s="191"/>
      <c r="AH1814" s="191"/>
      <c r="AI1814" s="186"/>
      <c r="AK1814" s="171"/>
    </row>
    <row r="1815" spans="1:41" s="102" customFormat="1" ht="19.899999999999999" customHeight="1" x14ac:dyDescent="0.25">
      <c r="A1815" s="45"/>
      <c r="B1815" s="59"/>
      <c r="C1815" s="137"/>
      <c r="D1815" s="59"/>
      <c r="E1815" s="116"/>
      <c r="F1815" s="120"/>
      <c r="G1815" s="120"/>
      <c r="H1815" s="120"/>
      <c r="I1815" s="60"/>
      <c r="J1815" s="116"/>
      <c r="K1815" s="213"/>
      <c r="L1815" s="120"/>
      <c r="M1815" s="120"/>
      <c r="N1815" s="167"/>
      <c r="O1815" s="120"/>
      <c r="P1815" s="120"/>
      <c r="Q1815" s="120"/>
      <c r="R1815" s="120"/>
      <c r="S1815" s="120"/>
      <c r="T1815" s="221"/>
      <c r="U1815" s="89"/>
      <c r="V1815" s="61"/>
      <c r="W1815" s="92" t="s">
        <v>173</v>
      </c>
      <c r="X1815" s="93" t="s">
        <v>29</v>
      </c>
      <c r="Y1815" s="93" t="s">
        <v>93</v>
      </c>
      <c r="Z1815" s="134">
        <f>VLOOKUP(W1815,Sheet2!$B:$D,3,FALSE)</f>
        <v>36</v>
      </c>
      <c r="AA1815" s="93">
        <f>50/(1*2)</f>
        <v>25</v>
      </c>
      <c r="AB1815" s="93">
        <f>AD1815/AC1810</f>
        <v>1.4400000000000002</v>
      </c>
      <c r="AC1815" s="93">
        <f>AC1810/AA1815</f>
        <v>51.355480000000099</v>
      </c>
      <c r="AD1815" s="94">
        <f>AC1815*Z1815</f>
        <v>1848.7972800000036</v>
      </c>
      <c r="AE1815" s="190"/>
      <c r="AF1815" s="191"/>
      <c r="AG1815" s="191"/>
      <c r="AH1815" s="191"/>
      <c r="AI1815" s="186"/>
      <c r="AK1815" s="171"/>
    </row>
    <row r="1816" spans="1:41" s="102" customFormat="1" ht="19.899999999999999" customHeight="1" x14ac:dyDescent="0.25">
      <c r="A1816" s="45"/>
      <c r="B1816" s="59"/>
      <c r="C1816" s="137"/>
      <c r="D1816" s="59"/>
      <c r="E1816" s="116"/>
      <c r="F1816" s="120"/>
      <c r="G1816" s="120"/>
      <c r="H1816" s="120"/>
      <c r="I1816" s="60"/>
      <c r="J1816" s="116"/>
      <c r="K1816" s="213"/>
      <c r="L1816" s="120"/>
      <c r="M1816" s="120"/>
      <c r="N1816" s="167"/>
      <c r="O1816" s="120"/>
      <c r="P1816" s="120"/>
      <c r="Q1816" s="120"/>
      <c r="R1816" s="120"/>
      <c r="S1816" s="120"/>
      <c r="T1816" s="221"/>
      <c r="U1816" s="89"/>
      <c r="V1816" s="61"/>
      <c r="W1816" s="92" t="s">
        <v>65</v>
      </c>
      <c r="X1816" s="93" t="s">
        <v>30</v>
      </c>
      <c r="Y1816" s="93" t="s">
        <v>1011</v>
      </c>
      <c r="Z1816" s="134">
        <f>VLOOKUP(W1816,Sheet2!$B:$D,3,FALSE)</f>
        <v>1.76</v>
      </c>
      <c r="AA1816" s="93">
        <f>AA1815/9</f>
        <v>2.7777777777777777</v>
      </c>
      <c r="AB1816" s="93">
        <f>AD1816/AC1810</f>
        <v>0.63360000000000005</v>
      </c>
      <c r="AC1816" s="93">
        <f>AC1810/AA1816</f>
        <v>462.19932000000091</v>
      </c>
      <c r="AD1816" s="94">
        <f>AC1816*Z1816</f>
        <v>813.47080320000157</v>
      </c>
      <c r="AE1816" s="190"/>
      <c r="AF1816" s="191"/>
      <c r="AG1816" s="191"/>
      <c r="AH1816" s="191"/>
      <c r="AI1816" s="186"/>
      <c r="AK1816" s="171"/>
    </row>
    <row r="1817" spans="1:41" s="102" customFormat="1" ht="19.899999999999999" customHeight="1" x14ac:dyDescent="0.25">
      <c r="A1817" s="45"/>
      <c r="B1817" s="59"/>
      <c r="C1817" s="137"/>
      <c r="D1817" s="59"/>
      <c r="E1817" s="116"/>
      <c r="F1817" s="120"/>
      <c r="G1817" s="120"/>
      <c r="H1817" s="120"/>
      <c r="I1817" s="60"/>
      <c r="J1817" s="116"/>
      <c r="K1817" s="213"/>
      <c r="L1817" s="120"/>
      <c r="M1817" s="120"/>
      <c r="N1817" s="167"/>
      <c r="O1817" s="120"/>
      <c r="P1817" s="120"/>
      <c r="Q1817" s="120"/>
      <c r="R1817" s="120"/>
      <c r="S1817" s="120"/>
      <c r="T1817" s="221"/>
      <c r="U1817" s="89"/>
      <c r="V1817" s="61"/>
      <c r="W1817" s="92" t="s">
        <v>148</v>
      </c>
      <c r="X1817" s="93" t="s">
        <v>29</v>
      </c>
      <c r="Y1817" s="93" t="s">
        <v>93</v>
      </c>
      <c r="Z1817" s="134">
        <f>VLOOKUP(W1817,Sheet2!$B:$D,3,FALSE)</f>
        <v>48</v>
      </c>
      <c r="AA1817" s="93">
        <f>7.2/(2*1*0.1)</f>
        <v>36</v>
      </c>
      <c r="AB1817" s="93">
        <f>AD1817/AC1810</f>
        <v>1.3333333333333333</v>
      </c>
      <c r="AC1817" s="93">
        <f>AC1810/AA1817</f>
        <v>35.663527777777844</v>
      </c>
      <c r="AD1817" s="94">
        <f t="shared" ref="AD1817:AD1820" si="1321">AC1817*Z1817</f>
        <v>1711.8493333333365</v>
      </c>
      <c r="AE1817" s="190"/>
      <c r="AF1817" s="191"/>
      <c r="AG1817" s="191"/>
      <c r="AH1817" s="191"/>
      <c r="AI1817" s="186"/>
      <c r="AK1817" s="171"/>
    </row>
    <row r="1818" spans="1:41" s="102" customFormat="1" ht="19.899999999999999" customHeight="1" x14ac:dyDescent="0.25">
      <c r="A1818" s="45"/>
      <c r="B1818" s="59"/>
      <c r="C1818" s="137"/>
      <c r="D1818" s="59"/>
      <c r="E1818" s="116"/>
      <c r="F1818" s="120"/>
      <c r="G1818" s="120"/>
      <c r="H1818" s="120"/>
      <c r="I1818" s="60"/>
      <c r="J1818" s="116"/>
      <c r="K1818" s="213"/>
      <c r="L1818" s="120"/>
      <c r="M1818" s="120"/>
      <c r="N1818" s="167"/>
      <c r="O1818" s="120"/>
      <c r="P1818" s="120"/>
      <c r="Q1818" s="120"/>
      <c r="R1818" s="120"/>
      <c r="S1818" s="120"/>
      <c r="T1818" s="221"/>
      <c r="U1818" s="89"/>
      <c r="V1818" s="61"/>
      <c r="W1818" s="92" t="s">
        <v>65</v>
      </c>
      <c r="X1818" s="93" t="s">
        <v>30</v>
      </c>
      <c r="Y1818" s="93" t="s">
        <v>1011</v>
      </c>
      <c r="Z1818" s="134">
        <f>VLOOKUP(W1818,Sheet2!$B:$D,3,FALSE)</f>
        <v>1.76</v>
      </c>
      <c r="AA1818" s="93">
        <f>AA1817/10</f>
        <v>3.6</v>
      </c>
      <c r="AB1818" s="93">
        <f>AD1818/AC1810</f>
        <v>0.48888888888888893</v>
      </c>
      <c r="AC1818" s="93">
        <f>AC1810/AA1818</f>
        <v>356.63527777777847</v>
      </c>
      <c r="AD1818" s="94">
        <f t="shared" si="1321"/>
        <v>627.6780888888901</v>
      </c>
      <c r="AE1818" s="190"/>
      <c r="AF1818" s="191"/>
      <c r="AG1818" s="191"/>
      <c r="AH1818" s="191"/>
      <c r="AI1818" s="186"/>
      <c r="AK1818" s="171"/>
    </row>
    <row r="1819" spans="1:41" s="102" customFormat="1" ht="19.899999999999999" customHeight="1" x14ac:dyDescent="0.25">
      <c r="A1819" s="45"/>
      <c r="B1819" s="59"/>
      <c r="C1819" s="137"/>
      <c r="D1819" s="59"/>
      <c r="E1819" s="116"/>
      <c r="F1819" s="120"/>
      <c r="G1819" s="120"/>
      <c r="H1819" s="120"/>
      <c r="I1819" s="60"/>
      <c r="J1819" s="116"/>
      <c r="K1819" s="213"/>
      <c r="L1819" s="120"/>
      <c r="M1819" s="120"/>
      <c r="N1819" s="167"/>
      <c r="O1819" s="120"/>
      <c r="P1819" s="120"/>
      <c r="Q1819" s="120"/>
      <c r="R1819" s="120"/>
      <c r="S1819" s="120"/>
      <c r="T1819" s="221"/>
      <c r="U1819" s="89"/>
      <c r="V1819" s="61"/>
      <c r="W1819" s="92" t="s">
        <v>1030</v>
      </c>
      <c r="X1819" s="93" t="s">
        <v>29</v>
      </c>
      <c r="Y1819" s="93" t="s">
        <v>93</v>
      </c>
      <c r="Z1819" s="134">
        <f>VLOOKUP(W1819,Sheet2!$B:$D,3,FALSE)</f>
        <v>23</v>
      </c>
      <c r="AA1819" s="93">
        <v>25</v>
      </c>
      <c r="AB1819" s="93">
        <f>AD1819/AC1810</f>
        <v>0.92</v>
      </c>
      <c r="AC1819" s="93">
        <f>AC1810/AA1819</f>
        <v>51.355480000000099</v>
      </c>
      <c r="AD1819" s="94">
        <f t="shared" si="1321"/>
        <v>1181.1760400000023</v>
      </c>
      <c r="AE1819" s="190"/>
      <c r="AF1819" s="191"/>
      <c r="AG1819" s="191"/>
      <c r="AH1819" s="191"/>
      <c r="AI1819" s="186"/>
      <c r="AK1819" s="171"/>
    </row>
    <row r="1820" spans="1:41" s="102" customFormat="1" ht="19.899999999999999" customHeight="1" x14ac:dyDescent="0.25">
      <c r="A1820" s="45"/>
      <c r="B1820" s="59"/>
      <c r="C1820" s="137"/>
      <c r="D1820" s="59"/>
      <c r="E1820" s="116"/>
      <c r="F1820" s="120"/>
      <c r="G1820" s="120"/>
      <c r="H1820" s="120"/>
      <c r="I1820" s="60"/>
      <c r="J1820" s="116"/>
      <c r="K1820" s="213"/>
      <c r="L1820" s="120"/>
      <c r="M1820" s="120"/>
      <c r="N1820" s="167"/>
      <c r="O1820" s="120"/>
      <c r="P1820" s="120"/>
      <c r="Q1820" s="120"/>
      <c r="R1820" s="120"/>
      <c r="S1820" s="120"/>
      <c r="T1820" s="221"/>
      <c r="U1820" s="89"/>
      <c r="V1820" s="61"/>
      <c r="W1820" s="92" t="s">
        <v>65</v>
      </c>
      <c r="X1820" s="93" t="s">
        <v>30</v>
      </c>
      <c r="Y1820" s="93" t="s">
        <v>1011</v>
      </c>
      <c r="Z1820" s="134">
        <f>VLOOKUP(W1820,Sheet2!$B:$D,3,FALSE)</f>
        <v>1.76</v>
      </c>
      <c r="AA1820" s="93">
        <f>AA1819/3</f>
        <v>8.3333333333333339</v>
      </c>
      <c r="AB1820" s="93">
        <f>AD1820/AC1810</f>
        <v>0.2112</v>
      </c>
      <c r="AC1820" s="93">
        <f>AC1810/AA1820</f>
        <v>154.06644000000028</v>
      </c>
      <c r="AD1820" s="94">
        <f t="shared" si="1321"/>
        <v>271.15693440000052</v>
      </c>
      <c r="AE1820" s="190"/>
      <c r="AF1820" s="191"/>
      <c r="AG1820" s="191"/>
      <c r="AH1820" s="191"/>
      <c r="AI1820" s="186"/>
      <c r="AK1820" s="171"/>
    </row>
    <row r="1821" spans="1:41" ht="20.100000000000001" customHeight="1" x14ac:dyDescent="0.25">
      <c r="A1821" s="277" t="s">
        <v>216</v>
      </c>
      <c r="B1821" s="278"/>
      <c r="C1821" s="64" t="s">
        <v>382</v>
      </c>
      <c r="D1821" s="46" t="s">
        <v>97</v>
      </c>
      <c r="E1821" s="114"/>
      <c r="F1821" s="44">
        <v>0</v>
      </c>
      <c r="G1821" s="44">
        <f t="shared" si="1286"/>
        <v>0</v>
      </c>
      <c r="H1821" s="44">
        <f t="shared" si="1287"/>
        <v>0</v>
      </c>
      <c r="I1821" s="43">
        <f t="shared" si="1288"/>
        <v>0</v>
      </c>
      <c r="J1821" s="112">
        <f t="shared" si="1289"/>
        <v>0</v>
      </c>
      <c r="K1821" s="211">
        <f t="shared" si="1290"/>
        <v>0</v>
      </c>
      <c r="L1821" s="44"/>
      <c r="M1821" s="44">
        <f t="shared" si="1296"/>
        <v>0</v>
      </c>
      <c r="N1821" s="173">
        <f t="shared" si="1291"/>
        <v>0</v>
      </c>
      <c r="O1821" s="44">
        <f t="shared" si="1292"/>
        <v>0</v>
      </c>
      <c r="P1821" s="44">
        <f t="shared" si="1293"/>
        <v>0</v>
      </c>
      <c r="Q1821" s="44">
        <f t="shared" si="1294"/>
        <v>0</v>
      </c>
      <c r="R1821" s="44">
        <f t="shared" si="1297"/>
        <v>0</v>
      </c>
      <c r="S1821" s="123"/>
      <c r="T1821" s="219">
        <f t="shared" si="1298"/>
        <v>0</v>
      </c>
      <c r="U1821" s="87"/>
      <c r="V1821" s="47"/>
      <c r="W1821" s="48"/>
      <c r="X1821" s="48"/>
      <c r="Y1821" s="48"/>
      <c r="Z1821" s="135"/>
      <c r="AA1821" s="49"/>
      <c r="AB1821" s="50">
        <f t="shared" si="1295"/>
        <v>0</v>
      </c>
      <c r="AC1821" s="42">
        <f t="shared" si="1299"/>
        <v>9.9999999999999998E-20</v>
      </c>
      <c r="AD1821" s="90"/>
      <c r="AE1821" s="188"/>
      <c r="AF1821" s="189"/>
      <c r="AG1821" s="189"/>
      <c r="AH1821" s="189"/>
      <c r="AI1821" s="161"/>
    </row>
    <row r="1822" spans="1:41" ht="20.100000000000001" customHeight="1" x14ac:dyDescent="0.25">
      <c r="A1822" s="277" t="s">
        <v>216</v>
      </c>
      <c r="B1822" s="278"/>
      <c r="C1822" s="64" t="s">
        <v>383</v>
      </c>
      <c r="D1822" s="46" t="s">
        <v>97</v>
      </c>
      <c r="E1822" s="114"/>
      <c r="F1822" s="44">
        <v>0</v>
      </c>
      <c r="G1822" s="44">
        <f t="shared" si="1286"/>
        <v>0</v>
      </c>
      <c r="H1822" s="44">
        <f t="shared" si="1287"/>
        <v>0</v>
      </c>
      <c r="I1822" s="43">
        <f t="shared" si="1288"/>
        <v>0</v>
      </c>
      <c r="J1822" s="112">
        <f t="shared" si="1289"/>
        <v>0</v>
      </c>
      <c r="K1822" s="211">
        <f t="shared" si="1290"/>
        <v>0</v>
      </c>
      <c r="L1822" s="44"/>
      <c r="M1822" s="44">
        <f t="shared" si="1296"/>
        <v>0</v>
      </c>
      <c r="N1822" s="173">
        <f t="shared" si="1291"/>
        <v>0</v>
      </c>
      <c r="O1822" s="44">
        <f t="shared" si="1292"/>
        <v>0</v>
      </c>
      <c r="P1822" s="44">
        <f t="shared" si="1293"/>
        <v>0</v>
      </c>
      <c r="Q1822" s="44">
        <f t="shared" si="1294"/>
        <v>0</v>
      </c>
      <c r="R1822" s="44">
        <f t="shared" si="1297"/>
        <v>0</v>
      </c>
      <c r="S1822" s="123"/>
      <c r="T1822" s="219">
        <f t="shared" si="1298"/>
        <v>0</v>
      </c>
      <c r="U1822" s="87"/>
      <c r="V1822" s="47"/>
      <c r="W1822" s="48"/>
      <c r="X1822" s="48"/>
      <c r="Y1822" s="48"/>
      <c r="Z1822" s="135"/>
      <c r="AA1822" s="49"/>
      <c r="AB1822" s="50">
        <f t="shared" si="1295"/>
        <v>0</v>
      </c>
      <c r="AC1822" s="42">
        <f t="shared" si="1299"/>
        <v>9.9999999999999998E-20</v>
      </c>
      <c r="AD1822" s="90"/>
      <c r="AE1822" s="188"/>
      <c r="AF1822" s="189"/>
      <c r="AG1822" s="189"/>
      <c r="AH1822" s="189"/>
      <c r="AI1822" s="161"/>
    </row>
    <row r="1823" spans="1:41" ht="20.100000000000001" customHeight="1" x14ac:dyDescent="0.25">
      <c r="A1823" s="277" t="s">
        <v>216</v>
      </c>
      <c r="B1823" s="278"/>
      <c r="C1823" s="64" t="s">
        <v>384</v>
      </c>
      <c r="D1823" s="46" t="s">
        <v>97</v>
      </c>
      <c r="E1823" s="114"/>
      <c r="F1823" s="44">
        <v>0</v>
      </c>
      <c r="G1823" s="44">
        <f t="shared" si="1286"/>
        <v>0</v>
      </c>
      <c r="H1823" s="44">
        <f t="shared" si="1287"/>
        <v>0</v>
      </c>
      <c r="I1823" s="43">
        <f t="shared" si="1288"/>
        <v>0</v>
      </c>
      <c r="J1823" s="112">
        <f t="shared" si="1289"/>
        <v>0</v>
      </c>
      <c r="K1823" s="211">
        <f t="shared" si="1290"/>
        <v>0</v>
      </c>
      <c r="L1823" s="44"/>
      <c r="M1823" s="44">
        <f t="shared" si="1296"/>
        <v>0</v>
      </c>
      <c r="N1823" s="173">
        <f t="shared" si="1291"/>
        <v>0</v>
      </c>
      <c r="O1823" s="44">
        <f t="shared" si="1292"/>
        <v>0</v>
      </c>
      <c r="P1823" s="44">
        <f t="shared" si="1293"/>
        <v>0</v>
      </c>
      <c r="Q1823" s="44">
        <f t="shared" si="1294"/>
        <v>0</v>
      </c>
      <c r="R1823" s="44">
        <f t="shared" si="1297"/>
        <v>0</v>
      </c>
      <c r="S1823" s="123"/>
      <c r="T1823" s="219">
        <f t="shared" si="1298"/>
        <v>0</v>
      </c>
      <c r="U1823" s="87"/>
      <c r="V1823" s="47"/>
      <c r="W1823" s="48"/>
      <c r="X1823" s="48"/>
      <c r="Y1823" s="48"/>
      <c r="Z1823" s="135"/>
      <c r="AA1823" s="49"/>
      <c r="AB1823" s="50">
        <f t="shared" si="1295"/>
        <v>0</v>
      </c>
      <c r="AC1823" s="42">
        <f t="shared" si="1299"/>
        <v>9.9999999999999998E-20</v>
      </c>
      <c r="AD1823" s="90"/>
      <c r="AE1823" s="188"/>
      <c r="AF1823" s="189"/>
      <c r="AG1823" s="189"/>
      <c r="AH1823" s="189"/>
      <c r="AI1823" s="161"/>
    </row>
    <row r="1824" spans="1:41" s="306" customFormat="1" ht="105" x14ac:dyDescent="0.25">
      <c r="A1824" s="287" t="s">
        <v>216</v>
      </c>
      <c r="B1824" s="288"/>
      <c r="C1824" s="286" t="s">
        <v>386</v>
      </c>
      <c r="D1824" s="289"/>
      <c r="E1824" s="290"/>
      <c r="F1824" s="291"/>
      <c r="G1824" s="291">
        <f t="shared" si="1286"/>
        <v>0</v>
      </c>
      <c r="H1824" s="291">
        <f t="shared" si="1287"/>
        <v>0</v>
      </c>
      <c r="I1824" s="292">
        <f t="shared" si="1288"/>
        <v>0</v>
      </c>
      <c r="J1824" s="290">
        <f t="shared" si="1289"/>
        <v>0</v>
      </c>
      <c r="K1824" s="293">
        <f t="shared" si="1290"/>
        <v>0</v>
      </c>
      <c r="L1824" s="291"/>
      <c r="M1824" s="291">
        <f t="shared" si="1296"/>
        <v>0</v>
      </c>
      <c r="N1824" s="294">
        <f t="shared" si="1291"/>
        <v>0</v>
      </c>
      <c r="O1824" s="291">
        <f t="shared" si="1292"/>
        <v>0</v>
      </c>
      <c r="P1824" s="291">
        <f t="shared" si="1293"/>
        <v>0</v>
      </c>
      <c r="Q1824" s="291">
        <f t="shared" si="1294"/>
        <v>0</v>
      </c>
      <c r="R1824" s="291">
        <f t="shared" si="1297"/>
        <v>0</v>
      </c>
      <c r="S1824" s="291"/>
      <c r="T1824" s="295">
        <f t="shared" si="1298"/>
        <v>0</v>
      </c>
      <c r="U1824" s="296"/>
      <c r="V1824" s="297"/>
      <c r="W1824" s="298"/>
      <c r="X1824" s="299"/>
      <c r="Y1824" s="300"/>
      <c r="Z1824" s="301"/>
      <c r="AA1824" s="300"/>
      <c r="AB1824" s="300">
        <f t="shared" si="1295"/>
        <v>0</v>
      </c>
      <c r="AC1824" s="300">
        <f t="shared" si="1299"/>
        <v>9.9999999999999998E-20</v>
      </c>
      <c r="AD1824" s="302"/>
      <c r="AE1824" s="303"/>
      <c r="AF1824" s="304"/>
      <c r="AG1824" s="304"/>
      <c r="AH1824" s="304"/>
      <c r="AI1824" s="305"/>
      <c r="AK1824" s="307"/>
    </row>
    <row r="1825" spans="1:41" ht="20.100000000000001" customHeight="1" x14ac:dyDescent="0.25">
      <c r="A1825" s="277" t="s">
        <v>216</v>
      </c>
      <c r="B1825" s="278"/>
      <c r="C1825" s="64" t="s">
        <v>387</v>
      </c>
      <c r="D1825" s="46" t="s">
        <v>215</v>
      </c>
      <c r="E1825" s="114">
        <v>87.124999999999716</v>
      </c>
      <c r="F1825" s="44">
        <v>755</v>
      </c>
      <c r="G1825" s="44">
        <f t="shared" si="1286"/>
        <v>65779.374999999782</v>
      </c>
      <c r="H1825" s="44">
        <f t="shared" si="1287"/>
        <v>675</v>
      </c>
      <c r="I1825" s="43">
        <f t="shared" si="1288"/>
        <v>58809.374999999811</v>
      </c>
      <c r="J1825" s="112">
        <f t="shared" si="1289"/>
        <v>87.124999999999716</v>
      </c>
      <c r="K1825" s="211">
        <f t="shared" si="1290"/>
        <v>87.124999999999716</v>
      </c>
      <c r="L1825" s="44"/>
      <c r="M1825" s="44">
        <f t="shared" si="1296"/>
        <v>87.124999999999716</v>
      </c>
      <c r="N1825" s="173">
        <f t="shared" si="1291"/>
        <v>1</v>
      </c>
      <c r="O1825" s="44">
        <f t="shared" si="1292"/>
        <v>755</v>
      </c>
      <c r="P1825" s="44">
        <f t="shared" si="1293"/>
        <v>65779.374999999782</v>
      </c>
      <c r="Q1825" s="44">
        <f t="shared" si="1294"/>
        <v>675</v>
      </c>
      <c r="R1825" s="44">
        <f t="shared" si="1297"/>
        <v>58809.374999999811</v>
      </c>
      <c r="S1825" s="123"/>
      <c r="T1825" s="219">
        <f t="shared" si="1298"/>
        <v>58809.374999999811</v>
      </c>
      <c r="U1825" s="87"/>
      <c r="V1825" s="47"/>
      <c r="W1825" s="48"/>
      <c r="X1825" s="48"/>
      <c r="Y1825" s="48"/>
      <c r="Z1825" s="135"/>
      <c r="AA1825" s="49"/>
      <c r="AB1825" s="50">
        <f t="shared" si="1295"/>
        <v>675</v>
      </c>
      <c r="AC1825" s="42">
        <f t="shared" si="1299"/>
        <v>87.124999999999716</v>
      </c>
      <c r="AD1825" s="90">
        <f>AD1826</f>
        <v>58809.374999999811</v>
      </c>
      <c r="AE1825" s="188">
        <f t="shared" ref="AE1825:AH1825" si="1322">AE1826</f>
        <v>0</v>
      </c>
      <c r="AF1825" s="189">
        <f t="shared" si="1322"/>
        <v>0</v>
      </c>
      <c r="AG1825" s="189">
        <f t="shared" si="1322"/>
        <v>0</v>
      </c>
      <c r="AH1825" s="189">
        <f t="shared" si="1322"/>
        <v>0</v>
      </c>
      <c r="AI1825" s="161">
        <f t="shared" ref="AI1825:AI1830" si="1323">SUM(AE1825:AH1825)</f>
        <v>0</v>
      </c>
      <c r="AK1825" s="169">
        <v>5</v>
      </c>
      <c r="AO1825" s="19" t="s">
        <v>63</v>
      </c>
    </row>
    <row r="1826" spans="1:41" s="103" customFormat="1" ht="19.899999999999999" customHeight="1" x14ac:dyDescent="0.25">
      <c r="A1826" s="51"/>
      <c r="B1826" s="52"/>
      <c r="C1826" s="165"/>
      <c r="D1826" s="52"/>
      <c r="E1826" s="115"/>
      <c r="F1826" s="58"/>
      <c r="G1826" s="58"/>
      <c r="H1826" s="58"/>
      <c r="I1826" s="55"/>
      <c r="J1826" s="113">
        <f>J1825</f>
        <v>87.124999999999716</v>
      </c>
      <c r="K1826" s="212">
        <f>K1825</f>
        <v>87.124999999999716</v>
      </c>
      <c r="L1826" s="58"/>
      <c r="M1826" s="58">
        <f>K1826-L1826</f>
        <v>87.124999999999716</v>
      </c>
      <c r="N1826" s="166"/>
      <c r="O1826" s="58"/>
      <c r="P1826" s="58"/>
      <c r="Q1826" s="58"/>
      <c r="R1826" s="58"/>
      <c r="S1826" s="58"/>
      <c r="T1826" s="220"/>
      <c r="U1826" s="88"/>
      <c r="V1826" s="56"/>
      <c r="W1826" s="57" t="s">
        <v>1373</v>
      </c>
      <c r="X1826" s="53"/>
      <c r="Y1826" s="91" t="s">
        <v>35</v>
      </c>
      <c r="Z1826" s="136">
        <f>AD1826/AC1826</f>
        <v>675</v>
      </c>
      <c r="AA1826" s="58"/>
      <c r="AB1826" s="53">
        <f>AD1826/AC1826</f>
        <v>675</v>
      </c>
      <c r="AC1826" s="53">
        <f>M1826+$AE$10</f>
        <v>87.124999999999716</v>
      </c>
      <c r="AD1826" s="54">
        <f>SUM(AD1827:AD1829)</f>
        <v>58809.374999999811</v>
      </c>
      <c r="AE1826" s="184">
        <f>SUMIFS($AD$37:$AD$12971,$V$37:$V$12971,$V1826,$X$37:$X$12971,AE$13)</f>
        <v>0</v>
      </c>
      <c r="AF1826" s="185">
        <f>SUMIFS($AD$37:$AD$12971,$V$37:$V$12971,$V1826,$X$37:$X$12971,AF$13)</f>
        <v>0</v>
      </c>
      <c r="AG1826" s="185">
        <f>SUMIFS($AD$37:$AD$12971,$V$37:$V$12971,$V1826,$X$37:$X$12971,AG$13)</f>
        <v>0</v>
      </c>
      <c r="AH1826" s="187">
        <f>SUMIFS($AD$37:$AD$12971,$V$37:$V$12971,$V1826,$X$37:$X$12971,AH$13)</f>
        <v>0</v>
      </c>
      <c r="AI1826" s="161">
        <f t="shared" ref="AI1826" si="1324">SUM(AE1826:AH1826)</f>
        <v>0</v>
      </c>
      <c r="AK1826" s="172"/>
    </row>
    <row r="1827" spans="1:41" s="102" customFormat="1" ht="19.899999999999999" customHeight="1" x14ac:dyDescent="0.25">
      <c r="A1827" s="45"/>
      <c r="B1827" s="59"/>
      <c r="C1827" s="137"/>
      <c r="D1827" s="59"/>
      <c r="E1827" s="116"/>
      <c r="F1827" s="120"/>
      <c r="G1827" s="120"/>
      <c r="H1827" s="120"/>
      <c r="I1827" s="60"/>
      <c r="J1827" s="116"/>
      <c r="K1827" s="213"/>
      <c r="L1827" s="120"/>
      <c r="M1827" s="120"/>
      <c r="N1827" s="167"/>
      <c r="O1827" s="120"/>
      <c r="P1827" s="120"/>
      <c r="Q1827" s="120"/>
      <c r="R1827" s="120"/>
      <c r="S1827" s="120"/>
      <c r="T1827" s="221"/>
      <c r="U1827" s="89"/>
      <c r="V1827" s="61"/>
      <c r="W1827" s="92" t="s">
        <v>1353</v>
      </c>
      <c r="X1827" s="93" t="s">
        <v>30</v>
      </c>
      <c r="Y1827" s="93" t="s">
        <v>66</v>
      </c>
      <c r="Z1827" s="134">
        <f>VLOOKUP(W1827,Sheet2!$B:$D,3,FALSE)</f>
        <v>350</v>
      </c>
      <c r="AA1827" s="93">
        <f>1/0.75</f>
        <v>1.3333333333333333</v>
      </c>
      <c r="AB1827" s="93">
        <f>AD1827/AC1826</f>
        <v>262.5</v>
      </c>
      <c r="AC1827" s="93">
        <f>AC1826/AA1827</f>
        <v>65.343749999999787</v>
      </c>
      <c r="AD1827" s="94">
        <f t="shared" ref="AD1827:AD1828" si="1325">AC1827*Z1827</f>
        <v>22870.312499999924</v>
      </c>
      <c r="AE1827" s="190"/>
      <c r="AF1827" s="191"/>
      <c r="AG1827" s="191"/>
      <c r="AH1827" s="191"/>
      <c r="AI1827" s="186"/>
      <c r="AK1827" s="171"/>
    </row>
    <row r="1828" spans="1:41" s="102" customFormat="1" ht="19.899999999999999" customHeight="1" x14ac:dyDescent="0.25">
      <c r="A1828" s="45"/>
      <c r="B1828" s="59"/>
      <c r="C1828" s="137"/>
      <c r="D1828" s="59"/>
      <c r="E1828" s="116"/>
      <c r="F1828" s="120"/>
      <c r="G1828" s="120"/>
      <c r="H1828" s="120"/>
      <c r="I1828" s="60"/>
      <c r="J1828" s="116"/>
      <c r="K1828" s="213"/>
      <c r="L1828" s="120"/>
      <c r="M1828" s="120"/>
      <c r="N1828" s="167"/>
      <c r="O1828" s="120"/>
      <c r="P1828" s="120"/>
      <c r="Q1828" s="120"/>
      <c r="R1828" s="120"/>
      <c r="S1828" s="120"/>
      <c r="T1828" s="221"/>
      <c r="U1828" s="89"/>
      <c r="V1828" s="61"/>
      <c r="W1828" s="92" t="s">
        <v>99</v>
      </c>
      <c r="X1828" s="93" t="s">
        <v>30</v>
      </c>
      <c r="Y1828" s="93" t="s">
        <v>67</v>
      </c>
      <c r="Z1828" s="134">
        <f>VLOOKUP(W1828,Sheet2!$B:$D,3,FALSE)</f>
        <v>2500</v>
      </c>
      <c r="AA1828" s="93">
        <f>AA1827/0.08</f>
        <v>16.666666666666664</v>
      </c>
      <c r="AB1828" s="93">
        <f>AD1828/AC1826</f>
        <v>150.00000000000003</v>
      </c>
      <c r="AC1828" s="93">
        <f>AC1826/AA1828</f>
        <v>5.227499999999984</v>
      </c>
      <c r="AD1828" s="94">
        <f t="shared" si="1325"/>
        <v>13068.74999999996</v>
      </c>
      <c r="AE1828" s="190"/>
      <c r="AF1828" s="191"/>
      <c r="AG1828" s="191"/>
      <c r="AH1828" s="191"/>
      <c r="AI1828" s="186"/>
      <c r="AK1828" s="171"/>
    </row>
    <row r="1829" spans="1:41" s="102" customFormat="1" ht="19.899999999999999" customHeight="1" x14ac:dyDescent="0.25">
      <c r="A1829" s="45"/>
      <c r="B1829" s="59"/>
      <c r="C1829" s="137"/>
      <c r="D1829" s="59"/>
      <c r="E1829" s="116"/>
      <c r="F1829" s="120"/>
      <c r="G1829" s="120"/>
      <c r="H1829" s="120"/>
      <c r="I1829" s="60"/>
      <c r="J1829" s="116"/>
      <c r="K1829" s="213"/>
      <c r="L1829" s="120"/>
      <c r="M1829" s="120"/>
      <c r="N1829" s="167"/>
      <c r="O1829" s="120"/>
      <c r="P1829" s="120"/>
      <c r="Q1829" s="120"/>
      <c r="R1829" s="120"/>
      <c r="S1829" s="120"/>
      <c r="T1829" s="221"/>
      <c r="U1829" s="89"/>
      <c r="V1829" s="61"/>
      <c r="W1829" s="92" t="s">
        <v>1378</v>
      </c>
      <c r="X1829" s="93" t="s">
        <v>32</v>
      </c>
      <c r="Y1829" s="93" t="s">
        <v>66</v>
      </c>
      <c r="Z1829" s="134">
        <f>VLOOKUP(W1829,Sheet2!$B:$D,3,FALSE)</f>
        <v>350</v>
      </c>
      <c r="AA1829" s="93">
        <f>AA1827</f>
        <v>1.3333333333333333</v>
      </c>
      <c r="AB1829" s="93">
        <f>AD1829/AC1826</f>
        <v>262.5</v>
      </c>
      <c r="AC1829" s="93">
        <f>AC1826/AA1829</f>
        <v>65.343749999999787</v>
      </c>
      <c r="AD1829" s="94">
        <f>AC1829*Z1829</f>
        <v>22870.312499999924</v>
      </c>
      <c r="AE1829" s="190"/>
      <c r="AF1829" s="191"/>
      <c r="AG1829" s="191"/>
      <c r="AH1829" s="191"/>
      <c r="AI1829" s="186"/>
      <c r="AK1829" s="171"/>
    </row>
    <row r="1830" spans="1:41" ht="20.100000000000001" customHeight="1" x14ac:dyDescent="0.25">
      <c r="A1830" s="277" t="s">
        <v>216</v>
      </c>
      <c r="B1830" s="278"/>
      <c r="C1830" s="64" t="s">
        <v>388</v>
      </c>
      <c r="D1830" s="46" t="s">
        <v>215</v>
      </c>
      <c r="E1830" s="114">
        <v>59.575000000000045</v>
      </c>
      <c r="F1830" s="44">
        <v>1133</v>
      </c>
      <c r="G1830" s="44">
        <f t="shared" si="1286"/>
        <v>67498.475000000049</v>
      </c>
      <c r="H1830" s="44">
        <f t="shared" si="1287"/>
        <v>1350.0000000000002</v>
      </c>
      <c r="I1830" s="43">
        <f t="shared" si="1288"/>
        <v>80426.250000000073</v>
      </c>
      <c r="J1830" s="112">
        <f t="shared" si="1289"/>
        <v>59.575000000000045</v>
      </c>
      <c r="K1830" s="211">
        <f t="shared" si="1290"/>
        <v>59.575000000000045</v>
      </c>
      <c r="L1830" s="44"/>
      <c r="M1830" s="44">
        <f t="shared" si="1296"/>
        <v>59.575000000000045</v>
      </c>
      <c r="N1830" s="173">
        <f t="shared" si="1291"/>
        <v>1</v>
      </c>
      <c r="O1830" s="44">
        <f t="shared" si="1292"/>
        <v>1133</v>
      </c>
      <c r="P1830" s="44">
        <f t="shared" si="1293"/>
        <v>67498.475000000049</v>
      </c>
      <c r="Q1830" s="44">
        <f t="shared" si="1294"/>
        <v>1350.0000000000002</v>
      </c>
      <c r="R1830" s="44">
        <f t="shared" si="1297"/>
        <v>80426.250000000073</v>
      </c>
      <c r="S1830" s="123"/>
      <c r="T1830" s="219">
        <f t="shared" si="1298"/>
        <v>80426.250000000073</v>
      </c>
      <c r="U1830" s="87"/>
      <c r="V1830" s="47"/>
      <c r="W1830" s="48"/>
      <c r="X1830" s="48"/>
      <c r="Y1830" s="48"/>
      <c r="Z1830" s="135"/>
      <c r="AA1830" s="49"/>
      <c r="AB1830" s="50">
        <f t="shared" si="1295"/>
        <v>1350.0000000000002</v>
      </c>
      <c r="AC1830" s="42">
        <f t="shared" si="1299"/>
        <v>59.575000000000045</v>
      </c>
      <c r="AD1830" s="90">
        <f>AD1831</f>
        <v>80426.250000000073</v>
      </c>
      <c r="AE1830" s="188">
        <f t="shared" ref="AE1830" si="1326">AE1831</f>
        <v>0</v>
      </c>
      <c r="AF1830" s="189">
        <f t="shared" ref="AF1830" si="1327">AF1831</f>
        <v>0</v>
      </c>
      <c r="AG1830" s="189">
        <f t="shared" ref="AG1830" si="1328">AG1831</f>
        <v>0</v>
      </c>
      <c r="AH1830" s="189">
        <f t="shared" ref="AH1830" si="1329">AH1831</f>
        <v>0</v>
      </c>
      <c r="AI1830" s="161">
        <f t="shared" si="1323"/>
        <v>0</v>
      </c>
      <c r="AK1830" s="169">
        <v>5</v>
      </c>
      <c r="AO1830" s="19" t="s">
        <v>63</v>
      </c>
    </row>
    <row r="1831" spans="1:41" s="103" customFormat="1" ht="19.899999999999999" customHeight="1" x14ac:dyDescent="0.25">
      <c r="A1831" s="51"/>
      <c r="B1831" s="52"/>
      <c r="C1831" s="165"/>
      <c r="D1831" s="52"/>
      <c r="E1831" s="115"/>
      <c r="F1831" s="58"/>
      <c r="G1831" s="58"/>
      <c r="H1831" s="58"/>
      <c r="I1831" s="55"/>
      <c r="J1831" s="113">
        <f>J1830</f>
        <v>59.575000000000045</v>
      </c>
      <c r="K1831" s="212">
        <f>K1830</f>
        <v>59.575000000000045</v>
      </c>
      <c r="L1831" s="58"/>
      <c r="M1831" s="58">
        <f>K1831-L1831</f>
        <v>59.575000000000045</v>
      </c>
      <c r="N1831" s="166"/>
      <c r="O1831" s="58"/>
      <c r="P1831" s="58"/>
      <c r="Q1831" s="58"/>
      <c r="R1831" s="58"/>
      <c r="S1831" s="58"/>
      <c r="T1831" s="220"/>
      <c r="U1831" s="88"/>
      <c r="V1831" s="56"/>
      <c r="W1831" s="57" t="s">
        <v>1374</v>
      </c>
      <c r="X1831" s="53"/>
      <c r="Y1831" s="91" t="s">
        <v>35</v>
      </c>
      <c r="Z1831" s="136">
        <f>AD1831/AC1831</f>
        <v>1350.0000000000002</v>
      </c>
      <c r="AA1831" s="58"/>
      <c r="AB1831" s="53">
        <f>AD1831/AC1831</f>
        <v>1350.0000000000002</v>
      </c>
      <c r="AC1831" s="53">
        <f>M1831+$AE$10</f>
        <v>59.575000000000045</v>
      </c>
      <c r="AD1831" s="54">
        <f>SUM(AD1832:AD1834)</f>
        <v>80426.250000000073</v>
      </c>
      <c r="AE1831" s="184">
        <f>SUMIFS($AD$37:$AD$12971,$V$37:$V$12971,$V1831,$X$37:$X$12971,AE$13)</f>
        <v>0</v>
      </c>
      <c r="AF1831" s="185">
        <f>SUMIFS($AD$37:$AD$12971,$V$37:$V$12971,$V1831,$X$37:$X$12971,AF$13)</f>
        <v>0</v>
      </c>
      <c r="AG1831" s="185">
        <f>SUMIFS($AD$37:$AD$12971,$V$37:$V$12971,$V1831,$X$37:$X$12971,AG$13)</f>
        <v>0</v>
      </c>
      <c r="AH1831" s="187">
        <f>SUMIFS($AD$37:$AD$12971,$V$37:$V$12971,$V1831,$X$37:$X$12971,AH$13)</f>
        <v>0</v>
      </c>
      <c r="AI1831" s="161">
        <f t="shared" ref="AI1831" si="1330">SUM(AE1831:AH1831)</f>
        <v>0</v>
      </c>
      <c r="AK1831" s="172"/>
    </row>
    <row r="1832" spans="1:41" s="102" customFormat="1" ht="19.899999999999999" customHeight="1" x14ac:dyDescent="0.25">
      <c r="A1832" s="45"/>
      <c r="B1832" s="59"/>
      <c r="C1832" s="137"/>
      <c r="D1832" s="59"/>
      <c r="E1832" s="116"/>
      <c r="F1832" s="120"/>
      <c r="G1832" s="120"/>
      <c r="H1832" s="120"/>
      <c r="I1832" s="60"/>
      <c r="J1832" s="116"/>
      <c r="K1832" s="213"/>
      <c r="L1832" s="120"/>
      <c r="M1832" s="120"/>
      <c r="N1832" s="167"/>
      <c r="O1832" s="120"/>
      <c r="P1832" s="120"/>
      <c r="Q1832" s="120"/>
      <c r="R1832" s="120"/>
      <c r="S1832" s="120"/>
      <c r="T1832" s="221"/>
      <c r="U1832" s="89"/>
      <c r="V1832" s="61"/>
      <c r="W1832" s="92" t="s">
        <v>1353</v>
      </c>
      <c r="X1832" s="93" t="s">
        <v>30</v>
      </c>
      <c r="Y1832" s="93" t="s">
        <v>66</v>
      </c>
      <c r="Z1832" s="134">
        <f>VLOOKUP(W1832,Sheet2!$B:$D,3,FALSE)</f>
        <v>350</v>
      </c>
      <c r="AA1832" s="93">
        <f>1/1.5</f>
        <v>0.66666666666666663</v>
      </c>
      <c r="AB1832" s="93">
        <f>AD1832/AC1831</f>
        <v>525</v>
      </c>
      <c r="AC1832" s="93">
        <f>AC1831/AA1832</f>
        <v>89.362500000000068</v>
      </c>
      <c r="AD1832" s="94">
        <f t="shared" ref="AD1832:AD1833" si="1331">AC1832*Z1832</f>
        <v>31276.875000000025</v>
      </c>
      <c r="AE1832" s="190"/>
      <c r="AF1832" s="191"/>
      <c r="AG1832" s="191"/>
      <c r="AH1832" s="191"/>
      <c r="AI1832" s="186"/>
      <c r="AK1832" s="171"/>
    </row>
    <row r="1833" spans="1:41" s="102" customFormat="1" ht="19.899999999999999" customHeight="1" x14ac:dyDescent="0.25">
      <c r="A1833" s="45"/>
      <c r="B1833" s="59"/>
      <c r="C1833" s="137"/>
      <c r="D1833" s="59"/>
      <c r="E1833" s="116"/>
      <c r="F1833" s="120"/>
      <c r="G1833" s="120"/>
      <c r="H1833" s="120"/>
      <c r="I1833" s="60"/>
      <c r="J1833" s="116"/>
      <c r="K1833" s="213"/>
      <c r="L1833" s="120"/>
      <c r="M1833" s="120"/>
      <c r="N1833" s="167"/>
      <c r="O1833" s="120"/>
      <c r="P1833" s="120"/>
      <c r="Q1833" s="120"/>
      <c r="R1833" s="120"/>
      <c r="S1833" s="120"/>
      <c r="T1833" s="221"/>
      <c r="U1833" s="89"/>
      <c r="V1833" s="61"/>
      <c r="W1833" s="92" t="s">
        <v>99</v>
      </c>
      <c r="X1833" s="93" t="s">
        <v>30</v>
      </c>
      <c r="Y1833" s="93" t="s">
        <v>67</v>
      </c>
      <c r="Z1833" s="134">
        <f>VLOOKUP(W1833,Sheet2!$B:$D,3,FALSE)</f>
        <v>2500</v>
      </c>
      <c r="AA1833" s="93">
        <f>AA1832/0.08</f>
        <v>8.3333333333333321</v>
      </c>
      <c r="AB1833" s="93">
        <f>AD1833/AC1831</f>
        <v>300</v>
      </c>
      <c r="AC1833" s="93">
        <f>AC1831/AA1833</f>
        <v>7.1490000000000062</v>
      </c>
      <c r="AD1833" s="94">
        <f t="shared" si="1331"/>
        <v>17872.500000000015</v>
      </c>
      <c r="AE1833" s="190"/>
      <c r="AF1833" s="191"/>
      <c r="AG1833" s="191"/>
      <c r="AH1833" s="191"/>
      <c r="AI1833" s="186"/>
      <c r="AK1833" s="171"/>
    </row>
    <row r="1834" spans="1:41" s="102" customFormat="1" ht="19.899999999999999" customHeight="1" x14ac:dyDescent="0.25">
      <c r="A1834" s="45"/>
      <c r="B1834" s="59"/>
      <c r="C1834" s="137"/>
      <c r="D1834" s="59"/>
      <c r="E1834" s="116"/>
      <c r="F1834" s="120"/>
      <c r="G1834" s="120"/>
      <c r="H1834" s="120"/>
      <c r="I1834" s="60"/>
      <c r="J1834" s="116"/>
      <c r="K1834" s="213"/>
      <c r="L1834" s="120"/>
      <c r="M1834" s="120"/>
      <c r="N1834" s="167"/>
      <c r="O1834" s="120"/>
      <c r="P1834" s="120"/>
      <c r="Q1834" s="120"/>
      <c r="R1834" s="120"/>
      <c r="S1834" s="120"/>
      <c r="T1834" s="221"/>
      <c r="U1834" s="89"/>
      <c r="V1834" s="61"/>
      <c r="W1834" s="92" t="s">
        <v>1378</v>
      </c>
      <c r="X1834" s="93" t="s">
        <v>32</v>
      </c>
      <c r="Y1834" s="93" t="s">
        <v>66</v>
      </c>
      <c r="Z1834" s="134">
        <f>VLOOKUP(W1834,Sheet2!$B:$D,3,FALSE)</f>
        <v>350</v>
      </c>
      <c r="AA1834" s="93">
        <f>AA1832</f>
        <v>0.66666666666666663</v>
      </c>
      <c r="AB1834" s="93">
        <f>AD1834/AC1831</f>
        <v>525</v>
      </c>
      <c r="AC1834" s="93">
        <f>AC1831/AA1834</f>
        <v>89.362500000000068</v>
      </c>
      <c r="AD1834" s="94">
        <f>AC1834*Z1834</f>
        <v>31276.875000000025</v>
      </c>
      <c r="AE1834" s="190"/>
      <c r="AF1834" s="191"/>
      <c r="AG1834" s="191"/>
      <c r="AH1834" s="191"/>
      <c r="AI1834" s="186"/>
      <c r="AK1834" s="171"/>
    </row>
    <row r="1835" spans="1:41" ht="20.100000000000001" customHeight="1" x14ac:dyDescent="0.25">
      <c r="A1835" s="277" t="s">
        <v>216</v>
      </c>
      <c r="B1835" s="278"/>
      <c r="C1835" s="64" t="s">
        <v>389</v>
      </c>
      <c r="D1835" s="46" t="s">
        <v>215</v>
      </c>
      <c r="E1835" s="114">
        <v>28.600000000000009</v>
      </c>
      <c r="F1835" s="44">
        <v>4249</v>
      </c>
      <c r="G1835" s="44">
        <f t="shared" si="1286"/>
        <v>121521.40000000004</v>
      </c>
      <c r="H1835" s="44">
        <f t="shared" si="1287"/>
        <v>2700</v>
      </c>
      <c r="I1835" s="43">
        <f t="shared" si="1288"/>
        <v>77220.000000000029</v>
      </c>
      <c r="J1835" s="112">
        <f t="shared" si="1289"/>
        <v>28.600000000000009</v>
      </c>
      <c r="K1835" s="211">
        <f t="shared" si="1290"/>
        <v>28.600000000000009</v>
      </c>
      <c r="L1835" s="44"/>
      <c r="M1835" s="44">
        <f t="shared" si="1296"/>
        <v>28.600000000000009</v>
      </c>
      <c r="N1835" s="173">
        <f t="shared" si="1291"/>
        <v>1</v>
      </c>
      <c r="O1835" s="44">
        <f t="shared" si="1292"/>
        <v>4249</v>
      </c>
      <c r="P1835" s="44">
        <f t="shared" si="1293"/>
        <v>121521.40000000004</v>
      </c>
      <c r="Q1835" s="44">
        <f t="shared" si="1294"/>
        <v>2700</v>
      </c>
      <c r="R1835" s="44">
        <f t="shared" si="1297"/>
        <v>77220.000000000029</v>
      </c>
      <c r="S1835" s="123"/>
      <c r="T1835" s="219">
        <f t="shared" si="1298"/>
        <v>77220.000000000029</v>
      </c>
      <c r="U1835" s="87"/>
      <c r="V1835" s="47"/>
      <c r="W1835" s="48"/>
      <c r="X1835" s="48"/>
      <c r="Y1835" s="48"/>
      <c r="Z1835" s="135"/>
      <c r="AA1835" s="49"/>
      <c r="AB1835" s="50">
        <f t="shared" si="1295"/>
        <v>2700</v>
      </c>
      <c r="AC1835" s="42">
        <f t="shared" si="1299"/>
        <v>28.600000000000009</v>
      </c>
      <c r="AD1835" s="90">
        <f>AD1836</f>
        <v>77220.000000000029</v>
      </c>
      <c r="AE1835" s="188">
        <f t="shared" ref="AE1835" si="1332">AE1836</f>
        <v>0</v>
      </c>
      <c r="AF1835" s="189">
        <f t="shared" ref="AF1835" si="1333">AF1836</f>
        <v>0</v>
      </c>
      <c r="AG1835" s="189">
        <f t="shared" ref="AG1835" si="1334">AG1836</f>
        <v>0</v>
      </c>
      <c r="AH1835" s="189">
        <f t="shared" ref="AH1835" si="1335">AH1836</f>
        <v>0</v>
      </c>
      <c r="AI1835" s="161">
        <f t="shared" ref="AI1835" si="1336">SUM(AE1835:AH1835)</f>
        <v>0</v>
      </c>
      <c r="AK1835" s="169">
        <v>5</v>
      </c>
      <c r="AO1835" s="19" t="s">
        <v>63</v>
      </c>
    </row>
    <row r="1836" spans="1:41" s="103" customFormat="1" ht="19.899999999999999" customHeight="1" x14ac:dyDescent="0.25">
      <c r="A1836" s="51"/>
      <c r="B1836" s="52"/>
      <c r="C1836" s="165"/>
      <c r="D1836" s="52"/>
      <c r="E1836" s="115"/>
      <c r="F1836" s="58"/>
      <c r="G1836" s="58"/>
      <c r="H1836" s="58"/>
      <c r="I1836" s="55"/>
      <c r="J1836" s="113">
        <f>J1835</f>
        <v>28.600000000000009</v>
      </c>
      <c r="K1836" s="212">
        <f>K1835</f>
        <v>28.600000000000009</v>
      </c>
      <c r="L1836" s="58"/>
      <c r="M1836" s="58">
        <f>K1836-L1836</f>
        <v>28.600000000000009</v>
      </c>
      <c r="N1836" s="166"/>
      <c r="O1836" s="58"/>
      <c r="P1836" s="58"/>
      <c r="Q1836" s="58"/>
      <c r="R1836" s="58"/>
      <c r="S1836" s="58"/>
      <c r="T1836" s="220"/>
      <c r="U1836" s="88"/>
      <c r="V1836" s="56"/>
      <c r="W1836" s="57" t="s">
        <v>1375</v>
      </c>
      <c r="X1836" s="53"/>
      <c r="Y1836" s="91" t="s">
        <v>35</v>
      </c>
      <c r="Z1836" s="136">
        <f>AD1836/AC1836</f>
        <v>2700</v>
      </c>
      <c r="AA1836" s="58"/>
      <c r="AB1836" s="53">
        <f>AD1836/AC1836</f>
        <v>2700</v>
      </c>
      <c r="AC1836" s="53">
        <f>M1836+$AE$10</f>
        <v>28.600000000000009</v>
      </c>
      <c r="AD1836" s="54">
        <f>SUM(AD1837:AD1839)</f>
        <v>77220.000000000029</v>
      </c>
      <c r="AE1836" s="184">
        <f>SUMIFS($AD$37:$AD$12971,$V$37:$V$12971,$V1836,$X$37:$X$12971,AE$13)</f>
        <v>0</v>
      </c>
      <c r="AF1836" s="185">
        <f>SUMIFS($AD$37:$AD$12971,$V$37:$V$12971,$V1836,$X$37:$X$12971,AF$13)</f>
        <v>0</v>
      </c>
      <c r="AG1836" s="185">
        <f>SUMIFS($AD$37:$AD$12971,$V$37:$V$12971,$V1836,$X$37:$X$12971,AG$13)</f>
        <v>0</v>
      </c>
      <c r="AH1836" s="187">
        <f>SUMIFS($AD$37:$AD$12971,$V$37:$V$12971,$V1836,$X$37:$X$12971,AH$13)</f>
        <v>0</v>
      </c>
      <c r="AI1836" s="161">
        <f t="shared" ref="AI1836" si="1337">SUM(AE1836:AH1836)</f>
        <v>0</v>
      </c>
      <c r="AK1836" s="172"/>
    </row>
    <row r="1837" spans="1:41" s="102" customFormat="1" ht="19.899999999999999" customHeight="1" x14ac:dyDescent="0.25">
      <c r="A1837" s="45"/>
      <c r="B1837" s="59"/>
      <c r="C1837" s="137"/>
      <c r="D1837" s="59"/>
      <c r="E1837" s="116"/>
      <c r="F1837" s="120"/>
      <c r="G1837" s="120"/>
      <c r="H1837" s="120"/>
      <c r="I1837" s="60"/>
      <c r="J1837" s="116"/>
      <c r="K1837" s="213"/>
      <c r="L1837" s="120"/>
      <c r="M1837" s="120"/>
      <c r="N1837" s="167"/>
      <c r="O1837" s="120"/>
      <c r="P1837" s="120"/>
      <c r="Q1837" s="120"/>
      <c r="R1837" s="120"/>
      <c r="S1837" s="120"/>
      <c r="T1837" s="221"/>
      <c r="U1837" s="89"/>
      <c r="V1837" s="61"/>
      <c r="W1837" s="92" t="s">
        <v>1353</v>
      </c>
      <c r="X1837" s="93" t="s">
        <v>30</v>
      </c>
      <c r="Y1837" s="93" t="s">
        <v>66</v>
      </c>
      <c r="Z1837" s="134">
        <f>VLOOKUP(W1837,Sheet2!$B:$D,3,FALSE)</f>
        <v>350</v>
      </c>
      <c r="AA1837" s="93">
        <f>1/3</f>
        <v>0.33333333333333331</v>
      </c>
      <c r="AB1837" s="93">
        <f>AD1837/AC1836</f>
        <v>1050</v>
      </c>
      <c r="AC1837" s="93">
        <f>AC1836/AA1837</f>
        <v>85.800000000000026</v>
      </c>
      <c r="AD1837" s="94">
        <f t="shared" ref="AD1837:AD1838" si="1338">AC1837*Z1837</f>
        <v>30030.000000000007</v>
      </c>
      <c r="AE1837" s="190"/>
      <c r="AF1837" s="191"/>
      <c r="AG1837" s="191"/>
      <c r="AH1837" s="191"/>
      <c r="AI1837" s="186"/>
      <c r="AK1837" s="171"/>
    </row>
    <row r="1838" spans="1:41" s="102" customFormat="1" ht="19.899999999999999" customHeight="1" x14ac:dyDescent="0.25">
      <c r="A1838" s="45"/>
      <c r="B1838" s="59"/>
      <c r="C1838" s="137"/>
      <c r="D1838" s="59"/>
      <c r="E1838" s="116"/>
      <c r="F1838" s="120"/>
      <c r="G1838" s="120"/>
      <c r="H1838" s="120"/>
      <c r="I1838" s="60"/>
      <c r="J1838" s="116"/>
      <c r="K1838" s="213"/>
      <c r="L1838" s="120"/>
      <c r="M1838" s="120"/>
      <c r="N1838" s="167"/>
      <c r="O1838" s="120"/>
      <c r="P1838" s="120"/>
      <c r="Q1838" s="120"/>
      <c r="R1838" s="120"/>
      <c r="S1838" s="120"/>
      <c r="T1838" s="221"/>
      <c r="U1838" s="89"/>
      <c r="V1838" s="61"/>
      <c r="W1838" s="92" t="s">
        <v>99</v>
      </c>
      <c r="X1838" s="93" t="s">
        <v>30</v>
      </c>
      <c r="Y1838" s="93" t="s">
        <v>67</v>
      </c>
      <c r="Z1838" s="134">
        <f>VLOOKUP(W1838,Sheet2!$B:$D,3,FALSE)</f>
        <v>2500</v>
      </c>
      <c r="AA1838" s="93">
        <f>AA1837/0.08</f>
        <v>4.1666666666666661</v>
      </c>
      <c r="AB1838" s="93">
        <f>AD1838/AC1836</f>
        <v>600.00000000000011</v>
      </c>
      <c r="AC1838" s="93">
        <f>AC1836/AA1838</f>
        <v>6.8640000000000034</v>
      </c>
      <c r="AD1838" s="94">
        <f t="shared" si="1338"/>
        <v>17160.000000000007</v>
      </c>
      <c r="AE1838" s="190"/>
      <c r="AF1838" s="191"/>
      <c r="AG1838" s="191"/>
      <c r="AH1838" s="191"/>
      <c r="AI1838" s="186"/>
      <c r="AK1838" s="171"/>
    </row>
    <row r="1839" spans="1:41" s="102" customFormat="1" ht="19.899999999999999" customHeight="1" x14ac:dyDescent="0.25">
      <c r="A1839" s="45"/>
      <c r="B1839" s="59"/>
      <c r="C1839" s="137"/>
      <c r="D1839" s="59"/>
      <c r="E1839" s="116"/>
      <c r="F1839" s="120"/>
      <c r="G1839" s="120"/>
      <c r="H1839" s="120"/>
      <c r="I1839" s="60"/>
      <c r="J1839" s="116"/>
      <c r="K1839" s="213"/>
      <c r="L1839" s="120"/>
      <c r="M1839" s="120"/>
      <c r="N1839" s="167"/>
      <c r="O1839" s="120"/>
      <c r="P1839" s="120"/>
      <c r="Q1839" s="120"/>
      <c r="R1839" s="120"/>
      <c r="S1839" s="120"/>
      <c r="T1839" s="221"/>
      <c r="U1839" s="89"/>
      <c r="V1839" s="61"/>
      <c r="W1839" s="92" t="s">
        <v>1378</v>
      </c>
      <c r="X1839" s="93" t="s">
        <v>32</v>
      </c>
      <c r="Y1839" s="93" t="s">
        <v>66</v>
      </c>
      <c r="Z1839" s="134">
        <f>VLOOKUP(W1839,Sheet2!$B:$D,3,FALSE)</f>
        <v>350</v>
      </c>
      <c r="AA1839" s="93">
        <f>AA1837</f>
        <v>0.33333333333333331</v>
      </c>
      <c r="AB1839" s="93">
        <f>AD1839/AC1836</f>
        <v>1050</v>
      </c>
      <c r="AC1839" s="93">
        <f>AC1836/AA1839</f>
        <v>85.800000000000026</v>
      </c>
      <c r="AD1839" s="94">
        <f>AC1839*Z1839</f>
        <v>30030.000000000007</v>
      </c>
      <c r="AE1839" s="190"/>
      <c r="AF1839" s="191"/>
      <c r="AG1839" s="191"/>
      <c r="AH1839" s="191"/>
      <c r="AI1839" s="186"/>
      <c r="AK1839" s="171"/>
    </row>
    <row r="1840" spans="1:41" ht="20.100000000000001" customHeight="1" x14ac:dyDescent="0.25">
      <c r="A1840" s="277" t="s">
        <v>216</v>
      </c>
      <c r="B1840" s="278"/>
      <c r="C1840" s="64" t="s">
        <v>390</v>
      </c>
      <c r="D1840" s="46" t="s">
        <v>215</v>
      </c>
      <c r="E1840" s="114">
        <v>6.25</v>
      </c>
      <c r="F1840" s="44">
        <v>4532</v>
      </c>
      <c r="G1840" s="44">
        <f t="shared" si="1286"/>
        <v>28325</v>
      </c>
      <c r="H1840" s="44">
        <f t="shared" si="1287"/>
        <v>4500</v>
      </c>
      <c r="I1840" s="43">
        <f t="shared" si="1288"/>
        <v>28125</v>
      </c>
      <c r="J1840" s="112">
        <f t="shared" si="1289"/>
        <v>6.25</v>
      </c>
      <c r="K1840" s="211">
        <f t="shared" si="1290"/>
        <v>6.25</v>
      </c>
      <c r="L1840" s="44"/>
      <c r="M1840" s="44">
        <f t="shared" si="1296"/>
        <v>6.25</v>
      </c>
      <c r="N1840" s="173">
        <f t="shared" si="1291"/>
        <v>1</v>
      </c>
      <c r="O1840" s="44">
        <f t="shared" si="1292"/>
        <v>4532</v>
      </c>
      <c r="P1840" s="44">
        <f t="shared" si="1293"/>
        <v>28325</v>
      </c>
      <c r="Q1840" s="44">
        <f t="shared" si="1294"/>
        <v>4500</v>
      </c>
      <c r="R1840" s="44">
        <f t="shared" si="1297"/>
        <v>28125</v>
      </c>
      <c r="S1840" s="123"/>
      <c r="T1840" s="219">
        <f t="shared" si="1298"/>
        <v>28125</v>
      </c>
      <c r="U1840" s="87"/>
      <c r="V1840" s="47"/>
      <c r="W1840" s="48"/>
      <c r="X1840" s="48"/>
      <c r="Y1840" s="48"/>
      <c r="Z1840" s="135"/>
      <c r="AA1840" s="49"/>
      <c r="AB1840" s="50">
        <f t="shared" si="1295"/>
        <v>4500</v>
      </c>
      <c r="AC1840" s="42">
        <f t="shared" si="1299"/>
        <v>6.25</v>
      </c>
      <c r="AD1840" s="90">
        <f>AD1841</f>
        <v>28125</v>
      </c>
      <c r="AE1840" s="188">
        <f t="shared" ref="AE1840" si="1339">AE1841</f>
        <v>0</v>
      </c>
      <c r="AF1840" s="189">
        <f t="shared" ref="AF1840" si="1340">AF1841</f>
        <v>0</v>
      </c>
      <c r="AG1840" s="189">
        <f t="shared" ref="AG1840" si="1341">AG1841</f>
        <v>0</v>
      </c>
      <c r="AH1840" s="189">
        <f t="shared" ref="AH1840" si="1342">AH1841</f>
        <v>0</v>
      </c>
      <c r="AI1840" s="161">
        <f t="shared" ref="AI1840" si="1343">SUM(AE1840:AH1840)</f>
        <v>0</v>
      </c>
      <c r="AK1840" s="169">
        <v>5</v>
      </c>
      <c r="AO1840" s="19" t="s">
        <v>63</v>
      </c>
    </row>
    <row r="1841" spans="1:41" s="103" customFormat="1" ht="19.899999999999999" customHeight="1" x14ac:dyDescent="0.25">
      <c r="A1841" s="51"/>
      <c r="B1841" s="52"/>
      <c r="C1841" s="165"/>
      <c r="D1841" s="52"/>
      <c r="E1841" s="115"/>
      <c r="F1841" s="58"/>
      <c r="G1841" s="58"/>
      <c r="H1841" s="58"/>
      <c r="I1841" s="55"/>
      <c r="J1841" s="113">
        <f>J1840</f>
        <v>6.25</v>
      </c>
      <c r="K1841" s="212">
        <f>K1840</f>
        <v>6.25</v>
      </c>
      <c r="L1841" s="58"/>
      <c r="M1841" s="58">
        <f>K1841-L1841</f>
        <v>6.25</v>
      </c>
      <c r="N1841" s="166"/>
      <c r="O1841" s="58"/>
      <c r="P1841" s="58"/>
      <c r="Q1841" s="58"/>
      <c r="R1841" s="58"/>
      <c r="S1841" s="58"/>
      <c r="T1841" s="220"/>
      <c r="U1841" s="88"/>
      <c r="V1841" s="56"/>
      <c r="W1841" s="57" t="s">
        <v>1376</v>
      </c>
      <c r="X1841" s="53"/>
      <c r="Y1841" s="91" t="s">
        <v>35</v>
      </c>
      <c r="Z1841" s="136">
        <f>AD1841/AC1841</f>
        <v>4500</v>
      </c>
      <c r="AA1841" s="58"/>
      <c r="AB1841" s="53">
        <f>AD1841/AC1841</f>
        <v>4500</v>
      </c>
      <c r="AC1841" s="53">
        <f>M1841+$AE$10</f>
        <v>6.25</v>
      </c>
      <c r="AD1841" s="54">
        <f>SUM(AD1842:AD1844)</f>
        <v>28125</v>
      </c>
      <c r="AE1841" s="184">
        <f>SUMIFS($AD$37:$AD$12971,$V$37:$V$12971,$V1841,$X$37:$X$12971,AE$13)</f>
        <v>0</v>
      </c>
      <c r="AF1841" s="185">
        <f>SUMIFS($AD$37:$AD$12971,$V$37:$V$12971,$V1841,$X$37:$X$12971,AF$13)</f>
        <v>0</v>
      </c>
      <c r="AG1841" s="185">
        <f>SUMIFS($AD$37:$AD$12971,$V$37:$V$12971,$V1841,$X$37:$X$12971,AG$13)</f>
        <v>0</v>
      </c>
      <c r="AH1841" s="187">
        <f>SUMIFS($AD$37:$AD$12971,$V$37:$V$12971,$V1841,$X$37:$X$12971,AH$13)</f>
        <v>0</v>
      </c>
      <c r="AI1841" s="161">
        <f t="shared" ref="AI1841" si="1344">SUM(AE1841:AH1841)</f>
        <v>0</v>
      </c>
      <c r="AK1841" s="172"/>
    </row>
    <row r="1842" spans="1:41" s="102" customFormat="1" ht="19.899999999999999" customHeight="1" x14ac:dyDescent="0.25">
      <c r="A1842" s="45"/>
      <c r="B1842" s="59"/>
      <c r="C1842" s="137"/>
      <c r="D1842" s="59"/>
      <c r="E1842" s="116"/>
      <c r="F1842" s="120"/>
      <c r="G1842" s="120"/>
      <c r="H1842" s="120"/>
      <c r="I1842" s="60"/>
      <c r="J1842" s="116"/>
      <c r="K1842" s="213"/>
      <c r="L1842" s="120"/>
      <c r="M1842" s="120"/>
      <c r="N1842" s="167"/>
      <c r="O1842" s="120"/>
      <c r="P1842" s="120"/>
      <c r="Q1842" s="120"/>
      <c r="R1842" s="120"/>
      <c r="S1842" s="120"/>
      <c r="T1842" s="221"/>
      <c r="U1842" s="89"/>
      <c r="V1842" s="61"/>
      <c r="W1842" s="92" t="s">
        <v>1353</v>
      </c>
      <c r="X1842" s="93" t="s">
        <v>30</v>
      </c>
      <c r="Y1842" s="93" t="s">
        <v>66</v>
      </c>
      <c r="Z1842" s="134">
        <f>VLOOKUP(W1842,Sheet2!$B:$D,3,FALSE)</f>
        <v>350</v>
      </c>
      <c r="AA1842" s="93">
        <f>1/5</f>
        <v>0.2</v>
      </c>
      <c r="AB1842" s="93">
        <f>AD1842/AC1841</f>
        <v>1750</v>
      </c>
      <c r="AC1842" s="93">
        <f>AC1841/AA1842</f>
        <v>31.25</v>
      </c>
      <c r="AD1842" s="94">
        <f t="shared" ref="AD1842:AD1843" si="1345">AC1842*Z1842</f>
        <v>10937.5</v>
      </c>
      <c r="AE1842" s="190"/>
      <c r="AF1842" s="191"/>
      <c r="AG1842" s="191"/>
      <c r="AH1842" s="191"/>
      <c r="AI1842" s="186"/>
      <c r="AK1842" s="171"/>
    </row>
    <row r="1843" spans="1:41" s="102" customFormat="1" ht="19.899999999999999" customHeight="1" x14ac:dyDescent="0.25">
      <c r="A1843" s="45"/>
      <c r="B1843" s="59"/>
      <c r="C1843" s="137"/>
      <c r="D1843" s="59"/>
      <c r="E1843" s="116"/>
      <c r="F1843" s="120"/>
      <c r="G1843" s="120"/>
      <c r="H1843" s="120"/>
      <c r="I1843" s="60"/>
      <c r="J1843" s="116"/>
      <c r="K1843" s="213"/>
      <c r="L1843" s="120"/>
      <c r="M1843" s="120"/>
      <c r="N1843" s="167"/>
      <c r="O1843" s="120"/>
      <c r="P1843" s="120"/>
      <c r="Q1843" s="120"/>
      <c r="R1843" s="120"/>
      <c r="S1843" s="120"/>
      <c r="T1843" s="221"/>
      <c r="U1843" s="89"/>
      <c r="V1843" s="61"/>
      <c r="W1843" s="92" t="s">
        <v>99</v>
      </c>
      <c r="X1843" s="93" t="s">
        <v>30</v>
      </c>
      <c r="Y1843" s="93" t="s">
        <v>67</v>
      </c>
      <c r="Z1843" s="134">
        <f>VLOOKUP(W1843,Sheet2!$B:$D,3,FALSE)</f>
        <v>2500</v>
      </c>
      <c r="AA1843" s="93">
        <f>AA1842/0.08</f>
        <v>2.5</v>
      </c>
      <c r="AB1843" s="93">
        <f>AD1843/AC1841</f>
        <v>1000</v>
      </c>
      <c r="AC1843" s="93">
        <f>AC1841/AA1843</f>
        <v>2.5</v>
      </c>
      <c r="AD1843" s="94">
        <f t="shared" si="1345"/>
        <v>6250</v>
      </c>
      <c r="AE1843" s="190"/>
      <c r="AF1843" s="191"/>
      <c r="AG1843" s="191"/>
      <c r="AH1843" s="191"/>
      <c r="AI1843" s="186"/>
      <c r="AK1843" s="171"/>
    </row>
    <row r="1844" spans="1:41" s="102" customFormat="1" ht="19.899999999999999" customHeight="1" x14ac:dyDescent="0.25">
      <c r="A1844" s="45"/>
      <c r="B1844" s="59"/>
      <c r="C1844" s="137"/>
      <c r="D1844" s="59"/>
      <c r="E1844" s="116"/>
      <c r="F1844" s="120"/>
      <c r="G1844" s="120"/>
      <c r="H1844" s="120"/>
      <c r="I1844" s="60"/>
      <c r="J1844" s="116"/>
      <c r="K1844" s="213"/>
      <c r="L1844" s="120"/>
      <c r="M1844" s="120"/>
      <c r="N1844" s="167"/>
      <c r="O1844" s="120"/>
      <c r="P1844" s="120"/>
      <c r="Q1844" s="120"/>
      <c r="R1844" s="120"/>
      <c r="S1844" s="120"/>
      <c r="T1844" s="221"/>
      <c r="U1844" s="89"/>
      <c r="V1844" s="61"/>
      <c r="W1844" s="92" t="s">
        <v>1378</v>
      </c>
      <c r="X1844" s="93" t="s">
        <v>32</v>
      </c>
      <c r="Y1844" s="93" t="s">
        <v>66</v>
      </c>
      <c r="Z1844" s="134">
        <f>VLOOKUP(W1844,Sheet2!$B:$D,3,FALSE)</f>
        <v>350</v>
      </c>
      <c r="AA1844" s="93">
        <f>AA1842</f>
        <v>0.2</v>
      </c>
      <c r="AB1844" s="93">
        <f>AD1844/AC1841</f>
        <v>1750</v>
      </c>
      <c r="AC1844" s="93">
        <f>AC1841/AA1844</f>
        <v>31.25</v>
      </c>
      <c r="AD1844" s="94">
        <f>AC1844*Z1844</f>
        <v>10937.5</v>
      </c>
      <c r="AE1844" s="190"/>
      <c r="AF1844" s="191"/>
      <c r="AG1844" s="191"/>
      <c r="AH1844" s="191"/>
      <c r="AI1844" s="186"/>
      <c r="AK1844" s="171"/>
    </row>
    <row r="1845" spans="1:41" ht="20.100000000000001" customHeight="1" x14ac:dyDescent="0.25">
      <c r="A1845" s="277" t="s">
        <v>216</v>
      </c>
      <c r="B1845" s="278"/>
      <c r="C1845" s="64" t="s">
        <v>391</v>
      </c>
      <c r="D1845" s="46" t="s">
        <v>215</v>
      </c>
      <c r="E1845" s="114">
        <v>27.649999999999977</v>
      </c>
      <c r="F1845" s="44">
        <v>10763</v>
      </c>
      <c r="G1845" s="44">
        <f t="shared" si="1286"/>
        <v>297596.94999999978</v>
      </c>
      <c r="H1845" s="44">
        <f t="shared" si="1287"/>
        <v>5400</v>
      </c>
      <c r="I1845" s="43">
        <f t="shared" si="1288"/>
        <v>149309.99999999988</v>
      </c>
      <c r="J1845" s="112">
        <f t="shared" si="1289"/>
        <v>27.649999999999977</v>
      </c>
      <c r="K1845" s="211">
        <f t="shared" si="1290"/>
        <v>27.649999999999977</v>
      </c>
      <c r="L1845" s="44"/>
      <c r="M1845" s="44">
        <f t="shared" si="1296"/>
        <v>27.649999999999977</v>
      </c>
      <c r="N1845" s="173">
        <f t="shared" si="1291"/>
        <v>1</v>
      </c>
      <c r="O1845" s="44">
        <f t="shared" si="1292"/>
        <v>10763</v>
      </c>
      <c r="P1845" s="44">
        <f t="shared" si="1293"/>
        <v>297596.94999999978</v>
      </c>
      <c r="Q1845" s="44">
        <f t="shared" si="1294"/>
        <v>5400</v>
      </c>
      <c r="R1845" s="44">
        <f t="shared" si="1297"/>
        <v>149309.99999999988</v>
      </c>
      <c r="S1845" s="123"/>
      <c r="T1845" s="219">
        <f t="shared" si="1298"/>
        <v>149309.99999999988</v>
      </c>
      <c r="U1845" s="87"/>
      <c r="V1845" s="47"/>
      <c r="W1845" s="48"/>
      <c r="X1845" s="48"/>
      <c r="Y1845" s="48"/>
      <c r="Z1845" s="135"/>
      <c r="AA1845" s="49"/>
      <c r="AB1845" s="50">
        <f t="shared" si="1295"/>
        <v>5400</v>
      </c>
      <c r="AC1845" s="42">
        <f t="shared" si="1299"/>
        <v>27.649999999999977</v>
      </c>
      <c r="AD1845" s="90">
        <f>AD1846</f>
        <v>149309.99999999988</v>
      </c>
      <c r="AE1845" s="188">
        <f t="shared" ref="AE1845" si="1346">AE1846</f>
        <v>0</v>
      </c>
      <c r="AF1845" s="189">
        <f t="shared" ref="AF1845" si="1347">AF1846</f>
        <v>0</v>
      </c>
      <c r="AG1845" s="189">
        <f t="shared" ref="AG1845" si="1348">AG1846</f>
        <v>0</v>
      </c>
      <c r="AH1845" s="189">
        <f t="shared" ref="AH1845" si="1349">AH1846</f>
        <v>0</v>
      </c>
      <c r="AI1845" s="161">
        <f t="shared" ref="AI1845" si="1350">SUM(AE1845:AH1845)</f>
        <v>0</v>
      </c>
      <c r="AK1845" s="169">
        <v>5</v>
      </c>
      <c r="AO1845" s="19" t="s">
        <v>63</v>
      </c>
    </row>
    <row r="1846" spans="1:41" s="103" customFormat="1" ht="19.899999999999999" customHeight="1" x14ac:dyDescent="0.25">
      <c r="A1846" s="51"/>
      <c r="B1846" s="52"/>
      <c r="C1846" s="165"/>
      <c r="D1846" s="52"/>
      <c r="E1846" s="115"/>
      <c r="F1846" s="58"/>
      <c r="G1846" s="58"/>
      <c r="H1846" s="58"/>
      <c r="I1846" s="55"/>
      <c r="J1846" s="113">
        <f>J1845</f>
        <v>27.649999999999977</v>
      </c>
      <c r="K1846" s="212">
        <f>K1845</f>
        <v>27.649999999999977</v>
      </c>
      <c r="L1846" s="58"/>
      <c r="M1846" s="58">
        <f>K1846-L1846</f>
        <v>27.649999999999977</v>
      </c>
      <c r="N1846" s="166"/>
      <c r="O1846" s="58"/>
      <c r="P1846" s="58"/>
      <c r="Q1846" s="58"/>
      <c r="R1846" s="58"/>
      <c r="S1846" s="58"/>
      <c r="T1846" s="220"/>
      <c r="U1846" s="88"/>
      <c r="V1846" s="56"/>
      <c r="W1846" s="57" t="s">
        <v>1377</v>
      </c>
      <c r="X1846" s="53"/>
      <c r="Y1846" s="91" t="s">
        <v>35</v>
      </c>
      <c r="Z1846" s="136">
        <f>AD1846/AC1846</f>
        <v>5400</v>
      </c>
      <c r="AA1846" s="58"/>
      <c r="AB1846" s="53">
        <f>AD1846/AC1846</f>
        <v>5400</v>
      </c>
      <c r="AC1846" s="53">
        <f>M1846+$AE$10</f>
        <v>27.649999999999977</v>
      </c>
      <c r="AD1846" s="54">
        <f>SUM(AD1847:AD1849)</f>
        <v>149309.99999999988</v>
      </c>
      <c r="AE1846" s="184">
        <f>SUMIFS($AD$37:$AD$12971,$V$37:$V$12971,$V1846,$X$37:$X$12971,AE$13)</f>
        <v>0</v>
      </c>
      <c r="AF1846" s="185">
        <f>SUMIFS($AD$37:$AD$12971,$V$37:$V$12971,$V1846,$X$37:$X$12971,AF$13)</f>
        <v>0</v>
      </c>
      <c r="AG1846" s="185">
        <f>SUMIFS($AD$37:$AD$12971,$V$37:$V$12971,$V1846,$X$37:$X$12971,AG$13)</f>
        <v>0</v>
      </c>
      <c r="AH1846" s="187">
        <f>SUMIFS($AD$37:$AD$12971,$V$37:$V$12971,$V1846,$X$37:$X$12971,AH$13)</f>
        <v>0</v>
      </c>
      <c r="AI1846" s="161">
        <f t="shared" ref="AI1846" si="1351">SUM(AE1846:AH1846)</f>
        <v>0</v>
      </c>
      <c r="AK1846" s="172"/>
    </row>
    <row r="1847" spans="1:41" s="102" customFormat="1" ht="19.899999999999999" customHeight="1" x14ac:dyDescent="0.25">
      <c r="A1847" s="45"/>
      <c r="B1847" s="59"/>
      <c r="C1847" s="137"/>
      <c r="D1847" s="59"/>
      <c r="E1847" s="116"/>
      <c r="F1847" s="120"/>
      <c r="G1847" s="120"/>
      <c r="H1847" s="120"/>
      <c r="I1847" s="60"/>
      <c r="J1847" s="116"/>
      <c r="K1847" s="213"/>
      <c r="L1847" s="120"/>
      <c r="M1847" s="120"/>
      <c r="N1847" s="167"/>
      <c r="O1847" s="120"/>
      <c r="P1847" s="120"/>
      <c r="Q1847" s="120"/>
      <c r="R1847" s="120"/>
      <c r="S1847" s="120"/>
      <c r="T1847" s="221"/>
      <c r="U1847" s="89"/>
      <c r="V1847" s="61"/>
      <c r="W1847" s="92" t="s">
        <v>1353</v>
      </c>
      <c r="X1847" s="93" t="s">
        <v>30</v>
      </c>
      <c r="Y1847" s="93" t="s">
        <v>66</v>
      </c>
      <c r="Z1847" s="134">
        <f>VLOOKUP(W1847,Sheet2!$B:$D,3,FALSE)</f>
        <v>350</v>
      </c>
      <c r="AA1847" s="93">
        <f>1/6</f>
        <v>0.16666666666666666</v>
      </c>
      <c r="AB1847" s="93">
        <f>AD1847/AC1846</f>
        <v>2100</v>
      </c>
      <c r="AC1847" s="93">
        <f>AC1846/AA1847</f>
        <v>165.89999999999986</v>
      </c>
      <c r="AD1847" s="94">
        <f t="shared" ref="AD1847:AD1848" si="1352">AC1847*Z1847</f>
        <v>58064.999999999949</v>
      </c>
      <c r="AE1847" s="190"/>
      <c r="AF1847" s="191"/>
      <c r="AG1847" s="191"/>
      <c r="AH1847" s="191"/>
      <c r="AI1847" s="186"/>
      <c r="AK1847" s="171"/>
    </row>
    <row r="1848" spans="1:41" s="102" customFormat="1" ht="19.899999999999999" customHeight="1" x14ac:dyDescent="0.25">
      <c r="A1848" s="45"/>
      <c r="B1848" s="59"/>
      <c r="C1848" s="137"/>
      <c r="D1848" s="59"/>
      <c r="E1848" s="116"/>
      <c r="F1848" s="120"/>
      <c r="G1848" s="120"/>
      <c r="H1848" s="120"/>
      <c r="I1848" s="60"/>
      <c r="J1848" s="116"/>
      <c r="K1848" s="213"/>
      <c r="L1848" s="120"/>
      <c r="M1848" s="120"/>
      <c r="N1848" s="167"/>
      <c r="O1848" s="120"/>
      <c r="P1848" s="120"/>
      <c r="Q1848" s="120"/>
      <c r="R1848" s="120"/>
      <c r="S1848" s="120"/>
      <c r="T1848" s="221"/>
      <c r="U1848" s="89"/>
      <c r="V1848" s="61"/>
      <c r="W1848" s="92" t="s">
        <v>99</v>
      </c>
      <c r="X1848" s="93" t="s">
        <v>30</v>
      </c>
      <c r="Y1848" s="93" t="s">
        <v>67</v>
      </c>
      <c r="Z1848" s="134">
        <f>VLOOKUP(W1848,Sheet2!$B:$D,3,FALSE)</f>
        <v>2500</v>
      </c>
      <c r="AA1848" s="93">
        <f>AA1847/0.08</f>
        <v>2.083333333333333</v>
      </c>
      <c r="AB1848" s="93">
        <f>AD1848/AC1846</f>
        <v>1200.0000000000002</v>
      </c>
      <c r="AC1848" s="93">
        <f>AC1846/AA1848</f>
        <v>13.271999999999991</v>
      </c>
      <c r="AD1848" s="94">
        <f t="shared" si="1352"/>
        <v>33179.999999999978</v>
      </c>
      <c r="AE1848" s="190"/>
      <c r="AF1848" s="191"/>
      <c r="AG1848" s="191"/>
      <c r="AH1848" s="191"/>
      <c r="AI1848" s="186"/>
      <c r="AK1848" s="171"/>
    </row>
    <row r="1849" spans="1:41" s="102" customFormat="1" ht="19.899999999999999" customHeight="1" x14ac:dyDescent="0.25">
      <c r="A1849" s="45"/>
      <c r="B1849" s="59"/>
      <c r="C1849" s="137"/>
      <c r="D1849" s="59"/>
      <c r="E1849" s="116"/>
      <c r="F1849" s="120"/>
      <c r="G1849" s="120"/>
      <c r="H1849" s="120"/>
      <c r="I1849" s="60"/>
      <c r="J1849" s="116"/>
      <c r="K1849" s="213"/>
      <c r="L1849" s="120"/>
      <c r="M1849" s="120"/>
      <c r="N1849" s="167"/>
      <c r="O1849" s="120"/>
      <c r="P1849" s="120"/>
      <c r="Q1849" s="120"/>
      <c r="R1849" s="120"/>
      <c r="S1849" s="120"/>
      <c r="T1849" s="221"/>
      <c r="U1849" s="89"/>
      <c r="V1849" s="61"/>
      <c r="W1849" s="92" t="s">
        <v>1378</v>
      </c>
      <c r="X1849" s="93" t="s">
        <v>32</v>
      </c>
      <c r="Y1849" s="93" t="s">
        <v>66</v>
      </c>
      <c r="Z1849" s="134">
        <f>VLOOKUP(W1849,Sheet2!$B:$D,3,FALSE)</f>
        <v>350</v>
      </c>
      <c r="AA1849" s="93">
        <f>AA1847</f>
        <v>0.16666666666666666</v>
      </c>
      <c r="AB1849" s="93">
        <f>AD1849/AC1846</f>
        <v>2100</v>
      </c>
      <c r="AC1849" s="93">
        <f>AC1846/AA1849</f>
        <v>165.89999999999986</v>
      </c>
      <c r="AD1849" s="94">
        <f>AC1849*Z1849</f>
        <v>58064.999999999949</v>
      </c>
      <c r="AE1849" s="190"/>
      <c r="AF1849" s="191"/>
      <c r="AG1849" s="191"/>
      <c r="AH1849" s="191"/>
      <c r="AI1849" s="186"/>
      <c r="AK1849" s="171"/>
    </row>
    <row r="1850" spans="1:41" s="306" customFormat="1" ht="20.100000000000001" customHeight="1" x14ac:dyDescent="0.25">
      <c r="A1850" s="287" t="s">
        <v>216</v>
      </c>
      <c r="B1850" s="288"/>
      <c r="C1850" s="286" t="s">
        <v>392</v>
      </c>
      <c r="D1850" s="289"/>
      <c r="E1850" s="290"/>
      <c r="F1850" s="291"/>
      <c r="G1850" s="291">
        <f t="shared" si="1286"/>
        <v>0</v>
      </c>
      <c r="H1850" s="291">
        <f t="shared" si="1287"/>
        <v>0</v>
      </c>
      <c r="I1850" s="292">
        <f t="shared" si="1288"/>
        <v>0</v>
      </c>
      <c r="J1850" s="290">
        <f t="shared" si="1289"/>
        <v>0</v>
      </c>
      <c r="K1850" s="293">
        <f t="shared" si="1290"/>
        <v>0</v>
      </c>
      <c r="L1850" s="291"/>
      <c r="M1850" s="291">
        <f t="shared" si="1296"/>
        <v>0</v>
      </c>
      <c r="N1850" s="294">
        <f t="shared" si="1291"/>
        <v>0</v>
      </c>
      <c r="O1850" s="291">
        <f t="shared" si="1292"/>
        <v>0</v>
      </c>
      <c r="P1850" s="291">
        <f t="shared" si="1293"/>
        <v>0</v>
      </c>
      <c r="Q1850" s="291">
        <f t="shared" si="1294"/>
        <v>0</v>
      </c>
      <c r="R1850" s="291">
        <f t="shared" si="1297"/>
        <v>0</v>
      </c>
      <c r="S1850" s="291"/>
      <c r="T1850" s="295">
        <f t="shared" si="1298"/>
        <v>0</v>
      </c>
      <c r="U1850" s="296"/>
      <c r="V1850" s="297"/>
      <c r="W1850" s="298"/>
      <c r="X1850" s="299"/>
      <c r="Y1850" s="300"/>
      <c r="Z1850" s="301"/>
      <c r="AA1850" s="300"/>
      <c r="AB1850" s="300">
        <f t="shared" si="1295"/>
        <v>0</v>
      </c>
      <c r="AC1850" s="300">
        <f t="shared" si="1299"/>
        <v>9.9999999999999998E-20</v>
      </c>
      <c r="AD1850" s="302"/>
      <c r="AE1850" s="303"/>
      <c r="AF1850" s="304"/>
      <c r="AG1850" s="304"/>
      <c r="AH1850" s="304"/>
      <c r="AI1850" s="305"/>
      <c r="AK1850" s="307"/>
    </row>
    <row r="1851" spans="1:41" ht="38.25" x14ac:dyDescent="0.25">
      <c r="A1851" s="277" t="s">
        <v>216</v>
      </c>
      <c r="B1851" s="278"/>
      <c r="C1851" s="64" t="s">
        <v>393</v>
      </c>
      <c r="D1851" s="46" t="s">
        <v>201</v>
      </c>
      <c r="E1851" s="114">
        <v>1</v>
      </c>
      <c r="F1851" s="44">
        <v>50</v>
      </c>
      <c r="G1851" s="44">
        <f t="shared" si="1286"/>
        <v>50</v>
      </c>
      <c r="H1851" s="44">
        <f t="shared" si="1287"/>
        <v>30.657992156862747</v>
      </c>
      <c r="I1851" s="43">
        <f t="shared" si="1288"/>
        <v>30.657992156862747</v>
      </c>
      <c r="J1851" s="112">
        <f t="shared" si="1289"/>
        <v>1</v>
      </c>
      <c r="K1851" s="211">
        <f t="shared" si="1290"/>
        <v>1</v>
      </c>
      <c r="L1851" s="44"/>
      <c r="M1851" s="44">
        <f t="shared" si="1296"/>
        <v>1</v>
      </c>
      <c r="N1851" s="173">
        <f t="shared" si="1291"/>
        <v>1</v>
      </c>
      <c r="O1851" s="44">
        <f t="shared" si="1292"/>
        <v>50</v>
      </c>
      <c r="P1851" s="44">
        <f t="shared" si="1293"/>
        <v>50</v>
      </c>
      <c r="Q1851" s="44">
        <f t="shared" si="1294"/>
        <v>30.657992156862747</v>
      </c>
      <c r="R1851" s="44">
        <f t="shared" si="1297"/>
        <v>30.657992156862747</v>
      </c>
      <c r="S1851" s="123"/>
      <c r="T1851" s="219">
        <f t="shared" si="1298"/>
        <v>30.657992156862747</v>
      </c>
      <c r="U1851" s="87"/>
      <c r="V1851" s="47"/>
      <c r="W1851" s="48"/>
      <c r="X1851" s="48"/>
      <c r="Y1851" s="48"/>
      <c r="Z1851" s="135"/>
      <c r="AA1851" s="49"/>
      <c r="AB1851" s="50">
        <f t="shared" si="1295"/>
        <v>30.657992156862747</v>
      </c>
      <c r="AC1851" s="42">
        <f t="shared" si="1299"/>
        <v>1</v>
      </c>
      <c r="AD1851" s="90">
        <f>AD1852+AD1859</f>
        <v>30.657992156862747</v>
      </c>
      <c r="AE1851" s="188">
        <f t="shared" ref="AE1851:AH1851" si="1353">AE1852+AE1859</f>
        <v>0</v>
      </c>
      <c r="AF1851" s="189">
        <f t="shared" si="1353"/>
        <v>0</v>
      </c>
      <c r="AG1851" s="189">
        <f t="shared" si="1353"/>
        <v>0</v>
      </c>
      <c r="AH1851" s="189">
        <f t="shared" si="1353"/>
        <v>0</v>
      </c>
      <c r="AI1851" s="161">
        <f t="shared" ref="AI1851" si="1354">SUM(AE1851:AH1851)</f>
        <v>0</v>
      </c>
      <c r="AK1851" s="169">
        <v>5</v>
      </c>
      <c r="AO1851" s="19" t="s">
        <v>63</v>
      </c>
    </row>
    <row r="1852" spans="1:41" s="103" customFormat="1" ht="19.899999999999999" customHeight="1" x14ac:dyDescent="0.25">
      <c r="A1852" s="51"/>
      <c r="B1852" s="52"/>
      <c r="C1852" s="165"/>
      <c r="D1852" s="52"/>
      <c r="E1852" s="115"/>
      <c r="F1852" s="58"/>
      <c r="G1852" s="58"/>
      <c r="H1852" s="58"/>
      <c r="I1852" s="55"/>
      <c r="J1852" s="113">
        <f>J1851</f>
        <v>1</v>
      </c>
      <c r="K1852" s="212">
        <f>K1851</f>
        <v>1</v>
      </c>
      <c r="L1852" s="58"/>
      <c r="M1852" s="58">
        <f>K1852-L1852</f>
        <v>1</v>
      </c>
      <c r="N1852" s="166"/>
      <c r="O1852" s="58"/>
      <c r="P1852" s="58"/>
      <c r="Q1852" s="58"/>
      <c r="R1852" s="58"/>
      <c r="S1852" s="58"/>
      <c r="T1852" s="220"/>
      <c r="U1852" s="88"/>
      <c r="V1852" s="56"/>
      <c r="W1852" s="57" t="s">
        <v>1379</v>
      </c>
      <c r="X1852" s="53"/>
      <c r="Y1852" s="91" t="s">
        <v>66</v>
      </c>
      <c r="Z1852" s="136">
        <f>AD1852/AC1852</f>
        <v>22.355262745098042</v>
      </c>
      <c r="AA1852" s="58"/>
      <c r="AB1852" s="53">
        <f>AD1852/AC1852</f>
        <v>22.355262745098042</v>
      </c>
      <c r="AC1852" s="53">
        <f>M1852+$AE$10</f>
        <v>1</v>
      </c>
      <c r="AD1852" s="54">
        <f>SUM(AD1853:AD1858)</f>
        <v>22.355262745098042</v>
      </c>
      <c r="AE1852" s="184">
        <f>SUMIFS($AD$37:$AD$12971,$V$37:$V$12971,$V1852,$X$37:$X$12971,AE$13)</f>
        <v>0</v>
      </c>
      <c r="AF1852" s="185">
        <f>SUMIFS($AD$37:$AD$12971,$V$37:$V$12971,$V1852,$X$37:$X$12971,AF$13)</f>
        <v>0</v>
      </c>
      <c r="AG1852" s="185">
        <f>SUMIFS($AD$37:$AD$12971,$V$37:$V$12971,$V1852,$X$37:$X$12971,AG$13)</f>
        <v>0</v>
      </c>
      <c r="AH1852" s="187">
        <f>SUMIFS($AD$37:$AD$12971,$V$37:$V$12971,$V1852,$X$37:$X$12971,AH$13)</f>
        <v>0</v>
      </c>
      <c r="AI1852" s="161">
        <f t="shared" ref="AI1852" si="1355">SUM(AE1852:AH1852)</f>
        <v>0</v>
      </c>
      <c r="AK1852" s="172"/>
    </row>
    <row r="1853" spans="1:41" s="102" customFormat="1" ht="19.899999999999999" customHeight="1" x14ac:dyDescent="0.25">
      <c r="A1853" s="45"/>
      <c r="B1853" s="59"/>
      <c r="C1853" s="137"/>
      <c r="D1853" s="59"/>
      <c r="E1853" s="116"/>
      <c r="F1853" s="120"/>
      <c r="G1853" s="120"/>
      <c r="H1853" s="120"/>
      <c r="I1853" s="60"/>
      <c r="J1853" s="116"/>
      <c r="K1853" s="213"/>
      <c r="L1853" s="120"/>
      <c r="M1853" s="120"/>
      <c r="N1853" s="167"/>
      <c r="O1853" s="120"/>
      <c r="P1853" s="120"/>
      <c r="Q1853" s="120"/>
      <c r="R1853" s="120"/>
      <c r="S1853" s="120"/>
      <c r="T1853" s="221"/>
      <c r="U1853" s="89"/>
      <c r="V1853" s="61"/>
      <c r="W1853" s="92" t="s">
        <v>110</v>
      </c>
      <c r="X1853" s="93" t="s">
        <v>29</v>
      </c>
      <c r="Y1853" s="93" t="s">
        <v>93</v>
      </c>
      <c r="Z1853" s="134">
        <f>VLOOKUP(W1853,Sheet2!$B:$D,3,FALSE)</f>
        <v>150.4</v>
      </c>
      <c r="AA1853" s="93">
        <v>15</v>
      </c>
      <c r="AB1853" s="93">
        <f>AD1853/AC1852</f>
        <v>10.026666666666667</v>
      </c>
      <c r="AC1853" s="93">
        <f>AC1852/AA1853</f>
        <v>6.6666666666666666E-2</v>
      </c>
      <c r="AD1853" s="94">
        <f t="shared" ref="AD1853:AD1854" si="1356">AC1853*Z1853</f>
        <v>10.026666666666667</v>
      </c>
      <c r="AE1853" s="190"/>
      <c r="AF1853" s="191"/>
      <c r="AG1853" s="191"/>
      <c r="AH1853" s="191"/>
      <c r="AI1853" s="186"/>
      <c r="AK1853" s="171"/>
    </row>
    <row r="1854" spans="1:41" s="102" customFormat="1" ht="19.899999999999999" customHeight="1" x14ac:dyDescent="0.25">
      <c r="A1854" s="45"/>
      <c r="B1854" s="59"/>
      <c r="C1854" s="137"/>
      <c r="D1854" s="59"/>
      <c r="E1854" s="116"/>
      <c r="F1854" s="120"/>
      <c r="G1854" s="120"/>
      <c r="H1854" s="120"/>
      <c r="I1854" s="60"/>
      <c r="J1854" s="116"/>
      <c r="K1854" s="213"/>
      <c r="L1854" s="120"/>
      <c r="M1854" s="120"/>
      <c r="N1854" s="167"/>
      <c r="O1854" s="120"/>
      <c r="P1854" s="120"/>
      <c r="Q1854" s="120"/>
      <c r="R1854" s="120"/>
      <c r="S1854" s="120"/>
      <c r="T1854" s="221"/>
      <c r="U1854" s="89"/>
      <c r="V1854" s="61"/>
      <c r="W1854" s="92" t="s">
        <v>65</v>
      </c>
      <c r="X1854" s="93" t="s">
        <v>30</v>
      </c>
      <c r="Y1854" s="93" t="s">
        <v>1011</v>
      </c>
      <c r="Z1854" s="134">
        <f>VLOOKUP(W1854,Sheet2!$B:$D,3,FALSE)</f>
        <v>1.76</v>
      </c>
      <c r="AA1854" s="93">
        <f>AA1853/32</f>
        <v>0.46875</v>
      </c>
      <c r="AB1854" s="93">
        <f>AD1854/AC1852</f>
        <v>3.7546666666666666</v>
      </c>
      <c r="AC1854" s="93">
        <f>AC1852/AA1854</f>
        <v>2.1333333333333333</v>
      </c>
      <c r="AD1854" s="94">
        <f t="shared" si="1356"/>
        <v>3.7546666666666666</v>
      </c>
      <c r="AE1854" s="190"/>
      <c r="AF1854" s="191"/>
      <c r="AG1854" s="191"/>
      <c r="AH1854" s="191"/>
      <c r="AI1854" s="186"/>
      <c r="AK1854" s="171"/>
    </row>
    <row r="1855" spans="1:41" s="102" customFormat="1" ht="19.899999999999999" customHeight="1" x14ac:dyDescent="0.25">
      <c r="A1855" s="45"/>
      <c r="B1855" s="59"/>
      <c r="C1855" s="137"/>
      <c r="D1855" s="59"/>
      <c r="E1855" s="116"/>
      <c r="F1855" s="120"/>
      <c r="G1855" s="120"/>
      <c r="H1855" s="120"/>
      <c r="I1855" s="60"/>
      <c r="J1855" s="116"/>
      <c r="K1855" s="213"/>
      <c r="L1855" s="120"/>
      <c r="M1855" s="120"/>
      <c r="N1855" s="167"/>
      <c r="O1855" s="120"/>
      <c r="P1855" s="120"/>
      <c r="Q1855" s="120"/>
      <c r="R1855" s="120"/>
      <c r="S1855" s="120"/>
      <c r="T1855" s="221"/>
      <c r="U1855" s="89"/>
      <c r="V1855" s="61"/>
      <c r="W1855" s="92" t="s">
        <v>131</v>
      </c>
      <c r="X1855" s="93" t="s">
        <v>29</v>
      </c>
      <c r="Y1855" s="93" t="s">
        <v>93</v>
      </c>
      <c r="Z1855" s="134">
        <f>VLOOKUP(W1855,Sheet2!$B:$D,3,FALSE)</f>
        <v>131.19999999999999</v>
      </c>
      <c r="AA1855" s="93">
        <v>50</v>
      </c>
      <c r="AB1855" s="93">
        <f t="shared" ref="AB1855" si="1357">AD1855/AC1852</f>
        <v>2.6239999999999997</v>
      </c>
      <c r="AC1855" s="93">
        <f>AC1852/AA1855</f>
        <v>0.02</v>
      </c>
      <c r="AD1855" s="94">
        <f t="shared" ref="AD1855:AD1856" si="1358">AC1855*Z1855</f>
        <v>2.6239999999999997</v>
      </c>
      <c r="AE1855" s="190"/>
      <c r="AF1855" s="191"/>
      <c r="AG1855" s="191"/>
      <c r="AH1855" s="191"/>
      <c r="AI1855" s="186"/>
      <c r="AK1855" s="171"/>
    </row>
    <row r="1856" spans="1:41" s="102" customFormat="1" ht="19.899999999999999" customHeight="1" x14ac:dyDescent="0.25">
      <c r="A1856" s="45"/>
      <c r="B1856" s="59"/>
      <c r="C1856" s="137"/>
      <c r="D1856" s="59"/>
      <c r="E1856" s="116"/>
      <c r="F1856" s="120"/>
      <c r="G1856" s="120"/>
      <c r="H1856" s="120"/>
      <c r="I1856" s="60"/>
      <c r="J1856" s="116"/>
      <c r="K1856" s="213"/>
      <c r="L1856" s="120"/>
      <c r="M1856" s="120"/>
      <c r="N1856" s="167"/>
      <c r="O1856" s="120"/>
      <c r="P1856" s="120"/>
      <c r="Q1856" s="120"/>
      <c r="R1856" s="120"/>
      <c r="S1856" s="120"/>
      <c r="T1856" s="221"/>
      <c r="U1856" s="89"/>
      <c r="V1856" s="61"/>
      <c r="W1856" s="92" t="s">
        <v>65</v>
      </c>
      <c r="X1856" s="93" t="s">
        <v>30</v>
      </c>
      <c r="Y1856" s="93" t="s">
        <v>1011</v>
      </c>
      <c r="Z1856" s="134">
        <f>VLOOKUP(W1856,Sheet2!$B:$D,3,FALSE)</f>
        <v>1.76</v>
      </c>
      <c r="AA1856" s="93">
        <f>AA1855/32</f>
        <v>1.5625</v>
      </c>
      <c r="AB1856" s="93">
        <f>AD1856/AC1852</f>
        <v>1.1264000000000001</v>
      </c>
      <c r="AC1856" s="93">
        <f>AC1852/AA1856</f>
        <v>0.64</v>
      </c>
      <c r="AD1856" s="94">
        <f t="shared" si="1358"/>
        <v>1.1264000000000001</v>
      </c>
      <c r="AE1856" s="190"/>
      <c r="AF1856" s="191"/>
      <c r="AG1856" s="191"/>
      <c r="AH1856" s="191"/>
      <c r="AI1856" s="186"/>
      <c r="AK1856" s="171"/>
    </row>
    <row r="1857" spans="1:41" s="102" customFormat="1" ht="19.899999999999999" customHeight="1" x14ac:dyDescent="0.25">
      <c r="A1857" s="45"/>
      <c r="B1857" s="59"/>
      <c r="C1857" s="137"/>
      <c r="D1857" s="59"/>
      <c r="E1857" s="116"/>
      <c r="F1857" s="120"/>
      <c r="G1857" s="120"/>
      <c r="H1857" s="120"/>
      <c r="I1857" s="60"/>
      <c r="J1857" s="116"/>
      <c r="K1857" s="213"/>
      <c r="L1857" s="120"/>
      <c r="M1857" s="120"/>
      <c r="N1857" s="167"/>
      <c r="O1857" s="120"/>
      <c r="P1857" s="120"/>
      <c r="Q1857" s="120"/>
      <c r="R1857" s="120"/>
      <c r="S1857" s="120"/>
      <c r="T1857" s="221"/>
      <c r="U1857" s="89"/>
      <c r="V1857" s="61"/>
      <c r="W1857" s="92" t="s">
        <v>161</v>
      </c>
      <c r="X1857" s="93" t="s">
        <v>29</v>
      </c>
      <c r="Y1857" s="93" t="s">
        <v>93</v>
      </c>
      <c r="Z1857" s="134">
        <f>VLOOKUP(W1857,Sheet2!$B:$D,3,FALSE)</f>
        <v>48</v>
      </c>
      <c r="AA1857" s="93">
        <f>(16*0.85*1)</f>
        <v>13.6</v>
      </c>
      <c r="AB1857" s="93">
        <f>AD1857/AC1852</f>
        <v>3.5294117647058822</v>
      </c>
      <c r="AC1857" s="93">
        <f>AC1852/AA1857</f>
        <v>7.3529411764705885E-2</v>
      </c>
      <c r="AD1857" s="94">
        <f>AC1857*Z1857</f>
        <v>3.5294117647058822</v>
      </c>
      <c r="AE1857" s="190"/>
      <c r="AF1857" s="191"/>
      <c r="AG1857" s="191"/>
      <c r="AH1857" s="191"/>
      <c r="AI1857" s="186"/>
      <c r="AK1857" s="171"/>
    </row>
    <row r="1858" spans="1:41" s="102" customFormat="1" ht="19.899999999999999" customHeight="1" x14ac:dyDescent="0.25">
      <c r="A1858" s="45"/>
      <c r="B1858" s="59"/>
      <c r="C1858" s="137"/>
      <c r="D1858" s="59"/>
      <c r="E1858" s="116"/>
      <c r="F1858" s="120"/>
      <c r="G1858" s="120"/>
      <c r="H1858" s="120"/>
      <c r="I1858" s="60"/>
      <c r="J1858" s="116"/>
      <c r="K1858" s="213"/>
      <c r="L1858" s="120"/>
      <c r="M1858" s="120"/>
      <c r="N1858" s="167"/>
      <c r="O1858" s="120"/>
      <c r="P1858" s="120"/>
      <c r="Q1858" s="120"/>
      <c r="R1858" s="120"/>
      <c r="S1858" s="120"/>
      <c r="T1858" s="221"/>
      <c r="U1858" s="89"/>
      <c r="V1858" s="61"/>
      <c r="W1858" s="92" t="s">
        <v>65</v>
      </c>
      <c r="X1858" s="93" t="s">
        <v>30</v>
      </c>
      <c r="Y1858" s="93" t="s">
        <v>1011</v>
      </c>
      <c r="Z1858" s="134">
        <f>VLOOKUP(W1858,Sheet2!$B:$D,3,FALSE)</f>
        <v>1.76</v>
      </c>
      <c r="AA1858" s="93">
        <f>AA1857/10</f>
        <v>1.3599999999999999</v>
      </c>
      <c r="AB1858" s="93">
        <f>AD1858/AC1852</f>
        <v>1.2941176470588236</v>
      </c>
      <c r="AC1858" s="93">
        <f>AC1852/AA1858</f>
        <v>0.73529411764705888</v>
      </c>
      <c r="AD1858" s="94">
        <f>AC1858*Z1858</f>
        <v>1.2941176470588236</v>
      </c>
      <c r="AE1858" s="190"/>
      <c r="AF1858" s="191"/>
      <c r="AG1858" s="191"/>
      <c r="AH1858" s="191"/>
      <c r="AI1858" s="186"/>
      <c r="AK1858" s="171"/>
    </row>
    <row r="1859" spans="1:41" s="103" customFormat="1" ht="19.899999999999999" customHeight="1" x14ac:dyDescent="0.25">
      <c r="A1859" s="51"/>
      <c r="B1859" s="52"/>
      <c r="C1859" s="165"/>
      <c r="D1859" s="52"/>
      <c r="E1859" s="115"/>
      <c r="F1859" s="58"/>
      <c r="G1859" s="58"/>
      <c r="H1859" s="58"/>
      <c r="I1859" s="55"/>
      <c r="J1859" s="113">
        <f>J1851</f>
        <v>1</v>
      </c>
      <c r="K1859" s="212">
        <f>K1851</f>
        <v>1</v>
      </c>
      <c r="L1859" s="58"/>
      <c r="M1859" s="58">
        <f>K1859-L1859</f>
        <v>1</v>
      </c>
      <c r="N1859" s="166"/>
      <c r="O1859" s="58"/>
      <c r="P1859" s="58"/>
      <c r="Q1859" s="58"/>
      <c r="R1859" s="58"/>
      <c r="S1859" s="58"/>
      <c r="T1859" s="220"/>
      <c r="U1859" s="88"/>
      <c r="V1859" s="56"/>
      <c r="W1859" s="57" t="s">
        <v>1380</v>
      </c>
      <c r="X1859" s="53"/>
      <c r="Y1859" s="91" t="s">
        <v>66</v>
      </c>
      <c r="Z1859" s="136">
        <f>AD1859/AC1859</f>
        <v>8.3027294117647052</v>
      </c>
      <c r="AA1859" s="58"/>
      <c r="AB1859" s="53">
        <f>AD1859/AC1859</f>
        <v>8.3027294117647052</v>
      </c>
      <c r="AC1859" s="53">
        <f>M1859+$AE$10</f>
        <v>1</v>
      </c>
      <c r="AD1859" s="54">
        <f>SUM(AD1860:AD1869)</f>
        <v>8.3027294117647052</v>
      </c>
      <c r="AE1859" s="184">
        <f>SUMIFS($AD$37:$AD$12971,$V$37:$V$12971,$V1859,$X$37:$X$12971,AE$13)</f>
        <v>0</v>
      </c>
      <c r="AF1859" s="185">
        <f>SUMIFS($AD$37:$AD$12971,$V$37:$V$12971,$V1859,$X$37:$X$12971,AF$13)</f>
        <v>0</v>
      </c>
      <c r="AG1859" s="185">
        <f>SUMIFS($AD$37:$AD$12971,$V$37:$V$12971,$V1859,$X$37:$X$12971,AG$13)</f>
        <v>0</v>
      </c>
      <c r="AH1859" s="187">
        <f>SUMIFS($AD$37:$AD$12971,$V$37:$V$12971,$V1859,$X$37:$X$12971,AH$13)</f>
        <v>0</v>
      </c>
      <c r="AI1859" s="161">
        <f t="shared" ref="AI1859" si="1359">SUM(AE1859:AH1859)</f>
        <v>0</v>
      </c>
      <c r="AK1859" s="172"/>
    </row>
    <row r="1860" spans="1:41" s="102" customFormat="1" ht="19.899999999999999" customHeight="1" x14ac:dyDescent="0.25">
      <c r="A1860" s="45"/>
      <c r="B1860" s="59"/>
      <c r="C1860" s="137"/>
      <c r="D1860" s="59"/>
      <c r="E1860" s="116"/>
      <c r="F1860" s="120"/>
      <c r="G1860" s="120"/>
      <c r="H1860" s="120"/>
      <c r="I1860" s="60"/>
      <c r="J1860" s="116"/>
      <c r="K1860" s="213"/>
      <c r="L1860" s="120"/>
      <c r="M1860" s="120"/>
      <c r="N1860" s="167"/>
      <c r="O1860" s="120"/>
      <c r="P1860" s="120"/>
      <c r="Q1860" s="120"/>
      <c r="R1860" s="120"/>
      <c r="S1860" s="120"/>
      <c r="T1860" s="221"/>
      <c r="U1860" s="89"/>
      <c r="V1860" s="61"/>
      <c r="W1860" s="92" t="s">
        <v>134</v>
      </c>
      <c r="X1860" s="93" t="s">
        <v>29</v>
      </c>
      <c r="Y1860" s="93" t="s">
        <v>93</v>
      </c>
      <c r="Z1860" s="134">
        <f>VLOOKUP(W1860,Sheet2!$B:$D,3,FALSE)</f>
        <v>65.599999999999994</v>
      </c>
      <c r="AA1860" s="93">
        <f>100</f>
        <v>100</v>
      </c>
      <c r="AB1860" s="93">
        <f>AD1860/AC1859</f>
        <v>0.65599999999999992</v>
      </c>
      <c r="AC1860" s="93">
        <f>AC1859/AA1860</f>
        <v>0.01</v>
      </c>
      <c r="AD1860" s="94">
        <f t="shared" ref="AD1860:AD1861" si="1360">AC1860*Z1860</f>
        <v>0.65599999999999992</v>
      </c>
      <c r="AE1860" s="190"/>
      <c r="AF1860" s="191"/>
      <c r="AG1860" s="191"/>
      <c r="AH1860" s="191"/>
      <c r="AI1860" s="186"/>
      <c r="AK1860" s="171"/>
    </row>
    <row r="1861" spans="1:41" s="102" customFormat="1" ht="19.899999999999999" customHeight="1" x14ac:dyDescent="0.25">
      <c r="A1861" s="45"/>
      <c r="B1861" s="59"/>
      <c r="C1861" s="137"/>
      <c r="D1861" s="59"/>
      <c r="E1861" s="116"/>
      <c r="F1861" s="120"/>
      <c r="G1861" s="120"/>
      <c r="H1861" s="120"/>
      <c r="I1861" s="60"/>
      <c r="J1861" s="116"/>
      <c r="K1861" s="213"/>
      <c r="L1861" s="120"/>
      <c r="M1861" s="120"/>
      <c r="N1861" s="167"/>
      <c r="O1861" s="120"/>
      <c r="P1861" s="120"/>
      <c r="Q1861" s="120"/>
      <c r="R1861" s="120"/>
      <c r="S1861" s="120"/>
      <c r="T1861" s="221"/>
      <c r="U1861" s="89"/>
      <c r="V1861" s="61"/>
      <c r="W1861" s="92" t="s">
        <v>65</v>
      </c>
      <c r="X1861" s="93" t="s">
        <v>30</v>
      </c>
      <c r="Y1861" s="93" t="s">
        <v>1011</v>
      </c>
      <c r="Z1861" s="134">
        <f>VLOOKUP(W1861,Sheet2!$B:$D,3,FALSE)</f>
        <v>1.76</v>
      </c>
      <c r="AA1861" s="93">
        <f>AA1860/9</f>
        <v>11.111111111111111</v>
      </c>
      <c r="AB1861" s="93">
        <f>AD1861/AC1859</f>
        <v>0.15839999999999999</v>
      </c>
      <c r="AC1861" s="93">
        <f>AC1859/AA1861</f>
        <v>0.09</v>
      </c>
      <c r="AD1861" s="94">
        <f t="shared" si="1360"/>
        <v>0.15839999999999999</v>
      </c>
      <c r="AE1861" s="190"/>
      <c r="AF1861" s="191"/>
      <c r="AG1861" s="191"/>
      <c r="AH1861" s="191"/>
      <c r="AI1861" s="186"/>
      <c r="AK1861" s="171"/>
    </row>
    <row r="1862" spans="1:41" s="102" customFormat="1" ht="19.899999999999999" customHeight="1" x14ac:dyDescent="0.25">
      <c r="A1862" s="45"/>
      <c r="B1862" s="59"/>
      <c r="C1862" s="137"/>
      <c r="D1862" s="59"/>
      <c r="E1862" s="116"/>
      <c r="F1862" s="120"/>
      <c r="G1862" s="120"/>
      <c r="H1862" s="120"/>
      <c r="I1862" s="60"/>
      <c r="J1862" s="116"/>
      <c r="K1862" s="213"/>
      <c r="L1862" s="120"/>
      <c r="M1862" s="120"/>
      <c r="N1862" s="167"/>
      <c r="O1862" s="120"/>
      <c r="P1862" s="120"/>
      <c r="Q1862" s="120"/>
      <c r="R1862" s="120"/>
      <c r="S1862" s="120"/>
      <c r="T1862" s="221"/>
      <c r="U1862" s="89"/>
      <c r="V1862" s="61"/>
      <c r="W1862" s="92" t="s">
        <v>161</v>
      </c>
      <c r="X1862" s="93" t="s">
        <v>29</v>
      </c>
      <c r="Y1862" s="93" t="s">
        <v>93</v>
      </c>
      <c r="Z1862" s="134">
        <f>VLOOKUP(W1862,Sheet2!$B:$D,3,FALSE)</f>
        <v>48</v>
      </c>
      <c r="AA1862" s="93">
        <f>(16*0.85*1)</f>
        <v>13.6</v>
      </c>
      <c r="AB1862" s="93">
        <f>AD1862/AC1859</f>
        <v>3.5294117647058822</v>
      </c>
      <c r="AC1862" s="93">
        <f>AC1859/AA1862</f>
        <v>7.3529411764705885E-2</v>
      </c>
      <c r="AD1862" s="94">
        <f>AC1862*Z1862</f>
        <v>3.5294117647058822</v>
      </c>
      <c r="AE1862" s="190"/>
      <c r="AF1862" s="191"/>
      <c r="AG1862" s="191"/>
      <c r="AH1862" s="191"/>
      <c r="AI1862" s="186"/>
      <c r="AK1862" s="171"/>
    </row>
    <row r="1863" spans="1:41" s="102" customFormat="1" ht="19.899999999999999" customHeight="1" x14ac:dyDescent="0.25">
      <c r="A1863" s="45"/>
      <c r="B1863" s="59"/>
      <c r="C1863" s="137"/>
      <c r="D1863" s="59"/>
      <c r="E1863" s="116"/>
      <c r="F1863" s="120"/>
      <c r="G1863" s="120"/>
      <c r="H1863" s="120"/>
      <c r="I1863" s="60"/>
      <c r="J1863" s="116"/>
      <c r="K1863" s="213"/>
      <c r="L1863" s="120"/>
      <c r="M1863" s="120"/>
      <c r="N1863" s="167"/>
      <c r="O1863" s="120"/>
      <c r="P1863" s="120"/>
      <c r="Q1863" s="120"/>
      <c r="R1863" s="120"/>
      <c r="S1863" s="120"/>
      <c r="T1863" s="221"/>
      <c r="U1863" s="89"/>
      <c r="V1863" s="61"/>
      <c r="W1863" s="92" t="s">
        <v>65</v>
      </c>
      <c r="X1863" s="93" t="s">
        <v>30</v>
      </c>
      <c r="Y1863" s="93" t="s">
        <v>1011</v>
      </c>
      <c r="Z1863" s="134">
        <f>VLOOKUP(W1863,Sheet2!$B:$D,3,FALSE)</f>
        <v>1.76</v>
      </c>
      <c r="AA1863" s="93">
        <f>AA1862/10</f>
        <v>1.3599999999999999</v>
      </c>
      <c r="AB1863" s="93">
        <f>AD1863/AC1859</f>
        <v>1.2941176470588236</v>
      </c>
      <c r="AC1863" s="93">
        <f>AC1859/AA1863</f>
        <v>0.73529411764705888</v>
      </c>
      <c r="AD1863" s="94">
        <f>AC1863*Z1863</f>
        <v>1.2941176470588236</v>
      </c>
      <c r="AE1863" s="190"/>
      <c r="AF1863" s="191"/>
      <c r="AG1863" s="191"/>
      <c r="AH1863" s="191"/>
      <c r="AI1863" s="186"/>
      <c r="AK1863" s="171"/>
    </row>
    <row r="1864" spans="1:41" s="102" customFormat="1" ht="19.899999999999999" customHeight="1" x14ac:dyDescent="0.25">
      <c r="A1864" s="45"/>
      <c r="B1864" s="59"/>
      <c r="C1864" s="137"/>
      <c r="D1864" s="59"/>
      <c r="E1864" s="116"/>
      <c r="F1864" s="120"/>
      <c r="G1864" s="120"/>
      <c r="H1864" s="120"/>
      <c r="I1864" s="60"/>
      <c r="J1864" s="116"/>
      <c r="K1864" s="213"/>
      <c r="L1864" s="120"/>
      <c r="M1864" s="120"/>
      <c r="N1864" s="167"/>
      <c r="O1864" s="120"/>
      <c r="P1864" s="120"/>
      <c r="Q1864" s="120"/>
      <c r="R1864" s="120"/>
      <c r="S1864" s="120"/>
      <c r="T1864" s="221"/>
      <c r="U1864" s="89"/>
      <c r="V1864" s="61"/>
      <c r="W1864" s="92" t="s">
        <v>173</v>
      </c>
      <c r="X1864" s="93" t="s">
        <v>29</v>
      </c>
      <c r="Y1864" s="93" t="s">
        <v>93</v>
      </c>
      <c r="Z1864" s="134">
        <f>VLOOKUP(W1864,Sheet2!$B:$D,3,FALSE)</f>
        <v>36</v>
      </c>
      <c r="AA1864" s="93">
        <f>50</f>
        <v>50</v>
      </c>
      <c r="AB1864" s="93">
        <f>AD1864/AC1859</f>
        <v>0.72</v>
      </c>
      <c r="AC1864" s="93">
        <f>AC1859/AA1864</f>
        <v>0.02</v>
      </c>
      <c r="AD1864" s="94">
        <f>AC1864*Z1864</f>
        <v>0.72</v>
      </c>
      <c r="AE1864" s="190"/>
      <c r="AF1864" s="191"/>
      <c r="AG1864" s="191"/>
      <c r="AH1864" s="191"/>
      <c r="AI1864" s="186"/>
      <c r="AK1864" s="171"/>
    </row>
    <row r="1865" spans="1:41" s="102" customFormat="1" ht="19.899999999999999" customHeight="1" x14ac:dyDescent="0.25">
      <c r="A1865" s="45"/>
      <c r="B1865" s="59"/>
      <c r="C1865" s="137"/>
      <c r="D1865" s="59"/>
      <c r="E1865" s="116"/>
      <c r="F1865" s="120"/>
      <c r="G1865" s="120"/>
      <c r="H1865" s="120"/>
      <c r="I1865" s="60"/>
      <c r="J1865" s="116"/>
      <c r="K1865" s="213"/>
      <c r="L1865" s="120"/>
      <c r="M1865" s="120"/>
      <c r="N1865" s="167"/>
      <c r="O1865" s="120"/>
      <c r="P1865" s="120"/>
      <c r="Q1865" s="120"/>
      <c r="R1865" s="120"/>
      <c r="S1865" s="120"/>
      <c r="T1865" s="221"/>
      <c r="U1865" s="89"/>
      <c r="V1865" s="61"/>
      <c r="W1865" s="92" t="s">
        <v>65</v>
      </c>
      <c r="X1865" s="93" t="s">
        <v>30</v>
      </c>
      <c r="Y1865" s="93" t="s">
        <v>1011</v>
      </c>
      <c r="Z1865" s="134">
        <f>VLOOKUP(W1865,Sheet2!$B:$D,3,FALSE)</f>
        <v>1.76</v>
      </c>
      <c r="AA1865" s="93">
        <f>AA1864/9</f>
        <v>5.5555555555555554</v>
      </c>
      <c r="AB1865" s="93">
        <f>AD1865/AC1859</f>
        <v>0.31679999999999997</v>
      </c>
      <c r="AC1865" s="93">
        <f>AC1859/AA1865</f>
        <v>0.18</v>
      </c>
      <c r="AD1865" s="94">
        <f>AC1865*Z1865</f>
        <v>0.31679999999999997</v>
      </c>
      <c r="AE1865" s="190"/>
      <c r="AF1865" s="191"/>
      <c r="AG1865" s="191"/>
      <c r="AH1865" s="191"/>
      <c r="AI1865" s="186"/>
      <c r="AK1865" s="171"/>
    </row>
    <row r="1866" spans="1:41" s="102" customFormat="1" ht="19.899999999999999" customHeight="1" x14ac:dyDescent="0.25">
      <c r="A1866" s="45"/>
      <c r="B1866" s="59"/>
      <c r="C1866" s="137"/>
      <c r="D1866" s="59"/>
      <c r="E1866" s="116"/>
      <c r="F1866" s="120"/>
      <c r="G1866" s="120"/>
      <c r="H1866" s="120"/>
      <c r="I1866" s="60"/>
      <c r="J1866" s="116"/>
      <c r="K1866" s="213"/>
      <c r="L1866" s="120"/>
      <c r="M1866" s="120"/>
      <c r="N1866" s="167"/>
      <c r="O1866" s="120"/>
      <c r="P1866" s="120"/>
      <c r="Q1866" s="120"/>
      <c r="R1866" s="120"/>
      <c r="S1866" s="120"/>
      <c r="T1866" s="221"/>
      <c r="U1866" s="89"/>
      <c r="V1866" s="61"/>
      <c r="W1866" s="92" t="s">
        <v>148</v>
      </c>
      <c r="X1866" s="93" t="s">
        <v>29</v>
      </c>
      <c r="Y1866" s="93" t="s">
        <v>93</v>
      </c>
      <c r="Z1866" s="134">
        <f>VLOOKUP(W1866,Sheet2!$B:$D,3,FALSE)</f>
        <v>48</v>
      </c>
      <c r="AA1866" s="93">
        <v>80</v>
      </c>
      <c r="AB1866" s="93">
        <f>AD1866/AC1859</f>
        <v>0.60000000000000009</v>
      </c>
      <c r="AC1866" s="93">
        <f>AC1859/AA1866</f>
        <v>1.2500000000000001E-2</v>
      </c>
      <c r="AD1866" s="94">
        <f t="shared" ref="AD1866:AD1869" si="1361">AC1866*Z1866</f>
        <v>0.60000000000000009</v>
      </c>
      <c r="AE1866" s="190"/>
      <c r="AF1866" s="191"/>
      <c r="AG1866" s="191"/>
      <c r="AH1866" s="191"/>
      <c r="AI1866" s="186"/>
      <c r="AK1866" s="171"/>
    </row>
    <row r="1867" spans="1:41" s="102" customFormat="1" ht="19.899999999999999" customHeight="1" x14ac:dyDescent="0.25">
      <c r="A1867" s="45"/>
      <c r="B1867" s="59"/>
      <c r="C1867" s="137"/>
      <c r="D1867" s="59"/>
      <c r="E1867" s="116"/>
      <c r="F1867" s="120"/>
      <c r="G1867" s="120"/>
      <c r="H1867" s="120"/>
      <c r="I1867" s="60"/>
      <c r="J1867" s="116"/>
      <c r="K1867" s="213"/>
      <c r="L1867" s="120"/>
      <c r="M1867" s="120"/>
      <c r="N1867" s="167"/>
      <c r="O1867" s="120"/>
      <c r="P1867" s="120"/>
      <c r="Q1867" s="120"/>
      <c r="R1867" s="120"/>
      <c r="S1867" s="120"/>
      <c r="T1867" s="221"/>
      <c r="U1867" s="89"/>
      <c r="V1867" s="61"/>
      <c r="W1867" s="92" t="s">
        <v>65</v>
      </c>
      <c r="X1867" s="93" t="s">
        <v>30</v>
      </c>
      <c r="Y1867" s="93" t="s">
        <v>1011</v>
      </c>
      <c r="Z1867" s="134">
        <f>VLOOKUP(W1867,Sheet2!$B:$D,3,FALSE)</f>
        <v>1.76</v>
      </c>
      <c r="AA1867" s="93">
        <f>AA1866/10</f>
        <v>8</v>
      </c>
      <c r="AB1867" s="93">
        <f>AD1867/AC1859</f>
        <v>0.22</v>
      </c>
      <c r="AC1867" s="93">
        <f>AC1859/AA1867</f>
        <v>0.125</v>
      </c>
      <c r="AD1867" s="94">
        <f t="shared" si="1361"/>
        <v>0.22</v>
      </c>
      <c r="AE1867" s="190"/>
      <c r="AF1867" s="191"/>
      <c r="AG1867" s="191"/>
      <c r="AH1867" s="191"/>
      <c r="AI1867" s="186"/>
      <c r="AK1867" s="171"/>
    </row>
    <row r="1868" spans="1:41" s="102" customFormat="1" ht="19.899999999999999" customHeight="1" x14ac:dyDescent="0.25">
      <c r="A1868" s="45"/>
      <c r="B1868" s="59"/>
      <c r="C1868" s="137"/>
      <c r="D1868" s="59"/>
      <c r="E1868" s="116"/>
      <c r="F1868" s="120"/>
      <c r="G1868" s="120"/>
      <c r="H1868" s="120"/>
      <c r="I1868" s="60"/>
      <c r="J1868" s="116"/>
      <c r="K1868" s="213"/>
      <c r="L1868" s="120"/>
      <c r="M1868" s="120"/>
      <c r="N1868" s="167"/>
      <c r="O1868" s="120"/>
      <c r="P1868" s="120"/>
      <c r="Q1868" s="120"/>
      <c r="R1868" s="120"/>
      <c r="S1868" s="120"/>
      <c r="T1868" s="221"/>
      <c r="U1868" s="89"/>
      <c r="V1868" s="61"/>
      <c r="W1868" s="92" t="s">
        <v>145</v>
      </c>
      <c r="X1868" s="93" t="s">
        <v>29</v>
      </c>
      <c r="Y1868" s="93" t="s">
        <v>93</v>
      </c>
      <c r="Z1868" s="134">
        <f>VLOOKUP(W1868,Sheet2!$B:$D,3,FALSE)</f>
        <v>40</v>
      </c>
      <c r="AA1868" s="93">
        <v>80</v>
      </c>
      <c r="AB1868" s="93">
        <f>AD1868/AC1859</f>
        <v>0.5</v>
      </c>
      <c r="AC1868" s="93">
        <f>AC1859/AA1868</f>
        <v>1.2500000000000001E-2</v>
      </c>
      <c r="AD1868" s="94">
        <f t="shared" si="1361"/>
        <v>0.5</v>
      </c>
      <c r="AE1868" s="190"/>
      <c r="AF1868" s="191"/>
      <c r="AG1868" s="191"/>
      <c r="AH1868" s="191"/>
      <c r="AI1868" s="186"/>
      <c r="AK1868" s="171"/>
    </row>
    <row r="1869" spans="1:41" s="102" customFormat="1" ht="19.899999999999999" customHeight="1" x14ac:dyDescent="0.25">
      <c r="A1869" s="45"/>
      <c r="B1869" s="59"/>
      <c r="C1869" s="137"/>
      <c r="D1869" s="59"/>
      <c r="E1869" s="116"/>
      <c r="F1869" s="120"/>
      <c r="G1869" s="120"/>
      <c r="H1869" s="120"/>
      <c r="I1869" s="60"/>
      <c r="J1869" s="116"/>
      <c r="K1869" s="213"/>
      <c r="L1869" s="120"/>
      <c r="M1869" s="120"/>
      <c r="N1869" s="167"/>
      <c r="O1869" s="120"/>
      <c r="P1869" s="120"/>
      <c r="Q1869" s="120"/>
      <c r="R1869" s="120"/>
      <c r="S1869" s="120"/>
      <c r="T1869" s="221"/>
      <c r="U1869" s="89"/>
      <c r="V1869" s="61"/>
      <c r="W1869" s="92" t="s">
        <v>65</v>
      </c>
      <c r="X1869" s="93" t="s">
        <v>30</v>
      </c>
      <c r="Y1869" s="93" t="s">
        <v>1011</v>
      </c>
      <c r="Z1869" s="134">
        <f>VLOOKUP(W1869,Sheet2!$B:$D,3,FALSE)</f>
        <v>1.76</v>
      </c>
      <c r="AA1869" s="93">
        <f>AA1868/14</f>
        <v>5.7142857142857144</v>
      </c>
      <c r="AB1869" s="93">
        <f>AD1869/AC1859</f>
        <v>0.308</v>
      </c>
      <c r="AC1869" s="93">
        <f>AC1859/AA1869</f>
        <v>0.17499999999999999</v>
      </c>
      <c r="AD1869" s="94">
        <f t="shared" si="1361"/>
        <v>0.308</v>
      </c>
      <c r="AE1869" s="190"/>
      <c r="AF1869" s="191"/>
      <c r="AG1869" s="191"/>
      <c r="AH1869" s="191"/>
      <c r="AI1869" s="186"/>
      <c r="AK1869" s="171"/>
    </row>
    <row r="1870" spans="1:41" s="306" customFormat="1" ht="120" x14ac:dyDescent="0.25">
      <c r="A1870" s="287" t="s">
        <v>216</v>
      </c>
      <c r="B1870" s="288"/>
      <c r="C1870" s="286" t="s">
        <v>394</v>
      </c>
      <c r="D1870" s="289"/>
      <c r="E1870" s="290"/>
      <c r="F1870" s="291"/>
      <c r="G1870" s="291">
        <f t="shared" si="1286"/>
        <v>0</v>
      </c>
      <c r="H1870" s="291">
        <f t="shared" si="1287"/>
        <v>0</v>
      </c>
      <c r="I1870" s="292">
        <f t="shared" si="1288"/>
        <v>0</v>
      </c>
      <c r="J1870" s="290">
        <f t="shared" si="1289"/>
        <v>0</v>
      </c>
      <c r="K1870" s="293">
        <f t="shared" si="1290"/>
        <v>0</v>
      </c>
      <c r="L1870" s="291"/>
      <c r="M1870" s="291">
        <f t="shared" si="1296"/>
        <v>0</v>
      </c>
      <c r="N1870" s="294">
        <f t="shared" si="1291"/>
        <v>0</v>
      </c>
      <c r="O1870" s="291">
        <f t="shared" si="1292"/>
        <v>0</v>
      </c>
      <c r="P1870" s="291">
        <f t="shared" si="1293"/>
        <v>0</v>
      </c>
      <c r="Q1870" s="291">
        <f t="shared" si="1294"/>
        <v>0</v>
      </c>
      <c r="R1870" s="291">
        <f t="shared" si="1297"/>
        <v>0</v>
      </c>
      <c r="S1870" s="291"/>
      <c r="T1870" s="295">
        <f t="shared" si="1298"/>
        <v>0</v>
      </c>
      <c r="U1870" s="296"/>
      <c r="V1870" s="297"/>
      <c r="W1870" s="298"/>
      <c r="X1870" s="299"/>
      <c r="Y1870" s="300"/>
      <c r="Z1870" s="301"/>
      <c r="AA1870" s="300"/>
      <c r="AB1870" s="300">
        <f t="shared" si="1295"/>
        <v>0</v>
      </c>
      <c r="AC1870" s="300">
        <f t="shared" si="1299"/>
        <v>9.9999999999999998E-20</v>
      </c>
      <c r="AD1870" s="302"/>
      <c r="AE1870" s="303"/>
      <c r="AF1870" s="304"/>
      <c r="AG1870" s="304"/>
      <c r="AH1870" s="304"/>
      <c r="AI1870" s="305"/>
      <c r="AK1870" s="307"/>
    </row>
    <row r="1871" spans="1:41" ht="46.5" customHeight="1" x14ac:dyDescent="0.25">
      <c r="A1871" s="277" t="s">
        <v>216</v>
      </c>
      <c r="B1871" s="278"/>
      <c r="C1871" s="64" t="s">
        <v>395</v>
      </c>
      <c r="D1871" s="46" t="s">
        <v>215</v>
      </c>
      <c r="E1871" s="114">
        <v>1.4064999999999999</v>
      </c>
      <c r="F1871" s="44">
        <v>1022781</v>
      </c>
      <c r="G1871" s="44">
        <f t="shared" si="1286"/>
        <v>1438541.4764999999</v>
      </c>
      <c r="H1871" s="44">
        <f t="shared" si="1287"/>
        <v>630093.75</v>
      </c>
      <c r="I1871" s="43">
        <f t="shared" si="1288"/>
        <v>886226.85937499988</v>
      </c>
      <c r="J1871" s="112">
        <f t="shared" si="1289"/>
        <v>1.4064999999999999</v>
      </c>
      <c r="K1871" s="211">
        <f t="shared" si="1290"/>
        <v>1.4064999999999999</v>
      </c>
      <c r="L1871" s="44"/>
      <c r="M1871" s="44">
        <f t="shared" si="1296"/>
        <v>1.4064999999999999</v>
      </c>
      <c r="N1871" s="173">
        <f t="shared" si="1291"/>
        <v>1</v>
      </c>
      <c r="O1871" s="44">
        <f t="shared" si="1292"/>
        <v>1022781</v>
      </c>
      <c r="P1871" s="44">
        <f t="shared" si="1293"/>
        <v>1438541.4764999999</v>
      </c>
      <c r="Q1871" s="44">
        <f t="shared" si="1294"/>
        <v>630093.75</v>
      </c>
      <c r="R1871" s="44">
        <f t="shared" si="1297"/>
        <v>886226.85937499988</v>
      </c>
      <c r="S1871" s="123"/>
      <c r="T1871" s="219">
        <f t="shared" si="1298"/>
        <v>886226.85937499988</v>
      </c>
      <c r="U1871" s="87"/>
      <c r="V1871" s="47"/>
      <c r="W1871" s="48"/>
      <c r="X1871" s="48"/>
      <c r="Y1871" s="48"/>
      <c r="Z1871" s="135"/>
      <c r="AA1871" s="49"/>
      <c r="AB1871" s="50">
        <f t="shared" si="1295"/>
        <v>630093.75</v>
      </c>
      <c r="AC1871" s="42">
        <f t="shared" si="1299"/>
        <v>1.4064999999999999</v>
      </c>
      <c r="AD1871" s="90">
        <f>AD1872</f>
        <v>886226.85937499988</v>
      </c>
      <c r="AE1871" s="188">
        <f t="shared" ref="AE1871:AH1871" si="1362">AE1872</f>
        <v>0</v>
      </c>
      <c r="AF1871" s="189">
        <f t="shared" si="1362"/>
        <v>0</v>
      </c>
      <c r="AG1871" s="189">
        <f t="shared" si="1362"/>
        <v>0</v>
      </c>
      <c r="AH1871" s="189">
        <f t="shared" si="1362"/>
        <v>0</v>
      </c>
      <c r="AI1871" s="161">
        <f t="shared" ref="AI1871" si="1363">SUM(AE1871:AH1871)</f>
        <v>0</v>
      </c>
      <c r="AK1871" s="169">
        <v>5</v>
      </c>
      <c r="AO1871" s="19" t="s">
        <v>63</v>
      </c>
    </row>
    <row r="1872" spans="1:41" s="103" customFormat="1" ht="19.899999999999999" customHeight="1" x14ac:dyDescent="0.25">
      <c r="A1872" s="51"/>
      <c r="B1872" s="52"/>
      <c r="C1872" s="165"/>
      <c r="D1872" s="52"/>
      <c r="E1872" s="115"/>
      <c r="F1872" s="58"/>
      <c r="G1872" s="58"/>
      <c r="H1872" s="58"/>
      <c r="I1872" s="55"/>
      <c r="J1872" s="113">
        <f>J1871</f>
        <v>1.4064999999999999</v>
      </c>
      <c r="K1872" s="212">
        <f>K1871</f>
        <v>1.4064999999999999</v>
      </c>
      <c r="L1872" s="58"/>
      <c r="M1872" s="58">
        <f>K1872-L1872</f>
        <v>1.4064999999999999</v>
      </c>
      <c r="N1872" s="166"/>
      <c r="O1872" s="58"/>
      <c r="P1872" s="58"/>
      <c r="Q1872" s="58"/>
      <c r="R1872" s="58"/>
      <c r="S1872" s="58"/>
      <c r="T1872" s="220"/>
      <c r="U1872" s="88"/>
      <c r="V1872" s="56"/>
      <c r="W1872" s="57" t="s">
        <v>1381</v>
      </c>
      <c r="X1872" s="53"/>
      <c r="Y1872" s="91" t="s">
        <v>35</v>
      </c>
      <c r="Z1872" s="136">
        <f>AD1872/AC1872</f>
        <v>630093.75</v>
      </c>
      <c r="AA1872" s="58"/>
      <c r="AB1872" s="53">
        <f>AD1872/AC1872</f>
        <v>630093.75</v>
      </c>
      <c r="AC1872" s="53">
        <f>M1872+$AE$10</f>
        <v>1.4064999999999999</v>
      </c>
      <c r="AD1872" s="54">
        <f>SUM(AD1873:AD1873)</f>
        <v>886226.85937499988</v>
      </c>
      <c r="AE1872" s="184">
        <f>SUMIFS($AD$37:$AD$12971,$V$37:$V$12971,$V1872,$X$37:$X$12971,AE$13)</f>
        <v>0</v>
      </c>
      <c r="AF1872" s="185">
        <f>SUMIFS($AD$37:$AD$12971,$V$37:$V$12971,$V1872,$X$37:$X$12971,AF$13)</f>
        <v>0</v>
      </c>
      <c r="AG1872" s="185">
        <f>SUMIFS($AD$37:$AD$12971,$V$37:$V$12971,$V1872,$X$37:$X$12971,AG$13)</f>
        <v>0</v>
      </c>
      <c r="AH1872" s="187">
        <f>SUMIFS($AD$37:$AD$12971,$V$37:$V$12971,$V1872,$X$37:$X$12971,AH$13)</f>
        <v>0</v>
      </c>
      <c r="AI1872" s="161">
        <f t="shared" ref="AI1872" si="1364">SUM(AE1872:AH1872)</f>
        <v>0</v>
      </c>
      <c r="AK1872" s="172"/>
    </row>
    <row r="1873" spans="1:41" s="102" customFormat="1" ht="19.899999999999999" customHeight="1" x14ac:dyDescent="0.25">
      <c r="A1873" s="45"/>
      <c r="B1873" s="59"/>
      <c r="C1873" s="137"/>
      <c r="D1873" s="59"/>
      <c r="E1873" s="116"/>
      <c r="F1873" s="120"/>
      <c r="G1873" s="120"/>
      <c r="H1873" s="120"/>
      <c r="I1873" s="60"/>
      <c r="J1873" s="116"/>
      <c r="K1873" s="213"/>
      <c r="L1873" s="120"/>
      <c r="M1873" s="120"/>
      <c r="N1873" s="167"/>
      <c r="O1873" s="120"/>
      <c r="P1873" s="120"/>
      <c r="Q1873" s="120"/>
      <c r="R1873" s="120"/>
      <c r="S1873" s="120"/>
      <c r="T1873" s="221"/>
      <c r="U1873" s="89"/>
      <c r="V1873" s="61"/>
      <c r="W1873" s="92" t="s">
        <v>1386</v>
      </c>
      <c r="X1873" s="93" t="s">
        <v>32</v>
      </c>
      <c r="Y1873" s="93" t="s">
        <v>35</v>
      </c>
      <c r="Z1873" s="134">
        <f>VLOOKUP(W1873,Sheet2!$B:$D,3,FALSE)</f>
        <v>630093.75</v>
      </c>
      <c r="AA1873" s="93">
        <v>1</v>
      </c>
      <c r="AB1873" s="93">
        <f>AD1873/AC1872</f>
        <v>630093.75</v>
      </c>
      <c r="AC1873" s="93">
        <f>AC1872/AA1873</f>
        <v>1.4064999999999999</v>
      </c>
      <c r="AD1873" s="94">
        <f t="shared" ref="AD1873" si="1365">AC1873*Z1873</f>
        <v>886226.85937499988</v>
      </c>
      <c r="AE1873" s="190"/>
      <c r="AF1873" s="191"/>
      <c r="AG1873" s="191"/>
      <c r="AH1873" s="191"/>
      <c r="AI1873" s="186"/>
      <c r="AK1873" s="171"/>
    </row>
    <row r="1874" spans="1:41" ht="37.5" customHeight="1" x14ac:dyDescent="0.25">
      <c r="A1874" s="277" t="s">
        <v>216</v>
      </c>
      <c r="B1874" s="278"/>
      <c r="C1874" s="64" t="s">
        <v>396</v>
      </c>
      <c r="D1874" s="46" t="s">
        <v>215</v>
      </c>
      <c r="E1874" s="114">
        <v>1</v>
      </c>
      <c r="F1874" s="44">
        <v>314702</v>
      </c>
      <c r="G1874" s="44">
        <f t="shared" si="1286"/>
        <v>314702</v>
      </c>
      <c r="H1874" s="44">
        <f t="shared" si="1287"/>
        <v>193875</v>
      </c>
      <c r="I1874" s="43">
        <f t="shared" si="1288"/>
        <v>193875</v>
      </c>
      <c r="J1874" s="112">
        <f t="shared" si="1289"/>
        <v>1</v>
      </c>
      <c r="K1874" s="211">
        <f t="shared" si="1290"/>
        <v>1</v>
      </c>
      <c r="L1874" s="44"/>
      <c r="M1874" s="44">
        <f t="shared" si="1296"/>
        <v>1</v>
      </c>
      <c r="N1874" s="173">
        <f t="shared" si="1291"/>
        <v>1</v>
      </c>
      <c r="O1874" s="44">
        <f t="shared" si="1292"/>
        <v>314702</v>
      </c>
      <c r="P1874" s="44">
        <f t="shared" si="1293"/>
        <v>314702</v>
      </c>
      <c r="Q1874" s="44">
        <f t="shared" si="1294"/>
        <v>193875</v>
      </c>
      <c r="R1874" s="44">
        <f t="shared" si="1297"/>
        <v>193875</v>
      </c>
      <c r="S1874" s="123"/>
      <c r="T1874" s="219">
        <f t="shared" si="1298"/>
        <v>193875</v>
      </c>
      <c r="U1874" s="87"/>
      <c r="V1874" s="47"/>
      <c r="W1874" s="48"/>
      <c r="X1874" s="48"/>
      <c r="Y1874" s="48"/>
      <c r="Z1874" s="135"/>
      <c r="AA1874" s="49"/>
      <c r="AB1874" s="50">
        <f t="shared" si="1295"/>
        <v>193875</v>
      </c>
      <c r="AC1874" s="42">
        <f t="shared" si="1299"/>
        <v>1</v>
      </c>
      <c r="AD1874" s="90">
        <f>AD1875</f>
        <v>193875</v>
      </c>
      <c r="AE1874" s="188">
        <f t="shared" ref="AE1874" si="1366">AE1875</f>
        <v>0</v>
      </c>
      <c r="AF1874" s="189">
        <f t="shared" ref="AF1874" si="1367">AF1875</f>
        <v>0</v>
      </c>
      <c r="AG1874" s="189">
        <f t="shared" ref="AG1874" si="1368">AG1875</f>
        <v>0</v>
      </c>
      <c r="AH1874" s="189">
        <f t="shared" ref="AH1874" si="1369">AH1875</f>
        <v>0</v>
      </c>
      <c r="AI1874" s="161">
        <f t="shared" ref="AI1874" si="1370">SUM(AE1874:AH1874)</f>
        <v>0</v>
      </c>
      <c r="AK1874" s="169">
        <v>5</v>
      </c>
      <c r="AO1874" s="19" t="s">
        <v>63</v>
      </c>
    </row>
    <row r="1875" spans="1:41" s="103" customFormat="1" ht="19.899999999999999" customHeight="1" x14ac:dyDescent="0.25">
      <c r="A1875" s="51"/>
      <c r="B1875" s="52"/>
      <c r="C1875" s="165"/>
      <c r="D1875" s="52"/>
      <c r="E1875" s="115"/>
      <c r="F1875" s="58"/>
      <c r="G1875" s="58"/>
      <c r="H1875" s="58"/>
      <c r="I1875" s="55"/>
      <c r="J1875" s="113">
        <f>J1874</f>
        <v>1</v>
      </c>
      <c r="K1875" s="212">
        <f>K1874</f>
        <v>1</v>
      </c>
      <c r="L1875" s="58"/>
      <c r="M1875" s="58">
        <f>K1875-L1875</f>
        <v>1</v>
      </c>
      <c r="N1875" s="166"/>
      <c r="O1875" s="58"/>
      <c r="P1875" s="58"/>
      <c r="Q1875" s="58"/>
      <c r="R1875" s="58"/>
      <c r="S1875" s="58"/>
      <c r="T1875" s="220"/>
      <c r="U1875" s="88"/>
      <c r="V1875" s="56"/>
      <c r="W1875" s="57" t="s">
        <v>1382</v>
      </c>
      <c r="X1875" s="53"/>
      <c r="Y1875" s="91" t="s">
        <v>35</v>
      </c>
      <c r="Z1875" s="136">
        <f>AD1875/AC1875</f>
        <v>193875</v>
      </c>
      <c r="AA1875" s="58"/>
      <c r="AB1875" s="53">
        <f>AD1875/AC1875</f>
        <v>193875</v>
      </c>
      <c r="AC1875" s="53">
        <f>M1875+$AE$10</f>
        <v>1</v>
      </c>
      <c r="AD1875" s="54">
        <f>SUM(AD1876:AD1876)</f>
        <v>193875</v>
      </c>
      <c r="AE1875" s="184">
        <f>SUMIFS($AD$37:$AD$12971,$V$37:$V$12971,$V1875,$X$37:$X$12971,AE$13)</f>
        <v>0</v>
      </c>
      <c r="AF1875" s="185">
        <f>SUMIFS($AD$37:$AD$12971,$V$37:$V$12971,$V1875,$X$37:$X$12971,AF$13)</f>
        <v>0</v>
      </c>
      <c r="AG1875" s="185">
        <f>SUMIFS($AD$37:$AD$12971,$V$37:$V$12971,$V1875,$X$37:$X$12971,AG$13)</f>
        <v>0</v>
      </c>
      <c r="AH1875" s="187">
        <f>SUMIFS($AD$37:$AD$12971,$V$37:$V$12971,$V1875,$X$37:$X$12971,AH$13)</f>
        <v>0</v>
      </c>
      <c r="AI1875" s="161">
        <f t="shared" ref="AI1875" si="1371">SUM(AE1875:AH1875)</f>
        <v>0</v>
      </c>
      <c r="AK1875" s="172"/>
    </row>
    <row r="1876" spans="1:41" s="102" customFormat="1" ht="19.899999999999999" customHeight="1" x14ac:dyDescent="0.25">
      <c r="A1876" s="45"/>
      <c r="B1876" s="59"/>
      <c r="C1876" s="137"/>
      <c r="D1876" s="59"/>
      <c r="E1876" s="116"/>
      <c r="F1876" s="120"/>
      <c r="G1876" s="120"/>
      <c r="H1876" s="120"/>
      <c r="I1876" s="60"/>
      <c r="J1876" s="116"/>
      <c r="K1876" s="213"/>
      <c r="L1876" s="120"/>
      <c r="M1876" s="120"/>
      <c r="N1876" s="167"/>
      <c r="O1876" s="120"/>
      <c r="P1876" s="120"/>
      <c r="Q1876" s="120"/>
      <c r="R1876" s="120"/>
      <c r="S1876" s="120"/>
      <c r="T1876" s="221"/>
      <c r="U1876" s="89"/>
      <c r="V1876" s="61"/>
      <c r="W1876" s="92" t="s">
        <v>1387</v>
      </c>
      <c r="X1876" s="93" t="s">
        <v>32</v>
      </c>
      <c r="Y1876" s="93" t="s">
        <v>35</v>
      </c>
      <c r="Z1876" s="134">
        <f>VLOOKUP(W1876,Sheet2!$B:$D,3,FALSE)</f>
        <v>193875</v>
      </c>
      <c r="AA1876" s="93">
        <v>1</v>
      </c>
      <c r="AB1876" s="93">
        <f>AD1876/AC1875</f>
        <v>193875</v>
      </c>
      <c r="AC1876" s="93">
        <f>AC1875/AA1876</f>
        <v>1</v>
      </c>
      <c r="AD1876" s="94">
        <f t="shared" ref="AD1876" si="1372">AC1876*Z1876</f>
        <v>193875</v>
      </c>
      <c r="AE1876" s="190"/>
      <c r="AF1876" s="191"/>
      <c r="AG1876" s="191"/>
      <c r="AH1876" s="191"/>
      <c r="AI1876" s="186"/>
      <c r="AK1876" s="171"/>
    </row>
    <row r="1877" spans="1:41" ht="25.5" x14ac:dyDescent="0.25">
      <c r="A1877" s="277" t="s">
        <v>216</v>
      </c>
      <c r="B1877" s="278"/>
      <c r="C1877" s="64" t="s">
        <v>397</v>
      </c>
      <c r="D1877" s="46" t="s">
        <v>215</v>
      </c>
      <c r="E1877" s="114">
        <v>1</v>
      </c>
      <c r="F1877" s="44">
        <v>283232</v>
      </c>
      <c r="G1877" s="44">
        <f t="shared" si="1286"/>
        <v>283232</v>
      </c>
      <c r="H1877" s="44">
        <f t="shared" si="1287"/>
        <v>174487.5</v>
      </c>
      <c r="I1877" s="43">
        <f t="shared" si="1288"/>
        <v>174487.5</v>
      </c>
      <c r="J1877" s="112">
        <f t="shared" si="1289"/>
        <v>1</v>
      </c>
      <c r="K1877" s="211">
        <f t="shared" si="1290"/>
        <v>1</v>
      </c>
      <c r="L1877" s="44"/>
      <c r="M1877" s="44">
        <f t="shared" si="1296"/>
        <v>1</v>
      </c>
      <c r="N1877" s="173">
        <f t="shared" si="1291"/>
        <v>1</v>
      </c>
      <c r="O1877" s="44">
        <f t="shared" si="1292"/>
        <v>283232</v>
      </c>
      <c r="P1877" s="44">
        <f t="shared" si="1293"/>
        <v>283232</v>
      </c>
      <c r="Q1877" s="44">
        <f t="shared" si="1294"/>
        <v>174487.5</v>
      </c>
      <c r="R1877" s="44">
        <f t="shared" si="1297"/>
        <v>174487.5</v>
      </c>
      <c r="S1877" s="123"/>
      <c r="T1877" s="219">
        <f t="shared" si="1298"/>
        <v>174487.5</v>
      </c>
      <c r="U1877" s="87"/>
      <c r="V1877" s="47"/>
      <c r="W1877" s="48"/>
      <c r="X1877" s="48"/>
      <c r="Y1877" s="48"/>
      <c r="Z1877" s="135"/>
      <c r="AA1877" s="49"/>
      <c r="AB1877" s="50">
        <f t="shared" si="1295"/>
        <v>174487.5</v>
      </c>
      <c r="AC1877" s="42">
        <f t="shared" si="1299"/>
        <v>1</v>
      </c>
      <c r="AD1877" s="90">
        <f>AD1878</f>
        <v>174487.5</v>
      </c>
      <c r="AE1877" s="188">
        <f t="shared" ref="AE1877" si="1373">AE1878</f>
        <v>0</v>
      </c>
      <c r="AF1877" s="189">
        <f t="shared" ref="AF1877" si="1374">AF1878</f>
        <v>0</v>
      </c>
      <c r="AG1877" s="189">
        <f t="shared" ref="AG1877" si="1375">AG1878</f>
        <v>0</v>
      </c>
      <c r="AH1877" s="189">
        <f t="shared" ref="AH1877" si="1376">AH1878</f>
        <v>0</v>
      </c>
      <c r="AI1877" s="161">
        <f t="shared" ref="AI1877" si="1377">SUM(AE1877:AH1877)</f>
        <v>0</v>
      </c>
      <c r="AK1877" s="169">
        <v>5</v>
      </c>
      <c r="AO1877" s="19" t="s">
        <v>63</v>
      </c>
    </row>
    <row r="1878" spans="1:41" s="103" customFormat="1" ht="19.899999999999999" customHeight="1" x14ac:dyDescent="0.25">
      <c r="A1878" s="51"/>
      <c r="B1878" s="52"/>
      <c r="C1878" s="165"/>
      <c r="D1878" s="52"/>
      <c r="E1878" s="115"/>
      <c r="F1878" s="58"/>
      <c r="G1878" s="58"/>
      <c r="H1878" s="58"/>
      <c r="I1878" s="55"/>
      <c r="J1878" s="113">
        <f>J1877</f>
        <v>1</v>
      </c>
      <c r="K1878" s="212">
        <f>K1877</f>
        <v>1</v>
      </c>
      <c r="L1878" s="58"/>
      <c r="M1878" s="58">
        <f>K1878-L1878</f>
        <v>1</v>
      </c>
      <c r="N1878" s="166"/>
      <c r="O1878" s="58"/>
      <c r="P1878" s="58"/>
      <c r="Q1878" s="58"/>
      <c r="R1878" s="58"/>
      <c r="S1878" s="58"/>
      <c r="T1878" s="220"/>
      <c r="U1878" s="88"/>
      <c r="V1878" s="56"/>
      <c r="W1878" s="57" t="s">
        <v>1383</v>
      </c>
      <c r="X1878" s="53"/>
      <c r="Y1878" s="91" t="s">
        <v>35</v>
      </c>
      <c r="Z1878" s="136">
        <f>AD1878/AC1878</f>
        <v>174487.5</v>
      </c>
      <c r="AA1878" s="58"/>
      <c r="AB1878" s="53">
        <f>AD1878/AC1878</f>
        <v>174487.5</v>
      </c>
      <c r="AC1878" s="53">
        <f>M1878+$AE$10</f>
        <v>1</v>
      </c>
      <c r="AD1878" s="54">
        <f>SUM(AD1879:AD1879)</f>
        <v>174487.5</v>
      </c>
      <c r="AE1878" s="184">
        <f>SUMIFS($AD$37:$AD$12971,$V$37:$V$12971,$V1878,$X$37:$X$12971,AE$13)</f>
        <v>0</v>
      </c>
      <c r="AF1878" s="185">
        <f>SUMIFS($AD$37:$AD$12971,$V$37:$V$12971,$V1878,$X$37:$X$12971,AF$13)</f>
        <v>0</v>
      </c>
      <c r="AG1878" s="185">
        <f>SUMIFS($AD$37:$AD$12971,$V$37:$V$12971,$V1878,$X$37:$X$12971,AG$13)</f>
        <v>0</v>
      </c>
      <c r="AH1878" s="187">
        <f>SUMIFS($AD$37:$AD$12971,$V$37:$V$12971,$V1878,$X$37:$X$12971,AH$13)</f>
        <v>0</v>
      </c>
      <c r="AI1878" s="161">
        <f t="shared" ref="AI1878" si="1378">SUM(AE1878:AH1878)</f>
        <v>0</v>
      </c>
      <c r="AK1878" s="172"/>
    </row>
    <row r="1879" spans="1:41" s="102" customFormat="1" ht="19.899999999999999" customHeight="1" x14ac:dyDescent="0.25">
      <c r="A1879" s="45"/>
      <c r="B1879" s="59"/>
      <c r="C1879" s="137"/>
      <c r="D1879" s="59"/>
      <c r="E1879" s="116"/>
      <c r="F1879" s="120"/>
      <c r="G1879" s="120"/>
      <c r="H1879" s="120"/>
      <c r="I1879" s="60"/>
      <c r="J1879" s="116"/>
      <c r="K1879" s="213"/>
      <c r="L1879" s="120"/>
      <c r="M1879" s="120"/>
      <c r="N1879" s="167"/>
      <c r="O1879" s="120"/>
      <c r="P1879" s="120"/>
      <c r="Q1879" s="120"/>
      <c r="R1879" s="120"/>
      <c r="S1879" s="120"/>
      <c r="T1879" s="221"/>
      <c r="U1879" s="89"/>
      <c r="V1879" s="61"/>
      <c r="W1879" s="92" t="s">
        <v>1388</v>
      </c>
      <c r="X1879" s="93" t="s">
        <v>32</v>
      </c>
      <c r="Y1879" s="93" t="s">
        <v>35</v>
      </c>
      <c r="Z1879" s="134">
        <f>VLOOKUP(W1879,Sheet2!$B:$D,3,FALSE)</f>
        <v>174487.5</v>
      </c>
      <c r="AA1879" s="93">
        <v>1</v>
      </c>
      <c r="AB1879" s="93">
        <f>AD1879/AC1878</f>
        <v>174487.5</v>
      </c>
      <c r="AC1879" s="93">
        <f>AC1878/AA1879</f>
        <v>1</v>
      </c>
      <c r="AD1879" s="94">
        <f t="shared" ref="AD1879" si="1379">AC1879*Z1879</f>
        <v>174487.5</v>
      </c>
      <c r="AE1879" s="190"/>
      <c r="AF1879" s="191"/>
      <c r="AG1879" s="191"/>
      <c r="AH1879" s="191"/>
      <c r="AI1879" s="186"/>
      <c r="AK1879" s="171"/>
    </row>
    <row r="1880" spans="1:41" ht="25.5" x14ac:dyDescent="0.25">
      <c r="A1880" s="277" t="s">
        <v>216</v>
      </c>
      <c r="B1880" s="278"/>
      <c r="C1880" s="64" t="s">
        <v>398</v>
      </c>
      <c r="D1880" s="46" t="s">
        <v>215</v>
      </c>
      <c r="E1880" s="114">
        <v>1</v>
      </c>
      <c r="F1880" s="44">
        <v>157351</v>
      </c>
      <c r="G1880" s="44">
        <f t="shared" si="1286"/>
        <v>157351</v>
      </c>
      <c r="H1880" s="44">
        <f t="shared" si="1287"/>
        <v>69937.5</v>
      </c>
      <c r="I1880" s="43">
        <f t="shared" si="1288"/>
        <v>69937.5</v>
      </c>
      <c r="J1880" s="112">
        <f t="shared" si="1289"/>
        <v>1</v>
      </c>
      <c r="K1880" s="211">
        <f t="shared" si="1290"/>
        <v>1</v>
      </c>
      <c r="L1880" s="44"/>
      <c r="M1880" s="44">
        <f t="shared" si="1296"/>
        <v>1</v>
      </c>
      <c r="N1880" s="173">
        <f t="shared" si="1291"/>
        <v>1</v>
      </c>
      <c r="O1880" s="44">
        <f t="shared" si="1292"/>
        <v>157351</v>
      </c>
      <c r="P1880" s="44">
        <f t="shared" si="1293"/>
        <v>157351</v>
      </c>
      <c r="Q1880" s="44">
        <f t="shared" si="1294"/>
        <v>69937.5</v>
      </c>
      <c r="R1880" s="44">
        <f t="shared" si="1297"/>
        <v>69937.5</v>
      </c>
      <c r="S1880" s="123"/>
      <c r="T1880" s="219">
        <f t="shared" si="1298"/>
        <v>69937.5</v>
      </c>
      <c r="U1880" s="87"/>
      <c r="V1880" s="47"/>
      <c r="W1880" s="48"/>
      <c r="X1880" s="48"/>
      <c r="Y1880" s="48"/>
      <c r="Z1880" s="135"/>
      <c r="AA1880" s="49"/>
      <c r="AB1880" s="50">
        <f t="shared" si="1295"/>
        <v>69937.5</v>
      </c>
      <c r="AC1880" s="42">
        <f t="shared" si="1299"/>
        <v>1</v>
      </c>
      <c r="AD1880" s="90">
        <f>AD1881</f>
        <v>69937.5</v>
      </c>
      <c r="AE1880" s="188">
        <f t="shared" ref="AE1880" si="1380">AE1881</f>
        <v>0</v>
      </c>
      <c r="AF1880" s="189">
        <f t="shared" ref="AF1880" si="1381">AF1881</f>
        <v>0</v>
      </c>
      <c r="AG1880" s="189">
        <f t="shared" ref="AG1880" si="1382">AG1881</f>
        <v>0</v>
      </c>
      <c r="AH1880" s="189">
        <f t="shared" ref="AH1880" si="1383">AH1881</f>
        <v>0</v>
      </c>
      <c r="AI1880" s="161">
        <f t="shared" ref="AI1880" si="1384">SUM(AE1880:AH1880)</f>
        <v>0</v>
      </c>
      <c r="AK1880" s="169">
        <v>5</v>
      </c>
      <c r="AO1880" s="19" t="s">
        <v>63</v>
      </c>
    </row>
    <row r="1881" spans="1:41" s="103" customFormat="1" ht="19.899999999999999" customHeight="1" x14ac:dyDescent="0.25">
      <c r="A1881" s="51"/>
      <c r="B1881" s="52"/>
      <c r="C1881" s="165"/>
      <c r="D1881" s="52"/>
      <c r="E1881" s="115"/>
      <c r="F1881" s="58"/>
      <c r="G1881" s="58"/>
      <c r="H1881" s="58"/>
      <c r="I1881" s="55"/>
      <c r="J1881" s="113">
        <f>J1880</f>
        <v>1</v>
      </c>
      <c r="K1881" s="212">
        <f>K1880</f>
        <v>1</v>
      </c>
      <c r="L1881" s="58"/>
      <c r="M1881" s="58">
        <f>K1881-L1881</f>
        <v>1</v>
      </c>
      <c r="N1881" s="166"/>
      <c r="O1881" s="58"/>
      <c r="P1881" s="58"/>
      <c r="Q1881" s="58"/>
      <c r="R1881" s="58"/>
      <c r="S1881" s="58"/>
      <c r="T1881" s="220"/>
      <c r="U1881" s="88"/>
      <c r="V1881" s="56"/>
      <c r="W1881" s="57" t="s">
        <v>1384</v>
      </c>
      <c r="X1881" s="53"/>
      <c r="Y1881" s="91" t="s">
        <v>35</v>
      </c>
      <c r="Z1881" s="136">
        <f>AD1881/AC1881</f>
        <v>69937.5</v>
      </c>
      <c r="AA1881" s="58"/>
      <c r="AB1881" s="53">
        <f>AD1881/AC1881</f>
        <v>69937.5</v>
      </c>
      <c r="AC1881" s="53">
        <f>M1881+$AE$10</f>
        <v>1</v>
      </c>
      <c r="AD1881" s="54">
        <f>SUM(AD1882:AD1882)</f>
        <v>69937.5</v>
      </c>
      <c r="AE1881" s="184">
        <f>SUMIFS($AD$37:$AD$12971,$V$37:$V$12971,$V1881,$X$37:$X$12971,AE$13)</f>
        <v>0</v>
      </c>
      <c r="AF1881" s="185">
        <f>SUMIFS($AD$37:$AD$12971,$V$37:$V$12971,$V1881,$X$37:$X$12971,AF$13)</f>
        <v>0</v>
      </c>
      <c r="AG1881" s="185">
        <f>SUMIFS($AD$37:$AD$12971,$V$37:$V$12971,$V1881,$X$37:$X$12971,AG$13)</f>
        <v>0</v>
      </c>
      <c r="AH1881" s="187">
        <f>SUMIFS($AD$37:$AD$12971,$V$37:$V$12971,$V1881,$X$37:$X$12971,AH$13)</f>
        <v>0</v>
      </c>
      <c r="AI1881" s="161">
        <f t="shared" ref="AI1881" si="1385">SUM(AE1881:AH1881)</f>
        <v>0</v>
      </c>
      <c r="AK1881" s="172"/>
    </row>
    <row r="1882" spans="1:41" s="102" customFormat="1" ht="19.899999999999999" customHeight="1" x14ac:dyDescent="0.25">
      <c r="A1882" s="45"/>
      <c r="B1882" s="59"/>
      <c r="C1882" s="137"/>
      <c r="D1882" s="59"/>
      <c r="E1882" s="116"/>
      <c r="F1882" s="120"/>
      <c r="G1882" s="120"/>
      <c r="H1882" s="120"/>
      <c r="I1882" s="60"/>
      <c r="J1882" s="116"/>
      <c r="K1882" s="213"/>
      <c r="L1882" s="120"/>
      <c r="M1882" s="120"/>
      <c r="N1882" s="167"/>
      <c r="O1882" s="120"/>
      <c r="P1882" s="120"/>
      <c r="Q1882" s="120"/>
      <c r="R1882" s="120"/>
      <c r="S1882" s="120"/>
      <c r="T1882" s="221"/>
      <c r="U1882" s="89"/>
      <c r="V1882" s="61"/>
      <c r="W1882" s="92" t="s">
        <v>1385</v>
      </c>
      <c r="X1882" s="93" t="s">
        <v>32</v>
      </c>
      <c r="Y1882" s="93" t="s">
        <v>35</v>
      </c>
      <c r="Z1882" s="134">
        <f>VLOOKUP(W1882,Sheet2!$B:$D,3,FALSE)</f>
        <v>69937.5</v>
      </c>
      <c r="AA1882" s="93">
        <v>1</v>
      </c>
      <c r="AB1882" s="93">
        <f>AD1882/AC1881</f>
        <v>69937.5</v>
      </c>
      <c r="AC1882" s="93">
        <f>AC1881/AA1882</f>
        <v>1</v>
      </c>
      <c r="AD1882" s="94">
        <f t="shared" ref="AD1882" si="1386">AC1882*Z1882</f>
        <v>69937.5</v>
      </c>
      <c r="AE1882" s="190"/>
      <c r="AF1882" s="191"/>
      <c r="AG1882" s="191"/>
      <c r="AH1882" s="191"/>
      <c r="AI1882" s="186"/>
      <c r="AK1882" s="171"/>
    </row>
    <row r="1883" spans="1:41" ht="38.25" x14ac:dyDescent="0.25">
      <c r="A1883" s="277" t="s">
        <v>216</v>
      </c>
      <c r="B1883" s="278"/>
      <c r="C1883" s="64" t="s">
        <v>399</v>
      </c>
      <c r="D1883" s="46" t="s">
        <v>215</v>
      </c>
      <c r="E1883" s="114">
        <v>2</v>
      </c>
      <c r="F1883" s="44">
        <v>59793</v>
      </c>
      <c r="G1883" s="44">
        <f t="shared" si="1286"/>
        <v>119586</v>
      </c>
      <c r="H1883" s="44">
        <f t="shared" si="1287"/>
        <v>49115</v>
      </c>
      <c r="I1883" s="43">
        <f t="shared" si="1288"/>
        <v>98230</v>
      </c>
      <c r="J1883" s="112">
        <f t="shared" si="1289"/>
        <v>2</v>
      </c>
      <c r="K1883" s="211">
        <f t="shared" si="1290"/>
        <v>2</v>
      </c>
      <c r="L1883" s="44"/>
      <c r="M1883" s="44">
        <f t="shared" si="1296"/>
        <v>2</v>
      </c>
      <c r="N1883" s="173">
        <f t="shared" si="1291"/>
        <v>1</v>
      </c>
      <c r="O1883" s="44">
        <f t="shared" si="1292"/>
        <v>59793</v>
      </c>
      <c r="P1883" s="44">
        <f t="shared" si="1293"/>
        <v>119586</v>
      </c>
      <c r="Q1883" s="44">
        <f t="shared" si="1294"/>
        <v>49115</v>
      </c>
      <c r="R1883" s="44">
        <f t="shared" si="1297"/>
        <v>98230</v>
      </c>
      <c r="S1883" s="123"/>
      <c r="T1883" s="219">
        <f t="shared" si="1298"/>
        <v>98230</v>
      </c>
      <c r="U1883" s="87"/>
      <c r="V1883" s="47"/>
      <c r="W1883" s="48"/>
      <c r="X1883" s="48"/>
      <c r="Y1883" s="48"/>
      <c r="Z1883" s="135"/>
      <c r="AA1883" s="49"/>
      <c r="AB1883" s="50">
        <f t="shared" si="1295"/>
        <v>49115</v>
      </c>
      <c r="AC1883" s="42">
        <f t="shared" si="1299"/>
        <v>2</v>
      </c>
      <c r="AD1883" s="90">
        <f>AD1884</f>
        <v>98230</v>
      </c>
      <c r="AE1883" s="188">
        <f t="shared" ref="AE1883" si="1387">AE1884</f>
        <v>0</v>
      </c>
      <c r="AF1883" s="189">
        <f t="shared" ref="AF1883" si="1388">AF1884</f>
        <v>0</v>
      </c>
      <c r="AG1883" s="189">
        <f t="shared" ref="AG1883" si="1389">AG1884</f>
        <v>0</v>
      </c>
      <c r="AH1883" s="189">
        <f t="shared" ref="AH1883" si="1390">AH1884</f>
        <v>0</v>
      </c>
      <c r="AI1883" s="161">
        <f t="shared" ref="AI1883" si="1391">SUM(AE1883:AH1883)</f>
        <v>0</v>
      </c>
      <c r="AK1883" s="169">
        <v>5</v>
      </c>
      <c r="AO1883" s="19" t="s">
        <v>63</v>
      </c>
    </row>
    <row r="1884" spans="1:41" s="103" customFormat="1" ht="19.899999999999999" customHeight="1" x14ac:dyDescent="0.25">
      <c r="A1884" s="51"/>
      <c r="B1884" s="52"/>
      <c r="C1884" s="165"/>
      <c r="D1884" s="52"/>
      <c r="E1884" s="115"/>
      <c r="F1884" s="58"/>
      <c r="G1884" s="58"/>
      <c r="H1884" s="58"/>
      <c r="I1884" s="55"/>
      <c r="J1884" s="113">
        <f>J1883</f>
        <v>2</v>
      </c>
      <c r="K1884" s="212">
        <f>K1883</f>
        <v>2</v>
      </c>
      <c r="L1884" s="58"/>
      <c r="M1884" s="58">
        <f>K1884-L1884</f>
        <v>2</v>
      </c>
      <c r="N1884" s="166"/>
      <c r="O1884" s="58"/>
      <c r="P1884" s="58"/>
      <c r="Q1884" s="58"/>
      <c r="R1884" s="58"/>
      <c r="S1884" s="58"/>
      <c r="T1884" s="220"/>
      <c r="U1884" s="88"/>
      <c r="V1884" s="56"/>
      <c r="W1884" s="57" t="s">
        <v>1390</v>
      </c>
      <c r="X1884" s="53"/>
      <c r="Y1884" s="91" t="s">
        <v>35</v>
      </c>
      <c r="Z1884" s="136">
        <f>AD1884/AC1884</f>
        <v>49115</v>
      </c>
      <c r="AA1884" s="58"/>
      <c r="AB1884" s="53">
        <f>AD1884/AC1884</f>
        <v>49115</v>
      </c>
      <c r="AC1884" s="53">
        <f>M1884+$AE$10</f>
        <v>2</v>
      </c>
      <c r="AD1884" s="54">
        <f>SUM(AD1885:AD1885)</f>
        <v>98230</v>
      </c>
      <c r="AE1884" s="184">
        <f>SUMIFS($AD$37:$AD$12971,$V$37:$V$12971,$V1884,$X$37:$X$12971,AE$13)</f>
        <v>0</v>
      </c>
      <c r="AF1884" s="185">
        <f>SUMIFS($AD$37:$AD$12971,$V$37:$V$12971,$V1884,$X$37:$X$12971,AF$13)</f>
        <v>0</v>
      </c>
      <c r="AG1884" s="185">
        <f>SUMIFS($AD$37:$AD$12971,$V$37:$V$12971,$V1884,$X$37:$X$12971,AG$13)</f>
        <v>0</v>
      </c>
      <c r="AH1884" s="187">
        <f>SUMIFS($AD$37:$AD$12971,$V$37:$V$12971,$V1884,$X$37:$X$12971,AH$13)</f>
        <v>0</v>
      </c>
      <c r="AI1884" s="161">
        <f t="shared" ref="AI1884" si="1392">SUM(AE1884:AH1884)</f>
        <v>0</v>
      </c>
      <c r="AK1884" s="172"/>
    </row>
    <row r="1885" spans="1:41" s="102" customFormat="1" ht="19.899999999999999" customHeight="1" x14ac:dyDescent="0.25">
      <c r="A1885" s="45"/>
      <c r="B1885" s="59"/>
      <c r="C1885" s="137"/>
      <c r="D1885" s="59"/>
      <c r="E1885" s="116"/>
      <c r="F1885" s="120"/>
      <c r="G1885" s="120"/>
      <c r="H1885" s="120"/>
      <c r="I1885" s="60"/>
      <c r="J1885" s="116"/>
      <c r="K1885" s="213"/>
      <c r="L1885" s="120"/>
      <c r="M1885" s="120"/>
      <c r="N1885" s="167"/>
      <c r="O1885" s="120"/>
      <c r="P1885" s="120"/>
      <c r="Q1885" s="120"/>
      <c r="R1885" s="120"/>
      <c r="S1885" s="120"/>
      <c r="T1885" s="221"/>
      <c r="U1885" s="89"/>
      <c r="V1885" s="61"/>
      <c r="W1885" s="92" t="s">
        <v>1389</v>
      </c>
      <c r="X1885" s="93" t="s">
        <v>32</v>
      </c>
      <c r="Y1885" s="93" t="s">
        <v>35</v>
      </c>
      <c r="Z1885" s="134">
        <f>VLOOKUP(W1885,Sheet2!$B:$D,3,FALSE)</f>
        <v>49115</v>
      </c>
      <c r="AA1885" s="93">
        <v>1</v>
      </c>
      <c r="AB1885" s="93">
        <f>AD1885/AC1884</f>
        <v>49115</v>
      </c>
      <c r="AC1885" s="93">
        <f>AC1884/AA1885</f>
        <v>2</v>
      </c>
      <c r="AD1885" s="94">
        <f t="shared" ref="AD1885" si="1393">AC1885*Z1885</f>
        <v>98230</v>
      </c>
      <c r="AE1885" s="190"/>
      <c r="AF1885" s="191"/>
      <c r="AG1885" s="191"/>
      <c r="AH1885" s="191"/>
      <c r="AI1885" s="186"/>
      <c r="AK1885" s="171"/>
    </row>
    <row r="1886" spans="1:41" ht="20.100000000000001" customHeight="1" x14ac:dyDescent="0.25">
      <c r="A1886" s="277" t="s">
        <v>216</v>
      </c>
      <c r="B1886" s="278"/>
      <c r="C1886" s="64" t="s">
        <v>400</v>
      </c>
      <c r="D1886" s="46" t="s">
        <v>215</v>
      </c>
      <c r="E1886" s="114">
        <v>1</v>
      </c>
      <c r="F1886" s="44">
        <v>46262</v>
      </c>
      <c r="G1886" s="44">
        <f t="shared" si="1286"/>
        <v>46262</v>
      </c>
      <c r="H1886" s="44">
        <f t="shared" si="1287"/>
        <v>28500</v>
      </c>
      <c r="I1886" s="43">
        <f t="shared" si="1288"/>
        <v>28500</v>
      </c>
      <c r="J1886" s="112">
        <f t="shared" si="1289"/>
        <v>1</v>
      </c>
      <c r="K1886" s="211">
        <f t="shared" si="1290"/>
        <v>1</v>
      </c>
      <c r="L1886" s="44"/>
      <c r="M1886" s="44">
        <f t="shared" si="1296"/>
        <v>1</v>
      </c>
      <c r="N1886" s="173">
        <f t="shared" si="1291"/>
        <v>1</v>
      </c>
      <c r="O1886" s="44">
        <f t="shared" si="1292"/>
        <v>46262</v>
      </c>
      <c r="P1886" s="44">
        <f t="shared" si="1293"/>
        <v>46262</v>
      </c>
      <c r="Q1886" s="44">
        <f t="shared" si="1294"/>
        <v>28500</v>
      </c>
      <c r="R1886" s="44">
        <f t="shared" si="1297"/>
        <v>28500</v>
      </c>
      <c r="S1886" s="123"/>
      <c r="T1886" s="219">
        <f t="shared" si="1298"/>
        <v>28500</v>
      </c>
      <c r="U1886" s="87"/>
      <c r="V1886" s="47"/>
      <c r="W1886" s="48"/>
      <c r="X1886" s="48"/>
      <c r="Y1886" s="48"/>
      <c r="Z1886" s="135"/>
      <c r="AA1886" s="49"/>
      <c r="AB1886" s="50">
        <f t="shared" si="1295"/>
        <v>28500</v>
      </c>
      <c r="AC1886" s="42">
        <f t="shared" si="1299"/>
        <v>1</v>
      </c>
      <c r="AD1886" s="90">
        <f>AD1887</f>
        <v>28500</v>
      </c>
      <c r="AE1886" s="188">
        <f t="shared" ref="AE1886" si="1394">AE1887</f>
        <v>0</v>
      </c>
      <c r="AF1886" s="189">
        <f t="shared" ref="AF1886" si="1395">AF1887</f>
        <v>0</v>
      </c>
      <c r="AG1886" s="189">
        <f t="shared" ref="AG1886" si="1396">AG1887</f>
        <v>0</v>
      </c>
      <c r="AH1886" s="189">
        <f t="shared" ref="AH1886" si="1397">AH1887</f>
        <v>0</v>
      </c>
      <c r="AI1886" s="161">
        <f t="shared" ref="AI1886:AI1889" si="1398">SUM(AE1886:AH1886)</f>
        <v>0</v>
      </c>
      <c r="AK1886" s="169">
        <v>5</v>
      </c>
      <c r="AO1886" s="19" t="s">
        <v>63</v>
      </c>
    </row>
    <row r="1887" spans="1:41" s="103" customFormat="1" ht="19.899999999999999" customHeight="1" x14ac:dyDescent="0.25">
      <c r="A1887" s="51"/>
      <c r="B1887" s="52"/>
      <c r="C1887" s="165"/>
      <c r="D1887" s="52"/>
      <c r="E1887" s="115"/>
      <c r="F1887" s="58"/>
      <c r="G1887" s="58"/>
      <c r="H1887" s="58"/>
      <c r="I1887" s="55"/>
      <c r="J1887" s="113">
        <f>J1886</f>
        <v>1</v>
      </c>
      <c r="K1887" s="212">
        <f>K1886</f>
        <v>1</v>
      </c>
      <c r="L1887" s="58"/>
      <c r="M1887" s="58">
        <f>K1887-L1887</f>
        <v>1</v>
      </c>
      <c r="N1887" s="166"/>
      <c r="O1887" s="58"/>
      <c r="P1887" s="58"/>
      <c r="Q1887" s="58"/>
      <c r="R1887" s="58"/>
      <c r="S1887" s="58"/>
      <c r="T1887" s="220"/>
      <c r="U1887" s="88"/>
      <c r="V1887" s="56"/>
      <c r="W1887" s="57" t="s">
        <v>1391</v>
      </c>
      <c r="X1887" s="53"/>
      <c r="Y1887" s="91" t="s">
        <v>35</v>
      </c>
      <c r="Z1887" s="136">
        <f>AD1887/AC1887</f>
        <v>28500</v>
      </c>
      <c r="AA1887" s="58"/>
      <c r="AB1887" s="53">
        <f>AD1887/AC1887</f>
        <v>28500</v>
      </c>
      <c r="AC1887" s="53">
        <f>M1887+$AE$10</f>
        <v>1</v>
      </c>
      <c r="AD1887" s="54">
        <f>SUM(AD1888:AD1888)</f>
        <v>28500</v>
      </c>
      <c r="AE1887" s="184">
        <f>SUMIFS($AD$37:$AD$12971,$V$37:$V$12971,$V1887,$X$37:$X$12971,AE$13)</f>
        <v>0</v>
      </c>
      <c r="AF1887" s="185">
        <f>SUMIFS($AD$37:$AD$12971,$V$37:$V$12971,$V1887,$X$37:$X$12971,AF$13)</f>
        <v>0</v>
      </c>
      <c r="AG1887" s="185">
        <f>SUMIFS($AD$37:$AD$12971,$V$37:$V$12971,$V1887,$X$37:$X$12971,AG$13)</f>
        <v>0</v>
      </c>
      <c r="AH1887" s="187">
        <f>SUMIFS($AD$37:$AD$12971,$V$37:$V$12971,$V1887,$X$37:$X$12971,AH$13)</f>
        <v>0</v>
      </c>
      <c r="AI1887" s="161">
        <f t="shared" ref="AI1887" si="1399">SUM(AE1887:AH1887)</f>
        <v>0</v>
      </c>
      <c r="AK1887" s="172"/>
    </row>
    <row r="1888" spans="1:41" s="102" customFormat="1" ht="19.899999999999999" customHeight="1" x14ac:dyDescent="0.25">
      <c r="A1888" s="45"/>
      <c r="B1888" s="59"/>
      <c r="C1888" s="137"/>
      <c r="D1888" s="59"/>
      <c r="E1888" s="116"/>
      <c r="F1888" s="120"/>
      <c r="G1888" s="120"/>
      <c r="H1888" s="120"/>
      <c r="I1888" s="60"/>
      <c r="J1888" s="116"/>
      <c r="K1888" s="213"/>
      <c r="L1888" s="120"/>
      <c r="M1888" s="120"/>
      <c r="N1888" s="167"/>
      <c r="O1888" s="120"/>
      <c r="P1888" s="120"/>
      <c r="Q1888" s="120"/>
      <c r="R1888" s="120"/>
      <c r="S1888" s="120"/>
      <c r="T1888" s="221"/>
      <c r="U1888" s="89"/>
      <c r="V1888" s="61"/>
      <c r="W1888" s="92" t="s">
        <v>1392</v>
      </c>
      <c r="X1888" s="93" t="s">
        <v>32</v>
      </c>
      <c r="Y1888" s="93" t="s">
        <v>35</v>
      </c>
      <c r="Z1888" s="134">
        <f>VLOOKUP(W1888,Sheet2!$B:$D,3,FALSE)</f>
        <v>28500</v>
      </c>
      <c r="AA1888" s="93">
        <v>1</v>
      </c>
      <c r="AB1888" s="93">
        <f>AD1888/AC1887</f>
        <v>28500</v>
      </c>
      <c r="AC1888" s="93">
        <f>AC1887/AA1888</f>
        <v>1</v>
      </c>
      <c r="AD1888" s="94">
        <f t="shared" ref="AD1888" si="1400">AC1888*Z1888</f>
        <v>28500</v>
      </c>
      <c r="AE1888" s="190"/>
      <c r="AF1888" s="191"/>
      <c r="AG1888" s="191"/>
      <c r="AH1888" s="191"/>
      <c r="AI1888" s="186"/>
      <c r="AK1888" s="171"/>
    </row>
    <row r="1889" spans="1:41" ht="25.5" x14ac:dyDescent="0.25">
      <c r="A1889" s="277" t="s">
        <v>216</v>
      </c>
      <c r="B1889" s="278"/>
      <c r="C1889" s="64" t="s">
        <v>401</v>
      </c>
      <c r="D1889" s="46" t="s">
        <v>215</v>
      </c>
      <c r="E1889" s="114">
        <v>0.59440000000000004</v>
      </c>
      <c r="F1889" s="44">
        <v>456530</v>
      </c>
      <c r="G1889" s="44">
        <f t="shared" si="1286"/>
        <v>271361.43200000003</v>
      </c>
      <c r="H1889" s="44">
        <f t="shared" si="1287"/>
        <v>192406.94622117648</v>
      </c>
      <c r="I1889" s="43">
        <f t="shared" si="1288"/>
        <v>114366.6888338673</v>
      </c>
      <c r="J1889" s="112">
        <f t="shared" si="1289"/>
        <v>0.59440000000000004</v>
      </c>
      <c r="K1889" s="211">
        <f t="shared" si="1290"/>
        <v>0.59440000000000004</v>
      </c>
      <c r="L1889" s="44"/>
      <c r="M1889" s="44">
        <f t="shared" si="1296"/>
        <v>0.59440000000000004</v>
      </c>
      <c r="N1889" s="173">
        <f t="shared" si="1291"/>
        <v>1</v>
      </c>
      <c r="O1889" s="44">
        <f t="shared" si="1292"/>
        <v>456530</v>
      </c>
      <c r="P1889" s="44">
        <f t="shared" si="1293"/>
        <v>271361.43200000003</v>
      </c>
      <c r="Q1889" s="44">
        <f t="shared" si="1294"/>
        <v>192406.94622117648</v>
      </c>
      <c r="R1889" s="44">
        <f t="shared" si="1297"/>
        <v>114366.6888338673</v>
      </c>
      <c r="S1889" s="123"/>
      <c r="T1889" s="219">
        <f t="shared" si="1298"/>
        <v>114366.6888338673</v>
      </c>
      <c r="U1889" s="87"/>
      <c r="V1889" s="47"/>
      <c r="W1889" s="48"/>
      <c r="X1889" s="48"/>
      <c r="Y1889" s="48"/>
      <c r="Z1889" s="135"/>
      <c r="AA1889" s="49"/>
      <c r="AB1889" s="50">
        <f t="shared" si="1295"/>
        <v>192406.94622117648</v>
      </c>
      <c r="AC1889" s="42">
        <f t="shared" si="1299"/>
        <v>0.59440000000000004</v>
      </c>
      <c r="AD1889" s="90">
        <f>AD1890+AD1895+AD1908+AD1911</f>
        <v>114366.6888338673</v>
      </c>
      <c r="AE1889" s="188">
        <f t="shared" ref="AE1889:AH1889" si="1401">AE1890+AE1895+AE1908+AE1911</f>
        <v>0</v>
      </c>
      <c r="AF1889" s="189">
        <f t="shared" si="1401"/>
        <v>0</v>
      </c>
      <c r="AG1889" s="189">
        <f t="shared" si="1401"/>
        <v>0</v>
      </c>
      <c r="AH1889" s="189">
        <f t="shared" si="1401"/>
        <v>0</v>
      </c>
      <c r="AI1889" s="161">
        <f t="shared" si="1398"/>
        <v>0</v>
      </c>
      <c r="AK1889" s="169">
        <v>5</v>
      </c>
      <c r="AO1889" s="19" t="s">
        <v>63</v>
      </c>
    </row>
    <row r="1890" spans="1:41" s="103" customFormat="1" ht="19.899999999999999" customHeight="1" x14ac:dyDescent="0.25">
      <c r="A1890" s="51"/>
      <c r="B1890" s="52"/>
      <c r="C1890" s="165"/>
      <c r="D1890" s="52"/>
      <c r="E1890" s="115"/>
      <c r="F1890" s="58"/>
      <c r="G1890" s="58"/>
      <c r="H1890" s="58"/>
      <c r="I1890" s="55"/>
      <c r="J1890" s="113">
        <f>J1889</f>
        <v>0.59440000000000004</v>
      </c>
      <c r="K1890" s="212">
        <f>K1889</f>
        <v>0.59440000000000004</v>
      </c>
      <c r="L1890" s="58"/>
      <c r="M1890" s="58">
        <f>K1890-L1890</f>
        <v>0.59440000000000004</v>
      </c>
      <c r="N1890" s="166"/>
      <c r="O1890" s="58"/>
      <c r="P1890" s="58"/>
      <c r="Q1890" s="58"/>
      <c r="R1890" s="58"/>
      <c r="S1890" s="58"/>
      <c r="T1890" s="220"/>
      <c r="U1890" s="88"/>
      <c r="V1890" s="56"/>
      <c r="W1890" s="57" t="s">
        <v>1393</v>
      </c>
      <c r="X1890" s="53"/>
      <c r="Y1890" s="91" t="s">
        <v>35</v>
      </c>
      <c r="Z1890" s="136">
        <f>AD1890/AC1890</f>
        <v>123.17639215686276</v>
      </c>
      <c r="AA1890" s="58"/>
      <c r="AB1890" s="53">
        <f>AD1890/AC1890</f>
        <v>123.17639215686276</v>
      </c>
      <c r="AC1890" s="53">
        <f>M1890+$AE$10</f>
        <v>0.59440000000000004</v>
      </c>
      <c r="AD1890" s="54">
        <f>SUM(AD1891:AD1894)</f>
        <v>73.216047498039231</v>
      </c>
      <c r="AE1890" s="184">
        <f>SUMIFS($AD$37:$AD$12971,$V$37:$V$12971,$V1890,$X$37:$X$12971,AE$13)</f>
        <v>0</v>
      </c>
      <c r="AF1890" s="185">
        <f>SUMIFS($AD$37:$AD$12971,$V$37:$V$12971,$V1890,$X$37:$X$12971,AF$13)</f>
        <v>0</v>
      </c>
      <c r="AG1890" s="185">
        <f>SUMIFS($AD$37:$AD$12971,$V$37:$V$12971,$V1890,$X$37:$X$12971,AG$13)</f>
        <v>0</v>
      </c>
      <c r="AH1890" s="187">
        <f>SUMIFS($AD$37:$AD$12971,$V$37:$V$12971,$V1890,$X$37:$X$12971,AH$13)</f>
        <v>0</v>
      </c>
      <c r="AI1890" s="161">
        <f t="shared" ref="AI1890" si="1402">SUM(AE1890:AH1890)</f>
        <v>0</v>
      </c>
      <c r="AK1890" s="172"/>
    </row>
    <row r="1891" spans="1:41" s="102" customFormat="1" ht="19.899999999999999" customHeight="1" x14ac:dyDescent="0.25">
      <c r="A1891" s="45"/>
      <c r="B1891" s="59"/>
      <c r="C1891" s="137"/>
      <c r="D1891" s="59"/>
      <c r="E1891" s="116"/>
      <c r="F1891" s="120"/>
      <c r="G1891" s="120"/>
      <c r="H1891" s="120"/>
      <c r="I1891" s="60"/>
      <c r="J1891" s="116"/>
      <c r="K1891" s="213"/>
      <c r="L1891" s="120"/>
      <c r="M1891" s="120"/>
      <c r="N1891" s="167"/>
      <c r="O1891" s="120"/>
      <c r="P1891" s="120"/>
      <c r="Q1891" s="120"/>
      <c r="R1891" s="120"/>
      <c r="S1891" s="120"/>
      <c r="T1891" s="221"/>
      <c r="U1891" s="89"/>
      <c r="V1891" s="61"/>
      <c r="W1891" s="92" t="s">
        <v>129</v>
      </c>
      <c r="X1891" s="93" t="s">
        <v>29</v>
      </c>
      <c r="Y1891" s="93" t="s">
        <v>93</v>
      </c>
      <c r="Z1891" s="134">
        <f>VLOOKUP(W1891,Sheet2!$B:$D,3,FALSE)</f>
        <v>56</v>
      </c>
      <c r="AA1891" s="93">
        <f>100/(3.5*3.5*2.5)</f>
        <v>3.2653061224489797</v>
      </c>
      <c r="AB1891" s="93">
        <f t="shared" ref="AB1891" si="1403">AD1891/AC1890</f>
        <v>17.149999999999999</v>
      </c>
      <c r="AC1891" s="93">
        <f>AC1890/AA1891</f>
        <v>0.182035</v>
      </c>
      <c r="AD1891" s="94">
        <f t="shared" ref="AD1891:AD1892" si="1404">AC1891*Z1891</f>
        <v>10.193960000000001</v>
      </c>
      <c r="AE1891" s="190"/>
      <c r="AF1891" s="191"/>
      <c r="AG1891" s="191"/>
      <c r="AH1891" s="191"/>
      <c r="AI1891" s="186"/>
      <c r="AK1891" s="171"/>
    </row>
    <row r="1892" spans="1:41" s="102" customFormat="1" ht="19.899999999999999" customHeight="1" x14ac:dyDescent="0.25">
      <c r="A1892" s="45"/>
      <c r="B1892" s="59"/>
      <c r="C1892" s="137"/>
      <c r="D1892" s="59"/>
      <c r="E1892" s="116"/>
      <c r="F1892" s="120"/>
      <c r="G1892" s="120"/>
      <c r="H1892" s="120"/>
      <c r="I1892" s="60"/>
      <c r="J1892" s="116"/>
      <c r="K1892" s="213"/>
      <c r="L1892" s="120"/>
      <c r="M1892" s="120"/>
      <c r="N1892" s="167"/>
      <c r="O1892" s="120"/>
      <c r="P1892" s="120"/>
      <c r="Q1892" s="120"/>
      <c r="R1892" s="120"/>
      <c r="S1892" s="120"/>
      <c r="T1892" s="221"/>
      <c r="U1892" s="89"/>
      <c r="V1892" s="61"/>
      <c r="W1892" s="92" t="s">
        <v>65</v>
      </c>
      <c r="X1892" s="93" t="s">
        <v>30</v>
      </c>
      <c r="Y1892" s="93" t="s">
        <v>1011</v>
      </c>
      <c r="Z1892" s="134">
        <f>VLOOKUP(W1892,Sheet2!$B:$D,3,FALSE)</f>
        <v>1.76</v>
      </c>
      <c r="AA1892" s="93">
        <f>AA1891/14</f>
        <v>0.23323615160349856</v>
      </c>
      <c r="AB1892" s="93">
        <f>AD1892/AC1890</f>
        <v>7.5460000000000003</v>
      </c>
      <c r="AC1892" s="93">
        <f>AC1890/AA1892</f>
        <v>2.5484900000000001</v>
      </c>
      <c r="AD1892" s="94">
        <f t="shared" si="1404"/>
        <v>4.4853424000000004</v>
      </c>
      <c r="AE1892" s="190"/>
      <c r="AF1892" s="191"/>
      <c r="AG1892" s="191"/>
      <c r="AH1892" s="191"/>
      <c r="AI1892" s="186"/>
      <c r="AK1892" s="171"/>
    </row>
    <row r="1893" spans="1:41" s="102" customFormat="1" ht="19.899999999999999" customHeight="1" x14ac:dyDescent="0.25">
      <c r="A1893" s="45"/>
      <c r="B1893" s="59"/>
      <c r="C1893" s="137"/>
      <c r="D1893" s="59"/>
      <c r="E1893" s="116"/>
      <c r="F1893" s="120"/>
      <c r="G1893" s="120"/>
      <c r="H1893" s="120"/>
      <c r="I1893" s="60"/>
      <c r="J1893" s="116"/>
      <c r="K1893" s="213"/>
      <c r="L1893" s="120"/>
      <c r="M1893" s="120"/>
      <c r="N1893" s="167"/>
      <c r="O1893" s="120"/>
      <c r="P1893" s="120"/>
      <c r="Q1893" s="120"/>
      <c r="R1893" s="120"/>
      <c r="S1893" s="120"/>
      <c r="T1893" s="221"/>
      <c r="U1893" s="89"/>
      <c r="V1893" s="61"/>
      <c r="W1893" s="92" t="s">
        <v>161</v>
      </c>
      <c r="X1893" s="93" t="s">
        <v>29</v>
      </c>
      <c r="Y1893" s="93" t="s">
        <v>93</v>
      </c>
      <c r="Z1893" s="134">
        <f>VLOOKUP(W1893,Sheet2!$B:$D,3,FALSE)</f>
        <v>48</v>
      </c>
      <c r="AA1893" s="93">
        <f>(16*0.85*1.5)/(3.5*3.5*2.5)</f>
        <v>0.66612244897959183</v>
      </c>
      <c r="AB1893" s="93">
        <f>AD1893/AC1890</f>
        <v>72.058823529411768</v>
      </c>
      <c r="AC1893" s="93">
        <f>AC1890/AA1893</f>
        <v>0.89232843137254914</v>
      </c>
      <c r="AD1893" s="94">
        <f>AC1893*Z1893</f>
        <v>42.831764705882357</v>
      </c>
      <c r="AE1893" s="190"/>
      <c r="AF1893" s="191"/>
      <c r="AG1893" s="191"/>
      <c r="AH1893" s="191"/>
      <c r="AI1893" s="186"/>
      <c r="AK1893" s="171"/>
    </row>
    <row r="1894" spans="1:41" s="102" customFormat="1" ht="19.899999999999999" customHeight="1" x14ac:dyDescent="0.25">
      <c r="A1894" s="45"/>
      <c r="B1894" s="59"/>
      <c r="C1894" s="137"/>
      <c r="D1894" s="59"/>
      <c r="E1894" s="116"/>
      <c r="F1894" s="120"/>
      <c r="G1894" s="120"/>
      <c r="H1894" s="120"/>
      <c r="I1894" s="60"/>
      <c r="J1894" s="116"/>
      <c r="K1894" s="213"/>
      <c r="L1894" s="120"/>
      <c r="M1894" s="120"/>
      <c r="N1894" s="167"/>
      <c r="O1894" s="120"/>
      <c r="P1894" s="120"/>
      <c r="Q1894" s="120"/>
      <c r="R1894" s="120"/>
      <c r="S1894" s="120"/>
      <c r="T1894" s="221"/>
      <c r="U1894" s="89"/>
      <c r="V1894" s="61"/>
      <c r="W1894" s="92" t="s">
        <v>65</v>
      </c>
      <c r="X1894" s="93" t="s">
        <v>30</v>
      </c>
      <c r="Y1894" s="93" t="s">
        <v>1011</v>
      </c>
      <c r="Z1894" s="134">
        <f>VLOOKUP(W1894,Sheet2!$B:$D,3,FALSE)</f>
        <v>1.76</v>
      </c>
      <c r="AA1894" s="93">
        <f>AA1893/10</f>
        <v>6.661224489795918E-2</v>
      </c>
      <c r="AB1894" s="93">
        <f>AD1894/AC1890</f>
        <v>26.421568627450981</v>
      </c>
      <c r="AC1894" s="93">
        <f>AC1890/AA1894</f>
        <v>8.9232843137254907</v>
      </c>
      <c r="AD1894" s="94">
        <f>AC1894*Z1894</f>
        <v>15.704980392156864</v>
      </c>
      <c r="AE1894" s="190"/>
      <c r="AF1894" s="191"/>
      <c r="AG1894" s="191"/>
      <c r="AH1894" s="191"/>
      <c r="AI1894" s="186"/>
      <c r="AK1894" s="171"/>
    </row>
    <row r="1895" spans="1:41" s="103" customFormat="1" ht="19.899999999999999" customHeight="1" x14ac:dyDescent="0.25">
      <c r="A1895" s="51"/>
      <c r="B1895" s="52"/>
      <c r="C1895" s="165"/>
      <c r="D1895" s="52"/>
      <c r="E1895" s="115"/>
      <c r="F1895" s="58"/>
      <c r="G1895" s="58"/>
      <c r="H1895" s="58"/>
      <c r="I1895" s="55"/>
      <c r="J1895" s="113">
        <f>J1889</f>
        <v>0.59440000000000004</v>
      </c>
      <c r="K1895" s="212">
        <f>K1889</f>
        <v>0.59440000000000004</v>
      </c>
      <c r="L1895" s="58"/>
      <c r="M1895" s="58">
        <f>K1895-L1895</f>
        <v>0.59440000000000004</v>
      </c>
      <c r="N1895" s="166"/>
      <c r="O1895" s="58"/>
      <c r="P1895" s="58"/>
      <c r="Q1895" s="58"/>
      <c r="R1895" s="58"/>
      <c r="S1895" s="58"/>
      <c r="T1895" s="220"/>
      <c r="U1895" s="88"/>
      <c r="V1895" s="56"/>
      <c r="W1895" s="57" t="s">
        <v>1370</v>
      </c>
      <c r="X1895" s="53"/>
      <c r="Y1895" s="91" t="s">
        <v>35</v>
      </c>
      <c r="Z1895" s="136">
        <f>AD1895/AC1895</f>
        <v>187829.1</v>
      </c>
      <c r="AA1895" s="58"/>
      <c r="AB1895" s="53">
        <f>AD1895/AC1895</f>
        <v>187829.1</v>
      </c>
      <c r="AC1895" s="53">
        <f>M1895+$AE$10</f>
        <v>0.59440000000000004</v>
      </c>
      <c r="AD1895" s="54">
        <f>SUM(AD1896:AD1907)</f>
        <v>111645.61704000001</v>
      </c>
      <c r="AE1895" s="184">
        <f>SUMIFS($AD$37:$AD$12971,$V$37:$V$12971,$V1895,$X$37:$X$12971,AE$13)</f>
        <v>0</v>
      </c>
      <c r="AF1895" s="185">
        <f>SUMIFS($AD$37:$AD$12971,$V$37:$V$12971,$V1895,$X$37:$X$12971,AF$13)</f>
        <v>0</v>
      </c>
      <c r="AG1895" s="185">
        <f>SUMIFS($AD$37:$AD$12971,$V$37:$V$12971,$V1895,$X$37:$X$12971,AG$13)</f>
        <v>0</v>
      </c>
      <c r="AH1895" s="187">
        <f>SUMIFS($AD$37:$AD$12971,$V$37:$V$12971,$V1895,$X$37:$X$12971,AH$13)</f>
        <v>0</v>
      </c>
      <c r="AI1895" s="161">
        <f t="shared" ref="AI1895" si="1405">SUM(AE1895:AH1895)</f>
        <v>0</v>
      </c>
      <c r="AK1895" s="172"/>
    </row>
    <row r="1896" spans="1:41" s="102" customFormat="1" ht="19.899999999999999" customHeight="1" x14ac:dyDescent="0.25">
      <c r="A1896" s="45"/>
      <c r="B1896" s="59"/>
      <c r="C1896" s="137"/>
      <c r="D1896" s="59"/>
      <c r="E1896" s="116"/>
      <c r="F1896" s="120"/>
      <c r="G1896" s="120"/>
      <c r="H1896" s="120"/>
      <c r="I1896" s="60"/>
      <c r="J1896" s="116"/>
      <c r="K1896" s="213"/>
      <c r="L1896" s="120"/>
      <c r="M1896" s="120"/>
      <c r="N1896" s="167"/>
      <c r="O1896" s="120"/>
      <c r="P1896" s="120"/>
      <c r="Q1896" s="120"/>
      <c r="R1896" s="120"/>
      <c r="S1896" s="120"/>
      <c r="T1896" s="221"/>
      <c r="U1896" s="89"/>
      <c r="V1896" s="61"/>
      <c r="W1896" s="92" t="s">
        <v>1032</v>
      </c>
      <c r="X1896" s="93" t="s">
        <v>30</v>
      </c>
      <c r="Y1896" s="93" t="s">
        <v>66</v>
      </c>
      <c r="Z1896" s="134">
        <f>VLOOKUP(W1896,Sheet2!$B:$D,3,FALSE)</f>
        <v>250</v>
      </c>
      <c r="AA1896" s="93">
        <f>1/(3.5*3.5*0.1)</f>
        <v>0.81632653061224481</v>
      </c>
      <c r="AB1896" s="93">
        <f t="shared" ref="AB1896" si="1406">AD1896/AC1895</f>
        <v>306.25</v>
      </c>
      <c r="AC1896" s="93">
        <f>AC1895/AA1896</f>
        <v>0.72814000000000012</v>
      </c>
      <c r="AD1896" s="94">
        <f t="shared" ref="AD1896:AD1898" si="1407">AC1896*Z1896</f>
        <v>182.03500000000003</v>
      </c>
      <c r="AE1896" s="190"/>
      <c r="AF1896" s="191"/>
      <c r="AG1896" s="191"/>
      <c r="AH1896" s="191"/>
      <c r="AI1896" s="186"/>
      <c r="AK1896" s="171"/>
    </row>
    <row r="1897" spans="1:41" s="102" customFormat="1" ht="19.899999999999999" customHeight="1" x14ac:dyDescent="0.25">
      <c r="A1897" s="45"/>
      <c r="B1897" s="59"/>
      <c r="C1897" s="137"/>
      <c r="D1897" s="59"/>
      <c r="E1897" s="116"/>
      <c r="F1897" s="120"/>
      <c r="G1897" s="120"/>
      <c r="H1897" s="120"/>
      <c r="I1897" s="60"/>
      <c r="J1897" s="116"/>
      <c r="K1897" s="213"/>
      <c r="L1897" s="120"/>
      <c r="M1897" s="120"/>
      <c r="N1897" s="167"/>
      <c r="O1897" s="120"/>
      <c r="P1897" s="120"/>
      <c r="Q1897" s="120"/>
      <c r="R1897" s="120"/>
      <c r="S1897" s="120"/>
      <c r="T1897" s="221"/>
      <c r="U1897" s="89"/>
      <c r="V1897" s="61"/>
      <c r="W1897" s="92" t="s">
        <v>1353</v>
      </c>
      <c r="X1897" s="93" t="s">
        <v>30</v>
      </c>
      <c r="Y1897" s="93" t="s">
        <v>66</v>
      </c>
      <c r="Z1897" s="134">
        <f>VLOOKUP(W1897,Sheet2!$B:$D,3,FALSE)</f>
        <v>350</v>
      </c>
      <c r="AA1897" s="93">
        <f>1/(2.5*2.5*0.25*5)</f>
        <v>0.128</v>
      </c>
      <c r="AB1897" s="93">
        <f>AD1897/AC1895</f>
        <v>2734.375</v>
      </c>
      <c r="AC1897" s="93">
        <f>AC1895/AA1897</f>
        <v>4.6437499999999998</v>
      </c>
      <c r="AD1897" s="94">
        <f t="shared" si="1407"/>
        <v>1625.3125</v>
      </c>
      <c r="AE1897" s="190"/>
      <c r="AF1897" s="191"/>
      <c r="AG1897" s="191"/>
      <c r="AH1897" s="191"/>
      <c r="AI1897" s="186"/>
      <c r="AK1897" s="171"/>
    </row>
    <row r="1898" spans="1:41" s="102" customFormat="1" ht="19.899999999999999" customHeight="1" x14ac:dyDescent="0.25">
      <c r="A1898" s="45"/>
      <c r="B1898" s="59"/>
      <c r="C1898" s="137"/>
      <c r="D1898" s="59"/>
      <c r="E1898" s="116"/>
      <c r="F1898" s="120"/>
      <c r="G1898" s="120"/>
      <c r="H1898" s="120"/>
      <c r="I1898" s="60"/>
      <c r="J1898" s="116"/>
      <c r="K1898" s="213"/>
      <c r="L1898" s="120"/>
      <c r="M1898" s="120"/>
      <c r="N1898" s="167"/>
      <c r="O1898" s="120"/>
      <c r="P1898" s="120"/>
      <c r="Q1898" s="120"/>
      <c r="R1898" s="120"/>
      <c r="S1898" s="120"/>
      <c r="T1898" s="221"/>
      <c r="U1898" s="89"/>
      <c r="V1898" s="61"/>
      <c r="W1898" s="92" t="s">
        <v>99</v>
      </c>
      <c r="X1898" s="93" t="s">
        <v>30</v>
      </c>
      <c r="Y1898" s="93" t="s">
        <v>67</v>
      </c>
      <c r="Z1898" s="134">
        <f>VLOOKUP(W1898,Sheet2!$B:$D,3,FALSE)</f>
        <v>2500</v>
      </c>
      <c r="AA1898" s="93">
        <f>1/(2.5*2.5*0.25*5*0.08)</f>
        <v>1.6</v>
      </c>
      <c r="AB1898" s="93">
        <f>AD1898/AC1895</f>
        <v>1562.5</v>
      </c>
      <c r="AC1898" s="93">
        <f>AC1895/AA1898</f>
        <v>0.3715</v>
      </c>
      <c r="AD1898" s="94">
        <f t="shared" si="1407"/>
        <v>928.75</v>
      </c>
      <c r="AE1898" s="190"/>
      <c r="AF1898" s="191"/>
      <c r="AG1898" s="191"/>
      <c r="AH1898" s="191"/>
      <c r="AI1898" s="186"/>
      <c r="AK1898" s="171"/>
    </row>
    <row r="1899" spans="1:41" s="102" customFormat="1" ht="19.899999999999999" customHeight="1" x14ac:dyDescent="0.25">
      <c r="A1899" s="45"/>
      <c r="B1899" s="59"/>
      <c r="C1899" s="137"/>
      <c r="D1899" s="59"/>
      <c r="E1899" s="116"/>
      <c r="F1899" s="120"/>
      <c r="G1899" s="120"/>
      <c r="H1899" s="120"/>
      <c r="I1899" s="60"/>
      <c r="J1899" s="116"/>
      <c r="K1899" s="213"/>
      <c r="L1899" s="120"/>
      <c r="M1899" s="120"/>
      <c r="N1899" s="167"/>
      <c r="O1899" s="120"/>
      <c r="P1899" s="120"/>
      <c r="Q1899" s="120"/>
      <c r="R1899" s="120"/>
      <c r="S1899" s="120"/>
      <c r="T1899" s="221"/>
      <c r="U1899" s="89"/>
      <c r="V1899" s="61"/>
      <c r="W1899" s="92" t="s">
        <v>1354</v>
      </c>
      <c r="X1899" s="93" t="s">
        <v>32</v>
      </c>
      <c r="Y1899" s="93" t="s">
        <v>66</v>
      </c>
      <c r="Z1899" s="134">
        <f>VLOOKUP(W1899,Sheet2!$B:$D,3,FALSE)</f>
        <v>150</v>
      </c>
      <c r="AA1899" s="93">
        <f>AA1896</f>
        <v>0.81632653061224481</v>
      </c>
      <c r="AB1899" s="93">
        <f>AD1899/AC1895</f>
        <v>183.75000000000003</v>
      </c>
      <c r="AC1899" s="93">
        <f>AC1895/AA1899</f>
        <v>0.72814000000000012</v>
      </c>
      <c r="AD1899" s="94">
        <f>AC1899*Z1899</f>
        <v>109.22100000000002</v>
      </c>
      <c r="AE1899" s="190"/>
      <c r="AF1899" s="191"/>
      <c r="AG1899" s="191"/>
      <c r="AH1899" s="191"/>
      <c r="AI1899" s="186"/>
      <c r="AK1899" s="171"/>
    </row>
    <row r="1900" spans="1:41" s="102" customFormat="1" ht="19.899999999999999" customHeight="1" x14ac:dyDescent="0.25">
      <c r="A1900" s="45"/>
      <c r="B1900" s="59"/>
      <c r="C1900" s="137"/>
      <c r="D1900" s="59"/>
      <c r="E1900" s="116"/>
      <c r="F1900" s="120"/>
      <c r="G1900" s="120"/>
      <c r="H1900" s="120"/>
      <c r="I1900" s="60"/>
      <c r="J1900" s="116"/>
      <c r="K1900" s="213"/>
      <c r="L1900" s="120"/>
      <c r="M1900" s="120"/>
      <c r="N1900" s="167"/>
      <c r="O1900" s="120"/>
      <c r="P1900" s="120"/>
      <c r="Q1900" s="120"/>
      <c r="R1900" s="120"/>
      <c r="S1900" s="120"/>
      <c r="T1900" s="221"/>
      <c r="U1900" s="89"/>
      <c r="V1900" s="61"/>
      <c r="W1900" s="92" t="s">
        <v>1355</v>
      </c>
      <c r="X1900" s="93" t="s">
        <v>32</v>
      </c>
      <c r="Y1900" s="93" t="s">
        <v>66</v>
      </c>
      <c r="Z1900" s="134">
        <f>VLOOKUP(W1900,Sheet2!$B:$D,3,FALSE)</f>
        <v>450</v>
      </c>
      <c r="AA1900" s="93">
        <f>AA1897</f>
        <v>0.128</v>
      </c>
      <c r="AB1900" s="93">
        <f>AD1900/AC1895</f>
        <v>3515.6249999999995</v>
      </c>
      <c r="AC1900" s="93">
        <f>AC1895/AA1900</f>
        <v>4.6437499999999998</v>
      </c>
      <c r="AD1900" s="94">
        <f>AC1900*Z1900</f>
        <v>2089.6875</v>
      </c>
      <c r="AE1900" s="190"/>
      <c r="AF1900" s="191"/>
      <c r="AG1900" s="191"/>
      <c r="AH1900" s="191"/>
      <c r="AI1900" s="186"/>
      <c r="AK1900" s="171"/>
    </row>
    <row r="1901" spans="1:41" s="102" customFormat="1" ht="19.899999999999999" customHeight="1" x14ac:dyDescent="0.25">
      <c r="A1901" s="45"/>
      <c r="B1901" s="59"/>
      <c r="C1901" s="137"/>
      <c r="D1901" s="59"/>
      <c r="E1901" s="116"/>
      <c r="F1901" s="120"/>
      <c r="G1901" s="120"/>
      <c r="H1901" s="120"/>
      <c r="I1901" s="60"/>
      <c r="J1901" s="116"/>
      <c r="K1901" s="213"/>
      <c r="L1901" s="120"/>
      <c r="M1901" s="120"/>
      <c r="N1901" s="167"/>
      <c r="O1901" s="120"/>
      <c r="P1901" s="120"/>
      <c r="Q1901" s="120"/>
      <c r="R1901" s="120"/>
      <c r="S1901" s="120"/>
      <c r="T1901" s="221"/>
      <c r="U1901" s="89"/>
      <c r="V1901" s="61"/>
      <c r="W1901" s="92" t="s">
        <v>1356</v>
      </c>
      <c r="X1901" s="93" t="s">
        <v>30</v>
      </c>
      <c r="Y1901" s="93" t="s">
        <v>35</v>
      </c>
      <c r="Z1901" s="134">
        <f>VLOOKUP(W1901,Sheet2!$B:$D,3,FALSE)</f>
        <v>3500</v>
      </c>
      <c r="AA1901" s="93">
        <v>1</v>
      </c>
      <c r="AB1901" s="93">
        <f>AD1901/AC1895</f>
        <v>3500</v>
      </c>
      <c r="AC1901" s="93">
        <f>AC1895/AA1901</f>
        <v>0.59440000000000004</v>
      </c>
      <c r="AD1901" s="94">
        <f t="shared" ref="AD1901:AD1903" si="1408">AC1901*Z1901</f>
        <v>2080.4</v>
      </c>
      <c r="AE1901" s="190"/>
      <c r="AF1901" s="191"/>
      <c r="AG1901" s="191"/>
      <c r="AH1901" s="191"/>
      <c r="AI1901" s="186"/>
      <c r="AK1901" s="171"/>
    </row>
    <row r="1902" spans="1:41" s="102" customFormat="1" ht="19.899999999999999" customHeight="1" x14ac:dyDescent="0.25">
      <c r="A1902" s="45"/>
      <c r="B1902" s="59"/>
      <c r="C1902" s="137"/>
      <c r="D1902" s="59"/>
      <c r="E1902" s="116"/>
      <c r="F1902" s="120"/>
      <c r="G1902" s="120"/>
      <c r="H1902" s="120"/>
      <c r="I1902" s="60"/>
      <c r="J1902" s="116"/>
      <c r="K1902" s="213"/>
      <c r="L1902" s="120"/>
      <c r="M1902" s="120"/>
      <c r="N1902" s="167"/>
      <c r="O1902" s="120"/>
      <c r="P1902" s="120"/>
      <c r="Q1902" s="120"/>
      <c r="R1902" s="120"/>
      <c r="S1902" s="120"/>
      <c r="T1902" s="221"/>
      <c r="U1902" s="89"/>
      <c r="V1902" s="61"/>
      <c r="W1902" s="92" t="s">
        <v>1394</v>
      </c>
      <c r="X1902" s="93" t="s">
        <v>30</v>
      </c>
      <c r="Y1902" s="93" t="s">
        <v>35</v>
      </c>
      <c r="Z1902" s="134">
        <f>VLOOKUP(W1902,Sheet2!$B:$D,3,FALSE)</f>
        <v>175250</v>
      </c>
      <c r="AA1902" s="93">
        <v>1</v>
      </c>
      <c r="AB1902" s="93">
        <f>AD1902/AC1895</f>
        <v>175250</v>
      </c>
      <c r="AC1902" s="93">
        <f>AC1895/AA1902</f>
        <v>0.59440000000000004</v>
      </c>
      <c r="AD1902" s="94">
        <f t="shared" si="1408"/>
        <v>104168.6</v>
      </c>
      <c r="AE1902" s="190"/>
      <c r="AF1902" s="191"/>
      <c r="AG1902" s="191"/>
      <c r="AH1902" s="191"/>
      <c r="AI1902" s="186"/>
      <c r="AK1902" s="171"/>
    </row>
    <row r="1903" spans="1:41" s="102" customFormat="1" ht="19.899999999999999" customHeight="1" x14ac:dyDescent="0.25">
      <c r="A1903" s="45"/>
      <c r="B1903" s="59"/>
      <c r="C1903" s="137"/>
      <c r="D1903" s="59"/>
      <c r="E1903" s="116"/>
      <c r="F1903" s="120"/>
      <c r="G1903" s="120"/>
      <c r="H1903" s="120"/>
      <c r="I1903" s="60"/>
      <c r="J1903" s="116"/>
      <c r="K1903" s="213"/>
      <c r="L1903" s="120"/>
      <c r="M1903" s="120"/>
      <c r="N1903" s="167"/>
      <c r="O1903" s="120"/>
      <c r="P1903" s="120"/>
      <c r="Q1903" s="120"/>
      <c r="R1903" s="120"/>
      <c r="S1903" s="120"/>
      <c r="T1903" s="221"/>
      <c r="U1903" s="89"/>
      <c r="V1903" s="61"/>
      <c r="W1903" s="92" t="s">
        <v>174</v>
      </c>
      <c r="X1903" s="93" t="s">
        <v>29</v>
      </c>
      <c r="Y1903" s="93" t="s">
        <v>93</v>
      </c>
      <c r="Z1903" s="134">
        <f>VLOOKUP(W1903,Sheet2!$B:$D,3,FALSE)</f>
        <v>80</v>
      </c>
      <c r="AA1903" s="93">
        <v>4</v>
      </c>
      <c r="AB1903" s="93">
        <f>AD1903/AC1895</f>
        <v>20</v>
      </c>
      <c r="AC1903" s="93">
        <f>AC1895/AA1903</f>
        <v>0.14860000000000001</v>
      </c>
      <c r="AD1903" s="94">
        <f t="shared" si="1408"/>
        <v>11.888000000000002</v>
      </c>
      <c r="AE1903" s="190"/>
      <c r="AF1903" s="191"/>
      <c r="AG1903" s="191"/>
      <c r="AH1903" s="191"/>
      <c r="AI1903" s="186"/>
      <c r="AK1903" s="171"/>
    </row>
    <row r="1904" spans="1:41" s="102" customFormat="1" ht="19.899999999999999" customHeight="1" x14ac:dyDescent="0.25">
      <c r="A1904" s="45"/>
      <c r="B1904" s="59"/>
      <c r="C1904" s="137"/>
      <c r="D1904" s="59"/>
      <c r="E1904" s="116"/>
      <c r="F1904" s="120"/>
      <c r="G1904" s="120"/>
      <c r="H1904" s="120"/>
      <c r="I1904" s="60"/>
      <c r="J1904" s="116"/>
      <c r="K1904" s="213"/>
      <c r="L1904" s="120"/>
      <c r="M1904" s="120"/>
      <c r="N1904" s="167"/>
      <c r="O1904" s="120"/>
      <c r="P1904" s="120"/>
      <c r="Q1904" s="120"/>
      <c r="R1904" s="120"/>
      <c r="S1904" s="120"/>
      <c r="T1904" s="221"/>
      <c r="U1904" s="89"/>
      <c r="V1904" s="61"/>
      <c r="W1904" s="92" t="s">
        <v>65</v>
      </c>
      <c r="X1904" s="93" t="s">
        <v>30</v>
      </c>
      <c r="Y1904" s="93" t="s">
        <v>93</v>
      </c>
      <c r="Z1904" s="134">
        <f>VLOOKUP(W1904,Sheet2!$B:$D,3,FALSE)</f>
        <v>1.76</v>
      </c>
      <c r="AA1904" s="93">
        <f>AA1903/15</f>
        <v>0.26666666666666666</v>
      </c>
      <c r="AB1904" s="93">
        <f>AD1904/AC1895</f>
        <v>6.6</v>
      </c>
      <c r="AC1904" s="93">
        <f>AC1895/AA1904</f>
        <v>2.2290000000000001</v>
      </c>
      <c r="AD1904" s="94">
        <f>AC1904*Z1904</f>
        <v>3.9230400000000003</v>
      </c>
      <c r="AE1904" s="190"/>
      <c r="AF1904" s="191"/>
      <c r="AG1904" s="191"/>
      <c r="AH1904" s="191"/>
      <c r="AI1904" s="186"/>
      <c r="AK1904" s="171"/>
    </row>
    <row r="1905" spans="1:37" s="102" customFormat="1" ht="19.899999999999999" customHeight="1" x14ac:dyDescent="0.25">
      <c r="A1905" s="45"/>
      <c r="B1905" s="59"/>
      <c r="C1905" s="137"/>
      <c r="D1905" s="59"/>
      <c r="E1905" s="116"/>
      <c r="F1905" s="120"/>
      <c r="G1905" s="120"/>
      <c r="H1905" s="120"/>
      <c r="I1905" s="60"/>
      <c r="J1905" s="116"/>
      <c r="K1905" s="213"/>
      <c r="L1905" s="120"/>
      <c r="M1905" s="120"/>
      <c r="N1905" s="167"/>
      <c r="O1905" s="120"/>
      <c r="P1905" s="120"/>
      <c r="Q1905" s="120"/>
      <c r="R1905" s="120"/>
      <c r="S1905" s="120"/>
      <c r="T1905" s="221"/>
      <c r="U1905" s="89"/>
      <c r="V1905" s="61"/>
      <c r="W1905" s="92" t="s">
        <v>1357</v>
      </c>
      <c r="X1905" s="93" t="s">
        <v>30</v>
      </c>
      <c r="Y1905" s="93" t="s">
        <v>1349</v>
      </c>
      <c r="Z1905" s="134">
        <f>VLOOKUP(W1905,Sheet2!$B:$D,3,FALSE)</f>
        <v>150</v>
      </c>
      <c r="AA1905" s="93">
        <v>0.25</v>
      </c>
      <c r="AB1905" s="93">
        <f>AD1905/AC1895</f>
        <v>600</v>
      </c>
      <c r="AC1905" s="93">
        <f>AC1895/AA1905</f>
        <v>2.3776000000000002</v>
      </c>
      <c r="AD1905" s="94">
        <f>AC1905*Z1905</f>
        <v>356.64000000000004</v>
      </c>
      <c r="AE1905" s="190"/>
      <c r="AF1905" s="191"/>
      <c r="AG1905" s="191"/>
      <c r="AH1905" s="191"/>
      <c r="AI1905" s="186"/>
      <c r="AK1905" s="171"/>
    </row>
    <row r="1906" spans="1:37" s="102" customFormat="1" ht="19.899999999999999" customHeight="1" x14ac:dyDescent="0.25">
      <c r="A1906" s="45"/>
      <c r="B1906" s="59"/>
      <c r="C1906" s="137"/>
      <c r="D1906" s="59"/>
      <c r="E1906" s="116"/>
      <c r="F1906" s="120"/>
      <c r="G1906" s="120"/>
      <c r="H1906" s="120"/>
      <c r="I1906" s="60"/>
      <c r="J1906" s="116"/>
      <c r="K1906" s="213"/>
      <c r="L1906" s="120"/>
      <c r="M1906" s="120"/>
      <c r="N1906" s="167"/>
      <c r="O1906" s="120"/>
      <c r="P1906" s="120"/>
      <c r="Q1906" s="120"/>
      <c r="R1906" s="120"/>
      <c r="S1906" s="120"/>
      <c r="T1906" s="221"/>
      <c r="U1906" s="89"/>
      <c r="V1906" s="61"/>
      <c r="W1906" s="92" t="s">
        <v>107</v>
      </c>
      <c r="X1906" s="93" t="s">
        <v>31</v>
      </c>
      <c r="Y1906" s="93" t="s">
        <v>93</v>
      </c>
      <c r="Z1906" s="134">
        <f>VLOOKUP(W1906,Sheet2!$B:$D,3,FALSE)</f>
        <v>17</v>
      </c>
      <c r="AA1906" s="93">
        <f>1/5</f>
        <v>0.2</v>
      </c>
      <c r="AB1906" s="93">
        <f>AD1906/AC1895</f>
        <v>85</v>
      </c>
      <c r="AC1906" s="93">
        <f>AC1895/AA1906</f>
        <v>2.972</v>
      </c>
      <c r="AD1906" s="94">
        <f>AC1906*Z1906</f>
        <v>50.524000000000001</v>
      </c>
      <c r="AE1906" s="190"/>
      <c r="AF1906" s="191"/>
      <c r="AG1906" s="191"/>
      <c r="AH1906" s="191"/>
      <c r="AI1906" s="186"/>
      <c r="AK1906" s="171"/>
    </row>
    <row r="1907" spans="1:37" s="102" customFormat="1" ht="19.899999999999999" customHeight="1" x14ac:dyDescent="0.25">
      <c r="A1907" s="45"/>
      <c r="B1907" s="59"/>
      <c r="C1907" s="137"/>
      <c r="D1907" s="59"/>
      <c r="E1907" s="116"/>
      <c r="F1907" s="120"/>
      <c r="G1907" s="120"/>
      <c r="H1907" s="120"/>
      <c r="I1907" s="60"/>
      <c r="J1907" s="116"/>
      <c r="K1907" s="213"/>
      <c r="L1907" s="120"/>
      <c r="M1907" s="120"/>
      <c r="N1907" s="167"/>
      <c r="O1907" s="120"/>
      <c r="P1907" s="120"/>
      <c r="Q1907" s="120"/>
      <c r="R1907" s="120"/>
      <c r="S1907" s="120"/>
      <c r="T1907" s="221"/>
      <c r="U1907" s="89"/>
      <c r="V1907" s="61"/>
      <c r="W1907" s="92" t="s">
        <v>112</v>
      </c>
      <c r="X1907" s="93" t="s">
        <v>31</v>
      </c>
      <c r="Y1907" s="93" t="s">
        <v>93</v>
      </c>
      <c r="Z1907" s="134">
        <f>VLOOKUP(W1907,Sheet2!$B:$D,3,FALSE)</f>
        <v>13</v>
      </c>
      <c r="AA1907" s="93">
        <f>AA1906</f>
        <v>0.2</v>
      </c>
      <c r="AB1907" s="93">
        <f>AD1907/AC1895</f>
        <v>65</v>
      </c>
      <c r="AC1907" s="93">
        <f>AC1895/AA1907</f>
        <v>2.972</v>
      </c>
      <c r="AD1907" s="94">
        <f>AC1907*Z1907</f>
        <v>38.636000000000003</v>
      </c>
      <c r="AE1907" s="190"/>
      <c r="AF1907" s="191"/>
      <c r="AG1907" s="191"/>
      <c r="AH1907" s="191"/>
      <c r="AI1907" s="186"/>
      <c r="AK1907" s="171"/>
    </row>
    <row r="1908" spans="1:37" s="103" customFormat="1" ht="19.899999999999999" customHeight="1" x14ac:dyDescent="0.25">
      <c r="A1908" s="51"/>
      <c r="B1908" s="52"/>
      <c r="C1908" s="165"/>
      <c r="D1908" s="52"/>
      <c r="E1908" s="115"/>
      <c r="F1908" s="58"/>
      <c r="G1908" s="58"/>
      <c r="H1908" s="58"/>
      <c r="I1908" s="55"/>
      <c r="J1908" s="113">
        <f>J1889</f>
        <v>0.59440000000000004</v>
      </c>
      <c r="K1908" s="212">
        <f>K1889</f>
        <v>0.59440000000000004</v>
      </c>
      <c r="L1908" s="58"/>
      <c r="M1908" s="58">
        <f>K1908-L1908</f>
        <v>0.59440000000000004</v>
      </c>
      <c r="N1908" s="166"/>
      <c r="O1908" s="58"/>
      <c r="P1908" s="58"/>
      <c r="Q1908" s="58"/>
      <c r="R1908" s="58"/>
      <c r="S1908" s="58"/>
      <c r="T1908" s="220"/>
      <c r="U1908" s="88"/>
      <c r="V1908" s="56"/>
      <c r="W1908" s="57" t="s">
        <v>1358</v>
      </c>
      <c r="X1908" s="53"/>
      <c r="Y1908" s="91" t="s">
        <v>35</v>
      </c>
      <c r="Z1908" s="136">
        <f>AD1908/AC1908</f>
        <v>4200</v>
      </c>
      <c r="AA1908" s="58"/>
      <c r="AB1908" s="53">
        <f>AD1908/AC1908</f>
        <v>4200</v>
      </c>
      <c r="AC1908" s="53">
        <f>M1908+$AE$10</f>
        <v>0.59440000000000004</v>
      </c>
      <c r="AD1908" s="54">
        <f>SUM(AD1909:AD1910)</f>
        <v>2496.48</v>
      </c>
      <c r="AE1908" s="184">
        <f>SUMIFS($AD$37:$AD$12971,$V$37:$V$12971,$V1908,$X$37:$X$12971,AE$13)</f>
        <v>0</v>
      </c>
      <c r="AF1908" s="185">
        <f>SUMIFS($AD$37:$AD$12971,$V$37:$V$12971,$V1908,$X$37:$X$12971,AF$13)</f>
        <v>0</v>
      </c>
      <c r="AG1908" s="185">
        <f>SUMIFS($AD$37:$AD$12971,$V$37:$V$12971,$V1908,$X$37:$X$12971,AG$13)</f>
        <v>0</v>
      </c>
      <c r="AH1908" s="187">
        <f>SUMIFS($AD$37:$AD$12971,$V$37:$V$12971,$V1908,$X$37:$X$12971,AH$13)</f>
        <v>0</v>
      </c>
      <c r="AI1908" s="161">
        <f t="shared" ref="AI1908" si="1409">SUM(AE1908:AH1908)</f>
        <v>0</v>
      </c>
      <c r="AK1908" s="172"/>
    </row>
    <row r="1909" spans="1:37" s="102" customFormat="1" ht="19.899999999999999" customHeight="1" x14ac:dyDescent="0.25">
      <c r="A1909" s="45"/>
      <c r="B1909" s="59"/>
      <c r="C1909" s="137"/>
      <c r="D1909" s="59"/>
      <c r="E1909" s="116"/>
      <c r="F1909" s="120"/>
      <c r="G1909" s="120"/>
      <c r="H1909" s="120"/>
      <c r="I1909" s="60"/>
      <c r="J1909" s="116"/>
      <c r="K1909" s="213"/>
      <c r="L1909" s="120"/>
      <c r="M1909" s="120"/>
      <c r="N1909" s="167"/>
      <c r="O1909" s="120"/>
      <c r="P1909" s="120"/>
      <c r="Q1909" s="120"/>
      <c r="R1909" s="120"/>
      <c r="S1909" s="120"/>
      <c r="T1909" s="221"/>
      <c r="U1909" s="89"/>
      <c r="V1909" s="61"/>
      <c r="W1909" s="92" t="s">
        <v>1359</v>
      </c>
      <c r="X1909" s="93" t="s">
        <v>32</v>
      </c>
      <c r="Y1909" s="93" t="s">
        <v>64</v>
      </c>
      <c r="Z1909" s="134">
        <f>VLOOKUP(W1909,Sheet2!$B:$D,3,FALSE)</f>
        <v>40</v>
      </c>
      <c r="AA1909" s="93">
        <f>1/60</f>
        <v>1.6666666666666666E-2</v>
      </c>
      <c r="AB1909" s="93">
        <f t="shared" ref="AB1909" si="1410">AD1909/AC1908</f>
        <v>2399.9999999999995</v>
      </c>
      <c r="AC1909" s="93">
        <f>AC1908/AA1909</f>
        <v>35.664000000000001</v>
      </c>
      <c r="AD1909" s="94">
        <f t="shared" ref="AD1909:AD1910" si="1411">AC1909*Z1909</f>
        <v>1426.56</v>
      </c>
      <c r="AE1909" s="190"/>
      <c r="AF1909" s="191"/>
      <c r="AG1909" s="191"/>
      <c r="AH1909" s="191"/>
      <c r="AI1909" s="186"/>
      <c r="AK1909" s="171"/>
    </row>
    <row r="1910" spans="1:37" s="102" customFormat="1" ht="19.899999999999999" customHeight="1" x14ac:dyDescent="0.25">
      <c r="A1910" s="45"/>
      <c r="B1910" s="59"/>
      <c r="C1910" s="137"/>
      <c r="D1910" s="59"/>
      <c r="E1910" s="116"/>
      <c r="F1910" s="120"/>
      <c r="G1910" s="120"/>
      <c r="H1910" s="120"/>
      <c r="I1910" s="60"/>
      <c r="J1910" s="116"/>
      <c r="K1910" s="213"/>
      <c r="L1910" s="120"/>
      <c r="M1910" s="120"/>
      <c r="N1910" s="167"/>
      <c r="O1910" s="120"/>
      <c r="P1910" s="120"/>
      <c r="Q1910" s="120"/>
      <c r="R1910" s="120"/>
      <c r="S1910" s="120"/>
      <c r="T1910" s="221"/>
      <c r="U1910" s="89"/>
      <c r="V1910" s="61"/>
      <c r="W1910" s="92" t="s">
        <v>1360</v>
      </c>
      <c r="X1910" s="93" t="s">
        <v>32</v>
      </c>
      <c r="Y1910" s="93" t="s">
        <v>64</v>
      </c>
      <c r="Z1910" s="134">
        <f>VLOOKUP(W1910,Sheet2!$B:$D,3,FALSE)</f>
        <v>30</v>
      </c>
      <c r="AA1910" s="93">
        <f>AA1909</f>
        <v>1.6666666666666666E-2</v>
      </c>
      <c r="AB1910" s="93">
        <f>AD1910/AC1908</f>
        <v>1800</v>
      </c>
      <c r="AC1910" s="93">
        <f>AC1908/AA1910</f>
        <v>35.664000000000001</v>
      </c>
      <c r="AD1910" s="94">
        <f t="shared" si="1411"/>
        <v>1069.92</v>
      </c>
      <c r="AE1910" s="190"/>
      <c r="AF1910" s="191"/>
      <c r="AG1910" s="191"/>
      <c r="AH1910" s="191"/>
      <c r="AI1910" s="186"/>
      <c r="AK1910" s="171"/>
    </row>
    <row r="1911" spans="1:37" s="103" customFormat="1" ht="19.899999999999999" customHeight="1" x14ac:dyDescent="0.25">
      <c r="A1911" s="51"/>
      <c r="B1911" s="52"/>
      <c r="C1911" s="165"/>
      <c r="D1911" s="52"/>
      <c r="E1911" s="115"/>
      <c r="F1911" s="58"/>
      <c r="G1911" s="58"/>
      <c r="H1911" s="58"/>
      <c r="I1911" s="55"/>
      <c r="J1911" s="113">
        <f>J1889</f>
        <v>0.59440000000000004</v>
      </c>
      <c r="K1911" s="212">
        <f>K1889</f>
        <v>0.59440000000000004</v>
      </c>
      <c r="L1911" s="58"/>
      <c r="M1911" s="58">
        <f>K1911-L1911</f>
        <v>0.59440000000000004</v>
      </c>
      <c r="N1911" s="166"/>
      <c r="O1911" s="58"/>
      <c r="P1911" s="58"/>
      <c r="Q1911" s="58"/>
      <c r="R1911" s="58"/>
      <c r="S1911" s="58"/>
      <c r="T1911" s="220"/>
      <c r="U1911" s="88"/>
      <c r="V1911" s="56"/>
      <c r="W1911" s="57" t="s">
        <v>1272</v>
      </c>
      <c r="X1911" s="53"/>
      <c r="Y1911" s="91" t="s">
        <v>35</v>
      </c>
      <c r="Z1911" s="136">
        <f>AD1911/AC1911</f>
        <v>254.66982901960782</v>
      </c>
      <c r="AA1911" s="58"/>
      <c r="AB1911" s="53">
        <f>AD1911/AC1911</f>
        <v>254.66982901960782</v>
      </c>
      <c r="AC1911" s="53">
        <f>M1911+$AE$10</f>
        <v>0.59440000000000004</v>
      </c>
      <c r="AD1911" s="54">
        <f>SUM(AD1912:AD1920)</f>
        <v>151.3757463692549</v>
      </c>
      <c r="AE1911" s="184">
        <f>SUMIFS($AD$37:$AD$12971,$V$37:$V$12971,$V1911,$X$37:$X$12971,AE$13)</f>
        <v>0</v>
      </c>
      <c r="AF1911" s="185">
        <f>SUMIFS($AD$37:$AD$12971,$V$37:$V$12971,$V1911,$X$37:$X$12971,AF$13)</f>
        <v>0</v>
      </c>
      <c r="AG1911" s="185">
        <f>SUMIFS($AD$37:$AD$12971,$V$37:$V$12971,$V1911,$X$37:$X$12971,AG$13)</f>
        <v>0</v>
      </c>
      <c r="AH1911" s="187">
        <f>SUMIFS($AD$37:$AD$12971,$V$37:$V$12971,$V1911,$X$37:$X$12971,AH$13)</f>
        <v>0</v>
      </c>
      <c r="AI1911" s="161">
        <f t="shared" ref="AI1911" si="1412">SUM(AE1911:AH1911)</f>
        <v>0</v>
      </c>
      <c r="AK1911" s="172"/>
    </row>
    <row r="1912" spans="1:37" s="102" customFormat="1" ht="19.899999999999999" customHeight="1" x14ac:dyDescent="0.25">
      <c r="A1912" s="45"/>
      <c r="B1912" s="59"/>
      <c r="C1912" s="137"/>
      <c r="D1912" s="59"/>
      <c r="E1912" s="116"/>
      <c r="F1912" s="120"/>
      <c r="G1912" s="120"/>
      <c r="H1912" s="120"/>
      <c r="I1912" s="60"/>
      <c r="J1912" s="116"/>
      <c r="K1912" s="213"/>
      <c r="L1912" s="120"/>
      <c r="M1912" s="120"/>
      <c r="N1912" s="167"/>
      <c r="O1912" s="120"/>
      <c r="P1912" s="120"/>
      <c r="Q1912" s="120"/>
      <c r="R1912" s="120"/>
      <c r="S1912" s="120"/>
      <c r="T1912" s="221"/>
      <c r="U1912" s="89"/>
      <c r="V1912" s="61"/>
      <c r="W1912" s="92" t="s">
        <v>1273</v>
      </c>
      <c r="X1912" s="93" t="s">
        <v>30</v>
      </c>
      <c r="Y1912" s="93" t="s">
        <v>66</v>
      </c>
      <c r="Z1912" s="134">
        <f>VLOOKUP(W1912,Sheet2!$B:$D,3,FALSE)</f>
        <v>10</v>
      </c>
      <c r="AA1912" s="93">
        <f>1/(3*2.4*0.5*4)</f>
        <v>6.9444444444444448E-2</v>
      </c>
      <c r="AB1912" s="93">
        <f>AD1912/AC1911</f>
        <v>143.99999999999997</v>
      </c>
      <c r="AC1912" s="93">
        <f>AC1911/AA1912</f>
        <v>8.5593599999999999</v>
      </c>
      <c r="AD1912" s="94">
        <f t="shared" ref="AD1912:AD1914" si="1413">AC1912*Z1912</f>
        <v>85.593599999999995</v>
      </c>
      <c r="AE1912" s="190"/>
      <c r="AF1912" s="191"/>
      <c r="AG1912" s="191"/>
      <c r="AH1912" s="191"/>
      <c r="AI1912" s="186"/>
      <c r="AK1912" s="171"/>
    </row>
    <row r="1913" spans="1:37" s="102" customFormat="1" ht="19.899999999999999" customHeight="1" x14ac:dyDescent="0.25">
      <c r="A1913" s="45"/>
      <c r="B1913" s="59"/>
      <c r="C1913" s="137"/>
      <c r="D1913" s="59"/>
      <c r="E1913" s="116"/>
      <c r="F1913" s="120"/>
      <c r="G1913" s="120"/>
      <c r="H1913" s="120"/>
      <c r="I1913" s="60"/>
      <c r="J1913" s="116"/>
      <c r="K1913" s="213"/>
      <c r="L1913" s="120"/>
      <c r="M1913" s="120"/>
      <c r="N1913" s="167"/>
      <c r="O1913" s="120"/>
      <c r="P1913" s="120"/>
      <c r="Q1913" s="120"/>
      <c r="R1913" s="120"/>
      <c r="S1913" s="120"/>
      <c r="T1913" s="221"/>
      <c r="U1913" s="89"/>
      <c r="V1913" s="61"/>
      <c r="W1913" s="92" t="s">
        <v>134</v>
      </c>
      <c r="X1913" s="93" t="s">
        <v>29</v>
      </c>
      <c r="Y1913" s="93" t="s">
        <v>93</v>
      </c>
      <c r="Z1913" s="134">
        <f>VLOOKUP(W1913,Sheet2!$B:$D,3,FALSE)</f>
        <v>65.599999999999994</v>
      </c>
      <c r="AA1913" s="93">
        <f>100/(3*2.4*0.5*4)</f>
        <v>6.9444444444444455</v>
      </c>
      <c r="AB1913" s="93">
        <f t="shared" ref="AB1913" si="1414">AD1913/AC1911</f>
        <v>9.446399999999997</v>
      </c>
      <c r="AC1913" s="93">
        <f>AC1911/AA1913</f>
        <v>8.5593599999999992E-2</v>
      </c>
      <c r="AD1913" s="94">
        <f t="shared" si="1413"/>
        <v>5.6149401599999988</v>
      </c>
      <c r="AE1913" s="190"/>
      <c r="AF1913" s="191"/>
      <c r="AG1913" s="191"/>
      <c r="AH1913" s="191"/>
      <c r="AI1913" s="186"/>
      <c r="AK1913" s="171"/>
    </row>
    <row r="1914" spans="1:37" s="102" customFormat="1" ht="19.899999999999999" customHeight="1" x14ac:dyDescent="0.25">
      <c r="A1914" s="45"/>
      <c r="B1914" s="59"/>
      <c r="C1914" s="137"/>
      <c r="D1914" s="59"/>
      <c r="E1914" s="116"/>
      <c r="F1914" s="120"/>
      <c r="G1914" s="120"/>
      <c r="H1914" s="120"/>
      <c r="I1914" s="60"/>
      <c r="J1914" s="116"/>
      <c r="K1914" s="213"/>
      <c r="L1914" s="120"/>
      <c r="M1914" s="120"/>
      <c r="N1914" s="167"/>
      <c r="O1914" s="120"/>
      <c r="P1914" s="120"/>
      <c r="Q1914" s="120"/>
      <c r="R1914" s="120"/>
      <c r="S1914" s="120"/>
      <c r="T1914" s="221"/>
      <c r="U1914" s="89"/>
      <c r="V1914" s="61"/>
      <c r="W1914" s="92" t="s">
        <v>65</v>
      </c>
      <c r="X1914" s="93" t="s">
        <v>30</v>
      </c>
      <c r="Y1914" s="93" t="s">
        <v>1011</v>
      </c>
      <c r="Z1914" s="134">
        <f>VLOOKUP(W1914,Sheet2!$B:$D,3,FALSE)</f>
        <v>1.76</v>
      </c>
      <c r="AA1914" s="93">
        <f>AA1913/9</f>
        <v>0.77160493827160503</v>
      </c>
      <c r="AB1914" s="93">
        <f>AD1914/AC1911</f>
        <v>2.2809599999999999</v>
      </c>
      <c r="AC1914" s="93">
        <f>AC1911/AA1914</f>
        <v>0.77034239999999998</v>
      </c>
      <c r="AD1914" s="94">
        <f t="shared" si="1413"/>
        <v>1.3558026240000001</v>
      </c>
      <c r="AE1914" s="190"/>
      <c r="AF1914" s="191"/>
      <c r="AG1914" s="191"/>
      <c r="AH1914" s="191"/>
      <c r="AI1914" s="186"/>
      <c r="AK1914" s="171"/>
    </row>
    <row r="1915" spans="1:37" s="102" customFormat="1" ht="19.899999999999999" customHeight="1" x14ac:dyDescent="0.25">
      <c r="A1915" s="45"/>
      <c r="B1915" s="59"/>
      <c r="C1915" s="137"/>
      <c r="D1915" s="59"/>
      <c r="E1915" s="116"/>
      <c r="F1915" s="120"/>
      <c r="G1915" s="120"/>
      <c r="H1915" s="120"/>
      <c r="I1915" s="60"/>
      <c r="J1915" s="116"/>
      <c r="K1915" s="213"/>
      <c r="L1915" s="120"/>
      <c r="M1915" s="120"/>
      <c r="N1915" s="167"/>
      <c r="O1915" s="120"/>
      <c r="P1915" s="120"/>
      <c r="Q1915" s="120"/>
      <c r="R1915" s="120"/>
      <c r="S1915" s="120"/>
      <c r="T1915" s="221"/>
      <c r="U1915" s="89"/>
      <c r="V1915" s="61"/>
      <c r="W1915" s="92" t="s">
        <v>161</v>
      </c>
      <c r="X1915" s="93" t="s">
        <v>29</v>
      </c>
      <c r="Y1915" s="93" t="s">
        <v>93</v>
      </c>
      <c r="Z1915" s="134">
        <f>VLOOKUP(W1915,Sheet2!$B:$D,3,FALSE)</f>
        <v>48</v>
      </c>
      <c r="AA1915" s="93">
        <f>(16*0.85*1.5)/(3*2.4*0.5*4)</f>
        <v>1.4166666666666667</v>
      </c>
      <c r="AB1915" s="93">
        <f>AD1915/AC1911</f>
        <v>33.882352941176471</v>
      </c>
      <c r="AC1915" s="93">
        <f>AC1911/AA1915</f>
        <v>0.41957647058823527</v>
      </c>
      <c r="AD1915" s="94">
        <f>AC1915*Z1915</f>
        <v>20.139670588235294</v>
      </c>
      <c r="AE1915" s="190"/>
      <c r="AF1915" s="191"/>
      <c r="AG1915" s="191"/>
      <c r="AH1915" s="191"/>
      <c r="AI1915" s="186"/>
      <c r="AK1915" s="171"/>
    </row>
    <row r="1916" spans="1:37" s="102" customFormat="1" ht="19.899999999999999" customHeight="1" x14ac:dyDescent="0.25">
      <c r="A1916" s="45"/>
      <c r="B1916" s="59"/>
      <c r="C1916" s="137"/>
      <c r="D1916" s="59"/>
      <c r="E1916" s="116"/>
      <c r="F1916" s="120"/>
      <c r="G1916" s="120"/>
      <c r="H1916" s="120"/>
      <c r="I1916" s="60"/>
      <c r="J1916" s="116"/>
      <c r="K1916" s="213"/>
      <c r="L1916" s="120"/>
      <c r="M1916" s="120"/>
      <c r="N1916" s="167"/>
      <c r="O1916" s="120"/>
      <c r="P1916" s="120"/>
      <c r="Q1916" s="120"/>
      <c r="R1916" s="120"/>
      <c r="S1916" s="120"/>
      <c r="T1916" s="221"/>
      <c r="U1916" s="89"/>
      <c r="V1916" s="61"/>
      <c r="W1916" s="92" t="s">
        <v>65</v>
      </c>
      <c r="X1916" s="93" t="s">
        <v>30</v>
      </c>
      <c r="Y1916" s="93" t="s">
        <v>1011</v>
      </c>
      <c r="Z1916" s="134">
        <f>VLOOKUP(W1916,Sheet2!$B:$D,3,FALSE)</f>
        <v>1.76</v>
      </c>
      <c r="AA1916" s="93">
        <f>AA1915/10</f>
        <v>0.14166666666666666</v>
      </c>
      <c r="AB1916" s="93">
        <f>AD1916/AC1911</f>
        <v>12.423529411764704</v>
      </c>
      <c r="AC1916" s="93">
        <f>AC1911/AA1916</f>
        <v>4.1957647058823531</v>
      </c>
      <c r="AD1916" s="94">
        <f>AC1916*Z1916</f>
        <v>7.3845458823529411</v>
      </c>
      <c r="AE1916" s="190"/>
      <c r="AF1916" s="191"/>
      <c r="AG1916" s="191"/>
      <c r="AH1916" s="191"/>
      <c r="AI1916" s="186"/>
      <c r="AK1916" s="171"/>
    </row>
    <row r="1917" spans="1:37" s="102" customFormat="1" ht="19.899999999999999" customHeight="1" x14ac:dyDescent="0.25">
      <c r="A1917" s="45"/>
      <c r="B1917" s="59"/>
      <c r="C1917" s="137"/>
      <c r="D1917" s="59"/>
      <c r="E1917" s="116"/>
      <c r="F1917" s="120"/>
      <c r="G1917" s="120"/>
      <c r="H1917" s="120"/>
      <c r="I1917" s="60"/>
      <c r="J1917" s="116"/>
      <c r="K1917" s="213"/>
      <c r="L1917" s="120"/>
      <c r="M1917" s="120"/>
      <c r="N1917" s="167"/>
      <c r="O1917" s="120"/>
      <c r="P1917" s="120"/>
      <c r="Q1917" s="120"/>
      <c r="R1917" s="120"/>
      <c r="S1917" s="120"/>
      <c r="T1917" s="221"/>
      <c r="U1917" s="89"/>
      <c r="V1917" s="61"/>
      <c r="W1917" s="92" t="s">
        <v>173</v>
      </c>
      <c r="X1917" s="93" t="s">
        <v>29</v>
      </c>
      <c r="Y1917" s="93" t="s">
        <v>93</v>
      </c>
      <c r="Z1917" s="134">
        <f>VLOOKUP(W1917,Sheet2!$B:$D,3,FALSE)</f>
        <v>36</v>
      </c>
      <c r="AA1917" s="93">
        <f>50/(3*2.4*0.5*4)</f>
        <v>3.4722222222222228</v>
      </c>
      <c r="AB1917" s="93">
        <f>AD1917/AC1911</f>
        <v>10.367999999999997</v>
      </c>
      <c r="AC1917" s="93">
        <f>AC1911/AA1917</f>
        <v>0.17118719999999998</v>
      </c>
      <c r="AD1917" s="94">
        <f>AC1917*Z1917</f>
        <v>6.162739199999999</v>
      </c>
      <c r="AE1917" s="190"/>
      <c r="AF1917" s="191"/>
      <c r="AG1917" s="191"/>
      <c r="AH1917" s="191"/>
      <c r="AI1917" s="186"/>
      <c r="AK1917" s="171"/>
    </row>
    <row r="1918" spans="1:37" s="102" customFormat="1" ht="19.899999999999999" customHeight="1" x14ac:dyDescent="0.25">
      <c r="A1918" s="45"/>
      <c r="B1918" s="59"/>
      <c r="C1918" s="137"/>
      <c r="D1918" s="59"/>
      <c r="E1918" s="116"/>
      <c r="F1918" s="120"/>
      <c r="G1918" s="120"/>
      <c r="H1918" s="120"/>
      <c r="I1918" s="60"/>
      <c r="J1918" s="116"/>
      <c r="K1918" s="213"/>
      <c r="L1918" s="120"/>
      <c r="M1918" s="120"/>
      <c r="N1918" s="167"/>
      <c r="O1918" s="120"/>
      <c r="P1918" s="120"/>
      <c r="Q1918" s="120"/>
      <c r="R1918" s="120"/>
      <c r="S1918" s="120"/>
      <c r="T1918" s="221"/>
      <c r="U1918" s="89"/>
      <c r="V1918" s="61"/>
      <c r="W1918" s="92" t="s">
        <v>65</v>
      </c>
      <c r="X1918" s="93" t="s">
        <v>30</v>
      </c>
      <c r="Y1918" s="93" t="s">
        <v>1011</v>
      </c>
      <c r="Z1918" s="134">
        <f>VLOOKUP(W1918,Sheet2!$B:$D,3,FALSE)</f>
        <v>1.76</v>
      </c>
      <c r="AA1918" s="93">
        <f>AA1917/9</f>
        <v>0.38580246913580252</v>
      </c>
      <c r="AB1918" s="93">
        <f>AD1918/AC1911</f>
        <v>4.5619199999999998</v>
      </c>
      <c r="AC1918" s="93">
        <f>AC1911/AA1918</f>
        <v>1.5406848</v>
      </c>
      <c r="AD1918" s="94">
        <f>AC1918*Z1918</f>
        <v>2.7116052480000001</v>
      </c>
      <c r="AE1918" s="190"/>
      <c r="AF1918" s="191"/>
      <c r="AG1918" s="191"/>
      <c r="AH1918" s="191"/>
      <c r="AI1918" s="186"/>
      <c r="AK1918" s="171"/>
    </row>
    <row r="1919" spans="1:37" s="102" customFormat="1" ht="19.899999999999999" customHeight="1" x14ac:dyDescent="0.25">
      <c r="A1919" s="45"/>
      <c r="B1919" s="59"/>
      <c r="C1919" s="137"/>
      <c r="D1919" s="59"/>
      <c r="E1919" s="116"/>
      <c r="F1919" s="120"/>
      <c r="G1919" s="120"/>
      <c r="H1919" s="120"/>
      <c r="I1919" s="60"/>
      <c r="J1919" s="116"/>
      <c r="K1919" s="213"/>
      <c r="L1919" s="120"/>
      <c r="M1919" s="120"/>
      <c r="N1919" s="167"/>
      <c r="O1919" s="120"/>
      <c r="P1919" s="120"/>
      <c r="Q1919" s="120"/>
      <c r="R1919" s="120"/>
      <c r="S1919" s="120"/>
      <c r="T1919" s="221"/>
      <c r="U1919" s="89"/>
      <c r="V1919" s="61"/>
      <c r="W1919" s="92" t="s">
        <v>1030</v>
      </c>
      <c r="X1919" s="93" t="s">
        <v>29</v>
      </c>
      <c r="Y1919" s="93" t="s">
        <v>93</v>
      </c>
      <c r="Z1919" s="134">
        <f>VLOOKUP(W1919,Sheet2!$B:$D,3,FALSE)</f>
        <v>23</v>
      </c>
      <c r="AA1919" s="93">
        <v>0.75</v>
      </c>
      <c r="AB1919" s="93">
        <f>AD1919/AC1911</f>
        <v>30.666666666666671</v>
      </c>
      <c r="AC1919" s="93">
        <f>AC1911/AA1919</f>
        <v>0.79253333333333342</v>
      </c>
      <c r="AD1919" s="94">
        <f t="shared" ref="AD1919:AD1920" si="1415">AC1919*Z1919</f>
        <v>18.22826666666667</v>
      </c>
      <c r="AE1919" s="190"/>
      <c r="AF1919" s="191"/>
      <c r="AG1919" s="191"/>
      <c r="AH1919" s="191"/>
      <c r="AI1919" s="186"/>
      <c r="AK1919" s="171"/>
    </row>
    <row r="1920" spans="1:37" s="102" customFormat="1" ht="19.899999999999999" customHeight="1" x14ac:dyDescent="0.25">
      <c r="A1920" s="45"/>
      <c r="B1920" s="59"/>
      <c r="C1920" s="137"/>
      <c r="D1920" s="59"/>
      <c r="E1920" s="116"/>
      <c r="F1920" s="120"/>
      <c r="G1920" s="120"/>
      <c r="H1920" s="120"/>
      <c r="I1920" s="60"/>
      <c r="J1920" s="116"/>
      <c r="K1920" s="213"/>
      <c r="L1920" s="120"/>
      <c r="M1920" s="120"/>
      <c r="N1920" s="167"/>
      <c r="O1920" s="120"/>
      <c r="P1920" s="120"/>
      <c r="Q1920" s="120"/>
      <c r="R1920" s="120"/>
      <c r="S1920" s="120"/>
      <c r="T1920" s="221"/>
      <c r="U1920" s="89"/>
      <c r="V1920" s="61"/>
      <c r="W1920" s="92" t="s">
        <v>65</v>
      </c>
      <c r="X1920" s="93" t="s">
        <v>30</v>
      </c>
      <c r="Y1920" s="93" t="s">
        <v>1011</v>
      </c>
      <c r="Z1920" s="134">
        <f>VLOOKUP(W1920,Sheet2!$B:$D,3,FALSE)</f>
        <v>1.76</v>
      </c>
      <c r="AA1920" s="93">
        <f>AA1919/3</f>
        <v>0.25</v>
      </c>
      <c r="AB1920" s="93">
        <f>AD1920/AC1911</f>
        <v>7.0400000000000009</v>
      </c>
      <c r="AC1920" s="93">
        <f>AC1911/AA1920</f>
        <v>2.3776000000000002</v>
      </c>
      <c r="AD1920" s="94">
        <f t="shared" si="1415"/>
        <v>4.1845760000000007</v>
      </c>
      <c r="AE1920" s="190"/>
      <c r="AF1920" s="191"/>
      <c r="AG1920" s="191"/>
      <c r="AH1920" s="191"/>
      <c r="AI1920" s="186"/>
      <c r="AK1920" s="171"/>
    </row>
    <row r="1921" spans="1:41" ht="38.25" x14ac:dyDescent="0.25">
      <c r="A1921" s="277" t="s">
        <v>216</v>
      </c>
      <c r="B1921" s="278"/>
      <c r="C1921" s="64" t="s">
        <v>402</v>
      </c>
      <c r="D1921" s="46" t="s">
        <v>215</v>
      </c>
      <c r="E1921" s="114">
        <v>9.000000000000008E-2</v>
      </c>
      <c r="F1921" s="44">
        <v>472053</v>
      </c>
      <c r="G1921" s="44">
        <f t="shared" si="1286"/>
        <v>42484.77000000004</v>
      </c>
      <c r="H1921" s="44">
        <f t="shared" si="1287"/>
        <v>1061111.1111111112</v>
      </c>
      <c r="I1921" s="43">
        <f t="shared" si="1288"/>
        <v>95500.000000000102</v>
      </c>
      <c r="J1921" s="112">
        <f t="shared" si="1289"/>
        <v>9.000000000000008E-2</v>
      </c>
      <c r="K1921" s="211">
        <f t="shared" si="1290"/>
        <v>9.000000000000008E-2</v>
      </c>
      <c r="L1921" s="44"/>
      <c r="M1921" s="44">
        <f t="shared" si="1296"/>
        <v>9.000000000000008E-2</v>
      </c>
      <c r="N1921" s="173">
        <f t="shared" si="1291"/>
        <v>1</v>
      </c>
      <c r="O1921" s="44">
        <f t="shared" si="1292"/>
        <v>472053</v>
      </c>
      <c r="P1921" s="44">
        <f t="shared" si="1293"/>
        <v>42484.77000000004</v>
      </c>
      <c r="Q1921" s="44">
        <f t="shared" si="1294"/>
        <v>1061111.1111111112</v>
      </c>
      <c r="R1921" s="44">
        <f t="shared" si="1297"/>
        <v>95500.000000000102</v>
      </c>
      <c r="S1921" s="123"/>
      <c r="T1921" s="219">
        <f t="shared" si="1298"/>
        <v>95500.000000000102</v>
      </c>
      <c r="U1921" s="87"/>
      <c r="V1921" s="47"/>
      <c r="W1921" s="48"/>
      <c r="X1921" s="48"/>
      <c r="Y1921" s="48"/>
      <c r="Z1921" s="135"/>
      <c r="AA1921" s="49"/>
      <c r="AB1921" s="50">
        <f t="shared" si="1295"/>
        <v>1061111.1111111112</v>
      </c>
      <c r="AC1921" s="42">
        <f t="shared" si="1299"/>
        <v>9.000000000000008E-2</v>
      </c>
      <c r="AD1921" s="90">
        <f>AD1922</f>
        <v>95500.000000000087</v>
      </c>
      <c r="AE1921" s="188">
        <f t="shared" ref="AE1921:AH1921" si="1416">AE1922</f>
        <v>0</v>
      </c>
      <c r="AF1921" s="189">
        <f t="shared" si="1416"/>
        <v>0</v>
      </c>
      <c r="AG1921" s="189">
        <f t="shared" si="1416"/>
        <v>0</v>
      </c>
      <c r="AH1921" s="189">
        <f t="shared" si="1416"/>
        <v>0</v>
      </c>
      <c r="AI1921" s="161">
        <f t="shared" ref="AI1921" si="1417">SUM(AE1921:AH1921)</f>
        <v>0</v>
      </c>
      <c r="AK1921" s="169">
        <v>5</v>
      </c>
      <c r="AO1921" s="19" t="s">
        <v>63</v>
      </c>
    </row>
    <row r="1922" spans="1:41" s="103" customFormat="1" ht="19.899999999999999" customHeight="1" x14ac:dyDescent="0.25">
      <c r="A1922" s="51"/>
      <c r="B1922" s="52"/>
      <c r="C1922" s="165"/>
      <c r="D1922" s="52"/>
      <c r="E1922" s="115"/>
      <c r="F1922" s="58"/>
      <c r="G1922" s="58"/>
      <c r="H1922" s="58"/>
      <c r="I1922" s="55"/>
      <c r="J1922" s="113">
        <f>J1921</f>
        <v>9.000000000000008E-2</v>
      </c>
      <c r="K1922" s="212">
        <f>K1921</f>
        <v>9.000000000000008E-2</v>
      </c>
      <c r="L1922" s="58"/>
      <c r="M1922" s="58">
        <f>K1922-L1922</f>
        <v>9.000000000000008E-2</v>
      </c>
      <c r="N1922" s="166"/>
      <c r="O1922" s="58"/>
      <c r="P1922" s="58"/>
      <c r="Q1922" s="58"/>
      <c r="R1922" s="58"/>
      <c r="S1922" s="58"/>
      <c r="T1922" s="220"/>
      <c r="U1922" s="88"/>
      <c r="V1922" s="56"/>
      <c r="W1922" s="57" t="s">
        <v>1395</v>
      </c>
      <c r="X1922" s="53"/>
      <c r="Y1922" s="91" t="s">
        <v>35</v>
      </c>
      <c r="Z1922" s="136">
        <f>AD1922/AC1922</f>
        <v>1061111.1111111112</v>
      </c>
      <c r="AA1922" s="58"/>
      <c r="AB1922" s="53">
        <f>AD1922/AC1922</f>
        <v>1061111.1111111112</v>
      </c>
      <c r="AC1922" s="53">
        <f>M1922+$AE$10</f>
        <v>9.000000000000008E-2</v>
      </c>
      <c r="AD1922" s="54">
        <f>SUM(AD1923:AD1925)</f>
        <v>95500.000000000087</v>
      </c>
      <c r="AE1922" s="184">
        <f>SUMIFS($AD$37:$AD$12971,$V$37:$V$12971,$V1922,$X$37:$X$12971,AE$13)</f>
        <v>0</v>
      </c>
      <c r="AF1922" s="185">
        <f>SUMIFS($AD$37:$AD$12971,$V$37:$V$12971,$V1922,$X$37:$X$12971,AF$13)</f>
        <v>0</v>
      </c>
      <c r="AG1922" s="185">
        <f>SUMIFS($AD$37:$AD$12971,$V$37:$V$12971,$V1922,$X$37:$X$12971,AG$13)</f>
        <v>0</v>
      </c>
      <c r="AH1922" s="187">
        <f>SUMIFS($AD$37:$AD$12971,$V$37:$V$12971,$V1922,$X$37:$X$12971,AH$13)</f>
        <v>0</v>
      </c>
      <c r="AI1922" s="161">
        <f t="shared" ref="AI1922" si="1418">SUM(AE1922:AH1922)</f>
        <v>0</v>
      </c>
      <c r="AK1922" s="172"/>
    </row>
    <row r="1923" spans="1:41" s="102" customFormat="1" ht="19.899999999999999" customHeight="1" x14ac:dyDescent="0.25">
      <c r="A1923" s="45"/>
      <c r="B1923" s="59"/>
      <c r="C1923" s="137"/>
      <c r="D1923" s="59"/>
      <c r="E1923" s="116"/>
      <c r="F1923" s="120"/>
      <c r="G1923" s="120"/>
      <c r="H1923" s="120"/>
      <c r="I1923" s="60"/>
      <c r="J1923" s="116"/>
      <c r="K1923" s="213"/>
      <c r="L1923" s="120"/>
      <c r="M1923" s="120"/>
      <c r="N1923" s="167"/>
      <c r="O1923" s="120"/>
      <c r="P1923" s="120"/>
      <c r="Q1923" s="120"/>
      <c r="R1923" s="120"/>
      <c r="S1923" s="120"/>
      <c r="T1923" s="221"/>
      <c r="U1923" s="89"/>
      <c r="V1923" s="61"/>
      <c r="W1923" s="92" t="s">
        <v>1396</v>
      </c>
      <c r="X1923" s="93" t="s">
        <v>32</v>
      </c>
      <c r="Y1923" s="93" t="s">
        <v>1349</v>
      </c>
      <c r="Z1923" s="134">
        <f>VLOOKUP(W1923,Sheet2!$B:$D,3,FALSE)</f>
        <v>20000</v>
      </c>
      <c r="AA1923" s="93">
        <v>0.09</v>
      </c>
      <c r="AB1923" s="93">
        <f>AD1923/AC1922</f>
        <v>222222.22222222222</v>
      </c>
      <c r="AC1923" s="93">
        <f>AC1922/AA1923</f>
        <v>1.0000000000000009</v>
      </c>
      <c r="AD1923" s="94">
        <f t="shared" ref="AD1923:AD1924" si="1419">AC1923*Z1923</f>
        <v>20000.000000000018</v>
      </c>
      <c r="AE1923" s="190"/>
      <c r="AF1923" s="191"/>
      <c r="AG1923" s="191"/>
      <c r="AH1923" s="191"/>
      <c r="AI1923" s="186"/>
      <c r="AK1923" s="171"/>
    </row>
    <row r="1924" spans="1:41" s="102" customFormat="1" ht="19.899999999999999" customHeight="1" x14ac:dyDescent="0.25">
      <c r="A1924" s="45"/>
      <c r="B1924" s="59"/>
      <c r="C1924" s="137"/>
      <c r="D1924" s="59"/>
      <c r="E1924" s="116"/>
      <c r="F1924" s="120"/>
      <c r="G1924" s="120"/>
      <c r="H1924" s="120"/>
      <c r="I1924" s="60"/>
      <c r="J1924" s="116"/>
      <c r="K1924" s="213"/>
      <c r="L1924" s="120"/>
      <c r="M1924" s="120"/>
      <c r="N1924" s="167"/>
      <c r="O1924" s="120"/>
      <c r="P1924" s="120"/>
      <c r="Q1924" s="120"/>
      <c r="R1924" s="120"/>
      <c r="S1924" s="120"/>
      <c r="T1924" s="221"/>
      <c r="U1924" s="89"/>
      <c r="V1924" s="61"/>
      <c r="W1924" s="92" t="s">
        <v>1397</v>
      </c>
      <c r="X1924" s="93" t="s">
        <v>32</v>
      </c>
      <c r="Y1924" s="93" t="s">
        <v>1349</v>
      </c>
      <c r="Z1924" s="134">
        <f>VLOOKUP(W1924,Sheet2!$B:$D,3,FALSE)</f>
        <v>40000</v>
      </c>
      <c r="AA1924" s="93">
        <f>AA1923</f>
        <v>0.09</v>
      </c>
      <c r="AB1924" s="93">
        <f>AD1924/AC1922</f>
        <v>444444.44444444444</v>
      </c>
      <c r="AC1924" s="93">
        <f>AC1922/AA1924</f>
        <v>1.0000000000000009</v>
      </c>
      <c r="AD1924" s="94">
        <f t="shared" si="1419"/>
        <v>40000.000000000036</v>
      </c>
      <c r="AE1924" s="190"/>
      <c r="AF1924" s="191"/>
      <c r="AG1924" s="191"/>
      <c r="AH1924" s="191"/>
      <c r="AI1924" s="186"/>
      <c r="AK1924" s="171"/>
    </row>
    <row r="1925" spans="1:41" s="102" customFormat="1" ht="19.899999999999999" customHeight="1" x14ac:dyDescent="0.25">
      <c r="A1925" s="45"/>
      <c r="B1925" s="59"/>
      <c r="C1925" s="137"/>
      <c r="D1925" s="59"/>
      <c r="E1925" s="116"/>
      <c r="F1925" s="120"/>
      <c r="G1925" s="120"/>
      <c r="H1925" s="120"/>
      <c r="I1925" s="60"/>
      <c r="J1925" s="116"/>
      <c r="K1925" s="213"/>
      <c r="L1925" s="120"/>
      <c r="M1925" s="120"/>
      <c r="N1925" s="167"/>
      <c r="O1925" s="120"/>
      <c r="P1925" s="120"/>
      <c r="Q1925" s="120"/>
      <c r="R1925" s="120"/>
      <c r="S1925" s="120"/>
      <c r="T1925" s="221"/>
      <c r="U1925" s="89"/>
      <c r="V1925" s="61"/>
      <c r="W1925" s="92" t="s">
        <v>1398</v>
      </c>
      <c r="X1925" s="93" t="s">
        <v>32</v>
      </c>
      <c r="Y1925" s="93" t="s">
        <v>1349</v>
      </c>
      <c r="Z1925" s="134">
        <f>VLOOKUP(W1925,Sheet2!$B:$D,3,FALSE)</f>
        <v>35500</v>
      </c>
      <c r="AA1925" s="93">
        <f>AA1923</f>
        <v>0.09</v>
      </c>
      <c r="AB1925" s="93">
        <f>AD1925/AC1922</f>
        <v>394444.44444444444</v>
      </c>
      <c r="AC1925" s="93">
        <f>AC1922/AA1925</f>
        <v>1.0000000000000009</v>
      </c>
      <c r="AD1925" s="94">
        <f>AC1925*Z1925</f>
        <v>35500.000000000029</v>
      </c>
      <c r="AE1925" s="190"/>
      <c r="AF1925" s="191"/>
      <c r="AG1925" s="191"/>
      <c r="AH1925" s="191"/>
      <c r="AI1925" s="186"/>
      <c r="AK1925" s="171"/>
    </row>
    <row r="1926" spans="1:41" s="306" customFormat="1" ht="169.5" customHeight="1" x14ac:dyDescent="0.25">
      <c r="A1926" s="287" t="s">
        <v>216</v>
      </c>
      <c r="B1926" s="288"/>
      <c r="C1926" s="286" t="s">
        <v>403</v>
      </c>
      <c r="D1926" s="289"/>
      <c r="E1926" s="290"/>
      <c r="F1926" s="291"/>
      <c r="G1926" s="291">
        <f t="shared" si="1286"/>
        <v>0</v>
      </c>
      <c r="H1926" s="291">
        <f t="shared" si="1287"/>
        <v>0</v>
      </c>
      <c r="I1926" s="292">
        <f t="shared" si="1288"/>
        <v>0</v>
      </c>
      <c r="J1926" s="290">
        <f t="shared" si="1289"/>
        <v>0</v>
      </c>
      <c r="K1926" s="293">
        <f t="shared" si="1290"/>
        <v>0</v>
      </c>
      <c r="L1926" s="291"/>
      <c r="M1926" s="291">
        <f t="shared" si="1296"/>
        <v>0</v>
      </c>
      <c r="N1926" s="294">
        <f t="shared" si="1291"/>
        <v>0</v>
      </c>
      <c r="O1926" s="291">
        <f t="shared" si="1292"/>
        <v>0</v>
      </c>
      <c r="P1926" s="291">
        <f t="shared" si="1293"/>
        <v>0</v>
      </c>
      <c r="Q1926" s="291">
        <f t="shared" si="1294"/>
        <v>0</v>
      </c>
      <c r="R1926" s="291">
        <f t="shared" si="1297"/>
        <v>0</v>
      </c>
      <c r="S1926" s="291"/>
      <c r="T1926" s="295">
        <f t="shared" si="1298"/>
        <v>0</v>
      </c>
      <c r="U1926" s="296"/>
      <c r="V1926" s="297"/>
      <c r="W1926" s="298"/>
      <c r="X1926" s="299"/>
      <c r="Y1926" s="300"/>
      <c r="Z1926" s="301"/>
      <c r="AA1926" s="300"/>
      <c r="AB1926" s="300">
        <f t="shared" si="1295"/>
        <v>0</v>
      </c>
      <c r="AC1926" s="300">
        <f t="shared" si="1299"/>
        <v>9.9999999999999998E-20</v>
      </c>
      <c r="AD1926" s="302"/>
      <c r="AE1926" s="303"/>
      <c r="AF1926" s="304"/>
      <c r="AG1926" s="304"/>
      <c r="AH1926" s="304"/>
      <c r="AI1926" s="305"/>
      <c r="AK1926" s="307"/>
    </row>
    <row r="1927" spans="1:41" ht="39" customHeight="1" x14ac:dyDescent="0.25">
      <c r="A1927" s="277" t="s">
        <v>216</v>
      </c>
      <c r="B1927" s="278"/>
      <c r="C1927" s="64" t="s">
        <v>404</v>
      </c>
      <c r="D1927" s="46" t="s">
        <v>215</v>
      </c>
      <c r="E1927" s="114"/>
      <c r="F1927" s="44">
        <v>0</v>
      </c>
      <c r="G1927" s="44">
        <f t="shared" si="1286"/>
        <v>0</v>
      </c>
      <c r="H1927" s="44">
        <f t="shared" si="1287"/>
        <v>0</v>
      </c>
      <c r="I1927" s="43">
        <f t="shared" si="1288"/>
        <v>0</v>
      </c>
      <c r="J1927" s="112">
        <f t="shared" si="1289"/>
        <v>0</v>
      </c>
      <c r="K1927" s="211">
        <f t="shared" si="1290"/>
        <v>0</v>
      </c>
      <c r="L1927" s="44"/>
      <c r="M1927" s="44">
        <f t="shared" si="1296"/>
        <v>0</v>
      </c>
      <c r="N1927" s="173">
        <f t="shared" si="1291"/>
        <v>0</v>
      </c>
      <c r="O1927" s="44">
        <f t="shared" si="1292"/>
        <v>0</v>
      </c>
      <c r="P1927" s="44">
        <f t="shared" si="1293"/>
        <v>0</v>
      </c>
      <c r="Q1927" s="44">
        <f t="shared" si="1294"/>
        <v>0</v>
      </c>
      <c r="R1927" s="44">
        <f t="shared" si="1297"/>
        <v>0</v>
      </c>
      <c r="S1927" s="123"/>
      <c r="T1927" s="219">
        <f t="shared" si="1298"/>
        <v>0</v>
      </c>
      <c r="U1927" s="87"/>
      <c r="V1927" s="47"/>
      <c r="W1927" s="48"/>
      <c r="X1927" s="48"/>
      <c r="Y1927" s="48"/>
      <c r="Z1927" s="135"/>
      <c r="AA1927" s="49"/>
      <c r="AB1927" s="50">
        <f t="shared" si="1295"/>
        <v>0</v>
      </c>
      <c r="AC1927" s="42">
        <f t="shared" si="1299"/>
        <v>9.9999999999999998E-20</v>
      </c>
      <c r="AD1927" s="90"/>
      <c r="AE1927" s="188"/>
      <c r="AF1927" s="189"/>
      <c r="AG1927" s="189"/>
      <c r="AH1927" s="189"/>
      <c r="AI1927" s="161"/>
    </row>
    <row r="1928" spans="1:41" ht="38.25" x14ac:dyDescent="0.25">
      <c r="A1928" s="277" t="s">
        <v>216</v>
      </c>
      <c r="B1928" s="278"/>
      <c r="C1928" s="64" t="s">
        <v>405</v>
      </c>
      <c r="D1928" s="46" t="s">
        <v>215</v>
      </c>
      <c r="E1928" s="114">
        <v>0.56637239583333332</v>
      </c>
      <c r="F1928" s="44">
        <v>14930039</v>
      </c>
      <c r="G1928" s="44">
        <f t="shared" si="1286"/>
        <v>8455961.9583151042</v>
      </c>
      <c r="H1928" s="44">
        <f t="shared" si="1287"/>
        <v>9272697.6784819327</v>
      </c>
      <c r="I1928" s="43">
        <f t="shared" si="1288"/>
        <v>5251800</v>
      </c>
      <c r="J1928" s="112">
        <f t="shared" si="1289"/>
        <v>0.56637239583333332</v>
      </c>
      <c r="K1928" s="211">
        <f t="shared" si="1290"/>
        <v>0.56637239583333332</v>
      </c>
      <c r="L1928" s="44"/>
      <c r="M1928" s="44">
        <f t="shared" si="1296"/>
        <v>0.56637239583333332</v>
      </c>
      <c r="N1928" s="173">
        <f t="shared" si="1291"/>
        <v>1</v>
      </c>
      <c r="O1928" s="44">
        <f t="shared" si="1292"/>
        <v>14930039</v>
      </c>
      <c r="P1928" s="44">
        <f t="shared" si="1293"/>
        <v>8455961.9583151042</v>
      </c>
      <c r="Q1928" s="44">
        <f t="shared" si="1294"/>
        <v>9272697.6784819327</v>
      </c>
      <c r="R1928" s="44">
        <f t="shared" si="1297"/>
        <v>5251800</v>
      </c>
      <c r="S1928" s="123"/>
      <c r="T1928" s="219">
        <f t="shared" si="1298"/>
        <v>5251800</v>
      </c>
      <c r="U1928" s="87"/>
      <c r="V1928" s="47"/>
      <c r="W1928" s="48"/>
      <c r="X1928" s="48"/>
      <c r="Y1928" s="48"/>
      <c r="Z1928" s="135"/>
      <c r="AA1928" s="49"/>
      <c r="AB1928" s="50">
        <f t="shared" si="1295"/>
        <v>9272697.6784819327</v>
      </c>
      <c r="AC1928" s="42">
        <f t="shared" si="1299"/>
        <v>0.56637239583333332</v>
      </c>
      <c r="AD1928" s="90">
        <f>AD1929</f>
        <v>5251800</v>
      </c>
      <c r="AE1928" s="188">
        <f t="shared" ref="AE1928:AH1928" si="1420">AE1929</f>
        <v>0</v>
      </c>
      <c r="AF1928" s="189">
        <f t="shared" si="1420"/>
        <v>0</v>
      </c>
      <c r="AG1928" s="189">
        <f t="shared" si="1420"/>
        <v>0</v>
      </c>
      <c r="AH1928" s="189">
        <f t="shared" si="1420"/>
        <v>0</v>
      </c>
      <c r="AI1928" s="161">
        <f t="shared" ref="AI1928" si="1421">SUM(AE1928:AH1928)</f>
        <v>0</v>
      </c>
      <c r="AK1928" s="169">
        <v>5</v>
      </c>
      <c r="AO1928" s="19" t="s">
        <v>63</v>
      </c>
    </row>
    <row r="1929" spans="1:41" s="103" customFormat="1" ht="19.899999999999999" customHeight="1" x14ac:dyDescent="0.25">
      <c r="A1929" s="51"/>
      <c r="B1929" s="52"/>
      <c r="C1929" s="165"/>
      <c r="D1929" s="52"/>
      <c r="E1929" s="115"/>
      <c r="F1929" s="58"/>
      <c r="G1929" s="58"/>
      <c r="H1929" s="58"/>
      <c r="I1929" s="55"/>
      <c r="J1929" s="113">
        <f>J1928</f>
        <v>0.56637239583333332</v>
      </c>
      <c r="K1929" s="212">
        <f>K1928</f>
        <v>0.56637239583333332</v>
      </c>
      <c r="L1929" s="58"/>
      <c r="M1929" s="58">
        <f>K1929-L1929</f>
        <v>0.56637239583333332</v>
      </c>
      <c r="N1929" s="166"/>
      <c r="O1929" s="58"/>
      <c r="P1929" s="58"/>
      <c r="Q1929" s="58"/>
      <c r="R1929" s="58"/>
      <c r="S1929" s="58"/>
      <c r="T1929" s="220"/>
      <c r="U1929" s="88"/>
      <c r="V1929" s="56"/>
      <c r="W1929" s="57" t="s">
        <v>1399</v>
      </c>
      <c r="X1929" s="53"/>
      <c r="Y1929" s="91" t="s">
        <v>35</v>
      </c>
      <c r="Z1929" s="136">
        <f>AD1929/AC1929</f>
        <v>9272697.6784819327</v>
      </c>
      <c r="AA1929" s="58"/>
      <c r="AB1929" s="53">
        <f>AD1929/AC1929</f>
        <v>9272697.6784819327</v>
      </c>
      <c r="AC1929" s="53">
        <f>M1929+$AE$10</f>
        <v>0.56637239583333332</v>
      </c>
      <c r="AD1929" s="54">
        <f>SUM(AD1930:AD1930)</f>
        <v>5251800</v>
      </c>
      <c r="AE1929" s="184">
        <f>SUMIFS($AD$37:$AD$12971,$V$37:$V$12971,$V1929,$X$37:$X$12971,AE$13)</f>
        <v>0</v>
      </c>
      <c r="AF1929" s="185">
        <f>SUMIFS($AD$37:$AD$12971,$V$37:$V$12971,$V1929,$X$37:$X$12971,AF$13)</f>
        <v>0</v>
      </c>
      <c r="AG1929" s="185">
        <f>SUMIFS($AD$37:$AD$12971,$V$37:$V$12971,$V1929,$X$37:$X$12971,AG$13)</f>
        <v>0</v>
      </c>
      <c r="AH1929" s="187">
        <f>SUMIFS($AD$37:$AD$12971,$V$37:$V$12971,$V1929,$X$37:$X$12971,AH$13)</f>
        <v>0</v>
      </c>
      <c r="AI1929" s="161">
        <f t="shared" ref="AI1929" si="1422">SUM(AE1929:AH1929)</f>
        <v>0</v>
      </c>
      <c r="AK1929" s="172"/>
    </row>
    <row r="1930" spans="1:41" s="102" customFormat="1" ht="19.899999999999999" customHeight="1" x14ac:dyDescent="0.25">
      <c r="A1930" s="45"/>
      <c r="B1930" s="59"/>
      <c r="C1930" s="137"/>
      <c r="D1930" s="59"/>
      <c r="E1930" s="116"/>
      <c r="F1930" s="120"/>
      <c r="G1930" s="120"/>
      <c r="H1930" s="120"/>
      <c r="I1930" s="60"/>
      <c r="J1930" s="116"/>
      <c r="K1930" s="213"/>
      <c r="L1930" s="120"/>
      <c r="M1930" s="120"/>
      <c r="N1930" s="167"/>
      <c r="O1930" s="120"/>
      <c r="P1930" s="120"/>
      <c r="Q1930" s="120"/>
      <c r="R1930" s="120"/>
      <c r="S1930" s="120"/>
      <c r="T1930" s="221"/>
      <c r="U1930" s="89"/>
      <c r="V1930" s="61"/>
      <c r="W1930" s="92" t="s">
        <v>1399</v>
      </c>
      <c r="X1930" s="93" t="s">
        <v>32</v>
      </c>
      <c r="Y1930" s="93" t="s">
        <v>35</v>
      </c>
      <c r="Z1930" s="134">
        <f>VLOOKUP(W1930,Sheet2!$B:$D,3,FALSE)</f>
        <v>5251800</v>
      </c>
      <c r="AA1930" s="93">
        <v>0.56637239583333332</v>
      </c>
      <c r="AB1930" s="93">
        <f>AD1930/AC1929</f>
        <v>9272697.6784819327</v>
      </c>
      <c r="AC1930" s="93">
        <f>AC1929/AA1930</f>
        <v>1</v>
      </c>
      <c r="AD1930" s="94">
        <f t="shared" ref="AD1930" si="1423">AC1930*Z1930</f>
        <v>5251800</v>
      </c>
      <c r="AE1930" s="190"/>
      <c r="AF1930" s="191"/>
      <c r="AG1930" s="191"/>
      <c r="AH1930" s="191"/>
      <c r="AI1930" s="186"/>
      <c r="AK1930" s="171"/>
    </row>
    <row r="1931" spans="1:41" ht="38.25" x14ac:dyDescent="0.25">
      <c r="A1931" s="277" t="s">
        <v>216</v>
      </c>
      <c r="B1931" s="278"/>
      <c r="C1931" s="64" t="s">
        <v>406</v>
      </c>
      <c r="D1931" s="46" t="s">
        <v>407</v>
      </c>
      <c r="E1931" s="114">
        <v>1.53</v>
      </c>
      <c r="F1931" s="44">
        <v>3054459</v>
      </c>
      <c r="G1931" s="44">
        <f t="shared" si="1286"/>
        <v>4673322.2700000005</v>
      </c>
      <c r="H1931" s="44">
        <f t="shared" si="1287"/>
        <v>1181727.9411764699</v>
      </c>
      <c r="I1931" s="43">
        <f t="shared" si="1288"/>
        <v>1808043.7499999991</v>
      </c>
      <c r="J1931" s="112">
        <f t="shared" si="1289"/>
        <v>1.53</v>
      </c>
      <c r="K1931" s="211">
        <f t="shared" si="1290"/>
        <v>1.53</v>
      </c>
      <c r="L1931" s="44"/>
      <c r="M1931" s="44">
        <f t="shared" si="1296"/>
        <v>1.53</v>
      </c>
      <c r="N1931" s="173">
        <f t="shared" si="1291"/>
        <v>1</v>
      </c>
      <c r="O1931" s="44">
        <f t="shared" si="1292"/>
        <v>3054459</v>
      </c>
      <c r="P1931" s="44">
        <f t="shared" si="1293"/>
        <v>4673322.2700000005</v>
      </c>
      <c r="Q1931" s="44">
        <f t="shared" si="1294"/>
        <v>1181727.9411764699</v>
      </c>
      <c r="R1931" s="44">
        <f t="shared" si="1297"/>
        <v>1808043.7499999991</v>
      </c>
      <c r="S1931" s="123"/>
      <c r="T1931" s="219">
        <f t="shared" si="1298"/>
        <v>1808043.7499999991</v>
      </c>
      <c r="U1931" s="87"/>
      <c r="V1931" s="47"/>
      <c r="W1931" s="48"/>
      <c r="X1931" s="48"/>
      <c r="Y1931" s="48"/>
      <c r="Z1931" s="135"/>
      <c r="AA1931" s="49"/>
      <c r="AB1931" s="50">
        <f t="shared" si="1295"/>
        <v>1181727.9411764699</v>
      </c>
      <c r="AC1931" s="42">
        <f t="shared" si="1299"/>
        <v>1.53</v>
      </c>
      <c r="AD1931" s="90">
        <f>AD1932</f>
        <v>1808043.7499999991</v>
      </c>
      <c r="AE1931" s="188">
        <f t="shared" ref="AE1931" si="1424">AE1932</f>
        <v>0</v>
      </c>
      <c r="AF1931" s="189">
        <f t="shared" ref="AF1931" si="1425">AF1932</f>
        <v>0</v>
      </c>
      <c r="AG1931" s="189">
        <f t="shared" ref="AG1931" si="1426">AG1932</f>
        <v>0</v>
      </c>
      <c r="AH1931" s="189">
        <f t="shared" ref="AH1931" si="1427">AH1932</f>
        <v>0</v>
      </c>
      <c r="AI1931" s="161">
        <f t="shared" ref="AI1931" si="1428">SUM(AE1931:AH1931)</f>
        <v>0</v>
      </c>
      <c r="AK1931" s="169">
        <v>5</v>
      </c>
      <c r="AO1931" s="19" t="s">
        <v>63</v>
      </c>
    </row>
    <row r="1932" spans="1:41" s="103" customFormat="1" ht="19.899999999999999" customHeight="1" x14ac:dyDescent="0.25">
      <c r="A1932" s="51"/>
      <c r="B1932" s="52"/>
      <c r="C1932" s="165"/>
      <c r="D1932" s="52"/>
      <c r="E1932" s="115"/>
      <c r="F1932" s="58"/>
      <c r="G1932" s="58"/>
      <c r="H1932" s="58"/>
      <c r="I1932" s="55"/>
      <c r="J1932" s="113">
        <f>J1931</f>
        <v>1.53</v>
      </c>
      <c r="K1932" s="212">
        <f>K1931</f>
        <v>1.53</v>
      </c>
      <c r="L1932" s="58"/>
      <c r="M1932" s="58">
        <f>K1932-L1932</f>
        <v>1.53</v>
      </c>
      <c r="N1932" s="166"/>
      <c r="O1932" s="58"/>
      <c r="P1932" s="58"/>
      <c r="Q1932" s="58"/>
      <c r="R1932" s="58"/>
      <c r="S1932" s="58"/>
      <c r="T1932" s="220"/>
      <c r="U1932" s="88"/>
      <c r="V1932" s="56"/>
      <c r="W1932" s="57" t="s">
        <v>1400</v>
      </c>
      <c r="X1932" s="53"/>
      <c r="Y1932" s="91" t="s">
        <v>35</v>
      </c>
      <c r="Z1932" s="136">
        <f>AD1932/AC1932</f>
        <v>1181727.9411764699</v>
      </c>
      <c r="AA1932" s="58"/>
      <c r="AB1932" s="53">
        <f>AD1932/AC1932</f>
        <v>1181727.9411764699</v>
      </c>
      <c r="AC1932" s="53">
        <f>M1932+$AE$10</f>
        <v>1.53</v>
      </c>
      <c r="AD1932" s="54">
        <f>SUM(AD1933:AD1933)</f>
        <v>1808043.7499999991</v>
      </c>
      <c r="AE1932" s="184">
        <f>SUMIFS($AD$37:$AD$12971,$V$37:$V$12971,$V1932,$X$37:$X$12971,AE$13)</f>
        <v>0</v>
      </c>
      <c r="AF1932" s="185">
        <f>SUMIFS($AD$37:$AD$12971,$V$37:$V$12971,$V1932,$X$37:$X$12971,AF$13)</f>
        <v>0</v>
      </c>
      <c r="AG1932" s="185">
        <f>SUMIFS($AD$37:$AD$12971,$V$37:$V$12971,$V1932,$X$37:$X$12971,AG$13)</f>
        <v>0</v>
      </c>
      <c r="AH1932" s="187">
        <f>SUMIFS($AD$37:$AD$12971,$V$37:$V$12971,$V1932,$X$37:$X$12971,AH$13)</f>
        <v>0</v>
      </c>
      <c r="AI1932" s="161">
        <f t="shared" ref="AI1932" si="1429">SUM(AE1932:AH1932)</f>
        <v>0</v>
      </c>
      <c r="AK1932" s="172"/>
    </row>
    <row r="1933" spans="1:41" s="102" customFormat="1" ht="6.75" customHeight="1" x14ac:dyDescent="0.25">
      <c r="A1933" s="45"/>
      <c r="B1933" s="59"/>
      <c r="C1933" s="137"/>
      <c r="D1933" s="59"/>
      <c r="E1933" s="116"/>
      <c r="F1933" s="120"/>
      <c r="G1933" s="120"/>
      <c r="H1933" s="120"/>
      <c r="I1933" s="60"/>
      <c r="J1933" s="116"/>
      <c r="K1933" s="213"/>
      <c r="L1933" s="120"/>
      <c r="M1933" s="120"/>
      <c r="N1933" s="167"/>
      <c r="O1933" s="120"/>
      <c r="P1933" s="120"/>
      <c r="Q1933" s="120"/>
      <c r="R1933" s="120"/>
      <c r="S1933" s="120"/>
      <c r="T1933" s="221"/>
      <c r="U1933" s="89"/>
      <c r="V1933" s="61"/>
      <c r="W1933" s="92" t="s">
        <v>1401</v>
      </c>
      <c r="X1933" s="93" t="s">
        <v>32</v>
      </c>
      <c r="Y1933" s="93" t="s">
        <v>35</v>
      </c>
      <c r="Z1933" s="134">
        <f>VLOOKUP(W1933,Sheet2!$B:$D,3,FALSE)</f>
        <v>1181727.9411764699</v>
      </c>
      <c r="AA1933" s="93">
        <v>1</v>
      </c>
      <c r="AB1933" s="93">
        <f>AD1933/AC1932</f>
        <v>1181727.9411764699</v>
      </c>
      <c r="AC1933" s="93">
        <f>AC1932/AA1933</f>
        <v>1.53</v>
      </c>
      <c r="AD1933" s="94">
        <f t="shared" ref="AD1933" si="1430">AC1933*Z1933</f>
        <v>1808043.7499999991</v>
      </c>
      <c r="AE1933" s="190"/>
      <c r="AF1933" s="191"/>
      <c r="AG1933" s="191"/>
      <c r="AH1933" s="191"/>
      <c r="AI1933" s="186"/>
      <c r="AK1933" s="171"/>
    </row>
    <row r="1934" spans="1:41" ht="20.100000000000001" customHeight="1" x14ac:dyDescent="0.25">
      <c r="A1934" s="277" t="s">
        <v>216</v>
      </c>
      <c r="B1934" s="278"/>
      <c r="C1934" s="64" t="s">
        <v>408</v>
      </c>
      <c r="D1934" s="46" t="s">
        <v>407</v>
      </c>
      <c r="E1934" s="114">
        <v>1</v>
      </c>
      <c r="F1934" s="44">
        <v>849695</v>
      </c>
      <c r="G1934" s="44">
        <f t="shared" si="1286"/>
        <v>849695</v>
      </c>
      <c r="H1934" s="44">
        <f t="shared" si="1287"/>
        <v>323462.5</v>
      </c>
      <c r="I1934" s="43">
        <f t="shared" si="1288"/>
        <v>323462.5</v>
      </c>
      <c r="J1934" s="112">
        <f t="shared" si="1289"/>
        <v>1</v>
      </c>
      <c r="K1934" s="211">
        <f t="shared" si="1290"/>
        <v>1</v>
      </c>
      <c r="L1934" s="44"/>
      <c r="M1934" s="44">
        <f t="shared" si="1296"/>
        <v>1</v>
      </c>
      <c r="N1934" s="173">
        <f t="shared" si="1291"/>
        <v>1</v>
      </c>
      <c r="O1934" s="44">
        <f t="shared" si="1292"/>
        <v>849695</v>
      </c>
      <c r="P1934" s="44">
        <f t="shared" si="1293"/>
        <v>849695</v>
      </c>
      <c r="Q1934" s="44">
        <f t="shared" si="1294"/>
        <v>323462.5</v>
      </c>
      <c r="R1934" s="44">
        <f t="shared" si="1297"/>
        <v>323462.5</v>
      </c>
      <c r="S1934" s="123"/>
      <c r="T1934" s="219">
        <f t="shared" si="1298"/>
        <v>323462.5</v>
      </c>
      <c r="U1934" s="87"/>
      <c r="V1934" s="47"/>
      <c r="W1934" s="48"/>
      <c r="X1934" s="48"/>
      <c r="Y1934" s="48"/>
      <c r="Z1934" s="135"/>
      <c r="AA1934" s="49"/>
      <c r="AB1934" s="50">
        <f t="shared" si="1295"/>
        <v>323462.5</v>
      </c>
      <c r="AC1934" s="42">
        <f t="shared" si="1299"/>
        <v>1</v>
      </c>
      <c r="AD1934" s="90">
        <f>AD1935</f>
        <v>323462.5</v>
      </c>
      <c r="AE1934" s="188">
        <f t="shared" ref="AE1934" si="1431">AE1935</f>
        <v>0</v>
      </c>
      <c r="AF1934" s="189">
        <f t="shared" ref="AF1934" si="1432">AF1935</f>
        <v>0</v>
      </c>
      <c r="AG1934" s="189">
        <f t="shared" ref="AG1934" si="1433">AG1935</f>
        <v>0</v>
      </c>
      <c r="AH1934" s="189">
        <f t="shared" ref="AH1934" si="1434">AH1935</f>
        <v>0</v>
      </c>
      <c r="AI1934" s="161">
        <f t="shared" ref="AI1934" si="1435">SUM(AE1934:AH1934)</f>
        <v>0</v>
      </c>
      <c r="AK1934" s="169">
        <v>5</v>
      </c>
      <c r="AO1934" s="19" t="s">
        <v>63</v>
      </c>
    </row>
    <row r="1935" spans="1:41" s="103" customFormat="1" ht="19.899999999999999" customHeight="1" x14ac:dyDescent="0.25">
      <c r="A1935" s="51"/>
      <c r="B1935" s="52"/>
      <c r="C1935" s="165"/>
      <c r="D1935" s="52"/>
      <c r="E1935" s="115"/>
      <c r="F1935" s="58"/>
      <c r="G1935" s="58"/>
      <c r="H1935" s="58"/>
      <c r="I1935" s="55"/>
      <c r="J1935" s="113">
        <f>J1934</f>
        <v>1</v>
      </c>
      <c r="K1935" s="212">
        <f>K1934</f>
        <v>1</v>
      </c>
      <c r="L1935" s="58"/>
      <c r="M1935" s="58">
        <f>K1935-L1935</f>
        <v>1</v>
      </c>
      <c r="N1935" s="166"/>
      <c r="O1935" s="58"/>
      <c r="P1935" s="58"/>
      <c r="Q1935" s="58"/>
      <c r="R1935" s="58"/>
      <c r="S1935" s="58"/>
      <c r="T1935" s="220"/>
      <c r="U1935" s="88"/>
      <c r="V1935" s="56"/>
      <c r="W1935" s="57" t="s">
        <v>1402</v>
      </c>
      <c r="X1935" s="53"/>
      <c r="Y1935" s="91" t="s">
        <v>35</v>
      </c>
      <c r="Z1935" s="136">
        <f>AD1935/AC1935</f>
        <v>323462.5</v>
      </c>
      <c r="AA1935" s="58"/>
      <c r="AB1935" s="53">
        <f>AD1935/AC1935</f>
        <v>323462.5</v>
      </c>
      <c r="AC1935" s="53">
        <f>M1935+$AE$10</f>
        <v>1</v>
      </c>
      <c r="AD1935" s="54">
        <f>SUM(AD1936:AD1936)</f>
        <v>323462.5</v>
      </c>
      <c r="AE1935" s="184">
        <f>SUMIFS($AD$37:$AD$12971,$V$37:$V$12971,$V1935,$X$37:$X$12971,AE$13)</f>
        <v>0</v>
      </c>
      <c r="AF1935" s="185">
        <f>SUMIFS($AD$37:$AD$12971,$V$37:$V$12971,$V1935,$X$37:$X$12971,AF$13)</f>
        <v>0</v>
      </c>
      <c r="AG1935" s="185">
        <f>SUMIFS($AD$37:$AD$12971,$V$37:$V$12971,$V1935,$X$37:$X$12971,AG$13)</f>
        <v>0</v>
      </c>
      <c r="AH1935" s="187">
        <f>SUMIFS($AD$37:$AD$12971,$V$37:$V$12971,$V1935,$X$37:$X$12971,AH$13)</f>
        <v>0</v>
      </c>
      <c r="AI1935" s="161">
        <f t="shared" ref="AI1935" si="1436">SUM(AE1935:AH1935)</f>
        <v>0</v>
      </c>
      <c r="AK1935" s="172"/>
    </row>
    <row r="1936" spans="1:41" s="102" customFormat="1" ht="6.75" customHeight="1" x14ac:dyDescent="0.25">
      <c r="A1936" s="45"/>
      <c r="B1936" s="59"/>
      <c r="C1936" s="137"/>
      <c r="D1936" s="59"/>
      <c r="E1936" s="116"/>
      <c r="F1936" s="120"/>
      <c r="G1936" s="120"/>
      <c r="H1936" s="120"/>
      <c r="I1936" s="60"/>
      <c r="J1936" s="116"/>
      <c r="K1936" s="213"/>
      <c r="L1936" s="120"/>
      <c r="M1936" s="120"/>
      <c r="N1936" s="167"/>
      <c r="O1936" s="120"/>
      <c r="P1936" s="120"/>
      <c r="Q1936" s="120"/>
      <c r="R1936" s="120"/>
      <c r="S1936" s="120"/>
      <c r="T1936" s="221"/>
      <c r="U1936" s="89"/>
      <c r="V1936" s="61"/>
      <c r="W1936" s="92" t="s">
        <v>1403</v>
      </c>
      <c r="X1936" s="93" t="s">
        <v>32</v>
      </c>
      <c r="Y1936" s="93" t="s">
        <v>35</v>
      </c>
      <c r="Z1936" s="134">
        <f>VLOOKUP(W1936,Sheet2!$B:$D,3,FALSE)</f>
        <v>323462.5</v>
      </c>
      <c r="AA1936" s="93">
        <v>1</v>
      </c>
      <c r="AB1936" s="93">
        <f>AD1936/AC1935</f>
        <v>323462.5</v>
      </c>
      <c r="AC1936" s="93">
        <f>AC1935/AA1936</f>
        <v>1</v>
      </c>
      <c r="AD1936" s="94">
        <f t="shared" ref="AD1936" si="1437">AC1936*Z1936</f>
        <v>323462.5</v>
      </c>
      <c r="AE1936" s="190"/>
      <c r="AF1936" s="191"/>
      <c r="AG1936" s="191"/>
      <c r="AH1936" s="191"/>
      <c r="AI1936" s="186"/>
      <c r="AK1936" s="171"/>
    </row>
    <row r="1937" spans="1:41" ht="20.100000000000001" customHeight="1" x14ac:dyDescent="0.25">
      <c r="A1937" s="277" t="s">
        <v>216</v>
      </c>
      <c r="B1937" s="278"/>
      <c r="C1937" s="64" t="s">
        <v>409</v>
      </c>
      <c r="D1937" s="46" t="s">
        <v>407</v>
      </c>
      <c r="E1937" s="114">
        <v>1</v>
      </c>
      <c r="F1937" s="44">
        <v>786755</v>
      </c>
      <c r="G1937" s="44">
        <f t="shared" si="1286"/>
        <v>786755</v>
      </c>
      <c r="H1937" s="44">
        <f t="shared" si="1287"/>
        <v>353479.27764705883</v>
      </c>
      <c r="I1937" s="43">
        <f t="shared" si="1288"/>
        <v>353479.27764705883</v>
      </c>
      <c r="J1937" s="112">
        <f t="shared" si="1289"/>
        <v>1</v>
      </c>
      <c r="K1937" s="211">
        <f t="shared" si="1290"/>
        <v>1</v>
      </c>
      <c r="L1937" s="44"/>
      <c r="M1937" s="44">
        <f t="shared" si="1296"/>
        <v>1</v>
      </c>
      <c r="N1937" s="173">
        <f t="shared" si="1291"/>
        <v>1</v>
      </c>
      <c r="O1937" s="44">
        <f t="shared" si="1292"/>
        <v>786755</v>
      </c>
      <c r="P1937" s="44">
        <f t="shared" si="1293"/>
        <v>786755</v>
      </c>
      <c r="Q1937" s="44">
        <f t="shared" si="1294"/>
        <v>353479.27764705883</v>
      </c>
      <c r="R1937" s="44">
        <f t="shared" si="1297"/>
        <v>353479.27764705883</v>
      </c>
      <c r="S1937" s="123"/>
      <c r="T1937" s="219">
        <f t="shared" si="1298"/>
        <v>353479.27764705883</v>
      </c>
      <c r="U1937" s="87"/>
      <c r="V1937" s="47"/>
      <c r="W1937" s="48"/>
      <c r="X1937" s="48"/>
      <c r="Y1937" s="48"/>
      <c r="Z1937" s="135"/>
      <c r="AA1937" s="49"/>
      <c r="AB1937" s="50">
        <f t="shared" si="1295"/>
        <v>353479.27764705883</v>
      </c>
      <c r="AC1937" s="42">
        <f t="shared" si="1299"/>
        <v>1</v>
      </c>
      <c r="AD1937" s="90">
        <f>AD1938+AD1945+AD1949</f>
        <v>353479.27764705883</v>
      </c>
      <c r="AE1937" s="188">
        <f t="shared" ref="AE1937:AH1937" si="1438">AE1938+AE1945+AE1949</f>
        <v>0</v>
      </c>
      <c r="AF1937" s="189">
        <f t="shared" si="1438"/>
        <v>0</v>
      </c>
      <c r="AG1937" s="189">
        <f t="shared" si="1438"/>
        <v>0</v>
      </c>
      <c r="AH1937" s="189">
        <f t="shared" si="1438"/>
        <v>0</v>
      </c>
      <c r="AI1937" s="161">
        <f t="shared" ref="AI1937" si="1439">SUM(AE1937:AH1937)</f>
        <v>0</v>
      </c>
      <c r="AK1937" s="169">
        <v>5</v>
      </c>
      <c r="AO1937" s="19" t="s">
        <v>63</v>
      </c>
    </row>
    <row r="1938" spans="1:41" s="103" customFormat="1" ht="19.899999999999999" customHeight="1" x14ac:dyDescent="0.25">
      <c r="A1938" s="51"/>
      <c r="B1938" s="52"/>
      <c r="C1938" s="165"/>
      <c r="D1938" s="52"/>
      <c r="E1938" s="115"/>
      <c r="F1938" s="58"/>
      <c r="G1938" s="58"/>
      <c r="H1938" s="58"/>
      <c r="I1938" s="55"/>
      <c r="J1938" s="113">
        <f>J1937</f>
        <v>1</v>
      </c>
      <c r="K1938" s="212">
        <f>K1937</f>
        <v>1</v>
      </c>
      <c r="L1938" s="58"/>
      <c r="M1938" s="58">
        <f>K1938-L1938</f>
        <v>1</v>
      </c>
      <c r="N1938" s="166"/>
      <c r="O1938" s="58"/>
      <c r="P1938" s="58"/>
      <c r="Q1938" s="58"/>
      <c r="R1938" s="58"/>
      <c r="S1938" s="58"/>
      <c r="T1938" s="220"/>
      <c r="U1938" s="88"/>
      <c r="V1938" s="56"/>
      <c r="W1938" s="57" t="s">
        <v>1404</v>
      </c>
      <c r="X1938" s="53"/>
      <c r="Y1938" s="91" t="s">
        <v>1349</v>
      </c>
      <c r="Z1938" s="136">
        <f>AD1938/AC1938</f>
        <v>397.62988235294119</v>
      </c>
      <c r="AA1938" s="58"/>
      <c r="AB1938" s="53">
        <f>AD1938/AC1938</f>
        <v>397.62988235294119</v>
      </c>
      <c r="AC1938" s="53">
        <f>M1938+$AE$10</f>
        <v>1</v>
      </c>
      <c r="AD1938" s="54">
        <f>SUM(AD1939:AD1944)</f>
        <v>397.62988235294119</v>
      </c>
      <c r="AE1938" s="184">
        <f>SUMIFS($AD$37:$AD$12971,$V$37:$V$12971,$V1938,$X$37:$X$12971,AE$13)</f>
        <v>0</v>
      </c>
      <c r="AF1938" s="185">
        <f>SUMIFS($AD$37:$AD$12971,$V$37:$V$12971,$V1938,$X$37:$X$12971,AF$13)</f>
        <v>0</v>
      </c>
      <c r="AG1938" s="185">
        <f>SUMIFS($AD$37:$AD$12971,$V$37:$V$12971,$V1938,$X$37:$X$12971,AG$13)</f>
        <v>0</v>
      </c>
      <c r="AH1938" s="187">
        <f>SUMIFS($AD$37:$AD$12971,$V$37:$V$12971,$V1938,$X$37:$X$12971,AH$13)</f>
        <v>0</v>
      </c>
      <c r="AI1938" s="161">
        <f t="shared" ref="AI1938" si="1440">SUM(AE1938:AH1938)</f>
        <v>0</v>
      </c>
      <c r="AK1938" s="172"/>
    </row>
    <row r="1939" spans="1:41" s="102" customFormat="1" ht="19.899999999999999" customHeight="1" x14ac:dyDescent="0.25">
      <c r="A1939" s="45"/>
      <c r="B1939" s="59"/>
      <c r="C1939" s="137"/>
      <c r="D1939" s="59"/>
      <c r="E1939" s="116"/>
      <c r="F1939" s="120"/>
      <c r="G1939" s="120"/>
      <c r="H1939" s="120"/>
      <c r="I1939" s="60"/>
      <c r="J1939" s="116"/>
      <c r="K1939" s="213"/>
      <c r="L1939" s="120"/>
      <c r="M1939" s="120"/>
      <c r="N1939" s="167"/>
      <c r="O1939" s="120"/>
      <c r="P1939" s="120"/>
      <c r="Q1939" s="120"/>
      <c r="R1939" s="120"/>
      <c r="S1939" s="120"/>
      <c r="T1939" s="221"/>
      <c r="U1939" s="89"/>
      <c r="V1939" s="61"/>
      <c r="W1939" s="92" t="s">
        <v>129</v>
      </c>
      <c r="X1939" s="93" t="s">
        <v>29</v>
      </c>
      <c r="Y1939" s="93" t="s">
        <v>93</v>
      </c>
      <c r="Z1939" s="134">
        <f>VLOOKUP(W1939,Sheet2!$B:$D,3,FALSE)</f>
        <v>56</v>
      </c>
      <c r="AA1939" s="93">
        <f>((50/(0.75*0.75*1.5))/30)</f>
        <v>1.9753086419753088</v>
      </c>
      <c r="AB1939" s="93">
        <f>AD1939/AC1938</f>
        <v>28.349999999999998</v>
      </c>
      <c r="AC1939" s="93">
        <f>AC1938/AA1939</f>
        <v>0.50624999999999998</v>
      </c>
      <c r="AD1939" s="94">
        <f t="shared" ref="AD1939:AD1940" si="1441">AC1939*Z1939</f>
        <v>28.349999999999998</v>
      </c>
      <c r="AE1939" s="190"/>
      <c r="AF1939" s="191"/>
      <c r="AG1939" s="191"/>
      <c r="AH1939" s="191"/>
      <c r="AI1939" s="186"/>
      <c r="AK1939" s="171"/>
    </row>
    <row r="1940" spans="1:41" s="102" customFormat="1" ht="19.899999999999999" customHeight="1" x14ac:dyDescent="0.25">
      <c r="A1940" s="45"/>
      <c r="B1940" s="59"/>
      <c r="C1940" s="137"/>
      <c r="D1940" s="59"/>
      <c r="E1940" s="116"/>
      <c r="F1940" s="120"/>
      <c r="G1940" s="120"/>
      <c r="H1940" s="120"/>
      <c r="I1940" s="60"/>
      <c r="J1940" s="116"/>
      <c r="K1940" s="213"/>
      <c r="L1940" s="120"/>
      <c r="M1940" s="120"/>
      <c r="N1940" s="167"/>
      <c r="O1940" s="120"/>
      <c r="P1940" s="120"/>
      <c r="Q1940" s="120"/>
      <c r="R1940" s="120"/>
      <c r="S1940" s="120"/>
      <c r="T1940" s="221"/>
      <c r="U1940" s="89"/>
      <c r="V1940" s="61"/>
      <c r="W1940" s="92" t="s">
        <v>65</v>
      </c>
      <c r="X1940" s="93" t="s">
        <v>30</v>
      </c>
      <c r="Y1940" s="93" t="s">
        <v>1011</v>
      </c>
      <c r="Z1940" s="134">
        <f>VLOOKUP(W1940,Sheet2!$B:$D,3,FALSE)</f>
        <v>1.76</v>
      </c>
      <c r="AA1940" s="93">
        <f>AA1939/14</f>
        <v>0.14109347442680778</v>
      </c>
      <c r="AB1940" s="93">
        <f>AD1940/AC1938</f>
        <v>12.473999999999998</v>
      </c>
      <c r="AC1940" s="93">
        <f>AC1938/AA1940</f>
        <v>7.0874999999999986</v>
      </c>
      <c r="AD1940" s="94">
        <f t="shared" si="1441"/>
        <v>12.473999999999998</v>
      </c>
      <c r="AE1940" s="190"/>
      <c r="AF1940" s="191"/>
      <c r="AG1940" s="191"/>
      <c r="AH1940" s="191"/>
      <c r="AI1940" s="186"/>
      <c r="AK1940" s="171"/>
    </row>
    <row r="1941" spans="1:41" s="102" customFormat="1" ht="19.899999999999999" customHeight="1" x14ac:dyDescent="0.25">
      <c r="A1941" s="45"/>
      <c r="B1941" s="59"/>
      <c r="C1941" s="137"/>
      <c r="D1941" s="59"/>
      <c r="E1941" s="116"/>
      <c r="F1941" s="120"/>
      <c r="G1941" s="120"/>
      <c r="H1941" s="120"/>
      <c r="I1941" s="60"/>
      <c r="J1941" s="116"/>
      <c r="K1941" s="213"/>
      <c r="L1941" s="120"/>
      <c r="M1941" s="120"/>
      <c r="N1941" s="167"/>
      <c r="O1941" s="120"/>
      <c r="P1941" s="120"/>
      <c r="Q1941" s="120"/>
      <c r="R1941" s="120"/>
      <c r="S1941" s="120"/>
      <c r="T1941" s="221"/>
      <c r="U1941" s="89"/>
      <c r="V1941" s="61"/>
      <c r="W1941" s="92" t="s">
        <v>161</v>
      </c>
      <c r="X1941" s="93" t="s">
        <v>29</v>
      </c>
      <c r="Y1941" s="93" t="s">
        <v>93</v>
      </c>
      <c r="Z1941" s="134">
        <f>VLOOKUP(W1941,Sheet2!$B:$D,3,FALSE)</f>
        <v>48</v>
      </c>
      <c r="AA1941" s="93">
        <f>(16*0.85*1)/30</f>
        <v>0.45333333333333331</v>
      </c>
      <c r="AB1941" s="93">
        <f>AD1941/AC1938</f>
        <v>105.88235294117648</v>
      </c>
      <c r="AC1941" s="93">
        <f>AC1938/AA1941</f>
        <v>2.2058823529411766</v>
      </c>
      <c r="AD1941" s="94">
        <f>AC1941*Z1941</f>
        <v>105.88235294117648</v>
      </c>
      <c r="AE1941" s="190"/>
      <c r="AF1941" s="191"/>
      <c r="AG1941" s="191"/>
      <c r="AH1941" s="191"/>
      <c r="AI1941" s="186"/>
      <c r="AK1941" s="171"/>
    </row>
    <row r="1942" spans="1:41" s="102" customFormat="1" ht="19.899999999999999" customHeight="1" x14ac:dyDescent="0.25">
      <c r="A1942" s="45"/>
      <c r="B1942" s="59"/>
      <c r="C1942" s="137"/>
      <c r="D1942" s="59"/>
      <c r="E1942" s="116"/>
      <c r="F1942" s="120"/>
      <c r="G1942" s="120"/>
      <c r="H1942" s="120"/>
      <c r="I1942" s="60"/>
      <c r="J1942" s="116"/>
      <c r="K1942" s="213"/>
      <c r="L1942" s="120"/>
      <c r="M1942" s="120"/>
      <c r="N1942" s="167"/>
      <c r="O1942" s="120"/>
      <c r="P1942" s="120"/>
      <c r="Q1942" s="120"/>
      <c r="R1942" s="120"/>
      <c r="S1942" s="120"/>
      <c r="T1942" s="221"/>
      <c r="U1942" s="89"/>
      <c r="V1942" s="61"/>
      <c r="W1942" s="92" t="s">
        <v>65</v>
      </c>
      <c r="X1942" s="93" t="s">
        <v>30</v>
      </c>
      <c r="Y1942" s="93" t="s">
        <v>1011</v>
      </c>
      <c r="Z1942" s="134">
        <f>VLOOKUP(W1942,Sheet2!$B:$D,3,FALSE)</f>
        <v>1.76</v>
      </c>
      <c r="AA1942" s="93">
        <f>AA1941/10</f>
        <v>4.533333333333333E-2</v>
      </c>
      <c r="AB1942" s="93">
        <f>AD1942/AC1938</f>
        <v>38.82352941176471</v>
      </c>
      <c r="AC1942" s="93">
        <f>AC1938/AA1942</f>
        <v>22.058823529411768</v>
      </c>
      <c r="AD1942" s="94">
        <f>AC1942*Z1942</f>
        <v>38.82352941176471</v>
      </c>
      <c r="AE1942" s="190"/>
      <c r="AF1942" s="191"/>
      <c r="AG1942" s="191"/>
      <c r="AH1942" s="191"/>
      <c r="AI1942" s="186"/>
      <c r="AK1942" s="171"/>
    </row>
    <row r="1943" spans="1:41" s="102" customFormat="1" ht="19.899999999999999" customHeight="1" x14ac:dyDescent="0.25">
      <c r="A1943" s="45"/>
      <c r="B1943" s="59"/>
      <c r="C1943" s="137"/>
      <c r="D1943" s="59"/>
      <c r="E1943" s="116"/>
      <c r="F1943" s="120"/>
      <c r="G1943" s="120"/>
      <c r="H1943" s="120"/>
      <c r="I1943" s="60"/>
      <c r="J1943" s="116"/>
      <c r="K1943" s="213"/>
      <c r="L1943" s="120"/>
      <c r="M1943" s="120"/>
      <c r="N1943" s="167"/>
      <c r="O1943" s="120"/>
      <c r="P1943" s="120"/>
      <c r="Q1943" s="120"/>
      <c r="R1943" s="120"/>
      <c r="S1943" s="120"/>
      <c r="T1943" s="221"/>
      <c r="U1943" s="89"/>
      <c r="V1943" s="61"/>
      <c r="W1943" s="92" t="s">
        <v>1030</v>
      </c>
      <c r="X1943" s="93" t="s">
        <v>29</v>
      </c>
      <c r="Y1943" s="93" t="s">
        <v>93</v>
      </c>
      <c r="Z1943" s="134">
        <f>VLOOKUP(W1943,Sheet2!$B:$D,3,FALSE)</f>
        <v>23</v>
      </c>
      <c r="AA1943" s="93">
        <f>4/30</f>
        <v>0.13333333333333333</v>
      </c>
      <c r="AB1943" s="93">
        <f>AD1943/AC1938</f>
        <v>172.5</v>
      </c>
      <c r="AC1943" s="93">
        <f>AC1938/AA1943</f>
        <v>7.5</v>
      </c>
      <c r="AD1943" s="94">
        <f>AC1943*Z1943</f>
        <v>172.5</v>
      </c>
      <c r="AE1943" s="190"/>
      <c r="AF1943" s="191"/>
      <c r="AG1943" s="191"/>
      <c r="AH1943" s="191"/>
      <c r="AI1943" s="186"/>
      <c r="AK1943" s="171"/>
    </row>
    <row r="1944" spans="1:41" s="102" customFormat="1" ht="19.899999999999999" customHeight="1" x14ac:dyDescent="0.25">
      <c r="A1944" s="45"/>
      <c r="B1944" s="59"/>
      <c r="C1944" s="137"/>
      <c r="D1944" s="59"/>
      <c r="E1944" s="116"/>
      <c r="F1944" s="120"/>
      <c r="G1944" s="120"/>
      <c r="H1944" s="120"/>
      <c r="I1944" s="60"/>
      <c r="J1944" s="116"/>
      <c r="K1944" s="213"/>
      <c r="L1944" s="120"/>
      <c r="M1944" s="120"/>
      <c r="N1944" s="167"/>
      <c r="O1944" s="120"/>
      <c r="P1944" s="120"/>
      <c r="Q1944" s="120"/>
      <c r="R1944" s="120"/>
      <c r="S1944" s="120"/>
      <c r="T1944" s="221"/>
      <c r="U1944" s="89"/>
      <c r="V1944" s="61"/>
      <c r="W1944" s="92" t="s">
        <v>65</v>
      </c>
      <c r="X1944" s="93" t="s">
        <v>30</v>
      </c>
      <c r="Y1944" s="93" t="s">
        <v>1011</v>
      </c>
      <c r="Z1944" s="134">
        <f>VLOOKUP(W1944,Sheet2!$B:$D,3,FALSE)</f>
        <v>1.76</v>
      </c>
      <c r="AA1944" s="93">
        <f>AA1943/3</f>
        <v>4.4444444444444446E-2</v>
      </c>
      <c r="AB1944" s="93">
        <f>AD1944/AC1938</f>
        <v>39.6</v>
      </c>
      <c r="AC1944" s="93">
        <f>AC1938/AA1944</f>
        <v>22.5</v>
      </c>
      <c r="AD1944" s="94">
        <f>AC1944*Z1944</f>
        <v>39.6</v>
      </c>
      <c r="AE1944" s="190"/>
      <c r="AF1944" s="191"/>
      <c r="AG1944" s="191"/>
      <c r="AH1944" s="191"/>
      <c r="AI1944" s="186"/>
      <c r="AK1944" s="171"/>
    </row>
    <row r="1945" spans="1:41" s="103" customFormat="1" ht="19.899999999999999" customHeight="1" x14ac:dyDescent="0.25">
      <c r="A1945" s="51"/>
      <c r="B1945" s="52"/>
      <c r="C1945" s="165"/>
      <c r="D1945" s="52"/>
      <c r="E1945" s="115"/>
      <c r="F1945" s="58"/>
      <c r="G1945" s="58"/>
      <c r="H1945" s="58"/>
      <c r="I1945" s="55"/>
      <c r="J1945" s="113">
        <f>J1937</f>
        <v>1</v>
      </c>
      <c r="K1945" s="212">
        <f>K1937</f>
        <v>1</v>
      </c>
      <c r="L1945" s="58"/>
      <c r="M1945" s="58">
        <f>K1945-L1945</f>
        <v>1</v>
      </c>
      <c r="N1945" s="166"/>
      <c r="O1945" s="58"/>
      <c r="P1945" s="58"/>
      <c r="Q1945" s="58"/>
      <c r="R1945" s="58"/>
      <c r="S1945" s="58"/>
      <c r="T1945" s="220"/>
      <c r="U1945" s="88"/>
      <c r="V1945" s="56"/>
      <c r="W1945" s="57" t="s">
        <v>1406</v>
      </c>
      <c r="X1945" s="53"/>
      <c r="Y1945" s="91" t="s">
        <v>35</v>
      </c>
      <c r="Z1945" s="136">
        <f>AD1945/AC1945</f>
        <v>352500</v>
      </c>
      <c r="AA1945" s="58"/>
      <c r="AB1945" s="53">
        <f>AD1945/AC1945</f>
        <v>352500</v>
      </c>
      <c r="AC1945" s="53">
        <f>M1945+$AE$10</f>
        <v>1</v>
      </c>
      <c r="AD1945" s="54">
        <f>SUM(AD1946:AD1948)</f>
        <v>352500</v>
      </c>
      <c r="AE1945" s="184">
        <f>SUMIFS($AD$37:$AD$12971,$V$37:$V$12971,$V1945,$X$37:$X$12971,AE$13)</f>
        <v>0</v>
      </c>
      <c r="AF1945" s="185">
        <f>SUMIFS($AD$37:$AD$12971,$V$37:$V$12971,$V1945,$X$37:$X$12971,AF$13)</f>
        <v>0</v>
      </c>
      <c r="AG1945" s="185">
        <f>SUMIFS($AD$37:$AD$12971,$V$37:$V$12971,$V1945,$X$37:$X$12971,AG$13)</f>
        <v>0</v>
      </c>
      <c r="AH1945" s="187">
        <f>SUMIFS($AD$37:$AD$12971,$V$37:$V$12971,$V1945,$X$37:$X$12971,AH$13)</f>
        <v>0</v>
      </c>
      <c r="AI1945" s="161">
        <f t="shared" ref="AI1945" si="1442">SUM(AE1945:AH1945)</f>
        <v>0</v>
      </c>
      <c r="AK1945" s="172"/>
    </row>
    <row r="1946" spans="1:41" s="102" customFormat="1" ht="19.899999999999999" customHeight="1" x14ac:dyDescent="0.25">
      <c r="A1946" s="45"/>
      <c r="B1946" s="59"/>
      <c r="C1946" s="137"/>
      <c r="D1946" s="59"/>
      <c r="E1946" s="116"/>
      <c r="F1946" s="120"/>
      <c r="G1946" s="120"/>
      <c r="H1946" s="120"/>
      <c r="I1946" s="60"/>
      <c r="J1946" s="116"/>
      <c r="K1946" s="213"/>
      <c r="L1946" s="120"/>
      <c r="M1946" s="120"/>
      <c r="N1946" s="167"/>
      <c r="O1946" s="120"/>
      <c r="P1946" s="120"/>
      <c r="Q1946" s="120"/>
      <c r="R1946" s="120"/>
      <c r="S1946" s="120"/>
      <c r="T1946" s="221"/>
      <c r="U1946" s="89"/>
      <c r="V1946" s="61"/>
      <c r="W1946" s="92" t="s">
        <v>1407</v>
      </c>
      <c r="X1946" s="93" t="s">
        <v>32</v>
      </c>
      <c r="Y1946" s="93" t="s">
        <v>1349</v>
      </c>
      <c r="Z1946" s="134">
        <f>VLOOKUP(W1946,Sheet2!$B:$D,3,FALSE)</f>
        <v>9500</v>
      </c>
      <c r="AA1946" s="93">
        <f>1/30</f>
        <v>3.3333333333333333E-2</v>
      </c>
      <c r="AB1946" s="93">
        <f>AD1946/AC1945</f>
        <v>285000</v>
      </c>
      <c r="AC1946" s="93">
        <f>AC1945/AA1946</f>
        <v>30</v>
      </c>
      <c r="AD1946" s="94">
        <f t="shared" ref="AD1946:AD1947" si="1443">AC1946*Z1946</f>
        <v>285000</v>
      </c>
      <c r="AE1946" s="190"/>
      <c r="AF1946" s="191"/>
      <c r="AG1946" s="191"/>
      <c r="AH1946" s="191"/>
      <c r="AI1946" s="186"/>
      <c r="AK1946" s="171"/>
    </row>
    <row r="1947" spans="1:41" s="102" customFormat="1" ht="19.899999999999999" customHeight="1" x14ac:dyDescent="0.25">
      <c r="A1947" s="45"/>
      <c r="B1947" s="59"/>
      <c r="C1947" s="137"/>
      <c r="D1947" s="59"/>
      <c r="E1947" s="116"/>
      <c r="F1947" s="120"/>
      <c r="G1947" s="120"/>
      <c r="H1947" s="120"/>
      <c r="I1947" s="60"/>
      <c r="J1947" s="116"/>
      <c r="K1947" s="213"/>
      <c r="L1947" s="120"/>
      <c r="M1947" s="120"/>
      <c r="N1947" s="167"/>
      <c r="O1947" s="120"/>
      <c r="P1947" s="120"/>
      <c r="Q1947" s="120"/>
      <c r="R1947" s="120"/>
      <c r="S1947" s="120"/>
      <c r="T1947" s="221"/>
      <c r="U1947" s="89"/>
      <c r="V1947" s="61"/>
      <c r="W1947" s="92" t="s">
        <v>1408</v>
      </c>
      <c r="X1947" s="93" t="s">
        <v>32</v>
      </c>
      <c r="Y1947" s="93" t="s">
        <v>1349</v>
      </c>
      <c r="Z1947" s="134">
        <f>VLOOKUP(W1947,Sheet2!$B:$D,3,FALSE)</f>
        <v>750</v>
      </c>
      <c r="AA1947" s="93">
        <f>AA1946</f>
        <v>3.3333333333333333E-2</v>
      </c>
      <c r="AB1947" s="93">
        <f>AD1947/AC1945</f>
        <v>22500</v>
      </c>
      <c r="AC1947" s="93">
        <f>AC1945/AA1947</f>
        <v>30</v>
      </c>
      <c r="AD1947" s="94">
        <f t="shared" si="1443"/>
        <v>22500</v>
      </c>
      <c r="AE1947" s="190"/>
      <c r="AF1947" s="191"/>
      <c r="AG1947" s="191"/>
      <c r="AH1947" s="191"/>
      <c r="AI1947" s="186"/>
      <c r="AK1947" s="171"/>
    </row>
    <row r="1948" spans="1:41" s="102" customFormat="1" ht="19.899999999999999" customHeight="1" x14ac:dyDescent="0.25">
      <c r="A1948" s="45"/>
      <c r="B1948" s="59"/>
      <c r="C1948" s="137"/>
      <c r="D1948" s="59"/>
      <c r="E1948" s="116"/>
      <c r="F1948" s="120"/>
      <c r="G1948" s="120"/>
      <c r="H1948" s="120"/>
      <c r="I1948" s="60"/>
      <c r="J1948" s="116"/>
      <c r="K1948" s="213"/>
      <c r="L1948" s="120"/>
      <c r="M1948" s="120"/>
      <c r="N1948" s="167"/>
      <c r="O1948" s="120"/>
      <c r="P1948" s="120"/>
      <c r="Q1948" s="120"/>
      <c r="R1948" s="120"/>
      <c r="S1948" s="120"/>
      <c r="T1948" s="221"/>
      <c r="U1948" s="89"/>
      <c r="V1948" s="61"/>
      <c r="W1948" s="92" t="s">
        <v>1409</v>
      </c>
      <c r="X1948" s="93" t="s">
        <v>32</v>
      </c>
      <c r="Y1948" s="93" t="s">
        <v>1349</v>
      </c>
      <c r="Z1948" s="134">
        <f>VLOOKUP(W1948,Sheet2!$B:$D,3,FALSE)</f>
        <v>1500</v>
      </c>
      <c r="AA1948" s="93">
        <f>AA1946</f>
        <v>3.3333333333333333E-2</v>
      </c>
      <c r="AB1948" s="93">
        <f>AD1948/AC1945</f>
        <v>45000</v>
      </c>
      <c r="AC1948" s="93">
        <f>AC1945/AA1948</f>
        <v>30</v>
      </c>
      <c r="AD1948" s="94">
        <f>AC1948*Z1948</f>
        <v>45000</v>
      </c>
      <c r="AE1948" s="190"/>
      <c r="AF1948" s="191"/>
      <c r="AG1948" s="191"/>
      <c r="AH1948" s="191"/>
      <c r="AI1948" s="186"/>
      <c r="AK1948" s="171"/>
    </row>
    <row r="1949" spans="1:41" s="103" customFormat="1" ht="19.899999999999999" customHeight="1" x14ac:dyDescent="0.25">
      <c r="A1949" s="51"/>
      <c r="B1949" s="52"/>
      <c r="C1949" s="165"/>
      <c r="D1949" s="52"/>
      <c r="E1949" s="115"/>
      <c r="F1949" s="58"/>
      <c r="G1949" s="58"/>
      <c r="H1949" s="58"/>
      <c r="I1949" s="55"/>
      <c r="J1949" s="113">
        <f>J1937</f>
        <v>1</v>
      </c>
      <c r="K1949" s="212">
        <f>K1937</f>
        <v>1</v>
      </c>
      <c r="L1949" s="58"/>
      <c r="M1949" s="58">
        <f>K1949-L1949</f>
        <v>1</v>
      </c>
      <c r="N1949" s="166"/>
      <c r="O1949" s="58"/>
      <c r="P1949" s="58"/>
      <c r="Q1949" s="58"/>
      <c r="R1949" s="58"/>
      <c r="S1949" s="58"/>
      <c r="T1949" s="220"/>
      <c r="U1949" s="88"/>
      <c r="V1949" s="56"/>
      <c r="W1949" s="57" t="s">
        <v>1405</v>
      </c>
      <c r="X1949" s="53"/>
      <c r="Y1949" s="91" t="s">
        <v>66</v>
      </c>
      <c r="Z1949" s="136">
        <f>AD1949/AC1949</f>
        <v>581.64776470588242</v>
      </c>
      <c r="AA1949" s="58"/>
      <c r="AB1949" s="53">
        <f>AD1949/AC1949</f>
        <v>581.64776470588242</v>
      </c>
      <c r="AC1949" s="53">
        <f>M1949+$AE$10</f>
        <v>1</v>
      </c>
      <c r="AD1949" s="54">
        <f>SUM(AD1950:AD1959)</f>
        <v>581.64776470588242</v>
      </c>
      <c r="AE1949" s="184">
        <f>SUMIFS($AD$37:$AD$12971,$V$37:$V$12971,$V1949,$X$37:$X$12971,AE$13)</f>
        <v>0</v>
      </c>
      <c r="AF1949" s="185">
        <f>SUMIFS($AD$37:$AD$12971,$V$37:$V$12971,$V1949,$X$37:$X$12971,AF$13)</f>
        <v>0</v>
      </c>
      <c r="AG1949" s="185">
        <f>SUMIFS($AD$37:$AD$12971,$V$37:$V$12971,$V1949,$X$37:$X$12971,AG$13)</f>
        <v>0</v>
      </c>
      <c r="AH1949" s="187">
        <f>SUMIFS($AD$37:$AD$12971,$V$37:$V$12971,$V1949,$X$37:$X$12971,AH$13)</f>
        <v>0</v>
      </c>
      <c r="AI1949" s="161">
        <f t="shared" ref="AI1949" si="1444">SUM(AE1949:AH1949)</f>
        <v>0</v>
      </c>
      <c r="AK1949" s="172"/>
    </row>
    <row r="1950" spans="1:41" s="102" customFormat="1" ht="19.899999999999999" customHeight="1" x14ac:dyDescent="0.25">
      <c r="A1950" s="45"/>
      <c r="B1950" s="59"/>
      <c r="C1950" s="137"/>
      <c r="D1950" s="59"/>
      <c r="E1950" s="116"/>
      <c r="F1950" s="120"/>
      <c r="G1950" s="120"/>
      <c r="H1950" s="120"/>
      <c r="I1950" s="60"/>
      <c r="J1950" s="116"/>
      <c r="K1950" s="213"/>
      <c r="L1950" s="120"/>
      <c r="M1950" s="120"/>
      <c r="N1950" s="167"/>
      <c r="O1950" s="120"/>
      <c r="P1950" s="120"/>
      <c r="Q1950" s="120"/>
      <c r="R1950" s="120"/>
      <c r="S1950" s="120"/>
      <c r="T1950" s="221"/>
      <c r="U1950" s="89"/>
      <c r="V1950" s="61"/>
      <c r="W1950" s="92" t="s">
        <v>134</v>
      </c>
      <c r="X1950" s="93" t="s">
        <v>29</v>
      </c>
      <c r="Y1950" s="93" t="s">
        <v>93</v>
      </c>
      <c r="Z1950" s="134">
        <f>VLOOKUP(W1950,Sheet2!$B:$D,3,FALSE)</f>
        <v>65.599999999999994</v>
      </c>
      <c r="AA1950" s="93">
        <f>100/30</f>
        <v>3.3333333333333335</v>
      </c>
      <c r="AB1950" s="93">
        <f>AD1950/AC1949</f>
        <v>19.679999999999996</v>
      </c>
      <c r="AC1950" s="93">
        <f>AC1949/AA1950</f>
        <v>0.3</v>
      </c>
      <c r="AD1950" s="94">
        <f t="shared" ref="AD1950:AD1951" si="1445">AC1950*Z1950</f>
        <v>19.679999999999996</v>
      </c>
      <c r="AE1950" s="190"/>
      <c r="AF1950" s="191"/>
      <c r="AG1950" s="191"/>
      <c r="AH1950" s="191"/>
      <c r="AI1950" s="186"/>
      <c r="AK1950" s="171"/>
    </row>
    <row r="1951" spans="1:41" s="102" customFormat="1" ht="19.899999999999999" customHeight="1" x14ac:dyDescent="0.25">
      <c r="A1951" s="45"/>
      <c r="B1951" s="59"/>
      <c r="C1951" s="137"/>
      <c r="D1951" s="59"/>
      <c r="E1951" s="116"/>
      <c r="F1951" s="120"/>
      <c r="G1951" s="120"/>
      <c r="H1951" s="120"/>
      <c r="I1951" s="60"/>
      <c r="J1951" s="116"/>
      <c r="K1951" s="213"/>
      <c r="L1951" s="120"/>
      <c r="M1951" s="120"/>
      <c r="N1951" s="167"/>
      <c r="O1951" s="120"/>
      <c r="P1951" s="120"/>
      <c r="Q1951" s="120"/>
      <c r="R1951" s="120"/>
      <c r="S1951" s="120"/>
      <c r="T1951" s="221"/>
      <c r="U1951" s="89"/>
      <c r="V1951" s="61"/>
      <c r="W1951" s="92" t="s">
        <v>65</v>
      </c>
      <c r="X1951" s="93" t="s">
        <v>30</v>
      </c>
      <c r="Y1951" s="93" t="s">
        <v>1011</v>
      </c>
      <c r="Z1951" s="134">
        <f>VLOOKUP(W1951,Sheet2!$B:$D,3,FALSE)</f>
        <v>1.76</v>
      </c>
      <c r="AA1951" s="93">
        <f>AA1950/9</f>
        <v>0.37037037037037041</v>
      </c>
      <c r="AB1951" s="93">
        <f>AD1951/AC1949</f>
        <v>4.7519999999999998</v>
      </c>
      <c r="AC1951" s="93">
        <f>AC1949/AA1951</f>
        <v>2.6999999999999997</v>
      </c>
      <c r="AD1951" s="94">
        <f t="shared" si="1445"/>
        <v>4.7519999999999998</v>
      </c>
      <c r="AE1951" s="190"/>
      <c r="AF1951" s="191"/>
      <c r="AG1951" s="191"/>
      <c r="AH1951" s="191"/>
      <c r="AI1951" s="186"/>
      <c r="AK1951" s="171"/>
    </row>
    <row r="1952" spans="1:41" s="102" customFormat="1" ht="19.899999999999999" customHeight="1" x14ac:dyDescent="0.25">
      <c r="A1952" s="45"/>
      <c r="B1952" s="59"/>
      <c r="C1952" s="137"/>
      <c r="D1952" s="59"/>
      <c r="E1952" s="116"/>
      <c r="F1952" s="120"/>
      <c r="G1952" s="120"/>
      <c r="H1952" s="120"/>
      <c r="I1952" s="60"/>
      <c r="J1952" s="116"/>
      <c r="K1952" s="213"/>
      <c r="L1952" s="120"/>
      <c r="M1952" s="120"/>
      <c r="N1952" s="167"/>
      <c r="O1952" s="120"/>
      <c r="P1952" s="120"/>
      <c r="Q1952" s="120"/>
      <c r="R1952" s="120"/>
      <c r="S1952" s="120"/>
      <c r="T1952" s="221"/>
      <c r="U1952" s="89"/>
      <c r="V1952" s="61"/>
      <c r="W1952" s="92" t="s">
        <v>161</v>
      </c>
      <c r="X1952" s="93" t="s">
        <v>29</v>
      </c>
      <c r="Y1952" s="93" t="s">
        <v>93</v>
      </c>
      <c r="Z1952" s="134">
        <f>VLOOKUP(W1952,Sheet2!$B:$D,3,FALSE)</f>
        <v>48</v>
      </c>
      <c r="AA1952" s="93">
        <f>(16*0.85*1*0.5)/30</f>
        <v>0.22666666666666666</v>
      </c>
      <c r="AB1952" s="93">
        <f>AD1952/AC1949</f>
        <v>211.76470588235296</v>
      </c>
      <c r="AC1952" s="93">
        <f>AC1949/AA1952</f>
        <v>4.4117647058823533</v>
      </c>
      <c r="AD1952" s="94">
        <f>AC1952*Z1952</f>
        <v>211.76470588235296</v>
      </c>
      <c r="AE1952" s="190"/>
      <c r="AF1952" s="191"/>
      <c r="AG1952" s="191"/>
      <c r="AH1952" s="191"/>
      <c r="AI1952" s="186"/>
      <c r="AK1952" s="171"/>
    </row>
    <row r="1953" spans="1:41" s="102" customFormat="1" ht="19.899999999999999" customHeight="1" x14ac:dyDescent="0.25">
      <c r="A1953" s="45"/>
      <c r="B1953" s="59"/>
      <c r="C1953" s="137"/>
      <c r="D1953" s="59"/>
      <c r="E1953" s="116"/>
      <c r="F1953" s="120"/>
      <c r="G1953" s="120"/>
      <c r="H1953" s="120"/>
      <c r="I1953" s="60"/>
      <c r="J1953" s="116"/>
      <c r="K1953" s="213"/>
      <c r="L1953" s="120"/>
      <c r="M1953" s="120"/>
      <c r="N1953" s="167"/>
      <c r="O1953" s="120"/>
      <c r="P1953" s="120"/>
      <c r="Q1953" s="120"/>
      <c r="R1953" s="120"/>
      <c r="S1953" s="120"/>
      <c r="T1953" s="221"/>
      <c r="U1953" s="89"/>
      <c r="V1953" s="61"/>
      <c r="W1953" s="92" t="s">
        <v>65</v>
      </c>
      <c r="X1953" s="93" t="s">
        <v>30</v>
      </c>
      <c r="Y1953" s="93" t="s">
        <v>1011</v>
      </c>
      <c r="Z1953" s="134">
        <f>VLOOKUP(W1953,Sheet2!$B:$D,3,FALSE)</f>
        <v>1.76</v>
      </c>
      <c r="AA1953" s="93">
        <f>AA1952/10</f>
        <v>2.2666666666666665E-2</v>
      </c>
      <c r="AB1953" s="93">
        <f>AD1953/AC1949</f>
        <v>77.64705882352942</v>
      </c>
      <c r="AC1953" s="93">
        <f>AC1949/AA1953</f>
        <v>44.117647058823536</v>
      </c>
      <c r="AD1953" s="94">
        <f>AC1953*Z1953</f>
        <v>77.64705882352942</v>
      </c>
      <c r="AE1953" s="190"/>
      <c r="AF1953" s="191"/>
      <c r="AG1953" s="191"/>
      <c r="AH1953" s="191"/>
      <c r="AI1953" s="186"/>
      <c r="AK1953" s="171"/>
    </row>
    <row r="1954" spans="1:41" s="102" customFormat="1" ht="19.899999999999999" customHeight="1" x14ac:dyDescent="0.25">
      <c r="A1954" s="45"/>
      <c r="B1954" s="59"/>
      <c r="C1954" s="137"/>
      <c r="D1954" s="59"/>
      <c r="E1954" s="116"/>
      <c r="F1954" s="120"/>
      <c r="G1954" s="120"/>
      <c r="H1954" s="120"/>
      <c r="I1954" s="60"/>
      <c r="J1954" s="116"/>
      <c r="K1954" s="213"/>
      <c r="L1954" s="120"/>
      <c r="M1954" s="120"/>
      <c r="N1954" s="167"/>
      <c r="O1954" s="120"/>
      <c r="P1954" s="120"/>
      <c r="Q1954" s="120"/>
      <c r="R1954" s="120"/>
      <c r="S1954" s="120"/>
      <c r="T1954" s="221"/>
      <c r="U1954" s="89"/>
      <c r="V1954" s="61"/>
      <c r="W1954" s="92" t="s">
        <v>173</v>
      </c>
      <c r="X1954" s="93" t="s">
        <v>29</v>
      </c>
      <c r="Y1954" s="93" t="s">
        <v>93</v>
      </c>
      <c r="Z1954" s="134">
        <f>VLOOKUP(W1954,Sheet2!$B:$D,3,FALSE)</f>
        <v>36</v>
      </c>
      <c r="AA1954" s="93">
        <f>50/30</f>
        <v>1.6666666666666667</v>
      </c>
      <c r="AB1954" s="93">
        <f>AD1954/AC1949</f>
        <v>21.599999999999998</v>
      </c>
      <c r="AC1954" s="93">
        <f>AC1949/AA1954</f>
        <v>0.6</v>
      </c>
      <c r="AD1954" s="94">
        <f>AC1954*Z1954</f>
        <v>21.599999999999998</v>
      </c>
      <c r="AE1954" s="190"/>
      <c r="AF1954" s="191"/>
      <c r="AG1954" s="191"/>
      <c r="AH1954" s="191"/>
      <c r="AI1954" s="186"/>
      <c r="AK1954" s="171"/>
    </row>
    <row r="1955" spans="1:41" s="102" customFormat="1" ht="19.899999999999999" customHeight="1" x14ac:dyDescent="0.25">
      <c r="A1955" s="45"/>
      <c r="B1955" s="59"/>
      <c r="C1955" s="137"/>
      <c r="D1955" s="59"/>
      <c r="E1955" s="116"/>
      <c r="F1955" s="120"/>
      <c r="G1955" s="120"/>
      <c r="H1955" s="120"/>
      <c r="I1955" s="60"/>
      <c r="J1955" s="116"/>
      <c r="K1955" s="213"/>
      <c r="L1955" s="120"/>
      <c r="M1955" s="120"/>
      <c r="N1955" s="167"/>
      <c r="O1955" s="120"/>
      <c r="P1955" s="120"/>
      <c r="Q1955" s="120"/>
      <c r="R1955" s="120"/>
      <c r="S1955" s="120"/>
      <c r="T1955" s="221"/>
      <c r="U1955" s="89"/>
      <c r="V1955" s="61"/>
      <c r="W1955" s="92" t="s">
        <v>65</v>
      </c>
      <c r="X1955" s="93" t="s">
        <v>30</v>
      </c>
      <c r="Y1955" s="93" t="s">
        <v>1011</v>
      </c>
      <c r="Z1955" s="134">
        <f>VLOOKUP(W1955,Sheet2!$B:$D,3,FALSE)</f>
        <v>1.76</v>
      </c>
      <c r="AA1955" s="93">
        <f>AA1954/9</f>
        <v>0.1851851851851852</v>
      </c>
      <c r="AB1955" s="93">
        <f>AD1955/AC1949</f>
        <v>9.5039999999999996</v>
      </c>
      <c r="AC1955" s="93">
        <f>AC1949/AA1955</f>
        <v>5.3999999999999995</v>
      </c>
      <c r="AD1955" s="94">
        <f>AC1955*Z1955</f>
        <v>9.5039999999999996</v>
      </c>
      <c r="AE1955" s="190"/>
      <c r="AF1955" s="191"/>
      <c r="AG1955" s="191"/>
      <c r="AH1955" s="191"/>
      <c r="AI1955" s="186"/>
      <c r="AK1955" s="171"/>
    </row>
    <row r="1956" spans="1:41" s="102" customFormat="1" ht="19.899999999999999" customHeight="1" x14ac:dyDescent="0.25">
      <c r="A1956" s="45"/>
      <c r="B1956" s="59"/>
      <c r="C1956" s="137"/>
      <c r="D1956" s="59"/>
      <c r="E1956" s="116"/>
      <c r="F1956" s="120"/>
      <c r="G1956" s="120"/>
      <c r="H1956" s="120"/>
      <c r="I1956" s="60"/>
      <c r="J1956" s="116"/>
      <c r="K1956" s="213"/>
      <c r="L1956" s="120"/>
      <c r="M1956" s="120"/>
      <c r="N1956" s="167"/>
      <c r="O1956" s="120"/>
      <c r="P1956" s="120"/>
      <c r="Q1956" s="120"/>
      <c r="R1956" s="120"/>
      <c r="S1956" s="120"/>
      <c r="T1956" s="221"/>
      <c r="U1956" s="89"/>
      <c r="V1956" s="61"/>
      <c r="W1956" s="92" t="s">
        <v>148</v>
      </c>
      <c r="X1956" s="93" t="s">
        <v>29</v>
      </c>
      <c r="Y1956" s="93" t="s">
        <v>93</v>
      </c>
      <c r="Z1956" s="134">
        <f>VLOOKUP(W1956,Sheet2!$B:$D,3,FALSE)</f>
        <v>48</v>
      </c>
      <c r="AA1956" s="93">
        <f>80/30</f>
        <v>2.6666666666666665</v>
      </c>
      <c r="AB1956" s="93">
        <f>AD1956/AC1949</f>
        <v>18</v>
      </c>
      <c r="AC1956" s="93">
        <f>AC1949/AA1956</f>
        <v>0.375</v>
      </c>
      <c r="AD1956" s="94">
        <f t="shared" ref="AD1956:AD1959" si="1446">AC1956*Z1956</f>
        <v>18</v>
      </c>
      <c r="AE1956" s="190"/>
      <c r="AF1956" s="191"/>
      <c r="AG1956" s="191"/>
      <c r="AH1956" s="191"/>
      <c r="AI1956" s="186"/>
      <c r="AK1956" s="171"/>
    </row>
    <row r="1957" spans="1:41" s="102" customFormat="1" ht="19.899999999999999" customHeight="1" x14ac:dyDescent="0.25">
      <c r="A1957" s="45"/>
      <c r="B1957" s="59"/>
      <c r="C1957" s="137"/>
      <c r="D1957" s="59"/>
      <c r="E1957" s="116"/>
      <c r="F1957" s="120"/>
      <c r="G1957" s="120"/>
      <c r="H1957" s="120"/>
      <c r="I1957" s="60"/>
      <c r="J1957" s="116"/>
      <c r="K1957" s="213"/>
      <c r="L1957" s="120"/>
      <c r="M1957" s="120"/>
      <c r="N1957" s="167"/>
      <c r="O1957" s="120"/>
      <c r="P1957" s="120"/>
      <c r="Q1957" s="120"/>
      <c r="R1957" s="120"/>
      <c r="S1957" s="120"/>
      <c r="T1957" s="221"/>
      <c r="U1957" s="89"/>
      <c r="V1957" s="61"/>
      <c r="W1957" s="92" t="s">
        <v>65</v>
      </c>
      <c r="X1957" s="93" t="s">
        <v>30</v>
      </c>
      <c r="Y1957" s="93" t="s">
        <v>1011</v>
      </c>
      <c r="Z1957" s="134">
        <f>VLOOKUP(W1957,Sheet2!$B:$D,3,FALSE)</f>
        <v>1.76</v>
      </c>
      <c r="AA1957" s="93">
        <f>AA1956/10</f>
        <v>0.26666666666666666</v>
      </c>
      <c r="AB1957" s="93">
        <f>AD1957/AC1949</f>
        <v>6.6</v>
      </c>
      <c r="AC1957" s="93">
        <f>AC1949/AA1957</f>
        <v>3.75</v>
      </c>
      <c r="AD1957" s="94">
        <f t="shared" si="1446"/>
        <v>6.6</v>
      </c>
      <c r="AE1957" s="190"/>
      <c r="AF1957" s="191"/>
      <c r="AG1957" s="191"/>
      <c r="AH1957" s="191"/>
      <c r="AI1957" s="186"/>
      <c r="AK1957" s="171"/>
    </row>
    <row r="1958" spans="1:41" s="102" customFormat="1" ht="19.899999999999999" customHeight="1" x14ac:dyDescent="0.25">
      <c r="A1958" s="45"/>
      <c r="B1958" s="59"/>
      <c r="C1958" s="137"/>
      <c r="D1958" s="59"/>
      <c r="E1958" s="116"/>
      <c r="F1958" s="120"/>
      <c r="G1958" s="120"/>
      <c r="H1958" s="120"/>
      <c r="I1958" s="60"/>
      <c r="J1958" s="116"/>
      <c r="K1958" s="213"/>
      <c r="L1958" s="120"/>
      <c r="M1958" s="120"/>
      <c r="N1958" s="167"/>
      <c r="O1958" s="120"/>
      <c r="P1958" s="120"/>
      <c r="Q1958" s="120"/>
      <c r="R1958" s="120"/>
      <c r="S1958" s="120"/>
      <c r="T1958" s="221"/>
      <c r="U1958" s="89"/>
      <c r="V1958" s="61"/>
      <c r="W1958" s="92" t="s">
        <v>1030</v>
      </c>
      <c r="X1958" s="93" t="s">
        <v>29</v>
      </c>
      <c r="Y1958" s="93" t="s">
        <v>93</v>
      </c>
      <c r="Z1958" s="134">
        <f>VLOOKUP(W1958,Sheet2!$B:$D,3,FALSE)</f>
        <v>23</v>
      </c>
      <c r="AA1958" s="93">
        <f>4/30</f>
        <v>0.13333333333333333</v>
      </c>
      <c r="AB1958" s="93">
        <f>AD1958/AC1949</f>
        <v>172.5</v>
      </c>
      <c r="AC1958" s="93">
        <f>AC1949/AA1958</f>
        <v>7.5</v>
      </c>
      <c r="AD1958" s="94">
        <f t="shared" si="1446"/>
        <v>172.5</v>
      </c>
      <c r="AE1958" s="190"/>
      <c r="AF1958" s="191"/>
      <c r="AG1958" s="191"/>
      <c r="AH1958" s="191"/>
      <c r="AI1958" s="186"/>
      <c r="AK1958" s="171"/>
    </row>
    <row r="1959" spans="1:41" s="102" customFormat="1" ht="19.899999999999999" customHeight="1" x14ac:dyDescent="0.25">
      <c r="A1959" s="45"/>
      <c r="B1959" s="59"/>
      <c r="C1959" s="137"/>
      <c r="D1959" s="59"/>
      <c r="E1959" s="116"/>
      <c r="F1959" s="120"/>
      <c r="G1959" s="120"/>
      <c r="H1959" s="120"/>
      <c r="I1959" s="60"/>
      <c r="J1959" s="116"/>
      <c r="K1959" s="213"/>
      <c r="L1959" s="120"/>
      <c r="M1959" s="120"/>
      <c r="N1959" s="167"/>
      <c r="O1959" s="120"/>
      <c r="P1959" s="120"/>
      <c r="Q1959" s="120"/>
      <c r="R1959" s="120"/>
      <c r="S1959" s="120"/>
      <c r="T1959" s="221"/>
      <c r="U1959" s="89"/>
      <c r="V1959" s="61"/>
      <c r="W1959" s="92" t="s">
        <v>65</v>
      </c>
      <c r="X1959" s="93" t="s">
        <v>30</v>
      </c>
      <c r="Y1959" s="93" t="s">
        <v>1011</v>
      </c>
      <c r="Z1959" s="134">
        <f>VLOOKUP(W1959,Sheet2!$B:$D,3,FALSE)</f>
        <v>1.76</v>
      </c>
      <c r="AA1959" s="93">
        <f>AA1958/3</f>
        <v>4.4444444444444446E-2</v>
      </c>
      <c r="AB1959" s="93">
        <f>AD1959/AC1949</f>
        <v>39.6</v>
      </c>
      <c r="AC1959" s="93">
        <f>AC1949/AA1959</f>
        <v>22.5</v>
      </c>
      <c r="AD1959" s="94">
        <f t="shared" si="1446"/>
        <v>39.6</v>
      </c>
      <c r="AE1959" s="190"/>
      <c r="AF1959" s="191"/>
      <c r="AG1959" s="191"/>
      <c r="AH1959" s="191"/>
      <c r="AI1959" s="186"/>
      <c r="AK1959" s="171"/>
    </row>
    <row r="1960" spans="1:41" s="306" customFormat="1" ht="20.100000000000001" customHeight="1" x14ac:dyDescent="0.25">
      <c r="A1960" s="287" t="s">
        <v>216</v>
      </c>
      <c r="B1960" s="288"/>
      <c r="C1960" s="286" t="s">
        <v>392</v>
      </c>
      <c r="D1960" s="289"/>
      <c r="E1960" s="290"/>
      <c r="F1960" s="291"/>
      <c r="G1960" s="291">
        <f t="shared" si="1286"/>
        <v>0</v>
      </c>
      <c r="H1960" s="291">
        <f t="shared" si="1287"/>
        <v>0</v>
      </c>
      <c r="I1960" s="292">
        <f t="shared" si="1288"/>
        <v>0</v>
      </c>
      <c r="J1960" s="290">
        <f t="shared" si="1289"/>
        <v>0</v>
      </c>
      <c r="K1960" s="293">
        <f t="shared" si="1290"/>
        <v>0</v>
      </c>
      <c r="L1960" s="291"/>
      <c r="M1960" s="291">
        <f t="shared" si="1296"/>
        <v>0</v>
      </c>
      <c r="N1960" s="294">
        <f t="shared" si="1291"/>
        <v>0</v>
      </c>
      <c r="O1960" s="291">
        <f t="shared" si="1292"/>
        <v>0</v>
      </c>
      <c r="P1960" s="291">
        <f t="shared" si="1293"/>
        <v>0</v>
      </c>
      <c r="Q1960" s="291">
        <f t="shared" si="1294"/>
        <v>0</v>
      </c>
      <c r="R1960" s="291">
        <f t="shared" si="1297"/>
        <v>0</v>
      </c>
      <c r="S1960" s="291"/>
      <c r="T1960" s="295">
        <f t="shared" si="1298"/>
        <v>0</v>
      </c>
      <c r="U1960" s="296"/>
      <c r="V1960" s="297"/>
      <c r="W1960" s="298"/>
      <c r="X1960" s="299"/>
      <c r="Y1960" s="300"/>
      <c r="Z1960" s="301"/>
      <c r="AA1960" s="300"/>
      <c r="AB1960" s="300"/>
      <c r="AC1960" s="300"/>
      <c r="AD1960" s="302"/>
      <c r="AE1960" s="303"/>
      <c r="AF1960" s="304"/>
      <c r="AG1960" s="304"/>
      <c r="AH1960" s="304"/>
      <c r="AI1960" s="305"/>
      <c r="AK1960" s="307"/>
    </row>
    <row r="1961" spans="1:41" ht="38.25" x14ac:dyDescent="0.25">
      <c r="A1961" s="277" t="s">
        <v>216</v>
      </c>
      <c r="B1961" s="278"/>
      <c r="C1961" s="64" t="s">
        <v>393</v>
      </c>
      <c r="D1961" s="46" t="s">
        <v>201</v>
      </c>
      <c r="E1961" s="114"/>
      <c r="F1961" s="44"/>
      <c r="G1961" s="44">
        <f t="shared" si="1286"/>
        <v>0</v>
      </c>
      <c r="H1961" s="44">
        <f t="shared" si="1287"/>
        <v>0</v>
      </c>
      <c r="I1961" s="43">
        <f t="shared" si="1288"/>
        <v>0</v>
      </c>
      <c r="J1961" s="112">
        <f t="shared" si="1289"/>
        <v>0</v>
      </c>
      <c r="K1961" s="211">
        <f t="shared" si="1290"/>
        <v>0</v>
      </c>
      <c r="L1961" s="44"/>
      <c r="M1961" s="44">
        <f t="shared" si="1296"/>
        <v>0</v>
      </c>
      <c r="N1961" s="173">
        <f t="shared" si="1291"/>
        <v>0</v>
      </c>
      <c r="O1961" s="44">
        <f t="shared" si="1292"/>
        <v>0</v>
      </c>
      <c r="P1961" s="44">
        <f t="shared" si="1293"/>
        <v>0</v>
      </c>
      <c r="Q1961" s="44">
        <f t="shared" si="1294"/>
        <v>0</v>
      </c>
      <c r="R1961" s="44">
        <f t="shared" si="1297"/>
        <v>0</v>
      </c>
      <c r="S1961" s="123"/>
      <c r="T1961" s="219">
        <f t="shared" si="1298"/>
        <v>0</v>
      </c>
      <c r="U1961" s="87"/>
      <c r="V1961" s="47"/>
      <c r="W1961" s="48"/>
      <c r="X1961" s="48"/>
      <c r="Y1961" s="48"/>
      <c r="Z1961" s="135"/>
      <c r="AA1961" s="49"/>
      <c r="AB1961" s="50">
        <f t="shared" si="1295"/>
        <v>0</v>
      </c>
      <c r="AC1961" s="42">
        <f t="shared" si="1299"/>
        <v>9.9999999999999998E-20</v>
      </c>
      <c r="AD1961" s="90"/>
      <c r="AE1961" s="188"/>
      <c r="AF1961" s="189"/>
      <c r="AG1961" s="189"/>
      <c r="AH1961" s="189"/>
      <c r="AI1961" s="161"/>
    </row>
    <row r="1962" spans="1:41" s="102" customFormat="1" ht="24.95" customHeight="1" x14ac:dyDescent="0.25">
      <c r="A1962" s="45"/>
      <c r="B1962" s="276"/>
      <c r="C1962" s="252" t="s">
        <v>1033</v>
      </c>
      <c r="D1962" s="59"/>
      <c r="E1962" s="116"/>
      <c r="F1962" s="120"/>
      <c r="G1962" s="120"/>
      <c r="H1962" s="120"/>
      <c r="I1962" s="60"/>
      <c r="J1962" s="116"/>
      <c r="K1962" s="213"/>
      <c r="L1962" s="120"/>
      <c r="M1962" s="120"/>
      <c r="N1962" s="167"/>
      <c r="O1962" s="120"/>
      <c r="P1962" s="120"/>
      <c r="Q1962" s="120"/>
      <c r="R1962" s="120"/>
      <c r="S1962" s="120"/>
      <c r="T1962" s="221"/>
      <c r="U1962" s="89"/>
      <c r="V1962" s="61"/>
      <c r="W1962" s="92"/>
      <c r="X1962" s="38"/>
      <c r="Y1962" s="93"/>
      <c r="Z1962" s="134"/>
      <c r="AA1962" s="93"/>
      <c r="AB1962" s="93"/>
      <c r="AC1962" s="93"/>
      <c r="AD1962" s="94"/>
      <c r="AE1962" s="190"/>
      <c r="AF1962" s="191"/>
      <c r="AG1962" s="191"/>
      <c r="AH1962" s="191"/>
      <c r="AI1962" s="186"/>
      <c r="AK1962" s="171"/>
    </row>
    <row r="1963" spans="1:41" s="306" customFormat="1" ht="20.100000000000001" customHeight="1" x14ac:dyDescent="0.25">
      <c r="A1963" s="287" t="s">
        <v>410</v>
      </c>
      <c r="B1963" s="288"/>
      <c r="C1963" s="310" t="s">
        <v>217</v>
      </c>
      <c r="D1963" s="289"/>
      <c r="E1963" s="290"/>
      <c r="F1963" s="291"/>
      <c r="G1963" s="291">
        <f t="shared" si="1286"/>
        <v>0</v>
      </c>
      <c r="H1963" s="291">
        <f t="shared" si="1287"/>
        <v>0</v>
      </c>
      <c r="I1963" s="292">
        <f t="shared" si="1288"/>
        <v>0</v>
      </c>
      <c r="J1963" s="290">
        <f t="shared" si="1289"/>
        <v>0</v>
      </c>
      <c r="K1963" s="293">
        <f t="shared" si="1290"/>
        <v>0</v>
      </c>
      <c r="L1963" s="291"/>
      <c r="M1963" s="291">
        <f t="shared" si="1296"/>
        <v>0</v>
      </c>
      <c r="N1963" s="294">
        <f t="shared" si="1291"/>
        <v>0</v>
      </c>
      <c r="O1963" s="291">
        <f t="shared" si="1292"/>
        <v>0</v>
      </c>
      <c r="P1963" s="291">
        <f t="shared" si="1293"/>
        <v>0</v>
      </c>
      <c r="Q1963" s="291">
        <f t="shared" si="1294"/>
        <v>0</v>
      </c>
      <c r="R1963" s="291">
        <f t="shared" si="1297"/>
        <v>0</v>
      </c>
      <c r="S1963" s="291"/>
      <c r="T1963" s="295">
        <f t="shared" si="1298"/>
        <v>0</v>
      </c>
      <c r="U1963" s="296"/>
      <c r="V1963" s="297"/>
      <c r="W1963" s="298"/>
      <c r="X1963" s="299"/>
      <c r="Y1963" s="300"/>
      <c r="Z1963" s="301"/>
      <c r="AA1963" s="300"/>
      <c r="AB1963" s="300">
        <f t="shared" si="1295"/>
        <v>0</v>
      </c>
      <c r="AC1963" s="300">
        <f t="shared" si="1299"/>
        <v>9.9999999999999998E-20</v>
      </c>
      <c r="AD1963" s="302"/>
      <c r="AE1963" s="303"/>
      <c r="AF1963" s="304"/>
      <c r="AG1963" s="304"/>
      <c r="AH1963" s="304"/>
      <c r="AI1963" s="305"/>
      <c r="AK1963" s="307"/>
    </row>
    <row r="1964" spans="1:41" ht="20.100000000000001" customHeight="1" x14ac:dyDescent="0.25">
      <c r="A1964" s="277" t="s">
        <v>410</v>
      </c>
      <c r="B1964" s="278"/>
      <c r="C1964" s="64" t="s">
        <v>411</v>
      </c>
      <c r="D1964" s="46" t="s">
        <v>97</v>
      </c>
      <c r="E1964" s="114">
        <v>6486.8264250000066</v>
      </c>
      <c r="F1964" s="44">
        <v>139</v>
      </c>
      <c r="G1964" s="44">
        <f t="shared" si="1286"/>
        <v>901668.87307500094</v>
      </c>
      <c r="H1964" s="44">
        <f t="shared" si="1287"/>
        <v>106.16606274509803</v>
      </c>
      <c r="I1964" s="43">
        <f t="shared" si="1288"/>
        <v>688680.82125311065</v>
      </c>
      <c r="J1964" s="112">
        <f t="shared" si="1289"/>
        <v>6486.8264250000066</v>
      </c>
      <c r="K1964" s="211">
        <f t="shared" si="1290"/>
        <v>6486.8264250000066</v>
      </c>
      <c r="L1964" s="44"/>
      <c r="M1964" s="44">
        <f t="shared" si="1296"/>
        <v>6486.8264250000066</v>
      </c>
      <c r="N1964" s="173">
        <f t="shared" si="1291"/>
        <v>1</v>
      </c>
      <c r="O1964" s="44">
        <f t="shared" si="1292"/>
        <v>139</v>
      </c>
      <c r="P1964" s="44">
        <f t="shared" si="1293"/>
        <v>901668.87307500094</v>
      </c>
      <c r="Q1964" s="44">
        <f t="shared" si="1294"/>
        <v>106.16606274509803</v>
      </c>
      <c r="R1964" s="44">
        <f t="shared" si="1297"/>
        <v>688680.82125311065</v>
      </c>
      <c r="S1964" s="123"/>
      <c r="T1964" s="219">
        <f t="shared" si="1298"/>
        <v>688680.82125311065</v>
      </c>
      <c r="U1964" s="87"/>
      <c r="V1964" s="47"/>
      <c r="W1964" s="48"/>
      <c r="X1964" s="48"/>
      <c r="Y1964" s="48"/>
      <c r="Z1964" s="135"/>
      <c r="AA1964" s="49"/>
      <c r="AB1964" s="50">
        <f t="shared" si="1295"/>
        <v>106.16606274509803</v>
      </c>
      <c r="AC1964" s="42">
        <f t="shared" si="1299"/>
        <v>6486.8264250000066</v>
      </c>
      <c r="AD1964" s="90">
        <f>AD1965+AD1974+AD1980</f>
        <v>688680.82125311065</v>
      </c>
      <c r="AE1964" s="188">
        <f t="shared" ref="AE1964:AH1964" si="1447">AE1965+AE1974+AE1980</f>
        <v>0</v>
      </c>
      <c r="AF1964" s="189">
        <f t="shared" si="1447"/>
        <v>0</v>
      </c>
      <c r="AG1964" s="189">
        <f t="shared" si="1447"/>
        <v>0</v>
      </c>
      <c r="AH1964" s="189">
        <f t="shared" si="1447"/>
        <v>0</v>
      </c>
      <c r="AI1964" s="161">
        <f t="shared" ref="AI1964:AI2000" si="1448">SUM(AE1964:AH1964)</f>
        <v>0</v>
      </c>
      <c r="AK1964" s="169">
        <v>5</v>
      </c>
      <c r="AO1964" s="19" t="s">
        <v>63</v>
      </c>
    </row>
    <row r="1965" spans="1:41" s="103" customFormat="1" ht="19.899999999999999" customHeight="1" x14ac:dyDescent="0.25">
      <c r="A1965" s="51"/>
      <c r="B1965" s="52"/>
      <c r="C1965" s="165"/>
      <c r="D1965" s="52"/>
      <c r="E1965" s="115"/>
      <c r="F1965" s="58"/>
      <c r="G1965" s="58"/>
      <c r="H1965" s="58"/>
      <c r="I1965" s="55"/>
      <c r="J1965" s="113">
        <f>J1964</f>
        <v>6486.8264250000066</v>
      </c>
      <c r="K1965" s="212">
        <f>K1964</f>
        <v>6486.8264250000066</v>
      </c>
      <c r="L1965" s="58"/>
      <c r="M1965" s="58">
        <f>K1965-L1965</f>
        <v>6486.8264250000066</v>
      </c>
      <c r="N1965" s="166"/>
      <c r="O1965" s="58"/>
      <c r="P1965" s="58"/>
      <c r="Q1965" s="58"/>
      <c r="R1965" s="58"/>
      <c r="S1965" s="58"/>
      <c r="T1965" s="220"/>
      <c r="U1965" s="88"/>
      <c r="V1965" s="56"/>
      <c r="W1965" s="57" t="s">
        <v>1042</v>
      </c>
      <c r="X1965" s="53"/>
      <c r="Y1965" s="91" t="s">
        <v>68</v>
      </c>
      <c r="Z1965" s="136">
        <f>AD1965/AC1965</f>
        <v>7.5827294117647046</v>
      </c>
      <c r="AA1965" s="58"/>
      <c r="AB1965" s="53">
        <f>AD1965/AC1965</f>
        <v>7.5827294117647046</v>
      </c>
      <c r="AC1965" s="53">
        <f>M1965+$AE$10</f>
        <v>6486.8264250000066</v>
      </c>
      <c r="AD1965" s="54">
        <f>SUM(AD1966:AD1973)</f>
        <v>49187.849521860044</v>
      </c>
      <c r="AE1965" s="184">
        <f>SUMIFS($AD$37:$AD$12971,$V$37:$V$12971,$V1965,$X$37:$X$12971,AE$13)</f>
        <v>0</v>
      </c>
      <c r="AF1965" s="185">
        <f>SUMIFS($AD$37:$AD$12971,$V$37:$V$12971,$V1965,$X$37:$X$12971,AF$13)</f>
        <v>0</v>
      </c>
      <c r="AG1965" s="185">
        <f>SUMIFS($AD$37:$AD$12971,$V$37:$V$12971,$V1965,$X$37:$X$12971,AG$13)</f>
        <v>0</v>
      </c>
      <c r="AH1965" s="187">
        <f>SUMIFS($AD$37:$AD$12971,$V$37:$V$12971,$V1965,$X$37:$X$12971,AH$13)</f>
        <v>0</v>
      </c>
      <c r="AI1965" s="161">
        <f t="shared" ref="AI1965" si="1449">SUM(AE1965:AH1965)</f>
        <v>0</v>
      </c>
      <c r="AK1965" s="172"/>
    </row>
    <row r="1966" spans="1:41" s="102" customFormat="1" ht="19.899999999999999" customHeight="1" x14ac:dyDescent="0.25">
      <c r="A1966" s="45"/>
      <c r="B1966" s="59"/>
      <c r="C1966" s="137"/>
      <c r="D1966" s="59"/>
      <c r="E1966" s="116"/>
      <c r="F1966" s="120"/>
      <c r="G1966" s="120"/>
      <c r="H1966" s="120"/>
      <c r="I1966" s="60"/>
      <c r="J1966" s="116"/>
      <c r="K1966" s="213"/>
      <c r="L1966" s="120"/>
      <c r="M1966" s="120"/>
      <c r="N1966" s="167"/>
      <c r="O1966" s="120"/>
      <c r="P1966" s="120"/>
      <c r="Q1966" s="120"/>
      <c r="R1966" s="120"/>
      <c r="S1966" s="120"/>
      <c r="T1966" s="221"/>
      <c r="U1966" s="89"/>
      <c r="V1966" s="61"/>
      <c r="W1966" s="92" t="s">
        <v>129</v>
      </c>
      <c r="X1966" s="93" t="s">
        <v>29</v>
      </c>
      <c r="Y1966" s="93" t="s">
        <v>93</v>
      </c>
      <c r="Z1966" s="134">
        <f>VLOOKUP(W1966,Sheet2!$B:$D,3,FALSE)</f>
        <v>56</v>
      </c>
      <c r="AA1966" s="93">
        <f>100/(1*1.5)</f>
        <v>66.666666666666671</v>
      </c>
      <c r="AB1966" s="93">
        <f t="shared" ref="AB1966" si="1450">AD1966/AC1965</f>
        <v>0.84</v>
      </c>
      <c r="AC1966" s="93">
        <f>AC1965/AA1966</f>
        <v>97.302396375000086</v>
      </c>
      <c r="AD1966" s="94">
        <f t="shared" ref="AD1966:AD1967" si="1451">AC1966*Z1966</f>
        <v>5448.934197000005</v>
      </c>
      <c r="AE1966" s="190"/>
      <c r="AF1966" s="191"/>
      <c r="AG1966" s="191"/>
      <c r="AH1966" s="191"/>
      <c r="AI1966" s="186"/>
      <c r="AK1966" s="171"/>
    </row>
    <row r="1967" spans="1:41" s="102" customFormat="1" ht="19.899999999999999" customHeight="1" x14ac:dyDescent="0.25">
      <c r="A1967" s="45"/>
      <c r="B1967" s="59"/>
      <c r="C1967" s="137"/>
      <c r="D1967" s="59"/>
      <c r="E1967" s="116"/>
      <c r="F1967" s="120"/>
      <c r="G1967" s="120"/>
      <c r="H1967" s="120"/>
      <c r="I1967" s="60"/>
      <c r="J1967" s="116"/>
      <c r="K1967" s="213"/>
      <c r="L1967" s="120"/>
      <c r="M1967" s="120"/>
      <c r="N1967" s="167"/>
      <c r="O1967" s="120"/>
      <c r="P1967" s="120"/>
      <c r="Q1967" s="120"/>
      <c r="R1967" s="120"/>
      <c r="S1967" s="120"/>
      <c r="T1967" s="221"/>
      <c r="U1967" s="89"/>
      <c r="V1967" s="61"/>
      <c r="W1967" s="92" t="s">
        <v>65</v>
      </c>
      <c r="X1967" s="93" t="s">
        <v>30</v>
      </c>
      <c r="Y1967" s="93" t="s">
        <v>1011</v>
      </c>
      <c r="Z1967" s="134">
        <f>VLOOKUP(W1967,Sheet2!$B:$D,3,FALSE)</f>
        <v>1.76</v>
      </c>
      <c r="AA1967" s="93">
        <f>AA1966/14</f>
        <v>4.7619047619047619</v>
      </c>
      <c r="AB1967" s="93">
        <f>AD1967/AC1965</f>
        <v>0.36959999999999998</v>
      </c>
      <c r="AC1967" s="93">
        <f>AC1965/AA1967</f>
        <v>1362.2335492500015</v>
      </c>
      <c r="AD1967" s="94">
        <f t="shared" si="1451"/>
        <v>2397.5310466800024</v>
      </c>
      <c r="AE1967" s="190"/>
      <c r="AF1967" s="191"/>
      <c r="AG1967" s="191"/>
      <c r="AH1967" s="191"/>
      <c r="AI1967" s="186"/>
      <c r="AK1967" s="171"/>
    </row>
    <row r="1968" spans="1:41" s="102" customFormat="1" ht="19.899999999999999" customHeight="1" x14ac:dyDescent="0.25">
      <c r="A1968" s="45"/>
      <c r="B1968" s="59"/>
      <c r="C1968" s="137"/>
      <c r="D1968" s="59"/>
      <c r="E1968" s="116"/>
      <c r="F1968" s="120"/>
      <c r="G1968" s="120"/>
      <c r="H1968" s="120"/>
      <c r="I1968" s="60"/>
      <c r="J1968" s="116"/>
      <c r="K1968" s="213"/>
      <c r="L1968" s="120"/>
      <c r="M1968" s="120"/>
      <c r="N1968" s="167"/>
      <c r="O1968" s="120"/>
      <c r="P1968" s="120"/>
      <c r="Q1968" s="120"/>
      <c r="R1968" s="120"/>
      <c r="S1968" s="120"/>
      <c r="T1968" s="221"/>
      <c r="U1968" s="89"/>
      <c r="V1968" s="61"/>
      <c r="W1968" s="92" t="s">
        <v>161</v>
      </c>
      <c r="X1968" s="93" t="s">
        <v>29</v>
      </c>
      <c r="Y1968" s="93" t="s">
        <v>93</v>
      </c>
      <c r="Z1968" s="134">
        <f>VLOOKUP(W1968,Sheet2!$B:$D,3,FALSE)</f>
        <v>48</v>
      </c>
      <c r="AA1968" s="93">
        <f>(16*0.85*1.5)/(1*1.5)</f>
        <v>13.6</v>
      </c>
      <c r="AB1968" s="93">
        <f>AD1968/AC1965</f>
        <v>3.5294117647058827</v>
      </c>
      <c r="AC1968" s="93">
        <f>AC1965/AA1968</f>
        <v>476.97253125000049</v>
      </c>
      <c r="AD1968" s="94">
        <f>AC1968*Z1968</f>
        <v>22894.681500000024</v>
      </c>
      <c r="AE1968" s="190"/>
      <c r="AF1968" s="191"/>
      <c r="AG1968" s="191"/>
      <c r="AH1968" s="191"/>
      <c r="AI1968" s="186"/>
      <c r="AK1968" s="171"/>
    </row>
    <row r="1969" spans="1:41" s="102" customFormat="1" ht="19.899999999999999" customHeight="1" x14ac:dyDescent="0.25">
      <c r="A1969" s="45"/>
      <c r="B1969" s="59"/>
      <c r="C1969" s="137"/>
      <c r="D1969" s="59"/>
      <c r="E1969" s="116"/>
      <c r="F1969" s="120"/>
      <c r="G1969" s="120"/>
      <c r="H1969" s="120"/>
      <c r="I1969" s="60"/>
      <c r="J1969" s="116"/>
      <c r="K1969" s="213"/>
      <c r="L1969" s="120"/>
      <c r="M1969" s="120"/>
      <c r="N1969" s="167"/>
      <c r="O1969" s="120"/>
      <c r="P1969" s="120"/>
      <c r="Q1969" s="120"/>
      <c r="R1969" s="120"/>
      <c r="S1969" s="120"/>
      <c r="T1969" s="221"/>
      <c r="U1969" s="89"/>
      <c r="V1969" s="61"/>
      <c r="W1969" s="92" t="s">
        <v>65</v>
      </c>
      <c r="X1969" s="93" t="s">
        <v>30</v>
      </c>
      <c r="Y1969" s="93" t="s">
        <v>1011</v>
      </c>
      <c r="Z1969" s="134">
        <f>VLOOKUP(W1969,Sheet2!$B:$D,3,FALSE)</f>
        <v>1.76</v>
      </c>
      <c r="AA1969" s="93">
        <f>AA1968/10</f>
        <v>1.3599999999999999</v>
      </c>
      <c r="AB1969" s="93">
        <f>AD1969/AC1965</f>
        <v>1.2941176470588238</v>
      </c>
      <c r="AC1969" s="93">
        <f>AC1965/AA1969</f>
        <v>4769.7253125000052</v>
      </c>
      <c r="AD1969" s="94">
        <f>AC1969*Z1969</f>
        <v>8394.7165500000101</v>
      </c>
      <c r="AE1969" s="190"/>
      <c r="AF1969" s="191"/>
      <c r="AG1969" s="191"/>
      <c r="AH1969" s="191"/>
      <c r="AI1969" s="186"/>
      <c r="AK1969" s="171"/>
    </row>
    <row r="1970" spans="1:41" s="102" customFormat="1" ht="19.899999999999999" customHeight="1" x14ac:dyDescent="0.25">
      <c r="A1970" s="45"/>
      <c r="B1970" s="59"/>
      <c r="C1970" s="137"/>
      <c r="D1970" s="59"/>
      <c r="E1970" s="116"/>
      <c r="F1970" s="120"/>
      <c r="G1970" s="120"/>
      <c r="H1970" s="120"/>
      <c r="I1970" s="60"/>
      <c r="J1970" s="116"/>
      <c r="K1970" s="213"/>
      <c r="L1970" s="120"/>
      <c r="M1970" s="120"/>
      <c r="N1970" s="167"/>
      <c r="O1970" s="120"/>
      <c r="P1970" s="120"/>
      <c r="Q1970" s="120"/>
      <c r="R1970" s="120"/>
      <c r="S1970" s="120"/>
      <c r="T1970" s="221"/>
      <c r="U1970" s="89"/>
      <c r="V1970" s="61"/>
      <c r="W1970" s="92" t="s">
        <v>1030</v>
      </c>
      <c r="X1970" s="93" t="s">
        <v>29</v>
      </c>
      <c r="Y1970" s="93" t="s">
        <v>93</v>
      </c>
      <c r="Z1970" s="134">
        <f>VLOOKUP(W1970,Sheet2!$B:$D,3,FALSE)</f>
        <v>23</v>
      </c>
      <c r="AA1970" s="93">
        <v>50</v>
      </c>
      <c r="AB1970" s="93">
        <f>AD1970/AC1965</f>
        <v>0.46</v>
      </c>
      <c r="AC1970" s="93">
        <f>AC1965/AA1970</f>
        <v>129.73652850000013</v>
      </c>
      <c r="AD1970" s="94">
        <f t="shared" ref="AD1970:AD1973" si="1452">AC1970*Z1970</f>
        <v>2983.9401555000031</v>
      </c>
      <c r="AE1970" s="190"/>
      <c r="AF1970" s="191"/>
      <c r="AG1970" s="191"/>
      <c r="AH1970" s="191"/>
      <c r="AI1970" s="186"/>
      <c r="AK1970" s="171"/>
    </row>
    <row r="1971" spans="1:41" s="102" customFormat="1" ht="19.899999999999999" customHeight="1" x14ac:dyDescent="0.25">
      <c r="A1971" s="45"/>
      <c r="B1971" s="59"/>
      <c r="C1971" s="137"/>
      <c r="D1971" s="59"/>
      <c r="E1971" s="116"/>
      <c r="F1971" s="120"/>
      <c r="G1971" s="120"/>
      <c r="H1971" s="120"/>
      <c r="I1971" s="60"/>
      <c r="J1971" s="116"/>
      <c r="K1971" s="213"/>
      <c r="L1971" s="120"/>
      <c r="M1971" s="120"/>
      <c r="N1971" s="167"/>
      <c r="O1971" s="120"/>
      <c r="P1971" s="120"/>
      <c r="Q1971" s="120"/>
      <c r="R1971" s="120"/>
      <c r="S1971" s="120"/>
      <c r="T1971" s="221"/>
      <c r="U1971" s="89"/>
      <c r="V1971" s="61"/>
      <c r="W1971" s="92" t="s">
        <v>65</v>
      </c>
      <c r="X1971" s="93" t="s">
        <v>30</v>
      </c>
      <c r="Y1971" s="93" t="s">
        <v>1011</v>
      </c>
      <c r="Z1971" s="134">
        <f>VLOOKUP(W1971,Sheet2!$B:$D,3,FALSE)</f>
        <v>1.76</v>
      </c>
      <c r="AA1971" s="93">
        <f>AA1970/3</f>
        <v>16.666666666666668</v>
      </c>
      <c r="AB1971" s="93">
        <f>AD1971/AC1965</f>
        <v>0.10559999999999999</v>
      </c>
      <c r="AC1971" s="93">
        <f>AC1965/AA1971</f>
        <v>389.20958550000034</v>
      </c>
      <c r="AD1971" s="94">
        <f t="shared" si="1452"/>
        <v>685.00887048000061</v>
      </c>
      <c r="AE1971" s="190"/>
      <c r="AF1971" s="191"/>
      <c r="AG1971" s="191"/>
      <c r="AH1971" s="191"/>
      <c r="AI1971" s="186"/>
      <c r="AK1971" s="171"/>
    </row>
    <row r="1972" spans="1:41" s="102" customFormat="1" ht="19.899999999999999" customHeight="1" x14ac:dyDescent="0.25">
      <c r="A1972" s="45"/>
      <c r="B1972" s="59"/>
      <c r="C1972" s="137"/>
      <c r="D1972" s="59"/>
      <c r="E1972" s="116"/>
      <c r="F1972" s="120"/>
      <c r="G1972" s="120"/>
      <c r="H1972" s="120"/>
      <c r="I1972" s="60"/>
      <c r="J1972" s="116"/>
      <c r="K1972" s="213"/>
      <c r="L1972" s="120"/>
      <c r="M1972" s="120"/>
      <c r="N1972" s="167"/>
      <c r="O1972" s="120"/>
      <c r="P1972" s="120"/>
      <c r="Q1972" s="120"/>
      <c r="R1972" s="120"/>
      <c r="S1972" s="120"/>
      <c r="T1972" s="221"/>
      <c r="U1972" s="89"/>
      <c r="V1972" s="61"/>
      <c r="W1972" s="92" t="s">
        <v>148</v>
      </c>
      <c r="X1972" s="93" t="s">
        <v>29</v>
      </c>
      <c r="Y1972" s="93" t="s">
        <v>93</v>
      </c>
      <c r="Z1972" s="134">
        <f>VLOOKUP(W1972,Sheet2!$B:$D,3,FALSE)</f>
        <v>48</v>
      </c>
      <c r="AA1972" s="93">
        <f>AA1966</f>
        <v>66.666666666666671</v>
      </c>
      <c r="AB1972" s="93">
        <f>AD1972/AC1965</f>
        <v>0.72</v>
      </c>
      <c r="AC1972" s="93">
        <f>AC1965/AA1972</f>
        <v>97.302396375000086</v>
      </c>
      <c r="AD1972" s="94">
        <f t="shared" si="1452"/>
        <v>4670.5150260000046</v>
      </c>
      <c r="AE1972" s="190"/>
      <c r="AF1972" s="191"/>
      <c r="AG1972" s="191"/>
      <c r="AH1972" s="191"/>
      <c r="AI1972" s="186"/>
      <c r="AK1972" s="171"/>
    </row>
    <row r="1973" spans="1:41" s="102" customFormat="1" ht="19.899999999999999" customHeight="1" x14ac:dyDescent="0.25">
      <c r="A1973" s="45"/>
      <c r="B1973" s="59"/>
      <c r="C1973" s="137"/>
      <c r="D1973" s="59"/>
      <c r="E1973" s="116"/>
      <c r="F1973" s="120"/>
      <c r="G1973" s="120"/>
      <c r="H1973" s="120"/>
      <c r="I1973" s="60"/>
      <c r="J1973" s="116"/>
      <c r="K1973" s="213"/>
      <c r="L1973" s="120"/>
      <c r="M1973" s="120"/>
      <c r="N1973" s="167"/>
      <c r="O1973" s="120"/>
      <c r="P1973" s="120"/>
      <c r="Q1973" s="120"/>
      <c r="R1973" s="120"/>
      <c r="S1973" s="120"/>
      <c r="T1973" s="221"/>
      <c r="U1973" s="89"/>
      <c r="V1973" s="61"/>
      <c r="W1973" s="92" t="s">
        <v>65</v>
      </c>
      <c r="X1973" s="93" t="s">
        <v>30</v>
      </c>
      <c r="Y1973" s="93" t="s">
        <v>1011</v>
      </c>
      <c r="Z1973" s="134">
        <f>VLOOKUP(W1973,Sheet2!$B:$D,3,FALSE)</f>
        <v>1.76</v>
      </c>
      <c r="AA1973" s="93">
        <f>AA1972/10</f>
        <v>6.666666666666667</v>
      </c>
      <c r="AB1973" s="93">
        <f>AD1973/AC1965</f>
        <v>0.26400000000000001</v>
      </c>
      <c r="AC1973" s="93">
        <f>AC1965/AA1973</f>
        <v>973.02396375000092</v>
      </c>
      <c r="AD1973" s="94">
        <f t="shared" si="1452"/>
        <v>1712.5221762000017</v>
      </c>
      <c r="AE1973" s="190"/>
      <c r="AF1973" s="191"/>
      <c r="AG1973" s="191"/>
      <c r="AH1973" s="191"/>
      <c r="AI1973" s="186"/>
      <c r="AK1973" s="171"/>
    </row>
    <row r="1974" spans="1:41" s="103" customFormat="1" ht="19.899999999999999" customHeight="1" x14ac:dyDescent="0.25">
      <c r="A1974" s="51"/>
      <c r="B1974" s="52"/>
      <c r="C1974" s="165"/>
      <c r="D1974" s="52"/>
      <c r="E1974" s="115"/>
      <c r="F1974" s="58"/>
      <c r="G1974" s="58"/>
      <c r="H1974" s="58"/>
      <c r="I1974" s="55"/>
      <c r="J1974" s="113">
        <f>J1964</f>
        <v>6486.8264250000066</v>
      </c>
      <c r="K1974" s="212">
        <f>K1964</f>
        <v>6486.8264250000066</v>
      </c>
      <c r="L1974" s="58"/>
      <c r="M1974" s="58">
        <f>K1974-L1974</f>
        <v>6486.8264250000066</v>
      </c>
      <c r="N1974" s="166"/>
      <c r="O1974" s="58"/>
      <c r="P1974" s="58"/>
      <c r="Q1974" s="58"/>
      <c r="R1974" s="58"/>
      <c r="S1974" s="58"/>
      <c r="T1974" s="220"/>
      <c r="U1974" s="88"/>
      <c r="V1974" s="56"/>
      <c r="W1974" s="57" t="s">
        <v>1036</v>
      </c>
      <c r="X1974" s="53"/>
      <c r="Y1974" s="91" t="s">
        <v>68</v>
      </c>
      <c r="Z1974" s="136">
        <f>AD1974/AC1974</f>
        <v>93.583333333333343</v>
      </c>
      <c r="AA1974" s="58"/>
      <c r="AB1974" s="53">
        <f>AD1974/AC1974</f>
        <v>93.583333333333343</v>
      </c>
      <c r="AC1974" s="53">
        <f>M1974+$AE$10</f>
        <v>6486.8264250000066</v>
      </c>
      <c r="AD1974" s="54">
        <f>SUM(AD1975:AD1979)</f>
        <v>607058.83960625064</v>
      </c>
      <c r="AE1974" s="184">
        <f>SUMIFS($AD$37:$AD$12971,$V$37:$V$12971,$V1974,$X$37:$X$12971,AE$13)</f>
        <v>0</v>
      </c>
      <c r="AF1974" s="185">
        <f>SUMIFS($AD$37:$AD$12971,$V$37:$V$12971,$V1974,$X$37:$X$12971,AF$13)</f>
        <v>0</v>
      </c>
      <c r="AG1974" s="185">
        <f>SUMIFS($AD$37:$AD$12971,$V$37:$V$12971,$V1974,$X$37:$X$12971,AG$13)</f>
        <v>0</v>
      </c>
      <c r="AH1974" s="187">
        <f>SUMIFS($AD$37:$AD$12971,$V$37:$V$12971,$V1974,$X$37:$X$12971,AH$13)</f>
        <v>0</v>
      </c>
      <c r="AI1974" s="161">
        <f t="shared" ref="AI1974" si="1453">SUM(AE1974:AH1974)</f>
        <v>0</v>
      </c>
      <c r="AK1974" s="172"/>
    </row>
    <row r="1975" spans="1:41" s="102" customFormat="1" ht="19.899999999999999" customHeight="1" x14ac:dyDescent="0.25">
      <c r="A1975" s="45"/>
      <c r="B1975" s="59"/>
      <c r="C1975" s="137"/>
      <c r="D1975" s="59"/>
      <c r="E1975" s="116"/>
      <c r="F1975" s="120"/>
      <c r="G1975" s="120"/>
      <c r="H1975" s="120"/>
      <c r="I1975" s="60"/>
      <c r="J1975" s="116"/>
      <c r="K1975" s="213"/>
      <c r="L1975" s="120"/>
      <c r="M1975" s="120"/>
      <c r="N1975" s="167"/>
      <c r="O1975" s="120"/>
      <c r="P1975" s="120"/>
      <c r="Q1975" s="120"/>
      <c r="R1975" s="120"/>
      <c r="S1975" s="120"/>
      <c r="T1975" s="221"/>
      <c r="U1975" s="89"/>
      <c r="V1975" s="61"/>
      <c r="W1975" s="92" t="s">
        <v>1291</v>
      </c>
      <c r="X1975" s="93" t="s">
        <v>30</v>
      </c>
      <c r="Y1975" s="93" t="s">
        <v>68</v>
      </c>
      <c r="Z1975" s="134">
        <f>VLOOKUP(W1975,Sheet2!$B:$D,3,FALSE)</f>
        <v>35</v>
      </c>
      <c r="AA1975" s="93">
        <v>1</v>
      </c>
      <c r="AB1975" s="93">
        <f>AD1975/AC1974</f>
        <v>35</v>
      </c>
      <c r="AC1975" s="93">
        <f>AC1974/AA1975</f>
        <v>6486.8264250000066</v>
      </c>
      <c r="AD1975" s="94">
        <f t="shared" ref="AD1975" si="1454">AC1975*Z1975</f>
        <v>227038.92487500023</v>
      </c>
      <c r="AE1975" s="190"/>
      <c r="AF1975" s="191"/>
      <c r="AG1975" s="191"/>
      <c r="AH1975" s="191"/>
      <c r="AI1975" s="186"/>
      <c r="AK1975" s="171"/>
    </row>
    <row r="1976" spans="1:41" s="102" customFormat="1" ht="19.899999999999999" customHeight="1" x14ac:dyDescent="0.25">
      <c r="A1976" s="45"/>
      <c r="B1976" s="59"/>
      <c r="C1976" s="137"/>
      <c r="D1976" s="59"/>
      <c r="E1976" s="116"/>
      <c r="F1976" s="120"/>
      <c r="G1976" s="120"/>
      <c r="H1976" s="120"/>
      <c r="I1976" s="60"/>
      <c r="J1976" s="116"/>
      <c r="K1976" s="213"/>
      <c r="L1976" s="120"/>
      <c r="M1976" s="120"/>
      <c r="N1976" s="167"/>
      <c r="O1976" s="120"/>
      <c r="P1976" s="120"/>
      <c r="Q1976" s="120"/>
      <c r="R1976" s="120"/>
      <c r="S1976" s="120"/>
      <c r="T1976" s="221"/>
      <c r="U1976" s="89"/>
      <c r="V1976" s="61"/>
      <c r="W1976" s="92" t="s">
        <v>1292</v>
      </c>
      <c r="X1976" s="93" t="s">
        <v>32</v>
      </c>
      <c r="Y1976" s="93" t="s">
        <v>68</v>
      </c>
      <c r="Z1976" s="134">
        <f>VLOOKUP(W1976,Sheet2!$B:$D,3,FALSE)</f>
        <v>18</v>
      </c>
      <c r="AA1976" s="93">
        <v>1</v>
      </c>
      <c r="AB1976" s="93">
        <f>AD1976/AC1974</f>
        <v>18</v>
      </c>
      <c r="AC1976" s="93">
        <f>AC1974/AA1976</f>
        <v>6486.8264250000066</v>
      </c>
      <c r="AD1976" s="94">
        <f>AC1976*Z1976</f>
        <v>116762.87565000012</v>
      </c>
      <c r="AE1976" s="190"/>
      <c r="AF1976" s="191"/>
      <c r="AG1976" s="191"/>
      <c r="AH1976" s="191"/>
      <c r="AI1976" s="186"/>
      <c r="AK1976" s="171"/>
    </row>
    <row r="1977" spans="1:41" s="102" customFormat="1" ht="19.899999999999999" customHeight="1" x14ac:dyDescent="0.25">
      <c r="A1977" s="45"/>
      <c r="B1977" s="59"/>
      <c r="C1977" s="137"/>
      <c r="D1977" s="59"/>
      <c r="E1977" s="116"/>
      <c r="F1977" s="120"/>
      <c r="G1977" s="120"/>
      <c r="H1977" s="120"/>
      <c r="I1977" s="60"/>
      <c r="J1977" s="116"/>
      <c r="K1977" s="213"/>
      <c r="L1977" s="120"/>
      <c r="M1977" s="120"/>
      <c r="N1977" s="167"/>
      <c r="O1977" s="120"/>
      <c r="P1977" s="120"/>
      <c r="Q1977" s="120"/>
      <c r="R1977" s="120"/>
      <c r="S1977" s="120"/>
      <c r="T1977" s="221"/>
      <c r="U1977" s="89"/>
      <c r="V1977" s="61"/>
      <c r="W1977" s="92" t="s">
        <v>1032</v>
      </c>
      <c r="X1977" s="93" t="s">
        <v>30</v>
      </c>
      <c r="Y1977" s="93" t="s">
        <v>66</v>
      </c>
      <c r="Z1977" s="134">
        <f>VLOOKUP(W1977,Sheet2!$B:$D,3,FALSE)</f>
        <v>250</v>
      </c>
      <c r="AA1977" s="93">
        <f>1/(1*0.1)</f>
        <v>10</v>
      </c>
      <c r="AB1977" s="93">
        <f>AD1977/AC1974</f>
        <v>25</v>
      </c>
      <c r="AC1977" s="93">
        <f>AC1974/AA1977</f>
        <v>648.68264250000061</v>
      </c>
      <c r="AD1977" s="94">
        <f>AC1977*Z1977</f>
        <v>162170.66062500016</v>
      </c>
      <c r="AE1977" s="190"/>
      <c r="AF1977" s="191"/>
      <c r="AG1977" s="191"/>
      <c r="AH1977" s="191"/>
      <c r="AI1977" s="186"/>
      <c r="AK1977" s="171"/>
    </row>
    <row r="1978" spans="1:41" s="102" customFormat="1" ht="19.899999999999999" customHeight="1" x14ac:dyDescent="0.25">
      <c r="A1978" s="45"/>
      <c r="B1978" s="59"/>
      <c r="C1978" s="137"/>
      <c r="D1978" s="59"/>
      <c r="E1978" s="116"/>
      <c r="F1978" s="120"/>
      <c r="G1978" s="120"/>
      <c r="H1978" s="120"/>
      <c r="I1978" s="60"/>
      <c r="J1978" s="116"/>
      <c r="K1978" s="213"/>
      <c r="L1978" s="120"/>
      <c r="M1978" s="120"/>
      <c r="N1978" s="167"/>
      <c r="O1978" s="120"/>
      <c r="P1978" s="120"/>
      <c r="Q1978" s="120"/>
      <c r="R1978" s="120"/>
      <c r="S1978" s="120"/>
      <c r="T1978" s="221"/>
      <c r="U1978" s="89"/>
      <c r="V1978" s="61"/>
      <c r="W1978" s="92" t="s">
        <v>1035</v>
      </c>
      <c r="X1978" s="93" t="s">
        <v>32</v>
      </c>
      <c r="Y1978" s="93" t="s">
        <v>66</v>
      </c>
      <c r="Z1978" s="134">
        <f>VLOOKUP(W1978,Sheet2!$B:$D,3,FALSE)</f>
        <v>150</v>
      </c>
      <c r="AA1978" s="93">
        <f>AA1977</f>
        <v>10</v>
      </c>
      <c r="AB1978" s="93">
        <f>AD1978/AC1974</f>
        <v>15</v>
      </c>
      <c r="AC1978" s="93">
        <f>AC1974/AA1978</f>
        <v>648.68264250000061</v>
      </c>
      <c r="AD1978" s="94">
        <f t="shared" ref="AD1978:AD1979" si="1455">AC1978*Z1978</f>
        <v>97302.396375000098</v>
      </c>
      <c r="AE1978" s="190"/>
      <c r="AF1978" s="191"/>
      <c r="AG1978" s="191"/>
      <c r="AH1978" s="191"/>
      <c r="AI1978" s="186"/>
      <c r="AK1978" s="171"/>
    </row>
    <row r="1979" spans="1:41" s="102" customFormat="1" ht="19.899999999999999" customHeight="1" x14ac:dyDescent="0.25">
      <c r="A1979" s="45"/>
      <c r="B1979" s="59"/>
      <c r="C1979" s="137"/>
      <c r="D1979" s="59"/>
      <c r="E1979" s="116"/>
      <c r="F1979" s="120"/>
      <c r="G1979" s="120"/>
      <c r="H1979" s="120"/>
      <c r="I1979" s="60"/>
      <c r="J1979" s="116"/>
      <c r="K1979" s="213"/>
      <c r="L1979" s="120"/>
      <c r="M1979" s="120"/>
      <c r="N1979" s="167"/>
      <c r="O1979" s="120"/>
      <c r="P1979" s="120"/>
      <c r="Q1979" s="120"/>
      <c r="R1979" s="120"/>
      <c r="S1979" s="120"/>
      <c r="T1979" s="221"/>
      <c r="U1979" s="89"/>
      <c r="V1979" s="61"/>
      <c r="W1979" s="92" t="s">
        <v>1037</v>
      </c>
      <c r="X1979" s="93" t="s">
        <v>30</v>
      </c>
      <c r="Y1979" s="93" t="s">
        <v>1038</v>
      </c>
      <c r="Z1979" s="134">
        <f>VLOOKUP(W1979,Sheet2!$B:$D,3,FALSE)</f>
        <v>175</v>
      </c>
      <c r="AA1979" s="93">
        <v>300</v>
      </c>
      <c r="AB1979" s="93">
        <f>AD1979/AC1974</f>
        <v>0.58333333333333337</v>
      </c>
      <c r="AC1979" s="93">
        <f>AC1974/AA1979</f>
        <v>21.622754750000023</v>
      </c>
      <c r="AD1979" s="94">
        <f t="shared" si="1455"/>
        <v>3783.9820812500043</v>
      </c>
      <c r="AE1979" s="190"/>
      <c r="AF1979" s="191"/>
      <c r="AG1979" s="191"/>
      <c r="AH1979" s="191"/>
      <c r="AI1979" s="186"/>
      <c r="AK1979" s="171"/>
    </row>
    <row r="1980" spans="1:41" s="103" customFormat="1" ht="19.899999999999999" customHeight="1" x14ac:dyDescent="0.25">
      <c r="A1980" s="51"/>
      <c r="B1980" s="52"/>
      <c r="C1980" s="165"/>
      <c r="D1980" s="52"/>
      <c r="E1980" s="115"/>
      <c r="F1980" s="58"/>
      <c r="G1980" s="58"/>
      <c r="H1980" s="58"/>
      <c r="I1980" s="55"/>
      <c r="J1980" s="113">
        <f>J1964</f>
        <v>6486.8264250000066</v>
      </c>
      <c r="K1980" s="212">
        <f>K1964</f>
        <v>6486.8264250000066</v>
      </c>
      <c r="L1980" s="58"/>
      <c r="M1980" s="58">
        <f>K1980-L1980</f>
        <v>6486.8264250000066</v>
      </c>
      <c r="N1980" s="166"/>
      <c r="O1980" s="58"/>
      <c r="P1980" s="58"/>
      <c r="Q1980" s="58"/>
      <c r="R1980" s="58"/>
      <c r="S1980" s="58"/>
      <c r="T1980" s="220"/>
      <c r="U1980" s="88"/>
      <c r="V1980" s="56"/>
      <c r="W1980" s="57" t="s">
        <v>1040</v>
      </c>
      <c r="X1980" s="53"/>
      <c r="Y1980" s="91" t="s">
        <v>68</v>
      </c>
      <c r="Z1980" s="136">
        <f>AD1980/AC1980</f>
        <v>5</v>
      </c>
      <c r="AA1980" s="58"/>
      <c r="AB1980" s="53">
        <f>AD1980/AC1980</f>
        <v>5</v>
      </c>
      <c r="AC1980" s="53">
        <f>M1980+$AE$10</f>
        <v>6486.8264250000066</v>
      </c>
      <c r="AD1980" s="54">
        <f>SUM(AD1981)</f>
        <v>32434.132125000033</v>
      </c>
      <c r="AE1980" s="184">
        <f>SUMIFS($AD$37:$AD$12971,$V$37:$V$12971,$V1980,$X$37:$X$12971,AE$13)</f>
        <v>0</v>
      </c>
      <c r="AF1980" s="185">
        <f>SUMIFS($AD$37:$AD$12971,$V$37:$V$12971,$V1980,$X$37:$X$12971,AF$13)</f>
        <v>0</v>
      </c>
      <c r="AG1980" s="185">
        <f>SUMIFS($AD$37:$AD$12971,$V$37:$V$12971,$V1980,$X$37:$X$12971,AG$13)</f>
        <v>0</v>
      </c>
      <c r="AH1980" s="187">
        <f>SUMIFS($AD$37:$AD$12971,$V$37:$V$12971,$V1980,$X$37:$X$12971,AH$13)</f>
        <v>0</v>
      </c>
      <c r="AI1980" s="161">
        <f t="shared" ref="AI1980" si="1456">SUM(AE1980:AH1980)</f>
        <v>0</v>
      </c>
      <c r="AK1980" s="172"/>
    </row>
    <row r="1981" spans="1:41" s="102" customFormat="1" ht="19.899999999999999" customHeight="1" x14ac:dyDescent="0.25">
      <c r="A1981" s="45"/>
      <c r="B1981" s="59"/>
      <c r="C1981" s="137"/>
      <c r="D1981" s="59"/>
      <c r="E1981" s="116"/>
      <c r="F1981" s="120"/>
      <c r="G1981" s="120"/>
      <c r="H1981" s="120"/>
      <c r="I1981" s="60"/>
      <c r="J1981" s="116"/>
      <c r="K1981" s="213"/>
      <c r="L1981" s="120"/>
      <c r="M1981" s="120"/>
      <c r="N1981" s="167"/>
      <c r="O1981" s="120"/>
      <c r="P1981" s="120"/>
      <c r="Q1981" s="120"/>
      <c r="R1981" s="120"/>
      <c r="S1981" s="120"/>
      <c r="T1981" s="221"/>
      <c r="U1981" s="89"/>
      <c r="V1981" s="61"/>
      <c r="W1981" s="92" t="s">
        <v>1039</v>
      </c>
      <c r="X1981" s="93" t="s">
        <v>32</v>
      </c>
      <c r="Y1981" s="93" t="s">
        <v>68</v>
      </c>
      <c r="Z1981" s="134">
        <f>VLOOKUP(W1981,Sheet2!$B:$D,3,FALSE)</f>
        <v>5</v>
      </c>
      <c r="AA1981" s="93">
        <v>1</v>
      </c>
      <c r="AB1981" s="93">
        <f>AD1981/AC1980</f>
        <v>5</v>
      </c>
      <c r="AC1981" s="93">
        <f>AC1980/AA1981</f>
        <v>6486.8264250000066</v>
      </c>
      <c r="AD1981" s="94">
        <f t="shared" ref="AD1981" si="1457">AC1981*Z1981</f>
        <v>32434.132125000033</v>
      </c>
      <c r="AE1981" s="190"/>
      <c r="AF1981" s="191"/>
      <c r="AG1981" s="191"/>
      <c r="AH1981" s="191"/>
      <c r="AI1981" s="186"/>
      <c r="AK1981" s="171"/>
    </row>
    <row r="1982" spans="1:41" ht="20.100000000000001" customHeight="1" x14ac:dyDescent="0.25">
      <c r="A1982" s="277" t="s">
        <v>410</v>
      </c>
      <c r="B1982" s="278"/>
      <c r="C1982" s="64" t="s">
        <v>412</v>
      </c>
      <c r="D1982" s="46" t="s">
        <v>97</v>
      </c>
      <c r="E1982" s="114">
        <v>201.37397499999975</v>
      </c>
      <c r="F1982" s="44">
        <v>143</v>
      </c>
      <c r="G1982" s="44">
        <f t="shared" si="1286"/>
        <v>28796.478424999965</v>
      </c>
      <c r="H1982" s="44">
        <f t="shared" si="1287"/>
        <v>108.50510588235294</v>
      </c>
      <c r="I1982" s="43">
        <f t="shared" si="1288"/>
        <v>21850.104479325266</v>
      </c>
      <c r="J1982" s="112">
        <f t="shared" si="1289"/>
        <v>201.37397499999975</v>
      </c>
      <c r="K1982" s="211">
        <f t="shared" si="1290"/>
        <v>201.37397499999975</v>
      </c>
      <c r="L1982" s="44"/>
      <c r="M1982" s="44">
        <f t="shared" si="1296"/>
        <v>201.37397499999975</v>
      </c>
      <c r="N1982" s="173">
        <f t="shared" si="1291"/>
        <v>1</v>
      </c>
      <c r="O1982" s="44">
        <f t="shared" si="1292"/>
        <v>143</v>
      </c>
      <c r="P1982" s="44">
        <f t="shared" si="1293"/>
        <v>28796.478424999965</v>
      </c>
      <c r="Q1982" s="44">
        <f t="shared" si="1294"/>
        <v>108.50510588235294</v>
      </c>
      <c r="R1982" s="44">
        <f t="shared" si="1297"/>
        <v>21850.104479325266</v>
      </c>
      <c r="S1982" s="123"/>
      <c r="T1982" s="219">
        <f t="shared" si="1298"/>
        <v>21850.104479325266</v>
      </c>
      <c r="U1982" s="87"/>
      <c r="V1982" s="47"/>
      <c r="W1982" s="48"/>
      <c r="X1982" s="48"/>
      <c r="Y1982" s="48"/>
      <c r="Z1982" s="135"/>
      <c r="AA1982" s="49"/>
      <c r="AB1982" s="50">
        <f t="shared" si="1295"/>
        <v>108.50510588235294</v>
      </c>
      <c r="AC1982" s="42">
        <f t="shared" si="1299"/>
        <v>201.37397499999975</v>
      </c>
      <c r="AD1982" s="90">
        <f>AD1983+AD1992+AD1998</f>
        <v>21850.104479325266</v>
      </c>
      <c r="AE1982" s="188">
        <f t="shared" ref="AE1982" si="1458">AE1983+AE1992+AE1998</f>
        <v>0</v>
      </c>
      <c r="AF1982" s="189">
        <f t="shared" ref="AF1982" si="1459">AF1983+AF1992+AF1998</f>
        <v>0</v>
      </c>
      <c r="AG1982" s="189">
        <f t="shared" ref="AG1982" si="1460">AG1983+AG1992+AG1998</f>
        <v>0</v>
      </c>
      <c r="AH1982" s="189">
        <f t="shared" ref="AH1982" si="1461">AH1983+AH1992+AH1998</f>
        <v>0</v>
      </c>
      <c r="AI1982" s="161">
        <f t="shared" si="1448"/>
        <v>0</v>
      </c>
      <c r="AK1982" s="169">
        <v>5</v>
      </c>
      <c r="AO1982" s="19" t="s">
        <v>63</v>
      </c>
    </row>
    <row r="1983" spans="1:41" s="103" customFormat="1" ht="19.899999999999999" customHeight="1" x14ac:dyDescent="0.25">
      <c r="A1983" s="51"/>
      <c r="B1983" s="52"/>
      <c r="C1983" s="165"/>
      <c r="D1983" s="52"/>
      <c r="E1983" s="115"/>
      <c r="F1983" s="58"/>
      <c r="G1983" s="58"/>
      <c r="H1983" s="58"/>
      <c r="I1983" s="55"/>
      <c r="J1983" s="113">
        <f>J1982</f>
        <v>201.37397499999975</v>
      </c>
      <c r="K1983" s="212">
        <f>K1982</f>
        <v>201.37397499999975</v>
      </c>
      <c r="L1983" s="58"/>
      <c r="M1983" s="58">
        <f>K1983-L1983</f>
        <v>201.37397499999975</v>
      </c>
      <c r="N1983" s="166"/>
      <c r="O1983" s="58"/>
      <c r="P1983" s="58"/>
      <c r="Q1983" s="58"/>
      <c r="R1983" s="58"/>
      <c r="S1983" s="58"/>
      <c r="T1983" s="220"/>
      <c r="U1983" s="88"/>
      <c r="V1983" s="56"/>
      <c r="W1983" s="57" t="s">
        <v>1047</v>
      </c>
      <c r="X1983" s="53"/>
      <c r="Y1983" s="91" t="s">
        <v>68</v>
      </c>
      <c r="Z1983" s="136">
        <f>AD1983/AC1983</f>
        <v>9.9217725490196074</v>
      </c>
      <c r="AA1983" s="58"/>
      <c r="AB1983" s="53">
        <f>AD1983/AC1983</f>
        <v>9.9217725490196074</v>
      </c>
      <c r="AC1983" s="53">
        <f>M1983+$AE$10</f>
        <v>201.37397499999975</v>
      </c>
      <c r="AD1983" s="54">
        <f>SUM(AD1984:AD1991)</f>
        <v>1997.9867772419582</v>
      </c>
      <c r="AE1983" s="184">
        <f>SUMIFS($AD$37:$AD$12971,$V$37:$V$12971,$V1983,$X$37:$X$12971,AE$13)</f>
        <v>0</v>
      </c>
      <c r="AF1983" s="185">
        <f>SUMIFS($AD$37:$AD$12971,$V$37:$V$12971,$V1983,$X$37:$X$12971,AF$13)</f>
        <v>0</v>
      </c>
      <c r="AG1983" s="185">
        <f>SUMIFS($AD$37:$AD$12971,$V$37:$V$12971,$V1983,$X$37:$X$12971,AG$13)</f>
        <v>0</v>
      </c>
      <c r="AH1983" s="187">
        <f>SUMIFS($AD$37:$AD$12971,$V$37:$V$12971,$V1983,$X$37:$X$12971,AH$13)</f>
        <v>0</v>
      </c>
      <c r="AI1983" s="161">
        <f t="shared" ref="AI1983" si="1462">SUM(AE1983:AH1983)</f>
        <v>0</v>
      </c>
      <c r="AK1983" s="172"/>
    </row>
    <row r="1984" spans="1:41" s="102" customFormat="1" ht="19.899999999999999" customHeight="1" x14ac:dyDescent="0.25">
      <c r="A1984" s="45"/>
      <c r="B1984" s="59"/>
      <c r="C1984" s="137"/>
      <c r="D1984" s="59"/>
      <c r="E1984" s="116"/>
      <c r="F1984" s="120"/>
      <c r="G1984" s="120"/>
      <c r="H1984" s="120"/>
      <c r="I1984" s="60"/>
      <c r="J1984" s="116"/>
      <c r="K1984" s="213"/>
      <c r="L1984" s="120"/>
      <c r="M1984" s="120"/>
      <c r="N1984" s="167"/>
      <c r="O1984" s="120"/>
      <c r="P1984" s="120"/>
      <c r="Q1984" s="120"/>
      <c r="R1984" s="120"/>
      <c r="S1984" s="120"/>
      <c r="T1984" s="221"/>
      <c r="U1984" s="89"/>
      <c r="V1984" s="61"/>
      <c r="W1984" s="92" t="s">
        <v>129</v>
      </c>
      <c r="X1984" s="93" t="s">
        <v>29</v>
      </c>
      <c r="Y1984" s="93" t="s">
        <v>93</v>
      </c>
      <c r="Z1984" s="134">
        <f>VLOOKUP(W1984,Sheet2!$B:$D,3,FALSE)</f>
        <v>56</v>
      </c>
      <c r="AA1984" s="93">
        <f>100/(1*2)</f>
        <v>50</v>
      </c>
      <c r="AB1984" s="93">
        <f t="shared" ref="AB1984" si="1463">AD1984/AC1983</f>
        <v>1.1199999999999999</v>
      </c>
      <c r="AC1984" s="93">
        <f>AC1983/AA1984</f>
        <v>4.0274794999999948</v>
      </c>
      <c r="AD1984" s="94">
        <f t="shared" ref="AD1984:AD1985" si="1464">AC1984*Z1984</f>
        <v>225.53885199999971</v>
      </c>
      <c r="AE1984" s="190"/>
      <c r="AF1984" s="191"/>
      <c r="AG1984" s="191"/>
      <c r="AH1984" s="191"/>
      <c r="AI1984" s="186"/>
      <c r="AK1984" s="171"/>
    </row>
    <row r="1985" spans="1:41" s="102" customFormat="1" ht="19.899999999999999" customHeight="1" x14ac:dyDescent="0.25">
      <c r="A1985" s="45"/>
      <c r="B1985" s="59"/>
      <c r="C1985" s="137"/>
      <c r="D1985" s="59"/>
      <c r="E1985" s="116"/>
      <c r="F1985" s="120"/>
      <c r="G1985" s="120"/>
      <c r="H1985" s="120"/>
      <c r="I1985" s="60"/>
      <c r="J1985" s="116"/>
      <c r="K1985" s="213"/>
      <c r="L1985" s="120"/>
      <c r="M1985" s="120"/>
      <c r="N1985" s="167"/>
      <c r="O1985" s="120"/>
      <c r="P1985" s="120"/>
      <c r="Q1985" s="120"/>
      <c r="R1985" s="120"/>
      <c r="S1985" s="120"/>
      <c r="T1985" s="221"/>
      <c r="U1985" s="89"/>
      <c r="V1985" s="61"/>
      <c r="W1985" s="92" t="s">
        <v>65</v>
      </c>
      <c r="X1985" s="93" t="s">
        <v>30</v>
      </c>
      <c r="Y1985" s="93" t="s">
        <v>1011</v>
      </c>
      <c r="Z1985" s="134">
        <f>VLOOKUP(W1985,Sheet2!$B:$D,3,FALSE)</f>
        <v>1.76</v>
      </c>
      <c r="AA1985" s="93">
        <f>AA1984/14</f>
        <v>3.5714285714285716</v>
      </c>
      <c r="AB1985" s="93">
        <f>AD1985/AC1983</f>
        <v>0.49280000000000002</v>
      </c>
      <c r="AC1985" s="93">
        <f>AC1983/AA1985</f>
        <v>56.384712999999927</v>
      </c>
      <c r="AD1985" s="94">
        <f t="shared" si="1464"/>
        <v>99.237094879999873</v>
      </c>
      <c r="AE1985" s="190"/>
      <c r="AF1985" s="191"/>
      <c r="AG1985" s="191"/>
      <c r="AH1985" s="191"/>
      <c r="AI1985" s="186"/>
      <c r="AK1985" s="171"/>
    </row>
    <row r="1986" spans="1:41" s="102" customFormat="1" ht="19.899999999999999" customHeight="1" x14ac:dyDescent="0.25">
      <c r="A1986" s="45"/>
      <c r="B1986" s="59"/>
      <c r="C1986" s="137"/>
      <c r="D1986" s="59"/>
      <c r="E1986" s="116"/>
      <c r="F1986" s="120"/>
      <c r="G1986" s="120"/>
      <c r="H1986" s="120"/>
      <c r="I1986" s="60"/>
      <c r="J1986" s="116"/>
      <c r="K1986" s="213"/>
      <c r="L1986" s="120"/>
      <c r="M1986" s="120"/>
      <c r="N1986" s="167"/>
      <c r="O1986" s="120"/>
      <c r="P1986" s="120"/>
      <c r="Q1986" s="120"/>
      <c r="R1986" s="120"/>
      <c r="S1986" s="120"/>
      <c r="T1986" s="221"/>
      <c r="U1986" s="89"/>
      <c r="V1986" s="61"/>
      <c r="W1986" s="92" t="s">
        <v>161</v>
      </c>
      <c r="X1986" s="93" t="s">
        <v>29</v>
      </c>
      <c r="Y1986" s="93" t="s">
        <v>93</v>
      </c>
      <c r="Z1986" s="134">
        <f>VLOOKUP(W1986,Sheet2!$B:$D,3,FALSE)</f>
        <v>48</v>
      </c>
      <c r="AA1986" s="93">
        <f>(16*0.85*1.5)/(1*2)</f>
        <v>10.199999999999999</v>
      </c>
      <c r="AB1986" s="93">
        <f>AD1986/AC1983</f>
        <v>4.7058823529411766</v>
      </c>
      <c r="AC1986" s="93">
        <f>AC1983/AA1986</f>
        <v>19.742546568627429</v>
      </c>
      <c r="AD1986" s="94">
        <f>AC1986*Z1986</f>
        <v>947.64223529411652</v>
      </c>
      <c r="AE1986" s="190"/>
      <c r="AF1986" s="191"/>
      <c r="AG1986" s="191"/>
      <c r="AH1986" s="191"/>
      <c r="AI1986" s="186"/>
      <c r="AK1986" s="171"/>
    </row>
    <row r="1987" spans="1:41" s="102" customFormat="1" ht="19.899999999999999" customHeight="1" x14ac:dyDescent="0.25">
      <c r="A1987" s="45"/>
      <c r="B1987" s="59"/>
      <c r="C1987" s="137"/>
      <c r="D1987" s="59"/>
      <c r="E1987" s="116"/>
      <c r="F1987" s="120"/>
      <c r="G1987" s="120"/>
      <c r="H1987" s="120"/>
      <c r="I1987" s="60"/>
      <c r="J1987" s="116"/>
      <c r="K1987" s="213"/>
      <c r="L1987" s="120"/>
      <c r="M1987" s="120"/>
      <c r="N1987" s="167"/>
      <c r="O1987" s="120"/>
      <c r="P1987" s="120"/>
      <c r="Q1987" s="120"/>
      <c r="R1987" s="120"/>
      <c r="S1987" s="120"/>
      <c r="T1987" s="221"/>
      <c r="U1987" s="89"/>
      <c r="V1987" s="61"/>
      <c r="W1987" s="92" t="s">
        <v>65</v>
      </c>
      <c r="X1987" s="93" t="s">
        <v>30</v>
      </c>
      <c r="Y1987" s="93" t="s">
        <v>1011</v>
      </c>
      <c r="Z1987" s="134">
        <f>VLOOKUP(W1987,Sheet2!$B:$D,3,FALSE)</f>
        <v>1.76</v>
      </c>
      <c r="AA1987" s="93">
        <f>AA1986/10</f>
        <v>1.02</v>
      </c>
      <c r="AB1987" s="93">
        <f>AD1987/AC1983</f>
        <v>1.7254901960784315</v>
      </c>
      <c r="AC1987" s="93">
        <f>AC1983/AA1987</f>
        <v>197.42546568627426</v>
      </c>
      <c r="AD1987" s="94">
        <f>AC1987*Z1987</f>
        <v>347.4688196078427</v>
      </c>
      <c r="AE1987" s="190"/>
      <c r="AF1987" s="191"/>
      <c r="AG1987" s="191"/>
      <c r="AH1987" s="191"/>
      <c r="AI1987" s="186"/>
      <c r="AK1987" s="171"/>
    </row>
    <row r="1988" spans="1:41" s="102" customFormat="1" ht="19.899999999999999" customHeight="1" x14ac:dyDescent="0.25">
      <c r="A1988" s="45"/>
      <c r="B1988" s="59"/>
      <c r="C1988" s="137"/>
      <c r="D1988" s="59"/>
      <c r="E1988" s="116"/>
      <c r="F1988" s="120"/>
      <c r="G1988" s="120"/>
      <c r="H1988" s="120"/>
      <c r="I1988" s="60"/>
      <c r="J1988" s="116"/>
      <c r="K1988" s="213"/>
      <c r="L1988" s="120"/>
      <c r="M1988" s="120"/>
      <c r="N1988" s="167"/>
      <c r="O1988" s="120"/>
      <c r="P1988" s="120"/>
      <c r="Q1988" s="120"/>
      <c r="R1988" s="120"/>
      <c r="S1988" s="120"/>
      <c r="T1988" s="221"/>
      <c r="U1988" s="89"/>
      <c r="V1988" s="61"/>
      <c r="W1988" s="92" t="s">
        <v>1030</v>
      </c>
      <c r="X1988" s="93" t="s">
        <v>29</v>
      </c>
      <c r="Y1988" s="93" t="s">
        <v>93</v>
      </c>
      <c r="Z1988" s="134">
        <f>VLOOKUP(W1988,Sheet2!$B:$D,3,FALSE)</f>
        <v>23</v>
      </c>
      <c r="AA1988" s="93">
        <v>50</v>
      </c>
      <c r="AB1988" s="93">
        <f>AD1988/AC1983</f>
        <v>0.45999999999999996</v>
      </c>
      <c r="AC1988" s="93">
        <f>AC1983/AA1988</f>
        <v>4.0274794999999948</v>
      </c>
      <c r="AD1988" s="94">
        <f t="shared" ref="AD1988:AD1991" si="1465">AC1988*Z1988</f>
        <v>92.632028499999876</v>
      </c>
      <c r="AE1988" s="190"/>
      <c r="AF1988" s="191"/>
      <c r="AG1988" s="191"/>
      <c r="AH1988" s="191"/>
      <c r="AI1988" s="186"/>
      <c r="AK1988" s="171"/>
    </row>
    <row r="1989" spans="1:41" s="102" customFormat="1" ht="19.899999999999999" customHeight="1" x14ac:dyDescent="0.25">
      <c r="A1989" s="45"/>
      <c r="B1989" s="59"/>
      <c r="C1989" s="137"/>
      <c r="D1989" s="59"/>
      <c r="E1989" s="116"/>
      <c r="F1989" s="120"/>
      <c r="G1989" s="120"/>
      <c r="H1989" s="120"/>
      <c r="I1989" s="60"/>
      <c r="J1989" s="116"/>
      <c r="K1989" s="213"/>
      <c r="L1989" s="120"/>
      <c r="M1989" s="120"/>
      <c r="N1989" s="167"/>
      <c r="O1989" s="120"/>
      <c r="P1989" s="120"/>
      <c r="Q1989" s="120"/>
      <c r="R1989" s="120"/>
      <c r="S1989" s="120"/>
      <c r="T1989" s="221"/>
      <c r="U1989" s="89"/>
      <c r="V1989" s="61"/>
      <c r="W1989" s="92" t="s">
        <v>65</v>
      </c>
      <c r="X1989" s="93" t="s">
        <v>30</v>
      </c>
      <c r="Y1989" s="93" t="s">
        <v>1011</v>
      </c>
      <c r="Z1989" s="134">
        <f>VLOOKUP(W1989,Sheet2!$B:$D,3,FALSE)</f>
        <v>1.76</v>
      </c>
      <c r="AA1989" s="93">
        <f>AA1988/3</f>
        <v>16.666666666666668</v>
      </c>
      <c r="AB1989" s="93">
        <f>AD1989/AC1983</f>
        <v>0.1056</v>
      </c>
      <c r="AC1989" s="93">
        <f>AC1983/AA1989</f>
        <v>12.082438499999984</v>
      </c>
      <c r="AD1989" s="94">
        <f t="shared" si="1465"/>
        <v>21.265091759999972</v>
      </c>
      <c r="AE1989" s="190"/>
      <c r="AF1989" s="191"/>
      <c r="AG1989" s="191"/>
      <c r="AH1989" s="191"/>
      <c r="AI1989" s="186"/>
      <c r="AK1989" s="171"/>
    </row>
    <row r="1990" spans="1:41" s="102" customFormat="1" ht="19.899999999999999" customHeight="1" x14ac:dyDescent="0.25">
      <c r="A1990" s="45"/>
      <c r="B1990" s="59"/>
      <c r="C1990" s="137"/>
      <c r="D1990" s="59"/>
      <c r="E1990" s="116"/>
      <c r="F1990" s="120"/>
      <c r="G1990" s="120"/>
      <c r="H1990" s="120"/>
      <c r="I1990" s="60"/>
      <c r="J1990" s="116"/>
      <c r="K1990" s="213"/>
      <c r="L1990" s="120"/>
      <c r="M1990" s="120"/>
      <c r="N1990" s="167"/>
      <c r="O1990" s="120"/>
      <c r="P1990" s="120"/>
      <c r="Q1990" s="120"/>
      <c r="R1990" s="120"/>
      <c r="S1990" s="120"/>
      <c r="T1990" s="221"/>
      <c r="U1990" s="89"/>
      <c r="V1990" s="61"/>
      <c r="W1990" s="92" t="s">
        <v>148</v>
      </c>
      <c r="X1990" s="93" t="s">
        <v>29</v>
      </c>
      <c r="Y1990" s="93" t="s">
        <v>93</v>
      </c>
      <c r="Z1990" s="134">
        <f>VLOOKUP(W1990,Sheet2!$B:$D,3,FALSE)</f>
        <v>48</v>
      </c>
      <c r="AA1990" s="93">
        <f>AA1984</f>
        <v>50</v>
      </c>
      <c r="AB1990" s="93">
        <f>AD1990/AC1983</f>
        <v>0.96</v>
      </c>
      <c r="AC1990" s="93">
        <f>AC1983/AA1990</f>
        <v>4.0274794999999948</v>
      </c>
      <c r="AD1990" s="94">
        <f t="shared" si="1465"/>
        <v>193.31901599999975</v>
      </c>
      <c r="AE1990" s="190"/>
      <c r="AF1990" s="191"/>
      <c r="AG1990" s="191"/>
      <c r="AH1990" s="191"/>
      <c r="AI1990" s="186"/>
      <c r="AK1990" s="171"/>
    </row>
    <row r="1991" spans="1:41" s="102" customFormat="1" ht="19.899999999999999" customHeight="1" x14ac:dyDescent="0.25">
      <c r="A1991" s="45"/>
      <c r="B1991" s="59"/>
      <c r="C1991" s="137"/>
      <c r="D1991" s="59"/>
      <c r="E1991" s="116"/>
      <c r="F1991" s="120"/>
      <c r="G1991" s="120"/>
      <c r="H1991" s="120"/>
      <c r="I1991" s="60"/>
      <c r="J1991" s="116"/>
      <c r="K1991" s="213"/>
      <c r="L1991" s="120"/>
      <c r="M1991" s="120"/>
      <c r="N1991" s="167"/>
      <c r="O1991" s="120"/>
      <c r="P1991" s="120"/>
      <c r="Q1991" s="120"/>
      <c r="R1991" s="120"/>
      <c r="S1991" s="120"/>
      <c r="T1991" s="221"/>
      <c r="U1991" s="89"/>
      <c r="V1991" s="61"/>
      <c r="W1991" s="92" t="s">
        <v>65</v>
      </c>
      <c r="X1991" s="93" t="s">
        <v>30</v>
      </c>
      <c r="Y1991" s="93" t="s">
        <v>1011</v>
      </c>
      <c r="Z1991" s="134">
        <f>VLOOKUP(W1991,Sheet2!$B:$D,3,FALSE)</f>
        <v>1.76</v>
      </c>
      <c r="AA1991" s="93">
        <f>AA1990/10</f>
        <v>5</v>
      </c>
      <c r="AB1991" s="93">
        <f>AD1991/AC1983</f>
        <v>0.35199999999999998</v>
      </c>
      <c r="AC1991" s="93">
        <f>AC1983/AA1991</f>
        <v>40.274794999999948</v>
      </c>
      <c r="AD1991" s="94">
        <f t="shared" si="1465"/>
        <v>70.883639199999905</v>
      </c>
      <c r="AE1991" s="190"/>
      <c r="AF1991" s="191"/>
      <c r="AG1991" s="191"/>
      <c r="AH1991" s="191"/>
      <c r="AI1991" s="186"/>
      <c r="AK1991" s="171"/>
    </row>
    <row r="1992" spans="1:41" s="103" customFormat="1" ht="19.899999999999999" customHeight="1" x14ac:dyDescent="0.25">
      <c r="A1992" s="51"/>
      <c r="B1992" s="52"/>
      <c r="C1992" s="165"/>
      <c r="D1992" s="52"/>
      <c r="E1992" s="115"/>
      <c r="F1992" s="58"/>
      <c r="G1992" s="58"/>
      <c r="H1992" s="58"/>
      <c r="I1992" s="55"/>
      <c r="J1992" s="113">
        <f>J1982</f>
        <v>201.37397499999975</v>
      </c>
      <c r="K1992" s="212">
        <f>K1982</f>
        <v>201.37397499999975</v>
      </c>
      <c r="L1992" s="58"/>
      <c r="M1992" s="58">
        <f>K1992-L1992</f>
        <v>201.37397499999975</v>
      </c>
      <c r="N1992" s="166"/>
      <c r="O1992" s="58"/>
      <c r="P1992" s="58"/>
      <c r="Q1992" s="58"/>
      <c r="R1992" s="58"/>
      <c r="S1992" s="58"/>
      <c r="T1992" s="220"/>
      <c r="U1992" s="88"/>
      <c r="V1992" s="56"/>
      <c r="W1992" s="57" t="s">
        <v>1036</v>
      </c>
      <c r="X1992" s="53"/>
      <c r="Y1992" s="91" t="s">
        <v>68</v>
      </c>
      <c r="Z1992" s="136">
        <f>AD1992/AC1992</f>
        <v>93.583333333333329</v>
      </c>
      <c r="AA1992" s="58"/>
      <c r="AB1992" s="53">
        <f>AD1992/AC1992</f>
        <v>93.583333333333329</v>
      </c>
      <c r="AC1992" s="53">
        <f>M1992+$AE$10</f>
        <v>201.37397499999975</v>
      </c>
      <c r="AD1992" s="54">
        <f>SUM(AD1993:AD1997)</f>
        <v>18845.247827083309</v>
      </c>
      <c r="AE1992" s="184">
        <f>SUMIFS($AD$37:$AD$12971,$V$37:$V$12971,$V1992,$X$37:$X$12971,AE$13)</f>
        <v>0</v>
      </c>
      <c r="AF1992" s="185">
        <f>SUMIFS($AD$37:$AD$12971,$V$37:$V$12971,$V1992,$X$37:$X$12971,AF$13)</f>
        <v>0</v>
      </c>
      <c r="AG1992" s="185">
        <f>SUMIFS($AD$37:$AD$12971,$V$37:$V$12971,$V1992,$X$37:$X$12971,AG$13)</f>
        <v>0</v>
      </c>
      <c r="AH1992" s="187">
        <f>SUMIFS($AD$37:$AD$12971,$V$37:$V$12971,$V1992,$X$37:$X$12971,AH$13)</f>
        <v>0</v>
      </c>
      <c r="AI1992" s="161">
        <f t="shared" ref="AI1992" si="1466">SUM(AE1992:AH1992)</f>
        <v>0</v>
      </c>
      <c r="AK1992" s="172"/>
    </row>
    <row r="1993" spans="1:41" s="102" customFormat="1" ht="19.899999999999999" customHeight="1" x14ac:dyDescent="0.25">
      <c r="A1993" s="45"/>
      <c r="B1993" s="59"/>
      <c r="C1993" s="137"/>
      <c r="D1993" s="59"/>
      <c r="E1993" s="116"/>
      <c r="F1993" s="120"/>
      <c r="G1993" s="120"/>
      <c r="H1993" s="120"/>
      <c r="I1993" s="60"/>
      <c r="J1993" s="116"/>
      <c r="K1993" s="213"/>
      <c r="L1993" s="120"/>
      <c r="M1993" s="120"/>
      <c r="N1993" s="167"/>
      <c r="O1993" s="120"/>
      <c r="P1993" s="120"/>
      <c r="Q1993" s="120"/>
      <c r="R1993" s="120"/>
      <c r="S1993" s="120"/>
      <c r="T1993" s="221"/>
      <c r="U1993" s="89"/>
      <c r="V1993" s="61"/>
      <c r="W1993" s="92" t="s">
        <v>1291</v>
      </c>
      <c r="X1993" s="93" t="s">
        <v>30</v>
      </c>
      <c r="Y1993" s="93" t="s">
        <v>68</v>
      </c>
      <c r="Z1993" s="134">
        <f>VLOOKUP(W1993,Sheet2!$B:$D,3,FALSE)</f>
        <v>35</v>
      </c>
      <c r="AA1993" s="93">
        <v>1</v>
      </c>
      <c r="AB1993" s="93">
        <f>AD1993/AC1992</f>
        <v>35</v>
      </c>
      <c r="AC1993" s="93">
        <f>AC1992/AA1993</f>
        <v>201.37397499999975</v>
      </c>
      <c r="AD1993" s="94">
        <f t="shared" ref="AD1993" si="1467">AC1993*Z1993</f>
        <v>7048.0891249999913</v>
      </c>
      <c r="AE1993" s="190"/>
      <c r="AF1993" s="191"/>
      <c r="AG1993" s="191"/>
      <c r="AH1993" s="191"/>
      <c r="AI1993" s="186"/>
      <c r="AK1993" s="171"/>
    </row>
    <row r="1994" spans="1:41" s="102" customFormat="1" ht="19.899999999999999" customHeight="1" x14ac:dyDescent="0.25">
      <c r="A1994" s="45"/>
      <c r="B1994" s="59"/>
      <c r="C1994" s="137"/>
      <c r="D1994" s="59"/>
      <c r="E1994" s="116"/>
      <c r="F1994" s="120"/>
      <c r="G1994" s="120"/>
      <c r="H1994" s="120"/>
      <c r="I1994" s="60"/>
      <c r="J1994" s="116"/>
      <c r="K1994" s="213"/>
      <c r="L1994" s="120"/>
      <c r="M1994" s="120"/>
      <c r="N1994" s="167"/>
      <c r="O1994" s="120"/>
      <c r="P1994" s="120"/>
      <c r="Q1994" s="120"/>
      <c r="R1994" s="120"/>
      <c r="S1994" s="120"/>
      <c r="T1994" s="221"/>
      <c r="U1994" s="89"/>
      <c r="V1994" s="61"/>
      <c r="W1994" s="92" t="s">
        <v>1292</v>
      </c>
      <c r="X1994" s="93" t="s">
        <v>32</v>
      </c>
      <c r="Y1994" s="93" t="s">
        <v>68</v>
      </c>
      <c r="Z1994" s="134">
        <f>VLOOKUP(W1994,Sheet2!$B:$D,3,FALSE)</f>
        <v>18</v>
      </c>
      <c r="AA1994" s="93">
        <v>1</v>
      </c>
      <c r="AB1994" s="93">
        <f>AD1994/AC1992</f>
        <v>18</v>
      </c>
      <c r="AC1994" s="93">
        <f>AC1992/AA1994</f>
        <v>201.37397499999975</v>
      </c>
      <c r="AD1994" s="94">
        <f>AC1994*Z1994</f>
        <v>3624.7315499999954</v>
      </c>
      <c r="AE1994" s="190"/>
      <c r="AF1994" s="191"/>
      <c r="AG1994" s="191"/>
      <c r="AH1994" s="191"/>
      <c r="AI1994" s="186"/>
      <c r="AK1994" s="171"/>
    </row>
    <row r="1995" spans="1:41" s="102" customFormat="1" ht="19.899999999999999" customHeight="1" x14ac:dyDescent="0.25">
      <c r="A1995" s="45"/>
      <c r="B1995" s="59"/>
      <c r="C1995" s="137"/>
      <c r="D1995" s="59"/>
      <c r="E1995" s="116"/>
      <c r="F1995" s="120"/>
      <c r="G1995" s="120"/>
      <c r="H1995" s="120"/>
      <c r="I1995" s="60"/>
      <c r="J1995" s="116"/>
      <c r="K1995" s="213"/>
      <c r="L1995" s="120"/>
      <c r="M1995" s="120"/>
      <c r="N1995" s="167"/>
      <c r="O1995" s="120"/>
      <c r="P1995" s="120"/>
      <c r="Q1995" s="120"/>
      <c r="R1995" s="120"/>
      <c r="S1995" s="120"/>
      <c r="T1995" s="221"/>
      <c r="U1995" s="89"/>
      <c r="V1995" s="61"/>
      <c r="W1995" s="92" t="s">
        <v>1032</v>
      </c>
      <c r="X1995" s="93" t="s">
        <v>30</v>
      </c>
      <c r="Y1995" s="93" t="s">
        <v>66</v>
      </c>
      <c r="Z1995" s="134">
        <f>VLOOKUP(W1995,Sheet2!$B:$D,3,FALSE)</f>
        <v>250</v>
      </c>
      <c r="AA1995" s="93">
        <f>1/(1*0.1)</f>
        <v>10</v>
      </c>
      <c r="AB1995" s="93">
        <f>AD1995/AC1992</f>
        <v>25</v>
      </c>
      <c r="AC1995" s="93">
        <f>AC1992/AA1995</f>
        <v>20.137397499999974</v>
      </c>
      <c r="AD1995" s="94">
        <f>AC1995*Z1995</f>
        <v>5034.3493749999934</v>
      </c>
      <c r="AE1995" s="190"/>
      <c r="AF1995" s="191"/>
      <c r="AG1995" s="191"/>
      <c r="AH1995" s="191"/>
      <c r="AI1995" s="186"/>
      <c r="AK1995" s="171"/>
    </row>
    <row r="1996" spans="1:41" s="102" customFormat="1" ht="19.899999999999999" customHeight="1" x14ac:dyDescent="0.25">
      <c r="A1996" s="45"/>
      <c r="B1996" s="59"/>
      <c r="C1996" s="137"/>
      <c r="D1996" s="59"/>
      <c r="E1996" s="116"/>
      <c r="F1996" s="120"/>
      <c r="G1996" s="120"/>
      <c r="H1996" s="120"/>
      <c r="I1996" s="60"/>
      <c r="J1996" s="116"/>
      <c r="K1996" s="213"/>
      <c r="L1996" s="120"/>
      <c r="M1996" s="120"/>
      <c r="N1996" s="167"/>
      <c r="O1996" s="120"/>
      <c r="P1996" s="120"/>
      <c r="Q1996" s="120"/>
      <c r="R1996" s="120"/>
      <c r="S1996" s="120"/>
      <c r="T1996" s="221"/>
      <c r="U1996" s="89"/>
      <c r="V1996" s="61"/>
      <c r="W1996" s="92" t="s">
        <v>1035</v>
      </c>
      <c r="X1996" s="93" t="s">
        <v>32</v>
      </c>
      <c r="Y1996" s="93" t="s">
        <v>66</v>
      </c>
      <c r="Z1996" s="134">
        <f>VLOOKUP(W1996,Sheet2!$B:$D,3,FALSE)</f>
        <v>150</v>
      </c>
      <c r="AA1996" s="93">
        <f>AA1995</f>
        <v>10</v>
      </c>
      <c r="AB1996" s="93">
        <f>AD1996/AC1992</f>
        <v>14.999999999999998</v>
      </c>
      <c r="AC1996" s="93">
        <f>AC1992/AA1996</f>
        <v>20.137397499999974</v>
      </c>
      <c r="AD1996" s="94">
        <f t="shared" ref="AD1996:AD1997" si="1468">AC1996*Z1996</f>
        <v>3020.609624999996</v>
      </c>
      <c r="AE1996" s="190"/>
      <c r="AF1996" s="191"/>
      <c r="AG1996" s="191"/>
      <c r="AH1996" s="191"/>
      <c r="AI1996" s="186"/>
      <c r="AK1996" s="171"/>
    </row>
    <row r="1997" spans="1:41" s="102" customFormat="1" ht="19.899999999999999" customHeight="1" x14ac:dyDescent="0.25">
      <c r="A1997" s="45"/>
      <c r="B1997" s="59"/>
      <c r="C1997" s="137"/>
      <c r="D1997" s="59"/>
      <c r="E1997" s="116"/>
      <c r="F1997" s="120"/>
      <c r="G1997" s="120"/>
      <c r="H1997" s="120"/>
      <c r="I1997" s="60"/>
      <c r="J1997" s="116"/>
      <c r="K1997" s="213"/>
      <c r="L1997" s="120"/>
      <c r="M1997" s="120"/>
      <c r="N1997" s="167"/>
      <c r="O1997" s="120"/>
      <c r="P1997" s="120"/>
      <c r="Q1997" s="120"/>
      <c r="R1997" s="120"/>
      <c r="S1997" s="120"/>
      <c r="T1997" s="221"/>
      <c r="U1997" s="89"/>
      <c r="V1997" s="61"/>
      <c r="W1997" s="92" t="s">
        <v>1037</v>
      </c>
      <c r="X1997" s="93" t="s">
        <v>30</v>
      </c>
      <c r="Y1997" s="93" t="s">
        <v>1038</v>
      </c>
      <c r="Z1997" s="134">
        <f>VLOOKUP(W1997,Sheet2!$B:$D,3,FALSE)</f>
        <v>175</v>
      </c>
      <c r="AA1997" s="93">
        <v>300</v>
      </c>
      <c r="AB1997" s="93">
        <f>AD1997/AC1992</f>
        <v>0.58333333333333337</v>
      </c>
      <c r="AC1997" s="93">
        <f>AC1992/AA1997</f>
        <v>0.67124658333333254</v>
      </c>
      <c r="AD1997" s="94">
        <f t="shared" si="1468"/>
        <v>117.46815208333319</v>
      </c>
      <c r="AE1997" s="190"/>
      <c r="AF1997" s="191"/>
      <c r="AG1997" s="191"/>
      <c r="AH1997" s="191"/>
      <c r="AI1997" s="186"/>
      <c r="AK1997" s="171"/>
    </row>
    <row r="1998" spans="1:41" s="103" customFormat="1" ht="19.899999999999999" customHeight="1" x14ac:dyDescent="0.25">
      <c r="A1998" s="51"/>
      <c r="B1998" s="52"/>
      <c r="C1998" s="165"/>
      <c r="D1998" s="52"/>
      <c r="E1998" s="115"/>
      <c r="F1998" s="58"/>
      <c r="G1998" s="58"/>
      <c r="H1998" s="58"/>
      <c r="I1998" s="55"/>
      <c r="J1998" s="113">
        <f>J1982</f>
        <v>201.37397499999975</v>
      </c>
      <c r="K1998" s="212">
        <f>K1982</f>
        <v>201.37397499999975</v>
      </c>
      <c r="L1998" s="58"/>
      <c r="M1998" s="58">
        <f>K1998-L1998</f>
        <v>201.37397499999975</v>
      </c>
      <c r="N1998" s="166"/>
      <c r="O1998" s="58"/>
      <c r="P1998" s="58"/>
      <c r="Q1998" s="58"/>
      <c r="R1998" s="58"/>
      <c r="S1998" s="58"/>
      <c r="T1998" s="220"/>
      <c r="U1998" s="88"/>
      <c r="V1998" s="56"/>
      <c r="W1998" s="57" t="s">
        <v>1040</v>
      </c>
      <c r="X1998" s="53"/>
      <c r="Y1998" s="91" t="s">
        <v>68</v>
      </c>
      <c r="Z1998" s="136">
        <f>AD1998/AC1998</f>
        <v>5</v>
      </c>
      <c r="AA1998" s="58"/>
      <c r="AB1998" s="53">
        <f>AD1998/AC1998</f>
        <v>5</v>
      </c>
      <c r="AC1998" s="53">
        <f>M1998+$AE$10</f>
        <v>201.37397499999975</v>
      </c>
      <c r="AD1998" s="54">
        <f>SUM(AD1999)</f>
        <v>1006.8698749999987</v>
      </c>
      <c r="AE1998" s="184">
        <f>SUMIFS($AD$37:$AD$12971,$V$37:$V$12971,$V1998,$X$37:$X$12971,AE$13)</f>
        <v>0</v>
      </c>
      <c r="AF1998" s="185">
        <f>SUMIFS($AD$37:$AD$12971,$V$37:$V$12971,$V1998,$X$37:$X$12971,AF$13)</f>
        <v>0</v>
      </c>
      <c r="AG1998" s="185">
        <f>SUMIFS($AD$37:$AD$12971,$V$37:$V$12971,$V1998,$X$37:$X$12971,AG$13)</f>
        <v>0</v>
      </c>
      <c r="AH1998" s="187">
        <f>SUMIFS($AD$37:$AD$12971,$V$37:$V$12971,$V1998,$X$37:$X$12971,AH$13)</f>
        <v>0</v>
      </c>
      <c r="AI1998" s="161">
        <f t="shared" ref="AI1998" si="1469">SUM(AE1998:AH1998)</f>
        <v>0</v>
      </c>
      <c r="AK1998" s="172"/>
    </row>
    <row r="1999" spans="1:41" s="102" customFormat="1" ht="19.899999999999999" customHeight="1" x14ac:dyDescent="0.25">
      <c r="A1999" s="45"/>
      <c r="B1999" s="59"/>
      <c r="C1999" s="137"/>
      <c r="D1999" s="59"/>
      <c r="E1999" s="116"/>
      <c r="F1999" s="120"/>
      <c r="G1999" s="120"/>
      <c r="H1999" s="120"/>
      <c r="I1999" s="60"/>
      <c r="J1999" s="116"/>
      <c r="K1999" s="213"/>
      <c r="L1999" s="120"/>
      <c r="M1999" s="120"/>
      <c r="N1999" s="167"/>
      <c r="O1999" s="120"/>
      <c r="P1999" s="120"/>
      <c r="Q1999" s="120"/>
      <c r="R1999" s="120"/>
      <c r="S1999" s="120"/>
      <c r="T1999" s="221"/>
      <c r="U1999" s="89"/>
      <c r="V1999" s="61"/>
      <c r="W1999" s="92" t="s">
        <v>1039</v>
      </c>
      <c r="X1999" s="93" t="s">
        <v>32</v>
      </c>
      <c r="Y1999" s="93" t="s">
        <v>68</v>
      </c>
      <c r="Z1999" s="134">
        <f>VLOOKUP(W1999,Sheet2!$B:$D,3,FALSE)</f>
        <v>5</v>
      </c>
      <c r="AA1999" s="93">
        <v>1</v>
      </c>
      <c r="AB1999" s="93">
        <f>AD1999/AC1998</f>
        <v>5</v>
      </c>
      <c r="AC1999" s="93">
        <f>AC1998/AA1999</f>
        <v>201.37397499999975</v>
      </c>
      <c r="AD1999" s="94">
        <f t="shared" ref="AD1999" si="1470">AC1999*Z1999</f>
        <v>1006.8698749999987</v>
      </c>
      <c r="AE1999" s="190"/>
      <c r="AF1999" s="191"/>
      <c r="AG1999" s="191"/>
      <c r="AH1999" s="191"/>
      <c r="AI1999" s="186"/>
      <c r="AK1999" s="171"/>
    </row>
    <row r="2000" spans="1:41" ht="20.100000000000001" customHeight="1" x14ac:dyDescent="0.25">
      <c r="A2000" s="277" t="s">
        <v>410</v>
      </c>
      <c r="B2000" s="278"/>
      <c r="C2000" s="64" t="s">
        <v>413</v>
      </c>
      <c r="D2000" s="46" t="s">
        <v>97</v>
      </c>
      <c r="E2000" s="114">
        <v>28.767524999999978</v>
      </c>
      <c r="F2000" s="44">
        <v>158</v>
      </c>
      <c r="G2000" s="44">
        <f t="shared" si="1286"/>
        <v>4545.268949999996</v>
      </c>
      <c r="H2000" s="44">
        <f t="shared" si="1287"/>
        <v>145.84414901960784</v>
      </c>
      <c r="I2000" s="43">
        <f t="shared" si="1288"/>
        <v>4195.5752030252906</v>
      </c>
      <c r="J2000" s="112">
        <f t="shared" si="1289"/>
        <v>28.767524999999978</v>
      </c>
      <c r="K2000" s="211">
        <f t="shared" si="1290"/>
        <v>28.767524999999978</v>
      </c>
      <c r="L2000" s="44"/>
      <c r="M2000" s="44">
        <f t="shared" si="1296"/>
        <v>28.767524999999978</v>
      </c>
      <c r="N2000" s="173">
        <f t="shared" si="1291"/>
        <v>1</v>
      </c>
      <c r="O2000" s="44">
        <f t="shared" si="1292"/>
        <v>158</v>
      </c>
      <c r="P2000" s="44">
        <f t="shared" si="1293"/>
        <v>4545.268949999996</v>
      </c>
      <c r="Q2000" s="44">
        <f t="shared" si="1294"/>
        <v>145.84414901960784</v>
      </c>
      <c r="R2000" s="44">
        <f t="shared" si="1297"/>
        <v>4195.5752030252906</v>
      </c>
      <c r="S2000" s="123"/>
      <c r="T2000" s="219">
        <f t="shared" si="1298"/>
        <v>4195.5752030252906</v>
      </c>
      <c r="U2000" s="87"/>
      <c r="V2000" s="47"/>
      <c r="W2000" s="48"/>
      <c r="X2000" s="48"/>
      <c r="Y2000" s="48"/>
      <c r="Z2000" s="135"/>
      <c r="AA2000" s="49"/>
      <c r="AB2000" s="50">
        <f t="shared" si="1295"/>
        <v>145.84414901960784</v>
      </c>
      <c r="AC2000" s="42">
        <f t="shared" si="1299"/>
        <v>28.767524999999978</v>
      </c>
      <c r="AD2000" s="90">
        <f>AD2001+AD2011+AD2017</f>
        <v>4195.5752030252906</v>
      </c>
      <c r="AE2000" s="188">
        <f t="shared" ref="AE2000:AH2000" si="1471">AE2001+AE2011+AE2017</f>
        <v>0</v>
      </c>
      <c r="AF2000" s="189">
        <f t="shared" si="1471"/>
        <v>0</v>
      </c>
      <c r="AG2000" s="189">
        <f t="shared" si="1471"/>
        <v>0</v>
      </c>
      <c r="AH2000" s="189">
        <f t="shared" si="1471"/>
        <v>0</v>
      </c>
      <c r="AI2000" s="161">
        <f t="shared" si="1448"/>
        <v>0</v>
      </c>
      <c r="AK2000" s="169">
        <v>5</v>
      </c>
      <c r="AO2000" s="19" t="s">
        <v>63</v>
      </c>
    </row>
    <row r="2001" spans="1:37" s="103" customFormat="1" ht="19.899999999999999" customHeight="1" x14ac:dyDescent="0.25">
      <c r="A2001" s="51"/>
      <c r="B2001" s="52"/>
      <c r="C2001" s="165"/>
      <c r="D2001" s="52"/>
      <c r="E2001" s="115"/>
      <c r="F2001" s="58"/>
      <c r="G2001" s="58"/>
      <c r="H2001" s="58"/>
      <c r="I2001" s="55"/>
      <c r="J2001" s="113">
        <f>J2000</f>
        <v>28.767524999999978</v>
      </c>
      <c r="K2001" s="212">
        <f>K2000</f>
        <v>28.767524999999978</v>
      </c>
      <c r="L2001" s="58"/>
      <c r="M2001" s="58">
        <f>K2001-L2001</f>
        <v>28.767524999999978</v>
      </c>
      <c r="N2001" s="166"/>
      <c r="O2001" s="58"/>
      <c r="P2001" s="58"/>
      <c r="Q2001" s="58"/>
      <c r="R2001" s="58"/>
      <c r="S2001" s="58"/>
      <c r="T2001" s="220"/>
      <c r="U2001" s="88"/>
      <c r="V2001" s="56"/>
      <c r="W2001" s="57" t="s">
        <v>1050</v>
      </c>
      <c r="X2001" s="53"/>
      <c r="Y2001" s="91" t="s">
        <v>68</v>
      </c>
      <c r="Z2001" s="136">
        <f>AD2001/AC2001</f>
        <v>47.260815686274505</v>
      </c>
      <c r="AA2001" s="58"/>
      <c r="AB2001" s="53">
        <f>AD2001/AC2001</f>
        <v>47.260815686274505</v>
      </c>
      <c r="AC2001" s="53">
        <f>M2001+$AE$10</f>
        <v>28.767524999999978</v>
      </c>
      <c r="AD2001" s="54">
        <f>SUM(AD2002:AD2010)</f>
        <v>1359.5766967752929</v>
      </c>
      <c r="AE2001" s="184">
        <f>SUMIFS($AD$37:$AD$12971,$V$37:$V$12971,$V2001,$X$37:$X$12971,AE$13)</f>
        <v>0</v>
      </c>
      <c r="AF2001" s="185">
        <f>SUMIFS($AD$37:$AD$12971,$V$37:$V$12971,$V2001,$X$37:$X$12971,AF$13)</f>
        <v>0</v>
      </c>
      <c r="AG2001" s="185">
        <f>SUMIFS($AD$37:$AD$12971,$V$37:$V$12971,$V2001,$X$37:$X$12971,AG$13)</f>
        <v>0</v>
      </c>
      <c r="AH2001" s="187">
        <f>SUMIFS($AD$37:$AD$12971,$V$37:$V$12971,$V2001,$X$37:$X$12971,AH$13)</f>
        <v>0</v>
      </c>
      <c r="AI2001" s="161">
        <f t="shared" ref="AI2001" si="1472">SUM(AE2001:AH2001)</f>
        <v>0</v>
      </c>
      <c r="AK2001" s="172"/>
    </row>
    <row r="2002" spans="1:37" s="102" customFormat="1" ht="19.899999999999999" customHeight="1" x14ac:dyDescent="0.25">
      <c r="A2002" s="45"/>
      <c r="B2002" s="59"/>
      <c r="C2002" s="137"/>
      <c r="D2002" s="59"/>
      <c r="E2002" s="116"/>
      <c r="F2002" s="120"/>
      <c r="G2002" s="120"/>
      <c r="H2002" s="120"/>
      <c r="I2002" s="60"/>
      <c r="J2002" s="116"/>
      <c r="K2002" s="213"/>
      <c r="L2002" s="120"/>
      <c r="M2002" s="120"/>
      <c r="N2002" s="167"/>
      <c r="O2002" s="120"/>
      <c r="P2002" s="120"/>
      <c r="Q2002" s="120"/>
      <c r="R2002" s="120"/>
      <c r="S2002" s="120"/>
      <c r="T2002" s="221"/>
      <c r="U2002" s="89"/>
      <c r="V2002" s="61"/>
      <c r="W2002" s="92" t="s">
        <v>129</v>
      </c>
      <c r="X2002" s="93" t="s">
        <v>29</v>
      </c>
      <c r="Y2002" s="93" t="s">
        <v>93</v>
      </c>
      <c r="Z2002" s="134">
        <f>VLOOKUP(W2002,Sheet2!$B:$D,3,FALSE)</f>
        <v>56</v>
      </c>
      <c r="AA2002" s="93">
        <f>100/(1*2.5)</f>
        <v>40</v>
      </c>
      <c r="AB2002" s="93">
        <f t="shared" ref="AB2002" si="1473">AD2002/AC2001</f>
        <v>1.4</v>
      </c>
      <c r="AC2002" s="93">
        <f>AC2001/AA2002</f>
        <v>0.7191881249999994</v>
      </c>
      <c r="AD2002" s="94">
        <f t="shared" ref="AD2002:AD2003" si="1474">AC2002*Z2002</f>
        <v>40.274534999999965</v>
      </c>
      <c r="AE2002" s="190"/>
      <c r="AF2002" s="191"/>
      <c r="AG2002" s="191"/>
      <c r="AH2002" s="191"/>
      <c r="AI2002" s="186"/>
      <c r="AK2002" s="171"/>
    </row>
    <row r="2003" spans="1:37" s="102" customFormat="1" ht="19.899999999999999" customHeight="1" x14ac:dyDescent="0.25">
      <c r="A2003" s="45"/>
      <c r="B2003" s="59"/>
      <c r="C2003" s="137"/>
      <c r="D2003" s="59"/>
      <c r="E2003" s="116"/>
      <c r="F2003" s="120"/>
      <c r="G2003" s="120"/>
      <c r="H2003" s="120"/>
      <c r="I2003" s="60"/>
      <c r="J2003" s="116"/>
      <c r="K2003" s="213"/>
      <c r="L2003" s="120"/>
      <c r="M2003" s="120"/>
      <c r="N2003" s="167"/>
      <c r="O2003" s="120"/>
      <c r="P2003" s="120"/>
      <c r="Q2003" s="120"/>
      <c r="R2003" s="120"/>
      <c r="S2003" s="120"/>
      <c r="T2003" s="221"/>
      <c r="U2003" s="89"/>
      <c r="V2003" s="61"/>
      <c r="W2003" s="92" t="s">
        <v>65</v>
      </c>
      <c r="X2003" s="93" t="s">
        <v>30</v>
      </c>
      <c r="Y2003" s="93" t="s">
        <v>1011</v>
      </c>
      <c r="Z2003" s="134">
        <f>VLOOKUP(W2003,Sheet2!$B:$D,3,FALSE)</f>
        <v>1.76</v>
      </c>
      <c r="AA2003" s="93">
        <f>AA2002/14</f>
        <v>2.8571428571428572</v>
      </c>
      <c r="AB2003" s="93">
        <f>AD2003/AC2001</f>
        <v>0.61599999999999999</v>
      </c>
      <c r="AC2003" s="93">
        <f>AC2001/AA2003</f>
        <v>10.068633749999991</v>
      </c>
      <c r="AD2003" s="94">
        <f t="shared" si="1474"/>
        <v>17.720795399999986</v>
      </c>
      <c r="AE2003" s="190"/>
      <c r="AF2003" s="191"/>
      <c r="AG2003" s="191"/>
      <c r="AH2003" s="191"/>
      <c r="AI2003" s="186"/>
      <c r="AK2003" s="171"/>
    </row>
    <row r="2004" spans="1:37" s="102" customFormat="1" ht="19.899999999999999" customHeight="1" x14ac:dyDescent="0.25">
      <c r="A2004" s="45"/>
      <c r="B2004" s="59"/>
      <c r="C2004" s="137"/>
      <c r="D2004" s="59"/>
      <c r="E2004" s="116"/>
      <c r="F2004" s="120"/>
      <c r="G2004" s="120"/>
      <c r="H2004" s="120"/>
      <c r="I2004" s="60"/>
      <c r="J2004" s="116"/>
      <c r="K2004" s="213"/>
      <c r="L2004" s="120"/>
      <c r="M2004" s="120"/>
      <c r="N2004" s="167"/>
      <c r="O2004" s="120"/>
      <c r="P2004" s="120"/>
      <c r="Q2004" s="120"/>
      <c r="R2004" s="120"/>
      <c r="S2004" s="120"/>
      <c r="T2004" s="221"/>
      <c r="U2004" s="89"/>
      <c r="V2004" s="61"/>
      <c r="W2004" s="92" t="s">
        <v>161</v>
      </c>
      <c r="X2004" s="93" t="s">
        <v>29</v>
      </c>
      <c r="Y2004" s="93" t="s">
        <v>93</v>
      </c>
      <c r="Z2004" s="134">
        <f>VLOOKUP(W2004,Sheet2!$B:$D,3,FALSE)</f>
        <v>48</v>
      </c>
      <c r="AA2004" s="93">
        <f>(16*0.85*1.5)/(1*2.5)</f>
        <v>8.16</v>
      </c>
      <c r="AB2004" s="93">
        <f>AD2004/AC2001</f>
        <v>5.8823529411764701</v>
      </c>
      <c r="AC2004" s="93">
        <f>AC2001/AA2004</f>
        <v>3.5254319852941149</v>
      </c>
      <c r="AD2004" s="94">
        <f>AC2004*Z2004</f>
        <v>169.2207352941175</v>
      </c>
      <c r="AE2004" s="190"/>
      <c r="AF2004" s="191"/>
      <c r="AG2004" s="191"/>
      <c r="AH2004" s="191"/>
      <c r="AI2004" s="186"/>
      <c r="AK2004" s="171"/>
    </row>
    <row r="2005" spans="1:37" s="102" customFormat="1" ht="19.899999999999999" customHeight="1" x14ac:dyDescent="0.25">
      <c r="A2005" s="45"/>
      <c r="B2005" s="59"/>
      <c r="C2005" s="137"/>
      <c r="D2005" s="59"/>
      <c r="E2005" s="116"/>
      <c r="F2005" s="120"/>
      <c r="G2005" s="120"/>
      <c r="H2005" s="120"/>
      <c r="I2005" s="60"/>
      <c r="J2005" s="116"/>
      <c r="K2005" s="213"/>
      <c r="L2005" s="120"/>
      <c r="M2005" s="120"/>
      <c r="N2005" s="167"/>
      <c r="O2005" s="120"/>
      <c r="P2005" s="120"/>
      <c r="Q2005" s="120"/>
      <c r="R2005" s="120"/>
      <c r="S2005" s="120"/>
      <c r="T2005" s="221"/>
      <c r="U2005" s="89"/>
      <c r="V2005" s="61"/>
      <c r="W2005" s="92" t="s">
        <v>65</v>
      </c>
      <c r="X2005" s="93" t="s">
        <v>30</v>
      </c>
      <c r="Y2005" s="93" t="s">
        <v>1011</v>
      </c>
      <c r="Z2005" s="134">
        <f>VLOOKUP(W2005,Sheet2!$B:$D,3,FALSE)</f>
        <v>1.76</v>
      </c>
      <c r="AA2005" s="93">
        <f>AA2004/10</f>
        <v>0.81600000000000006</v>
      </c>
      <c r="AB2005" s="93">
        <f>AD2005/AC2001</f>
        <v>2.1568627450980391</v>
      </c>
      <c r="AC2005" s="93">
        <f>AC2001/AA2005</f>
        <v>35.254319852941144</v>
      </c>
      <c r="AD2005" s="94">
        <f>AC2005*Z2005</f>
        <v>62.047602941176415</v>
      </c>
      <c r="AE2005" s="190"/>
      <c r="AF2005" s="191"/>
      <c r="AG2005" s="191"/>
      <c r="AH2005" s="191"/>
      <c r="AI2005" s="186"/>
      <c r="AK2005" s="171"/>
    </row>
    <row r="2006" spans="1:37" s="102" customFormat="1" ht="19.899999999999999" customHeight="1" x14ac:dyDescent="0.25">
      <c r="A2006" s="45"/>
      <c r="B2006" s="59"/>
      <c r="C2006" s="137"/>
      <c r="D2006" s="59"/>
      <c r="E2006" s="116"/>
      <c r="F2006" s="120"/>
      <c r="G2006" s="120"/>
      <c r="H2006" s="120"/>
      <c r="I2006" s="60"/>
      <c r="J2006" s="116"/>
      <c r="K2006" s="213"/>
      <c r="L2006" s="120"/>
      <c r="M2006" s="120"/>
      <c r="N2006" s="167"/>
      <c r="O2006" s="120"/>
      <c r="P2006" s="120"/>
      <c r="Q2006" s="120"/>
      <c r="R2006" s="120"/>
      <c r="S2006" s="120"/>
      <c r="T2006" s="221"/>
      <c r="U2006" s="89"/>
      <c r="V2006" s="61"/>
      <c r="W2006" s="92" t="s">
        <v>1030</v>
      </c>
      <c r="X2006" s="93" t="s">
        <v>29</v>
      </c>
      <c r="Y2006" s="93" t="s">
        <v>93</v>
      </c>
      <c r="Z2006" s="134">
        <f>VLOOKUP(W2006,Sheet2!$B:$D,3,FALSE)</f>
        <v>23</v>
      </c>
      <c r="AA2006" s="93">
        <v>50</v>
      </c>
      <c r="AB2006" s="93">
        <f>AD2006/AC2001</f>
        <v>0.45999999999999996</v>
      </c>
      <c r="AC2006" s="93">
        <f>AC2001/AA2006</f>
        <v>0.57535049999999954</v>
      </c>
      <c r="AD2006" s="94">
        <f t="shared" ref="AD2006:AD2010" si="1475">AC2006*Z2006</f>
        <v>13.233061499999989</v>
      </c>
      <c r="AE2006" s="190"/>
      <c r="AF2006" s="191"/>
      <c r="AG2006" s="191"/>
      <c r="AH2006" s="191"/>
      <c r="AI2006" s="186"/>
      <c r="AK2006" s="171"/>
    </row>
    <row r="2007" spans="1:37" s="102" customFormat="1" ht="19.899999999999999" customHeight="1" x14ac:dyDescent="0.25">
      <c r="A2007" s="45"/>
      <c r="B2007" s="59"/>
      <c r="C2007" s="137"/>
      <c r="D2007" s="59"/>
      <c r="E2007" s="116"/>
      <c r="F2007" s="120"/>
      <c r="G2007" s="120"/>
      <c r="H2007" s="120"/>
      <c r="I2007" s="60"/>
      <c r="J2007" s="116"/>
      <c r="K2007" s="213"/>
      <c r="L2007" s="120"/>
      <c r="M2007" s="120"/>
      <c r="N2007" s="167"/>
      <c r="O2007" s="120"/>
      <c r="P2007" s="120"/>
      <c r="Q2007" s="120"/>
      <c r="R2007" s="120"/>
      <c r="S2007" s="120"/>
      <c r="T2007" s="221"/>
      <c r="U2007" s="89"/>
      <c r="V2007" s="61"/>
      <c r="W2007" s="92" t="s">
        <v>65</v>
      </c>
      <c r="X2007" s="93" t="s">
        <v>30</v>
      </c>
      <c r="Y2007" s="93" t="s">
        <v>1011</v>
      </c>
      <c r="Z2007" s="134">
        <f>VLOOKUP(W2007,Sheet2!$B:$D,3,FALSE)</f>
        <v>1.76</v>
      </c>
      <c r="AA2007" s="93">
        <f>AA2006/3</f>
        <v>16.666666666666668</v>
      </c>
      <c r="AB2007" s="93">
        <f>AD2007/AC2001</f>
        <v>0.1056</v>
      </c>
      <c r="AC2007" s="93">
        <f>AC2001/AA2007</f>
        <v>1.7260514999999985</v>
      </c>
      <c r="AD2007" s="94">
        <f t="shared" si="1475"/>
        <v>3.0378506399999976</v>
      </c>
      <c r="AE2007" s="190"/>
      <c r="AF2007" s="191"/>
      <c r="AG2007" s="191"/>
      <c r="AH2007" s="191"/>
      <c r="AI2007" s="186"/>
      <c r="AK2007" s="171"/>
    </row>
    <row r="2008" spans="1:37" s="102" customFormat="1" ht="19.899999999999999" customHeight="1" x14ac:dyDescent="0.25">
      <c r="A2008" s="45"/>
      <c r="B2008" s="59"/>
      <c r="C2008" s="137"/>
      <c r="D2008" s="59"/>
      <c r="E2008" s="116"/>
      <c r="F2008" s="120"/>
      <c r="G2008" s="120"/>
      <c r="H2008" s="120"/>
      <c r="I2008" s="60"/>
      <c r="J2008" s="116"/>
      <c r="K2008" s="213"/>
      <c r="L2008" s="120"/>
      <c r="M2008" s="120"/>
      <c r="N2008" s="167"/>
      <c r="O2008" s="120"/>
      <c r="P2008" s="120"/>
      <c r="Q2008" s="120"/>
      <c r="R2008" s="120"/>
      <c r="S2008" s="120"/>
      <c r="T2008" s="221"/>
      <c r="U2008" s="89"/>
      <c r="V2008" s="61"/>
      <c r="W2008" s="92" t="s">
        <v>148</v>
      </c>
      <c r="X2008" s="93" t="s">
        <v>29</v>
      </c>
      <c r="Y2008" s="93" t="s">
        <v>93</v>
      </c>
      <c r="Z2008" s="134">
        <f>VLOOKUP(W2008,Sheet2!$B:$D,3,FALSE)</f>
        <v>48</v>
      </c>
      <c r="AA2008" s="93">
        <f>AA2002</f>
        <v>40</v>
      </c>
      <c r="AB2008" s="93">
        <f>AD2008/AC2001</f>
        <v>1.1999999999999997</v>
      </c>
      <c r="AC2008" s="93">
        <f>AC2001/AA2008</f>
        <v>0.7191881249999994</v>
      </c>
      <c r="AD2008" s="94">
        <f t="shared" si="1475"/>
        <v>34.521029999999968</v>
      </c>
      <c r="AE2008" s="190"/>
      <c r="AF2008" s="191"/>
      <c r="AG2008" s="191"/>
      <c r="AH2008" s="191"/>
      <c r="AI2008" s="186"/>
      <c r="AK2008" s="171"/>
    </row>
    <row r="2009" spans="1:37" s="102" customFormat="1" ht="19.899999999999999" customHeight="1" x14ac:dyDescent="0.25">
      <c r="A2009" s="45"/>
      <c r="B2009" s="59"/>
      <c r="C2009" s="137"/>
      <c r="D2009" s="59"/>
      <c r="E2009" s="116"/>
      <c r="F2009" s="120"/>
      <c r="G2009" s="120"/>
      <c r="H2009" s="120"/>
      <c r="I2009" s="60"/>
      <c r="J2009" s="116"/>
      <c r="K2009" s="213"/>
      <c r="L2009" s="120"/>
      <c r="M2009" s="120"/>
      <c r="N2009" s="167"/>
      <c r="O2009" s="120"/>
      <c r="P2009" s="120"/>
      <c r="Q2009" s="120"/>
      <c r="R2009" s="120"/>
      <c r="S2009" s="120"/>
      <c r="T2009" s="221"/>
      <c r="U2009" s="89"/>
      <c r="V2009" s="61"/>
      <c r="W2009" s="92" t="s">
        <v>65</v>
      </c>
      <c r="X2009" s="93" t="s">
        <v>30</v>
      </c>
      <c r="Y2009" s="93" t="s">
        <v>1011</v>
      </c>
      <c r="Z2009" s="134">
        <f>VLOOKUP(W2009,Sheet2!$B:$D,3,FALSE)</f>
        <v>1.76</v>
      </c>
      <c r="AA2009" s="93">
        <f>AA2008/10</f>
        <v>4</v>
      </c>
      <c r="AB2009" s="93">
        <f>AD2009/AC2001</f>
        <v>0.44</v>
      </c>
      <c r="AC2009" s="93">
        <f>AC2001/AA2009</f>
        <v>7.1918812499999945</v>
      </c>
      <c r="AD2009" s="94">
        <f t="shared" si="1475"/>
        <v>12.65771099999999</v>
      </c>
      <c r="AE2009" s="190"/>
      <c r="AF2009" s="191"/>
      <c r="AG2009" s="191"/>
      <c r="AH2009" s="191"/>
      <c r="AI2009" s="186"/>
      <c r="AK2009" s="171"/>
    </row>
    <row r="2010" spans="1:37" s="102" customFormat="1" ht="19.899999999999999" customHeight="1" x14ac:dyDescent="0.25">
      <c r="A2010" s="45"/>
      <c r="B2010" s="59"/>
      <c r="C2010" s="137"/>
      <c r="D2010" s="59"/>
      <c r="E2010" s="116"/>
      <c r="F2010" s="120"/>
      <c r="G2010" s="120"/>
      <c r="H2010" s="120"/>
      <c r="I2010" s="60"/>
      <c r="J2010" s="116"/>
      <c r="K2010" s="213"/>
      <c r="L2010" s="120"/>
      <c r="M2010" s="120"/>
      <c r="N2010" s="167"/>
      <c r="O2010" s="120"/>
      <c r="P2010" s="120"/>
      <c r="Q2010" s="120"/>
      <c r="R2010" s="120"/>
      <c r="S2010" s="120"/>
      <c r="T2010" s="221"/>
      <c r="U2010" s="89"/>
      <c r="V2010" s="61"/>
      <c r="W2010" s="92" t="s">
        <v>1048</v>
      </c>
      <c r="X2010" s="93" t="s">
        <v>30</v>
      </c>
      <c r="Y2010" s="93" t="s">
        <v>68</v>
      </c>
      <c r="Z2010" s="134">
        <f>VLOOKUP(W2010,Sheet2!$B:$D,3,FALSE)</f>
        <v>35</v>
      </c>
      <c r="AA2010" s="93">
        <v>1</v>
      </c>
      <c r="AB2010" s="93">
        <f>AD2010/AC2001</f>
        <v>35</v>
      </c>
      <c r="AC2010" s="93">
        <f>AC2001/AA2010</f>
        <v>28.767524999999978</v>
      </c>
      <c r="AD2010" s="94">
        <f t="shared" si="1475"/>
        <v>1006.8633749999992</v>
      </c>
      <c r="AE2010" s="190"/>
      <c r="AF2010" s="191"/>
      <c r="AG2010" s="191"/>
      <c r="AH2010" s="191"/>
      <c r="AI2010" s="186"/>
      <c r="AK2010" s="171"/>
    </row>
    <row r="2011" spans="1:37" s="103" customFormat="1" ht="19.899999999999999" customHeight="1" x14ac:dyDescent="0.25">
      <c r="A2011" s="51"/>
      <c r="B2011" s="52"/>
      <c r="C2011" s="165"/>
      <c r="D2011" s="52"/>
      <c r="E2011" s="115"/>
      <c r="F2011" s="58"/>
      <c r="G2011" s="58"/>
      <c r="H2011" s="58"/>
      <c r="I2011" s="55"/>
      <c r="J2011" s="113">
        <f>J2000</f>
        <v>28.767524999999978</v>
      </c>
      <c r="K2011" s="212">
        <f>K2000</f>
        <v>28.767524999999978</v>
      </c>
      <c r="L2011" s="58"/>
      <c r="M2011" s="58">
        <f>K2011-L2011</f>
        <v>28.767524999999978</v>
      </c>
      <c r="N2011" s="166"/>
      <c r="O2011" s="58"/>
      <c r="P2011" s="58"/>
      <c r="Q2011" s="58"/>
      <c r="R2011" s="58"/>
      <c r="S2011" s="58"/>
      <c r="T2011" s="220"/>
      <c r="U2011" s="88"/>
      <c r="V2011" s="56"/>
      <c r="W2011" s="57" t="s">
        <v>1036</v>
      </c>
      <c r="X2011" s="53"/>
      <c r="Y2011" s="91" t="s">
        <v>68</v>
      </c>
      <c r="Z2011" s="136">
        <f>AD2011/AC2011</f>
        <v>93.583333333333343</v>
      </c>
      <c r="AA2011" s="58"/>
      <c r="AB2011" s="53">
        <f>AD2011/AC2011</f>
        <v>93.583333333333343</v>
      </c>
      <c r="AC2011" s="53">
        <f>M2011+$AE$10</f>
        <v>28.767524999999978</v>
      </c>
      <c r="AD2011" s="54">
        <f>SUM(AD2012:AD2016)</f>
        <v>2692.1608812499981</v>
      </c>
      <c r="AE2011" s="184">
        <f>SUMIFS($AD$37:$AD$12971,$V$37:$V$12971,$V2011,$X$37:$X$12971,AE$13)</f>
        <v>0</v>
      </c>
      <c r="AF2011" s="185">
        <f>SUMIFS($AD$37:$AD$12971,$V$37:$V$12971,$V2011,$X$37:$X$12971,AF$13)</f>
        <v>0</v>
      </c>
      <c r="AG2011" s="185">
        <f>SUMIFS($AD$37:$AD$12971,$V$37:$V$12971,$V2011,$X$37:$X$12971,AG$13)</f>
        <v>0</v>
      </c>
      <c r="AH2011" s="187">
        <f>SUMIFS($AD$37:$AD$12971,$V$37:$V$12971,$V2011,$X$37:$X$12971,AH$13)</f>
        <v>0</v>
      </c>
      <c r="AI2011" s="161">
        <f t="shared" ref="AI2011" si="1476">SUM(AE2011:AH2011)</f>
        <v>0</v>
      </c>
      <c r="AK2011" s="172"/>
    </row>
    <row r="2012" spans="1:37" s="102" customFormat="1" ht="19.899999999999999" customHeight="1" x14ac:dyDescent="0.25">
      <c r="A2012" s="45"/>
      <c r="B2012" s="59"/>
      <c r="C2012" s="137"/>
      <c r="D2012" s="59"/>
      <c r="E2012" s="116"/>
      <c r="F2012" s="120"/>
      <c r="G2012" s="120"/>
      <c r="H2012" s="120"/>
      <c r="I2012" s="60"/>
      <c r="J2012" s="116"/>
      <c r="K2012" s="213"/>
      <c r="L2012" s="120"/>
      <c r="M2012" s="120"/>
      <c r="N2012" s="167"/>
      <c r="O2012" s="120"/>
      <c r="P2012" s="120"/>
      <c r="Q2012" s="120"/>
      <c r="R2012" s="120"/>
      <c r="S2012" s="120"/>
      <c r="T2012" s="221"/>
      <c r="U2012" s="89"/>
      <c r="V2012" s="61"/>
      <c r="W2012" s="92" t="s">
        <v>1291</v>
      </c>
      <c r="X2012" s="93" t="s">
        <v>30</v>
      </c>
      <c r="Y2012" s="93" t="s">
        <v>68</v>
      </c>
      <c r="Z2012" s="134">
        <f>VLOOKUP(W2012,Sheet2!$B:$D,3,FALSE)</f>
        <v>35</v>
      </c>
      <c r="AA2012" s="93">
        <v>1</v>
      </c>
      <c r="AB2012" s="93">
        <f>AD2012/AC2011</f>
        <v>35</v>
      </c>
      <c r="AC2012" s="93">
        <f>AC2011/AA2012</f>
        <v>28.767524999999978</v>
      </c>
      <c r="AD2012" s="94">
        <f t="shared" ref="AD2012" si="1477">AC2012*Z2012</f>
        <v>1006.8633749999992</v>
      </c>
      <c r="AE2012" s="190"/>
      <c r="AF2012" s="191"/>
      <c r="AG2012" s="191"/>
      <c r="AH2012" s="191"/>
      <c r="AI2012" s="186"/>
      <c r="AK2012" s="171"/>
    </row>
    <row r="2013" spans="1:37" s="102" customFormat="1" ht="19.899999999999999" customHeight="1" x14ac:dyDescent="0.25">
      <c r="A2013" s="45"/>
      <c r="B2013" s="59"/>
      <c r="C2013" s="137"/>
      <c r="D2013" s="59"/>
      <c r="E2013" s="116"/>
      <c r="F2013" s="120"/>
      <c r="G2013" s="120"/>
      <c r="H2013" s="120"/>
      <c r="I2013" s="60"/>
      <c r="J2013" s="116"/>
      <c r="K2013" s="213"/>
      <c r="L2013" s="120"/>
      <c r="M2013" s="120"/>
      <c r="N2013" s="167"/>
      <c r="O2013" s="120"/>
      <c r="P2013" s="120"/>
      <c r="Q2013" s="120"/>
      <c r="R2013" s="120"/>
      <c r="S2013" s="120"/>
      <c r="T2013" s="221"/>
      <c r="U2013" s="89"/>
      <c r="V2013" s="61"/>
      <c r="W2013" s="92" t="s">
        <v>1292</v>
      </c>
      <c r="X2013" s="93" t="s">
        <v>32</v>
      </c>
      <c r="Y2013" s="93" t="s">
        <v>68</v>
      </c>
      <c r="Z2013" s="134">
        <f>VLOOKUP(W2013,Sheet2!$B:$D,3,FALSE)</f>
        <v>18</v>
      </c>
      <c r="AA2013" s="93">
        <v>1</v>
      </c>
      <c r="AB2013" s="93">
        <f>AD2013/AC2011</f>
        <v>18</v>
      </c>
      <c r="AC2013" s="93">
        <f>AC2011/AA2013</f>
        <v>28.767524999999978</v>
      </c>
      <c r="AD2013" s="94">
        <f>AC2013*Z2013</f>
        <v>517.8154499999996</v>
      </c>
      <c r="AE2013" s="190"/>
      <c r="AF2013" s="191"/>
      <c r="AG2013" s="191"/>
      <c r="AH2013" s="191"/>
      <c r="AI2013" s="186"/>
      <c r="AK2013" s="171"/>
    </row>
    <row r="2014" spans="1:37" s="102" customFormat="1" ht="19.899999999999999" customHeight="1" x14ac:dyDescent="0.25">
      <c r="A2014" s="45"/>
      <c r="B2014" s="59"/>
      <c r="C2014" s="137"/>
      <c r="D2014" s="59"/>
      <c r="E2014" s="116"/>
      <c r="F2014" s="120"/>
      <c r="G2014" s="120"/>
      <c r="H2014" s="120"/>
      <c r="I2014" s="60"/>
      <c r="J2014" s="116"/>
      <c r="K2014" s="213"/>
      <c r="L2014" s="120"/>
      <c r="M2014" s="120"/>
      <c r="N2014" s="167"/>
      <c r="O2014" s="120"/>
      <c r="P2014" s="120"/>
      <c r="Q2014" s="120"/>
      <c r="R2014" s="120"/>
      <c r="S2014" s="120"/>
      <c r="T2014" s="221"/>
      <c r="U2014" s="89"/>
      <c r="V2014" s="61"/>
      <c r="W2014" s="92" t="s">
        <v>1032</v>
      </c>
      <c r="X2014" s="93" t="s">
        <v>30</v>
      </c>
      <c r="Y2014" s="93" t="s">
        <v>66</v>
      </c>
      <c r="Z2014" s="134">
        <f>VLOOKUP(W2014,Sheet2!$B:$D,3,FALSE)</f>
        <v>250</v>
      </c>
      <c r="AA2014" s="93">
        <f>1/(1*0.1)</f>
        <v>10</v>
      </c>
      <c r="AB2014" s="93">
        <f>AD2014/AC2011</f>
        <v>25</v>
      </c>
      <c r="AC2014" s="93">
        <f>AC2011/AA2014</f>
        <v>2.8767524999999976</v>
      </c>
      <c r="AD2014" s="94">
        <f>AC2014*Z2014</f>
        <v>719.18812499999945</v>
      </c>
      <c r="AE2014" s="190"/>
      <c r="AF2014" s="191"/>
      <c r="AG2014" s="191"/>
      <c r="AH2014" s="191"/>
      <c r="AI2014" s="186"/>
      <c r="AK2014" s="171"/>
    </row>
    <row r="2015" spans="1:37" s="102" customFormat="1" ht="19.899999999999999" customHeight="1" x14ac:dyDescent="0.25">
      <c r="A2015" s="45"/>
      <c r="B2015" s="59"/>
      <c r="C2015" s="137"/>
      <c r="D2015" s="59"/>
      <c r="E2015" s="116"/>
      <c r="F2015" s="120"/>
      <c r="G2015" s="120"/>
      <c r="H2015" s="120"/>
      <c r="I2015" s="60"/>
      <c r="J2015" s="116"/>
      <c r="K2015" s="213"/>
      <c r="L2015" s="120"/>
      <c r="M2015" s="120"/>
      <c r="N2015" s="167"/>
      <c r="O2015" s="120"/>
      <c r="P2015" s="120"/>
      <c r="Q2015" s="120"/>
      <c r="R2015" s="120"/>
      <c r="S2015" s="120"/>
      <c r="T2015" s="221"/>
      <c r="U2015" s="89"/>
      <c r="V2015" s="61"/>
      <c r="W2015" s="92" t="s">
        <v>1035</v>
      </c>
      <c r="X2015" s="93" t="s">
        <v>32</v>
      </c>
      <c r="Y2015" s="93" t="s">
        <v>66</v>
      </c>
      <c r="Z2015" s="134">
        <f>VLOOKUP(W2015,Sheet2!$B:$D,3,FALSE)</f>
        <v>150</v>
      </c>
      <c r="AA2015" s="93">
        <f>AA2014</f>
        <v>10</v>
      </c>
      <c r="AB2015" s="93">
        <f>AD2015/AC2011</f>
        <v>15</v>
      </c>
      <c r="AC2015" s="93">
        <f>AC2011/AA2015</f>
        <v>2.8767524999999976</v>
      </c>
      <c r="AD2015" s="94">
        <f t="shared" ref="AD2015:AD2016" si="1478">AC2015*Z2015</f>
        <v>431.51287499999967</v>
      </c>
      <c r="AE2015" s="190"/>
      <c r="AF2015" s="191"/>
      <c r="AG2015" s="191"/>
      <c r="AH2015" s="191"/>
      <c r="AI2015" s="186"/>
      <c r="AK2015" s="171"/>
    </row>
    <row r="2016" spans="1:37" s="102" customFormat="1" ht="19.899999999999999" customHeight="1" x14ac:dyDescent="0.25">
      <c r="A2016" s="45"/>
      <c r="B2016" s="59"/>
      <c r="C2016" s="137"/>
      <c r="D2016" s="59"/>
      <c r="E2016" s="116"/>
      <c r="F2016" s="120"/>
      <c r="G2016" s="120"/>
      <c r="H2016" s="120"/>
      <c r="I2016" s="60"/>
      <c r="J2016" s="116"/>
      <c r="K2016" s="213"/>
      <c r="L2016" s="120"/>
      <c r="M2016" s="120"/>
      <c r="N2016" s="167"/>
      <c r="O2016" s="120"/>
      <c r="P2016" s="120"/>
      <c r="Q2016" s="120"/>
      <c r="R2016" s="120"/>
      <c r="S2016" s="120"/>
      <c r="T2016" s="221"/>
      <c r="U2016" s="89"/>
      <c r="V2016" s="61"/>
      <c r="W2016" s="92" t="s">
        <v>1037</v>
      </c>
      <c r="X2016" s="93" t="s">
        <v>30</v>
      </c>
      <c r="Y2016" s="93" t="s">
        <v>1038</v>
      </c>
      <c r="Z2016" s="134">
        <f>VLOOKUP(W2016,Sheet2!$B:$D,3,FALSE)</f>
        <v>175</v>
      </c>
      <c r="AA2016" s="93">
        <v>300</v>
      </c>
      <c r="AB2016" s="93">
        <f>AD2016/AC2011</f>
        <v>0.58333333333333337</v>
      </c>
      <c r="AC2016" s="93">
        <f>AC2011/AA2016</f>
        <v>9.5891749999999928E-2</v>
      </c>
      <c r="AD2016" s="94">
        <f t="shared" si="1478"/>
        <v>16.781056249999988</v>
      </c>
      <c r="AE2016" s="190"/>
      <c r="AF2016" s="191"/>
      <c r="AG2016" s="191"/>
      <c r="AH2016" s="191"/>
      <c r="AI2016" s="186"/>
      <c r="AK2016" s="171"/>
    </row>
    <row r="2017" spans="1:41" s="103" customFormat="1" ht="19.899999999999999" customHeight="1" x14ac:dyDescent="0.25">
      <c r="A2017" s="51"/>
      <c r="B2017" s="52"/>
      <c r="C2017" s="165"/>
      <c r="D2017" s="52"/>
      <c r="E2017" s="115"/>
      <c r="F2017" s="58"/>
      <c r="G2017" s="58"/>
      <c r="H2017" s="58"/>
      <c r="I2017" s="55"/>
      <c r="J2017" s="113">
        <f>J2000</f>
        <v>28.767524999999978</v>
      </c>
      <c r="K2017" s="212">
        <f>K2000</f>
        <v>28.767524999999978</v>
      </c>
      <c r="L2017" s="58"/>
      <c r="M2017" s="58">
        <f>K2017-L2017</f>
        <v>28.767524999999978</v>
      </c>
      <c r="N2017" s="166"/>
      <c r="O2017" s="58"/>
      <c r="P2017" s="58"/>
      <c r="Q2017" s="58"/>
      <c r="R2017" s="58"/>
      <c r="S2017" s="58"/>
      <c r="T2017" s="220"/>
      <c r="U2017" s="88"/>
      <c r="V2017" s="56"/>
      <c r="W2017" s="57" t="s">
        <v>1040</v>
      </c>
      <c r="X2017" s="53"/>
      <c r="Y2017" s="91" t="s">
        <v>68</v>
      </c>
      <c r="Z2017" s="136">
        <f>AD2017/AC2017</f>
        <v>5</v>
      </c>
      <c r="AA2017" s="58"/>
      <c r="AB2017" s="53">
        <f>AD2017/AC2017</f>
        <v>5</v>
      </c>
      <c r="AC2017" s="53">
        <f>M2017+$AE$10</f>
        <v>28.767524999999978</v>
      </c>
      <c r="AD2017" s="54">
        <f>SUM(AD2018)</f>
        <v>143.83762499999989</v>
      </c>
      <c r="AE2017" s="184">
        <f>SUMIFS($AD$37:$AD$12971,$V$37:$V$12971,$V2017,$X$37:$X$12971,AE$13)</f>
        <v>0</v>
      </c>
      <c r="AF2017" s="185">
        <f>SUMIFS($AD$37:$AD$12971,$V$37:$V$12971,$V2017,$X$37:$X$12971,AF$13)</f>
        <v>0</v>
      </c>
      <c r="AG2017" s="185">
        <f>SUMIFS($AD$37:$AD$12971,$V$37:$V$12971,$V2017,$X$37:$X$12971,AG$13)</f>
        <v>0</v>
      </c>
      <c r="AH2017" s="187">
        <f>SUMIFS($AD$37:$AD$12971,$V$37:$V$12971,$V2017,$X$37:$X$12971,AH$13)</f>
        <v>0</v>
      </c>
      <c r="AI2017" s="161">
        <f t="shared" ref="AI2017" si="1479">SUM(AE2017:AH2017)</f>
        <v>0</v>
      </c>
      <c r="AK2017" s="172"/>
    </row>
    <row r="2018" spans="1:41" s="102" customFormat="1" ht="19.899999999999999" customHeight="1" x14ac:dyDescent="0.25">
      <c r="A2018" s="45"/>
      <c r="B2018" s="59"/>
      <c r="C2018" s="137"/>
      <c r="D2018" s="59"/>
      <c r="E2018" s="116"/>
      <c r="F2018" s="120"/>
      <c r="G2018" s="120"/>
      <c r="H2018" s="120"/>
      <c r="I2018" s="60"/>
      <c r="J2018" s="116"/>
      <c r="K2018" s="213"/>
      <c r="L2018" s="120"/>
      <c r="M2018" s="120"/>
      <c r="N2018" s="167"/>
      <c r="O2018" s="120"/>
      <c r="P2018" s="120"/>
      <c r="Q2018" s="120"/>
      <c r="R2018" s="120"/>
      <c r="S2018" s="120"/>
      <c r="T2018" s="221"/>
      <c r="U2018" s="89"/>
      <c r="V2018" s="61"/>
      <c r="W2018" s="92" t="s">
        <v>1039</v>
      </c>
      <c r="X2018" s="93" t="s">
        <v>32</v>
      </c>
      <c r="Y2018" s="93" t="s">
        <v>68</v>
      </c>
      <c r="Z2018" s="134">
        <f>VLOOKUP(W2018,Sheet2!$B:$D,3,FALSE)</f>
        <v>5</v>
      </c>
      <c r="AA2018" s="93">
        <v>1</v>
      </c>
      <c r="AB2018" s="93">
        <f>AD2018/AC2017</f>
        <v>5</v>
      </c>
      <c r="AC2018" s="93">
        <f>AC2017/AA2018</f>
        <v>28.767524999999978</v>
      </c>
      <c r="AD2018" s="94">
        <f t="shared" ref="AD2018" si="1480">AC2018*Z2018</f>
        <v>143.83762499999989</v>
      </c>
      <c r="AE2018" s="190"/>
      <c r="AF2018" s="191"/>
      <c r="AG2018" s="191"/>
      <c r="AH2018" s="191"/>
      <c r="AI2018" s="186"/>
      <c r="AK2018" s="171"/>
    </row>
    <row r="2019" spans="1:41" ht="20.100000000000001" customHeight="1" x14ac:dyDescent="0.25">
      <c r="A2019" s="277" t="s">
        <v>410</v>
      </c>
      <c r="B2019" s="278"/>
      <c r="C2019" s="64" t="s">
        <v>414</v>
      </c>
      <c r="D2019" s="46" t="s">
        <v>97</v>
      </c>
      <c r="E2019" s="114">
        <v>1672.1967749999994</v>
      </c>
      <c r="F2019" s="44">
        <v>148</v>
      </c>
      <c r="G2019" s="44">
        <f t="shared" si="1286"/>
        <v>247485.12269999992</v>
      </c>
      <c r="H2019" s="44">
        <f t="shared" si="1287"/>
        <v>112.16606274509805</v>
      </c>
      <c r="I2019" s="43">
        <f t="shared" si="1288"/>
        <v>187563.72838680053</v>
      </c>
      <c r="J2019" s="112">
        <f t="shared" si="1289"/>
        <v>1672.1967749999994</v>
      </c>
      <c r="K2019" s="211">
        <f t="shared" si="1290"/>
        <v>1672.1967749999994</v>
      </c>
      <c r="L2019" s="44"/>
      <c r="M2019" s="44">
        <f t="shared" si="1296"/>
        <v>1672.1967749999994</v>
      </c>
      <c r="N2019" s="173">
        <f t="shared" si="1291"/>
        <v>1</v>
      </c>
      <c r="O2019" s="44">
        <f t="shared" si="1292"/>
        <v>148</v>
      </c>
      <c r="P2019" s="44">
        <f t="shared" si="1293"/>
        <v>247485.12269999992</v>
      </c>
      <c r="Q2019" s="44">
        <f t="shared" si="1294"/>
        <v>112.16606274509805</v>
      </c>
      <c r="R2019" s="44">
        <f t="shared" si="1297"/>
        <v>187563.72838680053</v>
      </c>
      <c r="S2019" s="123"/>
      <c r="T2019" s="219">
        <f t="shared" si="1298"/>
        <v>187563.72838680053</v>
      </c>
      <c r="U2019" s="87"/>
      <c r="V2019" s="47"/>
      <c r="W2019" s="48"/>
      <c r="X2019" s="48"/>
      <c r="Y2019" s="48"/>
      <c r="Z2019" s="135"/>
      <c r="AA2019" s="49"/>
      <c r="AB2019" s="50">
        <f t="shared" si="1295"/>
        <v>112.16606274509805</v>
      </c>
      <c r="AC2019" s="42">
        <f t="shared" si="1299"/>
        <v>1672.1967749999994</v>
      </c>
      <c r="AD2019" s="90">
        <f>AD2020+AD2029+AD2035</f>
        <v>187563.72838680053</v>
      </c>
      <c r="AE2019" s="188">
        <f t="shared" ref="AE2019" si="1481">AE2020+AE2029+AE2035</f>
        <v>0</v>
      </c>
      <c r="AF2019" s="189">
        <f t="shared" ref="AF2019" si="1482">AF2020+AF2029+AF2035</f>
        <v>0</v>
      </c>
      <c r="AG2019" s="189">
        <f t="shared" ref="AG2019" si="1483">AG2020+AG2029+AG2035</f>
        <v>0</v>
      </c>
      <c r="AH2019" s="189">
        <f t="shared" ref="AH2019" si="1484">AH2020+AH2029+AH2035</f>
        <v>0</v>
      </c>
      <c r="AI2019" s="161">
        <f t="shared" ref="AI2019" si="1485">SUM(AE2019:AH2019)</f>
        <v>0</v>
      </c>
      <c r="AK2019" s="169">
        <v>5</v>
      </c>
      <c r="AO2019" s="19" t="s">
        <v>63</v>
      </c>
    </row>
    <row r="2020" spans="1:41" s="103" customFormat="1" ht="19.899999999999999" customHeight="1" x14ac:dyDescent="0.25">
      <c r="A2020" s="51"/>
      <c r="B2020" s="52"/>
      <c r="C2020" s="165"/>
      <c r="D2020" s="52"/>
      <c r="E2020" s="115"/>
      <c r="F2020" s="58"/>
      <c r="G2020" s="58"/>
      <c r="H2020" s="58"/>
      <c r="I2020" s="55"/>
      <c r="J2020" s="113">
        <f>J2019</f>
        <v>1672.1967749999994</v>
      </c>
      <c r="K2020" s="212">
        <f>K2019</f>
        <v>1672.1967749999994</v>
      </c>
      <c r="L2020" s="58"/>
      <c r="M2020" s="58">
        <f>K2020-L2020</f>
        <v>1672.1967749999994</v>
      </c>
      <c r="N2020" s="166"/>
      <c r="O2020" s="58"/>
      <c r="P2020" s="58"/>
      <c r="Q2020" s="58"/>
      <c r="R2020" s="58"/>
      <c r="S2020" s="58"/>
      <c r="T2020" s="220"/>
      <c r="U2020" s="88"/>
      <c r="V2020" s="56"/>
      <c r="W2020" s="57" t="s">
        <v>1042</v>
      </c>
      <c r="X2020" s="53"/>
      <c r="Y2020" s="91" t="s">
        <v>68</v>
      </c>
      <c r="Z2020" s="136">
        <f>AD2020/AC2020</f>
        <v>7.5827294117647064</v>
      </c>
      <c r="AA2020" s="58"/>
      <c r="AB2020" s="53">
        <f>AD2020/AC2020</f>
        <v>7.5827294117647064</v>
      </c>
      <c r="AC2020" s="53">
        <f>M2020+$AE$10</f>
        <v>1672.1967749999994</v>
      </c>
      <c r="AD2020" s="54">
        <f>SUM(AD2021:AD2028)</f>
        <v>12679.815668050585</v>
      </c>
      <c r="AE2020" s="184">
        <f>SUMIFS($AD$37:$AD$12971,$V$37:$V$12971,$V2020,$X$37:$X$12971,AE$13)</f>
        <v>0</v>
      </c>
      <c r="AF2020" s="185">
        <f>SUMIFS($AD$37:$AD$12971,$V$37:$V$12971,$V2020,$X$37:$X$12971,AF$13)</f>
        <v>0</v>
      </c>
      <c r="AG2020" s="185">
        <f>SUMIFS($AD$37:$AD$12971,$V$37:$V$12971,$V2020,$X$37:$X$12971,AG$13)</f>
        <v>0</v>
      </c>
      <c r="AH2020" s="187">
        <f>SUMIFS($AD$37:$AD$12971,$V$37:$V$12971,$V2020,$X$37:$X$12971,AH$13)</f>
        <v>0</v>
      </c>
      <c r="AI2020" s="161">
        <f t="shared" ref="AI2020" si="1486">SUM(AE2020:AH2020)</f>
        <v>0</v>
      </c>
      <c r="AK2020" s="172"/>
    </row>
    <row r="2021" spans="1:41" s="102" customFormat="1" ht="19.899999999999999" customHeight="1" x14ac:dyDescent="0.25">
      <c r="A2021" s="45"/>
      <c r="B2021" s="59"/>
      <c r="C2021" s="137"/>
      <c r="D2021" s="59"/>
      <c r="E2021" s="116"/>
      <c r="F2021" s="120"/>
      <c r="G2021" s="120"/>
      <c r="H2021" s="120"/>
      <c r="I2021" s="60"/>
      <c r="J2021" s="116"/>
      <c r="K2021" s="213"/>
      <c r="L2021" s="120"/>
      <c r="M2021" s="120"/>
      <c r="N2021" s="167"/>
      <c r="O2021" s="120"/>
      <c r="P2021" s="120"/>
      <c r="Q2021" s="120"/>
      <c r="R2021" s="120"/>
      <c r="S2021" s="120"/>
      <c r="T2021" s="221"/>
      <c r="U2021" s="89"/>
      <c r="V2021" s="61"/>
      <c r="W2021" s="92" t="s">
        <v>129</v>
      </c>
      <c r="X2021" s="93" t="s">
        <v>29</v>
      </c>
      <c r="Y2021" s="93" t="s">
        <v>93</v>
      </c>
      <c r="Z2021" s="134">
        <f>VLOOKUP(W2021,Sheet2!$B:$D,3,FALSE)</f>
        <v>56</v>
      </c>
      <c r="AA2021" s="93">
        <f>100/(1*1.5)</f>
        <v>66.666666666666671</v>
      </c>
      <c r="AB2021" s="93">
        <f t="shared" ref="AB2021" si="1487">AD2021/AC2020</f>
        <v>0.83999999999999986</v>
      </c>
      <c r="AC2021" s="93">
        <f>AC2020/AA2021</f>
        <v>25.082951624999989</v>
      </c>
      <c r="AD2021" s="94">
        <f t="shared" ref="AD2021:AD2022" si="1488">AC2021*Z2021</f>
        <v>1404.6452909999994</v>
      </c>
      <c r="AE2021" s="190"/>
      <c r="AF2021" s="191"/>
      <c r="AG2021" s="191"/>
      <c r="AH2021" s="191"/>
      <c r="AI2021" s="186"/>
      <c r="AK2021" s="171"/>
    </row>
    <row r="2022" spans="1:41" s="102" customFormat="1" ht="19.899999999999999" customHeight="1" x14ac:dyDescent="0.25">
      <c r="A2022" s="45"/>
      <c r="B2022" s="59"/>
      <c r="C2022" s="137"/>
      <c r="D2022" s="59"/>
      <c r="E2022" s="116"/>
      <c r="F2022" s="120"/>
      <c r="G2022" s="120"/>
      <c r="H2022" s="120"/>
      <c r="I2022" s="60"/>
      <c r="J2022" s="116"/>
      <c r="K2022" s="213"/>
      <c r="L2022" s="120"/>
      <c r="M2022" s="120"/>
      <c r="N2022" s="167"/>
      <c r="O2022" s="120"/>
      <c r="P2022" s="120"/>
      <c r="Q2022" s="120"/>
      <c r="R2022" s="120"/>
      <c r="S2022" s="120"/>
      <c r="T2022" s="221"/>
      <c r="U2022" s="89"/>
      <c r="V2022" s="61"/>
      <c r="W2022" s="92" t="s">
        <v>65</v>
      </c>
      <c r="X2022" s="93" t="s">
        <v>30</v>
      </c>
      <c r="Y2022" s="93" t="s">
        <v>1011</v>
      </c>
      <c r="Z2022" s="134">
        <f>VLOOKUP(W2022,Sheet2!$B:$D,3,FALSE)</f>
        <v>1.76</v>
      </c>
      <c r="AA2022" s="93">
        <f>AA2021/14</f>
        <v>4.7619047619047619</v>
      </c>
      <c r="AB2022" s="93">
        <f>AD2022/AC2020</f>
        <v>0.36960000000000004</v>
      </c>
      <c r="AC2022" s="93">
        <f>AC2020/AA2022</f>
        <v>351.1613227499999</v>
      </c>
      <c r="AD2022" s="94">
        <f t="shared" si="1488"/>
        <v>618.04392803999986</v>
      </c>
      <c r="AE2022" s="190"/>
      <c r="AF2022" s="191"/>
      <c r="AG2022" s="191"/>
      <c r="AH2022" s="191"/>
      <c r="AI2022" s="186"/>
      <c r="AK2022" s="171"/>
    </row>
    <row r="2023" spans="1:41" s="102" customFormat="1" ht="19.899999999999999" customHeight="1" x14ac:dyDescent="0.25">
      <c r="A2023" s="45"/>
      <c r="B2023" s="59"/>
      <c r="C2023" s="137"/>
      <c r="D2023" s="59"/>
      <c r="E2023" s="116"/>
      <c r="F2023" s="120"/>
      <c r="G2023" s="120"/>
      <c r="H2023" s="120"/>
      <c r="I2023" s="60"/>
      <c r="J2023" s="116"/>
      <c r="K2023" s="213"/>
      <c r="L2023" s="120"/>
      <c r="M2023" s="120"/>
      <c r="N2023" s="167"/>
      <c r="O2023" s="120"/>
      <c r="P2023" s="120"/>
      <c r="Q2023" s="120"/>
      <c r="R2023" s="120"/>
      <c r="S2023" s="120"/>
      <c r="T2023" s="221"/>
      <c r="U2023" s="89"/>
      <c r="V2023" s="61"/>
      <c r="W2023" s="92" t="s">
        <v>161</v>
      </c>
      <c r="X2023" s="93" t="s">
        <v>29</v>
      </c>
      <c r="Y2023" s="93" t="s">
        <v>93</v>
      </c>
      <c r="Z2023" s="134">
        <f>VLOOKUP(W2023,Sheet2!$B:$D,3,FALSE)</f>
        <v>48</v>
      </c>
      <c r="AA2023" s="93">
        <f>(16*0.85*1.5)/(1*1.5)</f>
        <v>13.6</v>
      </c>
      <c r="AB2023" s="93">
        <f>AD2023/AC2020</f>
        <v>3.5294117647058827</v>
      </c>
      <c r="AC2023" s="93">
        <f>AC2020/AA2023</f>
        <v>122.9556452205882</v>
      </c>
      <c r="AD2023" s="94">
        <f>AC2023*Z2023</f>
        <v>5901.8709705882338</v>
      </c>
      <c r="AE2023" s="190"/>
      <c r="AF2023" s="191"/>
      <c r="AG2023" s="191"/>
      <c r="AH2023" s="191"/>
      <c r="AI2023" s="186"/>
      <c r="AK2023" s="171"/>
    </row>
    <row r="2024" spans="1:41" s="102" customFormat="1" ht="19.899999999999999" customHeight="1" x14ac:dyDescent="0.25">
      <c r="A2024" s="45"/>
      <c r="B2024" s="59"/>
      <c r="C2024" s="137"/>
      <c r="D2024" s="59"/>
      <c r="E2024" s="116"/>
      <c r="F2024" s="120"/>
      <c r="G2024" s="120"/>
      <c r="H2024" s="120"/>
      <c r="I2024" s="60"/>
      <c r="J2024" s="116"/>
      <c r="K2024" s="213"/>
      <c r="L2024" s="120"/>
      <c r="M2024" s="120"/>
      <c r="N2024" s="167"/>
      <c r="O2024" s="120"/>
      <c r="P2024" s="120"/>
      <c r="Q2024" s="120"/>
      <c r="R2024" s="120"/>
      <c r="S2024" s="120"/>
      <c r="T2024" s="221"/>
      <c r="U2024" s="89"/>
      <c r="V2024" s="61"/>
      <c r="W2024" s="92" t="s">
        <v>65</v>
      </c>
      <c r="X2024" s="93" t="s">
        <v>30</v>
      </c>
      <c r="Y2024" s="93" t="s">
        <v>1011</v>
      </c>
      <c r="Z2024" s="134">
        <f>VLOOKUP(W2024,Sheet2!$B:$D,3,FALSE)</f>
        <v>1.76</v>
      </c>
      <c r="AA2024" s="93">
        <f>AA2023/10</f>
        <v>1.3599999999999999</v>
      </c>
      <c r="AB2024" s="93">
        <f>AD2024/AC2020</f>
        <v>1.2941176470588238</v>
      </c>
      <c r="AC2024" s="93">
        <f>AC2020/AA2024</f>
        <v>1229.5564522058821</v>
      </c>
      <c r="AD2024" s="94">
        <f>AC2024*Z2024</f>
        <v>2164.0193558823526</v>
      </c>
      <c r="AE2024" s="190"/>
      <c r="AF2024" s="191"/>
      <c r="AG2024" s="191"/>
      <c r="AH2024" s="191"/>
      <c r="AI2024" s="186"/>
      <c r="AK2024" s="171"/>
    </row>
    <row r="2025" spans="1:41" s="102" customFormat="1" ht="19.899999999999999" customHeight="1" x14ac:dyDescent="0.25">
      <c r="A2025" s="45"/>
      <c r="B2025" s="59"/>
      <c r="C2025" s="137"/>
      <c r="D2025" s="59"/>
      <c r="E2025" s="116"/>
      <c r="F2025" s="120"/>
      <c r="G2025" s="120"/>
      <c r="H2025" s="120"/>
      <c r="I2025" s="60"/>
      <c r="J2025" s="116"/>
      <c r="K2025" s="213"/>
      <c r="L2025" s="120"/>
      <c r="M2025" s="120"/>
      <c r="N2025" s="167"/>
      <c r="O2025" s="120"/>
      <c r="P2025" s="120"/>
      <c r="Q2025" s="120"/>
      <c r="R2025" s="120"/>
      <c r="S2025" s="120"/>
      <c r="T2025" s="221"/>
      <c r="U2025" s="89"/>
      <c r="V2025" s="61"/>
      <c r="W2025" s="92" t="s">
        <v>1030</v>
      </c>
      <c r="X2025" s="93" t="s">
        <v>29</v>
      </c>
      <c r="Y2025" s="93" t="s">
        <v>93</v>
      </c>
      <c r="Z2025" s="134">
        <f>VLOOKUP(W2025,Sheet2!$B:$D,3,FALSE)</f>
        <v>23</v>
      </c>
      <c r="AA2025" s="93">
        <v>50</v>
      </c>
      <c r="AB2025" s="93">
        <f>AD2025/AC2020</f>
        <v>0.45999999999999996</v>
      </c>
      <c r="AC2025" s="93">
        <f>AC2020/AA2025</f>
        <v>33.443935499999988</v>
      </c>
      <c r="AD2025" s="94">
        <f t="shared" ref="AD2025:AD2028" si="1489">AC2025*Z2025</f>
        <v>769.2105164999997</v>
      </c>
      <c r="AE2025" s="190"/>
      <c r="AF2025" s="191"/>
      <c r="AG2025" s="191"/>
      <c r="AH2025" s="191"/>
      <c r="AI2025" s="186"/>
      <c r="AK2025" s="171"/>
    </row>
    <row r="2026" spans="1:41" s="102" customFormat="1" ht="19.899999999999999" customHeight="1" x14ac:dyDescent="0.25">
      <c r="A2026" s="45"/>
      <c r="B2026" s="59"/>
      <c r="C2026" s="137"/>
      <c r="D2026" s="59"/>
      <c r="E2026" s="116"/>
      <c r="F2026" s="120"/>
      <c r="G2026" s="120"/>
      <c r="H2026" s="120"/>
      <c r="I2026" s="60"/>
      <c r="J2026" s="116"/>
      <c r="K2026" s="213"/>
      <c r="L2026" s="120"/>
      <c r="M2026" s="120"/>
      <c r="N2026" s="167"/>
      <c r="O2026" s="120"/>
      <c r="P2026" s="120"/>
      <c r="Q2026" s="120"/>
      <c r="R2026" s="120"/>
      <c r="S2026" s="120"/>
      <c r="T2026" s="221"/>
      <c r="U2026" s="89"/>
      <c r="V2026" s="61"/>
      <c r="W2026" s="92" t="s">
        <v>65</v>
      </c>
      <c r="X2026" s="93" t="s">
        <v>30</v>
      </c>
      <c r="Y2026" s="93" t="s">
        <v>1011</v>
      </c>
      <c r="Z2026" s="134">
        <f>VLOOKUP(W2026,Sheet2!$B:$D,3,FALSE)</f>
        <v>1.76</v>
      </c>
      <c r="AA2026" s="93">
        <f>AA2025/3</f>
        <v>16.666666666666668</v>
      </c>
      <c r="AB2026" s="93">
        <f>AD2026/AC2020</f>
        <v>0.10559999999999999</v>
      </c>
      <c r="AC2026" s="93">
        <f>AC2020/AA2026</f>
        <v>100.33180649999996</v>
      </c>
      <c r="AD2026" s="94">
        <f t="shared" si="1489"/>
        <v>176.58397943999992</v>
      </c>
      <c r="AE2026" s="190"/>
      <c r="AF2026" s="191"/>
      <c r="AG2026" s="191"/>
      <c r="AH2026" s="191"/>
      <c r="AI2026" s="186"/>
      <c r="AK2026" s="171"/>
    </row>
    <row r="2027" spans="1:41" s="102" customFormat="1" ht="19.899999999999999" customHeight="1" x14ac:dyDescent="0.25">
      <c r="A2027" s="45"/>
      <c r="B2027" s="59"/>
      <c r="C2027" s="137"/>
      <c r="D2027" s="59"/>
      <c r="E2027" s="116"/>
      <c r="F2027" s="120"/>
      <c r="G2027" s="120"/>
      <c r="H2027" s="120"/>
      <c r="I2027" s="60"/>
      <c r="J2027" s="116"/>
      <c r="K2027" s="213"/>
      <c r="L2027" s="120"/>
      <c r="M2027" s="120"/>
      <c r="N2027" s="167"/>
      <c r="O2027" s="120"/>
      <c r="P2027" s="120"/>
      <c r="Q2027" s="120"/>
      <c r="R2027" s="120"/>
      <c r="S2027" s="120"/>
      <c r="T2027" s="221"/>
      <c r="U2027" s="89"/>
      <c r="V2027" s="61"/>
      <c r="W2027" s="92" t="s">
        <v>148</v>
      </c>
      <c r="X2027" s="93" t="s">
        <v>29</v>
      </c>
      <c r="Y2027" s="93" t="s">
        <v>93</v>
      </c>
      <c r="Z2027" s="134">
        <f>VLOOKUP(W2027,Sheet2!$B:$D,3,FALSE)</f>
        <v>48</v>
      </c>
      <c r="AA2027" s="93">
        <f>AA2021</f>
        <v>66.666666666666671</v>
      </c>
      <c r="AB2027" s="93">
        <f>AD2027/AC2020</f>
        <v>0.71999999999999986</v>
      </c>
      <c r="AC2027" s="93">
        <f>AC2020/AA2027</f>
        <v>25.082951624999989</v>
      </c>
      <c r="AD2027" s="94">
        <f t="shared" si="1489"/>
        <v>1203.9816779999994</v>
      </c>
      <c r="AE2027" s="190"/>
      <c r="AF2027" s="191"/>
      <c r="AG2027" s="191"/>
      <c r="AH2027" s="191"/>
      <c r="AI2027" s="186"/>
      <c r="AK2027" s="171"/>
    </row>
    <row r="2028" spans="1:41" s="102" customFormat="1" ht="19.899999999999999" customHeight="1" x14ac:dyDescent="0.25">
      <c r="A2028" s="45"/>
      <c r="B2028" s="59"/>
      <c r="C2028" s="137"/>
      <c r="D2028" s="59"/>
      <c r="E2028" s="116"/>
      <c r="F2028" s="120"/>
      <c r="G2028" s="120"/>
      <c r="H2028" s="120"/>
      <c r="I2028" s="60"/>
      <c r="J2028" s="116"/>
      <c r="K2028" s="213"/>
      <c r="L2028" s="120"/>
      <c r="M2028" s="120"/>
      <c r="N2028" s="167"/>
      <c r="O2028" s="120"/>
      <c r="P2028" s="120"/>
      <c r="Q2028" s="120"/>
      <c r="R2028" s="120"/>
      <c r="S2028" s="120"/>
      <c r="T2028" s="221"/>
      <c r="U2028" s="89"/>
      <c r="V2028" s="61"/>
      <c r="W2028" s="92" t="s">
        <v>65</v>
      </c>
      <c r="X2028" s="93" t="s">
        <v>30</v>
      </c>
      <c r="Y2028" s="93" t="s">
        <v>1011</v>
      </c>
      <c r="Z2028" s="134">
        <f>VLOOKUP(W2028,Sheet2!$B:$D,3,FALSE)</f>
        <v>1.76</v>
      </c>
      <c r="AA2028" s="93">
        <f>AA2027/10</f>
        <v>6.666666666666667</v>
      </c>
      <c r="AB2028" s="93">
        <f>AD2028/AC2020</f>
        <v>0.26400000000000001</v>
      </c>
      <c r="AC2028" s="93">
        <f>AC2020/AA2028</f>
        <v>250.8295162499999</v>
      </c>
      <c r="AD2028" s="94">
        <f t="shared" si="1489"/>
        <v>441.45994859999985</v>
      </c>
      <c r="AE2028" s="190"/>
      <c r="AF2028" s="191"/>
      <c r="AG2028" s="191"/>
      <c r="AH2028" s="191"/>
      <c r="AI2028" s="186"/>
      <c r="AK2028" s="171"/>
    </row>
    <row r="2029" spans="1:41" s="103" customFormat="1" ht="19.899999999999999" customHeight="1" x14ac:dyDescent="0.25">
      <c r="A2029" s="51"/>
      <c r="B2029" s="52"/>
      <c r="C2029" s="165"/>
      <c r="D2029" s="52"/>
      <c r="E2029" s="115"/>
      <c r="F2029" s="58"/>
      <c r="G2029" s="58"/>
      <c r="H2029" s="58"/>
      <c r="I2029" s="55"/>
      <c r="J2029" s="113">
        <f>J2019</f>
        <v>1672.1967749999994</v>
      </c>
      <c r="K2029" s="212">
        <f>K2019</f>
        <v>1672.1967749999994</v>
      </c>
      <c r="L2029" s="58"/>
      <c r="M2029" s="58">
        <f>K2029-L2029</f>
        <v>1672.1967749999994</v>
      </c>
      <c r="N2029" s="166"/>
      <c r="O2029" s="58"/>
      <c r="P2029" s="58"/>
      <c r="Q2029" s="58"/>
      <c r="R2029" s="58"/>
      <c r="S2029" s="58"/>
      <c r="T2029" s="220"/>
      <c r="U2029" s="88"/>
      <c r="V2029" s="56"/>
      <c r="W2029" s="57" t="s">
        <v>1036</v>
      </c>
      <c r="X2029" s="53"/>
      <c r="Y2029" s="91" t="s">
        <v>68</v>
      </c>
      <c r="Z2029" s="136">
        <f>AD2029/AC2029</f>
        <v>99.583333333333343</v>
      </c>
      <c r="AA2029" s="58"/>
      <c r="AB2029" s="53">
        <f>AD2029/AC2029</f>
        <v>99.583333333333343</v>
      </c>
      <c r="AC2029" s="53">
        <f>M2029+$AE$10</f>
        <v>1672.1967749999994</v>
      </c>
      <c r="AD2029" s="54">
        <f>SUM(AD2030:AD2034)</f>
        <v>166522.92884374995</v>
      </c>
      <c r="AE2029" s="184">
        <f>SUMIFS($AD$37:$AD$12971,$V$37:$V$12971,$V2029,$X$37:$X$12971,AE$13)</f>
        <v>0</v>
      </c>
      <c r="AF2029" s="185">
        <f>SUMIFS($AD$37:$AD$12971,$V$37:$V$12971,$V2029,$X$37:$X$12971,AF$13)</f>
        <v>0</v>
      </c>
      <c r="AG2029" s="185">
        <f>SUMIFS($AD$37:$AD$12971,$V$37:$V$12971,$V2029,$X$37:$X$12971,AG$13)</f>
        <v>0</v>
      </c>
      <c r="AH2029" s="187">
        <f>SUMIFS($AD$37:$AD$12971,$V$37:$V$12971,$V2029,$X$37:$X$12971,AH$13)</f>
        <v>0</v>
      </c>
      <c r="AI2029" s="161">
        <f t="shared" ref="AI2029" si="1490">SUM(AE2029:AH2029)</f>
        <v>0</v>
      </c>
      <c r="AK2029" s="172"/>
    </row>
    <row r="2030" spans="1:41" s="102" customFormat="1" ht="19.899999999999999" customHeight="1" x14ac:dyDescent="0.25">
      <c r="A2030" s="45"/>
      <c r="B2030" s="59"/>
      <c r="C2030" s="137"/>
      <c r="D2030" s="59"/>
      <c r="E2030" s="116"/>
      <c r="F2030" s="120"/>
      <c r="G2030" s="120"/>
      <c r="H2030" s="120"/>
      <c r="I2030" s="60"/>
      <c r="J2030" s="116"/>
      <c r="K2030" s="213"/>
      <c r="L2030" s="120"/>
      <c r="M2030" s="120"/>
      <c r="N2030" s="167"/>
      <c r="O2030" s="120"/>
      <c r="P2030" s="120"/>
      <c r="Q2030" s="120"/>
      <c r="R2030" s="120"/>
      <c r="S2030" s="120"/>
      <c r="T2030" s="221"/>
      <c r="U2030" s="89"/>
      <c r="V2030" s="61"/>
      <c r="W2030" s="92" t="s">
        <v>170</v>
      </c>
      <c r="X2030" s="93" t="s">
        <v>30</v>
      </c>
      <c r="Y2030" s="93" t="s">
        <v>68</v>
      </c>
      <c r="Z2030" s="134">
        <f>VLOOKUP(W2030,Sheet2!$B:$D,3,FALSE)</f>
        <v>39</v>
      </c>
      <c r="AA2030" s="93">
        <v>1</v>
      </c>
      <c r="AB2030" s="93">
        <f>AD2030/AC2029</f>
        <v>39</v>
      </c>
      <c r="AC2030" s="93">
        <f>AC2029/AA2030</f>
        <v>1672.1967749999994</v>
      </c>
      <c r="AD2030" s="94">
        <f t="shared" ref="AD2030" si="1491">AC2030*Z2030</f>
        <v>65215.674224999981</v>
      </c>
      <c r="AE2030" s="190"/>
      <c r="AF2030" s="191"/>
      <c r="AG2030" s="191"/>
      <c r="AH2030" s="191"/>
      <c r="AI2030" s="186"/>
      <c r="AK2030" s="171"/>
    </row>
    <row r="2031" spans="1:41" s="102" customFormat="1" ht="19.899999999999999" customHeight="1" x14ac:dyDescent="0.25">
      <c r="A2031" s="45"/>
      <c r="B2031" s="59"/>
      <c r="C2031" s="137"/>
      <c r="D2031" s="59"/>
      <c r="E2031" s="116"/>
      <c r="F2031" s="120"/>
      <c r="G2031" s="120"/>
      <c r="H2031" s="120"/>
      <c r="I2031" s="60"/>
      <c r="J2031" s="116"/>
      <c r="K2031" s="213"/>
      <c r="L2031" s="120"/>
      <c r="M2031" s="120"/>
      <c r="N2031" s="167"/>
      <c r="O2031" s="120"/>
      <c r="P2031" s="120"/>
      <c r="Q2031" s="120"/>
      <c r="R2031" s="120"/>
      <c r="S2031" s="120"/>
      <c r="T2031" s="221"/>
      <c r="U2031" s="89"/>
      <c r="V2031" s="61"/>
      <c r="W2031" s="92" t="s">
        <v>1293</v>
      </c>
      <c r="X2031" s="93" t="s">
        <v>32</v>
      </c>
      <c r="Y2031" s="93" t="s">
        <v>68</v>
      </c>
      <c r="Z2031" s="134">
        <f>VLOOKUP(W2031,Sheet2!$B:$D,3,FALSE)</f>
        <v>20</v>
      </c>
      <c r="AA2031" s="93">
        <v>1</v>
      </c>
      <c r="AB2031" s="93">
        <f>AD2031/AC2029</f>
        <v>20.000000000000004</v>
      </c>
      <c r="AC2031" s="93">
        <f>AC2029/AA2031</f>
        <v>1672.1967749999994</v>
      </c>
      <c r="AD2031" s="94">
        <f>AC2031*Z2031</f>
        <v>33443.935499999992</v>
      </c>
      <c r="AE2031" s="190"/>
      <c r="AF2031" s="191"/>
      <c r="AG2031" s="191"/>
      <c r="AH2031" s="191"/>
      <c r="AI2031" s="186"/>
      <c r="AK2031" s="171"/>
    </row>
    <row r="2032" spans="1:41" s="102" customFormat="1" ht="19.899999999999999" customHeight="1" x14ac:dyDescent="0.25">
      <c r="A2032" s="45"/>
      <c r="B2032" s="59"/>
      <c r="C2032" s="137"/>
      <c r="D2032" s="59"/>
      <c r="E2032" s="116"/>
      <c r="F2032" s="120"/>
      <c r="G2032" s="120"/>
      <c r="H2032" s="120"/>
      <c r="I2032" s="60"/>
      <c r="J2032" s="116"/>
      <c r="K2032" s="213"/>
      <c r="L2032" s="120"/>
      <c r="M2032" s="120"/>
      <c r="N2032" s="167"/>
      <c r="O2032" s="120"/>
      <c r="P2032" s="120"/>
      <c r="Q2032" s="120"/>
      <c r="R2032" s="120"/>
      <c r="S2032" s="120"/>
      <c r="T2032" s="221"/>
      <c r="U2032" s="89"/>
      <c r="V2032" s="61"/>
      <c r="W2032" s="92" t="s">
        <v>1032</v>
      </c>
      <c r="X2032" s="93" t="s">
        <v>30</v>
      </c>
      <c r="Y2032" s="93" t="s">
        <v>66</v>
      </c>
      <c r="Z2032" s="134">
        <f>VLOOKUP(W2032,Sheet2!$B:$D,3,FALSE)</f>
        <v>250</v>
      </c>
      <c r="AA2032" s="93">
        <f>1/(1*0.1)</f>
        <v>10</v>
      </c>
      <c r="AB2032" s="93">
        <f>AD2032/AC2029</f>
        <v>25</v>
      </c>
      <c r="AC2032" s="93">
        <f>AC2029/AA2032</f>
        <v>167.21967749999993</v>
      </c>
      <c r="AD2032" s="94">
        <f>AC2032*Z2032</f>
        <v>41804.919374999983</v>
      </c>
      <c r="AE2032" s="190"/>
      <c r="AF2032" s="191"/>
      <c r="AG2032" s="191"/>
      <c r="AH2032" s="191"/>
      <c r="AI2032" s="186"/>
      <c r="AK2032" s="171"/>
    </row>
    <row r="2033" spans="1:41" s="102" customFormat="1" ht="19.899999999999999" customHeight="1" x14ac:dyDescent="0.25">
      <c r="A2033" s="45"/>
      <c r="B2033" s="59"/>
      <c r="C2033" s="137"/>
      <c r="D2033" s="59"/>
      <c r="E2033" s="116"/>
      <c r="F2033" s="120"/>
      <c r="G2033" s="120"/>
      <c r="H2033" s="120"/>
      <c r="I2033" s="60"/>
      <c r="J2033" s="116"/>
      <c r="K2033" s="213"/>
      <c r="L2033" s="120"/>
      <c r="M2033" s="120"/>
      <c r="N2033" s="167"/>
      <c r="O2033" s="120"/>
      <c r="P2033" s="120"/>
      <c r="Q2033" s="120"/>
      <c r="R2033" s="120"/>
      <c r="S2033" s="120"/>
      <c r="T2033" s="221"/>
      <c r="U2033" s="89"/>
      <c r="V2033" s="61"/>
      <c r="W2033" s="92" t="s">
        <v>1035</v>
      </c>
      <c r="X2033" s="93" t="s">
        <v>32</v>
      </c>
      <c r="Y2033" s="93" t="s">
        <v>66</v>
      </c>
      <c r="Z2033" s="134">
        <f>VLOOKUP(W2033,Sheet2!$B:$D,3,FALSE)</f>
        <v>150</v>
      </c>
      <c r="AA2033" s="93">
        <f>AA2032</f>
        <v>10</v>
      </c>
      <c r="AB2033" s="93">
        <f>AD2033/AC2029</f>
        <v>15</v>
      </c>
      <c r="AC2033" s="93">
        <f>AC2029/AA2033</f>
        <v>167.21967749999993</v>
      </c>
      <c r="AD2033" s="94">
        <f t="shared" ref="AD2033:AD2034" si="1492">AC2033*Z2033</f>
        <v>25082.951624999991</v>
      </c>
      <c r="AE2033" s="190"/>
      <c r="AF2033" s="191"/>
      <c r="AG2033" s="191"/>
      <c r="AH2033" s="191"/>
      <c r="AI2033" s="186"/>
      <c r="AK2033" s="171"/>
    </row>
    <row r="2034" spans="1:41" s="102" customFormat="1" ht="19.899999999999999" customHeight="1" x14ac:dyDescent="0.25">
      <c r="A2034" s="45"/>
      <c r="B2034" s="59"/>
      <c r="C2034" s="137"/>
      <c r="D2034" s="59"/>
      <c r="E2034" s="116"/>
      <c r="F2034" s="120"/>
      <c r="G2034" s="120"/>
      <c r="H2034" s="120"/>
      <c r="I2034" s="60"/>
      <c r="J2034" s="116"/>
      <c r="K2034" s="213"/>
      <c r="L2034" s="120"/>
      <c r="M2034" s="120"/>
      <c r="N2034" s="167"/>
      <c r="O2034" s="120"/>
      <c r="P2034" s="120"/>
      <c r="Q2034" s="120"/>
      <c r="R2034" s="120"/>
      <c r="S2034" s="120"/>
      <c r="T2034" s="221"/>
      <c r="U2034" s="89"/>
      <c r="V2034" s="61"/>
      <c r="W2034" s="92" t="s">
        <v>1037</v>
      </c>
      <c r="X2034" s="93" t="s">
        <v>30</v>
      </c>
      <c r="Y2034" s="93" t="s">
        <v>1038</v>
      </c>
      <c r="Z2034" s="134">
        <f>VLOOKUP(W2034,Sheet2!$B:$D,3,FALSE)</f>
        <v>175</v>
      </c>
      <c r="AA2034" s="93">
        <v>300</v>
      </c>
      <c r="AB2034" s="93">
        <f>AD2034/AC2029</f>
        <v>0.58333333333333326</v>
      </c>
      <c r="AC2034" s="93">
        <f>AC2029/AA2034</f>
        <v>5.5739892499999977</v>
      </c>
      <c r="AD2034" s="94">
        <f t="shared" si="1492"/>
        <v>975.44811874999959</v>
      </c>
      <c r="AE2034" s="190"/>
      <c r="AF2034" s="191"/>
      <c r="AG2034" s="191"/>
      <c r="AH2034" s="191"/>
      <c r="AI2034" s="186"/>
      <c r="AK2034" s="171"/>
    </row>
    <row r="2035" spans="1:41" s="103" customFormat="1" ht="19.899999999999999" customHeight="1" x14ac:dyDescent="0.25">
      <c r="A2035" s="51"/>
      <c r="B2035" s="52"/>
      <c r="C2035" s="165"/>
      <c r="D2035" s="52"/>
      <c r="E2035" s="115"/>
      <c r="F2035" s="58"/>
      <c r="G2035" s="58"/>
      <c r="H2035" s="58"/>
      <c r="I2035" s="55"/>
      <c r="J2035" s="113">
        <f>J2019</f>
        <v>1672.1967749999994</v>
      </c>
      <c r="K2035" s="212">
        <f>K2019</f>
        <v>1672.1967749999994</v>
      </c>
      <c r="L2035" s="58"/>
      <c r="M2035" s="58">
        <f>K2035-L2035</f>
        <v>1672.1967749999994</v>
      </c>
      <c r="N2035" s="166"/>
      <c r="O2035" s="58"/>
      <c r="P2035" s="58"/>
      <c r="Q2035" s="58"/>
      <c r="R2035" s="58"/>
      <c r="S2035" s="58"/>
      <c r="T2035" s="220"/>
      <c r="U2035" s="88"/>
      <c r="V2035" s="56"/>
      <c r="W2035" s="57" t="s">
        <v>1040</v>
      </c>
      <c r="X2035" s="53"/>
      <c r="Y2035" s="91" t="s">
        <v>68</v>
      </c>
      <c r="Z2035" s="136">
        <f>AD2035/AC2035</f>
        <v>5.0000000000000009</v>
      </c>
      <c r="AA2035" s="58"/>
      <c r="AB2035" s="53">
        <f>AD2035/AC2035</f>
        <v>5.0000000000000009</v>
      </c>
      <c r="AC2035" s="53">
        <f>M2035+$AE$10</f>
        <v>1672.1967749999994</v>
      </c>
      <c r="AD2035" s="54">
        <f>SUM(AD2036)</f>
        <v>8360.9838749999981</v>
      </c>
      <c r="AE2035" s="184">
        <f>SUMIFS($AD$37:$AD$12971,$V$37:$V$12971,$V2035,$X$37:$X$12971,AE$13)</f>
        <v>0</v>
      </c>
      <c r="AF2035" s="185">
        <f>SUMIFS($AD$37:$AD$12971,$V$37:$V$12971,$V2035,$X$37:$X$12971,AF$13)</f>
        <v>0</v>
      </c>
      <c r="AG2035" s="185">
        <f>SUMIFS($AD$37:$AD$12971,$V$37:$V$12971,$V2035,$X$37:$X$12971,AG$13)</f>
        <v>0</v>
      </c>
      <c r="AH2035" s="187">
        <f>SUMIFS($AD$37:$AD$12971,$V$37:$V$12971,$V2035,$X$37:$X$12971,AH$13)</f>
        <v>0</v>
      </c>
      <c r="AI2035" s="161">
        <f t="shared" ref="AI2035" si="1493">SUM(AE2035:AH2035)</f>
        <v>0</v>
      </c>
      <c r="AK2035" s="172"/>
    </row>
    <row r="2036" spans="1:41" s="102" customFormat="1" ht="19.899999999999999" customHeight="1" x14ac:dyDescent="0.25">
      <c r="A2036" s="45"/>
      <c r="B2036" s="59"/>
      <c r="C2036" s="137"/>
      <c r="D2036" s="59"/>
      <c r="E2036" s="116"/>
      <c r="F2036" s="120"/>
      <c r="G2036" s="120"/>
      <c r="H2036" s="120"/>
      <c r="I2036" s="60"/>
      <c r="J2036" s="116"/>
      <c r="K2036" s="213"/>
      <c r="L2036" s="120"/>
      <c r="M2036" s="120"/>
      <c r="N2036" s="167"/>
      <c r="O2036" s="120"/>
      <c r="P2036" s="120"/>
      <c r="Q2036" s="120"/>
      <c r="R2036" s="120"/>
      <c r="S2036" s="120"/>
      <c r="T2036" s="221"/>
      <c r="U2036" s="89"/>
      <c r="V2036" s="61"/>
      <c r="W2036" s="92" t="s">
        <v>1039</v>
      </c>
      <c r="X2036" s="93" t="s">
        <v>32</v>
      </c>
      <c r="Y2036" s="93" t="s">
        <v>68</v>
      </c>
      <c r="Z2036" s="134">
        <f>VLOOKUP(W2036,Sheet2!$B:$D,3,FALSE)</f>
        <v>5</v>
      </c>
      <c r="AA2036" s="93">
        <v>1</v>
      </c>
      <c r="AB2036" s="93">
        <f>AD2036/AC2035</f>
        <v>5.0000000000000009</v>
      </c>
      <c r="AC2036" s="93">
        <f>AC2035/AA2036</f>
        <v>1672.1967749999994</v>
      </c>
      <c r="AD2036" s="94">
        <f t="shared" ref="AD2036" si="1494">AC2036*Z2036</f>
        <v>8360.9838749999981</v>
      </c>
      <c r="AE2036" s="190"/>
      <c r="AF2036" s="191"/>
      <c r="AG2036" s="191"/>
      <c r="AH2036" s="191"/>
      <c r="AI2036" s="186"/>
      <c r="AK2036" s="171"/>
    </row>
    <row r="2037" spans="1:41" ht="20.100000000000001" customHeight="1" x14ac:dyDescent="0.25">
      <c r="A2037" s="277" t="s">
        <v>410</v>
      </c>
      <c r="B2037" s="278"/>
      <c r="C2037" s="64" t="s">
        <v>414</v>
      </c>
      <c r="D2037" s="46" t="s">
        <v>97</v>
      </c>
      <c r="E2037" s="114">
        <v>10.420000000000002</v>
      </c>
      <c r="F2037" s="44">
        <v>156</v>
      </c>
      <c r="G2037" s="44">
        <f t="shared" si="1286"/>
        <v>1625.5200000000002</v>
      </c>
      <c r="H2037" s="44">
        <f t="shared" si="1287"/>
        <v>112.16606274509805</v>
      </c>
      <c r="I2037" s="43">
        <f t="shared" si="1288"/>
        <v>1168.7703738039218</v>
      </c>
      <c r="J2037" s="112">
        <f t="shared" si="1289"/>
        <v>10.420000000000002</v>
      </c>
      <c r="K2037" s="211">
        <f t="shared" si="1290"/>
        <v>10.420000000000002</v>
      </c>
      <c r="L2037" s="44"/>
      <c r="M2037" s="44">
        <f t="shared" si="1296"/>
        <v>10.420000000000002</v>
      </c>
      <c r="N2037" s="173">
        <f t="shared" si="1291"/>
        <v>1</v>
      </c>
      <c r="O2037" s="44">
        <f t="shared" si="1292"/>
        <v>156</v>
      </c>
      <c r="P2037" s="44">
        <f t="shared" si="1293"/>
        <v>1625.5200000000002</v>
      </c>
      <c r="Q2037" s="44">
        <f t="shared" si="1294"/>
        <v>112.16606274509805</v>
      </c>
      <c r="R2037" s="44">
        <f t="shared" si="1297"/>
        <v>1168.7703738039218</v>
      </c>
      <c r="S2037" s="123"/>
      <c r="T2037" s="219">
        <f t="shared" si="1298"/>
        <v>1168.7703738039218</v>
      </c>
      <c r="U2037" s="87"/>
      <c r="V2037" s="47"/>
      <c r="W2037" s="48"/>
      <c r="X2037" s="48"/>
      <c r="Y2037" s="48"/>
      <c r="Z2037" s="135"/>
      <c r="AA2037" s="49"/>
      <c r="AB2037" s="50">
        <f t="shared" si="1295"/>
        <v>112.16606274509805</v>
      </c>
      <c r="AC2037" s="42">
        <f t="shared" si="1299"/>
        <v>10.420000000000002</v>
      </c>
      <c r="AD2037" s="90">
        <f>AD2038+AD2047+AD2053</f>
        <v>1168.7703738039218</v>
      </c>
      <c r="AE2037" s="188">
        <f t="shared" ref="AE2037" si="1495">AE2038+AE2047+AE2053</f>
        <v>0</v>
      </c>
      <c r="AF2037" s="189">
        <f t="shared" ref="AF2037" si="1496">AF2038+AF2047+AF2053</f>
        <v>0</v>
      </c>
      <c r="AG2037" s="189">
        <f t="shared" ref="AG2037" si="1497">AG2038+AG2047+AG2053</f>
        <v>0</v>
      </c>
      <c r="AH2037" s="189">
        <f t="shared" ref="AH2037" si="1498">AH2038+AH2047+AH2053</f>
        <v>0</v>
      </c>
      <c r="AI2037" s="161">
        <f t="shared" ref="AI2037" si="1499">SUM(AE2037:AH2037)</f>
        <v>0</v>
      </c>
      <c r="AK2037" s="169">
        <v>5</v>
      </c>
      <c r="AO2037" s="19" t="s">
        <v>63</v>
      </c>
    </row>
    <row r="2038" spans="1:41" s="103" customFormat="1" ht="19.899999999999999" customHeight="1" x14ac:dyDescent="0.25">
      <c r="A2038" s="51"/>
      <c r="B2038" s="52"/>
      <c r="C2038" s="165"/>
      <c r="D2038" s="52"/>
      <c r="E2038" s="115"/>
      <c r="F2038" s="58"/>
      <c r="G2038" s="58"/>
      <c r="H2038" s="58"/>
      <c r="I2038" s="55"/>
      <c r="J2038" s="113">
        <f>J2037</f>
        <v>10.420000000000002</v>
      </c>
      <c r="K2038" s="212">
        <f>K2037</f>
        <v>10.420000000000002</v>
      </c>
      <c r="L2038" s="58"/>
      <c r="M2038" s="58">
        <f>K2038-L2038</f>
        <v>10.420000000000002</v>
      </c>
      <c r="N2038" s="166"/>
      <c r="O2038" s="58"/>
      <c r="P2038" s="58"/>
      <c r="Q2038" s="58"/>
      <c r="R2038" s="58"/>
      <c r="S2038" s="58"/>
      <c r="T2038" s="220"/>
      <c r="U2038" s="88"/>
      <c r="V2038" s="56"/>
      <c r="W2038" s="57" t="s">
        <v>1042</v>
      </c>
      <c r="X2038" s="53"/>
      <c r="Y2038" s="91" t="s">
        <v>68</v>
      </c>
      <c r="Z2038" s="136">
        <f>AD2038/AC2038</f>
        <v>7.5827294117647046</v>
      </c>
      <c r="AA2038" s="58"/>
      <c r="AB2038" s="53">
        <f>AD2038/AC2038</f>
        <v>7.5827294117647046</v>
      </c>
      <c r="AC2038" s="53">
        <f>M2038+$AE$10</f>
        <v>10.420000000000002</v>
      </c>
      <c r="AD2038" s="54">
        <f>SUM(AD2039:AD2046)</f>
        <v>79.012040470588232</v>
      </c>
      <c r="AE2038" s="184">
        <f>SUMIFS($AD$37:$AD$12971,$V$37:$V$12971,$V2038,$X$37:$X$12971,AE$13)</f>
        <v>0</v>
      </c>
      <c r="AF2038" s="185">
        <f>SUMIFS($AD$37:$AD$12971,$V$37:$V$12971,$V2038,$X$37:$X$12971,AF$13)</f>
        <v>0</v>
      </c>
      <c r="AG2038" s="185">
        <f>SUMIFS($AD$37:$AD$12971,$V$37:$V$12971,$V2038,$X$37:$X$12971,AG$13)</f>
        <v>0</v>
      </c>
      <c r="AH2038" s="187">
        <f>SUMIFS($AD$37:$AD$12971,$V$37:$V$12971,$V2038,$X$37:$X$12971,AH$13)</f>
        <v>0</v>
      </c>
      <c r="AI2038" s="161">
        <f t="shared" ref="AI2038" si="1500">SUM(AE2038:AH2038)</f>
        <v>0</v>
      </c>
      <c r="AK2038" s="172"/>
    </row>
    <row r="2039" spans="1:41" s="102" customFormat="1" ht="19.899999999999999" customHeight="1" x14ac:dyDescent="0.25">
      <c r="A2039" s="45"/>
      <c r="B2039" s="59"/>
      <c r="C2039" s="137"/>
      <c r="D2039" s="59"/>
      <c r="E2039" s="116"/>
      <c r="F2039" s="120"/>
      <c r="G2039" s="120"/>
      <c r="H2039" s="120"/>
      <c r="I2039" s="60"/>
      <c r="J2039" s="116"/>
      <c r="K2039" s="213"/>
      <c r="L2039" s="120"/>
      <c r="M2039" s="120"/>
      <c r="N2039" s="167"/>
      <c r="O2039" s="120"/>
      <c r="P2039" s="120"/>
      <c r="Q2039" s="120"/>
      <c r="R2039" s="120"/>
      <c r="S2039" s="120"/>
      <c r="T2039" s="221"/>
      <c r="U2039" s="89"/>
      <c r="V2039" s="61"/>
      <c r="W2039" s="92" t="s">
        <v>129</v>
      </c>
      <c r="X2039" s="93" t="s">
        <v>29</v>
      </c>
      <c r="Y2039" s="93" t="s">
        <v>93</v>
      </c>
      <c r="Z2039" s="134">
        <f>VLOOKUP(W2039,Sheet2!$B:$D,3,FALSE)</f>
        <v>56</v>
      </c>
      <c r="AA2039" s="93">
        <f>100/(1*1.5)</f>
        <v>66.666666666666671</v>
      </c>
      <c r="AB2039" s="93">
        <f t="shared" ref="AB2039" si="1501">AD2039/AC2038</f>
        <v>0.84</v>
      </c>
      <c r="AC2039" s="93">
        <f>AC2038/AA2039</f>
        <v>0.15630000000000002</v>
      </c>
      <c r="AD2039" s="94">
        <f t="shared" ref="AD2039:AD2040" si="1502">AC2039*Z2039</f>
        <v>8.7528000000000006</v>
      </c>
      <c r="AE2039" s="190"/>
      <c r="AF2039" s="191"/>
      <c r="AG2039" s="191"/>
      <c r="AH2039" s="191"/>
      <c r="AI2039" s="186"/>
      <c r="AK2039" s="171"/>
    </row>
    <row r="2040" spans="1:41" s="102" customFormat="1" ht="19.899999999999999" customHeight="1" x14ac:dyDescent="0.25">
      <c r="A2040" s="45"/>
      <c r="B2040" s="59"/>
      <c r="C2040" s="137"/>
      <c r="D2040" s="59"/>
      <c r="E2040" s="116"/>
      <c r="F2040" s="120"/>
      <c r="G2040" s="120"/>
      <c r="H2040" s="120"/>
      <c r="I2040" s="60"/>
      <c r="J2040" s="116"/>
      <c r="K2040" s="213"/>
      <c r="L2040" s="120"/>
      <c r="M2040" s="120"/>
      <c r="N2040" s="167"/>
      <c r="O2040" s="120"/>
      <c r="P2040" s="120"/>
      <c r="Q2040" s="120"/>
      <c r="R2040" s="120"/>
      <c r="S2040" s="120"/>
      <c r="T2040" s="221"/>
      <c r="U2040" s="89"/>
      <c r="V2040" s="61"/>
      <c r="W2040" s="92" t="s">
        <v>65</v>
      </c>
      <c r="X2040" s="93" t="s">
        <v>30</v>
      </c>
      <c r="Y2040" s="93" t="s">
        <v>1011</v>
      </c>
      <c r="Z2040" s="134">
        <f>VLOOKUP(W2040,Sheet2!$B:$D,3,FALSE)</f>
        <v>1.76</v>
      </c>
      <c r="AA2040" s="93">
        <f>AA2039/14</f>
        <v>4.7619047619047619</v>
      </c>
      <c r="AB2040" s="93">
        <f>AD2040/AC2038</f>
        <v>0.36960000000000004</v>
      </c>
      <c r="AC2040" s="93">
        <f>AC2038/AA2040</f>
        <v>2.1882000000000006</v>
      </c>
      <c r="AD2040" s="94">
        <f t="shared" si="1502"/>
        <v>3.8512320000000009</v>
      </c>
      <c r="AE2040" s="190"/>
      <c r="AF2040" s="191"/>
      <c r="AG2040" s="191"/>
      <c r="AH2040" s="191"/>
      <c r="AI2040" s="186"/>
      <c r="AK2040" s="171"/>
    </row>
    <row r="2041" spans="1:41" s="102" customFormat="1" ht="19.899999999999999" customHeight="1" x14ac:dyDescent="0.25">
      <c r="A2041" s="45"/>
      <c r="B2041" s="59"/>
      <c r="C2041" s="137"/>
      <c r="D2041" s="59"/>
      <c r="E2041" s="116"/>
      <c r="F2041" s="120"/>
      <c r="G2041" s="120"/>
      <c r="H2041" s="120"/>
      <c r="I2041" s="60"/>
      <c r="J2041" s="116"/>
      <c r="K2041" s="213"/>
      <c r="L2041" s="120"/>
      <c r="M2041" s="120"/>
      <c r="N2041" s="167"/>
      <c r="O2041" s="120"/>
      <c r="P2041" s="120"/>
      <c r="Q2041" s="120"/>
      <c r="R2041" s="120"/>
      <c r="S2041" s="120"/>
      <c r="T2041" s="221"/>
      <c r="U2041" s="89"/>
      <c r="V2041" s="61"/>
      <c r="W2041" s="92" t="s">
        <v>161</v>
      </c>
      <c r="X2041" s="93" t="s">
        <v>29</v>
      </c>
      <c r="Y2041" s="93" t="s">
        <v>93</v>
      </c>
      <c r="Z2041" s="134">
        <f>VLOOKUP(W2041,Sheet2!$B:$D,3,FALSE)</f>
        <v>48</v>
      </c>
      <c r="AA2041" s="93">
        <f>(16*0.85*1.5)/(1*1.5)</f>
        <v>13.6</v>
      </c>
      <c r="AB2041" s="93">
        <f>AD2041/AC2038</f>
        <v>3.5294117647058822</v>
      </c>
      <c r="AC2041" s="93">
        <f>AC2038/AA2041</f>
        <v>0.76617647058823546</v>
      </c>
      <c r="AD2041" s="94">
        <f>AC2041*Z2041</f>
        <v>36.776470588235298</v>
      </c>
      <c r="AE2041" s="190"/>
      <c r="AF2041" s="191"/>
      <c r="AG2041" s="191"/>
      <c r="AH2041" s="191"/>
      <c r="AI2041" s="186"/>
      <c r="AK2041" s="171"/>
    </row>
    <row r="2042" spans="1:41" s="102" customFormat="1" ht="19.899999999999999" customHeight="1" x14ac:dyDescent="0.25">
      <c r="A2042" s="45"/>
      <c r="B2042" s="59"/>
      <c r="C2042" s="137"/>
      <c r="D2042" s="59"/>
      <c r="E2042" s="116"/>
      <c r="F2042" s="120"/>
      <c r="G2042" s="120"/>
      <c r="H2042" s="120"/>
      <c r="I2042" s="60"/>
      <c r="J2042" s="116"/>
      <c r="K2042" s="213"/>
      <c r="L2042" s="120"/>
      <c r="M2042" s="120"/>
      <c r="N2042" s="167"/>
      <c r="O2042" s="120"/>
      <c r="P2042" s="120"/>
      <c r="Q2042" s="120"/>
      <c r="R2042" s="120"/>
      <c r="S2042" s="120"/>
      <c r="T2042" s="221"/>
      <c r="U2042" s="89"/>
      <c r="V2042" s="61"/>
      <c r="W2042" s="92" t="s">
        <v>65</v>
      </c>
      <c r="X2042" s="93" t="s">
        <v>30</v>
      </c>
      <c r="Y2042" s="93" t="s">
        <v>1011</v>
      </c>
      <c r="Z2042" s="134">
        <f>VLOOKUP(W2042,Sheet2!$B:$D,3,FALSE)</f>
        <v>1.76</v>
      </c>
      <c r="AA2042" s="93">
        <f>AA2041/10</f>
        <v>1.3599999999999999</v>
      </c>
      <c r="AB2042" s="93">
        <f>AD2042/AC2038</f>
        <v>1.2941176470588236</v>
      </c>
      <c r="AC2042" s="93">
        <f>AC2038/AA2042</f>
        <v>7.661764705882355</v>
      </c>
      <c r="AD2042" s="94">
        <f>AC2042*Z2042</f>
        <v>13.484705882352944</v>
      </c>
      <c r="AE2042" s="190"/>
      <c r="AF2042" s="191"/>
      <c r="AG2042" s="191"/>
      <c r="AH2042" s="191"/>
      <c r="AI2042" s="186"/>
      <c r="AK2042" s="171"/>
    </row>
    <row r="2043" spans="1:41" s="102" customFormat="1" ht="19.899999999999999" customHeight="1" x14ac:dyDescent="0.25">
      <c r="A2043" s="45"/>
      <c r="B2043" s="59"/>
      <c r="C2043" s="137"/>
      <c r="D2043" s="59"/>
      <c r="E2043" s="116"/>
      <c r="F2043" s="120"/>
      <c r="G2043" s="120"/>
      <c r="H2043" s="120"/>
      <c r="I2043" s="60"/>
      <c r="J2043" s="116"/>
      <c r="K2043" s="213"/>
      <c r="L2043" s="120"/>
      <c r="M2043" s="120"/>
      <c r="N2043" s="167"/>
      <c r="O2043" s="120"/>
      <c r="P2043" s="120"/>
      <c r="Q2043" s="120"/>
      <c r="R2043" s="120"/>
      <c r="S2043" s="120"/>
      <c r="T2043" s="221"/>
      <c r="U2043" s="89"/>
      <c r="V2043" s="61"/>
      <c r="W2043" s="92" t="s">
        <v>1030</v>
      </c>
      <c r="X2043" s="93" t="s">
        <v>29</v>
      </c>
      <c r="Y2043" s="93" t="s">
        <v>93</v>
      </c>
      <c r="Z2043" s="134">
        <f>VLOOKUP(W2043,Sheet2!$B:$D,3,FALSE)</f>
        <v>23</v>
      </c>
      <c r="AA2043" s="93">
        <v>50</v>
      </c>
      <c r="AB2043" s="93">
        <f>AD2043/AC2038</f>
        <v>0.45999999999999996</v>
      </c>
      <c r="AC2043" s="93">
        <f>AC2038/AA2043</f>
        <v>0.20840000000000003</v>
      </c>
      <c r="AD2043" s="94">
        <f t="shared" ref="AD2043:AD2046" si="1503">AC2043*Z2043</f>
        <v>4.7932000000000006</v>
      </c>
      <c r="AE2043" s="190"/>
      <c r="AF2043" s="191"/>
      <c r="AG2043" s="191"/>
      <c r="AH2043" s="191"/>
      <c r="AI2043" s="186"/>
      <c r="AK2043" s="171"/>
    </row>
    <row r="2044" spans="1:41" s="102" customFormat="1" ht="19.899999999999999" customHeight="1" x14ac:dyDescent="0.25">
      <c r="A2044" s="45"/>
      <c r="B2044" s="59"/>
      <c r="C2044" s="137"/>
      <c r="D2044" s="59"/>
      <c r="E2044" s="116"/>
      <c r="F2044" s="120"/>
      <c r="G2044" s="120"/>
      <c r="H2044" s="120"/>
      <c r="I2044" s="60"/>
      <c r="J2044" s="116"/>
      <c r="K2044" s="213"/>
      <c r="L2044" s="120"/>
      <c r="M2044" s="120"/>
      <c r="N2044" s="167"/>
      <c r="O2044" s="120"/>
      <c r="P2044" s="120"/>
      <c r="Q2044" s="120"/>
      <c r="R2044" s="120"/>
      <c r="S2044" s="120"/>
      <c r="T2044" s="221"/>
      <c r="U2044" s="89"/>
      <c r="V2044" s="61"/>
      <c r="W2044" s="92" t="s">
        <v>65</v>
      </c>
      <c r="X2044" s="93" t="s">
        <v>30</v>
      </c>
      <c r="Y2044" s="93" t="s">
        <v>1011</v>
      </c>
      <c r="Z2044" s="134">
        <f>VLOOKUP(W2044,Sheet2!$B:$D,3,FALSE)</f>
        <v>1.76</v>
      </c>
      <c r="AA2044" s="93">
        <f>AA2043/3</f>
        <v>16.666666666666668</v>
      </c>
      <c r="AB2044" s="93">
        <f>AD2044/AC2038</f>
        <v>0.1056</v>
      </c>
      <c r="AC2044" s="93">
        <f>AC2038/AA2044</f>
        <v>0.62520000000000009</v>
      </c>
      <c r="AD2044" s="94">
        <f t="shared" si="1503"/>
        <v>1.1003520000000002</v>
      </c>
      <c r="AE2044" s="190"/>
      <c r="AF2044" s="191"/>
      <c r="AG2044" s="191"/>
      <c r="AH2044" s="191"/>
      <c r="AI2044" s="186"/>
      <c r="AK2044" s="171"/>
    </row>
    <row r="2045" spans="1:41" s="102" customFormat="1" ht="19.899999999999999" customHeight="1" x14ac:dyDescent="0.25">
      <c r="A2045" s="45"/>
      <c r="B2045" s="59"/>
      <c r="C2045" s="137"/>
      <c r="D2045" s="59"/>
      <c r="E2045" s="116"/>
      <c r="F2045" s="120"/>
      <c r="G2045" s="120"/>
      <c r="H2045" s="120"/>
      <c r="I2045" s="60"/>
      <c r="J2045" s="116"/>
      <c r="K2045" s="213"/>
      <c r="L2045" s="120"/>
      <c r="M2045" s="120"/>
      <c r="N2045" s="167"/>
      <c r="O2045" s="120"/>
      <c r="P2045" s="120"/>
      <c r="Q2045" s="120"/>
      <c r="R2045" s="120"/>
      <c r="S2045" s="120"/>
      <c r="T2045" s="221"/>
      <c r="U2045" s="89"/>
      <c r="V2045" s="61"/>
      <c r="W2045" s="92" t="s">
        <v>148</v>
      </c>
      <c r="X2045" s="93" t="s">
        <v>29</v>
      </c>
      <c r="Y2045" s="93" t="s">
        <v>93</v>
      </c>
      <c r="Z2045" s="134">
        <f>VLOOKUP(W2045,Sheet2!$B:$D,3,FALSE)</f>
        <v>48</v>
      </c>
      <c r="AA2045" s="93">
        <f>AA2039</f>
        <v>66.666666666666671</v>
      </c>
      <c r="AB2045" s="93">
        <f>AD2045/AC2038</f>
        <v>0.72</v>
      </c>
      <c r="AC2045" s="93">
        <f>AC2038/AA2045</f>
        <v>0.15630000000000002</v>
      </c>
      <c r="AD2045" s="94">
        <f t="shared" si="1503"/>
        <v>7.5024000000000015</v>
      </c>
      <c r="AE2045" s="190"/>
      <c r="AF2045" s="191"/>
      <c r="AG2045" s="191"/>
      <c r="AH2045" s="191"/>
      <c r="AI2045" s="186"/>
      <c r="AK2045" s="171"/>
    </row>
    <row r="2046" spans="1:41" s="102" customFormat="1" ht="19.899999999999999" customHeight="1" x14ac:dyDescent="0.25">
      <c r="A2046" s="45"/>
      <c r="B2046" s="59"/>
      <c r="C2046" s="137"/>
      <c r="D2046" s="59"/>
      <c r="E2046" s="116"/>
      <c r="F2046" s="120"/>
      <c r="G2046" s="120"/>
      <c r="H2046" s="120"/>
      <c r="I2046" s="60"/>
      <c r="J2046" s="116"/>
      <c r="K2046" s="213"/>
      <c r="L2046" s="120"/>
      <c r="M2046" s="120"/>
      <c r="N2046" s="167"/>
      <c r="O2046" s="120"/>
      <c r="P2046" s="120"/>
      <c r="Q2046" s="120"/>
      <c r="R2046" s="120"/>
      <c r="S2046" s="120"/>
      <c r="T2046" s="221"/>
      <c r="U2046" s="89"/>
      <c r="V2046" s="61"/>
      <c r="W2046" s="92" t="s">
        <v>65</v>
      </c>
      <c r="X2046" s="93" t="s">
        <v>30</v>
      </c>
      <c r="Y2046" s="93" t="s">
        <v>1011</v>
      </c>
      <c r="Z2046" s="134">
        <f>VLOOKUP(W2046,Sheet2!$B:$D,3,FALSE)</f>
        <v>1.76</v>
      </c>
      <c r="AA2046" s="93">
        <f>AA2045/10</f>
        <v>6.666666666666667</v>
      </c>
      <c r="AB2046" s="93">
        <f>AD2046/AC2038</f>
        <v>0.26400000000000001</v>
      </c>
      <c r="AC2046" s="93">
        <f>AC2038/AA2046</f>
        <v>1.5630000000000002</v>
      </c>
      <c r="AD2046" s="94">
        <f t="shared" si="1503"/>
        <v>2.7508800000000004</v>
      </c>
      <c r="AE2046" s="190"/>
      <c r="AF2046" s="191"/>
      <c r="AG2046" s="191"/>
      <c r="AH2046" s="191"/>
      <c r="AI2046" s="186"/>
      <c r="AK2046" s="171"/>
    </row>
    <row r="2047" spans="1:41" s="103" customFormat="1" ht="19.899999999999999" customHeight="1" x14ac:dyDescent="0.25">
      <c r="A2047" s="51"/>
      <c r="B2047" s="52"/>
      <c r="C2047" s="165"/>
      <c r="D2047" s="52"/>
      <c r="E2047" s="115"/>
      <c r="F2047" s="58"/>
      <c r="G2047" s="58"/>
      <c r="H2047" s="58"/>
      <c r="I2047" s="55"/>
      <c r="J2047" s="113">
        <f>J2037</f>
        <v>10.420000000000002</v>
      </c>
      <c r="K2047" s="212">
        <f>K2037</f>
        <v>10.420000000000002</v>
      </c>
      <c r="L2047" s="58"/>
      <c r="M2047" s="58">
        <f>K2047-L2047</f>
        <v>10.420000000000002</v>
      </c>
      <c r="N2047" s="166"/>
      <c r="O2047" s="58"/>
      <c r="P2047" s="58"/>
      <c r="Q2047" s="58"/>
      <c r="R2047" s="58"/>
      <c r="S2047" s="58"/>
      <c r="T2047" s="220"/>
      <c r="U2047" s="88"/>
      <c r="V2047" s="56"/>
      <c r="W2047" s="57" t="s">
        <v>1036</v>
      </c>
      <c r="X2047" s="53"/>
      <c r="Y2047" s="91" t="s">
        <v>68</v>
      </c>
      <c r="Z2047" s="136">
        <f>AD2047/AC2047</f>
        <v>99.583333333333343</v>
      </c>
      <c r="AA2047" s="58"/>
      <c r="AB2047" s="53">
        <f>AD2047/AC2047</f>
        <v>99.583333333333343</v>
      </c>
      <c r="AC2047" s="53">
        <f>M2047+$AE$10</f>
        <v>10.420000000000002</v>
      </c>
      <c r="AD2047" s="54">
        <f>SUM(AD2048:AD2052)</f>
        <v>1037.6583333333335</v>
      </c>
      <c r="AE2047" s="184">
        <f>SUMIFS($AD$37:$AD$12971,$V$37:$V$12971,$V2047,$X$37:$X$12971,AE$13)</f>
        <v>0</v>
      </c>
      <c r="AF2047" s="185">
        <f>SUMIFS($AD$37:$AD$12971,$V$37:$V$12971,$V2047,$X$37:$X$12971,AF$13)</f>
        <v>0</v>
      </c>
      <c r="AG2047" s="185">
        <f>SUMIFS($AD$37:$AD$12971,$V$37:$V$12971,$V2047,$X$37:$X$12971,AG$13)</f>
        <v>0</v>
      </c>
      <c r="AH2047" s="187">
        <f>SUMIFS($AD$37:$AD$12971,$V$37:$V$12971,$V2047,$X$37:$X$12971,AH$13)</f>
        <v>0</v>
      </c>
      <c r="AI2047" s="161">
        <f t="shared" ref="AI2047" si="1504">SUM(AE2047:AH2047)</f>
        <v>0</v>
      </c>
      <c r="AK2047" s="172"/>
    </row>
    <row r="2048" spans="1:41" s="102" customFormat="1" ht="19.899999999999999" customHeight="1" x14ac:dyDescent="0.25">
      <c r="A2048" s="45"/>
      <c r="B2048" s="59"/>
      <c r="C2048" s="137"/>
      <c r="D2048" s="59"/>
      <c r="E2048" s="116"/>
      <c r="F2048" s="120"/>
      <c r="G2048" s="120"/>
      <c r="H2048" s="120"/>
      <c r="I2048" s="60"/>
      <c r="J2048" s="116"/>
      <c r="K2048" s="213"/>
      <c r="L2048" s="120"/>
      <c r="M2048" s="120"/>
      <c r="N2048" s="167"/>
      <c r="O2048" s="120"/>
      <c r="P2048" s="120"/>
      <c r="Q2048" s="120"/>
      <c r="R2048" s="120"/>
      <c r="S2048" s="120"/>
      <c r="T2048" s="221"/>
      <c r="U2048" s="89"/>
      <c r="V2048" s="61"/>
      <c r="W2048" s="92" t="s">
        <v>170</v>
      </c>
      <c r="X2048" s="93" t="s">
        <v>30</v>
      </c>
      <c r="Y2048" s="93" t="s">
        <v>68</v>
      </c>
      <c r="Z2048" s="134">
        <f>VLOOKUP(W2048,Sheet2!$B:$D,3,FALSE)</f>
        <v>39</v>
      </c>
      <c r="AA2048" s="93">
        <v>1</v>
      </c>
      <c r="AB2048" s="93">
        <f>AD2048/AC2047</f>
        <v>39</v>
      </c>
      <c r="AC2048" s="93">
        <f>AC2047/AA2048</f>
        <v>10.420000000000002</v>
      </c>
      <c r="AD2048" s="94">
        <f t="shared" ref="AD2048" si="1505">AC2048*Z2048</f>
        <v>406.38000000000005</v>
      </c>
      <c r="AE2048" s="190"/>
      <c r="AF2048" s="191"/>
      <c r="AG2048" s="191"/>
      <c r="AH2048" s="191"/>
      <c r="AI2048" s="186"/>
      <c r="AK2048" s="171"/>
    </row>
    <row r="2049" spans="1:41" s="102" customFormat="1" ht="19.899999999999999" customHeight="1" x14ac:dyDescent="0.25">
      <c r="A2049" s="45"/>
      <c r="B2049" s="59"/>
      <c r="C2049" s="137"/>
      <c r="D2049" s="59"/>
      <c r="E2049" s="116"/>
      <c r="F2049" s="120"/>
      <c r="G2049" s="120"/>
      <c r="H2049" s="120"/>
      <c r="I2049" s="60"/>
      <c r="J2049" s="116"/>
      <c r="K2049" s="213"/>
      <c r="L2049" s="120"/>
      <c r="M2049" s="120"/>
      <c r="N2049" s="167"/>
      <c r="O2049" s="120"/>
      <c r="P2049" s="120"/>
      <c r="Q2049" s="120"/>
      <c r="R2049" s="120"/>
      <c r="S2049" s="120"/>
      <c r="T2049" s="221"/>
      <c r="U2049" s="89"/>
      <c r="V2049" s="61"/>
      <c r="W2049" s="92" t="s">
        <v>1293</v>
      </c>
      <c r="X2049" s="93" t="s">
        <v>32</v>
      </c>
      <c r="Y2049" s="93" t="s">
        <v>68</v>
      </c>
      <c r="Z2049" s="134">
        <f>VLOOKUP(W2049,Sheet2!$B:$D,3,FALSE)</f>
        <v>20</v>
      </c>
      <c r="AA2049" s="93">
        <v>1</v>
      </c>
      <c r="AB2049" s="93">
        <f>AD2049/AC2047</f>
        <v>20</v>
      </c>
      <c r="AC2049" s="93">
        <f>AC2047/AA2049</f>
        <v>10.420000000000002</v>
      </c>
      <c r="AD2049" s="94">
        <f>AC2049*Z2049</f>
        <v>208.40000000000003</v>
      </c>
      <c r="AE2049" s="190"/>
      <c r="AF2049" s="191"/>
      <c r="AG2049" s="191"/>
      <c r="AH2049" s="191"/>
      <c r="AI2049" s="186"/>
      <c r="AK2049" s="171"/>
    </row>
    <row r="2050" spans="1:41" s="102" customFormat="1" ht="19.899999999999999" customHeight="1" x14ac:dyDescent="0.25">
      <c r="A2050" s="45"/>
      <c r="B2050" s="59"/>
      <c r="C2050" s="137"/>
      <c r="D2050" s="59"/>
      <c r="E2050" s="116"/>
      <c r="F2050" s="120"/>
      <c r="G2050" s="120"/>
      <c r="H2050" s="120"/>
      <c r="I2050" s="60"/>
      <c r="J2050" s="116"/>
      <c r="K2050" s="213"/>
      <c r="L2050" s="120"/>
      <c r="M2050" s="120"/>
      <c r="N2050" s="167"/>
      <c r="O2050" s="120"/>
      <c r="P2050" s="120"/>
      <c r="Q2050" s="120"/>
      <c r="R2050" s="120"/>
      <c r="S2050" s="120"/>
      <c r="T2050" s="221"/>
      <c r="U2050" s="89"/>
      <c r="V2050" s="61"/>
      <c r="W2050" s="92" t="s">
        <v>1032</v>
      </c>
      <c r="X2050" s="93" t="s">
        <v>30</v>
      </c>
      <c r="Y2050" s="93" t="s">
        <v>66</v>
      </c>
      <c r="Z2050" s="134">
        <f>VLOOKUP(W2050,Sheet2!$B:$D,3,FALSE)</f>
        <v>250</v>
      </c>
      <c r="AA2050" s="93">
        <f>1/(1*0.1)</f>
        <v>10</v>
      </c>
      <c r="AB2050" s="93">
        <f>AD2050/AC2047</f>
        <v>25</v>
      </c>
      <c r="AC2050" s="93">
        <f>AC2047/AA2050</f>
        <v>1.0420000000000003</v>
      </c>
      <c r="AD2050" s="94">
        <f>AC2050*Z2050</f>
        <v>260.50000000000006</v>
      </c>
      <c r="AE2050" s="190"/>
      <c r="AF2050" s="191"/>
      <c r="AG2050" s="191"/>
      <c r="AH2050" s="191"/>
      <c r="AI2050" s="186"/>
      <c r="AK2050" s="171"/>
    </row>
    <row r="2051" spans="1:41" s="102" customFormat="1" ht="19.899999999999999" customHeight="1" x14ac:dyDescent="0.25">
      <c r="A2051" s="45"/>
      <c r="B2051" s="59"/>
      <c r="C2051" s="137"/>
      <c r="D2051" s="59"/>
      <c r="E2051" s="116"/>
      <c r="F2051" s="120"/>
      <c r="G2051" s="120"/>
      <c r="H2051" s="120"/>
      <c r="I2051" s="60"/>
      <c r="J2051" s="116"/>
      <c r="K2051" s="213"/>
      <c r="L2051" s="120"/>
      <c r="M2051" s="120"/>
      <c r="N2051" s="167"/>
      <c r="O2051" s="120"/>
      <c r="P2051" s="120"/>
      <c r="Q2051" s="120"/>
      <c r="R2051" s="120"/>
      <c r="S2051" s="120"/>
      <c r="T2051" s="221"/>
      <c r="U2051" s="89"/>
      <c r="V2051" s="61"/>
      <c r="W2051" s="92" t="s">
        <v>1035</v>
      </c>
      <c r="X2051" s="93" t="s">
        <v>32</v>
      </c>
      <c r="Y2051" s="93" t="s">
        <v>66</v>
      </c>
      <c r="Z2051" s="134">
        <f>VLOOKUP(W2051,Sheet2!$B:$D,3,FALSE)</f>
        <v>150</v>
      </c>
      <c r="AA2051" s="93">
        <f>AA2050</f>
        <v>10</v>
      </c>
      <c r="AB2051" s="93">
        <f>AD2051/AC2047</f>
        <v>15.000000000000002</v>
      </c>
      <c r="AC2051" s="93">
        <f>AC2047/AA2051</f>
        <v>1.0420000000000003</v>
      </c>
      <c r="AD2051" s="94">
        <f t="shared" ref="AD2051:AD2052" si="1506">AC2051*Z2051</f>
        <v>156.30000000000004</v>
      </c>
      <c r="AE2051" s="190"/>
      <c r="AF2051" s="191"/>
      <c r="AG2051" s="191"/>
      <c r="AH2051" s="191"/>
      <c r="AI2051" s="186"/>
      <c r="AK2051" s="171"/>
    </row>
    <row r="2052" spans="1:41" s="102" customFormat="1" ht="19.899999999999999" customHeight="1" x14ac:dyDescent="0.25">
      <c r="A2052" s="45"/>
      <c r="B2052" s="59"/>
      <c r="C2052" s="137"/>
      <c r="D2052" s="59"/>
      <c r="E2052" s="116"/>
      <c r="F2052" s="120"/>
      <c r="G2052" s="120"/>
      <c r="H2052" s="120"/>
      <c r="I2052" s="60"/>
      <c r="J2052" s="116"/>
      <c r="K2052" s="213"/>
      <c r="L2052" s="120"/>
      <c r="M2052" s="120"/>
      <c r="N2052" s="167"/>
      <c r="O2052" s="120"/>
      <c r="P2052" s="120"/>
      <c r="Q2052" s="120"/>
      <c r="R2052" s="120"/>
      <c r="S2052" s="120"/>
      <c r="T2052" s="221"/>
      <c r="U2052" s="89"/>
      <c r="V2052" s="61"/>
      <c r="W2052" s="92" t="s">
        <v>1037</v>
      </c>
      <c r="X2052" s="93" t="s">
        <v>30</v>
      </c>
      <c r="Y2052" s="93" t="s">
        <v>1038</v>
      </c>
      <c r="Z2052" s="134">
        <f>VLOOKUP(W2052,Sheet2!$B:$D,3,FALSE)</f>
        <v>175</v>
      </c>
      <c r="AA2052" s="93">
        <v>300</v>
      </c>
      <c r="AB2052" s="93">
        <f>AD2052/AC2047</f>
        <v>0.58333333333333326</v>
      </c>
      <c r="AC2052" s="93">
        <f>AC2047/AA2052</f>
        <v>3.4733333333333338E-2</v>
      </c>
      <c r="AD2052" s="94">
        <f t="shared" si="1506"/>
        <v>6.078333333333334</v>
      </c>
      <c r="AE2052" s="190"/>
      <c r="AF2052" s="191"/>
      <c r="AG2052" s="191"/>
      <c r="AH2052" s="191"/>
      <c r="AI2052" s="186"/>
      <c r="AK2052" s="171"/>
    </row>
    <row r="2053" spans="1:41" s="103" customFormat="1" ht="19.899999999999999" customHeight="1" x14ac:dyDescent="0.25">
      <c r="A2053" s="51"/>
      <c r="B2053" s="52"/>
      <c r="C2053" s="165"/>
      <c r="D2053" s="52"/>
      <c r="E2053" s="115"/>
      <c r="F2053" s="58"/>
      <c r="G2053" s="58"/>
      <c r="H2053" s="58"/>
      <c r="I2053" s="55"/>
      <c r="J2053" s="113">
        <f>J2037</f>
        <v>10.420000000000002</v>
      </c>
      <c r="K2053" s="212">
        <f>K2037</f>
        <v>10.420000000000002</v>
      </c>
      <c r="L2053" s="58"/>
      <c r="M2053" s="58">
        <f>K2053-L2053</f>
        <v>10.420000000000002</v>
      </c>
      <c r="N2053" s="166"/>
      <c r="O2053" s="58"/>
      <c r="P2053" s="58"/>
      <c r="Q2053" s="58"/>
      <c r="R2053" s="58"/>
      <c r="S2053" s="58"/>
      <c r="T2053" s="220"/>
      <c r="U2053" s="88"/>
      <c r="V2053" s="56"/>
      <c r="W2053" s="57" t="s">
        <v>1040</v>
      </c>
      <c r="X2053" s="53"/>
      <c r="Y2053" s="91" t="s">
        <v>68</v>
      </c>
      <c r="Z2053" s="136">
        <f>AD2053/AC2053</f>
        <v>5</v>
      </c>
      <c r="AA2053" s="58"/>
      <c r="AB2053" s="53">
        <f>AD2053/AC2053</f>
        <v>5</v>
      </c>
      <c r="AC2053" s="53">
        <f>M2053+$AE$10</f>
        <v>10.420000000000002</v>
      </c>
      <c r="AD2053" s="54">
        <f>SUM(AD2054)</f>
        <v>52.100000000000009</v>
      </c>
      <c r="AE2053" s="184">
        <f>SUMIFS($AD$37:$AD$12971,$V$37:$V$12971,$V2053,$X$37:$X$12971,AE$13)</f>
        <v>0</v>
      </c>
      <c r="AF2053" s="185">
        <f>SUMIFS($AD$37:$AD$12971,$V$37:$V$12971,$V2053,$X$37:$X$12971,AF$13)</f>
        <v>0</v>
      </c>
      <c r="AG2053" s="185">
        <f>SUMIFS($AD$37:$AD$12971,$V$37:$V$12971,$V2053,$X$37:$X$12971,AG$13)</f>
        <v>0</v>
      </c>
      <c r="AH2053" s="187">
        <f>SUMIFS($AD$37:$AD$12971,$V$37:$V$12971,$V2053,$X$37:$X$12971,AH$13)</f>
        <v>0</v>
      </c>
      <c r="AI2053" s="161">
        <f t="shared" ref="AI2053" si="1507">SUM(AE2053:AH2053)</f>
        <v>0</v>
      </c>
      <c r="AK2053" s="172"/>
    </row>
    <row r="2054" spans="1:41" s="102" customFormat="1" ht="19.899999999999999" customHeight="1" x14ac:dyDescent="0.25">
      <c r="A2054" s="45"/>
      <c r="B2054" s="59"/>
      <c r="C2054" s="137"/>
      <c r="D2054" s="59"/>
      <c r="E2054" s="116"/>
      <c r="F2054" s="120"/>
      <c r="G2054" s="120"/>
      <c r="H2054" s="120"/>
      <c r="I2054" s="60"/>
      <c r="J2054" s="116"/>
      <c r="K2054" s="213"/>
      <c r="L2054" s="120"/>
      <c r="M2054" s="120"/>
      <c r="N2054" s="167"/>
      <c r="O2054" s="120"/>
      <c r="P2054" s="120"/>
      <c r="Q2054" s="120"/>
      <c r="R2054" s="120"/>
      <c r="S2054" s="120"/>
      <c r="T2054" s="221"/>
      <c r="U2054" s="89"/>
      <c r="V2054" s="61"/>
      <c r="W2054" s="92" t="s">
        <v>1039</v>
      </c>
      <c r="X2054" s="93" t="s">
        <v>32</v>
      </c>
      <c r="Y2054" s="93" t="s">
        <v>68</v>
      </c>
      <c r="Z2054" s="134">
        <f>VLOOKUP(W2054,Sheet2!$B:$D,3,FALSE)</f>
        <v>5</v>
      </c>
      <c r="AA2054" s="93">
        <v>1</v>
      </c>
      <c r="AB2054" s="93">
        <f>AD2054/AC2053</f>
        <v>5</v>
      </c>
      <c r="AC2054" s="93">
        <f>AC2053/AA2054</f>
        <v>10.420000000000002</v>
      </c>
      <c r="AD2054" s="94">
        <f t="shared" ref="AD2054" si="1508">AC2054*Z2054</f>
        <v>52.100000000000009</v>
      </c>
      <c r="AE2054" s="190"/>
      <c r="AF2054" s="191"/>
      <c r="AG2054" s="191"/>
      <c r="AH2054" s="191"/>
      <c r="AI2054" s="186"/>
      <c r="AK2054" s="171"/>
    </row>
    <row r="2055" spans="1:41" ht="20.100000000000001" customHeight="1" x14ac:dyDescent="0.25">
      <c r="A2055" s="277" t="s">
        <v>410</v>
      </c>
      <c r="B2055" s="278"/>
      <c r="C2055" s="64" t="s">
        <v>414</v>
      </c>
      <c r="D2055" s="46" t="s">
        <v>97</v>
      </c>
      <c r="E2055" s="114"/>
      <c r="F2055" s="44">
        <v>0</v>
      </c>
      <c r="G2055" s="44">
        <f t="shared" si="1286"/>
        <v>0</v>
      </c>
      <c r="H2055" s="44">
        <f t="shared" si="1287"/>
        <v>0</v>
      </c>
      <c r="I2055" s="43">
        <f t="shared" si="1288"/>
        <v>0</v>
      </c>
      <c r="J2055" s="112">
        <f t="shared" si="1289"/>
        <v>0</v>
      </c>
      <c r="K2055" s="211">
        <f t="shared" si="1290"/>
        <v>0</v>
      </c>
      <c r="L2055" s="44"/>
      <c r="M2055" s="44">
        <f t="shared" si="1296"/>
        <v>0</v>
      </c>
      <c r="N2055" s="173">
        <f t="shared" si="1291"/>
        <v>0</v>
      </c>
      <c r="O2055" s="44">
        <f t="shared" si="1292"/>
        <v>0</v>
      </c>
      <c r="P2055" s="44">
        <f t="shared" si="1293"/>
        <v>0</v>
      </c>
      <c r="Q2055" s="44">
        <f t="shared" si="1294"/>
        <v>0</v>
      </c>
      <c r="R2055" s="44">
        <f t="shared" si="1297"/>
        <v>0</v>
      </c>
      <c r="S2055" s="123"/>
      <c r="T2055" s="219">
        <f t="shared" si="1298"/>
        <v>0</v>
      </c>
      <c r="U2055" s="87"/>
      <c r="V2055" s="47"/>
      <c r="W2055" s="48"/>
      <c r="X2055" s="48"/>
      <c r="Y2055" s="48"/>
      <c r="Z2055" s="135"/>
      <c r="AA2055" s="49"/>
      <c r="AB2055" s="50">
        <f t="shared" si="1295"/>
        <v>0</v>
      </c>
      <c r="AC2055" s="42">
        <f t="shared" si="1299"/>
        <v>9.9999999999999998E-20</v>
      </c>
      <c r="AD2055" s="90"/>
      <c r="AE2055" s="188"/>
      <c r="AF2055" s="189"/>
      <c r="AG2055" s="189"/>
      <c r="AH2055" s="189"/>
      <c r="AI2055" s="161"/>
    </row>
    <row r="2056" spans="1:41" ht="20.100000000000001" customHeight="1" x14ac:dyDescent="0.25">
      <c r="A2056" s="277" t="s">
        <v>410</v>
      </c>
      <c r="B2056" s="278"/>
      <c r="C2056" s="64" t="s">
        <v>415</v>
      </c>
      <c r="D2056" s="46" t="s">
        <v>97</v>
      </c>
      <c r="E2056" s="114">
        <v>1136.7469249999958</v>
      </c>
      <c r="F2056" s="44">
        <v>336</v>
      </c>
      <c r="G2056" s="44">
        <f t="shared" si="1286"/>
        <v>381946.9667999986</v>
      </c>
      <c r="H2056" s="44">
        <f t="shared" si="1287"/>
        <v>196.16606274509806</v>
      </c>
      <c r="I2056" s="43">
        <f t="shared" si="1288"/>
        <v>222991.16861484645</v>
      </c>
      <c r="J2056" s="112">
        <f t="shared" si="1289"/>
        <v>1136.7469249999958</v>
      </c>
      <c r="K2056" s="211">
        <f t="shared" si="1290"/>
        <v>1136.7469249999958</v>
      </c>
      <c r="L2056" s="44"/>
      <c r="M2056" s="44">
        <f t="shared" si="1296"/>
        <v>1136.7469249999958</v>
      </c>
      <c r="N2056" s="173">
        <f t="shared" si="1291"/>
        <v>1</v>
      </c>
      <c r="O2056" s="44">
        <f t="shared" si="1292"/>
        <v>336</v>
      </c>
      <c r="P2056" s="44">
        <f t="shared" si="1293"/>
        <v>381946.9667999986</v>
      </c>
      <c r="Q2056" s="44">
        <f t="shared" si="1294"/>
        <v>196.16606274509806</v>
      </c>
      <c r="R2056" s="44">
        <f t="shared" si="1297"/>
        <v>222991.16861484645</v>
      </c>
      <c r="S2056" s="123"/>
      <c r="T2056" s="219">
        <f t="shared" si="1298"/>
        <v>222991.16861484645</v>
      </c>
      <c r="U2056" s="87"/>
      <c r="V2056" s="47"/>
      <c r="W2056" s="48"/>
      <c r="X2056" s="48"/>
      <c r="Y2056" s="48"/>
      <c r="Z2056" s="135"/>
      <c r="AA2056" s="49"/>
      <c r="AB2056" s="50">
        <f t="shared" si="1295"/>
        <v>196.16606274509806</v>
      </c>
      <c r="AC2056" s="42">
        <f t="shared" si="1299"/>
        <v>1136.7469249999958</v>
      </c>
      <c r="AD2056" s="90">
        <f>AD2057+AD2066+AD2072</f>
        <v>222991.16861484645</v>
      </c>
      <c r="AE2056" s="188">
        <f t="shared" ref="AE2056" si="1509">AE2057+AE2066+AE2072</f>
        <v>0</v>
      </c>
      <c r="AF2056" s="189">
        <f t="shared" ref="AF2056" si="1510">AF2057+AF2066+AF2072</f>
        <v>0</v>
      </c>
      <c r="AG2056" s="189">
        <f t="shared" ref="AG2056" si="1511">AG2057+AG2066+AG2072</f>
        <v>0</v>
      </c>
      <c r="AH2056" s="189">
        <f t="shared" ref="AH2056" si="1512">AH2057+AH2066+AH2072</f>
        <v>0</v>
      </c>
      <c r="AI2056" s="161">
        <f t="shared" ref="AI2056" si="1513">SUM(AE2056:AH2056)</f>
        <v>0</v>
      </c>
      <c r="AK2056" s="169">
        <v>5</v>
      </c>
      <c r="AO2056" s="19" t="s">
        <v>63</v>
      </c>
    </row>
    <row r="2057" spans="1:41" s="103" customFormat="1" ht="19.899999999999999" customHeight="1" x14ac:dyDescent="0.25">
      <c r="A2057" s="51"/>
      <c r="B2057" s="52"/>
      <c r="C2057" s="165"/>
      <c r="D2057" s="52"/>
      <c r="E2057" s="115"/>
      <c r="F2057" s="58"/>
      <c r="G2057" s="58"/>
      <c r="H2057" s="58"/>
      <c r="I2057" s="55"/>
      <c r="J2057" s="113">
        <f>J2056</f>
        <v>1136.7469249999958</v>
      </c>
      <c r="K2057" s="212">
        <f>K2056</f>
        <v>1136.7469249999958</v>
      </c>
      <c r="L2057" s="58"/>
      <c r="M2057" s="58">
        <f>K2057-L2057</f>
        <v>1136.7469249999958</v>
      </c>
      <c r="N2057" s="166"/>
      <c r="O2057" s="58"/>
      <c r="P2057" s="58"/>
      <c r="Q2057" s="58"/>
      <c r="R2057" s="58"/>
      <c r="S2057" s="58"/>
      <c r="T2057" s="220"/>
      <c r="U2057" s="88"/>
      <c r="V2057" s="56"/>
      <c r="W2057" s="57" t="s">
        <v>1042</v>
      </c>
      <c r="X2057" s="53"/>
      <c r="Y2057" s="91" t="s">
        <v>68</v>
      </c>
      <c r="Z2057" s="136">
        <f>AD2057/AC2057</f>
        <v>7.5827294117647055</v>
      </c>
      <c r="AA2057" s="58"/>
      <c r="AB2057" s="53">
        <f>AD2057/AC2057</f>
        <v>7.5827294117647055</v>
      </c>
      <c r="AC2057" s="53">
        <f>M2057+$AE$10</f>
        <v>1136.7469249999958</v>
      </c>
      <c r="AD2057" s="54">
        <f>SUM(AD2058:AD2065)</f>
        <v>8619.644341930556</v>
      </c>
      <c r="AE2057" s="184">
        <f>SUMIFS($AD$37:$AD$12971,$V$37:$V$12971,$V2057,$X$37:$X$12971,AE$13)</f>
        <v>0</v>
      </c>
      <c r="AF2057" s="185">
        <f>SUMIFS($AD$37:$AD$12971,$V$37:$V$12971,$V2057,$X$37:$X$12971,AF$13)</f>
        <v>0</v>
      </c>
      <c r="AG2057" s="185">
        <f>SUMIFS($AD$37:$AD$12971,$V$37:$V$12971,$V2057,$X$37:$X$12971,AG$13)</f>
        <v>0</v>
      </c>
      <c r="AH2057" s="187">
        <f>SUMIFS($AD$37:$AD$12971,$V$37:$V$12971,$V2057,$X$37:$X$12971,AH$13)</f>
        <v>0</v>
      </c>
      <c r="AI2057" s="161">
        <f t="shared" ref="AI2057" si="1514">SUM(AE2057:AH2057)</f>
        <v>0</v>
      </c>
      <c r="AK2057" s="172"/>
    </row>
    <row r="2058" spans="1:41" s="102" customFormat="1" ht="19.899999999999999" customHeight="1" x14ac:dyDescent="0.25">
      <c r="A2058" s="45"/>
      <c r="B2058" s="59"/>
      <c r="C2058" s="137"/>
      <c r="D2058" s="59"/>
      <c r="E2058" s="116"/>
      <c r="F2058" s="120"/>
      <c r="G2058" s="120"/>
      <c r="H2058" s="120"/>
      <c r="I2058" s="60"/>
      <c r="J2058" s="116"/>
      <c r="K2058" s="213"/>
      <c r="L2058" s="120"/>
      <c r="M2058" s="120"/>
      <c r="N2058" s="167"/>
      <c r="O2058" s="120"/>
      <c r="P2058" s="120"/>
      <c r="Q2058" s="120"/>
      <c r="R2058" s="120"/>
      <c r="S2058" s="120"/>
      <c r="T2058" s="221"/>
      <c r="U2058" s="89"/>
      <c r="V2058" s="61"/>
      <c r="W2058" s="92" t="s">
        <v>129</v>
      </c>
      <c r="X2058" s="93" t="s">
        <v>29</v>
      </c>
      <c r="Y2058" s="93" t="s">
        <v>93</v>
      </c>
      <c r="Z2058" s="134">
        <f>VLOOKUP(W2058,Sheet2!$B:$D,3,FALSE)</f>
        <v>56</v>
      </c>
      <c r="AA2058" s="93">
        <f>100/(1*1.5)</f>
        <v>66.666666666666671</v>
      </c>
      <c r="AB2058" s="93">
        <f t="shared" ref="AB2058" si="1515">AD2058/AC2057</f>
        <v>0.83999999999999986</v>
      </c>
      <c r="AC2058" s="93">
        <f>AC2057/AA2058</f>
        <v>17.051203874999935</v>
      </c>
      <c r="AD2058" s="94">
        <f t="shared" ref="AD2058:AD2059" si="1516">AC2058*Z2058</f>
        <v>954.86741699999629</v>
      </c>
      <c r="AE2058" s="190"/>
      <c r="AF2058" s="191"/>
      <c r="AG2058" s="191"/>
      <c r="AH2058" s="191"/>
      <c r="AI2058" s="186"/>
      <c r="AK2058" s="171"/>
    </row>
    <row r="2059" spans="1:41" s="102" customFormat="1" ht="19.899999999999999" customHeight="1" x14ac:dyDescent="0.25">
      <c r="A2059" s="45"/>
      <c r="B2059" s="59"/>
      <c r="C2059" s="137"/>
      <c r="D2059" s="59"/>
      <c r="E2059" s="116"/>
      <c r="F2059" s="120"/>
      <c r="G2059" s="120"/>
      <c r="H2059" s="120"/>
      <c r="I2059" s="60"/>
      <c r="J2059" s="116"/>
      <c r="K2059" s="213"/>
      <c r="L2059" s="120"/>
      <c r="M2059" s="120"/>
      <c r="N2059" s="167"/>
      <c r="O2059" s="120"/>
      <c r="P2059" s="120"/>
      <c r="Q2059" s="120"/>
      <c r="R2059" s="120"/>
      <c r="S2059" s="120"/>
      <c r="T2059" s="221"/>
      <c r="U2059" s="89"/>
      <c r="V2059" s="61"/>
      <c r="W2059" s="92" t="s">
        <v>65</v>
      </c>
      <c r="X2059" s="93" t="s">
        <v>30</v>
      </c>
      <c r="Y2059" s="93" t="s">
        <v>1011</v>
      </c>
      <c r="Z2059" s="134">
        <f>VLOOKUP(W2059,Sheet2!$B:$D,3,FALSE)</f>
        <v>1.76</v>
      </c>
      <c r="AA2059" s="93">
        <f>AA2058/14</f>
        <v>4.7619047619047619</v>
      </c>
      <c r="AB2059" s="93">
        <f>AD2059/AC2057</f>
        <v>0.36960000000000004</v>
      </c>
      <c r="AC2059" s="93">
        <f>AC2057/AA2059</f>
        <v>238.71685424999913</v>
      </c>
      <c r="AD2059" s="94">
        <f t="shared" si="1516"/>
        <v>420.1416634799985</v>
      </c>
      <c r="AE2059" s="190"/>
      <c r="AF2059" s="191"/>
      <c r="AG2059" s="191"/>
      <c r="AH2059" s="191"/>
      <c r="AI2059" s="186"/>
      <c r="AK2059" s="171"/>
    </row>
    <row r="2060" spans="1:41" s="102" customFormat="1" ht="19.899999999999999" customHeight="1" x14ac:dyDescent="0.25">
      <c r="A2060" s="45"/>
      <c r="B2060" s="59"/>
      <c r="C2060" s="137"/>
      <c r="D2060" s="59"/>
      <c r="E2060" s="116"/>
      <c r="F2060" s="120"/>
      <c r="G2060" s="120"/>
      <c r="H2060" s="120"/>
      <c r="I2060" s="60"/>
      <c r="J2060" s="116"/>
      <c r="K2060" s="213"/>
      <c r="L2060" s="120"/>
      <c r="M2060" s="120"/>
      <c r="N2060" s="167"/>
      <c r="O2060" s="120"/>
      <c r="P2060" s="120"/>
      <c r="Q2060" s="120"/>
      <c r="R2060" s="120"/>
      <c r="S2060" s="120"/>
      <c r="T2060" s="221"/>
      <c r="U2060" s="89"/>
      <c r="V2060" s="61"/>
      <c r="W2060" s="92" t="s">
        <v>161</v>
      </c>
      <c r="X2060" s="93" t="s">
        <v>29</v>
      </c>
      <c r="Y2060" s="93" t="s">
        <v>93</v>
      </c>
      <c r="Z2060" s="134">
        <f>VLOOKUP(W2060,Sheet2!$B:$D,3,FALSE)</f>
        <v>48</v>
      </c>
      <c r="AA2060" s="93">
        <f>(16*0.85*1.5)/(1*1.5)</f>
        <v>13.6</v>
      </c>
      <c r="AB2060" s="93">
        <f>AD2060/AC2057</f>
        <v>3.5294117647058827</v>
      </c>
      <c r="AC2060" s="93">
        <f>AC2057/AA2060</f>
        <v>83.584332720587938</v>
      </c>
      <c r="AD2060" s="94">
        <f>AC2060*Z2060</f>
        <v>4012.0479705882208</v>
      </c>
      <c r="AE2060" s="190"/>
      <c r="AF2060" s="191"/>
      <c r="AG2060" s="191"/>
      <c r="AH2060" s="191"/>
      <c r="AI2060" s="186"/>
      <c r="AK2060" s="171"/>
    </row>
    <row r="2061" spans="1:41" s="102" customFormat="1" ht="19.899999999999999" customHeight="1" x14ac:dyDescent="0.25">
      <c r="A2061" s="45"/>
      <c r="B2061" s="59"/>
      <c r="C2061" s="137"/>
      <c r="D2061" s="59"/>
      <c r="E2061" s="116"/>
      <c r="F2061" s="120"/>
      <c r="G2061" s="120"/>
      <c r="H2061" s="120"/>
      <c r="I2061" s="60"/>
      <c r="J2061" s="116"/>
      <c r="K2061" s="213"/>
      <c r="L2061" s="120"/>
      <c r="M2061" s="120"/>
      <c r="N2061" s="167"/>
      <c r="O2061" s="120"/>
      <c r="P2061" s="120"/>
      <c r="Q2061" s="120"/>
      <c r="R2061" s="120"/>
      <c r="S2061" s="120"/>
      <c r="T2061" s="221"/>
      <c r="U2061" s="89"/>
      <c r="V2061" s="61"/>
      <c r="W2061" s="92" t="s">
        <v>65</v>
      </c>
      <c r="X2061" s="93" t="s">
        <v>30</v>
      </c>
      <c r="Y2061" s="93" t="s">
        <v>1011</v>
      </c>
      <c r="Z2061" s="134">
        <f>VLOOKUP(W2061,Sheet2!$B:$D,3,FALSE)</f>
        <v>1.76</v>
      </c>
      <c r="AA2061" s="93">
        <f>AA2060/10</f>
        <v>1.3599999999999999</v>
      </c>
      <c r="AB2061" s="93">
        <f>AD2061/AC2057</f>
        <v>1.2941176470588238</v>
      </c>
      <c r="AC2061" s="93">
        <f>AC2057/AA2061</f>
        <v>835.8433272058794</v>
      </c>
      <c r="AD2061" s="94">
        <f>AC2061*Z2061</f>
        <v>1471.0842558823479</v>
      </c>
      <c r="AE2061" s="190"/>
      <c r="AF2061" s="191"/>
      <c r="AG2061" s="191"/>
      <c r="AH2061" s="191"/>
      <c r="AI2061" s="186"/>
      <c r="AK2061" s="171"/>
    </row>
    <row r="2062" spans="1:41" s="102" customFormat="1" ht="19.899999999999999" customHeight="1" x14ac:dyDescent="0.25">
      <c r="A2062" s="45"/>
      <c r="B2062" s="59"/>
      <c r="C2062" s="137"/>
      <c r="D2062" s="59"/>
      <c r="E2062" s="116"/>
      <c r="F2062" s="120"/>
      <c r="G2062" s="120"/>
      <c r="H2062" s="120"/>
      <c r="I2062" s="60"/>
      <c r="J2062" s="116"/>
      <c r="K2062" s="213"/>
      <c r="L2062" s="120"/>
      <c r="M2062" s="120"/>
      <c r="N2062" s="167"/>
      <c r="O2062" s="120"/>
      <c r="P2062" s="120"/>
      <c r="Q2062" s="120"/>
      <c r="R2062" s="120"/>
      <c r="S2062" s="120"/>
      <c r="T2062" s="221"/>
      <c r="U2062" s="89"/>
      <c r="V2062" s="61"/>
      <c r="W2062" s="92" t="s">
        <v>1030</v>
      </c>
      <c r="X2062" s="93" t="s">
        <v>29</v>
      </c>
      <c r="Y2062" s="93" t="s">
        <v>93</v>
      </c>
      <c r="Z2062" s="134">
        <f>VLOOKUP(W2062,Sheet2!$B:$D,3,FALSE)</f>
        <v>23</v>
      </c>
      <c r="AA2062" s="93">
        <v>50</v>
      </c>
      <c r="AB2062" s="93">
        <f>AD2062/AC2057</f>
        <v>0.45999999999999996</v>
      </c>
      <c r="AC2062" s="93">
        <f>AC2057/AA2062</f>
        <v>22.734938499999917</v>
      </c>
      <c r="AD2062" s="94">
        <f t="shared" ref="AD2062:AD2065" si="1517">AC2062*Z2062</f>
        <v>522.90358549999803</v>
      </c>
      <c r="AE2062" s="190"/>
      <c r="AF2062" s="191"/>
      <c r="AG2062" s="191"/>
      <c r="AH2062" s="191"/>
      <c r="AI2062" s="186"/>
      <c r="AK2062" s="171"/>
    </row>
    <row r="2063" spans="1:41" s="102" customFormat="1" ht="19.899999999999999" customHeight="1" x14ac:dyDescent="0.25">
      <c r="A2063" s="45"/>
      <c r="B2063" s="59"/>
      <c r="C2063" s="137"/>
      <c r="D2063" s="59"/>
      <c r="E2063" s="116"/>
      <c r="F2063" s="120"/>
      <c r="G2063" s="120"/>
      <c r="H2063" s="120"/>
      <c r="I2063" s="60"/>
      <c r="J2063" s="116"/>
      <c r="K2063" s="213"/>
      <c r="L2063" s="120"/>
      <c r="M2063" s="120"/>
      <c r="N2063" s="167"/>
      <c r="O2063" s="120"/>
      <c r="P2063" s="120"/>
      <c r="Q2063" s="120"/>
      <c r="R2063" s="120"/>
      <c r="S2063" s="120"/>
      <c r="T2063" s="221"/>
      <c r="U2063" s="89"/>
      <c r="V2063" s="61"/>
      <c r="W2063" s="92" t="s">
        <v>65</v>
      </c>
      <c r="X2063" s="93" t="s">
        <v>30</v>
      </c>
      <c r="Y2063" s="93" t="s">
        <v>1011</v>
      </c>
      <c r="Z2063" s="134">
        <f>VLOOKUP(W2063,Sheet2!$B:$D,3,FALSE)</f>
        <v>1.76</v>
      </c>
      <c r="AA2063" s="93">
        <f>AA2062/3</f>
        <v>16.666666666666668</v>
      </c>
      <c r="AB2063" s="93">
        <f>AD2063/AC2057</f>
        <v>0.10559999999999999</v>
      </c>
      <c r="AC2063" s="93">
        <f>AC2057/AA2063</f>
        <v>68.204815499999739</v>
      </c>
      <c r="AD2063" s="94">
        <f t="shared" si="1517"/>
        <v>120.04047527999954</v>
      </c>
      <c r="AE2063" s="190"/>
      <c r="AF2063" s="191"/>
      <c r="AG2063" s="191"/>
      <c r="AH2063" s="191"/>
      <c r="AI2063" s="186"/>
      <c r="AK2063" s="171"/>
    </row>
    <row r="2064" spans="1:41" s="102" customFormat="1" ht="19.899999999999999" customHeight="1" x14ac:dyDescent="0.25">
      <c r="A2064" s="45"/>
      <c r="B2064" s="59"/>
      <c r="C2064" s="137"/>
      <c r="D2064" s="59"/>
      <c r="E2064" s="116"/>
      <c r="F2064" s="120"/>
      <c r="G2064" s="120"/>
      <c r="H2064" s="120"/>
      <c r="I2064" s="60"/>
      <c r="J2064" s="116"/>
      <c r="K2064" s="213"/>
      <c r="L2064" s="120"/>
      <c r="M2064" s="120"/>
      <c r="N2064" s="167"/>
      <c r="O2064" s="120"/>
      <c r="P2064" s="120"/>
      <c r="Q2064" s="120"/>
      <c r="R2064" s="120"/>
      <c r="S2064" s="120"/>
      <c r="T2064" s="221"/>
      <c r="U2064" s="89"/>
      <c r="V2064" s="61"/>
      <c r="W2064" s="92" t="s">
        <v>148</v>
      </c>
      <c r="X2064" s="93" t="s">
        <v>29</v>
      </c>
      <c r="Y2064" s="93" t="s">
        <v>93</v>
      </c>
      <c r="Z2064" s="134">
        <f>VLOOKUP(W2064,Sheet2!$B:$D,3,FALSE)</f>
        <v>48</v>
      </c>
      <c r="AA2064" s="93">
        <f>AA2058</f>
        <v>66.666666666666671</v>
      </c>
      <c r="AB2064" s="93">
        <f>AD2064/AC2057</f>
        <v>0.71999999999999986</v>
      </c>
      <c r="AC2064" s="93">
        <f>AC2057/AA2064</f>
        <v>17.051203874999935</v>
      </c>
      <c r="AD2064" s="94">
        <f t="shared" si="1517"/>
        <v>818.45778599999687</v>
      </c>
      <c r="AE2064" s="190"/>
      <c r="AF2064" s="191"/>
      <c r="AG2064" s="191"/>
      <c r="AH2064" s="191"/>
      <c r="AI2064" s="186"/>
      <c r="AK2064" s="171"/>
    </row>
    <row r="2065" spans="1:41" s="102" customFormat="1" ht="19.899999999999999" customHeight="1" x14ac:dyDescent="0.25">
      <c r="A2065" s="45"/>
      <c r="B2065" s="59"/>
      <c r="C2065" s="137"/>
      <c r="D2065" s="59"/>
      <c r="E2065" s="116"/>
      <c r="F2065" s="120"/>
      <c r="G2065" s="120"/>
      <c r="H2065" s="120"/>
      <c r="I2065" s="60"/>
      <c r="J2065" s="116"/>
      <c r="K2065" s="213"/>
      <c r="L2065" s="120"/>
      <c r="M2065" s="120"/>
      <c r="N2065" s="167"/>
      <c r="O2065" s="120"/>
      <c r="P2065" s="120"/>
      <c r="Q2065" s="120"/>
      <c r="R2065" s="120"/>
      <c r="S2065" s="120"/>
      <c r="T2065" s="221"/>
      <c r="U2065" s="89"/>
      <c r="V2065" s="61"/>
      <c r="W2065" s="92" t="s">
        <v>65</v>
      </c>
      <c r="X2065" s="93" t="s">
        <v>30</v>
      </c>
      <c r="Y2065" s="93" t="s">
        <v>1011</v>
      </c>
      <c r="Z2065" s="134">
        <f>VLOOKUP(W2065,Sheet2!$B:$D,3,FALSE)</f>
        <v>1.76</v>
      </c>
      <c r="AA2065" s="93">
        <f>AA2064/10</f>
        <v>6.666666666666667</v>
      </c>
      <c r="AB2065" s="93">
        <f>AD2065/AC2057</f>
        <v>0.26400000000000001</v>
      </c>
      <c r="AC2065" s="93">
        <f>AC2057/AA2065</f>
        <v>170.51203874999936</v>
      </c>
      <c r="AD2065" s="94">
        <f t="shared" si="1517"/>
        <v>300.10118819999889</v>
      </c>
      <c r="AE2065" s="190"/>
      <c r="AF2065" s="191"/>
      <c r="AG2065" s="191"/>
      <c r="AH2065" s="191"/>
      <c r="AI2065" s="186"/>
      <c r="AK2065" s="171"/>
    </row>
    <row r="2066" spans="1:41" s="103" customFormat="1" ht="19.899999999999999" customHeight="1" x14ac:dyDescent="0.25">
      <c r="A2066" s="51"/>
      <c r="B2066" s="52"/>
      <c r="C2066" s="165"/>
      <c r="D2066" s="52"/>
      <c r="E2066" s="115"/>
      <c r="F2066" s="58"/>
      <c r="G2066" s="58"/>
      <c r="H2066" s="58"/>
      <c r="I2066" s="55"/>
      <c r="J2066" s="113">
        <f>J2056</f>
        <v>1136.7469249999958</v>
      </c>
      <c r="K2066" s="212">
        <f>K2056</f>
        <v>1136.7469249999958</v>
      </c>
      <c r="L2066" s="58"/>
      <c r="M2066" s="58">
        <f>K2066-L2066</f>
        <v>1136.7469249999958</v>
      </c>
      <c r="N2066" s="166"/>
      <c r="O2066" s="58"/>
      <c r="P2066" s="58"/>
      <c r="Q2066" s="58"/>
      <c r="R2066" s="58"/>
      <c r="S2066" s="58"/>
      <c r="T2066" s="220"/>
      <c r="U2066" s="88"/>
      <c r="V2066" s="56"/>
      <c r="W2066" s="57" t="s">
        <v>1036</v>
      </c>
      <c r="X2066" s="53"/>
      <c r="Y2066" s="91" t="s">
        <v>68</v>
      </c>
      <c r="Z2066" s="136">
        <f>AD2066/AC2066</f>
        <v>183.58333333333334</v>
      </c>
      <c r="AA2066" s="58"/>
      <c r="AB2066" s="53">
        <f>AD2066/AC2066</f>
        <v>183.58333333333334</v>
      </c>
      <c r="AC2066" s="53">
        <f>M2066+$AE$10</f>
        <v>1136.7469249999958</v>
      </c>
      <c r="AD2066" s="54">
        <f>SUM(AD2067:AD2071)</f>
        <v>208687.78964791592</v>
      </c>
      <c r="AE2066" s="184">
        <f>SUMIFS($AD$37:$AD$12971,$V$37:$V$12971,$V2066,$X$37:$X$12971,AE$13)</f>
        <v>0</v>
      </c>
      <c r="AF2066" s="185">
        <f>SUMIFS($AD$37:$AD$12971,$V$37:$V$12971,$V2066,$X$37:$X$12971,AF$13)</f>
        <v>0</v>
      </c>
      <c r="AG2066" s="185">
        <f>SUMIFS($AD$37:$AD$12971,$V$37:$V$12971,$V2066,$X$37:$X$12971,AG$13)</f>
        <v>0</v>
      </c>
      <c r="AH2066" s="187">
        <f>SUMIFS($AD$37:$AD$12971,$V$37:$V$12971,$V2066,$X$37:$X$12971,AH$13)</f>
        <v>0</v>
      </c>
      <c r="AI2066" s="161">
        <f t="shared" ref="AI2066" si="1518">SUM(AE2066:AH2066)</f>
        <v>0</v>
      </c>
      <c r="AK2066" s="172"/>
    </row>
    <row r="2067" spans="1:41" s="102" customFormat="1" ht="19.899999999999999" customHeight="1" x14ac:dyDescent="0.25">
      <c r="A2067" s="45"/>
      <c r="B2067" s="59"/>
      <c r="C2067" s="137"/>
      <c r="D2067" s="59"/>
      <c r="E2067" s="116"/>
      <c r="F2067" s="120"/>
      <c r="G2067" s="120"/>
      <c r="H2067" s="120"/>
      <c r="I2067" s="60"/>
      <c r="J2067" s="116"/>
      <c r="K2067" s="213"/>
      <c r="L2067" s="120"/>
      <c r="M2067" s="120"/>
      <c r="N2067" s="167"/>
      <c r="O2067" s="120"/>
      <c r="P2067" s="120"/>
      <c r="Q2067" s="120"/>
      <c r="R2067" s="120"/>
      <c r="S2067" s="120"/>
      <c r="T2067" s="221"/>
      <c r="U2067" s="89"/>
      <c r="V2067" s="61"/>
      <c r="W2067" s="92" t="s">
        <v>1252</v>
      </c>
      <c r="X2067" s="93" t="s">
        <v>30</v>
      </c>
      <c r="Y2067" s="93" t="s">
        <v>68</v>
      </c>
      <c r="Z2067" s="134">
        <f>VLOOKUP(W2067,Sheet2!$B:$D,3,FALSE)</f>
        <v>110</v>
      </c>
      <c r="AA2067" s="93">
        <v>1</v>
      </c>
      <c r="AB2067" s="93">
        <f>AD2067/AC2066</f>
        <v>110</v>
      </c>
      <c r="AC2067" s="93">
        <f>AC2066/AA2067</f>
        <v>1136.7469249999958</v>
      </c>
      <c r="AD2067" s="94">
        <f t="shared" ref="AD2067" si="1519">AC2067*Z2067</f>
        <v>125042.16174999953</v>
      </c>
      <c r="AE2067" s="190"/>
      <c r="AF2067" s="191"/>
      <c r="AG2067" s="191"/>
      <c r="AH2067" s="191"/>
      <c r="AI2067" s="186"/>
      <c r="AK2067" s="171"/>
    </row>
    <row r="2068" spans="1:41" s="102" customFormat="1" ht="19.899999999999999" customHeight="1" x14ac:dyDescent="0.25">
      <c r="A2068" s="45"/>
      <c r="B2068" s="59"/>
      <c r="C2068" s="137"/>
      <c r="D2068" s="59"/>
      <c r="E2068" s="116"/>
      <c r="F2068" s="120"/>
      <c r="G2068" s="120"/>
      <c r="H2068" s="120"/>
      <c r="I2068" s="60"/>
      <c r="J2068" s="116"/>
      <c r="K2068" s="213"/>
      <c r="L2068" s="120"/>
      <c r="M2068" s="120"/>
      <c r="N2068" s="167"/>
      <c r="O2068" s="120"/>
      <c r="P2068" s="120"/>
      <c r="Q2068" s="120"/>
      <c r="R2068" s="120"/>
      <c r="S2068" s="120"/>
      <c r="T2068" s="221"/>
      <c r="U2068" s="89"/>
      <c r="V2068" s="61"/>
      <c r="W2068" s="92" t="s">
        <v>1260</v>
      </c>
      <c r="X2068" s="93" t="s">
        <v>32</v>
      </c>
      <c r="Y2068" s="93" t="s">
        <v>68</v>
      </c>
      <c r="Z2068" s="134">
        <f>VLOOKUP(W2068,Sheet2!$B:$D,3,FALSE)</f>
        <v>33</v>
      </c>
      <c r="AA2068" s="93">
        <v>1</v>
      </c>
      <c r="AB2068" s="93">
        <f>AD2068/AC2066</f>
        <v>33</v>
      </c>
      <c r="AC2068" s="93">
        <f>AC2066/AA2068</f>
        <v>1136.7469249999958</v>
      </c>
      <c r="AD2068" s="94">
        <f>AC2068*Z2068</f>
        <v>37512.648524999866</v>
      </c>
      <c r="AE2068" s="190"/>
      <c r="AF2068" s="191"/>
      <c r="AG2068" s="191"/>
      <c r="AH2068" s="191"/>
      <c r="AI2068" s="186"/>
      <c r="AK2068" s="171"/>
    </row>
    <row r="2069" spans="1:41" s="102" customFormat="1" ht="19.899999999999999" customHeight="1" x14ac:dyDescent="0.25">
      <c r="A2069" s="45"/>
      <c r="B2069" s="59"/>
      <c r="C2069" s="137"/>
      <c r="D2069" s="59"/>
      <c r="E2069" s="116"/>
      <c r="F2069" s="120"/>
      <c r="G2069" s="120"/>
      <c r="H2069" s="120"/>
      <c r="I2069" s="60"/>
      <c r="J2069" s="116"/>
      <c r="K2069" s="213"/>
      <c r="L2069" s="120"/>
      <c r="M2069" s="120"/>
      <c r="N2069" s="167"/>
      <c r="O2069" s="120"/>
      <c r="P2069" s="120"/>
      <c r="Q2069" s="120"/>
      <c r="R2069" s="120"/>
      <c r="S2069" s="120"/>
      <c r="T2069" s="221"/>
      <c r="U2069" s="89"/>
      <c r="V2069" s="61"/>
      <c r="W2069" s="92" t="s">
        <v>1032</v>
      </c>
      <c r="X2069" s="93" t="s">
        <v>30</v>
      </c>
      <c r="Y2069" s="93" t="s">
        <v>66</v>
      </c>
      <c r="Z2069" s="134">
        <f>VLOOKUP(W2069,Sheet2!$B:$D,3,FALSE)</f>
        <v>250</v>
      </c>
      <c r="AA2069" s="93">
        <f>1/(1*0.1)</f>
        <v>10</v>
      </c>
      <c r="AB2069" s="93">
        <f>AD2069/AC2066</f>
        <v>25</v>
      </c>
      <c r="AC2069" s="93">
        <f>AC2066/AA2069</f>
        <v>113.67469249999958</v>
      </c>
      <c r="AD2069" s="94">
        <f>AC2069*Z2069</f>
        <v>28418.673124999896</v>
      </c>
      <c r="AE2069" s="190"/>
      <c r="AF2069" s="191"/>
      <c r="AG2069" s="191"/>
      <c r="AH2069" s="191"/>
      <c r="AI2069" s="186"/>
      <c r="AK2069" s="171"/>
    </row>
    <row r="2070" spans="1:41" s="102" customFormat="1" ht="19.899999999999999" customHeight="1" x14ac:dyDescent="0.25">
      <c r="A2070" s="45"/>
      <c r="B2070" s="59"/>
      <c r="C2070" s="137"/>
      <c r="D2070" s="59"/>
      <c r="E2070" s="116"/>
      <c r="F2070" s="120"/>
      <c r="G2070" s="120"/>
      <c r="H2070" s="120"/>
      <c r="I2070" s="60"/>
      <c r="J2070" s="116"/>
      <c r="K2070" s="213"/>
      <c r="L2070" s="120"/>
      <c r="M2070" s="120"/>
      <c r="N2070" s="167"/>
      <c r="O2070" s="120"/>
      <c r="P2070" s="120"/>
      <c r="Q2070" s="120"/>
      <c r="R2070" s="120"/>
      <c r="S2070" s="120"/>
      <c r="T2070" s="221"/>
      <c r="U2070" s="89"/>
      <c r="V2070" s="61"/>
      <c r="W2070" s="92" t="s">
        <v>1035</v>
      </c>
      <c r="X2070" s="93" t="s">
        <v>32</v>
      </c>
      <c r="Y2070" s="93" t="s">
        <v>66</v>
      </c>
      <c r="Z2070" s="134">
        <f>VLOOKUP(W2070,Sheet2!$B:$D,3,FALSE)</f>
        <v>150</v>
      </c>
      <c r="AA2070" s="93">
        <f>AA2069</f>
        <v>10</v>
      </c>
      <c r="AB2070" s="93">
        <f>AD2070/AC2066</f>
        <v>15</v>
      </c>
      <c r="AC2070" s="93">
        <f>AC2066/AA2070</f>
        <v>113.67469249999958</v>
      </c>
      <c r="AD2070" s="94">
        <f t="shared" ref="AD2070:AD2071" si="1520">AC2070*Z2070</f>
        <v>17051.203874999937</v>
      </c>
      <c r="AE2070" s="190"/>
      <c r="AF2070" s="191"/>
      <c r="AG2070" s="191"/>
      <c r="AH2070" s="191"/>
      <c r="AI2070" s="186"/>
      <c r="AK2070" s="171"/>
    </row>
    <row r="2071" spans="1:41" s="102" customFormat="1" ht="19.899999999999999" customHeight="1" x14ac:dyDescent="0.25">
      <c r="A2071" s="45"/>
      <c r="B2071" s="59"/>
      <c r="C2071" s="137"/>
      <c r="D2071" s="59"/>
      <c r="E2071" s="116"/>
      <c r="F2071" s="120"/>
      <c r="G2071" s="120"/>
      <c r="H2071" s="120"/>
      <c r="I2071" s="60"/>
      <c r="J2071" s="116"/>
      <c r="K2071" s="213"/>
      <c r="L2071" s="120"/>
      <c r="M2071" s="120"/>
      <c r="N2071" s="167"/>
      <c r="O2071" s="120"/>
      <c r="P2071" s="120"/>
      <c r="Q2071" s="120"/>
      <c r="R2071" s="120"/>
      <c r="S2071" s="120"/>
      <c r="T2071" s="221"/>
      <c r="U2071" s="89"/>
      <c r="V2071" s="61"/>
      <c r="W2071" s="92" t="s">
        <v>1037</v>
      </c>
      <c r="X2071" s="93" t="s">
        <v>30</v>
      </c>
      <c r="Y2071" s="93" t="s">
        <v>1038</v>
      </c>
      <c r="Z2071" s="134">
        <f>VLOOKUP(W2071,Sheet2!$B:$D,3,FALSE)</f>
        <v>175</v>
      </c>
      <c r="AA2071" s="93">
        <v>300</v>
      </c>
      <c r="AB2071" s="93">
        <f>AD2071/AC2066</f>
        <v>0.58333333333333337</v>
      </c>
      <c r="AC2071" s="93">
        <f>AC2066/AA2071</f>
        <v>3.7891564166666529</v>
      </c>
      <c r="AD2071" s="94">
        <f t="shared" si="1520"/>
        <v>663.10237291666431</v>
      </c>
      <c r="AE2071" s="190"/>
      <c r="AF2071" s="191"/>
      <c r="AG2071" s="191"/>
      <c r="AH2071" s="191"/>
      <c r="AI2071" s="186"/>
      <c r="AK2071" s="171"/>
    </row>
    <row r="2072" spans="1:41" s="103" customFormat="1" ht="19.899999999999999" customHeight="1" x14ac:dyDescent="0.25">
      <c r="A2072" s="51"/>
      <c r="B2072" s="52"/>
      <c r="C2072" s="165"/>
      <c r="D2072" s="52"/>
      <c r="E2072" s="115"/>
      <c r="F2072" s="58"/>
      <c r="G2072" s="58"/>
      <c r="H2072" s="58"/>
      <c r="I2072" s="55"/>
      <c r="J2072" s="113">
        <f>J2056</f>
        <v>1136.7469249999958</v>
      </c>
      <c r="K2072" s="212">
        <f>K2056</f>
        <v>1136.7469249999958</v>
      </c>
      <c r="L2072" s="58"/>
      <c r="M2072" s="58">
        <f>K2072-L2072</f>
        <v>1136.7469249999958</v>
      </c>
      <c r="N2072" s="166"/>
      <c r="O2072" s="58"/>
      <c r="P2072" s="58"/>
      <c r="Q2072" s="58"/>
      <c r="R2072" s="58"/>
      <c r="S2072" s="58"/>
      <c r="T2072" s="220"/>
      <c r="U2072" s="88"/>
      <c r="V2072" s="56"/>
      <c r="W2072" s="57" t="s">
        <v>1040</v>
      </c>
      <c r="X2072" s="53"/>
      <c r="Y2072" s="91" t="s">
        <v>68</v>
      </c>
      <c r="Z2072" s="136">
        <f>AD2072/AC2072</f>
        <v>5</v>
      </c>
      <c r="AA2072" s="58"/>
      <c r="AB2072" s="53">
        <f>AD2072/AC2072</f>
        <v>5</v>
      </c>
      <c r="AC2072" s="53">
        <f>M2072+$AE$10</f>
        <v>1136.7469249999958</v>
      </c>
      <c r="AD2072" s="54">
        <f>SUM(AD2073)</f>
        <v>5683.7346249999791</v>
      </c>
      <c r="AE2072" s="184">
        <f>SUMIFS($AD$37:$AD$12971,$V$37:$V$12971,$V2072,$X$37:$X$12971,AE$13)</f>
        <v>0</v>
      </c>
      <c r="AF2072" s="185">
        <f>SUMIFS($AD$37:$AD$12971,$V$37:$V$12971,$V2072,$X$37:$X$12971,AF$13)</f>
        <v>0</v>
      </c>
      <c r="AG2072" s="185">
        <f>SUMIFS($AD$37:$AD$12971,$V$37:$V$12971,$V2072,$X$37:$X$12971,AG$13)</f>
        <v>0</v>
      </c>
      <c r="AH2072" s="187">
        <f>SUMIFS($AD$37:$AD$12971,$V$37:$V$12971,$V2072,$X$37:$X$12971,AH$13)</f>
        <v>0</v>
      </c>
      <c r="AI2072" s="161">
        <f t="shared" ref="AI2072" si="1521">SUM(AE2072:AH2072)</f>
        <v>0</v>
      </c>
      <c r="AK2072" s="172"/>
    </row>
    <row r="2073" spans="1:41" s="102" customFormat="1" ht="19.899999999999999" customHeight="1" x14ac:dyDescent="0.25">
      <c r="A2073" s="45"/>
      <c r="B2073" s="59"/>
      <c r="C2073" s="137"/>
      <c r="D2073" s="59"/>
      <c r="E2073" s="116"/>
      <c r="F2073" s="120"/>
      <c r="G2073" s="120"/>
      <c r="H2073" s="120"/>
      <c r="I2073" s="60"/>
      <c r="J2073" s="116"/>
      <c r="K2073" s="213"/>
      <c r="L2073" s="120"/>
      <c r="M2073" s="120"/>
      <c r="N2073" s="167"/>
      <c r="O2073" s="120"/>
      <c r="P2073" s="120"/>
      <c r="Q2073" s="120"/>
      <c r="R2073" s="120"/>
      <c r="S2073" s="120"/>
      <c r="T2073" s="221"/>
      <c r="U2073" s="89"/>
      <c r="V2073" s="61"/>
      <c r="W2073" s="92" t="s">
        <v>1039</v>
      </c>
      <c r="X2073" s="93" t="s">
        <v>32</v>
      </c>
      <c r="Y2073" s="93" t="s">
        <v>68</v>
      </c>
      <c r="Z2073" s="134">
        <f>VLOOKUP(W2073,Sheet2!$B:$D,3,FALSE)</f>
        <v>5</v>
      </c>
      <c r="AA2073" s="93">
        <v>1</v>
      </c>
      <c r="AB2073" s="93">
        <f>AD2073/AC2072</f>
        <v>5</v>
      </c>
      <c r="AC2073" s="93">
        <f>AC2072/AA2073</f>
        <v>1136.7469249999958</v>
      </c>
      <c r="AD2073" s="94">
        <f t="shared" ref="AD2073" si="1522">AC2073*Z2073</f>
        <v>5683.7346249999791</v>
      </c>
      <c r="AE2073" s="190"/>
      <c r="AF2073" s="191"/>
      <c r="AG2073" s="191"/>
      <c r="AH2073" s="191"/>
      <c r="AI2073" s="186"/>
      <c r="AK2073" s="171"/>
    </row>
    <row r="2074" spans="1:41" ht="20.100000000000001" customHeight="1" x14ac:dyDescent="0.25">
      <c r="A2074" s="277" t="s">
        <v>410</v>
      </c>
      <c r="B2074" s="278"/>
      <c r="C2074" s="64" t="s">
        <v>416</v>
      </c>
      <c r="D2074" s="46" t="s">
        <v>97</v>
      </c>
      <c r="E2074" s="114">
        <v>440.87570000000005</v>
      </c>
      <c r="F2074" s="44">
        <v>388</v>
      </c>
      <c r="G2074" s="44">
        <f t="shared" si="1286"/>
        <v>171059.77160000001</v>
      </c>
      <c r="H2074" s="44">
        <f t="shared" si="1287"/>
        <v>198.50510588235295</v>
      </c>
      <c r="I2074" s="43">
        <f t="shared" si="1288"/>
        <v>87516.077509456489</v>
      </c>
      <c r="J2074" s="112">
        <f t="shared" si="1289"/>
        <v>440.87570000000005</v>
      </c>
      <c r="K2074" s="211">
        <f t="shared" si="1290"/>
        <v>440.87570000000005</v>
      </c>
      <c r="L2074" s="44"/>
      <c r="M2074" s="44">
        <f t="shared" si="1296"/>
        <v>440.87570000000005</v>
      </c>
      <c r="N2074" s="173">
        <f t="shared" si="1291"/>
        <v>1</v>
      </c>
      <c r="O2074" s="44">
        <f t="shared" si="1292"/>
        <v>388</v>
      </c>
      <c r="P2074" s="44">
        <f t="shared" si="1293"/>
        <v>171059.77160000001</v>
      </c>
      <c r="Q2074" s="44">
        <f t="shared" si="1294"/>
        <v>198.50510588235295</v>
      </c>
      <c r="R2074" s="44">
        <f t="shared" si="1297"/>
        <v>87516.077509456489</v>
      </c>
      <c r="S2074" s="123"/>
      <c r="T2074" s="219">
        <f t="shared" si="1298"/>
        <v>87516.077509456489</v>
      </c>
      <c r="U2074" s="87"/>
      <c r="V2074" s="47"/>
      <c r="W2074" s="48"/>
      <c r="X2074" s="48"/>
      <c r="Y2074" s="48"/>
      <c r="Z2074" s="135"/>
      <c r="AA2074" s="49"/>
      <c r="AB2074" s="50">
        <f t="shared" si="1295"/>
        <v>198.50510588235295</v>
      </c>
      <c r="AC2074" s="42">
        <f t="shared" si="1299"/>
        <v>440.87570000000005</v>
      </c>
      <c r="AD2074" s="90">
        <f>AD2075+AD2084+AD2090</f>
        <v>87516.077509456489</v>
      </c>
      <c r="AE2074" s="188">
        <f t="shared" ref="AE2074" si="1523">AE2075+AE2084+AE2090</f>
        <v>0</v>
      </c>
      <c r="AF2074" s="189">
        <f t="shared" ref="AF2074" si="1524">AF2075+AF2084+AF2090</f>
        <v>0</v>
      </c>
      <c r="AG2074" s="189">
        <f t="shared" ref="AG2074" si="1525">AG2075+AG2084+AG2090</f>
        <v>0</v>
      </c>
      <c r="AH2074" s="189">
        <f t="shared" ref="AH2074" si="1526">AH2075+AH2084+AH2090</f>
        <v>0</v>
      </c>
      <c r="AI2074" s="161">
        <f t="shared" ref="AI2074" si="1527">SUM(AE2074:AH2074)</f>
        <v>0</v>
      </c>
      <c r="AK2074" s="169">
        <v>5</v>
      </c>
      <c r="AO2074" s="19" t="s">
        <v>63</v>
      </c>
    </row>
    <row r="2075" spans="1:41" s="103" customFormat="1" ht="19.899999999999999" customHeight="1" x14ac:dyDescent="0.25">
      <c r="A2075" s="51"/>
      <c r="B2075" s="52"/>
      <c r="C2075" s="165"/>
      <c r="D2075" s="52"/>
      <c r="E2075" s="115"/>
      <c r="F2075" s="58"/>
      <c r="G2075" s="58"/>
      <c r="H2075" s="58"/>
      <c r="I2075" s="55"/>
      <c r="J2075" s="113">
        <f>J2074</f>
        <v>440.87570000000005</v>
      </c>
      <c r="K2075" s="212">
        <f>K2074</f>
        <v>440.87570000000005</v>
      </c>
      <c r="L2075" s="58"/>
      <c r="M2075" s="58">
        <f>K2075-L2075</f>
        <v>440.87570000000005</v>
      </c>
      <c r="N2075" s="166"/>
      <c r="O2075" s="58"/>
      <c r="P2075" s="58"/>
      <c r="Q2075" s="58"/>
      <c r="R2075" s="58"/>
      <c r="S2075" s="58"/>
      <c r="T2075" s="220"/>
      <c r="U2075" s="88"/>
      <c r="V2075" s="56"/>
      <c r="W2075" s="57" t="s">
        <v>1047</v>
      </c>
      <c r="X2075" s="53"/>
      <c r="Y2075" s="91" t="s">
        <v>68</v>
      </c>
      <c r="Z2075" s="136">
        <f>AD2075/AC2075</f>
        <v>9.9217725490196109</v>
      </c>
      <c r="AA2075" s="58"/>
      <c r="AB2075" s="53">
        <f>AD2075/AC2075</f>
        <v>9.9217725490196109</v>
      </c>
      <c r="AC2075" s="53">
        <f>M2075+$AE$10</f>
        <v>440.87570000000005</v>
      </c>
      <c r="AD2075" s="54">
        <f>SUM(AD2076:AD2083)</f>
        <v>4374.2684177898054</v>
      </c>
      <c r="AE2075" s="184">
        <f>SUMIFS($AD$37:$AD$12971,$V$37:$V$12971,$V2075,$X$37:$X$12971,AE$13)</f>
        <v>0</v>
      </c>
      <c r="AF2075" s="185">
        <f>SUMIFS($AD$37:$AD$12971,$V$37:$V$12971,$V2075,$X$37:$X$12971,AF$13)</f>
        <v>0</v>
      </c>
      <c r="AG2075" s="185">
        <f>SUMIFS($AD$37:$AD$12971,$V$37:$V$12971,$V2075,$X$37:$X$12971,AG$13)</f>
        <v>0</v>
      </c>
      <c r="AH2075" s="187">
        <f>SUMIFS($AD$37:$AD$12971,$V$37:$V$12971,$V2075,$X$37:$X$12971,AH$13)</f>
        <v>0</v>
      </c>
      <c r="AI2075" s="161">
        <f t="shared" ref="AI2075" si="1528">SUM(AE2075:AH2075)</f>
        <v>0</v>
      </c>
      <c r="AK2075" s="172"/>
    </row>
    <row r="2076" spans="1:41" s="102" customFormat="1" ht="19.899999999999999" customHeight="1" x14ac:dyDescent="0.25">
      <c r="A2076" s="45"/>
      <c r="B2076" s="59"/>
      <c r="C2076" s="137"/>
      <c r="D2076" s="59"/>
      <c r="E2076" s="116"/>
      <c r="F2076" s="120"/>
      <c r="G2076" s="120"/>
      <c r="H2076" s="120"/>
      <c r="I2076" s="60"/>
      <c r="J2076" s="116"/>
      <c r="K2076" s="213"/>
      <c r="L2076" s="120"/>
      <c r="M2076" s="120"/>
      <c r="N2076" s="167"/>
      <c r="O2076" s="120"/>
      <c r="P2076" s="120"/>
      <c r="Q2076" s="120"/>
      <c r="R2076" s="120"/>
      <c r="S2076" s="120"/>
      <c r="T2076" s="221"/>
      <c r="U2076" s="89"/>
      <c r="V2076" s="61"/>
      <c r="W2076" s="92" t="s">
        <v>129</v>
      </c>
      <c r="X2076" s="93" t="s">
        <v>29</v>
      </c>
      <c r="Y2076" s="93" t="s">
        <v>93</v>
      </c>
      <c r="Z2076" s="134">
        <f>VLOOKUP(W2076,Sheet2!$B:$D,3,FALSE)</f>
        <v>56</v>
      </c>
      <c r="AA2076" s="93">
        <f>100/(1*2)</f>
        <v>50</v>
      </c>
      <c r="AB2076" s="93">
        <f t="shared" ref="AB2076" si="1529">AD2076/AC2075</f>
        <v>1.1199999999999999</v>
      </c>
      <c r="AC2076" s="93">
        <f>AC2075/AA2076</f>
        <v>8.817514000000001</v>
      </c>
      <c r="AD2076" s="94">
        <f t="shared" ref="AD2076:AD2077" si="1530">AC2076*Z2076</f>
        <v>493.78078400000004</v>
      </c>
      <c r="AE2076" s="190"/>
      <c r="AF2076" s="191"/>
      <c r="AG2076" s="191"/>
      <c r="AH2076" s="191"/>
      <c r="AI2076" s="186"/>
      <c r="AK2076" s="171"/>
    </row>
    <row r="2077" spans="1:41" s="102" customFormat="1" ht="19.899999999999999" customHeight="1" x14ac:dyDescent="0.25">
      <c r="A2077" s="45"/>
      <c r="B2077" s="59"/>
      <c r="C2077" s="137"/>
      <c r="D2077" s="59"/>
      <c r="E2077" s="116"/>
      <c r="F2077" s="120"/>
      <c r="G2077" s="120"/>
      <c r="H2077" s="120"/>
      <c r="I2077" s="60"/>
      <c r="J2077" s="116"/>
      <c r="K2077" s="213"/>
      <c r="L2077" s="120"/>
      <c r="M2077" s="120"/>
      <c r="N2077" s="167"/>
      <c r="O2077" s="120"/>
      <c r="P2077" s="120"/>
      <c r="Q2077" s="120"/>
      <c r="R2077" s="120"/>
      <c r="S2077" s="120"/>
      <c r="T2077" s="221"/>
      <c r="U2077" s="89"/>
      <c r="V2077" s="61"/>
      <c r="W2077" s="92" t="s">
        <v>65</v>
      </c>
      <c r="X2077" s="93" t="s">
        <v>30</v>
      </c>
      <c r="Y2077" s="93" t="s">
        <v>1011</v>
      </c>
      <c r="Z2077" s="134">
        <f>VLOOKUP(W2077,Sheet2!$B:$D,3,FALSE)</f>
        <v>1.76</v>
      </c>
      <c r="AA2077" s="93">
        <f>AA2076/14</f>
        <v>3.5714285714285716</v>
      </c>
      <c r="AB2077" s="93">
        <f>AD2077/AC2075</f>
        <v>0.49279999999999996</v>
      </c>
      <c r="AC2077" s="93">
        <f>AC2075/AA2077</f>
        <v>123.44519600000001</v>
      </c>
      <c r="AD2077" s="94">
        <f t="shared" si="1530"/>
        <v>217.26354496000002</v>
      </c>
      <c r="AE2077" s="190"/>
      <c r="AF2077" s="191"/>
      <c r="AG2077" s="191"/>
      <c r="AH2077" s="191"/>
      <c r="AI2077" s="186"/>
      <c r="AK2077" s="171"/>
    </row>
    <row r="2078" spans="1:41" s="102" customFormat="1" ht="19.899999999999999" customHeight="1" x14ac:dyDescent="0.25">
      <c r="A2078" s="45"/>
      <c r="B2078" s="59"/>
      <c r="C2078" s="137"/>
      <c r="D2078" s="59"/>
      <c r="E2078" s="116"/>
      <c r="F2078" s="120"/>
      <c r="G2078" s="120"/>
      <c r="H2078" s="120"/>
      <c r="I2078" s="60"/>
      <c r="J2078" s="116"/>
      <c r="K2078" s="213"/>
      <c r="L2078" s="120"/>
      <c r="M2078" s="120"/>
      <c r="N2078" s="167"/>
      <c r="O2078" s="120"/>
      <c r="P2078" s="120"/>
      <c r="Q2078" s="120"/>
      <c r="R2078" s="120"/>
      <c r="S2078" s="120"/>
      <c r="T2078" s="221"/>
      <c r="U2078" s="89"/>
      <c r="V2078" s="61"/>
      <c r="W2078" s="92" t="s">
        <v>161</v>
      </c>
      <c r="X2078" s="93" t="s">
        <v>29</v>
      </c>
      <c r="Y2078" s="93" t="s">
        <v>93</v>
      </c>
      <c r="Z2078" s="134">
        <f>VLOOKUP(W2078,Sheet2!$B:$D,3,FALSE)</f>
        <v>48</v>
      </c>
      <c r="AA2078" s="93">
        <f>(16*0.85*1.5)/(1*2)</f>
        <v>10.199999999999999</v>
      </c>
      <c r="AB2078" s="93">
        <f>AD2078/AC2075</f>
        <v>4.7058823529411775</v>
      </c>
      <c r="AC2078" s="93">
        <f>AC2075/AA2078</f>
        <v>43.223107843137264</v>
      </c>
      <c r="AD2078" s="94">
        <f>AC2078*Z2078</f>
        <v>2074.7091764705888</v>
      </c>
      <c r="AE2078" s="190"/>
      <c r="AF2078" s="191"/>
      <c r="AG2078" s="191"/>
      <c r="AH2078" s="191"/>
      <c r="AI2078" s="186"/>
      <c r="AK2078" s="171"/>
    </row>
    <row r="2079" spans="1:41" s="102" customFormat="1" ht="19.899999999999999" customHeight="1" x14ac:dyDescent="0.25">
      <c r="A2079" s="45"/>
      <c r="B2079" s="59"/>
      <c r="C2079" s="137"/>
      <c r="D2079" s="59"/>
      <c r="E2079" s="116"/>
      <c r="F2079" s="120"/>
      <c r="G2079" s="120"/>
      <c r="H2079" s="120"/>
      <c r="I2079" s="60"/>
      <c r="J2079" s="116"/>
      <c r="K2079" s="213"/>
      <c r="L2079" s="120"/>
      <c r="M2079" s="120"/>
      <c r="N2079" s="167"/>
      <c r="O2079" s="120"/>
      <c r="P2079" s="120"/>
      <c r="Q2079" s="120"/>
      <c r="R2079" s="120"/>
      <c r="S2079" s="120"/>
      <c r="T2079" s="221"/>
      <c r="U2079" s="89"/>
      <c r="V2079" s="61"/>
      <c r="W2079" s="92" t="s">
        <v>65</v>
      </c>
      <c r="X2079" s="93" t="s">
        <v>30</v>
      </c>
      <c r="Y2079" s="93" t="s">
        <v>1011</v>
      </c>
      <c r="Z2079" s="134">
        <f>VLOOKUP(W2079,Sheet2!$B:$D,3,FALSE)</f>
        <v>1.76</v>
      </c>
      <c r="AA2079" s="93">
        <f>AA2078/10</f>
        <v>1.02</v>
      </c>
      <c r="AB2079" s="93">
        <f>AD2079/AC2075</f>
        <v>1.7254901960784312</v>
      </c>
      <c r="AC2079" s="93">
        <f>AC2075/AA2079</f>
        <v>432.23107843137257</v>
      </c>
      <c r="AD2079" s="94">
        <f>AC2079*Z2079</f>
        <v>760.72669803921576</v>
      </c>
      <c r="AE2079" s="190"/>
      <c r="AF2079" s="191"/>
      <c r="AG2079" s="191"/>
      <c r="AH2079" s="191"/>
      <c r="AI2079" s="186"/>
      <c r="AK2079" s="171"/>
    </row>
    <row r="2080" spans="1:41" s="102" customFormat="1" ht="19.899999999999999" customHeight="1" x14ac:dyDescent="0.25">
      <c r="A2080" s="45"/>
      <c r="B2080" s="59"/>
      <c r="C2080" s="137"/>
      <c r="D2080" s="59"/>
      <c r="E2080" s="116"/>
      <c r="F2080" s="120"/>
      <c r="G2080" s="120"/>
      <c r="H2080" s="120"/>
      <c r="I2080" s="60"/>
      <c r="J2080" s="116"/>
      <c r="K2080" s="213"/>
      <c r="L2080" s="120"/>
      <c r="M2080" s="120"/>
      <c r="N2080" s="167"/>
      <c r="O2080" s="120"/>
      <c r="P2080" s="120"/>
      <c r="Q2080" s="120"/>
      <c r="R2080" s="120"/>
      <c r="S2080" s="120"/>
      <c r="T2080" s="221"/>
      <c r="U2080" s="89"/>
      <c r="V2080" s="61"/>
      <c r="W2080" s="92" t="s">
        <v>1030</v>
      </c>
      <c r="X2080" s="93" t="s">
        <v>29</v>
      </c>
      <c r="Y2080" s="93" t="s">
        <v>93</v>
      </c>
      <c r="Z2080" s="134">
        <f>VLOOKUP(W2080,Sheet2!$B:$D,3,FALSE)</f>
        <v>23</v>
      </c>
      <c r="AA2080" s="93">
        <v>50</v>
      </c>
      <c r="AB2080" s="93">
        <f>AD2080/AC2075</f>
        <v>0.46</v>
      </c>
      <c r="AC2080" s="93">
        <f>AC2075/AA2080</f>
        <v>8.817514000000001</v>
      </c>
      <c r="AD2080" s="94">
        <f t="shared" ref="AD2080:AD2083" si="1531">AC2080*Z2080</f>
        <v>202.80282200000002</v>
      </c>
      <c r="AE2080" s="190"/>
      <c r="AF2080" s="191"/>
      <c r="AG2080" s="191"/>
      <c r="AH2080" s="191"/>
      <c r="AI2080" s="186"/>
      <c r="AK2080" s="171"/>
    </row>
    <row r="2081" spans="1:41" s="102" customFormat="1" ht="19.899999999999999" customHeight="1" x14ac:dyDescent="0.25">
      <c r="A2081" s="45"/>
      <c r="B2081" s="59"/>
      <c r="C2081" s="137"/>
      <c r="D2081" s="59"/>
      <c r="E2081" s="116"/>
      <c r="F2081" s="120"/>
      <c r="G2081" s="120"/>
      <c r="H2081" s="120"/>
      <c r="I2081" s="60"/>
      <c r="J2081" s="116"/>
      <c r="K2081" s="213"/>
      <c r="L2081" s="120"/>
      <c r="M2081" s="120"/>
      <c r="N2081" s="167"/>
      <c r="O2081" s="120"/>
      <c r="P2081" s="120"/>
      <c r="Q2081" s="120"/>
      <c r="R2081" s="120"/>
      <c r="S2081" s="120"/>
      <c r="T2081" s="221"/>
      <c r="U2081" s="89"/>
      <c r="V2081" s="61"/>
      <c r="W2081" s="92" t="s">
        <v>65</v>
      </c>
      <c r="X2081" s="93" t="s">
        <v>30</v>
      </c>
      <c r="Y2081" s="93" t="s">
        <v>1011</v>
      </c>
      <c r="Z2081" s="134">
        <f>VLOOKUP(W2081,Sheet2!$B:$D,3,FALSE)</f>
        <v>1.76</v>
      </c>
      <c r="AA2081" s="93">
        <f>AA2080/3</f>
        <v>16.666666666666668</v>
      </c>
      <c r="AB2081" s="93">
        <f>AD2081/AC2075</f>
        <v>0.10559999999999999</v>
      </c>
      <c r="AC2081" s="93">
        <f>AC2075/AA2081</f>
        <v>26.452542000000001</v>
      </c>
      <c r="AD2081" s="94">
        <f t="shared" si="1531"/>
        <v>46.556473920000002</v>
      </c>
      <c r="AE2081" s="190"/>
      <c r="AF2081" s="191"/>
      <c r="AG2081" s="191"/>
      <c r="AH2081" s="191"/>
      <c r="AI2081" s="186"/>
      <c r="AK2081" s="171"/>
    </row>
    <row r="2082" spans="1:41" s="102" customFormat="1" ht="19.899999999999999" customHeight="1" x14ac:dyDescent="0.25">
      <c r="A2082" s="45"/>
      <c r="B2082" s="59"/>
      <c r="C2082" s="137"/>
      <c r="D2082" s="59"/>
      <c r="E2082" s="116"/>
      <c r="F2082" s="120"/>
      <c r="G2082" s="120"/>
      <c r="H2082" s="120"/>
      <c r="I2082" s="60"/>
      <c r="J2082" s="116"/>
      <c r="K2082" s="213"/>
      <c r="L2082" s="120"/>
      <c r="M2082" s="120"/>
      <c r="N2082" s="167"/>
      <c r="O2082" s="120"/>
      <c r="P2082" s="120"/>
      <c r="Q2082" s="120"/>
      <c r="R2082" s="120"/>
      <c r="S2082" s="120"/>
      <c r="T2082" s="221"/>
      <c r="U2082" s="89"/>
      <c r="V2082" s="61"/>
      <c r="W2082" s="92" t="s">
        <v>148</v>
      </c>
      <c r="X2082" s="93" t="s">
        <v>29</v>
      </c>
      <c r="Y2082" s="93" t="s">
        <v>93</v>
      </c>
      <c r="Z2082" s="134">
        <f>VLOOKUP(W2082,Sheet2!$B:$D,3,FALSE)</f>
        <v>48</v>
      </c>
      <c r="AA2082" s="93">
        <f>AA2076</f>
        <v>50</v>
      </c>
      <c r="AB2082" s="93">
        <f>AD2082/AC2075</f>
        <v>0.96</v>
      </c>
      <c r="AC2082" s="93">
        <f>AC2075/AA2082</f>
        <v>8.817514000000001</v>
      </c>
      <c r="AD2082" s="94">
        <f t="shared" si="1531"/>
        <v>423.24067200000002</v>
      </c>
      <c r="AE2082" s="190"/>
      <c r="AF2082" s="191"/>
      <c r="AG2082" s="191"/>
      <c r="AH2082" s="191"/>
      <c r="AI2082" s="186"/>
      <c r="AK2082" s="171"/>
    </row>
    <row r="2083" spans="1:41" s="102" customFormat="1" ht="19.899999999999999" customHeight="1" x14ac:dyDescent="0.25">
      <c r="A2083" s="45"/>
      <c r="B2083" s="59"/>
      <c r="C2083" s="137"/>
      <c r="D2083" s="59"/>
      <c r="E2083" s="116"/>
      <c r="F2083" s="120"/>
      <c r="G2083" s="120"/>
      <c r="H2083" s="120"/>
      <c r="I2083" s="60"/>
      <c r="J2083" s="116"/>
      <c r="K2083" s="213"/>
      <c r="L2083" s="120"/>
      <c r="M2083" s="120"/>
      <c r="N2083" s="167"/>
      <c r="O2083" s="120"/>
      <c r="P2083" s="120"/>
      <c r="Q2083" s="120"/>
      <c r="R2083" s="120"/>
      <c r="S2083" s="120"/>
      <c r="T2083" s="221"/>
      <c r="U2083" s="89"/>
      <c r="V2083" s="61"/>
      <c r="W2083" s="92" t="s">
        <v>65</v>
      </c>
      <c r="X2083" s="93" t="s">
        <v>30</v>
      </c>
      <c r="Y2083" s="93" t="s">
        <v>1011</v>
      </c>
      <c r="Z2083" s="134">
        <f>VLOOKUP(W2083,Sheet2!$B:$D,3,FALSE)</f>
        <v>1.76</v>
      </c>
      <c r="AA2083" s="93">
        <f>AA2082/10</f>
        <v>5</v>
      </c>
      <c r="AB2083" s="93">
        <f>AD2083/AC2075</f>
        <v>0.35200000000000004</v>
      </c>
      <c r="AC2083" s="93">
        <f>AC2075/AA2083</f>
        <v>88.175140000000013</v>
      </c>
      <c r="AD2083" s="94">
        <f t="shared" si="1531"/>
        <v>155.18824640000003</v>
      </c>
      <c r="AE2083" s="190"/>
      <c r="AF2083" s="191"/>
      <c r="AG2083" s="191"/>
      <c r="AH2083" s="191"/>
      <c r="AI2083" s="186"/>
      <c r="AK2083" s="171"/>
    </row>
    <row r="2084" spans="1:41" s="103" customFormat="1" ht="19.899999999999999" customHeight="1" x14ac:dyDescent="0.25">
      <c r="A2084" s="51"/>
      <c r="B2084" s="52"/>
      <c r="C2084" s="165"/>
      <c r="D2084" s="52"/>
      <c r="E2084" s="115"/>
      <c r="F2084" s="58"/>
      <c r="G2084" s="58"/>
      <c r="H2084" s="58"/>
      <c r="I2084" s="55"/>
      <c r="J2084" s="113">
        <f>J2074</f>
        <v>440.87570000000005</v>
      </c>
      <c r="K2084" s="212">
        <f>K2074</f>
        <v>440.87570000000005</v>
      </c>
      <c r="L2084" s="58"/>
      <c r="M2084" s="58">
        <f>K2084-L2084</f>
        <v>440.87570000000005</v>
      </c>
      <c r="N2084" s="166"/>
      <c r="O2084" s="58"/>
      <c r="P2084" s="58"/>
      <c r="Q2084" s="58"/>
      <c r="R2084" s="58"/>
      <c r="S2084" s="58"/>
      <c r="T2084" s="220"/>
      <c r="U2084" s="88"/>
      <c r="V2084" s="56"/>
      <c r="W2084" s="57" t="s">
        <v>1036</v>
      </c>
      <c r="X2084" s="53"/>
      <c r="Y2084" s="91" t="s">
        <v>68</v>
      </c>
      <c r="Z2084" s="136">
        <f>AD2084/AC2084</f>
        <v>183.58333333333334</v>
      </c>
      <c r="AA2084" s="58"/>
      <c r="AB2084" s="53">
        <f>AD2084/AC2084</f>
        <v>183.58333333333334</v>
      </c>
      <c r="AC2084" s="53">
        <f>M2084+$AE$10</f>
        <v>440.87570000000005</v>
      </c>
      <c r="AD2084" s="54">
        <f>SUM(AD2085:AD2089)</f>
        <v>80937.430591666678</v>
      </c>
      <c r="AE2084" s="184">
        <f>SUMIFS($AD$37:$AD$12971,$V$37:$V$12971,$V2084,$X$37:$X$12971,AE$13)</f>
        <v>0</v>
      </c>
      <c r="AF2084" s="185">
        <f>SUMIFS($AD$37:$AD$12971,$V$37:$V$12971,$V2084,$X$37:$X$12971,AF$13)</f>
        <v>0</v>
      </c>
      <c r="AG2084" s="185">
        <f>SUMIFS($AD$37:$AD$12971,$V$37:$V$12971,$V2084,$X$37:$X$12971,AG$13)</f>
        <v>0</v>
      </c>
      <c r="AH2084" s="187">
        <f>SUMIFS($AD$37:$AD$12971,$V$37:$V$12971,$V2084,$X$37:$X$12971,AH$13)</f>
        <v>0</v>
      </c>
      <c r="AI2084" s="161">
        <f t="shared" ref="AI2084" si="1532">SUM(AE2084:AH2084)</f>
        <v>0</v>
      </c>
      <c r="AK2084" s="172"/>
    </row>
    <row r="2085" spans="1:41" s="102" customFormat="1" ht="19.899999999999999" customHeight="1" x14ac:dyDescent="0.25">
      <c r="A2085" s="45"/>
      <c r="B2085" s="59"/>
      <c r="C2085" s="137"/>
      <c r="D2085" s="59"/>
      <c r="E2085" s="116"/>
      <c r="F2085" s="120"/>
      <c r="G2085" s="120"/>
      <c r="H2085" s="120"/>
      <c r="I2085" s="60"/>
      <c r="J2085" s="116"/>
      <c r="K2085" s="213"/>
      <c r="L2085" s="120"/>
      <c r="M2085" s="120"/>
      <c r="N2085" s="167"/>
      <c r="O2085" s="120"/>
      <c r="P2085" s="120"/>
      <c r="Q2085" s="120"/>
      <c r="R2085" s="120"/>
      <c r="S2085" s="120"/>
      <c r="T2085" s="221"/>
      <c r="U2085" s="89"/>
      <c r="V2085" s="61"/>
      <c r="W2085" s="92" t="s">
        <v>1252</v>
      </c>
      <c r="X2085" s="93" t="s">
        <v>30</v>
      </c>
      <c r="Y2085" s="93" t="s">
        <v>68</v>
      </c>
      <c r="Z2085" s="134">
        <f>VLOOKUP(W2085,Sheet2!$B:$D,3,FALSE)</f>
        <v>110</v>
      </c>
      <c r="AA2085" s="93">
        <v>1</v>
      </c>
      <c r="AB2085" s="93">
        <f>AD2085/AC2084</f>
        <v>110</v>
      </c>
      <c r="AC2085" s="93">
        <f>AC2084/AA2085</f>
        <v>440.87570000000005</v>
      </c>
      <c r="AD2085" s="94">
        <f t="shared" ref="AD2085" si="1533">AC2085*Z2085</f>
        <v>48496.327000000005</v>
      </c>
      <c r="AE2085" s="190"/>
      <c r="AF2085" s="191"/>
      <c r="AG2085" s="191"/>
      <c r="AH2085" s="191"/>
      <c r="AI2085" s="186"/>
      <c r="AK2085" s="171"/>
    </row>
    <row r="2086" spans="1:41" s="102" customFormat="1" ht="19.899999999999999" customHeight="1" x14ac:dyDescent="0.25">
      <c r="A2086" s="45"/>
      <c r="B2086" s="59"/>
      <c r="C2086" s="137"/>
      <c r="D2086" s="59"/>
      <c r="E2086" s="116"/>
      <c r="F2086" s="120"/>
      <c r="G2086" s="120"/>
      <c r="H2086" s="120"/>
      <c r="I2086" s="60"/>
      <c r="J2086" s="116"/>
      <c r="K2086" s="213"/>
      <c r="L2086" s="120"/>
      <c r="M2086" s="120"/>
      <c r="N2086" s="167"/>
      <c r="O2086" s="120"/>
      <c r="P2086" s="120"/>
      <c r="Q2086" s="120"/>
      <c r="R2086" s="120"/>
      <c r="S2086" s="120"/>
      <c r="T2086" s="221"/>
      <c r="U2086" s="89"/>
      <c r="V2086" s="61"/>
      <c r="W2086" s="92" t="s">
        <v>1260</v>
      </c>
      <c r="X2086" s="93" t="s">
        <v>32</v>
      </c>
      <c r="Y2086" s="93" t="s">
        <v>68</v>
      </c>
      <c r="Z2086" s="134">
        <f>VLOOKUP(W2086,Sheet2!$B:$D,3,FALSE)</f>
        <v>33</v>
      </c>
      <c r="AA2086" s="93">
        <v>1</v>
      </c>
      <c r="AB2086" s="93">
        <f>AD2086/AC2084</f>
        <v>33</v>
      </c>
      <c r="AC2086" s="93">
        <f>AC2084/AA2086</f>
        <v>440.87570000000005</v>
      </c>
      <c r="AD2086" s="94">
        <f>AC2086*Z2086</f>
        <v>14548.898100000002</v>
      </c>
      <c r="AE2086" s="190"/>
      <c r="AF2086" s="191"/>
      <c r="AG2086" s="191"/>
      <c r="AH2086" s="191"/>
      <c r="AI2086" s="186"/>
      <c r="AK2086" s="171"/>
    </row>
    <row r="2087" spans="1:41" s="102" customFormat="1" ht="19.899999999999999" customHeight="1" x14ac:dyDescent="0.25">
      <c r="A2087" s="45"/>
      <c r="B2087" s="59"/>
      <c r="C2087" s="137"/>
      <c r="D2087" s="59"/>
      <c r="E2087" s="116"/>
      <c r="F2087" s="120"/>
      <c r="G2087" s="120"/>
      <c r="H2087" s="120"/>
      <c r="I2087" s="60"/>
      <c r="J2087" s="116"/>
      <c r="K2087" s="213"/>
      <c r="L2087" s="120"/>
      <c r="M2087" s="120"/>
      <c r="N2087" s="167"/>
      <c r="O2087" s="120"/>
      <c r="P2087" s="120"/>
      <c r="Q2087" s="120"/>
      <c r="R2087" s="120"/>
      <c r="S2087" s="120"/>
      <c r="T2087" s="221"/>
      <c r="U2087" s="89"/>
      <c r="V2087" s="61"/>
      <c r="W2087" s="92" t="s">
        <v>1032</v>
      </c>
      <c r="X2087" s="93" t="s">
        <v>30</v>
      </c>
      <c r="Y2087" s="93" t="s">
        <v>66</v>
      </c>
      <c r="Z2087" s="134">
        <f>VLOOKUP(W2087,Sheet2!$B:$D,3,FALSE)</f>
        <v>250</v>
      </c>
      <c r="AA2087" s="93">
        <f>1/(1*0.1)</f>
        <v>10</v>
      </c>
      <c r="AB2087" s="93">
        <f>AD2087/AC2084</f>
        <v>25</v>
      </c>
      <c r="AC2087" s="93">
        <f>AC2084/AA2087</f>
        <v>44.087570000000007</v>
      </c>
      <c r="AD2087" s="94">
        <f>AC2087*Z2087</f>
        <v>11021.892500000002</v>
      </c>
      <c r="AE2087" s="190"/>
      <c r="AF2087" s="191"/>
      <c r="AG2087" s="191"/>
      <c r="AH2087" s="191"/>
      <c r="AI2087" s="186"/>
      <c r="AK2087" s="171"/>
    </row>
    <row r="2088" spans="1:41" s="102" customFormat="1" ht="19.899999999999999" customHeight="1" x14ac:dyDescent="0.25">
      <c r="A2088" s="45"/>
      <c r="B2088" s="59"/>
      <c r="C2088" s="137"/>
      <c r="D2088" s="59"/>
      <c r="E2088" s="116"/>
      <c r="F2088" s="120"/>
      <c r="G2088" s="120"/>
      <c r="H2088" s="120"/>
      <c r="I2088" s="60"/>
      <c r="J2088" s="116"/>
      <c r="K2088" s="213"/>
      <c r="L2088" s="120"/>
      <c r="M2088" s="120"/>
      <c r="N2088" s="167"/>
      <c r="O2088" s="120"/>
      <c r="P2088" s="120"/>
      <c r="Q2088" s="120"/>
      <c r="R2088" s="120"/>
      <c r="S2088" s="120"/>
      <c r="T2088" s="221"/>
      <c r="U2088" s="89"/>
      <c r="V2088" s="61"/>
      <c r="W2088" s="92" t="s">
        <v>1035</v>
      </c>
      <c r="X2088" s="93" t="s">
        <v>32</v>
      </c>
      <c r="Y2088" s="93" t="s">
        <v>66</v>
      </c>
      <c r="Z2088" s="134">
        <f>VLOOKUP(W2088,Sheet2!$B:$D,3,FALSE)</f>
        <v>150</v>
      </c>
      <c r="AA2088" s="93">
        <f>AA2087</f>
        <v>10</v>
      </c>
      <c r="AB2088" s="93">
        <f>AD2088/AC2084</f>
        <v>15.000000000000002</v>
      </c>
      <c r="AC2088" s="93">
        <f>AC2084/AA2088</f>
        <v>44.087570000000007</v>
      </c>
      <c r="AD2088" s="94">
        <f t="shared" ref="AD2088:AD2089" si="1534">AC2088*Z2088</f>
        <v>6613.1355000000012</v>
      </c>
      <c r="AE2088" s="190"/>
      <c r="AF2088" s="191"/>
      <c r="AG2088" s="191"/>
      <c r="AH2088" s="191"/>
      <c r="AI2088" s="186"/>
      <c r="AK2088" s="171"/>
    </row>
    <row r="2089" spans="1:41" s="102" customFormat="1" ht="19.899999999999999" customHeight="1" x14ac:dyDescent="0.25">
      <c r="A2089" s="45"/>
      <c r="B2089" s="59"/>
      <c r="C2089" s="137"/>
      <c r="D2089" s="59"/>
      <c r="E2089" s="116"/>
      <c r="F2089" s="120"/>
      <c r="G2089" s="120"/>
      <c r="H2089" s="120"/>
      <c r="I2089" s="60"/>
      <c r="J2089" s="116"/>
      <c r="K2089" s="213"/>
      <c r="L2089" s="120"/>
      <c r="M2089" s="120"/>
      <c r="N2089" s="167"/>
      <c r="O2089" s="120"/>
      <c r="P2089" s="120"/>
      <c r="Q2089" s="120"/>
      <c r="R2089" s="120"/>
      <c r="S2089" s="120"/>
      <c r="T2089" s="221"/>
      <c r="U2089" s="89"/>
      <c r="V2089" s="61"/>
      <c r="W2089" s="92" t="s">
        <v>1037</v>
      </c>
      <c r="X2089" s="93" t="s">
        <v>30</v>
      </c>
      <c r="Y2089" s="93" t="s">
        <v>1038</v>
      </c>
      <c r="Z2089" s="134">
        <f>VLOOKUP(W2089,Sheet2!$B:$D,3,FALSE)</f>
        <v>175</v>
      </c>
      <c r="AA2089" s="93">
        <v>300</v>
      </c>
      <c r="AB2089" s="93">
        <f>AD2089/AC2084</f>
        <v>0.58333333333333337</v>
      </c>
      <c r="AC2089" s="93">
        <f>AC2084/AA2089</f>
        <v>1.4695856666666669</v>
      </c>
      <c r="AD2089" s="94">
        <f t="shared" si="1534"/>
        <v>257.1774916666667</v>
      </c>
      <c r="AE2089" s="190"/>
      <c r="AF2089" s="191"/>
      <c r="AG2089" s="191"/>
      <c r="AH2089" s="191"/>
      <c r="AI2089" s="186"/>
      <c r="AK2089" s="171"/>
    </row>
    <row r="2090" spans="1:41" s="103" customFormat="1" ht="19.899999999999999" customHeight="1" x14ac:dyDescent="0.25">
      <c r="A2090" s="51"/>
      <c r="B2090" s="52"/>
      <c r="C2090" s="165"/>
      <c r="D2090" s="52"/>
      <c r="E2090" s="115"/>
      <c r="F2090" s="58"/>
      <c r="G2090" s="58"/>
      <c r="H2090" s="58"/>
      <c r="I2090" s="55"/>
      <c r="J2090" s="113">
        <f>J2074</f>
        <v>440.87570000000005</v>
      </c>
      <c r="K2090" s="212">
        <f>K2074</f>
        <v>440.87570000000005</v>
      </c>
      <c r="L2090" s="58"/>
      <c r="M2090" s="58">
        <f>K2090-L2090</f>
        <v>440.87570000000005</v>
      </c>
      <c r="N2090" s="166"/>
      <c r="O2090" s="58"/>
      <c r="P2090" s="58"/>
      <c r="Q2090" s="58"/>
      <c r="R2090" s="58"/>
      <c r="S2090" s="58"/>
      <c r="T2090" s="220"/>
      <c r="U2090" s="88"/>
      <c r="V2090" s="56"/>
      <c r="W2090" s="57" t="s">
        <v>1040</v>
      </c>
      <c r="X2090" s="53"/>
      <c r="Y2090" s="91" t="s">
        <v>68</v>
      </c>
      <c r="Z2090" s="136">
        <f>AD2090/AC2090</f>
        <v>5</v>
      </c>
      <c r="AA2090" s="58"/>
      <c r="AB2090" s="53">
        <f>AD2090/AC2090</f>
        <v>5</v>
      </c>
      <c r="AC2090" s="53">
        <f>M2090+$AE$10</f>
        <v>440.87570000000005</v>
      </c>
      <c r="AD2090" s="54">
        <f>SUM(AD2091)</f>
        <v>2204.3785000000003</v>
      </c>
      <c r="AE2090" s="184">
        <f>SUMIFS($AD$37:$AD$12971,$V$37:$V$12971,$V2090,$X$37:$X$12971,AE$13)</f>
        <v>0</v>
      </c>
      <c r="AF2090" s="185">
        <f>SUMIFS($AD$37:$AD$12971,$V$37:$V$12971,$V2090,$X$37:$X$12971,AF$13)</f>
        <v>0</v>
      </c>
      <c r="AG2090" s="185">
        <f>SUMIFS($AD$37:$AD$12971,$V$37:$V$12971,$V2090,$X$37:$X$12971,AG$13)</f>
        <v>0</v>
      </c>
      <c r="AH2090" s="187">
        <f>SUMIFS($AD$37:$AD$12971,$V$37:$V$12971,$V2090,$X$37:$X$12971,AH$13)</f>
        <v>0</v>
      </c>
      <c r="AI2090" s="161">
        <f t="shared" ref="AI2090" si="1535">SUM(AE2090:AH2090)</f>
        <v>0</v>
      </c>
      <c r="AK2090" s="172"/>
    </row>
    <row r="2091" spans="1:41" s="102" customFormat="1" ht="19.899999999999999" customHeight="1" x14ac:dyDescent="0.25">
      <c r="A2091" s="45"/>
      <c r="B2091" s="59"/>
      <c r="C2091" s="137"/>
      <c r="D2091" s="59"/>
      <c r="E2091" s="116"/>
      <c r="F2091" s="120"/>
      <c r="G2091" s="120"/>
      <c r="H2091" s="120"/>
      <c r="I2091" s="60"/>
      <c r="J2091" s="116"/>
      <c r="K2091" s="213"/>
      <c r="L2091" s="120"/>
      <c r="M2091" s="120"/>
      <c r="N2091" s="167"/>
      <c r="O2091" s="120"/>
      <c r="P2091" s="120"/>
      <c r="Q2091" s="120"/>
      <c r="R2091" s="120"/>
      <c r="S2091" s="120"/>
      <c r="T2091" s="221"/>
      <c r="U2091" s="89"/>
      <c r="V2091" s="61"/>
      <c r="W2091" s="92" t="s">
        <v>1039</v>
      </c>
      <c r="X2091" s="93" t="s">
        <v>32</v>
      </c>
      <c r="Y2091" s="93" t="s">
        <v>68</v>
      </c>
      <c r="Z2091" s="134">
        <f>VLOOKUP(W2091,Sheet2!$B:$D,3,FALSE)</f>
        <v>5</v>
      </c>
      <c r="AA2091" s="93">
        <v>1</v>
      </c>
      <c r="AB2091" s="93">
        <f>AD2091/AC2090</f>
        <v>5</v>
      </c>
      <c r="AC2091" s="93">
        <f>AC2090/AA2091</f>
        <v>440.87570000000005</v>
      </c>
      <c r="AD2091" s="94">
        <f t="shared" ref="AD2091" si="1536">AC2091*Z2091</f>
        <v>2204.3785000000003</v>
      </c>
      <c r="AE2091" s="190"/>
      <c r="AF2091" s="191"/>
      <c r="AG2091" s="191"/>
      <c r="AH2091" s="191"/>
      <c r="AI2091" s="186"/>
      <c r="AK2091" s="171"/>
    </row>
    <row r="2092" spans="1:41" ht="20.100000000000001" customHeight="1" x14ac:dyDescent="0.25">
      <c r="A2092" s="277" t="s">
        <v>410</v>
      </c>
      <c r="B2092" s="278"/>
      <c r="C2092" s="64" t="s">
        <v>417</v>
      </c>
      <c r="D2092" s="46" t="s">
        <v>97</v>
      </c>
      <c r="E2092" s="114">
        <v>24.218899999999991</v>
      </c>
      <c r="F2092" s="44">
        <v>410</v>
      </c>
      <c r="G2092" s="44">
        <f t="shared" si="1286"/>
        <v>9929.7489999999962</v>
      </c>
      <c r="H2092" s="44">
        <f t="shared" si="1287"/>
        <v>235.84414901960784</v>
      </c>
      <c r="I2092" s="43">
        <f t="shared" si="1288"/>
        <v>5711.885860690978</v>
      </c>
      <c r="J2092" s="112">
        <f t="shared" si="1289"/>
        <v>24.218899999999991</v>
      </c>
      <c r="K2092" s="211">
        <f t="shared" si="1290"/>
        <v>24.218899999999991</v>
      </c>
      <c r="L2092" s="44"/>
      <c r="M2092" s="44">
        <f t="shared" si="1296"/>
        <v>24.218899999999991</v>
      </c>
      <c r="N2092" s="173">
        <f t="shared" si="1291"/>
        <v>1</v>
      </c>
      <c r="O2092" s="44">
        <f t="shared" si="1292"/>
        <v>410</v>
      </c>
      <c r="P2092" s="44">
        <f t="shared" si="1293"/>
        <v>9929.7489999999962</v>
      </c>
      <c r="Q2092" s="44">
        <f t="shared" si="1294"/>
        <v>235.84414901960784</v>
      </c>
      <c r="R2092" s="44">
        <f t="shared" si="1297"/>
        <v>5711.885860690978</v>
      </c>
      <c r="S2092" s="123"/>
      <c r="T2092" s="219">
        <f t="shared" si="1298"/>
        <v>5711.885860690978</v>
      </c>
      <c r="U2092" s="87"/>
      <c r="V2092" s="47"/>
      <c r="W2092" s="48"/>
      <c r="X2092" s="48"/>
      <c r="Y2092" s="48"/>
      <c r="Z2092" s="135"/>
      <c r="AA2092" s="49"/>
      <c r="AB2092" s="50">
        <f t="shared" si="1295"/>
        <v>235.84414901960784</v>
      </c>
      <c r="AC2092" s="42">
        <f t="shared" si="1299"/>
        <v>24.218899999999991</v>
      </c>
      <c r="AD2092" s="90">
        <f>AD2093+AD2103+AD2109</f>
        <v>5711.885860690978</v>
      </c>
      <c r="AE2092" s="188">
        <f t="shared" ref="AE2092" si="1537">AE2093+AE2103+AE2109</f>
        <v>0</v>
      </c>
      <c r="AF2092" s="189">
        <f t="shared" ref="AF2092" si="1538">AF2093+AF2103+AF2109</f>
        <v>0</v>
      </c>
      <c r="AG2092" s="189">
        <f t="shared" ref="AG2092" si="1539">AG2093+AG2103+AG2109</f>
        <v>0</v>
      </c>
      <c r="AH2092" s="189">
        <f t="shared" ref="AH2092" si="1540">AH2093+AH2103+AH2109</f>
        <v>0</v>
      </c>
      <c r="AI2092" s="161">
        <f t="shared" ref="AI2092" si="1541">SUM(AE2092:AH2092)</f>
        <v>0</v>
      </c>
      <c r="AK2092" s="169">
        <v>5</v>
      </c>
      <c r="AO2092" s="19" t="s">
        <v>63</v>
      </c>
    </row>
    <row r="2093" spans="1:41" s="103" customFormat="1" ht="19.899999999999999" customHeight="1" x14ac:dyDescent="0.25">
      <c r="A2093" s="51"/>
      <c r="B2093" s="52"/>
      <c r="C2093" s="165"/>
      <c r="D2093" s="52"/>
      <c r="E2093" s="115"/>
      <c r="F2093" s="58"/>
      <c r="G2093" s="58"/>
      <c r="H2093" s="58"/>
      <c r="I2093" s="55"/>
      <c r="J2093" s="113">
        <f>J2092</f>
        <v>24.218899999999991</v>
      </c>
      <c r="K2093" s="212">
        <f>K2092</f>
        <v>24.218899999999991</v>
      </c>
      <c r="L2093" s="58"/>
      <c r="M2093" s="58">
        <f>K2093-L2093</f>
        <v>24.218899999999991</v>
      </c>
      <c r="N2093" s="166"/>
      <c r="O2093" s="58"/>
      <c r="P2093" s="58"/>
      <c r="Q2093" s="58"/>
      <c r="R2093" s="58"/>
      <c r="S2093" s="58"/>
      <c r="T2093" s="220"/>
      <c r="U2093" s="88"/>
      <c r="V2093" s="56"/>
      <c r="W2093" s="57" t="s">
        <v>1050</v>
      </c>
      <c r="X2093" s="53"/>
      <c r="Y2093" s="91" t="s">
        <v>68</v>
      </c>
      <c r="Z2093" s="136">
        <f>AD2093/AC2093</f>
        <v>47.260815686274512</v>
      </c>
      <c r="AA2093" s="58"/>
      <c r="AB2093" s="53">
        <f>AD2093/AC2093</f>
        <v>47.260815686274512</v>
      </c>
      <c r="AC2093" s="53">
        <f>M2093+$AE$10</f>
        <v>24.218899999999991</v>
      </c>
      <c r="AD2093" s="54">
        <f>SUM(AD2094:AD2102)</f>
        <v>1144.6049690243133</v>
      </c>
      <c r="AE2093" s="184">
        <f>SUMIFS($AD$37:$AD$12971,$V$37:$V$12971,$V2093,$X$37:$X$12971,AE$13)</f>
        <v>0</v>
      </c>
      <c r="AF2093" s="185">
        <f>SUMIFS($AD$37:$AD$12971,$V$37:$V$12971,$V2093,$X$37:$X$12971,AF$13)</f>
        <v>0</v>
      </c>
      <c r="AG2093" s="185">
        <f>SUMIFS($AD$37:$AD$12971,$V$37:$V$12971,$V2093,$X$37:$X$12971,AG$13)</f>
        <v>0</v>
      </c>
      <c r="AH2093" s="187">
        <f>SUMIFS($AD$37:$AD$12971,$V$37:$V$12971,$V2093,$X$37:$X$12971,AH$13)</f>
        <v>0</v>
      </c>
      <c r="AI2093" s="161">
        <f t="shared" ref="AI2093" si="1542">SUM(AE2093:AH2093)</f>
        <v>0</v>
      </c>
      <c r="AK2093" s="172"/>
    </row>
    <row r="2094" spans="1:41" s="102" customFormat="1" ht="19.899999999999999" customHeight="1" x14ac:dyDescent="0.25">
      <c r="A2094" s="45"/>
      <c r="B2094" s="59"/>
      <c r="C2094" s="137"/>
      <c r="D2094" s="59"/>
      <c r="E2094" s="116"/>
      <c r="F2094" s="120"/>
      <c r="G2094" s="120"/>
      <c r="H2094" s="120"/>
      <c r="I2094" s="60"/>
      <c r="J2094" s="116"/>
      <c r="K2094" s="213"/>
      <c r="L2094" s="120"/>
      <c r="M2094" s="120"/>
      <c r="N2094" s="167"/>
      <c r="O2094" s="120"/>
      <c r="P2094" s="120"/>
      <c r="Q2094" s="120"/>
      <c r="R2094" s="120"/>
      <c r="S2094" s="120"/>
      <c r="T2094" s="221"/>
      <c r="U2094" s="89"/>
      <c r="V2094" s="61"/>
      <c r="W2094" s="92" t="s">
        <v>129</v>
      </c>
      <c r="X2094" s="93" t="s">
        <v>29</v>
      </c>
      <c r="Y2094" s="93" t="s">
        <v>93</v>
      </c>
      <c r="Z2094" s="134">
        <f>VLOOKUP(W2094,Sheet2!$B:$D,3,FALSE)</f>
        <v>56</v>
      </c>
      <c r="AA2094" s="93">
        <f>100/(1*2.5)</f>
        <v>40</v>
      </c>
      <c r="AB2094" s="93">
        <f t="shared" ref="AB2094" si="1543">AD2094/AC2093</f>
        <v>1.4000000000000001</v>
      </c>
      <c r="AC2094" s="93">
        <f>AC2093/AA2094</f>
        <v>0.60547249999999975</v>
      </c>
      <c r="AD2094" s="94">
        <f t="shared" ref="AD2094:AD2095" si="1544">AC2094*Z2094</f>
        <v>33.906459999999988</v>
      </c>
      <c r="AE2094" s="190"/>
      <c r="AF2094" s="191"/>
      <c r="AG2094" s="191"/>
      <c r="AH2094" s="191"/>
      <c r="AI2094" s="186"/>
      <c r="AK2094" s="171"/>
    </row>
    <row r="2095" spans="1:41" s="102" customFormat="1" ht="19.899999999999999" customHeight="1" x14ac:dyDescent="0.25">
      <c r="A2095" s="45"/>
      <c r="B2095" s="59"/>
      <c r="C2095" s="137"/>
      <c r="D2095" s="59"/>
      <c r="E2095" s="116"/>
      <c r="F2095" s="120"/>
      <c r="G2095" s="120"/>
      <c r="H2095" s="120"/>
      <c r="I2095" s="60"/>
      <c r="J2095" s="116"/>
      <c r="K2095" s="213"/>
      <c r="L2095" s="120"/>
      <c r="M2095" s="120"/>
      <c r="N2095" s="167"/>
      <c r="O2095" s="120"/>
      <c r="P2095" s="120"/>
      <c r="Q2095" s="120"/>
      <c r="R2095" s="120"/>
      <c r="S2095" s="120"/>
      <c r="T2095" s="221"/>
      <c r="U2095" s="89"/>
      <c r="V2095" s="61"/>
      <c r="W2095" s="92" t="s">
        <v>65</v>
      </c>
      <c r="X2095" s="93" t="s">
        <v>30</v>
      </c>
      <c r="Y2095" s="93" t="s">
        <v>1011</v>
      </c>
      <c r="Z2095" s="134">
        <f>VLOOKUP(W2095,Sheet2!$B:$D,3,FALSE)</f>
        <v>1.76</v>
      </c>
      <c r="AA2095" s="93">
        <f>AA2094/14</f>
        <v>2.8571428571428572</v>
      </c>
      <c r="AB2095" s="93">
        <f>AD2095/AC2093</f>
        <v>0.6160000000000001</v>
      </c>
      <c r="AC2095" s="93">
        <f>AC2093/AA2095</f>
        <v>8.4766149999999971</v>
      </c>
      <c r="AD2095" s="94">
        <f t="shared" si="1544"/>
        <v>14.918842399999996</v>
      </c>
      <c r="AE2095" s="190"/>
      <c r="AF2095" s="191"/>
      <c r="AG2095" s="191"/>
      <c r="AH2095" s="191"/>
      <c r="AI2095" s="186"/>
      <c r="AK2095" s="171"/>
    </row>
    <row r="2096" spans="1:41" s="102" customFormat="1" ht="19.899999999999999" customHeight="1" x14ac:dyDescent="0.25">
      <c r="A2096" s="45"/>
      <c r="B2096" s="59"/>
      <c r="C2096" s="137"/>
      <c r="D2096" s="59"/>
      <c r="E2096" s="116"/>
      <c r="F2096" s="120"/>
      <c r="G2096" s="120"/>
      <c r="H2096" s="120"/>
      <c r="I2096" s="60"/>
      <c r="J2096" s="116"/>
      <c r="K2096" s="213"/>
      <c r="L2096" s="120"/>
      <c r="M2096" s="120"/>
      <c r="N2096" s="167"/>
      <c r="O2096" s="120"/>
      <c r="P2096" s="120"/>
      <c r="Q2096" s="120"/>
      <c r="R2096" s="120"/>
      <c r="S2096" s="120"/>
      <c r="T2096" s="221"/>
      <c r="U2096" s="89"/>
      <c r="V2096" s="61"/>
      <c r="W2096" s="92" t="s">
        <v>161</v>
      </c>
      <c r="X2096" s="93" t="s">
        <v>29</v>
      </c>
      <c r="Y2096" s="93" t="s">
        <v>93</v>
      </c>
      <c r="Z2096" s="134">
        <f>VLOOKUP(W2096,Sheet2!$B:$D,3,FALSE)</f>
        <v>48</v>
      </c>
      <c r="AA2096" s="93">
        <f>(16*0.85*1.5)/(1*2.5)</f>
        <v>8.16</v>
      </c>
      <c r="AB2096" s="93">
        <f>AD2096/AC2093</f>
        <v>5.882352941176471</v>
      </c>
      <c r="AC2096" s="93">
        <f>AC2093/AA2096</f>
        <v>2.9680024509803911</v>
      </c>
      <c r="AD2096" s="94">
        <f>AC2096*Z2096</f>
        <v>142.46411764705877</v>
      </c>
      <c r="AE2096" s="190"/>
      <c r="AF2096" s="191"/>
      <c r="AG2096" s="191"/>
      <c r="AH2096" s="191"/>
      <c r="AI2096" s="186"/>
      <c r="AK2096" s="171"/>
    </row>
    <row r="2097" spans="1:41" s="102" customFormat="1" ht="19.899999999999999" customHeight="1" x14ac:dyDescent="0.25">
      <c r="A2097" s="45"/>
      <c r="B2097" s="59"/>
      <c r="C2097" s="137"/>
      <c r="D2097" s="59"/>
      <c r="E2097" s="116"/>
      <c r="F2097" s="120"/>
      <c r="G2097" s="120"/>
      <c r="H2097" s="120"/>
      <c r="I2097" s="60"/>
      <c r="J2097" s="116"/>
      <c r="K2097" s="213"/>
      <c r="L2097" s="120"/>
      <c r="M2097" s="120"/>
      <c r="N2097" s="167"/>
      <c r="O2097" s="120"/>
      <c r="P2097" s="120"/>
      <c r="Q2097" s="120"/>
      <c r="R2097" s="120"/>
      <c r="S2097" s="120"/>
      <c r="T2097" s="221"/>
      <c r="U2097" s="89"/>
      <c r="V2097" s="61"/>
      <c r="W2097" s="92" t="s">
        <v>65</v>
      </c>
      <c r="X2097" s="93" t="s">
        <v>30</v>
      </c>
      <c r="Y2097" s="93" t="s">
        <v>1011</v>
      </c>
      <c r="Z2097" s="134">
        <f>VLOOKUP(W2097,Sheet2!$B:$D,3,FALSE)</f>
        <v>1.76</v>
      </c>
      <c r="AA2097" s="93">
        <f>AA2096/10</f>
        <v>0.81600000000000006</v>
      </c>
      <c r="AB2097" s="93">
        <f>AD2097/AC2093</f>
        <v>2.1568627450980391</v>
      </c>
      <c r="AC2097" s="93">
        <f>AC2093/AA2097</f>
        <v>29.680024509803907</v>
      </c>
      <c r="AD2097" s="94">
        <f>AC2097*Z2097</f>
        <v>52.23684313725488</v>
      </c>
      <c r="AE2097" s="190"/>
      <c r="AF2097" s="191"/>
      <c r="AG2097" s="191"/>
      <c r="AH2097" s="191"/>
      <c r="AI2097" s="186"/>
      <c r="AK2097" s="171"/>
    </row>
    <row r="2098" spans="1:41" s="102" customFormat="1" ht="19.899999999999999" customHeight="1" x14ac:dyDescent="0.25">
      <c r="A2098" s="45"/>
      <c r="B2098" s="59"/>
      <c r="C2098" s="137"/>
      <c r="D2098" s="59"/>
      <c r="E2098" s="116"/>
      <c r="F2098" s="120"/>
      <c r="G2098" s="120"/>
      <c r="H2098" s="120"/>
      <c r="I2098" s="60"/>
      <c r="J2098" s="116"/>
      <c r="K2098" s="213"/>
      <c r="L2098" s="120"/>
      <c r="M2098" s="120"/>
      <c r="N2098" s="167"/>
      <c r="O2098" s="120"/>
      <c r="P2098" s="120"/>
      <c r="Q2098" s="120"/>
      <c r="R2098" s="120"/>
      <c r="S2098" s="120"/>
      <c r="T2098" s="221"/>
      <c r="U2098" s="89"/>
      <c r="V2098" s="61"/>
      <c r="W2098" s="92" t="s">
        <v>1030</v>
      </c>
      <c r="X2098" s="93" t="s">
        <v>29</v>
      </c>
      <c r="Y2098" s="93" t="s">
        <v>93</v>
      </c>
      <c r="Z2098" s="134">
        <f>VLOOKUP(W2098,Sheet2!$B:$D,3,FALSE)</f>
        <v>23</v>
      </c>
      <c r="AA2098" s="93">
        <v>50</v>
      </c>
      <c r="AB2098" s="93">
        <f>AD2098/AC2093</f>
        <v>0.46</v>
      </c>
      <c r="AC2098" s="93">
        <f>AC2093/AA2098</f>
        <v>0.48437799999999981</v>
      </c>
      <c r="AD2098" s="94">
        <f t="shared" ref="AD2098:AD2102" si="1545">AC2098*Z2098</f>
        <v>11.140693999999996</v>
      </c>
      <c r="AE2098" s="190"/>
      <c r="AF2098" s="191"/>
      <c r="AG2098" s="191"/>
      <c r="AH2098" s="191"/>
      <c r="AI2098" s="186"/>
      <c r="AK2098" s="171"/>
    </row>
    <row r="2099" spans="1:41" s="102" customFormat="1" ht="19.899999999999999" customHeight="1" x14ac:dyDescent="0.25">
      <c r="A2099" s="45"/>
      <c r="B2099" s="59"/>
      <c r="C2099" s="137"/>
      <c r="D2099" s="59"/>
      <c r="E2099" s="116"/>
      <c r="F2099" s="120"/>
      <c r="G2099" s="120"/>
      <c r="H2099" s="120"/>
      <c r="I2099" s="60"/>
      <c r="J2099" s="116"/>
      <c r="K2099" s="213"/>
      <c r="L2099" s="120"/>
      <c r="M2099" s="120"/>
      <c r="N2099" s="167"/>
      <c r="O2099" s="120"/>
      <c r="P2099" s="120"/>
      <c r="Q2099" s="120"/>
      <c r="R2099" s="120"/>
      <c r="S2099" s="120"/>
      <c r="T2099" s="221"/>
      <c r="U2099" s="89"/>
      <c r="V2099" s="61"/>
      <c r="W2099" s="92" t="s">
        <v>65</v>
      </c>
      <c r="X2099" s="93" t="s">
        <v>30</v>
      </c>
      <c r="Y2099" s="93" t="s">
        <v>1011</v>
      </c>
      <c r="Z2099" s="134">
        <f>VLOOKUP(W2099,Sheet2!$B:$D,3,FALSE)</f>
        <v>1.76</v>
      </c>
      <c r="AA2099" s="93">
        <f>AA2098/3</f>
        <v>16.666666666666668</v>
      </c>
      <c r="AB2099" s="93">
        <f>AD2099/AC2093</f>
        <v>0.1056</v>
      </c>
      <c r="AC2099" s="93">
        <f>AC2093/AA2099</f>
        <v>1.4531339999999993</v>
      </c>
      <c r="AD2099" s="94">
        <f t="shared" si="1545"/>
        <v>2.5575158399999989</v>
      </c>
      <c r="AE2099" s="190"/>
      <c r="AF2099" s="191"/>
      <c r="AG2099" s="191"/>
      <c r="AH2099" s="191"/>
      <c r="AI2099" s="186"/>
      <c r="AK2099" s="171"/>
    </row>
    <row r="2100" spans="1:41" s="102" customFormat="1" ht="19.899999999999999" customHeight="1" x14ac:dyDescent="0.25">
      <c r="A2100" s="45"/>
      <c r="B2100" s="59"/>
      <c r="C2100" s="137"/>
      <c r="D2100" s="59"/>
      <c r="E2100" s="116"/>
      <c r="F2100" s="120"/>
      <c r="G2100" s="120"/>
      <c r="H2100" s="120"/>
      <c r="I2100" s="60"/>
      <c r="J2100" s="116"/>
      <c r="K2100" s="213"/>
      <c r="L2100" s="120"/>
      <c r="M2100" s="120"/>
      <c r="N2100" s="167"/>
      <c r="O2100" s="120"/>
      <c r="P2100" s="120"/>
      <c r="Q2100" s="120"/>
      <c r="R2100" s="120"/>
      <c r="S2100" s="120"/>
      <c r="T2100" s="221"/>
      <c r="U2100" s="89"/>
      <c r="V2100" s="61"/>
      <c r="W2100" s="92" t="s">
        <v>148</v>
      </c>
      <c r="X2100" s="93" t="s">
        <v>29</v>
      </c>
      <c r="Y2100" s="93" t="s">
        <v>93</v>
      </c>
      <c r="Z2100" s="134">
        <f>VLOOKUP(W2100,Sheet2!$B:$D,3,FALSE)</f>
        <v>48</v>
      </c>
      <c r="AA2100" s="93">
        <f>AA2094</f>
        <v>40</v>
      </c>
      <c r="AB2100" s="93">
        <f>AD2100/AC2093</f>
        <v>1.2</v>
      </c>
      <c r="AC2100" s="93">
        <f>AC2093/AA2100</f>
        <v>0.60547249999999975</v>
      </c>
      <c r="AD2100" s="94">
        <f t="shared" si="1545"/>
        <v>29.062679999999986</v>
      </c>
      <c r="AE2100" s="190"/>
      <c r="AF2100" s="191"/>
      <c r="AG2100" s="191"/>
      <c r="AH2100" s="191"/>
      <c r="AI2100" s="186"/>
      <c r="AK2100" s="171"/>
    </row>
    <row r="2101" spans="1:41" s="102" customFormat="1" ht="19.899999999999999" customHeight="1" x14ac:dyDescent="0.25">
      <c r="A2101" s="45"/>
      <c r="B2101" s="59"/>
      <c r="C2101" s="137"/>
      <c r="D2101" s="59"/>
      <c r="E2101" s="116"/>
      <c r="F2101" s="120"/>
      <c r="G2101" s="120"/>
      <c r="H2101" s="120"/>
      <c r="I2101" s="60"/>
      <c r="J2101" s="116"/>
      <c r="K2101" s="213"/>
      <c r="L2101" s="120"/>
      <c r="M2101" s="120"/>
      <c r="N2101" s="167"/>
      <c r="O2101" s="120"/>
      <c r="P2101" s="120"/>
      <c r="Q2101" s="120"/>
      <c r="R2101" s="120"/>
      <c r="S2101" s="120"/>
      <c r="T2101" s="221"/>
      <c r="U2101" s="89"/>
      <c r="V2101" s="61"/>
      <c r="W2101" s="92" t="s">
        <v>65</v>
      </c>
      <c r="X2101" s="93" t="s">
        <v>30</v>
      </c>
      <c r="Y2101" s="93" t="s">
        <v>1011</v>
      </c>
      <c r="Z2101" s="134">
        <f>VLOOKUP(W2101,Sheet2!$B:$D,3,FALSE)</f>
        <v>1.76</v>
      </c>
      <c r="AA2101" s="93">
        <f>AA2100/10</f>
        <v>4</v>
      </c>
      <c r="AB2101" s="93">
        <f>AD2101/AC2093</f>
        <v>0.44000000000000006</v>
      </c>
      <c r="AC2101" s="93">
        <f>AC2093/AA2101</f>
        <v>6.0547249999999977</v>
      </c>
      <c r="AD2101" s="94">
        <f t="shared" si="1545"/>
        <v>10.656315999999997</v>
      </c>
      <c r="AE2101" s="190"/>
      <c r="AF2101" s="191"/>
      <c r="AG2101" s="191"/>
      <c r="AH2101" s="191"/>
      <c r="AI2101" s="186"/>
      <c r="AK2101" s="171"/>
    </row>
    <row r="2102" spans="1:41" s="102" customFormat="1" ht="19.899999999999999" customHeight="1" x14ac:dyDescent="0.25">
      <c r="A2102" s="45"/>
      <c r="B2102" s="59"/>
      <c r="C2102" s="137"/>
      <c r="D2102" s="59"/>
      <c r="E2102" s="116"/>
      <c r="F2102" s="120"/>
      <c r="G2102" s="120"/>
      <c r="H2102" s="120"/>
      <c r="I2102" s="60"/>
      <c r="J2102" s="116"/>
      <c r="K2102" s="213"/>
      <c r="L2102" s="120"/>
      <c r="M2102" s="120"/>
      <c r="N2102" s="167"/>
      <c r="O2102" s="120"/>
      <c r="P2102" s="120"/>
      <c r="Q2102" s="120"/>
      <c r="R2102" s="120"/>
      <c r="S2102" s="120"/>
      <c r="T2102" s="221"/>
      <c r="U2102" s="89"/>
      <c r="V2102" s="61"/>
      <c r="W2102" s="92" t="s">
        <v>1048</v>
      </c>
      <c r="X2102" s="93" t="s">
        <v>30</v>
      </c>
      <c r="Y2102" s="93" t="s">
        <v>68</v>
      </c>
      <c r="Z2102" s="134">
        <f>VLOOKUP(W2102,Sheet2!$B:$D,3,FALSE)</f>
        <v>35</v>
      </c>
      <c r="AA2102" s="93">
        <v>1</v>
      </c>
      <c r="AB2102" s="93">
        <f>AD2102/AC2093</f>
        <v>35</v>
      </c>
      <c r="AC2102" s="93">
        <f>AC2093/AA2102</f>
        <v>24.218899999999991</v>
      </c>
      <c r="AD2102" s="94">
        <f t="shared" si="1545"/>
        <v>847.66149999999971</v>
      </c>
      <c r="AE2102" s="190"/>
      <c r="AF2102" s="191"/>
      <c r="AG2102" s="191"/>
      <c r="AH2102" s="191"/>
      <c r="AI2102" s="186"/>
      <c r="AK2102" s="171"/>
    </row>
    <row r="2103" spans="1:41" s="103" customFormat="1" ht="19.899999999999999" customHeight="1" x14ac:dyDescent="0.25">
      <c r="A2103" s="51"/>
      <c r="B2103" s="52"/>
      <c r="C2103" s="165"/>
      <c r="D2103" s="52"/>
      <c r="E2103" s="115"/>
      <c r="F2103" s="58"/>
      <c r="G2103" s="58"/>
      <c r="H2103" s="58"/>
      <c r="I2103" s="55"/>
      <c r="J2103" s="113">
        <f>J2092</f>
        <v>24.218899999999991</v>
      </c>
      <c r="K2103" s="212">
        <f>K2092</f>
        <v>24.218899999999991</v>
      </c>
      <c r="L2103" s="58"/>
      <c r="M2103" s="58">
        <f>K2103-L2103</f>
        <v>24.218899999999991</v>
      </c>
      <c r="N2103" s="166"/>
      <c r="O2103" s="58"/>
      <c r="P2103" s="58"/>
      <c r="Q2103" s="58"/>
      <c r="R2103" s="58"/>
      <c r="S2103" s="58"/>
      <c r="T2103" s="220"/>
      <c r="U2103" s="88"/>
      <c r="V2103" s="56"/>
      <c r="W2103" s="57" t="s">
        <v>1036</v>
      </c>
      <c r="X2103" s="53"/>
      <c r="Y2103" s="91" t="s">
        <v>68</v>
      </c>
      <c r="Z2103" s="136">
        <f>AD2103/AC2103</f>
        <v>183.58333333333331</v>
      </c>
      <c r="AA2103" s="58"/>
      <c r="AB2103" s="53">
        <f>AD2103/AC2103</f>
        <v>183.58333333333331</v>
      </c>
      <c r="AC2103" s="53">
        <f>M2103+$AE$10</f>
        <v>24.218899999999991</v>
      </c>
      <c r="AD2103" s="54">
        <f>SUM(AD2104:AD2108)</f>
        <v>4446.1863916666643</v>
      </c>
      <c r="AE2103" s="184">
        <f>SUMIFS($AD$37:$AD$12971,$V$37:$V$12971,$V2103,$X$37:$X$12971,AE$13)</f>
        <v>0</v>
      </c>
      <c r="AF2103" s="185">
        <f>SUMIFS($AD$37:$AD$12971,$V$37:$V$12971,$V2103,$X$37:$X$12971,AF$13)</f>
        <v>0</v>
      </c>
      <c r="AG2103" s="185">
        <f>SUMIFS($AD$37:$AD$12971,$V$37:$V$12971,$V2103,$X$37:$X$12971,AG$13)</f>
        <v>0</v>
      </c>
      <c r="AH2103" s="187">
        <f>SUMIFS($AD$37:$AD$12971,$V$37:$V$12971,$V2103,$X$37:$X$12971,AH$13)</f>
        <v>0</v>
      </c>
      <c r="AI2103" s="161">
        <f t="shared" ref="AI2103" si="1546">SUM(AE2103:AH2103)</f>
        <v>0</v>
      </c>
      <c r="AK2103" s="172"/>
    </row>
    <row r="2104" spans="1:41" s="102" customFormat="1" ht="19.899999999999999" customHeight="1" x14ac:dyDescent="0.25">
      <c r="A2104" s="45"/>
      <c r="B2104" s="59"/>
      <c r="C2104" s="137"/>
      <c r="D2104" s="59"/>
      <c r="E2104" s="116"/>
      <c r="F2104" s="120"/>
      <c r="G2104" s="120"/>
      <c r="H2104" s="120"/>
      <c r="I2104" s="60"/>
      <c r="J2104" s="116"/>
      <c r="K2104" s="213"/>
      <c r="L2104" s="120"/>
      <c r="M2104" s="120"/>
      <c r="N2104" s="167"/>
      <c r="O2104" s="120"/>
      <c r="P2104" s="120"/>
      <c r="Q2104" s="120"/>
      <c r="R2104" s="120"/>
      <c r="S2104" s="120"/>
      <c r="T2104" s="221"/>
      <c r="U2104" s="89"/>
      <c r="V2104" s="61"/>
      <c r="W2104" s="92" t="s">
        <v>1252</v>
      </c>
      <c r="X2104" s="93" t="s">
        <v>30</v>
      </c>
      <c r="Y2104" s="93" t="s">
        <v>68</v>
      </c>
      <c r="Z2104" s="134">
        <f>VLOOKUP(W2104,Sheet2!$B:$D,3,FALSE)</f>
        <v>110</v>
      </c>
      <c r="AA2104" s="93">
        <v>1</v>
      </c>
      <c r="AB2104" s="93">
        <f>AD2104/AC2103</f>
        <v>110</v>
      </c>
      <c r="AC2104" s="93">
        <f>AC2103/AA2104</f>
        <v>24.218899999999991</v>
      </c>
      <c r="AD2104" s="94">
        <f t="shared" ref="AD2104" si="1547">AC2104*Z2104</f>
        <v>2664.0789999999988</v>
      </c>
      <c r="AE2104" s="190"/>
      <c r="AF2104" s="191"/>
      <c r="AG2104" s="191"/>
      <c r="AH2104" s="191"/>
      <c r="AI2104" s="186"/>
      <c r="AK2104" s="171"/>
    </row>
    <row r="2105" spans="1:41" s="102" customFormat="1" ht="19.899999999999999" customHeight="1" x14ac:dyDescent="0.25">
      <c r="A2105" s="45"/>
      <c r="B2105" s="59"/>
      <c r="C2105" s="137"/>
      <c r="D2105" s="59"/>
      <c r="E2105" s="116"/>
      <c r="F2105" s="120"/>
      <c r="G2105" s="120"/>
      <c r="H2105" s="120"/>
      <c r="I2105" s="60"/>
      <c r="J2105" s="116"/>
      <c r="K2105" s="213"/>
      <c r="L2105" s="120"/>
      <c r="M2105" s="120"/>
      <c r="N2105" s="167"/>
      <c r="O2105" s="120"/>
      <c r="P2105" s="120"/>
      <c r="Q2105" s="120"/>
      <c r="R2105" s="120"/>
      <c r="S2105" s="120"/>
      <c r="T2105" s="221"/>
      <c r="U2105" s="89"/>
      <c r="V2105" s="61"/>
      <c r="W2105" s="92" t="s">
        <v>1260</v>
      </c>
      <c r="X2105" s="93" t="s">
        <v>32</v>
      </c>
      <c r="Y2105" s="93" t="s">
        <v>68</v>
      </c>
      <c r="Z2105" s="134">
        <f>VLOOKUP(W2105,Sheet2!$B:$D,3,FALSE)</f>
        <v>33</v>
      </c>
      <c r="AA2105" s="93">
        <v>1</v>
      </c>
      <c r="AB2105" s="93">
        <f>AD2105/AC2103</f>
        <v>33</v>
      </c>
      <c r="AC2105" s="93">
        <f>AC2103/AA2105</f>
        <v>24.218899999999991</v>
      </c>
      <c r="AD2105" s="94">
        <f>AC2105*Z2105</f>
        <v>799.22369999999967</v>
      </c>
      <c r="AE2105" s="190"/>
      <c r="AF2105" s="191"/>
      <c r="AG2105" s="191"/>
      <c r="AH2105" s="191"/>
      <c r="AI2105" s="186"/>
      <c r="AK2105" s="171"/>
    </row>
    <row r="2106" spans="1:41" s="102" customFormat="1" ht="19.899999999999999" customHeight="1" x14ac:dyDescent="0.25">
      <c r="A2106" s="45"/>
      <c r="B2106" s="59"/>
      <c r="C2106" s="137"/>
      <c r="D2106" s="59"/>
      <c r="E2106" s="116"/>
      <c r="F2106" s="120"/>
      <c r="G2106" s="120"/>
      <c r="H2106" s="120"/>
      <c r="I2106" s="60"/>
      <c r="J2106" s="116"/>
      <c r="K2106" s="213"/>
      <c r="L2106" s="120"/>
      <c r="M2106" s="120"/>
      <c r="N2106" s="167"/>
      <c r="O2106" s="120"/>
      <c r="P2106" s="120"/>
      <c r="Q2106" s="120"/>
      <c r="R2106" s="120"/>
      <c r="S2106" s="120"/>
      <c r="T2106" s="221"/>
      <c r="U2106" s="89"/>
      <c r="V2106" s="61"/>
      <c r="W2106" s="92" t="s">
        <v>1032</v>
      </c>
      <c r="X2106" s="93" t="s">
        <v>30</v>
      </c>
      <c r="Y2106" s="93" t="s">
        <v>66</v>
      </c>
      <c r="Z2106" s="134">
        <f>VLOOKUP(W2106,Sheet2!$B:$D,3,FALSE)</f>
        <v>250</v>
      </c>
      <c r="AA2106" s="93">
        <f>1/(1*0.1)</f>
        <v>10</v>
      </c>
      <c r="AB2106" s="93">
        <f>AD2106/AC2103</f>
        <v>25</v>
      </c>
      <c r="AC2106" s="93">
        <f>AC2103/AA2106</f>
        <v>2.421889999999999</v>
      </c>
      <c r="AD2106" s="94">
        <f>AC2106*Z2106</f>
        <v>605.47249999999974</v>
      </c>
      <c r="AE2106" s="190"/>
      <c r="AF2106" s="191"/>
      <c r="AG2106" s="191"/>
      <c r="AH2106" s="191"/>
      <c r="AI2106" s="186"/>
      <c r="AK2106" s="171"/>
    </row>
    <row r="2107" spans="1:41" s="102" customFormat="1" ht="19.899999999999999" customHeight="1" x14ac:dyDescent="0.25">
      <c r="A2107" s="45"/>
      <c r="B2107" s="59"/>
      <c r="C2107" s="137"/>
      <c r="D2107" s="59"/>
      <c r="E2107" s="116"/>
      <c r="F2107" s="120"/>
      <c r="G2107" s="120"/>
      <c r="H2107" s="120"/>
      <c r="I2107" s="60"/>
      <c r="J2107" s="116"/>
      <c r="K2107" s="213"/>
      <c r="L2107" s="120"/>
      <c r="M2107" s="120"/>
      <c r="N2107" s="167"/>
      <c r="O2107" s="120"/>
      <c r="P2107" s="120"/>
      <c r="Q2107" s="120"/>
      <c r="R2107" s="120"/>
      <c r="S2107" s="120"/>
      <c r="T2107" s="221"/>
      <c r="U2107" s="89"/>
      <c r="V2107" s="61"/>
      <c r="W2107" s="92" t="s">
        <v>1035</v>
      </c>
      <c r="X2107" s="93" t="s">
        <v>32</v>
      </c>
      <c r="Y2107" s="93" t="s">
        <v>66</v>
      </c>
      <c r="Z2107" s="134">
        <f>VLOOKUP(W2107,Sheet2!$B:$D,3,FALSE)</f>
        <v>150</v>
      </c>
      <c r="AA2107" s="93">
        <f>AA2106</f>
        <v>10</v>
      </c>
      <c r="AB2107" s="93">
        <f>AD2107/AC2103</f>
        <v>14.999999999999998</v>
      </c>
      <c r="AC2107" s="93">
        <f>AC2103/AA2107</f>
        <v>2.421889999999999</v>
      </c>
      <c r="AD2107" s="94">
        <f t="shared" ref="AD2107:AD2108" si="1548">AC2107*Z2107</f>
        <v>363.28349999999983</v>
      </c>
      <c r="AE2107" s="190"/>
      <c r="AF2107" s="191"/>
      <c r="AG2107" s="191"/>
      <c r="AH2107" s="191"/>
      <c r="AI2107" s="186"/>
      <c r="AK2107" s="171"/>
    </row>
    <row r="2108" spans="1:41" s="102" customFormat="1" ht="19.899999999999999" customHeight="1" x14ac:dyDescent="0.25">
      <c r="A2108" s="45"/>
      <c r="B2108" s="59"/>
      <c r="C2108" s="137"/>
      <c r="D2108" s="59"/>
      <c r="E2108" s="116"/>
      <c r="F2108" s="120"/>
      <c r="G2108" s="120"/>
      <c r="H2108" s="120"/>
      <c r="I2108" s="60"/>
      <c r="J2108" s="116"/>
      <c r="K2108" s="213"/>
      <c r="L2108" s="120"/>
      <c r="M2108" s="120"/>
      <c r="N2108" s="167"/>
      <c r="O2108" s="120"/>
      <c r="P2108" s="120"/>
      <c r="Q2108" s="120"/>
      <c r="R2108" s="120"/>
      <c r="S2108" s="120"/>
      <c r="T2108" s="221"/>
      <c r="U2108" s="89"/>
      <c r="V2108" s="61"/>
      <c r="W2108" s="92" t="s">
        <v>1037</v>
      </c>
      <c r="X2108" s="93" t="s">
        <v>30</v>
      </c>
      <c r="Y2108" s="93" t="s">
        <v>1038</v>
      </c>
      <c r="Z2108" s="134">
        <f>VLOOKUP(W2108,Sheet2!$B:$D,3,FALSE)</f>
        <v>175</v>
      </c>
      <c r="AA2108" s="93">
        <v>300</v>
      </c>
      <c r="AB2108" s="93">
        <f>AD2108/AC2103</f>
        <v>0.58333333333333326</v>
      </c>
      <c r="AC2108" s="93">
        <f>AC2103/AA2108</f>
        <v>8.072966666666663E-2</v>
      </c>
      <c r="AD2108" s="94">
        <f t="shared" si="1548"/>
        <v>14.12769166666666</v>
      </c>
      <c r="AE2108" s="190"/>
      <c r="AF2108" s="191"/>
      <c r="AG2108" s="191"/>
      <c r="AH2108" s="191"/>
      <c r="AI2108" s="186"/>
      <c r="AK2108" s="171"/>
    </row>
    <row r="2109" spans="1:41" s="103" customFormat="1" ht="19.899999999999999" customHeight="1" x14ac:dyDescent="0.25">
      <c r="A2109" s="51"/>
      <c r="B2109" s="52"/>
      <c r="C2109" s="165"/>
      <c r="D2109" s="52"/>
      <c r="E2109" s="115"/>
      <c r="F2109" s="58"/>
      <c r="G2109" s="58"/>
      <c r="H2109" s="58"/>
      <c r="I2109" s="55"/>
      <c r="J2109" s="113">
        <f>J2092</f>
        <v>24.218899999999991</v>
      </c>
      <c r="K2109" s="212">
        <f>K2092</f>
        <v>24.218899999999991</v>
      </c>
      <c r="L2109" s="58"/>
      <c r="M2109" s="58">
        <f>K2109-L2109</f>
        <v>24.218899999999991</v>
      </c>
      <c r="N2109" s="166"/>
      <c r="O2109" s="58"/>
      <c r="P2109" s="58"/>
      <c r="Q2109" s="58"/>
      <c r="R2109" s="58"/>
      <c r="S2109" s="58"/>
      <c r="T2109" s="220"/>
      <c r="U2109" s="88"/>
      <c r="V2109" s="56"/>
      <c r="W2109" s="57" t="s">
        <v>1040</v>
      </c>
      <c r="X2109" s="53"/>
      <c r="Y2109" s="91" t="s">
        <v>68</v>
      </c>
      <c r="Z2109" s="136">
        <f>AD2109/AC2109</f>
        <v>5</v>
      </c>
      <c r="AA2109" s="58"/>
      <c r="AB2109" s="53">
        <f>AD2109/AC2109</f>
        <v>5</v>
      </c>
      <c r="AC2109" s="53">
        <f>M2109+$AE$10</f>
        <v>24.218899999999991</v>
      </c>
      <c r="AD2109" s="54">
        <f>SUM(AD2110)</f>
        <v>121.09449999999995</v>
      </c>
      <c r="AE2109" s="184">
        <f>SUMIFS($AD$37:$AD$12971,$V$37:$V$12971,$V2109,$X$37:$X$12971,AE$13)</f>
        <v>0</v>
      </c>
      <c r="AF2109" s="185">
        <f>SUMIFS($AD$37:$AD$12971,$V$37:$V$12971,$V2109,$X$37:$X$12971,AF$13)</f>
        <v>0</v>
      </c>
      <c r="AG2109" s="185">
        <f>SUMIFS($AD$37:$AD$12971,$V$37:$V$12971,$V2109,$X$37:$X$12971,AG$13)</f>
        <v>0</v>
      </c>
      <c r="AH2109" s="187">
        <f>SUMIFS($AD$37:$AD$12971,$V$37:$V$12971,$V2109,$X$37:$X$12971,AH$13)</f>
        <v>0</v>
      </c>
      <c r="AI2109" s="161">
        <f t="shared" ref="AI2109" si="1549">SUM(AE2109:AH2109)</f>
        <v>0</v>
      </c>
      <c r="AK2109" s="172"/>
    </row>
    <row r="2110" spans="1:41" s="102" customFormat="1" ht="19.899999999999999" customHeight="1" x14ac:dyDescent="0.25">
      <c r="A2110" s="45"/>
      <c r="B2110" s="59"/>
      <c r="C2110" s="137"/>
      <c r="D2110" s="59"/>
      <c r="E2110" s="116"/>
      <c r="F2110" s="120"/>
      <c r="G2110" s="120"/>
      <c r="H2110" s="120"/>
      <c r="I2110" s="60"/>
      <c r="J2110" s="116"/>
      <c r="K2110" s="213"/>
      <c r="L2110" s="120"/>
      <c r="M2110" s="120"/>
      <c r="N2110" s="167"/>
      <c r="O2110" s="120"/>
      <c r="P2110" s="120"/>
      <c r="Q2110" s="120"/>
      <c r="R2110" s="120"/>
      <c r="S2110" s="120"/>
      <c r="T2110" s="221"/>
      <c r="U2110" s="89"/>
      <c r="V2110" s="61"/>
      <c r="W2110" s="92" t="s">
        <v>1039</v>
      </c>
      <c r="X2110" s="93" t="s">
        <v>32</v>
      </c>
      <c r="Y2110" s="93" t="s">
        <v>68</v>
      </c>
      <c r="Z2110" s="134">
        <f>VLOOKUP(W2110,Sheet2!$B:$D,3,FALSE)</f>
        <v>5</v>
      </c>
      <c r="AA2110" s="93">
        <v>1</v>
      </c>
      <c r="AB2110" s="93">
        <f>AD2110/AC2109</f>
        <v>5</v>
      </c>
      <c r="AC2110" s="93">
        <f>AC2109/AA2110</f>
        <v>24.218899999999991</v>
      </c>
      <c r="AD2110" s="94">
        <f t="shared" ref="AD2110" si="1550">AC2110*Z2110</f>
        <v>121.09449999999995</v>
      </c>
      <c r="AE2110" s="190"/>
      <c r="AF2110" s="191"/>
      <c r="AG2110" s="191"/>
      <c r="AH2110" s="191"/>
      <c r="AI2110" s="186"/>
      <c r="AK2110" s="171"/>
    </row>
    <row r="2111" spans="1:41" ht="20.100000000000001" customHeight="1" x14ac:dyDescent="0.25">
      <c r="A2111" s="277" t="s">
        <v>410</v>
      </c>
      <c r="B2111" s="278"/>
      <c r="C2111" s="64" t="s">
        <v>1003</v>
      </c>
      <c r="D2111" s="46" t="s">
        <v>97</v>
      </c>
      <c r="E2111" s="114">
        <v>793.03684999999768</v>
      </c>
      <c r="F2111" s="44">
        <v>1180</v>
      </c>
      <c r="G2111" s="44">
        <f t="shared" ref="G2111" si="1551">F2111*E2111</f>
        <v>935783.48299999721</v>
      </c>
      <c r="H2111" s="44">
        <f t="shared" ref="H2111" si="1552">AB2111</f>
        <v>480.18319215686267</v>
      </c>
      <c r="I2111" s="43">
        <f t="shared" ref="I2111" si="1553">H2111*E2111</f>
        <v>380802.96613102197</v>
      </c>
      <c r="J2111" s="112">
        <f t="shared" ref="J2111" si="1554">E2111</f>
        <v>793.03684999999768</v>
      </c>
      <c r="K2111" s="211">
        <f t="shared" ref="K2111" si="1555">J2111</f>
        <v>793.03684999999768</v>
      </c>
      <c r="L2111" s="44"/>
      <c r="M2111" s="44">
        <f t="shared" ref="M2111" si="1556">K2111-L2111</f>
        <v>793.03684999999768</v>
      </c>
      <c r="N2111" s="173">
        <f t="shared" ref="N2111" si="1557">IFERROR(M2111/K2111,0)</f>
        <v>1</v>
      </c>
      <c r="O2111" s="44">
        <f t="shared" ref="O2111" si="1558">F2111</f>
        <v>1180</v>
      </c>
      <c r="P2111" s="44">
        <f t="shared" ref="P2111" si="1559">K2111*O2111</f>
        <v>935783.48299999721</v>
      </c>
      <c r="Q2111" s="44">
        <f t="shared" ref="Q2111" si="1560">AB2111</f>
        <v>480.18319215686267</v>
      </c>
      <c r="R2111" s="44">
        <f t="shared" ref="R2111" si="1561">M2111*Q2111</f>
        <v>380802.96613102197</v>
      </c>
      <c r="S2111" s="123"/>
      <c r="T2111" s="219">
        <f t="shared" ref="T2111" si="1562">S2111+R2111</f>
        <v>380802.96613102197</v>
      </c>
      <c r="U2111" s="87"/>
      <c r="V2111" s="47"/>
      <c r="W2111" s="48"/>
      <c r="X2111" s="48"/>
      <c r="Y2111" s="48"/>
      <c r="Z2111" s="135"/>
      <c r="AA2111" s="49"/>
      <c r="AB2111" s="50">
        <f t="shared" ref="AB2111" si="1563">AD2111/AC2111</f>
        <v>480.18319215686267</v>
      </c>
      <c r="AC2111" s="42">
        <f t="shared" ref="AC2111" si="1564">M2111+$AE$10</f>
        <v>793.03684999999768</v>
      </c>
      <c r="AD2111" s="90">
        <f>AD2112+AD2121+AD2127</f>
        <v>380802.96613102197</v>
      </c>
      <c r="AE2111" s="188">
        <f t="shared" ref="AE2111" si="1565">AE2112+AE2121+AE2127</f>
        <v>0</v>
      </c>
      <c r="AF2111" s="189">
        <f t="shared" ref="AF2111" si="1566">AF2112+AF2121+AF2127</f>
        <v>0</v>
      </c>
      <c r="AG2111" s="189">
        <f t="shared" ref="AG2111" si="1567">AG2112+AG2121+AG2127</f>
        <v>0</v>
      </c>
      <c r="AH2111" s="189">
        <f t="shared" ref="AH2111" si="1568">AH2112+AH2121+AH2127</f>
        <v>0</v>
      </c>
      <c r="AI2111" s="161">
        <f t="shared" ref="AI2111" si="1569">SUM(AE2111:AH2111)</f>
        <v>0</v>
      </c>
      <c r="AK2111" s="169">
        <v>5</v>
      </c>
      <c r="AO2111" s="19" t="s">
        <v>63</v>
      </c>
    </row>
    <row r="2112" spans="1:41" s="103" customFormat="1" ht="19.899999999999999" customHeight="1" x14ac:dyDescent="0.25">
      <c r="A2112" s="51"/>
      <c r="B2112" s="52"/>
      <c r="C2112" s="165"/>
      <c r="D2112" s="52"/>
      <c r="E2112" s="115"/>
      <c r="F2112" s="58"/>
      <c r="G2112" s="58"/>
      <c r="H2112" s="58"/>
      <c r="I2112" s="55"/>
      <c r="J2112" s="113">
        <f>J2111</f>
        <v>793.03684999999768</v>
      </c>
      <c r="K2112" s="212">
        <f>K2111</f>
        <v>793.03684999999768</v>
      </c>
      <c r="L2112" s="58"/>
      <c r="M2112" s="58">
        <f>K2112-L2112</f>
        <v>793.03684999999768</v>
      </c>
      <c r="N2112" s="166"/>
      <c r="O2112" s="58"/>
      <c r="P2112" s="58"/>
      <c r="Q2112" s="58"/>
      <c r="R2112" s="58"/>
      <c r="S2112" s="58"/>
      <c r="T2112" s="220"/>
      <c r="U2112" s="88"/>
      <c r="V2112" s="56"/>
      <c r="W2112" s="57" t="s">
        <v>1090</v>
      </c>
      <c r="X2112" s="53"/>
      <c r="Y2112" s="91" t="s">
        <v>68</v>
      </c>
      <c r="Z2112" s="136">
        <f>AD2112/AC2112</f>
        <v>14.599858823529409</v>
      </c>
      <c r="AA2112" s="58"/>
      <c r="AB2112" s="53">
        <f>AD2112/AC2112</f>
        <v>14.599858823529409</v>
      </c>
      <c r="AC2112" s="53">
        <f>M2112+$AE$10</f>
        <v>793.03684999999768</v>
      </c>
      <c r="AD2112" s="54">
        <f>SUM(AD2113:AD2120)</f>
        <v>11578.226051856434</v>
      </c>
      <c r="AE2112" s="184">
        <f>SUMIFS($AD$37:$AD$12971,$V$37:$V$12971,$V2112,$X$37:$X$12971,AE$13)</f>
        <v>0</v>
      </c>
      <c r="AF2112" s="185">
        <f>SUMIFS($AD$37:$AD$12971,$V$37:$V$12971,$V2112,$X$37:$X$12971,AF$13)</f>
        <v>0</v>
      </c>
      <c r="AG2112" s="185">
        <f>SUMIFS($AD$37:$AD$12971,$V$37:$V$12971,$V2112,$X$37:$X$12971,AG$13)</f>
        <v>0</v>
      </c>
      <c r="AH2112" s="187">
        <f>SUMIFS($AD$37:$AD$12971,$V$37:$V$12971,$V2112,$X$37:$X$12971,AH$13)</f>
        <v>0</v>
      </c>
      <c r="AI2112" s="161">
        <f t="shared" ref="AI2112" si="1570">SUM(AE2112:AH2112)</f>
        <v>0</v>
      </c>
      <c r="AK2112" s="172"/>
    </row>
    <row r="2113" spans="1:37" s="102" customFormat="1" ht="19.899999999999999" customHeight="1" x14ac:dyDescent="0.25">
      <c r="A2113" s="45"/>
      <c r="B2113" s="59"/>
      <c r="C2113" s="137"/>
      <c r="D2113" s="59"/>
      <c r="E2113" s="116"/>
      <c r="F2113" s="120"/>
      <c r="G2113" s="120"/>
      <c r="H2113" s="120"/>
      <c r="I2113" s="60"/>
      <c r="J2113" s="116"/>
      <c r="K2113" s="213"/>
      <c r="L2113" s="120"/>
      <c r="M2113" s="120"/>
      <c r="N2113" s="167"/>
      <c r="O2113" s="120"/>
      <c r="P2113" s="120"/>
      <c r="Q2113" s="120"/>
      <c r="R2113" s="120"/>
      <c r="S2113" s="120"/>
      <c r="T2113" s="221"/>
      <c r="U2113" s="89"/>
      <c r="V2113" s="61"/>
      <c r="W2113" s="92" t="s">
        <v>129</v>
      </c>
      <c r="X2113" s="93" t="s">
        <v>29</v>
      </c>
      <c r="Y2113" s="93" t="s">
        <v>93</v>
      </c>
      <c r="Z2113" s="134">
        <f>VLOOKUP(W2113,Sheet2!$B:$D,3,FALSE)</f>
        <v>56</v>
      </c>
      <c r="AA2113" s="93">
        <f>100/(1.5*2)</f>
        <v>33.333333333333336</v>
      </c>
      <c r="AB2113" s="93">
        <f t="shared" ref="AB2113" si="1571">AD2113/AC2112</f>
        <v>1.68</v>
      </c>
      <c r="AC2113" s="93">
        <f>AC2112/AA2113</f>
        <v>23.791105499999929</v>
      </c>
      <c r="AD2113" s="94">
        <f t="shared" ref="AD2113:AD2114" si="1572">AC2113*Z2113</f>
        <v>1332.301907999996</v>
      </c>
      <c r="AE2113" s="190"/>
      <c r="AF2113" s="191"/>
      <c r="AG2113" s="191"/>
      <c r="AH2113" s="191"/>
      <c r="AI2113" s="186"/>
      <c r="AK2113" s="171"/>
    </row>
    <row r="2114" spans="1:37" s="102" customFormat="1" ht="19.899999999999999" customHeight="1" x14ac:dyDescent="0.25">
      <c r="A2114" s="45"/>
      <c r="B2114" s="59"/>
      <c r="C2114" s="137"/>
      <c r="D2114" s="59"/>
      <c r="E2114" s="116"/>
      <c r="F2114" s="120"/>
      <c r="G2114" s="120"/>
      <c r="H2114" s="120"/>
      <c r="I2114" s="60"/>
      <c r="J2114" s="116"/>
      <c r="K2114" s="213"/>
      <c r="L2114" s="120"/>
      <c r="M2114" s="120"/>
      <c r="N2114" s="167"/>
      <c r="O2114" s="120"/>
      <c r="P2114" s="120"/>
      <c r="Q2114" s="120"/>
      <c r="R2114" s="120"/>
      <c r="S2114" s="120"/>
      <c r="T2114" s="221"/>
      <c r="U2114" s="89"/>
      <c r="V2114" s="61"/>
      <c r="W2114" s="92" t="s">
        <v>65</v>
      </c>
      <c r="X2114" s="93" t="s">
        <v>30</v>
      </c>
      <c r="Y2114" s="93" t="s">
        <v>1011</v>
      </c>
      <c r="Z2114" s="134">
        <f>VLOOKUP(W2114,Sheet2!$B:$D,3,FALSE)</f>
        <v>1.76</v>
      </c>
      <c r="AA2114" s="93">
        <f>AA2113/14</f>
        <v>2.3809523809523809</v>
      </c>
      <c r="AB2114" s="93">
        <f>AD2114/AC2112</f>
        <v>0.73919999999999997</v>
      </c>
      <c r="AC2114" s="93">
        <f>AC2112/AA2114</f>
        <v>333.07547699999901</v>
      </c>
      <c r="AD2114" s="94">
        <f t="shared" si="1572"/>
        <v>586.21283951999828</v>
      </c>
      <c r="AE2114" s="190"/>
      <c r="AF2114" s="191"/>
      <c r="AG2114" s="191"/>
      <c r="AH2114" s="191"/>
      <c r="AI2114" s="186"/>
      <c r="AK2114" s="171"/>
    </row>
    <row r="2115" spans="1:37" s="102" customFormat="1" ht="19.899999999999999" customHeight="1" x14ac:dyDescent="0.25">
      <c r="A2115" s="45"/>
      <c r="B2115" s="59"/>
      <c r="C2115" s="137"/>
      <c r="D2115" s="59"/>
      <c r="E2115" s="116"/>
      <c r="F2115" s="120"/>
      <c r="G2115" s="120"/>
      <c r="H2115" s="120"/>
      <c r="I2115" s="60"/>
      <c r="J2115" s="116"/>
      <c r="K2115" s="213"/>
      <c r="L2115" s="120"/>
      <c r="M2115" s="120"/>
      <c r="N2115" s="167"/>
      <c r="O2115" s="120"/>
      <c r="P2115" s="120"/>
      <c r="Q2115" s="120"/>
      <c r="R2115" s="120"/>
      <c r="S2115" s="120"/>
      <c r="T2115" s="221"/>
      <c r="U2115" s="89"/>
      <c r="V2115" s="61"/>
      <c r="W2115" s="92" t="s">
        <v>161</v>
      </c>
      <c r="X2115" s="93" t="s">
        <v>29</v>
      </c>
      <c r="Y2115" s="93" t="s">
        <v>93</v>
      </c>
      <c r="Z2115" s="134">
        <f>VLOOKUP(W2115,Sheet2!$B:$D,3,FALSE)</f>
        <v>48</v>
      </c>
      <c r="AA2115" s="93">
        <f>(16*0.85*1.5)/(1.5*2)</f>
        <v>6.8</v>
      </c>
      <c r="AB2115" s="93">
        <f>AD2115/AC2112</f>
        <v>7.0588235294117636</v>
      </c>
      <c r="AC2115" s="93">
        <f>AC2112/AA2115</f>
        <v>116.62306617647025</v>
      </c>
      <c r="AD2115" s="94">
        <f>AC2115*Z2115</f>
        <v>5597.9071764705714</v>
      </c>
      <c r="AE2115" s="190"/>
      <c r="AF2115" s="191"/>
      <c r="AG2115" s="191"/>
      <c r="AH2115" s="191"/>
      <c r="AI2115" s="186"/>
      <c r="AK2115" s="171"/>
    </row>
    <row r="2116" spans="1:37" s="102" customFormat="1" ht="19.899999999999999" customHeight="1" x14ac:dyDescent="0.25">
      <c r="A2116" s="45"/>
      <c r="B2116" s="59"/>
      <c r="C2116" s="137"/>
      <c r="D2116" s="59"/>
      <c r="E2116" s="116"/>
      <c r="F2116" s="120"/>
      <c r="G2116" s="120"/>
      <c r="H2116" s="120"/>
      <c r="I2116" s="60"/>
      <c r="J2116" s="116"/>
      <c r="K2116" s="213"/>
      <c r="L2116" s="120"/>
      <c r="M2116" s="120"/>
      <c r="N2116" s="167"/>
      <c r="O2116" s="120"/>
      <c r="P2116" s="120"/>
      <c r="Q2116" s="120"/>
      <c r="R2116" s="120"/>
      <c r="S2116" s="120"/>
      <c r="T2116" s="221"/>
      <c r="U2116" s="89"/>
      <c r="V2116" s="61"/>
      <c r="W2116" s="92" t="s">
        <v>65</v>
      </c>
      <c r="X2116" s="93" t="s">
        <v>30</v>
      </c>
      <c r="Y2116" s="93" t="s">
        <v>1011</v>
      </c>
      <c r="Z2116" s="134">
        <f>VLOOKUP(W2116,Sheet2!$B:$D,3,FALSE)</f>
        <v>1.76</v>
      </c>
      <c r="AA2116" s="93">
        <f>AA2115/10</f>
        <v>0.67999999999999994</v>
      </c>
      <c r="AB2116" s="93">
        <f>AD2116/AC2112</f>
        <v>2.5882352941176472</v>
      </c>
      <c r="AC2116" s="93">
        <f>AC2112/AA2116</f>
        <v>1166.2306617647025</v>
      </c>
      <c r="AD2116" s="94">
        <f>AC2116*Z2116</f>
        <v>2052.5659647058765</v>
      </c>
      <c r="AE2116" s="190"/>
      <c r="AF2116" s="191"/>
      <c r="AG2116" s="191"/>
      <c r="AH2116" s="191"/>
      <c r="AI2116" s="186"/>
      <c r="AK2116" s="171"/>
    </row>
    <row r="2117" spans="1:37" s="102" customFormat="1" ht="19.899999999999999" customHeight="1" x14ac:dyDescent="0.25">
      <c r="A2117" s="45"/>
      <c r="B2117" s="59"/>
      <c r="C2117" s="137"/>
      <c r="D2117" s="59"/>
      <c r="E2117" s="116"/>
      <c r="F2117" s="120"/>
      <c r="G2117" s="120"/>
      <c r="H2117" s="120"/>
      <c r="I2117" s="60"/>
      <c r="J2117" s="116"/>
      <c r="K2117" s="213"/>
      <c r="L2117" s="120"/>
      <c r="M2117" s="120"/>
      <c r="N2117" s="167"/>
      <c r="O2117" s="120"/>
      <c r="P2117" s="120"/>
      <c r="Q2117" s="120"/>
      <c r="R2117" s="120"/>
      <c r="S2117" s="120"/>
      <c r="T2117" s="221"/>
      <c r="U2117" s="89"/>
      <c r="V2117" s="61"/>
      <c r="W2117" s="92" t="s">
        <v>1030</v>
      </c>
      <c r="X2117" s="93" t="s">
        <v>29</v>
      </c>
      <c r="Y2117" s="93" t="s">
        <v>93</v>
      </c>
      <c r="Z2117" s="134">
        <f>VLOOKUP(W2117,Sheet2!$B:$D,3,FALSE)</f>
        <v>23</v>
      </c>
      <c r="AA2117" s="93">
        <v>50</v>
      </c>
      <c r="AB2117" s="93">
        <f>AD2117/AC2112</f>
        <v>0.46</v>
      </c>
      <c r="AC2117" s="93">
        <f>AC2112/AA2117</f>
        <v>15.860736999999954</v>
      </c>
      <c r="AD2117" s="94">
        <f t="shared" ref="AD2117:AD2120" si="1573">AC2117*Z2117</f>
        <v>364.79695099999896</v>
      </c>
      <c r="AE2117" s="190"/>
      <c r="AF2117" s="191"/>
      <c r="AG2117" s="191"/>
      <c r="AH2117" s="191"/>
      <c r="AI2117" s="186"/>
      <c r="AK2117" s="171"/>
    </row>
    <row r="2118" spans="1:37" s="102" customFormat="1" ht="19.899999999999999" customHeight="1" x14ac:dyDescent="0.25">
      <c r="A2118" s="45"/>
      <c r="B2118" s="59"/>
      <c r="C2118" s="137"/>
      <c r="D2118" s="59"/>
      <c r="E2118" s="116"/>
      <c r="F2118" s="120"/>
      <c r="G2118" s="120"/>
      <c r="H2118" s="120"/>
      <c r="I2118" s="60"/>
      <c r="J2118" s="116"/>
      <c r="K2118" s="213"/>
      <c r="L2118" s="120"/>
      <c r="M2118" s="120"/>
      <c r="N2118" s="167"/>
      <c r="O2118" s="120"/>
      <c r="P2118" s="120"/>
      <c r="Q2118" s="120"/>
      <c r="R2118" s="120"/>
      <c r="S2118" s="120"/>
      <c r="T2118" s="221"/>
      <c r="U2118" s="89"/>
      <c r="V2118" s="61"/>
      <c r="W2118" s="92" t="s">
        <v>65</v>
      </c>
      <c r="X2118" s="93" t="s">
        <v>30</v>
      </c>
      <c r="Y2118" s="93" t="s">
        <v>1011</v>
      </c>
      <c r="Z2118" s="134">
        <f>VLOOKUP(W2118,Sheet2!$B:$D,3,FALSE)</f>
        <v>1.76</v>
      </c>
      <c r="AA2118" s="93">
        <f>AA2117/3</f>
        <v>16.666666666666668</v>
      </c>
      <c r="AB2118" s="93">
        <f>AD2118/AC2112</f>
        <v>0.10559999999999999</v>
      </c>
      <c r="AC2118" s="93">
        <f>AC2112/AA2118</f>
        <v>47.582210999999859</v>
      </c>
      <c r="AD2118" s="94">
        <f t="shared" si="1573"/>
        <v>83.744691359999749</v>
      </c>
      <c r="AE2118" s="190"/>
      <c r="AF2118" s="191"/>
      <c r="AG2118" s="191"/>
      <c r="AH2118" s="191"/>
      <c r="AI2118" s="186"/>
      <c r="AK2118" s="171"/>
    </row>
    <row r="2119" spans="1:37" s="102" customFormat="1" ht="19.899999999999999" customHeight="1" x14ac:dyDescent="0.25">
      <c r="A2119" s="45"/>
      <c r="B2119" s="59"/>
      <c r="C2119" s="137"/>
      <c r="D2119" s="59"/>
      <c r="E2119" s="116"/>
      <c r="F2119" s="120"/>
      <c r="G2119" s="120"/>
      <c r="H2119" s="120"/>
      <c r="I2119" s="60"/>
      <c r="J2119" s="116"/>
      <c r="K2119" s="213"/>
      <c r="L2119" s="120"/>
      <c r="M2119" s="120"/>
      <c r="N2119" s="167"/>
      <c r="O2119" s="120"/>
      <c r="P2119" s="120"/>
      <c r="Q2119" s="120"/>
      <c r="R2119" s="120"/>
      <c r="S2119" s="120"/>
      <c r="T2119" s="221"/>
      <c r="U2119" s="89"/>
      <c r="V2119" s="61"/>
      <c r="W2119" s="92" t="s">
        <v>148</v>
      </c>
      <c r="X2119" s="93" t="s">
        <v>29</v>
      </c>
      <c r="Y2119" s="93" t="s">
        <v>93</v>
      </c>
      <c r="Z2119" s="134">
        <f>VLOOKUP(W2119,Sheet2!$B:$D,3,FALSE)</f>
        <v>48</v>
      </c>
      <c r="AA2119" s="93">
        <f>AA2113</f>
        <v>33.333333333333336</v>
      </c>
      <c r="AB2119" s="93">
        <f>AD2119/AC2112</f>
        <v>1.44</v>
      </c>
      <c r="AC2119" s="93">
        <f>AC2112/AA2119</f>
        <v>23.791105499999929</v>
      </c>
      <c r="AD2119" s="94">
        <f t="shared" si="1573"/>
        <v>1141.9730639999966</v>
      </c>
      <c r="AE2119" s="190"/>
      <c r="AF2119" s="191"/>
      <c r="AG2119" s="191"/>
      <c r="AH2119" s="191"/>
      <c r="AI2119" s="186"/>
      <c r="AK2119" s="171"/>
    </row>
    <row r="2120" spans="1:37" s="102" customFormat="1" ht="19.899999999999999" customHeight="1" x14ac:dyDescent="0.25">
      <c r="A2120" s="45"/>
      <c r="B2120" s="59"/>
      <c r="C2120" s="137"/>
      <c r="D2120" s="59"/>
      <c r="E2120" s="116"/>
      <c r="F2120" s="120"/>
      <c r="G2120" s="120"/>
      <c r="H2120" s="120"/>
      <c r="I2120" s="60"/>
      <c r="J2120" s="116"/>
      <c r="K2120" s="213"/>
      <c r="L2120" s="120"/>
      <c r="M2120" s="120"/>
      <c r="N2120" s="167"/>
      <c r="O2120" s="120"/>
      <c r="P2120" s="120"/>
      <c r="Q2120" s="120"/>
      <c r="R2120" s="120"/>
      <c r="S2120" s="120"/>
      <c r="T2120" s="221"/>
      <c r="U2120" s="89"/>
      <c r="V2120" s="61"/>
      <c r="W2120" s="92" t="s">
        <v>65</v>
      </c>
      <c r="X2120" s="93" t="s">
        <v>30</v>
      </c>
      <c r="Y2120" s="93" t="s">
        <v>1011</v>
      </c>
      <c r="Z2120" s="134">
        <f>VLOOKUP(W2120,Sheet2!$B:$D,3,FALSE)</f>
        <v>1.76</v>
      </c>
      <c r="AA2120" s="93">
        <f>AA2119/10</f>
        <v>3.3333333333333335</v>
      </c>
      <c r="AB2120" s="93">
        <f>AD2120/AC2112</f>
        <v>0.52800000000000002</v>
      </c>
      <c r="AC2120" s="93">
        <f>AC2112/AA2120</f>
        <v>237.91105499999929</v>
      </c>
      <c r="AD2120" s="94">
        <f t="shared" si="1573"/>
        <v>418.72345679999876</v>
      </c>
      <c r="AE2120" s="190"/>
      <c r="AF2120" s="191"/>
      <c r="AG2120" s="191"/>
      <c r="AH2120" s="191"/>
      <c r="AI2120" s="186"/>
      <c r="AK2120" s="171"/>
    </row>
    <row r="2121" spans="1:37" s="103" customFormat="1" ht="19.899999999999999" customHeight="1" x14ac:dyDescent="0.25">
      <c r="A2121" s="51"/>
      <c r="B2121" s="52"/>
      <c r="C2121" s="165"/>
      <c r="D2121" s="52"/>
      <c r="E2121" s="115"/>
      <c r="F2121" s="58"/>
      <c r="G2121" s="58"/>
      <c r="H2121" s="58"/>
      <c r="I2121" s="55"/>
      <c r="J2121" s="113">
        <f>J2111</f>
        <v>793.03684999999768</v>
      </c>
      <c r="K2121" s="212">
        <f>K2111</f>
        <v>793.03684999999768</v>
      </c>
      <c r="L2121" s="58"/>
      <c r="M2121" s="58">
        <f>K2121-L2121</f>
        <v>793.03684999999768</v>
      </c>
      <c r="N2121" s="166"/>
      <c r="O2121" s="58"/>
      <c r="P2121" s="58"/>
      <c r="Q2121" s="58"/>
      <c r="R2121" s="58"/>
      <c r="S2121" s="58"/>
      <c r="T2121" s="220"/>
      <c r="U2121" s="88"/>
      <c r="V2121" s="56"/>
      <c r="W2121" s="57" t="s">
        <v>1036</v>
      </c>
      <c r="X2121" s="53"/>
      <c r="Y2121" s="91" t="s">
        <v>68</v>
      </c>
      <c r="Z2121" s="136">
        <f>AD2121/AC2121</f>
        <v>460.58333333333326</v>
      </c>
      <c r="AA2121" s="58"/>
      <c r="AB2121" s="53">
        <f>AD2121/AC2121</f>
        <v>460.58333333333326</v>
      </c>
      <c r="AC2121" s="53">
        <f>M2121+$AE$10</f>
        <v>793.03684999999768</v>
      </c>
      <c r="AD2121" s="54">
        <f>SUM(AD2122:AD2126)</f>
        <v>365259.55582916556</v>
      </c>
      <c r="AE2121" s="184">
        <f>SUMIFS($AD$37:$AD$12971,$V$37:$V$12971,$V2121,$X$37:$X$12971,AE$13)</f>
        <v>0</v>
      </c>
      <c r="AF2121" s="185">
        <f>SUMIFS($AD$37:$AD$12971,$V$37:$V$12971,$V2121,$X$37:$X$12971,AF$13)</f>
        <v>0</v>
      </c>
      <c r="AG2121" s="185">
        <f>SUMIFS($AD$37:$AD$12971,$V$37:$V$12971,$V2121,$X$37:$X$12971,AG$13)</f>
        <v>0</v>
      </c>
      <c r="AH2121" s="187">
        <f>SUMIFS($AD$37:$AD$12971,$V$37:$V$12971,$V2121,$X$37:$X$12971,AH$13)</f>
        <v>0</v>
      </c>
      <c r="AI2121" s="161">
        <f t="shared" ref="AI2121" si="1574">SUM(AE2121:AH2121)</f>
        <v>0</v>
      </c>
      <c r="AK2121" s="172"/>
    </row>
    <row r="2122" spans="1:37" s="102" customFormat="1" ht="19.899999999999999" customHeight="1" x14ac:dyDescent="0.25">
      <c r="A2122" s="45"/>
      <c r="B2122" s="59"/>
      <c r="C2122" s="137"/>
      <c r="D2122" s="59"/>
      <c r="E2122" s="116"/>
      <c r="F2122" s="120"/>
      <c r="G2122" s="120"/>
      <c r="H2122" s="120"/>
      <c r="I2122" s="60"/>
      <c r="J2122" s="116"/>
      <c r="K2122" s="213"/>
      <c r="L2122" s="120"/>
      <c r="M2122" s="120"/>
      <c r="N2122" s="167"/>
      <c r="O2122" s="120"/>
      <c r="P2122" s="120"/>
      <c r="Q2122" s="120"/>
      <c r="R2122" s="120"/>
      <c r="S2122" s="120"/>
      <c r="T2122" s="221"/>
      <c r="U2122" s="89"/>
      <c r="V2122" s="61"/>
      <c r="W2122" s="92" t="s">
        <v>1255</v>
      </c>
      <c r="X2122" s="93" t="s">
        <v>30</v>
      </c>
      <c r="Y2122" s="93" t="s">
        <v>68</v>
      </c>
      <c r="Z2122" s="134">
        <f>VLOOKUP(W2122,Sheet2!$B:$D,3,FALSE)</f>
        <v>345</v>
      </c>
      <c r="AA2122" s="93">
        <v>1</v>
      </c>
      <c r="AB2122" s="93">
        <f>AD2122/AC2121</f>
        <v>345</v>
      </c>
      <c r="AC2122" s="93">
        <f>AC2121/AA2122</f>
        <v>793.03684999999768</v>
      </c>
      <c r="AD2122" s="94">
        <f t="shared" ref="AD2122" si="1575">AC2122*Z2122</f>
        <v>273597.71324999921</v>
      </c>
      <c r="AE2122" s="190"/>
      <c r="AF2122" s="191"/>
      <c r="AG2122" s="191"/>
      <c r="AH2122" s="191"/>
      <c r="AI2122" s="186"/>
      <c r="AK2122" s="171"/>
    </row>
    <row r="2123" spans="1:37" s="102" customFormat="1" ht="19.899999999999999" customHeight="1" x14ac:dyDescent="0.25">
      <c r="A2123" s="45"/>
      <c r="B2123" s="59"/>
      <c r="C2123" s="137"/>
      <c r="D2123" s="59"/>
      <c r="E2123" s="116"/>
      <c r="F2123" s="120"/>
      <c r="G2123" s="120"/>
      <c r="H2123" s="120"/>
      <c r="I2123" s="60"/>
      <c r="J2123" s="116"/>
      <c r="K2123" s="213"/>
      <c r="L2123" s="120"/>
      <c r="M2123" s="120"/>
      <c r="N2123" s="167"/>
      <c r="O2123" s="120"/>
      <c r="P2123" s="120"/>
      <c r="Q2123" s="120"/>
      <c r="R2123" s="120"/>
      <c r="S2123" s="120"/>
      <c r="T2123" s="221"/>
      <c r="U2123" s="89"/>
      <c r="V2123" s="61"/>
      <c r="W2123" s="92" t="s">
        <v>1256</v>
      </c>
      <c r="X2123" s="93" t="s">
        <v>32</v>
      </c>
      <c r="Y2123" s="93" t="s">
        <v>68</v>
      </c>
      <c r="Z2123" s="134">
        <f>VLOOKUP(W2123,Sheet2!$B:$D,3,FALSE)</f>
        <v>55</v>
      </c>
      <c r="AA2123" s="93">
        <v>1</v>
      </c>
      <c r="AB2123" s="93">
        <f>AD2123/AC2121</f>
        <v>55</v>
      </c>
      <c r="AC2123" s="93">
        <f>AC2121/AA2123</f>
        <v>793.03684999999768</v>
      </c>
      <c r="AD2123" s="94">
        <f>AC2123*Z2123</f>
        <v>43617.026749999874</v>
      </c>
      <c r="AE2123" s="190"/>
      <c r="AF2123" s="191"/>
      <c r="AG2123" s="191"/>
      <c r="AH2123" s="191"/>
      <c r="AI2123" s="186"/>
      <c r="AK2123" s="171"/>
    </row>
    <row r="2124" spans="1:37" s="102" customFormat="1" ht="19.899999999999999" customHeight="1" x14ac:dyDescent="0.25">
      <c r="A2124" s="45"/>
      <c r="B2124" s="59"/>
      <c r="C2124" s="137"/>
      <c r="D2124" s="59"/>
      <c r="E2124" s="116"/>
      <c r="F2124" s="120"/>
      <c r="G2124" s="120"/>
      <c r="H2124" s="120"/>
      <c r="I2124" s="60"/>
      <c r="J2124" s="116"/>
      <c r="K2124" s="213"/>
      <c r="L2124" s="120"/>
      <c r="M2124" s="120"/>
      <c r="N2124" s="167"/>
      <c r="O2124" s="120"/>
      <c r="P2124" s="120"/>
      <c r="Q2124" s="120"/>
      <c r="R2124" s="120"/>
      <c r="S2124" s="120"/>
      <c r="T2124" s="221"/>
      <c r="U2124" s="89"/>
      <c r="V2124" s="61"/>
      <c r="W2124" s="92" t="s">
        <v>1032</v>
      </c>
      <c r="X2124" s="93" t="s">
        <v>30</v>
      </c>
      <c r="Y2124" s="93" t="s">
        <v>66</v>
      </c>
      <c r="Z2124" s="134">
        <f>VLOOKUP(W2124,Sheet2!$B:$D,3,FALSE)</f>
        <v>250</v>
      </c>
      <c r="AA2124" s="93">
        <f>1/(1.5*0.1)</f>
        <v>6.6666666666666661</v>
      </c>
      <c r="AB2124" s="93">
        <f>AD2124/AC2121</f>
        <v>37.5</v>
      </c>
      <c r="AC2124" s="93">
        <f>AC2121/AA2124</f>
        <v>118.95552749999966</v>
      </c>
      <c r="AD2124" s="94">
        <f>AC2124*Z2124</f>
        <v>29738.881874999915</v>
      </c>
      <c r="AE2124" s="190"/>
      <c r="AF2124" s="191"/>
      <c r="AG2124" s="191"/>
      <c r="AH2124" s="191"/>
      <c r="AI2124" s="186"/>
      <c r="AK2124" s="171"/>
    </row>
    <row r="2125" spans="1:37" s="102" customFormat="1" ht="19.899999999999999" customHeight="1" x14ac:dyDescent="0.25">
      <c r="A2125" s="45"/>
      <c r="B2125" s="59"/>
      <c r="C2125" s="137"/>
      <c r="D2125" s="59"/>
      <c r="E2125" s="116"/>
      <c r="F2125" s="120"/>
      <c r="G2125" s="120"/>
      <c r="H2125" s="120"/>
      <c r="I2125" s="60"/>
      <c r="J2125" s="116"/>
      <c r="K2125" s="213"/>
      <c r="L2125" s="120"/>
      <c r="M2125" s="120"/>
      <c r="N2125" s="167"/>
      <c r="O2125" s="120"/>
      <c r="P2125" s="120"/>
      <c r="Q2125" s="120"/>
      <c r="R2125" s="120"/>
      <c r="S2125" s="120"/>
      <c r="T2125" s="221"/>
      <c r="U2125" s="89"/>
      <c r="V2125" s="61"/>
      <c r="W2125" s="92" t="s">
        <v>1035</v>
      </c>
      <c r="X2125" s="93" t="s">
        <v>32</v>
      </c>
      <c r="Y2125" s="93" t="s">
        <v>66</v>
      </c>
      <c r="Z2125" s="134">
        <f>VLOOKUP(W2125,Sheet2!$B:$D,3,FALSE)</f>
        <v>150</v>
      </c>
      <c r="AA2125" s="93">
        <f>AA2124</f>
        <v>6.6666666666666661</v>
      </c>
      <c r="AB2125" s="93">
        <f>AD2125/AC2121</f>
        <v>22.5</v>
      </c>
      <c r="AC2125" s="93">
        <f>AC2121/AA2125</f>
        <v>118.95552749999966</v>
      </c>
      <c r="AD2125" s="94">
        <f t="shared" ref="AD2125:AD2126" si="1576">AC2125*Z2125</f>
        <v>17843.329124999949</v>
      </c>
      <c r="AE2125" s="190"/>
      <c r="AF2125" s="191"/>
      <c r="AG2125" s="191"/>
      <c r="AH2125" s="191"/>
      <c r="AI2125" s="186"/>
      <c r="AK2125" s="171"/>
    </row>
    <row r="2126" spans="1:37" s="102" customFormat="1" ht="19.899999999999999" customHeight="1" x14ac:dyDescent="0.25">
      <c r="A2126" s="45"/>
      <c r="B2126" s="59"/>
      <c r="C2126" s="137"/>
      <c r="D2126" s="59"/>
      <c r="E2126" s="116"/>
      <c r="F2126" s="120"/>
      <c r="G2126" s="120"/>
      <c r="H2126" s="120"/>
      <c r="I2126" s="60"/>
      <c r="J2126" s="116"/>
      <c r="K2126" s="213"/>
      <c r="L2126" s="120"/>
      <c r="M2126" s="120"/>
      <c r="N2126" s="167"/>
      <c r="O2126" s="120"/>
      <c r="P2126" s="120"/>
      <c r="Q2126" s="120"/>
      <c r="R2126" s="120"/>
      <c r="S2126" s="120"/>
      <c r="T2126" s="221"/>
      <c r="U2126" s="89"/>
      <c r="V2126" s="61"/>
      <c r="W2126" s="92" t="s">
        <v>1037</v>
      </c>
      <c r="X2126" s="93" t="s">
        <v>30</v>
      </c>
      <c r="Y2126" s="93" t="s">
        <v>1038</v>
      </c>
      <c r="Z2126" s="134">
        <f>VLOOKUP(W2126,Sheet2!$B:$D,3,FALSE)</f>
        <v>175</v>
      </c>
      <c r="AA2126" s="93">
        <v>300</v>
      </c>
      <c r="AB2126" s="93">
        <f>AD2126/AC2121</f>
        <v>0.58333333333333337</v>
      </c>
      <c r="AC2126" s="93">
        <f>AC2121/AA2126</f>
        <v>2.6434561666666592</v>
      </c>
      <c r="AD2126" s="94">
        <f t="shared" si="1576"/>
        <v>462.60482916666535</v>
      </c>
      <c r="AE2126" s="190"/>
      <c r="AF2126" s="191"/>
      <c r="AG2126" s="191"/>
      <c r="AH2126" s="191"/>
      <c r="AI2126" s="186"/>
      <c r="AK2126" s="171"/>
    </row>
    <row r="2127" spans="1:37" s="103" customFormat="1" ht="19.899999999999999" customHeight="1" x14ac:dyDescent="0.25">
      <c r="A2127" s="51"/>
      <c r="B2127" s="52"/>
      <c r="C2127" s="165"/>
      <c r="D2127" s="52"/>
      <c r="E2127" s="115"/>
      <c r="F2127" s="58"/>
      <c r="G2127" s="58"/>
      <c r="H2127" s="58"/>
      <c r="I2127" s="55"/>
      <c r="J2127" s="113">
        <f>J2111</f>
        <v>793.03684999999768</v>
      </c>
      <c r="K2127" s="212">
        <f>K2111</f>
        <v>793.03684999999768</v>
      </c>
      <c r="L2127" s="58"/>
      <c r="M2127" s="58">
        <f>K2127-L2127</f>
        <v>793.03684999999768</v>
      </c>
      <c r="N2127" s="166"/>
      <c r="O2127" s="58"/>
      <c r="P2127" s="58"/>
      <c r="Q2127" s="58"/>
      <c r="R2127" s="58"/>
      <c r="S2127" s="58"/>
      <c r="T2127" s="220"/>
      <c r="U2127" s="88"/>
      <c r="V2127" s="56"/>
      <c r="W2127" s="57" t="s">
        <v>1040</v>
      </c>
      <c r="X2127" s="53"/>
      <c r="Y2127" s="91" t="s">
        <v>68</v>
      </c>
      <c r="Z2127" s="136">
        <f>AD2127/AC2127</f>
        <v>5</v>
      </c>
      <c r="AA2127" s="58"/>
      <c r="AB2127" s="53">
        <f>AD2127/AC2127</f>
        <v>5</v>
      </c>
      <c r="AC2127" s="53">
        <f>M2127+$AE$10</f>
        <v>793.03684999999768</v>
      </c>
      <c r="AD2127" s="54">
        <f>SUM(AD2128)</f>
        <v>3965.1842499999884</v>
      </c>
      <c r="AE2127" s="184">
        <f>SUMIFS($AD$37:$AD$12971,$V$37:$V$12971,$V2127,$X$37:$X$12971,AE$13)</f>
        <v>0</v>
      </c>
      <c r="AF2127" s="185">
        <f>SUMIFS($AD$37:$AD$12971,$V$37:$V$12971,$V2127,$X$37:$X$12971,AF$13)</f>
        <v>0</v>
      </c>
      <c r="AG2127" s="185">
        <f>SUMIFS($AD$37:$AD$12971,$V$37:$V$12971,$V2127,$X$37:$X$12971,AG$13)</f>
        <v>0</v>
      </c>
      <c r="AH2127" s="187">
        <f>SUMIFS($AD$37:$AD$12971,$V$37:$V$12971,$V2127,$X$37:$X$12971,AH$13)</f>
        <v>0</v>
      </c>
      <c r="AI2127" s="161">
        <f t="shared" ref="AI2127" si="1577">SUM(AE2127:AH2127)</f>
        <v>0</v>
      </c>
      <c r="AK2127" s="172"/>
    </row>
    <row r="2128" spans="1:37" s="102" customFormat="1" ht="19.899999999999999" customHeight="1" x14ac:dyDescent="0.25">
      <c r="A2128" s="45"/>
      <c r="B2128" s="59"/>
      <c r="C2128" s="137"/>
      <c r="D2128" s="59"/>
      <c r="E2128" s="116"/>
      <c r="F2128" s="120"/>
      <c r="G2128" s="120"/>
      <c r="H2128" s="120"/>
      <c r="I2128" s="60"/>
      <c r="J2128" s="116"/>
      <c r="K2128" s="213"/>
      <c r="L2128" s="120"/>
      <c r="M2128" s="120"/>
      <c r="N2128" s="167"/>
      <c r="O2128" s="120"/>
      <c r="P2128" s="120"/>
      <c r="Q2128" s="120"/>
      <c r="R2128" s="120"/>
      <c r="S2128" s="120"/>
      <c r="T2128" s="221"/>
      <c r="U2128" s="89"/>
      <c r="V2128" s="61"/>
      <c r="W2128" s="92" t="s">
        <v>1039</v>
      </c>
      <c r="X2128" s="93" t="s">
        <v>32</v>
      </c>
      <c r="Y2128" s="93" t="s">
        <v>68</v>
      </c>
      <c r="Z2128" s="134">
        <f>VLOOKUP(W2128,Sheet2!$B:$D,3,FALSE)</f>
        <v>5</v>
      </c>
      <c r="AA2128" s="93">
        <v>1</v>
      </c>
      <c r="AB2128" s="93">
        <f>AD2128/AC2127</f>
        <v>5</v>
      </c>
      <c r="AC2128" s="93">
        <f>AC2127/AA2128</f>
        <v>793.03684999999768</v>
      </c>
      <c r="AD2128" s="94">
        <f t="shared" ref="AD2128" si="1578">AC2128*Z2128</f>
        <v>3965.1842499999884</v>
      </c>
      <c r="AE2128" s="190"/>
      <c r="AF2128" s="191"/>
      <c r="AG2128" s="191"/>
      <c r="AH2128" s="191"/>
      <c r="AI2128" s="186"/>
      <c r="AK2128" s="171"/>
    </row>
    <row r="2129" spans="1:41" ht="20.100000000000001" customHeight="1" x14ac:dyDescent="0.25">
      <c r="A2129" s="277" t="s">
        <v>410</v>
      </c>
      <c r="B2129" s="278"/>
      <c r="C2129" s="64" t="s">
        <v>1002</v>
      </c>
      <c r="D2129" s="46" t="s">
        <v>97</v>
      </c>
      <c r="E2129" s="114">
        <v>13.117799999999988</v>
      </c>
      <c r="F2129" s="44">
        <v>1211</v>
      </c>
      <c r="G2129" s="44">
        <f t="shared" ref="G2129" si="1579">F2129*E2129</f>
        <v>15885.655799999986</v>
      </c>
      <c r="H2129" s="44">
        <f t="shared" ref="H2129" si="1580">AB2129</f>
        <v>518.69175686274502</v>
      </c>
      <c r="I2129" s="43">
        <f t="shared" ref="I2129" si="1581">H2129*E2129</f>
        <v>6804.094728174111</v>
      </c>
      <c r="J2129" s="112">
        <f t="shared" ref="J2129" si="1582">E2129</f>
        <v>13.117799999999988</v>
      </c>
      <c r="K2129" s="211">
        <f t="shared" ref="K2129" si="1583">J2129</f>
        <v>13.117799999999988</v>
      </c>
      <c r="L2129" s="44"/>
      <c r="M2129" s="44">
        <f t="shared" ref="M2129" si="1584">K2129-L2129</f>
        <v>13.117799999999988</v>
      </c>
      <c r="N2129" s="173">
        <f t="shared" ref="N2129" si="1585">IFERROR(M2129/K2129,0)</f>
        <v>1</v>
      </c>
      <c r="O2129" s="44">
        <f t="shared" ref="O2129" si="1586">F2129</f>
        <v>1211</v>
      </c>
      <c r="P2129" s="44">
        <f t="shared" ref="P2129" si="1587">K2129*O2129</f>
        <v>15885.655799999986</v>
      </c>
      <c r="Q2129" s="44">
        <f t="shared" ref="Q2129" si="1588">AB2129</f>
        <v>518.69175686274502</v>
      </c>
      <c r="R2129" s="44">
        <f t="shared" ref="R2129" si="1589">M2129*Q2129</f>
        <v>6804.094728174111</v>
      </c>
      <c r="S2129" s="123"/>
      <c r="T2129" s="219">
        <f t="shared" ref="T2129" si="1590">S2129+R2129</f>
        <v>6804.094728174111</v>
      </c>
      <c r="U2129" s="87"/>
      <c r="V2129" s="47"/>
      <c r="W2129" s="48"/>
      <c r="X2129" s="48"/>
      <c r="Y2129" s="48"/>
      <c r="Z2129" s="135"/>
      <c r="AA2129" s="49"/>
      <c r="AB2129" s="50">
        <f t="shared" ref="AB2129" si="1591">AD2129/AC2129</f>
        <v>518.69175686274502</v>
      </c>
      <c r="AC2129" s="42">
        <f t="shared" ref="AC2129" si="1592">M2129+$AE$10</f>
        <v>13.117799999999988</v>
      </c>
      <c r="AD2129" s="90">
        <f>AD2130+AD2140+AD2146</f>
        <v>6804.094728174111</v>
      </c>
      <c r="AE2129" s="188">
        <f t="shared" ref="AE2129" si="1593">AE2130+AE2140+AE2146</f>
        <v>0</v>
      </c>
      <c r="AF2129" s="189">
        <f t="shared" ref="AF2129" si="1594">AF2130+AF2140+AF2146</f>
        <v>0</v>
      </c>
      <c r="AG2129" s="189">
        <f t="shared" ref="AG2129" si="1595">AG2130+AG2140+AG2146</f>
        <v>0</v>
      </c>
      <c r="AH2129" s="189">
        <f t="shared" ref="AH2129" si="1596">AH2130+AH2140+AH2146</f>
        <v>0</v>
      </c>
      <c r="AI2129" s="161">
        <f t="shared" ref="AI2129" si="1597">SUM(AE2129:AH2129)</f>
        <v>0</v>
      </c>
      <c r="AK2129" s="169">
        <v>5</v>
      </c>
      <c r="AO2129" s="19" t="s">
        <v>63</v>
      </c>
    </row>
    <row r="2130" spans="1:41" s="103" customFormat="1" ht="19.899999999999999" customHeight="1" x14ac:dyDescent="0.25">
      <c r="A2130" s="51"/>
      <c r="B2130" s="52"/>
      <c r="C2130" s="165"/>
      <c r="D2130" s="52"/>
      <c r="E2130" s="115"/>
      <c r="F2130" s="58"/>
      <c r="G2130" s="58"/>
      <c r="H2130" s="58"/>
      <c r="I2130" s="55"/>
      <c r="J2130" s="113">
        <f>J2129</f>
        <v>13.117799999999988</v>
      </c>
      <c r="K2130" s="212">
        <f>K2129</f>
        <v>13.117799999999988</v>
      </c>
      <c r="L2130" s="58"/>
      <c r="M2130" s="58">
        <f>K2130-L2130</f>
        <v>13.117799999999988</v>
      </c>
      <c r="N2130" s="166"/>
      <c r="O2130" s="58"/>
      <c r="P2130" s="58"/>
      <c r="Q2130" s="58"/>
      <c r="R2130" s="58"/>
      <c r="S2130" s="58"/>
      <c r="T2130" s="220"/>
      <c r="U2130" s="88"/>
      <c r="V2130" s="56"/>
      <c r="W2130" s="57" t="s">
        <v>1089</v>
      </c>
      <c r="X2130" s="53"/>
      <c r="Y2130" s="91" t="s">
        <v>68</v>
      </c>
      <c r="Z2130" s="136">
        <f>AD2130/AC2130</f>
        <v>53.108423529411766</v>
      </c>
      <c r="AA2130" s="58"/>
      <c r="AB2130" s="53">
        <f>AD2130/AC2130</f>
        <v>53.108423529411766</v>
      </c>
      <c r="AC2130" s="53">
        <f>M2130+$AE$10</f>
        <v>13.117799999999988</v>
      </c>
      <c r="AD2130" s="54">
        <f>SUM(AD2131:AD2139)</f>
        <v>696.66567817411703</v>
      </c>
      <c r="AE2130" s="184">
        <f>SUMIFS($AD$37:$AD$12971,$V$37:$V$12971,$V2130,$X$37:$X$12971,AE$13)</f>
        <v>0</v>
      </c>
      <c r="AF2130" s="185">
        <f>SUMIFS($AD$37:$AD$12971,$V$37:$V$12971,$V2130,$X$37:$X$12971,AF$13)</f>
        <v>0</v>
      </c>
      <c r="AG2130" s="185">
        <f>SUMIFS($AD$37:$AD$12971,$V$37:$V$12971,$V2130,$X$37:$X$12971,AG$13)</f>
        <v>0</v>
      </c>
      <c r="AH2130" s="187">
        <f>SUMIFS($AD$37:$AD$12971,$V$37:$V$12971,$V2130,$X$37:$X$12971,AH$13)</f>
        <v>0</v>
      </c>
      <c r="AI2130" s="161">
        <f t="shared" ref="AI2130" si="1598">SUM(AE2130:AH2130)</f>
        <v>0</v>
      </c>
      <c r="AK2130" s="172"/>
    </row>
    <row r="2131" spans="1:41" s="102" customFormat="1" ht="19.899999999999999" customHeight="1" x14ac:dyDescent="0.25">
      <c r="A2131" s="45"/>
      <c r="B2131" s="59"/>
      <c r="C2131" s="137"/>
      <c r="D2131" s="59"/>
      <c r="E2131" s="116"/>
      <c r="F2131" s="120"/>
      <c r="G2131" s="120"/>
      <c r="H2131" s="120"/>
      <c r="I2131" s="60"/>
      <c r="J2131" s="116"/>
      <c r="K2131" s="213"/>
      <c r="L2131" s="120"/>
      <c r="M2131" s="120"/>
      <c r="N2131" s="167"/>
      <c r="O2131" s="120"/>
      <c r="P2131" s="120"/>
      <c r="Q2131" s="120"/>
      <c r="R2131" s="120"/>
      <c r="S2131" s="120"/>
      <c r="T2131" s="221"/>
      <c r="U2131" s="89"/>
      <c r="V2131" s="61"/>
      <c r="W2131" s="92" t="s">
        <v>129</v>
      </c>
      <c r="X2131" s="93" t="s">
        <v>29</v>
      </c>
      <c r="Y2131" s="93" t="s">
        <v>93</v>
      </c>
      <c r="Z2131" s="134">
        <f>VLOOKUP(W2131,Sheet2!$B:$D,3,FALSE)</f>
        <v>56</v>
      </c>
      <c r="AA2131" s="93">
        <f>100/(1.5*2.5)</f>
        <v>26.666666666666668</v>
      </c>
      <c r="AB2131" s="93">
        <f t="shared" ref="AB2131" si="1599">AD2131/AC2130</f>
        <v>2.1</v>
      </c>
      <c r="AC2131" s="93">
        <f>AC2130/AA2131</f>
        <v>0.49191749999999956</v>
      </c>
      <c r="AD2131" s="94">
        <f t="shared" ref="AD2131:AD2132" si="1600">AC2131*Z2131</f>
        <v>27.547379999999976</v>
      </c>
      <c r="AE2131" s="190"/>
      <c r="AF2131" s="191"/>
      <c r="AG2131" s="191"/>
      <c r="AH2131" s="191"/>
      <c r="AI2131" s="186"/>
      <c r="AK2131" s="171"/>
    </row>
    <row r="2132" spans="1:41" s="102" customFormat="1" ht="19.899999999999999" customHeight="1" x14ac:dyDescent="0.25">
      <c r="A2132" s="45"/>
      <c r="B2132" s="59"/>
      <c r="C2132" s="137"/>
      <c r="D2132" s="59"/>
      <c r="E2132" s="116"/>
      <c r="F2132" s="120"/>
      <c r="G2132" s="120"/>
      <c r="H2132" s="120"/>
      <c r="I2132" s="60"/>
      <c r="J2132" s="116"/>
      <c r="K2132" s="213"/>
      <c r="L2132" s="120"/>
      <c r="M2132" s="120"/>
      <c r="N2132" s="167"/>
      <c r="O2132" s="120"/>
      <c r="P2132" s="120"/>
      <c r="Q2132" s="120"/>
      <c r="R2132" s="120"/>
      <c r="S2132" s="120"/>
      <c r="T2132" s="221"/>
      <c r="U2132" s="89"/>
      <c r="V2132" s="61"/>
      <c r="W2132" s="92" t="s">
        <v>65</v>
      </c>
      <c r="X2132" s="93" t="s">
        <v>30</v>
      </c>
      <c r="Y2132" s="93" t="s">
        <v>1011</v>
      </c>
      <c r="Z2132" s="134">
        <f>VLOOKUP(W2132,Sheet2!$B:$D,3,FALSE)</f>
        <v>1.76</v>
      </c>
      <c r="AA2132" s="93">
        <f>AA2131/14</f>
        <v>1.9047619047619049</v>
      </c>
      <c r="AB2132" s="93">
        <f>AD2132/AC2130</f>
        <v>0.92400000000000004</v>
      </c>
      <c r="AC2132" s="93">
        <f>AC2130/AA2132</f>
        <v>6.8868449999999939</v>
      </c>
      <c r="AD2132" s="94">
        <f t="shared" si="1600"/>
        <v>12.120847199999989</v>
      </c>
      <c r="AE2132" s="190"/>
      <c r="AF2132" s="191"/>
      <c r="AG2132" s="191"/>
      <c r="AH2132" s="191"/>
      <c r="AI2132" s="186"/>
      <c r="AK2132" s="171"/>
    </row>
    <row r="2133" spans="1:41" s="102" customFormat="1" ht="19.899999999999999" customHeight="1" x14ac:dyDescent="0.25">
      <c r="A2133" s="45"/>
      <c r="B2133" s="59"/>
      <c r="C2133" s="137"/>
      <c r="D2133" s="59"/>
      <c r="E2133" s="116"/>
      <c r="F2133" s="120"/>
      <c r="G2133" s="120"/>
      <c r="H2133" s="120"/>
      <c r="I2133" s="60"/>
      <c r="J2133" s="116"/>
      <c r="K2133" s="213"/>
      <c r="L2133" s="120"/>
      <c r="M2133" s="120"/>
      <c r="N2133" s="167"/>
      <c r="O2133" s="120"/>
      <c r="P2133" s="120"/>
      <c r="Q2133" s="120"/>
      <c r="R2133" s="120"/>
      <c r="S2133" s="120"/>
      <c r="T2133" s="221"/>
      <c r="U2133" s="89"/>
      <c r="V2133" s="61"/>
      <c r="W2133" s="92" t="s">
        <v>161</v>
      </c>
      <c r="X2133" s="93" t="s">
        <v>29</v>
      </c>
      <c r="Y2133" s="93" t="s">
        <v>93</v>
      </c>
      <c r="Z2133" s="134">
        <f>VLOOKUP(W2133,Sheet2!$B:$D,3,FALSE)</f>
        <v>48</v>
      </c>
      <c r="AA2133" s="93">
        <f>(16*0.85*1.5)/(1.5*2.5)</f>
        <v>5.4399999999999995</v>
      </c>
      <c r="AB2133" s="93">
        <f>AD2133/AC2130</f>
        <v>8.8235294117647065</v>
      </c>
      <c r="AC2133" s="93">
        <f>AC2130/AA2133</f>
        <v>2.4113602941176451</v>
      </c>
      <c r="AD2133" s="94">
        <f>AC2133*Z2133</f>
        <v>115.74529411764696</v>
      </c>
      <c r="AE2133" s="190"/>
      <c r="AF2133" s="191"/>
      <c r="AG2133" s="191"/>
      <c r="AH2133" s="191"/>
      <c r="AI2133" s="186"/>
      <c r="AK2133" s="171"/>
    </row>
    <row r="2134" spans="1:41" s="102" customFormat="1" ht="19.899999999999999" customHeight="1" x14ac:dyDescent="0.25">
      <c r="A2134" s="45"/>
      <c r="B2134" s="59"/>
      <c r="C2134" s="137"/>
      <c r="D2134" s="59"/>
      <c r="E2134" s="116"/>
      <c r="F2134" s="120"/>
      <c r="G2134" s="120"/>
      <c r="H2134" s="120"/>
      <c r="I2134" s="60"/>
      <c r="J2134" s="116"/>
      <c r="K2134" s="213"/>
      <c r="L2134" s="120"/>
      <c r="M2134" s="120"/>
      <c r="N2134" s="167"/>
      <c r="O2134" s="120"/>
      <c r="P2134" s="120"/>
      <c r="Q2134" s="120"/>
      <c r="R2134" s="120"/>
      <c r="S2134" s="120"/>
      <c r="T2134" s="221"/>
      <c r="U2134" s="89"/>
      <c r="V2134" s="61"/>
      <c r="W2134" s="92" t="s">
        <v>65</v>
      </c>
      <c r="X2134" s="93" t="s">
        <v>30</v>
      </c>
      <c r="Y2134" s="93" t="s">
        <v>1011</v>
      </c>
      <c r="Z2134" s="134">
        <f>VLOOKUP(W2134,Sheet2!$B:$D,3,FALSE)</f>
        <v>1.76</v>
      </c>
      <c r="AA2134" s="93">
        <f>AA2133/10</f>
        <v>0.54399999999999993</v>
      </c>
      <c r="AB2134" s="93">
        <f>AD2134/AC2130</f>
        <v>3.2352941176470593</v>
      </c>
      <c r="AC2134" s="93">
        <f>AC2130/AA2134</f>
        <v>24.113602941176453</v>
      </c>
      <c r="AD2134" s="94">
        <f>AC2134*Z2134</f>
        <v>42.439941176470555</v>
      </c>
      <c r="AE2134" s="190"/>
      <c r="AF2134" s="191"/>
      <c r="AG2134" s="191"/>
      <c r="AH2134" s="191"/>
      <c r="AI2134" s="186"/>
      <c r="AK2134" s="171"/>
    </row>
    <row r="2135" spans="1:41" s="102" customFormat="1" ht="19.899999999999999" customHeight="1" x14ac:dyDescent="0.25">
      <c r="A2135" s="45"/>
      <c r="B2135" s="59"/>
      <c r="C2135" s="137"/>
      <c r="D2135" s="59"/>
      <c r="E2135" s="116"/>
      <c r="F2135" s="120"/>
      <c r="G2135" s="120"/>
      <c r="H2135" s="120"/>
      <c r="I2135" s="60"/>
      <c r="J2135" s="116"/>
      <c r="K2135" s="213"/>
      <c r="L2135" s="120"/>
      <c r="M2135" s="120"/>
      <c r="N2135" s="167"/>
      <c r="O2135" s="120"/>
      <c r="P2135" s="120"/>
      <c r="Q2135" s="120"/>
      <c r="R2135" s="120"/>
      <c r="S2135" s="120"/>
      <c r="T2135" s="221"/>
      <c r="U2135" s="89"/>
      <c r="V2135" s="61"/>
      <c r="W2135" s="92" t="s">
        <v>1030</v>
      </c>
      <c r="X2135" s="93" t="s">
        <v>29</v>
      </c>
      <c r="Y2135" s="93" t="s">
        <v>93</v>
      </c>
      <c r="Z2135" s="134">
        <f>VLOOKUP(W2135,Sheet2!$B:$D,3,FALSE)</f>
        <v>23</v>
      </c>
      <c r="AA2135" s="93">
        <v>50</v>
      </c>
      <c r="AB2135" s="93">
        <f>AD2135/AC2130</f>
        <v>0.45999999999999996</v>
      </c>
      <c r="AC2135" s="93">
        <f>AC2130/AA2135</f>
        <v>0.26235599999999976</v>
      </c>
      <c r="AD2135" s="94">
        <f t="shared" ref="AD2135:AD2139" si="1601">AC2135*Z2135</f>
        <v>6.0341879999999941</v>
      </c>
      <c r="AE2135" s="190"/>
      <c r="AF2135" s="191"/>
      <c r="AG2135" s="191"/>
      <c r="AH2135" s="191"/>
      <c r="AI2135" s="186"/>
      <c r="AK2135" s="171"/>
    </row>
    <row r="2136" spans="1:41" s="102" customFormat="1" ht="19.899999999999999" customHeight="1" x14ac:dyDescent="0.25">
      <c r="A2136" s="45"/>
      <c r="B2136" s="59"/>
      <c r="C2136" s="137"/>
      <c r="D2136" s="59"/>
      <c r="E2136" s="116"/>
      <c r="F2136" s="120"/>
      <c r="G2136" s="120"/>
      <c r="H2136" s="120"/>
      <c r="I2136" s="60"/>
      <c r="J2136" s="116"/>
      <c r="K2136" s="213"/>
      <c r="L2136" s="120"/>
      <c r="M2136" s="120"/>
      <c r="N2136" s="167"/>
      <c r="O2136" s="120"/>
      <c r="P2136" s="120"/>
      <c r="Q2136" s="120"/>
      <c r="R2136" s="120"/>
      <c r="S2136" s="120"/>
      <c r="T2136" s="221"/>
      <c r="U2136" s="89"/>
      <c r="V2136" s="61"/>
      <c r="W2136" s="92" t="s">
        <v>65</v>
      </c>
      <c r="X2136" s="93" t="s">
        <v>30</v>
      </c>
      <c r="Y2136" s="93" t="s">
        <v>1011</v>
      </c>
      <c r="Z2136" s="134">
        <f>VLOOKUP(W2136,Sheet2!$B:$D,3,FALSE)</f>
        <v>1.76</v>
      </c>
      <c r="AA2136" s="93">
        <f>AA2135/3</f>
        <v>16.666666666666668</v>
      </c>
      <c r="AB2136" s="93">
        <f>AD2136/AC2130</f>
        <v>0.10559999999999999</v>
      </c>
      <c r="AC2136" s="93">
        <f>AC2130/AA2136</f>
        <v>0.78706799999999921</v>
      </c>
      <c r="AD2136" s="94">
        <f t="shared" si="1601"/>
        <v>1.3852396799999986</v>
      </c>
      <c r="AE2136" s="190"/>
      <c r="AF2136" s="191"/>
      <c r="AG2136" s="191"/>
      <c r="AH2136" s="191"/>
      <c r="AI2136" s="186"/>
      <c r="AK2136" s="171"/>
    </row>
    <row r="2137" spans="1:41" s="102" customFormat="1" ht="19.899999999999999" customHeight="1" x14ac:dyDescent="0.25">
      <c r="A2137" s="45"/>
      <c r="B2137" s="59"/>
      <c r="C2137" s="137"/>
      <c r="D2137" s="59"/>
      <c r="E2137" s="116"/>
      <c r="F2137" s="120"/>
      <c r="G2137" s="120"/>
      <c r="H2137" s="120"/>
      <c r="I2137" s="60"/>
      <c r="J2137" s="116"/>
      <c r="K2137" s="213"/>
      <c r="L2137" s="120"/>
      <c r="M2137" s="120"/>
      <c r="N2137" s="167"/>
      <c r="O2137" s="120"/>
      <c r="P2137" s="120"/>
      <c r="Q2137" s="120"/>
      <c r="R2137" s="120"/>
      <c r="S2137" s="120"/>
      <c r="T2137" s="221"/>
      <c r="U2137" s="89"/>
      <c r="V2137" s="61"/>
      <c r="W2137" s="92" t="s">
        <v>148</v>
      </c>
      <c r="X2137" s="93" t="s">
        <v>29</v>
      </c>
      <c r="Y2137" s="93" t="s">
        <v>93</v>
      </c>
      <c r="Z2137" s="134">
        <f>VLOOKUP(W2137,Sheet2!$B:$D,3,FALSE)</f>
        <v>48</v>
      </c>
      <c r="AA2137" s="93">
        <f>AA2131</f>
        <v>26.666666666666668</v>
      </c>
      <c r="AB2137" s="93">
        <f>AD2137/AC2130</f>
        <v>1.8</v>
      </c>
      <c r="AC2137" s="93">
        <f>AC2130/AA2137</f>
        <v>0.49191749999999956</v>
      </c>
      <c r="AD2137" s="94">
        <f t="shared" si="1601"/>
        <v>23.612039999999979</v>
      </c>
      <c r="AE2137" s="190"/>
      <c r="AF2137" s="191"/>
      <c r="AG2137" s="191"/>
      <c r="AH2137" s="191"/>
      <c r="AI2137" s="186"/>
      <c r="AK2137" s="171"/>
    </row>
    <row r="2138" spans="1:41" s="102" customFormat="1" ht="19.899999999999999" customHeight="1" x14ac:dyDescent="0.25">
      <c r="A2138" s="45"/>
      <c r="B2138" s="59"/>
      <c r="C2138" s="137"/>
      <c r="D2138" s="59"/>
      <c r="E2138" s="116"/>
      <c r="F2138" s="120"/>
      <c r="G2138" s="120"/>
      <c r="H2138" s="120"/>
      <c r="I2138" s="60"/>
      <c r="J2138" s="116"/>
      <c r="K2138" s="213"/>
      <c r="L2138" s="120"/>
      <c r="M2138" s="120"/>
      <c r="N2138" s="167"/>
      <c r="O2138" s="120"/>
      <c r="P2138" s="120"/>
      <c r="Q2138" s="120"/>
      <c r="R2138" s="120"/>
      <c r="S2138" s="120"/>
      <c r="T2138" s="221"/>
      <c r="U2138" s="89"/>
      <c r="V2138" s="61"/>
      <c r="W2138" s="92" t="s">
        <v>65</v>
      </c>
      <c r="X2138" s="93" t="s">
        <v>30</v>
      </c>
      <c r="Y2138" s="93" t="s">
        <v>1011</v>
      </c>
      <c r="Z2138" s="134">
        <f>VLOOKUP(W2138,Sheet2!$B:$D,3,FALSE)</f>
        <v>1.76</v>
      </c>
      <c r="AA2138" s="93">
        <f>AA2137/10</f>
        <v>2.666666666666667</v>
      </c>
      <c r="AB2138" s="93">
        <f>AD2138/AC2130</f>
        <v>0.65999999999999992</v>
      </c>
      <c r="AC2138" s="93">
        <f>AC2130/AA2138</f>
        <v>4.9191749999999947</v>
      </c>
      <c r="AD2138" s="94">
        <f t="shared" si="1601"/>
        <v>8.6577479999999909</v>
      </c>
      <c r="AE2138" s="190"/>
      <c r="AF2138" s="191"/>
      <c r="AG2138" s="191"/>
      <c r="AH2138" s="191"/>
      <c r="AI2138" s="186"/>
      <c r="AK2138" s="171"/>
    </row>
    <row r="2139" spans="1:41" s="102" customFormat="1" ht="19.899999999999999" customHeight="1" x14ac:dyDescent="0.25">
      <c r="A2139" s="45"/>
      <c r="B2139" s="59"/>
      <c r="C2139" s="137"/>
      <c r="D2139" s="59"/>
      <c r="E2139" s="116"/>
      <c r="F2139" s="120"/>
      <c r="G2139" s="120"/>
      <c r="H2139" s="120"/>
      <c r="I2139" s="60"/>
      <c r="J2139" s="116"/>
      <c r="K2139" s="213"/>
      <c r="L2139" s="120"/>
      <c r="M2139" s="120"/>
      <c r="N2139" s="167"/>
      <c r="O2139" s="120"/>
      <c r="P2139" s="120"/>
      <c r="Q2139" s="120"/>
      <c r="R2139" s="120"/>
      <c r="S2139" s="120"/>
      <c r="T2139" s="221"/>
      <c r="U2139" s="89"/>
      <c r="V2139" s="61"/>
      <c r="W2139" s="92" t="s">
        <v>1048</v>
      </c>
      <c r="X2139" s="93" t="s">
        <v>30</v>
      </c>
      <c r="Y2139" s="93" t="s">
        <v>68</v>
      </c>
      <c r="Z2139" s="134">
        <f>VLOOKUP(W2139,Sheet2!$B:$D,3,FALSE)</f>
        <v>35</v>
      </c>
      <c r="AA2139" s="93">
        <v>1</v>
      </c>
      <c r="AB2139" s="93">
        <f>AD2139/AC2130</f>
        <v>35</v>
      </c>
      <c r="AC2139" s="93">
        <f>AC2130/AA2139</f>
        <v>13.117799999999988</v>
      </c>
      <c r="AD2139" s="94">
        <f t="shared" si="1601"/>
        <v>459.12299999999959</v>
      </c>
      <c r="AE2139" s="190"/>
      <c r="AF2139" s="191"/>
      <c r="AG2139" s="191"/>
      <c r="AH2139" s="191"/>
      <c r="AI2139" s="186"/>
      <c r="AK2139" s="171"/>
    </row>
    <row r="2140" spans="1:41" s="103" customFormat="1" ht="19.899999999999999" customHeight="1" x14ac:dyDescent="0.25">
      <c r="A2140" s="51"/>
      <c r="B2140" s="52"/>
      <c r="C2140" s="165"/>
      <c r="D2140" s="52"/>
      <c r="E2140" s="115"/>
      <c r="F2140" s="58"/>
      <c r="G2140" s="58"/>
      <c r="H2140" s="58"/>
      <c r="I2140" s="55"/>
      <c r="J2140" s="113">
        <f>J2129</f>
        <v>13.117799999999988</v>
      </c>
      <c r="K2140" s="212">
        <f>K2129</f>
        <v>13.117799999999988</v>
      </c>
      <c r="L2140" s="58"/>
      <c r="M2140" s="58">
        <f>K2140-L2140</f>
        <v>13.117799999999988</v>
      </c>
      <c r="N2140" s="166"/>
      <c r="O2140" s="58"/>
      <c r="P2140" s="58"/>
      <c r="Q2140" s="58"/>
      <c r="R2140" s="58"/>
      <c r="S2140" s="58"/>
      <c r="T2140" s="220"/>
      <c r="U2140" s="88"/>
      <c r="V2140" s="56"/>
      <c r="W2140" s="57" t="s">
        <v>1036</v>
      </c>
      <c r="X2140" s="53"/>
      <c r="Y2140" s="91" t="s">
        <v>68</v>
      </c>
      <c r="Z2140" s="136">
        <f>AD2140/AC2140</f>
        <v>460.58333333333331</v>
      </c>
      <c r="AA2140" s="58"/>
      <c r="AB2140" s="53">
        <f>AD2140/AC2140</f>
        <v>460.58333333333331</v>
      </c>
      <c r="AC2140" s="53">
        <f>M2140+$AE$10</f>
        <v>13.117799999999988</v>
      </c>
      <c r="AD2140" s="54">
        <f>SUM(AD2141:AD2145)</f>
        <v>6041.8400499999943</v>
      </c>
      <c r="AE2140" s="184">
        <f>SUMIFS($AD$37:$AD$12971,$V$37:$V$12971,$V2140,$X$37:$X$12971,AE$13)</f>
        <v>0</v>
      </c>
      <c r="AF2140" s="185">
        <f>SUMIFS($AD$37:$AD$12971,$V$37:$V$12971,$V2140,$X$37:$X$12971,AF$13)</f>
        <v>0</v>
      </c>
      <c r="AG2140" s="185">
        <f>SUMIFS($AD$37:$AD$12971,$V$37:$V$12971,$V2140,$X$37:$X$12971,AG$13)</f>
        <v>0</v>
      </c>
      <c r="AH2140" s="187">
        <f>SUMIFS($AD$37:$AD$12971,$V$37:$V$12971,$V2140,$X$37:$X$12971,AH$13)</f>
        <v>0</v>
      </c>
      <c r="AI2140" s="161">
        <f t="shared" ref="AI2140" si="1602">SUM(AE2140:AH2140)</f>
        <v>0</v>
      </c>
      <c r="AK2140" s="172"/>
    </row>
    <row r="2141" spans="1:41" s="102" customFormat="1" ht="19.899999999999999" customHeight="1" x14ac:dyDescent="0.25">
      <c r="A2141" s="45"/>
      <c r="B2141" s="59"/>
      <c r="C2141" s="137"/>
      <c r="D2141" s="59"/>
      <c r="E2141" s="116"/>
      <c r="F2141" s="120"/>
      <c r="G2141" s="120"/>
      <c r="H2141" s="120"/>
      <c r="I2141" s="60"/>
      <c r="J2141" s="116"/>
      <c r="K2141" s="213"/>
      <c r="L2141" s="120"/>
      <c r="M2141" s="120"/>
      <c r="N2141" s="167"/>
      <c r="O2141" s="120"/>
      <c r="P2141" s="120"/>
      <c r="Q2141" s="120"/>
      <c r="R2141" s="120"/>
      <c r="S2141" s="120"/>
      <c r="T2141" s="221"/>
      <c r="U2141" s="89"/>
      <c r="V2141" s="61"/>
      <c r="W2141" s="92" t="s">
        <v>1255</v>
      </c>
      <c r="X2141" s="93" t="s">
        <v>30</v>
      </c>
      <c r="Y2141" s="93" t="s">
        <v>68</v>
      </c>
      <c r="Z2141" s="134">
        <f>VLOOKUP(W2141,Sheet2!$B:$D,3,FALSE)</f>
        <v>345</v>
      </c>
      <c r="AA2141" s="93">
        <v>1</v>
      </c>
      <c r="AB2141" s="93">
        <f>AD2141/AC2140</f>
        <v>345</v>
      </c>
      <c r="AC2141" s="93">
        <f>AC2140/AA2141</f>
        <v>13.117799999999988</v>
      </c>
      <c r="AD2141" s="94">
        <f t="shared" ref="AD2141" si="1603">AC2141*Z2141</f>
        <v>4525.640999999996</v>
      </c>
      <c r="AE2141" s="190"/>
      <c r="AF2141" s="191"/>
      <c r="AG2141" s="191"/>
      <c r="AH2141" s="191"/>
      <c r="AI2141" s="186"/>
      <c r="AK2141" s="171"/>
    </row>
    <row r="2142" spans="1:41" s="102" customFormat="1" ht="19.899999999999999" customHeight="1" x14ac:dyDescent="0.25">
      <c r="A2142" s="45"/>
      <c r="B2142" s="59"/>
      <c r="C2142" s="137"/>
      <c r="D2142" s="59"/>
      <c r="E2142" s="116"/>
      <c r="F2142" s="120"/>
      <c r="G2142" s="120"/>
      <c r="H2142" s="120"/>
      <c r="I2142" s="60"/>
      <c r="J2142" s="116"/>
      <c r="K2142" s="213"/>
      <c r="L2142" s="120"/>
      <c r="M2142" s="120"/>
      <c r="N2142" s="167"/>
      <c r="O2142" s="120"/>
      <c r="P2142" s="120"/>
      <c r="Q2142" s="120"/>
      <c r="R2142" s="120"/>
      <c r="S2142" s="120"/>
      <c r="T2142" s="221"/>
      <c r="U2142" s="89"/>
      <c r="V2142" s="61"/>
      <c r="W2142" s="92" t="s">
        <v>1256</v>
      </c>
      <c r="X2142" s="93" t="s">
        <v>32</v>
      </c>
      <c r="Y2142" s="93" t="s">
        <v>68</v>
      </c>
      <c r="Z2142" s="134">
        <f>VLOOKUP(W2142,Sheet2!$B:$D,3,FALSE)</f>
        <v>55</v>
      </c>
      <c r="AA2142" s="93">
        <v>1</v>
      </c>
      <c r="AB2142" s="93">
        <f>AD2142/AC2140</f>
        <v>55</v>
      </c>
      <c r="AC2142" s="93">
        <f>AC2140/AA2142</f>
        <v>13.117799999999988</v>
      </c>
      <c r="AD2142" s="94">
        <f>AC2142*Z2142</f>
        <v>721.47899999999936</v>
      </c>
      <c r="AE2142" s="190"/>
      <c r="AF2142" s="191"/>
      <c r="AG2142" s="191"/>
      <c r="AH2142" s="191"/>
      <c r="AI2142" s="186"/>
      <c r="AK2142" s="171"/>
    </row>
    <row r="2143" spans="1:41" s="102" customFormat="1" ht="19.899999999999999" customHeight="1" x14ac:dyDescent="0.25">
      <c r="A2143" s="45"/>
      <c r="B2143" s="59"/>
      <c r="C2143" s="137"/>
      <c r="D2143" s="59"/>
      <c r="E2143" s="116"/>
      <c r="F2143" s="120"/>
      <c r="G2143" s="120"/>
      <c r="H2143" s="120"/>
      <c r="I2143" s="60"/>
      <c r="J2143" s="116"/>
      <c r="K2143" s="213"/>
      <c r="L2143" s="120"/>
      <c r="M2143" s="120"/>
      <c r="N2143" s="167"/>
      <c r="O2143" s="120"/>
      <c r="P2143" s="120"/>
      <c r="Q2143" s="120"/>
      <c r="R2143" s="120"/>
      <c r="S2143" s="120"/>
      <c r="T2143" s="221"/>
      <c r="U2143" s="89"/>
      <c r="V2143" s="61"/>
      <c r="W2143" s="92" t="s">
        <v>1032</v>
      </c>
      <c r="X2143" s="93" t="s">
        <v>30</v>
      </c>
      <c r="Y2143" s="93" t="s">
        <v>66</v>
      </c>
      <c r="Z2143" s="134">
        <f>VLOOKUP(W2143,Sheet2!$B:$D,3,FALSE)</f>
        <v>250</v>
      </c>
      <c r="AA2143" s="93">
        <f>1/(1.5*0.1)</f>
        <v>6.6666666666666661</v>
      </c>
      <c r="AB2143" s="93">
        <f>AD2143/AC2140</f>
        <v>37.500000000000007</v>
      </c>
      <c r="AC2143" s="93">
        <f>AC2140/AA2143</f>
        <v>1.9676699999999985</v>
      </c>
      <c r="AD2143" s="94">
        <f>AC2143*Z2143</f>
        <v>491.91749999999962</v>
      </c>
      <c r="AE2143" s="190"/>
      <c r="AF2143" s="191"/>
      <c r="AG2143" s="191"/>
      <c r="AH2143" s="191"/>
      <c r="AI2143" s="186"/>
      <c r="AK2143" s="171"/>
    </row>
    <row r="2144" spans="1:41" s="102" customFormat="1" ht="19.899999999999999" customHeight="1" x14ac:dyDescent="0.25">
      <c r="A2144" s="45"/>
      <c r="B2144" s="59"/>
      <c r="C2144" s="137"/>
      <c r="D2144" s="59"/>
      <c r="E2144" s="116"/>
      <c r="F2144" s="120"/>
      <c r="G2144" s="120"/>
      <c r="H2144" s="120"/>
      <c r="I2144" s="60"/>
      <c r="J2144" s="116"/>
      <c r="K2144" s="213"/>
      <c r="L2144" s="120"/>
      <c r="M2144" s="120"/>
      <c r="N2144" s="167"/>
      <c r="O2144" s="120"/>
      <c r="P2144" s="120"/>
      <c r="Q2144" s="120"/>
      <c r="R2144" s="120"/>
      <c r="S2144" s="120"/>
      <c r="T2144" s="221"/>
      <c r="U2144" s="89"/>
      <c r="V2144" s="61"/>
      <c r="W2144" s="92" t="s">
        <v>1035</v>
      </c>
      <c r="X2144" s="93" t="s">
        <v>32</v>
      </c>
      <c r="Y2144" s="93" t="s">
        <v>66</v>
      </c>
      <c r="Z2144" s="134">
        <f>VLOOKUP(W2144,Sheet2!$B:$D,3,FALSE)</f>
        <v>150</v>
      </c>
      <c r="AA2144" s="93">
        <f>AA2143</f>
        <v>6.6666666666666661</v>
      </c>
      <c r="AB2144" s="93">
        <f>AD2144/AC2140</f>
        <v>22.500000000000004</v>
      </c>
      <c r="AC2144" s="93">
        <f>AC2140/AA2144</f>
        <v>1.9676699999999985</v>
      </c>
      <c r="AD2144" s="94">
        <f t="shared" ref="AD2144:AD2145" si="1604">AC2144*Z2144</f>
        <v>295.15049999999979</v>
      </c>
      <c r="AE2144" s="190"/>
      <c r="AF2144" s="191"/>
      <c r="AG2144" s="191"/>
      <c r="AH2144" s="191"/>
      <c r="AI2144" s="186"/>
      <c r="AK2144" s="171"/>
    </row>
    <row r="2145" spans="1:41" s="102" customFormat="1" ht="19.899999999999999" customHeight="1" x14ac:dyDescent="0.25">
      <c r="A2145" s="45"/>
      <c r="B2145" s="59"/>
      <c r="C2145" s="137"/>
      <c r="D2145" s="59"/>
      <c r="E2145" s="116"/>
      <c r="F2145" s="120"/>
      <c r="G2145" s="120"/>
      <c r="H2145" s="120"/>
      <c r="I2145" s="60"/>
      <c r="J2145" s="116"/>
      <c r="K2145" s="213"/>
      <c r="L2145" s="120"/>
      <c r="M2145" s="120"/>
      <c r="N2145" s="167"/>
      <c r="O2145" s="120"/>
      <c r="P2145" s="120"/>
      <c r="Q2145" s="120"/>
      <c r="R2145" s="120"/>
      <c r="S2145" s="120"/>
      <c r="T2145" s="221"/>
      <c r="U2145" s="89"/>
      <c r="V2145" s="61"/>
      <c r="W2145" s="92" t="s">
        <v>1037</v>
      </c>
      <c r="X2145" s="93" t="s">
        <v>30</v>
      </c>
      <c r="Y2145" s="93" t="s">
        <v>1038</v>
      </c>
      <c r="Z2145" s="134">
        <f>VLOOKUP(W2145,Sheet2!$B:$D,3,FALSE)</f>
        <v>175</v>
      </c>
      <c r="AA2145" s="93">
        <v>300</v>
      </c>
      <c r="AB2145" s="93">
        <f>AD2145/AC2140</f>
        <v>0.58333333333333326</v>
      </c>
      <c r="AC2145" s="93">
        <f>AC2140/AA2145</f>
        <v>4.3725999999999959E-2</v>
      </c>
      <c r="AD2145" s="94">
        <f t="shared" si="1604"/>
        <v>7.6520499999999929</v>
      </c>
      <c r="AE2145" s="190"/>
      <c r="AF2145" s="191"/>
      <c r="AG2145" s="191"/>
      <c r="AH2145" s="191"/>
      <c r="AI2145" s="186"/>
      <c r="AK2145" s="171"/>
    </row>
    <row r="2146" spans="1:41" s="103" customFormat="1" ht="19.899999999999999" customHeight="1" x14ac:dyDescent="0.25">
      <c r="A2146" s="51"/>
      <c r="B2146" s="52"/>
      <c r="C2146" s="165"/>
      <c r="D2146" s="52"/>
      <c r="E2146" s="115"/>
      <c r="F2146" s="58"/>
      <c r="G2146" s="58"/>
      <c r="H2146" s="58"/>
      <c r="I2146" s="55"/>
      <c r="J2146" s="113">
        <f>J2129</f>
        <v>13.117799999999988</v>
      </c>
      <c r="K2146" s="212">
        <f>K2129</f>
        <v>13.117799999999988</v>
      </c>
      <c r="L2146" s="58"/>
      <c r="M2146" s="58">
        <f>K2146-L2146</f>
        <v>13.117799999999988</v>
      </c>
      <c r="N2146" s="166"/>
      <c r="O2146" s="58"/>
      <c r="P2146" s="58"/>
      <c r="Q2146" s="58"/>
      <c r="R2146" s="58"/>
      <c r="S2146" s="58"/>
      <c r="T2146" s="220"/>
      <c r="U2146" s="88"/>
      <c r="V2146" s="56"/>
      <c r="W2146" s="57" t="s">
        <v>1040</v>
      </c>
      <c r="X2146" s="53"/>
      <c r="Y2146" s="91" t="s">
        <v>68</v>
      </c>
      <c r="Z2146" s="136">
        <f>AD2146/AC2146</f>
        <v>5</v>
      </c>
      <c r="AA2146" s="58"/>
      <c r="AB2146" s="53">
        <f>AD2146/AC2146</f>
        <v>5</v>
      </c>
      <c r="AC2146" s="53">
        <f>M2146+$AE$10</f>
        <v>13.117799999999988</v>
      </c>
      <c r="AD2146" s="54">
        <f>SUM(AD2147)</f>
        <v>65.588999999999942</v>
      </c>
      <c r="AE2146" s="184">
        <f>SUMIFS($AD$37:$AD$12971,$V$37:$V$12971,$V2146,$X$37:$X$12971,AE$13)</f>
        <v>0</v>
      </c>
      <c r="AF2146" s="185">
        <f>SUMIFS($AD$37:$AD$12971,$V$37:$V$12971,$V2146,$X$37:$X$12971,AF$13)</f>
        <v>0</v>
      </c>
      <c r="AG2146" s="185">
        <f>SUMIFS($AD$37:$AD$12971,$V$37:$V$12971,$V2146,$X$37:$X$12971,AG$13)</f>
        <v>0</v>
      </c>
      <c r="AH2146" s="187">
        <f>SUMIFS($AD$37:$AD$12971,$V$37:$V$12971,$V2146,$X$37:$X$12971,AH$13)</f>
        <v>0</v>
      </c>
      <c r="AI2146" s="161">
        <f t="shared" ref="AI2146" si="1605">SUM(AE2146:AH2146)</f>
        <v>0</v>
      </c>
      <c r="AK2146" s="172"/>
    </row>
    <row r="2147" spans="1:41" s="102" customFormat="1" ht="19.899999999999999" customHeight="1" x14ac:dyDescent="0.25">
      <c r="A2147" s="45"/>
      <c r="B2147" s="59"/>
      <c r="C2147" s="137"/>
      <c r="D2147" s="59"/>
      <c r="E2147" s="116"/>
      <c r="F2147" s="120"/>
      <c r="G2147" s="120"/>
      <c r="H2147" s="120"/>
      <c r="I2147" s="60"/>
      <c r="J2147" s="116"/>
      <c r="K2147" s="213"/>
      <c r="L2147" s="120"/>
      <c r="M2147" s="120"/>
      <c r="N2147" s="167"/>
      <c r="O2147" s="120"/>
      <c r="P2147" s="120"/>
      <c r="Q2147" s="120"/>
      <c r="R2147" s="120"/>
      <c r="S2147" s="120"/>
      <c r="T2147" s="221"/>
      <c r="U2147" s="89"/>
      <c r="V2147" s="61"/>
      <c r="W2147" s="92" t="s">
        <v>1039</v>
      </c>
      <c r="X2147" s="93" t="s">
        <v>32</v>
      </c>
      <c r="Y2147" s="93" t="s">
        <v>68</v>
      </c>
      <c r="Z2147" s="134">
        <f>VLOOKUP(W2147,Sheet2!$B:$D,3,FALSE)</f>
        <v>5</v>
      </c>
      <c r="AA2147" s="93">
        <v>1</v>
      </c>
      <c r="AB2147" s="93">
        <f>AD2147/AC2146</f>
        <v>5</v>
      </c>
      <c r="AC2147" s="93">
        <f>AC2146/AA2147</f>
        <v>13.117799999999988</v>
      </c>
      <c r="AD2147" s="94">
        <f t="shared" ref="AD2147" si="1606">AC2147*Z2147</f>
        <v>65.588999999999942</v>
      </c>
      <c r="AE2147" s="190"/>
      <c r="AF2147" s="191"/>
      <c r="AG2147" s="191"/>
      <c r="AH2147" s="191"/>
      <c r="AI2147" s="186"/>
      <c r="AK2147" s="171"/>
    </row>
    <row r="2148" spans="1:41" ht="20.100000000000001" customHeight="1" x14ac:dyDescent="0.25">
      <c r="A2148" s="277" t="s">
        <v>410</v>
      </c>
      <c r="B2148" s="278"/>
      <c r="C2148" s="64" t="s">
        <v>1004</v>
      </c>
      <c r="D2148" s="46" t="s">
        <v>97</v>
      </c>
      <c r="E2148" s="114">
        <v>45.588700000000017</v>
      </c>
      <c r="F2148" s="44">
        <v>1284</v>
      </c>
      <c r="G2148" s="44">
        <f t="shared" ref="G2148" si="1607">F2148*E2148</f>
        <v>58535.890800000023</v>
      </c>
      <c r="H2148" s="44">
        <f t="shared" ref="H2148" si="1608">AB2148</f>
        <v>543.69175686274525</v>
      </c>
      <c r="I2148" s="43">
        <f t="shared" ref="I2148" si="1609">H2148*E2148</f>
        <v>24786.200396088643</v>
      </c>
      <c r="J2148" s="112">
        <f t="shared" ref="J2148" si="1610">E2148</f>
        <v>45.588700000000017</v>
      </c>
      <c r="K2148" s="211">
        <f t="shared" ref="K2148" si="1611">J2148</f>
        <v>45.588700000000017</v>
      </c>
      <c r="L2148" s="44"/>
      <c r="M2148" s="44">
        <f t="shared" ref="M2148" si="1612">K2148-L2148</f>
        <v>45.588700000000017</v>
      </c>
      <c r="N2148" s="173">
        <f t="shared" ref="N2148" si="1613">IFERROR(M2148/K2148,0)</f>
        <v>1</v>
      </c>
      <c r="O2148" s="44">
        <f t="shared" ref="O2148" si="1614">F2148</f>
        <v>1284</v>
      </c>
      <c r="P2148" s="44">
        <f t="shared" ref="P2148" si="1615">K2148*O2148</f>
        <v>58535.890800000023</v>
      </c>
      <c r="Q2148" s="44">
        <f t="shared" ref="Q2148" si="1616">AB2148</f>
        <v>543.69175686274525</v>
      </c>
      <c r="R2148" s="44">
        <f t="shared" ref="R2148" si="1617">M2148*Q2148</f>
        <v>24786.200396088643</v>
      </c>
      <c r="S2148" s="123"/>
      <c r="T2148" s="219">
        <f t="shared" ref="T2148" si="1618">S2148+R2148</f>
        <v>24786.200396088643</v>
      </c>
      <c r="U2148" s="87"/>
      <c r="V2148" s="47"/>
      <c r="W2148" s="48"/>
      <c r="X2148" s="48"/>
      <c r="Y2148" s="48"/>
      <c r="Z2148" s="135"/>
      <c r="AA2148" s="49"/>
      <c r="AB2148" s="50">
        <f t="shared" ref="AB2148" si="1619">AD2148/AC2148</f>
        <v>543.69175686274525</v>
      </c>
      <c r="AC2148" s="42">
        <f t="shared" ref="AC2148" si="1620">M2148+$AE$10</f>
        <v>45.588700000000017</v>
      </c>
      <c r="AD2148" s="90">
        <f>AD2149+AD2159+AD2165</f>
        <v>24786.200396088643</v>
      </c>
      <c r="AE2148" s="188">
        <f t="shared" ref="AE2148" si="1621">AE2149+AE2159+AE2165</f>
        <v>0</v>
      </c>
      <c r="AF2148" s="189">
        <f t="shared" ref="AF2148" si="1622">AF2149+AF2159+AF2165</f>
        <v>0</v>
      </c>
      <c r="AG2148" s="189">
        <f t="shared" ref="AG2148" si="1623">AG2149+AG2159+AG2165</f>
        <v>0</v>
      </c>
      <c r="AH2148" s="189">
        <f t="shared" ref="AH2148" si="1624">AH2149+AH2159+AH2165</f>
        <v>0</v>
      </c>
      <c r="AI2148" s="161">
        <f t="shared" ref="AI2148" si="1625">SUM(AE2148:AH2148)</f>
        <v>0</v>
      </c>
      <c r="AK2148" s="169">
        <v>5</v>
      </c>
      <c r="AO2148" s="19" t="s">
        <v>63</v>
      </c>
    </row>
    <row r="2149" spans="1:41" s="103" customFormat="1" ht="19.899999999999999" customHeight="1" x14ac:dyDescent="0.25">
      <c r="A2149" s="51"/>
      <c r="B2149" s="52"/>
      <c r="C2149" s="165"/>
      <c r="D2149" s="52"/>
      <c r="E2149" s="115"/>
      <c r="F2149" s="58"/>
      <c r="G2149" s="58"/>
      <c r="H2149" s="58"/>
      <c r="I2149" s="55"/>
      <c r="J2149" s="113">
        <f>J2148</f>
        <v>45.588700000000017</v>
      </c>
      <c r="K2149" s="212">
        <f>K2148</f>
        <v>45.588700000000017</v>
      </c>
      <c r="L2149" s="58"/>
      <c r="M2149" s="58">
        <f>K2149-L2149</f>
        <v>45.588700000000017</v>
      </c>
      <c r="N2149" s="166"/>
      <c r="O2149" s="58"/>
      <c r="P2149" s="58"/>
      <c r="Q2149" s="58"/>
      <c r="R2149" s="58"/>
      <c r="S2149" s="58"/>
      <c r="T2149" s="220"/>
      <c r="U2149" s="88"/>
      <c r="V2149" s="56"/>
      <c r="W2149" s="57" t="s">
        <v>1086</v>
      </c>
      <c r="X2149" s="53"/>
      <c r="Y2149" s="91" t="s">
        <v>68</v>
      </c>
      <c r="Z2149" s="136">
        <f>AD2149/AC2149</f>
        <v>78.108423529411766</v>
      </c>
      <c r="AA2149" s="58"/>
      <c r="AB2149" s="53">
        <f>AD2149/AC2149</f>
        <v>78.108423529411766</v>
      </c>
      <c r="AC2149" s="53">
        <f>M2149+$AE$10</f>
        <v>45.588700000000017</v>
      </c>
      <c r="AD2149" s="54">
        <f>SUM(AD2150:AD2158)</f>
        <v>3560.8614877552955</v>
      </c>
      <c r="AE2149" s="184">
        <f>SUMIFS($AD$37:$AD$12971,$V$37:$V$12971,$V2149,$X$37:$X$12971,AE$13)</f>
        <v>0</v>
      </c>
      <c r="AF2149" s="185">
        <f>SUMIFS($AD$37:$AD$12971,$V$37:$V$12971,$V2149,$X$37:$X$12971,AF$13)</f>
        <v>0</v>
      </c>
      <c r="AG2149" s="185">
        <f>SUMIFS($AD$37:$AD$12971,$V$37:$V$12971,$V2149,$X$37:$X$12971,AG$13)</f>
        <v>0</v>
      </c>
      <c r="AH2149" s="187">
        <f>SUMIFS($AD$37:$AD$12971,$V$37:$V$12971,$V2149,$X$37:$X$12971,AH$13)</f>
        <v>0</v>
      </c>
      <c r="AI2149" s="161">
        <f t="shared" ref="AI2149" si="1626">SUM(AE2149:AH2149)</f>
        <v>0</v>
      </c>
      <c r="AK2149" s="172"/>
    </row>
    <row r="2150" spans="1:41" s="102" customFormat="1" ht="19.899999999999999" customHeight="1" x14ac:dyDescent="0.25">
      <c r="A2150" s="45"/>
      <c r="B2150" s="59"/>
      <c r="C2150" s="137"/>
      <c r="D2150" s="59"/>
      <c r="E2150" s="116"/>
      <c r="F2150" s="120"/>
      <c r="G2150" s="120"/>
      <c r="H2150" s="120"/>
      <c r="I2150" s="60"/>
      <c r="J2150" s="116"/>
      <c r="K2150" s="213"/>
      <c r="L2150" s="120"/>
      <c r="M2150" s="120"/>
      <c r="N2150" s="167"/>
      <c r="O2150" s="120"/>
      <c r="P2150" s="120"/>
      <c r="Q2150" s="120"/>
      <c r="R2150" s="120"/>
      <c r="S2150" s="120"/>
      <c r="T2150" s="221"/>
      <c r="U2150" s="89"/>
      <c r="V2150" s="61"/>
      <c r="W2150" s="92" t="s">
        <v>129</v>
      </c>
      <c r="X2150" s="93" t="s">
        <v>29</v>
      </c>
      <c r="Y2150" s="93" t="s">
        <v>93</v>
      </c>
      <c r="Z2150" s="134">
        <f>VLOOKUP(W2150,Sheet2!$B:$D,3,FALSE)</f>
        <v>56</v>
      </c>
      <c r="AA2150" s="93">
        <f>100/(1.5*2.5)</f>
        <v>26.666666666666668</v>
      </c>
      <c r="AB2150" s="93">
        <f t="shared" ref="AB2150" si="1627">AD2150/AC2149</f>
        <v>2.0999999999999996</v>
      </c>
      <c r="AC2150" s="93">
        <f>AC2149/AA2150</f>
        <v>1.7095762500000005</v>
      </c>
      <c r="AD2150" s="94">
        <f t="shared" ref="AD2150:AD2151" si="1628">AC2150*Z2150</f>
        <v>95.736270000000019</v>
      </c>
      <c r="AE2150" s="190"/>
      <c r="AF2150" s="191"/>
      <c r="AG2150" s="191"/>
      <c r="AH2150" s="191"/>
      <c r="AI2150" s="186"/>
      <c r="AK2150" s="171"/>
    </row>
    <row r="2151" spans="1:41" s="102" customFormat="1" ht="19.899999999999999" customHeight="1" x14ac:dyDescent="0.25">
      <c r="A2151" s="45"/>
      <c r="B2151" s="59"/>
      <c r="C2151" s="137"/>
      <c r="D2151" s="59"/>
      <c r="E2151" s="116"/>
      <c r="F2151" s="120"/>
      <c r="G2151" s="120"/>
      <c r="H2151" s="120"/>
      <c r="I2151" s="60"/>
      <c r="J2151" s="116"/>
      <c r="K2151" s="213"/>
      <c r="L2151" s="120"/>
      <c r="M2151" s="120"/>
      <c r="N2151" s="167"/>
      <c r="O2151" s="120"/>
      <c r="P2151" s="120"/>
      <c r="Q2151" s="120"/>
      <c r="R2151" s="120"/>
      <c r="S2151" s="120"/>
      <c r="T2151" s="221"/>
      <c r="U2151" s="89"/>
      <c r="V2151" s="61"/>
      <c r="W2151" s="92" t="s">
        <v>65</v>
      </c>
      <c r="X2151" s="93" t="s">
        <v>30</v>
      </c>
      <c r="Y2151" s="93" t="s">
        <v>1011</v>
      </c>
      <c r="Z2151" s="134">
        <f>VLOOKUP(W2151,Sheet2!$B:$D,3,FALSE)</f>
        <v>1.76</v>
      </c>
      <c r="AA2151" s="93">
        <f>AA2150/14</f>
        <v>1.9047619047619049</v>
      </c>
      <c r="AB2151" s="93">
        <f>AD2151/AC2149</f>
        <v>0.92400000000000004</v>
      </c>
      <c r="AC2151" s="93">
        <f>AC2149/AA2151</f>
        <v>23.934067500000008</v>
      </c>
      <c r="AD2151" s="94">
        <f t="shared" si="1628"/>
        <v>42.123958800000018</v>
      </c>
      <c r="AE2151" s="190"/>
      <c r="AF2151" s="191"/>
      <c r="AG2151" s="191"/>
      <c r="AH2151" s="191"/>
      <c r="AI2151" s="186"/>
      <c r="AK2151" s="171"/>
    </row>
    <row r="2152" spans="1:41" s="102" customFormat="1" ht="19.899999999999999" customHeight="1" x14ac:dyDescent="0.25">
      <c r="A2152" s="45"/>
      <c r="B2152" s="59"/>
      <c r="C2152" s="137"/>
      <c r="D2152" s="59"/>
      <c r="E2152" s="116"/>
      <c r="F2152" s="120"/>
      <c r="G2152" s="120"/>
      <c r="H2152" s="120"/>
      <c r="I2152" s="60"/>
      <c r="J2152" s="116"/>
      <c r="K2152" s="213"/>
      <c r="L2152" s="120"/>
      <c r="M2152" s="120"/>
      <c r="N2152" s="167"/>
      <c r="O2152" s="120"/>
      <c r="P2152" s="120"/>
      <c r="Q2152" s="120"/>
      <c r="R2152" s="120"/>
      <c r="S2152" s="120"/>
      <c r="T2152" s="221"/>
      <c r="U2152" s="89"/>
      <c r="V2152" s="61"/>
      <c r="W2152" s="92" t="s">
        <v>161</v>
      </c>
      <c r="X2152" s="93" t="s">
        <v>29</v>
      </c>
      <c r="Y2152" s="93" t="s">
        <v>93</v>
      </c>
      <c r="Z2152" s="134">
        <f>VLOOKUP(W2152,Sheet2!$B:$D,3,FALSE)</f>
        <v>48</v>
      </c>
      <c r="AA2152" s="93">
        <f>(16*0.85*1.5)/(1.5*2.5)</f>
        <v>5.4399999999999995</v>
      </c>
      <c r="AB2152" s="93">
        <f>AD2152/AC2149</f>
        <v>8.8235294117647083</v>
      </c>
      <c r="AC2152" s="93">
        <f>AC2149/AA2152</f>
        <v>8.3802757352941217</v>
      </c>
      <c r="AD2152" s="94">
        <f>AC2152*Z2152</f>
        <v>402.25323529411787</v>
      </c>
      <c r="AE2152" s="190"/>
      <c r="AF2152" s="191"/>
      <c r="AG2152" s="191"/>
      <c r="AH2152" s="191"/>
      <c r="AI2152" s="186"/>
      <c r="AK2152" s="171"/>
    </row>
    <row r="2153" spans="1:41" s="102" customFormat="1" ht="19.899999999999999" customHeight="1" x14ac:dyDescent="0.25">
      <c r="A2153" s="45"/>
      <c r="B2153" s="59"/>
      <c r="C2153" s="137"/>
      <c r="D2153" s="59"/>
      <c r="E2153" s="116"/>
      <c r="F2153" s="120"/>
      <c r="G2153" s="120"/>
      <c r="H2153" s="120"/>
      <c r="I2153" s="60"/>
      <c r="J2153" s="116"/>
      <c r="K2153" s="213"/>
      <c r="L2153" s="120"/>
      <c r="M2153" s="120"/>
      <c r="N2153" s="167"/>
      <c r="O2153" s="120"/>
      <c r="P2153" s="120"/>
      <c r="Q2153" s="120"/>
      <c r="R2153" s="120"/>
      <c r="S2153" s="120"/>
      <c r="T2153" s="221"/>
      <c r="U2153" s="89"/>
      <c r="V2153" s="61"/>
      <c r="W2153" s="92" t="s">
        <v>65</v>
      </c>
      <c r="X2153" s="93" t="s">
        <v>30</v>
      </c>
      <c r="Y2153" s="93" t="s">
        <v>1011</v>
      </c>
      <c r="Z2153" s="134">
        <f>VLOOKUP(W2153,Sheet2!$B:$D,3,FALSE)</f>
        <v>1.76</v>
      </c>
      <c r="AA2153" s="93">
        <f>AA2152/10</f>
        <v>0.54399999999999993</v>
      </c>
      <c r="AB2153" s="93">
        <f>AD2153/AC2149</f>
        <v>3.2352941176470593</v>
      </c>
      <c r="AC2153" s="93">
        <f>AC2149/AA2153</f>
        <v>83.802757352941214</v>
      </c>
      <c r="AD2153" s="94">
        <f>AC2153*Z2153</f>
        <v>147.49285294117655</v>
      </c>
      <c r="AE2153" s="190"/>
      <c r="AF2153" s="191"/>
      <c r="AG2153" s="191"/>
      <c r="AH2153" s="191"/>
      <c r="AI2153" s="186"/>
      <c r="AK2153" s="171"/>
    </row>
    <row r="2154" spans="1:41" s="102" customFormat="1" ht="19.899999999999999" customHeight="1" x14ac:dyDescent="0.25">
      <c r="A2154" s="45"/>
      <c r="B2154" s="59"/>
      <c r="C2154" s="137"/>
      <c r="D2154" s="59"/>
      <c r="E2154" s="116"/>
      <c r="F2154" s="120"/>
      <c r="G2154" s="120"/>
      <c r="H2154" s="120"/>
      <c r="I2154" s="60"/>
      <c r="J2154" s="116"/>
      <c r="K2154" s="213"/>
      <c r="L2154" s="120"/>
      <c r="M2154" s="120"/>
      <c r="N2154" s="167"/>
      <c r="O2154" s="120"/>
      <c r="P2154" s="120"/>
      <c r="Q2154" s="120"/>
      <c r="R2154" s="120"/>
      <c r="S2154" s="120"/>
      <c r="T2154" s="221"/>
      <c r="U2154" s="89"/>
      <c r="V2154" s="61"/>
      <c r="W2154" s="92" t="s">
        <v>1030</v>
      </c>
      <c r="X2154" s="93" t="s">
        <v>29</v>
      </c>
      <c r="Y2154" s="93" t="s">
        <v>93</v>
      </c>
      <c r="Z2154" s="134">
        <f>VLOOKUP(W2154,Sheet2!$B:$D,3,FALSE)</f>
        <v>23</v>
      </c>
      <c r="AA2154" s="93">
        <v>50</v>
      </c>
      <c r="AB2154" s="93">
        <f>AD2154/AC2149</f>
        <v>0.45999999999999996</v>
      </c>
      <c r="AC2154" s="93">
        <f>AC2149/AA2154</f>
        <v>0.91177400000000031</v>
      </c>
      <c r="AD2154" s="94">
        <f t="shared" ref="AD2154:AD2158" si="1629">AC2154*Z2154</f>
        <v>20.970802000000006</v>
      </c>
      <c r="AE2154" s="190"/>
      <c r="AF2154" s="191"/>
      <c r="AG2154" s="191"/>
      <c r="AH2154" s="191"/>
      <c r="AI2154" s="186"/>
      <c r="AK2154" s="171"/>
    </row>
    <row r="2155" spans="1:41" s="102" customFormat="1" ht="19.899999999999999" customHeight="1" x14ac:dyDescent="0.25">
      <c r="A2155" s="45"/>
      <c r="B2155" s="59"/>
      <c r="C2155" s="137"/>
      <c r="D2155" s="59"/>
      <c r="E2155" s="116"/>
      <c r="F2155" s="120"/>
      <c r="G2155" s="120"/>
      <c r="H2155" s="120"/>
      <c r="I2155" s="60"/>
      <c r="J2155" s="116"/>
      <c r="K2155" s="213"/>
      <c r="L2155" s="120"/>
      <c r="M2155" s="120"/>
      <c r="N2155" s="167"/>
      <c r="O2155" s="120"/>
      <c r="P2155" s="120"/>
      <c r="Q2155" s="120"/>
      <c r="R2155" s="120"/>
      <c r="S2155" s="120"/>
      <c r="T2155" s="221"/>
      <c r="U2155" s="89"/>
      <c r="V2155" s="61"/>
      <c r="W2155" s="92" t="s">
        <v>65</v>
      </c>
      <c r="X2155" s="93" t="s">
        <v>30</v>
      </c>
      <c r="Y2155" s="93" t="s">
        <v>1011</v>
      </c>
      <c r="Z2155" s="134">
        <f>VLOOKUP(W2155,Sheet2!$B:$D,3,FALSE)</f>
        <v>1.76</v>
      </c>
      <c r="AA2155" s="93">
        <f>AA2154/3</f>
        <v>16.666666666666668</v>
      </c>
      <c r="AB2155" s="93">
        <f>AD2155/AC2149</f>
        <v>0.1056</v>
      </c>
      <c r="AC2155" s="93">
        <f>AC2149/AA2155</f>
        <v>2.7353220000000009</v>
      </c>
      <c r="AD2155" s="94">
        <f t="shared" si="1629"/>
        <v>4.814166720000002</v>
      </c>
      <c r="AE2155" s="190"/>
      <c r="AF2155" s="191"/>
      <c r="AG2155" s="191"/>
      <c r="AH2155" s="191"/>
      <c r="AI2155" s="186"/>
      <c r="AK2155" s="171"/>
    </row>
    <row r="2156" spans="1:41" s="102" customFormat="1" ht="19.899999999999999" customHeight="1" x14ac:dyDescent="0.25">
      <c r="A2156" s="45"/>
      <c r="B2156" s="59"/>
      <c r="C2156" s="137"/>
      <c r="D2156" s="59"/>
      <c r="E2156" s="116"/>
      <c r="F2156" s="120"/>
      <c r="G2156" s="120"/>
      <c r="H2156" s="120"/>
      <c r="I2156" s="60"/>
      <c r="J2156" s="116"/>
      <c r="K2156" s="213"/>
      <c r="L2156" s="120"/>
      <c r="M2156" s="120"/>
      <c r="N2156" s="167"/>
      <c r="O2156" s="120"/>
      <c r="P2156" s="120"/>
      <c r="Q2156" s="120"/>
      <c r="R2156" s="120"/>
      <c r="S2156" s="120"/>
      <c r="T2156" s="221"/>
      <c r="U2156" s="89"/>
      <c r="V2156" s="61"/>
      <c r="W2156" s="92" t="s">
        <v>148</v>
      </c>
      <c r="X2156" s="93" t="s">
        <v>29</v>
      </c>
      <c r="Y2156" s="93" t="s">
        <v>93</v>
      </c>
      <c r="Z2156" s="134">
        <f>VLOOKUP(W2156,Sheet2!$B:$D,3,FALSE)</f>
        <v>48</v>
      </c>
      <c r="AA2156" s="93">
        <f>AA2150</f>
        <v>26.666666666666668</v>
      </c>
      <c r="AB2156" s="93">
        <f>AD2156/AC2149</f>
        <v>1.7999999999999998</v>
      </c>
      <c r="AC2156" s="93">
        <f>AC2149/AA2156</f>
        <v>1.7095762500000005</v>
      </c>
      <c r="AD2156" s="94">
        <f t="shared" si="1629"/>
        <v>82.059660000000022</v>
      </c>
      <c r="AE2156" s="190"/>
      <c r="AF2156" s="191"/>
      <c r="AG2156" s="191"/>
      <c r="AH2156" s="191"/>
      <c r="AI2156" s="186"/>
      <c r="AK2156" s="171"/>
    </row>
    <row r="2157" spans="1:41" s="102" customFormat="1" ht="19.899999999999999" customHeight="1" x14ac:dyDescent="0.25">
      <c r="A2157" s="45"/>
      <c r="B2157" s="59"/>
      <c r="C2157" s="137"/>
      <c r="D2157" s="59"/>
      <c r="E2157" s="116"/>
      <c r="F2157" s="120"/>
      <c r="G2157" s="120"/>
      <c r="H2157" s="120"/>
      <c r="I2157" s="60"/>
      <c r="J2157" s="116"/>
      <c r="K2157" s="213"/>
      <c r="L2157" s="120"/>
      <c r="M2157" s="120"/>
      <c r="N2157" s="167"/>
      <c r="O2157" s="120"/>
      <c r="P2157" s="120"/>
      <c r="Q2157" s="120"/>
      <c r="R2157" s="120"/>
      <c r="S2157" s="120"/>
      <c r="T2157" s="221"/>
      <c r="U2157" s="89"/>
      <c r="V2157" s="61"/>
      <c r="W2157" s="92" t="s">
        <v>65</v>
      </c>
      <c r="X2157" s="93" t="s">
        <v>30</v>
      </c>
      <c r="Y2157" s="93" t="s">
        <v>1011</v>
      </c>
      <c r="Z2157" s="134">
        <f>VLOOKUP(W2157,Sheet2!$B:$D,3,FALSE)</f>
        <v>1.76</v>
      </c>
      <c r="AA2157" s="93">
        <f>AA2156/10</f>
        <v>2.666666666666667</v>
      </c>
      <c r="AB2157" s="93">
        <f>AD2157/AC2149</f>
        <v>0.65999999999999981</v>
      </c>
      <c r="AC2157" s="93">
        <f>AC2149/AA2157</f>
        <v>17.095762500000003</v>
      </c>
      <c r="AD2157" s="94">
        <f t="shared" si="1629"/>
        <v>30.088542000000004</v>
      </c>
      <c r="AE2157" s="190"/>
      <c r="AF2157" s="191"/>
      <c r="AG2157" s="191"/>
      <c r="AH2157" s="191"/>
      <c r="AI2157" s="186"/>
      <c r="AK2157" s="171"/>
    </row>
    <row r="2158" spans="1:41" s="102" customFormat="1" ht="19.899999999999999" customHeight="1" x14ac:dyDescent="0.25">
      <c r="A2158" s="45"/>
      <c r="B2158" s="59"/>
      <c r="C2158" s="137"/>
      <c r="D2158" s="59"/>
      <c r="E2158" s="116"/>
      <c r="F2158" s="120"/>
      <c r="G2158" s="120"/>
      <c r="H2158" s="120"/>
      <c r="I2158" s="60"/>
      <c r="J2158" s="116"/>
      <c r="K2158" s="213"/>
      <c r="L2158" s="120"/>
      <c r="M2158" s="120"/>
      <c r="N2158" s="167"/>
      <c r="O2158" s="120"/>
      <c r="P2158" s="120"/>
      <c r="Q2158" s="120"/>
      <c r="R2158" s="120"/>
      <c r="S2158" s="120"/>
      <c r="T2158" s="221"/>
      <c r="U2158" s="89"/>
      <c r="V2158" s="61"/>
      <c r="W2158" s="92" t="s">
        <v>1049</v>
      </c>
      <c r="X2158" s="93" t="s">
        <v>30</v>
      </c>
      <c r="Y2158" s="93" t="s">
        <v>68</v>
      </c>
      <c r="Z2158" s="134">
        <f>VLOOKUP(W2158,Sheet2!$B:$D,3,FALSE)</f>
        <v>60</v>
      </c>
      <c r="AA2158" s="93">
        <v>1</v>
      </c>
      <c r="AB2158" s="93">
        <f>AD2158/AC2149</f>
        <v>60</v>
      </c>
      <c r="AC2158" s="93">
        <f>AC2149/AA2158</f>
        <v>45.588700000000017</v>
      </c>
      <c r="AD2158" s="94">
        <f t="shared" si="1629"/>
        <v>2735.322000000001</v>
      </c>
      <c r="AE2158" s="190"/>
      <c r="AF2158" s="191"/>
      <c r="AG2158" s="191"/>
      <c r="AH2158" s="191"/>
      <c r="AI2158" s="186"/>
      <c r="AK2158" s="171"/>
    </row>
    <row r="2159" spans="1:41" s="103" customFormat="1" ht="19.899999999999999" customHeight="1" x14ac:dyDescent="0.25">
      <c r="A2159" s="51"/>
      <c r="B2159" s="52"/>
      <c r="C2159" s="165"/>
      <c r="D2159" s="52"/>
      <c r="E2159" s="115"/>
      <c r="F2159" s="58"/>
      <c r="G2159" s="58"/>
      <c r="H2159" s="58"/>
      <c r="I2159" s="55"/>
      <c r="J2159" s="113">
        <f>J2148</f>
        <v>45.588700000000017</v>
      </c>
      <c r="K2159" s="212">
        <f>K2148</f>
        <v>45.588700000000017</v>
      </c>
      <c r="L2159" s="58"/>
      <c r="M2159" s="58">
        <f>K2159-L2159</f>
        <v>45.588700000000017</v>
      </c>
      <c r="N2159" s="166"/>
      <c r="O2159" s="58"/>
      <c r="P2159" s="58"/>
      <c r="Q2159" s="58"/>
      <c r="R2159" s="58"/>
      <c r="S2159" s="58"/>
      <c r="T2159" s="220"/>
      <c r="U2159" s="88"/>
      <c r="V2159" s="56"/>
      <c r="W2159" s="57" t="s">
        <v>1036</v>
      </c>
      <c r="X2159" s="53"/>
      <c r="Y2159" s="91" t="s">
        <v>68</v>
      </c>
      <c r="Z2159" s="136">
        <f>AD2159/AC2159</f>
        <v>460.58333333333343</v>
      </c>
      <c r="AA2159" s="58"/>
      <c r="AB2159" s="53">
        <f>AD2159/AC2159</f>
        <v>460.58333333333343</v>
      </c>
      <c r="AC2159" s="53">
        <f>M2159+$AE$10</f>
        <v>45.588700000000017</v>
      </c>
      <c r="AD2159" s="54">
        <f>SUM(AD2160:AD2164)</f>
        <v>20997.395408333345</v>
      </c>
      <c r="AE2159" s="184">
        <f>SUMIFS($AD$37:$AD$12971,$V$37:$V$12971,$V2159,$X$37:$X$12971,AE$13)</f>
        <v>0</v>
      </c>
      <c r="AF2159" s="185">
        <f>SUMIFS($AD$37:$AD$12971,$V$37:$V$12971,$V2159,$X$37:$X$12971,AF$13)</f>
        <v>0</v>
      </c>
      <c r="AG2159" s="185">
        <f>SUMIFS($AD$37:$AD$12971,$V$37:$V$12971,$V2159,$X$37:$X$12971,AG$13)</f>
        <v>0</v>
      </c>
      <c r="AH2159" s="187">
        <f>SUMIFS($AD$37:$AD$12971,$V$37:$V$12971,$V2159,$X$37:$X$12971,AH$13)</f>
        <v>0</v>
      </c>
      <c r="AI2159" s="161">
        <f t="shared" ref="AI2159" si="1630">SUM(AE2159:AH2159)</f>
        <v>0</v>
      </c>
      <c r="AK2159" s="172"/>
    </row>
    <row r="2160" spans="1:41" s="102" customFormat="1" ht="19.899999999999999" customHeight="1" x14ac:dyDescent="0.25">
      <c r="A2160" s="45"/>
      <c r="B2160" s="59"/>
      <c r="C2160" s="137"/>
      <c r="D2160" s="59"/>
      <c r="E2160" s="116"/>
      <c r="F2160" s="120"/>
      <c r="G2160" s="120"/>
      <c r="H2160" s="120"/>
      <c r="I2160" s="60"/>
      <c r="J2160" s="116"/>
      <c r="K2160" s="213"/>
      <c r="L2160" s="120"/>
      <c r="M2160" s="120"/>
      <c r="N2160" s="167"/>
      <c r="O2160" s="120"/>
      <c r="P2160" s="120"/>
      <c r="Q2160" s="120"/>
      <c r="R2160" s="120"/>
      <c r="S2160" s="120"/>
      <c r="T2160" s="221"/>
      <c r="U2160" s="89"/>
      <c r="V2160" s="61"/>
      <c r="W2160" s="92" t="s">
        <v>1255</v>
      </c>
      <c r="X2160" s="93" t="s">
        <v>30</v>
      </c>
      <c r="Y2160" s="93" t="s">
        <v>68</v>
      </c>
      <c r="Z2160" s="134">
        <f>VLOOKUP(W2160,Sheet2!$B:$D,3,FALSE)</f>
        <v>345</v>
      </c>
      <c r="AA2160" s="93">
        <v>1</v>
      </c>
      <c r="AB2160" s="93">
        <f>AD2160/AC2159</f>
        <v>345</v>
      </c>
      <c r="AC2160" s="93">
        <f>AC2159/AA2160</f>
        <v>45.588700000000017</v>
      </c>
      <c r="AD2160" s="94">
        <f t="shared" ref="AD2160" si="1631">AC2160*Z2160</f>
        <v>15728.101500000006</v>
      </c>
      <c r="AE2160" s="190"/>
      <c r="AF2160" s="191"/>
      <c r="AG2160" s="191"/>
      <c r="AH2160" s="191"/>
      <c r="AI2160" s="186"/>
      <c r="AK2160" s="171"/>
    </row>
    <row r="2161" spans="1:41" s="102" customFormat="1" ht="19.899999999999999" customHeight="1" x14ac:dyDescent="0.25">
      <c r="A2161" s="45"/>
      <c r="B2161" s="59"/>
      <c r="C2161" s="137"/>
      <c r="D2161" s="59"/>
      <c r="E2161" s="116"/>
      <c r="F2161" s="120"/>
      <c r="G2161" s="120"/>
      <c r="H2161" s="120"/>
      <c r="I2161" s="60"/>
      <c r="J2161" s="116"/>
      <c r="K2161" s="213"/>
      <c r="L2161" s="120"/>
      <c r="M2161" s="120"/>
      <c r="N2161" s="167"/>
      <c r="O2161" s="120"/>
      <c r="P2161" s="120"/>
      <c r="Q2161" s="120"/>
      <c r="R2161" s="120"/>
      <c r="S2161" s="120"/>
      <c r="T2161" s="221"/>
      <c r="U2161" s="89"/>
      <c r="V2161" s="61"/>
      <c r="W2161" s="92" t="s">
        <v>1256</v>
      </c>
      <c r="X2161" s="93" t="s">
        <v>32</v>
      </c>
      <c r="Y2161" s="93" t="s">
        <v>68</v>
      </c>
      <c r="Z2161" s="134">
        <f>VLOOKUP(W2161,Sheet2!$B:$D,3,FALSE)</f>
        <v>55</v>
      </c>
      <c r="AA2161" s="93">
        <v>1</v>
      </c>
      <c r="AB2161" s="93">
        <f>AD2161/AC2159</f>
        <v>54.999999999999993</v>
      </c>
      <c r="AC2161" s="93">
        <f>AC2159/AA2161</f>
        <v>45.588700000000017</v>
      </c>
      <c r="AD2161" s="94">
        <f>AC2161*Z2161</f>
        <v>2507.3785000000007</v>
      </c>
      <c r="AE2161" s="190"/>
      <c r="AF2161" s="191"/>
      <c r="AG2161" s="191"/>
      <c r="AH2161" s="191"/>
      <c r="AI2161" s="186"/>
      <c r="AK2161" s="171"/>
    </row>
    <row r="2162" spans="1:41" s="102" customFormat="1" ht="19.899999999999999" customHeight="1" x14ac:dyDescent="0.25">
      <c r="A2162" s="45"/>
      <c r="B2162" s="59"/>
      <c r="C2162" s="137"/>
      <c r="D2162" s="59"/>
      <c r="E2162" s="116"/>
      <c r="F2162" s="120"/>
      <c r="G2162" s="120"/>
      <c r="H2162" s="120"/>
      <c r="I2162" s="60"/>
      <c r="J2162" s="116"/>
      <c r="K2162" s="213"/>
      <c r="L2162" s="120"/>
      <c r="M2162" s="120"/>
      <c r="N2162" s="167"/>
      <c r="O2162" s="120"/>
      <c r="P2162" s="120"/>
      <c r="Q2162" s="120"/>
      <c r="R2162" s="120"/>
      <c r="S2162" s="120"/>
      <c r="T2162" s="221"/>
      <c r="U2162" s="89"/>
      <c r="V2162" s="61"/>
      <c r="W2162" s="92" t="s">
        <v>1032</v>
      </c>
      <c r="X2162" s="93" t="s">
        <v>30</v>
      </c>
      <c r="Y2162" s="93" t="s">
        <v>66</v>
      </c>
      <c r="Z2162" s="134">
        <f>VLOOKUP(W2162,Sheet2!$B:$D,3,FALSE)</f>
        <v>250</v>
      </c>
      <c r="AA2162" s="93">
        <f>1/(1.5*0.1)</f>
        <v>6.6666666666666661</v>
      </c>
      <c r="AB2162" s="93">
        <f>AD2162/AC2159</f>
        <v>37.5</v>
      </c>
      <c r="AC2162" s="93">
        <f>AC2159/AA2162</f>
        <v>6.8383050000000027</v>
      </c>
      <c r="AD2162" s="94">
        <f>AC2162*Z2162</f>
        <v>1709.5762500000008</v>
      </c>
      <c r="AE2162" s="190"/>
      <c r="AF2162" s="191"/>
      <c r="AG2162" s="191"/>
      <c r="AH2162" s="191"/>
      <c r="AI2162" s="186"/>
      <c r="AK2162" s="171"/>
    </row>
    <row r="2163" spans="1:41" s="102" customFormat="1" ht="19.899999999999999" customHeight="1" x14ac:dyDescent="0.25">
      <c r="A2163" s="45"/>
      <c r="B2163" s="59"/>
      <c r="C2163" s="137"/>
      <c r="D2163" s="59"/>
      <c r="E2163" s="116"/>
      <c r="F2163" s="120"/>
      <c r="G2163" s="120"/>
      <c r="H2163" s="120"/>
      <c r="I2163" s="60"/>
      <c r="J2163" s="116"/>
      <c r="K2163" s="213"/>
      <c r="L2163" s="120"/>
      <c r="M2163" s="120"/>
      <c r="N2163" s="167"/>
      <c r="O2163" s="120"/>
      <c r="P2163" s="120"/>
      <c r="Q2163" s="120"/>
      <c r="R2163" s="120"/>
      <c r="S2163" s="120"/>
      <c r="T2163" s="221"/>
      <c r="U2163" s="89"/>
      <c r="V2163" s="61"/>
      <c r="W2163" s="92" t="s">
        <v>1035</v>
      </c>
      <c r="X2163" s="93" t="s">
        <v>32</v>
      </c>
      <c r="Y2163" s="93" t="s">
        <v>66</v>
      </c>
      <c r="Z2163" s="134">
        <f>VLOOKUP(W2163,Sheet2!$B:$D,3,FALSE)</f>
        <v>150</v>
      </c>
      <c r="AA2163" s="93">
        <f>AA2162</f>
        <v>6.6666666666666661</v>
      </c>
      <c r="AB2163" s="93">
        <f>AD2163/AC2159</f>
        <v>22.500000000000004</v>
      </c>
      <c r="AC2163" s="93">
        <f>AC2159/AA2163</f>
        <v>6.8383050000000027</v>
      </c>
      <c r="AD2163" s="94">
        <f t="shared" ref="AD2163:AD2164" si="1632">AC2163*Z2163</f>
        <v>1025.7457500000005</v>
      </c>
      <c r="AE2163" s="190"/>
      <c r="AF2163" s="191"/>
      <c r="AG2163" s="191"/>
      <c r="AH2163" s="191"/>
      <c r="AI2163" s="186"/>
      <c r="AK2163" s="171"/>
    </row>
    <row r="2164" spans="1:41" s="102" customFormat="1" ht="19.899999999999999" customHeight="1" x14ac:dyDescent="0.25">
      <c r="A2164" s="45"/>
      <c r="B2164" s="59"/>
      <c r="C2164" s="137"/>
      <c r="D2164" s="59"/>
      <c r="E2164" s="116"/>
      <c r="F2164" s="120"/>
      <c r="G2164" s="120"/>
      <c r="H2164" s="120"/>
      <c r="I2164" s="60"/>
      <c r="J2164" s="116"/>
      <c r="K2164" s="213"/>
      <c r="L2164" s="120"/>
      <c r="M2164" s="120"/>
      <c r="N2164" s="167"/>
      <c r="O2164" s="120"/>
      <c r="P2164" s="120"/>
      <c r="Q2164" s="120"/>
      <c r="R2164" s="120"/>
      <c r="S2164" s="120"/>
      <c r="T2164" s="221"/>
      <c r="U2164" s="89"/>
      <c r="V2164" s="61"/>
      <c r="W2164" s="92" t="s">
        <v>1037</v>
      </c>
      <c r="X2164" s="93" t="s">
        <v>30</v>
      </c>
      <c r="Y2164" s="93" t="s">
        <v>1038</v>
      </c>
      <c r="Z2164" s="134">
        <f>VLOOKUP(W2164,Sheet2!$B:$D,3,FALSE)</f>
        <v>175</v>
      </c>
      <c r="AA2164" s="93">
        <v>300</v>
      </c>
      <c r="AB2164" s="93">
        <f>AD2164/AC2159</f>
        <v>0.58333333333333337</v>
      </c>
      <c r="AC2164" s="93">
        <f>AC2159/AA2164</f>
        <v>0.15196233333333339</v>
      </c>
      <c r="AD2164" s="94">
        <f t="shared" si="1632"/>
        <v>26.593408333333343</v>
      </c>
      <c r="AE2164" s="190"/>
      <c r="AF2164" s="191"/>
      <c r="AG2164" s="191"/>
      <c r="AH2164" s="191"/>
      <c r="AI2164" s="186"/>
      <c r="AK2164" s="171"/>
    </row>
    <row r="2165" spans="1:41" s="103" customFormat="1" ht="19.899999999999999" customHeight="1" x14ac:dyDescent="0.25">
      <c r="A2165" s="51"/>
      <c r="B2165" s="52"/>
      <c r="C2165" s="165"/>
      <c r="D2165" s="52"/>
      <c r="E2165" s="115"/>
      <c r="F2165" s="58"/>
      <c r="G2165" s="58"/>
      <c r="H2165" s="58"/>
      <c r="I2165" s="55"/>
      <c r="J2165" s="113">
        <f>J2148</f>
        <v>45.588700000000017</v>
      </c>
      <c r="K2165" s="212">
        <f>K2148</f>
        <v>45.588700000000017</v>
      </c>
      <c r="L2165" s="58"/>
      <c r="M2165" s="58">
        <f>K2165-L2165</f>
        <v>45.588700000000017</v>
      </c>
      <c r="N2165" s="166"/>
      <c r="O2165" s="58"/>
      <c r="P2165" s="58"/>
      <c r="Q2165" s="58"/>
      <c r="R2165" s="58"/>
      <c r="S2165" s="58"/>
      <c r="T2165" s="220"/>
      <c r="U2165" s="88"/>
      <c r="V2165" s="56"/>
      <c r="W2165" s="57" t="s">
        <v>1040</v>
      </c>
      <c r="X2165" s="53"/>
      <c r="Y2165" s="91" t="s">
        <v>68</v>
      </c>
      <c r="Z2165" s="136">
        <f>AD2165/AC2165</f>
        <v>5</v>
      </c>
      <c r="AA2165" s="58"/>
      <c r="AB2165" s="53">
        <f>AD2165/AC2165</f>
        <v>5</v>
      </c>
      <c r="AC2165" s="53">
        <f>M2165+$AE$10</f>
        <v>45.588700000000017</v>
      </c>
      <c r="AD2165" s="54">
        <f>SUM(AD2166)</f>
        <v>227.94350000000009</v>
      </c>
      <c r="AE2165" s="184">
        <f>SUMIFS($AD$37:$AD$12971,$V$37:$V$12971,$V2165,$X$37:$X$12971,AE$13)</f>
        <v>0</v>
      </c>
      <c r="AF2165" s="185">
        <f>SUMIFS($AD$37:$AD$12971,$V$37:$V$12971,$V2165,$X$37:$X$12971,AF$13)</f>
        <v>0</v>
      </c>
      <c r="AG2165" s="185">
        <f>SUMIFS($AD$37:$AD$12971,$V$37:$V$12971,$V2165,$X$37:$X$12971,AG$13)</f>
        <v>0</v>
      </c>
      <c r="AH2165" s="187">
        <f>SUMIFS($AD$37:$AD$12971,$V$37:$V$12971,$V2165,$X$37:$X$12971,AH$13)</f>
        <v>0</v>
      </c>
      <c r="AI2165" s="161">
        <f t="shared" ref="AI2165" si="1633">SUM(AE2165:AH2165)</f>
        <v>0</v>
      </c>
      <c r="AK2165" s="172"/>
    </row>
    <row r="2166" spans="1:41" s="102" customFormat="1" ht="19.899999999999999" customHeight="1" x14ac:dyDescent="0.25">
      <c r="A2166" s="45"/>
      <c r="B2166" s="59"/>
      <c r="C2166" s="137"/>
      <c r="D2166" s="59"/>
      <c r="E2166" s="116"/>
      <c r="F2166" s="120"/>
      <c r="G2166" s="120"/>
      <c r="H2166" s="120"/>
      <c r="I2166" s="60"/>
      <c r="J2166" s="116"/>
      <c r="K2166" s="213"/>
      <c r="L2166" s="120"/>
      <c r="M2166" s="120"/>
      <c r="N2166" s="167"/>
      <c r="O2166" s="120"/>
      <c r="P2166" s="120"/>
      <c r="Q2166" s="120"/>
      <c r="R2166" s="120"/>
      <c r="S2166" s="120"/>
      <c r="T2166" s="221"/>
      <c r="U2166" s="89"/>
      <c r="V2166" s="61"/>
      <c r="W2166" s="92" t="s">
        <v>1039</v>
      </c>
      <c r="X2166" s="93" t="s">
        <v>32</v>
      </c>
      <c r="Y2166" s="93" t="s">
        <v>68</v>
      </c>
      <c r="Z2166" s="134">
        <f>VLOOKUP(W2166,Sheet2!$B:$D,3,FALSE)</f>
        <v>5</v>
      </c>
      <c r="AA2166" s="93">
        <v>1</v>
      </c>
      <c r="AB2166" s="93">
        <f>AD2166/AC2165</f>
        <v>5</v>
      </c>
      <c r="AC2166" s="93">
        <f>AC2165/AA2166</f>
        <v>45.588700000000017</v>
      </c>
      <c r="AD2166" s="94">
        <f t="shared" ref="AD2166" si="1634">AC2166*Z2166</f>
        <v>227.94350000000009</v>
      </c>
      <c r="AE2166" s="190"/>
      <c r="AF2166" s="191"/>
      <c r="AG2166" s="191"/>
      <c r="AH2166" s="191"/>
      <c r="AI2166" s="186"/>
      <c r="AK2166" s="171"/>
    </row>
    <row r="2167" spans="1:41" ht="20.100000000000001" customHeight="1" x14ac:dyDescent="0.25">
      <c r="A2167" s="277" t="s">
        <v>410</v>
      </c>
      <c r="B2167" s="278"/>
      <c r="C2167" s="64" t="s">
        <v>1005</v>
      </c>
      <c r="D2167" s="46" t="s">
        <v>97</v>
      </c>
      <c r="E2167" s="114">
        <v>8.3817000000000021</v>
      </c>
      <c r="F2167" s="44">
        <v>1465</v>
      </c>
      <c r="G2167" s="44">
        <f t="shared" ref="G2167:G2188" si="1635">F2167*E2167</f>
        <v>12279.190500000002</v>
      </c>
      <c r="H2167" s="44">
        <f t="shared" ref="H2167:H2188" si="1636">AB2167</f>
        <v>554.2174509803923</v>
      </c>
      <c r="I2167" s="43">
        <f t="shared" ref="I2167:I2188" si="1637">H2167*E2167</f>
        <v>4645.2844088823549</v>
      </c>
      <c r="J2167" s="112">
        <f t="shared" ref="J2167:J2188" si="1638">E2167</f>
        <v>8.3817000000000021</v>
      </c>
      <c r="K2167" s="211">
        <f t="shared" ref="K2167:K2188" si="1639">J2167</f>
        <v>8.3817000000000021</v>
      </c>
      <c r="L2167" s="44"/>
      <c r="M2167" s="44">
        <f t="shared" ref="M2167:M2188" si="1640">K2167-L2167</f>
        <v>8.3817000000000021</v>
      </c>
      <c r="N2167" s="173">
        <f t="shared" ref="N2167:N2188" si="1641">IFERROR(M2167/K2167,0)</f>
        <v>1</v>
      </c>
      <c r="O2167" s="44">
        <f t="shared" ref="O2167:O2188" si="1642">F2167</f>
        <v>1465</v>
      </c>
      <c r="P2167" s="44">
        <f t="shared" ref="P2167:P2188" si="1643">K2167*O2167</f>
        <v>12279.190500000002</v>
      </c>
      <c r="Q2167" s="44">
        <f t="shared" ref="Q2167:Q2188" si="1644">AB2167</f>
        <v>554.2174509803923</v>
      </c>
      <c r="R2167" s="44">
        <f t="shared" ref="R2167:R2188" si="1645">M2167*Q2167</f>
        <v>4645.2844088823549</v>
      </c>
      <c r="S2167" s="123"/>
      <c r="T2167" s="219">
        <f t="shared" ref="T2167:T2188" si="1646">S2167+R2167</f>
        <v>4645.2844088823549</v>
      </c>
      <c r="U2167" s="87"/>
      <c r="V2167" s="47"/>
      <c r="W2167" s="48"/>
      <c r="X2167" s="48"/>
      <c r="Y2167" s="48"/>
      <c r="Z2167" s="135"/>
      <c r="AA2167" s="49"/>
      <c r="AB2167" s="50">
        <f t="shared" ref="AB2167:AB2188" si="1647">AD2167/AC2167</f>
        <v>554.2174509803923</v>
      </c>
      <c r="AC2167" s="42">
        <f t="shared" ref="AC2167:AC2188" si="1648">M2167+$AE$10</f>
        <v>8.3817000000000021</v>
      </c>
      <c r="AD2167" s="90">
        <f>AD2168+AD2178+AD2184</f>
        <v>4645.2844088823549</v>
      </c>
      <c r="AE2167" s="188">
        <f t="shared" ref="AE2167" si="1649">AE2168+AE2178+AE2184</f>
        <v>0</v>
      </c>
      <c r="AF2167" s="189">
        <f t="shared" ref="AF2167" si="1650">AF2168+AF2178+AF2184</f>
        <v>0</v>
      </c>
      <c r="AG2167" s="189">
        <f t="shared" ref="AG2167" si="1651">AG2168+AG2178+AG2184</f>
        <v>0</v>
      </c>
      <c r="AH2167" s="189">
        <f t="shared" ref="AH2167" si="1652">AH2168+AH2178+AH2184</f>
        <v>0</v>
      </c>
      <c r="AI2167" s="161">
        <f t="shared" ref="AI2167" si="1653">SUM(AE2167:AH2167)</f>
        <v>0</v>
      </c>
      <c r="AK2167" s="169">
        <v>5</v>
      </c>
      <c r="AO2167" s="19" t="s">
        <v>63</v>
      </c>
    </row>
    <row r="2168" spans="1:41" s="103" customFormat="1" ht="19.899999999999999" customHeight="1" x14ac:dyDescent="0.25">
      <c r="A2168" s="51"/>
      <c r="B2168" s="52"/>
      <c r="C2168" s="165"/>
      <c r="D2168" s="52"/>
      <c r="E2168" s="115"/>
      <c r="F2168" s="58"/>
      <c r="G2168" s="58"/>
      <c r="H2168" s="58"/>
      <c r="I2168" s="55"/>
      <c r="J2168" s="113">
        <f>J2167</f>
        <v>8.3817000000000021</v>
      </c>
      <c r="K2168" s="212">
        <f>K2167</f>
        <v>8.3817000000000021</v>
      </c>
      <c r="L2168" s="58"/>
      <c r="M2168" s="58">
        <f>K2168-L2168</f>
        <v>8.3817000000000021</v>
      </c>
      <c r="N2168" s="166"/>
      <c r="O2168" s="58"/>
      <c r="P2168" s="58"/>
      <c r="Q2168" s="58"/>
      <c r="R2168" s="58"/>
      <c r="S2168" s="58"/>
      <c r="T2168" s="220"/>
      <c r="U2168" s="88"/>
      <c r="V2168" s="56"/>
      <c r="W2168" s="57" t="s">
        <v>1087</v>
      </c>
      <c r="X2168" s="53"/>
      <c r="Y2168" s="91" t="s">
        <v>68</v>
      </c>
      <c r="Z2168" s="136">
        <f>AD2168/AC2168</f>
        <v>88.634117647058815</v>
      </c>
      <c r="AA2168" s="58"/>
      <c r="AB2168" s="53">
        <f>AD2168/AC2168</f>
        <v>88.634117647058815</v>
      </c>
      <c r="AC2168" s="53">
        <f>M2168+$AE$10</f>
        <v>8.3817000000000021</v>
      </c>
      <c r="AD2168" s="54">
        <f>SUM(AD2169:AD2177)</f>
        <v>742.90458388235311</v>
      </c>
      <c r="AE2168" s="184">
        <f>SUMIFS($AD$37:$AD$12971,$V$37:$V$12971,$V2168,$X$37:$X$12971,AE$13)</f>
        <v>0</v>
      </c>
      <c r="AF2168" s="185">
        <f>SUMIFS($AD$37:$AD$12971,$V$37:$V$12971,$V2168,$X$37:$X$12971,AF$13)</f>
        <v>0</v>
      </c>
      <c r="AG2168" s="185">
        <f>SUMIFS($AD$37:$AD$12971,$V$37:$V$12971,$V2168,$X$37:$X$12971,AG$13)</f>
        <v>0</v>
      </c>
      <c r="AH2168" s="187">
        <f>SUMIFS($AD$37:$AD$12971,$V$37:$V$12971,$V2168,$X$37:$X$12971,AH$13)</f>
        <v>0</v>
      </c>
      <c r="AI2168" s="161">
        <f t="shared" ref="AI2168" si="1654">SUM(AE2168:AH2168)</f>
        <v>0</v>
      </c>
      <c r="AK2168" s="172"/>
    </row>
    <row r="2169" spans="1:41" s="102" customFormat="1" ht="19.899999999999999" customHeight="1" x14ac:dyDescent="0.25">
      <c r="A2169" s="45"/>
      <c r="B2169" s="59"/>
      <c r="C2169" s="137"/>
      <c r="D2169" s="59"/>
      <c r="E2169" s="116"/>
      <c r="F2169" s="120"/>
      <c r="G2169" s="120"/>
      <c r="H2169" s="120"/>
      <c r="I2169" s="60"/>
      <c r="J2169" s="116"/>
      <c r="K2169" s="213"/>
      <c r="L2169" s="120"/>
      <c r="M2169" s="120"/>
      <c r="N2169" s="167"/>
      <c r="O2169" s="120"/>
      <c r="P2169" s="120"/>
      <c r="Q2169" s="120"/>
      <c r="R2169" s="120"/>
      <c r="S2169" s="120"/>
      <c r="T2169" s="221"/>
      <c r="U2169" s="89"/>
      <c r="V2169" s="61"/>
      <c r="W2169" s="92" t="s">
        <v>129</v>
      </c>
      <c r="X2169" s="93" t="s">
        <v>29</v>
      </c>
      <c r="Y2169" s="93" t="s">
        <v>93</v>
      </c>
      <c r="Z2169" s="134">
        <f>VLOOKUP(W2169,Sheet2!$B:$D,3,FALSE)</f>
        <v>56</v>
      </c>
      <c r="AA2169" s="93">
        <f>100/(1.5*4)</f>
        <v>16.666666666666668</v>
      </c>
      <c r="AB2169" s="93">
        <f t="shared" ref="AB2169" si="1655">AD2169/AC2168</f>
        <v>3.3599999999999994</v>
      </c>
      <c r="AC2169" s="93">
        <f>AC2168/AA2169</f>
        <v>0.50290200000000007</v>
      </c>
      <c r="AD2169" s="94">
        <f t="shared" ref="AD2169:AD2170" si="1656">AC2169*Z2169</f>
        <v>28.162512000000003</v>
      </c>
      <c r="AE2169" s="190"/>
      <c r="AF2169" s="191"/>
      <c r="AG2169" s="191"/>
      <c r="AH2169" s="191"/>
      <c r="AI2169" s="186"/>
      <c r="AK2169" s="171"/>
    </row>
    <row r="2170" spans="1:41" s="102" customFormat="1" ht="19.899999999999999" customHeight="1" x14ac:dyDescent="0.25">
      <c r="A2170" s="45"/>
      <c r="B2170" s="59"/>
      <c r="C2170" s="137"/>
      <c r="D2170" s="59"/>
      <c r="E2170" s="116"/>
      <c r="F2170" s="120"/>
      <c r="G2170" s="120"/>
      <c r="H2170" s="120"/>
      <c r="I2170" s="60"/>
      <c r="J2170" s="116"/>
      <c r="K2170" s="213"/>
      <c r="L2170" s="120"/>
      <c r="M2170" s="120"/>
      <c r="N2170" s="167"/>
      <c r="O2170" s="120"/>
      <c r="P2170" s="120"/>
      <c r="Q2170" s="120"/>
      <c r="R2170" s="120"/>
      <c r="S2170" s="120"/>
      <c r="T2170" s="221"/>
      <c r="U2170" s="89"/>
      <c r="V2170" s="61"/>
      <c r="W2170" s="92" t="s">
        <v>65</v>
      </c>
      <c r="X2170" s="93" t="s">
        <v>30</v>
      </c>
      <c r="Y2170" s="93" t="s">
        <v>1011</v>
      </c>
      <c r="Z2170" s="134">
        <f>VLOOKUP(W2170,Sheet2!$B:$D,3,FALSE)</f>
        <v>1.76</v>
      </c>
      <c r="AA2170" s="93">
        <f>AA2169/14</f>
        <v>1.1904761904761905</v>
      </c>
      <c r="AB2170" s="93">
        <f>AD2170/AC2168</f>
        <v>1.4783999999999999</v>
      </c>
      <c r="AC2170" s="93">
        <f>AC2168/AA2170</f>
        <v>7.0406280000000017</v>
      </c>
      <c r="AD2170" s="94">
        <f t="shared" si="1656"/>
        <v>12.391505280000002</v>
      </c>
      <c r="AE2170" s="190"/>
      <c r="AF2170" s="191"/>
      <c r="AG2170" s="191"/>
      <c r="AH2170" s="191"/>
      <c r="AI2170" s="186"/>
      <c r="AK2170" s="171"/>
    </row>
    <row r="2171" spans="1:41" s="102" customFormat="1" ht="19.899999999999999" customHeight="1" x14ac:dyDescent="0.25">
      <c r="A2171" s="45"/>
      <c r="B2171" s="59"/>
      <c r="C2171" s="137"/>
      <c r="D2171" s="59"/>
      <c r="E2171" s="116"/>
      <c r="F2171" s="120"/>
      <c r="G2171" s="120"/>
      <c r="H2171" s="120"/>
      <c r="I2171" s="60"/>
      <c r="J2171" s="116"/>
      <c r="K2171" s="213"/>
      <c r="L2171" s="120"/>
      <c r="M2171" s="120"/>
      <c r="N2171" s="167"/>
      <c r="O2171" s="120"/>
      <c r="P2171" s="120"/>
      <c r="Q2171" s="120"/>
      <c r="R2171" s="120"/>
      <c r="S2171" s="120"/>
      <c r="T2171" s="221"/>
      <c r="U2171" s="89"/>
      <c r="V2171" s="61"/>
      <c r="W2171" s="92" t="s">
        <v>161</v>
      </c>
      <c r="X2171" s="93" t="s">
        <v>29</v>
      </c>
      <c r="Y2171" s="93" t="s">
        <v>93</v>
      </c>
      <c r="Z2171" s="134">
        <f>VLOOKUP(W2171,Sheet2!$B:$D,3,FALSE)</f>
        <v>48</v>
      </c>
      <c r="AA2171" s="93">
        <f>(16*0.85*1.5)/(1.5*4)</f>
        <v>3.4</v>
      </c>
      <c r="AB2171" s="93">
        <f>AD2171/AC2168</f>
        <v>14.117647058823531</v>
      </c>
      <c r="AC2171" s="93">
        <f>AC2168/AA2171</f>
        <v>2.4652058823529419</v>
      </c>
      <c r="AD2171" s="94">
        <f>AC2171*Z2171</f>
        <v>118.32988235294121</v>
      </c>
      <c r="AE2171" s="190"/>
      <c r="AF2171" s="191"/>
      <c r="AG2171" s="191"/>
      <c r="AH2171" s="191"/>
      <c r="AI2171" s="186"/>
      <c r="AK2171" s="171"/>
    </row>
    <row r="2172" spans="1:41" s="102" customFormat="1" ht="19.899999999999999" customHeight="1" x14ac:dyDescent="0.25">
      <c r="A2172" s="45"/>
      <c r="B2172" s="59"/>
      <c r="C2172" s="137"/>
      <c r="D2172" s="59"/>
      <c r="E2172" s="116"/>
      <c r="F2172" s="120"/>
      <c r="G2172" s="120"/>
      <c r="H2172" s="120"/>
      <c r="I2172" s="60"/>
      <c r="J2172" s="116"/>
      <c r="K2172" s="213"/>
      <c r="L2172" s="120"/>
      <c r="M2172" s="120"/>
      <c r="N2172" s="167"/>
      <c r="O2172" s="120"/>
      <c r="P2172" s="120"/>
      <c r="Q2172" s="120"/>
      <c r="R2172" s="120"/>
      <c r="S2172" s="120"/>
      <c r="T2172" s="221"/>
      <c r="U2172" s="89"/>
      <c r="V2172" s="61"/>
      <c r="W2172" s="92" t="s">
        <v>65</v>
      </c>
      <c r="X2172" s="93" t="s">
        <v>30</v>
      </c>
      <c r="Y2172" s="93" t="s">
        <v>1011</v>
      </c>
      <c r="Z2172" s="134">
        <f>VLOOKUP(W2172,Sheet2!$B:$D,3,FALSE)</f>
        <v>1.76</v>
      </c>
      <c r="AA2172" s="93">
        <f>AA2171/10</f>
        <v>0.33999999999999997</v>
      </c>
      <c r="AB2172" s="93">
        <f>AD2172/AC2168</f>
        <v>5.1764705882352944</v>
      </c>
      <c r="AC2172" s="93">
        <f>AC2168/AA2172</f>
        <v>24.652058823529419</v>
      </c>
      <c r="AD2172" s="94">
        <f>AC2172*Z2172</f>
        <v>43.387623529411776</v>
      </c>
      <c r="AE2172" s="190"/>
      <c r="AF2172" s="191"/>
      <c r="AG2172" s="191"/>
      <c r="AH2172" s="191"/>
      <c r="AI2172" s="186"/>
      <c r="AK2172" s="171"/>
    </row>
    <row r="2173" spans="1:41" s="102" customFormat="1" ht="19.899999999999999" customHeight="1" x14ac:dyDescent="0.25">
      <c r="A2173" s="45"/>
      <c r="B2173" s="59"/>
      <c r="C2173" s="137"/>
      <c r="D2173" s="59"/>
      <c r="E2173" s="116"/>
      <c r="F2173" s="120"/>
      <c r="G2173" s="120"/>
      <c r="H2173" s="120"/>
      <c r="I2173" s="60"/>
      <c r="J2173" s="116"/>
      <c r="K2173" s="213"/>
      <c r="L2173" s="120"/>
      <c r="M2173" s="120"/>
      <c r="N2173" s="167"/>
      <c r="O2173" s="120"/>
      <c r="P2173" s="120"/>
      <c r="Q2173" s="120"/>
      <c r="R2173" s="120"/>
      <c r="S2173" s="120"/>
      <c r="T2173" s="221"/>
      <c r="U2173" s="89"/>
      <c r="V2173" s="61"/>
      <c r="W2173" s="92" t="s">
        <v>1030</v>
      </c>
      <c r="X2173" s="93" t="s">
        <v>29</v>
      </c>
      <c r="Y2173" s="93" t="s">
        <v>93</v>
      </c>
      <c r="Z2173" s="134">
        <f>VLOOKUP(W2173,Sheet2!$B:$D,3,FALSE)</f>
        <v>23</v>
      </c>
      <c r="AA2173" s="93">
        <v>50</v>
      </c>
      <c r="AB2173" s="93">
        <f>AD2173/AC2168</f>
        <v>0.46</v>
      </c>
      <c r="AC2173" s="93">
        <f>AC2168/AA2173</f>
        <v>0.16763400000000003</v>
      </c>
      <c r="AD2173" s="94">
        <f t="shared" ref="AD2173:AD2177" si="1657">AC2173*Z2173</f>
        <v>3.855582000000001</v>
      </c>
      <c r="AE2173" s="190"/>
      <c r="AF2173" s="191"/>
      <c r="AG2173" s="191"/>
      <c r="AH2173" s="191"/>
      <c r="AI2173" s="186"/>
      <c r="AK2173" s="171"/>
    </row>
    <row r="2174" spans="1:41" s="102" customFormat="1" ht="19.899999999999999" customHeight="1" x14ac:dyDescent="0.25">
      <c r="A2174" s="45"/>
      <c r="B2174" s="59"/>
      <c r="C2174" s="137"/>
      <c r="D2174" s="59"/>
      <c r="E2174" s="116"/>
      <c r="F2174" s="120"/>
      <c r="G2174" s="120"/>
      <c r="H2174" s="120"/>
      <c r="I2174" s="60"/>
      <c r="J2174" s="116"/>
      <c r="K2174" s="213"/>
      <c r="L2174" s="120"/>
      <c r="M2174" s="120"/>
      <c r="N2174" s="167"/>
      <c r="O2174" s="120"/>
      <c r="P2174" s="120"/>
      <c r="Q2174" s="120"/>
      <c r="R2174" s="120"/>
      <c r="S2174" s="120"/>
      <c r="T2174" s="221"/>
      <c r="U2174" s="89"/>
      <c r="V2174" s="61"/>
      <c r="W2174" s="92" t="s">
        <v>65</v>
      </c>
      <c r="X2174" s="93" t="s">
        <v>30</v>
      </c>
      <c r="Y2174" s="93" t="s">
        <v>1011</v>
      </c>
      <c r="Z2174" s="134">
        <f>VLOOKUP(W2174,Sheet2!$B:$D,3,FALSE)</f>
        <v>1.76</v>
      </c>
      <c r="AA2174" s="93">
        <f>AA2173/3</f>
        <v>16.666666666666668</v>
      </c>
      <c r="AB2174" s="93">
        <f>AD2174/AC2168</f>
        <v>0.10559999999999999</v>
      </c>
      <c r="AC2174" s="93">
        <f>AC2168/AA2174</f>
        <v>0.50290200000000007</v>
      </c>
      <c r="AD2174" s="94">
        <f t="shared" si="1657"/>
        <v>0.88510752000000015</v>
      </c>
      <c r="AE2174" s="190"/>
      <c r="AF2174" s="191"/>
      <c r="AG2174" s="191"/>
      <c r="AH2174" s="191"/>
      <c r="AI2174" s="186"/>
      <c r="AK2174" s="171"/>
    </row>
    <row r="2175" spans="1:41" s="102" customFormat="1" ht="19.899999999999999" customHeight="1" x14ac:dyDescent="0.25">
      <c r="A2175" s="45"/>
      <c r="B2175" s="59"/>
      <c r="C2175" s="137"/>
      <c r="D2175" s="59"/>
      <c r="E2175" s="116"/>
      <c r="F2175" s="120"/>
      <c r="G2175" s="120"/>
      <c r="H2175" s="120"/>
      <c r="I2175" s="60"/>
      <c r="J2175" s="116"/>
      <c r="K2175" s="213"/>
      <c r="L2175" s="120"/>
      <c r="M2175" s="120"/>
      <c r="N2175" s="167"/>
      <c r="O2175" s="120"/>
      <c r="P2175" s="120"/>
      <c r="Q2175" s="120"/>
      <c r="R2175" s="120"/>
      <c r="S2175" s="120"/>
      <c r="T2175" s="221"/>
      <c r="U2175" s="89"/>
      <c r="V2175" s="61"/>
      <c r="W2175" s="92" t="s">
        <v>148</v>
      </c>
      <c r="X2175" s="93" t="s">
        <v>29</v>
      </c>
      <c r="Y2175" s="93" t="s">
        <v>93</v>
      </c>
      <c r="Z2175" s="134">
        <f>VLOOKUP(W2175,Sheet2!$B:$D,3,FALSE)</f>
        <v>48</v>
      </c>
      <c r="AA2175" s="93">
        <f>AA2169</f>
        <v>16.666666666666668</v>
      </c>
      <c r="AB2175" s="93">
        <f>AD2175/AC2168</f>
        <v>2.8799999999999994</v>
      </c>
      <c r="AC2175" s="93">
        <f>AC2168/AA2175</f>
        <v>0.50290200000000007</v>
      </c>
      <c r="AD2175" s="94">
        <f t="shared" si="1657"/>
        <v>24.139296000000002</v>
      </c>
      <c r="AE2175" s="190"/>
      <c r="AF2175" s="191"/>
      <c r="AG2175" s="191"/>
      <c r="AH2175" s="191"/>
      <c r="AI2175" s="186"/>
      <c r="AK2175" s="171"/>
    </row>
    <row r="2176" spans="1:41" s="102" customFormat="1" ht="19.899999999999999" customHeight="1" x14ac:dyDescent="0.25">
      <c r="A2176" s="45"/>
      <c r="B2176" s="59"/>
      <c r="C2176" s="137"/>
      <c r="D2176" s="59"/>
      <c r="E2176" s="116"/>
      <c r="F2176" s="120"/>
      <c r="G2176" s="120"/>
      <c r="H2176" s="120"/>
      <c r="I2176" s="60"/>
      <c r="J2176" s="116"/>
      <c r="K2176" s="213"/>
      <c r="L2176" s="120"/>
      <c r="M2176" s="120"/>
      <c r="N2176" s="167"/>
      <c r="O2176" s="120"/>
      <c r="P2176" s="120"/>
      <c r="Q2176" s="120"/>
      <c r="R2176" s="120"/>
      <c r="S2176" s="120"/>
      <c r="T2176" s="221"/>
      <c r="U2176" s="89"/>
      <c r="V2176" s="61"/>
      <c r="W2176" s="92" t="s">
        <v>65</v>
      </c>
      <c r="X2176" s="93" t="s">
        <v>30</v>
      </c>
      <c r="Y2176" s="93" t="s">
        <v>1011</v>
      </c>
      <c r="Z2176" s="134">
        <f>VLOOKUP(W2176,Sheet2!$B:$D,3,FALSE)</f>
        <v>1.76</v>
      </c>
      <c r="AA2176" s="93">
        <f>AA2175/10</f>
        <v>1.6666666666666667</v>
      </c>
      <c r="AB2176" s="93">
        <f>AD2176/AC2168</f>
        <v>1.056</v>
      </c>
      <c r="AC2176" s="93">
        <f>AC2168/AA2176</f>
        <v>5.0290200000000009</v>
      </c>
      <c r="AD2176" s="94">
        <f t="shared" si="1657"/>
        <v>8.8510752000000021</v>
      </c>
      <c r="AE2176" s="190"/>
      <c r="AF2176" s="191"/>
      <c r="AG2176" s="191"/>
      <c r="AH2176" s="191"/>
      <c r="AI2176" s="186"/>
      <c r="AK2176" s="171"/>
    </row>
    <row r="2177" spans="1:41" s="102" customFormat="1" ht="19.899999999999999" customHeight="1" x14ac:dyDescent="0.25">
      <c r="A2177" s="45"/>
      <c r="B2177" s="59"/>
      <c r="C2177" s="137"/>
      <c r="D2177" s="59"/>
      <c r="E2177" s="116"/>
      <c r="F2177" s="120"/>
      <c r="G2177" s="120"/>
      <c r="H2177" s="120"/>
      <c r="I2177" s="60"/>
      <c r="J2177" s="116"/>
      <c r="K2177" s="213"/>
      <c r="L2177" s="120"/>
      <c r="M2177" s="120"/>
      <c r="N2177" s="167"/>
      <c r="O2177" s="120"/>
      <c r="P2177" s="120"/>
      <c r="Q2177" s="120"/>
      <c r="R2177" s="120"/>
      <c r="S2177" s="120"/>
      <c r="T2177" s="221"/>
      <c r="U2177" s="89"/>
      <c r="V2177" s="61"/>
      <c r="W2177" s="92" t="s">
        <v>1049</v>
      </c>
      <c r="X2177" s="93" t="s">
        <v>30</v>
      </c>
      <c r="Y2177" s="93" t="s">
        <v>68</v>
      </c>
      <c r="Z2177" s="134">
        <f>VLOOKUP(W2177,Sheet2!$B:$D,3,FALSE)</f>
        <v>60</v>
      </c>
      <c r="AA2177" s="93">
        <v>1</v>
      </c>
      <c r="AB2177" s="93">
        <f>AD2177/AC2168</f>
        <v>60</v>
      </c>
      <c r="AC2177" s="93">
        <f>AC2168/AA2177</f>
        <v>8.3817000000000021</v>
      </c>
      <c r="AD2177" s="94">
        <f t="shared" si="1657"/>
        <v>502.90200000000016</v>
      </c>
      <c r="AE2177" s="190"/>
      <c r="AF2177" s="191"/>
      <c r="AG2177" s="191"/>
      <c r="AH2177" s="191"/>
      <c r="AI2177" s="186"/>
      <c r="AK2177" s="171"/>
    </row>
    <row r="2178" spans="1:41" s="103" customFormat="1" ht="19.899999999999999" customHeight="1" x14ac:dyDescent="0.25">
      <c r="A2178" s="51"/>
      <c r="B2178" s="52"/>
      <c r="C2178" s="165"/>
      <c r="D2178" s="52"/>
      <c r="E2178" s="115"/>
      <c r="F2178" s="58"/>
      <c r="G2178" s="58"/>
      <c r="H2178" s="58"/>
      <c r="I2178" s="55"/>
      <c r="J2178" s="113">
        <f>J2167</f>
        <v>8.3817000000000021</v>
      </c>
      <c r="K2178" s="212">
        <f>K2167</f>
        <v>8.3817000000000021</v>
      </c>
      <c r="L2178" s="58"/>
      <c r="M2178" s="58">
        <f>K2178-L2178</f>
        <v>8.3817000000000021</v>
      </c>
      <c r="N2178" s="166"/>
      <c r="O2178" s="58"/>
      <c r="P2178" s="58"/>
      <c r="Q2178" s="58"/>
      <c r="R2178" s="58"/>
      <c r="S2178" s="58"/>
      <c r="T2178" s="220"/>
      <c r="U2178" s="88"/>
      <c r="V2178" s="56"/>
      <c r="W2178" s="57" t="s">
        <v>1036</v>
      </c>
      <c r="X2178" s="53"/>
      <c r="Y2178" s="91" t="s">
        <v>68</v>
      </c>
      <c r="Z2178" s="136">
        <f>AD2178/AC2178</f>
        <v>460.58333333333337</v>
      </c>
      <c r="AA2178" s="58"/>
      <c r="AB2178" s="53">
        <f>AD2178/AC2178</f>
        <v>460.58333333333337</v>
      </c>
      <c r="AC2178" s="53">
        <f>M2178+$AE$10</f>
        <v>8.3817000000000021</v>
      </c>
      <c r="AD2178" s="54">
        <f>SUM(AD2179:AD2183)</f>
        <v>3860.4713250000013</v>
      </c>
      <c r="AE2178" s="184">
        <f>SUMIFS($AD$37:$AD$12971,$V$37:$V$12971,$V2178,$X$37:$X$12971,AE$13)</f>
        <v>0</v>
      </c>
      <c r="AF2178" s="185">
        <f>SUMIFS($AD$37:$AD$12971,$V$37:$V$12971,$V2178,$X$37:$X$12971,AF$13)</f>
        <v>0</v>
      </c>
      <c r="AG2178" s="185">
        <f>SUMIFS($AD$37:$AD$12971,$V$37:$V$12971,$V2178,$X$37:$X$12971,AG$13)</f>
        <v>0</v>
      </c>
      <c r="AH2178" s="187">
        <f>SUMIFS($AD$37:$AD$12971,$V$37:$V$12971,$V2178,$X$37:$X$12971,AH$13)</f>
        <v>0</v>
      </c>
      <c r="AI2178" s="161">
        <f t="shared" ref="AI2178" si="1658">SUM(AE2178:AH2178)</f>
        <v>0</v>
      </c>
      <c r="AK2178" s="172"/>
    </row>
    <row r="2179" spans="1:41" s="102" customFormat="1" ht="19.899999999999999" customHeight="1" x14ac:dyDescent="0.25">
      <c r="A2179" s="45"/>
      <c r="B2179" s="59"/>
      <c r="C2179" s="137"/>
      <c r="D2179" s="59"/>
      <c r="E2179" s="116"/>
      <c r="F2179" s="120"/>
      <c r="G2179" s="120"/>
      <c r="H2179" s="120"/>
      <c r="I2179" s="60"/>
      <c r="J2179" s="116"/>
      <c r="K2179" s="213"/>
      <c r="L2179" s="120"/>
      <c r="M2179" s="120"/>
      <c r="N2179" s="167"/>
      <c r="O2179" s="120"/>
      <c r="P2179" s="120"/>
      <c r="Q2179" s="120"/>
      <c r="R2179" s="120"/>
      <c r="S2179" s="120"/>
      <c r="T2179" s="221"/>
      <c r="U2179" s="89"/>
      <c r="V2179" s="61"/>
      <c r="W2179" s="92" t="s">
        <v>1255</v>
      </c>
      <c r="X2179" s="93" t="s">
        <v>30</v>
      </c>
      <c r="Y2179" s="93" t="s">
        <v>68</v>
      </c>
      <c r="Z2179" s="134">
        <f>VLOOKUP(W2179,Sheet2!$B:$D,3,FALSE)</f>
        <v>345</v>
      </c>
      <c r="AA2179" s="93">
        <v>1</v>
      </c>
      <c r="AB2179" s="93">
        <f>AD2179/AC2178</f>
        <v>345</v>
      </c>
      <c r="AC2179" s="93">
        <f>AC2178/AA2179</f>
        <v>8.3817000000000021</v>
      </c>
      <c r="AD2179" s="94">
        <f t="shared" ref="AD2179" si="1659">AC2179*Z2179</f>
        <v>2891.6865000000007</v>
      </c>
      <c r="AE2179" s="190"/>
      <c r="AF2179" s="191"/>
      <c r="AG2179" s="191"/>
      <c r="AH2179" s="191"/>
      <c r="AI2179" s="186"/>
      <c r="AK2179" s="171"/>
    </row>
    <row r="2180" spans="1:41" s="102" customFormat="1" ht="19.899999999999999" customHeight="1" x14ac:dyDescent="0.25">
      <c r="A2180" s="45"/>
      <c r="B2180" s="59"/>
      <c r="C2180" s="137"/>
      <c r="D2180" s="59"/>
      <c r="E2180" s="116"/>
      <c r="F2180" s="120"/>
      <c r="G2180" s="120"/>
      <c r="H2180" s="120"/>
      <c r="I2180" s="60"/>
      <c r="J2180" s="116"/>
      <c r="K2180" s="213"/>
      <c r="L2180" s="120"/>
      <c r="M2180" s="120"/>
      <c r="N2180" s="167"/>
      <c r="O2180" s="120"/>
      <c r="P2180" s="120"/>
      <c r="Q2180" s="120"/>
      <c r="R2180" s="120"/>
      <c r="S2180" s="120"/>
      <c r="T2180" s="221"/>
      <c r="U2180" s="89"/>
      <c r="V2180" s="61"/>
      <c r="W2180" s="92" t="s">
        <v>1256</v>
      </c>
      <c r="X2180" s="93" t="s">
        <v>32</v>
      </c>
      <c r="Y2180" s="93" t="s">
        <v>68</v>
      </c>
      <c r="Z2180" s="134">
        <f>VLOOKUP(W2180,Sheet2!$B:$D,3,FALSE)</f>
        <v>55</v>
      </c>
      <c r="AA2180" s="93">
        <v>1</v>
      </c>
      <c r="AB2180" s="93">
        <f>AD2180/AC2178</f>
        <v>55</v>
      </c>
      <c r="AC2180" s="93">
        <f>AC2178/AA2180</f>
        <v>8.3817000000000021</v>
      </c>
      <c r="AD2180" s="94">
        <f>AC2180*Z2180</f>
        <v>460.9935000000001</v>
      </c>
      <c r="AE2180" s="190"/>
      <c r="AF2180" s="191"/>
      <c r="AG2180" s="191"/>
      <c r="AH2180" s="191"/>
      <c r="AI2180" s="186"/>
      <c r="AK2180" s="171"/>
    </row>
    <row r="2181" spans="1:41" s="102" customFormat="1" ht="19.899999999999999" customHeight="1" x14ac:dyDescent="0.25">
      <c r="A2181" s="45"/>
      <c r="B2181" s="59"/>
      <c r="C2181" s="137"/>
      <c r="D2181" s="59"/>
      <c r="E2181" s="116"/>
      <c r="F2181" s="120"/>
      <c r="G2181" s="120"/>
      <c r="H2181" s="120"/>
      <c r="I2181" s="60"/>
      <c r="J2181" s="116"/>
      <c r="K2181" s="213"/>
      <c r="L2181" s="120"/>
      <c r="M2181" s="120"/>
      <c r="N2181" s="167"/>
      <c r="O2181" s="120"/>
      <c r="P2181" s="120"/>
      <c r="Q2181" s="120"/>
      <c r="R2181" s="120"/>
      <c r="S2181" s="120"/>
      <c r="T2181" s="221"/>
      <c r="U2181" s="89"/>
      <c r="V2181" s="61"/>
      <c r="W2181" s="92" t="s">
        <v>1032</v>
      </c>
      <c r="X2181" s="93" t="s">
        <v>30</v>
      </c>
      <c r="Y2181" s="93" t="s">
        <v>66</v>
      </c>
      <c r="Z2181" s="134">
        <f>VLOOKUP(W2181,Sheet2!$B:$D,3,FALSE)</f>
        <v>250</v>
      </c>
      <c r="AA2181" s="93">
        <f>1/(1.5*0.1)</f>
        <v>6.6666666666666661</v>
      </c>
      <c r="AB2181" s="93">
        <f>AD2181/AC2178</f>
        <v>37.500000000000007</v>
      </c>
      <c r="AC2181" s="93">
        <f>AC2178/AA2181</f>
        <v>1.2572550000000005</v>
      </c>
      <c r="AD2181" s="94">
        <f>AC2181*Z2181</f>
        <v>314.31375000000014</v>
      </c>
      <c r="AE2181" s="190"/>
      <c r="AF2181" s="191"/>
      <c r="AG2181" s="191"/>
      <c r="AH2181" s="191"/>
      <c r="AI2181" s="186"/>
      <c r="AK2181" s="171"/>
    </row>
    <row r="2182" spans="1:41" s="102" customFormat="1" ht="19.899999999999999" customHeight="1" x14ac:dyDescent="0.25">
      <c r="A2182" s="45"/>
      <c r="B2182" s="59"/>
      <c r="C2182" s="137"/>
      <c r="D2182" s="59"/>
      <c r="E2182" s="116"/>
      <c r="F2182" s="120"/>
      <c r="G2182" s="120"/>
      <c r="H2182" s="120"/>
      <c r="I2182" s="60"/>
      <c r="J2182" s="116"/>
      <c r="K2182" s="213"/>
      <c r="L2182" s="120"/>
      <c r="M2182" s="120"/>
      <c r="N2182" s="167"/>
      <c r="O2182" s="120"/>
      <c r="P2182" s="120"/>
      <c r="Q2182" s="120"/>
      <c r="R2182" s="120"/>
      <c r="S2182" s="120"/>
      <c r="T2182" s="221"/>
      <c r="U2182" s="89"/>
      <c r="V2182" s="61"/>
      <c r="W2182" s="92" t="s">
        <v>1035</v>
      </c>
      <c r="X2182" s="93" t="s">
        <v>32</v>
      </c>
      <c r="Y2182" s="93" t="s">
        <v>66</v>
      </c>
      <c r="Z2182" s="134">
        <f>VLOOKUP(W2182,Sheet2!$B:$D,3,FALSE)</f>
        <v>150</v>
      </c>
      <c r="AA2182" s="93">
        <f>AA2181</f>
        <v>6.6666666666666661</v>
      </c>
      <c r="AB2182" s="93">
        <f>AD2182/AC2178</f>
        <v>22.500000000000004</v>
      </c>
      <c r="AC2182" s="93">
        <f>AC2178/AA2182</f>
        <v>1.2572550000000005</v>
      </c>
      <c r="AD2182" s="94">
        <f t="shared" ref="AD2182:AD2183" si="1660">AC2182*Z2182</f>
        <v>188.58825000000007</v>
      </c>
      <c r="AE2182" s="190"/>
      <c r="AF2182" s="191"/>
      <c r="AG2182" s="191"/>
      <c r="AH2182" s="191"/>
      <c r="AI2182" s="186"/>
      <c r="AK2182" s="171"/>
    </row>
    <row r="2183" spans="1:41" s="102" customFormat="1" ht="19.899999999999999" customHeight="1" x14ac:dyDescent="0.25">
      <c r="A2183" s="45"/>
      <c r="B2183" s="59"/>
      <c r="C2183" s="137"/>
      <c r="D2183" s="59"/>
      <c r="E2183" s="116"/>
      <c r="F2183" s="120"/>
      <c r="G2183" s="120"/>
      <c r="H2183" s="120"/>
      <c r="I2183" s="60"/>
      <c r="J2183" s="116"/>
      <c r="K2183" s="213"/>
      <c r="L2183" s="120"/>
      <c r="M2183" s="120"/>
      <c r="N2183" s="167"/>
      <c r="O2183" s="120"/>
      <c r="P2183" s="120"/>
      <c r="Q2183" s="120"/>
      <c r="R2183" s="120"/>
      <c r="S2183" s="120"/>
      <c r="T2183" s="221"/>
      <c r="U2183" s="89"/>
      <c r="V2183" s="61"/>
      <c r="W2183" s="92" t="s">
        <v>1037</v>
      </c>
      <c r="X2183" s="93" t="s">
        <v>30</v>
      </c>
      <c r="Y2183" s="93" t="s">
        <v>1038</v>
      </c>
      <c r="Z2183" s="134">
        <f>VLOOKUP(W2183,Sheet2!$B:$D,3,FALSE)</f>
        <v>175</v>
      </c>
      <c r="AA2183" s="93">
        <v>300</v>
      </c>
      <c r="AB2183" s="93">
        <f>AD2183/AC2178</f>
        <v>0.58333333333333337</v>
      </c>
      <c r="AC2183" s="93">
        <f>AC2178/AA2183</f>
        <v>2.7939000000000005E-2</v>
      </c>
      <c r="AD2183" s="94">
        <f t="shared" si="1660"/>
        <v>4.8893250000000013</v>
      </c>
      <c r="AE2183" s="190"/>
      <c r="AF2183" s="191"/>
      <c r="AG2183" s="191"/>
      <c r="AH2183" s="191"/>
      <c r="AI2183" s="186"/>
      <c r="AK2183" s="171"/>
    </row>
    <row r="2184" spans="1:41" s="103" customFormat="1" ht="19.899999999999999" customHeight="1" x14ac:dyDescent="0.25">
      <c r="A2184" s="51"/>
      <c r="B2184" s="52"/>
      <c r="C2184" s="165"/>
      <c r="D2184" s="52"/>
      <c r="E2184" s="115"/>
      <c r="F2184" s="58"/>
      <c r="G2184" s="58"/>
      <c r="H2184" s="58"/>
      <c r="I2184" s="55"/>
      <c r="J2184" s="113">
        <f>J2167</f>
        <v>8.3817000000000021</v>
      </c>
      <c r="K2184" s="212">
        <f>K2167</f>
        <v>8.3817000000000021</v>
      </c>
      <c r="L2184" s="58"/>
      <c r="M2184" s="58">
        <f>K2184-L2184</f>
        <v>8.3817000000000021</v>
      </c>
      <c r="N2184" s="166"/>
      <c r="O2184" s="58"/>
      <c r="P2184" s="58"/>
      <c r="Q2184" s="58"/>
      <c r="R2184" s="58"/>
      <c r="S2184" s="58"/>
      <c r="T2184" s="220"/>
      <c r="U2184" s="88"/>
      <c r="V2184" s="56"/>
      <c r="W2184" s="57" t="s">
        <v>1040</v>
      </c>
      <c r="X2184" s="53"/>
      <c r="Y2184" s="91" t="s">
        <v>68</v>
      </c>
      <c r="Z2184" s="136">
        <f>AD2184/AC2184</f>
        <v>5</v>
      </c>
      <c r="AA2184" s="58"/>
      <c r="AB2184" s="53">
        <f>AD2184/AC2184</f>
        <v>5</v>
      </c>
      <c r="AC2184" s="53">
        <f>M2184+$AE$10</f>
        <v>8.3817000000000021</v>
      </c>
      <c r="AD2184" s="54">
        <f>SUM(AD2185)</f>
        <v>41.908500000000011</v>
      </c>
      <c r="AE2184" s="184">
        <f>SUMIFS($AD$37:$AD$12971,$V$37:$V$12971,$V2184,$X$37:$X$12971,AE$13)</f>
        <v>0</v>
      </c>
      <c r="AF2184" s="185">
        <f>SUMIFS($AD$37:$AD$12971,$V$37:$V$12971,$V2184,$X$37:$X$12971,AF$13)</f>
        <v>0</v>
      </c>
      <c r="AG2184" s="185">
        <f>SUMIFS($AD$37:$AD$12971,$V$37:$V$12971,$V2184,$X$37:$X$12971,AG$13)</f>
        <v>0</v>
      </c>
      <c r="AH2184" s="187">
        <f>SUMIFS($AD$37:$AD$12971,$V$37:$V$12971,$V2184,$X$37:$X$12971,AH$13)</f>
        <v>0</v>
      </c>
      <c r="AI2184" s="161">
        <f t="shared" ref="AI2184" si="1661">SUM(AE2184:AH2184)</f>
        <v>0</v>
      </c>
      <c r="AK2184" s="172"/>
    </row>
    <row r="2185" spans="1:41" s="102" customFormat="1" ht="19.899999999999999" customHeight="1" x14ac:dyDescent="0.25">
      <c r="A2185" s="45"/>
      <c r="B2185" s="59"/>
      <c r="C2185" s="137"/>
      <c r="D2185" s="59"/>
      <c r="E2185" s="116"/>
      <c r="F2185" s="120"/>
      <c r="G2185" s="120"/>
      <c r="H2185" s="120"/>
      <c r="I2185" s="60"/>
      <c r="J2185" s="116"/>
      <c r="K2185" s="213"/>
      <c r="L2185" s="120"/>
      <c r="M2185" s="120"/>
      <c r="N2185" s="167"/>
      <c r="O2185" s="120"/>
      <c r="P2185" s="120"/>
      <c r="Q2185" s="120"/>
      <c r="R2185" s="120"/>
      <c r="S2185" s="120"/>
      <c r="T2185" s="221"/>
      <c r="U2185" s="89"/>
      <c r="V2185" s="61"/>
      <c r="W2185" s="92" t="s">
        <v>1039</v>
      </c>
      <c r="X2185" s="93" t="s">
        <v>32</v>
      </c>
      <c r="Y2185" s="93" t="s">
        <v>68</v>
      </c>
      <c r="Z2185" s="134">
        <f>VLOOKUP(W2185,Sheet2!$B:$D,3,FALSE)</f>
        <v>5</v>
      </c>
      <c r="AA2185" s="93">
        <v>1</v>
      </c>
      <c r="AB2185" s="93">
        <f>AD2185/AC2184</f>
        <v>5</v>
      </c>
      <c r="AC2185" s="93">
        <f>AC2184/AA2185</f>
        <v>8.3817000000000021</v>
      </c>
      <c r="AD2185" s="94">
        <f t="shared" ref="AD2185" si="1662">AC2185*Z2185</f>
        <v>41.908500000000011</v>
      </c>
      <c r="AE2185" s="190"/>
      <c r="AF2185" s="191"/>
      <c r="AG2185" s="191"/>
      <c r="AH2185" s="191"/>
      <c r="AI2185" s="186"/>
      <c r="AK2185" s="171"/>
    </row>
    <row r="2186" spans="1:41" ht="20.100000000000001" customHeight="1" x14ac:dyDescent="0.25">
      <c r="A2186" s="277" t="s">
        <v>410</v>
      </c>
      <c r="B2186" s="278"/>
      <c r="C2186" s="64" t="s">
        <v>1006</v>
      </c>
      <c r="D2186" s="46" t="s">
        <v>97</v>
      </c>
      <c r="E2186" s="114"/>
      <c r="F2186" s="44">
        <v>0</v>
      </c>
      <c r="G2186" s="44">
        <f t="shared" si="1635"/>
        <v>0</v>
      </c>
      <c r="H2186" s="44">
        <f t="shared" si="1636"/>
        <v>0</v>
      </c>
      <c r="I2186" s="43">
        <f t="shared" si="1637"/>
        <v>0</v>
      </c>
      <c r="J2186" s="112">
        <f t="shared" si="1638"/>
        <v>0</v>
      </c>
      <c r="K2186" s="211">
        <f t="shared" si="1639"/>
        <v>0</v>
      </c>
      <c r="L2186" s="44"/>
      <c r="M2186" s="44">
        <f t="shared" si="1640"/>
        <v>0</v>
      </c>
      <c r="N2186" s="173">
        <f t="shared" si="1641"/>
        <v>0</v>
      </c>
      <c r="O2186" s="44">
        <f t="shared" si="1642"/>
        <v>0</v>
      </c>
      <c r="P2186" s="44">
        <f t="shared" si="1643"/>
        <v>0</v>
      </c>
      <c r="Q2186" s="44">
        <f t="shared" si="1644"/>
        <v>0</v>
      </c>
      <c r="R2186" s="44">
        <f t="shared" si="1645"/>
        <v>0</v>
      </c>
      <c r="S2186" s="123"/>
      <c r="T2186" s="219">
        <f t="shared" si="1646"/>
        <v>0</v>
      </c>
      <c r="U2186" s="87"/>
      <c r="V2186" s="47"/>
      <c r="W2186" s="48"/>
      <c r="X2186" s="48"/>
      <c r="Y2186" s="48"/>
      <c r="Z2186" s="135"/>
      <c r="AA2186" s="49"/>
      <c r="AB2186" s="50">
        <f t="shared" si="1647"/>
        <v>0</v>
      </c>
      <c r="AC2186" s="42">
        <f t="shared" si="1648"/>
        <v>9.9999999999999998E-20</v>
      </c>
      <c r="AD2186" s="90"/>
      <c r="AE2186" s="188"/>
      <c r="AF2186" s="189"/>
      <c r="AG2186" s="189"/>
      <c r="AH2186" s="189"/>
      <c r="AI2186" s="161"/>
    </row>
    <row r="2187" spans="1:41" ht="20.100000000000001" customHeight="1" x14ac:dyDescent="0.25">
      <c r="A2187" s="277" t="s">
        <v>410</v>
      </c>
      <c r="B2187" s="278"/>
      <c r="C2187" s="64" t="s">
        <v>1007</v>
      </c>
      <c r="D2187" s="46" t="s">
        <v>97</v>
      </c>
      <c r="E2187" s="114"/>
      <c r="F2187" s="44">
        <v>0</v>
      </c>
      <c r="G2187" s="44">
        <f t="shared" si="1635"/>
        <v>0</v>
      </c>
      <c r="H2187" s="44">
        <f t="shared" si="1636"/>
        <v>0</v>
      </c>
      <c r="I2187" s="43">
        <f t="shared" si="1637"/>
        <v>0</v>
      </c>
      <c r="J2187" s="112">
        <f t="shared" si="1638"/>
        <v>0</v>
      </c>
      <c r="K2187" s="211">
        <f t="shared" si="1639"/>
        <v>0</v>
      </c>
      <c r="L2187" s="44"/>
      <c r="M2187" s="44">
        <f t="shared" si="1640"/>
        <v>0</v>
      </c>
      <c r="N2187" s="173">
        <f t="shared" si="1641"/>
        <v>0</v>
      </c>
      <c r="O2187" s="44">
        <f t="shared" si="1642"/>
        <v>0</v>
      </c>
      <c r="P2187" s="44">
        <f t="shared" si="1643"/>
        <v>0</v>
      </c>
      <c r="Q2187" s="44">
        <f t="shared" si="1644"/>
        <v>0</v>
      </c>
      <c r="R2187" s="44">
        <f t="shared" si="1645"/>
        <v>0</v>
      </c>
      <c r="S2187" s="123"/>
      <c r="T2187" s="219">
        <f t="shared" si="1646"/>
        <v>0</v>
      </c>
      <c r="U2187" s="87"/>
      <c r="V2187" s="47"/>
      <c r="W2187" s="48"/>
      <c r="X2187" s="48"/>
      <c r="Y2187" s="48"/>
      <c r="Z2187" s="135"/>
      <c r="AA2187" s="49"/>
      <c r="AB2187" s="50">
        <f t="shared" si="1647"/>
        <v>0</v>
      </c>
      <c r="AC2187" s="42">
        <f t="shared" si="1648"/>
        <v>9.9999999999999998E-20</v>
      </c>
      <c r="AD2187" s="90"/>
      <c r="AE2187" s="188"/>
      <c r="AF2187" s="189"/>
      <c r="AG2187" s="189"/>
      <c r="AH2187" s="189"/>
      <c r="AI2187" s="161"/>
    </row>
    <row r="2188" spans="1:41" ht="20.100000000000001" customHeight="1" x14ac:dyDescent="0.25">
      <c r="A2188" s="277" t="s">
        <v>410</v>
      </c>
      <c r="B2188" s="278"/>
      <c r="C2188" s="64" t="s">
        <v>1008</v>
      </c>
      <c r="D2188" s="46" t="s">
        <v>97</v>
      </c>
      <c r="E2188" s="114"/>
      <c r="F2188" s="44">
        <v>0</v>
      </c>
      <c r="G2188" s="44">
        <f t="shared" si="1635"/>
        <v>0</v>
      </c>
      <c r="H2188" s="44">
        <f t="shared" si="1636"/>
        <v>0</v>
      </c>
      <c r="I2188" s="43">
        <f t="shared" si="1637"/>
        <v>0</v>
      </c>
      <c r="J2188" s="112">
        <f t="shared" si="1638"/>
        <v>0</v>
      </c>
      <c r="K2188" s="211">
        <f t="shared" si="1639"/>
        <v>0</v>
      </c>
      <c r="L2188" s="44"/>
      <c r="M2188" s="44">
        <f t="shared" si="1640"/>
        <v>0</v>
      </c>
      <c r="N2188" s="173">
        <f t="shared" si="1641"/>
        <v>0</v>
      </c>
      <c r="O2188" s="44">
        <f t="shared" si="1642"/>
        <v>0</v>
      </c>
      <c r="P2188" s="44">
        <f t="shared" si="1643"/>
        <v>0</v>
      </c>
      <c r="Q2188" s="44">
        <f t="shared" si="1644"/>
        <v>0</v>
      </c>
      <c r="R2188" s="44">
        <f t="shared" si="1645"/>
        <v>0</v>
      </c>
      <c r="S2188" s="123"/>
      <c r="T2188" s="219">
        <f t="shared" si="1646"/>
        <v>0</v>
      </c>
      <c r="U2188" s="87"/>
      <c r="V2188" s="47"/>
      <c r="W2188" s="48"/>
      <c r="X2188" s="48"/>
      <c r="Y2188" s="48"/>
      <c r="Z2188" s="135"/>
      <c r="AA2188" s="49"/>
      <c r="AB2188" s="50">
        <f t="shared" si="1647"/>
        <v>0</v>
      </c>
      <c r="AC2188" s="42">
        <f t="shared" si="1648"/>
        <v>9.9999999999999998E-20</v>
      </c>
      <c r="AD2188" s="90"/>
      <c r="AE2188" s="188"/>
      <c r="AF2188" s="189"/>
      <c r="AG2188" s="189"/>
      <c r="AH2188" s="189"/>
      <c r="AI2188" s="161"/>
    </row>
    <row r="2189" spans="1:41" ht="20.100000000000001" customHeight="1" x14ac:dyDescent="0.25">
      <c r="A2189" s="277" t="s">
        <v>410</v>
      </c>
      <c r="B2189" s="278"/>
      <c r="C2189" s="64" t="s">
        <v>418</v>
      </c>
      <c r="D2189" s="46" t="s">
        <v>97</v>
      </c>
      <c r="E2189" s="114"/>
      <c r="F2189" s="44">
        <v>0</v>
      </c>
      <c r="G2189" s="44">
        <f t="shared" si="1286"/>
        <v>0</v>
      </c>
      <c r="H2189" s="44">
        <f t="shared" si="1287"/>
        <v>0</v>
      </c>
      <c r="I2189" s="43">
        <f t="shared" si="1288"/>
        <v>0</v>
      </c>
      <c r="J2189" s="112">
        <f t="shared" si="1289"/>
        <v>0</v>
      </c>
      <c r="K2189" s="211">
        <f t="shared" si="1290"/>
        <v>0</v>
      </c>
      <c r="L2189" s="44"/>
      <c r="M2189" s="44">
        <f t="shared" si="1296"/>
        <v>0</v>
      </c>
      <c r="N2189" s="173">
        <f t="shared" si="1291"/>
        <v>0</v>
      </c>
      <c r="O2189" s="44">
        <f t="shared" si="1292"/>
        <v>0</v>
      </c>
      <c r="P2189" s="44">
        <f t="shared" si="1293"/>
        <v>0</v>
      </c>
      <c r="Q2189" s="44">
        <f t="shared" si="1294"/>
        <v>0</v>
      </c>
      <c r="R2189" s="44">
        <f t="shared" si="1297"/>
        <v>0</v>
      </c>
      <c r="S2189" s="123"/>
      <c r="T2189" s="219">
        <f t="shared" si="1298"/>
        <v>0</v>
      </c>
      <c r="U2189" s="87"/>
      <c r="V2189" s="47"/>
      <c r="W2189" s="48"/>
      <c r="X2189" s="48"/>
      <c r="Y2189" s="48"/>
      <c r="Z2189" s="135"/>
      <c r="AA2189" s="49"/>
      <c r="AB2189" s="50">
        <f t="shared" si="1295"/>
        <v>0</v>
      </c>
      <c r="AC2189" s="42">
        <f t="shared" si="1299"/>
        <v>9.9999999999999998E-20</v>
      </c>
      <c r="AD2189" s="90"/>
      <c r="AE2189" s="188"/>
      <c r="AF2189" s="189"/>
      <c r="AG2189" s="189"/>
      <c r="AH2189" s="189"/>
      <c r="AI2189" s="161"/>
    </row>
    <row r="2190" spans="1:41" ht="20.100000000000001" customHeight="1" x14ac:dyDescent="0.25">
      <c r="A2190" s="277" t="s">
        <v>410</v>
      </c>
      <c r="B2190" s="278"/>
      <c r="C2190" s="64" t="s">
        <v>419</v>
      </c>
      <c r="D2190" s="46" t="s">
        <v>97</v>
      </c>
      <c r="E2190" s="114"/>
      <c r="F2190" s="44">
        <v>0</v>
      </c>
      <c r="G2190" s="44">
        <f t="shared" si="1286"/>
        <v>0</v>
      </c>
      <c r="H2190" s="44">
        <f t="shared" si="1287"/>
        <v>0</v>
      </c>
      <c r="I2190" s="43">
        <f t="shared" si="1288"/>
        <v>0</v>
      </c>
      <c r="J2190" s="112">
        <f t="shared" si="1289"/>
        <v>0</v>
      </c>
      <c r="K2190" s="211">
        <f t="shared" si="1290"/>
        <v>0</v>
      </c>
      <c r="L2190" s="44"/>
      <c r="M2190" s="44">
        <f t="shared" si="1296"/>
        <v>0</v>
      </c>
      <c r="N2190" s="173">
        <f t="shared" si="1291"/>
        <v>0</v>
      </c>
      <c r="O2190" s="44">
        <f t="shared" si="1292"/>
        <v>0</v>
      </c>
      <c r="P2190" s="44">
        <f t="shared" si="1293"/>
        <v>0</v>
      </c>
      <c r="Q2190" s="44">
        <f t="shared" si="1294"/>
        <v>0</v>
      </c>
      <c r="R2190" s="44">
        <f t="shared" si="1297"/>
        <v>0</v>
      </c>
      <c r="S2190" s="123"/>
      <c r="T2190" s="219">
        <f t="shared" si="1298"/>
        <v>0</v>
      </c>
      <c r="U2190" s="87"/>
      <c r="V2190" s="47"/>
      <c r="W2190" s="48"/>
      <c r="X2190" s="48"/>
      <c r="Y2190" s="48"/>
      <c r="Z2190" s="135"/>
      <c r="AA2190" s="49"/>
      <c r="AB2190" s="50">
        <f t="shared" si="1295"/>
        <v>0</v>
      </c>
      <c r="AC2190" s="42">
        <f t="shared" si="1299"/>
        <v>9.9999999999999998E-20</v>
      </c>
      <c r="AD2190" s="90"/>
      <c r="AE2190" s="188"/>
      <c r="AF2190" s="189"/>
      <c r="AG2190" s="189"/>
      <c r="AH2190" s="189"/>
      <c r="AI2190" s="161"/>
    </row>
    <row r="2191" spans="1:41" ht="20.100000000000001" customHeight="1" x14ac:dyDescent="0.25">
      <c r="A2191" s="277" t="s">
        <v>410</v>
      </c>
      <c r="B2191" s="278"/>
      <c r="C2191" s="64" t="s">
        <v>420</v>
      </c>
      <c r="D2191" s="46" t="s">
        <v>97</v>
      </c>
      <c r="E2191" s="114"/>
      <c r="F2191" s="44">
        <v>0</v>
      </c>
      <c r="G2191" s="44">
        <f t="shared" si="1286"/>
        <v>0</v>
      </c>
      <c r="H2191" s="44">
        <f t="shared" si="1287"/>
        <v>0</v>
      </c>
      <c r="I2191" s="43">
        <f t="shared" si="1288"/>
        <v>0</v>
      </c>
      <c r="J2191" s="112">
        <f t="shared" si="1289"/>
        <v>0</v>
      </c>
      <c r="K2191" s="211">
        <f t="shared" si="1290"/>
        <v>0</v>
      </c>
      <c r="L2191" s="44"/>
      <c r="M2191" s="44">
        <f t="shared" si="1296"/>
        <v>0</v>
      </c>
      <c r="N2191" s="173">
        <f t="shared" si="1291"/>
        <v>0</v>
      </c>
      <c r="O2191" s="44">
        <f t="shared" si="1292"/>
        <v>0</v>
      </c>
      <c r="P2191" s="44">
        <f t="shared" si="1293"/>
        <v>0</v>
      </c>
      <c r="Q2191" s="44">
        <f t="shared" si="1294"/>
        <v>0</v>
      </c>
      <c r="R2191" s="44">
        <f t="shared" si="1297"/>
        <v>0</v>
      </c>
      <c r="S2191" s="123"/>
      <c r="T2191" s="219">
        <f t="shared" si="1298"/>
        <v>0</v>
      </c>
      <c r="U2191" s="87"/>
      <c r="V2191" s="47"/>
      <c r="W2191" s="48"/>
      <c r="X2191" s="48"/>
      <c r="Y2191" s="48"/>
      <c r="Z2191" s="135"/>
      <c r="AA2191" s="49"/>
      <c r="AB2191" s="50">
        <f t="shared" si="1295"/>
        <v>0</v>
      </c>
      <c r="AC2191" s="42">
        <f t="shared" si="1299"/>
        <v>9.9999999999999998E-20</v>
      </c>
      <c r="AD2191" s="90"/>
      <c r="AE2191" s="188"/>
      <c r="AF2191" s="189"/>
      <c r="AG2191" s="189"/>
      <c r="AH2191" s="189"/>
      <c r="AI2191" s="161"/>
    </row>
    <row r="2192" spans="1:41" ht="20.100000000000001" customHeight="1" x14ac:dyDescent="0.25">
      <c r="A2192" s="277" t="s">
        <v>410</v>
      </c>
      <c r="B2192" s="278"/>
      <c r="C2192" s="64" t="s">
        <v>421</v>
      </c>
      <c r="D2192" s="46" t="s">
        <v>97</v>
      </c>
      <c r="E2192" s="114">
        <v>122.74012499999998</v>
      </c>
      <c r="F2192" s="44">
        <v>1908</v>
      </c>
      <c r="G2192" s="44">
        <f t="shared" si="1286"/>
        <v>234188.15849999996</v>
      </c>
      <c r="H2192" s="44">
        <f t="shared" si="1287"/>
        <v>525.41213490196071</v>
      </c>
      <c r="I2192" s="43">
        <f t="shared" si="1288"/>
        <v>64489.151114383509</v>
      </c>
      <c r="J2192" s="112">
        <f t="shared" si="1289"/>
        <v>122.74012499999998</v>
      </c>
      <c r="K2192" s="211">
        <f t="shared" si="1290"/>
        <v>122.74012499999998</v>
      </c>
      <c r="L2192" s="44"/>
      <c r="M2192" s="44">
        <f t="shared" si="1296"/>
        <v>122.74012499999998</v>
      </c>
      <c r="N2192" s="173">
        <f t="shared" si="1291"/>
        <v>1</v>
      </c>
      <c r="O2192" s="44">
        <f t="shared" si="1292"/>
        <v>1908</v>
      </c>
      <c r="P2192" s="44">
        <f t="shared" si="1293"/>
        <v>234188.15849999996</v>
      </c>
      <c r="Q2192" s="44">
        <f t="shared" si="1294"/>
        <v>525.41213490196071</v>
      </c>
      <c r="R2192" s="44">
        <f t="shared" si="1297"/>
        <v>64489.151114383509</v>
      </c>
      <c r="S2192" s="123"/>
      <c r="T2192" s="219">
        <f t="shared" si="1298"/>
        <v>64489.151114383509</v>
      </c>
      <c r="U2192" s="87"/>
      <c r="V2192" s="47"/>
      <c r="W2192" s="48"/>
      <c r="X2192" s="48"/>
      <c r="Y2192" s="48"/>
      <c r="Z2192" s="135"/>
      <c r="AA2192" s="49"/>
      <c r="AB2192" s="50">
        <f t="shared" si="1295"/>
        <v>525.41213490196071</v>
      </c>
      <c r="AC2192" s="42">
        <f t="shared" si="1299"/>
        <v>122.74012499999998</v>
      </c>
      <c r="AD2192" s="90">
        <f>AD2193+AD2203+AD2209</f>
        <v>64489.151114383509</v>
      </c>
      <c r="AE2192" s="188">
        <f t="shared" ref="AE2192:AH2192" si="1663">AE2193+AE2203+AE2209</f>
        <v>0</v>
      </c>
      <c r="AF2192" s="189">
        <f t="shared" si="1663"/>
        <v>0</v>
      </c>
      <c r="AG2192" s="189">
        <f t="shared" si="1663"/>
        <v>0</v>
      </c>
      <c r="AH2192" s="189">
        <f t="shared" si="1663"/>
        <v>0</v>
      </c>
      <c r="AI2192" s="161">
        <f t="shared" ref="AI2192" si="1664">SUM(AE2192:AH2192)</f>
        <v>0</v>
      </c>
      <c r="AK2192" s="169">
        <v>5</v>
      </c>
      <c r="AO2192" s="19" t="s">
        <v>63</v>
      </c>
    </row>
    <row r="2193" spans="1:37" s="103" customFormat="1" ht="19.899999999999999" customHeight="1" x14ac:dyDescent="0.25">
      <c r="A2193" s="51"/>
      <c r="B2193" s="52"/>
      <c r="C2193" s="165"/>
      <c r="D2193" s="52"/>
      <c r="E2193" s="115"/>
      <c r="F2193" s="58"/>
      <c r="G2193" s="58"/>
      <c r="H2193" s="58"/>
      <c r="I2193" s="55"/>
      <c r="J2193" s="113">
        <f>J2192</f>
        <v>122.74012499999998</v>
      </c>
      <c r="K2193" s="212">
        <f>K2192</f>
        <v>122.74012499999998</v>
      </c>
      <c r="L2193" s="58"/>
      <c r="M2193" s="58">
        <f>K2193-L2193</f>
        <v>122.74012499999998</v>
      </c>
      <c r="N2193" s="166"/>
      <c r="O2193" s="58"/>
      <c r="P2193" s="58"/>
      <c r="Q2193" s="58"/>
      <c r="R2193" s="58"/>
      <c r="S2193" s="58"/>
      <c r="T2193" s="220"/>
      <c r="U2193" s="88"/>
      <c r="V2193" s="56"/>
      <c r="W2193" s="57" t="s">
        <v>1266</v>
      </c>
      <c r="X2193" s="53"/>
      <c r="Y2193" s="91" t="s">
        <v>68</v>
      </c>
      <c r="Z2193" s="136">
        <f>AD2193/AC2193</f>
        <v>54.628801568627452</v>
      </c>
      <c r="AA2193" s="58"/>
      <c r="AB2193" s="53">
        <f>AD2193/AC2193</f>
        <v>54.628801568627452</v>
      </c>
      <c r="AC2193" s="53">
        <f>M2193+$AE$10</f>
        <v>122.74012499999998</v>
      </c>
      <c r="AD2193" s="54">
        <f>SUM(AD2194:AD2202)</f>
        <v>6705.1459331335282</v>
      </c>
      <c r="AE2193" s="184">
        <f>SUMIFS($AD$37:$AD$12971,$V$37:$V$12971,$V2193,$X$37:$X$12971,AE$13)</f>
        <v>0</v>
      </c>
      <c r="AF2193" s="185">
        <f>SUMIFS($AD$37:$AD$12971,$V$37:$V$12971,$V2193,$X$37:$X$12971,AF$13)</f>
        <v>0</v>
      </c>
      <c r="AG2193" s="185">
        <f>SUMIFS($AD$37:$AD$12971,$V$37:$V$12971,$V2193,$X$37:$X$12971,AG$13)</f>
        <v>0</v>
      </c>
      <c r="AH2193" s="187">
        <f>SUMIFS($AD$37:$AD$12971,$V$37:$V$12971,$V2193,$X$37:$X$12971,AH$13)</f>
        <v>0</v>
      </c>
      <c r="AI2193" s="161">
        <f t="shared" ref="AI2193" si="1665">SUM(AE2193:AH2193)</f>
        <v>0</v>
      </c>
      <c r="AK2193" s="172"/>
    </row>
    <row r="2194" spans="1:37" s="102" customFormat="1" ht="19.899999999999999" customHeight="1" x14ac:dyDescent="0.25">
      <c r="A2194" s="45"/>
      <c r="B2194" s="59"/>
      <c r="C2194" s="137"/>
      <c r="D2194" s="59"/>
      <c r="E2194" s="116"/>
      <c r="F2194" s="120"/>
      <c r="G2194" s="120"/>
      <c r="H2194" s="120"/>
      <c r="I2194" s="60"/>
      <c r="J2194" s="116"/>
      <c r="K2194" s="213"/>
      <c r="L2194" s="120"/>
      <c r="M2194" s="120"/>
      <c r="N2194" s="167"/>
      <c r="O2194" s="120"/>
      <c r="P2194" s="120"/>
      <c r="Q2194" s="120"/>
      <c r="R2194" s="120"/>
      <c r="S2194" s="120"/>
      <c r="T2194" s="221"/>
      <c r="U2194" s="89"/>
      <c r="V2194" s="61"/>
      <c r="W2194" s="92" t="s">
        <v>129</v>
      </c>
      <c r="X2194" s="93" t="s">
        <v>29</v>
      </c>
      <c r="Y2194" s="93" t="s">
        <v>93</v>
      </c>
      <c r="Z2194" s="134">
        <f>VLOOKUP(W2194,Sheet2!$B:$D,3,FALSE)</f>
        <v>56</v>
      </c>
      <c r="AA2194" s="93">
        <f>100/(1.63*2.5)</f>
        <v>24.539877300613501</v>
      </c>
      <c r="AB2194" s="93">
        <f t="shared" ref="AB2194" si="1666">AD2194/AC2193</f>
        <v>2.2819999999999996</v>
      </c>
      <c r="AC2194" s="93">
        <f>AC2193/AA2194</f>
        <v>5.0016600937499982</v>
      </c>
      <c r="AD2194" s="94">
        <f t="shared" ref="AD2194:AD2195" si="1667">AC2194*Z2194</f>
        <v>280.09296524999991</v>
      </c>
      <c r="AE2194" s="190"/>
      <c r="AF2194" s="191"/>
      <c r="AG2194" s="191"/>
      <c r="AH2194" s="191"/>
      <c r="AI2194" s="186"/>
      <c r="AK2194" s="171"/>
    </row>
    <row r="2195" spans="1:37" s="102" customFormat="1" ht="19.899999999999999" customHeight="1" x14ac:dyDescent="0.25">
      <c r="A2195" s="45"/>
      <c r="B2195" s="59"/>
      <c r="C2195" s="137"/>
      <c r="D2195" s="59"/>
      <c r="E2195" s="116"/>
      <c r="F2195" s="120"/>
      <c r="G2195" s="120"/>
      <c r="H2195" s="120"/>
      <c r="I2195" s="60"/>
      <c r="J2195" s="116"/>
      <c r="K2195" s="213"/>
      <c r="L2195" s="120"/>
      <c r="M2195" s="120"/>
      <c r="N2195" s="167"/>
      <c r="O2195" s="120"/>
      <c r="P2195" s="120"/>
      <c r="Q2195" s="120"/>
      <c r="R2195" s="120"/>
      <c r="S2195" s="120"/>
      <c r="T2195" s="221"/>
      <c r="U2195" s="89"/>
      <c r="V2195" s="61"/>
      <c r="W2195" s="92" t="s">
        <v>65</v>
      </c>
      <c r="X2195" s="93" t="s">
        <v>30</v>
      </c>
      <c r="Y2195" s="93" t="s">
        <v>1011</v>
      </c>
      <c r="Z2195" s="134">
        <f>VLOOKUP(W2195,Sheet2!$B:$D,3,FALSE)</f>
        <v>1.76</v>
      </c>
      <c r="AA2195" s="93">
        <f>AA2194/14</f>
        <v>1.75284837861525</v>
      </c>
      <c r="AB2195" s="93">
        <f>AD2195/AC2193</f>
        <v>1.0040799999999999</v>
      </c>
      <c r="AC2195" s="93">
        <f>AC2193/AA2195</f>
        <v>70.023241312499977</v>
      </c>
      <c r="AD2195" s="94">
        <f t="shared" si="1667"/>
        <v>123.24090470999995</v>
      </c>
      <c r="AE2195" s="190"/>
      <c r="AF2195" s="191"/>
      <c r="AG2195" s="191"/>
      <c r="AH2195" s="191"/>
      <c r="AI2195" s="186"/>
      <c r="AK2195" s="171"/>
    </row>
    <row r="2196" spans="1:37" s="102" customFormat="1" ht="19.899999999999999" customHeight="1" x14ac:dyDescent="0.25">
      <c r="A2196" s="45"/>
      <c r="B2196" s="59"/>
      <c r="C2196" s="137"/>
      <c r="D2196" s="59"/>
      <c r="E2196" s="116"/>
      <c r="F2196" s="120"/>
      <c r="G2196" s="120"/>
      <c r="H2196" s="120"/>
      <c r="I2196" s="60"/>
      <c r="J2196" s="116"/>
      <c r="K2196" s="213"/>
      <c r="L2196" s="120"/>
      <c r="M2196" s="120"/>
      <c r="N2196" s="167"/>
      <c r="O2196" s="120"/>
      <c r="P2196" s="120"/>
      <c r="Q2196" s="120"/>
      <c r="R2196" s="120"/>
      <c r="S2196" s="120"/>
      <c r="T2196" s="221"/>
      <c r="U2196" s="89"/>
      <c r="V2196" s="61"/>
      <c r="W2196" s="92" t="s">
        <v>161</v>
      </c>
      <c r="X2196" s="93" t="s">
        <v>29</v>
      </c>
      <c r="Y2196" s="93" t="s">
        <v>93</v>
      </c>
      <c r="Z2196" s="134">
        <f>VLOOKUP(W2196,Sheet2!$B:$D,3,FALSE)</f>
        <v>48</v>
      </c>
      <c r="AA2196" s="93">
        <f>(16*0.85*1.5)/(1.63*2.5)</f>
        <v>5.0061349693251538</v>
      </c>
      <c r="AB2196" s="93">
        <f>AD2196/AC2193</f>
        <v>9.5882352941176467</v>
      </c>
      <c r="AC2196" s="93">
        <f>AC2193/AA2196</f>
        <v>24.517941636029406</v>
      </c>
      <c r="AD2196" s="94">
        <f>AC2196*Z2196</f>
        <v>1176.8611985294115</v>
      </c>
      <c r="AE2196" s="190"/>
      <c r="AF2196" s="191"/>
      <c r="AG2196" s="191"/>
      <c r="AH2196" s="191"/>
      <c r="AI2196" s="186"/>
      <c r="AK2196" s="171"/>
    </row>
    <row r="2197" spans="1:37" s="102" customFormat="1" ht="19.899999999999999" customHeight="1" x14ac:dyDescent="0.25">
      <c r="A2197" s="45"/>
      <c r="B2197" s="59"/>
      <c r="C2197" s="137"/>
      <c r="D2197" s="59"/>
      <c r="E2197" s="116"/>
      <c r="F2197" s="120"/>
      <c r="G2197" s="120"/>
      <c r="H2197" s="120"/>
      <c r="I2197" s="60"/>
      <c r="J2197" s="116"/>
      <c r="K2197" s="213"/>
      <c r="L2197" s="120"/>
      <c r="M2197" s="120"/>
      <c r="N2197" s="167"/>
      <c r="O2197" s="120"/>
      <c r="P2197" s="120"/>
      <c r="Q2197" s="120"/>
      <c r="R2197" s="120"/>
      <c r="S2197" s="120"/>
      <c r="T2197" s="221"/>
      <c r="U2197" s="89"/>
      <c r="V2197" s="61"/>
      <c r="W2197" s="92" t="s">
        <v>65</v>
      </c>
      <c r="X2197" s="93" t="s">
        <v>30</v>
      </c>
      <c r="Y2197" s="93" t="s">
        <v>1011</v>
      </c>
      <c r="Z2197" s="134">
        <f>VLOOKUP(W2197,Sheet2!$B:$D,3,FALSE)</f>
        <v>1.76</v>
      </c>
      <c r="AA2197" s="93">
        <f>AA2196/10</f>
        <v>0.50061349693251533</v>
      </c>
      <c r="AB2197" s="93">
        <f>AD2197/AC2193</f>
        <v>3.5156862745098043</v>
      </c>
      <c r="AC2197" s="93">
        <f>AC2193/AA2197</f>
        <v>245.17941636029408</v>
      </c>
      <c r="AD2197" s="94">
        <f>AC2197*Z2197</f>
        <v>431.51577279411759</v>
      </c>
      <c r="AE2197" s="190"/>
      <c r="AF2197" s="191"/>
      <c r="AG2197" s="191"/>
      <c r="AH2197" s="191"/>
      <c r="AI2197" s="186"/>
      <c r="AK2197" s="171"/>
    </row>
    <row r="2198" spans="1:37" s="102" customFormat="1" ht="19.899999999999999" customHeight="1" x14ac:dyDescent="0.25">
      <c r="A2198" s="45"/>
      <c r="B2198" s="59"/>
      <c r="C2198" s="137"/>
      <c r="D2198" s="59"/>
      <c r="E2198" s="116"/>
      <c r="F2198" s="120"/>
      <c r="G2198" s="120"/>
      <c r="H2198" s="120"/>
      <c r="I2198" s="60"/>
      <c r="J2198" s="116"/>
      <c r="K2198" s="213"/>
      <c r="L2198" s="120"/>
      <c r="M2198" s="120"/>
      <c r="N2198" s="167"/>
      <c r="O2198" s="120"/>
      <c r="P2198" s="120"/>
      <c r="Q2198" s="120"/>
      <c r="R2198" s="120"/>
      <c r="S2198" s="120"/>
      <c r="T2198" s="221"/>
      <c r="U2198" s="89"/>
      <c r="V2198" s="61"/>
      <c r="W2198" s="92" t="s">
        <v>1030</v>
      </c>
      <c r="X2198" s="93" t="s">
        <v>29</v>
      </c>
      <c r="Y2198" s="93" t="s">
        <v>93</v>
      </c>
      <c r="Z2198" s="134">
        <f>VLOOKUP(W2198,Sheet2!$B:$D,3,FALSE)</f>
        <v>23</v>
      </c>
      <c r="AA2198" s="93">
        <v>50</v>
      </c>
      <c r="AB2198" s="93">
        <f>AD2198/AC2193</f>
        <v>0.46</v>
      </c>
      <c r="AC2198" s="93">
        <f>AC2193/AA2198</f>
        <v>2.4548024999999996</v>
      </c>
      <c r="AD2198" s="94">
        <f t="shared" ref="AD2198:AD2202" si="1668">AC2198*Z2198</f>
        <v>56.46045749999999</v>
      </c>
      <c r="AE2198" s="190"/>
      <c r="AF2198" s="191"/>
      <c r="AG2198" s="191"/>
      <c r="AH2198" s="191"/>
      <c r="AI2198" s="186"/>
      <c r="AK2198" s="171"/>
    </row>
    <row r="2199" spans="1:37" s="102" customFormat="1" ht="19.899999999999999" customHeight="1" x14ac:dyDescent="0.25">
      <c r="A2199" s="45"/>
      <c r="B2199" s="59"/>
      <c r="C2199" s="137"/>
      <c r="D2199" s="59"/>
      <c r="E2199" s="116"/>
      <c r="F2199" s="120"/>
      <c r="G2199" s="120"/>
      <c r="H2199" s="120"/>
      <c r="I2199" s="60"/>
      <c r="J2199" s="116"/>
      <c r="K2199" s="213"/>
      <c r="L2199" s="120"/>
      <c r="M2199" s="120"/>
      <c r="N2199" s="167"/>
      <c r="O2199" s="120"/>
      <c r="P2199" s="120"/>
      <c r="Q2199" s="120"/>
      <c r="R2199" s="120"/>
      <c r="S2199" s="120"/>
      <c r="T2199" s="221"/>
      <c r="U2199" s="89"/>
      <c r="V2199" s="61"/>
      <c r="W2199" s="92" t="s">
        <v>65</v>
      </c>
      <c r="X2199" s="93" t="s">
        <v>30</v>
      </c>
      <c r="Y2199" s="93" t="s">
        <v>1011</v>
      </c>
      <c r="Z2199" s="134">
        <f>VLOOKUP(W2199,Sheet2!$B:$D,3,FALSE)</f>
        <v>1.76</v>
      </c>
      <c r="AA2199" s="93">
        <f>AA2198/3</f>
        <v>16.666666666666668</v>
      </c>
      <c r="AB2199" s="93">
        <f>AD2199/AC2193</f>
        <v>0.10559999999999999</v>
      </c>
      <c r="AC2199" s="93">
        <f>AC2193/AA2199</f>
        <v>7.3644074999999978</v>
      </c>
      <c r="AD2199" s="94">
        <f t="shared" si="1668"/>
        <v>12.961357199999997</v>
      </c>
      <c r="AE2199" s="190"/>
      <c r="AF2199" s="191"/>
      <c r="AG2199" s="191"/>
      <c r="AH2199" s="191"/>
      <c r="AI2199" s="186"/>
      <c r="AK2199" s="171"/>
    </row>
    <row r="2200" spans="1:37" s="102" customFormat="1" ht="19.899999999999999" customHeight="1" x14ac:dyDescent="0.25">
      <c r="A2200" s="45"/>
      <c r="B2200" s="59"/>
      <c r="C2200" s="137"/>
      <c r="D2200" s="59"/>
      <c r="E2200" s="116"/>
      <c r="F2200" s="120"/>
      <c r="G2200" s="120"/>
      <c r="H2200" s="120"/>
      <c r="I2200" s="60"/>
      <c r="J2200" s="116"/>
      <c r="K2200" s="213"/>
      <c r="L2200" s="120"/>
      <c r="M2200" s="120"/>
      <c r="N2200" s="167"/>
      <c r="O2200" s="120"/>
      <c r="P2200" s="120"/>
      <c r="Q2200" s="120"/>
      <c r="R2200" s="120"/>
      <c r="S2200" s="120"/>
      <c r="T2200" s="221"/>
      <c r="U2200" s="89"/>
      <c r="V2200" s="61"/>
      <c r="W2200" s="92" t="s">
        <v>148</v>
      </c>
      <c r="X2200" s="93" t="s">
        <v>29</v>
      </c>
      <c r="Y2200" s="93" t="s">
        <v>93</v>
      </c>
      <c r="Z2200" s="134">
        <f>VLOOKUP(W2200,Sheet2!$B:$D,3,FALSE)</f>
        <v>48</v>
      </c>
      <c r="AA2200" s="93">
        <f>AA2194</f>
        <v>24.539877300613501</v>
      </c>
      <c r="AB2200" s="93">
        <f>AD2200/AC2193</f>
        <v>1.9559999999999997</v>
      </c>
      <c r="AC2200" s="93">
        <f>AC2193/AA2200</f>
        <v>5.0016600937499982</v>
      </c>
      <c r="AD2200" s="94">
        <f t="shared" si="1668"/>
        <v>240.07968449999993</v>
      </c>
      <c r="AE2200" s="190"/>
      <c r="AF2200" s="191"/>
      <c r="AG2200" s="191"/>
      <c r="AH2200" s="191"/>
      <c r="AI2200" s="186"/>
      <c r="AK2200" s="171"/>
    </row>
    <row r="2201" spans="1:37" s="102" customFormat="1" ht="19.899999999999999" customHeight="1" x14ac:dyDescent="0.25">
      <c r="A2201" s="45"/>
      <c r="B2201" s="59"/>
      <c r="C2201" s="137"/>
      <c r="D2201" s="59"/>
      <c r="E2201" s="116"/>
      <c r="F2201" s="120"/>
      <c r="G2201" s="120"/>
      <c r="H2201" s="120"/>
      <c r="I2201" s="60"/>
      <c r="J2201" s="116"/>
      <c r="K2201" s="213"/>
      <c r="L2201" s="120"/>
      <c r="M2201" s="120"/>
      <c r="N2201" s="167"/>
      <c r="O2201" s="120"/>
      <c r="P2201" s="120"/>
      <c r="Q2201" s="120"/>
      <c r="R2201" s="120"/>
      <c r="S2201" s="120"/>
      <c r="T2201" s="221"/>
      <c r="U2201" s="89"/>
      <c r="V2201" s="61"/>
      <c r="W2201" s="92" t="s">
        <v>65</v>
      </c>
      <c r="X2201" s="93" t="s">
        <v>30</v>
      </c>
      <c r="Y2201" s="93" t="s">
        <v>1011</v>
      </c>
      <c r="Z2201" s="134">
        <f>VLOOKUP(W2201,Sheet2!$B:$D,3,FALSE)</f>
        <v>1.76</v>
      </c>
      <c r="AA2201" s="93">
        <f>AA2200/10</f>
        <v>2.4539877300613502</v>
      </c>
      <c r="AB2201" s="93">
        <f>AD2201/AC2193</f>
        <v>0.71719999999999984</v>
      </c>
      <c r="AC2201" s="93">
        <f>AC2193/AA2201</f>
        <v>50.01660093749998</v>
      </c>
      <c r="AD2201" s="94">
        <f t="shared" si="1668"/>
        <v>88.029217649999964</v>
      </c>
      <c r="AE2201" s="190"/>
      <c r="AF2201" s="191"/>
      <c r="AG2201" s="191"/>
      <c r="AH2201" s="191"/>
      <c r="AI2201" s="186"/>
      <c r="AK2201" s="171"/>
    </row>
    <row r="2202" spans="1:37" s="102" customFormat="1" ht="19.899999999999999" customHeight="1" x14ac:dyDescent="0.25">
      <c r="A2202" s="45"/>
      <c r="B2202" s="59"/>
      <c r="C2202" s="137"/>
      <c r="D2202" s="59"/>
      <c r="E2202" s="116"/>
      <c r="F2202" s="120"/>
      <c r="G2202" s="120"/>
      <c r="H2202" s="120"/>
      <c r="I2202" s="60"/>
      <c r="J2202" s="116"/>
      <c r="K2202" s="213"/>
      <c r="L2202" s="120"/>
      <c r="M2202" s="120"/>
      <c r="N2202" s="167"/>
      <c r="O2202" s="120"/>
      <c r="P2202" s="120"/>
      <c r="Q2202" s="120"/>
      <c r="R2202" s="120"/>
      <c r="S2202" s="120"/>
      <c r="T2202" s="221"/>
      <c r="U2202" s="89"/>
      <c r="V2202" s="61"/>
      <c r="W2202" s="92" t="s">
        <v>1048</v>
      </c>
      <c r="X2202" s="93" t="s">
        <v>30</v>
      </c>
      <c r="Y2202" s="93" t="s">
        <v>68</v>
      </c>
      <c r="Z2202" s="134">
        <f>VLOOKUP(W2202,Sheet2!$B:$D,3,FALSE)</f>
        <v>35</v>
      </c>
      <c r="AA2202" s="93">
        <v>1</v>
      </c>
      <c r="AB2202" s="93">
        <f>AD2202/AC2193</f>
        <v>35</v>
      </c>
      <c r="AC2202" s="93">
        <f>AC2193/AA2202</f>
        <v>122.74012499999998</v>
      </c>
      <c r="AD2202" s="94">
        <f t="shared" si="1668"/>
        <v>4295.9043749999992</v>
      </c>
      <c r="AE2202" s="190"/>
      <c r="AF2202" s="191"/>
      <c r="AG2202" s="191"/>
      <c r="AH2202" s="191"/>
      <c r="AI2202" s="186"/>
      <c r="AK2202" s="171"/>
    </row>
    <row r="2203" spans="1:37" s="103" customFormat="1" ht="19.899999999999999" customHeight="1" x14ac:dyDescent="0.25">
      <c r="A2203" s="51"/>
      <c r="B2203" s="52"/>
      <c r="C2203" s="165"/>
      <c r="D2203" s="52"/>
      <c r="E2203" s="115"/>
      <c r="F2203" s="58"/>
      <c r="G2203" s="58"/>
      <c r="H2203" s="58"/>
      <c r="I2203" s="55"/>
      <c r="J2203" s="113">
        <f>J2192</f>
        <v>122.74012499999998</v>
      </c>
      <c r="K2203" s="212">
        <f>K2192</f>
        <v>122.74012499999998</v>
      </c>
      <c r="L2203" s="58"/>
      <c r="M2203" s="58">
        <f>K2203-L2203</f>
        <v>122.74012499999998</v>
      </c>
      <c r="N2203" s="166"/>
      <c r="O2203" s="58"/>
      <c r="P2203" s="58"/>
      <c r="Q2203" s="58"/>
      <c r="R2203" s="58"/>
      <c r="S2203" s="58"/>
      <c r="T2203" s="220"/>
      <c r="U2203" s="88"/>
      <c r="V2203" s="56"/>
      <c r="W2203" s="57" t="s">
        <v>1036</v>
      </c>
      <c r="X2203" s="53"/>
      <c r="Y2203" s="91" t="s">
        <v>68</v>
      </c>
      <c r="Z2203" s="136">
        <f>AD2203/AC2203</f>
        <v>465.7833333333333</v>
      </c>
      <c r="AA2203" s="58"/>
      <c r="AB2203" s="53">
        <f>AD2203/AC2203</f>
        <v>465.7833333333333</v>
      </c>
      <c r="AC2203" s="53">
        <f>M2203+$AE$10</f>
        <v>122.74012499999998</v>
      </c>
      <c r="AD2203" s="54">
        <f>SUM(AD2204:AD2208)</f>
        <v>57170.304556249983</v>
      </c>
      <c r="AE2203" s="184">
        <f>SUMIFS($AD$37:$AD$12971,$V$37:$V$12971,$V2203,$X$37:$X$12971,AE$13)</f>
        <v>0</v>
      </c>
      <c r="AF2203" s="185">
        <f>SUMIFS($AD$37:$AD$12971,$V$37:$V$12971,$V2203,$X$37:$X$12971,AF$13)</f>
        <v>0</v>
      </c>
      <c r="AG2203" s="185">
        <f>SUMIFS($AD$37:$AD$12971,$V$37:$V$12971,$V2203,$X$37:$X$12971,AG$13)</f>
        <v>0</v>
      </c>
      <c r="AH2203" s="187">
        <f>SUMIFS($AD$37:$AD$12971,$V$37:$V$12971,$V2203,$X$37:$X$12971,AH$13)</f>
        <v>0</v>
      </c>
      <c r="AI2203" s="161">
        <f t="shared" ref="AI2203" si="1669">SUM(AE2203:AH2203)</f>
        <v>0</v>
      </c>
      <c r="AK2203" s="172"/>
    </row>
    <row r="2204" spans="1:37" s="102" customFormat="1" ht="19.899999999999999" customHeight="1" x14ac:dyDescent="0.25">
      <c r="A2204" s="45"/>
      <c r="B2204" s="59"/>
      <c r="C2204" s="137"/>
      <c r="D2204" s="59"/>
      <c r="E2204" s="116"/>
      <c r="F2204" s="120"/>
      <c r="G2204" s="120"/>
      <c r="H2204" s="120"/>
      <c r="I2204" s="60"/>
      <c r="J2204" s="116"/>
      <c r="K2204" s="213"/>
      <c r="L2204" s="120"/>
      <c r="M2204" s="120"/>
      <c r="N2204" s="167"/>
      <c r="O2204" s="120"/>
      <c r="P2204" s="120"/>
      <c r="Q2204" s="120"/>
      <c r="R2204" s="120"/>
      <c r="S2204" s="120"/>
      <c r="T2204" s="221"/>
      <c r="U2204" s="89"/>
      <c r="V2204" s="61"/>
      <c r="W2204" s="92" t="s">
        <v>1255</v>
      </c>
      <c r="X2204" s="93" t="s">
        <v>30</v>
      </c>
      <c r="Y2204" s="93" t="s">
        <v>68</v>
      </c>
      <c r="Z2204" s="134">
        <f>VLOOKUP(W2204,Sheet2!$B:$D,3,FALSE)</f>
        <v>345</v>
      </c>
      <c r="AA2204" s="93">
        <v>1</v>
      </c>
      <c r="AB2204" s="93">
        <f>AD2204/AC2203</f>
        <v>345</v>
      </c>
      <c r="AC2204" s="93">
        <f>AC2203/AA2204</f>
        <v>122.74012499999998</v>
      </c>
      <c r="AD2204" s="94">
        <f t="shared" ref="AD2204" si="1670">AC2204*Z2204</f>
        <v>42345.343124999992</v>
      </c>
      <c r="AE2204" s="190"/>
      <c r="AF2204" s="191"/>
      <c r="AG2204" s="191"/>
      <c r="AH2204" s="191"/>
      <c r="AI2204" s="186"/>
      <c r="AK2204" s="171"/>
    </row>
    <row r="2205" spans="1:37" s="102" customFormat="1" ht="19.899999999999999" customHeight="1" x14ac:dyDescent="0.25">
      <c r="A2205" s="45"/>
      <c r="B2205" s="59"/>
      <c r="C2205" s="137"/>
      <c r="D2205" s="59"/>
      <c r="E2205" s="116"/>
      <c r="F2205" s="120"/>
      <c r="G2205" s="120"/>
      <c r="H2205" s="120"/>
      <c r="I2205" s="60"/>
      <c r="J2205" s="116"/>
      <c r="K2205" s="213"/>
      <c r="L2205" s="120"/>
      <c r="M2205" s="120"/>
      <c r="N2205" s="167"/>
      <c r="O2205" s="120"/>
      <c r="P2205" s="120"/>
      <c r="Q2205" s="120"/>
      <c r="R2205" s="120"/>
      <c r="S2205" s="120"/>
      <c r="T2205" s="221"/>
      <c r="U2205" s="89"/>
      <c r="V2205" s="61"/>
      <c r="W2205" s="92" t="s">
        <v>1256</v>
      </c>
      <c r="X2205" s="93" t="s">
        <v>32</v>
      </c>
      <c r="Y2205" s="93" t="s">
        <v>68</v>
      </c>
      <c r="Z2205" s="134">
        <f>VLOOKUP(W2205,Sheet2!$B:$D,3,FALSE)</f>
        <v>55</v>
      </c>
      <c r="AA2205" s="93">
        <v>1</v>
      </c>
      <c r="AB2205" s="93">
        <f>AD2205/AC2203</f>
        <v>55</v>
      </c>
      <c r="AC2205" s="93">
        <f>AC2203/AA2205</f>
        <v>122.74012499999998</v>
      </c>
      <c r="AD2205" s="94">
        <f>AC2205*Z2205</f>
        <v>6750.7068749999989</v>
      </c>
      <c r="AE2205" s="190"/>
      <c r="AF2205" s="191"/>
      <c r="AG2205" s="191"/>
      <c r="AH2205" s="191"/>
      <c r="AI2205" s="186"/>
      <c r="AK2205" s="171"/>
    </row>
    <row r="2206" spans="1:37" s="102" customFormat="1" ht="19.899999999999999" customHeight="1" x14ac:dyDescent="0.25">
      <c r="A2206" s="45"/>
      <c r="B2206" s="59"/>
      <c r="C2206" s="137"/>
      <c r="D2206" s="59"/>
      <c r="E2206" s="116"/>
      <c r="F2206" s="120"/>
      <c r="G2206" s="120"/>
      <c r="H2206" s="120"/>
      <c r="I2206" s="60"/>
      <c r="J2206" s="116"/>
      <c r="K2206" s="213"/>
      <c r="L2206" s="120"/>
      <c r="M2206" s="120"/>
      <c r="N2206" s="167"/>
      <c r="O2206" s="120"/>
      <c r="P2206" s="120"/>
      <c r="Q2206" s="120"/>
      <c r="R2206" s="120"/>
      <c r="S2206" s="120"/>
      <c r="T2206" s="221"/>
      <c r="U2206" s="89"/>
      <c r="V2206" s="61"/>
      <c r="W2206" s="92" t="s">
        <v>1032</v>
      </c>
      <c r="X2206" s="93" t="s">
        <v>30</v>
      </c>
      <c r="Y2206" s="93" t="s">
        <v>66</v>
      </c>
      <c r="Z2206" s="134">
        <f>VLOOKUP(W2206,Sheet2!$B:$D,3,FALSE)</f>
        <v>250</v>
      </c>
      <c r="AA2206" s="93">
        <f>1/(1.63*0.1)</f>
        <v>6.1349693251533743</v>
      </c>
      <c r="AB2206" s="93">
        <f>AD2206/AC2203</f>
        <v>40.75</v>
      </c>
      <c r="AC2206" s="93">
        <f>AC2203/AA2206</f>
        <v>20.006640374999996</v>
      </c>
      <c r="AD2206" s="94">
        <f>AC2206*Z2206</f>
        <v>5001.6600937499989</v>
      </c>
      <c r="AE2206" s="190"/>
      <c r="AF2206" s="191"/>
      <c r="AG2206" s="191"/>
      <c r="AH2206" s="191"/>
      <c r="AI2206" s="186"/>
      <c r="AK2206" s="171"/>
    </row>
    <row r="2207" spans="1:37" s="102" customFormat="1" ht="19.899999999999999" customHeight="1" x14ac:dyDescent="0.25">
      <c r="A2207" s="45"/>
      <c r="B2207" s="59"/>
      <c r="C2207" s="137"/>
      <c r="D2207" s="59"/>
      <c r="E2207" s="116"/>
      <c r="F2207" s="120"/>
      <c r="G2207" s="120"/>
      <c r="H2207" s="120"/>
      <c r="I2207" s="60"/>
      <c r="J2207" s="116"/>
      <c r="K2207" s="213"/>
      <c r="L2207" s="120"/>
      <c r="M2207" s="120"/>
      <c r="N2207" s="167"/>
      <c r="O2207" s="120"/>
      <c r="P2207" s="120"/>
      <c r="Q2207" s="120"/>
      <c r="R2207" s="120"/>
      <c r="S2207" s="120"/>
      <c r="T2207" s="221"/>
      <c r="U2207" s="89"/>
      <c r="V2207" s="61"/>
      <c r="W2207" s="92" t="s">
        <v>1035</v>
      </c>
      <c r="X2207" s="93" t="s">
        <v>32</v>
      </c>
      <c r="Y2207" s="93" t="s">
        <v>66</v>
      </c>
      <c r="Z2207" s="134">
        <f>VLOOKUP(W2207,Sheet2!$B:$D,3,FALSE)</f>
        <v>150</v>
      </c>
      <c r="AA2207" s="93">
        <f>AA2206</f>
        <v>6.1349693251533743</v>
      </c>
      <c r="AB2207" s="93">
        <f>AD2207/AC2203</f>
        <v>24.45</v>
      </c>
      <c r="AC2207" s="93">
        <f>AC2203/AA2207</f>
        <v>20.006640374999996</v>
      </c>
      <c r="AD2207" s="94">
        <f t="shared" ref="AD2207:AD2208" si="1671">AC2207*Z2207</f>
        <v>3000.9960562499996</v>
      </c>
      <c r="AE2207" s="190"/>
      <c r="AF2207" s="191"/>
      <c r="AG2207" s="191"/>
      <c r="AH2207" s="191"/>
      <c r="AI2207" s="186"/>
      <c r="AK2207" s="171"/>
    </row>
    <row r="2208" spans="1:37" s="102" customFormat="1" ht="19.899999999999999" customHeight="1" x14ac:dyDescent="0.25">
      <c r="A2208" s="45"/>
      <c r="B2208" s="59"/>
      <c r="C2208" s="137"/>
      <c r="D2208" s="59"/>
      <c r="E2208" s="116"/>
      <c r="F2208" s="120"/>
      <c r="G2208" s="120"/>
      <c r="H2208" s="120"/>
      <c r="I2208" s="60"/>
      <c r="J2208" s="116"/>
      <c r="K2208" s="213"/>
      <c r="L2208" s="120"/>
      <c r="M2208" s="120"/>
      <c r="N2208" s="167"/>
      <c r="O2208" s="120"/>
      <c r="P2208" s="120"/>
      <c r="Q2208" s="120"/>
      <c r="R2208" s="120"/>
      <c r="S2208" s="120"/>
      <c r="T2208" s="221"/>
      <c r="U2208" s="89"/>
      <c r="V2208" s="61"/>
      <c r="W2208" s="92" t="s">
        <v>1037</v>
      </c>
      <c r="X2208" s="93" t="s">
        <v>30</v>
      </c>
      <c r="Y2208" s="93" t="s">
        <v>1038</v>
      </c>
      <c r="Z2208" s="134">
        <f>VLOOKUP(W2208,Sheet2!$B:$D,3,FALSE)</f>
        <v>175</v>
      </c>
      <c r="AA2208" s="93">
        <v>300</v>
      </c>
      <c r="AB2208" s="93">
        <f>AD2208/AC2203</f>
        <v>0.58333333333333326</v>
      </c>
      <c r="AC2208" s="93">
        <f>AC2203/AA2208</f>
        <v>0.40913374999999991</v>
      </c>
      <c r="AD2208" s="94">
        <f t="shared" si="1671"/>
        <v>71.598406249999982</v>
      </c>
      <c r="AE2208" s="190"/>
      <c r="AF2208" s="191"/>
      <c r="AG2208" s="191"/>
      <c r="AH2208" s="191"/>
      <c r="AI2208" s="186"/>
      <c r="AK2208" s="171"/>
    </row>
    <row r="2209" spans="1:41" s="103" customFormat="1" ht="19.899999999999999" customHeight="1" x14ac:dyDescent="0.25">
      <c r="A2209" s="51"/>
      <c r="B2209" s="52"/>
      <c r="C2209" s="165"/>
      <c r="D2209" s="52"/>
      <c r="E2209" s="115"/>
      <c r="F2209" s="58"/>
      <c r="G2209" s="58"/>
      <c r="H2209" s="58"/>
      <c r="I2209" s="55"/>
      <c r="J2209" s="113">
        <f>J2192</f>
        <v>122.74012499999998</v>
      </c>
      <c r="K2209" s="212">
        <f>K2192</f>
        <v>122.74012499999998</v>
      </c>
      <c r="L2209" s="58"/>
      <c r="M2209" s="58">
        <f>K2209-L2209</f>
        <v>122.74012499999998</v>
      </c>
      <c r="N2209" s="166"/>
      <c r="O2209" s="58"/>
      <c r="P2209" s="58"/>
      <c r="Q2209" s="58"/>
      <c r="R2209" s="58"/>
      <c r="S2209" s="58"/>
      <c r="T2209" s="220"/>
      <c r="U2209" s="88"/>
      <c r="V2209" s="56"/>
      <c r="W2209" s="57" t="s">
        <v>1040</v>
      </c>
      <c r="X2209" s="53"/>
      <c r="Y2209" s="91" t="s">
        <v>68</v>
      </c>
      <c r="Z2209" s="136">
        <f>AD2209/AC2209</f>
        <v>5.0000000000000009</v>
      </c>
      <c r="AA2209" s="58"/>
      <c r="AB2209" s="53">
        <f>AD2209/AC2209</f>
        <v>5.0000000000000009</v>
      </c>
      <c r="AC2209" s="53">
        <f>M2209+$AE$10</f>
        <v>122.74012499999998</v>
      </c>
      <c r="AD2209" s="54">
        <f>SUM(AD2210)</f>
        <v>613.70062499999995</v>
      </c>
      <c r="AE2209" s="184">
        <f>SUMIFS($AD$37:$AD$12971,$V$37:$V$12971,$V2209,$X$37:$X$12971,AE$13)</f>
        <v>0</v>
      </c>
      <c r="AF2209" s="185">
        <f>SUMIFS($AD$37:$AD$12971,$V$37:$V$12971,$V2209,$X$37:$X$12971,AF$13)</f>
        <v>0</v>
      </c>
      <c r="AG2209" s="185">
        <f>SUMIFS($AD$37:$AD$12971,$V$37:$V$12971,$V2209,$X$37:$X$12971,AG$13)</f>
        <v>0</v>
      </c>
      <c r="AH2209" s="187">
        <f>SUMIFS($AD$37:$AD$12971,$V$37:$V$12971,$V2209,$X$37:$X$12971,AH$13)</f>
        <v>0</v>
      </c>
      <c r="AI2209" s="161">
        <f t="shared" ref="AI2209" si="1672">SUM(AE2209:AH2209)</f>
        <v>0</v>
      </c>
      <c r="AK2209" s="172"/>
    </row>
    <row r="2210" spans="1:41" s="102" customFormat="1" ht="19.899999999999999" customHeight="1" x14ac:dyDescent="0.25">
      <c r="A2210" s="45"/>
      <c r="B2210" s="59"/>
      <c r="C2210" s="137"/>
      <c r="D2210" s="59"/>
      <c r="E2210" s="116"/>
      <c r="F2210" s="120"/>
      <c r="G2210" s="120"/>
      <c r="H2210" s="120"/>
      <c r="I2210" s="60"/>
      <c r="J2210" s="116"/>
      <c r="K2210" s="213"/>
      <c r="L2210" s="120"/>
      <c r="M2210" s="120"/>
      <c r="N2210" s="167"/>
      <c r="O2210" s="120"/>
      <c r="P2210" s="120"/>
      <c r="Q2210" s="120"/>
      <c r="R2210" s="120"/>
      <c r="S2210" s="120"/>
      <c r="T2210" s="221"/>
      <c r="U2210" s="89"/>
      <c r="V2210" s="61"/>
      <c r="W2210" s="92" t="s">
        <v>1039</v>
      </c>
      <c r="X2210" s="93" t="s">
        <v>32</v>
      </c>
      <c r="Y2210" s="93" t="s">
        <v>68</v>
      </c>
      <c r="Z2210" s="134">
        <f>VLOOKUP(W2210,Sheet2!$B:$D,3,FALSE)</f>
        <v>5</v>
      </c>
      <c r="AA2210" s="93">
        <v>1</v>
      </c>
      <c r="AB2210" s="93">
        <f>AD2210/AC2209</f>
        <v>5.0000000000000009</v>
      </c>
      <c r="AC2210" s="93">
        <f>AC2209/AA2210</f>
        <v>122.74012499999998</v>
      </c>
      <c r="AD2210" s="94">
        <f t="shared" ref="AD2210" si="1673">AC2210*Z2210</f>
        <v>613.70062499999995</v>
      </c>
      <c r="AE2210" s="190"/>
      <c r="AF2210" s="191"/>
      <c r="AG2210" s="191"/>
      <c r="AH2210" s="191"/>
      <c r="AI2210" s="186"/>
      <c r="AK2210" s="171"/>
    </row>
    <row r="2211" spans="1:41" ht="20.100000000000001" customHeight="1" x14ac:dyDescent="0.25">
      <c r="A2211" s="277" t="s">
        <v>410</v>
      </c>
      <c r="B2211" s="278"/>
      <c r="C2211" s="64" t="s">
        <v>422</v>
      </c>
      <c r="D2211" s="46" t="s">
        <v>97</v>
      </c>
      <c r="E2211" s="114"/>
      <c r="F2211" s="44">
        <v>0</v>
      </c>
      <c r="G2211" s="44">
        <f t="shared" si="1286"/>
        <v>0</v>
      </c>
      <c r="H2211" s="44">
        <f t="shared" si="1287"/>
        <v>0</v>
      </c>
      <c r="I2211" s="43">
        <f t="shared" si="1288"/>
        <v>0</v>
      </c>
      <c r="J2211" s="112">
        <f t="shared" si="1289"/>
        <v>0</v>
      </c>
      <c r="K2211" s="211">
        <f t="shared" si="1290"/>
        <v>0</v>
      </c>
      <c r="L2211" s="44"/>
      <c r="M2211" s="44">
        <f t="shared" si="1296"/>
        <v>0</v>
      </c>
      <c r="N2211" s="173">
        <f t="shared" si="1291"/>
        <v>0</v>
      </c>
      <c r="O2211" s="44">
        <f t="shared" si="1292"/>
        <v>0</v>
      </c>
      <c r="P2211" s="44">
        <f t="shared" si="1293"/>
        <v>0</v>
      </c>
      <c r="Q2211" s="44">
        <f t="shared" si="1294"/>
        <v>0</v>
      </c>
      <c r="R2211" s="44">
        <f t="shared" si="1297"/>
        <v>0</v>
      </c>
      <c r="S2211" s="123"/>
      <c r="T2211" s="219">
        <f t="shared" si="1298"/>
        <v>0</v>
      </c>
      <c r="U2211" s="87"/>
      <c r="V2211" s="47"/>
      <c r="W2211" s="48"/>
      <c r="X2211" s="48"/>
      <c r="Y2211" s="48"/>
      <c r="Z2211" s="135"/>
      <c r="AA2211" s="49"/>
      <c r="AB2211" s="50">
        <f t="shared" si="1295"/>
        <v>0</v>
      </c>
      <c r="AC2211" s="42">
        <f t="shared" si="1299"/>
        <v>9.9999999999999998E-20</v>
      </c>
      <c r="AD2211" s="90"/>
      <c r="AE2211" s="188"/>
      <c r="AF2211" s="189"/>
      <c r="AG2211" s="189"/>
      <c r="AH2211" s="189"/>
      <c r="AI2211" s="161"/>
    </row>
    <row r="2212" spans="1:41" ht="20.100000000000001" customHeight="1" x14ac:dyDescent="0.25">
      <c r="A2212" s="277" t="s">
        <v>410</v>
      </c>
      <c r="B2212" s="278"/>
      <c r="C2212" s="64" t="s">
        <v>423</v>
      </c>
      <c r="D2212" s="46" t="s">
        <v>97</v>
      </c>
      <c r="E2212" s="114"/>
      <c r="F2212" s="44">
        <v>0</v>
      </c>
      <c r="G2212" s="44">
        <f t="shared" si="1286"/>
        <v>0</v>
      </c>
      <c r="H2212" s="44">
        <f t="shared" si="1287"/>
        <v>0</v>
      </c>
      <c r="I2212" s="43">
        <f t="shared" si="1288"/>
        <v>0</v>
      </c>
      <c r="J2212" s="112">
        <f t="shared" si="1289"/>
        <v>0</v>
      </c>
      <c r="K2212" s="211">
        <f t="shared" si="1290"/>
        <v>0</v>
      </c>
      <c r="L2212" s="44"/>
      <c r="M2212" s="44">
        <f t="shared" si="1296"/>
        <v>0</v>
      </c>
      <c r="N2212" s="173">
        <f t="shared" si="1291"/>
        <v>0</v>
      </c>
      <c r="O2212" s="44">
        <f t="shared" si="1292"/>
        <v>0</v>
      </c>
      <c r="P2212" s="44">
        <f t="shared" si="1293"/>
        <v>0</v>
      </c>
      <c r="Q2212" s="44">
        <f t="shared" si="1294"/>
        <v>0</v>
      </c>
      <c r="R2212" s="44">
        <f t="shared" si="1297"/>
        <v>0</v>
      </c>
      <c r="S2212" s="123"/>
      <c r="T2212" s="219">
        <f t="shared" si="1298"/>
        <v>0</v>
      </c>
      <c r="U2212" s="87"/>
      <c r="V2212" s="47"/>
      <c r="W2212" s="48"/>
      <c r="X2212" s="48"/>
      <c r="Y2212" s="48"/>
      <c r="Z2212" s="135"/>
      <c r="AA2212" s="49"/>
      <c r="AB2212" s="50">
        <f t="shared" si="1295"/>
        <v>0</v>
      </c>
      <c r="AC2212" s="42">
        <f t="shared" si="1299"/>
        <v>9.9999999999999998E-20</v>
      </c>
      <c r="AD2212" s="90"/>
      <c r="AE2212" s="188"/>
      <c r="AF2212" s="189"/>
      <c r="AG2212" s="189"/>
      <c r="AH2212" s="189"/>
      <c r="AI2212" s="161"/>
    </row>
    <row r="2213" spans="1:41" ht="20.100000000000001" customHeight="1" x14ac:dyDescent="0.25">
      <c r="A2213" s="277" t="s">
        <v>410</v>
      </c>
      <c r="B2213" s="278"/>
      <c r="C2213" s="64" t="s">
        <v>424</v>
      </c>
      <c r="D2213" s="46" t="s">
        <v>97</v>
      </c>
      <c r="E2213" s="114"/>
      <c r="F2213" s="44">
        <v>0</v>
      </c>
      <c r="G2213" s="44">
        <f t="shared" si="1286"/>
        <v>0</v>
      </c>
      <c r="H2213" s="44">
        <f t="shared" si="1287"/>
        <v>0</v>
      </c>
      <c r="I2213" s="43">
        <f t="shared" si="1288"/>
        <v>0</v>
      </c>
      <c r="J2213" s="112">
        <f t="shared" si="1289"/>
        <v>0</v>
      </c>
      <c r="K2213" s="211">
        <f t="shared" si="1290"/>
        <v>0</v>
      </c>
      <c r="L2213" s="44"/>
      <c r="M2213" s="44">
        <f t="shared" si="1296"/>
        <v>0</v>
      </c>
      <c r="N2213" s="173">
        <f t="shared" si="1291"/>
        <v>0</v>
      </c>
      <c r="O2213" s="44">
        <f t="shared" si="1292"/>
        <v>0</v>
      </c>
      <c r="P2213" s="44">
        <f t="shared" si="1293"/>
        <v>0</v>
      </c>
      <c r="Q2213" s="44">
        <f t="shared" si="1294"/>
        <v>0</v>
      </c>
      <c r="R2213" s="44">
        <f t="shared" si="1297"/>
        <v>0</v>
      </c>
      <c r="S2213" s="123"/>
      <c r="T2213" s="219">
        <f t="shared" si="1298"/>
        <v>0</v>
      </c>
      <c r="U2213" s="87"/>
      <c r="V2213" s="47"/>
      <c r="W2213" s="48"/>
      <c r="X2213" s="48"/>
      <c r="Y2213" s="48"/>
      <c r="Z2213" s="135"/>
      <c r="AA2213" s="49"/>
      <c r="AB2213" s="50">
        <f t="shared" si="1295"/>
        <v>0</v>
      </c>
      <c r="AC2213" s="42">
        <f t="shared" si="1299"/>
        <v>9.9999999999999998E-20</v>
      </c>
      <c r="AD2213" s="90"/>
      <c r="AE2213" s="188"/>
      <c r="AF2213" s="189"/>
      <c r="AG2213" s="189"/>
      <c r="AH2213" s="189"/>
      <c r="AI2213" s="161"/>
    </row>
    <row r="2214" spans="1:41" s="306" customFormat="1" ht="45" x14ac:dyDescent="0.25">
      <c r="A2214" s="287" t="s">
        <v>410</v>
      </c>
      <c r="B2214" s="288"/>
      <c r="C2214" s="286" t="s">
        <v>504</v>
      </c>
      <c r="D2214" s="289"/>
      <c r="E2214" s="290"/>
      <c r="F2214" s="291"/>
      <c r="G2214" s="291">
        <f t="shared" si="1286"/>
        <v>0</v>
      </c>
      <c r="H2214" s="291">
        <f t="shared" si="1287"/>
        <v>0</v>
      </c>
      <c r="I2214" s="292">
        <f t="shared" si="1288"/>
        <v>0</v>
      </c>
      <c r="J2214" s="290">
        <f t="shared" si="1289"/>
        <v>0</v>
      </c>
      <c r="K2214" s="293">
        <f t="shared" si="1290"/>
        <v>0</v>
      </c>
      <c r="L2214" s="291"/>
      <c r="M2214" s="291">
        <f t="shared" si="1296"/>
        <v>0</v>
      </c>
      <c r="N2214" s="294">
        <f t="shared" si="1291"/>
        <v>0</v>
      </c>
      <c r="O2214" s="291">
        <f t="shared" si="1292"/>
        <v>0</v>
      </c>
      <c r="P2214" s="291">
        <f t="shared" si="1293"/>
        <v>0</v>
      </c>
      <c r="Q2214" s="291">
        <f t="shared" si="1294"/>
        <v>0</v>
      </c>
      <c r="R2214" s="291">
        <f t="shared" si="1297"/>
        <v>0</v>
      </c>
      <c r="S2214" s="291"/>
      <c r="T2214" s="295">
        <f t="shared" si="1298"/>
        <v>0</v>
      </c>
      <c r="U2214" s="296"/>
      <c r="V2214" s="297"/>
      <c r="W2214" s="298"/>
      <c r="X2214" s="299"/>
      <c r="Y2214" s="300"/>
      <c r="Z2214" s="301"/>
      <c r="AA2214" s="300"/>
      <c r="AB2214" s="300">
        <f t="shared" si="1295"/>
        <v>0</v>
      </c>
      <c r="AC2214" s="300">
        <f t="shared" si="1299"/>
        <v>9.9999999999999998E-20</v>
      </c>
      <c r="AD2214" s="302"/>
      <c r="AE2214" s="303"/>
      <c r="AF2214" s="304"/>
      <c r="AG2214" s="304"/>
      <c r="AH2214" s="304"/>
      <c r="AI2214" s="305"/>
      <c r="AK2214" s="307"/>
    </row>
    <row r="2215" spans="1:41" ht="20.100000000000001" customHeight="1" x14ac:dyDescent="0.25">
      <c r="A2215" s="277" t="s">
        <v>410</v>
      </c>
      <c r="B2215" s="278"/>
      <c r="C2215" s="64" t="s">
        <v>425</v>
      </c>
      <c r="D2215" s="46" t="s">
        <v>215</v>
      </c>
      <c r="E2215" s="114">
        <v>24.9</v>
      </c>
      <c r="F2215" s="44">
        <v>1064</v>
      </c>
      <c r="G2215" s="44">
        <f t="shared" si="1286"/>
        <v>26493.599999999999</v>
      </c>
      <c r="H2215" s="44">
        <f t="shared" si="1287"/>
        <v>265</v>
      </c>
      <c r="I2215" s="43">
        <f t="shared" si="1288"/>
        <v>6598.5</v>
      </c>
      <c r="J2215" s="112">
        <f t="shared" si="1289"/>
        <v>24.9</v>
      </c>
      <c r="K2215" s="211">
        <f t="shared" si="1290"/>
        <v>24.9</v>
      </c>
      <c r="L2215" s="44"/>
      <c r="M2215" s="44">
        <f t="shared" si="1296"/>
        <v>24.9</v>
      </c>
      <c r="N2215" s="173">
        <f t="shared" si="1291"/>
        <v>1</v>
      </c>
      <c r="O2215" s="44">
        <f t="shared" si="1292"/>
        <v>1064</v>
      </c>
      <c r="P2215" s="44">
        <f t="shared" si="1293"/>
        <v>26493.599999999999</v>
      </c>
      <c r="Q2215" s="44">
        <f t="shared" si="1294"/>
        <v>265</v>
      </c>
      <c r="R2215" s="44">
        <f t="shared" si="1297"/>
        <v>6598.5</v>
      </c>
      <c r="S2215" s="123"/>
      <c r="T2215" s="219">
        <f t="shared" si="1298"/>
        <v>6598.5</v>
      </c>
      <c r="U2215" s="87"/>
      <c r="V2215" s="47"/>
      <c r="W2215" s="48"/>
      <c r="X2215" s="48"/>
      <c r="Y2215" s="48"/>
      <c r="Z2215" s="135"/>
      <c r="AA2215" s="49"/>
      <c r="AB2215" s="50">
        <f t="shared" si="1295"/>
        <v>265</v>
      </c>
      <c r="AC2215" s="42">
        <f t="shared" si="1299"/>
        <v>24.9</v>
      </c>
      <c r="AD2215" s="90">
        <f>AD2216</f>
        <v>6598.5</v>
      </c>
      <c r="AE2215" s="188">
        <f t="shared" ref="AE2215:AH2215" si="1674">AE2216</f>
        <v>0</v>
      </c>
      <c r="AF2215" s="189">
        <f t="shared" si="1674"/>
        <v>0</v>
      </c>
      <c r="AG2215" s="189">
        <f t="shared" si="1674"/>
        <v>0</v>
      </c>
      <c r="AH2215" s="189">
        <f t="shared" si="1674"/>
        <v>0</v>
      </c>
      <c r="AI2215" s="161">
        <f t="shared" ref="AI2215" si="1675">SUM(AE2215:AH2215)</f>
        <v>0</v>
      </c>
      <c r="AK2215" s="169">
        <v>5</v>
      </c>
      <c r="AO2215" s="19" t="s">
        <v>63</v>
      </c>
    </row>
    <row r="2216" spans="1:41" s="103" customFormat="1" ht="19.899999999999999" customHeight="1" x14ac:dyDescent="0.25">
      <c r="A2216" s="51"/>
      <c r="B2216" s="52"/>
      <c r="C2216" s="165"/>
      <c r="D2216" s="52"/>
      <c r="E2216" s="115"/>
      <c r="F2216" s="58"/>
      <c r="G2216" s="58"/>
      <c r="H2216" s="58"/>
      <c r="I2216" s="55"/>
      <c r="J2216" s="113">
        <f>J2215</f>
        <v>24.9</v>
      </c>
      <c r="K2216" s="212">
        <f>K2215</f>
        <v>24.9</v>
      </c>
      <c r="L2216" s="58"/>
      <c r="M2216" s="58">
        <f>K2216-L2216</f>
        <v>24.9</v>
      </c>
      <c r="N2216" s="166"/>
      <c r="O2216" s="58"/>
      <c r="P2216" s="58"/>
      <c r="Q2216" s="58"/>
      <c r="R2216" s="58"/>
      <c r="S2216" s="58"/>
      <c r="T2216" s="220"/>
      <c r="U2216" s="88"/>
      <c r="V2216" s="56"/>
      <c r="W2216" s="57" t="s">
        <v>1294</v>
      </c>
      <c r="X2216" s="53"/>
      <c r="Y2216" s="91" t="s">
        <v>35</v>
      </c>
      <c r="Z2216" s="136">
        <f>AD2216/AC2216</f>
        <v>265</v>
      </c>
      <c r="AA2216" s="58"/>
      <c r="AB2216" s="53">
        <f>AD2216/AC2216</f>
        <v>265</v>
      </c>
      <c r="AC2216" s="53">
        <f>M2216+$AE$10</f>
        <v>24.9</v>
      </c>
      <c r="AD2216" s="54">
        <f>SUM(AD2217:AD2219)</f>
        <v>6598.5</v>
      </c>
      <c r="AE2216" s="184">
        <f>SUMIFS($AD$37:$AD$12971,$V$37:$V$12971,$V2216,$X$37:$X$12971,AE$13)</f>
        <v>0</v>
      </c>
      <c r="AF2216" s="185">
        <f>SUMIFS($AD$37:$AD$12971,$V$37:$V$12971,$V2216,$X$37:$X$12971,AF$13)</f>
        <v>0</v>
      </c>
      <c r="AG2216" s="185">
        <f>SUMIFS($AD$37:$AD$12971,$V$37:$V$12971,$V2216,$X$37:$X$12971,AG$13)</f>
        <v>0</v>
      </c>
      <c r="AH2216" s="187">
        <f>SUMIFS($AD$37:$AD$12971,$V$37:$V$12971,$V2216,$X$37:$X$12971,AH$13)</f>
        <v>0</v>
      </c>
      <c r="AI2216" s="161">
        <f t="shared" ref="AI2216" si="1676">SUM(AE2216:AH2216)</f>
        <v>0</v>
      </c>
      <c r="AK2216" s="172"/>
    </row>
    <row r="2217" spans="1:41" s="102" customFormat="1" ht="19.899999999999999" customHeight="1" x14ac:dyDescent="0.25">
      <c r="A2217" s="45"/>
      <c r="B2217" s="59"/>
      <c r="C2217" s="137"/>
      <c r="D2217" s="59"/>
      <c r="E2217" s="116"/>
      <c r="F2217" s="120"/>
      <c r="G2217" s="120"/>
      <c r="H2217" s="120"/>
      <c r="I2217" s="60"/>
      <c r="J2217" s="116"/>
      <c r="K2217" s="213"/>
      <c r="L2217" s="120"/>
      <c r="M2217" s="120"/>
      <c r="N2217" s="167"/>
      <c r="O2217" s="120"/>
      <c r="P2217" s="120"/>
      <c r="Q2217" s="120"/>
      <c r="R2217" s="120"/>
      <c r="S2217" s="120"/>
      <c r="T2217" s="221"/>
      <c r="U2217" s="89"/>
      <c r="V2217" s="61"/>
      <c r="W2217" s="92" t="s">
        <v>1412</v>
      </c>
      <c r="X2217" s="93" t="s">
        <v>30</v>
      </c>
      <c r="Y2217" s="93" t="s">
        <v>35</v>
      </c>
      <c r="Z2217" s="134">
        <f>VLOOKUP(W2217,Sheet2!$B:$D,3,FALSE)</f>
        <v>205</v>
      </c>
      <c r="AA2217" s="93">
        <v>1</v>
      </c>
      <c r="AB2217" s="93">
        <f t="shared" ref="AB2217" si="1677">AD2217/AC2216</f>
        <v>205</v>
      </c>
      <c r="AC2217" s="93">
        <f>AC2216/AA2217</f>
        <v>24.9</v>
      </c>
      <c r="AD2217" s="94">
        <f t="shared" ref="AD2217:AD2218" si="1678">AC2217*Z2217</f>
        <v>5104.5</v>
      </c>
      <c r="AE2217" s="190"/>
      <c r="AF2217" s="191"/>
      <c r="AG2217" s="191"/>
      <c r="AH2217" s="191"/>
      <c r="AI2217" s="186"/>
      <c r="AK2217" s="171"/>
    </row>
    <row r="2218" spans="1:41" s="102" customFormat="1" ht="19.899999999999999" customHeight="1" x14ac:dyDescent="0.25">
      <c r="A2218" s="45"/>
      <c r="B2218" s="59"/>
      <c r="C2218" s="137"/>
      <c r="D2218" s="59"/>
      <c r="E2218" s="116"/>
      <c r="F2218" s="120"/>
      <c r="G2218" s="120"/>
      <c r="H2218" s="120"/>
      <c r="I2218" s="60"/>
      <c r="J2218" s="116"/>
      <c r="K2218" s="213"/>
      <c r="L2218" s="120"/>
      <c r="M2218" s="120"/>
      <c r="N2218" s="167"/>
      <c r="O2218" s="120"/>
      <c r="P2218" s="120"/>
      <c r="Q2218" s="120"/>
      <c r="R2218" s="120"/>
      <c r="S2218" s="120"/>
      <c r="T2218" s="221"/>
      <c r="U2218" s="89"/>
      <c r="V2218" s="61"/>
      <c r="W2218" s="92" t="s">
        <v>107</v>
      </c>
      <c r="X2218" s="93" t="s">
        <v>31</v>
      </c>
      <c r="Y2218" s="93" t="s">
        <v>93</v>
      </c>
      <c r="Z2218" s="134">
        <f>VLOOKUP(W2218,Sheet2!$B:$D,3,FALSE)</f>
        <v>17</v>
      </c>
      <c r="AA2218" s="93">
        <v>0.5</v>
      </c>
      <c r="AB2218" s="93">
        <f>AD2218/AC2216</f>
        <v>34</v>
      </c>
      <c r="AC2218" s="93">
        <f>AC2216/AA2218</f>
        <v>49.8</v>
      </c>
      <c r="AD2218" s="94">
        <f t="shared" si="1678"/>
        <v>846.59999999999991</v>
      </c>
      <c r="AE2218" s="190"/>
      <c r="AF2218" s="191"/>
      <c r="AG2218" s="191"/>
      <c r="AH2218" s="191"/>
      <c r="AI2218" s="186"/>
      <c r="AK2218" s="171"/>
    </row>
    <row r="2219" spans="1:41" s="102" customFormat="1" ht="19.899999999999999" customHeight="1" x14ac:dyDescent="0.25">
      <c r="A2219" s="45"/>
      <c r="B2219" s="59"/>
      <c r="C2219" s="137"/>
      <c r="D2219" s="59"/>
      <c r="E2219" s="116"/>
      <c r="F2219" s="120"/>
      <c r="G2219" s="120"/>
      <c r="H2219" s="120"/>
      <c r="I2219" s="60"/>
      <c r="J2219" s="116"/>
      <c r="K2219" s="213"/>
      <c r="L2219" s="120"/>
      <c r="M2219" s="120"/>
      <c r="N2219" s="167"/>
      <c r="O2219" s="120"/>
      <c r="P2219" s="120"/>
      <c r="Q2219" s="120"/>
      <c r="R2219" s="120"/>
      <c r="S2219" s="120"/>
      <c r="T2219" s="221"/>
      <c r="U2219" s="89"/>
      <c r="V2219" s="61"/>
      <c r="W2219" s="92" t="s">
        <v>112</v>
      </c>
      <c r="X2219" s="93" t="s">
        <v>31</v>
      </c>
      <c r="Y2219" s="93" t="s">
        <v>93</v>
      </c>
      <c r="Z2219" s="134">
        <f>VLOOKUP(W2219,Sheet2!$B:$D,3,FALSE)</f>
        <v>13</v>
      </c>
      <c r="AA2219" s="93">
        <f>AA2218</f>
        <v>0.5</v>
      </c>
      <c r="AB2219" s="93">
        <f>AD2219/AC2216</f>
        <v>26</v>
      </c>
      <c r="AC2219" s="93">
        <f>AC2216/AA2219</f>
        <v>49.8</v>
      </c>
      <c r="AD2219" s="94">
        <f>AC2219*Z2219</f>
        <v>647.4</v>
      </c>
      <c r="AE2219" s="190"/>
      <c r="AF2219" s="191"/>
      <c r="AG2219" s="191"/>
      <c r="AH2219" s="191"/>
      <c r="AI2219" s="186"/>
      <c r="AK2219" s="171"/>
    </row>
    <row r="2220" spans="1:41" ht="20.100000000000001" customHeight="1" x14ac:dyDescent="0.25">
      <c r="A2220" s="277" t="s">
        <v>410</v>
      </c>
      <c r="B2220" s="278"/>
      <c r="C2220" s="64" t="s">
        <v>426</v>
      </c>
      <c r="D2220" s="46" t="s">
        <v>215</v>
      </c>
      <c r="E2220" s="114">
        <v>9.3000000000000007</v>
      </c>
      <c r="F2220" s="44">
        <v>1096</v>
      </c>
      <c r="G2220" s="44">
        <f t="shared" si="1286"/>
        <v>10192.800000000001</v>
      </c>
      <c r="H2220" s="44">
        <f t="shared" si="1287"/>
        <v>284.5</v>
      </c>
      <c r="I2220" s="43">
        <f t="shared" si="1288"/>
        <v>2645.8500000000004</v>
      </c>
      <c r="J2220" s="112">
        <f t="shared" si="1289"/>
        <v>9.3000000000000007</v>
      </c>
      <c r="K2220" s="211">
        <f t="shared" si="1290"/>
        <v>9.3000000000000007</v>
      </c>
      <c r="L2220" s="44"/>
      <c r="M2220" s="44">
        <f t="shared" si="1296"/>
        <v>9.3000000000000007</v>
      </c>
      <c r="N2220" s="173">
        <f t="shared" si="1291"/>
        <v>1</v>
      </c>
      <c r="O2220" s="44">
        <f t="shared" si="1292"/>
        <v>1096</v>
      </c>
      <c r="P2220" s="44">
        <f t="shared" si="1293"/>
        <v>10192.800000000001</v>
      </c>
      <c r="Q2220" s="44">
        <f t="shared" si="1294"/>
        <v>284.5</v>
      </c>
      <c r="R2220" s="44">
        <f t="shared" si="1297"/>
        <v>2645.8500000000004</v>
      </c>
      <c r="S2220" s="123"/>
      <c r="T2220" s="219">
        <f t="shared" si="1298"/>
        <v>2645.8500000000004</v>
      </c>
      <c r="U2220" s="87"/>
      <c r="V2220" s="47"/>
      <c r="W2220" s="48"/>
      <c r="X2220" s="48"/>
      <c r="Y2220" s="48"/>
      <c r="Z2220" s="135"/>
      <c r="AA2220" s="49"/>
      <c r="AB2220" s="50">
        <f t="shared" si="1295"/>
        <v>284.5</v>
      </c>
      <c r="AC2220" s="42">
        <f t="shared" si="1299"/>
        <v>9.3000000000000007</v>
      </c>
      <c r="AD2220" s="90">
        <f>AD2221</f>
        <v>2645.8500000000004</v>
      </c>
      <c r="AE2220" s="188">
        <f t="shared" ref="AE2220" si="1679">AE2221</f>
        <v>0</v>
      </c>
      <c r="AF2220" s="189">
        <f t="shared" ref="AF2220" si="1680">AF2221</f>
        <v>0</v>
      </c>
      <c r="AG2220" s="189">
        <f t="shared" ref="AG2220" si="1681">AG2221</f>
        <v>0</v>
      </c>
      <c r="AH2220" s="189">
        <f t="shared" ref="AH2220" si="1682">AH2221</f>
        <v>0</v>
      </c>
      <c r="AI2220" s="161">
        <f t="shared" ref="AI2220:AI2221" si="1683">SUM(AE2220:AH2220)</f>
        <v>0</v>
      </c>
      <c r="AK2220" s="169">
        <v>5</v>
      </c>
      <c r="AO2220" s="19" t="s">
        <v>63</v>
      </c>
    </row>
    <row r="2221" spans="1:41" s="103" customFormat="1" ht="19.899999999999999" customHeight="1" x14ac:dyDescent="0.25">
      <c r="A2221" s="51"/>
      <c r="B2221" s="52"/>
      <c r="C2221" s="165"/>
      <c r="D2221" s="52"/>
      <c r="E2221" s="115"/>
      <c r="F2221" s="58"/>
      <c r="G2221" s="58"/>
      <c r="H2221" s="58"/>
      <c r="I2221" s="55"/>
      <c r="J2221" s="113">
        <f>J2220</f>
        <v>9.3000000000000007</v>
      </c>
      <c r="K2221" s="212">
        <f>K2220</f>
        <v>9.3000000000000007</v>
      </c>
      <c r="L2221" s="58"/>
      <c r="M2221" s="58">
        <f>K2221-L2221</f>
        <v>9.3000000000000007</v>
      </c>
      <c r="N2221" s="166"/>
      <c r="O2221" s="58"/>
      <c r="P2221" s="58"/>
      <c r="Q2221" s="58"/>
      <c r="R2221" s="58"/>
      <c r="S2221" s="58"/>
      <c r="T2221" s="220"/>
      <c r="U2221" s="88"/>
      <c r="V2221" s="56"/>
      <c r="W2221" s="57" t="s">
        <v>1294</v>
      </c>
      <c r="X2221" s="53"/>
      <c r="Y2221" s="91" t="s">
        <v>35</v>
      </c>
      <c r="Z2221" s="136">
        <f>AD2221/AC2221</f>
        <v>284.5</v>
      </c>
      <c r="AA2221" s="58"/>
      <c r="AB2221" s="53">
        <f>AD2221/AC2221</f>
        <v>284.5</v>
      </c>
      <c r="AC2221" s="53">
        <f>M2221+$AE$10</f>
        <v>9.3000000000000007</v>
      </c>
      <c r="AD2221" s="54">
        <f>SUM(AD2222:AD2224)</f>
        <v>2645.8500000000004</v>
      </c>
      <c r="AE2221" s="184">
        <f>SUMIFS($AD$37:$AD$12971,$V$37:$V$12971,$V2221,$X$37:$X$12971,AE$13)</f>
        <v>0</v>
      </c>
      <c r="AF2221" s="185">
        <f>SUMIFS($AD$37:$AD$12971,$V$37:$V$12971,$V2221,$X$37:$X$12971,AF$13)</f>
        <v>0</v>
      </c>
      <c r="AG2221" s="185">
        <f>SUMIFS($AD$37:$AD$12971,$V$37:$V$12971,$V2221,$X$37:$X$12971,AG$13)</f>
        <v>0</v>
      </c>
      <c r="AH2221" s="187">
        <f>SUMIFS($AD$37:$AD$12971,$V$37:$V$12971,$V2221,$X$37:$X$12971,AH$13)</f>
        <v>0</v>
      </c>
      <c r="AI2221" s="161">
        <f t="shared" si="1683"/>
        <v>0</v>
      </c>
      <c r="AK2221" s="172"/>
    </row>
    <row r="2222" spans="1:41" s="102" customFormat="1" ht="19.899999999999999" customHeight="1" x14ac:dyDescent="0.25">
      <c r="A2222" s="45"/>
      <c r="B2222" s="59"/>
      <c r="C2222" s="137"/>
      <c r="D2222" s="59"/>
      <c r="E2222" s="116"/>
      <c r="F2222" s="120"/>
      <c r="G2222" s="120"/>
      <c r="H2222" s="120"/>
      <c r="I2222" s="60"/>
      <c r="J2222" s="116"/>
      <c r="K2222" s="213"/>
      <c r="L2222" s="120"/>
      <c r="M2222" s="120"/>
      <c r="N2222" s="167"/>
      <c r="O2222" s="120"/>
      <c r="P2222" s="120"/>
      <c r="Q2222" s="120"/>
      <c r="R2222" s="120"/>
      <c r="S2222" s="120"/>
      <c r="T2222" s="221"/>
      <c r="U2222" s="89"/>
      <c r="V2222" s="61"/>
      <c r="W2222" s="92" t="s">
        <v>1413</v>
      </c>
      <c r="X2222" s="93" t="s">
        <v>30</v>
      </c>
      <c r="Y2222" s="93" t="s">
        <v>35</v>
      </c>
      <c r="Z2222" s="134">
        <f>VLOOKUP(W2222,Sheet2!$B:$D,3,FALSE)</f>
        <v>224.5</v>
      </c>
      <c r="AA2222" s="93">
        <v>1</v>
      </c>
      <c r="AB2222" s="93">
        <f t="shared" ref="AB2222" si="1684">AD2222/AC2221</f>
        <v>224.50000000000003</v>
      </c>
      <c r="AC2222" s="93">
        <f>AC2221/AA2222</f>
        <v>9.3000000000000007</v>
      </c>
      <c r="AD2222" s="94">
        <f t="shared" ref="AD2222:AD2223" si="1685">AC2222*Z2222</f>
        <v>2087.8500000000004</v>
      </c>
      <c r="AE2222" s="190"/>
      <c r="AF2222" s="191"/>
      <c r="AG2222" s="191"/>
      <c r="AH2222" s="191"/>
      <c r="AI2222" s="186"/>
      <c r="AK2222" s="171"/>
    </row>
    <row r="2223" spans="1:41" s="102" customFormat="1" ht="19.899999999999999" customHeight="1" x14ac:dyDescent="0.25">
      <c r="A2223" s="45"/>
      <c r="B2223" s="59"/>
      <c r="C2223" s="137"/>
      <c r="D2223" s="59"/>
      <c r="E2223" s="116"/>
      <c r="F2223" s="120"/>
      <c r="G2223" s="120"/>
      <c r="H2223" s="120"/>
      <c r="I2223" s="60"/>
      <c r="J2223" s="116"/>
      <c r="K2223" s="213"/>
      <c r="L2223" s="120"/>
      <c r="M2223" s="120"/>
      <c r="N2223" s="167"/>
      <c r="O2223" s="120"/>
      <c r="P2223" s="120"/>
      <c r="Q2223" s="120"/>
      <c r="R2223" s="120"/>
      <c r="S2223" s="120"/>
      <c r="T2223" s="221"/>
      <c r="U2223" s="89"/>
      <c r="V2223" s="61"/>
      <c r="W2223" s="92" t="s">
        <v>107</v>
      </c>
      <c r="X2223" s="93" t="s">
        <v>31</v>
      </c>
      <c r="Y2223" s="93" t="s">
        <v>93</v>
      </c>
      <c r="Z2223" s="134">
        <f>VLOOKUP(W2223,Sheet2!$B:$D,3,FALSE)</f>
        <v>17</v>
      </c>
      <c r="AA2223" s="93">
        <v>0.5</v>
      </c>
      <c r="AB2223" s="93">
        <f>AD2223/AC2221</f>
        <v>34</v>
      </c>
      <c r="AC2223" s="93">
        <f>AC2221/AA2223</f>
        <v>18.600000000000001</v>
      </c>
      <c r="AD2223" s="94">
        <f t="shared" si="1685"/>
        <v>316.20000000000005</v>
      </c>
      <c r="AE2223" s="190"/>
      <c r="AF2223" s="191"/>
      <c r="AG2223" s="191"/>
      <c r="AH2223" s="191"/>
      <c r="AI2223" s="186"/>
      <c r="AK2223" s="171"/>
    </row>
    <row r="2224" spans="1:41" s="102" customFormat="1" ht="19.899999999999999" customHeight="1" x14ac:dyDescent="0.25">
      <c r="A2224" s="45"/>
      <c r="B2224" s="59"/>
      <c r="C2224" s="137"/>
      <c r="D2224" s="59"/>
      <c r="E2224" s="116"/>
      <c r="F2224" s="120"/>
      <c r="G2224" s="120"/>
      <c r="H2224" s="120"/>
      <c r="I2224" s="60"/>
      <c r="J2224" s="116"/>
      <c r="K2224" s="213"/>
      <c r="L2224" s="120"/>
      <c r="M2224" s="120"/>
      <c r="N2224" s="167"/>
      <c r="O2224" s="120"/>
      <c r="P2224" s="120"/>
      <c r="Q2224" s="120"/>
      <c r="R2224" s="120"/>
      <c r="S2224" s="120"/>
      <c r="T2224" s="221"/>
      <c r="U2224" s="89"/>
      <c r="V2224" s="61"/>
      <c r="W2224" s="92" t="s">
        <v>112</v>
      </c>
      <c r="X2224" s="93" t="s">
        <v>31</v>
      </c>
      <c r="Y2224" s="93" t="s">
        <v>93</v>
      </c>
      <c r="Z2224" s="134">
        <f>VLOOKUP(W2224,Sheet2!$B:$D,3,FALSE)</f>
        <v>13</v>
      </c>
      <c r="AA2224" s="93">
        <f>AA2223</f>
        <v>0.5</v>
      </c>
      <c r="AB2224" s="93">
        <f>AD2224/AC2221</f>
        <v>26</v>
      </c>
      <c r="AC2224" s="93">
        <f>AC2221/AA2224</f>
        <v>18.600000000000001</v>
      </c>
      <c r="AD2224" s="94">
        <f>AC2224*Z2224</f>
        <v>241.8</v>
      </c>
      <c r="AE2224" s="190"/>
      <c r="AF2224" s="191"/>
      <c r="AG2224" s="191"/>
      <c r="AH2224" s="191"/>
      <c r="AI2224" s="186"/>
      <c r="AK2224" s="171"/>
    </row>
    <row r="2225" spans="1:41" ht="20.100000000000001" customHeight="1" x14ac:dyDescent="0.25">
      <c r="A2225" s="277" t="s">
        <v>410</v>
      </c>
      <c r="B2225" s="278"/>
      <c r="C2225" s="64" t="s">
        <v>427</v>
      </c>
      <c r="D2225" s="46" t="s">
        <v>215</v>
      </c>
      <c r="E2225" s="114">
        <v>27.1</v>
      </c>
      <c r="F2225" s="44">
        <v>1490</v>
      </c>
      <c r="G2225" s="44">
        <f t="shared" ref="G2225:G2447" si="1686">F2225*E2225</f>
        <v>40379</v>
      </c>
      <c r="H2225" s="44">
        <f t="shared" ref="H2225:H2447" si="1687">AB2225</f>
        <v>851</v>
      </c>
      <c r="I2225" s="43">
        <f t="shared" ref="I2225:I2447" si="1688">H2225*E2225</f>
        <v>23062.100000000002</v>
      </c>
      <c r="J2225" s="112">
        <f t="shared" ref="J2225:J2447" si="1689">E2225</f>
        <v>27.1</v>
      </c>
      <c r="K2225" s="211">
        <f t="shared" ref="K2225:K2447" si="1690">J2225</f>
        <v>27.1</v>
      </c>
      <c r="L2225" s="44"/>
      <c r="M2225" s="44">
        <f t="shared" si="1296"/>
        <v>27.1</v>
      </c>
      <c r="N2225" s="173">
        <f t="shared" ref="N2225:N2447" si="1691">IFERROR(M2225/K2225,0)</f>
        <v>1</v>
      </c>
      <c r="O2225" s="44">
        <f t="shared" ref="O2225:O2447" si="1692">F2225</f>
        <v>1490</v>
      </c>
      <c r="P2225" s="44">
        <f t="shared" ref="P2225:P2447" si="1693">K2225*O2225</f>
        <v>40379</v>
      </c>
      <c r="Q2225" s="44">
        <f t="shared" ref="Q2225:Q2447" si="1694">AB2225</f>
        <v>851</v>
      </c>
      <c r="R2225" s="44">
        <f t="shared" si="1297"/>
        <v>23062.100000000002</v>
      </c>
      <c r="S2225" s="123"/>
      <c r="T2225" s="219">
        <f t="shared" si="1298"/>
        <v>23062.100000000002</v>
      </c>
      <c r="U2225" s="87"/>
      <c r="V2225" s="47"/>
      <c r="W2225" s="48"/>
      <c r="X2225" s="48"/>
      <c r="Y2225" s="48"/>
      <c r="Z2225" s="135"/>
      <c r="AA2225" s="49"/>
      <c r="AB2225" s="50">
        <f t="shared" ref="AB2225:AB2447" si="1695">AD2225/AC2225</f>
        <v>851</v>
      </c>
      <c r="AC2225" s="42">
        <f t="shared" si="1299"/>
        <v>27.1</v>
      </c>
      <c r="AD2225" s="90">
        <f>AD2226</f>
        <v>23062.100000000002</v>
      </c>
      <c r="AE2225" s="188">
        <f t="shared" ref="AE2225" si="1696">AE2226</f>
        <v>0</v>
      </c>
      <c r="AF2225" s="189">
        <f t="shared" ref="AF2225" si="1697">AF2226</f>
        <v>0</v>
      </c>
      <c r="AG2225" s="189">
        <f t="shared" ref="AG2225" si="1698">AG2226</f>
        <v>0</v>
      </c>
      <c r="AH2225" s="189">
        <f t="shared" ref="AH2225" si="1699">AH2226</f>
        <v>0</v>
      </c>
      <c r="AI2225" s="161">
        <f t="shared" ref="AI2225" si="1700">SUM(AE2225:AH2225)</f>
        <v>0</v>
      </c>
      <c r="AK2225" s="169">
        <v>5</v>
      </c>
      <c r="AO2225" s="19" t="s">
        <v>63</v>
      </c>
    </row>
    <row r="2226" spans="1:41" s="103" customFormat="1" ht="19.899999999999999" customHeight="1" x14ac:dyDescent="0.25">
      <c r="A2226" s="51"/>
      <c r="B2226" s="52"/>
      <c r="C2226" s="165"/>
      <c r="D2226" s="52"/>
      <c r="E2226" s="115"/>
      <c r="F2226" s="58"/>
      <c r="G2226" s="58"/>
      <c r="H2226" s="58"/>
      <c r="I2226" s="55"/>
      <c r="J2226" s="113">
        <f>J2225</f>
        <v>27.1</v>
      </c>
      <c r="K2226" s="212">
        <f>K2225</f>
        <v>27.1</v>
      </c>
      <c r="L2226" s="58"/>
      <c r="M2226" s="58">
        <f>K2226-L2226</f>
        <v>27.1</v>
      </c>
      <c r="N2226" s="166"/>
      <c r="O2226" s="58"/>
      <c r="P2226" s="58"/>
      <c r="Q2226" s="58"/>
      <c r="R2226" s="58"/>
      <c r="S2226" s="58"/>
      <c r="T2226" s="220"/>
      <c r="U2226" s="88"/>
      <c r="V2226" s="56"/>
      <c r="W2226" s="57" t="s">
        <v>1294</v>
      </c>
      <c r="X2226" s="53"/>
      <c r="Y2226" s="91" t="s">
        <v>35</v>
      </c>
      <c r="Z2226" s="136">
        <f>AD2226/AC2226</f>
        <v>851</v>
      </c>
      <c r="AA2226" s="58"/>
      <c r="AB2226" s="53">
        <f>AD2226/AC2226</f>
        <v>851</v>
      </c>
      <c r="AC2226" s="53">
        <f>M2226+$AE$10</f>
        <v>27.1</v>
      </c>
      <c r="AD2226" s="54">
        <f>SUM(AD2227:AD2229)</f>
        <v>23062.100000000002</v>
      </c>
      <c r="AE2226" s="184">
        <f>SUMIFS($AD$37:$AD$12971,$V$37:$V$12971,$V2226,$X$37:$X$12971,AE$13)</f>
        <v>0</v>
      </c>
      <c r="AF2226" s="185">
        <f>SUMIFS($AD$37:$AD$12971,$V$37:$V$12971,$V2226,$X$37:$X$12971,AF$13)</f>
        <v>0</v>
      </c>
      <c r="AG2226" s="185">
        <f>SUMIFS($AD$37:$AD$12971,$V$37:$V$12971,$V2226,$X$37:$X$12971,AG$13)</f>
        <v>0</v>
      </c>
      <c r="AH2226" s="187">
        <f>SUMIFS($AD$37:$AD$12971,$V$37:$V$12971,$V2226,$X$37:$X$12971,AH$13)</f>
        <v>0</v>
      </c>
      <c r="AI2226" s="161">
        <f t="shared" ref="AI2226" si="1701">SUM(AE2226:AH2226)</f>
        <v>0</v>
      </c>
      <c r="AK2226" s="172"/>
    </row>
    <row r="2227" spans="1:41" s="102" customFormat="1" ht="19.899999999999999" customHeight="1" x14ac:dyDescent="0.25">
      <c r="A2227" s="45"/>
      <c r="B2227" s="59"/>
      <c r="C2227" s="137"/>
      <c r="D2227" s="59"/>
      <c r="E2227" s="116"/>
      <c r="F2227" s="120"/>
      <c r="G2227" s="120"/>
      <c r="H2227" s="120"/>
      <c r="I2227" s="60"/>
      <c r="J2227" s="116"/>
      <c r="K2227" s="213"/>
      <c r="L2227" s="120"/>
      <c r="M2227" s="120"/>
      <c r="N2227" s="167"/>
      <c r="O2227" s="120"/>
      <c r="P2227" s="120"/>
      <c r="Q2227" s="120"/>
      <c r="R2227" s="120"/>
      <c r="S2227" s="120"/>
      <c r="T2227" s="221"/>
      <c r="U2227" s="89"/>
      <c r="V2227" s="61"/>
      <c r="W2227" s="92" t="s">
        <v>1414</v>
      </c>
      <c r="X2227" s="93" t="s">
        <v>30</v>
      </c>
      <c r="Y2227" s="93" t="s">
        <v>35</v>
      </c>
      <c r="Z2227" s="134">
        <f>VLOOKUP(W2227,Sheet2!$B:$D,3,FALSE)</f>
        <v>791</v>
      </c>
      <c r="AA2227" s="93">
        <v>1</v>
      </c>
      <c r="AB2227" s="93">
        <f t="shared" ref="AB2227" si="1702">AD2227/AC2226</f>
        <v>791</v>
      </c>
      <c r="AC2227" s="93">
        <f>AC2226/AA2227</f>
        <v>27.1</v>
      </c>
      <c r="AD2227" s="94">
        <f t="shared" ref="AD2227:AD2228" si="1703">AC2227*Z2227</f>
        <v>21436.100000000002</v>
      </c>
      <c r="AE2227" s="190"/>
      <c r="AF2227" s="191"/>
      <c r="AG2227" s="191"/>
      <c r="AH2227" s="191"/>
      <c r="AI2227" s="186"/>
      <c r="AK2227" s="171"/>
    </row>
    <row r="2228" spans="1:41" s="102" customFormat="1" ht="19.899999999999999" customHeight="1" x14ac:dyDescent="0.25">
      <c r="A2228" s="45"/>
      <c r="B2228" s="59"/>
      <c r="C2228" s="137"/>
      <c r="D2228" s="59"/>
      <c r="E2228" s="116"/>
      <c r="F2228" s="120"/>
      <c r="G2228" s="120"/>
      <c r="H2228" s="120"/>
      <c r="I2228" s="60"/>
      <c r="J2228" s="116"/>
      <c r="K2228" s="213"/>
      <c r="L2228" s="120"/>
      <c r="M2228" s="120"/>
      <c r="N2228" s="167"/>
      <c r="O2228" s="120"/>
      <c r="P2228" s="120"/>
      <c r="Q2228" s="120"/>
      <c r="R2228" s="120"/>
      <c r="S2228" s="120"/>
      <c r="T2228" s="221"/>
      <c r="U2228" s="89"/>
      <c r="V2228" s="61"/>
      <c r="W2228" s="92" t="s">
        <v>107</v>
      </c>
      <c r="X2228" s="93" t="s">
        <v>31</v>
      </c>
      <c r="Y2228" s="93" t="s">
        <v>93</v>
      </c>
      <c r="Z2228" s="134">
        <f>VLOOKUP(W2228,Sheet2!$B:$D,3,FALSE)</f>
        <v>17</v>
      </c>
      <c r="AA2228" s="93">
        <v>0.5</v>
      </c>
      <c r="AB2228" s="93">
        <f>AD2228/AC2226</f>
        <v>34</v>
      </c>
      <c r="AC2228" s="93">
        <f>AC2226/AA2228</f>
        <v>54.2</v>
      </c>
      <c r="AD2228" s="94">
        <f t="shared" si="1703"/>
        <v>921.40000000000009</v>
      </c>
      <c r="AE2228" s="190"/>
      <c r="AF2228" s="191"/>
      <c r="AG2228" s="191"/>
      <c r="AH2228" s="191"/>
      <c r="AI2228" s="186"/>
      <c r="AK2228" s="171"/>
    </row>
    <row r="2229" spans="1:41" s="102" customFormat="1" ht="19.899999999999999" customHeight="1" x14ac:dyDescent="0.25">
      <c r="A2229" s="45"/>
      <c r="B2229" s="59"/>
      <c r="C2229" s="137"/>
      <c r="D2229" s="59"/>
      <c r="E2229" s="116"/>
      <c r="F2229" s="120"/>
      <c r="G2229" s="120"/>
      <c r="H2229" s="120"/>
      <c r="I2229" s="60"/>
      <c r="J2229" s="116"/>
      <c r="K2229" s="213"/>
      <c r="L2229" s="120"/>
      <c r="M2229" s="120"/>
      <c r="N2229" s="167"/>
      <c r="O2229" s="120"/>
      <c r="P2229" s="120"/>
      <c r="Q2229" s="120"/>
      <c r="R2229" s="120"/>
      <c r="S2229" s="120"/>
      <c r="T2229" s="221"/>
      <c r="U2229" s="89"/>
      <c r="V2229" s="61"/>
      <c r="W2229" s="92" t="s">
        <v>112</v>
      </c>
      <c r="X2229" s="93" t="s">
        <v>31</v>
      </c>
      <c r="Y2229" s="93" t="s">
        <v>93</v>
      </c>
      <c r="Z2229" s="134">
        <f>VLOOKUP(W2229,Sheet2!$B:$D,3,FALSE)</f>
        <v>13</v>
      </c>
      <c r="AA2229" s="93">
        <f>AA2228</f>
        <v>0.5</v>
      </c>
      <c r="AB2229" s="93">
        <f>AD2229/AC2226</f>
        <v>26</v>
      </c>
      <c r="AC2229" s="93">
        <f>AC2226/AA2229</f>
        <v>54.2</v>
      </c>
      <c r="AD2229" s="94">
        <f>AC2229*Z2229</f>
        <v>704.6</v>
      </c>
      <c r="AE2229" s="190"/>
      <c r="AF2229" s="191"/>
      <c r="AG2229" s="191"/>
      <c r="AH2229" s="191"/>
      <c r="AI2229" s="186"/>
      <c r="AK2229" s="171"/>
    </row>
    <row r="2230" spans="1:41" ht="20.100000000000001" customHeight="1" x14ac:dyDescent="0.25">
      <c r="A2230" s="277" t="s">
        <v>410</v>
      </c>
      <c r="B2230" s="278"/>
      <c r="C2230" s="64" t="s">
        <v>428</v>
      </c>
      <c r="D2230" s="46" t="s">
        <v>215</v>
      </c>
      <c r="E2230" s="114">
        <v>2.5</v>
      </c>
      <c r="F2230" s="44">
        <v>2618</v>
      </c>
      <c r="G2230" s="44">
        <f t="shared" si="1686"/>
        <v>6545</v>
      </c>
      <c r="H2230" s="44">
        <f t="shared" si="1687"/>
        <v>1944</v>
      </c>
      <c r="I2230" s="43">
        <f t="shared" si="1688"/>
        <v>4860</v>
      </c>
      <c r="J2230" s="112">
        <f t="shared" si="1689"/>
        <v>2.5</v>
      </c>
      <c r="K2230" s="211">
        <f t="shared" si="1690"/>
        <v>2.5</v>
      </c>
      <c r="L2230" s="44"/>
      <c r="M2230" s="44">
        <f t="shared" ref="M2230:M2447" si="1704">K2230-L2230</f>
        <v>2.5</v>
      </c>
      <c r="N2230" s="173">
        <f t="shared" si="1691"/>
        <v>1</v>
      </c>
      <c r="O2230" s="44">
        <f t="shared" si="1692"/>
        <v>2618</v>
      </c>
      <c r="P2230" s="44">
        <f t="shared" si="1693"/>
        <v>6545</v>
      </c>
      <c r="Q2230" s="44">
        <f t="shared" si="1694"/>
        <v>1944</v>
      </c>
      <c r="R2230" s="44">
        <f t="shared" ref="R2230:R2447" si="1705">M2230*Q2230</f>
        <v>4860</v>
      </c>
      <c r="S2230" s="123"/>
      <c r="T2230" s="219">
        <f t="shared" ref="T2230:T2447" si="1706">S2230+R2230</f>
        <v>4860</v>
      </c>
      <c r="U2230" s="87"/>
      <c r="V2230" s="47"/>
      <c r="W2230" s="48"/>
      <c r="X2230" s="48"/>
      <c r="Y2230" s="48"/>
      <c r="Z2230" s="135"/>
      <c r="AA2230" s="49"/>
      <c r="AB2230" s="50">
        <f t="shared" si="1695"/>
        <v>1944</v>
      </c>
      <c r="AC2230" s="42">
        <f t="shared" ref="AC2230:AC2447" si="1707">M2230+$AE$10</f>
        <v>2.5</v>
      </c>
      <c r="AD2230" s="90">
        <f>AD2231</f>
        <v>4860</v>
      </c>
      <c r="AE2230" s="188">
        <f t="shared" ref="AE2230" si="1708">AE2231</f>
        <v>0</v>
      </c>
      <c r="AF2230" s="189">
        <f t="shared" ref="AF2230" si="1709">AF2231</f>
        <v>0</v>
      </c>
      <c r="AG2230" s="189">
        <f t="shared" ref="AG2230" si="1710">AG2231</f>
        <v>0</v>
      </c>
      <c r="AH2230" s="189">
        <f t="shared" ref="AH2230" si="1711">AH2231</f>
        <v>0</v>
      </c>
      <c r="AI2230" s="161">
        <f t="shared" ref="AI2230:AI2235" si="1712">SUM(AE2230:AH2230)</f>
        <v>0</v>
      </c>
      <c r="AK2230" s="169">
        <v>5</v>
      </c>
      <c r="AO2230" s="19" t="s">
        <v>63</v>
      </c>
    </row>
    <row r="2231" spans="1:41" s="103" customFormat="1" ht="19.899999999999999" customHeight="1" x14ac:dyDescent="0.25">
      <c r="A2231" s="51"/>
      <c r="B2231" s="52"/>
      <c r="C2231" s="165"/>
      <c r="D2231" s="52"/>
      <c r="E2231" s="115"/>
      <c r="F2231" s="58"/>
      <c r="G2231" s="58"/>
      <c r="H2231" s="58"/>
      <c r="I2231" s="55"/>
      <c r="J2231" s="113">
        <f>J2230</f>
        <v>2.5</v>
      </c>
      <c r="K2231" s="212">
        <f>K2230</f>
        <v>2.5</v>
      </c>
      <c r="L2231" s="58"/>
      <c r="M2231" s="58">
        <f>K2231-L2231</f>
        <v>2.5</v>
      </c>
      <c r="N2231" s="166"/>
      <c r="O2231" s="58"/>
      <c r="P2231" s="58"/>
      <c r="Q2231" s="58"/>
      <c r="R2231" s="58"/>
      <c r="S2231" s="58"/>
      <c r="T2231" s="220"/>
      <c r="U2231" s="88"/>
      <c r="V2231" s="56"/>
      <c r="W2231" s="57" t="s">
        <v>1294</v>
      </c>
      <c r="X2231" s="53"/>
      <c r="Y2231" s="91" t="s">
        <v>35</v>
      </c>
      <c r="Z2231" s="136">
        <f>AD2231/AC2231</f>
        <v>1944</v>
      </c>
      <c r="AA2231" s="58"/>
      <c r="AB2231" s="53">
        <f>AD2231/AC2231</f>
        <v>1944</v>
      </c>
      <c r="AC2231" s="53">
        <f>M2231+$AE$10</f>
        <v>2.5</v>
      </c>
      <c r="AD2231" s="54">
        <f>SUM(AD2232:AD2234)</f>
        <v>4860</v>
      </c>
      <c r="AE2231" s="184">
        <f>SUMIFS($AD$37:$AD$12971,$V$37:$V$12971,$V2231,$X$37:$X$12971,AE$13)</f>
        <v>0</v>
      </c>
      <c r="AF2231" s="185">
        <f>SUMIFS($AD$37:$AD$12971,$V$37:$V$12971,$V2231,$X$37:$X$12971,AF$13)</f>
        <v>0</v>
      </c>
      <c r="AG2231" s="185">
        <f>SUMIFS($AD$37:$AD$12971,$V$37:$V$12971,$V2231,$X$37:$X$12971,AG$13)</f>
        <v>0</v>
      </c>
      <c r="AH2231" s="187">
        <f>SUMIFS($AD$37:$AD$12971,$V$37:$V$12971,$V2231,$X$37:$X$12971,AH$13)</f>
        <v>0</v>
      </c>
      <c r="AI2231" s="161">
        <f t="shared" ref="AI2231" si="1713">SUM(AE2231:AH2231)</f>
        <v>0</v>
      </c>
      <c r="AK2231" s="172"/>
    </row>
    <row r="2232" spans="1:41" s="102" customFormat="1" ht="19.899999999999999" customHeight="1" x14ac:dyDescent="0.25">
      <c r="A2232" s="45"/>
      <c r="B2232" s="59"/>
      <c r="C2232" s="137"/>
      <c r="D2232" s="59"/>
      <c r="E2232" s="116"/>
      <c r="F2232" s="120"/>
      <c r="G2232" s="120"/>
      <c r="H2232" s="120"/>
      <c r="I2232" s="60"/>
      <c r="J2232" s="116"/>
      <c r="K2232" s="213"/>
      <c r="L2232" s="120"/>
      <c r="M2232" s="120"/>
      <c r="N2232" s="167"/>
      <c r="O2232" s="120"/>
      <c r="P2232" s="120"/>
      <c r="Q2232" s="120"/>
      <c r="R2232" s="120"/>
      <c r="S2232" s="120"/>
      <c r="T2232" s="221"/>
      <c r="U2232" s="89"/>
      <c r="V2232" s="61"/>
      <c r="W2232" s="92" t="s">
        <v>1415</v>
      </c>
      <c r="X2232" s="93" t="s">
        <v>30</v>
      </c>
      <c r="Y2232" s="93" t="s">
        <v>35</v>
      </c>
      <c r="Z2232" s="134">
        <f>VLOOKUP(W2232,Sheet2!$B:$D,3,FALSE)</f>
        <v>1844</v>
      </c>
      <c r="AA2232" s="93">
        <v>1</v>
      </c>
      <c r="AB2232" s="93">
        <f t="shared" ref="AB2232" si="1714">AD2232/AC2231</f>
        <v>1844</v>
      </c>
      <c r="AC2232" s="93">
        <f>AC2231/AA2232</f>
        <v>2.5</v>
      </c>
      <c r="AD2232" s="94">
        <f t="shared" ref="AD2232:AD2233" si="1715">AC2232*Z2232</f>
        <v>4610</v>
      </c>
      <c r="AE2232" s="190"/>
      <c r="AF2232" s="191"/>
      <c r="AG2232" s="191"/>
      <c r="AH2232" s="191"/>
      <c r="AI2232" s="186"/>
      <c r="AK2232" s="171"/>
    </row>
    <row r="2233" spans="1:41" s="102" customFormat="1" ht="19.899999999999999" customHeight="1" x14ac:dyDescent="0.25">
      <c r="A2233" s="45"/>
      <c r="B2233" s="59"/>
      <c r="C2233" s="137"/>
      <c r="D2233" s="59"/>
      <c r="E2233" s="116"/>
      <c r="F2233" s="120"/>
      <c r="G2233" s="120"/>
      <c r="H2233" s="120"/>
      <c r="I2233" s="60"/>
      <c r="J2233" s="116"/>
      <c r="K2233" s="213"/>
      <c r="L2233" s="120"/>
      <c r="M2233" s="120"/>
      <c r="N2233" s="167"/>
      <c r="O2233" s="120"/>
      <c r="P2233" s="120"/>
      <c r="Q2233" s="120"/>
      <c r="R2233" s="120"/>
      <c r="S2233" s="120"/>
      <c r="T2233" s="221"/>
      <c r="U2233" s="89"/>
      <c r="V2233" s="61"/>
      <c r="W2233" s="92" t="s">
        <v>107</v>
      </c>
      <c r="X2233" s="93" t="s">
        <v>31</v>
      </c>
      <c r="Y2233" s="93" t="s">
        <v>93</v>
      </c>
      <c r="Z2233" s="134">
        <f>VLOOKUP(W2233,Sheet2!$B:$D,3,FALSE)</f>
        <v>17</v>
      </c>
      <c r="AA2233" s="93">
        <v>0.3</v>
      </c>
      <c r="AB2233" s="93">
        <f>AD2233/AC2231</f>
        <v>56.666666666666671</v>
      </c>
      <c r="AC2233" s="93">
        <f>AC2231/AA2233</f>
        <v>8.3333333333333339</v>
      </c>
      <c r="AD2233" s="94">
        <f t="shared" si="1715"/>
        <v>141.66666666666669</v>
      </c>
      <c r="AE2233" s="190"/>
      <c r="AF2233" s="191"/>
      <c r="AG2233" s="191"/>
      <c r="AH2233" s="191"/>
      <c r="AI2233" s="186"/>
      <c r="AK2233" s="171"/>
    </row>
    <row r="2234" spans="1:41" s="102" customFormat="1" ht="19.899999999999999" customHeight="1" x14ac:dyDescent="0.25">
      <c r="A2234" s="45"/>
      <c r="B2234" s="59"/>
      <c r="C2234" s="137"/>
      <c r="D2234" s="59"/>
      <c r="E2234" s="116"/>
      <c r="F2234" s="120"/>
      <c r="G2234" s="120"/>
      <c r="H2234" s="120"/>
      <c r="I2234" s="60"/>
      <c r="J2234" s="116"/>
      <c r="K2234" s="213"/>
      <c r="L2234" s="120"/>
      <c r="M2234" s="120"/>
      <c r="N2234" s="167"/>
      <c r="O2234" s="120"/>
      <c r="P2234" s="120"/>
      <c r="Q2234" s="120"/>
      <c r="R2234" s="120"/>
      <c r="S2234" s="120"/>
      <c r="T2234" s="221"/>
      <c r="U2234" s="89"/>
      <c r="V2234" s="61"/>
      <c r="W2234" s="92" t="s">
        <v>112</v>
      </c>
      <c r="X2234" s="93" t="s">
        <v>31</v>
      </c>
      <c r="Y2234" s="93" t="s">
        <v>93</v>
      </c>
      <c r="Z2234" s="134">
        <f>VLOOKUP(W2234,Sheet2!$B:$D,3,FALSE)</f>
        <v>13</v>
      </c>
      <c r="AA2234" s="93">
        <f>AA2233</f>
        <v>0.3</v>
      </c>
      <c r="AB2234" s="93">
        <f>AD2234/AC2231</f>
        <v>43.333333333333336</v>
      </c>
      <c r="AC2234" s="93">
        <f>AC2231/AA2234</f>
        <v>8.3333333333333339</v>
      </c>
      <c r="AD2234" s="94">
        <f>AC2234*Z2234</f>
        <v>108.33333333333334</v>
      </c>
      <c r="AE2234" s="190"/>
      <c r="AF2234" s="191"/>
      <c r="AG2234" s="191"/>
      <c r="AH2234" s="191"/>
      <c r="AI2234" s="186"/>
      <c r="AK2234" s="171"/>
    </row>
    <row r="2235" spans="1:41" ht="20.100000000000001" customHeight="1" x14ac:dyDescent="0.25">
      <c r="A2235" s="277" t="s">
        <v>410</v>
      </c>
      <c r="B2235" s="278"/>
      <c r="C2235" s="64" t="s">
        <v>429</v>
      </c>
      <c r="D2235" s="46" t="s">
        <v>215</v>
      </c>
      <c r="E2235" s="114">
        <v>47.700000000000102</v>
      </c>
      <c r="F2235" s="44">
        <v>1071</v>
      </c>
      <c r="G2235" s="44">
        <f t="shared" si="1686"/>
        <v>51086.700000000106</v>
      </c>
      <c r="H2235" s="44">
        <f t="shared" si="1687"/>
        <v>275</v>
      </c>
      <c r="I2235" s="43">
        <f t="shared" si="1688"/>
        <v>13117.500000000027</v>
      </c>
      <c r="J2235" s="112">
        <f t="shared" si="1689"/>
        <v>47.700000000000102</v>
      </c>
      <c r="K2235" s="211">
        <f t="shared" si="1690"/>
        <v>47.700000000000102</v>
      </c>
      <c r="L2235" s="44"/>
      <c r="M2235" s="44">
        <f t="shared" si="1704"/>
        <v>47.700000000000102</v>
      </c>
      <c r="N2235" s="173">
        <f t="shared" si="1691"/>
        <v>1</v>
      </c>
      <c r="O2235" s="44">
        <f t="shared" si="1692"/>
        <v>1071</v>
      </c>
      <c r="P2235" s="44">
        <f t="shared" si="1693"/>
        <v>51086.700000000106</v>
      </c>
      <c r="Q2235" s="44">
        <f t="shared" si="1694"/>
        <v>275</v>
      </c>
      <c r="R2235" s="44">
        <f t="shared" si="1705"/>
        <v>13117.500000000027</v>
      </c>
      <c r="S2235" s="123"/>
      <c r="T2235" s="219">
        <f t="shared" si="1706"/>
        <v>13117.500000000027</v>
      </c>
      <c r="U2235" s="87"/>
      <c r="V2235" s="47"/>
      <c r="W2235" s="48"/>
      <c r="X2235" s="48"/>
      <c r="Y2235" s="48"/>
      <c r="Z2235" s="135"/>
      <c r="AA2235" s="49"/>
      <c r="AB2235" s="50">
        <f t="shared" si="1695"/>
        <v>275</v>
      </c>
      <c r="AC2235" s="42">
        <f t="shared" si="1707"/>
        <v>47.700000000000102</v>
      </c>
      <c r="AD2235" s="90">
        <f>AD2236</f>
        <v>13117.500000000027</v>
      </c>
      <c r="AE2235" s="188">
        <f t="shared" ref="AE2235" si="1716">AE2236</f>
        <v>0</v>
      </c>
      <c r="AF2235" s="189">
        <f t="shared" ref="AF2235" si="1717">AF2236</f>
        <v>0</v>
      </c>
      <c r="AG2235" s="189">
        <f t="shared" ref="AG2235" si="1718">AG2236</f>
        <v>0</v>
      </c>
      <c r="AH2235" s="189">
        <f t="shared" ref="AH2235" si="1719">AH2236</f>
        <v>0</v>
      </c>
      <c r="AI2235" s="161">
        <f t="shared" si="1712"/>
        <v>0</v>
      </c>
      <c r="AK2235" s="169">
        <v>5</v>
      </c>
      <c r="AO2235" s="19" t="s">
        <v>63</v>
      </c>
    </row>
    <row r="2236" spans="1:41" s="103" customFormat="1" ht="19.899999999999999" customHeight="1" x14ac:dyDescent="0.25">
      <c r="A2236" s="51"/>
      <c r="B2236" s="52"/>
      <c r="C2236" s="165"/>
      <c r="D2236" s="52"/>
      <c r="E2236" s="115"/>
      <c r="F2236" s="58"/>
      <c r="G2236" s="58"/>
      <c r="H2236" s="58"/>
      <c r="I2236" s="55"/>
      <c r="J2236" s="113">
        <f>J2235</f>
        <v>47.700000000000102</v>
      </c>
      <c r="K2236" s="212">
        <f>K2235</f>
        <v>47.700000000000102</v>
      </c>
      <c r="L2236" s="58"/>
      <c r="M2236" s="58">
        <f>K2236-L2236</f>
        <v>47.700000000000102</v>
      </c>
      <c r="N2236" s="166"/>
      <c r="O2236" s="58"/>
      <c r="P2236" s="58"/>
      <c r="Q2236" s="58"/>
      <c r="R2236" s="58"/>
      <c r="S2236" s="58"/>
      <c r="T2236" s="220"/>
      <c r="U2236" s="88"/>
      <c r="V2236" s="56"/>
      <c r="W2236" s="57" t="s">
        <v>1294</v>
      </c>
      <c r="X2236" s="53"/>
      <c r="Y2236" s="91" t="s">
        <v>35</v>
      </c>
      <c r="Z2236" s="136">
        <f>AD2236/AC2236</f>
        <v>275</v>
      </c>
      <c r="AA2236" s="58"/>
      <c r="AB2236" s="53">
        <f>AD2236/AC2236</f>
        <v>275</v>
      </c>
      <c r="AC2236" s="53">
        <f>M2236+$AE$10</f>
        <v>47.700000000000102</v>
      </c>
      <c r="AD2236" s="54">
        <f>SUM(AD2237:AD2239)</f>
        <v>13117.500000000027</v>
      </c>
      <c r="AE2236" s="184">
        <f>SUMIFS($AD$37:$AD$12971,$V$37:$V$12971,$V2236,$X$37:$X$12971,AE$13)</f>
        <v>0</v>
      </c>
      <c r="AF2236" s="185">
        <f>SUMIFS($AD$37:$AD$12971,$V$37:$V$12971,$V2236,$X$37:$X$12971,AF$13)</f>
        <v>0</v>
      </c>
      <c r="AG2236" s="185">
        <f>SUMIFS($AD$37:$AD$12971,$V$37:$V$12971,$V2236,$X$37:$X$12971,AG$13)</f>
        <v>0</v>
      </c>
      <c r="AH2236" s="187">
        <f>SUMIFS($AD$37:$AD$12971,$V$37:$V$12971,$V2236,$X$37:$X$12971,AH$13)</f>
        <v>0</v>
      </c>
      <c r="AI2236" s="161">
        <f t="shared" ref="AI2236" si="1720">SUM(AE2236:AH2236)</f>
        <v>0</v>
      </c>
      <c r="AK2236" s="172"/>
    </row>
    <row r="2237" spans="1:41" s="102" customFormat="1" ht="19.899999999999999" customHeight="1" x14ac:dyDescent="0.25">
      <c r="A2237" s="45"/>
      <c r="B2237" s="59"/>
      <c r="C2237" s="137"/>
      <c r="D2237" s="59"/>
      <c r="E2237" s="116"/>
      <c r="F2237" s="120"/>
      <c r="G2237" s="120"/>
      <c r="H2237" s="120"/>
      <c r="I2237" s="60"/>
      <c r="J2237" s="116"/>
      <c r="K2237" s="213"/>
      <c r="L2237" s="120"/>
      <c r="M2237" s="120"/>
      <c r="N2237" s="167"/>
      <c r="O2237" s="120"/>
      <c r="P2237" s="120"/>
      <c r="Q2237" s="120"/>
      <c r="R2237" s="120"/>
      <c r="S2237" s="120"/>
      <c r="T2237" s="221"/>
      <c r="U2237" s="89"/>
      <c r="V2237" s="61"/>
      <c r="W2237" s="92" t="s">
        <v>1416</v>
      </c>
      <c r="X2237" s="93" t="s">
        <v>30</v>
      </c>
      <c r="Y2237" s="93" t="s">
        <v>35</v>
      </c>
      <c r="Z2237" s="134">
        <f>VLOOKUP(W2237,Sheet2!$B:$D,3,FALSE)</f>
        <v>215</v>
      </c>
      <c r="AA2237" s="93">
        <v>1</v>
      </c>
      <c r="AB2237" s="93">
        <f t="shared" ref="AB2237" si="1721">AD2237/AC2236</f>
        <v>215</v>
      </c>
      <c r="AC2237" s="93">
        <f>AC2236/AA2237</f>
        <v>47.700000000000102</v>
      </c>
      <c r="AD2237" s="94">
        <f t="shared" ref="AD2237:AD2238" si="1722">AC2237*Z2237</f>
        <v>10255.500000000022</v>
      </c>
      <c r="AE2237" s="190"/>
      <c r="AF2237" s="191"/>
      <c r="AG2237" s="191"/>
      <c r="AH2237" s="191"/>
      <c r="AI2237" s="186"/>
      <c r="AK2237" s="171"/>
    </row>
    <row r="2238" spans="1:41" s="102" customFormat="1" ht="19.899999999999999" customHeight="1" x14ac:dyDescent="0.25">
      <c r="A2238" s="45"/>
      <c r="B2238" s="59"/>
      <c r="C2238" s="137"/>
      <c r="D2238" s="59"/>
      <c r="E2238" s="116"/>
      <c r="F2238" s="120"/>
      <c r="G2238" s="120"/>
      <c r="H2238" s="120"/>
      <c r="I2238" s="60"/>
      <c r="J2238" s="116"/>
      <c r="K2238" s="213"/>
      <c r="L2238" s="120"/>
      <c r="M2238" s="120"/>
      <c r="N2238" s="167"/>
      <c r="O2238" s="120"/>
      <c r="P2238" s="120"/>
      <c r="Q2238" s="120"/>
      <c r="R2238" s="120"/>
      <c r="S2238" s="120"/>
      <c r="T2238" s="221"/>
      <c r="U2238" s="89"/>
      <c r="V2238" s="61"/>
      <c r="W2238" s="92" t="s">
        <v>107</v>
      </c>
      <c r="X2238" s="93" t="s">
        <v>31</v>
      </c>
      <c r="Y2238" s="93" t="s">
        <v>93</v>
      </c>
      <c r="Z2238" s="134">
        <f>VLOOKUP(W2238,Sheet2!$B:$D,3,FALSE)</f>
        <v>17</v>
      </c>
      <c r="AA2238" s="93">
        <v>0.5</v>
      </c>
      <c r="AB2238" s="93">
        <f>AD2238/AC2236</f>
        <v>34</v>
      </c>
      <c r="AC2238" s="93">
        <f>AC2236/AA2238</f>
        <v>95.400000000000205</v>
      </c>
      <c r="AD2238" s="94">
        <f t="shared" si="1722"/>
        <v>1621.8000000000034</v>
      </c>
      <c r="AE2238" s="190"/>
      <c r="AF2238" s="191"/>
      <c r="AG2238" s="191"/>
      <c r="AH2238" s="191"/>
      <c r="AI2238" s="186"/>
      <c r="AK2238" s="171"/>
    </row>
    <row r="2239" spans="1:41" s="102" customFormat="1" ht="19.899999999999999" customHeight="1" x14ac:dyDescent="0.25">
      <c r="A2239" s="45"/>
      <c r="B2239" s="59"/>
      <c r="C2239" s="137"/>
      <c r="D2239" s="59"/>
      <c r="E2239" s="116"/>
      <c r="F2239" s="120"/>
      <c r="G2239" s="120"/>
      <c r="H2239" s="120"/>
      <c r="I2239" s="60"/>
      <c r="J2239" s="116"/>
      <c r="K2239" s="213"/>
      <c r="L2239" s="120"/>
      <c r="M2239" s="120"/>
      <c r="N2239" s="167"/>
      <c r="O2239" s="120"/>
      <c r="P2239" s="120"/>
      <c r="Q2239" s="120"/>
      <c r="R2239" s="120"/>
      <c r="S2239" s="120"/>
      <c r="T2239" s="221"/>
      <c r="U2239" s="89"/>
      <c r="V2239" s="61"/>
      <c r="W2239" s="92" t="s">
        <v>112</v>
      </c>
      <c r="X2239" s="93" t="s">
        <v>31</v>
      </c>
      <c r="Y2239" s="93" t="s">
        <v>93</v>
      </c>
      <c r="Z2239" s="134">
        <f>VLOOKUP(W2239,Sheet2!$B:$D,3,FALSE)</f>
        <v>13</v>
      </c>
      <c r="AA2239" s="93">
        <f>AA2238</f>
        <v>0.5</v>
      </c>
      <c r="AB2239" s="93">
        <f>AD2239/AC2236</f>
        <v>25.999999999999996</v>
      </c>
      <c r="AC2239" s="93">
        <f>AC2236/AA2239</f>
        <v>95.400000000000205</v>
      </c>
      <c r="AD2239" s="94">
        <f>AC2239*Z2239</f>
        <v>1240.2000000000025</v>
      </c>
      <c r="AE2239" s="190"/>
      <c r="AF2239" s="191"/>
      <c r="AG2239" s="191"/>
      <c r="AH2239" s="191"/>
      <c r="AI2239" s="186"/>
      <c r="AK2239" s="171"/>
    </row>
    <row r="2240" spans="1:41" ht="20.100000000000001" customHeight="1" x14ac:dyDescent="0.25">
      <c r="A2240" s="277" t="s">
        <v>410</v>
      </c>
      <c r="B2240" s="278"/>
      <c r="C2240" s="64" t="s">
        <v>430</v>
      </c>
      <c r="D2240" s="46" t="s">
        <v>215</v>
      </c>
      <c r="E2240" s="114">
        <v>25.599999999999994</v>
      </c>
      <c r="F2240" s="44">
        <v>1130</v>
      </c>
      <c r="G2240" s="44">
        <f t="shared" si="1686"/>
        <v>28927.999999999993</v>
      </c>
      <c r="H2240" s="44">
        <f t="shared" si="1687"/>
        <v>289</v>
      </c>
      <c r="I2240" s="43">
        <f t="shared" si="1688"/>
        <v>7398.3999999999987</v>
      </c>
      <c r="J2240" s="112">
        <f t="shared" si="1689"/>
        <v>25.599999999999994</v>
      </c>
      <c r="K2240" s="211">
        <f t="shared" si="1690"/>
        <v>25.599999999999994</v>
      </c>
      <c r="L2240" s="44"/>
      <c r="M2240" s="44">
        <f t="shared" si="1704"/>
        <v>25.599999999999994</v>
      </c>
      <c r="N2240" s="173">
        <f t="shared" si="1691"/>
        <v>1</v>
      </c>
      <c r="O2240" s="44">
        <f t="shared" si="1692"/>
        <v>1130</v>
      </c>
      <c r="P2240" s="44">
        <f t="shared" si="1693"/>
        <v>28927.999999999993</v>
      </c>
      <c r="Q2240" s="44">
        <f t="shared" si="1694"/>
        <v>289</v>
      </c>
      <c r="R2240" s="44">
        <f t="shared" si="1705"/>
        <v>7398.3999999999987</v>
      </c>
      <c r="S2240" s="123"/>
      <c r="T2240" s="219">
        <f t="shared" si="1706"/>
        <v>7398.3999999999987</v>
      </c>
      <c r="U2240" s="87"/>
      <c r="V2240" s="47"/>
      <c r="W2240" s="48"/>
      <c r="X2240" s="48"/>
      <c r="Y2240" s="48"/>
      <c r="Z2240" s="135"/>
      <c r="AA2240" s="49"/>
      <c r="AB2240" s="50">
        <f t="shared" si="1695"/>
        <v>289</v>
      </c>
      <c r="AC2240" s="42">
        <f t="shared" si="1707"/>
        <v>25.599999999999994</v>
      </c>
      <c r="AD2240" s="90">
        <f>AD2241</f>
        <v>7398.3999999999978</v>
      </c>
      <c r="AE2240" s="188">
        <f t="shared" ref="AE2240" si="1723">AE2241</f>
        <v>0</v>
      </c>
      <c r="AF2240" s="189">
        <f t="shared" ref="AF2240" si="1724">AF2241</f>
        <v>0</v>
      </c>
      <c r="AG2240" s="189">
        <f t="shared" ref="AG2240" si="1725">AG2241</f>
        <v>0</v>
      </c>
      <c r="AH2240" s="189">
        <f t="shared" ref="AH2240" si="1726">AH2241</f>
        <v>0</v>
      </c>
      <c r="AI2240" s="161">
        <f t="shared" ref="AI2240" si="1727">SUM(AE2240:AH2240)</f>
        <v>0</v>
      </c>
      <c r="AK2240" s="169">
        <v>5</v>
      </c>
      <c r="AO2240" s="19" t="s">
        <v>63</v>
      </c>
    </row>
    <row r="2241" spans="1:41" s="103" customFormat="1" ht="19.899999999999999" customHeight="1" x14ac:dyDescent="0.25">
      <c r="A2241" s="51"/>
      <c r="B2241" s="52"/>
      <c r="C2241" s="165"/>
      <c r="D2241" s="52"/>
      <c r="E2241" s="115"/>
      <c r="F2241" s="58"/>
      <c r="G2241" s="58"/>
      <c r="H2241" s="58"/>
      <c r="I2241" s="55"/>
      <c r="J2241" s="113">
        <f>J2240</f>
        <v>25.599999999999994</v>
      </c>
      <c r="K2241" s="212">
        <f>K2240</f>
        <v>25.599999999999994</v>
      </c>
      <c r="L2241" s="58"/>
      <c r="M2241" s="58">
        <f>K2241-L2241</f>
        <v>25.599999999999994</v>
      </c>
      <c r="N2241" s="166"/>
      <c r="O2241" s="58"/>
      <c r="P2241" s="58"/>
      <c r="Q2241" s="58"/>
      <c r="R2241" s="58"/>
      <c r="S2241" s="58"/>
      <c r="T2241" s="220"/>
      <c r="U2241" s="88"/>
      <c r="V2241" s="56"/>
      <c r="W2241" s="57" t="s">
        <v>1294</v>
      </c>
      <c r="X2241" s="53"/>
      <c r="Y2241" s="91" t="s">
        <v>35</v>
      </c>
      <c r="Z2241" s="136">
        <f>AD2241/AC2241</f>
        <v>289</v>
      </c>
      <c r="AA2241" s="58"/>
      <c r="AB2241" s="53">
        <f>AD2241/AC2241</f>
        <v>289</v>
      </c>
      <c r="AC2241" s="53">
        <f>M2241+$AE$10</f>
        <v>25.599999999999994</v>
      </c>
      <c r="AD2241" s="54">
        <f>SUM(AD2242:AD2244)</f>
        <v>7398.3999999999978</v>
      </c>
      <c r="AE2241" s="184">
        <f>SUMIFS($AD$37:$AD$12971,$V$37:$V$12971,$V2241,$X$37:$X$12971,AE$13)</f>
        <v>0</v>
      </c>
      <c r="AF2241" s="185">
        <f>SUMIFS($AD$37:$AD$12971,$V$37:$V$12971,$V2241,$X$37:$X$12971,AF$13)</f>
        <v>0</v>
      </c>
      <c r="AG2241" s="185">
        <f>SUMIFS($AD$37:$AD$12971,$V$37:$V$12971,$V2241,$X$37:$X$12971,AG$13)</f>
        <v>0</v>
      </c>
      <c r="AH2241" s="187">
        <f>SUMIFS($AD$37:$AD$12971,$V$37:$V$12971,$V2241,$X$37:$X$12971,AH$13)</f>
        <v>0</v>
      </c>
      <c r="AI2241" s="161">
        <f t="shared" ref="AI2241" si="1728">SUM(AE2241:AH2241)</f>
        <v>0</v>
      </c>
      <c r="AK2241" s="172"/>
    </row>
    <row r="2242" spans="1:41" s="102" customFormat="1" ht="19.899999999999999" customHeight="1" x14ac:dyDescent="0.25">
      <c r="A2242" s="45"/>
      <c r="B2242" s="59"/>
      <c r="C2242" s="137"/>
      <c r="D2242" s="59"/>
      <c r="E2242" s="116"/>
      <c r="F2242" s="120"/>
      <c r="G2242" s="120"/>
      <c r="H2242" s="120"/>
      <c r="I2242" s="60"/>
      <c r="J2242" s="116"/>
      <c r="K2242" s="213"/>
      <c r="L2242" s="120"/>
      <c r="M2242" s="120"/>
      <c r="N2242" s="167"/>
      <c r="O2242" s="120"/>
      <c r="P2242" s="120"/>
      <c r="Q2242" s="120"/>
      <c r="R2242" s="120"/>
      <c r="S2242" s="120"/>
      <c r="T2242" s="221"/>
      <c r="U2242" s="89"/>
      <c r="V2242" s="61"/>
      <c r="W2242" s="92" t="s">
        <v>1417</v>
      </c>
      <c r="X2242" s="93" t="s">
        <v>30</v>
      </c>
      <c r="Y2242" s="93" t="s">
        <v>35</v>
      </c>
      <c r="Z2242" s="134">
        <f>VLOOKUP(W2242,Sheet2!$B:$D,3,FALSE)</f>
        <v>229</v>
      </c>
      <c r="AA2242" s="93">
        <v>1</v>
      </c>
      <c r="AB2242" s="93">
        <f t="shared" ref="AB2242" si="1729">AD2242/AC2241</f>
        <v>229</v>
      </c>
      <c r="AC2242" s="93">
        <f>AC2241/AA2242</f>
        <v>25.599999999999994</v>
      </c>
      <c r="AD2242" s="94">
        <f t="shared" ref="AD2242:AD2243" si="1730">AC2242*Z2242</f>
        <v>5862.3999999999987</v>
      </c>
      <c r="AE2242" s="190"/>
      <c r="AF2242" s="191"/>
      <c r="AG2242" s="191"/>
      <c r="AH2242" s="191"/>
      <c r="AI2242" s="186"/>
      <c r="AK2242" s="171"/>
    </row>
    <row r="2243" spans="1:41" s="102" customFormat="1" ht="19.899999999999999" customHeight="1" x14ac:dyDescent="0.25">
      <c r="A2243" s="45"/>
      <c r="B2243" s="59"/>
      <c r="C2243" s="137"/>
      <c r="D2243" s="59"/>
      <c r="E2243" s="116"/>
      <c r="F2243" s="120"/>
      <c r="G2243" s="120"/>
      <c r="H2243" s="120"/>
      <c r="I2243" s="60"/>
      <c r="J2243" s="116"/>
      <c r="K2243" s="213"/>
      <c r="L2243" s="120"/>
      <c r="M2243" s="120"/>
      <c r="N2243" s="167"/>
      <c r="O2243" s="120"/>
      <c r="P2243" s="120"/>
      <c r="Q2243" s="120"/>
      <c r="R2243" s="120"/>
      <c r="S2243" s="120"/>
      <c r="T2243" s="221"/>
      <c r="U2243" s="89"/>
      <c r="V2243" s="61"/>
      <c r="W2243" s="92" t="s">
        <v>107</v>
      </c>
      <c r="X2243" s="93" t="s">
        <v>31</v>
      </c>
      <c r="Y2243" s="93" t="s">
        <v>93</v>
      </c>
      <c r="Z2243" s="134">
        <f>VLOOKUP(W2243,Sheet2!$B:$D,3,FALSE)</f>
        <v>17</v>
      </c>
      <c r="AA2243" s="93">
        <v>0.5</v>
      </c>
      <c r="AB2243" s="93">
        <f>AD2243/AC2241</f>
        <v>34</v>
      </c>
      <c r="AC2243" s="93">
        <f>AC2241/AA2243</f>
        <v>51.199999999999989</v>
      </c>
      <c r="AD2243" s="94">
        <f t="shared" si="1730"/>
        <v>870.39999999999986</v>
      </c>
      <c r="AE2243" s="190"/>
      <c r="AF2243" s="191"/>
      <c r="AG2243" s="191"/>
      <c r="AH2243" s="191"/>
      <c r="AI2243" s="186"/>
      <c r="AK2243" s="171"/>
    </row>
    <row r="2244" spans="1:41" s="102" customFormat="1" ht="19.899999999999999" customHeight="1" x14ac:dyDescent="0.25">
      <c r="A2244" s="45"/>
      <c r="B2244" s="59"/>
      <c r="C2244" s="137"/>
      <c r="D2244" s="59"/>
      <c r="E2244" s="116"/>
      <c r="F2244" s="120"/>
      <c r="G2244" s="120"/>
      <c r="H2244" s="120"/>
      <c r="I2244" s="60"/>
      <c r="J2244" s="116"/>
      <c r="K2244" s="213"/>
      <c r="L2244" s="120"/>
      <c r="M2244" s="120"/>
      <c r="N2244" s="167"/>
      <c r="O2244" s="120"/>
      <c r="P2244" s="120"/>
      <c r="Q2244" s="120"/>
      <c r="R2244" s="120"/>
      <c r="S2244" s="120"/>
      <c r="T2244" s="221"/>
      <c r="U2244" s="89"/>
      <c r="V2244" s="61"/>
      <c r="W2244" s="92" t="s">
        <v>112</v>
      </c>
      <c r="X2244" s="93" t="s">
        <v>31</v>
      </c>
      <c r="Y2244" s="93" t="s">
        <v>93</v>
      </c>
      <c r="Z2244" s="134">
        <f>VLOOKUP(W2244,Sheet2!$B:$D,3,FALSE)</f>
        <v>13</v>
      </c>
      <c r="AA2244" s="93">
        <f>AA2243</f>
        <v>0.5</v>
      </c>
      <c r="AB2244" s="93">
        <f>AD2244/AC2241</f>
        <v>26.000000000000004</v>
      </c>
      <c r="AC2244" s="93">
        <f>AC2241/AA2244</f>
        <v>51.199999999999989</v>
      </c>
      <c r="AD2244" s="94">
        <f>AC2244*Z2244</f>
        <v>665.59999999999991</v>
      </c>
      <c r="AE2244" s="190"/>
      <c r="AF2244" s="191"/>
      <c r="AG2244" s="191"/>
      <c r="AH2244" s="191"/>
      <c r="AI2244" s="186"/>
      <c r="AK2244" s="171"/>
    </row>
    <row r="2245" spans="1:41" ht="20.100000000000001" customHeight="1" x14ac:dyDescent="0.25">
      <c r="A2245" s="277" t="s">
        <v>410</v>
      </c>
      <c r="B2245" s="278"/>
      <c r="C2245" s="64" t="s">
        <v>431</v>
      </c>
      <c r="D2245" s="46" t="s">
        <v>215</v>
      </c>
      <c r="E2245" s="114">
        <v>22.200000000000017</v>
      </c>
      <c r="F2245" s="44">
        <v>1538</v>
      </c>
      <c r="G2245" s="44">
        <f t="shared" si="1686"/>
        <v>34143.600000000028</v>
      </c>
      <c r="H2245" s="44">
        <f t="shared" si="1687"/>
        <v>880</v>
      </c>
      <c r="I2245" s="43">
        <f t="shared" si="1688"/>
        <v>19536.000000000015</v>
      </c>
      <c r="J2245" s="112">
        <f t="shared" si="1689"/>
        <v>22.200000000000017</v>
      </c>
      <c r="K2245" s="211">
        <f t="shared" si="1690"/>
        <v>22.200000000000017</v>
      </c>
      <c r="L2245" s="44"/>
      <c r="M2245" s="44">
        <f t="shared" si="1704"/>
        <v>22.200000000000017</v>
      </c>
      <c r="N2245" s="173">
        <f t="shared" si="1691"/>
        <v>1</v>
      </c>
      <c r="O2245" s="44">
        <f t="shared" si="1692"/>
        <v>1538</v>
      </c>
      <c r="P2245" s="44">
        <f t="shared" si="1693"/>
        <v>34143.600000000028</v>
      </c>
      <c r="Q2245" s="44">
        <f t="shared" si="1694"/>
        <v>880</v>
      </c>
      <c r="R2245" s="44">
        <f t="shared" si="1705"/>
        <v>19536.000000000015</v>
      </c>
      <c r="S2245" s="123"/>
      <c r="T2245" s="219">
        <f t="shared" si="1706"/>
        <v>19536.000000000015</v>
      </c>
      <c r="U2245" s="87"/>
      <c r="V2245" s="47"/>
      <c r="W2245" s="48"/>
      <c r="X2245" s="48"/>
      <c r="Y2245" s="48"/>
      <c r="Z2245" s="135"/>
      <c r="AA2245" s="49"/>
      <c r="AB2245" s="50">
        <f t="shared" si="1695"/>
        <v>880</v>
      </c>
      <c r="AC2245" s="42">
        <f t="shared" si="1707"/>
        <v>22.200000000000017</v>
      </c>
      <c r="AD2245" s="90">
        <f>AD2246</f>
        <v>19536.000000000015</v>
      </c>
      <c r="AE2245" s="188">
        <f t="shared" ref="AE2245:AH2245" si="1731">AE2246</f>
        <v>0</v>
      </c>
      <c r="AF2245" s="189">
        <f t="shared" si="1731"/>
        <v>0</v>
      </c>
      <c r="AG2245" s="189">
        <f t="shared" si="1731"/>
        <v>0</v>
      </c>
      <c r="AH2245" s="189">
        <f t="shared" si="1731"/>
        <v>0</v>
      </c>
      <c r="AI2245" s="161">
        <f t="shared" ref="AI2245" si="1732">SUM(AE2245:AH2245)</f>
        <v>0</v>
      </c>
      <c r="AK2245" s="169">
        <v>5</v>
      </c>
      <c r="AO2245" s="19" t="s">
        <v>63</v>
      </c>
    </row>
    <row r="2246" spans="1:41" s="103" customFormat="1" ht="19.899999999999999" customHeight="1" x14ac:dyDescent="0.25">
      <c r="A2246" s="51"/>
      <c r="B2246" s="52"/>
      <c r="C2246" s="165"/>
      <c r="D2246" s="52"/>
      <c r="E2246" s="115"/>
      <c r="F2246" s="58"/>
      <c r="G2246" s="58"/>
      <c r="H2246" s="58"/>
      <c r="I2246" s="55"/>
      <c r="J2246" s="113">
        <f>J2245</f>
        <v>22.200000000000017</v>
      </c>
      <c r="K2246" s="212">
        <f>K2245</f>
        <v>22.200000000000017</v>
      </c>
      <c r="L2246" s="58"/>
      <c r="M2246" s="58">
        <f>K2246-L2246</f>
        <v>22.200000000000017</v>
      </c>
      <c r="N2246" s="166"/>
      <c r="O2246" s="58"/>
      <c r="P2246" s="58"/>
      <c r="Q2246" s="58"/>
      <c r="R2246" s="58"/>
      <c r="S2246" s="58"/>
      <c r="T2246" s="220"/>
      <c r="U2246" s="88"/>
      <c r="V2246" s="56"/>
      <c r="W2246" s="57" t="s">
        <v>1294</v>
      </c>
      <c r="X2246" s="53"/>
      <c r="Y2246" s="91" t="s">
        <v>35</v>
      </c>
      <c r="Z2246" s="136">
        <f>AD2246/AC2246</f>
        <v>880</v>
      </c>
      <c r="AA2246" s="58"/>
      <c r="AB2246" s="53">
        <f>AD2246/AC2246</f>
        <v>880</v>
      </c>
      <c r="AC2246" s="53">
        <f>M2246+$AE$10</f>
        <v>22.200000000000017</v>
      </c>
      <c r="AD2246" s="54">
        <f>SUM(AD2247:AD2249)</f>
        <v>19536.000000000015</v>
      </c>
      <c r="AE2246" s="184">
        <f>SUMIFS($AD$37:$AD$12971,$V$37:$V$12971,$V2246,$X$37:$X$12971,AE$13)</f>
        <v>0</v>
      </c>
      <c r="AF2246" s="185">
        <f>SUMIFS($AD$37:$AD$12971,$V$37:$V$12971,$V2246,$X$37:$X$12971,AF$13)</f>
        <v>0</v>
      </c>
      <c r="AG2246" s="185">
        <f>SUMIFS($AD$37:$AD$12971,$V$37:$V$12971,$V2246,$X$37:$X$12971,AG$13)</f>
        <v>0</v>
      </c>
      <c r="AH2246" s="187">
        <f>SUMIFS($AD$37:$AD$12971,$V$37:$V$12971,$V2246,$X$37:$X$12971,AH$13)</f>
        <v>0</v>
      </c>
      <c r="AI2246" s="161">
        <f t="shared" ref="AI2246" si="1733">SUM(AE2246:AH2246)</f>
        <v>0</v>
      </c>
      <c r="AK2246" s="172"/>
    </row>
    <row r="2247" spans="1:41" s="102" customFormat="1" ht="19.899999999999999" customHeight="1" x14ac:dyDescent="0.25">
      <c r="A2247" s="45"/>
      <c r="B2247" s="59"/>
      <c r="C2247" s="137"/>
      <c r="D2247" s="59"/>
      <c r="E2247" s="116"/>
      <c r="F2247" s="120"/>
      <c r="G2247" s="120"/>
      <c r="H2247" s="120"/>
      <c r="I2247" s="60"/>
      <c r="J2247" s="116"/>
      <c r="K2247" s="213"/>
      <c r="L2247" s="120"/>
      <c r="M2247" s="120"/>
      <c r="N2247" s="167"/>
      <c r="O2247" s="120"/>
      <c r="P2247" s="120"/>
      <c r="Q2247" s="120"/>
      <c r="R2247" s="120"/>
      <c r="S2247" s="120"/>
      <c r="T2247" s="221"/>
      <c r="U2247" s="89"/>
      <c r="V2247" s="61"/>
      <c r="W2247" s="92" t="s">
        <v>1418</v>
      </c>
      <c r="X2247" s="93" t="s">
        <v>30</v>
      </c>
      <c r="Y2247" s="93" t="s">
        <v>35</v>
      </c>
      <c r="Z2247" s="134">
        <f>VLOOKUP(W2247,Sheet2!$B:$D,3,FALSE)</f>
        <v>820</v>
      </c>
      <c r="AA2247" s="93">
        <v>1</v>
      </c>
      <c r="AB2247" s="93">
        <f t="shared" ref="AB2247" si="1734">AD2247/AC2246</f>
        <v>820</v>
      </c>
      <c r="AC2247" s="93">
        <f>AC2246/AA2247</f>
        <v>22.200000000000017</v>
      </c>
      <c r="AD2247" s="94">
        <f t="shared" ref="AD2247:AD2248" si="1735">AC2247*Z2247</f>
        <v>18204.000000000015</v>
      </c>
      <c r="AE2247" s="188"/>
      <c r="AF2247" s="189"/>
      <c r="AG2247" s="189"/>
      <c r="AH2247" s="189"/>
      <c r="AI2247" s="186"/>
      <c r="AK2247" s="171"/>
    </row>
    <row r="2248" spans="1:41" s="102" customFormat="1" ht="19.899999999999999" customHeight="1" x14ac:dyDescent="0.25">
      <c r="A2248" s="45"/>
      <c r="B2248" s="59"/>
      <c r="C2248" s="137"/>
      <c r="D2248" s="59"/>
      <c r="E2248" s="116"/>
      <c r="F2248" s="120"/>
      <c r="G2248" s="120"/>
      <c r="H2248" s="120"/>
      <c r="I2248" s="60"/>
      <c r="J2248" s="116"/>
      <c r="K2248" s="213"/>
      <c r="L2248" s="120"/>
      <c r="M2248" s="120"/>
      <c r="N2248" s="167"/>
      <c r="O2248" s="120"/>
      <c r="P2248" s="120"/>
      <c r="Q2248" s="120"/>
      <c r="R2248" s="120"/>
      <c r="S2248" s="120"/>
      <c r="T2248" s="221"/>
      <c r="U2248" s="89"/>
      <c r="V2248" s="61"/>
      <c r="W2248" s="92" t="s">
        <v>107</v>
      </c>
      <c r="X2248" s="93" t="s">
        <v>31</v>
      </c>
      <c r="Y2248" s="93" t="s">
        <v>93</v>
      </c>
      <c r="Z2248" s="134">
        <f>VLOOKUP(W2248,Sheet2!$B:$D,3,FALSE)</f>
        <v>17</v>
      </c>
      <c r="AA2248" s="93">
        <v>0.5</v>
      </c>
      <c r="AB2248" s="93">
        <f>AD2248/AC2246</f>
        <v>34</v>
      </c>
      <c r="AC2248" s="93">
        <f>AC2246/AA2248</f>
        <v>44.400000000000034</v>
      </c>
      <c r="AD2248" s="94">
        <f t="shared" si="1735"/>
        <v>754.80000000000064</v>
      </c>
      <c r="AE2248" s="190"/>
      <c r="AF2248" s="191"/>
      <c r="AG2248" s="191"/>
      <c r="AH2248" s="191"/>
      <c r="AI2248" s="186"/>
      <c r="AK2248" s="171"/>
    </row>
    <row r="2249" spans="1:41" s="102" customFormat="1" ht="19.899999999999999" customHeight="1" x14ac:dyDescent="0.25">
      <c r="A2249" s="45"/>
      <c r="B2249" s="59"/>
      <c r="C2249" s="137"/>
      <c r="D2249" s="59"/>
      <c r="E2249" s="116"/>
      <c r="F2249" s="120"/>
      <c r="G2249" s="120"/>
      <c r="H2249" s="120"/>
      <c r="I2249" s="60"/>
      <c r="J2249" s="116"/>
      <c r="K2249" s="213"/>
      <c r="L2249" s="120"/>
      <c r="M2249" s="120"/>
      <c r="N2249" s="167"/>
      <c r="O2249" s="120"/>
      <c r="P2249" s="120"/>
      <c r="Q2249" s="120"/>
      <c r="R2249" s="120"/>
      <c r="S2249" s="120"/>
      <c r="T2249" s="221"/>
      <c r="U2249" s="89"/>
      <c r="V2249" s="61"/>
      <c r="W2249" s="92" t="s">
        <v>112</v>
      </c>
      <c r="X2249" s="93" t="s">
        <v>31</v>
      </c>
      <c r="Y2249" s="93" t="s">
        <v>93</v>
      </c>
      <c r="Z2249" s="134">
        <f>VLOOKUP(W2249,Sheet2!$B:$D,3,FALSE)</f>
        <v>13</v>
      </c>
      <c r="AA2249" s="93">
        <f>AA2248</f>
        <v>0.5</v>
      </c>
      <c r="AB2249" s="93">
        <f>AD2249/AC2246</f>
        <v>26.000000000000004</v>
      </c>
      <c r="AC2249" s="93">
        <f>AC2246/AA2249</f>
        <v>44.400000000000034</v>
      </c>
      <c r="AD2249" s="94">
        <f>AC2249*Z2249</f>
        <v>577.2000000000005</v>
      </c>
      <c r="AE2249" s="190"/>
      <c r="AF2249" s="191"/>
      <c r="AG2249" s="191"/>
      <c r="AH2249" s="191"/>
      <c r="AI2249" s="186"/>
      <c r="AK2249" s="171"/>
    </row>
    <row r="2250" spans="1:41" ht="20.100000000000001" customHeight="1" x14ac:dyDescent="0.25">
      <c r="A2250" s="277" t="s">
        <v>410</v>
      </c>
      <c r="B2250" s="278"/>
      <c r="C2250" s="64" t="s">
        <v>432</v>
      </c>
      <c r="D2250" s="46" t="s">
        <v>215</v>
      </c>
      <c r="E2250" s="114">
        <v>17.400000000000006</v>
      </c>
      <c r="F2250" s="44">
        <v>2706</v>
      </c>
      <c r="G2250" s="44">
        <f t="shared" si="1686"/>
        <v>47084.400000000016</v>
      </c>
      <c r="H2250" s="44">
        <f t="shared" si="1687"/>
        <v>1957</v>
      </c>
      <c r="I2250" s="43">
        <f t="shared" si="1688"/>
        <v>34051.80000000001</v>
      </c>
      <c r="J2250" s="112">
        <f t="shared" si="1689"/>
        <v>17.400000000000006</v>
      </c>
      <c r="K2250" s="211">
        <f t="shared" si="1690"/>
        <v>17.400000000000006</v>
      </c>
      <c r="L2250" s="44"/>
      <c r="M2250" s="44">
        <f t="shared" si="1704"/>
        <v>17.400000000000006</v>
      </c>
      <c r="N2250" s="173">
        <f t="shared" si="1691"/>
        <v>1</v>
      </c>
      <c r="O2250" s="44">
        <f t="shared" si="1692"/>
        <v>2706</v>
      </c>
      <c r="P2250" s="44">
        <f t="shared" si="1693"/>
        <v>47084.400000000016</v>
      </c>
      <c r="Q2250" s="44">
        <f t="shared" si="1694"/>
        <v>1957</v>
      </c>
      <c r="R2250" s="44">
        <f t="shared" si="1705"/>
        <v>34051.80000000001</v>
      </c>
      <c r="S2250" s="123"/>
      <c r="T2250" s="219">
        <f t="shared" si="1706"/>
        <v>34051.80000000001</v>
      </c>
      <c r="U2250" s="87"/>
      <c r="V2250" s="47"/>
      <c r="W2250" s="48"/>
      <c r="X2250" s="48"/>
      <c r="Y2250" s="48"/>
      <c r="Z2250" s="135"/>
      <c r="AA2250" s="49"/>
      <c r="AB2250" s="50">
        <f t="shared" si="1695"/>
        <v>1957</v>
      </c>
      <c r="AC2250" s="42">
        <f t="shared" si="1707"/>
        <v>17.400000000000006</v>
      </c>
      <c r="AD2250" s="90">
        <f>AD2251</f>
        <v>34051.80000000001</v>
      </c>
      <c r="AE2250" s="188">
        <f t="shared" ref="AE2250" si="1736">AE2251</f>
        <v>0</v>
      </c>
      <c r="AF2250" s="189">
        <f t="shared" ref="AF2250" si="1737">AF2251</f>
        <v>0</v>
      </c>
      <c r="AG2250" s="189">
        <f t="shared" ref="AG2250" si="1738">AG2251</f>
        <v>0</v>
      </c>
      <c r="AH2250" s="189">
        <f t="shared" ref="AH2250" si="1739">AH2251</f>
        <v>0</v>
      </c>
      <c r="AI2250" s="161">
        <f t="shared" ref="AI2250" si="1740">SUM(AE2250:AH2250)</f>
        <v>0</v>
      </c>
      <c r="AK2250" s="169">
        <v>5</v>
      </c>
      <c r="AO2250" s="19" t="s">
        <v>63</v>
      </c>
    </row>
    <row r="2251" spans="1:41" s="103" customFormat="1" ht="19.899999999999999" customHeight="1" x14ac:dyDescent="0.25">
      <c r="A2251" s="51"/>
      <c r="B2251" s="52"/>
      <c r="C2251" s="165"/>
      <c r="D2251" s="52"/>
      <c r="E2251" s="115"/>
      <c r="F2251" s="58"/>
      <c r="G2251" s="58"/>
      <c r="H2251" s="58"/>
      <c r="I2251" s="55"/>
      <c r="J2251" s="113">
        <f>J2250</f>
        <v>17.400000000000006</v>
      </c>
      <c r="K2251" s="212">
        <f>K2250</f>
        <v>17.400000000000006</v>
      </c>
      <c r="L2251" s="58"/>
      <c r="M2251" s="58">
        <f>K2251-L2251</f>
        <v>17.400000000000006</v>
      </c>
      <c r="N2251" s="166"/>
      <c r="O2251" s="58"/>
      <c r="P2251" s="58"/>
      <c r="Q2251" s="58"/>
      <c r="R2251" s="58"/>
      <c r="S2251" s="58"/>
      <c r="T2251" s="220"/>
      <c r="U2251" s="88"/>
      <c r="V2251" s="56"/>
      <c r="W2251" s="57" t="s">
        <v>1294</v>
      </c>
      <c r="X2251" s="53"/>
      <c r="Y2251" s="91" t="s">
        <v>35</v>
      </c>
      <c r="Z2251" s="136">
        <f>AD2251/AC2251</f>
        <v>1957</v>
      </c>
      <c r="AA2251" s="58"/>
      <c r="AB2251" s="53">
        <f>AD2251/AC2251</f>
        <v>1957</v>
      </c>
      <c r="AC2251" s="53">
        <f>M2251+$AE$10</f>
        <v>17.400000000000006</v>
      </c>
      <c r="AD2251" s="54">
        <f>SUM(AD2252:AD2254)</f>
        <v>34051.80000000001</v>
      </c>
      <c r="AE2251" s="184">
        <f>SUMIFS($AD$37:$AD$12971,$V$37:$V$12971,$V2251,$X$37:$X$12971,AE$13)</f>
        <v>0</v>
      </c>
      <c r="AF2251" s="185">
        <f>SUMIFS($AD$37:$AD$12971,$V$37:$V$12971,$V2251,$X$37:$X$12971,AF$13)</f>
        <v>0</v>
      </c>
      <c r="AG2251" s="185">
        <f>SUMIFS($AD$37:$AD$12971,$V$37:$V$12971,$V2251,$X$37:$X$12971,AG$13)</f>
        <v>0</v>
      </c>
      <c r="AH2251" s="187">
        <f>SUMIFS($AD$37:$AD$12971,$V$37:$V$12971,$V2251,$X$37:$X$12971,AH$13)</f>
        <v>0</v>
      </c>
      <c r="AI2251" s="161">
        <f t="shared" ref="AI2251" si="1741">SUM(AE2251:AH2251)</f>
        <v>0</v>
      </c>
      <c r="AK2251" s="172"/>
    </row>
    <row r="2252" spans="1:41" s="102" customFormat="1" ht="19.899999999999999" customHeight="1" x14ac:dyDescent="0.25">
      <c r="A2252" s="45"/>
      <c r="B2252" s="59"/>
      <c r="C2252" s="137"/>
      <c r="D2252" s="59"/>
      <c r="E2252" s="116"/>
      <c r="F2252" s="120"/>
      <c r="G2252" s="120"/>
      <c r="H2252" s="120"/>
      <c r="I2252" s="60"/>
      <c r="J2252" s="116"/>
      <c r="K2252" s="213"/>
      <c r="L2252" s="120"/>
      <c r="M2252" s="120"/>
      <c r="N2252" s="167"/>
      <c r="O2252" s="120"/>
      <c r="P2252" s="120"/>
      <c r="Q2252" s="120"/>
      <c r="R2252" s="120"/>
      <c r="S2252" s="120"/>
      <c r="T2252" s="221"/>
      <c r="U2252" s="89"/>
      <c r="V2252" s="61"/>
      <c r="W2252" s="92" t="s">
        <v>1419</v>
      </c>
      <c r="X2252" s="93" t="s">
        <v>30</v>
      </c>
      <c r="Y2252" s="93" t="s">
        <v>35</v>
      </c>
      <c r="Z2252" s="134">
        <f>VLOOKUP(W2252,Sheet2!$B:$D,3,FALSE)</f>
        <v>1857</v>
      </c>
      <c r="AA2252" s="93">
        <v>1</v>
      </c>
      <c r="AB2252" s="93">
        <f t="shared" ref="AB2252" si="1742">AD2252/AC2251</f>
        <v>1857</v>
      </c>
      <c r="AC2252" s="93">
        <f>AC2251/AA2252</f>
        <v>17.400000000000006</v>
      </c>
      <c r="AD2252" s="94">
        <f t="shared" ref="AD2252:AD2253" si="1743">AC2252*Z2252</f>
        <v>32311.80000000001</v>
      </c>
      <c r="AE2252" s="190"/>
      <c r="AF2252" s="191"/>
      <c r="AG2252" s="191"/>
      <c r="AH2252" s="191"/>
      <c r="AI2252" s="186"/>
      <c r="AK2252" s="171"/>
    </row>
    <row r="2253" spans="1:41" s="102" customFormat="1" ht="19.899999999999999" customHeight="1" x14ac:dyDescent="0.25">
      <c r="A2253" s="45"/>
      <c r="B2253" s="59"/>
      <c r="C2253" s="137"/>
      <c r="D2253" s="59"/>
      <c r="E2253" s="116"/>
      <c r="F2253" s="120"/>
      <c r="G2253" s="120"/>
      <c r="H2253" s="120"/>
      <c r="I2253" s="60"/>
      <c r="J2253" s="116"/>
      <c r="K2253" s="213"/>
      <c r="L2253" s="120"/>
      <c r="M2253" s="120"/>
      <c r="N2253" s="167"/>
      <c r="O2253" s="120"/>
      <c r="P2253" s="120"/>
      <c r="Q2253" s="120"/>
      <c r="R2253" s="120"/>
      <c r="S2253" s="120"/>
      <c r="T2253" s="221"/>
      <c r="U2253" s="89"/>
      <c r="V2253" s="61"/>
      <c r="W2253" s="92" t="s">
        <v>107</v>
      </c>
      <c r="X2253" s="93" t="s">
        <v>31</v>
      </c>
      <c r="Y2253" s="93" t="s">
        <v>93</v>
      </c>
      <c r="Z2253" s="134">
        <f>VLOOKUP(W2253,Sheet2!$B:$D,3,FALSE)</f>
        <v>17</v>
      </c>
      <c r="AA2253" s="93">
        <v>0.3</v>
      </c>
      <c r="AB2253" s="93">
        <f>AD2253/AC2251</f>
        <v>56.666666666666664</v>
      </c>
      <c r="AC2253" s="93">
        <f>AC2251/AA2253</f>
        <v>58.000000000000021</v>
      </c>
      <c r="AD2253" s="94">
        <f t="shared" si="1743"/>
        <v>986.00000000000034</v>
      </c>
      <c r="AE2253" s="190"/>
      <c r="AF2253" s="191"/>
      <c r="AG2253" s="191"/>
      <c r="AH2253" s="191"/>
      <c r="AI2253" s="186"/>
      <c r="AK2253" s="171"/>
    </row>
    <row r="2254" spans="1:41" s="102" customFormat="1" ht="19.899999999999999" customHeight="1" x14ac:dyDescent="0.25">
      <c r="A2254" s="45"/>
      <c r="B2254" s="59"/>
      <c r="C2254" s="137"/>
      <c r="D2254" s="59"/>
      <c r="E2254" s="116"/>
      <c r="F2254" s="120"/>
      <c r="G2254" s="120"/>
      <c r="H2254" s="120"/>
      <c r="I2254" s="60"/>
      <c r="J2254" s="116"/>
      <c r="K2254" s="213"/>
      <c r="L2254" s="120"/>
      <c r="M2254" s="120"/>
      <c r="N2254" s="167"/>
      <c r="O2254" s="120"/>
      <c r="P2254" s="120"/>
      <c r="Q2254" s="120"/>
      <c r="R2254" s="120"/>
      <c r="S2254" s="120"/>
      <c r="T2254" s="221"/>
      <c r="U2254" s="89"/>
      <c r="V2254" s="61"/>
      <c r="W2254" s="92" t="s">
        <v>112</v>
      </c>
      <c r="X2254" s="93" t="s">
        <v>31</v>
      </c>
      <c r="Y2254" s="93" t="s">
        <v>93</v>
      </c>
      <c r="Z2254" s="134">
        <f>VLOOKUP(W2254,Sheet2!$B:$D,3,FALSE)</f>
        <v>13</v>
      </c>
      <c r="AA2254" s="93">
        <f>AA2253</f>
        <v>0.3</v>
      </c>
      <c r="AB2254" s="93">
        <f>AD2254/AC2251</f>
        <v>43.333333333333336</v>
      </c>
      <c r="AC2254" s="93">
        <f>AC2251/AA2254</f>
        <v>58.000000000000021</v>
      </c>
      <c r="AD2254" s="94">
        <f>AC2254*Z2254</f>
        <v>754.00000000000023</v>
      </c>
      <c r="AE2254" s="190"/>
      <c r="AF2254" s="191"/>
      <c r="AG2254" s="191"/>
      <c r="AH2254" s="191"/>
      <c r="AI2254" s="186"/>
      <c r="AK2254" s="171"/>
    </row>
    <row r="2255" spans="1:41" ht="20.100000000000001" customHeight="1" x14ac:dyDescent="0.25">
      <c r="A2255" s="277" t="s">
        <v>410</v>
      </c>
      <c r="B2255" s="278"/>
      <c r="C2255" s="64" t="s">
        <v>433</v>
      </c>
      <c r="D2255" s="46" t="s">
        <v>215</v>
      </c>
      <c r="E2255" s="114">
        <v>0.39999999999999991</v>
      </c>
      <c r="F2255" s="44">
        <v>1071</v>
      </c>
      <c r="G2255" s="44">
        <f t="shared" si="1686"/>
        <v>428.39999999999992</v>
      </c>
      <c r="H2255" s="44">
        <f t="shared" si="1687"/>
        <v>287.5</v>
      </c>
      <c r="I2255" s="43">
        <f t="shared" si="1688"/>
        <v>114.99999999999997</v>
      </c>
      <c r="J2255" s="112">
        <f t="shared" si="1689"/>
        <v>0.39999999999999991</v>
      </c>
      <c r="K2255" s="211">
        <f t="shared" si="1690"/>
        <v>0.39999999999999991</v>
      </c>
      <c r="L2255" s="44"/>
      <c r="M2255" s="44">
        <f t="shared" si="1704"/>
        <v>0.39999999999999991</v>
      </c>
      <c r="N2255" s="173">
        <f t="shared" si="1691"/>
        <v>1</v>
      </c>
      <c r="O2255" s="44">
        <f t="shared" si="1692"/>
        <v>1071</v>
      </c>
      <c r="P2255" s="44">
        <f t="shared" si="1693"/>
        <v>428.39999999999992</v>
      </c>
      <c r="Q2255" s="44">
        <f t="shared" si="1694"/>
        <v>287.5</v>
      </c>
      <c r="R2255" s="44">
        <f t="shared" si="1705"/>
        <v>114.99999999999997</v>
      </c>
      <c r="S2255" s="123"/>
      <c r="T2255" s="219">
        <f t="shared" si="1706"/>
        <v>114.99999999999997</v>
      </c>
      <c r="U2255" s="87"/>
      <c r="V2255" s="47"/>
      <c r="W2255" s="48"/>
      <c r="X2255" s="48"/>
      <c r="Y2255" s="48"/>
      <c r="Z2255" s="135"/>
      <c r="AA2255" s="49"/>
      <c r="AB2255" s="50">
        <f t="shared" si="1695"/>
        <v>287.5</v>
      </c>
      <c r="AC2255" s="42">
        <f t="shared" si="1707"/>
        <v>0.39999999999999991</v>
      </c>
      <c r="AD2255" s="90">
        <f>AD2256</f>
        <v>114.99999999999997</v>
      </c>
      <c r="AE2255" s="188">
        <f t="shared" ref="AE2255" si="1744">AE2256</f>
        <v>0</v>
      </c>
      <c r="AF2255" s="189">
        <f t="shared" ref="AF2255" si="1745">AF2256</f>
        <v>0</v>
      </c>
      <c r="AG2255" s="189">
        <f t="shared" ref="AG2255" si="1746">AG2256</f>
        <v>0</v>
      </c>
      <c r="AH2255" s="189">
        <f t="shared" ref="AH2255" si="1747">AH2256</f>
        <v>0</v>
      </c>
      <c r="AI2255" s="161">
        <f t="shared" ref="AI2255" si="1748">SUM(AE2255:AH2255)</f>
        <v>0</v>
      </c>
      <c r="AK2255" s="169">
        <v>5</v>
      </c>
      <c r="AO2255" s="19" t="s">
        <v>63</v>
      </c>
    </row>
    <row r="2256" spans="1:41" s="103" customFormat="1" ht="19.899999999999999" customHeight="1" x14ac:dyDescent="0.25">
      <c r="A2256" s="51"/>
      <c r="B2256" s="52"/>
      <c r="C2256" s="165"/>
      <c r="D2256" s="52"/>
      <c r="E2256" s="115"/>
      <c r="F2256" s="58"/>
      <c r="G2256" s="58"/>
      <c r="H2256" s="58"/>
      <c r="I2256" s="55"/>
      <c r="J2256" s="113">
        <f>J2255</f>
        <v>0.39999999999999991</v>
      </c>
      <c r="K2256" s="212">
        <f>K2255</f>
        <v>0.39999999999999991</v>
      </c>
      <c r="L2256" s="58"/>
      <c r="M2256" s="58">
        <f>K2256-L2256</f>
        <v>0.39999999999999991</v>
      </c>
      <c r="N2256" s="166"/>
      <c r="O2256" s="58"/>
      <c r="P2256" s="58"/>
      <c r="Q2256" s="58"/>
      <c r="R2256" s="58"/>
      <c r="S2256" s="58"/>
      <c r="T2256" s="220"/>
      <c r="U2256" s="88"/>
      <c r="V2256" s="56"/>
      <c r="W2256" s="57" t="s">
        <v>1294</v>
      </c>
      <c r="X2256" s="53"/>
      <c r="Y2256" s="91" t="s">
        <v>35</v>
      </c>
      <c r="Z2256" s="136">
        <f>AD2256/AC2256</f>
        <v>287.5</v>
      </c>
      <c r="AA2256" s="58"/>
      <c r="AB2256" s="53">
        <f>AD2256/AC2256</f>
        <v>287.5</v>
      </c>
      <c r="AC2256" s="53">
        <f>M2256+$AE$10</f>
        <v>0.39999999999999991</v>
      </c>
      <c r="AD2256" s="54">
        <f>SUM(AD2257:AD2259)</f>
        <v>114.99999999999997</v>
      </c>
      <c r="AE2256" s="184">
        <f>SUMIFS($AD$37:$AD$12971,$V$37:$V$12971,$V2256,$X$37:$X$12971,AE$13)</f>
        <v>0</v>
      </c>
      <c r="AF2256" s="185">
        <f>SUMIFS($AD$37:$AD$12971,$V$37:$V$12971,$V2256,$X$37:$X$12971,AF$13)</f>
        <v>0</v>
      </c>
      <c r="AG2256" s="185">
        <f>SUMIFS($AD$37:$AD$12971,$V$37:$V$12971,$V2256,$X$37:$X$12971,AG$13)</f>
        <v>0</v>
      </c>
      <c r="AH2256" s="187">
        <f>SUMIFS($AD$37:$AD$12971,$V$37:$V$12971,$V2256,$X$37:$X$12971,AH$13)</f>
        <v>0</v>
      </c>
      <c r="AI2256" s="161">
        <f t="shared" ref="AI2256" si="1749">SUM(AE2256:AH2256)</f>
        <v>0</v>
      </c>
      <c r="AK2256" s="172"/>
    </row>
    <row r="2257" spans="1:41" s="102" customFormat="1" ht="19.899999999999999" customHeight="1" x14ac:dyDescent="0.25">
      <c r="A2257" s="45"/>
      <c r="B2257" s="59"/>
      <c r="C2257" s="137"/>
      <c r="D2257" s="59"/>
      <c r="E2257" s="116"/>
      <c r="F2257" s="120"/>
      <c r="G2257" s="120"/>
      <c r="H2257" s="120"/>
      <c r="I2257" s="60"/>
      <c r="J2257" s="116"/>
      <c r="K2257" s="213"/>
      <c r="L2257" s="120"/>
      <c r="M2257" s="120"/>
      <c r="N2257" s="167"/>
      <c r="O2257" s="120"/>
      <c r="P2257" s="120"/>
      <c r="Q2257" s="120"/>
      <c r="R2257" s="120"/>
      <c r="S2257" s="120"/>
      <c r="T2257" s="221"/>
      <c r="U2257" s="89"/>
      <c r="V2257" s="61"/>
      <c r="W2257" s="92" t="s">
        <v>1420</v>
      </c>
      <c r="X2257" s="93" t="s">
        <v>30</v>
      </c>
      <c r="Y2257" s="93" t="s">
        <v>35</v>
      </c>
      <c r="Z2257" s="134">
        <f>VLOOKUP(W2257,Sheet2!$B:$D,3,FALSE)</f>
        <v>227.5</v>
      </c>
      <c r="AA2257" s="93">
        <v>1</v>
      </c>
      <c r="AB2257" s="93">
        <f t="shared" ref="AB2257" si="1750">AD2257/AC2256</f>
        <v>227.50000000000003</v>
      </c>
      <c r="AC2257" s="93">
        <f>AC2256/AA2257</f>
        <v>0.39999999999999991</v>
      </c>
      <c r="AD2257" s="94">
        <f t="shared" ref="AD2257:AD2258" si="1751">AC2257*Z2257</f>
        <v>90.999999999999986</v>
      </c>
      <c r="AE2257" s="190"/>
      <c r="AF2257" s="191"/>
      <c r="AG2257" s="191"/>
      <c r="AH2257" s="191"/>
      <c r="AI2257" s="186"/>
      <c r="AK2257" s="171"/>
    </row>
    <row r="2258" spans="1:41" s="102" customFormat="1" ht="19.899999999999999" customHeight="1" x14ac:dyDescent="0.25">
      <c r="A2258" s="45"/>
      <c r="B2258" s="59"/>
      <c r="C2258" s="137"/>
      <c r="D2258" s="59"/>
      <c r="E2258" s="116"/>
      <c r="F2258" s="120"/>
      <c r="G2258" s="120"/>
      <c r="H2258" s="120"/>
      <c r="I2258" s="60"/>
      <c r="J2258" s="116"/>
      <c r="K2258" s="213"/>
      <c r="L2258" s="120"/>
      <c r="M2258" s="120"/>
      <c r="N2258" s="167"/>
      <c r="O2258" s="120"/>
      <c r="P2258" s="120"/>
      <c r="Q2258" s="120"/>
      <c r="R2258" s="120"/>
      <c r="S2258" s="120"/>
      <c r="T2258" s="221"/>
      <c r="U2258" s="89"/>
      <c r="V2258" s="61"/>
      <c r="W2258" s="92" t="s">
        <v>107</v>
      </c>
      <c r="X2258" s="93" t="s">
        <v>31</v>
      </c>
      <c r="Y2258" s="93" t="s">
        <v>93</v>
      </c>
      <c r="Z2258" s="134">
        <f>VLOOKUP(W2258,Sheet2!$B:$D,3,FALSE)</f>
        <v>17</v>
      </c>
      <c r="AA2258" s="93">
        <v>0.5</v>
      </c>
      <c r="AB2258" s="93">
        <f>AD2258/AC2256</f>
        <v>34</v>
      </c>
      <c r="AC2258" s="93">
        <f>AC2256/AA2258</f>
        <v>0.79999999999999982</v>
      </c>
      <c r="AD2258" s="94">
        <f t="shared" si="1751"/>
        <v>13.599999999999998</v>
      </c>
      <c r="AE2258" s="190"/>
      <c r="AF2258" s="191"/>
      <c r="AG2258" s="191"/>
      <c r="AH2258" s="191"/>
      <c r="AI2258" s="186"/>
      <c r="AK2258" s="171"/>
    </row>
    <row r="2259" spans="1:41" s="102" customFormat="1" ht="19.899999999999999" customHeight="1" x14ac:dyDescent="0.25">
      <c r="A2259" s="45"/>
      <c r="B2259" s="59"/>
      <c r="C2259" s="137"/>
      <c r="D2259" s="59"/>
      <c r="E2259" s="116"/>
      <c r="F2259" s="120"/>
      <c r="G2259" s="120"/>
      <c r="H2259" s="120"/>
      <c r="I2259" s="60"/>
      <c r="J2259" s="116"/>
      <c r="K2259" s="213"/>
      <c r="L2259" s="120"/>
      <c r="M2259" s="120"/>
      <c r="N2259" s="167"/>
      <c r="O2259" s="120"/>
      <c r="P2259" s="120"/>
      <c r="Q2259" s="120"/>
      <c r="R2259" s="120"/>
      <c r="S2259" s="120"/>
      <c r="T2259" s="221"/>
      <c r="U2259" s="89"/>
      <c r="V2259" s="61"/>
      <c r="W2259" s="92" t="s">
        <v>112</v>
      </c>
      <c r="X2259" s="93" t="s">
        <v>31</v>
      </c>
      <c r="Y2259" s="93" t="s">
        <v>93</v>
      </c>
      <c r="Z2259" s="134">
        <f>VLOOKUP(W2259,Sheet2!$B:$D,3,FALSE)</f>
        <v>13</v>
      </c>
      <c r="AA2259" s="93">
        <f>AA2258</f>
        <v>0.5</v>
      </c>
      <c r="AB2259" s="93">
        <f>AD2259/AC2256</f>
        <v>26.000000000000004</v>
      </c>
      <c r="AC2259" s="93">
        <f>AC2256/AA2259</f>
        <v>0.79999999999999982</v>
      </c>
      <c r="AD2259" s="94">
        <f>AC2259*Z2259</f>
        <v>10.399999999999999</v>
      </c>
      <c r="AE2259" s="190"/>
      <c r="AF2259" s="191"/>
      <c r="AG2259" s="191"/>
      <c r="AH2259" s="191"/>
      <c r="AI2259" s="186"/>
      <c r="AK2259" s="171"/>
    </row>
    <row r="2260" spans="1:41" ht="20.100000000000001" customHeight="1" x14ac:dyDescent="0.25">
      <c r="A2260" s="277" t="s">
        <v>410</v>
      </c>
      <c r="B2260" s="278"/>
      <c r="C2260" s="64" t="s">
        <v>434</v>
      </c>
      <c r="D2260" s="46" t="s">
        <v>215</v>
      </c>
      <c r="E2260" s="114"/>
      <c r="F2260" s="44">
        <v>0</v>
      </c>
      <c r="G2260" s="44">
        <f t="shared" si="1686"/>
        <v>0</v>
      </c>
      <c r="H2260" s="44">
        <f t="shared" si="1687"/>
        <v>0</v>
      </c>
      <c r="I2260" s="43">
        <f t="shared" si="1688"/>
        <v>0</v>
      </c>
      <c r="J2260" s="112">
        <f t="shared" si="1689"/>
        <v>0</v>
      </c>
      <c r="K2260" s="211">
        <f t="shared" si="1690"/>
        <v>0</v>
      </c>
      <c r="L2260" s="44"/>
      <c r="M2260" s="44">
        <f t="shared" si="1704"/>
        <v>0</v>
      </c>
      <c r="N2260" s="173">
        <f t="shared" si="1691"/>
        <v>0</v>
      </c>
      <c r="O2260" s="44">
        <f t="shared" si="1692"/>
        <v>0</v>
      </c>
      <c r="P2260" s="44">
        <f t="shared" si="1693"/>
        <v>0</v>
      </c>
      <c r="Q2260" s="44">
        <f t="shared" si="1694"/>
        <v>0</v>
      </c>
      <c r="R2260" s="44">
        <f t="shared" si="1705"/>
        <v>0</v>
      </c>
      <c r="S2260" s="123"/>
      <c r="T2260" s="219">
        <f t="shared" si="1706"/>
        <v>0</v>
      </c>
      <c r="U2260" s="87"/>
      <c r="V2260" s="47"/>
      <c r="W2260" s="48"/>
      <c r="X2260" s="48"/>
      <c r="Y2260" s="48"/>
      <c r="Z2260" s="135"/>
      <c r="AA2260" s="49"/>
      <c r="AB2260" s="50">
        <f t="shared" si="1695"/>
        <v>0</v>
      </c>
      <c r="AC2260" s="42">
        <f t="shared" si="1707"/>
        <v>9.9999999999999998E-20</v>
      </c>
      <c r="AD2260" s="90"/>
      <c r="AE2260" s="188"/>
      <c r="AF2260" s="189"/>
      <c r="AG2260" s="189"/>
      <c r="AH2260" s="189"/>
      <c r="AI2260" s="161"/>
    </row>
    <row r="2261" spans="1:41" ht="20.100000000000001" customHeight="1" x14ac:dyDescent="0.25">
      <c r="A2261" s="277" t="s">
        <v>410</v>
      </c>
      <c r="B2261" s="278"/>
      <c r="C2261" s="64" t="s">
        <v>435</v>
      </c>
      <c r="D2261" s="46" t="s">
        <v>215</v>
      </c>
      <c r="E2261" s="114">
        <v>0.19999999999999996</v>
      </c>
      <c r="F2261" s="44">
        <v>3587</v>
      </c>
      <c r="G2261" s="44">
        <f t="shared" si="1686"/>
        <v>717.39999999999986</v>
      </c>
      <c r="H2261" s="44">
        <f t="shared" si="1687"/>
        <v>2520</v>
      </c>
      <c r="I2261" s="43">
        <f t="shared" si="1688"/>
        <v>503.99999999999989</v>
      </c>
      <c r="J2261" s="112">
        <f t="shared" si="1689"/>
        <v>0.19999999999999996</v>
      </c>
      <c r="K2261" s="211">
        <f t="shared" si="1690"/>
        <v>0.19999999999999996</v>
      </c>
      <c r="L2261" s="44"/>
      <c r="M2261" s="44">
        <f t="shared" si="1704"/>
        <v>0.19999999999999996</v>
      </c>
      <c r="N2261" s="173">
        <f t="shared" si="1691"/>
        <v>1</v>
      </c>
      <c r="O2261" s="44">
        <f t="shared" si="1692"/>
        <v>3587</v>
      </c>
      <c r="P2261" s="44">
        <f t="shared" si="1693"/>
        <v>717.39999999999986</v>
      </c>
      <c r="Q2261" s="44">
        <f t="shared" si="1694"/>
        <v>2520</v>
      </c>
      <c r="R2261" s="44">
        <f t="shared" si="1705"/>
        <v>503.99999999999989</v>
      </c>
      <c r="S2261" s="123"/>
      <c r="T2261" s="219">
        <f t="shared" si="1706"/>
        <v>503.99999999999989</v>
      </c>
      <c r="U2261" s="87"/>
      <c r="V2261" s="47"/>
      <c r="W2261" s="48"/>
      <c r="X2261" s="48"/>
      <c r="Y2261" s="48"/>
      <c r="Z2261" s="135"/>
      <c r="AA2261" s="49"/>
      <c r="AB2261" s="50">
        <f t="shared" si="1695"/>
        <v>2520</v>
      </c>
      <c r="AC2261" s="42">
        <f t="shared" si="1707"/>
        <v>0.19999999999999996</v>
      </c>
      <c r="AD2261" s="90">
        <f>AD2262</f>
        <v>503.99999999999989</v>
      </c>
      <c r="AE2261" s="188">
        <f t="shared" ref="AE2261" si="1752">AE2262</f>
        <v>0</v>
      </c>
      <c r="AF2261" s="189">
        <f t="shared" ref="AF2261" si="1753">AF2262</f>
        <v>0</v>
      </c>
      <c r="AG2261" s="189">
        <f t="shared" ref="AG2261" si="1754">AG2262</f>
        <v>0</v>
      </c>
      <c r="AH2261" s="189">
        <f t="shared" ref="AH2261" si="1755">AH2262</f>
        <v>0</v>
      </c>
      <c r="AI2261" s="161">
        <f t="shared" ref="AI2261" si="1756">SUM(AE2261:AH2261)</f>
        <v>0</v>
      </c>
      <c r="AK2261" s="169">
        <v>5</v>
      </c>
      <c r="AO2261" s="19" t="s">
        <v>63</v>
      </c>
    </row>
    <row r="2262" spans="1:41" s="103" customFormat="1" ht="19.899999999999999" customHeight="1" x14ac:dyDescent="0.25">
      <c r="A2262" s="51"/>
      <c r="B2262" s="52"/>
      <c r="C2262" s="165"/>
      <c r="D2262" s="52"/>
      <c r="E2262" s="115"/>
      <c r="F2262" s="58"/>
      <c r="G2262" s="58"/>
      <c r="H2262" s="58"/>
      <c r="I2262" s="55"/>
      <c r="J2262" s="113">
        <f>J2261</f>
        <v>0.19999999999999996</v>
      </c>
      <c r="K2262" s="212">
        <f>K2261</f>
        <v>0.19999999999999996</v>
      </c>
      <c r="L2262" s="58"/>
      <c r="M2262" s="58">
        <f>K2262-L2262</f>
        <v>0.19999999999999996</v>
      </c>
      <c r="N2262" s="166"/>
      <c r="O2262" s="58"/>
      <c r="P2262" s="58"/>
      <c r="Q2262" s="58"/>
      <c r="R2262" s="58"/>
      <c r="S2262" s="58"/>
      <c r="T2262" s="220"/>
      <c r="U2262" s="88"/>
      <c r="V2262" s="56"/>
      <c r="W2262" s="57" t="s">
        <v>1294</v>
      </c>
      <c r="X2262" s="53"/>
      <c r="Y2262" s="91" t="s">
        <v>35</v>
      </c>
      <c r="Z2262" s="136">
        <f>AD2262/AC2262</f>
        <v>2520</v>
      </c>
      <c r="AA2262" s="58"/>
      <c r="AB2262" s="53">
        <f>AD2262/AC2262</f>
        <v>2520</v>
      </c>
      <c r="AC2262" s="53">
        <f>M2262+$AE$10</f>
        <v>0.19999999999999996</v>
      </c>
      <c r="AD2262" s="54">
        <f>SUM(AD2263:AD2265)</f>
        <v>503.99999999999989</v>
      </c>
      <c r="AE2262" s="184">
        <f>SUMIFS($AD$37:$AD$12971,$V$37:$V$12971,$V2262,$X$37:$X$12971,AE$13)</f>
        <v>0</v>
      </c>
      <c r="AF2262" s="185">
        <f>SUMIFS($AD$37:$AD$12971,$V$37:$V$12971,$V2262,$X$37:$X$12971,AF$13)</f>
        <v>0</v>
      </c>
      <c r="AG2262" s="185">
        <f>SUMIFS($AD$37:$AD$12971,$V$37:$V$12971,$V2262,$X$37:$X$12971,AG$13)</f>
        <v>0</v>
      </c>
      <c r="AH2262" s="187">
        <f>SUMIFS($AD$37:$AD$12971,$V$37:$V$12971,$V2262,$X$37:$X$12971,AH$13)</f>
        <v>0</v>
      </c>
      <c r="AI2262" s="161">
        <f t="shared" ref="AI2262" si="1757">SUM(AE2262:AH2262)</f>
        <v>0</v>
      </c>
      <c r="AK2262" s="172"/>
    </row>
    <row r="2263" spans="1:41" s="102" customFormat="1" ht="19.899999999999999" customHeight="1" x14ac:dyDescent="0.25">
      <c r="A2263" s="45"/>
      <c r="B2263" s="59"/>
      <c r="C2263" s="137"/>
      <c r="D2263" s="59"/>
      <c r="E2263" s="116"/>
      <c r="F2263" s="120"/>
      <c r="G2263" s="120"/>
      <c r="H2263" s="120"/>
      <c r="I2263" s="60"/>
      <c r="J2263" s="116"/>
      <c r="K2263" s="213"/>
      <c r="L2263" s="120"/>
      <c r="M2263" s="120"/>
      <c r="N2263" s="167"/>
      <c r="O2263" s="120"/>
      <c r="P2263" s="120"/>
      <c r="Q2263" s="120"/>
      <c r="R2263" s="120"/>
      <c r="S2263" s="120"/>
      <c r="T2263" s="221"/>
      <c r="U2263" s="89"/>
      <c r="V2263" s="61"/>
      <c r="W2263" s="92" t="s">
        <v>1422</v>
      </c>
      <c r="X2263" s="93" t="s">
        <v>30</v>
      </c>
      <c r="Y2263" s="93" t="s">
        <v>35</v>
      </c>
      <c r="Z2263" s="134">
        <f>VLOOKUP(W2263,Sheet2!$B:$D,3,FALSE)</f>
        <v>2370</v>
      </c>
      <c r="AA2263" s="93">
        <v>1</v>
      </c>
      <c r="AB2263" s="93">
        <f t="shared" ref="AB2263" si="1758">AD2263/AC2262</f>
        <v>2370</v>
      </c>
      <c r="AC2263" s="93">
        <f>AC2262/AA2263</f>
        <v>0.19999999999999996</v>
      </c>
      <c r="AD2263" s="94">
        <f t="shared" ref="AD2263:AD2264" si="1759">AC2263*Z2263</f>
        <v>473.99999999999989</v>
      </c>
      <c r="AE2263" s="190"/>
      <c r="AF2263" s="191"/>
      <c r="AG2263" s="191"/>
      <c r="AH2263" s="191"/>
      <c r="AI2263" s="186"/>
      <c r="AK2263" s="171"/>
    </row>
    <row r="2264" spans="1:41" s="102" customFormat="1" ht="19.899999999999999" customHeight="1" x14ac:dyDescent="0.25">
      <c r="A2264" s="45"/>
      <c r="B2264" s="59"/>
      <c r="C2264" s="137"/>
      <c r="D2264" s="59"/>
      <c r="E2264" s="116"/>
      <c r="F2264" s="120"/>
      <c r="G2264" s="120"/>
      <c r="H2264" s="120"/>
      <c r="I2264" s="60"/>
      <c r="J2264" s="116"/>
      <c r="K2264" s="213"/>
      <c r="L2264" s="120"/>
      <c r="M2264" s="120"/>
      <c r="N2264" s="167"/>
      <c r="O2264" s="120"/>
      <c r="P2264" s="120"/>
      <c r="Q2264" s="120"/>
      <c r="R2264" s="120"/>
      <c r="S2264" s="120"/>
      <c r="T2264" s="221"/>
      <c r="U2264" s="89"/>
      <c r="V2264" s="61"/>
      <c r="W2264" s="92" t="s">
        <v>107</v>
      </c>
      <c r="X2264" s="93" t="s">
        <v>31</v>
      </c>
      <c r="Y2264" s="93" t="s">
        <v>93</v>
      </c>
      <c r="Z2264" s="134">
        <f>VLOOKUP(W2264,Sheet2!$B:$D,3,FALSE)</f>
        <v>17</v>
      </c>
      <c r="AA2264" s="93">
        <v>0.2</v>
      </c>
      <c r="AB2264" s="93">
        <f>AD2264/AC2262</f>
        <v>85</v>
      </c>
      <c r="AC2264" s="93">
        <f>AC2262/AA2264</f>
        <v>0.99999999999999978</v>
      </c>
      <c r="AD2264" s="94">
        <f t="shared" si="1759"/>
        <v>16.999999999999996</v>
      </c>
      <c r="AE2264" s="190"/>
      <c r="AF2264" s="191"/>
      <c r="AG2264" s="191"/>
      <c r="AH2264" s="191"/>
      <c r="AI2264" s="186"/>
      <c r="AK2264" s="171"/>
    </row>
    <row r="2265" spans="1:41" s="102" customFormat="1" ht="19.899999999999999" customHeight="1" x14ac:dyDescent="0.25">
      <c r="A2265" s="45"/>
      <c r="B2265" s="59"/>
      <c r="C2265" s="137"/>
      <c r="D2265" s="59"/>
      <c r="E2265" s="116"/>
      <c r="F2265" s="120"/>
      <c r="G2265" s="120"/>
      <c r="H2265" s="120"/>
      <c r="I2265" s="60"/>
      <c r="J2265" s="116"/>
      <c r="K2265" s="213"/>
      <c r="L2265" s="120"/>
      <c r="M2265" s="120"/>
      <c r="N2265" s="167"/>
      <c r="O2265" s="120"/>
      <c r="P2265" s="120"/>
      <c r="Q2265" s="120"/>
      <c r="R2265" s="120"/>
      <c r="S2265" s="120"/>
      <c r="T2265" s="221"/>
      <c r="U2265" s="89"/>
      <c r="V2265" s="61"/>
      <c r="W2265" s="92" t="s">
        <v>112</v>
      </c>
      <c r="X2265" s="93" t="s">
        <v>31</v>
      </c>
      <c r="Y2265" s="93" t="s">
        <v>93</v>
      </c>
      <c r="Z2265" s="134">
        <f>VLOOKUP(W2265,Sheet2!$B:$D,3,FALSE)</f>
        <v>13</v>
      </c>
      <c r="AA2265" s="93">
        <f>AA2264</f>
        <v>0.2</v>
      </c>
      <c r="AB2265" s="93">
        <f>AD2265/AC2262</f>
        <v>65</v>
      </c>
      <c r="AC2265" s="93">
        <f>AC2262/AA2265</f>
        <v>0.99999999999999978</v>
      </c>
      <c r="AD2265" s="94">
        <f>AC2265*Z2265</f>
        <v>12.999999999999996</v>
      </c>
      <c r="AE2265" s="190"/>
      <c r="AF2265" s="191"/>
      <c r="AG2265" s="191"/>
      <c r="AH2265" s="191"/>
      <c r="AI2265" s="186"/>
      <c r="AK2265" s="171"/>
    </row>
    <row r="2266" spans="1:41" ht="25.5" x14ac:dyDescent="0.25">
      <c r="A2266" s="277" t="s">
        <v>410</v>
      </c>
      <c r="B2266" s="278"/>
      <c r="C2266" s="64" t="s">
        <v>436</v>
      </c>
      <c r="D2266" s="46" t="s">
        <v>215</v>
      </c>
      <c r="E2266" s="114">
        <v>1.7000000000000002</v>
      </c>
      <c r="F2266" s="44">
        <v>1554</v>
      </c>
      <c r="G2266" s="44">
        <f t="shared" si="1686"/>
        <v>2641.8</v>
      </c>
      <c r="H2266" s="44">
        <f t="shared" si="1687"/>
        <v>920.99999999999989</v>
      </c>
      <c r="I2266" s="43">
        <f t="shared" si="1688"/>
        <v>1565.7</v>
      </c>
      <c r="J2266" s="112">
        <f t="shared" si="1689"/>
        <v>1.7000000000000002</v>
      </c>
      <c r="K2266" s="211">
        <f t="shared" si="1690"/>
        <v>1.7000000000000002</v>
      </c>
      <c r="L2266" s="44"/>
      <c r="M2266" s="44">
        <f t="shared" si="1704"/>
        <v>1.7000000000000002</v>
      </c>
      <c r="N2266" s="173">
        <f t="shared" si="1691"/>
        <v>1</v>
      </c>
      <c r="O2266" s="44">
        <f t="shared" si="1692"/>
        <v>1554</v>
      </c>
      <c r="P2266" s="44">
        <f t="shared" si="1693"/>
        <v>2641.8</v>
      </c>
      <c r="Q2266" s="44">
        <f t="shared" si="1694"/>
        <v>920.99999999999989</v>
      </c>
      <c r="R2266" s="44">
        <f t="shared" si="1705"/>
        <v>1565.7</v>
      </c>
      <c r="S2266" s="123"/>
      <c r="T2266" s="219">
        <f t="shared" si="1706"/>
        <v>1565.7</v>
      </c>
      <c r="U2266" s="87"/>
      <c r="V2266" s="47"/>
      <c r="W2266" s="48"/>
      <c r="X2266" s="48"/>
      <c r="Y2266" s="48"/>
      <c r="Z2266" s="135"/>
      <c r="AA2266" s="49"/>
      <c r="AB2266" s="50">
        <f t="shared" si="1695"/>
        <v>920.99999999999989</v>
      </c>
      <c r="AC2266" s="42">
        <f t="shared" si="1707"/>
        <v>1.7000000000000002</v>
      </c>
      <c r="AD2266" s="90">
        <f>AD2267</f>
        <v>1565.7</v>
      </c>
      <c r="AE2266" s="188">
        <f t="shared" ref="AE2266" si="1760">AE2267</f>
        <v>0</v>
      </c>
      <c r="AF2266" s="189">
        <f t="shared" ref="AF2266" si="1761">AF2267</f>
        <v>0</v>
      </c>
      <c r="AG2266" s="189">
        <f t="shared" ref="AG2266" si="1762">AG2267</f>
        <v>0</v>
      </c>
      <c r="AH2266" s="189">
        <f t="shared" ref="AH2266" si="1763">AH2267</f>
        <v>0</v>
      </c>
      <c r="AI2266" s="161">
        <f t="shared" ref="AI2266" si="1764">SUM(AE2266:AH2266)</f>
        <v>0</v>
      </c>
      <c r="AK2266" s="169">
        <v>5</v>
      </c>
      <c r="AO2266" s="19" t="s">
        <v>63</v>
      </c>
    </row>
    <row r="2267" spans="1:41" s="103" customFormat="1" ht="19.899999999999999" customHeight="1" x14ac:dyDescent="0.25">
      <c r="A2267" s="51"/>
      <c r="B2267" s="52"/>
      <c r="C2267" s="165"/>
      <c r="D2267" s="52"/>
      <c r="E2267" s="115"/>
      <c r="F2267" s="58"/>
      <c r="G2267" s="58"/>
      <c r="H2267" s="58"/>
      <c r="I2267" s="55"/>
      <c r="J2267" s="113">
        <f>J2266</f>
        <v>1.7000000000000002</v>
      </c>
      <c r="K2267" s="212">
        <f>K2266</f>
        <v>1.7000000000000002</v>
      </c>
      <c r="L2267" s="58"/>
      <c r="M2267" s="58">
        <f>K2267-L2267</f>
        <v>1.7000000000000002</v>
      </c>
      <c r="N2267" s="166"/>
      <c r="O2267" s="58"/>
      <c r="P2267" s="58"/>
      <c r="Q2267" s="58"/>
      <c r="R2267" s="58"/>
      <c r="S2267" s="58"/>
      <c r="T2267" s="220"/>
      <c r="U2267" s="88"/>
      <c r="V2267" s="56"/>
      <c r="W2267" s="57" t="s">
        <v>1294</v>
      </c>
      <c r="X2267" s="53"/>
      <c r="Y2267" s="91" t="s">
        <v>35</v>
      </c>
      <c r="Z2267" s="136">
        <f>AD2267/AC2267</f>
        <v>920.99999999999989</v>
      </c>
      <c r="AA2267" s="58"/>
      <c r="AB2267" s="53">
        <f>AD2267/AC2267</f>
        <v>920.99999999999989</v>
      </c>
      <c r="AC2267" s="53">
        <f>M2267+$AE$10</f>
        <v>1.7000000000000002</v>
      </c>
      <c r="AD2267" s="54">
        <f>SUM(AD2268:AD2270)</f>
        <v>1565.7</v>
      </c>
      <c r="AE2267" s="184">
        <f>SUMIFS($AD$37:$AD$12971,$V$37:$V$12971,$V2267,$X$37:$X$12971,AE$13)</f>
        <v>0</v>
      </c>
      <c r="AF2267" s="185">
        <f>SUMIFS($AD$37:$AD$12971,$V$37:$V$12971,$V2267,$X$37:$X$12971,AF$13)</f>
        <v>0</v>
      </c>
      <c r="AG2267" s="185">
        <f>SUMIFS($AD$37:$AD$12971,$V$37:$V$12971,$V2267,$X$37:$X$12971,AG$13)</f>
        <v>0</v>
      </c>
      <c r="AH2267" s="187">
        <f>SUMIFS($AD$37:$AD$12971,$V$37:$V$12971,$V2267,$X$37:$X$12971,AH$13)</f>
        <v>0</v>
      </c>
      <c r="AI2267" s="161">
        <f t="shared" ref="AI2267" si="1765">SUM(AE2267:AH2267)</f>
        <v>0</v>
      </c>
      <c r="AK2267" s="172"/>
    </row>
    <row r="2268" spans="1:41" s="102" customFormat="1" ht="19.899999999999999" customHeight="1" x14ac:dyDescent="0.25">
      <c r="A2268" s="45"/>
      <c r="B2268" s="59"/>
      <c r="C2268" s="137"/>
      <c r="D2268" s="59"/>
      <c r="E2268" s="116"/>
      <c r="F2268" s="120"/>
      <c r="G2268" s="120"/>
      <c r="H2268" s="120"/>
      <c r="I2268" s="60"/>
      <c r="J2268" s="116"/>
      <c r="K2268" s="213"/>
      <c r="L2268" s="120"/>
      <c r="M2268" s="120"/>
      <c r="N2268" s="167"/>
      <c r="O2268" s="120"/>
      <c r="P2268" s="120"/>
      <c r="Q2268" s="120"/>
      <c r="R2268" s="120"/>
      <c r="S2268" s="120"/>
      <c r="T2268" s="221"/>
      <c r="U2268" s="89"/>
      <c r="V2268" s="61"/>
      <c r="W2268" s="92" t="s">
        <v>1421</v>
      </c>
      <c r="X2268" s="93" t="s">
        <v>30</v>
      </c>
      <c r="Y2268" s="93" t="s">
        <v>35</v>
      </c>
      <c r="Z2268" s="134">
        <f>VLOOKUP(W2268,Sheet2!$B:$D,3,FALSE)</f>
        <v>861</v>
      </c>
      <c r="AA2268" s="93">
        <v>1</v>
      </c>
      <c r="AB2268" s="93">
        <f t="shared" ref="AB2268" si="1766">AD2268/AC2267</f>
        <v>860.99999999999989</v>
      </c>
      <c r="AC2268" s="93">
        <f>AC2267/AA2268</f>
        <v>1.7000000000000002</v>
      </c>
      <c r="AD2268" s="94">
        <f t="shared" ref="AD2268:AD2269" si="1767">AC2268*Z2268</f>
        <v>1463.7</v>
      </c>
      <c r="AE2268" s="190"/>
      <c r="AF2268" s="191"/>
      <c r="AG2268" s="191"/>
      <c r="AH2268" s="191"/>
      <c r="AI2268" s="186"/>
      <c r="AK2268" s="171"/>
    </row>
    <row r="2269" spans="1:41" s="102" customFormat="1" ht="19.899999999999999" customHeight="1" x14ac:dyDescent="0.25">
      <c r="A2269" s="45"/>
      <c r="B2269" s="59"/>
      <c r="C2269" s="137"/>
      <c r="D2269" s="59"/>
      <c r="E2269" s="116"/>
      <c r="F2269" s="120"/>
      <c r="G2269" s="120"/>
      <c r="H2269" s="120"/>
      <c r="I2269" s="60"/>
      <c r="J2269" s="116"/>
      <c r="K2269" s="213"/>
      <c r="L2269" s="120"/>
      <c r="M2269" s="120"/>
      <c r="N2269" s="167"/>
      <c r="O2269" s="120"/>
      <c r="P2269" s="120"/>
      <c r="Q2269" s="120"/>
      <c r="R2269" s="120"/>
      <c r="S2269" s="120"/>
      <c r="T2269" s="221"/>
      <c r="U2269" s="89"/>
      <c r="V2269" s="61"/>
      <c r="W2269" s="92" t="s">
        <v>107</v>
      </c>
      <c r="X2269" s="93" t="s">
        <v>31</v>
      </c>
      <c r="Y2269" s="93" t="s">
        <v>93</v>
      </c>
      <c r="Z2269" s="134">
        <f>VLOOKUP(W2269,Sheet2!$B:$D,3,FALSE)</f>
        <v>17</v>
      </c>
      <c r="AA2269" s="93">
        <v>0.5</v>
      </c>
      <c r="AB2269" s="93">
        <f>AD2269/AC2267</f>
        <v>34</v>
      </c>
      <c r="AC2269" s="93">
        <f>AC2267/AA2269</f>
        <v>3.4000000000000004</v>
      </c>
      <c r="AD2269" s="94">
        <f t="shared" si="1767"/>
        <v>57.800000000000004</v>
      </c>
      <c r="AE2269" s="190"/>
      <c r="AF2269" s="191"/>
      <c r="AG2269" s="191"/>
      <c r="AH2269" s="191"/>
      <c r="AI2269" s="186"/>
      <c r="AK2269" s="171"/>
    </row>
    <row r="2270" spans="1:41" s="102" customFormat="1" ht="19.899999999999999" customHeight="1" x14ac:dyDescent="0.25">
      <c r="A2270" s="45"/>
      <c r="B2270" s="59"/>
      <c r="C2270" s="137"/>
      <c r="D2270" s="59"/>
      <c r="E2270" s="116"/>
      <c r="F2270" s="120"/>
      <c r="G2270" s="120"/>
      <c r="H2270" s="120"/>
      <c r="I2270" s="60"/>
      <c r="J2270" s="116"/>
      <c r="K2270" s="213"/>
      <c r="L2270" s="120"/>
      <c r="M2270" s="120"/>
      <c r="N2270" s="167"/>
      <c r="O2270" s="120"/>
      <c r="P2270" s="120"/>
      <c r="Q2270" s="120"/>
      <c r="R2270" s="120"/>
      <c r="S2270" s="120"/>
      <c r="T2270" s="221"/>
      <c r="U2270" s="89"/>
      <c r="V2270" s="61"/>
      <c r="W2270" s="92" t="s">
        <v>112</v>
      </c>
      <c r="X2270" s="93" t="s">
        <v>31</v>
      </c>
      <c r="Y2270" s="93" t="s">
        <v>93</v>
      </c>
      <c r="Z2270" s="134">
        <f>VLOOKUP(W2270,Sheet2!$B:$D,3,FALSE)</f>
        <v>13</v>
      </c>
      <c r="AA2270" s="93">
        <f>AA2269</f>
        <v>0.5</v>
      </c>
      <c r="AB2270" s="93">
        <f>AD2270/AC2267</f>
        <v>26</v>
      </c>
      <c r="AC2270" s="93">
        <f>AC2267/AA2270</f>
        <v>3.4000000000000004</v>
      </c>
      <c r="AD2270" s="94">
        <f>AC2270*Z2270</f>
        <v>44.2</v>
      </c>
      <c r="AE2270" s="190"/>
      <c r="AF2270" s="191"/>
      <c r="AG2270" s="191"/>
      <c r="AH2270" s="191"/>
      <c r="AI2270" s="186"/>
      <c r="AK2270" s="171"/>
    </row>
    <row r="2271" spans="1:41" s="306" customFormat="1" ht="20.100000000000001" customHeight="1" x14ac:dyDescent="0.25">
      <c r="A2271" s="287" t="s">
        <v>410</v>
      </c>
      <c r="B2271" s="288"/>
      <c r="C2271" s="286" t="s">
        <v>437</v>
      </c>
      <c r="D2271" s="289"/>
      <c r="E2271" s="290"/>
      <c r="F2271" s="291"/>
      <c r="G2271" s="291">
        <f t="shared" si="1686"/>
        <v>0</v>
      </c>
      <c r="H2271" s="291">
        <f t="shared" si="1687"/>
        <v>0</v>
      </c>
      <c r="I2271" s="292">
        <f t="shared" si="1688"/>
        <v>0</v>
      </c>
      <c r="J2271" s="290">
        <f t="shared" si="1689"/>
        <v>0</v>
      </c>
      <c r="K2271" s="293">
        <f t="shared" si="1690"/>
        <v>0</v>
      </c>
      <c r="L2271" s="291"/>
      <c r="M2271" s="291">
        <f t="shared" si="1704"/>
        <v>0</v>
      </c>
      <c r="N2271" s="294">
        <f t="shared" si="1691"/>
        <v>0</v>
      </c>
      <c r="O2271" s="291">
        <f t="shared" si="1692"/>
        <v>0</v>
      </c>
      <c r="P2271" s="291">
        <f t="shared" si="1693"/>
        <v>0</v>
      </c>
      <c r="Q2271" s="291">
        <f t="shared" si="1694"/>
        <v>0</v>
      </c>
      <c r="R2271" s="291">
        <f t="shared" si="1705"/>
        <v>0</v>
      </c>
      <c r="S2271" s="291"/>
      <c r="T2271" s="295">
        <f t="shared" si="1706"/>
        <v>0</v>
      </c>
      <c r="U2271" s="296"/>
      <c r="V2271" s="297"/>
      <c r="W2271" s="298"/>
      <c r="X2271" s="299"/>
      <c r="Y2271" s="300"/>
      <c r="Z2271" s="301"/>
      <c r="AA2271" s="300"/>
      <c r="AB2271" s="300">
        <f t="shared" si="1695"/>
        <v>0</v>
      </c>
      <c r="AC2271" s="300">
        <f t="shared" si="1707"/>
        <v>9.9999999999999998E-20</v>
      </c>
      <c r="AD2271" s="302"/>
      <c r="AE2271" s="303"/>
      <c r="AF2271" s="304"/>
      <c r="AG2271" s="304"/>
      <c r="AH2271" s="304"/>
      <c r="AI2271" s="305"/>
      <c r="AK2271" s="307"/>
    </row>
    <row r="2272" spans="1:41" ht="20.100000000000001" customHeight="1" x14ac:dyDescent="0.25">
      <c r="A2272" s="277" t="s">
        <v>410</v>
      </c>
      <c r="B2272" s="278"/>
      <c r="C2272" s="64" t="s">
        <v>438</v>
      </c>
      <c r="D2272" s="46" t="s">
        <v>215</v>
      </c>
      <c r="E2272" s="114">
        <v>132.30000000000024</v>
      </c>
      <c r="F2272" s="44">
        <v>1276</v>
      </c>
      <c r="G2272" s="44">
        <f t="shared" si="1686"/>
        <v>168814.80000000031</v>
      </c>
      <c r="H2272" s="44">
        <f t="shared" si="1687"/>
        <v>387.99999999999994</v>
      </c>
      <c r="I2272" s="43">
        <f t="shared" si="1688"/>
        <v>51332.400000000081</v>
      </c>
      <c r="J2272" s="112">
        <f t="shared" si="1689"/>
        <v>132.30000000000024</v>
      </c>
      <c r="K2272" s="211">
        <f t="shared" si="1690"/>
        <v>132.30000000000024</v>
      </c>
      <c r="L2272" s="44"/>
      <c r="M2272" s="44">
        <f t="shared" si="1704"/>
        <v>132.30000000000024</v>
      </c>
      <c r="N2272" s="173">
        <f t="shared" si="1691"/>
        <v>1</v>
      </c>
      <c r="O2272" s="44">
        <f t="shared" si="1692"/>
        <v>1276</v>
      </c>
      <c r="P2272" s="44">
        <f t="shared" si="1693"/>
        <v>168814.80000000031</v>
      </c>
      <c r="Q2272" s="44">
        <f t="shared" si="1694"/>
        <v>387.99999999999994</v>
      </c>
      <c r="R2272" s="44">
        <f t="shared" si="1705"/>
        <v>51332.400000000081</v>
      </c>
      <c r="S2272" s="123"/>
      <c r="T2272" s="219">
        <f t="shared" si="1706"/>
        <v>51332.400000000081</v>
      </c>
      <c r="U2272" s="87"/>
      <c r="V2272" s="47"/>
      <c r="W2272" s="48"/>
      <c r="X2272" s="48"/>
      <c r="Y2272" s="48"/>
      <c r="Z2272" s="135"/>
      <c r="AA2272" s="49"/>
      <c r="AB2272" s="50">
        <f t="shared" si="1695"/>
        <v>387.99999999999994</v>
      </c>
      <c r="AC2272" s="42">
        <f t="shared" si="1707"/>
        <v>132.30000000000024</v>
      </c>
      <c r="AD2272" s="90">
        <f>AD2273</f>
        <v>51332.400000000089</v>
      </c>
      <c r="AE2272" s="188">
        <f t="shared" ref="AE2272" si="1768">AE2273</f>
        <v>0</v>
      </c>
      <c r="AF2272" s="189">
        <f t="shared" ref="AF2272" si="1769">AF2273</f>
        <v>0</v>
      </c>
      <c r="AG2272" s="189">
        <f t="shared" ref="AG2272" si="1770">AG2273</f>
        <v>0</v>
      </c>
      <c r="AH2272" s="189">
        <f t="shared" ref="AH2272" si="1771">AH2273</f>
        <v>0</v>
      </c>
      <c r="AI2272" s="161">
        <f t="shared" ref="AI2272:AI2277" si="1772">SUM(AE2272:AH2272)</f>
        <v>0</v>
      </c>
      <c r="AK2272" s="169">
        <v>5</v>
      </c>
      <c r="AO2272" s="19" t="s">
        <v>63</v>
      </c>
    </row>
    <row r="2273" spans="1:41" s="103" customFormat="1" ht="19.899999999999999" customHeight="1" x14ac:dyDescent="0.25">
      <c r="A2273" s="51"/>
      <c r="B2273" s="52"/>
      <c r="C2273" s="165"/>
      <c r="D2273" s="52"/>
      <c r="E2273" s="115"/>
      <c r="F2273" s="58"/>
      <c r="G2273" s="58"/>
      <c r="H2273" s="58"/>
      <c r="I2273" s="55"/>
      <c r="J2273" s="113">
        <f>J2272</f>
        <v>132.30000000000024</v>
      </c>
      <c r="K2273" s="212">
        <f>K2272</f>
        <v>132.30000000000024</v>
      </c>
      <c r="L2273" s="58"/>
      <c r="M2273" s="58">
        <f>K2273-L2273</f>
        <v>132.30000000000024</v>
      </c>
      <c r="N2273" s="166"/>
      <c r="O2273" s="58"/>
      <c r="P2273" s="58"/>
      <c r="Q2273" s="58"/>
      <c r="R2273" s="58"/>
      <c r="S2273" s="58"/>
      <c r="T2273" s="220"/>
      <c r="U2273" s="88"/>
      <c r="V2273" s="56"/>
      <c r="W2273" s="57" t="s">
        <v>1294</v>
      </c>
      <c r="X2273" s="53"/>
      <c r="Y2273" s="91" t="s">
        <v>35</v>
      </c>
      <c r="Z2273" s="136">
        <f>AD2273/AC2273</f>
        <v>387.99999999999994</v>
      </c>
      <c r="AA2273" s="58"/>
      <c r="AB2273" s="53">
        <f>AD2273/AC2273</f>
        <v>387.99999999999994</v>
      </c>
      <c r="AC2273" s="53">
        <f>M2273+$AE$10</f>
        <v>132.30000000000024</v>
      </c>
      <c r="AD2273" s="54">
        <f>SUM(AD2274:AD2276)</f>
        <v>51332.400000000089</v>
      </c>
      <c r="AE2273" s="184">
        <f>SUMIFS($AD$37:$AD$12971,$V$37:$V$12971,$V2273,$X$37:$X$12971,AE$13)</f>
        <v>0</v>
      </c>
      <c r="AF2273" s="185">
        <f>SUMIFS($AD$37:$AD$12971,$V$37:$V$12971,$V2273,$X$37:$X$12971,AF$13)</f>
        <v>0</v>
      </c>
      <c r="AG2273" s="185">
        <f>SUMIFS($AD$37:$AD$12971,$V$37:$V$12971,$V2273,$X$37:$X$12971,AG$13)</f>
        <v>0</v>
      </c>
      <c r="AH2273" s="187">
        <f>SUMIFS($AD$37:$AD$12971,$V$37:$V$12971,$V2273,$X$37:$X$12971,AH$13)</f>
        <v>0</v>
      </c>
      <c r="AI2273" s="161">
        <f t="shared" ref="AI2273" si="1773">SUM(AE2273:AH2273)</f>
        <v>0</v>
      </c>
      <c r="AK2273" s="172"/>
    </row>
    <row r="2274" spans="1:41" s="102" customFormat="1" ht="19.899999999999999" customHeight="1" x14ac:dyDescent="0.25">
      <c r="A2274" s="45"/>
      <c r="B2274" s="59"/>
      <c r="C2274" s="137"/>
      <c r="D2274" s="59"/>
      <c r="E2274" s="116"/>
      <c r="F2274" s="120"/>
      <c r="G2274" s="120"/>
      <c r="H2274" s="120"/>
      <c r="I2274" s="60"/>
      <c r="J2274" s="116"/>
      <c r="K2274" s="213"/>
      <c r="L2274" s="120"/>
      <c r="M2274" s="120"/>
      <c r="N2274" s="167"/>
      <c r="O2274" s="120"/>
      <c r="P2274" s="120"/>
      <c r="Q2274" s="120"/>
      <c r="R2274" s="120"/>
      <c r="S2274" s="120"/>
      <c r="T2274" s="221"/>
      <c r="U2274" s="89"/>
      <c r="V2274" s="61"/>
      <c r="W2274" s="92" t="s">
        <v>1423</v>
      </c>
      <c r="X2274" s="93" t="s">
        <v>30</v>
      </c>
      <c r="Y2274" s="93" t="s">
        <v>35</v>
      </c>
      <c r="Z2274" s="134">
        <f>VLOOKUP(W2274,Sheet2!$B:$D,3,FALSE)</f>
        <v>288</v>
      </c>
      <c r="AA2274" s="93">
        <v>1</v>
      </c>
      <c r="AB2274" s="93">
        <f t="shared" ref="AB2274" si="1774">AD2274/AC2273</f>
        <v>288</v>
      </c>
      <c r="AC2274" s="93">
        <f>AC2273/AA2274</f>
        <v>132.30000000000024</v>
      </c>
      <c r="AD2274" s="94">
        <f t="shared" ref="AD2274:AD2275" si="1775">AC2274*Z2274</f>
        <v>38102.400000000067</v>
      </c>
      <c r="AE2274" s="190"/>
      <c r="AF2274" s="191"/>
      <c r="AG2274" s="191"/>
      <c r="AH2274" s="191"/>
      <c r="AI2274" s="186"/>
      <c r="AK2274" s="171"/>
    </row>
    <row r="2275" spans="1:41" s="102" customFormat="1" ht="19.899999999999999" customHeight="1" x14ac:dyDescent="0.25">
      <c r="A2275" s="45"/>
      <c r="B2275" s="59"/>
      <c r="C2275" s="137"/>
      <c r="D2275" s="59"/>
      <c r="E2275" s="116"/>
      <c r="F2275" s="120"/>
      <c r="G2275" s="120"/>
      <c r="H2275" s="120"/>
      <c r="I2275" s="60"/>
      <c r="J2275" s="116"/>
      <c r="K2275" s="213"/>
      <c r="L2275" s="120"/>
      <c r="M2275" s="120"/>
      <c r="N2275" s="167"/>
      <c r="O2275" s="120"/>
      <c r="P2275" s="120"/>
      <c r="Q2275" s="120"/>
      <c r="R2275" s="120"/>
      <c r="S2275" s="120"/>
      <c r="T2275" s="221"/>
      <c r="U2275" s="89"/>
      <c r="V2275" s="61"/>
      <c r="W2275" s="92" t="s">
        <v>107</v>
      </c>
      <c r="X2275" s="93" t="s">
        <v>31</v>
      </c>
      <c r="Y2275" s="93" t="s">
        <v>93</v>
      </c>
      <c r="Z2275" s="134">
        <f>VLOOKUP(W2275,Sheet2!$B:$D,3,FALSE)</f>
        <v>17</v>
      </c>
      <c r="AA2275" s="93">
        <v>0.3</v>
      </c>
      <c r="AB2275" s="93">
        <f>AD2275/AC2273</f>
        <v>56.666666666666664</v>
      </c>
      <c r="AC2275" s="93">
        <f>AC2273/AA2275</f>
        <v>441.0000000000008</v>
      </c>
      <c r="AD2275" s="94">
        <f t="shared" si="1775"/>
        <v>7497.0000000000136</v>
      </c>
      <c r="AE2275" s="190"/>
      <c r="AF2275" s="191"/>
      <c r="AG2275" s="191"/>
      <c r="AH2275" s="191"/>
      <c r="AI2275" s="186"/>
      <c r="AK2275" s="171"/>
    </row>
    <row r="2276" spans="1:41" s="102" customFormat="1" ht="19.899999999999999" customHeight="1" x14ac:dyDescent="0.25">
      <c r="A2276" s="45"/>
      <c r="B2276" s="59"/>
      <c r="C2276" s="137"/>
      <c r="D2276" s="59"/>
      <c r="E2276" s="116"/>
      <c r="F2276" s="120"/>
      <c r="G2276" s="120"/>
      <c r="H2276" s="120"/>
      <c r="I2276" s="60"/>
      <c r="J2276" s="116"/>
      <c r="K2276" s="213"/>
      <c r="L2276" s="120"/>
      <c r="M2276" s="120"/>
      <c r="N2276" s="167"/>
      <c r="O2276" s="120"/>
      <c r="P2276" s="120"/>
      <c r="Q2276" s="120"/>
      <c r="R2276" s="120"/>
      <c r="S2276" s="120"/>
      <c r="T2276" s="221"/>
      <c r="U2276" s="89"/>
      <c r="V2276" s="61"/>
      <c r="W2276" s="92" t="s">
        <v>112</v>
      </c>
      <c r="X2276" s="93" t="s">
        <v>31</v>
      </c>
      <c r="Y2276" s="93" t="s">
        <v>93</v>
      </c>
      <c r="Z2276" s="134">
        <f>VLOOKUP(W2276,Sheet2!$B:$D,3,FALSE)</f>
        <v>13</v>
      </c>
      <c r="AA2276" s="93">
        <f>AA2275</f>
        <v>0.3</v>
      </c>
      <c r="AB2276" s="93">
        <f>AD2276/AC2273</f>
        <v>43.333333333333329</v>
      </c>
      <c r="AC2276" s="93">
        <f>AC2273/AA2276</f>
        <v>441.0000000000008</v>
      </c>
      <c r="AD2276" s="94">
        <f>AC2276*Z2276</f>
        <v>5733.00000000001</v>
      </c>
      <c r="AE2276" s="190"/>
      <c r="AF2276" s="191"/>
      <c r="AG2276" s="191"/>
      <c r="AH2276" s="191"/>
      <c r="AI2276" s="186"/>
      <c r="AK2276" s="171"/>
    </row>
    <row r="2277" spans="1:41" ht="20.100000000000001" customHeight="1" x14ac:dyDescent="0.25">
      <c r="A2277" s="277" t="s">
        <v>410</v>
      </c>
      <c r="B2277" s="278"/>
      <c r="C2277" s="64" t="s">
        <v>439</v>
      </c>
      <c r="D2277" s="46" t="s">
        <v>215</v>
      </c>
      <c r="E2277" s="114">
        <v>22.799999999999997</v>
      </c>
      <c r="F2277" s="44">
        <v>1310</v>
      </c>
      <c r="G2277" s="44">
        <f t="shared" si="1686"/>
        <v>29867.999999999996</v>
      </c>
      <c r="H2277" s="44">
        <f t="shared" si="1687"/>
        <v>407</v>
      </c>
      <c r="I2277" s="43">
        <f t="shared" si="1688"/>
        <v>9279.5999999999985</v>
      </c>
      <c r="J2277" s="112">
        <f t="shared" si="1689"/>
        <v>22.799999999999997</v>
      </c>
      <c r="K2277" s="211">
        <f t="shared" si="1690"/>
        <v>22.799999999999997</v>
      </c>
      <c r="L2277" s="44"/>
      <c r="M2277" s="44">
        <f t="shared" si="1704"/>
        <v>22.799999999999997</v>
      </c>
      <c r="N2277" s="173">
        <f t="shared" si="1691"/>
        <v>1</v>
      </c>
      <c r="O2277" s="44">
        <f t="shared" si="1692"/>
        <v>1310</v>
      </c>
      <c r="P2277" s="44">
        <f t="shared" si="1693"/>
        <v>29867.999999999996</v>
      </c>
      <c r="Q2277" s="44">
        <f t="shared" si="1694"/>
        <v>407</v>
      </c>
      <c r="R2277" s="44">
        <f t="shared" si="1705"/>
        <v>9279.5999999999985</v>
      </c>
      <c r="S2277" s="123"/>
      <c r="T2277" s="219">
        <f t="shared" si="1706"/>
        <v>9279.5999999999985</v>
      </c>
      <c r="U2277" s="87"/>
      <c r="V2277" s="47"/>
      <c r="W2277" s="48"/>
      <c r="X2277" s="48"/>
      <c r="Y2277" s="48"/>
      <c r="Z2277" s="135"/>
      <c r="AA2277" s="49"/>
      <c r="AB2277" s="50">
        <f t="shared" si="1695"/>
        <v>407</v>
      </c>
      <c r="AC2277" s="42">
        <f t="shared" si="1707"/>
        <v>22.799999999999997</v>
      </c>
      <c r="AD2277" s="90">
        <f>AD2278</f>
        <v>9279.5999999999985</v>
      </c>
      <c r="AE2277" s="188">
        <f t="shared" ref="AE2277" si="1776">AE2278</f>
        <v>0</v>
      </c>
      <c r="AF2277" s="189">
        <f t="shared" ref="AF2277" si="1777">AF2278</f>
        <v>0</v>
      </c>
      <c r="AG2277" s="189">
        <f t="shared" ref="AG2277" si="1778">AG2278</f>
        <v>0</v>
      </c>
      <c r="AH2277" s="189">
        <f t="shared" ref="AH2277" si="1779">AH2278</f>
        <v>0</v>
      </c>
      <c r="AI2277" s="161">
        <f t="shared" si="1772"/>
        <v>0</v>
      </c>
      <c r="AK2277" s="169">
        <v>5</v>
      </c>
      <c r="AO2277" s="19" t="s">
        <v>63</v>
      </c>
    </row>
    <row r="2278" spans="1:41" s="103" customFormat="1" ht="19.899999999999999" customHeight="1" x14ac:dyDescent="0.25">
      <c r="A2278" s="51"/>
      <c r="B2278" s="52"/>
      <c r="C2278" s="165"/>
      <c r="D2278" s="52"/>
      <c r="E2278" s="115"/>
      <c r="F2278" s="58"/>
      <c r="G2278" s="58"/>
      <c r="H2278" s="58"/>
      <c r="I2278" s="55"/>
      <c r="J2278" s="113">
        <f>J2277</f>
        <v>22.799999999999997</v>
      </c>
      <c r="K2278" s="212">
        <f>K2277</f>
        <v>22.799999999999997</v>
      </c>
      <c r="L2278" s="58"/>
      <c r="M2278" s="58">
        <f>K2278-L2278</f>
        <v>22.799999999999997</v>
      </c>
      <c r="N2278" s="166"/>
      <c r="O2278" s="58"/>
      <c r="P2278" s="58"/>
      <c r="Q2278" s="58"/>
      <c r="R2278" s="58"/>
      <c r="S2278" s="58"/>
      <c r="T2278" s="220"/>
      <c r="U2278" s="88"/>
      <c r="V2278" s="56"/>
      <c r="W2278" s="57" t="s">
        <v>1294</v>
      </c>
      <c r="X2278" s="53"/>
      <c r="Y2278" s="91" t="s">
        <v>35</v>
      </c>
      <c r="Z2278" s="136">
        <f>AD2278/AC2278</f>
        <v>407</v>
      </c>
      <c r="AA2278" s="58"/>
      <c r="AB2278" s="53">
        <f>AD2278/AC2278</f>
        <v>407</v>
      </c>
      <c r="AC2278" s="53">
        <f>M2278+$AE$10</f>
        <v>22.799999999999997</v>
      </c>
      <c r="AD2278" s="54">
        <f>SUM(AD2279:AD2281)</f>
        <v>9279.5999999999985</v>
      </c>
      <c r="AE2278" s="184">
        <f>SUMIFS($AD$37:$AD$12971,$V$37:$V$12971,$V2278,$X$37:$X$12971,AE$13)</f>
        <v>0</v>
      </c>
      <c r="AF2278" s="185">
        <f>SUMIFS($AD$37:$AD$12971,$V$37:$V$12971,$V2278,$X$37:$X$12971,AF$13)</f>
        <v>0</v>
      </c>
      <c r="AG2278" s="185">
        <f>SUMIFS($AD$37:$AD$12971,$V$37:$V$12971,$V2278,$X$37:$X$12971,AG$13)</f>
        <v>0</v>
      </c>
      <c r="AH2278" s="187">
        <f>SUMIFS($AD$37:$AD$12971,$V$37:$V$12971,$V2278,$X$37:$X$12971,AH$13)</f>
        <v>0</v>
      </c>
      <c r="AI2278" s="161">
        <f t="shared" ref="AI2278" si="1780">SUM(AE2278:AH2278)</f>
        <v>0</v>
      </c>
      <c r="AK2278" s="172"/>
    </row>
    <row r="2279" spans="1:41" s="102" customFormat="1" ht="19.899999999999999" customHeight="1" x14ac:dyDescent="0.25">
      <c r="A2279" s="45"/>
      <c r="B2279" s="59"/>
      <c r="C2279" s="137"/>
      <c r="D2279" s="59"/>
      <c r="E2279" s="116"/>
      <c r="F2279" s="120"/>
      <c r="G2279" s="120"/>
      <c r="H2279" s="120"/>
      <c r="I2279" s="60"/>
      <c r="J2279" s="116"/>
      <c r="K2279" s="213"/>
      <c r="L2279" s="120"/>
      <c r="M2279" s="120"/>
      <c r="N2279" s="167"/>
      <c r="O2279" s="120"/>
      <c r="P2279" s="120"/>
      <c r="Q2279" s="120"/>
      <c r="R2279" s="120"/>
      <c r="S2279" s="120"/>
      <c r="T2279" s="221"/>
      <c r="U2279" s="89"/>
      <c r="V2279" s="61"/>
      <c r="W2279" s="92" t="s">
        <v>1424</v>
      </c>
      <c r="X2279" s="93" t="s">
        <v>30</v>
      </c>
      <c r="Y2279" s="93" t="s">
        <v>35</v>
      </c>
      <c r="Z2279" s="134">
        <f>VLOOKUP(W2279,Sheet2!$B:$D,3,FALSE)</f>
        <v>307</v>
      </c>
      <c r="AA2279" s="93">
        <v>1</v>
      </c>
      <c r="AB2279" s="93">
        <f t="shared" ref="AB2279" si="1781">AD2279/AC2278</f>
        <v>307</v>
      </c>
      <c r="AC2279" s="93">
        <f>AC2278/AA2279</f>
        <v>22.799999999999997</v>
      </c>
      <c r="AD2279" s="94">
        <f t="shared" ref="AD2279:AD2280" si="1782">AC2279*Z2279</f>
        <v>6999.5999999999995</v>
      </c>
      <c r="AE2279" s="190"/>
      <c r="AF2279" s="191"/>
      <c r="AG2279" s="191"/>
      <c r="AH2279" s="191"/>
      <c r="AI2279" s="186"/>
      <c r="AK2279" s="171"/>
    </row>
    <row r="2280" spans="1:41" s="102" customFormat="1" ht="19.899999999999999" customHeight="1" x14ac:dyDescent="0.25">
      <c r="A2280" s="45"/>
      <c r="B2280" s="59"/>
      <c r="C2280" s="137"/>
      <c r="D2280" s="59"/>
      <c r="E2280" s="116"/>
      <c r="F2280" s="120"/>
      <c r="G2280" s="120"/>
      <c r="H2280" s="120"/>
      <c r="I2280" s="60"/>
      <c r="J2280" s="116"/>
      <c r="K2280" s="213"/>
      <c r="L2280" s="120"/>
      <c r="M2280" s="120"/>
      <c r="N2280" s="167"/>
      <c r="O2280" s="120"/>
      <c r="P2280" s="120"/>
      <c r="Q2280" s="120"/>
      <c r="R2280" s="120"/>
      <c r="S2280" s="120"/>
      <c r="T2280" s="221"/>
      <c r="U2280" s="89"/>
      <c r="V2280" s="61"/>
      <c r="W2280" s="92" t="s">
        <v>107</v>
      </c>
      <c r="X2280" s="93" t="s">
        <v>31</v>
      </c>
      <c r="Y2280" s="93" t="s">
        <v>93</v>
      </c>
      <c r="Z2280" s="134">
        <f>VLOOKUP(W2280,Sheet2!$B:$D,3,FALSE)</f>
        <v>17</v>
      </c>
      <c r="AA2280" s="93">
        <v>0.3</v>
      </c>
      <c r="AB2280" s="93">
        <f>AD2280/AC2278</f>
        <v>56.666666666666671</v>
      </c>
      <c r="AC2280" s="93">
        <f>AC2278/AA2280</f>
        <v>76</v>
      </c>
      <c r="AD2280" s="94">
        <f t="shared" si="1782"/>
        <v>1292</v>
      </c>
      <c r="AE2280" s="190"/>
      <c r="AF2280" s="191"/>
      <c r="AG2280" s="191"/>
      <c r="AH2280" s="191"/>
      <c r="AI2280" s="186"/>
      <c r="AK2280" s="171"/>
    </row>
    <row r="2281" spans="1:41" s="102" customFormat="1" ht="19.899999999999999" customHeight="1" x14ac:dyDescent="0.25">
      <c r="A2281" s="45"/>
      <c r="B2281" s="59"/>
      <c r="C2281" s="137"/>
      <c r="D2281" s="59"/>
      <c r="E2281" s="116"/>
      <c r="F2281" s="120"/>
      <c r="G2281" s="120"/>
      <c r="H2281" s="120"/>
      <c r="I2281" s="60"/>
      <c r="J2281" s="116"/>
      <c r="K2281" s="213"/>
      <c r="L2281" s="120"/>
      <c r="M2281" s="120"/>
      <c r="N2281" s="167"/>
      <c r="O2281" s="120"/>
      <c r="P2281" s="120"/>
      <c r="Q2281" s="120"/>
      <c r="R2281" s="120"/>
      <c r="S2281" s="120"/>
      <c r="T2281" s="221"/>
      <c r="U2281" s="89"/>
      <c r="V2281" s="61"/>
      <c r="W2281" s="92" t="s">
        <v>112</v>
      </c>
      <c r="X2281" s="93" t="s">
        <v>31</v>
      </c>
      <c r="Y2281" s="93" t="s">
        <v>93</v>
      </c>
      <c r="Z2281" s="134">
        <f>VLOOKUP(W2281,Sheet2!$B:$D,3,FALSE)</f>
        <v>13</v>
      </c>
      <c r="AA2281" s="93">
        <f>AA2280</f>
        <v>0.3</v>
      </c>
      <c r="AB2281" s="93">
        <f>AD2281/AC2278</f>
        <v>43.333333333333336</v>
      </c>
      <c r="AC2281" s="93">
        <f>AC2278/AA2281</f>
        <v>76</v>
      </c>
      <c r="AD2281" s="94">
        <f>AC2281*Z2281</f>
        <v>988</v>
      </c>
      <c r="AE2281" s="190"/>
      <c r="AF2281" s="191"/>
      <c r="AG2281" s="191"/>
      <c r="AH2281" s="191"/>
      <c r="AI2281" s="186"/>
      <c r="AK2281" s="171"/>
    </row>
    <row r="2282" spans="1:41" ht="20.100000000000001" customHeight="1" x14ac:dyDescent="0.25">
      <c r="A2282" s="277" t="s">
        <v>410</v>
      </c>
      <c r="B2282" s="278"/>
      <c r="C2282" s="64" t="s">
        <v>440</v>
      </c>
      <c r="D2282" s="46" t="s">
        <v>215</v>
      </c>
      <c r="E2282" s="114">
        <v>16.899999999999999</v>
      </c>
      <c r="F2282" s="44">
        <v>1391</v>
      </c>
      <c r="G2282" s="44">
        <f t="shared" si="1686"/>
        <v>23507.899999999998</v>
      </c>
      <c r="H2282" s="44">
        <f t="shared" si="1687"/>
        <v>445</v>
      </c>
      <c r="I2282" s="43">
        <f t="shared" si="1688"/>
        <v>7520.4999999999991</v>
      </c>
      <c r="J2282" s="112">
        <f t="shared" si="1689"/>
        <v>16.899999999999999</v>
      </c>
      <c r="K2282" s="211">
        <f t="shared" si="1690"/>
        <v>16.899999999999999</v>
      </c>
      <c r="L2282" s="44"/>
      <c r="M2282" s="44">
        <f t="shared" si="1704"/>
        <v>16.899999999999999</v>
      </c>
      <c r="N2282" s="173">
        <f t="shared" si="1691"/>
        <v>1</v>
      </c>
      <c r="O2282" s="44">
        <f t="shared" si="1692"/>
        <v>1391</v>
      </c>
      <c r="P2282" s="44">
        <f t="shared" si="1693"/>
        <v>23507.899999999998</v>
      </c>
      <c r="Q2282" s="44">
        <f t="shared" si="1694"/>
        <v>445</v>
      </c>
      <c r="R2282" s="44">
        <f t="shared" si="1705"/>
        <v>7520.4999999999991</v>
      </c>
      <c r="S2282" s="123"/>
      <c r="T2282" s="219">
        <f t="shared" si="1706"/>
        <v>7520.4999999999991</v>
      </c>
      <c r="U2282" s="87"/>
      <c r="V2282" s="47"/>
      <c r="W2282" s="48"/>
      <c r="X2282" s="48"/>
      <c r="Y2282" s="48"/>
      <c r="Z2282" s="135"/>
      <c r="AA2282" s="49"/>
      <c r="AB2282" s="50">
        <f t="shared" si="1695"/>
        <v>445</v>
      </c>
      <c r="AC2282" s="42">
        <f t="shared" si="1707"/>
        <v>16.899999999999999</v>
      </c>
      <c r="AD2282" s="90">
        <f>AD2283</f>
        <v>7520.4999999999991</v>
      </c>
      <c r="AE2282" s="188">
        <f t="shared" ref="AE2282" si="1783">AE2283</f>
        <v>0</v>
      </c>
      <c r="AF2282" s="189">
        <f t="shared" ref="AF2282" si="1784">AF2283</f>
        <v>0</v>
      </c>
      <c r="AG2282" s="189">
        <f t="shared" ref="AG2282" si="1785">AG2283</f>
        <v>0</v>
      </c>
      <c r="AH2282" s="189">
        <f t="shared" ref="AH2282" si="1786">AH2283</f>
        <v>0</v>
      </c>
      <c r="AI2282" s="161">
        <f t="shared" ref="AI2282" si="1787">SUM(AE2282:AH2282)</f>
        <v>0</v>
      </c>
      <c r="AK2282" s="169">
        <v>5</v>
      </c>
      <c r="AO2282" s="19" t="s">
        <v>63</v>
      </c>
    </row>
    <row r="2283" spans="1:41" s="103" customFormat="1" ht="19.899999999999999" customHeight="1" x14ac:dyDescent="0.25">
      <c r="A2283" s="51"/>
      <c r="B2283" s="52"/>
      <c r="C2283" s="165"/>
      <c r="D2283" s="52"/>
      <c r="E2283" s="115"/>
      <c r="F2283" s="58"/>
      <c r="G2283" s="58"/>
      <c r="H2283" s="58"/>
      <c r="I2283" s="55"/>
      <c r="J2283" s="113">
        <f>J2282</f>
        <v>16.899999999999999</v>
      </c>
      <c r="K2283" s="212">
        <f>K2282</f>
        <v>16.899999999999999</v>
      </c>
      <c r="L2283" s="58"/>
      <c r="M2283" s="58">
        <f>K2283-L2283</f>
        <v>16.899999999999999</v>
      </c>
      <c r="N2283" s="166"/>
      <c r="O2283" s="58"/>
      <c r="P2283" s="58"/>
      <c r="Q2283" s="58"/>
      <c r="R2283" s="58"/>
      <c r="S2283" s="58"/>
      <c r="T2283" s="220"/>
      <c r="U2283" s="88"/>
      <c r="V2283" s="56"/>
      <c r="W2283" s="57" t="s">
        <v>1294</v>
      </c>
      <c r="X2283" s="53"/>
      <c r="Y2283" s="91" t="s">
        <v>35</v>
      </c>
      <c r="Z2283" s="136">
        <f>AD2283/AC2283</f>
        <v>445</v>
      </c>
      <c r="AA2283" s="58"/>
      <c r="AB2283" s="53">
        <f>AD2283/AC2283</f>
        <v>445</v>
      </c>
      <c r="AC2283" s="53">
        <f>M2283+$AE$10</f>
        <v>16.899999999999999</v>
      </c>
      <c r="AD2283" s="54">
        <f>SUM(AD2284:AD2286)</f>
        <v>7520.4999999999991</v>
      </c>
      <c r="AE2283" s="184">
        <f>SUMIFS($AD$37:$AD$12971,$V$37:$V$12971,$V2283,$X$37:$X$12971,AE$13)</f>
        <v>0</v>
      </c>
      <c r="AF2283" s="185">
        <f>SUMIFS($AD$37:$AD$12971,$V$37:$V$12971,$V2283,$X$37:$X$12971,AF$13)</f>
        <v>0</v>
      </c>
      <c r="AG2283" s="185">
        <f>SUMIFS($AD$37:$AD$12971,$V$37:$V$12971,$V2283,$X$37:$X$12971,AG$13)</f>
        <v>0</v>
      </c>
      <c r="AH2283" s="187">
        <f>SUMIFS($AD$37:$AD$12971,$V$37:$V$12971,$V2283,$X$37:$X$12971,AH$13)</f>
        <v>0</v>
      </c>
      <c r="AI2283" s="161">
        <f t="shared" ref="AI2283" si="1788">SUM(AE2283:AH2283)</f>
        <v>0</v>
      </c>
      <c r="AK2283" s="172"/>
    </row>
    <row r="2284" spans="1:41" s="102" customFormat="1" ht="19.899999999999999" customHeight="1" x14ac:dyDescent="0.25">
      <c r="A2284" s="45"/>
      <c r="B2284" s="59"/>
      <c r="C2284" s="137"/>
      <c r="D2284" s="59"/>
      <c r="E2284" s="116"/>
      <c r="F2284" s="120"/>
      <c r="G2284" s="120"/>
      <c r="H2284" s="120"/>
      <c r="I2284" s="60"/>
      <c r="J2284" s="116"/>
      <c r="K2284" s="213"/>
      <c r="L2284" s="120"/>
      <c r="M2284" s="120"/>
      <c r="N2284" s="167"/>
      <c r="O2284" s="120"/>
      <c r="P2284" s="120"/>
      <c r="Q2284" s="120"/>
      <c r="R2284" s="120"/>
      <c r="S2284" s="120"/>
      <c r="T2284" s="221"/>
      <c r="U2284" s="89"/>
      <c r="V2284" s="61"/>
      <c r="W2284" s="92" t="s">
        <v>1425</v>
      </c>
      <c r="X2284" s="93" t="s">
        <v>30</v>
      </c>
      <c r="Y2284" s="93" t="s">
        <v>35</v>
      </c>
      <c r="Z2284" s="134">
        <f>VLOOKUP(W2284,Sheet2!$B:$D,3,FALSE)</f>
        <v>345</v>
      </c>
      <c r="AA2284" s="93">
        <v>1</v>
      </c>
      <c r="AB2284" s="93">
        <f t="shared" ref="AB2284" si="1789">AD2284/AC2283</f>
        <v>345</v>
      </c>
      <c r="AC2284" s="93">
        <f>AC2283/AA2284</f>
        <v>16.899999999999999</v>
      </c>
      <c r="AD2284" s="94">
        <f t="shared" ref="AD2284:AD2285" si="1790">AC2284*Z2284</f>
        <v>5830.4999999999991</v>
      </c>
      <c r="AE2284" s="190"/>
      <c r="AF2284" s="191"/>
      <c r="AG2284" s="191"/>
      <c r="AH2284" s="191"/>
      <c r="AI2284" s="186"/>
      <c r="AK2284" s="171"/>
    </row>
    <row r="2285" spans="1:41" s="102" customFormat="1" ht="19.899999999999999" customHeight="1" x14ac:dyDescent="0.25">
      <c r="A2285" s="45"/>
      <c r="B2285" s="59"/>
      <c r="C2285" s="137"/>
      <c r="D2285" s="59"/>
      <c r="E2285" s="116"/>
      <c r="F2285" s="120"/>
      <c r="G2285" s="120"/>
      <c r="H2285" s="120"/>
      <c r="I2285" s="60"/>
      <c r="J2285" s="116"/>
      <c r="K2285" s="213"/>
      <c r="L2285" s="120"/>
      <c r="M2285" s="120"/>
      <c r="N2285" s="167"/>
      <c r="O2285" s="120"/>
      <c r="P2285" s="120"/>
      <c r="Q2285" s="120"/>
      <c r="R2285" s="120"/>
      <c r="S2285" s="120"/>
      <c r="T2285" s="221"/>
      <c r="U2285" s="89"/>
      <c r="V2285" s="61"/>
      <c r="W2285" s="92" t="s">
        <v>107</v>
      </c>
      <c r="X2285" s="93" t="s">
        <v>31</v>
      </c>
      <c r="Y2285" s="93" t="s">
        <v>93</v>
      </c>
      <c r="Z2285" s="134">
        <f>VLOOKUP(W2285,Sheet2!$B:$D,3,FALSE)</f>
        <v>17</v>
      </c>
      <c r="AA2285" s="93">
        <v>0.3</v>
      </c>
      <c r="AB2285" s="93">
        <f>AD2285/AC2283</f>
        <v>56.666666666666671</v>
      </c>
      <c r="AC2285" s="93">
        <f>AC2283/AA2285</f>
        <v>56.333333333333329</v>
      </c>
      <c r="AD2285" s="94">
        <f t="shared" si="1790"/>
        <v>957.66666666666663</v>
      </c>
      <c r="AE2285" s="190"/>
      <c r="AF2285" s="191"/>
      <c r="AG2285" s="191"/>
      <c r="AH2285" s="191"/>
      <c r="AI2285" s="186"/>
      <c r="AK2285" s="171"/>
    </row>
    <row r="2286" spans="1:41" s="102" customFormat="1" ht="19.899999999999999" customHeight="1" x14ac:dyDescent="0.25">
      <c r="A2286" s="45"/>
      <c r="B2286" s="59"/>
      <c r="C2286" s="137"/>
      <c r="D2286" s="59"/>
      <c r="E2286" s="116"/>
      <c r="F2286" s="120"/>
      <c r="G2286" s="120"/>
      <c r="H2286" s="120"/>
      <c r="I2286" s="60"/>
      <c r="J2286" s="116"/>
      <c r="K2286" s="213"/>
      <c r="L2286" s="120"/>
      <c r="M2286" s="120"/>
      <c r="N2286" s="167"/>
      <c r="O2286" s="120"/>
      <c r="P2286" s="120"/>
      <c r="Q2286" s="120"/>
      <c r="R2286" s="120"/>
      <c r="S2286" s="120"/>
      <c r="T2286" s="221"/>
      <c r="U2286" s="89"/>
      <c r="V2286" s="61"/>
      <c r="W2286" s="92" t="s">
        <v>112</v>
      </c>
      <c r="X2286" s="93" t="s">
        <v>31</v>
      </c>
      <c r="Y2286" s="93" t="s">
        <v>93</v>
      </c>
      <c r="Z2286" s="134">
        <f>VLOOKUP(W2286,Sheet2!$B:$D,3,FALSE)</f>
        <v>13</v>
      </c>
      <c r="AA2286" s="93">
        <f>AA2285</f>
        <v>0.3</v>
      </c>
      <c r="AB2286" s="93">
        <f>AD2286/AC2283</f>
        <v>43.333333333333336</v>
      </c>
      <c r="AC2286" s="93">
        <f>AC2283/AA2286</f>
        <v>56.333333333333329</v>
      </c>
      <c r="AD2286" s="94">
        <f>AC2286*Z2286</f>
        <v>732.33333333333326</v>
      </c>
      <c r="AE2286" s="190"/>
      <c r="AF2286" s="191"/>
      <c r="AG2286" s="191"/>
      <c r="AH2286" s="191"/>
      <c r="AI2286" s="186"/>
      <c r="AK2286" s="171"/>
    </row>
    <row r="2287" spans="1:41" ht="20.100000000000001" customHeight="1" x14ac:dyDescent="0.25">
      <c r="A2287" s="277" t="s">
        <v>410</v>
      </c>
      <c r="B2287" s="278"/>
      <c r="C2287" s="64" t="s">
        <v>441</v>
      </c>
      <c r="D2287" s="46" t="s">
        <v>215</v>
      </c>
      <c r="E2287" s="114">
        <v>28.5</v>
      </c>
      <c r="F2287" s="44">
        <v>1882</v>
      </c>
      <c r="G2287" s="44">
        <f t="shared" si="1686"/>
        <v>53637</v>
      </c>
      <c r="H2287" s="44">
        <f t="shared" si="1687"/>
        <v>1035</v>
      </c>
      <c r="I2287" s="43">
        <f t="shared" si="1688"/>
        <v>29497.5</v>
      </c>
      <c r="J2287" s="112">
        <f t="shared" si="1689"/>
        <v>28.5</v>
      </c>
      <c r="K2287" s="211">
        <f t="shared" si="1690"/>
        <v>28.5</v>
      </c>
      <c r="L2287" s="44"/>
      <c r="M2287" s="44">
        <f t="shared" si="1704"/>
        <v>28.5</v>
      </c>
      <c r="N2287" s="173">
        <f t="shared" si="1691"/>
        <v>1</v>
      </c>
      <c r="O2287" s="44">
        <f t="shared" si="1692"/>
        <v>1882</v>
      </c>
      <c r="P2287" s="44">
        <f t="shared" si="1693"/>
        <v>53637</v>
      </c>
      <c r="Q2287" s="44">
        <f t="shared" si="1694"/>
        <v>1035</v>
      </c>
      <c r="R2287" s="44">
        <f t="shared" si="1705"/>
        <v>29497.5</v>
      </c>
      <c r="S2287" s="123"/>
      <c r="T2287" s="219">
        <f t="shared" si="1706"/>
        <v>29497.5</v>
      </c>
      <c r="U2287" s="87"/>
      <c r="V2287" s="47"/>
      <c r="W2287" s="48"/>
      <c r="X2287" s="48"/>
      <c r="Y2287" s="48"/>
      <c r="Z2287" s="135"/>
      <c r="AA2287" s="49"/>
      <c r="AB2287" s="50">
        <f t="shared" si="1695"/>
        <v>1035</v>
      </c>
      <c r="AC2287" s="42">
        <f t="shared" si="1707"/>
        <v>28.5</v>
      </c>
      <c r="AD2287" s="90">
        <f>AD2288</f>
        <v>29497.5</v>
      </c>
      <c r="AE2287" s="188">
        <f t="shared" ref="AE2287" si="1791">AE2288</f>
        <v>0</v>
      </c>
      <c r="AF2287" s="189">
        <f t="shared" ref="AF2287" si="1792">AF2288</f>
        <v>0</v>
      </c>
      <c r="AG2287" s="189">
        <f t="shared" ref="AG2287" si="1793">AG2288</f>
        <v>0</v>
      </c>
      <c r="AH2287" s="189">
        <f t="shared" ref="AH2287" si="1794">AH2288</f>
        <v>0</v>
      </c>
      <c r="AI2287" s="161">
        <f t="shared" ref="AI2287" si="1795">SUM(AE2287:AH2287)</f>
        <v>0</v>
      </c>
      <c r="AK2287" s="169">
        <v>5</v>
      </c>
      <c r="AO2287" s="19" t="s">
        <v>63</v>
      </c>
    </row>
    <row r="2288" spans="1:41" s="103" customFormat="1" ht="19.899999999999999" customHeight="1" x14ac:dyDescent="0.25">
      <c r="A2288" s="51"/>
      <c r="B2288" s="52"/>
      <c r="C2288" s="165"/>
      <c r="D2288" s="52"/>
      <c r="E2288" s="115"/>
      <c r="F2288" s="58"/>
      <c r="G2288" s="58"/>
      <c r="H2288" s="58"/>
      <c r="I2288" s="55"/>
      <c r="J2288" s="113">
        <f>J2287</f>
        <v>28.5</v>
      </c>
      <c r="K2288" s="212">
        <f>K2287</f>
        <v>28.5</v>
      </c>
      <c r="L2288" s="58"/>
      <c r="M2288" s="58">
        <f>K2288-L2288</f>
        <v>28.5</v>
      </c>
      <c r="N2288" s="166"/>
      <c r="O2288" s="58"/>
      <c r="P2288" s="58"/>
      <c r="Q2288" s="58"/>
      <c r="R2288" s="58"/>
      <c r="S2288" s="58"/>
      <c r="T2288" s="220"/>
      <c r="U2288" s="88"/>
      <c r="V2288" s="56"/>
      <c r="W2288" s="57" t="s">
        <v>1294</v>
      </c>
      <c r="X2288" s="53"/>
      <c r="Y2288" s="91" t="s">
        <v>35</v>
      </c>
      <c r="Z2288" s="136">
        <f>AD2288/AC2288</f>
        <v>1035</v>
      </c>
      <c r="AA2288" s="58"/>
      <c r="AB2288" s="53">
        <f>AD2288/AC2288</f>
        <v>1035</v>
      </c>
      <c r="AC2288" s="53">
        <f>M2288+$AE$10</f>
        <v>28.5</v>
      </c>
      <c r="AD2288" s="54">
        <f>SUM(AD2289:AD2291)</f>
        <v>29497.5</v>
      </c>
      <c r="AE2288" s="184">
        <f>SUMIFS($AD$37:$AD$12971,$V$37:$V$12971,$V2288,$X$37:$X$12971,AE$13)</f>
        <v>0</v>
      </c>
      <c r="AF2288" s="185">
        <f>SUMIFS($AD$37:$AD$12971,$V$37:$V$12971,$V2288,$X$37:$X$12971,AF$13)</f>
        <v>0</v>
      </c>
      <c r="AG2288" s="185">
        <f>SUMIFS($AD$37:$AD$12971,$V$37:$V$12971,$V2288,$X$37:$X$12971,AG$13)</f>
        <v>0</v>
      </c>
      <c r="AH2288" s="187">
        <f>SUMIFS($AD$37:$AD$12971,$V$37:$V$12971,$V2288,$X$37:$X$12971,AH$13)</f>
        <v>0</v>
      </c>
      <c r="AI2288" s="161">
        <f t="shared" ref="AI2288" si="1796">SUM(AE2288:AH2288)</f>
        <v>0</v>
      </c>
      <c r="AK2288" s="172"/>
    </row>
    <row r="2289" spans="1:41" s="102" customFormat="1" ht="19.899999999999999" customHeight="1" x14ac:dyDescent="0.25">
      <c r="A2289" s="45"/>
      <c r="B2289" s="59"/>
      <c r="C2289" s="137"/>
      <c r="D2289" s="59"/>
      <c r="E2289" s="116"/>
      <c r="F2289" s="120"/>
      <c r="G2289" s="120"/>
      <c r="H2289" s="120"/>
      <c r="I2289" s="60"/>
      <c r="J2289" s="116"/>
      <c r="K2289" s="213"/>
      <c r="L2289" s="120"/>
      <c r="M2289" s="120"/>
      <c r="N2289" s="167"/>
      <c r="O2289" s="120"/>
      <c r="P2289" s="120"/>
      <c r="Q2289" s="120"/>
      <c r="R2289" s="120"/>
      <c r="S2289" s="120"/>
      <c r="T2289" s="221"/>
      <c r="U2289" s="89"/>
      <c r="V2289" s="61"/>
      <c r="W2289" s="92" t="s">
        <v>1426</v>
      </c>
      <c r="X2289" s="93" t="s">
        <v>30</v>
      </c>
      <c r="Y2289" s="93" t="s">
        <v>35</v>
      </c>
      <c r="Z2289" s="134">
        <f>VLOOKUP(W2289,Sheet2!$B:$D,3,FALSE)</f>
        <v>935</v>
      </c>
      <c r="AA2289" s="93">
        <v>1</v>
      </c>
      <c r="AB2289" s="93">
        <f t="shared" ref="AB2289" si="1797">AD2289/AC2288</f>
        <v>935</v>
      </c>
      <c r="AC2289" s="93">
        <f>AC2288/AA2289</f>
        <v>28.5</v>
      </c>
      <c r="AD2289" s="94">
        <f t="shared" ref="AD2289:AD2290" si="1798">AC2289*Z2289</f>
        <v>26647.5</v>
      </c>
      <c r="AE2289" s="190"/>
      <c r="AF2289" s="191"/>
      <c r="AG2289" s="191"/>
      <c r="AH2289" s="191"/>
      <c r="AI2289" s="186"/>
      <c r="AK2289" s="171"/>
    </row>
    <row r="2290" spans="1:41" s="102" customFormat="1" ht="19.899999999999999" customHeight="1" x14ac:dyDescent="0.25">
      <c r="A2290" s="45"/>
      <c r="B2290" s="59"/>
      <c r="C2290" s="137"/>
      <c r="D2290" s="59"/>
      <c r="E2290" s="116"/>
      <c r="F2290" s="120"/>
      <c r="G2290" s="120"/>
      <c r="H2290" s="120"/>
      <c r="I2290" s="60"/>
      <c r="J2290" s="116"/>
      <c r="K2290" s="213"/>
      <c r="L2290" s="120"/>
      <c r="M2290" s="120"/>
      <c r="N2290" s="167"/>
      <c r="O2290" s="120"/>
      <c r="P2290" s="120"/>
      <c r="Q2290" s="120"/>
      <c r="R2290" s="120"/>
      <c r="S2290" s="120"/>
      <c r="T2290" s="221"/>
      <c r="U2290" s="89"/>
      <c r="V2290" s="61"/>
      <c r="W2290" s="92" t="s">
        <v>107</v>
      </c>
      <c r="X2290" s="93" t="s">
        <v>31</v>
      </c>
      <c r="Y2290" s="93" t="s">
        <v>93</v>
      </c>
      <c r="Z2290" s="134">
        <f>VLOOKUP(W2290,Sheet2!$B:$D,3,FALSE)</f>
        <v>17</v>
      </c>
      <c r="AA2290" s="93">
        <v>0.3</v>
      </c>
      <c r="AB2290" s="93">
        <f>AD2290/AC2288</f>
        <v>56.666666666666664</v>
      </c>
      <c r="AC2290" s="93">
        <f>AC2288/AA2290</f>
        <v>95</v>
      </c>
      <c r="AD2290" s="94">
        <f t="shared" si="1798"/>
        <v>1615</v>
      </c>
      <c r="AE2290" s="190"/>
      <c r="AF2290" s="191"/>
      <c r="AG2290" s="191"/>
      <c r="AH2290" s="191"/>
      <c r="AI2290" s="186"/>
      <c r="AK2290" s="171"/>
    </row>
    <row r="2291" spans="1:41" s="102" customFormat="1" ht="19.899999999999999" customHeight="1" x14ac:dyDescent="0.25">
      <c r="A2291" s="45"/>
      <c r="B2291" s="59"/>
      <c r="C2291" s="137"/>
      <c r="D2291" s="59"/>
      <c r="E2291" s="116"/>
      <c r="F2291" s="120"/>
      <c r="G2291" s="120"/>
      <c r="H2291" s="120"/>
      <c r="I2291" s="60"/>
      <c r="J2291" s="116"/>
      <c r="K2291" s="213"/>
      <c r="L2291" s="120"/>
      <c r="M2291" s="120"/>
      <c r="N2291" s="167"/>
      <c r="O2291" s="120"/>
      <c r="P2291" s="120"/>
      <c r="Q2291" s="120"/>
      <c r="R2291" s="120"/>
      <c r="S2291" s="120"/>
      <c r="T2291" s="221"/>
      <c r="U2291" s="89"/>
      <c r="V2291" s="61"/>
      <c r="W2291" s="92" t="s">
        <v>112</v>
      </c>
      <c r="X2291" s="93" t="s">
        <v>31</v>
      </c>
      <c r="Y2291" s="93" t="s">
        <v>93</v>
      </c>
      <c r="Z2291" s="134">
        <f>VLOOKUP(W2291,Sheet2!$B:$D,3,FALSE)</f>
        <v>13</v>
      </c>
      <c r="AA2291" s="93">
        <f>AA2290</f>
        <v>0.3</v>
      </c>
      <c r="AB2291" s="93">
        <f>AD2291/AC2288</f>
        <v>43.333333333333336</v>
      </c>
      <c r="AC2291" s="93">
        <f>AC2288/AA2291</f>
        <v>95</v>
      </c>
      <c r="AD2291" s="94">
        <f>AC2291*Z2291</f>
        <v>1235</v>
      </c>
      <c r="AE2291" s="190"/>
      <c r="AF2291" s="191"/>
      <c r="AG2291" s="191"/>
      <c r="AH2291" s="191"/>
      <c r="AI2291" s="186"/>
      <c r="AK2291" s="171"/>
    </row>
    <row r="2292" spans="1:41" ht="20.100000000000001" customHeight="1" x14ac:dyDescent="0.25">
      <c r="A2292" s="277" t="s">
        <v>410</v>
      </c>
      <c r="B2292" s="278"/>
      <c r="C2292" s="64" t="s">
        <v>442</v>
      </c>
      <c r="D2292" s="46" t="s">
        <v>215</v>
      </c>
      <c r="E2292" s="114">
        <v>1.2999999999999998</v>
      </c>
      <c r="F2292" s="44">
        <v>1964</v>
      </c>
      <c r="G2292" s="44">
        <f t="shared" si="1686"/>
        <v>2553.1999999999998</v>
      </c>
      <c r="H2292" s="44">
        <f t="shared" si="1687"/>
        <v>1058</v>
      </c>
      <c r="I2292" s="43">
        <f t="shared" si="1688"/>
        <v>1375.3999999999999</v>
      </c>
      <c r="J2292" s="112">
        <f t="shared" si="1689"/>
        <v>1.2999999999999998</v>
      </c>
      <c r="K2292" s="211">
        <f t="shared" si="1690"/>
        <v>1.2999999999999998</v>
      </c>
      <c r="L2292" s="44"/>
      <c r="M2292" s="44">
        <f t="shared" si="1704"/>
        <v>1.2999999999999998</v>
      </c>
      <c r="N2292" s="173">
        <f t="shared" si="1691"/>
        <v>1</v>
      </c>
      <c r="O2292" s="44">
        <f t="shared" si="1692"/>
        <v>1964</v>
      </c>
      <c r="P2292" s="44">
        <f t="shared" si="1693"/>
        <v>2553.1999999999998</v>
      </c>
      <c r="Q2292" s="44">
        <f t="shared" si="1694"/>
        <v>1058</v>
      </c>
      <c r="R2292" s="44">
        <f t="shared" si="1705"/>
        <v>1375.3999999999999</v>
      </c>
      <c r="S2292" s="123"/>
      <c r="T2292" s="219">
        <f t="shared" si="1706"/>
        <v>1375.3999999999999</v>
      </c>
      <c r="U2292" s="87"/>
      <c r="V2292" s="47"/>
      <c r="W2292" s="48"/>
      <c r="X2292" s="48"/>
      <c r="Y2292" s="48"/>
      <c r="Z2292" s="135"/>
      <c r="AA2292" s="49"/>
      <c r="AB2292" s="50">
        <f t="shared" si="1695"/>
        <v>1058</v>
      </c>
      <c r="AC2292" s="42">
        <f t="shared" si="1707"/>
        <v>1.2999999999999998</v>
      </c>
      <c r="AD2292" s="90">
        <f>AD2293</f>
        <v>1375.3999999999999</v>
      </c>
      <c r="AE2292" s="188">
        <f t="shared" ref="AE2292" si="1799">AE2293</f>
        <v>0</v>
      </c>
      <c r="AF2292" s="189">
        <f t="shared" ref="AF2292" si="1800">AF2293</f>
        <v>0</v>
      </c>
      <c r="AG2292" s="189">
        <f t="shared" ref="AG2292" si="1801">AG2293</f>
        <v>0</v>
      </c>
      <c r="AH2292" s="189">
        <f t="shared" ref="AH2292" si="1802">AH2293</f>
        <v>0</v>
      </c>
      <c r="AI2292" s="161">
        <f t="shared" ref="AI2292:AI2297" si="1803">SUM(AE2292:AH2292)</f>
        <v>0</v>
      </c>
      <c r="AK2292" s="169">
        <v>5</v>
      </c>
      <c r="AO2292" s="19" t="s">
        <v>63</v>
      </c>
    </row>
    <row r="2293" spans="1:41" s="103" customFormat="1" ht="19.899999999999999" customHeight="1" x14ac:dyDescent="0.25">
      <c r="A2293" s="51"/>
      <c r="B2293" s="52"/>
      <c r="C2293" s="165"/>
      <c r="D2293" s="52"/>
      <c r="E2293" s="115"/>
      <c r="F2293" s="58"/>
      <c r="G2293" s="58"/>
      <c r="H2293" s="58"/>
      <c r="I2293" s="55"/>
      <c r="J2293" s="113">
        <f>J2292</f>
        <v>1.2999999999999998</v>
      </c>
      <c r="K2293" s="212">
        <f>K2292</f>
        <v>1.2999999999999998</v>
      </c>
      <c r="L2293" s="58"/>
      <c r="M2293" s="58">
        <f>K2293-L2293</f>
        <v>1.2999999999999998</v>
      </c>
      <c r="N2293" s="166"/>
      <c r="O2293" s="58"/>
      <c r="P2293" s="58"/>
      <c r="Q2293" s="58"/>
      <c r="R2293" s="58"/>
      <c r="S2293" s="58"/>
      <c r="T2293" s="220"/>
      <c r="U2293" s="88"/>
      <c r="V2293" s="56"/>
      <c r="W2293" s="57" t="s">
        <v>1294</v>
      </c>
      <c r="X2293" s="53"/>
      <c r="Y2293" s="91" t="s">
        <v>35</v>
      </c>
      <c r="Z2293" s="136">
        <f>AD2293/AC2293</f>
        <v>1058</v>
      </c>
      <c r="AA2293" s="58"/>
      <c r="AB2293" s="53">
        <f>AD2293/AC2293</f>
        <v>1058</v>
      </c>
      <c r="AC2293" s="53">
        <f>M2293+$AE$10</f>
        <v>1.2999999999999998</v>
      </c>
      <c r="AD2293" s="54">
        <f>SUM(AD2294:AD2296)</f>
        <v>1375.3999999999999</v>
      </c>
      <c r="AE2293" s="184">
        <f>SUMIFS($AD$37:$AD$12971,$V$37:$V$12971,$V2293,$X$37:$X$12971,AE$13)</f>
        <v>0</v>
      </c>
      <c r="AF2293" s="185">
        <f>SUMIFS($AD$37:$AD$12971,$V$37:$V$12971,$V2293,$X$37:$X$12971,AF$13)</f>
        <v>0</v>
      </c>
      <c r="AG2293" s="185">
        <f>SUMIFS($AD$37:$AD$12971,$V$37:$V$12971,$V2293,$X$37:$X$12971,AG$13)</f>
        <v>0</v>
      </c>
      <c r="AH2293" s="187">
        <f>SUMIFS($AD$37:$AD$12971,$V$37:$V$12971,$V2293,$X$37:$X$12971,AH$13)</f>
        <v>0</v>
      </c>
      <c r="AI2293" s="161">
        <f t="shared" ref="AI2293" si="1804">SUM(AE2293:AH2293)</f>
        <v>0</v>
      </c>
      <c r="AK2293" s="172"/>
    </row>
    <row r="2294" spans="1:41" s="102" customFormat="1" ht="19.899999999999999" customHeight="1" x14ac:dyDescent="0.25">
      <c r="A2294" s="45"/>
      <c r="B2294" s="59"/>
      <c r="C2294" s="137"/>
      <c r="D2294" s="59"/>
      <c r="E2294" s="116"/>
      <c r="F2294" s="120"/>
      <c r="G2294" s="120"/>
      <c r="H2294" s="120"/>
      <c r="I2294" s="60"/>
      <c r="J2294" s="116"/>
      <c r="K2294" s="213"/>
      <c r="L2294" s="120"/>
      <c r="M2294" s="120"/>
      <c r="N2294" s="167"/>
      <c r="O2294" s="120"/>
      <c r="P2294" s="120"/>
      <c r="Q2294" s="120"/>
      <c r="R2294" s="120"/>
      <c r="S2294" s="120"/>
      <c r="T2294" s="221"/>
      <c r="U2294" s="89"/>
      <c r="V2294" s="61"/>
      <c r="W2294" s="92" t="s">
        <v>1427</v>
      </c>
      <c r="X2294" s="93" t="s">
        <v>30</v>
      </c>
      <c r="Y2294" s="93" t="s">
        <v>35</v>
      </c>
      <c r="Z2294" s="134">
        <f>VLOOKUP(W2294,Sheet2!$B:$D,3,FALSE)</f>
        <v>958</v>
      </c>
      <c r="AA2294" s="93">
        <v>1</v>
      </c>
      <c r="AB2294" s="93">
        <f t="shared" ref="AB2294" si="1805">AD2294/AC2293</f>
        <v>958</v>
      </c>
      <c r="AC2294" s="93">
        <f>AC2293/AA2294</f>
        <v>1.2999999999999998</v>
      </c>
      <c r="AD2294" s="94">
        <f t="shared" ref="AD2294:AD2295" si="1806">AC2294*Z2294</f>
        <v>1245.3999999999999</v>
      </c>
      <c r="AE2294" s="190"/>
      <c r="AF2294" s="191"/>
      <c r="AG2294" s="191"/>
      <c r="AH2294" s="191"/>
      <c r="AI2294" s="186"/>
      <c r="AK2294" s="171"/>
    </row>
    <row r="2295" spans="1:41" s="102" customFormat="1" ht="19.899999999999999" customHeight="1" x14ac:dyDescent="0.25">
      <c r="A2295" s="45"/>
      <c r="B2295" s="59"/>
      <c r="C2295" s="137"/>
      <c r="D2295" s="59"/>
      <c r="E2295" s="116"/>
      <c r="F2295" s="120"/>
      <c r="G2295" s="120"/>
      <c r="H2295" s="120"/>
      <c r="I2295" s="60"/>
      <c r="J2295" s="116"/>
      <c r="K2295" s="213"/>
      <c r="L2295" s="120"/>
      <c r="M2295" s="120"/>
      <c r="N2295" s="167"/>
      <c r="O2295" s="120"/>
      <c r="P2295" s="120"/>
      <c r="Q2295" s="120"/>
      <c r="R2295" s="120"/>
      <c r="S2295" s="120"/>
      <c r="T2295" s="221"/>
      <c r="U2295" s="89"/>
      <c r="V2295" s="61"/>
      <c r="W2295" s="92" t="s">
        <v>107</v>
      </c>
      <c r="X2295" s="93" t="s">
        <v>31</v>
      </c>
      <c r="Y2295" s="93" t="s">
        <v>93</v>
      </c>
      <c r="Z2295" s="134">
        <f>VLOOKUP(W2295,Sheet2!$B:$D,3,FALSE)</f>
        <v>17</v>
      </c>
      <c r="AA2295" s="93">
        <v>0.3</v>
      </c>
      <c r="AB2295" s="93">
        <f>AD2295/AC2293</f>
        <v>56.666666666666664</v>
      </c>
      <c r="AC2295" s="93">
        <f>AC2293/AA2295</f>
        <v>4.333333333333333</v>
      </c>
      <c r="AD2295" s="94">
        <f t="shared" si="1806"/>
        <v>73.666666666666657</v>
      </c>
      <c r="AE2295" s="190"/>
      <c r="AF2295" s="191"/>
      <c r="AG2295" s="191"/>
      <c r="AH2295" s="191"/>
      <c r="AI2295" s="186"/>
      <c r="AK2295" s="171"/>
    </row>
    <row r="2296" spans="1:41" s="102" customFormat="1" ht="19.899999999999999" customHeight="1" x14ac:dyDescent="0.25">
      <c r="A2296" s="45"/>
      <c r="B2296" s="59"/>
      <c r="C2296" s="137"/>
      <c r="D2296" s="59"/>
      <c r="E2296" s="116"/>
      <c r="F2296" s="120"/>
      <c r="G2296" s="120"/>
      <c r="H2296" s="120"/>
      <c r="I2296" s="60"/>
      <c r="J2296" s="116"/>
      <c r="K2296" s="213"/>
      <c r="L2296" s="120"/>
      <c r="M2296" s="120"/>
      <c r="N2296" s="167"/>
      <c r="O2296" s="120"/>
      <c r="P2296" s="120"/>
      <c r="Q2296" s="120"/>
      <c r="R2296" s="120"/>
      <c r="S2296" s="120"/>
      <c r="T2296" s="221"/>
      <c r="U2296" s="89"/>
      <c r="V2296" s="61"/>
      <c r="W2296" s="92" t="s">
        <v>112</v>
      </c>
      <c r="X2296" s="93" t="s">
        <v>31</v>
      </c>
      <c r="Y2296" s="93" t="s">
        <v>93</v>
      </c>
      <c r="Z2296" s="134">
        <f>VLOOKUP(W2296,Sheet2!$B:$D,3,FALSE)</f>
        <v>13</v>
      </c>
      <c r="AA2296" s="93">
        <f>AA2295</f>
        <v>0.3</v>
      </c>
      <c r="AB2296" s="93">
        <f>AD2296/AC2293</f>
        <v>43.333333333333336</v>
      </c>
      <c r="AC2296" s="93">
        <f>AC2293/AA2296</f>
        <v>4.333333333333333</v>
      </c>
      <c r="AD2296" s="94">
        <f>AC2296*Z2296</f>
        <v>56.333333333333329</v>
      </c>
      <c r="AE2296" s="190"/>
      <c r="AF2296" s="191"/>
      <c r="AG2296" s="191"/>
      <c r="AH2296" s="191"/>
      <c r="AI2296" s="186"/>
      <c r="AK2296" s="171"/>
    </row>
    <row r="2297" spans="1:41" ht="20.100000000000001" customHeight="1" x14ac:dyDescent="0.25">
      <c r="A2297" s="277" t="s">
        <v>410</v>
      </c>
      <c r="B2297" s="278"/>
      <c r="C2297" s="64" t="s">
        <v>443</v>
      </c>
      <c r="D2297" s="46" t="s">
        <v>215</v>
      </c>
      <c r="E2297" s="114">
        <v>22.79999999999999</v>
      </c>
      <c r="F2297" s="44">
        <v>2094</v>
      </c>
      <c r="G2297" s="44">
        <f t="shared" si="1686"/>
        <v>47743.199999999983</v>
      </c>
      <c r="H2297" s="44">
        <f t="shared" si="1687"/>
        <v>1290</v>
      </c>
      <c r="I2297" s="43">
        <f t="shared" si="1688"/>
        <v>29411.999999999985</v>
      </c>
      <c r="J2297" s="112">
        <f t="shared" si="1689"/>
        <v>22.79999999999999</v>
      </c>
      <c r="K2297" s="211">
        <f t="shared" si="1690"/>
        <v>22.79999999999999</v>
      </c>
      <c r="L2297" s="44"/>
      <c r="M2297" s="44">
        <f t="shared" si="1704"/>
        <v>22.79999999999999</v>
      </c>
      <c r="N2297" s="173">
        <f t="shared" si="1691"/>
        <v>1</v>
      </c>
      <c r="O2297" s="44">
        <f t="shared" si="1692"/>
        <v>2094</v>
      </c>
      <c r="P2297" s="44">
        <f t="shared" si="1693"/>
        <v>47743.199999999983</v>
      </c>
      <c r="Q2297" s="44">
        <f t="shared" si="1694"/>
        <v>1290</v>
      </c>
      <c r="R2297" s="44">
        <f t="shared" si="1705"/>
        <v>29411.999999999985</v>
      </c>
      <c r="S2297" s="123"/>
      <c r="T2297" s="219">
        <f t="shared" si="1706"/>
        <v>29411.999999999985</v>
      </c>
      <c r="U2297" s="87"/>
      <c r="V2297" s="47"/>
      <c r="W2297" s="48"/>
      <c r="X2297" s="48"/>
      <c r="Y2297" s="48"/>
      <c r="Z2297" s="135"/>
      <c r="AA2297" s="49"/>
      <c r="AB2297" s="50">
        <f t="shared" si="1695"/>
        <v>1290</v>
      </c>
      <c r="AC2297" s="42">
        <f t="shared" si="1707"/>
        <v>22.79999999999999</v>
      </c>
      <c r="AD2297" s="90">
        <f>AD2298</f>
        <v>29411.999999999989</v>
      </c>
      <c r="AE2297" s="188">
        <f t="shared" ref="AE2297" si="1807">AE2298</f>
        <v>0</v>
      </c>
      <c r="AF2297" s="189">
        <f t="shared" ref="AF2297" si="1808">AF2298</f>
        <v>0</v>
      </c>
      <c r="AG2297" s="189">
        <f t="shared" ref="AG2297" si="1809">AG2298</f>
        <v>0</v>
      </c>
      <c r="AH2297" s="189">
        <f t="shared" ref="AH2297" si="1810">AH2298</f>
        <v>0</v>
      </c>
      <c r="AI2297" s="161">
        <f t="shared" si="1803"/>
        <v>0</v>
      </c>
      <c r="AK2297" s="169">
        <v>5</v>
      </c>
      <c r="AO2297" s="19" t="s">
        <v>63</v>
      </c>
    </row>
    <row r="2298" spans="1:41" s="103" customFormat="1" ht="19.899999999999999" customHeight="1" x14ac:dyDescent="0.25">
      <c r="A2298" s="51"/>
      <c r="B2298" s="52"/>
      <c r="C2298" s="165"/>
      <c r="D2298" s="52"/>
      <c r="E2298" s="115"/>
      <c r="F2298" s="58"/>
      <c r="G2298" s="58"/>
      <c r="H2298" s="58"/>
      <c r="I2298" s="55"/>
      <c r="J2298" s="113">
        <f>J2297</f>
        <v>22.79999999999999</v>
      </c>
      <c r="K2298" s="212">
        <f>K2297</f>
        <v>22.79999999999999</v>
      </c>
      <c r="L2298" s="58"/>
      <c r="M2298" s="58">
        <f>K2298-L2298</f>
        <v>22.79999999999999</v>
      </c>
      <c r="N2298" s="166"/>
      <c r="O2298" s="58"/>
      <c r="P2298" s="58"/>
      <c r="Q2298" s="58"/>
      <c r="R2298" s="58"/>
      <c r="S2298" s="58"/>
      <c r="T2298" s="220"/>
      <c r="U2298" s="88"/>
      <c r="V2298" s="56"/>
      <c r="W2298" s="57" t="s">
        <v>1294</v>
      </c>
      <c r="X2298" s="53"/>
      <c r="Y2298" s="91" t="s">
        <v>35</v>
      </c>
      <c r="Z2298" s="136">
        <f>AD2298/AC2298</f>
        <v>1290</v>
      </c>
      <c r="AA2298" s="58"/>
      <c r="AB2298" s="53">
        <f>AD2298/AC2298</f>
        <v>1290</v>
      </c>
      <c r="AC2298" s="53">
        <f>M2298+$AE$10</f>
        <v>22.79999999999999</v>
      </c>
      <c r="AD2298" s="54">
        <f>SUM(AD2299:AD2301)</f>
        <v>29411.999999999989</v>
      </c>
      <c r="AE2298" s="184">
        <f>SUMIFS($AD$37:$AD$12971,$V$37:$V$12971,$V2298,$X$37:$X$12971,AE$13)</f>
        <v>0</v>
      </c>
      <c r="AF2298" s="185">
        <f>SUMIFS($AD$37:$AD$12971,$V$37:$V$12971,$V2298,$X$37:$X$12971,AF$13)</f>
        <v>0</v>
      </c>
      <c r="AG2298" s="185">
        <f>SUMIFS($AD$37:$AD$12971,$V$37:$V$12971,$V2298,$X$37:$X$12971,AG$13)</f>
        <v>0</v>
      </c>
      <c r="AH2298" s="187">
        <f>SUMIFS($AD$37:$AD$12971,$V$37:$V$12971,$V2298,$X$37:$X$12971,AH$13)</f>
        <v>0</v>
      </c>
      <c r="AI2298" s="161">
        <f t="shared" ref="AI2298" si="1811">SUM(AE2298:AH2298)</f>
        <v>0</v>
      </c>
      <c r="AK2298" s="172"/>
    </row>
    <row r="2299" spans="1:41" s="102" customFormat="1" ht="19.899999999999999" customHeight="1" x14ac:dyDescent="0.25">
      <c r="A2299" s="45"/>
      <c r="B2299" s="59"/>
      <c r="C2299" s="137"/>
      <c r="D2299" s="59"/>
      <c r="E2299" s="116"/>
      <c r="F2299" s="120"/>
      <c r="G2299" s="120"/>
      <c r="H2299" s="120"/>
      <c r="I2299" s="60"/>
      <c r="J2299" s="116"/>
      <c r="K2299" s="213"/>
      <c r="L2299" s="120"/>
      <c r="M2299" s="120"/>
      <c r="N2299" s="167"/>
      <c r="O2299" s="120"/>
      <c r="P2299" s="120"/>
      <c r="Q2299" s="120"/>
      <c r="R2299" s="120"/>
      <c r="S2299" s="120"/>
      <c r="T2299" s="221"/>
      <c r="U2299" s="89"/>
      <c r="V2299" s="61"/>
      <c r="W2299" s="92" t="s">
        <v>1428</v>
      </c>
      <c r="X2299" s="93" t="s">
        <v>30</v>
      </c>
      <c r="Y2299" s="93" t="s">
        <v>35</v>
      </c>
      <c r="Z2299" s="134">
        <f>VLOOKUP(W2299,Sheet2!$B:$D,3,FALSE)</f>
        <v>1190</v>
      </c>
      <c r="AA2299" s="93">
        <v>1</v>
      </c>
      <c r="AB2299" s="93">
        <f t="shared" ref="AB2299" si="1812">AD2299/AC2298</f>
        <v>1190</v>
      </c>
      <c r="AC2299" s="93">
        <f>AC2298/AA2299</f>
        <v>22.79999999999999</v>
      </c>
      <c r="AD2299" s="94">
        <f t="shared" ref="AD2299:AD2300" si="1813">AC2299*Z2299</f>
        <v>27131.999999999989</v>
      </c>
      <c r="AE2299" s="190"/>
      <c r="AF2299" s="191"/>
      <c r="AG2299" s="191"/>
      <c r="AH2299" s="191"/>
      <c r="AI2299" s="186"/>
      <c r="AK2299" s="171"/>
    </row>
    <row r="2300" spans="1:41" s="102" customFormat="1" ht="19.899999999999999" customHeight="1" x14ac:dyDescent="0.25">
      <c r="A2300" s="45"/>
      <c r="B2300" s="59"/>
      <c r="C2300" s="137"/>
      <c r="D2300" s="59"/>
      <c r="E2300" s="116"/>
      <c r="F2300" s="120"/>
      <c r="G2300" s="120"/>
      <c r="H2300" s="120"/>
      <c r="I2300" s="60"/>
      <c r="J2300" s="116"/>
      <c r="K2300" s="213"/>
      <c r="L2300" s="120"/>
      <c r="M2300" s="120"/>
      <c r="N2300" s="167"/>
      <c r="O2300" s="120"/>
      <c r="P2300" s="120"/>
      <c r="Q2300" s="120"/>
      <c r="R2300" s="120"/>
      <c r="S2300" s="120"/>
      <c r="T2300" s="221"/>
      <c r="U2300" s="89"/>
      <c r="V2300" s="61"/>
      <c r="W2300" s="92" t="s">
        <v>107</v>
      </c>
      <c r="X2300" s="93" t="s">
        <v>31</v>
      </c>
      <c r="Y2300" s="93" t="s">
        <v>93</v>
      </c>
      <c r="Z2300" s="134">
        <f>VLOOKUP(W2300,Sheet2!$B:$D,3,FALSE)</f>
        <v>17</v>
      </c>
      <c r="AA2300" s="93">
        <v>0.3</v>
      </c>
      <c r="AB2300" s="93">
        <f>AD2300/AC2298</f>
        <v>56.666666666666671</v>
      </c>
      <c r="AC2300" s="93">
        <f>AC2298/AA2300</f>
        <v>75.999999999999972</v>
      </c>
      <c r="AD2300" s="94">
        <f t="shared" si="1813"/>
        <v>1291.9999999999995</v>
      </c>
      <c r="AE2300" s="190"/>
      <c r="AF2300" s="191"/>
      <c r="AG2300" s="191"/>
      <c r="AH2300" s="191"/>
      <c r="AI2300" s="186"/>
      <c r="AK2300" s="171"/>
    </row>
    <row r="2301" spans="1:41" s="102" customFormat="1" ht="19.899999999999999" customHeight="1" x14ac:dyDescent="0.25">
      <c r="A2301" s="45"/>
      <c r="B2301" s="59"/>
      <c r="C2301" s="137"/>
      <c r="D2301" s="59"/>
      <c r="E2301" s="116"/>
      <c r="F2301" s="120"/>
      <c r="G2301" s="120"/>
      <c r="H2301" s="120"/>
      <c r="I2301" s="60"/>
      <c r="J2301" s="116"/>
      <c r="K2301" s="213"/>
      <c r="L2301" s="120"/>
      <c r="M2301" s="120"/>
      <c r="N2301" s="167"/>
      <c r="O2301" s="120"/>
      <c r="P2301" s="120"/>
      <c r="Q2301" s="120"/>
      <c r="R2301" s="120"/>
      <c r="S2301" s="120"/>
      <c r="T2301" s="221"/>
      <c r="U2301" s="89"/>
      <c r="V2301" s="61"/>
      <c r="W2301" s="92" t="s">
        <v>112</v>
      </c>
      <c r="X2301" s="93" t="s">
        <v>31</v>
      </c>
      <c r="Y2301" s="93" t="s">
        <v>93</v>
      </c>
      <c r="Z2301" s="134">
        <f>VLOOKUP(W2301,Sheet2!$B:$D,3,FALSE)</f>
        <v>13</v>
      </c>
      <c r="AA2301" s="93">
        <f>AA2300</f>
        <v>0.3</v>
      </c>
      <c r="AB2301" s="93">
        <f>AD2301/AC2298</f>
        <v>43.333333333333336</v>
      </c>
      <c r="AC2301" s="93">
        <f>AC2298/AA2301</f>
        <v>75.999999999999972</v>
      </c>
      <c r="AD2301" s="94">
        <f>AC2301*Z2301</f>
        <v>987.99999999999966</v>
      </c>
      <c r="AE2301" s="190"/>
      <c r="AF2301" s="191"/>
      <c r="AG2301" s="191"/>
      <c r="AH2301" s="191"/>
      <c r="AI2301" s="186"/>
      <c r="AK2301" s="171"/>
    </row>
    <row r="2302" spans="1:41" ht="20.100000000000001" customHeight="1" x14ac:dyDescent="0.25">
      <c r="A2302" s="277" t="s">
        <v>410</v>
      </c>
      <c r="B2302" s="278"/>
      <c r="C2302" s="64" t="s">
        <v>444</v>
      </c>
      <c r="D2302" s="46" t="s">
        <v>215</v>
      </c>
      <c r="E2302" s="114">
        <v>14.399999999999999</v>
      </c>
      <c r="F2302" s="44">
        <v>3600</v>
      </c>
      <c r="G2302" s="44">
        <f t="shared" si="1686"/>
        <v>51839.999999999993</v>
      </c>
      <c r="H2302" s="44">
        <f t="shared" si="1687"/>
        <v>2270</v>
      </c>
      <c r="I2302" s="43">
        <f t="shared" si="1688"/>
        <v>32687.999999999996</v>
      </c>
      <c r="J2302" s="112">
        <f t="shared" si="1689"/>
        <v>14.399999999999999</v>
      </c>
      <c r="K2302" s="211">
        <f t="shared" si="1690"/>
        <v>14.399999999999999</v>
      </c>
      <c r="L2302" s="44"/>
      <c r="M2302" s="44">
        <f t="shared" si="1704"/>
        <v>14.399999999999999</v>
      </c>
      <c r="N2302" s="173">
        <f t="shared" si="1691"/>
        <v>1</v>
      </c>
      <c r="O2302" s="44">
        <f t="shared" si="1692"/>
        <v>3600</v>
      </c>
      <c r="P2302" s="44">
        <f t="shared" si="1693"/>
        <v>51839.999999999993</v>
      </c>
      <c r="Q2302" s="44">
        <f t="shared" si="1694"/>
        <v>2270</v>
      </c>
      <c r="R2302" s="44">
        <f t="shared" si="1705"/>
        <v>32687.999999999996</v>
      </c>
      <c r="S2302" s="123"/>
      <c r="T2302" s="219">
        <f t="shared" si="1706"/>
        <v>32687.999999999996</v>
      </c>
      <c r="U2302" s="87"/>
      <c r="V2302" s="47"/>
      <c r="W2302" s="48"/>
      <c r="X2302" s="48"/>
      <c r="Y2302" s="48"/>
      <c r="Z2302" s="135"/>
      <c r="AA2302" s="49"/>
      <c r="AB2302" s="50">
        <f t="shared" si="1695"/>
        <v>2270</v>
      </c>
      <c r="AC2302" s="42">
        <f t="shared" si="1707"/>
        <v>14.399999999999999</v>
      </c>
      <c r="AD2302" s="90">
        <f>AD2303</f>
        <v>32687.999999999996</v>
      </c>
      <c r="AE2302" s="188">
        <f t="shared" ref="AE2302" si="1814">AE2303</f>
        <v>0</v>
      </c>
      <c r="AF2302" s="189">
        <f t="shared" ref="AF2302" si="1815">AF2303</f>
        <v>0</v>
      </c>
      <c r="AG2302" s="189">
        <f t="shared" ref="AG2302" si="1816">AG2303</f>
        <v>0</v>
      </c>
      <c r="AH2302" s="189">
        <f t="shared" ref="AH2302" si="1817">AH2303</f>
        <v>0</v>
      </c>
      <c r="AI2302" s="161">
        <f t="shared" ref="AI2302" si="1818">SUM(AE2302:AH2302)</f>
        <v>0</v>
      </c>
      <c r="AK2302" s="169">
        <v>5</v>
      </c>
      <c r="AO2302" s="19" t="s">
        <v>63</v>
      </c>
    </row>
    <row r="2303" spans="1:41" s="103" customFormat="1" ht="19.899999999999999" customHeight="1" x14ac:dyDescent="0.25">
      <c r="A2303" s="51"/>
      <c r="B2303" s="52"/>
      <c r="C2303" s="165"/>
      <c r="D2303" s="52"/>
      <c r="E2303" s="115"/>
      <c r="F2303" s="58"/>
      <c r="G2303" s="58"/>
      <c r="H2303" s="58"/>
      <c r="I2303" s="55"/>
      <c r="J2303" s="113">
        <f>J2302</f>
        <v>14.399999999999999</v>
      </c>
      <c r="K2303" s="212">
        <f>K2302</f>
        <v>14.399999999999999</v>
      </c>
      <c r="L2303" s="58"/>
      <c r="M2303" s="58">
        <f>K2303-L2303</f>
        <v>14.399999999999999</v>
      </c>
      <c r="N2303" s="166"/>
      <c r="O2303" s="58"/>
      <c r="P2303" s="58"/>
      <c r="Q2303" s="58"/>
      <c r="R2303" s="58"/>
      <c r="S2303" s="58"/>
      <c r="T2303" s="220"/>
      <c r="U2303" s="88"/>
      <c r="V2303" s="56"/>
      <c r="W2303" s="57" t="s">
        <v>1294</v>
      </c>
      <c r="X2303" s="53"/>
      <c r="Y2303" s="91" t="s">
        <v>35</v>
      </c>
      <c r="Z2303" s="136">
        <f>AD2303/AC2303</f>
        <v>2270</v>
      </c>
      <c r="AA2303" s="58"/>
      <c r="AB2303" s="53">
        <f>AD2303/AC2303</f>
        <v>2270</v>
      </c>
      <c r="AC2303" s="53">
        <f>M2303+$AE$10</f>
        <v>14.399999999999999</v>
      </c>
      <c r="AD2303" s="54">
        <f>SUM(AD2304:AD2306)</f>
        <v>32687.999999999996</v>
      </c>
      <c r="AE2303" s="184">
        <f>SUMIFS($AD$37:$AD$12971,$V$37:$V$12971,$V2303,$X$37:$X$12971,AE$13)</f>
        <v>0</v>
      </c>
      <c r="AF2303" s="185">
        <f>SUMIFS($AD$37:$AD$12971,$V$37:$V$12971,$V2303,$X$37:$X$12971,AF$13)</f>
        <v>0</v>
      </c>
      <c r="AG2303" s="185">
        <f>SUMIFS($AD$37:$AD$12971,$V$37:$V$12971,$V2303,$X$37:$X$12971,AG$13)</f>
        <v>0</v>
      </c>
      <c r="AH2303" s="187">
        <f>SUMIFS($AD$37:$AD$12971,$V$37:$V$12971,$V2303,$X$37:$X$12971,AH$13)</f>
        <v>0</v>
      </c>
      <c r="AI2303" s="161">
        <f t="shared" ref="AI2303" si="1819">SUM(AE2303:AH2303)</f>
        <v>0</v>
      </c>
      <c r="AK2303" s="172"/>
    </row>
    <row r="2304" spans="1:41" s="102" customFormat="1" ht="19.899999999999999" customHeight="1" x14ac:dyDescent="0.25">
      <c r="A2304" s="45"/>
      <c r="B2304" s="59"/>
      <c r="C2304" s="137"/>
      <c r="D2304" s="59"/>
      <c r="E2304" s="116"/>
      <c r="F2304" s="120"/>
      <c r="G2304" s="120"/>
      <c r="H2304" s="120"/>
      <c r="I2304" s="60"/>
      <c r="J2304" s="116"/>
      <c r="K2304" s="213"/>
      <c r="L2304" s="120"/>
      <c r="M2304" s="120"/>
      <c r="N2304" s="167"/>
      <c r="O2304" s="120"/>
      <c r="P2304" s="120"/>
      <c r="Q2304" s="120"/>
      <c r="R2304" s="120"/>
      <c r="S2304" s="120"/>
      <c r="T2304" s="221"/>
      <c r="U2304" s="89"/>
      <c r="V2304" s="61"/>
      <c r="W2304" s="92" t="s">
        <v>1429</v>
      </c>
      <c r="X2304" s="93" t="s">
        <v>30</v>
      </c>
      <c r="Y2304" s="93" t="s">
        <v>35</v>
      </c>
      <c r="Z2304" s="134">
        <f>VLOOKUP(W2304,Sheet2!$B:$D,3,FALSE)</f>
        <v>2150</v>
      </c>
      <c r="AA2304" s="93">
        <v>1</v>
      </c>
      <c r="AB2304" s="93">
        <f t="shared" ref="AB2304" si="1820">AD2304/AC2303</f>
        <v>2150</v>
      </c>
      <c r="AC2304" s="93">
        <f>AC2303/AA2304</f>
        <v>14.399999999999999</v>
      </c>
      <c r="AD2304" s="94">
        <f t="shared" ref="AD2304:AD2305" si="1821">AC2304*Z2304</f>
        <v>30959.999999999996</v>
      </c>
      <c r="AE2304" s="190"/>
      <c r="AF2304" s="191"/>
      <c r="AG2304" s="191"/>
      <c r="AH2304" s="191"/>
      <c r="AI2304" s="186"/>
      <c r="AK2304" s="171"/>
    </row>
    <row r="2305" spans="1:41" s="102" customFormat="1" ht="19.899999999999999" customHeight="1" x14ac:dyDescent="0.25">
      <c r="A2305" s="45"/>
      <c r="B2305" s="59"/>
      <c r="C2305" s="137"/>
      <c r="D2305" s="59"/>
      <c r="E2305" s="116"/>
      <c r="F2305" s="120"/>
      <c r="G2305" s="120"/>
      <c r="H2305" s="120"/>
      <c r="I2305" s="60"/>
      <c r="J2305" s="116"/>
      <c r="K2305" s="213"/>
      <c r="L2305" s="120"/>
      <c r="M2305" s="120"/>
      <c r="N2305" s="167"/>
      <c r="O2305" s="120"/>
      <c r="P2305" s="120"/>
      <c r="Q2305" s="120"/>
      <c r="R2305" s="120"/>
      <c r="S2305" s="120"/>
      <c r="T2305" s="221"/>
      <c r="U2305" s="89"/>
      <c r="V2305" s="61"/>
      <c r="W2305" s="92" t="s">
        <v>107</v>
      </c>
      <c r="X2305" s="93" t="s">
        <v>31</v>
      </c>
      <c r="Y2305" s="93" t="s">
        <v>93</v>
      </c>
      <c r="Z2305" s="134">
        <f>VLOOKUP(W2305,Sheet2!$B:$D,3,FALSE)</f>
        <v>17</v>
      </c>
      <c r="AA2305" s="93">
        <v>0.25</v>
      </c>
      <c r="AB2305" s="93">
        <f>AD2305/AC2303</f>
        <v>68</v>
      </c>
      <c r="AC2305" s="93">
        <f>AC2303/AA2305</f>
        <v>57.599999999999994</v>
      </c>
      <c r="AD2305" s="94">
        <f t="shared" si="1821"/>
        <v>979.19999999999993</v>
      </c>
      <c r="AE2305" s="190"/>
      <c r="AF2305" s="191"/>
      <c r="AG2305" s="191"/>
      <c r="AH2305" s="191"/>
      <c r="AI2305" s="186"/>
      <c r="AK2305" s="171"/>
    </row>
    <row r="2306" spans="1:41" s="102" customFormat="1" ht="19.899999999999999" customHeight="1" x14ac:dyDescent="0.25">
      <c r="A2306" s="45"/>
      <c r="B2306" s="59"/>
      <c r="C2306" s="137"/>
      <c r="D2306" s="59"/>
      <c r="E2306" s="116"/>
      <c r="F2306" s="120"/>
      <c r="G2306" s="120"/>
      <c r="H2306" s="120"/>
      <c r="I2306" s="60"/>
      <c r="J2306" s="116"/>
      <c r="K2306" s="213"/>
      <c r="L2306" s="120"/>
      <c r="M2306" s="120"/>
      <c r="N2306" s="167"/>
      <c r="O2306" s="120"/>
      <c r="P2306" s="120"/>
      <c r="Q2306" s="120"/>
      <c r="R2306" s="120"/>
      <c r="S2306" s="120"/>
      <c r="T2306" s="221"/>
      <c r="U2306" s="89"/>
      <c r="V2306" s="61"/>
      <c r="W2306" s="92" t="s">
        <v>112</v>
      </c>
      <c r="X2306" s="93" t="s">
        <v>31</v>
      </c>
      <c r="Y2306" s="93" t="s">
        <v>93</v>
      </c>
      <c r="Z2306" s="134">
        <f>VLOOKUP(W2306,Sheet2!$B:$D,3,FALSE)</f>
        <v>13</v>
      </c>
      <c r="AA2306" s="93">
        <f>AA2305</f>
        <v>0.25</v>
      </c>
      <c r="AB2306" s="93">
        <f>AD2306/AC2303</f>
        <v>52</v>
      </c>
      <c r="AC2306" s="93">
        <f>AC2303/AA2306</f>
        <v>57.599999999999994</v>
      </c>
      <c r="AD2306" s="94">
        <f>AC2306*Z2306</f>
        <v>748.8</v>
      </c>
      <c r="AE2306" s="190"/>
      <c r="AF2306" s="191"/>
      <c r="AG2306" s="191"/>
      <c r="AH2306" s="191"/>
      <c r="AI2306" s="186"/>
      <c r="AK2306" s="171"/>
    </row>
    <row r="2307" spans="1:41" ht="20.100000000000001" customHeight="1" x14ac:dyDescent="0.25">
      <c r="A2307" s="277" t="s">
        <v>410</v>
      </c>
      <c r="B2307" s="278"/>
      <c r="C2307" s="64" t="s">
        <v>445</v>
      </c>
      <c r="D2307" s="46" t="s">
        <v>215</v>
      </c>
      <c r="E2307" s="114">
        <v>5.8999999999999986</v>
      </c>
      <c r="F2307" s="44">
        <v>3764</v>
      </c>
      <c r="G2307" s="44">
        <f t="shared" si="1686"/>
        <v>22207.599999999995</v>
      </c>
      <c r="H2307" s="44">
        <f t="shared" si="1687"/>
        <v>2579</v>
      </c>
      <c r="I2307" s="43">
        <f t="shared" si="1688"/>
        <v>15216.099999999997</v>
      </c>
      <c r="J2307" s="112">
        <f t="shared" si="1689"/>
        <v>5.8999999999999986</v>
      </c>
      <c r="K2307" s="211">
        <f t="shared" si="1690"/>
        <v>5.8999999999999986</v>
      </c>
      <c r="L2307" s="44"/>
      <c r="M2307" s="44">
        <f t="shared" si="1704"/>
        <v>5.8999999999999986</v>
      </c>
      <c r="N2307" s="173">
        <f t="shared" si="1691"/>
        <v>1</v>
      </c>
      <c r="O2307" s="44">
        <f t="shared" si="1692"/>
        <v>3764</v>
      </c>
      <c r="P2307" s="44">
        <f t="shared" si="1693"/>
        <v>22207.599999999995</v>
      </c>
      <c r="Q2307" s="44">
        <f t="shared" si="1694"/>
        <v>2579</v>
      </c>
      <c r="R2307" s="44">
        <f t="shared" si="1705"/>
        <v>15216.099999999997</v>
      </c>
      <c r="S2307" s="123"/>
      <c r="T2307" s="219">
        <f t="shared" si="1706"/>
        <v>15216.099999999997</v>
      </c>
      <c r="U2307" s="87"/>
      <c r="V2307" s="47"/>
      <c r="W2307" s="48"/>
      <c r="X2307" s="48"/>
      <c r="Y2307" s="48"/>
      <c r="Z2307" s="135"/>
      <c r="AA2307" s="49"/>
      <c r="AB2307" s="50">
        <f t="shared" si="1695"/>
        <v>2579</v>
      </c>
      <c r="AC2307" s="42">
        <f t="shared" si="1707"/>
        <v>5.8999999999999986</v>
      </c>
      <c r="AD2307" s="90">
        <f>AD2308</f>
        <v>15216.099999999997</v>
      </c>
      <c r="AE2307" s="188">
        <f t="shared" ref="AE2307" si="1822">AE2308</f>
        <v>0</v>
      </c>
      <c r="AF2307" s="189">
        <f t="shared" ref="AF2307" si="1823">AF2308</f>
        <v>0</v>
      </c>
      <c r="AG2307" s="189">
        <f t="shared" ref="AG2307" si="1824">AG2308</f>
        <v>0</v>
      </c>
      <c r="AH2307" s="189">
        <f t="shared" ref="AH2307" si="1825">AH2308</f>
        <v>0</v>
      </c>
      <c r="AI2307" s="161">
        <f t="shared" ref="AI2307" si="1826">SUM(AE2307:AH2307)</f>
        <v>0</v>
      </c>
      <c r="AK2307" s="169">
        <v>5</v>
      </c>
      <c r="AO2307" s="19" t="s">
        <v>63</v>
      </c>
    </row>
    <row r="2308" spans="1:41" s="103" customFormat="1" ht="19.899999999999999" customHeight="1" x14ac:dyDescent="0.25">
      <c r="A2308" s="51"/>
      <c r="B2308" s="52"/>
      <c r="C2308" s="165"/>
      <c r="D2308" s="52"/>
      <c r="E2308" s="115"/>
      <c r="F2308" s="58"/>
      <c r="G2308" s="58"/>
      <c r="H2308" s="58"/>
      <c r="I2308" s="55"/>
      <c r="J2308" s="113">
        <f>J2307</f>
        <v>5.8999999999999986</v>
      </c>
      <c r="K2308" s="212">
        <f>K2307</f>
        <v>5.8999999999999986</v>
      </c>
      <c r="L2308" s="58"/>
      <c r="M2308" s="58">
        <f>K2308-L2308</f>
        <v>5.8999999999999986</v>
      </c>
      <c r="N2308" s="166"/>
      <c r="O2308" s="58"/>
      <c r="P2308" s="58"/>
      <c r="Q2308" s="58"/>
      <c r="R2308" s="58"/>
      <c r="S2308" s="58"/>
      <c r="T2308" s="220"/>
      <c r="U2308" s="88"/>
      <c r="V2308" s="56"/>
      <c r="W2308" s="57" t="s">
        <v>1294</v>
      </c>
      <c r="X2308" s="53"/>
      <c r="Y2308" s="91" t="s">
        <v>35</v>
      </c>
      <c r="Z2308" s="136">
        <f>AD2308/AC2308</f>
        <v>2579</v>
      </c>
      <c r="AA2308" s="58"/>
      <c r="AB2308" s="53">
        <f>AD2308/AC2308</f>
        <v>2579</v>
      </c>
      <c r="AC2308" s="53">
        <f>M2308+$AE$10</f>
        <v>5.8999999999999986</v>
      </c>
      <c r="AD2308" s="54">
        <f>SUM(AD2309:AD2311)</f>
        <v>15216.099999999997</v>
      </c>
      <c r="AE2308" s="184">
        <f>SUMIFS($AD$37:$AD$12971,$V$37:$V$12971,$V2308,$X$37:$X$12971,AE$13)</f>
        <v>0</v>
      </c>
      <c r="AF2308" s="185">
        <f>SUMIFS($AD$37:$AD$12971,$V$37:$V$12971,$V2308,$X$37:$X$12971,AF$13)</f>
        <v>0</v>
      </c>
      <c r="AG2308" s="185">
        <f>SUMIFS($AD$37:$AD$12971,$V$37:$V$12971,$V2308,$X$37:$X$12971,AG$13)</f>
        <v>0</v>
      </c>
      <c r="AH2308" s="187">
        <f>SUMIFS($AD$37:$AD$12971,$V$37:$V$12971,$V2308,$X$37:$X$12971,AH$13)</f>
        <v>0</v>
      </c>
      <c r="AI2308" s="161">
        <f t="shared" ref="AI2308" si="1827">SUM(AE2308:AH2308)</f>
        <v>0</v>
      </c>
      <c r="AK2308" s="172"/>
    </row>
    <row r="2309" spans="1:41" s="102" customFormat="1" ht="19.899999999999999" customHeight="1" x14ac:dyDescent="0.25">
      <c r="A2309" s="45"/>
      <c r="B2309" s="59"/>
      <c r="C2309" s="137"/>
      <c r="D2309" s="59"/>
      <c r="E2309" s="116"/>
      <c r="F2309" s="120"/>
      <c r="G2309" s="120"/>
      <c r="H2309" s="120"/>
      <c r="I2309" s="60"/>
      <c r="J2309" s="116"/>
      <c r="K2309" s="213"/>
      <c r="L2309" s="120"/>
      <c r="M2309" s="120"/>
      <c r="N2309" s="167"/>
      <c r="O2309" s="120"/>
      <c r="P2309" s="120"/>
      <c r="Q2309" s="120"/>
      <c r="R2309" s="120"/>
      <c r="S2309" s="120"/>
      <c r="T2309" s="221"/>
      <c r="U2309" s="89"/>
      <c r="V2309" s="61"/>
      <c r="W2309" s="92" t="s">
        <v>1430</v>
      </c>
      <c r="X2309" s="93" t="s">
        <v>30</v>
      </c>
      <c r="Y2309" s="93" t="s">
        <v>35</v>
      </c>
      <c r="Z2309" s="134">
        <f>VLOOKUP(W2309,Sheet2!$B:$D,3,FALSE)</f>
        <v>2459</v>
      </c>
      <c r="AA2309" s="93">
        <v>1</v>
      </c>
      <c r="AB2309" s="93">
        <f t="shared" ref="AB2309" si="1828">AD2309/AC2308</f>
        <v>2459</v>
      </c>
      <c r="AC2309" s="93">
        <f>AC2308/AA2309</f>
        <v>5.8999999999999986</v>
      </c>
      <c r="AD2309" s="94">
        <f t="shared" ref="AD2309:AD2310" si="1829">AC2309*Z2309</f>
        <v>14508.099999999997</v>
      </c>
      <c r="AE2309" s="190"/>
      <c r="AF2309" s="191"/>
      <c r="AG2309" s="191"/>
      <c r="AH2309" s="191"/>
      <c r="AI2309" s="186"/>
      <c r="AK2309" s="171"/>
    </row>
    <row r="2310" spans="1:41" s="102" customFormat="1" ht="19.899999999999999" customHeight="1" x14ac:dyDescent="0.25">
      <c r="A2310" s="45"/>
      <c r="B2310" s="59"/>
      <c r="C2310" s="137"/>
      <c r="D2310" s="59"/>
      <c r="E2310" s="116"/>
      <c r="F2310" s="120"/>
      <c r="G2310" s="120"/>
      <c r="H2310" s="120"/>
      <c r="I2310" s="60"/>
      <c r="J2310" s="116"/>
      <c r="K2310" s="213"/>
      <c r="L2310" s="120"/>
      <c r="M2310" s="120"/>
      <c r="N2310" s="167"/>
      <c r="O2310" s="120"/>
      <c r="P2310" s="120"/>
      <c r="Q2310" s="120"/>
      <c r="R2310" s="120"/>
      <c r="S2310" s="120"/>
      <c r="T2310" s="221"/>
      <c r="U2310" s="89"/>
      <c r="V2310" s="61"/>
      <c r="W2310" s="92" t="s">
        <v>107</v>
      </c>
      <c r="X2310" s="93" t="s">
        <v>31</v>
      </c>
      <c r="Y2310" s="93" t="s">
        <v>93</v>
      </c>
      <c r="Z2310" s="134">
        <f>VLOOKUP(W2310,Sheet2!$B:$D,3,FALSE)</f>
        <v>17</v>
      </c>
      <c r="AA2310" s="93">
        <v>0.25</v>
      </c>
      <c r="AB2310" s="93">
        <f>AD2310/AC2308</f>
        <v>68</v>
      </c>
      <c r="AC2310" s="93">
        <f>AC2308/AA2310</f>
        <v>23.599999999999994</v>
      </c>
      <c r="AD2310" s="94">
        <f t="shared" si="1829"/>
        <v>401.19999999999993</v>
      </c>
      <c r="AE2310" s="190"/>
      <c r="AF2310" s="191"/>
      <c r="AG2310" s="191"/>
      <c r="AH2310" s="191"/>
      <c r="AI2310" s="186"/>
      <c r="AK2310" s="171"/>
    </row>
    <row r="2311" spans="1:41" s="102" customFormat="1" ht="19.899999999999999" customHeight="1" x14ac:dyDescent="0.25">
      <c r="A2311" s="45"/>
      <c r="B2311" s="59"/>
      <c r="C2311" s="137"/>
      <c r="D2311" s="59"/>
      <c r="E2311" s="116"/>
      <c r="F2311" s="120"/>
      <c r="G2311" s="120"/>
      <c r="H2311" s="120"/>
      <c r="I2311" s="60"/>
      <c r="J2311" s="116"/>
      <c r="K2311" s="213"/>
      <c r="L2311" s="120"/>
      <c r="M2311" s="120"/>
      <c r="N2311" s="167"/>
      <c r="O2311" s="120"/>
      <c r="P2311" s="120"/>
      <c r="Q2311" s="120"/>
      <c r="R2311" s="120"/>
      <c r="S2311" s="120"/>
      <c r="T2311" s="221"/>
      <c r="U2311" s="89"/>
      <c r="V2311" s="61"/>
      <c r="W2311" s="92" t="s">
        <v>112</v>
      </c>
      <c r="X2311" s="93" t="s">
        <v>31</v>
      </c>
      <c r="Y2311" s="93" t="s">
        <v>93</v>
      </c>
      <c r="Z2311" s="134">
        <f>VLOOKUP(W2311,Sheet2!$B:$D,3,FALSE)</f>
        <v>13</v>
      </c>
      <c r="AA2311" s="93">
        <f>AA2310</f>
        <v>0.25</v>
      </c>
      <c r="AB2311" s="93">
        <f>AD2311/AC2308</f>
        <v>52.000000000000007</v>
      </c>
      <c r="AC2311" s="93">
        <f>AC2308/AA2311</f>
        <v>23.599999999999994</v>
      </c>
      <c r="AD2311" s="94">
        <f>AC2311*Z2311</f>
        <v>306.79999999999995</v>
      </c>
      <c r="AE2311" s="190"/>
      <c r="AF2311" s="191"/>
      <c r="AG2311" s="191"/>
      <c r="AH2311" s="191"/>
      <c r="AI2311" s="186"/>
      <c r="AK2311" s="171"/>
    </row>
    <row r="2312" spans="1:41" ht="20.100000000000001" customHeight="1" x14ac:dyDescent="0.25">
      <c r="A2312" s="277" t="s">
        <v>410</v>
      </c>
      <c r="B2312" s="278"/>
      <c r="C2312" s="64" t="s">
        <v>446</v>
      </c>
      <c r="D2312" s="46" t="s">
        <v>215</v>
      </c>
      <c r="E2312" s="114">
        <v>11.299999999999997</v>
      </c>
      <c r="F2312" s="44">
        <v>4091</v>
      </c>
      <c r="G2312" s="44">
        <f t="shared" si="1686"/>
        <v>46228.299999999988</v>
      </c>
      <c r="H2312" s="44">
        <f t="shared" si="1687"/>
        <v>2698</v>
      </c>
      <c r="I2312" s="43">
        <f t="shared" si="1688"/>
        <v>30487.399999999991</v>
      </c>
      <c r="J2312" s="112">
        <f t="shared" si="1689"/>
        <v>11.299999999999997</v>
      </c>
      <c r="K2312" s="211">
        <f t="shared" si="1690"/>
        <v>11.299999999999997</v>
      </c>
      <c r="L2312" s="44"/>
      <c r="M2312" s="44">
        <f t="shared" si="1704"/>
        <v>11.299999999999997</v>
      </c>
      <c r="N2312" s="173">
        <f t="shared" si="1691"/>
        <v>1</v>
      </c>
      <c r="O2312" s="44">
        <f t="shared" si="1692"/>
        <v>4091</v>
      </c>
      <c r="P2312" s="44">
        <f t="shared" si="1693"/>
        <v>46228.299999999988</v>
      </c>
      <c r="Q2312" s="44">
        <f t="shared" si="1694"/>
        <v>2698</v>
      </c>
      <c r="R2312" s="44">
        <f t="shared" si="1705"/>
        <v>30487.399999999991</v>
      </c>
      <c r="S2312" s="123"/>
      <c r="T2312" s="219">
        <f t="shared" si="1706"/>
        <v>30487.399999999991</v>
      </c>
      <c r="U2312" s="87"/>
      <c r="V2312" s="47"/>
      <c r="W2312" s="48"/>
      <c r="X2312" s="48"/>
      <c r="Y2312" s="48"/>
      <c r="Z2312" s="135"/>
      <c r="AA2312" s="49"/>
      <c r="AB2312" s="50">
        <f t="shared" si="1695"/>
        <v>2698</v>
      </c>
      <c r="AC2312" s="42">
        <f t="shared" si="1707"/>
        <v>11.299999999999997</v>
      </c>
      <c r="AD2312" s="90">
        <f>AD2313</f>
        <v>30487.399999999994</v>
      </c>
      <c r="AE2312" s="188">
        <f t="shared" ref="AE2312" si="1830">AE2313</f>
        <v>0</v>
      </c>
      <c r="AF2312" s="189">
        <f t="shared" ref="AF2312" si="1831">AF2313</f>
        <v>0</v>
      </c>
      <c r="AG2312" s="189">
        <f t="shared" ref="AG2312" si="1832">AG2313</f>
        <v>0</v>
      </c>
      <c r="AH2312" s="189">
        <f t="shared" ref="AH2312" si="1833">AH2313</f>
        <v>0</v>
      </c>
      <c r="AI2312" s="161">
        <f t="shared" ref="AI2312" si="1834">SUM(AE2312:AH2312)</f>
        <v>0</v>
      </c>
      <c r="AK2312" s="169">
        <v>5</v>
      </c>
      <c r="AO2312" s="19" t="s">
        <v>63</v>
      </c>
    </row>
    <row r="2313" spans="1:41" s="103" customFormat="1" ht="19.899999999999999" customHeight="1" x14ac:dyDescent="0.25">
      <c r="A2313" s="51"/>
      <c r="B2313" s="52"/>
      <c r="C2313" s="165"/>
      <c r="D2313" s="52"/>
      <c r="E2313" s="115"/>
      <c r="F2313" s="58"/>
      <c r="G2313" s="58"/>
      <c r="H2313" s="58"/>
      <c r="I2313" s="55"/>
      <c r="J2313" s="113">
        <f>J2312</f>
        <v>11.299999999999997</v>
      </c>
      <c r="K2313" s="212">
        <f>K2312</f>
        <v>11.299999999999997</v>
      </c>
      <c r="L2313" s="58"/>
      <c r="M2313" s="58">
        <f>K2313-L2313</f>
        <v>11.299999999999997</v>
      </c>
      <c r="N2313" s="166"/>
      <c r="O2313" s="58"/>
      <c r="P2313" s="58"/>
      <c r="Q2313" s="58"/>
      <c r="R2313" s="58"/>
      <c r="S2313" s="58"/>
      <c r="T2313" s="220"/>
      <c r="U2313" s="88"/>
      <c r="V2313" s="56"/>
      <c r="W2313" s="57" t="s">
        <v>1294</v>
      </c>
      <c r="X2313" s="53"/>
      <c r="Y2313" s="91" t="s">
        <v>35</v>
      </c>
      <c r="Z2313" s="136">
        <f>AD2313/AC2313</f>
        <v>2698</v>
      </c>
      <c r="AA2313" s="58"/>
      <c r="AB2313" s="53">
        <f>AD2313/AC2313</f>
        <v>2698</v>
      </c>
      <c r="AC2313" s="53">
        <f>M2313+$AE$10</f>
        <v>11.299999999999997</v>
      </c>
      <c r="AD2313" s="54">
        <f>SUM(AD2314:AD2316)</f>
        <v>30487.399999999994</v>
      </c>
      <c r="AE2313" s="184">
        <f>SUMIFS($AD$37:$AD$12971,$V$37:$V$12971,$V2313,$X$37:$X$12971,AE$13)</f>
        <v>0</v>
      </c>
      <c r="AF2313" s="185">
        <f>SUMIFS($AD$37:$AD$12971,$V$37:$V$12971,$V2313,$X$37:$X$12971,AF$13)</f>
        <v>0</v>
      </c>
      <c r="AG2313" s="185">
        <f>SUMIFS($AD$37:$AD$12971,$V$37:$V$12971,$V2313,$X$37:$X$12971,AG$13)</f>
        <v>0</v>
      </c>
      <c r="AH2313" s="187">
        <f>SUMIFS($AD$37:$AD$12971,$V$37:$V$12971,$V2313,$X$37:$X$12971,AH$13)</f>
        <v>0</v>
      </c>
      <c r="AI2313" s="161">
        <f t="shared" ref="AI2313" si="1835">SUM(AE2313:AH2313)</f>
        <v>0</v>
      </c>
      <c r="AK2313" s="172"/>
    </row>
    <row r="2314" spans="1:41" s="102" customFormat="1" ht="19.899999999999999" customHeight="1" x14ac:dyDescent="0.25">
      <c r="A2314" s="45"/>
      <c r="B2314" s="59"/>
      <c r="C2314" s="137"/>
      <c r="D2314" s="59"/>
      <c r="E2314" s="116"/>
      <c r="F2314" s="120"/>
      <c r="G2314" s="120"/>
      <c r="H2314" s="120"/>
      <c r="I2314" s="60"/>
      <c r="J2314" s="116"/>
      <c r="K2314" s="213"/>
      <c r="L2314" s="120"/>
      <c r="M2314" s="120"/>
      <c r="N2314" s="167"/>
      <c r="O2314" s="120"/>
      <c r="P2314" s="120"/>
      <c r="Q2314" s="120"/>
      <c r="R2314" s="120"/>
      <c r="S2314" s="120"/>
      <c r="T2314" s="221"/>
      <c r="U2314" s="89"/>
      <c r="V2314" s="61"/>
      <c r="W2314" s="92" t="s">
        <v>1431</v>
      </c>
      <c r="X2314" s="93" t="s">
        <v>30</v>
      </c>
      <c r="Y2314" s="93" t="s">
        <v>35</v>
      </c>
      <c r="Z2314" s="134">
        <f>VLOOKUP(W2314,Sheet2!$B:$D,3,FALSE)</f>
        <v>2578</v>
      </c>
      <c r="AA2314" s="93">
        <v>1</v>
      </c>
      <c r="AB2314" s="93">
        <f t="shared" ref="AB2314" si="1836">AD2314/AC2313</f>
        <v>2578</v>
      </c>
      <c r="AC2314" s="93">
        <f>AC2313/AA2314</f>
        <v>11.299999999999997</v>
      </c>
      <c r="AD2314" s="94">
        <f t="shared" ref="AD2314:AD2315" si="1837">AC2314*Z2314</f>
        <v>29131.399999999994</v>
      </c>
      <c r="AE2314" s="190"/>
      <c r="AF2314" s="191"/>
      <c r="AG2314" s="191"/>
      <c r="AH2314" s="191"/>
      <c r="AI2314" s="186"/>
      <c r="AK2314" s="171"/>
    </row>
    <row r="2315" spans="1:41" s="102" customFormat="1" ht="19.899999999999999" customHeight="1" x14ac:dyDescent="0.25">
      <c r="A2315" s="45"/>
      <c r="B2315" s="59"/>
      <c r="C2315" s="137"/>
      <c r="D2315" s="59"/>
      <c r="E2315" s="116"/>
      <c r="F2315" s="120"/>
      <c r="G2315" s="120"/>
      <c r="H2315" s="120"/>
      <c r="I2315" s="60"/>
      <c r="J2315" s="116"/>
      <c r="K2315" s="213"/>
      <c r="L2315" s="120"/>
      <c r="M2315" s="120"/>
      <c r="N2315" s="167"/>
      <c r="O2315" s="120"/>
      <c r="P2315" s="120"/>
      <c r="Q2315" s="120"/>
      <c r="R2315" s="120"/>
      <c r="S2315" s="120"/>
      <c r="T2315" s="221"/>
      <c r="U2315" s="89"/>
      <c r="V2315" s="61"/>
      <c r="W2315" s="92" t="s">
        <v>107</v>
      </c>
      <c r="X2315" s="93" t="s">
        <v>31</v>
      </c>
      <c r="Y2315" s="93" t="s">
        <v>93</v>
      </c>
      <c r="Z2315" s="134">
        <f>VLOOKUP(W2315,Sheet2!$B:$D,3,FALSE)</f>
        <v>17</v>
      </c>
      <c r="AA2315" s="93">
        <v>0.25</v>
      </c>
      <c r="AB2315" s="93">
        <f>AD2315/AC2313</f>
        <v>68</v>
      </c>
      <c r="AC2315" s="93">
        <f>AC2313/AA2315</f>
        <v>45.199999999999989</v>
      </c>
      <c r="AD2315" s="94">
        <f t="shared" si="1837"/>
        <v>768.39999999999986</v>
      </c>
      <c r="AE2315" s="190"/>
      <c r="AF2315" s="191"/>
      <c r="AG2315" s="191"/>
      <c r="AH2315" s="191"/>
      <c r="AI2315" s="186"/>
      <c r="AK2315" s="171"/>
    </row>
    <row r="2316" spans="1:41" s="102" customFormat="1" ht="19.899999999999999" customHeight="1" x14ac:dyDescent="0.25">
      <c r="A2316" s="45"/>
      <c r="B2316" s="59"/>
      <c r="C2316" s="137"/>
      <c r="D2316" s="59"/>
      <c r="E2316" s="116"/>
      <c r="F2316" s="120"/>
      <c r="G2316" s="120"/>
      <c r="H2316" s="120"/>
      <c r="I2316" s="60"/>
      <c r="J2316" s="116"/>
      <c r="K2316" s="213"/>
      <c r="L2316" s="120"/>
      <c r="M2316" s="120"/>
      <c r="N2316" s="167"/>
      <c r="O2316" s="120"/>
      <c r="P2316" s="120"/>
      <c r="Q2316" s="120"/>
      <c r="R2316" s="120"/>
      <c r="S2316" s="120"/>
      <c r="T2316" s="221"/>
      <c r="U2316" s="89"/>
      <c r="V2316" s="61"/>
      <c r="W2316" s="92" t="s">
        <v>112</v>
      </c>
      <c r="X2316" s="93" t="s">
        <v>31</v>
      </c>
      <c r="Y2316" s="93" t="s">
        <v>93</v>
      </c>
      <c r="Z2316" s="134">
        <f>VLOOKUP(W2316,Sheet2!$B:$D,3,FALSE)</f>
        <v>13</v>
      </c>
      <c r="AA2316" s="93">
        <f>AA2315</f>
        <v>0.25</v>
      </c>
      <c r="AB2316" s="93">
        <f>AD2316/AC2313</f>
        <v>52.000000000000007</v>
      </c>
      <c r="AC2316" s="93">
        <f>AC2313/AA2316</f>
        <v>45.199999999999989</v>
      </c>
      <c r="AD2316" s="94">
        <f>AC2316*Z2316</f>
        <v>587.59999999999991</v>
      </c>
      <c r="AE2316" s="190"/>
      <c r="AF2316" s="191"/>
      <c r="AG2316" s="191"/>
      <c r="AH2316" s="191"/>
      <c r="AI2316" s="186"/>
      <c r="AK2316" s="171"/>
    </row>
    <row r="2317" spans="1:41" ht="20.100000000000001" customHeight="1" x14ac:dyDescent="0.25">
      <c r="A2317" s="277" t="s">
        <v>410</v>
      </c>
      <c r="B2317" s="278"/>
      <c r="C2317" s="64" t="s">
        <v>447</v>
      </c>
      <c r="D2317" s="46" t="s">
        <v>215</v>
      </c>
      <c r="E2317" s="114">
        <v>9.9999999999999978E-2</v>
      </c>
      <c r="F2317" s="44">
        <v>5073</v>
      </c>
      <c r="G2317" s="44">
        <f t="shared" si="1686"/>
        <v>507.2999999999999</v>
      </c>
      <c r="H2317" s="44">
        <f t="shared" si="1687"/>
        <v>3405</v>
      </c>
      <c r="I2317" s="43">
        <f t="shared" si="1688"/>
        <v>340.49999999999994</v>
      </c>
      <c r="J2317" s="112">
        <f t="shared" si="1689"/>
        <v>9.9999999999999978E-2</v>
      </c>
      <c r="K2317" s="211">
        <f t="shared" si="1690"/>
        <v>9.9999999999999978E-2</v>
      </c>
      <c r="L2317" s="44"/>
      <c r="M2317" s="44">
        <f t="shared" si="1704"/>
        <v>9.9999999999999978E-2</v>
      </c>
      <c r="N2317" s="173">
        <f t="shared" si="1691"/>
        <v>1</v>
      </c>
      <c r="O2317" s="44">
        <f t="shared" si="1692"/>
        <v>5073</v>
      </c>
      <c r="P2317" s="44">
        <f t="shared" si="1693"/>
        <v>507.2999999999999</v>
      </c>
      <c r="Q2317" s="44">
        <f t="shared" si="1694"/>
        <v>3405</v>
      </c>
      <c r="R2317" s="44">
        <f t="shared" si="1705"/>
        <v>340.49999999999994</v>
      </c>
      <c r="S2317" s="123"/>
      <c r="T2317" s="219">
        <f t="shared" si="1706"/>
        <v>340.49999999999994</v>
      </c>
      <c r="U2317" s="87"/>
      <c r="V2317" s="47"/>
      <c r="W2317" s="48"/>
      <c r="X2317" s="48"/>
      <c r="Y2317" s="48"/>
      <c r="Z2317" s="135"/>
      <c r="AA2317" s="49"/>
      <c r="AB2317" s="50">
        <f t="shared" si="1695"/>
        <v>3405</v>
      </c>
      <c r="AC2317" s="42">
        <f t="shared" si="1707"/>
        <v>9.9999999999999978E-2</v>
      </c>
      <c r="AD2317" s="90">
        <f>AD2318</f>
        <v>340.49999999999994</v>
      </c>
      <c r="AE2317" s="188">
        <f t="shared" ref="AE2317" si="1838">AE2318</f>
        <v>0</v>
      </c>
      <c r="AF2317" s="189">
        <f t="shared" ref="AF2317" si="1839">AF2318</f>
        <v>0</v>
      </c>
      <c r="AG2317" s="189">
        <f t="shared" ref="AG2317" si="1840">AG2318</f>
        <v>0</v>
      </c>
      <c r="AH2317" s="189">
        <f t="shared" ref="AH2317" si="1841">AH2318</f>
        <v>0</v>
      </c>
      <c r="AI2317" s="161">
        <f t="shared" ref="AI2317" si="1842">SUM(AE2317:AH2317)</f>
        <v>0</v>
      </c>
      <c r="AK2317" s="169">
        <v>5</v>
      </c>
      <c r="AO2317" s="19" t="s">
        <v>63</v>
      </c>
    </row>
    <row r="2318" spans="1:41" s="103" customFormat="1" ht="19.899999999999999" customHeight="1" x14ac:dyDescent="0.25">
      <c r="A2318" s="51"/>
      <c r="B2318" s="52"/>
      <c r="C2318" s="165"/>
      <c r="D2318" s="52"/>
      <c r="E2318" s="115"/>
      <c r="F2318" s="58"/>
      <c r="G2318" s="58"/>
      <c r="H2318" s="58"/>
      <c r="I2318" s="55"/>
      <c r="J2318" s="113">
        <f>J2317</f>
        <v>9.9999999999999978E-2</v>
      </c>
      <c r="K2318" s="212">
        <f>K2317</f>
        <v>9.9999999999999978E-2</v>
      </c>
      <c r="L2318" s="58"/>
      <c r="M2318" s="58">
        <f>K2318-L2318</f>
        <v>9.9999999999999978E-2</v>
      </c>
      <c r="N2318" s="166"/>
      <c r="O2318" s="58"/>
      <c r="P2318" s="58"/>
      <c r="Q2318" s="58"/>
      <c r="R2318" s="58"/>
      <c r="S2318" s="58"/>
      <c r="T2318" s="220"/>
      <c r="U2318" s="88"/>
      <c r="V2318" s="56"/>
      <c r="W2318" s="57" t="s">
        <v>1294</v>
      </c>
      <c r="X2318" s="53"/>
      <c r="Y2318" s="91" t="s">
        <v>35</v>
      </c>
      <c r="Z2318" s="136">
        <f>AD2318/AC2318</f>
        <v>3405</v>
      </c>
      <c r="AA2318" s="58"/>
      <c r="AB2318" s="53">
        <f>AD2318/AC2318</f>
        <v>3405</v>
      </c>
      <c r="AC2318" s="53">
        <f>M2318+$AE$10</f>
        <v>9.9999999999999978E-2</v>
      </c>
      <c r="AD2318" s="54">
        <f>SUM(AD2319:AD2321)</f>
        <v>340.49999999999994</v>
      </c>
      <c r="AE2318" s="184">
        <f>SUMIFS($AD$37:$AD$12971,$V$37:$V$12971,$V2318,$X$37:$X$12971,AE$13)</f>
        <v>0</v>
      </c>
      <c r="AF2318" s="185">
        <f>SUMIFS($AD$37:$AD$12971,$V$37:$V$12971,$V2318,$X$37:$X$12971,AF$13)</f>
        <v>0</v>
      </c>
      <c r="AG2318" s="185">
        <f>SUMIFS($AD$37:$AD$12971,$V$37:$V$12971,$V2318,$X$37:$X$12971,AG$13)</f>
        <v>0</v>
      </c>
      <c r="AH2318" s="187">
        <f>SUMIFS($AD$37:$AD$12971,$V$37:$V$12971,$V2318,$X$37:$X$12971,AH$13)</f>
        <v>0</v>
      </c>
      <c r="AI2318" s="161">
        <f t="shared" ref="AI2318" si="1843">SUM(AE2318:AH2318)</f>
        <v>0</v>
      </c>
      <c r="AK2318" s="172"/>
    </row>
    <row r="2319" spans="1:41" s="102" customFormat="1" ht="19.899999999999999" customHeight="1" x14ac:dyDescent="0.25">
      <c r="A2319" s="45"/>
      <c r="B2319" s="59"/>
      <c r="C2319" s="137"/>
      <c r="D2319" s="59"/>
      <c r="E2319" s="116"/>
      <c r="F2319" s="120"/>
      <c r="G2319" s="120"/>
      <c r="H2319" s="120"/>
      <c r="I2319" s="60"/>
      <c r="J2319" s="116"/>
      <c r="K2319" s="213"/>
      <c r="L2319" s="120"/>
      <c r="M2319" s="120"/>
      <c r="N2319" s="167"/>
      <c r="O2319" s="120"/>
      <c r="P2319" s="120"/>
      <c r="Q2319" s="120"/>
      <c r="R2319" s="120"/>
      <c r="S2319" s="120"/>
      <c r="T2319" s="221"/>
      <c r="U2319" s="89"/>
      <c r="V2319" s="61"/>
      <c r="W2319" s="92" t="s">
        <v>1432</v>
      </c>
      <c r="X2319" s="93" t="s">
        <v>30</v>
      </c>
      <c r="Y2319" s="93" t="s">
        <v>35</v>
      </c>
      <c r="Z2319" s="134">
        <f>VLOOKUP(W2319,Sheet2!$B:$D,3,FALSE)</f>
        <v>3255</v>
      </c>
      <c r="AA2319" s="93">
        <v>1</v>
      </c>
      <c r="AB2319" s="93">
        <f t="shared" ref="AB2319" si="1844">AD2319/AC2318</f>
        <v>3255</v>
      </c>
      <c r="AC2319" s="93">
        <f>AC2318/AA2319</f>
        <v>9.9999999999999978E-2</v>
      </c>
      <c r="AD2319" s="94">
        <f t="shared" ref="AD2319:AD2320" si="1845">AC2319*Z2319</f>
        <v>325.49999999999994</v>
      </c>
      <c r="AE2319" s="190"/>
      <c r="AF2319" s="191"/>
      <c r="AG2319" s="191"/>
      <c r="AH2319" s="191"/>
      <c r="AI2319" s="186"/>
      <c r="AK2319" s="171"/>
    </row>
    <row r="2320" spans="1:41" s="102" customFormat="1" ht="19.899999999999999" customHeight="1" x14ac:dyDescent="0.25">
      <c r="A2320" s="45"/>
      <c r="B2320" s="59"/>
      <c r="C2320" s="137"/>
      <c r="D2320" s="59"/>
      <c r="E2320" s="116"/>
      <c r="F2320" s="120"/>
      <c r="G2320" s="120"/>
      <c r="H2320" s="120"/>
      <c r="I2320" s="60"/>
      <c r="J2320" s="116"/>
      <c r="K2320" s="213"/>
      <c r="L2320" s="120"/>
      <c r="M2320" s="120"/>
      <c r="N2320" s="167"/>
      <c r="O2320" s="120"/>
      <c r="P2320" s="120"/>
      <c r="Q2320" s="120"/>
      <c r="R2320" s="120"/>
      <c r="S2320" s="120"/>
      <c r="T2320" s="221"/>
      <c r="U2320" s="89"/>
      <c r="V2320" s="61"/>
      <c r="W2320" s="92" t="s">
        <v>107</v>
      </c>
      <c r="X2320" s="93" t="s">
        <v>31</v>
      </c>
      <c r="Y2320" s="93" t="s">
        <v>93</v>
      </c>
      <c r="Z2320" s="134">
        <f>VLOOKUP(W2320,Sheet2!$B:$D,3,FALSE)</f>
        <v>17</v>
      </c>
      <c r="AA2320" s="93">
        <v>0.2</v>
      </c>
      <c r="AB2320" s="93">
        <f>AD2320/AC2318</f>
        <v>85</v>
      </c>
      <c r="AC2320" s="93">
        <f>AC2318/AA2320</f>
        <v>0.49999999999999989</v>
      </c>
      <c r="AD2320" s="94">
        <f t="shared" si="1845"/>
        <v>8.4999999999999982</v>
      </c>
      <c r="AE2320" s="190"/>
      <c r="AF2320" s="191"/>
      <c r="AG2320" s="191"/>
      <c r="AH2320" s="191"/>
      <c r="AI2320" s="186"/>
      <c r="AK2320" s="171"/>
    </row>
    <row r="2321" spans="1:41" s="102" customFormat="1" ht="19.899999999999999" customHeight="1" x14ac:dyDescent="0.25">
      <c r="A2321" s="45"/>
      <c r="B2321" s="59"/>
      <c r="C2321" s="137"/>
      <c r="D2321" s="59"/>
      <c r="E2321" s="116"/>
      <c r="F2321" s="120"/>
      <c r="G2321" s="120"/>
      <c r="H2321" s="120"/>
      <c r="I2321" s="60"/>
      <c r="J2321" s="116"/>
      <c r="K2321" s="213"/>
      <c r="L2321" s="120"/>
      <c r="M2321" s="120"/>
      <c r="N2321" s="167"/>
      <c r="O2321" s="120"/>
      <c r="P2321" s="120"/>
      <c r="Q2321" s="120"/>
      <c r="R2321" s="120"/>
      <c r="S2321" s="120"/>
      <c r="T2321" s="221"/>
      <c r="U2321" s="89"/>
      <c r="V2321" s="61"/>
      <c r="W2321" s="92" t="s">
        <v>112</v>
      </c>
      <c r="X2321" s="93" t="s">
        <v>31</v>
      </c>
      <c r="Y2321" s="93" t="s">
        <v>93</v>
      </c>
      <c r="Z2321" s="134">
        <f>VLOOKUP(W2321,Sheet2!$B:$D,3,FALSE)</f>
        <v>13</v>
      </c>
      <c r="AA2321" s="93">
        <f>AA2320</f>
        <v>0.2</v>
      </c>
      <c r="AB2321" s="93">
        <f>AD2321/AC2318</f>
        <v>65</v>
      </c>
      <c r="AC2321" s="93">
        <f>AC2318/AA2321</f>
        <v>0.49999999999999989</v>
      </c>
      <c r="AD2321" s="94">
        <f>AC2321*Z2321</f>
        <v>6.4999999999999982</v>
      </c>
      <c r="AE2321" s="190"/>
      <c r="AF2321" s="191"/>
      <c r="AG2321" s="191"/>
      <c r="AH2321" s="191"/>
      <c r="AI2321" s="186"/>
      <c r="AK2321" s="171"/>
    </row>
    <row r="2322" spans="1:41" ht="20.100000000000001" customHeight="1" x14ac:dyDescent="0.25">
      <c r="A2322" s="277" t="s">
        <v>410</v>
      </c>
      <c r="B2322" s="278"/>
      <c r="C2322" s="64" t="s">
        <v>448</v>
      </c>
      <c r="D2322" s="46" t="s">
        <v>215</v>
      </c>
      <c r="E2322" s="114">
        <v>296.50000000000023</v>
      </c>
      <c r="F2322" s="44">
        <v>372</v>
      </c>
      <c r="G2322" s="44">
        <f t="shared" si="1686"/>
        <v>110298.00000000009</v>
      </c>
      <c r="H2322" s="44">
        <f t="shared" si="1687"/>
        <v>105</v>
      </c>
      <c r="I2322" s="43">
        <f t="shared" si="1688"/>
        <v>31132.500000000025</v>
      </c>
      <c r="J2322" s="112">
        <f t="shared" si="1689"/>
        <v>296.50000000000023</v>
      </c>
      <c r="K2322" s="211">
        <f t="shared" si="1690"/>
        <v>296.50000000000023</v>
      </c>
      <c r="L2322" s="44"/>
      <c r="M2322" s="44">
        <f t="shared" si="1704"/>
        <v>296.50000000000023</v>
      </c>
      <c r="N2322" s="173">
        <f t="shared" si="1691"/>
        <v>1</v>
      </c>
      <c r="O2322" s="44">
        <f t="shared" si="1692"/>
        <v>372</v>
      </c>
      <c r="P2322" s="44">
        <f t="shared" si="1693"/>
        <v>110298.00000000009</v>
      </c>
      <c r="Q2322" s="44">
        <f t="shared" si="1694"/>
        <v>105</v>
      </c>
      <c r="R2322" s="44">
        <f t="shared" si="1705"/>
        <v>31132.500000000025</v>
      </c>
      <c r="S2322" s="123"/>
      <c r="T2322" s="219">
        <f t="shared" si="1706"/>
        <v>31132.500000000025</v>
      </c>
      <c r="U2322" s="87"/>
      <c r="V2322" s="47"/>
      <c r="W2322" s="48"/>
      <c r="X2322" s="48"/>
      <c r="Y2322" s="48"/>
      <c r="Z2322" s="135"/>
      <c r="AA2322" s="49"/>
      <c r="AB2322" s="50">
        <f t="shared" si="1695"/>
        <v>105</v>
      </c>
      <c r="AC2322" s="42">
        <f t="shared" si="1707"/>
        <v>296.50000000000023</v>
      </c>
      <c r="AD2322" s="90">
        <f>AD2323</f>
        <v>31132.500000000022</v>
      </c>
      <c r="AE2322" s="188">
        <f t="shared" ref="AE2322" si="1846">AE2323</f>
        <v>0</v>
      </c>
      <c r="AF2322" s="189">
        <f t="shared" ref="AF2322" si="1847">AF2323</f>
        <v>0</v>
      </c>
      <c r="AG2322" s="189">
        <f t="shared" ref="AG2322" si="1848">AG2323</f>
        <v>0</v>
      </c>
      <c r="AH2322" s="189">
        <f t="shared" ref="AH2322" si="1849">AH2323</f>
        <v>0</v>
      </c>
      <c r="AI2322" s="161">
        <f t="shared" ref="AI2322" si="1850">SUM(AE2322:AH2322)</f>
        <v>0</v>
      </c>
      <c r="AK2322" s="169">
        <v>5</v>
      </c>
      <c r="AO2322" s="19" t="s">
        <v>63</v>
      </c>
    </row>
    <row r="2323" spans="1:41" s="103" customFormat="1" ht="19.899999999999999" customHeight="1" x14ac:dyDescent="0.25">
      <c r="A2323" s="51"/>
      <c r="B2323" s="52"/>
      <c r="C2323" s="165"/>
      <c r="D2323" s="52"/>
      <c r="E2323" s="115"/>
      <c r="F2323" s="58"/>
      <c r="G2323" s="58"/>
      <c r="H2323" s="58"/>
      <c r="I2323" s="55"/>
      <c r="J2323" s="113">
        <f>J2322</f>
        <v>296.50000000000023</v>
      </c>
      <c r="K2323" s="212">
        <f>K2322</f>
        <v>296.50000000000023</v>
      </c>
      <c r="L2323" s="58"/>
      <c r="M2323" s="58">
        <f>K2323-L2323</f>
        <v>296.50000000000023</v>
      </c>
      <c r="N2323" s="166"/>
      <c r="O2323" s="58"/>
      <c r="P2323" s="58"/>
      <c r="Q2323" s="58"/>
      <c r="R2323" s="58"/>
      <c r="S2323" s="58"/>
      <c r="T2323" s="220"/>
      <c r="U2323" s="88"/>
      <c r="V2323" s="56"/>
      <c r="W2323" s="57" t="s">
        <v>1294</v>
      </c>
      <c r="X2323" s="53"/>
      <c r="Y2323" s="91" t="s">
        <v>35</v>
      </c>
      <c r="Z2323" s="136">
        <f>AD2323/AC2323</f>
        <v>105</v>
      </c>
      <c r="AA2323" s="58"/>
      <c r="AB2323" s="53">
        <f>AD2323/AC2323</f>
        <v>105</v>
      </c>
      <c r="AC2323" s="53">
        <f>M2323+$AE$10</f>
        <v>296.50000000000023</v>
      </c>
      <c r="AD2323" s="54">
        <f>SUM(AD2324:AD2326)</f>
        <v>31132.500000000022</v>
      </c>
      <c r="AE2323" s="184">
        <f>SUMIFS($AD$37:$AD$12971,$V$37:$V$12971,$V2323,$X$37:$X$12971,AE$13)</f>
        <v>0</v>
      </c>
      <c r="AF2323" s="185">
        <f>SUMIFS($AD$37:$AD$12971,$V$37:$V$12971,$V2323,$X$37:$X$12971,AF$13)</f>
        <v>0</v>
      </c>
      <c r="AG2323" s="185">
        <f>SUMIFS($AD$37:$AD$12971,$V$37:$V$12971,$V2323,$X$37:$X$12971,AG$13)</f>
        <v>0</v>
      </c>
      <c r="AH2323" s="187">
        <f>SUMIFS($AD$37:$AD$12971,$V$37:$V$12971,$V2323,$X$37:$X$12971,AH$13)</f>
        <v>0</v>
      </c>
      <c r="AI2323" s="161">
        <f t="shared" ref="AI2323" si="1851">SUM(AE2323:AH2323)</f>
        <v>0</v>
      </c>
      <c r="AK2323" s="172"/>
    </row>
    <row r="2324" spans="1:41" s="102" customFormat="1" ht="19.899999999999999" customHeight="1" x14ac:dyDescent="0.25">
      <c r="A2324" s="45"/>
      <c r="B2324" s="59"/>
      <c r="C2324" s="137"/>
      <c r="D2324" s="59"/>
      <c r="E2324" s="116"/>
      <c r="F2324" s="120"/>
      <c r="G2324" s="120"/>
      <c r="H2324" s="120"/>
      <c r="I2324" s="60"/>
      <c r="J2324" s="116"/>
      <c r="K2324" s="213"/>
      <c r="L2324" s="120"/>
      <c r="M2324" s="120"/>
      <c r="N2324" s="167"/>
      <c r="O2324" s="120"/>
      <c r="P2324" s="120"/>
      <c r="Q2324" s="120"/>
      <c r="R2324" s="120"/>
      <c r="S2324" s="120"/>
      <c r="T2324" s="221"/>
      <c r="U2324" s="89"/>
      <c r="V2324" s="61"/>
      <c r="W2324" s="92" t="s">
        <v>1434</v>
      </c>
      <c r="X2324" s="93" t="s">
        <v>30</v>
      </c>
      <c r="Y2324" s="93" t="s">
        <v>35</v>
      </c>
      <c r="Z2324" s="134">
        <f>VLOOKUP(W2324,Sheet2!$B:$D,3,FALSE)</f>
        <v>45</v>
      </c>
      <c r="AA2324" s="93">
        <v>1</v>
      </c>
      <c r="AB2324" s="93">
        <f t="shared" ref="AB2324" si="1852">AD2324/AC2323</f>
        <v>45</v>
      </c>
      <c r="AC2324" s="93">
        <f>AC2323/AA2324</f>
        <v>296.50000000000023</v>
      </c>
      <c r="AD2324" s="94">
        <f t="shared" ref="AD2324:AD2325" si="1853">AC2324*Z2324</f>
        <v>13342.500000000011</v>
      </c>
      <c r="AE2324" s="190"/>
      <c r="AF2324" s="191"/>
      <c r="AG2324" s="191"/>
      <c r="AH2324" s="191"/>
      <c r="AI2324" s="186"/>
      <c r="AK2324" s="171"/>
    </row>
    <row r="2325" spans="1:41" s="102" customFormat="1" ht="19.899999999999999" customHeight="1" x14ac:dyDescent="0.25">
      <c r="A2325" s="45"/>
      <c r="B2325" s="59"/>
      <c r="C2325" s="137"/>
      <c r="D2325" s="59"/>
      <c r="E2325" s="116"/>
      <c r="F2325" s="120"/>
      <c r="G2325" s="120"/>
      <c r="H2325" s="120"/>
      <c r="I2325" s="60"/>
      <c r="J2325" s="116"/>
      <c r="K2325" s="213"/>
      <c r="L2325" s="120"/>
      <c r="M2325" s="120"/>
      <c r="N2325" s="167"/>
      <c r="O2325" s="120"/>
      <c r="P2325" s="120"/>
      <c r="Q2325" s="120"/>
      <c r="R2325" s="120"/>
      <c r="S2325" s="120"/>
      <c r="T2325" s="221"/>
      <c r="U2325" s="89"/>
      <c r="V2325" s="61"/>
      <c r="W2325" s="92" t="s">
        <v>107</v>
      </c>
      <c r="X2325" s="93" t="s">
        <v>31</v>
      </c>
      <c r="Y2325" s="93" t="s">
        <v>93</v>
      </c>
      <c r="Z2325" s="134">
        <f>VLOOKUP(W2325,Sheet2!$B:$D,3,FALSE)</f>
        <v>17</v>
      </c>
      <c r="AA2325" s="93">
        <v>0.5</v>
      </c>
      <c r="AB2325" s="93">
        <f>AD2325/AC2323</f>
        <v>34</v>
      </c>
      <c r="AC2325" s="93">
        <f>AC2323/AA2325</f>
        <v>593.00000000000045</v>
      </c>
      <c r="AD2325" s="94">
        <f t="shared" si="1853"/>
        <v>10081.000000000007</v>
      </c>
      <c r="AE2325" s="190"/>
      <c r="AF2325" s="191"/>
      <c r="AG2325" s="191"/>
      <c r="AH2325" s="191"/>
      <c r="AI2325" s="186"/>
      <c r="AK2325" s="171"/>
    </row>
    <row r="2326" spans="1:41" s="102" customFormat="1" ht="19.899999999999999" customHeight="1" x14ac:dyDescent="0.25">
      <c r="A2326" s="45"/>
      <c r="B2326" s="59"/>
      <c r="C2326" s="137"/>
      <c r="D2326" s="59"/>
      <c r="E2326" s="116"/>
      <c r="F2326" s="120"/>
      <c r="G2326" s="120"/>
      <c r="H2326" s="120"/>
      <c r="I2326" s="60"/>
      <c r="J2326" s="116"/>
      <c r="K2326" s="213"/>
      <c r="L2326" s="120"/>
      <c r="M2326" s="120"/>
      <c r="N2326" s="167"/>
      <c r="O2326" s="120"/>
      <c r="P2326" s="120"/>
      <c r="Q2326" s="120"/>
      <c r="R2326" s="120"/>
      <c r="S2326" s="120"/>
      <c r="T2326" s="221"/>
      <c r="U2326" s="89"/>
      <c r="V2326" s="61"/>
      <c r="W2326" s="92" t="s">
        <v>112</v>
      </c>
      <c r="X2326" s="93" t="s">
        <v>31</v>
      </c>
      <c r="Y2326" s="93" t="s">
        <v>93</v>
      </c>
      <c r="Z2326" s="134">
        <f>VLOOKUP(W2326,Sheet2!$B:$D,3,FALSE)</f>
        <v>13</v>
      </c>
      <c r="AA2326" s="93">
        <f>AA2325</f>
        <v>0.5</v>
      </c>
      <c r="AB2326" s="93">
        <f>AD2326/AC2323</f>
        <v>26</v>
      </c>
      <c r="AC2326" s="93">
        <f>AC2323/AA2326</f>
        <v>593.00000000000045</v>
      </c>
      <c r="AD2326" s="94">
        <f>AC2326*Z2326</f>
        <v>7709.0000000000055</v>
      </c>
      <c r="AE2326" s="190"/>
      <c r="AF2326" s="191"/>
      <c r="AG2326" s="191"/>
      <c r="AH2326" s="191"/>
      <c r="AI2326" s="186"/>
      <c r="AK2326" s="171"/>
    </row>
    <row r="2327" spans="1:41" ht="20.100000000000001" customHeight="1" x14ac:dyDescent="0.25">
      <c r="A2327" s="277" t="s">
        <v>410</v>
      </c>
      <c r="B2327" s="278"/>
      <c r="C2327" s="64" t="s">
        <v>449</v>
      </c>
      <c r="D2327" s="46" t="s">
        <v>215</v>
      </c>
      <c r="E2327" s="114">
        <v>3.2</v>
      </c>
      <c r="F2327" s="44">
        <v>437</v>
      </c>
      <c r="G2327" s="44">
        <f t="shared" si="1686"/>
        <v>1398.4</v>
      </c>
      <c r="H2327" s="44">
        <f t="shared" si="1687"/>
        <v>115</v>
      </c>
      <c r="I2327" s="43">
        <f t="shared" si="1688"/>
        <v>368</v>
      </c>
      <c r="J2327" s="112">
        <f t="shared" si="1689"/>
        <v>3.2</v>
      </c>
      <c r="K2327" s="211">
        <f t="shared" si="1690"/>
        <v>3.2</v>
      </c>
      <c r="L2327" s="44"/>
      <c r="M2327" s="44">
        <f t="shared" si="1704"/>
        <v>3.2</v>
      </c>
      <c r="N2327" s="173">
        <f t="shared" si="1691"/>
        <v>1</v>
      </c>
      <c r="O2327" s="44">
        <f t="shared" si="1692"/>
        <v>437</v>
      </c>
      <c r="P2327" s="44">
        <f t="shared" si="1693"/>
        <v>1398.4</v>
      </c>
      <c r="Q2327" s="44">
        <f t="shared" si="1694"/>
        <v>115</v>
      </c>
      <c r="R2327" s="44">
        <f t="shared" si="1705"/>
        <v>368</v>
      </c>
      <c r="S2327" s="123"/>
      <c r="T2327" s="219">
        <f t="shared" si="1706"/>
        <v>368</v>
      </c>
      <c r="U2327" s="87"/>
      <c r="V2327" s="47"/>
      <c r="W2327" s="48"/>
      <c r="X2327" s="48"/>
      <c r="Y2327" s="48"/>
      <c r="Z2327" s="135"/>
      <c r="AA2327" s="49"/>
      <c r="AB2327" s="50">
        <f t="shared" si="1695"/>
        <v>115</v>
      </c>
      <c r="AC2327" s="42">
        <f t="shared" si="1707"/>
        <v>3.2</v>
      </c>
      <c r="AD2327" s="90">
        <f>AD2328</f>
        <v>368</v>
      </c>
      <c r="AE2327" s="188">
        <f t="shared" ref="AE2327" si="1854">AE2328</f>
        <v>0</v>
      </c>
      <c r="AF2327" s="189">
        <f t="shared" ref="AF2327" si="1855">AF2328</f>
        <v>0</v>
      </c>
      <c r="AG2327" s="189">
        <f t="shared" ref="AG2327" si="1856">AG2328</f>
        <v>0</v>
      </c>
      <c r="AH2327" s="189">
        <f t="shared" ref="AH2327" si="1857">AH2328</f>
        <v>0</v>
      </c>
      <c r="AI2327" s="161">
        <f t="shared" ref="AI2327" si="1858">SUM(AE2327:AH2327)</f>
        <v>0</v>
      </c>
      <c r="AK2327" s="169">
        <v>5</v>
      </c>
      <c r="AO2327" s="19" t="s">
        <v>63</v>
      </c>
    </row>
    <row r="2328" spans="1:41" s="103" customFormat="1" ht="19.899999999999999" customHeight="1" x14ac:dyDescent="0.25">
      <c r="A2328" s="51"/>
      <c r="B2328" s="52"/>
      <c r="C2328" s="165"/>
      <c r="D2328" s="52"/>
      <c r="E2328" s="115"/>
      <c r="F2328" s="58"/>
      <c r="G2328" s="58"/>
      <c r="H2328" s="58"/>
      <c r="I2328" s="55"/>
      <c r="J2328" s="113">
        <f>J2327</f>
        <v>3.2</v>
      </c>
      <c r="K2328" s="212">
        <f>K2327</f>
        <v>3.2</v>
      </c>
      <c r="L2328" s="58"/>
      <c r="M2328" s="58">
        <f>K2328-L2328</f>
        <v>3.2</v>
      </c>
      <c r="N2328" s="166"/>
      <c r="O2328" s="58"/>
      <c r="P2328" s="58"/>
      <c r="Q2328" s="58"/>
      <c r="R2328" s="58"/>
      <c r="S2328" s="58"/>
      <c r="T2328" s="220"/>
      <c r="U2328" s="88"/>
      <c r="V2328" s="56"/>
      <c r="W2328" s="57" t="s">
        <v>1294</v>
      </c>
      <c r="X2328" s="53"/>
      <c r="Y2328" s="91" t="s">
        <v>35</v>
      </c>
      <c r="Z2328" s="136">
        <f>AD2328/AC2328</f>
        <v>115</v>
      </c>
      <c r="AA2328" s="58"/>
      <c r="AB2328" s="53">
        <f>AD2328/AC2328</f>
        <v>115</v>
      </c>
      <c r="AC2328" s="53">
        <f>M2328+$AE$10</f>
        <v>3.2</v>
      </c>
      <c r="AD2328" s="54">
        <f>SUM(AD2329:AD2331)</f>
        <v>368</v>
      </c>
      <c r="AE2328" s="184">
        <f>SUMIFS($AD$37:$AD$12971,$V$37:$V$12971,$V2328,$X$37:$X$12971,AE$13)</f>
        <v>0</v>
      </c>
      <c r="AF2328" s="185">
        <f>SUMIFS($AD$37:$AD$12971,$V$37:$V$12971,$V2328,$X$37:$X$12971,AF$13)</f>
        <v>0</v>
      </c>
      <c r="AG2328" s="185">
        <f>SUMIFS($AD$37:$AD$12971,$V$37:$V$12971,$V2328,$X$37:$X$12971,AG$13)</f>
        <v>0</v>
      </c>
      <c r="AH2328" s="187">
        <f>SUMIFS($AD$37:$AD$12971,$V$37:$V$12971,$V2328,$X$37:$X$12971,AH$13)</f>
        <v>0</v>
      </c>
      <c r="AI2328" s="161">
        <f t="shared" ref="AI2328" si="1859">SUM(AE2328:AH2328)</f>
        <v>0</v>
      </c>
      <c r="AK2328" s="172"/>
    </row>
    <row r="2329" spans="1:41" s="102" customFormat="1" ht="19.899999999999999" customHeight="1" x14ac:dyDescent="0.25">
      <c r="A2329" s="45"/>
      <c r="B2329" s="59"/>
      <c r="C2329" s="137"/>
      <c r="D2329" s="59"/>
      <c r="E2329" s="116"/>
      <c r="F2329" s="120"/>
      <c r="G2329" s="120"/>
      <c r="H2329" s="120"/>
      <c r="I2329" s="60"/>
      <c r="J2329" s="116"/>
      <c r="K2329" s="213"/>
      <c r="L2329" s="120"/>
      <c r="M2329" s="120"/>
      <c r="N2329" s="167"/>
      <c r="O2329" s="120"/>
      <c r="P2329" s="120"/>
      <c r="Q2329" s="120"/>
      <c r="R2329" s="120"/>
      <c r="S2329" s="120"/>
      <c r="T2329" s="221"/>
      <c r="U2329" s="89"/>
      <c r="V2329" s="61"/>
      <c r="W2329" s="92" t="s">
        <v>1435</v>
      </c>
      <c r="X2329" s="93" t="s">
        <v>30</v>
      </c>
      <c r="Y2329" s="93" t="s">
        <v>35</v>
      </c>
      <c r="Z2329" s="134">
        <f>VLOOKUP(W2329,Sheet2!$B:$D,3,FALSE)</f>
        <v>55</v>
      </c>
      <c r="AA2329" s="93">
        <v>1</v>
      </c>
      <c r="AB2329" s="93">
        <f t="shared" ref="AB2329" si="1860">AD2329/AC2328</f>
        <v>55</v>
      </c>
      <c r="AC2329" s="93">
        <f>AC2328/AA2329</f>
        <v>3.2</v>
      </c>
      <c r="AD2329" s="94">
        <f t="shared" ref="AD2329:AD2330" si="1861">AC2329*Z2329</f>
        <v>176</v>
      </c>
      <c r="AE2329" s="190"/>
      <c r="AF2329" s="191"/>
      <c r="AG2329" s="191"/>
      <c r="AH2329" s="191"/>
      <c r="AI2329" s="186"/>
      <c r="AK2329" s="171"/>
    </row>
    <row r="2330" spans="1:41" s="102" customFormat="1" ht="19.899999999999999" customHeight="1" x14ac:dyDescent="0.25">
      <c r="A2330" s="45"/>
      <c r="B2330" s="59"/>
      <c r="C2330" s="137"/>
      <c r="D2330" s="59"/>
      <c r="E2330" s="116"/>
      <c r="F2330" s="120"/>
      <c r="G2330" s="120"/>
      <c r="H2330" s="120"/>
      <c r="I2330" s="60"/>
      <c r="J2330" s="116"/>
      <c r="K2330" s="213"/>
      <c r="L2330" s="120"/>
      <c r="M2330" s="120"/>
      <c r="N2330" s="167"/>
      <c r="O2330" s="120"/>
      <c r="P2330" s="120"/>
      <c r="Q2330" s="120"/>
      <c r="R2330" s="120"/>
      <c r="S2330" s="120"/>
      <c r="T2330" s="221"/>
      <c r="U2330" s="89"/>
      <c r="V2330" s="61"/>
      <c r="W2330" s="92" t="s">
        <v>107</v>
      </c>
      <c r="X2330" s="93" t="s">
        <v>31</v>
      </c>
      <c r="Y2330" s="93" t="s">
        <v>93</v>
      </c>
      <c r="Z2330" s="134">
        <f>VLOOKUP(W2330,Sheet2!$B:$D,3,FALSE)</f>
        <v>17</v>
      </c>
      <c r="AA2330" s="93">
        <v>0.5</v>
      </c>
      <c r="AB2330" s="93">
        <f>AD2330/AC2328</f>
        <v>34</v>
      </c>
      <c r="AC2330" s="93">
        <f>AC2328/AA2330</f>
        <v>6.4</v>
      </c>
      <c r="AD2330" s="94">
        <f t="shared" si="1861"/>
        <v>108.80000000000001</v>
      </c>
      <c r="AE2330" s="190"/>
      <c r="AF2330" s="191"/>
      <c r="AG2330" s="191"/>
      <c r="AH2330" s="191"/>
      <c r="AI2330" s="186"/>
      <c r="AK2330" s="171"/>
    </row>
    <row r="2331" spans="1:41" s="102" customFormat="1" ht="19.899999999999999" customHeight="1" x14ac:dyDescent="0.25">
      <c r="A2331" s="45"/>
      <c r="B2331" s="59"/>
      <c r="C2331" s="137"/>
      <c r="D2331" s="59"/>
      <c r="E2331" s="116"/>
      <c r="F2331" s="120"/>
      <c r="G2331" s="120"/>
      <c r="H2331" s="120"/>
      <c r="I2331" s="60"/>
      <c r="J2331" s="116"/>
      <c r="K2331" s="213"/>
      <c r="L2331" s="120"/>
      <c r="M2331" s="120"/>
      <c r="N2331" s="167"/>
      <c r="O2331" s="120"/>
      <c r="P2331" s="120"/>
      <c r="Q2331" s="120"/>
      <c r="R2331" s="120"/>
      <c r="S2331" s="120"/>
      <c r="T2331" s="221"/>
      <c r="U2331" s="89"/>
      <c r="V2331" s="61"/>
      <c r="W2331" s="92" t="s">
        <v>112</v>
      </c>
      <c r="X2331" s="93" t="s">
        <v>31</v>
      </c>
      <c r="Y2331" s="93" t="s">
        <v>93</v>
      </c>
      <c r="Z2331" s="134">
        <f>VLOOKUP(W2331,Sheet2!$B:$D,3,FALSE)</f>
        <v>13</v>
      </c>
      <c r="AA2331" s="93">
        <f>AA2330</f>
        <v>0.5</v>
      </c>
      <c r="AB2331" s="93">
        <f>AD2331/AC2328</f>
        <v>26</v>
      </c>
      <c r="AC2331" s="93">
        <f>AC2328/AA2331</f>
        <v>6.4</v>
      </c>
      <c r="AD2331" s="94">
        <f>AC2331*Z2331</f>
        <v>83.2</v>
      </c>
      <c r="AE2331" s="190"/>
      <c r="AF2331" s="191"/>
      <c r="AG2331" s="191"/>
      <c r="AH2331" s="191"/>
      <c r="AI2331" s="186"/>
      <c r="AK2331" s="171"/>
    </row>
    <row r="2332" spans="1:41" ht="20.100000000000001" customHeight="1" x14ac:dyDescent="0.25">
      <c r="A2332" s="277" t="s">
        <v>410</v>
      </c>
      <c r="B2332" s="278"/>
      <c r="C2332" s="64" t="s">
        <v>450</v>
      </c>
      <c r="D2332" s="46" t="s">
        <v>215</v>
      </c>
      <c r="E2332" s="114">
        <v>3.1999999999999975</v>
      </c>
      <c r="F2332" s="44">
        <v>552</v>
      </c>
      <c r="G2332" s="44">
        <f t="shared" si="1686"/>
        <v>1766.3999999999987</v>
      </c>
      <c r="H2332" s="44">
        <f t="shared" si="1687"/>
        <v>164</v>
      </c>
      <c r="I2332" s="43">
        <f t="shared" si="1688"/>
        <v>524.79999999999961</v>
      </c>
      <c r="J2332" s="112">
        <f t="shared" si="1689"/>
        <v>3.1999999999999975</v>
      </c>
      <c r="K2332" s="211">
        <f t="shared" si="1690"/>
        <v>3.1999999999999975</v>
      </c>
      <c r="L2332" s="44"/>
      <c r="M2332" s="44">
        <f t="shared" si="1704"/>
        <v>3.1999999999999975</v>
      </c>
      <c r="N2332" s="173">
        <f t="shared" si="1691"/>
        <v>1</v>
      </c>
      <c r="O2332" s="44">
        <f t="shared" si="1692"/>
        <v>552</v>
      </c>
      <c r="P2332" s="44">
        <f t="shared" si="1693"/>
        <v>1766.3999999999987</v>
      </c>
      <c r="Q2332" s="44">
        <f t="shared" si="1694"/>
        <v>164</v>
      </c>
      <c r="R2332" s="44">
        <f t="shared" si="1705"/>
        <v>524.79999999999961</v>
      </c>
      <c r="S2332" s="123"/>
      <c r="T2332" s="219">
        <f t="shared" si="1706"/>
        <v>524.79999999999961</v>
      </c>
      <c r="U2332" s="87"/>
      <c r="V2332" s="47"/>
      <c r="W2332" s="48"/>
      <c r="X2332" s="48"/>
      <c r="Y2332" s="48"/>
      <c r="Z2332" s="135"/>
      <c r="AA2332" s="49"/>
      <c r="AB2332" s="50">
        <f t="shared" si="1695"/>
        <v>164</v>
      </c>
      <c r="AC2332" s="42">
        <f t="shared" si="1707"/>
        <v>3.1999999999999975</v>
      </c>
      <c r="AD2332" s="90">
        <f>AD2333</f>
        <v>524.79999999999961</v>
      </c>
      <c r="AE2332" s="188">
        <f t="shared" ref="AE2332" si="1862">AE2333</f>
        <v>0</v>
      </c>
      <c r="AF2332" s="189">
        <f t="shared" ref="AF2332" si="1863">AF2333</f>
        <v>0</v>
      </c>
      <c r="AG2332" s="189">
        <f t="shared" ref="AG2332" si="1864">AG2333</f>
        <v>0</v>
      </c>
      <c r="AH2332" s="189">
        <f t="shared" ref="AH2332" si="1865">AH2333</f>
        <v>0</v>
      </c>
      <c r="AI2332" s="161">
        <f t="shared" ref="AI2332" si="1866">SUM(AE2332:AH2332)</f>
        <v>0</v>
      </c>
      <c r="AK2332" s="169">
        <v>5</v>
      </c>
      <c r="AO2332" s="19" t="s">
        <v>63</v>
      </c>
    </row>
    <row r="2333" spans="1:41" s="103" customFormat="1" ht="19.899999999999999" customHeight="1" x14ac:dyDescent="0.25">
      <c r="A2333" s="51"/>
      <c r="B2333" s="52"/>
      <c r="C2333" s="165"/>
      <c r="D2333" s="52"/>
      <c r="E2333" s="115"/>
      <c r="F2333" s="58"/>
      <c r="G2333" s="58"/>
      <c r="H2333" s="58"/>
      <c r="I2333" s="55"/>
      <c r="J2333" s="113">
        <f>J2332</f>
        <v>3.1999999999999975</v>
      </c>
      <c r="K2333" s="212">
        <f>K2332</f>
        <v>3.1999999999999975</v>
      </c>
      <c r="L2333" s="58"/>
      <c r="M2333" s="58">
        <f>K2333-L2333</f>
        <v>3.1999999999999975</v>
      </c>
      <c r="N2333" s="166"/>
      <c r="O2333" s="58"/>
      <c r="P2333" s="58"/>
      <c r="Q2333" s="58"/>
      <c r="R2333" s="58"/>
      <c r="S2333" s="58"/>
      <c r="T2333" s="220"/>
      <c r="U2333" s="88"/>
      <c r="V2333" s="56"/>
      <c r="W2333" s="57" t="s">
        <v>1294</v>
      </c>
      <c r="X2333" s="53"/>
      <c r="Y2333" s="91" t="s">
        <v>35</v>
      </c>
      <c r="Z2333" s="136">
        <f>AD2333/AC2333</f>
        <v>164</v>
      </c>
      <c r="AA2333" s="58"/>
      <c r="AB2333" s="53">
        <f>AD2333/AC2333</f>
        <v>164</v>
      </c>
      <c r="AC2333" s="53">
        <f>M2333+$AE$10</f>
        <v>3.1999999999999975</v>
      </c>
      <c r="AD2333" s="54">
        <f>SUM(AD2334:AD2336)</f>
        <v>524.79999999999961</v>
      </c>
      <c r="AE2333" s="184">
        <f>SUMIFS($AD$37:$AD$12971,$V$37:$V$12971,$V2333,$X$37:$X$12971,AE$13)</f>
        <v>0</v>
      </c>
      <c r="AF2333" s="185">
        <f>SUMIFS($AD$37:$AD$12971,$V$37:$V$12971,$V2333,$X$37:$X$12971,AF$13)</f>
        <v>0</v>
      </c>
      <c r="AG2333" s="185">
        <f>SUMIFS($AD$37:$AD$12971,$V$37:$V$12971,$V2333,$X$37:$X$12971,AG$13)</f>
        <v>0</v>
      </c>
      <c r="AH2333" s="187">
        <f>SUMIFS($AD$37:$AD$12971,$V$37:$V$12971,$V2333,$X$37:$X$12971,AH$13)</f>
        <v>0</v>
      </c>
      <c r="AI2333" s="161">
        <f t="shared" ref="AI2333" si="1867">SUM(AE2333:AH2333)</f>
        <v>0</v>
      </c>
      <c r="AK2333" s="172"/>
    </row>
    <row r="2334" spans="1:41" s="102" customFormat="1" ht="19.899999999999999" customHeight="1" x14ac:dyDescent="0.25">
      <c r="A2334" s="45"/>
      <c r="B2334" s="59"/>
      <c r="C2334" s="137"/>
      <c r="D2334" s="59"/>
      <c r="E2334" s="116"/>
      <c r="F2334" s="120"/>
      <c r="G2334" s="120"/>
      <c r="H2334" s="120"/>
      <c r="I2334" s="60"/>
      <c r="J2334" s="116"/>
      <c r="K2334" s="213"/>
      <c r="L2334" s="120"/>
      <c r="M2334" s="120"/>
      <c r="N2334" s="167"/>
      <c r="O2334" s="120"/>
      <c r="P2334" s="120"/>
      <c r="Q2334" s="120"/>
      <c r="R2334" s="120"/>
      <c r="S2334" s="120"/>
      <c r="T2334" s="221"/>
      <c r="U2334" s="89"/>
      <c r="V2334" s="61"/>
      <c r="W2334" s="92" t="s">
        <v>1436</v>
      </c>
      <c r="X2334" s="93" t="s">
        <v>30</v>
      </c>
      <c r="Y2334" s="93" t="s">
        <v>35</v>
      </c>
      <c r="Z2334" s="134">
        <f>VLOOKUP(W2334,Sheet2!$B:$D,3,FALSE)</f>
        <v>89</v>
      </c>
      <c r="AA2334" s="93">
        <v>1</v>
      </c>
      <c r="AB2334" s="93">
        <f t="shared" ref="AB2334" si="1868">AD2334/AC2333</f>
        <v>89</v>
      </c>
      <c r="AC2334" s="93">
        <f>AC2333/AA2334</f>
        <v>3.1999999999999975</v>
      </c>
      <c r="AD2334" s="94">
        <f t="shared" ref="AD2334:AD2335" si="1869">AC2334*Z2334</f>
        <v>284.79999999999978</v>
      </c>
      <c r="AE2334" s="190"/>
      <c r="AF2334" s="191"/>
      <c r="AG2334" s="191"/>
      <c r="AH2334" s="191"/>
      <c r="AI2334" s="186"/>
      <c r="AK2334" s="171"/>
    </row>
    <row r="2335" spans="1:41" s="102" customFormat="1" ht="19.899999999999999" customHeight="1" x14ac:dyDescent="0.25">
      <c r="A2335" s="45"/>
      <c r="B2335" s="59"/>
      <c r="C2335" s="137"/>
      <c r="D2335" s="59"/>
      <c r="E2335" s="116"/>
      <c r="F2335" s="120"/>
      <c r="G2335" s="120"/>
      <c r="H2335" s="120"/>
      <c r="I2335" s="60"/>
      <c r="J2335" s="116"/>
      <c r="K2335" s="213"/>
      <c r="L2335" s="120"/>
      <c r="M2335" s="120"/>
      <c r="N2335" s="167"/>
      <c r="O2335" s="120"/>
      <c r="P2335" s="120"/>
      <c r="Q2335" s="120"/>
      <c r="R2335" s="120"/>
      <c r="S2335" s="120"/>
      <c r="T2335" s="221"/>
      <c r="U2335" s="89"/>
      <c r="V2335" s="61"/>
      <c r="W2335" s="92" t="s">
        <v>107</v>
      </c>
      <c r="X2335" s="93" t="s">
        <v>31</v>
      </c>
      <c r="Y2335" s="93" t="s">
        <v>93</v>
      </c>
      <c r="Z2335" s="134">
        <f>VLOOKUP(W2335,Sheet2!$B:$D,3,FALSE)</f>
        <v>17</v>
      </c>
      <c r="AA2335" s="93">
        <v>0.4</v>
      </c>
      <c r="AB2335" s="93">
        <f>AD2335/AC2333</f>
        <v>42.5</v>
      </c>
      <c r="AC2335" s="93">
        <f>AC2333/AA2335</f>
        <v>7.9999999999999929</v>
      </c>
      <c r="AD2335" s="94">
        <f t="shared" si="1869"/>
        <v>135.99999999999989</v>
      </c>
      <c r="AE2335" s="190"/>
      <c r="AF2335" s="191"/>
      <c r="AG2335" s="191"/>
      <c r="AH2335" s="191"/>
      <c r="AI2335" s="186"/>
      <c r="AK2335" s="171"/>
    </row>
    <row r="2336" spans="1:41" s="102" customFormat="1" ht="19.899999999999999" customHeight="1" x14ac:dyDescent="0.25">
      <c r="A2336" s="45"/>
      <c r="B2336" s="59"/>
      <c r="C2336" s="137"/>
      <c r="D2336" s="59"/>
      <c r="E2336" s="116"/>
      <c r="F2336" s="120"/>
      <c r="G2336" s="120"/>
      <c r="H2336" s="120"/>
      <c r="I2336" s="60"/>
      <c r="J2336" s="116"/>
      <c r="K2336" s="213"/>
      <c r="L2336" s="120"/>
      <c r="M2336" s="120"/>
      <c r="N2336" s="167"/>
      <c r="O2336" s="120"/>
      <c r="P2336" s="120"/>
      <c r="Q2336" s="120"/>
      <c r="R2336" s="120"/>
      <c r="S2336" s="120"/>
      <c r="T2336" s="221"/>
      <c r="U2336" s="89"/>
      <c r="V2336" s="61"/>
      <c r="W2336" s="92" t="s">
        <v>112</v>
      </c>
      <c r="X2336" s="93" t="s">
        <v>31</v>
      </c>
      <c r="Y2336" s="93" t="s">
        <v>93</v>
      </c>
      <c r="Z2336" s="134">
        <f>VLOOKUP(W2336,Sheet2!$B:$D,3,FALSE)</f>
        <v>13</v>
      </c>
      <c r="AA2336" s="93">
        <f>AA2335</f>
        <v>0.4</v>
      </c>
      <c r="AB2336" s="93">
        <f>AD2336/AC2333</f>
        <v>32.5</v>
      </c>
      <c r="AC2336" s="93">
        <f>AC2333/AA2336</f>
        <v>7.9999999999999929</v>
      </c>
      <c r="AD2336" s="94">
        <f>AC2336*Z2336</f>
        <v>103.99999999999991</v>
      </c>
      <c r="AE2336" s="190"/>
      <c r="AF2336" s="191"/>
      <c r="AG2336" s="191"/>
      <c r="AH2336" s="191"/>
      <c r="AI2336" s="186"/>
      <c r="AK2336" s="171"/>
    </row>
    <row r="2337" spans="1:41" ht="20.100000000000001" customHeight="1" x14ac:dyDescent="0.25">
      <c r="A2337" s="277" t="s">
        <v>410</v>
      </c>
      <c r="B2337" s="278"/>
      <c r="C2337" s="64" t="s">
        <v>451</v>
      </c>
      <c r="D2337" s="46" t="s">
        <v>215</v>
      </c>
      <c r="E2337" s="114">
        <v>1.2</v>
      </c>
      <c r="F2337" s="44">
        <v>894</v>
      </c>
      <c r="G2337" s="44">
        <f t="shared" si="1686"/>
        <v>1072.8</v>
      </c>
      <c r="H2337" s="44">
        <f t="shared" si="1687"/>
        <v>740</v>
      </c>
      <c r="I2337" s="43">
        <f t="shared" si="1688"/>
        <v>888</v>
      </c>
      <c r="J2337" s="112">
        <f t="shared" si="1689"/>
        <v>1.2</v>
      </c>
      <c r="K2337" s="211">
        <f t="shared" si="1690"/>
        <v>1.2</v>
      </c>
      <c r="L2337" s="44"/>
      <c r="M2337" s="44">
        <f t="shared" si="1704"/>
        <v>1.2</v>
      </c>
      <c r="N2337" s="173">
        <f t="shared" si="1691"/>
        <v>1</v>
      </c>
      <c r="O2337" s="44">
        <f t="shared" si="1692"/>
        <v>894</v>
      </c>
      <c r="P2337" s="44">
        <f t="shared" si="1693"/>
        <v>1072.8</v>
      </c>
      <c r="Q2337" s="44">
        <f t="shared" si="1694"/>
        <v>740</v>
      </c>
      <c r="R2337" s="44">
        <f t="shared" si="1705"/>
        <v>888</v>
      </c>
      <c r="S2337" s="123"/>
      <c r="T2337" s="219">
        <f t="shared" si="1706"/>
        <v>888</v>
      </c>
      <c r="U2337" s="87"/>
      <c r="V2337" s="47"/>
      <c r="W2337" s="48"/>
      <c r="X2337" s="48"/>
      <c r="Y2337" s="48"/>
      <c r="Z2337" s="135"/>
      <c r="AA2337" s="49"/>
      <c r="AB2337" s="50">
        <f t="shared" si="1695"/>
        <v>740</v>
      </c>
      <c r="AC2337" s="42">
        <f t="shared" si="1707"/>
        <v>1.2</v>
      </c>
      <c r="AD2337" s="90">
        <f>AD2338</f>
        <v>888</v>
      </c>
      <c r="AE2337" s="188">
        <f t="shared" ref="AE2337" si="1870">AE2338</f>
        <v>0</v>
      </c>
      <c r="AF2337" s="189">
        <f t="shared" ref="AF2337" si="1871">AF2338</f>
        <v>0</v>
      </c>
      <c r="AG2337" s="189">
        <f t="shared" ref="AG2337" si="1872">AG2338</f>
        <v>0</v>
      </c>
      <c r="AH2337" s="189">
        <f t="shared" ref="AH2337" si="1873">AH2338</f>
        <v>0</v>
      </c>
      <c r="AI2337" s="161">
        <f t="shared" ref="AI2337:AI2342" si="1874">SUM(AE2337:AH2337)</f>
        <v>0</v>
      </c>
      <c r="AK2337" s="169">
        <v>5</v>
      </c>
      <c r="AO2337" s="19" t="s">
        <v>63</v>
      </c>
    </row>
    <row r="2338" spans="1:41" s="103" customFormat="1" ht="19.899999999999999" customHeight="1" x14ac:dyDescent="0.25">
      <c r="A2338" s="51"/>
      <c r="B2338" s="52"/>
      <c r="C2338" s="165"/>
      <c r="D2338" s="52"/>
      <c r="E2338" s="115"/>
      <c r="F2338" s="58"/>
      <c r="G2338" s="58"/>
      <c r="H2338" s="58"/>
      <c r="I2338" s="55"/>
      <c r="J2338" s="113">
        <f>J2337</f>
        <v>1.2</v>
      </c>
      <c r="K2338" s="212">
        <f>K2337</f>
        <v>1.2</v>
      </c>
      <c r="L2338" s="58"/>
      <c r="M2338" s="58">
        <f>K2338-L2338</f>
        <v>1.2</v>
      </c>
      <c r="N2338" s="166"/>
      <c r="O2338" s="58"/>
      <c r="P2338" s="58"/>
      <c r="Q2338" s="58"/>
      <c r="R2338" s="58"/>
      <c r="S2338" s="58"/>
      <c r="T2338" s="220"/>
      <c r="U2338" s="88"/>
      <c r="V2338" s="56"/>
      <c r="W2338" s="57" t="s">
        <v>1294</v>
      </c>
      <c r="X2338" s="53"/>
      <c r="Y2338" s="91" t="s">
        <v>35</v>
      </c>
      <c r="Z2338" s="136">
        <f>AD2338/AC2338</f>
        <v>740</v>
      </c>
      <c r="AA2338" s="58"/>
      <c r="AB2338" s="53">
        <f>AD2338/AC2338</f>
        <v>740</v>
      </c>
      <c r="AC2338" s="53">
        <f>M2338+$AE$10</f>
        <v>1.2</v>
      </c>
      <c r="AD2338" s="54">
        <f>SUM(AD2339:AD2341)</f>
        <v>888</v>
      </c>
      <c r="AE2338" s="184">
        <f>SUMIFS($AD$37:$AD$12971,$V$37:$V$12971,$V2338,$X$37:$X$12971,AE$13)</f>
        <v>0</v>
      </c>
      <c r="AF2338" s="185">
        <f>SUMIFS($AD$37:$AD$12971,$V$37:$V$12971,$V2338,$X$37:$X$12971,AF$13)</f>
        <v>0</v>
      </c>
      <c r="AG2338" s="185">
        <f>SUMIFS($AD$37:$AD$12971,$V$37:$V$12971,$V2338,$X$37:$X$12971,AG$13)</f>
        <v>0</v>
      </c>
      <c r="AH2338" s="187">
        <f>SUMIFS($AD$37:$AD$12971,$V$37:$V$12971,$V2338,$X$37:$X$12971,AH$13)</f>
        <v>0</v>
      </c>
      <c r="AI2338" s="161">
        <f t="shared" ref="AI2338" si="1875">SUM(AE2338:AH2338)</f>
        <v>0</v>
      </c>
      <c r="AK2338" s="172"/>
    </row>
    <row r="2339" spans="1:41" s="102" customFormat="1" ht="19.899999999999999" customHeight="1" x14ac:dyDescent="0.25">
      <c r="A2339" s="45"/>
      <c r="B2339" s="59"/>
      <c r="C2339" s="137"/>
      <c r="D2339" s="59"/>
      <c r="E2339" s="116"/>
      <c r="F2339" s="120"/>
      <c r="G2339" s="120"/>
      <c r="H2339" s="120"/>
      <c r="I2339" s="60"/>
      <c r="J2339" s="116"/>
      <c r="K2339" s="213"/>
      <c r="L2339" s="120"/>
      <c r="M2339" s="120"/>
      <c r="N2339" s="167"/>
      <c r="O2339" s="120"/>
      <c r="P2339" s="120"/>
      <c r="Q2339" s="120"/>
      <c r="R2339" s="120"/>
      <c r="S2339" s="120"/>
      <c r="T2339" s="221"/>
      <c r="U2339" s="89"/>
      <c r="V2339" s="61"/>
      <c r="W2339" s="92" t="s">
        <v>1437</v>
      </c>
      <c r="X2339" s="93" t="s">
        <v>30</v>
      </c>
      <c r="Y2339" s="93" t="s">
        <v>35</v>
      </c>
      <c r="Z2339" s="134">
        <f>VLOOKUP(W2339,Sheet2!$B:$D,3,FALSE)</f>
        <v>640</v>
      </c>
      <c r="AA2339" s="93">
        <v>1</v>
      </c>
      <c r="AB2339" s="93">
        <f t="shared" ref="AB2339" si="1876">AD2339/AC2338</f>
        <v>640</v>
      </c>
      <c r="AC2339" s="93">
        <f>AC2338/AA2339</f>
        <v>1.2</v>
      </c>
      <c r="AD2339" s="94">
        <f t="shared" ref="AD2339:AD2340" si="1877">AC2339*Z2339</f>
        <v>768</v>
      </c>
      <c r="AE2339" s="190"/>
      <c r="AF2339" s="191"/>
      <c r="AG2339" s="191"/>
      <c r="AH2339" s="191"/>
      <c r="AI2339" s="186"/>
      <c r="AK2339" s="171"/>
    </row>
    <row r="2340" spans="1:41" s="102" customFormat="1" ht="19.899999999999999" customHeight="1" x14ac:dyDescent="0.25">
      <c r="A2340" s="45"/>
      <c r="B2340" s="59"/>
      <c r="C2340" s="137"/>
      <c r="D2340" s="59"/>
      <c r="E2340" s="116"/>
      <c r="F2340" s="120"/>
      <c r="G2340" s="120"/>
      <c r="H2340" s="120"/>
      <c r="I2340" s="60"/>
      <c r="J2340" s="116"/>
      <c r="K2340" s="213"/>
      <c r="L2340" s="120"/>
      <c r="M2340" s="120"/>
      <c r="N2340" s="167"/>
      <c r="O2340" s="120"/>
      <c r="P2340" s="120"/>
      <c r="Q2340" s="120"/>
      <c r="R2340" s="120"/>
      <c r="S2340" s="120"/>
      <c r="T2340" s="221"/>
      <c r="U2340" s="89"/>
      <c r="V2340" s="61"/>
      <c r="W2340" s="92" t="s">
        <v>107</v>
      </c>
      <c r="X2340" s="93" t="s">
        <v>31</v>
      </c>
      <c r="Y2340" s="93" t="s">
        <v>93</v>
      </c>
      <c r="Z2340" s="134">
        <f>VLOOKUP(W2340,Sheet2!$B:$D,3,FALSE)</f>
        <v>17</v>
      </c>
      <c r="AA2340" s="93">
        <v>0.3</v>
      </c>
      <c r="AB2340" s="93">
        <f>AD2340/AC2338</f>
        <v>56.666666666666671</v>
      </c>
      <c r="AC2340" s="93">
        <f>AC2338/AA2340</f>
        <v>4</v>
      </c>
      <c r="AD2340" s="94">
        <f t="shared" si="1877"/>
        <v>68</v>
      </c>
      <c r="AE2340" s="190"/>
      <c r="AF2340" s="191"/>
      <c r="AG2340" s="191"/>
      <c r="AH2340" s="191"/>
      <c r="AI2340" s="186"/>
      <c r="AK2340" s="171"/>
    </row>
    <row r="2341" spans="1:41" s="102" customFormat="1" ht="19.899999999999999" customHeight="1" x14ac:dyDescent="0.25">
      <c r="A2341" s="45"/>
      <c r="B2341" s="59"/>
      <c r="C2341" s="137"/>
      <c r="D2341" s="59"/>
      <c r="E2341" s="116"/>
      <c r="F2341" s="120"/>
      <c r="G2341" s="120"/>
      <c r="H2341" s="120"/>
      <c r="I2341" s="60"/>
      <c r="J2341" s="116"/>
      <c r="K2341" s="213"/>
      <c r="L2341" s="120"/>
      <c r="M2341" s="120"/>
      <c r="N2341" s="167"/>
      <c r="O2341" s="120"/>
      <c r="P2341" s="120"/>
      <c r="Q2341" s="120"/>
      <c r="R2341" s="120"/>
      <c r="S2341" s="120"/>
      <c r="T2341" s="221"/>
      <c r="U2341" s="89"/>
      <c r="V2341" s="61"/>
      <c r="W2341" s="92" t="s">
        <v>112</v>
      </c>
      <c r="X2341" s="93" t="s">
        <v>31</v>
      </c>
      <c r="Y2341" s="93" t="s">
        <v>93</v>
      </c>
      <c r="Z2341" s="134">
        <f>VLOOKUP(W2341,Sheet2!$B:$D,3,FALSE)</f>
        <v>13</v>
      </c>
      <c r="AA2341" s="93">
        <f>AA2340</f>
        <v>0.3</v>
      </c>
      <c r="AB2341" s="93">
        <f>AD2341/AC2338</f>
        <v>43.333333333333336</v>
      </c>
      <c r="AC2341" s="93">
        <f>AC2338/AA2341</f>
        <v>4</v>
      </c>
      <c r="AD2341" s="94">
        <f>AC2341*Z2341</f>
        <v>52</v>
      </c>
      <c r="AE2341" s="190"/>
      <c r="AF2341" s="191"/>
      <c r="AG2341" s="191"/>
      <c r="AH2341" s="191"/>
      <c r="AI2341" s="186"/>
      <c r="AK2341" s="171"/>
    </row>
    <row r="2342" spans="1:41" ht="20.100000000000001" customHeight="1" x14ac:dyDescent="0.25">
      <c r="A2342" s="277" t="s">
        <v>410</v>
      </c>
      <c r="B2342" s="278"/>
      <c r="C2342" s="64" t="s">
        <v>452</v>
      </c>
      <c r="D2342" s="46" t="s">
        <v>215</v>
      </c>
      <c r="E2342" s="114">
        <v>1</v>
      </c>
      <c r="F2342" s="44">
        <v>1125</v>
      </c>
      <c r="G2342" s="44">
        <f t="shared" si="1686"/>
        <v>1125</v>
      </c>
      <c r="H2342" s="44">
        <f t="shared" si="1687"/>
        <v>960</v>
      </c>
      <c r="I2342" s="43">
        <f t="shared" si="1688"/>
        <v>960</v>
      </c>
      <c r="J2342" s="112">
        <f t="shared" si="1689"/>
        <v>1</v>
      </c>
      <c r="K2342" s="211">
        <f t="shared" si="1690"/>
        <v>1</v>
      </c>
      <c r="L2342" s="44"/>
      <c r="M2342" s="44">
        <f t="shared" si="1704"/>
        <v>1</v>
      </c>
      <c r="N2342" s="173">
        <f t="shared" si="1691"/>
        <v>1</v>
      </c>
      <c r="O2342" s="44">
        <f t="shared" si="1692"/>
        <v>1125</v>
      </c>
      <c r="P2342" s="44">
        <f t="shared" si="1693"/>
        <v>1125</v>
      </c>
      <c r="Q2342" s="44">
        <f t="shared" si="1694"/>
        <v>960</v>
      </c>
      <c r="R2342" s="44">
        <f t="shared" si="1705"/>
        <v>960</v>
      </c>
      <c r="S2342" s="123"/>
      <c r="T2342" s="219">
        <f t="shared" si="1706"/>
        <v>960</v>
      </c>
      <c r="U2342" s="87"/>
      <c r="V2342" s="47"/>
      <c r="W2342" s="48"/>
      <c r="X2342" s="48"/>
      <c r="Y2342" s="48"/>
      <c r="Z2342" s="135"/>
      <c r="AA2342" s="49"/>
      <c r="AB2342" s="50">
        <f t="shared" si="1695"/>
        <v>960</v>
      </c>
      <c r="AC2342" s="42">
        <f t="shared" si="1707"/>
        <v>1</v>
      </c>
      <c r="AD2342" s="90">
        <f>AD2343</f>
        <v>960</v>
      </c>
      <c r="AE2342" s="188">
        <f t="shared" ref="AE2342" si="1878">AE2343</f>
        <v>0</v>
      </c>
      <c r="AF2342" s="189">
        <f t="shared" ref="AF2342" si="1879">AF2343</f>
        <v>0</v>
      </c>
      <c r="AG2342" s="189">
        <f t="shared" ref="AG2342" si="1880">AG2343</f>
        <v>0</v>
      </c>
      <c r="AH2342" s="189">
        <f t="shared" ref="AH2342" si="1881">AH2343</f>
        <v>0</v>
      </c>
      <c r="AI2342" s="161">
        <f t="shared" si="1874"/>
        <v>0</v>
      </c>
      <c r="AK2342" s="169">
        <v>5</v>
      </c>
      <c r="AO2342" s="19" t="s">
        <v>63</v>
      </c>
    </row>
    <row r="2343" spans="1:41" s="103" customFormat="1" ht="19.899999999999999" customHeight="1" x14ac:dyDescent="0.25">
      <c r="A2343" s="51"/>
      <c r="B2343" s="52"/>
      <c r="C2343" s="165"/>
      <c r="D2343" s="52"/>
      <c r="E2343" s="115"/>
      <c r="F2343" s="58"/>
      <c r="G2343" s="58"/>
      <c r="H2343" s="58"/>
      <c r="I2343" s="55"/>
      <c r="J2343" s="113">
        <f>J2342</f>
        <v>1</v>
      </c>
      <c r="K2343" s="212">
        <f>K2342</f>
        <v>1</v>
      </c>
      <c r="L2343" s="58"/>
      <c r="M2343" s="58">
        <f>K2343-L2343</f>
        <v>1</v>
      </c>
      <c r="N2343" s="166"/>
      <c r="O2343" s="58"/>
      <c r="P2343" s="58"/>
      <c r="Q2343" s="58"/>
      <c r="R2343" s="58"/>
      <c r="S2343" s="58"/>
      <c r="T2343" s="220"/>
      <c r="U2343" s="88"/>
      <c r="V2343" s="56"/>
      <c r="W2343" s="57" t="s">
        <v>1294</v>
      </c>
      <c r="X2343" s="53"/>
      <c r="Y2343" s="91" t="s">
        <v>35</v>
      </c>
      <c r="Z2343" s="136">
        <f>AD2343/AC2343</f>
        <v>960</v>
      </c>
      <c r="AA2343" s="58"/>
      <c r="AB2343" s="53">
        <f>AD2343/AC2343</f>
        <v>960</v>
      </c>
      <c r="AC2343" s="53">
        <f>M2343+$AE$10</f>
        <v>1</v>
      </c>
      <c r="AD2343" s="54">
        <f>SUM(AD2344:AD2346)</f>
        <v>960</v>
      </c>
      <c r="AE2343" s="184">
        <f>SUMIFS($AD$37:$AD$12971,$V$37:$V$12971,$V2343,$X$37:$X$12971,AE$13)</f>
        <v>0</v>
      </c>
      <c r="AF2343" s="185">
        <f>SUMIFS($AD$37:$AD$12971,$V$37:$V$12971,$V2343,$X$37:$X$12971,AF$13)</f>
        <v>0</v>
      </c>
      <c r="AG2343" s="185">
        <f>SUMIFS($AD$37:$AD$12971,$V$37:$V$12971,$V2343,$X$37:$X$12971,AG$13)</f>
        <v>0</v>
      </c>
      <c r="AH2343" s="187">
        <f>SUMIFS($AD$37:$AD$12971,$V$37:$V$12971,$V2343,$X$37:$X$12971,AH$13)</f>
        <v>0</v>
      </c>
      <c r="AI2343" s="161">
        <f t="shared" ref="AI2343" si="1882">SUM(AE2343:AH2343)</f>
        <v>0</v>
      </c>
      <c r="AK2343" s="172"/>
    </row>
    <row r="2344" spans="1:41" s="102" customFormat="1" ht="19.899999999999999" customHeight="1" x14ac:dyDescent="0.25">
      <c r="A2344" s="45"/>
      <c r="B2344" s="59"/>
      <c r="C2344" s="137"/>
      <c r="D2344" s="59"/>
      <c r="E2344" s="116"/>
      <c r="F2344" s="120"/>
      <c r="G2344" s="120"/>
      <c r="H2344" s="120"/>
      <c r="I2344" s="60"/>
      <c r="J2344" s="116"/>
      <c r="K2344" s="213"/>
      <c r="L2344" s="120"/>
      <c r="M2344" s="120"/>
      <c r="N2344" s="167"/>
      <c r="O2344" s="120"/>
      <c r="P2344" s="120"/>
      <c r="Q2344" s="120"/>
      <c r="R2344" s="120"/>
      <c r="S2344" s="120"/>
      <c r="T2344" s="221"/>
      <c r="U2344" s="89"/>
      <c r="V2344" s="61"/>
      <c r="W2344" s="92" t="s">
        <v>1438</v>
      </c>
      <c r="X2344" s="93" t="s">
        <v>30</v>
      </c>
      <c r="Y2344" s="93" t="s">
        <v>35</v>
      </c>
      <c r="Z2344" s="134">
        <f>VLOOKUP(W2344,Sheet2!$B:$D,3,FALSE)</f>
        <v>810</v>
      </c>
      <c r="AA2344" s="93">
        <v>1</v>
      </c>
      <c r="AB2344" s="93">
        <f t="shared" ref="AB2344" si="1883">AD2344/AC2343</f>
        <v>810</v>
      </c>
      <c r="AC2344" s="93">
        <f>AC2343/AA2344</f>
        <v>1</v>
      </c>
      <c r="AD2344" s="94">
        <f t="shared" ref="AD2344:AD2345" si="1884">AC2344*Z2344</f>
        <v>810</v>
      </c>
      <c r="AE2344" s="190"/>
      <c r="AF2344" s="191"/>
      <c r="AG2344" s="191"/>
      <c r="AH2344" s="191"/>
      <c r="AI2344" s="186"/>
      <c r="AK2344" s="171"/>
    </row>
    <row r="2345" spans="1:41" s="102" customFormat="1" ht="19.899999999999999" customHeight="1" x14ac:dyDescent="0.25">
      <c r="A2345" s="45"/>
      <c r="B2345" s="59"/>
      <c r="C2345" s="137"/>
      <c r="D2345" s="59"/>
      <c r="E2345" s="116"/>
      <c r="F2345" s="120"/>
      <c r="G2345" s="120"/>
      <c r="H2345" s="120"/>
      <c r="I2345" s="60"/>
      <c r="J2345" s="116"/>
      <c r="K2345" s="213"/>
      <c r="L2345" s="120"/>
      <c r="M2345" s="120"/>
      <c r="N2345" s="167"/>
      <c r="O2345" s="120"/>
      <c r="P2345" s="120"/>
      <c r="Q2345" s="120"/>
      <c r="R2345" s="120"/>
      <c r="S2345" s="120"/>
      <c r="T2345" s="221"/>
      <c r="U2345" s="89"/>
      <c r="V2345" s="61"/>
      <c r="W2345" s="92" t="s">
        <v>107</v>
      </c>
      <c r="X2345" s="93" t="s">
        <v>31</v>
      </c>
      <c r="Y2345" s="93" t="s">
        <v>93</v>
      </c>
      <c r="Z2345" s="134">
        <f>VLOOKUP(W2345,Sheet2!$B:$D,3,FALSE)</f>
        <v>17</v>
      </c>
      <c r="AA2345" s="93">
        <v>0.2</v>
      </c>
      <c r="AB2345" s="93">
        <f>AD2345/AC2343</f>
        <v>85</v>
      </c>
      <c r="AC2345" s="93">
        <f>AC2343/AA2345</f>
        <v>5</v>
      </c>
      <c r="AD2345" s="94">
        <f t="shared" si="1884"/>
        <v>85</v>
      </c>
      <c r="AE2345" s="190"/>
      <c r="AF2345" s="191"/>
      <c r="AG2345" s="191"/>
      <c r="AH2345" s="191"/>
      <c r="AI2345" s="186"/>
      <c r="AK2345" s="171"/>
    </row>
    <row r="2346" spans="1:41" s="102" customFormat="1" ht="19.899999999999999" customHeight="1" x14ac:dyDescent="0.25">
      <c r="A2346" s="45"/>
      <c r="B2346" s="59"/>
      <c r="C2346" s="137"/>
      <c r="D2346" s="59"/>
      <c r="E2346" s="116"/>
      <c r="F2346" s="120"/>
      <c r="G2346" s="120"/>
      <c r="H2346" s="120"/>
      <c r="I2346" s="60"/>
      <c r="J2346" s="116"/>
      <c r="K2346" s="213"/>
      <c r="L2346" s="120"/>
      <c r="M2346" s="120"/>
      <c r="N2346" s="167"/>
      <c r="O2346" s="120"/>
      <c r="P2346" s="120"/>
      <c r="Q2346" s="120"/>
      <c r="R2346" s="120"/>
      <c r="S2346" s="120"/>
      <c r="T2346" s="221"/>
      <c r="U2346" s="89"/>
      <c r="V2346" s="61"/>
      <c r="W2346" s="92" t="s">
        <v>112</v>
      </c>
      <c r="X2346" s="93" t="s">
        <v>31</v>
      </c>
      <c r="Y2346" s="93" t="s">
        <v>93</v>
      </c>
      <c r="Z2346" s="134">
        <f>VLOOKUP(W2346,Sheet2!$B:$D,3,FALSE)</f>
        <v>13</v>
      </c>
      <c r="AA2346" s="93">
        <f>AA2345</f>
        <v>0.2</v>
      </c>
      <c r="AB2346" s="93">
        <f>AD2346/AC2343</f>
        <v>65</v>
      </c>
      <c r="AC2346" s="93">
        <f>AC2343/AA2346</f>
        <v>5</v>
      </c>
      <c r="AD2346" s="94">
        <f>AC2346*Z2346</f>
        <v>65</v>
      </c>
      <c r="AE2346" s="190"/>
      <c r="AF2346" s="191"/>
      <c r="AG2346" s="191"/>
      <c r="AH2346" s="191"/>
      <c r="AI2346" s="186"/>
      <c r="AK2346" s="171"/>
    </row>
    <row r="2347" spans="1:41" s="306" customFormat="1" ht="20.100000000000001" customHeight="1" x14ac:dyDescent="0.25">
      <c r="A2347" s="287" t="s">
        <v>410</v>
      </c>
      <c r="B2347" s="288"/>
      <c r="C2347" s="286" t="s">
        <v>453</v>
      </c>
      <c r="D2347" s="289"/>
      <c r="E2347" s="290"/>
      <c r="F2347" s="291"/>
      <c r="G2347" s="291">
        <f t="shared" si="1686"/>
        <v>0</v>
      </c>
      <c r="H2347" s="291">
        <f t="shared" si="1687"/>
        <v>0</v>
      </c>
      <c r="I2347" s="292">
        <f t="shared" si="1688"/>
        <v>0</v>
      </c>
      <c r="J2347" s="290">
        <f t="shared" si="1689"/>
        <v>0</v>
      </c>
      <c r="K2347" s="293">
        <f t="shared" si="1690"/>
        <v>0</v>
      </c>
      <c r="L2347" s="291"/>
      <c r="M2347" s="291">
        <f t="shared" si="1704"/>
        <v>0</v>
      </c>
      <c r="N2347" s="294">
        <f t="shared" si="1691"/>
        <v>0</v>
      </c>
      <c r="O2347" s="291">
        <f t="shared" si="1692"/>
        <v>0</v>
      </c>
      <c r="P2347" s="291">
        <f t="shared" si="1693"/>
        <v>0</v>
      </c>
      <c r="Q2347" s="291">
        <f t="shared" si="1694"/>
        <v>0</v>
      </c>
      <c r="R2347" s="291">
        <f t="shared" si="1705"/>
        <v>0</v>
      </c>
      <c r="S2347" s="291"/>
      <c r="T2347" s="295">
        <f t="shared" si="1706"/>
        <v>0</v>
      </c>
      <c r="U2347" s="296"/>
      <c r="V2347" s="297"/>
      <c r="W2347" s="298"/>
      <c r="X2347" s="299"/>
      <c r="Y2347" s="300"/>
      <c r="Z2347" s="301"/>
      <c r="AA2347" s="300"/>
      <c r="AB2347" s="300">
        <f t="shared" si="1695"/>
        <v>0</v>
      </c>
      <c r="AC2347" s="300">
        <f t="shared" si="1707"/>
        <v>9.9999999999999998E-20</v>
      </c>
      <c r="AD2347" s="302"/>
      <c r="AE2347" s="303"/>
      <c r="AF2347" s="304"/>
      <c r="AG2347" s="304"/>
      <c r="AH2347" s="304"/>
      <c r="AI2347" s="305"/>
      <c r="AK2347" s="307"/>
    </row>
    <row r="2348" spans="1:41" ht="20.100000000000001" customHeight="1" x14ac:dyDescent="0.25">
      <c r="A2348" s="277" t="s">
        <v>410</v>
      </c>
      <c r="B2348" s="278"/>
      <c r="C2348" s="64" t="s">
        <v>454</v>
      </c>
      <c r="D2348" s="46" t="s">
        <v>215</v>
      </c>
      <c r="E2348" s="114">
        <v>12.2</v>
      </c>
      <c r="F2348" s="44">
        <v>1048</v>
      </c>
      <c r="G2348" s="44">
        <f t="shared" si="1686"/>
        <v>12785.599999999999</v>
      </c>
      <c r="H2348" s="44">
        <f t="shared" si="1687"/>
        <v>345</v>
      </c>
      <c r="I2348" s="43">
        <f t="shared" si="1688"/>
        <v>4209</v>
      </c>
      <c r="J2348" s="112">
        <f t="shared" si="1689"/>
        <v>12.2</v>
      </c>
      <c r="K2348" s="211">
        <f t="shared" si="1690"/>
        <v>12.2</v>
      </c>
      <c r="L2348" s="44"/>
      <c r="M2348" s="44">
        <f t="shared" si="1704"/>
        <v>12.2</v>
      </c>
      <c r="N2348" s="173">
        <f t="shared" si="1691"/>
        <v>1</v>
      </c>
      <c r="O2348" s="44">
        <f t="shared" si="1692"/>
        <v>1048</v>
      </c>
      <c r="P2348" s="44">
        <f t="shared" si="1693"/>
        <v>12785.599999999999</v>
      </c>
      <c r="Q2348" s="44">
        <f t="shared" si="1694"/>
        <v>345</v>
      </c>
      <c r="R2348" s="44">
        <f t="shared" si="1705"/>
        <v>4209</v>
      </c>
      <c r="S2348" s="123"/>
      <c r="T2348" s="219">
        <f t="shared" si="1706"/>
        <v>4209</v>
      </c>
      <c r="U2348" s="87"/>
      <c r="V2348" s="47"/>
      <c r="W2348" s="48"/>
      <c r="X2348" s="48"/>
      <c r="Y2348" s="48"/>
      <c r="Z2348" s="135"/>
      <c r="AA2348" s="49"/>
      <c r="AB2348" s="50">
        <f t="shared" si="1695"/>
        <v>345</v>
      </c>
      <c r="AC2348" s="42">
        <f t="shared" si="1707"/>
        <v>12.2</v>
      </c>
      <c r="AD2348" s="90">
        <f>AD2349</f>
        <v>4209</v>
      </c>
      <c r="AE2348" s="188">
        <f t="shared" ref="AE2348:AH2348" si="1885">AE2349</f>
        <v>0</v>
      </c>
      <c r="AF2348" s="189">
        <f t="shared" si="1885"/>
        <v>0</v>
      </c>
      <c r="AG2348" s="189">
        <f t="shared" si="1885"/>
        <v>0</v>
      </c>
      <c r="AH2348" s="189">
        <f t="shared" si="1885"/>
        <v>0</v>
      </c>
      <c r="AI2348" s="161">
        <f t="shared" ref="AI2348" si="1886">SUM(AE2348:AH2348)</f>
        <v>0</v>
      </c>
      <c r="AK2348" s="169">
        <v>5</v>
      </c>
      <c r="AO2348" s="19" t="s">
        <v>63</v>
      </c>
    </row>
    <row r="2349" spans="1:41" s="103" customFormat="1" ht="19.899999999999999" customHeight="1" x14ac:dyDescent="0.25">
      <c r="A2349" s="51"/>
      <c r="B2349" s="52"/>
      <c r="C2349" s="165"/>
      <c r="D2349" s="52"/>
      <c r="E2349" s="115"/>
      <c r="F2349" s="58"/>
      <c r="G2349" s="58"/>
      <c r="H2349" s="58"/>
      <c r="I2349" s="55"/>
      <c r="J2349" s="113">
        <f>J2348</f>
        <v>12.2</v>
      </c>
      <c r="K2349" s="212">
        <f>K2348</f>
        <v>12.2</v>
      </c>
      <c r="L2349" s="58"/>
      <c r="M2349" s="58">
        <f>K2349-L2349</f>
        <v>12.2</v>
      </c>
      <c r="N2349" s="166"/>
      <c r="O2349" s="58"/>
      <c r="P2349" s="58"/>
      <c r="Q2349" s="58"/>
      <c r="R2349" s="58"/>
      <c r="S2349" s="58"/>
      <c r="T2349" s="220"/>
      <c r="U2349" s="88"/>
      <c r="V2349" s="56"/>
      <c r="W2349" s="57" t="s">
        <v>1294</v>
      </c>
      <c r="X2349" s="53"/>
      <c r="Y2349" s="91" t="s">
        <v>35</v>
      </c>
      <c r="Z2349" s="136">
        <f>AD2349/AC2349</f>
        <v>345</v>
      </c>
      <c r="AA2349" s="58"/>
      <c r="AB2349" s="53">
        <f>AD2349/AC2349</f>
        <v>345</v>
      </c>
      <c r="AC2349" s="53">
        <f>M2349+$AE$10</f>
        <v>12.2</v>
      </c>
      <c r="AD2349" s="54">
        <f>SUM(AD2350:AD2352)</f>
        <v>4209</v>
      </c>
      <c r="AE2349" s="184">
        <f>SUMIFS($AD$37:$AD$12971,$V$37:$V$12971,$V2349,$X$37:$X$12971,AE$13)</f>
        <v>0</v>
      </c>
      <c r="AF2349" s="185">
        <f>SUMIFS($AD$37:$AD$12971,$V$37:$V$12971,$V2349,$X$37:$X$12971,AF$13)</f>
        <v>0</v>
      </c>
      <c r="AG2349" s="185">
        <f>SUMIFS($AD$37:$AD$12971,$V$37:$V$12971,$V2349,$X$37:$X$12971,AG$13)</f>
        <v>0</v>
      </c>
      <c r="AH2349" s="187">
        <f>SUMIFS($AD$37:$AD$12971,$V$37:$V$12971,$V2349,$X$37:$X$12971,AH$13)</f>
        <v>0</v>
      </c>
      <c r="AI2349" s="161">
        <f t="shared" ref="AI2349" si="1887">SUM(AE2349:AH2349)</f>
        <v>0</v>
      </c>
      <c r="AK2349" s="172"/>
    </row>
    <row r="2350" spans="1:41" s="102" customFormat="1" ht="19.899999999999999" customHeight="1" x14ac:dyDescent="0.25">
      <c r="A2350" s="45"/>
      <c r="B2350" s="59"/>
      <c r="C2350" s="137"/>
      <c r="D2350" s="59"/>
      <c r="E2350" s="116"/>
      <c r="F2350" s="120"/>
      <c r="G2350" s="120"/>
      <c r="H2350" s="120"/>
      <c r="I2350" s="60"/>
      <c r="J2350" s="116"/>
      <c r="K2350" s="213"/>
      <c r="L2350" s="120"/>
      <c r="M2350" s="120"/>
      <c r="N2350" s="167"/>
      <c r="O2350" s="120"/>
      <c r="P2350" s="120"/>
      <c r="Q2350" s="120"/>
      <c r="R2350" s="120"/>
      <c r="S2350" s="120"/>
      <c r="T2350" s="221"/>
      <c r="U2350" s="89"/>
      <c r="V2350" s="61"/>
      <c r="W2350" s="92" t="s">
        <v>1439</v>
      </c>
      <c r="X2350" s="93" t="s">
        <v>30</v>
      </c>
      <c r="Y2350" s="93" t="s">
        <v>35</v>
      </c>
      <c r="Z2350" s="134">
        <f>VLOOKUP(W2350,Sheet2!$B:$D,3,FALSE)</f>
        <v>285</v>
      </c>
      <c r="AA2350" s="93">
        <v>1</v>
      </c>
      <c r="AB2350" s="93">
        <f t="shared" ref="AB2350" si="1888">AD2350/AC2349</f>
        <v>285</v>
      </c>
      <c r="AC2350" s="93">
        <f>AC2349/AA2350</f>
        <v>12.2</v>
      </c>
      <c r="AD2350" s="94">
        <f t="shared" ref="AD2350:AD2351" si="1889">AC2350*Z2350</f>
        <v>3477</v>
      </c>
      <c r="AE2350" s="190"/>
      <c r="AF2350" s="191"/>
      <c r="AG2350" s="191"/>
      <c r="AH2350" s="191"/>
      <c r="AI2350" s="186"/>
      <c r="AK2350" s="171"/>
    </row>
    <row r="2351" spans="1:41" s="102" customFormat="1" ht="19.899999999999999" customHeight="1" x14ac:dyDescent="0.25">
      <c r="A2351" s="45"/>
      <c r="B2351" s="59"/>
      <c r="C2351" s="137"/>
      <c r="D2351" s="59"/>
      <c r="E2351" s="116"/>
      <c r="F2351" s="120"/>
      <c r="G2351" s="120"/>
      <c r="H2351" s="120"/>
      <c r="I2351" s="60"/>
      <c r="J2351" s="116"/>
      <c r="K2351" s="213"/>
      <c r="L2351" s="120"/>
      <c r="M2351" s="120"/>
      <c r="N2351" s="167"/>
      <c r="O2351" s="120"/>
      <c r="P2351" s="120"/>
      <c r="Q2351" s="120"/>
      <c r="R2351" s="120"/>
      <c r="S2351" s="120"/>
      <c r="T2351" s="221"/>
      <c r="U2351" s="89"/>
      <c r="V2351" s="61"/>
      <c r="W2351" s="92" t="s">
        <v>107</v>
      </c>
      <c r="X2351" s="93" t="s">
        <v>31</v>
      </c>
      <c r="Y2351" s="93" t="s">
        <v>93</v>
      </c>
      <c r="Z2351" s="134">
        <f>VLOOKUP(W2351,Sheet2!$B:$D,3,FALSE)</f>
        <v>17</v>
      </c>
      <c r="AA2351" s="93">
        <v>0.5</v>
      </c>
      <c r="AB2351" s="93">
        <f>AD2351/AC2349</f>
        <v>34</v>
      </c>
      <c r="AC2351" s="93">
        <f>AC2349/AA2351</f>
        <v>24.4</v>
      </c>
      <c r="AD2351" s="94">
        <f t="shared" si="1889"/>
        <v>414.79999999999995</v>
      </c>
      <c r="AE2351" s="190"/>
      <c r="AF2351" s="191"/>
      <c r="AG2351" s="191"/>
      <c r="AH2351" s="191"/>
      <c r="AI2351" s="186"/>
      <c r="AK2351" s="171"/>
    </row>
    <row r="2352" spans="1:41" s="102" customFormat="1" ht="19.899999999999999" customHeight="1" x14ac:dyDescent="0.25">
      <c r="A2352" s="45"/>
      <c r="B2352" s="59"/>
      <c r="C2352" s="137"/>
      <c r="D2352" s="59"/>
      <c r="E2352" s="116"/>
      <c r="F2352" s="120"/>
      <c r="G2352" s="120"/>
      <c r="H2352" s="120"/>
      <c r="I2352" s="60"/>
      <c r="J2352" s="116"/>
      <c r="K2352" s="213"/>
      <c r="L2352" s="120"/>
      <c r="M2352" s="120"/>
      <c r="N2352" s="167"/>
      <c r="O2352" s="120"/>
      <c r="P2352" s="120"/>
      <c r="Q2352" s="120"/>
      <c r="R2352" s="120"/>
      <c r="S2352" s="120"/>
      <c r="T2352" s="221"/>
      <c r="U2352" s="89"/>
      <c r="V2352" s="61"/>
      <c r="W2352" s="92" t="s">
        <v>112</v>
      </c>
      <c r="X2352" s="93" t="s">
        <v>31</v>
      </c>
      <c r="Y2352" s="93" t="s">
        <v>93</v>
      </c>
      <c r="Z2352" s="134">
        <f>VLOOKUP(W2352,Sheet2!$B:$D,3,FALSE)</f>
        <v>13</v>
      </c>
      <c r="AA2352" s="93">
        <f>AA2351</f>
        <v>0.5</v>
      </c>
      <c r="AB2352" s="93">
        <f>AD2352/AC2349</f>
        <v>26</v>
      </c>
      <c r="AC2352" s="93">
        <f>AC2349/AA2352</f>
        <v>24.4</v>
      </c>
      <c r="AD2352" s="94">
        <f>AC2352*Z2352</f>
        <v>317.2</v>
      </c>
      <c r="AE2352" s="190"/>
      <c r="AF2352" s="191"/>
      <c r="AG2352" s="191"/>
      <c r="AH2352" s="191"/>
      <c r="AI2352" s="186"/>
      <c r="AK2352" s="171"/>
    </row>
    <row r="2353" spans="1:41" ht="20.100000000000001" customHeight="1" x14ac:dyDescent="0.25">
      <c r="A2353" s="277" t="s">
        <v>410</v>
      </c>
      <c r="B2353" s="278"/>
      <c r="C2353" s="64" t="s">
        <v>455</v>
      </c>
      <c r="D2353" s="46" t="s">
        <v>215</v>
      </c>
      <c r="E2353" s="114">
        <v>18.199999999999996</v>
      </c>
      <c r="F2353" s="44">
        <v>1506</v>
      </c>
      <c r="G2353" s="44">
        <f t="shared" si="1686"/>
        <v>27409.199999999993</v>
      </c>
      <c r="H2353" s="44">
        <f t="shared" si="1687"/>
        <v>380</v>
      </c>
      <c r="I2353" s="43">
        <f t="shared" si="1688"/>
        <v>6915.9999999999982</v>
      </c>
      <c r="J2353" s="112">
        <f t="shared" si="1689"/>
        <v>18.199999999999996</v>
      </c>
      <c r="K2353" s="211">
        <f t="shared" si="1690"/>
        <v>18.199999999999996</v>
      </c>
      <c r="L2353" s="44"/>
      <c r="M2353" s="44">
        <f t="shared" si="1704"/>
        <v>18.199999999999996</v>
      </c>
      <c r="N2353" s="173">
        <f t="shared" si="1691"/>
        <v>1</v>
      </c>
      <c r="O2353" s="44">
        <f t="shared" si="1692"/>
        <v>1506</v>
      </c>
      <c r="P2353" s="44">
        <f t="shared" si="1693"/>
        <v>27409.199999999993</v>
      </c>
      <c r="Q2353" s="44">
        <f t="shared" si="1694"/>
        <v>380</v>
      </c>
      <c r="R2353" s="44">
        <f t="shared" si="1705"/>
        <v>6915.9999999999982</v>
      </c>
      <c r="S2353" s="123"/>
      <c r="T2353" s="219">
        <f t="shared" si="1706"/>
        <v>6915.9999999999982</v>
      </c>
      <c r="U2353" s="87"/>
      <c r="V2353" s="47"/>
      <c r="W2353" s="48"/>
      <c r="X2353" s="48"/>
      <c r="Y2353" s="48"/>
      <c r="Z2353" s="135"/>
      <c r="AA2353" s="49"/>
      <c r="AB2353" s="50">
        <f t="shared" si="1695"/>
        <v>380</v>
      </c>
      <c r="AC2353" s="42">
        <f t="shared" si="1707"/>
        <v>18.199999999999996</v>
      </c>
      <c r="AD2353" s="90">
        <f>AD2354</f>
        <v>6915.9999999999982</v>
      </c>
      <c r="AE2353" s="188">
        <f t="shared" ref="AE2353:AH2353" si="1890">AE2354</f>
        <v>0</v>
      </c>
      <c r="AF2353" s="189">
        <f t="shared" si="1890"/>
        <v>0</v>
      </c>
      <c r="AG2353" s="189">
        <f t="shared" si="1890"/>
        <v>0</v>
      </c>
      <c r="AH2353" s="189">
        <f t="shared" si="1890"/>
        <v>0</v>
      </c>
      <c r="AI2353" s="161">
        <f t="shared" ref="AI2353:AI2358" si="1891">SUM(AE2353:AH2353)</f>
        <v>0</v>
      </c>
      <c r="AK2353" s="169">
        <v>5</v>
      </c>
      <c r="AO2353" s="19" t="s">
        <v>63</v>
      </c>
    </row>
    <row r="2354" spans="1:41" s="103" customFormat="1" ht="19.899999999999999" customHeight="1" x14ac:dyDescent="0.25">
      <c r="A2354" s="51"/>
      <c r="B2354" s="52"/>
      <c r="C2354" s="165"/>
      <c r="D2354" s="52"/>
      <c r="E2354" s="115"/>
      <c r="F2354" s="58"/>
      <c r="G2354" s="58"/>
      <c r="H2354" s="58"/>
      <c r="I2354" s="55"/>
      <c r="J2354" s="113">
        <f>J2353</f>
        <v>18.199999999999996</v>
      </c>
      <c r="K2354" s="212">
        <f>K2353</f>
        <v>18.199999999999996</v>
      </c>
      <c r="L2354" s="58"/>
      <c r="M2354" s="58">
        <f>K2354-L2354</f>
        <v>18.199999999999996</v>
      </c>
      <c r="N2354" s="166"/>
      <c r="O2354" s="58"/>
      <c r="P2354" s="58"/>
      <c r="Q2354" s="58"/>
      <c r="R2354" s="58"/>
      <c r="S2354" s="58"/>
      <c r="T2354" s="220"/>
      <c r="U2354" s="88"/>
      <c r="V2354" s="56"/>
      <c r="W2354" s="57" t="s">
        <v>1294</v>
      </c>
      <c r="X2354" s="53"/>
      <c r="Y2354" s="91" t="s">
        <v>35</v>
      </c>
      <c r="Z2354" s="136">
        <f>AD2354/AC2354</f>
        <v>380</v>
      </c>
      <c r="AA2354" s="58"/>
      <c r="AB2354" s="53">
        <f>AD2354/AC2354</f>
        <v>380</v>
      </c>
      <c r="AC2354" s="53">
        <f>M2354+$AE$10</f>
        <v>18.199999999999996</v>
      </c>
      <c r="AD2354" s="54">
        <f>SUM(AD2355:AD2357)</f>
        <v>6915.9999999999982</v>
      </c>
      <c r="AE2354" s="184">
        <f>SUMIFS($AD$37:$AD$12971,$V$37:$V$12971,$V2354,$X$37:$X$12971,AE$13)</f>
        <v>0</v>
      </c>
      <c r="AF2354" s="185">
        <f>SUMIFS($AD$37:$AD$12971,$V$37:$V$12971,$V2354,$X$37:$X$12971,AF$13)</f>
        <v>0</v>
      </c>
      <c r="AG2354" s="185">
        <f>SUMIFS($AD$37:$AD$12971,$V$37:$V$12971,$V2354,$X$37:$X$12971,AG$13)</f>
        <v>0</v>
      </c>
      <c r="AH2354" s="187">
        <f>SUMIFS($AD$37:$AD$12971,$V$37:$V$12971,$V2354,$X$37:$X$12971,AH$13)</f>
        <v>0</v>
      </c>
      <c r="AI2354" s="161">
        <f t="shared" ref="AI2354" si="1892">SUM(AE2354:AH2354)</f>
        <v>0</v>
      </c>
      <c r="AK2354" s="172"/>
    </row>
    <row r="2355" spans="1:41" s="102" customFormat="1" ht="19.899999999999999" customHeight="1" x14ac:dyDescent="0.25">
      <c r="A2355" s="45"/>
      <c r="B2355" s="59"/>
      <c r="C2355" s="137"/>
      <c r="D2355" s="59"/>
      <c r="E2355" s="116"/>
      <c r="F2355" s="120"/>
      <c r="G2355" s="120"/>
      <c r="H2355" s="120"/>
      <c r="I2355" s="60"/>
      <c r="J2355" s="116"/>
      <c r="K2355" s="213"/>
      <c r="L2355" s="120"/>
      <c r="M2355" s="120"/>
      <c r="N2355" s="167"/>
      <c r="O2355" s="120"/>
      <c r="P2355" s="120"/>
      <c r="Q2355" s="120"/>
      <c r="R2355" s="120"/>
      <c r="S2355" s="120"/>
      <c r="T2355" s="221"/>
      <c r="U2355" s="89"/>
      <c r="V2355" s="61"/>
      <c r="W2355" s="92" t="s">
        <v>1440</v>
      </c>
      <c r="X2355" s="93" t="s">
        <v>30</v>
      </c>
      <c r="Y2355" s="93" t="s">
        <v>35</v>
      </c>
      <c r="Z2355" s="134">
        <f>VLOOKUP(W2355,Sheet2!$B:$D,3,FALSE)</f>
        <v>320</v>
      </c>
      <c r="AA2355" s="93">
        <v>1</v>
      </c>
      <c r="AB2355" s="93">
        <f t="shared" ref="AB2355" si="1893">AD2355/AC2354</f>
        <v>320</v>
      </c>
      <c r="AC2355" s="93">
        <f>AC2354/AA2355</f>
        <v>18.199999999999996</v>
      </c>
      <c r="AD2355" s="94">
        <f t="shared" ref="AD2355:AD2356" si="1894">AC2355*Z2355</f>
        <v>5823.9999999999982</v>
      </c>
      <c r="AE2355" s="190"/>
      <c r="AF2355" s="191"/>
      <c r="AG2355" s="191"/>
      <c r="AH2355" s="191"/>
      <c r="AI2355" s="186"/>
      <c r="AK2355" s="171"/>
    </row>
    <row r="2356" spans="1:41" s="102" customFormat="1" ht="19.899999999999999" customHeight="1" x14ac:dyDescent="0.25">
      <c r="A2356" s="45"/>
      <c r="B2356" s="59"/>
      <c r="C2356" s="137"/>
      <c r="D2356" s="59"/>
      <c r="E2356" s="116"/>
      <c r="F2356" s="120"/>
      <c r="G2356" s="120"/>
      <c r="H2356" s="120"/>
      <c r="I2356" s="60"/>
      <c r="J2356" s="116"/>
      <c r="K2356" s="213"/>
      <c r="L2356" s="120"/>
      <c r="M2356" s="120"/>
      <c r="N2356" s="167"/>
      <c r="O2356" s="120"/>
      <c r="P2356" s="120"/>
      <c r="Q2356" s="120"/>
      <c r="R2356" s="120"/>
      <c r="S2356" s="120"/>
      <c r="T2356" s="221"/>
      <c r="U2356" s="89"/>
      <c r="V2356" s="61"/>
      <c r="W2356" s="92" t="s">
        <v>107</v>
      </c>
      <c r="X2356" s="93" t="s">
        <v>31</v>
      </c>
      <c r="Y2356" s="93" t="s">
        <v>93</v>
      </c>
      <c r="Z2356" s="134">
        <f>VLOOKUP(W2356,Sheet2!$B:$D,3,FALSE)</f>
        <v>17</v>
      </c>
      <c r="AA2356" s="93">
        <v>0.5</v>
      </c>
      <c r="AB2356" s="93">
        <f>AD2356/AC2354</f>
        <v>34</v>
      </c>
      <c r="AC2356" s="93">
        <f>AC2354/AA2356</f>
        <v>36.399999999999991</v>
      </c>
      <c r="AD2356" s="94">
        <f t="shared" si="1894"/>
        <v>618.79999999999984</v>
      </c>
      <c r="AE2356" s="190"/>
      <c r="AF2356" s="191"/>
      <c r="AG2356" s="191"/>
      <c r="AH2356" s="191"/>
      <c r="AI2356" s="186"/>
      <c r="AK2356" s="171"/>
    </row>
    <row r="2357" spans="1:41" s="102" customFormat="1" ht="19.899999999999999" customHeight="1" x14ac:dyDescent="0.25">
      <c r="A2357" s="45"/>
      <c r="B2357" s="59"/>
      <c r="C2357" s="137"/>
      <c r="D2357" s="59"/>
      <c r="E2357" s="116"/>
      <c r="F2357" s="120"/>
      <c r="G2357" s="120"/>
      <c r="H2357" s="120"/>
      <c r="I2357" s="60"/>
      <c r="J2357" s="116"/>
      <c r="K2357" s="213"/>
      <c r="L2357" s="120"/>
      <c r="M2357" s="120"/>
      <c r="N2357" s="167"/>
      <c r="O2357" s="120"/>
      <c r="P2357" s="120"/>
      <c r="Q2357" s="120"/>
      <c r="R2357" s="120"/>
      <c r="S2357" s="120"/>
      <c r="T2357" s="221"/>
      <c r="U2357" s="89"/>
      <c r="V2357" s="61"/>
      <c r="W2357" s="92" t="s">
        <v>112</v>
      </c>
      <c r="X2357" s="93" t="s">
        <v>31</v>
      </c>
      <c r="Y2357" s="93" t="s">
        <v>93</v>
      </c>
      <c r="Z2357" s="134">
        <f>VLOOKUP(W2357,Sheet2!$B:$D,3,FALSE)</f>
        <v>13</v>
      </c>
      <c r="AA2357" s="93">
        <f>AA2356</f>
        <v>0.5</v>
      </c>
      <c r="AB2357" s="93">
        <f>AD2357/AC2354</f>
        <v>26</v>
      </c>
      <c r="AC2357" s="93">
        <f>AC2354/AA2357</f>
        <v>36.399999999999991</v>
      </c>
      <c r="AD2357" s="94">
        <f>AC2357*Z2357</f>
        <v>473.19999999999987</v>
      </c>
      <c r="AE2357" s="190"/>
      <c r="AF2357" s="191"/>
      <c r="AG2357" s="191"/>
      <c r="AH2357" s="191"/>
      <c r="AI2357" s="186"/>
      <c r="AK2357" s="171"/>
    </row>
    <row r="2358" spans="1:41" ht="20.100000000000001" customHeight="1" x14ac:dyDescent="0.25">
      <c r="A2358" s="277" t="s">
        <v>410</v>
      </c>
      <c r="B2358" s="278"/>
      <c r="C2358" s="64" t="s">
        <v>456</v>
      </c>
      <c r="D2358" s="46" t="s">
        <v>215</v>
      </c>
      <c r="E2358" s="114">
        <v>14.3</v>
      </c>
      <c r="F2358" s="44">
        <v>1800</v>
      </c>
      <c r="G2358" s="44">
        <f t="shared" si="1686"/>
        <v>25740</v>
      </c>
      <c r="H2358" s="44">
        <f t="shared" si="1687"/>
        <v>1750</v>
      </c>
      <c r="I2358" s="43">
        <f t="shared" si="1688"/>
        <v>25025</v>
      </c>
      <c r="J2358" s="112">
        <f t="shared" si="1689"/>
        <v>14.3</v>
      </c>
      <c r="K2358" s="211">
        <f t="shared" si="1690"/>
        <v>14.3</v>
      </c>
      <c r="L2358" s="44"/>
      <c r="M2358" s="44">
        <f t="shared" si="1704"/>
        <v>14.3</v>
      </c>
      <c r="N2358" s="173">
        <f t="shared" si="1691"/>
        <v>1</v>
      </c>
      <c r="O2358" s="44">
        <f t="shared" si="1692"/>
        <v>1800</v>
      </c>
      <c r="P2358" s="44">
        <f t="shared" si="1693"/>
        <v>25740</v>
      </c>
      <c r="Q2358" s="44">
        <f t="shared" si="1694"/>
        <v>1750</v>
      </c>
      <c r="R2358" s="44">
        <f t="shared" si="1705"/>
        <v>25025</v>
      </c>
      <c r="S2358" s="123"/>
      <c r="T2358" s="219">
        <f t="shared" si="1706"/>
        <v>25025</v>
      </c>
      <c r="U2358" s="87"/>
      <c r="V2358" s="47"/>
      <c r="W2358" s="48"/>
      <c r="X2358" s="48"/>
      <c r="Y2358" s="48"/>
      <c r="Z2358" s="135"/>
      <c r="AA2358" s="49"/>
      <c r="AB2358" s="50">
        <f t="shared" si="1695"/>
        <v>1750</v>
      </c>
      <c r="AC2358" s="42">
        <f t="shared" si="1707"/>
        <v>14.3</v>
      </c>
      <c r="AD2358" s="90">
        <f>AD2359</f>
        <v>25025</v>
      </c>
      <c r="AE2358" s="188">
        <f t="shared" ref="AE2358:AH2358" si="1895">AE2359</f>
        <v>0</v>
      </c>
      <c r="AF2358" s="189">
        <f t="shared" si="1895"/>
        <v>0</v>
      </c>
      <c r="AG2358" s="189">
        <f t="shared" si="1895"/>
        <v>0</v>
      </c>
      <c r="AH2358" s="189">
        <f t="shared" si="1895"/>
        <v>0</v>
      </c>
      <c r="AI2358" s="161">
        <f t="shared" si="1891"/>
        <v>0</v>
      </c>
      <c r="AK2358" s="169">
        <v>5</v>
      </c>
      <c r="AO2358" s="19" t="s">
        <v>63</v>
      </c>
    </row>
    <row r="2359" spans="1:41" s="103" customFormat="1" ht="19.899999999999999" customHeight="1" x14ac:dyDescent="0.25">
      <c r="A2359" s="51"/>
      <c r="B2359" s="52"/>
      <c r="C2359" s="165"/>
      <c r="D2359" s="52"/>
      <c r="E2359" s="115"/>
      <c r="F2359" s="58"/>
      <c r="G2359" s="58"/>
      <c r="H2359" s="58"/>
      <c r="I2359" s="55"/>
      <c r="J2359" s="113">
        <f>J2358</f>
        <v>14.3</v>
      </c>
      <c r="K2359" s="212">
        <f>K2358</f>
        <v>14.3</v>
      </c>
      <c r="L2359" s="58"/>
      <c r="M2359" s="58">
        <f>K2359-L2359</f>
        <v>14.3</v>
      </c>
      <c r="N2359" s="166"/>
      <c r="O2359" s="58"/>
      <c r="P2359" s="58"/>
      <c r="Q2359" s="58"/>
      <c r="R2359" s="58"/>
      <c r="S2359" s="58"/>
      <c r="T2359" s="220"/>
      <c r="U2359" s="88"/>
      <c r="V2359" s="56"/>
      <c r="W2359" s="57" t="s">
        <v>1294</v>
      </c>
      <c r="X2359" s="53"/>
      <c r="Y2359" s="91" t="s">
        <v>35</v>
      </c>
      <c r="Z2359" s="136">
        <f>AD2359/AC2359</f>
        <v>1750</v>
      </c>
      <c r="AA2359" s="58"/>
      <c r="AB2359" s="53">
        <f>AD2359/AC2359</f>
        <v>1750</v>
      </c>
      <c r="AC2359" s="53">
        <f>M2359+$AE$10</f>
        <v>14.3</v>
      </c>
      <c r="AD2359" s="54">
        <f>SUM(AD2360:AD2362)</f>
        <v>25025</v>
      </c>
      <c r="AE2359" s="184">
        <f>SUMIFS($AD$37:$AD$12971,$V$37:$V$12971,$V2359,$X$37:$X$12971,AE$13)</f>
        <v>0</v>
      </c>
      <c r="AF2359" s="185">
        <f>SUMIFS($AD$37:$AD$12971,$V$37:$V$12971,$V2359,$X$37:$X$12971,AF$13)</f>
        <v>0</v>
      </c>
      <c r="AG2359" s="185">
        <f>SUMIFS($AD$37:$AD$12971,$V$37:$V$12971,$V2359,$X$37:$X$12971,AG$13)</f>
        <v>0</v>
      </c>
      <c r="AH2359" s="187">
        <f>SUMIFS($AD$37:$AD$12971,$V$37:$V$12971,$V2359,$X$37:$X$12971,AH$13)</f>
        <v>0</v>
      </c>
      <c r="AI2359" s="161">
        <f t="shared" ref="AI2359" si="1896">SUM(AE2359:AH2359)</f>
        <v>0</v>
      </c>
      <c r="AK2359" s="172"/>
    </row>
    <row r="2360" spans="1:41" s="102" customFormat="1" ht="19.899999999999999" customHeight="1" x14ac:dyDescent="0.25">
      <c r="A2360" s="45"/>
      <c r="B2360" s="59"/>
      <c r="C2360" s="137"/>
      <c r="D2360" s="59"/>
      <c r="E2360" s="116"/>
      <c r="F2360" s="120"/>
      <c r="G2360" s="120"/>
      <c r="H2360" s="120"/>
      <c r="I2360" s="60"/>
      <c r="J2360" s="116"/>
      <c r="K2360" s="213"/>
      <c r="L2360" s="120"/>
      <c r="M2360" s="120"/>
      <c r="N2360" s="167"/>
      <c r="O2360" s="120"/>
      <c r="P2360" s="120"/>
      <c r="Q2360" s="120"/>
      <c r="R2360" s="120"/>
      <c r="S2360" s="120"/>
      <c r="T2360" s="221"/>
      <c r="U2360" s="89"/>
      <c r="V2360" s="61"/>
      <c r="W2360" s="92" t="s">
        <v>1441</v>
      </c>
      <c r="X2360" s="93" t="s">
        <v>30</v>
      </c>
      <c r="Y2360" s="93" t="s">
        <v>35</v>
      </c>
      <c r="Z2360" s="134">
        <f>VLOOKUP(W2360,Sheet2!$B:$D,3,FALSE)</f>
        <v>1600</v>
      </c>
      <c r="AA2360" s="93">
        <v>1</v>
      </c>
      <c r="AB2360" s="93">
        <f t="shared" ref="AB2360" si="1897">AD2360/AC2359</f>
        <v>1600</v>
      </c>
      <c r="AC2360" s="93">
        <f>AC2359/AA2360</f>
        <v>14.3</v>
      </c>
      <c r="AD2360" s="94">
        <f t="shared" ref="AD2360:AD2361" si="1898">AC2360*Z2360</f>
        <v>22880</v>
      </c>
      <c r="AE2360" s="190"/>
      <c r="AF2360" s="191"/>
      <c r="AG2360" s="191"/>
      <c r="AH2360" s="191"/>
      <c r="AI2360" s="186"/>
      <c r="AK2360" s="171"/>
    </row>
    <row r="2361" spans="1:41" s="102" customFormat="1" ht="19.899999999999999" customHeight="1" x14ac:dyDescent="0.25">
      <c r="A2361" s="45"/>
      <c r="B2361" s="59"/>
      <c r="C2361" s="137"/>
      <c r="D2361" s="59"/>
      <c r="E2361" s="116"/>
      <c r="F2361" s="120"/>
      <c r="G2361" s="120"/>
      <c r="H2361" s="120"/>
      <c r="I2361" s="60"/>
      <c r="J2361" s="116"/>
      <c r="K2361" s="213"/>
      <c r="L2361" s="120"/>
      <c r="M2361" s="120"/>
      <c r="N2361" s="167"/>
      <c r="O2361" s="120"/>
      <c r="P2361" s="120"/>
      <c r="Q2361" s="120"/>
      <c r="R2361" s="120"/>
      <c r="S2361" s="120"/>
      <c r="T2361" s="221"/>
      <c r="U2361" s="89"/>
      <c r="V2361" s="61"/>
      <c r="W2361" s="92" t="s">
        <v>107</v>
      </c>
      <c r="X2361" s="93" t="s">
        <v>31</v>
      </c>
      <c r="Y2361" s="93" t="s">
        <v>93</v>
      </c>
      <c r="Z2361" s="134">
        <f>VLOOKUP(W2361,Sheet2!$B:$D,3,FALSE)</f>
        <v>17</v>
      </c>
      <c r="AA2361" s="93">
        <v>0.2</v>
      </c>
      <c r="AB2361" s="93">
        <f>AD2361/AC2359</f>
        <v>85</v>
      </c>
      <c r="AC2361" s="93">
        <f>AC2359/AA2361</f>
        <v>71.5</v>
      </c>
      <c r="AD2361" s="94">
        <f t="shared" si="1898"/>
        <v>1215.5</v>
      </c>
      <c r="AE2361" s="190"/>
      <c r="AF2361" s="191"/>
      <c r="AG2361" s="191"/>
      <c r="AH2361" s="191"/>
      <c r="AI2361" s="186"/>
      <c r="AK2361" s="171"/>
    </row>
    <row r="2362" spans="1:41" s="102" customFormat="1" ht="19.899999999999999" customHeight="1" x14ac:dyDescent="0.25">
      <c r="A2362" s="45"/>
      <c r="B2362" s="59"/>
      <c r="C2362" s="137"/>
      <c r="D2362" s="59"/>
      <c r="E2362" s="116"/>
      <c r="F2362" s="120"/>
      <c r="G2362" s="120"/>
      <c r="H2362" s="120"/>
      <c r="I2362" s="60"/>
      <c r="J2362" s="116"/>
      <c r="K2362" s="213"/>
      <c r="L2362" s="120"/>
      <c r="M2362" s="120"/>
      <c r="N2362" s="167"/>
      <c r="O2362" s="120"/>
      <c r="P2362" s="120"/>
      <c r="Q2362" s="120"/>
      <c r="R2362" s="120"/>
      <c r="S2362" s="120"/>
      <c r="T2362" s="221"/>
      <c r="U2362" s="89"/>
      <c r="V2362" s="61"/>
      <c r="W2362" s="92" t="s">
        <v>112</v>
      </c>
      <c r="X2362" s="93" t="s">
        <v>31</v>
      </c>
      <c r="Y2362" s="93" t="s">
        <v>93</v>
      </c>
      <c r="Z2362" s="134">
        <f>VLOOKUP(W2362,Sheet2!$B:$D,3,FALSE)</f>
        <v>13</v>
      </c>
      <c r="AA2362" s="93">
        <f>AA2361</f>
        <v>0.2</v>
      </c>
      <c r="AB2362" s="93">
        <f>AD2362/AC2359</f>
        <v>65</v>
      </c>
      <c r="AC2362" s="93">
        <f>AC2359/AA2362</f>
        <v>71.5</v>
      </c>
      <c r="AD2362" s="94">
        <f>AC2362*Z2362</f>
        <v>929.5</v>
      </c>
      <c r="AE2362" s="190"/>
      <c r="AF2362" s="191"/>
      <c r="AG2362" s="191"/>
      <c r="AH2362" s="191"/>
      <c r="AI2362" s="186"/>
      <c r="AK2362" s="171"/>
    </row>
    <row r="2363" spans="1:41" ht="20.100000000000001" customHeight="1" x14ac:dyDescent="0.25">
      <c r="A2363" s="277" t="s">
        <v>410</v>
      </c>
      <c r="B2363" s="278"/>
      <c r="C2363" s="64" t="s">
        <v>457</v>
      </c>
      <c r="D2363" s="46" t="s">
        <v>215</v>
      </c>
      <c r="E2363" s="114">
        <v>9.9999999999999978E-2</v>
      </c>
      <c r="F2363" s="44">
        <v>2454</v>
      </c>
      <c r="G2363" s="44">
        <f t="shared" si="1686"/>
        <v>245.39999999999995</v>
      </c>
      <c r="H2363" s="44">
        <f t="shared" si="1687"/>
        <v>2350</v>
      </c>
      <c r="I2363" s="43">
        <f t="shared" si="1688"/>
        <v>234.99999999999994</v>
      </c>
      <c r="J2363" s="112">
        <f t="shared" si="1689"/>
        <v>9.9999999999999978E-2</v>
      </c>
      <c r="K2363" s="211">
        <f t="shared" si="1690"/>
        <v>9.9999999999999978E-2</v>
      </c>
      <c r="L2363" s="44"/>
      <c r="M2363" s="44">
        <f t="shared" si="1704"/>
        <v>9.9999999999999978E-2</v>
      </c>
      <c r="N2363" s="173">
        <f t="shared" si="1691"/>
        <v>1</v>
      </c>
      <c r="O2363" s="44">
        <f t="shared" si="1692"/>
        <v>2454</v>
      </c>
      <c r="P2363" s="44">
        <f t="shared" si="1693"/>
        <v>245.39999999999995</v>
      </c>
      <c r="Q2363" s="44">
        <f t="shared" si="1694"/>
        <v>2350</v>
      </c>
      <c r="R2363" s="44">
        <f t="shared" si="1705"/>
        <v>234.99999999999994</v>
      </c>
      <c r="S2363" s="123"/>
      <c r="T2363" s="219">
        <f t="shared" si="1706"/>
        <v>234.99999999999994</v>
      </c>
      <c r="U2363" s="87"/>
      <c r="V2363" s="47"/>
      <c r="W2363" s="48"/>
      <c r="X2363" s="48"/>
      <c r="Y2363" s="48"/>
      <c r="Z2363" s="135"/>
      <c r="AA2363" s="49"/>
      <c r="AB2363" s="50">
        <f t="shared" si="1695"/>
        <v>2350</v>
      </c>
      <c r="AC2363" s="42">
        <f t="shared" si="1707"/>
        <v>9.9999999999999978E-2</v>
      </c>
      <c r="AD2363" s="90">
        <f>AD2364</f>
        <v>234.99999999999994</v>
      </c>
      <c r="AE2363" s="188">
        <f t="shared" ref="AE2363:AH2363" si="1899">AE2364</f>
        <v>0</v>
      </c>
      <c r="AF2363" s="189">
        <f t="shared" si="1899"/>
        <v>0</v>
      </c>
      <c r="AG2363" s="189">
        <f t="shared" si="1899"/>
        <v>0</v>
      </c>
      <c r="AH2363" s="189">
        <f t="shared" si="1899"/>
        <v>0</v>
      </c>
      <c r="AI2363" s="161">
        <f t="shared" ref="AI2363" si="1900">SUM(AE2363:AH2363)</f>
        <v>0</v>
      </c>
      <c r="AK2363" s="169">
        <v>5</v>
      </c>
      <c r="AO2363" s="19" t="s">
        <v>63</v>
      </c>
    </row>
    <row r="2364" spans="1:41" s="103" customFormat="1" ht="19.899999999999999" customHeight="1" x14ac:dyDescent="0.25">
      <c r="A2364" s="51"/>
      <c r="B2364" s="52"/>
      <c r="C2364" s="165"/>
      <c r="D2364" s="52"/>
      <c r="E2364" s="115"/>
      <c r="F2364" s="58"/>
      <c r="G2364" s="58"/>
      <c r="H2364" s="58"/>
      <c r="I2364" s="55"/>
      <c r="J2364" s="113">
        <f>J2363</f>
        <v>9.9999999999999978E-2</v>
      </c>
      <c r="K2364" s="212">
        <f>K2363</f>
        <v>9.9999999999999978E-2</v>
      </c>
      <c r="L2364" s="58"/>
      <c r="M2364" s="58">
        <f>K2364-L2364</f>
        <v>9.9999999999999978E-2</v>
      </c>
      <c r="N2364" s="166"/>
      <c r="O2364" s="58"/>
      <c r="P2364" s="58"/>
      <c r="Q2364" s="58"/>
      <c r="R2364" s="58"/>
      <c r="S2364" s="58"/>
      <c r="T2364" s="220"/>
      <c r="U2364" s="88"/>
      <c r="V2364" s="56"/>
      <c r="W2364" s="57" t="s">
        <v>1294</v>
      </c>
      <c r="X2364" s="53"/>
      <c r="Y2364" s="91" t="s">
        <v>35</v>
      </c>
      <c r="Z2364" s="136">
        <f>AD2364/AC2364</f>
        <v>2350</v>
      </c>
      <c r="AA2364" s="58"/>
      <c r="AB2364" s="53">
        <f>AD2364/AC2364</f>
        <v>2350</v>
      </c>
      <c r="AC2364" s="53">
        <f>M2364+$AE$10</f>
        <v>9.9999999999999978E-2</v>
      </c>
      <c r="AD2364" s="54">
        <f>SUM(AD2365:AD2367)</f>
        <v>234.99999999999994</v>
      </c>
      <c r="AE2364" s="184">
        <f>SUMIFS($AD$37:$AD$12971,$V$37:$V$12971,$V2364,$X$37:$X$12971,AE$13)</f>
        <v>0</v>
      </c>
      <c r="AF2364" s="185">
        <f>SUMIFS($AD$37:$AD$12971,$V$37:$V$12971,$V2364,$X$37:$X$12971,AF$13)</f>
        <v>0</v>
      </c>
      <c r="AG2364" s="185">
        <f>SUMIFS($AD$37:$AD$12971,$V$37:$V$12971,$V2364,$X$37:$X$12971,AG$13)</f>
        <v>0</v>
      </c>
      <c r="AH2364" s="187">
        <f>SUMIFS($AD$37:$AD$12971,$V$37:$V$12971,$V2364,$X$37:$X$12971,AH$13)</f>
        <v>0</v>
      </c>
      <c r="AI2364" s="161">
        <f t="shared" ref="AI2364" si="1901">SUM(AE2364:AH2364)</f>
        <v>0</v>
      </c>
      <c r="AK2364" s="172"/>
    </row>
    <row r="2365" spans="1:41" s="102" customFormat="1" ht="19.899999999999999" customHeight="1" x14ac:dyDescent="0.25">
      <c r="A2365" s="45"/>
      <c r="B2365" s="59"/>
      <c r="C2365" s="137"/>
      <c r="D2365" s="59"/>
      <c r="E2365" s="116"/>
      <c r="F2365" s="120"/>
      <c r="G2365" s="120"/>
      <c r="H2365" s="120"/>
      <c r="I2365" s="60"/>
      <c r="J2365" s="116"/>
      <c r="K2365" s="213"/>
      <c r="L2365" s="120"/>
      <c r="M2365" s="120"/>
      <c r="N2365" s="167"/>
      <c r="O2365" s="120"/>
      <c r="P2365" s="120"/>
      <c r="Q2365" s="120"/>
      <c r="R2365" s="120"/>
      <c r="S2365" s="120"/>
      <c r="T2365" s="221"/>
      <c r="U2365" s="89"/>
      <c r="V2365" s="61"/>
      <c r="W2365" s="92" t="s">
        <v>1442</v>
      </c>
      <c r="X2365" s="93" t="s">
        <v>30</v>
      </c>
      <c r="Y2365" s="93" t="s">
        <v>35</v>
      </c>
      <c r="Z2365" s="134">
        <f>VLOOKUP(W2365,Sheet2!$B:$D,3,FALSE)</f>
        <v>2200</v>
      </c>
      <c r="AA2365" s="93">
        <v>1</v>
      </c>
      <c r="AB2365" s="93">
        <f t="shared" ref="AB2365" si="1902">AD2365/AC2364</f>
        <v>2200</v>
      </c>
      <c r="AC2365" s="93">
        <f>AC2364/AA2365</f>
        <v>9.9999999999999978E-2</v>
      </c>
      <c r="AD2365" s="94">
        <f t="shared" ref="AD2365:AD2366" si="1903">AC2365*Z2365</f>
        <v>219.99999999999994</v>
      </c>
      <c r="AE2365" s="190"/>
      <c r="AF2365" s="191"/>
      <c r="AG2365" s="191"/>
      <c r="AH2365" s="191"/>
      <c r="AI2365" s="186"/>
      <c r="AK2365" s="171"/>
    </row>
    <row r="2366" spans="1:41" s="102" customFormat="1" ht="19.899999999999999" customHeight="1" x14ac:dyDescent="0.25">
      <c r="A2366" s="45"/>
      <c r="B2366" s="59"/>
      <c r="C2366" s="137"/>
      <c r="D2366" s="59"/>
      <c r="E2366" s="116"/>
      <c r="F2366" s="120"/>
      <c r="G2366" s="120"/>
      <c r="H2366" s="120"/>
      <c r="I2366" s="60"/>
      <c r="J2366" s="116"/>
      <c r="K2366" s="213"/>
      <c r="L2366" s="120"/>
      <c r="M2366" s="120"/>
      <c r="N2366" s="167"/>
      <c r="O2366" s="120"/>
      <c r="P2366" s="120"/>
      <c r="Q2366" s="120"/>
      <c r="R2366" s="120"/>
      <c r="S2366" s="120"/>
      <c r="T2366" s="221"/>
      <c r="U2366" s="89"/>
      <c r="V2366" s="61"/>
      <c r="W2366" s="92" t="s">
        <v>107</v>
      </c>
      <c r="X2366" s="93" t="s">
        <v>31</v>
      </c>
      <c r="Y2366" s="93" t="s">
        <v>93</v>
      </c>
      <c r="Z2366" s="134">
        <f>VLOOKUP(W2366,Sheet2!$B:$D,3,FALSE)</f>
        <v>17</v>
      </c>
      <c r="AA2366" s="93">
        <v>0.2</v>
      </c>
      <c r="AB2366" s="93">
        <f>AD2366/AC2364</f>
        <v>85</v>
      </c>
      <c r="AC2366" s="93">
        <f>AC2364/AA2366</f>
        <v>0.49999999999999989</v>
      </c>
      <c r="AD2366" s="94">
        <f t="shared" si="1903"/>
        <v>8.4999999999999982</v>
      </c>
      <c r="AE2366" s="190"/>
      <c r="AF2366" s="191"/>
      <c r="AG2366" s="191"/>
      <c r="AH2366" s="191"/>
      <c r="AI2366" s="186"/>
      <c r="AK2366" s="171"/>
    </row>
    <row r="2367" spans="1:41" s="102" customFormat="1" ht="19.899999999999999" customHeight="1" x14ac:dyDescent="0.25">
      <c r="A2367" s="45"/>
      <c r="B2367" s="59"/>
      <c r="C2367" s="137"/>
      <c r="D2367" s="59"/>
      <c r="E2367" s="116"/>
      <c r="F2367" s="120"/>
      <c r="G2367" s="120"/>
      <c r="H2367" s="120"/>
      <c r="I2367" s="60"/>
      <c r="J2367" s="116"/>
      <c r="K2367" s="213"/>
      <c r="L2367" s="120"/>
      <c r="M2367" s="120"/>
      <c r="N2367" s="167"/>
      <c r="O2367" s="120"/>
      <c r="P2367" s="120"/>
      <c r="Q2367" s="120"/>
      <c r="R2367" s="120"/>
      <c r="S2367" s="120"/>
      <c r="T2367" s="221"/>
      <c r="U2367" s="89"/>
      <c r="V2367" s="61"/>
      <c r="W2367" s="92" t="s">
        <v>112</v>
      </c>
      <c r="X2367" s="93" t="s">
        <v>31</v>
      </c>
      <c r="Y2367" s="93" t="s">
        <v>93</v>
      </c>
      <c r="Z2367" s="134">
        <f>VLOOKUP(W2367,Sheet2!$B:$D,3,FALSE)</f>
        <v>13</v>
      </c>
      <c r="AA2367" s="93">
        <f>AA2366</f>
        <v>0.2</v>
      </c>
      <c r="AB2367" s="93">
        <f>AD2367/AC2364</f>
        <v>65</v>
      </c>
      <c r="AC2367" s="93">
        <f>AC2364/AA2367</f>
        <v>0.49999999999999989</v>
      </c>
      <c r="AD2367" s="94">
        <f>AC2367*Z2367</f>
        <v>6.4999999999999982</v>
      </c>
      <c r="AE2367" s="190"/>
      <c r="AF2367" s="191"/>
      <c r="AG2367" s="191"/>
      <c r="AH2367" s="191"/>
      <c r="AI2367" s="186"/>
      <c r="AK2367" s="171"/>
    </row>
    <row r="2368" spans="1:41" ht="20.100000000000001" customHeight="1" x14ac:dyDescent="0.25">
      <c r="A2368" s="277" t="s">
        <v>410</v>
      </c>
      <c r="B2368" s="278"/>
      <c r="C2368" s="64" t="s">
        <v>458</v>
      </c>
      <c r="D2368" s="46" t="s">
        <v>215</v>
      </c>
      <c r="E2368" s="114">
        <v>9.9999999999999978E-2</v>
      </c>
      <c r="F2368" s="44">
        <v>3110</v>
      </c>
      <c r="G2368" s="44">
        <f t="shared" si="1686"/>
        <v>310.99999999999994</v>
      </c>
      <c r="H2368" s="44">
        <f t="shared" si="1687"/>
        <v>2900</v>
      </c>
      <c r="I2368" s="43">
        <f t="shared" si="1688"/>
        <v>289.99999999999994</v>
      </c>
      <c r="J2368" s="112">
        <f t="shared" si="1689"/>
        <v>9.9999999999999978E-2</v>
      </c>
      <c r="K2368" s="211">
        <f t="shared" si="1690"/>
        <v>9.9999999999999978E-2</v>
      </c>
      <c r="L2368" s="44"/>
      <c r="M2368" s="44">
        <f t="shared" si="1704"/>
        <v>9.9999999999999978E-2</v>
      </c>
      <c r="N2368" s="173">
        <f t="shared" si="1691"/>
        <v>1</v>
      </c>
      <c r="O2368" s="44">
        <f t="shared" si="1692"/>
        <v>3110</v>
      </c>
      <c r="P2368" s="44">
        <f t="shared" si="1693"/>
        <v>310.99999999999994</v>
      </c>
      <c r="Q2368" s="44">
        <f t="shared" si="1694"/>
        <v>2900</v>
      </c>
      <c r="R2368" s="44">
        <f t="shared" si="1705"/>
        <v>289.99999999999994</v>
      </c>
      <c r="S2368" s="123"/>
      <c r="T2368" s="219">
        <f t="shared" si="1706"/>
        <v>289.99999999999994</v>
      </c>
      <c r="U2368" s="87"/>
      <c r="V2368" s="47"/>
      <c r="W2368" s="48"/>
      <c r="X2368" s="48"/>
      <c r="Y2368" s="48"/>
      <c r="Z2368" s="135"/>
      <c r="AA2368" s="49"/>
      <c r="AB2368" s="50">
        <f t="shared" si="1695"/>
        <v>2900</v>
      </c>
      <c r="AC2368" s="42">
        <f t="shared" si="1707"/>
        <v>9.9999999999999978E-2</v>
      </c>
      <c r="AD2368" s="90">
        <f>AD2369</f>
        <v>289.99999999999994</v>
      </c>
      <c r="AE2368" s="188">
        <f t="shared" ref="AE2368:AH2368" si="1904">AE2369</f>
        <v>0</v>
      </c>
      <c r="AF2368" s="189">
        <f t="shared" si="1904"/>
        <v>0</v>
      </c>
      <c r="AG2368" s="189">
        <f t="shared" si="1904"/>
        <v>0</v>
      </c>
      <c r="AH2368" s="189">
        <f t="shared" si="1904"/>
        <v>0</v>
      </c>
      <c r="AI2368" s="161">
        <f t="shared" ref="AI2368" si="1905">SUM(AE2368:AH2368)</f>
        <v>0</v>
      </c>
      <c r="AK2368" s="169">
        <v>5</v>
      </c>
      <c r="AO2368" s="19" t="s">
        <v>63</v>
      </c>
    </row>
    <row r="2369" spans="1:41" s="103" customFormat="1" ht="19.899999999999999" customHeight="1" x14ac:dyDescent="0.25">
      <c r="A2369" s="51"/>
      <c r="B2369" s="52"/>
      <c r="C2369" s="165"/>
      <c r="D2369" s="52"/>
      <c r="E2369" s="115"/>
      <c r="F2369" s="58"/>
      <c r="G2369" s="58"/>
      <c r="H2369" s="58"/>
      <c r="I2369" s="55"/>
      <c r="J2369" s="113">
        <f>J2368</f>
        <v>9.9999999999999978E-2</v>
      </c>
      <c r="K2369" s="212">
        <f>K2368</f>
        <v>9.9999999999999978E-2</v>
      </c>
      <c r="L2369" s="58"/>
      <c r="M2369" s="58">
        <f>K2369-L2369</f>
        <v>9.9999999999999978E-2</v>
      </c>
      <c r="N2369" s="166"/>
      <c r="O2369" s="58"/>
      <c r="P2369" s="58"/>
      <c r="Q2369" s="58"/>
      <c r="R2369" s="58"/>
      <c r="S2369" s="58"/>
      <c r="T2369" s="220"/>
      <c r="U2369" s="88"/>
      <c r="V2369" s="56"/>
      <c r="W2369" s="57" t="s">
        <v>1294</v>
      </c>
      <c r="X2369" s="53"/>
      <c r="Y2369" s="91" t="s">
        <v>35</v>
      </c>
      <c r="Z2369" s="136">
        <f>AD2369/AC2369</f>
        <v>2900</v>
      </c>
      <c r="AA2369" s="58"/>
      <c r="AB2369" s="53">
        <f>AD2369/AC2369</f>
        <v>2900</v>
      </c>
      <c r="AC2369" s="53">
        <f>M2369+$AE$10</f>
        <v>9.9999999999999978E-2</v>
      </c>
      <c r="AD2369" s="54">
        <f>SUM(AD2370:AD2372)</f>
        <v>289.99999999999994</v>
      </c>
      <c r="AE2369" s="184">
        <f>SUMIFS($AD$37:$AD$12971,$V$37:$V$12971,$V2369,$X$37:$X$12971,AE$13)</f>
        <v>0</v>
      </c>
      <c r="AF2369" s="185">
        <f>SUMIFS($AD$37:$AD$12971,$V$37:$V$12971,$V2369,$X$37:$X$12971,AF$13)</f>
        <v>0</v>
      </c>
      <c r="AG2369" s="185">
        <f>SUMIFS($AD$37:$AD$12971,$V$37:$V$12971,$V2369,$X$37:$X$12971,AG$13)</f>
        <v>0</v>
      </c>
      <c r="AH2369" s="187">
        <f>SUMIFS($AD$37:$AD$12971,$V$37:$V$12971,$V2369,$X$37:$X$12971,AH$13)</f>
        <v>0</v>
      </c>
      <c r="AI2369" s="161">
        <f t="shared" ref="AI2369" si="1906">SUM(AE2369:AH2369)</f>
        <v>0</v>
      </c>
      <c r="AK2369" s="172"/>
    </row>
    <row r="2370" spans="1:41" s="102" customFormat="1" ht="19.899999999999999" customHeight="1" x14ac:dyDescent="0.25">
      <c r="A2370" s="45"/>
      <c r="B2370" s="59"/>
      <c r="C2370" s="137"/>
      <c r="D2370" s="59"/>
      <c r="E2370" s="116"/>
      <c r="F2370" s="120"/>
      <c r="G2370" s="120"/>
      <c r="H2370" s="120"/>
      <c r="I2370" s="60"/>
      <c r="J2370" s="116"/>
      <c r="K2370" s="213"/>
      <c r="L2370" s="120"/>
      <c r="M2370" s="120"/>
      <c r="N2370" s="167"/>
      <c r="O2370" s="120"/>
      <c r="P2370" s="120"/>
      <c r="Q2370" s="120"/>
      <c r="R2370" s="120"/>
      <c r="S2370" s="120"/>
      <c r="T2370" s="221"/>
      <c r="U2370" s="89"/>
      <c r="V2370" s="61"/>
      <c r="W2370" s="92" t="s">
        <v>1443</v>
      </c>
      <c r="X2370" s="93" t="s">
        <v>30</v>
      </c>
      <c r="Y2370" s="93" t="s">
        <v>35</v>
      </c>
      <c r="Z2370" s="134">
        <f>VLOOKUP(W2370,Sheet2!$B:$D,3,FALSE)</f>
        <v>2750</v>
      </c>
      <c r="AA2370" s="93">
        <v>1</v>
      </c>
      <c r="AB2370" s="93">
        <f t="shared" ref="AB2370" si="1907">AD2370/AC2369</f>
        <v>2750</v>
      </c>
      <c r="AC2370" s="93">
        <f>AC2369/AA2370</f>
        <v>9.9999999999999978E-2</v>
      </c>
      <c r="AD2370" s="94">
        <f t="shared" ref="AD2370:AD2371" si="1908">AC2370*Z2370</f>
        <v>274.99999999999994</v>
      </c>
      <c r="AE2370" s="190"/>
      <c r="AF2370" s="191"/>
      <c r="AG2370" s="191"/>
      <c r="AH2370" s="191"/>
      <c r="AI2370" s="186"/>
      <c r="AK2370" s="171"/>
    </row>
    <row r="2371" spans="1:41" s="102" customFormat="1" ht="19.899999999999999" customHeight="1" x14ac:dyDescent="0.25">
      <c r="A2371" s="45"/>
      <c r="B2371" s="59"/>
      <c r="C2371" s="137"/>
      <c r="D2371" s="59"/>
      <c r="E2371" s="116"/>
      <c r="F2371" s="120"/>
      <c r="G2371" s="120"/>
      <c r="H2371" s="120"/>
      <c r="I2371" s="60"/>
      <c r="J2371" s="116"/>
      <c r="K2371" s="213"/>
      <c r="L2371" s="120"/>
      <c r="M2371" s="120"/>
      <c r="N2371" s="167"/>
      <c r="O2371" s="120"/>
      <c r="P2371" s="120"/>
      <c r="Q2371" s="120"/>
      <c r="R2371" s="120"/>
      <c r="S2371" s="120"/>
      <c r="T2371" s="221"/>
      <c r="U2371" s="89"/>
      <c r="V2371" s="61"/>
      <c r="W2371" s="92" t="s">
        <v>107</v>
      </c>
      <c r="X2371" s="93" t="s">
        <v>31</v>
      </c>
      <c r="Y2371" s="93" t="s">
        <v>93</v>
      </c>
      <c r="Z2371" s="134">
        <f>VLOOKUP(W2371,Sheet2!$B:$D,3,FALSE)</f>
        <v>17</v>
      </c>
      <c r="AA2371" s="93">
        <v>0.2</v>
      </c>
      <c r="AB2371" s="93">
        <f>AD2371/AC2369</f>
        <v>85</v>
      </c>
      <c r="AC2371" s="93">
        <f>AC2369/AA2371</f>
        <v>0.49999999999999989</v>
      </c>
      <c r="AD2371" s="94">
        <f t="shared" si="1908"/>
        <v>8.4999999999999982</v>
      </c>
      <c r="AE2371" s="190"/>
      <c r="AF2371" s="191"/>
      <c r="AG2371" s="191"/>
      <c r="AH2371" s="191"/>
      <c r="AI2371" s="186"/>
      <c r="AK2371" s="171"/>
    </row>
    <row r="2372" spans="1:41" s="102" customFormat="1" ht="19.899999999999999" customHeight="1" x14ac:dyDescent="0.25">
      <c r="A2372" s="45"/>
      <c r="B2372" s="59"/>
      <c r="C2372" s="137"/>
      <c r="D2372" s="59"/>
      <c r="E2372" s="116"/>
      <c r="F2372" s="120"/>
      <c r="G2372" s="120"/>
      <c r="H2372" s="120"/>
      <c r="I2372" s="60"/>
      <c r="J2372" s="116"/>
      <c r="K2372" s="213"/>
      <c r="L2372" s="120"/>
      <c r="M2372" s="120"/>
      <c r="N2372" s="167"/>
      <c r="O2372" s="120"/>
      <c r="P2372" s="120"/>
      <c r="Q2372" s="120"/>
      <c r="R2372" s="120"/>
      <c r="S2372" s="120"/>
      <c r="T2372" s="221"/>
      <c r="U2372" s="89"/>
      <c r="V2372" s="61"/>
      <c r="W2372" s="92" t="s">
        <v>112</v>
      </c>
      <c r="X2372" s="93" t="s">
        <v>31</v>
      </c>
      <c r="Y2372" s="93" t="s">
        <v>93</v>
      </c>
      <c r="Z2372" s="134">
        <f>VLOOKUP(W2372,Sheet2!$B:$D,3,FALSE)</f>
        <v>13</v>
      </c>
      <c r="AA2372" s="93">
        <f>AA2371</f>
        <v>0.2</v>
      </c>
      <c r="AB2372" s="93">
        <f>AD2372/AC2369</f>
        <v>65</v>
      </c>
      <c r="AC2372" s="93">
        <f>AC2369/AA2372</f>
        <v>0.49999999999999989</v>
      </c>
      <c r="AD2372" s="94">
        <f>AC2372*Z2372</f>
        <v>6.4999999999999982</v>
      </c>
      <c r="AE2372" s="190"/>
      <c r="AF2372" s="191"/>
      <c r="AG2372" s="191"/>
      <c r="AH2372" s="191"/>
      <c r="AI2372" s="186"/>
      <c r="AK2372" s="171"/>
    </row>
    <row r="2373" spans="1:41" s="306" customFormat="1" ht="90" x14ac:dyDescent="0.25">
      <c r="A2373" s="287" t="s">
        <v>410</v>
      </c>
      <c r="B2373" s="288"/>
      <c r="C2373" s="286" t="s">
        <v>1410</v>
      </c>
      <c r="D2373" s="289"/>
      <c r="E2373" s="290"/>
      <c r="F2373" s="291"/>
      <c r="G2373" s="291">
        <f t="shared" si="1686"/>
        <v>0</v>
      </c>
      <c r="H2373" s="291">
        <f t="shared" si="1687"/>
        <v>0</v>
      </c>
      <c r="I2373" s="292">
        <f t="shared" si="1688"/>
        <v>0</v>
      </c>
      <c r="J2373" s="290">
        <f t="shared" si="1689"/>
        <v>0</v>
      </c>
      <c r="K2373" s="293">
        <f t="shared" si="1690"/>
        <v>0</v>
      </c>
      <c r="L2373" s="291"/>
      <c r="M2373" s="291">
        <f t="shared" si="1704"/>
        <v>0</v>
      </c>
      <c r="N2373" s="294">
        <f t="shared" si="1691"/>
        <v>0</v>
      </c>
      <c r="O2373" s="291">
        <f t="shared" si="1692"/>
        <v>0</v>
      </c>
      <c r="P2373" s="291">
        <f t="shared" si="1693"/>
        <v>0</v>
      </c>
      <c r="Q2373" s="291">
        <f t="shared" si="1694"/>
        <v>0</v>
      </c>
      <c r="R2373" s="291">
        <f t="shared" si="1705"/>
        <v>0</v>
      </c>
      <c r="S2373" s="291"/>
      <c r="T2373" s="295">
        <f t="shared" si="1706"/>
        <v>0</v>
      </c>
      <c r="U2373" s="296"/>
      <c r="V2373" s="297"/>
      <c r="W2373" s="298"/>
      <c r="X2373" s="299"/>
      <c r="Y2373" s="300"/>
      <c r="Z2373" s="301"/>
      <c r="AA2373" s="300"/>
      <c r="AB2373" s="300">
        <f t="shared" si="1695"/>
        <v>0</v>
      </c>
      <c r="AC2373" s="300">
        <f t="shared" si="1707"/>
        <v>9.9999999999999998E-20</v>
      </c>
      <c r="AD2373" s="302"/>
      <c r="AE2373" s="303"/>
      <c r="AF2373" s="304"/>
      <c r="AG2373" s="304"/>
      <c r="AH2373" s="304"/>
      <c r="AI2373" s="305"/>
      <c r="AK2373" s="307"/>
    </row>
    <row r="2374" spans="1:41" s="306" customFormat="1" ht="20.100000000000001" customHeight="1" x14ac:dyDescent="0.25">
      <c r="A2374" s="287" t="s">
        <v>410</v>
      </c>
      <c r="B2374" s="288"/>
      <c r="C2374" s="286" t="s">
        <v>459</v>
      </c>
      <c r="D2374" s="289"/>
      <c r="E2374" s="290"/>
      <c r="F2374" s="291"/>
      <c r="G2374" s="291">
        <f t="shared" si="1686"/>
        <v>0</v>
      </c>
      <c r="H2374" s="291">
        <f t="shared" si="1687"/>
        <v>0</v>
      </c>
      <c r="I2374" s="292">
        <f t="shared" si="1688"/>
        <v>0</v>
      </c>
      <c r="J2374" s="290">
        <f t="shared" si="1689"/>
        <v>0</v>
      </c>
      <c r="K2374" s="293">
        <f t="shared" si="1690"/>
        <v>0</v>
      </c>
      <c r="L2374" s="291"/>
      <c r="M2374" s="291">
        <f t="shared" si="1704"/>
        <v>0</v>
      </c>
      <c r="N2374" s="294">
        <f t="shared" si="1691"/>
        <v>0</v>
      </c>
      <c r="O2374" s="291">
        <f t="shared" si="1692"/>
        <v>0</v>
      </c>
      <c r="P2374" s="291">
        <f t="shared" si="1693"/>
        <v>0</v>
      </c>
      <c r="Q2374" s="291">
        <f t="shared" si="1694"/>
        <v>0</v>
      </c>
      <c r="R2374" s="291">
        <f t="shared" si="1705"/>
        <v>0</v>
      </c>
      <c r="S2374" s="291"/>
      <c r="T2374" s="295">
        <f t="shared" si="1706"/>
        <v>0</v>
      </c>
      <c r="U2374" s="296"/>
      <c r="V2374" s="297"/>
      <c r="W2374" s="298"/>
      <c r="X2374" s="299"/>
      <c r="Y2374" s="300"/>
      <c r="Z2374" s="301"/>
      <c r="AA2374" s="300"/>
      <c r="AB2374" s="300">
        <f t="shared" si="1695"/>
        <v>0</v>
      </c>
      <c r="AC2374" s="300">
        <f t="shared" si="1707"/>
        <v>9.9999999999999998E-20</v>
      </c>
      <c r="AD2374" s="302"/>
      <c r="AE2374" s="303"/>
      <c r="AF2374" s="304"/>
      <c r="AG2374" s="304"/>
      <c r="AH2374" s="304"/>
      <c r="AI2374" s="305"/>
      <c r="AK2374" s="307"/>
    </row>
    <row r="2375" spans="1:41" ht="20.100000000000001" customHeight="1" x14ac:dyDescent="0.25">
      <c r="A2375" s="277" t="s">
        <v>410</v>
      </c>
      <c r="B2375" s="278"/>
      <c r="C2375" s="64" t="s">
        <v>460</v>
      </c>
      <c r="D2375" s="46" t="s">
        <v>215</v>
      </c>
      <c r="E2375" s="114">
        <v>196.85000000000002</v>
      </c>
      <c r="F2375" s="44">
        <v>1190</v>
      </c>
      <c r="G2375" s="44">
        <f t="shared" si="1686"/>
        <v>234251.50000000003</v>
      </c>
      <c r="H2375" s="44">
        <f t="shared" si="1687"/>
        <v>925</v>
      </c>
      <c r="I2375" s="43">
        <f t="shared" si="1688"/>
        <v>182086.25000000003</v>
      </c>
      <c r="J2375" s="112">
        <f t="shared" si="1689"/>
        <v>196.85000000000002</v>
      </c>
      <c r="K2375" s="211">
        <f t="shared" si="1690"/>
        <v>196.85000000000002</v>
      </c>
      <c r="L2375" s="44"/>
      <c r="M2375" s="44">
        <f t="shared" si="1704"/>
        <v>196.85000000000002</v>
      </c>
      <c r="N2375" s="173">
        <f t="shared" si="1691"/>
        <v>1</v>
      </c>
      <c r="O2375" s="44">
        <f t="shared" si="1692"/>
        <v>1190</v>
      </c>
      <c r="P2375" s="44">
        <f t="shared" si="1693"/>
        <v>234251.50000000003</v>
      </c>
      <c r="Q2375" s="44">
        <f t="shared" si="1694"/>
        <v>925</v>
      </c>
      <c r="R2375" s="44">
        <f t="shared" si="1705"/>
        <v>182086.25000000003</v>
      </c>
      <c r="S2375" s="123"/>
      <c r="T2375" s="219">
        <f t="shared" si="1706"/>
        <v>182086.25000000003</v>
      </c>
      <c r="U2375" s="87"/>
      <c r="V2375" s="47"/>
      <c r="W2375" s="48"/>
      <c r="X2375" s="48"/>
      <c r="Y2375" s="48"/>
      <c r="Z2375" s="135"/>
      <c r="AA2375" s="49"/>
      <c r="AB2375" s="50">
        <f t="shared" si="1695"/>
        <v>925</v>
      </c>
      <c r="AC2375" s="42">
        <f t="shared" si="1707"/>
        <v>196.85000000000002</v>
      </c>
      <c r="AD2375" s="90">
        <f>AD2376</f>
        <v>182086.25000000003</v>
      </c>
      <c r="AE2375" s="188">
        <f t="shared" ref="AE2375:AH2375" si="1909">AE2376</f>
        <v>0</v>
      </c>
      <c r="AF2375" s="189">
        <f t="shared" si="1909"/>
        <v>0</v>
      </c>
      <c r="AG2375" s="189">
        <f t="shared" si="1909"/>
        <v>0</v>
      </c>
      <c r="AH2375" s="189">
        <f t="shared" si="1909"/>
        <v>0</v>
      </c>
      <c r="AI2375" s="161">
        <f t="shared" ref="AI2375" si="1910">SUM(AE2375:AH2375)</f>
        <v>0</v>
      </c>
      <c r="AK2375" s="169">
        <v>5</v>
      </c>
      <c r="AO2375" s="19" t="s">
        <v>63</v>
      </c>
    </row>
    <row r="2376" spans="1:41" s="103" customFormat="1" ht="19.899999999999999" customHeight="1" x14ac:dyDescent="0.25">
      <c r="A2376" s="51"/>
      <c r="B2376" s="52"/>
      <c r="C2376" s="165"/>
      <c r="D2376" s="52"/>
      <c r="E2376" s="115"/>
      <c r="F2376" s="58"/>
      <c r="G2376" s="58"/>
      <c r="H2376" s="58"/>
      <c r="I2376" s="55"/>
      <c r="J2376" s="113">
        <f>J2375</f>
        <v>196.85000000000002</v>
      </c>
      <c r="K2376" s="212">
        <f>K2375</f>
        <v>196.85000000000002</v>
      </c>
      <c r="L2376" s="58"/>
      <c r="M2376" s="58">
        <f>K2376-L2376</f>
        <v>196.85000000000002</v>
      </c>
      <c r="N2376" s="166"/>
      <c r="O2376" s="58"/>
      <c r="P2376" s="58"/>
      <c r="Q2376" s="58"/>
      <c r="R2376" s="58"/>
      <c r="S2376" s="58"/>
      <c r="T2376" s="220"/>
      <c r="U2376" s="88"/>
      <c r="V2376" s="56"/>
      <c r="W2376" s="57" t="s">
        <v>1329</v>
      </c>
      <c r="X2376" s="53"/>
      <c r="Y2376" s="91" t="s">
        <v>35</v>
      </c>
      <c r="Z2376" s="136">
        <f>AD2376/AC2376</f>
        <v>925</v>
      </c>
      <c r="AA2376" s="58"/>
      <c r="AB2376" s="53">
        <f>AD2376/AC2376</f>
        <v>925</v>
      </c>
      <c r="AC2376" s="53">
        <f>M2376+$AE$10</f>
        <v>196.85000000000002</v>
      </c>
      <c r="AD2376" s="54">
        <f>SUM(AD2377:AD2379)</f>
        <v>182086.25000000003</v>
      </c>
      <c r="AE2376" s="184">
        <f>SUMIFS($AD$37:$AD$12971,$V$37:$V$12971,$V2376,$X$37:$X$12971,AE$13)</f>
        <v>0</v>
      </c>
      <c r="AF2376" s="185">
        <f>SUMIFS($AD$37:$AD$12971,$V$37:$V$12971,$V2376,$X$37:$X$12971,AF$13)</f>
        <v>0</v>
      </c>
      <c r="AG2376" s="185">
        <f>SUMIFS($AD$37:$AD$12971,$V$37:$V$12971,$V2376,$X$37:$X$12971,AG$13)</f>
        <v>0</v>
      </c>
      <c r="AH2376" s="187">
        <f>SUMIFS($AD$37:$AD$12971,$V$37:$V$12971,$V2376,$X$37:$X$12971,AH$13)</f>
        <v>0</v>
      </c>
      <c r="AI2376" s="161">
        <f t="shared" ref="AI2376" si="1911">SUM(AE2376:AH2376)</f>
        <v>0</v>
      </c>
      <c r="AK2376" s="172"/>
    </row>
    <row r="2377" spans="1:41" s="102" customFormat="1" ht="19.899999999999999" customHeight="1" x14ac:dyDescent="0.25">
      <c r="A2377" s="45"/>
      <c r="B2377" s="59"/>
      <c r="C2377" s="137"/>
      <c r="D2377" s="59"/>
      <c r="E2377" s="116"/>
      <c r="F2377" s="120"/>
      <c r="G2377" s="120"/>
      <c r="H2377" s="120"/>
      <c r="I2377" s="60"/>
      <c r="J2377" s="116"/>
      <c r="K2377" s="213"/>
      <c r="L2377" s="120"/>
      <c r="M2377" s="120"/>
      <c r="N2377" s="167"/>
      <c r="O2377" s="120"/>
      <c r="P2377" s="120"/>
      <c r="Q2377" s="120"/>
      <c r="R2377" s="120"/>
      <c r="S2377" s="120"/>
      <c r="T2377" s="221"/>
      <c r="U2377" s="89"/>
      <c r="V2377" s="61"/>
      <c r="W2377" s="92" t="s">
        <v>1445</v>
      </c>
      <c r="X2377" s="93" t="s">
        <v>30</v>
      </c>
      <c r="Y2377" s="93" t="s">
        <v>35</v>
      </c>
      <c r="Z2377" s="134">
        <f>VLOOKUP(W2377,Sheet2!$B:$D,3,FALSE)</f>
        <v>750</v>
      </c>
      <c r="AA2377" s="93">
        <v>1</v>
      </c>
      <c r="AB2377" s="93">
        <f t="shared" ref="AB2377" si="1912">AD2377/AC2376</f>
        <v>750.00000000000011</v>
      </c>
      <c r="AC2377" s="93">
        <f>AC2376/AA2377</f>
        <v>196.85000000000002</v>
      </c>
      <c r="AD2377" s="94">
        <f t="shared" ref="AD2377:AD2378" si="1913">AC2377*Z2377</f>
        <v>147637.50000000003</v>
      </c>
      <c r="AE2377" s="190"/>
      <c r="AF2377" s="191"/>
      <c r="AG2377" s="191"/>
      <c r="AH2377" s="191"/>
      <c r="AI2377" s="186"/>
      <c r="AK2377" s="171"/>
    </row>
    <row r="2378" spans="1:41" s="102" customFormat="1" ht="19.899999999999999" customHeight="1" x14ac:dyDescent="0.25">
      <c r="A2378" s="45"/>
      <c r="B2378" s="59"/>
      <c r="C2378" s="137"/>
      <c r="D2378" s="59"/>
      <c r="E2378" s="116"/>
      <c r="F2378" s="120"/>
      <c r="G2378" s="120"/>
      <c r="H2378" s="120"/>
      <c r="I2378" s="60"/>
      <c r="J2378" s="116"/>
      <c r="K2378" s="213"/>
      <c r="L2378" s="120"/>
      <c r="M2378" s="120"/>
      <c r="N2378" s="167"/>
      <c r="O2378" s="120"/>
      <c r="P2378" s="120"/>
      <c r="Q2378" s="120"/>
      <c r="R2378" s="120"/>
      <c r="S2378" s="120"/>
      <c r="T2378" s="221"/>
      <c r="U2378" s="89"/>
      <c r="V2378" s="61"/>
      <c r="W2378" s="92" t="s">
        <v>1446</v>
      </c>
      <c r="X2378" s="93" t="s">
        <v>30</v>
      </c>
      <c r="Y2378" s="93" t="s">
        <v>35</v>
      </c>
      <c r="Z2378" s="134">
        <f>VLOOKUP(W2378,Sheet2!$B:$D,3,FALSE)</f>
        <v>75</v>
      </c>
      <c r="AA2378" s="93">
        <v>1</v>
      </c>
      <c r="AB2378" s="93">
        <f>AD2378/AC2376</f>
        <v>75</v>
      </c>
      <c r="AC2378" s="93">
        <f>AC2376/AA2378</f>
        <v>196.85000000000002</v>
      </c>
      <c r="AD2378" s="94">
        <f t="shared" si="1913"/>
        <v>14763.750000000002</v>
      </c>
      <c r="AE2378" s="190"/>
      <c r="AF2378" s="191"/>
      <c r="AG2378" s="191"/>
      <c r="AH2378" s="191"/>
      <c r="AI2378" s="186"/>
      <c r="AK2378" s="171"/>
    </row>
    <row r="2379" spans="1:41" s="102" customFormat="1" ht="19.899999999999999" customHeight="1" x14ac:dyDescent="0.25">
      <c r="A2379" s="45"/>
      <c r="B2379" s="59"/>
      <c r="C2379" s="137"/>
      <c r="D2379" s="59"/>
      <c r="E2379" s="116"/>
      <c r="F2379" s="120"/>
      <c r="G2379" s="120"/>
      <c r="H2379" s="120"/>
      <c r="I2379" s="60"/>
      <c r="J2379" s="116"/>
      <c r="K2379" s="213"/>
      <c r="L2379" s="120"/>
      <c r="M2379" s="120"/>
      <c r="N2379" s="167"/>
      <c r="O2379" s="120"/>
      <c r="P2379" s="120"/>
      <c r="Q2379" s="120"/>
      <c r="R2379" s="120"/>
      <c r="S2379" s="120"/>
      <c r="T2379" s="221"/>
      <c r="U2379" s="89"/>
      <c r="V2379" s="61"/>
      <c r="W2379" s="92" t="s">
        <v>1447</v>
      </c>
      <c r="X2379" s="93" t="s">
        <v>32</v>
      </c>
      <c r="Y2379" s="93" t="s">
        <v>35</v>
      </c>
      <c r="Z2379" s="134">
        <f>VLOOKUP(W2379,Sheet2!$B:$D,3,FALSE)</f>
        <v>100</v>
      </c>
      <c r="AA2379" s="93">
        <v>1</v>
      </c>
      <c r="AB2379" s="93">
        <f>AD2379/AC2376</f>
        <v>100</v>
      </c>
      <c r="AC2379" s="93">
        <f>AC2376/AA2379</f>
        <v>196.85000000000002</v>
      </c>
      <c r="AD2379" s="94">
        <f>AC2379*Z2379</f>
        <v>19685.000000000004</v>
      </c>
      <c r="AE2379" s="190"/>
      <c r="AF2379" s="191"/>
      <c r="AG2379" s="191"/>
      <c r="AH2379" s="191"/>
      <c r="AI2379" s="186"/>
      <c r="AK2379" s="171"/>
    </row>
    <row r="2380" spans="1:41" ht="20.100000000000001" customHeight="1" x14ac:dyDescent="0.25">
      <c r="A2380" s="277" t="s">
        <v>410</v>
      </c>
      <c r="B2380" s="278"/>
      <c r="C2380" s="64" t="s">
        <v>461</v>
      </c>
      <c r="D2380" s="46" t="s">
        <v>215</v>
      </c>
      <c r="E2380" s="114">
        <v>16.900000000000006</v>
      </c>
      <c r="F2380" s="44">
        <v>1260</v>
      </c>
      <c r="G2380" s="44">
        <f t="shared" si="1686"/>
        <v>21294.000000000007</v>
      </c>
      <c r="H2380" s="44">
        <f t="shared" si="1687"/>
        <v>1106.5</v>
      </c>
      <c r="I2380" s="43">
        <f t="shared" si="1688"/>
        <v>18699.850000000006</v>
      </c>
      <c r="J2380" s="112">
        <f t="shared" si="1689"/>
        <v>16.900000000000006</v>
      </c>
      <c r="K2380" s="211">
        <f t="shared" si="1690"/>
        <v>16.900000000000006</v>
      </c>
      <c r="L2380" s="44"/>
      <c r="M2380" s="44">
        <f t="shared" si="1704"/>
        <v>16.900000000000006</v>
      </c>
      <c r="N2380" s="173">
        <f t="shared" si="1691"/>
        <v>1</v>
      </c>
      <c r="O2380" s="44">
        <f t="shared" si="1692"/>
        <v>1260</v>
      </c>
      <c r="P2380" s="44">
        <f t="shared" si="1693"/>
        <v>21294.000000000007</v>
      </c>
      <c r="Q2380" s="44">
        <f t="shared" si="1694"/>
        <v>1106.5</v>
      </c>
      <c r="R2380" s="44">
        <f t="shared" si="1705"/>
        <v>18699.850000000006</v>
      </c>
      <c r="S2380" s="123"/>
      <c r="T2380" s="219">
        <f t="shared" si="1706"/>
        <v>18699.850000000006</v>
      </c>
      <c r="U2380" s="87"/>
      <c r="V2380" s="47"/>
      <c r="W2380" s="48"/>
      <c r="X2380" s="48"/>
      <c r="Y2380" s="48"/>
      <c r="Z2380" s="135"/>
      <c r="AA2380" s="49"/>
      <c r="AB2380" s="50">
        <f t="shared" si="1695"/>
        <v>1106.5</v>
      </c>
      <c r="AC2380" s="42">
        <f t="shared" si="1707"/>
        <v>16.900000000000006</v>
      </c>
      <c r="AD2380" s="90">
        <f>AD2381</f>
        <v>18699.850000000006</v>
      </c>
      <c r="AE2380" s="188">
        <f t="shared" ref="AE2380:AH2380" si="1914">AE2381</f>
        <v>0</v>
      </c>
      <c r="AF2380" s="189">
        <f t="shared" si="1914"/>
        <v>0</v>
      </c>
      <c r="AG2380" s="189">
        <f t="shared" si="1914"/>
        <v>0</v>
      </c>
      <c r="AH2380" s="189">
        <f t="shared" si="1914"/>
        <v>0</v>
      </c>
      <c r="AI2380" s="161">
        <f t="shared" ref="AI2380:AI2381" si="1915">SUM(AE2380:AH2380)</f>
        <v>0</v>
      </c>
      <c r="AK2380" s="169">
        <v>5</v>
      </c>
      <c r="AO2380" s="19" t="s">
        <v>63</v>
      </c>
    </row>
    <row r="2381" spans="1:41" s="103" customFormat="1" ht="19.899999999999999" customHeight="1" x14ac:dyDescent="0.25">
      <c r="A2381" s="51"/>
      <c r="B2381" s="52"/>
      <c r="C2381" s="165"/>
      <c r="D2381" s="52"/>
      <c r="E2381" s="115"/>
      <c r="F2381" s="58"/>
      <c r="G2381" s="58"/>
      <c r="H2381" s="58"/>
      <c r="I2381" s="55"/>
      <c r="J2381" s="113">
        <f>J2380</f>
        <v>16.900000000000006</v>
      </c>
      <c r="K2381" s="212">
        <f>K2380</f>
        <v>16.900000000000006</v>
      </c>
      <c r="L2381" s="58"/>
      <c r="M2381" s="58">
        <f>K2381-L2381</f>
        <v>16.900000000000006</v>
      </c>
      <c r="N2381" s="166"/>
      <c r="O2381" s="58"/>
      <c r="P2381" s="58"/>
      <c r="Q2381" s="58"/>
      <c r="R2381" s="58"/>
      <c r="S2381" s="58"/>
      <c r="T2381" s="220"/>
      <c r="U2381" s="88"/>
      <c r="V2381" s="56"/>
      <c r="W2381" s="57" t="s">
        <v>1329</v>
      </c>
      <c r="X2381" s="53"/>
      <c r="Y2381" s="91" t="s">
        <v>35</v>
      </c>
      <c r="Z2381" s="136">
        <f>AD2381/AC2381</f>
        <v>1106.5</v>
      </c>
      <c r="AA2381" s="58"/>
      <c r="AB2381" s="53">
        <f>AD2381/AC2381</f>
        <v>1106.5</v>
      </c>
      <c r="AC2381" s="53">
        <f>M2381+$AE$10</f>
        <v>16.900000000000006</v>
      </c>
      <c r="AD2381" s="54">
        <f>SUM(AD2382:AD2384)</f>
        <v>18699.850000000006</v>
      </c>
      <c r="AE2381" s="184">
        <f>SUMIFS($AD$37:$AD$12971,$V$37:$V$12971,$V2381,$X$37:$X$12971,AE$13)</f>
        <v>0</v>
      </c>
      <c r="AF2381" s="185">
        <f>SUMIFS($AD$37:$AD$12971,$V$37:$V$12971,$V2381,$X$37:$X$12971,AF$13)</f>
        <v>0</v>
      </c>
      <c r="AG2381" s="185">
        <f>SUMIFS($AD$37:$AD$12971,$V$37:$V$12971,$V2381,$X$37:$X$12971,AG$13)</f>
        <v>0</v>
      </c>
      <c r="AH2381" s="187">
        <f>SUMIFS($AD$37:$AD$12971,$V$37:$V$12971,$V2381,$X$37:$X$12971,AH$13)</f>
        <v>0</v>
      </c>
      <c r="AI2381" s="161">
        <f t="shared" si="1915"/>
        <v>0</v>
      </c>
      <c r="AK2381" s="172"/>
    </row>
    <row r="2382" spans="1:41" s="102" customFormat="1" ht="19.899999999999999" customHeight="1" x14ac:dyDescent="0.25">
      <c r="A2382" s="45"/>
      <c r="B2382" s="59"/>
      <c r="C2382" s="137"/>
      <c r="D2382" s="59"/>
      <c r="E2382" s="116"/>
      <c r="F2382" s="120"/>
      <c r="G2382" s="120"/>
      <c r="H2382" s="120"/>
      <c r="I2382" s="60"/>
      <c r="J2382" s="116"/>
      <c r="K2382" s="213"/>
      <c r="L2382" s="120"/>
      <c r="M2382" s="120"/>
      <c r="N2382" s="167"/>
      <c r="O2382" s="120"/>
      <c r="P2382" s="120"/>
      <c r="Q2382" s="120"/>
      <c r="R2382" s="120"/>
      <c r="S2382" s="120"/>
      <c r="T2382" s="221"/>
      <c r="U2382" s="89"/>
      <c r="V2382" s="61"/>
      <c r="W2382" s="92" t="s">
        <v>1448</v>
      </c>
      <c r="X2382" s="93" t="s">
        <v>30</v>
      </c>
      <c r="Y2382" s="93" t="s">
        <v>35</v>
      </c>
      <c r="Z2382" s="134">
        <f>VLOOKUP(W2382,Sheet2!$B:$D,3,FALSE)</f>
        <v>915</v>
      </c>
      <c r="AA2382" s="93">
        <v>1</v>
      </c>
      <c r="AB2382" s="93">
        <f t="shared" ref="AB2382" si="1916">AD2382/AC2381</f>
        <v>915</v>
      </c>
      <c r="AC2382" s="93">
        <f>AC2381/AA2382</f>
        <v>16.900000000000006</v>
      </c>
      <c r="AD2382" s="94">
        <f t="shared" ref="AD2382:AD2383" si="1917">AC2382*Z2382</f>
        <v>15463.500000000005</v>
      </c>
      <c r="AE2382" s="190"/>
      <c r="AF2382" s="191"/>
      <c r="AG2382" s="191"/>
      <c r="AH2382" s="191"/>
      <c r="AI2382" s="186"/>
      <c r="AK2382" s="171"/>
    </row>
    <row r="2383" spans="1:41" s="102" customFormat="1" ht="19.899999999999999" customHeight="1" x14ac:dyDescent="0.25">
      <c r="A2383" s="45"/>
      <c r="B2383" s="59"/>
      <c r="C2383" s="137"/>
      <c r="D2383" s="59"/>
      <c r="E2383" s="116"/>
      <c r="F2383" s="120"/>
      <c r="G2383" s="120"/>
      <c r="H2383" s="120"/>
      <c r="I2383" s="60"/>
      <c r="J2383" s="116"/>
      <c r="K2383" s="213"/>
      <c r="L2383" s="120"/>
      <c r="M2383" s="120"/>
      <c r="N2383" s="167"/>
      <c r="O2383" s="120"/>
      <c r="P2383" s="120"/>
      <c r="Q2383" s="120"/>
      <c r="R2383" s="120"/>
      <c r="S2383" s="120"/>
      <c r="T2383" s="221"/>
      <c r="U2383" s="89"/>
      <c r="V2383" s="61"/>
      <c r="W2383" s="92" t="s">
        <v>1449</v>
      </c>
      <c r="X2383" s="93" t="s">
        <v>30</v>
      </c>
      <c r="Y2383" s="93" t="s">
        <v>35</v>
      </c>
      <c r="Z2383" s="134">
        <f>VLOOKUP(W2383,Sheet2!$B:$D,3,FALSE)</f>
        <v>91.5</v>
      </c>
      <c r="AA2383" s="93">
        <v>1</v>
      </c>
      <c r="AB2383" s="93">
        <f>AD2383/AC2381</f>
        <v>91.5</v>
      </c>
      <c r="AC2383" s="93">
        <f>AC2381/AA2383</f>
        <v>16.900000000000006</v>
      </c>
      <c r="AD2383" s="94">
        <f t="shared" si="1917"/>
        <v>1546.3500000000006</v>
      </c>
      <c r="AE2383" s="190"/>
      <c r="AF2383" s="191"/>
      <c r="AG2383" s="191"/>
      <c r="AH2383" s="191"/>
      <c r="AI2383" s="186"/>
      <c r="AK2383" s="171"/>
    </row>
    <row r="2384" spans="1:41" s="102" customFormat="1" ht="19.899999999999999" customHeight="1" x14ac:dyDescent="0.25">
      <c r="A2384" s="45"/>
      <c r="B2384" s="59"/>
      <c r="C2384" s="137"/>
      <c r="D2384" s="59"/>
      <c r="E2384" s="116"/>
      <c r="F2384" s="120"/>
      <c r="G2384" s="120"/>
      <c r="H2384" s="120"/>
      <c r="I2384" s="60"/>
      <c r="J2384" s="116"/>
      <c r="K2384" s="213"/>
      <c r="L2384" s="120"/>
      <c r="M2384" s="120"/>
      <c r="N2384" s="167"/>
      <c r="O2384" s="120"/>
      <c r="P2384" s="120"/>
      <c r="Q2384" s="120"/>
      <c r="R2384" s="120"/>
      <c r="S2384" s="120"/>
      <c r="T2384" s="221"/>
      <c r="U2384" s="89"/>
      <c r="V2384" s="61"/>
      <c r="W2384" s="92" t="s">
        <v>1450</v>
      </c>
      <c r="X2384" s="93" t="s">
        <v>32</v>
      </c>
      <c r="Y2384" s="93" t="s">
        <v>35</v>
      </c>
      <c r="Z2384" s="134">
        <f>VLOOKUP(W2384,Sheet2!$B:$D,3,FALSE)</f>
        <v>100</v>
      </c>
      <c r="AA2384" s="93">
        <v>1</v>
      </c>
      <c r="AB2384" s="93">
        <f>AD2384/AC2381</f>
        <v>100</v>
      </c>
      <c r="AC2384" s="93">
        <f>AC2381/AA2384</f>
        <v>16.900000000000006</v>
      </c>
      <c r="AD2384" s="94">
        <f>AC2384*Z2384</f>
        <v>1690.0000000000005</v>
      </c>
      <c r="AE2384" s="190"/>
      <c r="AF2384" s="191"/>
      <c r="AG2384" s="191"/>
      <c r="AH2384" s="191"/>
      <c r="AI2384" s="186"/>
      <c r="AK2384" s="171"/>
    </row>
    <row r="2385" spans="1:41" ht="20.100000000000001" customHeight="1" x14ac:dyDescent="0.25">
      <c r="A2385" s="277" t="s">
        <v>410</v>
      </c>
      <c r="B2385" s="278"/>
      <c r="C2385" s="64" t="s">
        <v>462</v>
      </c>
      <c r="D2385" s="46" t="s">
        <v>215</v>
      </c>
      <c r="E2385" s="114">
        <v>37.499999999999986</v>
      </c>
      <c r="F2385" s="44">
        <v>2757</v>
      </c>
      <c r="G2385" s="44">
        <f t="shared" si="1686"/>
        <v>103387.49999999996</v>
      </c>
      <c r="H2385" s="44">
        <f t="shared" si="1687"/>
        <v>2240</v>
      </c>
      <c r="I2385" s="43">
        <f t="shared" si="1688"/>
        <v>83999.999999999971</v>
      </c>
      <c r="J2385" s="112">
        <f t="shared" si="1689"/>
        <v>37.499999999999986</v>
      </c>
      <c r="K2385" s="211">
        <f t="shared" si="1690"/>
        <v>37.499999999999986</v>
      </c>
      <c r="L2385" s="44"/>
      <c r="M2385" s="44">
        <f t="shared" si="1704"/>
        <v>37.499999999999986</v>
      </c>
      <c r="N2385" s="173">
        <f t="shared" si="1691"/>
        <v>1</v>
      </c>
      <c r="O2385" s="44">
        <f t="shared" si="1692"/>
        <v>2757</v>
      </c>
      <c r="P2385" s="44">
        <f t="shared" si="1693"/>
        <v>103387.49999999996</v>
      </c>
      <c r="Q2385" s="44">
        <f t="shared" si="1694"/>
        <v>2240</v>
      </c>
      <c r="R2385" s="44">
        <f t="shared" si="1705"/>
        <v>83999.999999999971</v>
      </c>
      <c r="S2385" s="123"/>
      <c r="T2385" s="219">
        <f t="shared" si="1706"/>
        <v>83999.999999999971</v>
      </c>
      <c r="U2385" s="87"/>
      <c r="V2385" s="47"/>
      <c r="W2385" s="48"/>
      <c r="X2385" s="48"/>
      <c r="Y2385" s="48"/>
      <c r="Z2385" s="135"/>
      <c r="AA2385" s="49"/>
      <c r="AB2385" s="50">
        <f t="shared" si="1695"/>
        <v>2240</v>
      </c>
      <c r="AC2385" s="42">
        <f t="shared" si="1707"/>
        <v>37.499999999999986</v>
      </c>
      <c r="AD2385" s="90">
        <f>AD2386</f>
        <v>83999.999999999971</v>
      </c>
      <c r="AE2385" s="188">
        <f t="shared" ref="AE2385:AH2385" si="1918">AE2386</f>
        <v>0</v>
      </c>
      <c r="AF2385" s="189">
        <f t="shared" si="1918"/>
        <v>0</v>
      </c>
      <c r="AG2385" s="189">
        <f t="shared" si="1918"/>
        <v>0</v>
      </c>
      <c r="AH2385" s="189">
        <f t="shared" si="1918"/>
        <v>0</v>
      </c>
      <c r="AI2385" s="161">
        <f t="shared" ref="AI2385:AI2386" si="1919">SUM(AE2385:AH2385)</f>
        <v>0</v>
      </c>
      <c r="AK2385" s="169">
        <v>5</v>
      </c>
      <c r="AO2385" s="19" t="s">
        <v>63</v>
      </c>
    </row>
    <row r="2386" spans="1:41" s="103" customFormat="1" ht="19.899999999999999" customHeight="1" x14ac:dyDescent="0.25">
      <c r="A2386" s="51"/>
      <c r="B2386" s="52"/>
      <c r="C2386" s="165"/>
      <c r="D2386" s="52"/>
      <c r="E2386" s="115"/>
      <c r="F2386" s="58"/>
      <c r="G2386" s="58"/>
      <c r="H2386" s="58"/>
      <c r="I2386" s="55"/>
      <c r="J2386" s="113">
        <f>J2385</f>
        <v>37.499999999999986</v>
      </c>
      <c r="K2386" s="212">
        <f>K2385</f>
        <v>37.499999999999986</v>
      </c>
      <c r="L2386" s="58"/>
      <c r="M2386" s="58">
        <f>K2386-L2386</f>
        <v>37.499999999999986</v>
      </c>
      <c r="N2386" s="166"/>
      <c r="O2386" s="58"/>
      <c r="P2386" s="58"/>
      <c r="Q2386" s="58"/>
      <c r="R2386" s="58"/>
      <c r="S2386" s="58"/>
      <c r="T2386" s="220"/>
      <c r="U2386" s="88"/>
      <c r="V2386" s="56"/>
      <c r="W2386" s="57" t="s">
        <v>1329</v>
      </c>
      <c r="X2386" s="53"/>
      <c r="Y2386" s="91" t="s">
        <v>35</v>
      </c>
      <c r="Z2386" s="136">
        <f>AD2386/AC2386</f>
        <v>2240</v>
      </c>
      <c r="AA2386" s="58"/>
      <c r="AB2386" s="53">
        <f>AD2386/AC2386</f>
        <v>2240</v>
      </c>
      <c r="AC2386" s="53">
        <f>M2386+$AE$10</f>
        <v>37.499999999999986</v>
      </c>
      <c r="AD2386" s="54">
        <f>SUM(AD2387:AD2389)</f>
        <v>83999.999999999971</v>
      </c>
      <c r="AE2386" s="184">
        <f>SUMIFS($AD$37:$AD$12971,$V$37:$V$12971,$V2386,$X$37:$X$12971,AE$13)</f>
        <v>0</v>
      </c>
      <c r="AF2386" s="185">
        <f>SUMIFS($AD$37:$AD$12971,$V$37:$V$12971,$V2386,$X$37:$X$12971,AF$13)</f>
        <v>0</v>
      </c>
      <c r="AG2386" s="185">
        <f>SUMIFS($AD$37:$AD$12971,$V$37:$V$12971,$V2386,$X$37:$X$12971,AG$13)</f>
        <v>0</v>
      </c>
      <c r="AH2386" s="187">
        <f>SUMIFS($AD$37:$AD$12971,$V$37:$V$12971,$V2386,$X$37:$X$12971,AH$13)</f>
        <v>0</v>
      </c>
      <c r="AI2386" s="161">
        <f t="shared" si="1919"/>
        <v>0</v>
      </c>
      <c r="AK2386" s="172"/>
    </row>
    <row r="2387" spans="1:41" s="102" customFormat="1" ht="19.899999999999999" customHeight="1" x14ac:dyDescent="0.25">
      <c r="A2387" s="45"/>
      <c r="B2387" s="59"/>
      <c r="C2387" s="137"/>
      <c r="D2387" s="59"/>
      <c r="E2387" s="116"/>
      <c r="F2387" s="120"/>
      <c r="G2387" s="120"/>
      <c r="H2387" s="120"/>
      <c r="I2387" s="60"/>
      <c r="J2387" s="116"/>
      <c r="K2387" s="213"/>
      <c r="L2387" s="120"/>
      <c r="M2387" s="120"/>
      <c r="N2387" s="167"/>
      <c r="O2387" s="120"/>
      <c r="P2387" s="120"/>
      <c r="Q2387" s="120"/>
      <c r="R2387" s="120"/>
      <c r="S2387" s="120"/>
      <c r="T2387" s="221"/>
      <c r="U2387" s="89"/>
      <c r="V2387" s="61"/>
      <c r="W2387" s="92" t="s">
        <v>1451</v>
      </c>
      <c r="X2387" s="93" t="s">
        <v>30</v>
      </c>
      <c r="Y2387" s="93" t="s">
        <v>35</v>
      </c>
      <c r="Z2387" s="134">
        <f>VLOOKUP(W2387,Sheet2!$B:$D,3,FALSE)</f>
        <v>1870</v>
      </c>
      <c r="AA2387" s="93">
        <v>1</v>
      </c>
      <c r="AB2387" s="93">
        <f t="shared" ref="AB2387" si="1920">AD2387/AC2386</f>
        <v>1870</v>
      </c>
      <c r="AC2387" s="93">
        <f>AC2386/AA2387</f>
        <v>37.499999999999986</v>
      </c>
      <c r="AD2387" s="94">
        <f t="shared" ref="AD2387:AD2388" si="1921">AC2387*Z2387</f>
        <v>70124.999999999971</v>
      </c>
      <c r="AE2387" s="190"/>
      <c r="AF2387" s="191"/>
      <c r="AG2387" s="191"/>
      <c r="AH2387" s="191"/>
      <c r="AI2387" s="186"/>
      <c r="AK2387" s="171"/>
    </row>
    <row r="2388" spans="1:41" s="102" customFormat="1" ht="19.899999999999999" customHeight="1" x14ac:dyDescent="0.25">
      <c r="A2388" s="45"/>
      <c r="B2388" s="59"/>
      <c r="C2388" s="137"/>
      <c r="D2388" s="59"/>
      <c r="E2388" s="116"/>
      <c r="F2388" s="120"/>
      <c r="G2388" s="120"/>
      <c r="H2388" s="120"/>
      <c r="I2388" s="60"/>
      <c r="J2388" s="116"/>
      <c r="K2388" s="213"/>
      <c r="L2388" s="120"/>
      <c r="M2388" s="120"/>
      <c r="N2388" s="167"/>
      <c r="O2388" s="120"/>
      <c r="P2388" s="120"/>
      <c r="Q2388" s="120"/>
      <c r="R2388" s="120"/>
      <c r="S2388" s="120"/>
      <c r="T2388" s="221"/>
      <c r="U2388" s="89"/>
      <c r="V2388" s="61"/>
      <c r="W2388" s="92" t="s">
        <v>1452</v>
      </c>
      <c r="X2388" s="93" t="s">
        <v>30</v>
      </c>
      <c r="Y2388" s="93" t="s">
        <v>35</v>
      </c>
      <c r="Z2388" s="134">
        <f>VLOOKUP(W2388,Sheet2!$B:$D,3,FALSE)</f>
        <v>170</v>
      </c>
      <c r="AA2388" s="93">
        <v>1</v>
      </c>
      <c r="AB2388" s="93">
        <f>AD2388/AC2386</f>
        <v>170</v>
      </c>
      <c r="AC2388" s="93">
        <f>AC2386/AA2388</f>
        <v>37.499999999999986</v>
      </c>
      <c r="AD2388" s="94">
        <f t="shared" si="1921"/>
        <v>6374.9999999999973</v>
      </c>
      <c r="AE2388" s="190"/>
      <c r="AF2388" s="191"/>
      <c r="AG2388" s="191"/>
      <c r="AH2388" s="191"/>
      <c r="AI2388" s="186"/>
      <c r="AK2388" s="171"/>
    </row>
    <row r="2389" spans="1:41" s="102" customFormat="1" ht="19.899999999999999" customHeight="1" x14ac:dyDescent="0.25">
      <c r="A2389" s="45"/>
      <c r="B2389" s="59"/>
      <c r="C2389" s="137"/>
      <c r="D2389" s="59"/>
      <c r="E2389" s="116"/>
      <c r="F2389" s="120"/>
      <c r="G2389" s="120"/>
      <c r="H2389" s="120"/>
      <c r="I2389" s="60"/>
      <c r="J2389" s="116"/>
      <c r="K2389" s="213"/>
      <c r="L2389" s="120"/>
      <c r="M2389" s="120"/>
      <c r="N2389" s="167"/>
      <c r="O2389" s="120"/>
      <c r="P2389" s="120"/>
      <c r="Q2389" s="120"/>
      <c r="R2389" s="120"/>
      <c r="S2389" s="120"/>
      <c r="T2389" s="221"/>
      <c r="U2389" s="89"/>
      <c r="V2389" s="61"/>
      <c r="W2389" s="92" t="s">
        <v>1453</v>
      </c>
      <c r="X2389" s="93" t="s">
        <v>32</v>
      </c>
      <c r="Y2389" s="93" t="s">
        <v>35</v>
      </c>
      <c r="Z2389" s="134">
        <f>VLOOKUP(W2389,Sheet2!$B:$D,3,FALSE)</f>
        <v>200</v>
      </c>
      <c r="AA2389" s="93">
        <v>1</v>
      </c>
      <c r="AB2389" s="93">
        <f>AD2389/AC2386</f>
        <v>200</v>
      </c>
      <c r="AC2389" s="93">
        <f>AC2386/AA2389</f>
        <v>37.499999999999986</v>
      </c>
      <c r="AD2389" s="94">
        <f>AC2389*Z2389</f>
        <v>7499.9999999999973</v>
      </c>
      <c r="AE2389" s="190"/>
      <c r="AF2389" s="191"/>
      <c r="AG2389" s="191"/>
      <c r="AH2389" s="191"/>
      <c r="AI2389" s="186"/>
      <c r="AK2389" s="171"/>
    </row>
    <row r="2390" spans="1:41" s="306" customFormat="1" ht="20.100000000000001" customHeight="1" x14ac:dyDescent="0.25">
      <c r="A2390" s="287" t="s">
        <v>410</v>
      </c>
      <c r="B2390" s="288"/>
      <c r="C2390" s="286" t="s">
        <v>1444</v>
      </c>
      <c r="D2390" s="289"/>
      <c r="E2390" s="290"/>
      <c r="F2390" s="291"/>
      <c r="G2390" s="291">
        <f t="shared" ref="G2390" si="1922">F2390*E2390</f>
        <v>0</v>
      </c>
      <c r="H2390" s="291">
        <f t="shared" ref="H2390" si="1923">AB2390</f>
        <v>0</v>
      </c>
      <c r="I2390" s="292">
        <f t="shared" ref="I2390" si="1924">H2390*E2390</f>
        <v>0</v>
      </c>
      <c r="J2390" s="290">
        <f t="shared" ref="J2390" si="1925">E2390</f>
        <v>0</v>
      </c>
      <c r="K2390" s="293">
        <f t="shared" ref="K2390" si="1926">J2390</f>
        <v>0</v>
      </c>
      <c r="L2390" s="291"/>
      <c r="M2390" s="291">
        <f t="shared" ref="M2390" si="1927">K2390-L2390</f>
        <v>0</v>
      </c>
      <c r="N2390" s="294">
        <f t="shared" ref="N2390" si="1928">IFERROR(M2390/K2390,0)</f>
        <v>0</v>
      </c>
      <c r="O2390" s="291">
        <f t="shared" ref="O2390" si="1929">F2390</f>
        <v>0</v>
      </c>
      <c r="P2390" s="291">
        <f t="shared" ref="P2390" si="1930">K2390*O2390</f>
        <v>0</v>
      </c>
      <c r="Q2390" s="291">
        <f t="shared" ref="Q2390" si="1931">AB2390</f>
        <v>0</v>
      </c>
      <c r="R2390" s="291">
        <f t="shared" ref="R2390" si="1932">M2390*Q2390</f>
        <v>0</v>
      </c>
      <c r="S2390" s="291"/>
      <c r="T2390" s="295">
        <f t="shared" ref="T2390" si="1933">S2390+R2390</f>
        <v>0</v>
      </c>
      <c r="U2390" s="296"/>
      <c r="V2390" s="297"/>
      <c r="W2390" s="298"/>
      <c r="X2390" s="299"/>
      <c r="Y2390" s="300"/>
      <c r="Z2390" s="301"/>
      <c r="AA2390" s="300"/>
      <c r="AB2390" s="300">
        <f t="shared" ref="AB2390" si="1934">AD2390/AC2390</f>
        <v>0</v>
      </c>
      <c r="AC2390" s="300">
        <f t="shared" ref="AC2390" si="1935">M2390+$AE$10</f>
        <v>9.9999999999999998E-20</v>
      </c>
      <c r="AD2390" s="302"/>
      <c r="AE2390" s="303"/>
      <c r="AF2390" s="304"/>
      <c r="AG2390" s="304"/>
      <c r="AH2390" s="304"/>
      <c r="AI2390" s="305"/>
      <c r="AK2390" s="307"/>
    </row>
    <row r="2391" spans="1:41" ht="20.100000000000001" customHeight="1" x14ac:dyDescent="0.25">
      <c r="A2391" s="277" t="s">
        <v>410</v>
      </c>
      <c r="B2391" s="278"/>
      <c r="C2391" s="64" t="s">
        <v>463</v>
      </c>
      <c r="D2391" s="46" t="s">
        <v>215</v>
      </c>
      <c r="E2391" s="114">
        <v>11.449999999999996</v>
      </c>
      <c r="F2391" s="44">
        <v>12273</v>
      </c>
      <c r="G2391" s="44">
        <f t="shared" si="1686"/>
        <v>140525.84999999995</v>
      </c>
      <c r="H2391" s="44">
        <f t="shared" si="1687"/>
        <v>9431</v>
      </c>
      <c r="I2391" s="43">
        <f t="shared" si="1688"/>
        <v>107984.94999999995</v>
      </c>
      <c r="J2391" s="112">
        <f t="shared" si="1689"/>
        <v>11.449999999999996</v>
      </c>
      <c r="K2391" s="211">
        <f t="shared" si="1690"/>
        <v>11.449999999999996</v>
      </c>
      <c r="L2391" s="44"/>
      <c r="M2391" s="44">
        <f t="shared" si="1704"/>
        <v>11.449999999999996</v>
      </c>
      <c r="N2391" s="173">
        <f t="shared" si="1691"/>
        <v>1</v>
      </c>
      <c r="O2391" s="44">
        <f t="shared" si="1692"/>
        <v>12273</v>
      </c>
      <c r="P2391" s="44">
        <f t="shared" si="1693"/>
        <v>140525.84999999995</v>
      </c>
      <c r="Q2391" s="44">
        <f t="shared" si="1694"/>
        <v>9431</v>
      </c>
      <c r="R2391" s="44">
        <f t="shared" si="1705"/>
        <v>107984.94999999995</v>
      </c>
      <c r="S2391" s="123"/>
      <c r="T2391" s="219">
        <f t="shared" si="1706"/>
        <v>107984.94999999995</v>
      </c>
      <c r="U2391" s="87"/>
      <c r="V2391" s="47"/>
      <c r="W2391" s="48"/>
      <c r="X2391" s="48"/>
      <c r="Y2391" s="48"/>
      <c r="Z2391" s="135"/>
      <c r="AA2391" s="49"/>
      <c r="AB2391" s="50">
        <f t="shared" si="1695"/>
        <v>9431</v>
      </c>
      <c r="AC2391" s="42">
        <f t="shared" si="1707"/>
        <v>11.449999999999996</v>
      </c>
      <c r="AD2391" s="90">
        <f>AD2392</f>
        <v>107984.94999999995</v>
      </c>
      <c r="AE2391" s="188">
        <f t="shared" ref="AE2391:AH2391" si="1936">AE2392</f>
        <v>0</v>
      </c>
      <c r="AF2391" s="189">
        <f t="shared" si="1936"/>
        <v>0</v>
      </c>
      <c r="AG2391" s="189">
        <f t="shared" si="1936"/>
        <v>0</v>
      </c>
      <c r="AH2391" s="189">
        <f t="shared" si="1936"/>
        <v>0</v>
      </c>
      <c r="AI2391" s="161">
        <f t="shared" ref="AI2391:AI2396" si="1937">SUM(AE2391:AH2391)</f>
        <v>0</v>
      </c>
      <c r="AK2391" s="169">
        <v>5</v>
      </c>
      <c r="AO2391" s="19" t="s">
        <v>63</v>
      </c>
    </row>
    <row r="2392" spans="1:41" s="103" customFormat="1" ht="19.899999999999999" customHeight="1" x14ac:dyDescent="0.25">
      <c r="A2392" s="51"/>
      <c r="B2392" s="52"/>
      <c r="C2392" s="165"/>
      <c r="D2392" s="52"/>
      <c r="E2392" s="115"/>
      <c r="F2392" s="58"/>
      <c r="G2392" s="58"/>
      <c r="H2392" s="58"/>
      <c r="I2392" s="55"/>
      <c r="J2392" s="113">
        <f>J2391</f>
        <v>11.449999999999996</v>
      </c>
      <c r="K2392" s="212">
        <f>K2391</f>
        <v>11.449999999999996</v>
      </c>
      <c r="L2392" s="58"/>
      <c r="M2392" s="58">
        <f>K2392-L2392</f>
        <v>11.449999999999996</v>
      </c>
      <c r="N2392" s="166"/>
      <c r="O2392" s="58"/>
      <c r="P2392" s="58"/>
      <c r="Q2392" s="58"/>
      <c r="R2392" s="58"/>
      <c r="S2392" s="58"/>
      <c r="T2392" s="220"/>
      <c r="U2392" s="88"/>
      <c r="V2392" s="56"/>
      <c r="W2392" s="57" t="s">
        <v>1329</v>
      </c>
      <c r="X2392" s="53"/>
      <c r="Y2392" s="91" t="s">
        <v>35</v>
      </c>
      <c r="Z2392" s="136">
        <f>AD2392/AC2392</f>
        <v>9431</v>
      </c>
      <c r="AA2392" s="58"/>
      <c r="AB2392" s="53">
        <f>AD2392/AC2392</f>
        <v>9431</v>
      </c>
      <c r="AC2392" s="53">
        <f>M2392+$AE$10</f>
        <v>11.449999999999996</v>
      </c>
      <c r="AD2392" s="54">
        <f>SUM(AD2393:AD2395)</f>
        <v>107984.94999999995</v>
      </c>
      <c r="AE2392" s="184">
        <f>SUMIFS($AD$37:$AD$12971,$V$37:$V$12971,$V2392,$X$37:$X$12971,AE$13)</f>
        <v>0</v>
      </c>
      <c r="AF2392" s="185">
        <f>SUMIFS($AD$37:$AD$12971,$V$37:$V$12971,$V2392,$X$37:$X$12971,AF$13)</f>
        <v>0</v>
      </c>
      <c r="AG2392" s="185">
        <f>SUMIFS($AD$37:$AD$12971,$V$37:$V$12971,$V2392,$X$37:$X$12971,AG$13)</f>
        <v>0</v>
      </c>
      <c r="AH2392" s="187">
        <f>SUMIFS($AD$37:$AD$12971,$V$37:$V$12971,$V2392,$X$37:$X$12971,AH$13)</f>
        <v>0</v>
      </c>
      <c r="AI2392" s="161">
        <f t="shared" si="1937"/>
        <v>0</v>
      </c>
      <c r="AK2392" s="172"/>
    </row>
    <row r="2393" spans="1:41" s="102" customFormat="1" ht="19.899999999999999" customHeight="1" x14ac:dyDescent="0.25">
      <c r="A2393" s="45"/>
      <c r="B2393" s="59"/>
      <c r="C2393" s="137"/>
      <c r="D2393" s="59"/>
      <c r="E2393" s="116"/>
      <c r="F2393" s="120"/>
      <c r="G2393" s="120"/>
      <c r="H2393" s="120"/>
      <c r="I2393" s="60"/>
      <c r="J2393" s="116"/>
      <c r="K2393" s="213"/>
      <c r="L2393" s="120"/>
      <c r="M2393" s="120"/>
      <c r="N2393" s="167"/>
      <c r="O2393" s="120"/>
      <c r="P2393" s="120"/>
      <c r="Q2393" s="120"/>
      <c r="R2393" s="120"/>
      <c r="S2393" s="120"/>
      <c r="T2393" s="221"/>
      <c r="U2393" s="89"/>
      <c r="V2393" s="61"/>
      <c r="W2393" s="92" t="s">
        <v>1454</v>
      </c>
      <c r="X2393" s="93" t="s">
        <v>30</v>
      </c>
      <c r="Y2393" s="93" t="s">
        <v>35</v>
      </c>
      <c r="Z2393" s="134">
        <f>VLOOKUP(W2393,Sheet2!$B:$D,3,FALSE)</f>
        <v>7210</v>
      </c>
      <c r="AA2393" s="93">
        <v>1</v>
      </c>
      <c r="AB2393" s="93">
        <f t="shared" ref="AB2393" si="1938">AD2393/AC2392</f>
        <v>7210</v>
      </c>
      <c r="AC2393" s="93">
        <f>AC2392/AA2393</f>
        <v>11.449999999999996</v>
      </c>
      <c r="AD2393" s="94">
        <f t="shared" ref="AD2393:AD2394" si="1939">AC2393*Z2393</f>
        <v>82554.499999999971</v>
      </c>
      <c r="AE2393" s="190"/>
      <c r="AF2393" s="191"/>
      <c r="AG2393" s="191"/>
      <c r="AH2393" s="191"/>
      <c r="AI2393" s="186"/>
      <c r="AK2393" s="171"/>
    </row>
    <row r="2394" spans="1:41" s="102" customFormat="1" ht="19.899999999999999" customHeight="1" x14ac:dyDescent="0.25">
      <c r="A2394" s="45"/>
      <c r="B2394" s="59"/>
      <c r="C2394" s="137"/>
      <c r="D2394" s="59"/>
      <c r="E2394" s="116"/>
      <c r="F2394" s="120"/>
      <c r="G2394" s="120"/>
      <c r="H2394" s="120"/>
      <c r="I2394" s="60"/>
      <c r="J2394" s="116"/>
      <c r="K2394" s="213"/>
      <c r="L2394" s="120"/>
      <c r="M2394" s="120"/>
      <c r="N2394" s="167"/>
      <c r="O2394" s="120"/>
      <c r="P2394" s="120"/>
      <c r="Q2394" s="120"/>
      <c r="R2394" s="120"/>
      <c r="S2394" s="120"/>
      <c r="T2394" s="221"/>
      <c r="U2394" s="89"/>
      <c r="V2394" s="61"/>
      <c r="W2394" s="92" t="s">
        <v>1455</v>
      </c>
      <c r="X2394" s="93" t="s">
        <v>30</v>
      </c>
      <c r="Y2394" s="93" t="s">
        <v>35</v>
      </c>
      <c r="Z2394" s="134">
        <f>VLOOKUP(W2394,Sheet2!$B:$D,3,FALSE)</f>
        <v>721</v>
      </c>
      <c r="AA2394" s="93">
        <v>1</v>
      </c>
      <c r="AB2394" s="93">
        <f>AD2394/AC2392</f>
        <v>721</v>
      </c>
      <c r="AC2394" s="93">
        <f>AC2392/AA2394</f>
        <v>11.449999999999996</v>
      </c>
      <c r="AD2394" s="94">
        <f t="shared" si="1939"/>
        <v>8255.4499999999971</v>
      </c>
      <c r="AE2394" s="190"/>
      <c r="AF2394" s="191"/>
      <c r="AG2394" s="191"/>
      <c r="AH2394" s="191"/>
      <c r="AI2394" s="186"/>
      <c r="AK2394" s="171"/>
    </row>
    <row r="2395" spans="1:41" s="102" customFormat="1" ht="19.899999999999999" customHeight="1" x14ac:dyDescent="0.25">
      <c r="A2395" s="45"/>
      <c r="B2395" s="59"/>
      <c r="C2395" s="137"/>
      <c r="D2395" s="59"/>
      <c r="E2395" s="116"/>
      <c r="F2395" s="120"/>
      <c r="G2395" s="120"/>
      <c r="H2395" s="120"/>
      <c r="I2395" s="60"/>
      <c r="J2395" s="116"/>
      <c r="K2395" s="213"/>
      <c r="L2395" s="120"/>
      <c r="M2395" s="120"/>
      <c r="N2395" s="167"/>
      <c r="O2395" s="120"/>
      <c r="P2395" s="120"/>
      <c r="Q2395" s="120"/>
      <c r="R2395" s="120"/>
      <c r="S2395" s="120"/>
      <c r="T2395" s="221"/>
      <c r="U2395" s="89"/>
      <c r="V2395" s="61"/>
      <c r="W2395" s="92" t="s">
        <v>1456</v>
      </c>
      <c r="X2395" s="93" t="s">
        <v>32</v>
      </c>
      <c r="Y2395" s="93" t="s">
        <v>35</v>
      </c>
      <c r="Z2395" s="134">
        <f>VLOOKUP(W2395,Sheet2!$B:$D,3,FALSE)</f>
        <v>1500</v>
      </c>
      <c r="AA2395" s="93">
        <v>1</v>
      </c>
      <c r="AB2395" s="93">
        <f>AD2395/AC2392</f>
        <v>1500</v>
      </c>
      <c r="AC2395" s="93">
        <f>AC2392/AA2395</f>
        <v>11.449999999999996</v>
      </c>
      <c r="AD2395" s="94">
        <f>AC2395*Z2395</f>
        <v>17174.999999999993</v>
      </c>
      <c r="AE2395" s="190"/>
      <c r="AF2395" s="191"/>
      <c r="AG2395" s="191"/>
      <c r="AH2395" s="191"/>
      <c r="AI2395" s="186"/>
      <c r="AK2395" s="171"/>
    </row>
    <row r="2396" spans="1:41" ht="20.100000000000001" customHeight="1" x14ac:dyDescent="0.25">
      <c r="A2396" s="277" t="s">
        <v>410</v>
      </c>
      <c r="B2396" s="278"/>
      <c r="C2396" s="64" t="s">
        <v>464</v>
      </c>
      <c r="D2396" s="46" t="s">
        <v>215</v>
      </c>
      <c r="E2396" s="114">
        <v>1.3</v>
      </c>
      <c r="F2396" s="44">
        <v>16691</v>
      </c>
      <c r="G2396" s="44">
        <f t="shared" si="1686"/>
        <v>21698.3</v>
      </c>
      <c r="H2396" s="44">
        <f t="shared" si="1687"/>
        <v>12225</v>
      </c>
      <c r="I2396" s="43">
        <f t="shared" si="1688"/>
        <v>15892.5</v>
      </c>
      <c r="J2396" s="112">
        <f t="shared" si="1689"/>
        <v>1.3</v>
      </c>
      <c r="K2396" s="211">
        <f t="shared" si="1690"/>
        <v>1.3</v>
      </c>
      <c r="L2396" s="44"/>
      <c r="M2396" s="44">
        <f t="shared" si="1704"/>
        <v>1.3</v>
      </c>
      <c r="N2396" s="173">
        <f t="shared" si="1691"/>
        <v>1</v>
      </c>
      <c r="O2396" s="44">
        <f t="shared" si="1692"/>
        <v>16691</v>
      </c>
      <c r="P2396" s="44">
        <f t="shared" si="1693"/>
        <v>21698.3</v>
      </c>
      <c r="Q2396" s="44">
        <f t="shared" si="1694"/>
        <v>12225</v>
      </c>
      <c r="R2396" s="44">
        <f t="shared" si="1705"/>
        <v>15892.5</v>
      </c>
      <c r="S2396" s="123"/>
      <c r="T2396" s="219">
        <f t="shared" si="1706"/>
        <v>15892.5</v>
      </c>
      <c r="U2396" s="87"/>
      <c r="V2396" s="47"/>
      <c r="W2396" s="48"/>
      <c r="X2396" s="48"/>
      <c r="Y2396" s="48"/>
      <c r="Z2396" s="135"/>
      <c r="AA2396" s="49"/>
      <c r="AB2396" s="50">
        <f t="shared" si="1695"/>
        <v>12225</v>
      </c>
      <c r="AC2396" s="42">
        <f t="shared" si="1707"/>
        <v>1.3</v>
      </c>
      <c r="AD2396" s="90">
        <f>AD2397</f>
        <v>15892.5</v>
      </c>
      <c r="AE2396" s="188">
        <f t="shared" ref="AE2396:AH2396" si="1940">AE2397</f>
        <v>0</v>
      </c>
      <c r="AF2396" s="189">
        <f t="shared" si="1940"/>
        <v>0</v>
      </c>
      <c r="AG2396" s="189">
        <f t="shared" si="1940"/>
        <v>0</v>
      </c>
      <c r="AH2396" s="189">
        <f t="shared" si="1940"/>
        <v>0</v>
      </c>
      <c r="AI2396" s="161">
        <f t="shared" si="1937"/>
        <v>0</v>
      </c>
      <c r="AK2396" s="169">
        <v>5</v>
      </c>
      <c r="AO2396" s="19" t="s">
        <v>63</v>
      </c>
    </row>
    <row r="2397" spans="1:41" s="103" customFormat="1" ht="19.899999999999999" customHeight="1" x14ac:dyDescent="0.25">
      <c r="A2397" s="51"/>
      <c r="B2397" s="52"/>
      <c r="C2397" s="165"/>
      <c r="D2397" s="52"/>
      <c r="E2397" s="115"/>
      <c r="F2397" s="58"/>
      <c r="G2397" s="58"/>
      <c r="H2397" s="58"/>
      <c r="I2397" s="55"/>
      <c r="J2397" s="113">
        <f>J2396</f>
        <v>1.3</v>
      </c>
      <c r="K2397" s="212">
        <f>K2396</f>
        <v>1.3</v>
      </c>
      <c r="L2397" s="58"/>
      <c r="M2397" s="58">
        <f>K2397-L2397</f>
        <v>1.3</v>
      </c>
      <c r="N2397" s="166"/>
      <c r="O2397" s="58"/>
      <c r="P2397" s="58"/>
      <c r="Q2397" s="58"/>
      <c r="R2397" s="58"/>
      <c r="S2397" s="58"/>
      <c r="T2397" s="220"/>
      <c r="U2397" s="88"/>
      <c r="V2397" s="56"/>
      <c r="W2397" s="57" t="s">
        <v>1329</v>
      </c>
      <c r="X2397" s="53"/>
      <c r="Y2397" s="91" t="s">
        <v>35</v>
      </c>
      <c r="Z2397" s="136">
        <f>AD2397/AC2397</f>
        <v>12225</v>
      </c>
      <c r="AA2397" s="58"/>
      <c r="AB2397" s="53">
        <f>AD2397/AC2397</f>
        <v>12225</v>
      </c>
      <c r="AC2397" s="53">
        <f>M2397+$AE$10</f>
        <v>1.3</v>
      </c>
      <c r="AD2397" s="54">
        <f>SUM(AD2398:AD2400)</f>
        <v>15892.5</v>
      </c>
      <c r="AE2397" s="184">
        <f>SUMIFS($AD$37:$AD$12971,$V$37:$V$12971,$V2397,$X$37:$X$12971,AE$13)</f>
        <v>0</v>
      </c>
      <c r="AF2397" s="185">
        <f>SUMIFS($AD$37:$AD$12971,$V$37:$V$12971,$V2397,$X$37:$X$12971,AF$13)</f>
        <v>0</v>
      </c>
      <c r="AG2397" s="185">
        <f>SUMIFS($AD$37:$AD$12971,$V$37:$V$12971,$V2397,$X$37:$X$12971,AG$13)</f>
        <v>0</v>
      </c>
      <c r="AH2397" s="187">
        <f>SUMIFS($AD$37:$AD$12971,$V$37:$V$12971,$V2397,$X$37:$X$12971,AH$13)</f>
        <v>0</v>
      </c>
      <c r="AI2397" s="161">
        <f t="shared" ref="AI2397" si="1941">SUM(AE2397:AH2397)</f>
        <v>0</v>
      </c>
      <c r="AK2397" s="172"/>
    </row>
    <row r="2398" spans="1:41" s="102" customFormat="1" ht="19.899999999999999" customHeight="1" x14ac:dyDescent="0.25">
      <c r="A2398" s="45"/>
      <c r="B2398" s="59"/>
      <c r="C2398" s="137"/>
      <c r="D2398" s="59"/>
      <c r="E2398" s="116"/>
      <c r="F2398" s="120"/>
      <c r="G2398" s="120"/>
      <c r="H2398" s="120"/>
      <c r="I2398" s="60"/>
      <c r="J2398" s="116"/>
      <c r="K2398" s="213"/>
      <c r="L2398" s="120"/>
      <c r="M2398" s="120"/>
      <c r="N2398" s="167"/>
      <c r="O2398" s="120"/>
      <c r="P2398" s="120"/>
      <c r="Q2398" s="120"/>
      <c r="R2398" s="120"/>
      <c r="S2398" s="120"/>
      <c r="T2398" s="221"/>
      <c r="U2398" s="89"/>
      <c r="V2398" s="61"/>
      <c r="W2398" s="92" t="s">
        <v>1457</v>
      </c>
      <c r="X2398" s="93" t="s">
        <v>30</v>
      </c>
      <c r="Y2398" s="93" t="s">
        <v>35</v>
      </c>
      <c r="Z2398" s="134">
        <f>VLOOKUP(W2398,Sheet2!$B:$D,3,FALSE)</f>
        <v>9750</v>
      </c>
      <c r="AA2398" s="93">
        <v>1</v>
      </c>
      <c r="AB2398" s="93">
        <f t="shared" ref="AB2398" si="1942">AD2398/AC2397</f>
        <v>9750</v>
      </c>
      <c r="AC2398" s="93">
        <f>AC2397/AA2398</f>
        <v>1.3</v>
      </c>
      <c r="AD2398" s="94">
        <f t="shared" ref="AD2398:AD2399" si="1943">AC2398*Z2398</f>
        <v>12675</v>
      </c>
      <c r="AE2398" s="190"/>
      <c r="AF2398" s="191"/>
      <c r="AG2398" s="191"/>
      <c r="AH2398" s="191"/>
      <c r="AI2398" s="186"/>
      <c r="AK2398" s="171"/>
    </row>
    <row r="2399" spans="1:41" s="102" customFormat="1" ht="19.899999999999999" customHeight="1" x14ac:dyDescent="0.25">
      <c r="A2399" s="45"/>
      <c r="B2399" s="59"/>
      <c r="C2399" s="137"/>
      <c r="D2399" s="59"/>
      <c r="E2399" s="116"/>
      <c r="F2399" s="120"/>
      <c r="G2399" s="120"/>
      <c r="H2399" s="120"/>
      <c r="I2399" s="60"/>
      <c r="J2399" s="116"/>
      <c r="K2399" s="213"/>
      <c r="L2399" s="120"/>
      <c r="M2399" s="120"/>
      <c r="N2399" s="167"/>
      <c r="O2399" s="120"/>
      <c r="P2399" s="120"/>
      <c r="Q2399" s="120"/>
      <c r="R2399" s="120"/>
      <c r="S2399" s="120"/>
      <c r="T2399" s="221"/>
      <c r="U2399" s="89"/>
      <c r="V2399" s="61"/>
      <c r="W2399" s="92" t="s">
        <v>1458</v>
      </c>
      <c r="X2399" s="93" t="s">
        <v>30</v>
      </c>
      <c r="Y2399" s="93" t="s">
        <v>35</v>
      </c>
      <c r="Z2399" s="134">
        <f>VLOOKUP(W2399,Sheet2!$B:$D,3,FALSE)</f>
        <v>975</v>
      </c>
      <c r="AA2399" s="93">
        <v>1</v>
      </c>
      <c r="AB2399" s="93">
        <f>AD2399/AC2397</f>
        <v>975</v>
      </c>
      <c r="AC2399" s="93">
        <f>AC2397/AA2399</f>
        <v>1.3</v>
      </c>
      <c r="AD2399" s="94">
        <f t="shared" si="1943"/>
        <v>1267.5</v>
      </c>
      <c r="AE2399" s="190"/>
      <c r="AF2399" s="191"/>
      <c r="AG2399" s="191"/>
      <c r="AH2399" s="191"/>
      <c r="AI2399" s="186"/>
      <c r="AK2399" s="171"/>
    </row>
    <row r="2400" spans="1:41" s="102" customFormat="1" ht="19.899999999999999" customHeight="1" x14ac:dyDescent="0.25">
      <c r="A2400" s="45"/>
      <c r="B2400" s="59"/>
      <c r="C2400" s="137"/>
      <c r="D2400" s="59"/>
      <c r="E2400" s="116"/>
      <c r="F2400" s="120"/>
      <c r="G2400" s="120"/>
      <c r="H2400" s="120"/>
      <c r="I2400" s="60"/>
      <c r="J2400" s="116"/>
      <c r="K2400" s="213"/>
      <c r="L2400" s="120"/>
      <c r="M2400" s="120"/>
      <c r="N2400" s="167"/>
      <c r="O2400" s="120"/>
      <c r="P2400" s="120"/>
      <c r="Q2400" s="120"/>
      <c r="R2400" s="120"/>
      <c r="S2400" s="120"/>
      <c r="T2400" s="221"/>
      <c r="U2400" s="89"/>
      <c r="V2400" s="61"/>
      <c r="W2400" s="92" t="s">
        <v>1459</v>
      </c>
      <c r="X2400" s="93" t="s">
        <v>32</v>
      </c>
      <c r="Y2400" s="93" t="s">
        <v>35</v>
      </c>
      <c r="Z2400" s="134">
        <f>VLOOKUP(W2400,Sheet2!$B:$D,3,FALSE)</f>
        <v>1500</v>
      </c>
      <c r="AA2400" s="93">
        <v>1</v>
      </c>
      <c r="AB2400" s="93">
        <f>AD2400/AC2397</f>
        <v>1500</v>
      </c>
      <c r="AC2400" s="93">
        <f>AC2397/AA2400</f>
        <v>1.3</v>
      </c>
      <c r="AD2400" s="94">
        <f>AC2400*Z2400</f>
        <v>1950</v>
      </c>
      <c r="AE2400" s="190"/>
      <c r="AF2400" s="191"/>
      <c r="AG2400" s="191"/>
      <c r="AH2400" s="191"/>
      <c r="AI2400" s="186"/>
      <c r="AK2400" s="171"/>
    </row>
    <row r="2401" spans="1:41" ht="20.100000000000001" customHeight="1" x14ac:dyDescent="0.25">
      <c r="A2401" s="277" t="s">
        <v>410</v>
      </c>
      <c r="B2401" s="278"/>
      <c r="C2401" s="64" t="s">
        <v>460</v>
      </c>
      <c r="D2401" s="46" t="s">
        <v>215</v>
      </c>
      <c r="E2401" s="114"/>
      <c r="F2401" s="44"/>
      <c r="G2401" s="44">
        <f t="shared" si="1686"/>
        <v>0</v>
      </c>
      <c r="H2401" s="44">
        <f t="shared" si="1687"/>
        <v>0</v>
      </c>
      <c r="I2401" s="43">
        <f t="shared" si="1688"/>
        <v>0</v>
      </c>
      <c r="J2401" s="112">
        <f t="shared" si="1689"/>
        <v>0</v>
      </c>
      <c r="K2401" s="211">
        <f t="shared" si="1690"/>
        <v>0</v>
      </c>
      <c r="L2401" s="44"/>
      <c r="M2401" s="44">
        <f t="shared" si="1704"/>
        <v>0</v>
      </c>
      <c r="N2401" s="173">
        <f t="shared" si="1691"/>
        <v>0</v>
      </c>
      <c r="O2401" s="44">
        <f t="shared" si="1692"/>
        <v>0</v>
      </c>
      <c r="P2401" s="44">
        <f t="shared" si="1693"/>
        <v>0</v>
      </c>
      <c r="Q2401" s="44">
        <f t="shared" si="1694"/>
        <v>0</v>
      </c>
      <c r="R2401" s="44">
        <f t="shared" si="1705"/>
        <v>0</v>
      </c>
      <c r="S2401" s="123"/>
      <c r="T2401" s="219">
        <f t="shared" si="1706"/>
        <v>0</v>
      </c>
      <c r="U2401" s="87"/>
      <c r="V2401" s="47"/>
      <c r="W2401" s="48"/>
      <c r="X2401" s="48"/>
      <c r="Y2401" s="48"/>
      <c r="Z2401" s="135"/>
      <c r="AA2401" s="49"/>
      <c r="AB2401" s="50">
        <f t="shared" si="1695"/>
        <v>0</v>
      </c>
      <c r="AC2401" s="42">
        <f t="shared" si="1707"/>
        <v>9.9999999999999998E-20</v>
      </c>
      <c r="AD2401" s="90"/>
      <c r="AE2401" s="188"/>
      <c r="AF2401" s="189"/>
      <c r="AG2401" s="189"/>
      <c r="AH2401" s="189"/>
      <c r="AI2401" s="161"/>
    </row>
    <row r="2402" spans="1:41" ht="20.100000000000001" customHeight="1" x14ac:dyDescent="0.25">
      <c r="A2402" s="277" t="s">
        <v>410</v>
      </c>
      <c r="B2402" s="278"/>
      <c r="C2402" s="64" t="s">
        <v>461</v>
      </c>
      <c r="D2402" s="46" t="s">
        <v>215</v>
      </c>
      <c r="E2402" s="114"/>
      <c r="F2402" s="44"/>
      <c r="G2402" s="44">
        <f t="shared" si="1686"/>
        <v>0</v>
      </c>
      <c r="H2402" s="44">
        <f t="shared" si="1687"/>
        <v>0</v>
      </c>
      <c r="I2402" s="43">
        <f t="shared" si="1688"/>
        <v>0</v>
      </c>
      <c r="J2402" s="112">
        <f t="shared" si="1689"/>
        <v>0</v>
      </c>
      <c r="K2402" s="211">
        <f t="shared" si="1690"/>
        <v>0</v>
      </c>
      <c r="L2402" s="44"/>
      <c r="M2402" s="44">
        <f t="shared" si="1704"/>
        <v>0</v>
      </c>
      <c r="N2402" s="173">
        <f t="shared" si="1691"/>
        <v>0</v>
      </c>
      <c r="O2402" s="44">
        <f t="shared" si="1692"/>
        <v>0</v>
      </c>
      <c r="P2402" s="44">
        <f t="shared" si="1693"/>
        <v>0</v>
      </c>
      <c r="Q2402" s="44">
        <f t="shared" si="1694"/>
        <v>0</v>
      </c>
      <c r="R2402" s="44">
        <f t="shared" si="1705"/>
        <v>0</v>
      </c>
      <c r="S2402" s="123"/>
      <c r="T2402" s="219">
        <f t="shared" si="1706"/>
        <v>0</v>
      </c>
      <c r="U2402" s="87"/>
      <c r="V2402" s="47"/>
      <c r="W2402" s="48"/>
      <c r="X2402" s="48"/>
      <c r="Y2402" s="48"/>
      <c r="Z2402" s="135"/>
      <c r="AA2402" s="49"/>
      <c r="AB2402" s="50">
        <f t="shared" si="1695"/>
        <v>0</v>
      </c>
      <c r="AC2402" s="42">
        <f t="shared" si="1707"/>
        <v>9.9999999999999998E-20</v>
      </c>
      <c r="AD2402" s="90"/>
      <c r="AE2402" s="188"/>
      <c r="AF2402" s="189"/>
      <c r="AG2402" s="189"/>
      <c r="AH2402" s="189"/>
      <c r="AI2402" s="161"/>
    </row>
    <row r="2403" spans="1:41" ht="20.100000000000001" customHeight="1" x14ac:dyDescent="0.25">
      <c r="A2403" s="277" t="s">
        <v>410</v>
      </c>
      <c r="B2403" s="278"/>
      <c r="C2403" s="64" t="s">
        <v>462</v>
      </c>
      <c r="D2403" s="46" t="s">
        <v>215</v>
      </c>
      <c r="E2403" s="114"/>
      <c r="F2403" s="44"/>
      <c r="G2403" s="44">
        <f t="shared" si="1686"/>
        <v>0</v>
      </c>
      <c r="H2403" s="44">
        <f t="shared" si="1687"/>
        <v>0</v>
      </c>
      <c r="I2403" s="43">
        <f t="shared" si="1688"/>
        <v>0</v>
      </c>
      <c r="J2403" s="112">
        <f t="shared" si="1689"/>
        <v>0</v>
      </c>
      <c r="K2403" s="211">
        <f t="shared" si="1690"/>
        <v>0</v>
      </c>
      <c r="L2403" s="44"/>
      <c r="M2403" s="44">
        <f t="shared" si="1704"/>
        <v>0</v>
      </c>
      <c r="N2403" s="173">
        <f t="shared" si="1691"/>
        <v>0</v>
      </c>
      <c r="O2403" s="44">
        <f t="shared" si="1692"/>
        <v>0</v>
      </c>
      <c r="P2403" s="44">
        <f t="shared" si="1693"/>
        <v>0</v>
      </c>
      <c r="Q2403" s="44">
        <f t="shared" si="1694"/>
        <v>0</v>
      </c>
      <c r="R2403" s="44">
        <f t="shared" si="1705"/>
        <v>0</v>
      </c>
      <c r="S2403" s="123"/>
      <c r="T2403" s="219">
        <f t="shared" si="1706"/>
        <v>0</v>
      </c>
      <c r="U2403" s="87"/>
      <c r="V2403" s="47"/>
      <c r="W2403" s="48"/>
      <c r="X2403" s="48"/>
      <c r="Y2403" s="48"/>
      <c r="Z2403" s="135"/>
      <c r="AA2403" s="49"/>
      <c r="AB2403" s="50">
        <f t="shared" si="1695"/>
        <v>0</v>
      </c>
      <c r="AC2403" s="42">
        <f t="shared" si="1707"/>
        <v>9.9999999999999998E-20</v>
      </c>
      <c r="AD2403" s="90"/>
      <c r="AE2403" s="188"/>
      <c r="AF2403" s="189"/>
      <c r="AG2403" s="189"/>
      <c r="AH2403" s="189"/>
      <c r="AI2403" s="161"/>
    </row>
    <row r="2404" spans="1:41" ht="20.100000000000001" customHeight="1" x14ac:dyDescent="0.25">
      <c r="A2404" s="277" t="s">
        <v>410</v>
      </c>
      <c r="B2404" s="278"/>
      <c r="C2404" s="64" t="s">
        <v>463</v>
      </c>
      <c r="D2404" s="46" t="s">
        <v>215</v>
      </c>
      <c r="E2404" s="114"/>
      <c r="F2404" s="44"/>
      <c r="G2404" s="44">
        <f t="shared" si="1686"/>
        <v>0</v>
      </c>
      <c r="H2404" s="44">
        <f t="shared" si="1687"/>
        <v>0</v>
      </c>
      <c r="I2404" s="43">
        <f t="shared" si="1688"/>
        <v>0</v>
      </c>
      <c r="J2404" s="112">
        <f t="shared" si="1689"/>
        <v>0</v>
      </c>
      <c r="K2404" s="211">
        <f t="shared" si="1690"/>
        <v>0</v>
      </c>
      <c r="L2404" s="44"/>
      <c r="M2404" s="44">
        <f t="shared" si="1704"/>
        <v>0</v>
      </c>
      <c r="N2404" s="173">
        <f t="shared" si="1691"/>
        <v>0</v>
      </c>
      <c r="O2404" s="44">
        <f t="shared" si="1692"/>
        <v>0</v>
      </c>
      <c r="P2404" s="44">
        <f t="shared" si="1693"/>
        <v>0</v>
      </c>
      <c r="Q2404" s="44">
        <f t="shared" si="1694"/>
        <v>0</v>
      </c>
      <c r="R2404" s="44">
        <f t="shared" si="1705"/>
        <v>0</v>
      </c>
      <c r="S2404" s="123"/>
      <c r="T2404" s="219">
        <f t="shared" si="1706"/>
        <v>0</v>
      </c>
      <c r="U2404" s="87"/>
      <c r="V2404" s="47"/>
      <c r="W2404" s="48"/>
      <c r="X2404" s="48"/>
      <c r="Y2404" s="48"/>
      <c r="Z2404" s="135"/>
      <c r="AA2404" s="49"/>
      <c r="AB2404" s="50">
        <f t="shared" si="1695"/>
        <v>0</v>
      </c>
      <c r="AC2404" s="42">
        <f t="shared" si="1707"/>
        <v>9.9999999999999998E-20</v>
      </c>
      <c r="AD2404" s="90"/>
      <c r="AE2404" s="188"/>
      <c r="AF2404" s="189"/>
      <c r="AG2404" s="189"/>
      <c r="AH2404" s="189"/>
      <c r="AI2404" s="161"/>
    </row>
    <row r="2405" spans="1:41" ht="20.100000000000001" customHeight="1" x14ac:dyDescent="0.25">
      <c r="A2405" s="277" t="s">
        <v>410</v>
      </c>
      <c r="B2405" s="278"/>
      <c r="C2405" s="64" t="s">
        <v>464</v>
      </c>
      <c r="D2405" s="46" t="s">
        <v>215</v>
      </c>
      <c r="E2405" s="114"/>
      <c r="F2405" s="44"/>
      <c r="G2405" s="44">
        <f t="shared" si="1686"/>
        <v>0</v>
      </c>
      <c r="H2405" s="44">
        <f t="shared" si="1687"/>
        <v>0</v>
      </c>
      <c r="I2405" s="43">
        <f t="shared" si="1688"/>
        <v>0</v>
      </c>
      <c r="J2405" s="112">
        <f t="shared" si="1689"/>
        <v>0</v>
      </c>
      <c r="K2405" s="211">
        <f t="shared" si="1690"/>
        <v>0</v>
      </c>
      <c r="L2405" s="44"/>
      <c r="M2405" s="44">
        <f t="shared" si="1704"/>
        <v>0</v>
      </c>
      <c r="N2405" s="173">
        <f t="shared" si="1691"/>
        <v>0</v>
      </c>
      <c r="O2405" s="44">
        <f t="shared" si="1692"/>
        <v>0</v>
      </c>
      <c r="P2405" s="44">
        <f t="shared" si="1693"/>
        <v>0</v>
      </c>
      <c r="Q2405" s="44">
        <f t="shared" si="1694"/>
        <v>0</v>
      </c>
      <c r="R2405" s="44">
        <f t="shared" si="1705"/>
        <v>0</v>
      </c>
      <c r="S2405" s="123"/>
      <c r="T2405" s="219">
        <f t="shared" si="1706"/>
        <v>0</v>
      </c>
      <c r="U2405" s="87"/>
      <c r="V2405" s="47"/>
      <c r="W2405" s="48"/>
      <c r="X2405" s="48"/>
      <c r="Y2405" s="48"/>
      <c r="Z2405" s="135"/>
      <c r="AA2405" s="49"/>
      <c r="AB2405" s="50">
        <f t="shared" si="1695"/>
        <v>0</v>
      </c>
      <c r="AC2405" s="42">
        <f t="shared" si="1707"/>
        <v>9.9999999999999998E-20</v>
      </c>
      <c r="AD2405" s="90"/>
      <c r="AE2405" s="188"/>
      <c r="AF2405" s="189"/>
      <c r="AG2405" s="189"/>
      <c r="AH2405" s="189"/>
      <c r="AI2405" s="161"/>
    </row>
    <row r="2406" spans="1:41" ht="20.100000000000001" customHeight="1" x14ac:dyDescent="0.25">
      <c r="A2406" s="277" t="s">
        <v>410</v>
      </c>
      <c r="B2406" s="278"/>
      <c r="C2406" s="64" t="s">
        <v>460</v>
      </c>
      <c r="D2406" s="46" t="s">
        <v>215</v>
      </c>
      <c r="E2406" s="114"/>
      <c r="F2406" s="44"/>
      <c r="G2406" s="44">
        <f t="shared" si="1686"/>
        <v>0</v>
      </c>
      <c r="H2406" s="44">
        <f t="shared" si="1687"/>
        <v>0</v>
      </c>
      <c r="I2406" s="43">
        <f t="shared" si="1688"/>
        <v>0</v>
      </c>
      <c r="J2406" s="112">
        <f t="shared" si="1689"/>
        <v>0</v>
      </c>
      <c r="K2406" s="211">
        <f t="shared" si="1690"/>
        <v>0</v>
      </c>
      <c r="L2406" s="44"/>
      <c r="M2406" s="44">
        <f t="shared" si="1704"/>
        <v>0</v>
      </c>
      <c r="N2406" s="173">
        <f t="shared" si="1691"/>
        <v>0</v>
      </c>
      <c r="O2406" s="44">
        <f t="shared" si="1692"/>
        <v>0</v>
      </c>
      <c r="P2406" s="44">
        <f t="shared" si="1693"/>
        <v>0</v>
      </c>
      <c r="Q2406" s="44">
        <f t="shared" si="1694"/>
        <v>0</v>
      </c>
      <c r="R2406" s="44">
        <f t="shared" si="1705"/>
        <v>0</v>
      </c>
      <c r="S2406" s="123"/>
      <c r="T2406" s="219">
        <f t="shared" si="1706"/>
        <v>0</v>
      </c>
      <c r="U2406" s="87"/>
      <c r="V2406" s="47"/>
      <c r="W2406" s="48"/>
      <c r="X2406" s="48"/>
      <c r="Y2406" s="48"/>
      <c r="Z2406" s="135"/>
      <c r="AA2406" s="49"/>
      <c r="AB2406" s="50">
        <f t="shared" si="1695"/>
        <v>0</v>
      </c>
      <c r="AC2406" s="42">
        <f t="shared" si="1707"/>
        <v>9.9999999999999998E-20</v>
      </c>
      <c r="AD2406" s="90"/>
      <c r="AE2406" s="188"/>
      <c r="AF2406" s="189"/>
      <c r="AG2406" s="189"/>
      <c r="AH2406" s="189"/>
      <c r="AI2406" s="161"/>
    </row>
    <row r="2407" spans="1:41" ht="20.100000000000001" customHeight="1" x14ac:dyDescent="0.25">
      <c r="A2407" s="277" t="s">
        <v>410</v>
      </c>
      <c r="B2407" s="278"/>
      <c r="C2407" s="64" t="s">
        <v>461</v>
      </c>
      <c r="D2407" s="46" t="s">
        <v>215</v>
      </c>
      <c r="E2407" s="114"/>
      <c r="F2407" s="44"/>
      <c r="G2407" s="44">
        <f t="shared" si="1686"/>
        <v>0</v>
      </c>
      <c r="H2407" s="44">
        <f t="shared" si="1687"/>
        <v>0</v>
      </c>
      <c r="I2407" s="43">
        <f t="shared" si="1688"/>
        <v>0</v>
      </c>
      <c r="J2407" s="112">
        <f t="shared" si="1689"/>
        <v>0</v>
      </c>
      <c r="K2407" s="211">
        <f t="shared" si="1690"/>
        <v>0</v>
      </c>
      <c r="L2407" s="44"/>
      <c r="M2407" s="44">
        <f t="shared" si="1704"/>
        <v>0</v>
      </c>
      <c r="N2407" s="173">
        <f t="shared" si="1691"/>
        <v>0</v>
      </c>
      <c r="O2407" s="44">
        <f t="shared" si="1692"/>
        <v>0</v>
      </c>
      <c r="P2407" s="44">
        <f t="shared" si="1693"/>
        <v>0</v>
      </c>
      <c r="Q2407" s="44">
        <f t="shared" si="1694"/>
        <v>0</v>
      </c>
      <c r="R2407" s="44">
        <f t="shared" si="1705"/>
        <v>0</v>
      </c>
      <c r="S2407" s="123"/>
      <c r="T2407" s="219">
        <f t="shared" si="1706"/>
        <v>0</v>
      </c>
      <c r="U2407" s="87"/>
      <c r="V2407" s="47"/>
      <c r="W2407" s="48"/>
      <c r="X2407" s="48"/>
      <c r="Y2407" s="48"/>
      <c r="Z2407" s="135"/>
      <c r="AA2407" s="49"/>
      <c r="AB2407" s="50">
        <f t="shared" si="1695"/>
        <v>0</v>
      </c>
      <c r="AC2407" s="42">
        <f t="shared" si="1707"/>
        <v>9.9999999999999998E-20</v>
      </c>
      <c r="AD2407" s="90"/>
      <c r="AE2407" s="188"/>
      <c r="AF2407" s="189"/>
      <c r="AG2407" s="189"/>
      <c r="AH2407" s="189"/>
      <c r="AI2407" s="161"/>
    </row>
    <row r="2408" spans="1:41" ht="20.100000000000001" customHeight="1" x14ac:dyDescent="0.25">
      <c r="A2408" s="277" t="s">
        <v>410</v>
      </c>
      <c r="B2408" s="278"/>
      <c r="C2408" s="64" t="s">
        <v>462</v>
      </c>
      <c r="D2408" s="46" t="s">
        <v>215</v>
      </c>
      <c r="E2408" s="114"/>
      <c r="F2408" s="44"/>
      <c r="G2408" s="44">
        <f t="shared" si="1686"/>
        <v>0</v>
      </c>
      <c r="H2408" s="44">
        <f t="shared" si="1687"/>
        <v>0</v>
      </c>
      <c r="I2408" s="43">
        <f t="shared" si="1688"/>
        <v>0</v>
      </c>
      <c r="J2408" s="112">
        <f t="shared" si="1689"/>
        <v>0</v>
      </c>
      <c r="K2408" s="211">
        <f t="shared" si="1690"/>
        <v>0</v>
      </c>
      <c r="L2408" s="44"/>
      <c r="M2408" s="44">
        <f t="shared" si="1704"/>
        <v>0</v>
      </c>
      <c r="N2408" s="173">
        <f t="shared" si="1691"/>
        <v>0</v>
      </c>
      <c r="O2408" s="44">
        <f t="shared" si="1692"/>
        <v>0</v>
      </c>
      <c r="P2408" s="44">
        <f t="shared" si="1693"/>
        <v>0</v>
      </c>
      <c r="Q2408" s="44">
        <f t="shared" si="1694"/>
        <v>0</v>
      </c>
      <c r="R2408" s="44">
        <f t="shared" si="1705"/>
        <v>0</v>
      </c>
      <c r="S2408" s="123"/>
      <c r="T2408" s="219">
        <f t="shared" si="1706"/>
        <v>0</v>
      </c>
      <c r="U2408" s="87"/>
      <c r="V2408" s="47"/>
      <c r="W2408" s="48"/>
      <c r="X2408" s="48"/>
      <c r="Y2408" s="48"/>
      <c r="Z2408" s="135"/>
      <c r="AA2408" s="49"/>
      <c r="AB2408" s="50">
        <f t="shared" si="1695"/>
        <v>0</v>
      </c>
      <c r="AC2408" s="42">
        <f t="shared" si="1707"/>
        <v>9.9999999999999998E-20</v>
      </c>
      <c r="AD2408" s="90"/>
      <c r="AE2408" s="188"/>
      <c r="AF2408" s="189"/>
      <c r="AG2408" s="189"/>
      <c r="AH2408" s="189"/>
      <c r="AI2408" s="161"/>
    </row>
    <row r="2409" spans="1:41" ht="20.100000000000001" customHeight="1" x14ac:dyDescent="0.25">
      <c r="A2409" s="277" t="s">
        <v>410</v>
      </c>
      <c r="B2409" s="278"/>
      <c r="C2409" s="64" t="s">
        <v>463</v>
      </c>
      <c r="D2409" s="46" t="s">
        <v>215</v>
      </c>
      <c r="E2409" s="114"/>
      <c r="F2409" s="44"/>
      <c r="G2409" s="44">
        <f t="shared" si="1686"/>
        <v>0</v>
      </c>
      <c r="H2409" s="44">
        <f t="shared" si="1687"/>
        <v>0</v>
      </c>
      <c r="I2409" s="43">
        <f t="shared" si="1688"/>
        <v>0</v>
      </c>
      <c r="J2409" s="112">
        <f t="shared" si="1689"/>
        <v>0</v>
      </c>
      <c r="K2409" s="211">
        <f t="shared" si="1690"/>
        <v>0</v>
      </c>
      <c r="L2409" s="44"/>
      <c r="M2409" s="44">
        <f t="shared" si="1704"/>
        <v>0</v>
      </c>
      <c r="N2409" s="173">
        <f t="shared" si="1691"/>
        <v>0</v>
      </c>
      <c r="O2409" s="44">
        <f t="shared" si="1692"/>
        <v>0</v>
      </c>
      <c r="P2409" s="44">
        <f t="shared" si="1693"/>
        <v>0</v>
      </c>
      <c r="Q2409" s="44">
        <f t="shared" si="1694"/>
        <v>0</v>
      </c>
      <c r="R2409" s="44">
        <f t="shared" si="1705"/>
        <v>0</v>
      </c>
      <c r="S2409" s="123"/>
      <c r="T2409" s="219">
        <f t="shared" si="1706"/>
        <v>0</v>
      </c>
      <c r="U2409" s="87"/>
      <c r="V2409" s="47"/>
      <c r="W2409" s="48"/>
      <c r="X2409" s="48"/>
      <c r="Y2409" s="48"/>
      <c r="Z2409" s="135"/>
      <c r="AA2409" s="49"/>
      <c r="AB2409" s="50">
        <f t="shared" si="1695"/>
        <v>0</v>
      </c>
      <c r="AC2409" s="42">
        <f t="shared" si="1707"/>
        <v>9.9999999999999998E-20</v>
      </c>
      <c r="AD2409" s="90"/>
      <c r="AE2409" s="188"/>
      <c r="AF2409" s="189"/>
      <c r="AG2409" s="189"/>
      <c r="AH2409" s="189"/>
      <c r="AI2409" s="161"/>
    </row>
    <row r="2410" spans="1:41" ht="20.100000000000001" customHeight="1" x14ac:dyDescent="0.25">
      <c r="A2410" s="277" t="s">
        <v>410</v>
      </c>
      <c r="B2410" s="278"/>
      <c r="C2410" s="64" t="s">
        <v>464</v>
      </c>
      <c r="D2410" s="46" t="s">
        <v>215</v>
      </c>
      <c r="E2410" s="114"/>
      <c r="F2410" s="44"/>
      <c r="G2410" s="44">
        <f t="shared" si="1686"/>
        <v>0</v>
      </c>
      <c r="H2410" s="44">
        <f t="shared" si="1687"/>
        <v>0</v>
      </c>
      <c r="I2410" s="43">
        <f t="shared" si="1688"/>
        <v>0</v>
      </c>
      <c r="J2410" s="112">
        <f t="shared" si="1689"/>
        <v>0</v>
      </c>
      <c r="K2410" s="211">
        <f t="shared" si="1690"/>
        <v>0</v>
      </c>
      <c r="L2410" s="44"/>
      <c r="M2410" s="44">
        <f t="shared" si="1704"/>
        <v>0</v>
      </c>
      <c r="N2410" s="173">
        <f t="shared" si="1691"/>
        <v>0</v>
      </c>
      <c r="O2410" s="44">
        <f t="shared" si="1692"/>
        <v>0</v>
      </c>
      <c r="P2410" s="44">
        <f t="shared" si="1693"/>
        <v>0</v>
      </c>
      <c r="Q2410" s="44">
        <f t="shared" si="1694"/>
        <v>0</v>
      </c>
      <c r="R2410" s="44">
        <f t="shared" si="1705"/>
        <v>0</v>
      </c>
      <c r="S2410" s="123"/>
      <c r="T2410" s="219">
        <f t="shared" si="1706"/>
        <v>0</v>
      </c>
      <c r="U2410" s="87"/>
      <c r="V2410" s="47"/>
      <c r="W2410" s="48"/>
      <c r="X2410" s="48"/>
      <c r="Y2410" s="48"/>
      <c r="Z2410" s="135"/>
      <c r="AA2410" s="49"/>
      <c r="AB2410" s="50">
        <f t="shared" si="1695"/>
        <v>0</v>
      </c>
      <c r="AC2410" s="42">
        <f t="shared" si="1707"/>
        <v>9.9999999999999998E-20</v>
      </c>
      <c r="AD2410" s="90"/>
      <c r="AE2410" s="188"/>
      <c r="AF2410" s="189"/>
      <c r="AG2410" s="189"/>
      <c r="AH2410" s="189"/>
      <c r="AI2410" s="161"/>
    </row>
    <row r="2411" spans="1:41" s="306" customFormat="1" ht="20.100000000000001" customHeight="1" x14ac:dyDescent="0.25">
      <c r="A2411" s="287" t="s">
        <v>410</v>
      </c>
      <c r="B2411" s="288"/>
      <c r="C2411" s="286" t="s">
        <v>465</v>
      </c>
      <c r="D2411" s="289"/>
      <c r="E2411" s="290"/>
      <c r="F2411" s="291"/>
      <c r="G2411" s="291">
        <f t="shared" si="1686"/>
        <v>0</v>
      </c>
      <c r="H2411" s="291">
        <f t="shared" si="1687"/>
        <v>0</v>
      </c>
      <c r="I2411" s="292">
        <f t="shared" si="1688"/>
        <v>0</v>
      </c>
      <c r="J2411" s="290">
        <f t="shared" si="1689"/>
        <v>0</v>
      </c>
      <c r="K2411" s="293">
        <f t="shared" si="1690"/>
        <v>0</v>
      </c>
      <c r="L2411" s="291"/>
      <c r="M2411" s="291">
        <f t="shared" si="1704"/>
        <v>0</v>
      </c>
      <c r="N2411" s="294">
        <f t="shared" si="1691"/>
        <v>0</v>
      </c>
      <c r="O2411" s="291">
        <f t="shared" si="1692"/>
        <v>0</v>
      </c>
      <c r="P2411" s="291">
        <f t="shared" si="1693"/>
        <v>0</v>
      </c>
      <c r="Q2411" s="291">
        <f t="shared" si="1694"/>
        <v>0</v>
      </c>
      <c r="R2411" s="291">
        <f t="shared" si="1705"/>
        <v>0</v>
      </c>
      <c r="S2411" s="291"/>
      <c r="T2411" s="295">
        <f t="shared" si="1706"/>
        <v>0</v>
      </c>
      <c r="U2411" s="296"/>
      <c r="V2411" s="297"/>
      <c r="W2411" s="298"/>
      <c r="X2411" s="299"/>
      <c r="Y2411" s="300"/>
      <c r="Z2411" s="301"/>
      <c r="AA2411" s="300"/>
      <c r="AB2411" s="300">
        <f t="shared" si="1695"/>
        <v>0</v>
      </c>
      <c r="AC2411" s="300">
        <f t="shared" si="1707"/>
        <v>9.9999999999999998E-20</v>
      </c>
      <c r="AD2411" s="302"/>
      <c r="AE2411" s="303"/>
      <c r="AF2411" s="304"/>
      <c r="AG2411" s="304"/>
      <c r="AH2411" s="304"/>
      <c r="AI2411" s="305"/>
      <c r="AK2411" s="307"/>
    </row>
    <row r="2412" spans="1:41" ht="20.100000000000001" customHeight="1" x14ac:dyDescent="0.25">
      <c r="A2412" s="277" t="s">
        <v>410</v>
      </c>
      <c r="B2412" s="278"/>
      <c r="C2412" s="64" t="s">
        <v>466</v>
      </c>
      <c r="D2412" s="46" t="s">
        <v>215</v>
      </c>
      <c r="E2412" s="114"/>
      <c r="F2412" s="44"/>
      <c r="G2412" s="44">
        <f t="shared" si="1686"/>
        <v>0</v>
      </c>
      <c r="H2412" s="44">
        <f t="shared" si="1687"/>
        <v>0</v>
      </c>
      <c r="I2412" s="43">
        <f t="shared" si="1688"/>
        <v>0</v>
      </c>
      <c r="J2412" s="112">
        <f t="shared" si="1689"/>
        <v>0</v>
      </c>
      <c r="K2412" s="211">
        <f t="shared" si="1690"/>
        <v>0</v>
      </c>
      <c r="L2412" s="44"/>
      <c r="M2412" s="44">
        <f t="shared" si="1704"/>
        <v>0</v>
      </c>
      <c r="N2412" s="173">
        <f t="shared" si="1691"/>
        <v>0</v>
      </c>
      <c r="O2412" s="44">
        <f t="shared" si="1692"/>
        <v>0</v>
      </c>
      <c r="P2412" s="44">
        <f t="shared" si="1693"/>
        <v>0</v>
      </c>
      <c r="Q2412" s="44">
        <f t="shared" si="1694"/>
        <v>0</v>
      </c>
      <c r="R2412" s="44">
        <f t="shared" si="1705"/>
        <v>0</v>
      </c>
      <c r="S2412" s="123"/>
      <c r="T2412" s="219">
        <f t="shared" si="1706"/>
        <v>0</v>
      </c>
      <c r="U2412" s="87"/>
      <c r="V2412" s="47"/>
      <c r="W2412" s="48"/>
      <c r="X2412" s="48"/>
      <c r="Y2412" s="48"/>
      <c r="Z2412" s="135"/>
      <c r="AA2412" s="49"/>
      <c r="AB2412" s="50">
        <f t="shared" si="1695"/>
        <v>0</v>
      </c>
      <c r="AC2412" s="42">
        <f t="shared" si="1707"/>
        <v>9.9999999999999998E-20</v>
      </c>
      <c r="AD2412" s="90"/>
      <c r="AE2412" s="188"/>
      <c r="AF2412" s="189"/>
      <c r="AG2412" s="189"/>
      <c r="AH2412" s="189"/>
      <c r="AI2412" s="161"/>
    </row>
    <row r="2413" spans="1:41" ht="20.100000000000001" customHeight="1" x14ac:dyDescent="0.25">
      <c r="A2413" s="277" t="s">
        <v>410</v>
      </c>
      <c r="B2413" s="278"/>
      <c r="C2413" s="64" t="s">
        <v>467</v>
      </c>
      <c r="D2413" s="46" t="s">
        <v>215</v>
      </c>
      <c r="E2413" s="114"/>
      <c r="F2413" s="44"/>
      <c r="G2413" s="44">
        <f t="shared" si="1686"/>
        <v>0</v>
      </c>
      <c r="H2413" s="44">
        <f t="shared" si="1687"/>
        <v>0</v>
      </c>
      <c r="I2413" s="43">
        <f t="shared" si="1688"/>
        <v>0</v>
      </c>
      <c r="J2413" s="112">
        <f t="shared" si="1689"/>
        <v>0</v>
      </c>
      <c r="K2413" s="211">
        <f t="shared" si="1690"/>
        <v>0</v>
      </c>
      <c r="L2413" s="44"/>
      <c r="M2413" s="44">
        <f t="shared" si="1704"/>
        <v>0</v>
      </c>
      <c r="N2413" s="173">
        <f t="shared" si="1691"/>
        <v>0</v>
      </c>
      <c r="O2413" s="44">
        <f t="shared" si="1692"/>
        <v>0</v>
      </c>
      <c r="P2413" s="44">
        <f t="shared" si="1693"/>
        <v>0</v>
      </c>
      <c r="Q2413" s="44">
        <f t="shared" si="1694"/>
        <v>0</v>
      </c>
      <c r="R2413" s="44">
        <f t="shared" si="1705"/>
        <v>0</v>
      </c>
      <c r="S2413" s="123"/>
      <c r="T2413" s="219">
        <f t="shared" si="1706"/>
        <v>0</v>
      </c>
      <c r="U2413" s="87"/>
      <c r="V2413" s="47"/>
      <c r="W2413" s="48"/>
      <c r="X2413" s="48"/>
      <c r="Y2413" s="48"/>
      <c r="Z2413" s="135"/>
      <c r="AA2413" s="49"/>
      <c r="AB2413" s="50">
        <f t="shared" si="1695"/>
        <v>0</v>
      </c>
      <c r="AC2413" s="42">
        <f t="shared" si="1707"/>
        <v>9.9999999999999998E-20</v>
      </c>
      <c r="AD2413" s="90"/>
      <c r="AE2413" s="188"/>
      <c r="AF2413" s="189"/>
      <c r="AG2413" s="189"/>
      <c r="AH2413" s="189"/>
      <c r="AI2413" s="161"/>
    </row>
    <row r="2414" spans="1:41" ht="20.100000000000001" customHeight="1" x14ac:dyDescent="0.25">
      <c r="A2414" s="277" t="s">
        <v>410</v>
      </c>
      <c r="B2414" s="278"/>
      <c r="C2414" s="64" t="s">
        <v>468</v>
      </c>
      <c r="D2414" s="46" t="s">
        <v>215</v>
      </c>
      <c r="E2414" s="114"/>
      <c r="F2414" s="44"/>
      <c r="G2414" s="44">
        <f t="shared" si="1686"/>
        <v>0</v>
      </c>
      <c r="H2414" s="44">
        <f t="shared" si="1687"/>
        <v>0</v>
      </c>
      <c r="I2414" s="43">
        <f t="shared" si="1688"/>
        <v>0</v>
      </c>
      <c r="J2414" s="112">
        <f t="shared" si="1689"/>
        <v>0</v>
      </c>
      <c r="K2414" s="211">
        <f t="shared" si="1690"/>
        <v>0</v>
      </c>
      <c r="L2414" s="44"/>
      <c r="M2414" s="44">
        <f t="shared" si="1704"/>
        <v>0</v>
      </c>
      <c r="N2414" s="173">
        <f t="shared" si="1691"/>
        <v>0</v>
      </c>
      <c r="O2414" s="44">
        <f t="shared" si="1692"/>
        <v>0</v>
      </c>
      <c r="P2414" s="44">
        <f t="shared" si="1693"/>
        <v>0</v>
      </c>
      <c r="Q2414" s="44">
        <f t="shared" si="1694"/>
        <v>0</v>
      </c>
      <c r="R2414" s="44">
        <f t="shared" si="1705"/>
        <v>0</v>
      </c>
      <c r="S2414" s="123"/>
      <c r="T2414" s="219">
        <f t="shared" si="1706"/>
        <v>0</v>
      </c>
      <c r="U2414" s="87"/>
      <c r="V2414" s="47"/>
      <c r="W2414" s="48"/>
      <c r="X2414" s="48"/>
      <c r="Y2414" s="48"/>
      <c r="Z2414" s="135"/>
      <c r="AA2414" s="49"/>
      <c r="AB2414" s="50">
        <f t="shared" si="1695"/>
        <v>0</v>
      </c>
      <c r="AC2414" s="42">
        <f t="shared" si="1707"/>
        <v>9.9999999999999998E-20</v>
      </c>
      <c r="AD2414" s="90"/>
      <c r="AE2414" s="188"/>
      <c r="AF2414" s="189"/>
      <c r="AG2414" s="189"/>
      <c r="AH2414" s="189"/>
      <c r="AI2414" s="161"/>
    </row>
    <row r="2415" spans="1:41" s="306" customFormat="1" ht="20.100000000000001" customHeight="1" x14ac:dyDescent="0.25">
      <c r="A2415" s="287" t="s">
        <v>410</v>
      </c>
      <c r="B2415" s="288"/>
      <c r="C2415" s="286" t="s">
        <v>1433</v>
      </c>
      <c r="D2415" s="289"/>
      <c r="E2415" s="290"/>
      <c r="F2415" s="291"/>
      <c r="G2415" s="291">
        <f t="shared" si="1686"/>
        <v>0</v>
      </c>
      <c r="H2415" s="291">
        <f t="shared" si="1687"/>
        <v>0</v>
      </c>
      <c r="I2415" s="292">
        <f t="shared" si="1688"/>
        <v>0</v>
      </c>
      <c r="J2415" s="290">
        <f t="shared" si="1689"/>
        <v>0</v>
      </c>
      <c r="K2415" s="293">
        <f t="shared" si="1690"/>
        <v>0</v>
      </c>
      <c r="L2415" s="291"/>
      <c r="M2415" s="291">
        <f t="shared" si="1704"/>
        <v>0</v>
      </c>
      <c r="N2415" s="294">
        <f t="shared" si="1691"/>
        <v>0</v>
      </c>
      <c r="O2415" s="291">
        <f t="shared" si="1692"/>
        <v>0</v>
      </c>
      <c r="P2415" s="291">
        <f t="shared" si="1693"/>
        <v>0</v>
      </c>
      <c r="Q2415" s="291">
        <f t="shared" si="1694"/>
        <v>0</v>
      </c>
      <c r="R2415" s="291">
        <f t="shared" si="1705"/>
        <v>0</v>
      </c>
      <c r="S2415" s="291"/>
      <c r="T2415" s="295">
        <f t="shared" si="1706"/>
        <v>0</v>
      </c>
      <c r="U2415" s="296"/>
      <c r="V2415" s="297"/>
      <c r="W2415" s="298"/>
      <c r="X2415" s="299"/>
      <c r="Y2415" s="300"/>
      <c r="Z2415" s="301"/>
      <c r="AA2415" s="300"/>
      <c r="AB2415" s="300">
        <f t="shared" si="1695"/>
        <v>0</v>
      </c>
      <c r="AC2415" s="300">
        <f t="shared" si="1707"/>
        <v>9.9999999999999998E-20</v>
      </c>
      <c r="AD2415" s="302"/>
      <c r="AE2415" s="303"/>
      <c r="AF2415" s="304"/>
      <c r="AG2415" s="304"/>
      <c r="AH2415" s="304"/>
      <c r="AI2415" s="305"/>
      <c r="AK2415" s="307"/>
    </row>
    <row r="2416" spans="1:41" ht="20.100000000000001" customHeight="1" x14ac:dyDescent="0.25">
      <c r="A2416" s="277" t="s">
        <v>410</v>
      </c>
      <c r="B2416" s="278"/>
      <c r="C2416" s="64" t="s">
        <v>469</v>
      </c>
      <c r="D2416" s="46" t="s">
        <v>215</v>
      </c>
      <c r="E2416" s="114">
        <v>11.107500000000002</v>
      </c>
      <c r="F2416" s="44">
        <v>36631</v>
      </c>
      <c r="G2416" s="44">
        <f t="shared" si="1686"/>
        <v>406878.83250000008</v>
      </c>
      <c r="H2416" s="44">
        <f t="shared" si="1687"/>
        <v>12286.179576470586</v>
      </c>
      <c r="I2416" s="43">
        <f t="shared" si="1688"/>
        <v>136468.73964564706</v>
      </c>
      <c r="J2416" s="112">
        <f t="shared" si="1689"/>
        <v>11.107500000000002</v>
      </c>
      <c r="K2416" s="211">
        <f t="shared" si="1690"/>
        <v>11.107500000000002</v>
      </c>
      <c r="L2416" s="44"/>
      <c r="M2416" s="44">
        <f t="shared" si="1704"/>
        <v>11.107500000000002</v>
      </c>
      <c r="N2416" s="173">
        <f t="shared" si="1691"/>
        <v>1</v>
      </c>
      <c r="O2416" s="44">
        <f t="shared" si="1692"/>
        <v>36631</v>
      </c>
      <c r="P2416" s="44">
        <f t="shared" si="1693"/>
        <v>406878.83250000008</v>
      </c>
      <c r="Q2416" s="44">
        <f t="shared" si="1694"/>
        <v>12286.179576470586</v>
      </c>
      <c r="R2416" s="44">
        <f t="shared" si="1705"/>
        <v>136468.73964564706</v>
      </c>
      <c r="S2416" s="123"/>
      <c r="T2416" s="219">
        <f t="shared" si="1706"/>
        <v>136468.73964564706</v>
      </c>
      <c r="U2416" s="87"/>
      <c r="V2416" s="47"/>
      <c r="W2416" s="48"/>
      <c r="X2416" s="48"/>
      <c r="Y2416" s="48"/>
      <c r="Z2416" s="135"/>
      <c r="AA2416" s="49"/>
      <c r="AB2416" s="50">
        <f t="shared" si="1695"/>
        <v>12286.179576470586</v>
      </c>
      <c r="AC2416" s="42">
        <f t="shared" si="1707"/>
        <v>11.107500000000002</v>
      </c>
      <c r="AD2416" s="90">
        <f>AD2417+AD2422+AD2434+AD2437</f>
        <v>136468.73964564706</v>
      </c>
      <c r="AE2416" s="188">
        <f t="shared" ref="AE2416:AH2416" si="1944">AE2417+AE2422+AE2434+AE2437</f>
        <v>0</v>
      </c>
      <c r="AF2416" s="189">
        <f t="shared" si="1944"/>
        <v>0</v>
      </c>
      <c r="AG2416" s="189">
        <f t="shared" si="1944"/>
        <v>0</v>
      </c>
      <c r="AH2416" s="189">
        <f t="shared" si="1944"/>
        <v>0</v>
      </c>
      <c r="AI2416" s="161">
        <f t="shared" ref="AI2416:AI2417" si="1945">SUM(AE2416:AH2416)</f>
        <v>0</v>
      </c>
      <c r="AK2416" s="169">
        <v>5</v>
      </c>
      <c r="AO2416" s="19" t="s">
        <v>63</v>
      </c>
    </row>
    <row r="2417" spans="1:37" s="103" customFormat="1" ht="19.899999999999999" customHeight="1" x14ac:dyDescent="0.25">
      <c r="A2417" s="51"/>
      <c r="B2417" s="52"/>
      <c r="C2417" s="165"/>
      <c r="D2417" s="52"/>
      <c r="E2417" s="115"/>
      <c r="F2417" s="58"/>
      <c r="G2417" s="58"/>
      <c r="H2417" s="58"/>
      <c r="I2417" s="55"/>
      <c r="J2417" s="113">
        <f>J2416</f>
        <v>11.107500000000002</v>
      </c>
      <c r="K2417" s="212">
        <f>K2416</f>
        <v>11.107500000000002</v>
      </c>
      <c r="L2417" s="58"/>
      <c r="M2417" s="58">
        <f>K2417-L2417</f>
        <v>11.107500000000002</v>
      </c>
      <c r="N2417" s="166"/>
      <c r="O2417" s="58"/>
      <c r="P2417" s="58"/>
      <c r="Q2417" s="58"/>
      <c r="R2417" s="58"/>
      <c r="S2417" s="58"/>
      <c r="T2417" s="220"/>
      <c r="U2417" s="88"/>
      <c r="V2417" s="56"/>
      <c r="W2417" s="57" t="s">
        <v>1351</v>
      </c>
      <c r="X2417" s="53"/>
      <c r="Y2417" s="91" t="s">
        <v>35</v>
      </c>
      <c r="Z2417" s="136">
        <f>AD2417/AC2417</f>
        <v>90.4969411764706</v>
      </c>
      <c r="AA2417" s="58"/>
      <c r="AB2417" s="53">
        <f>AD2417/AC2417</f>
        <v>90.4969411764706</v>
      </c>
      <c r="AC2417" s="53">
        <f>M2417+$AE$10</f>
        <v>11.107500000000002</v>
      </c>
      <c r="AD2417" s="54">
        <f>SUM(AD2418:AD2421)</f>
        <v>1005.1947741176473</v>
      </c>
      <c r="AE2417" s="184">
        <f>SUMIFS($AD$37:$AD$12971,$V$37:$V$12971,$V2417,$X$37:$X$12971,AE$13)</f>
        <v>0</v>
      </c>
      <c r="AF2417" s="185">
        <f>SUMIFS($AD$37:$AD$12971,$V$37:$V$12971,$V2417,$X$37:$X$12971,AF$13)</f>
        <v>0</v>
      </c>
      <c r="AG2417" s="185">
        <f>SUMIFS($AD$37:$AD$12971,$V$37:$V$12971,$V2417,$X$37:$X$12971,AG$13)</f>
        <v>0</v>
      </c>
      <c r="AH2417" s="187">
        <f>SUMIFS($AD$37:$AD$12971,$V$37:$V$12971,$V2417,$X$37:$X$12971,AH$13)</f>
        <v>0</v>
      </c>
      <c r="AI2417" s="161">
        <f t="shared" si="1945"/>
        <v>0</v>
      </c>
      <c r="AK2417" s="172"/>
    </row>
    <row r="2418" spans="1:37" s="102" customFormat="1" ht="19.899999999999999" customHeight="1" x14ac:dyDescent="0.25">
      <c r="A2418" s="45"/>
      <c r="B2418" s="59"/>
      <c r="C2418" s="137"/>
      <c r="D2418" s="59"/>
      <c r="E2418" s="116"/>
      <c r="F2418" s="120"/>
      <c r="G2418" s="120"/>
      <c r="H2418" s="120"/>
      <c r="I2418" s="60"/>
      <c r="J2418" s="116"/>
      <c r="K2418" s="213"/>
      <c r="L2418" s="120"/>
      <c r="M2418" s="120"/>
      <c r="N2418" s="167"/>
      <c r="O2418" s="120"/>
      <c r="P2418" s="120"/>
      <c r="Q2418" s="120"/>
      <c r="R2418" s="120"/>
      <c r="S2418" s="120"/>
      <c r="T2418" s="221"/>
      <c r="U2418" s="89"/>
      <c r="V2418" s="61"/>
      <c r="W2418" s="92" t="s">
        <v>129</v>
      </c>
      <c r="X2418" s="93" t="s">
        <v>29</v>
      </c>
      <c r="Y2418" s="93" t="s">
        <v>93</v>
      </c>
      <c r="Z2418" s="134">
        <f>VLOOKUP(W2418,Sheet2!$B:$D,3,FALSE)</f>
        <v>56</v>
      </c>
      <c r="AA2418" s="93">
        <f>100/(3*3*2.5)</f>
        <v>4.4444444444444446</v>
      </c>
      <c r="AB2418" s="93">
        <f t="shared" ref="AB2418" si="1946">AD2418/AC2417</f>
        <v>12.599999999999998</v>
      </c>
      <c r="AC2418" s="93">
        <f>AC2417/AA2418</f>
        <v>2.4991875000000001</v>
      </c>
      <c r="AD2418" s="94">
        <f t="shared" ref="AD2418:AD2419" si="1947">AC2418*Z2418</f>
        <v>139.9545</v>
      </c>
      <c r="AE2418" s="190"/>
      <c r="AF2418" s="191"/>
      <c r="AG2418" s="191"/>
      <c r="AH2418" s="191"/>
      <c r="AI2418" s="186"/>
      <c r="AK2418" s="171"/>
    </row>
    <row r="2419" spans="1:37" s="102" customFormat="1" ht="19.899999999999999" customHeight="1" x14ac:dyDescent="0.25">
      <c r="A2419" s="45"/>
      <c r="B2419" s="59"/>
      <c r="C2419" s="137"/>
      <c r="D2419" s="59"/>
      <c r="E2419" s="116"/>
      <c r="F2419" s="120"/>
      <c r="G2419" s="120"/>
      <c r="H2419" s="120"/>
      <c r="I2419" s="60"/>
      <c r="J2419" s="116"/>
      <c r="K2419" s="213"/>
      <c r="L2419" s="120"/>
      <c r="M2419" s="120"/>
      <c r="N2419" s="167"/>
      <c r="O2419" s="120"/>
      <c r="P2419" s="120"/>
      <c r="Q2419" s="120"/>
      <c r="R2419" s="120"/>
      <c r="S2419" s="120"/>
      <c r="T2419" s="221"/>
      <c r="U2419" s="89"/>
      <c r="V2419" s="61"/>
      <c r="W2419" s="92" t="s">
        <v>65</v>
      </c>
      <c r="X2419" s="93" t="s">
        <v>30</v>
      </c>
      <c r="Y2419" s="93" t="s">
        <v>1011</v>
      </c>
      <c r="Z2419" s="134">
        <f>VLOOKUP(W2419,Sheet2!$B:$D,3,FALSE)</f>
        <v>1.76</v>
      </c>
      <c r="AA2419" s="93">
        <f>AA2418/14</f>
        <v>0.3174603174603175</v>
      </c>
      <c r="AB2419" s="93">
        <f>AD2419/AC2417</f>
        <v>5.5439999999999987</v>
      </c>
      <c r="AC2419" s="93">
        <f>AC2417/AA2419</f>
        <v>34.988624999999999</v>
      </c>
      <c r="AD2419" s="94">
        <f t="shared" si="1947"/>
        <v>61.579979999999999</v>
      </c>
      <c r="AE2419" s="190"/>
      <c r="AF2419" s="191"/>
      <c r="AG2419" s="191"/>
      <c r="AH2419" s="191"/>
      <c r="AI2419" s="186"/>
      <c r="AK2419" s="171"/>
    </row>
    <row r="2420" spans="1:37" s="102" customFormat="1" ht="19.899999999999999" customHeight="1" x14ac:dyDescent="0.25">
      <c r="A2420" s="45"/>
      <c r="B2420" s="59"/>
      <c r="C2420" s="137"/>
      <c r="D2420" s="59"/>
      <c r="E2420" s="116"/>
      <c r="F2420" s="120"/>
      <c r="G2420" s="120"/>
      <c r="H2420" s="120"/>
      <c r="I2420" s="60"/>
      <c r="J2420" s="116"/>
      <c r="K2420" s="213"/>
      <c r="L2420" s="120"/>
      <c r="M2420" s="120"/>
      <c r="N2420" s="167"/>
      <c r="O2420" s="120"/>
      <c r="P2420" s="120"/>
      <c r="Q2420" s="120"/>
      <c r="R2420" s="120"/>
      <c r="S2420" s="120"/>
      <c r="T2420" s="221"/>
      <c r="U2420" s="89"/>
      <c r="V2420" s="61"/>
      <c r="W2420" s="92" t="s">
        <v>161</v>
      </c>
      <c r="X2420" s="93" t="s">
        <v>29</v>
      </c>
      <c r="Y2420" s="93" t="s">
        <v>93</v>
      </c>
      <c r="Z2420" s="134">
        <f>VLOOKUP(W2420,Sheet2!$B:$D,3,FALSE)</f>
        <v>48</v>
      </c>
      <c r="AA2420" s="93">
        <f>(16*0.85*1.5)/(3*3*2.5)</f>
        <v>0.90666666666666662</v>
      </c>
      <c r="AB2420" s="93">
        <f>AD2420/AC2417</f>
        <v>52.941176470588246</v>
      </c>
      <c r="AC2420" s="93">
        <f>AC2417/AA2420</f>
        <v>12.250919117647062</v>
      </c>
      <c r="AD2420" s="94">
        <f>AC2420*Z2420</f>
        <v>588.04411764705901</v>
      </c>
      <c r="AE2420" s="190"/>
      <c r="AF2420" s="191"/>
      <c r="AG2420" s="191"/>
      <c r="AH2420" s="191"/>
      <c r="AI2420" s="186"/>
      <c r="AK2420" s="171"/>
    </row>
    <row r="2421" spans="1:37" s="102" customFormat="1" ht="19.899999999999999" customHeight="1" x14ac:dyDescent="0.25">
      <c r="A2421" s="45"/>
      <c r="B2421" s="59"/>
      <c r="C2421" s="137"/>
      <c r="D2421" s="59"/>
      <c r="E2421" s="116"/>
      <c r="F2421" s="120"/>
      <c r="G2421" s="120"/>
      <c r="H2421" s="120"/>
      <c r="I2421" s="60"/>
      <c r="J2421" s="116"/>
      <c r="K2421" s="213"/>
      <c r="L2421" s="120"/>
      <c r="M2421" s="120"/>
      <c r="N2421" s="167"/>
      <c r="O2421" s="120"/>
      <c r="P2421" s="120"/>
      <c r="Q2421" s="120"/>
      <c r="R2421" s="120"/>
      <c r="S2421" s="120"/>
      <c r="T2421" s="221"/>
      <c r="U2421" s="89"/>
      <c r="V2421" s="61"/>
      <c r="W2421" s="92" t="s">
        <v>65</v>
      </c>
      <c r="X2421" s="93" t="s">
        <v>30</v>
      </c>
      <c r="Y2421" s="93" t="s">
        <v>1011</v>
      </c>
      <c r="Z2421" s="134">
        <f>VLOOKUP(W2421,Sheet2!$B:$D,3,FALSE)</f>
        <v>1.76</v>
      </c>
      <c r="AA2421" s="93">
        <f>AA2420/10</f>
        <v>9.0666666666666659E-2</v>
      </c>
      <c r="AB2421" s="93">
        <f>AD2421/AC2417</f>
        <v>19.411764705882355</v>
      </c>
      <c r="AC2421" s="93">
        <f>AC2417/AA2421</f>
        <v>122.50919117647062</v>
      </c>
      <c r="AD2421" s="94">
        <f>AC2421*Z2421</f>
        <v>215.6161764705883</v>
      </c>
      <c r="AE2421" s="190"/>
      <c r="AF2421" s="191"/>
      <c r="AG2421" s="191"/>
      <c r="AH2421" s="191"/>
      <c r="AI2421" s="186"/>
      <c r="AK2421" s="171"/>
    </row>
    <row r="2422" spans="1:37" s="103" customFormat="1" ht="19.899999999999999" customHeight="1" x14ac:dyDescent="0.25">
      <c r="A2422" s="51"/>
      <c r="B2422" s="52"/>
      <c r="C2422" s="165"/>
      <c r="D2422" s="52"/>
      <c r="E2422" s="115"/>
      <c r="F2422" s="58"/>
      <c r="G2422" s="58"/>
      <c r="H2422" s="58"/>
      <c r="I2422" s="55"/>
      <c r="J2422" s="113">
        <f>J2416</f>
        <v>11.107500000000002</v>
      </c>
      <c r="K2422" s="212">
        <f>K2416</f>
        <v>11.107500000000002</v>
      </c>
      <c r="L2422" s="58"/>
      <c r="M2422" s="58">
        <f>K2422-L2422</f>
        <v>11.107500000000002</v>
      </c>
      <c r="N2422" s="166"/>
      <c r="O2422" s="58"/>
      <c r="P2422" s="58"/>
      <c r="Q2422" s="58"/>
      <c r="R2422" s="58"/>
      <c r="S2422" s="58"/>
      <c r="T2422" s="220"/>
      <c r="U2422" s="88"/>
      <c r="V2422" s="56"/>
      <c r="W2422" s="57" t="s">
        <v>1352</v>
      </c>
      <c r="X2422" s="53"/>
      <c r="Y2422" s="91" t="s">
        <v>35</v>
      </c>
      <c r="Z2422" s="136">
        <f>AD2422/AC2422</f>
        <v>9186.5999999999985</v>
      </c>
      <c r="AA2422" s="58"/>
      <c r="AB2422" s="53">
        <f>AD2422/AC2422</f>
        <v>9186.5999999999985</v>
      </c>
      <c r="AC2422" s="53">
        <f>M2422+$AE$10</f>
        <v>11.107500000000002</v>
      </c>
      <c r="AD2422" s="54">
        <f>SUM(AD2423:AD2433)</f>
        <v>102040.15950000001</v>
      </c>
      <c r="AE2422" s="184">
        <f>SUMIFS($AD$37:$AD$12971,$V$37:$V$12971,$V2422,$X$37:$X$12971,AE$13)</f>
        <v>0</v>
      </c>
      <c r="AF2422" s="185">
        <f>SUMIFS($AD$37:$AD$12971,$V$37:$V$12971,$V2422,$X$37:$X$12971,AF$13)</f>
        <v>0</v>
      </c>
      <c r="AG2422" s="185">
        <f>SUMIFS($AD$37:$AD$12971,$V$37:$V$12971,$V2422,$X$37:$X$12971,AG$13)</f>
        <v>0</v>
      </c>
      <c r="AH2422" s="187">
        <f>SUMIFS($AD$37:$AD$12971,$V$37:$V$12971,$V2422,$X$37:$X$12971,AH$13)</f>
        <v>0</v>
      </c>
      <c r="AI2422" s="161">
        <f t="shared" ref="AI2422" si="1948">SUM(AE2422:AH2422)</f>
        <v>0</v>
      </c>
      <c r="AK2422" s="172"/>
    </row>
    <row r="2423" spans="1:37" s="102" customFormat="1" ht="19.899999999999999" customHeight="1" x14ac:dyDescent="0.25">
      <c r="A2423" s="45"/>
      <c r="B2423" s="59"/>
      <c r="C2423" s="137"/>
      <c r="D2423" s="59"/>
      <c r="E2423" s="116"/>
      <c r="F2423" s="120"/>
      <c r="G2423" s="120"/>
      <c r="H2423" s="120"/>
      <c r="I2423" s="60"/>
      <c r="J2423" s="116"/>
      <c r="K2423" s="213"/>
      <c r="L2423" s="120"/>
      <c r="M2423" s="120"/>
      <c r="N2423" s="167"/>
      <c r="O2423" s="120"/>
      <c r="P2423" s="120"/>
      <c r="Q2423" s="120"/>
      <c r="R2423" s="120"/>
      <c r="S2423" s="120"/>
      <c r="T2423" s="221"/>
      <c r="U2423" s="89"/>
      <c r="V2423" s="61"/>
      <c r="W2423" s="92" t="s">
        <v>1032</v>
      </c>
      <c r="X2423" s="93" t="s">
        <v>30</v>
      </c>
      <c r="Y2423" s="93" t="s">
        <v>66</v>
      </c>
      <c r="Z2423" s="134">
        <f>VLOOKUP(W2423,Sheet2!$B:$D,3,FALSE)</f>
        <v>250</v>
      </c>
      <c r="AA2423" s="93">
        <f>1/(3*3*0.1)</f>
        <v>1.1111111111111112</v>
      </c>
      <c r="AB2423" s="93">
        <f t="shared" ref="AB2423" si="1949">AD2423/AC2422</f>
        <v>224.99999999999997</v>
      </c>
      <c r="AC2423" s="93">
        <f>AC2422/AA2423</f>
        <v>9.9967500000000005</v>
      </c>
      <c r="AD2423" s="94">
        <f t="shared" ref="AD2423:AD2425" si="1950">AC2423*Z2423</f>
        <v>2499.1875</v>
      </c>
      <c r="AE2423" s="190"/>
      <c r="AF2423" s="191"/>
      <c r="AG2423" s="191"/>
      <c r="AH2423" s="191"/>
      <c r="AI2423" s="186"/>
      <c r="AK2423" s="171"/>
    </row>
    <row r="2424" spans="1:37" s="102" customFormat="1" ht="19.899999999999999" customHeight="1" x14ac:dyDescent="0.25">
      <c r="A2424" s="45"/>
      <c r="B2424" s="59"/>
      <c r="C2424" s="137"/>
      <c r="D2424" s="59"/>
      <c r="E2424" s="116"/>
      <c r="F2424" s="120"/>
      <c r="G2424" s="120"/>
      <c r="H2424" s="120"/>
      <c r="I2424" s="60"/>
      <c r="J2424" s="116"/>
      <c r="K2424" s="213"/>
      <c r="L2424" s="120"/>
      <c r="M2424" s="120"/>
      <c r="N2424" s="167"/>
      <c r="O2424" s="120"/>
      <c r="P2424" s="120"/>
      <c r="Q2424" s="120"/>
      <c r="R2424" s="120"/>
      <c r="S2424" s="120"/>
      <c r="T2424" s="221"/>
      <c r="U2424" s="89"/>
      <c r="V2424" s="61"/>
      <c r="W2424" s="92" t="s">
        <v>1353</v>
      </c>
      <c r="X2424" s="93" t="s">
        <v>30</v>
      </c>
      <c r="Y2424" s="93" t="s">
        <v>66</v>
      </c>
      <c r="Z2424" s="134">
        <f>VLOOKUP(W2424,Sheet2!$B:$D,3,FALSE)</f>
        <v>350</v>
      </c>
      <c r="AA2424" s="93">
        <f>1/(2*2*0.25*5)</f>
        <v>0.2</v>
      </c>
      <c r="AB2424" s="93">
        <f>AD2424/AC2422</f>
        <v>1750</v>
      </c>
      <c r="AC2424" s="93">
        <f>AC2422/AA2424</f>
        <v>55.537500000000009</v>
      </c>
      <c r="AD2424" s="94">
        <f t="shared" si="1950"/>
        <v>19438.125000000004</v>
      </c>
      <c r="AE2424" s="190"/>
      <c r="AF2424" s="191"/>
      <c r="AG2424" s="191"/>
      <c r="AH2424" s="191"/>
      <c r="AI2424" s="186"/>
      <c r="AK2424" s="171"/>
    </row>
    <row r="2425" spans="1:37" s="102" customFormat="1" ht="19.899999999999999" customHeight="1" x14ac:dyDescent="0.25">
      <c r="A2425" s="45"/>
      <c r="B2425" s="59"/>
      <c r="C2425" s="137"/>
      <c r="D2425" s="59"/>
      <c r="E2425" s="116"/>
      <c r="F2425" s="120"/>
      <c r="G2425" s="120"/>
      <c r="H2425" s="120"/>
      <c r="I2425" s="60"/>
      <c r="J2425" s="116"/>
      <c r="K2425" s="213"/>
      <c r="L2425" s="120"/>
      <c r="M2425" s="120"/>
      <c r="N2425" s="167"/>
      <c r="O2425" s="120"/>
      <c r="P2425" s="120"/>
      <c r="Q2425" s="120"/>
      <c r="R2425" s="120"/>
      <c r="S2425" s="120"/>
      <c r="T2425" s="221"/>
      <c r="U2425" s="89"/>
      <c r="V2425" s="61"/>
      <c r="W2425" s="92" t="s">
        <v>99</v>
      </c>
      <c r="X2425" s="93" t="s">
        <v>30</v>
      </c>
      <c r="Y2425" s="93" t="s">
        <v>67</v>
      </c>
      <c r="Z2425" s="134">
        <f>VLOOKUP(W2425,Sheet2!$B:$D,3,FALSE)</f>
        <v>2500</v>
      </c>
      <c r="AA2425" s="93">
        <f>1/(2*2*0.25*5*0.08)</f>
        <v>2.5</v>
      </c>
      <c r="AB2425" s="93">
        <f>AD2425/AC2422</f>
        <v>1000</v>
      </c>
      <c r="AC2425" s="93">
        <f>AC2422/AA2425</f>
        <v>4.4430000000000005</v>
      </c>
      <c r="AD2425" s="94">
        <f t="shared" si="1950"/>
        <v>11107.500000000002</v>
      </c>
      <c r="AE2425" s="190"/>
      <c r="AF2425" s="191"/>
      <c r="AG2425" s="191"/>
      <c r="AH2425" s="191"/>
      <c r="AI2425" s="186"/>
      <c r="AK2425" s="171"/>
    </row>
    <row r="2426" spans="1:37" s="102" customFormat="1" ht="19.899999999999999" customHeight="1" x14ac:dyDescent="0.25">
      <c r="A2426" s="45"/>
      <c r="B2426" s="59"/>
      <c r="C2426" s="137"/>
      <c r="D2426" s="59"/>
      <c r="E2426" s="116"/>
      <c r="F2426" s="120"/>
      <c r="G2426" s="120"/>
      <c r="H2426" s="120"/>
      <c r="I2426" s="60"/>
      <c r="J2426" s="116"/>
      <c r="K2426" s="213"/>
      <c r="L2426" s="120"/>
      <c r="M2426" s="120"/>
      <c r="N2426" s="167"/>
      <c r="O2426" s="120"/>
      <c r="P2426" s="120"/>
      <c r="Q2426" s="120"/>
      <c r="R2426" s="120"/>
      <c r="S2426" s="120"/>
      <c r="T2426" s="221"/>
      <c r="U2426" s="89"/>
      <c r="V2426" s="61"/>
      <c r="W2426" s="92" t="s">
        <v>1354</v>
      </c>
      <c r="X2426" s="93" t="s">
        <v>32</v>
      </c>
      <c r="Y2426" s="93" t="s">
        <v>66</v>
      </c>
      <c r="Z2426" s="134">
        <f>VLOOKUP(W2426,Sheet2!$B:$D,3,FALSE)</f>
        <v>150</v>
      </c>
      <c r="AA2426" s="93">
        <f>AA2423</f>
        <v>1.1111111111111112</v>
      </c>
      <c r="AB2426" s="93">
        <f>AD2426/AC2422</f>
        <v>134.99999999999997</v>
      </c>
      <c r="AC2426" s="93">
        <f>AC2422/AA2426</f>
        <v>9.9967500000000005</v>
      </c>
      <c r="AD2426" s="94">
        <f>AC2426*Z2426</f>
        <v>1499.5125</v>
      </c>
      <c r="AE2426" s="190"/>
      <c r="AF2426" s="191"/>
      <c r="AG2426" s="191"/>
      <c r="AH2426" s="191"/>
      <c r="AI2426" s="186"/>
      <c r="AK2426" s="171"/>
    </row>
    <row r="2427" spans="1:37" s="102" customFormat="1" ht="19.899999999999999" customHeight="1" x14ac:dyDescent="0.25">
      <c r="A2427" s="45"/>
      <c r="B2427" s="59"/>
      <c r="C2427" s="137"/>
      <c r="D2427" s="59"/>
      <c r="E2427" s="116"/>
      <c r="F2427" s="120"/>
      <c r="G2427" s="120"/>
      <c r="H2427" s="120"/>
      <c r="I2427" s="60"/>
      <c r="J2427" s="116"/>
      <c r="K2427" s="213"/>
      <c r="L2427" s="120"/>
      <c r="M2427" s="120"/>
      <c r="N2427" s="167"/>
      <c r="O2427" s="120"/>
      <c r="P2427" s="120"/>
      <c r="Q2427" s="120"/>
      <c r="R2427" s="120"/>
      <c r="S2427" s="120"/>
      <c r="T2427" s="221"/>
      <c r="U2427" s="89"/>
      <c r="V2427" s="61"/>
      <c r="W2427" s="92" t="s">
        <v>1355</v>
      </c>
      <c r="X2427" s="93" t="s">
        <v>32</v>
      </c>
      <c r="Y2427" s="93" t="s">
        <v>66</v>
      </c>
      <c r="Z2427" s="134">
        <f>VLOOKUP(W2427,Sheet2!$B:$D,3,FALSE)</f>
        <v>450</v>
      </c>
      <c r="AA2427" s="93">
        <f>AA2424</f>
        <v>0.2</v>
      </c>
      <c r="AB2427" s="93">
        <f>AD2427/AC2422</f>
        <v>2250</v>
      </c>
      <c r="AC2427" s="93">
        <f>AC2422/AA2427</f>
        <v>55.537500000000009</v>
      </c>
      <c r="AD2427" s="94">
        <f>AC2427*Z2427</f>
        <v>24991.875000000004</v>
      </c>
      <c r="AE2427" s="190"/>
      <c r="AF2427" s="191"/>
      <c r="AG2427" s="191"/>
      <c r="AH2427" s="191"/>
      <c r="AI2427" s="186"/>
      <c r="AK2427" s="171"/>
    </row>
    <row r="2428" spans="1:37" s="102" customFormat="1" ht="19.899999999999999" customHeight="1" x14ac:dyDescent="0.25">
      <c r="A2428" s="45"/>
      <c r="B2428" s="59"/>
      <c r="C2428" s="137"/>
      <c r="D2428" s="59"/>
      <c r="E2428" s="116"/>
      <c r="F2428" s="120"/>
      <c r="G2428" s="120"/>
      <c r="H2428" s="120"/>
      <c r="I2428" s="60"/>
      <c r="J2428" s="116"/>
      <c r="K2428" s="213"/>
      <c r="L2428" s="120"/>
      <c r="M2428" s="120"/>
      <c r="N2428" s="167"/>
      <c r="O2428" s="120"/>
      <c r="P2428" s="120"/>
      <c r="Q2428" s="120"/>
      <c r="R2428" s="120"/>
      <c r="S2428" s="120"/>
      <c r="T2428" s="221"/>
      <c r="U2428" s="89"/>
      <c r="V2428" s="61"/>
      <c r="W2428" s="92" t="s">
        <v>1356</v>
      </c>
      <c r="X2428" s="93" t="s">
        <v>30</v>
      </c>
      <c r="Y2428" s="93" t="s">
        <v>35</v>
      </c>
      <c r="Z2428" s="134">
        <f>VLOOKUP(W2428,Sheet2!$B:$D,3,FALSE)</f>
        <v>3500</v>
      </c>
      <c r="AA2428" s="93">
        <v>1</v>
      </c>
      <c r="AB2428" s="93">
        <f>AD2428/AC2422</f>
        <v>3500</v>
      </c>
      <c r="AC2428" s="93">
        <f>AC2422/AA2428</f>
        <v>11.107500000000002</v>
      </c>
      <c r="AD2428" s="94">
        <f t="shared" ref="AD2428:AD2429" si="1951">AC2428*Z2428</f>
        <v>38876.250000000007</v>
      </c>
      <c r="AE2428" s="190"/>
      <c r="AF2428" s="191"/>
      <c r="AG2428" s="191"/>
      <c r="AH2428" s="191"/>
      <c r="AI2428" s="186"/>
      <c r="AK2428" s="171"/>
    </row>
    <row r="2429" spans="1:37" s="102" customFormat="1" ht="19.899999999999999" customHeight="1" x14ac:dyDescent="0.25">
      <c r="A2429" s="45"/>
      <c r="B2429" s="59"/>
      <c r="C2429" s="137"/>
      <c r="D2429" s="59"/>
      <c r="E2429" s="116"/>
      <c r="F2429" s="120"/>
      <c r="G2429" s="120"/>
      <c r="H2429" s="120"/>
      <c r="I2429" s="60"/>
      <c r="J2429" s="116"/>
      <c r="K2429" s="213"/>
      <c r="L2429" s="120"/>
      <c r="M2429" s="120"/>
      <c r="N2429" s="167"/>
      <c r="O2429" s="120"/>
      <c r="P2429" s="120"/>
      <c r="Q2429" s="120"/>
      <c r="R2429" s="120"/>
      <c r="S2429" s="120"/>
      <c r="T2429" s="221"/>
      <c r="U2429" s="89"/>
      <c r="V2429" s="61"/>
      <c r="W2429" s="92" t="s">
        <v>174</v>
      </c>
      <c r="X2429" s="93" t="s">
        <v>29</v>
      </c>
      <c r="Y2429" s="93" t="s">
        <v>93</v>
      </c>
      <c r="Z2429" s="134">
        <f>VLOOKUP(W2429,Sheet2!$B:$D,3,FALSE)</f>
        <v>80</v>
      </c>
      <c r="AA2429" s="93">
        <v>4</v>
      </c>
      <c r="AB2429" s="93">
        <f>AD2429/AC2422</f>
        <v>20</v>
      </c>
      <c r="AC2429" s="93">
        <f>AC2422/AA2429</f>
        <v>2.7768750000000004</v>
      </c>
      <c r="AD2429" s="94">
        <f t="shared" si="1951"/>
        <v>222.15000000000003</v>
      </c>
      <c r="AE2429" s="190"/>
      <c r="AF2429" s="191"/>
      <c r="AG2429" s="191"/>
      <c r="AH2429" s="191"/>
      <c r="AI2429" s="186"/>
      <c r="AK2429" s="171"/>
    </row>
    <row r="2430" spans="1:37" s="102" customFormat="1" ht="19.899999999999999" customHeight="1" x14ac:dyDescent="0.25">
      <c r="A2430" s="45"/>
      <c r="B2430" s="59"/>
      <c r="C2430" s="137"/>
      <c r="D2430" s="59"/>
      <c r="E2430" s="116"/>
      <c r="F2430" s="120"/>
      <c r="G2430" s="120"/>
      <c r="H2430" s="120"/>
      <c r="I2430" s="60"/>
      <c r="J2430" s="116"/>
      <c r="K2430" s="213"/>
      <c r="L2430" s="120"/>
      <c r="M2430" s="120"/>
      <c r="N2430" s="167"/>
      <c r="O2430" s="120"/>
      <c r="P2430" s="120"/>
      <c r="Q2430" s="120"/>
      <c r="R2430" s="120"/>
      <c r="S2430" s="120"/>
      <c r="T2430" s="221"/>
      <c r="U2430" s="89"/>
      <c r="V2430" s="61"/>
      <c r="W2430" s="92" t="s">
        <v>65</v>
      </c>
      <c r="X2430" s="93" t="s">
        <v>30</v>
      </c>
      <c r="Y2430" s="93" t="s">
        <v>93</v>
      </c>
      <c r="Z2430" s="134">
        <f>VLOOKUP(W2430,Sheet2!$B:$D,3,FALSE)</f>
        <v>1.76</v>
      </c>
      <c r="AA2430" s="93">
        <f>AA2429/15</f>
        <v>0.26666666666666666</v>
      </c>
      <c r="AB2430" s="93">
        <f>AD2430/AC2422</f>
        <v>6.6000000000000005</v>
      </c>
      <c r="AC2430" s="93">
        <f>AC2422/AA2430</f>
        <v>41.65312500000001</v>
      </c>
      <c r="AD2430" s="94">
        <f>AC2430*Z2430</f>
        <v>73.309500000000014</v>
      </c>
      <c r="AE2430" s="190"/>
      <c r="AF2430" s="191"/>
      <c r="AG2430" s="191"/>
      <c r="AH2430" s="191"/>
      <c r="AI2430" s="186"/>
      <c r="AK2430" s="171"/>
    </row>
    <row r="2431" spans="1:37" s="102" customFormat="1" ht="19.899999999999999" customHeight="1" x14ac:dyDescent="0.25">
      <c r="A2431" s="45"/>
      <c r="B2431" s="59"/>
      <c r="C2431" s="137"/>
      <c r="D2431" s="59"/>
      <c r="E2431" s="116"/>
      <c r="F2431" s="120"/>
      <c r="G2431" s="120"/>
      <c r="H2431" s="120"/>
      <c r="I2431" s="60"/>
      <c r="J2431" s="116"/>
      <c r="K2431" s="213"/>
      <c r="L2431" s="120"/>
      <c r="M2431" s="120"/>
      <c r="N2431" s="167"/>
      <c r="O2431" s="120"/>
      <c r="P2431" s="120"/>
      <c r="Q2431" s="120"/>
      <c r="R2431" s="120"/>
      <c r="S2431" s="120"/>
      <c r="T2431" s="221"/>
      <c r="U2431" s="89"/>
      <c r="V2431" s="61"/>
      <c r="W2431" s="92" t="s">
        <v>1357</v>
      </c>
      <c r="X2431" s="93" t="s">
        <v>30</v>
      </c>
      <c r="Y2431" s="93" t="s">
        <v>1349</v>
      </c>
      <c r="Z2431" s="134">
        <f>VLOOKUP(W2431,Sheet2!$B:$D,3,FALSE)</f>
        <v>150</v>
      </c>
      <c r="AA2431" s="93">
        <v>1</v>
      </c>
      <c r="AB2431" s="93">
        <f>AD2431/AC2422</f>
        <v>150</v>
      </c>
      <c r="AC2431" s="93">
        <f>AC2422/AA2431</f>
        <v>11.107500000000002</v>
      </c>
      <c r="AD2431" s="94">
        <f>AC2431*Z2431</f>
        <v>1666.1250000000002</v>
      </c>
      <c r="AE2431" s="190"/>
      <c r="AF2431" s="191"/>
      <c r="AG2431" s="191"/>
      <c r="AH2431" s="191"/>
      <c r="AI2431" s="186"/>
      <c r="AK2431" s="171"/>
    </row>
    <row r="2432" spans="1:37" s="102" customFormat="1" ht="19.899999999999999" customHeight="1" x14ac:dyDescent="0.25">
      <c r="A2432" s="45"/>
      <c r="B2432" s="59"/>
      <c r="C2432" s="137"/>
      <c r="D2432" s="59"/>
      <c r="E2432" s="116"/>
      <c r="F2432" s="120"/>
      <c r="G2432" s="120"/>
      <c r="H2432" s="120"/>
      <c r="I2432" s="60"/>
      <c r="J2432" s="116"/>
      <c r="K2432" s="213"/>
      <c r="L2432" s="120"/>
      <c r="M2432" s="120"/>
      <c r="N2432" s="167"/>
      <c r="O2432" s="120"/>
      <c r="P2432" s="120"/>
      <c r="Q2432" s="120"/>
      <c r="R2432" s="120"/>
      <c r="S2432" s="120"/>
      <c r="T2432" s="221"/>
      <c r="U2432" s="89"/>
      <c r="V2432" s="61"/>
      <c r="W2432" s="92" t="s">
        <v>107</v>
      </c>
      <c r="X2432" s="93" t="s">
        <v>31</v>
      </c>
      <c r="Y2432" s="93" t="s">
        <v>93</v>
      </c>
      <c r="Z2432" s="134">
        <f>VLOOKUP(W2432,Sheet2!$B:$D,3,FALSE)</f>
        <v>17</v>
      </c>
      <c r="AA2432" s="93">
        <f>1/5</f>
        <v>0.2</v>
      </c>
      <c r="AB2432" s="93">
        <f>AD2432/AC2422</f>
        <v>85</v>
      </c>
      <c r="AC2432" s="93">
        <f>AC2422/AA2432</f>
        <v>55.537500000000009</v>
      </c>
      <c r="AD2432" s="94">
        <f>AC2432*Z2432</f>
        <v>944.13750000000016</v>
      </c>
      <c r="AE2432" s="190"/>
      <c r="AF2432" s="191"/>
      <c r="AG2432" s="191"/>
      <c r="AH2432" s="191"/>
      <c r="AI2432" s="186"/>
      <c r="AK2432" s="171"/>
    </row>
    <row r="2433" spans="1:41" s="102" customFormat="1" ht="19.899999999999999" customHeight="1" x14ac:dyDescent="0.25">
      <c r="A2433" s="45"/>
      <c r="B2433" s="59"/>
      <c r="C2433" s="137"/>
      <c r="D2433" s="59"/>
      <c r="E2433" s="116"/>
      <c r="F2433" s="120"/>
      <c r="G2433" s="120"/>
      <c r="H2433" s="120"/>
      <c r="I2433" s="60"/>
      <c r="J2433" s="116"/>
      <c r="K2433" s="213"/>
      <c r="L2433" s="120"/>
      <c r="M2433" s="120"/>
      <c r="N2433" s="167"/>
      <c r="O2433" s="120"/>
      <c r="P2433" s="120"/>
      <c r="Q2433" s="120"/>
      <c r="R2433" s="120"/>
      <c r="S2433" s="120"/>
      <c r="T2433" s="221"/>
      <c r="U2433" s="89"/>
      <c r="V2433" s="61"/>
      <c r="W2433" s="92" t="s">
        <v>112</v>
      </c>
      <c r="X2433" s="93" t="s">
        <v>31</v>
      </c>
      <c r="Y2433" s="93" t="s">
        <v>93</v>
      </c>
      <c r="Z2433" s="134">
        <f>VLOOKUP(W2433,Sheet2!$B:$D,3,FALSE)</f>
        <v>13</v>
      </c>
      <c r="AA2433" s="93">
        <f>AA2432</f>
        <v>0.2</v>
      </c>
      <c r="AB2433" s="93">
        <f>AD2433/AC2422</f>
        <v>65</v>
      </c>
      <c r="AC2433" s="93">
        <f>AC2422/AA2433</f>
        <v>55.537500000000009</v>
      </c>
      <c r="AD2433" s="94">
        <f>AC2433*Z2433</f>
        <v>721.98750000000007</v>
      </c>
      <c r="AE2433" s="190"/>
      <c r="AF2433" s="191"/>
      <c r="AG2433" s="191"/>
      <c r="AH2433" s="191"/>
      <c r="AI2433" s="186"/>
      <c r="AK2433" s="171"/>
    </row>
    <row r="2434" spans="1:41" s="103" customFormat="1" ht="19.899999999999999" customHeight="1" x14ac:dyDescent="0.25">
      <c r="A2434" s="51"/>
      <c r="B2434" s="52"/>
      <c r="C2434" s="165"/>
      <c r="D2434" s="52"/>
      <c r="E2434" s="115"/>
      <c r="F2434" s="58"/>
      <c r="G2434" s="58"/>
      <c r="H2434" s="58"/>
      <c r="I2434" s="55"/>
      <c r="J2434" s="113">
        <f>J2416</f>
        <v>11.107500000000002</v>
      </c>
      <c r="K2434" s="212">
        <f>K2416</f>
        <v>11.107500000000002</v>
      </c>
      <c r="L2434" s="58"/>
      <c r="M2434" s="58">
        <f>K2434-L2434</f>
        <v>11.107500000000002</v>
      </c>
      <c r="N2434" s="166"/>
      <c r="O2434" s="58"/>
      <c r="P2434" s="58"/>
      <c r="Q2434" s="58"/>
      <c r="R2434" s="58"/>
      <c r="S2434" s="58"/>
      <c r="T2434" s="220"/>
      <c r="U2434" s="88"/>
      <c r="V2434" s="56"/>
      <c r="W2434" s="57" t="s">
        <v>1358</v>
      </c>
      <c r="X2434" s="53"/>
      <c r="Y2434" s="91" t="s">
        <v>35</v>
      </c>
      <c r="Z2434" s="136">
        <f>AD2434/AC2434</f>
        <v>2800</v>
      </c>
      <c r="AA2434" s="58"/>
      <c r="AB2434" s="53">
        <f>AD2434/AC2434</f>
        <v>2800</v>
      </c>
      <c r="AC2434" s="53">
        <f>M2434+$AE$10</f>
        <v>11.107500000000002</v>
      </c>
      <c r="AD2434" s="54">
        <f>SUM(AD2435:AD2436)</f>
        <v>31101.000000000007</v>
      </c>
      <c r="AE2434" s="184">
        <f>SUMIFS($AD$37:$AD$12971,$V$37:$V$12971,$V2434,$X$37:$X$12971,AE$13)</f>
        <v>0</v>
      </c>
      <c r="AF2434" s="185">
        <f>SUMIFS($AD$37:$AD$12971,$V$37:$V$12971,$V2434,$X$37:$X$12971,AF$13)</f>
        <v>0</v>
      </c>
      <c r="AG2434" s="185">
        <f>SUMIFS($AD$37:$AD$12971,$V$37:$V$12971,$V2434,$X$37:$X$12971,AG$13)</f>
        <v>0</v>
      </c>
      <c r="AH2434" s="187">
        <f>SUMIFS($AD$37:$AD$12971,$V$37:$V$12971,$V2434,$X$37:$X$12971,AH$13)</f>
        <v>0</v>
      </c>
      <c r="AI2434" s="161">
        <f t="shared" ref="AI2434" si="1952">SUM(AE2434:AH2434)</f>
        <v>0</v>
      </c>
      <c r="AK2434" s="172"/>
    </row>
    <row r="2435" spans="1:41" s="102" customFormat="1" ht="19.899999999999999" customHeight="1" x14ac:dyDescent="0.25">
      <c r="A2435" s="45"/>
      <c r="B2435" s="59"/>
      <c r="C2435" s="137"/>
      <c r="D2435" s="59"/>
      <c r="E2435" s="116"/>
      <c r="F2435" s="120"/>
      <c r="G2435" s="120"/>
      <c r="H2435" s="120"/>
      <c r="I2435" s="60"/>
      <c r="J2435" s="116"/>
      <c r="K2435" s="213"/>
      <c r="L2435" s="120"/>
      <c r="M2435" s="120"/>
      <c r="N2435" s="167"/>
      <c r="O2435" s="120"/>
      <c r="P2435" s="120"/>
      <c r="Q2435" s="120"/>
      <c r="R2435" s="120"/>
      <c r="S2435" s="120"/>
      <c r="T2435" s="221"/>
      <c r="U2435" s="89"/>
      <c r="V2435" s="61"/>
      <c r="W2435" s="92" t="s">
        <v>1359</v>
      </c>
      <c r="X2435" s="93" t="s">
        <v>32</v>
      </c>
      <c r="Y2435" s="93" t="s">
        <v>64</v>
      </c>
      <c r="Z2435" s="134">
        <f>VLOOKUP(W2435,Sheet2!$B:$D,3,FALSE)</f>
        <v>40</v>
      </c>
      <c r="AA2435" s="93">
        <f>1/40</f>
        <v>2.5000000000000001E-2</v>
      </c>
      <c r="AB2435" s="93">
        <f t="shared" ref="AB2435" si="1953">AD2435/AC2434</f>
        <v>1600</v>
      </c>
      <c r="AC2435" s="93">
        <f>AC2434/AA2435</f>
        <v>444.30000000000007</v>
      </c>
      <c r="AD2435" s="94">
        <f t="shared" ref="AD2435:AD2436" si="1954">AC2435*Z2435</f>
        <v>17772.000000000004</v>
      </c>
      <c r="AE2435" s="190"/>
      <c r="AF2435" s="191"/>
      <c r="AG2435" s="191"/>
      <c r="AH2435" s="191"/>
      <c r="AI2435" s="186"/>
      <c r="AK2435" s="171"/>
    </row>
    <row r="2436" spans="1:41" s="102" customFormat="1" ht="19.899999999999999" customHeight="1" x14ac:dyDescent="0.25">
      <c r="A2436" s="45"/>
      <c r="B2436" s="59"/>
      <c r="C2436" s="137"/>
      <c r="D2436" s="59"/>
      <c r="E2436" s="116"/>
      <c r="F2436" s="120"/>
      <c r="G2436" s="120"/>
      <c r="H2436" s="120"/>
      <c r="I2436" s="60"/>
      <c r="J2436" s="116"/>
      <c r="K2436" s="213"/>
      <c r="L2436" s="120"/>
      <c r="M2436" s="120"/>
      <c r="N2436" s="167"/>
      <c r="O2436" s="120"/>
      <c r="P2436" s="120"/>
      <c r="Q2436" s="120"/>
      <c r="R2436" s="120"/>
      <c r="S2436" s="120"/>
      <c r="T2436" s="221"/>
      <c r="U2436" s="89"/>
      <c r="V2436" s="61"/>
      <c r="W2436" s="92" t="s">
        <v>1360</v>
      </c>
      <c r="X2436" s="93" t="s">
        <v>32</v>
      </c>
      <c r="Y2436" s="93" t="s">
        <v>64</v>
      </c>
      <c r="Z2436" s="134">
        <f>VLOOKUP(W2436,Sheet2!$B:$D,3,FALSE)</f>
        <v>30</v>
      </c>
      <c r="AA2436" s="93">
        <f>AA2435</f>
        <v>2.5000000000000001E-2</v>
      </c>
      <c r="AB2436" s="93">
        <f>AD2436/AC2434</f>
        <v>1200</v>
      </c>
      <c r="AC2436" s="93">
        <f>AC2434/AA2436</f>
        <v>444.30000000000007</v>
      </c>
      <c r="AD2436" s="94">
        <f t="shared" si="1954"/>
        <v>13329.000000000002</v>
      </c>
      <c r="AE2436" s="190"/>
      <c r="AF2436" s="191"/>
      <c r="AG2436" s="191"/>
      <c r="AH2436" s="191"/>
      <c r="AI2436" s="186"/>
      <c r="AK2436" s="171"/>
    </row>
    <row r="2437" spans="1:41" s="103" customFormat="1" ht="19.899999999999999" customHeight="1" x14ac:dyDescent="0.25">
      <c r="A2437" s="51"/>
      <c r="B2437" s="52"/>
      <c r="C2437" s="165"/>
      <c r="D2437" s="52"/>
      <c r="E2437" s="115"/>
      <c r="F2437" s="58"/>
      <c r="G2437" s="58"/>
      <c r="H2437" s="58"/>
      <c r="I2437" s="55"/>
      <c r="J2437" s="113">
        <f>J2416</f>
        <v>11.107500000000002</v>
      </c>
      <c r="K2437" s="212">
        <f>K2416</f>
        <v>11.107500000000002</v>
      </c>
      <c r="L2437" s="58"/>
      <c r="M2437" s="58">
        <f>K2437-L2437</f>
        <v>11.107500000000002</v>
      </c>
      <c r="N2437" s="166"/>
      <c r="O2437" s="58"/>
      <c r="P2437" s="58"/>
      <c r="Q2437" s="58"/>
      <c r="R2437" s="58"/>
      <c r="S2437" s="58"/>
      <c r="T2437" s="220"/>
      <c r="U2437" s="88"/>
      <c r="V2437" s="56"/>
      <c r="W2437" s="57" t="s">
        <v>1272</v>
      </c>
      <c r="X2437" s="53"/>
      <c r="Y2437" s="91" t="s">
        <v>35</v>
      </c>
      <c r="Z2437" s="136">
        <f>AD2437/AC2437</f>
        <v>209.08263529411761</v>
      </c>
      <c r="AA2437" s="58"/>
      <c r="AB2437" s="53">
        <f>AD2437/AC2437</f>
        <v>209.08263529411761</v>
      </c>
      <c r="AC2437" s="53">
        <f>M2437+$AE$10</f>
        <v>11.107500000000002</v>
      </c>
      <c r="AD2437" s="54">
        <f>SUM(AD2438:AD2446)</f>
        <v>2322.3853715294117</v>
      </c>
      <c r="AE2437" s="184">
        <f>SUMIFS($AD$37:$AD$12971,$V$37:$V$12971,$V2437,$X$37:$X$12971,AE$13)</f>
        <v>0</v>
      </c>
      <c r="AF2437" s="185">
        <f>SUMIFS($AD$37:$AD$12971,$V$37:$V$12971,$V2437,$X$37:$X$12971,AF$13)</f>
        <v>0</v>
      </c>
      <c r="AG2437" s="185">
        <f>SUMIFS($AD$37:$AD$12971,$V$37:$V$12971,$V2437,$X$37:$X$12971,AG$13)</f>
        <v>0</v>
      </c>
      <c r="AH2437" s="187">
        <f>SUMIFS($AD$37:$AD$12971,$V$37:$V$12971,$V2437,$X$37:$X$12971,AH$13)</f>
        <v>0</v>
      </c>
      <c r="AI2437" s="161">
        <f t="shared" ref="AI2437" si="1955">SUM(AE2437:AH2437)</f>
        <v>0</v>
      </c>
      <c r="AK2437" s="172"/>
    </row>
    <row r="2438" spans="1:41" s="102" customFormat="1" ht="19.899999999999999" customHeight="1" x14ac:dyDescent="0.25">
      <c r="A2438" s="45"/>
      <c r="B2438" s="59"/>
      <c r="C2438" s="137"/>
      <c r="D2438" s="59"/>
      <c r="E2438" s="116"/>
      <c r="F2438" s="120"/>
      <c r="G2438" s="120"/>
      <c r="H2438" s="120"/>
      <c r="I2438" s="60"/>
      <c r="J2438" s="116"/>
      <c r="K2438" s="213"/>
      <c r="L2438" s="120"/>
      <c r="M2438" s="120"/>
      <c r="N2438" s="167"/>
      <c r="O2438" s="120"/>
      <c r="P2438" s="120"/>
      <c r="Q2438" s="120"/>
      <c r="R2438" s="120"/>
      <c r="S2438" s="120"/>
      <c r="T2438" s="221"/>
      <c r="U2438" s="89"/>
      <c r="V2438" s="61"/>
      <c r="W2438" s="92" t="s">
        <v>1273</v>
      </c>
      <c r="X2438" s="93" t="s">
        <v>30</v>
      </c>
      <c r="Y2438" s="93" t="s">
        <v>66</v>
      </c>
      <c r="Z2438" s="134">
        <f>VLOOKUP(W2438,Sheet2!$B:$D,3,FALSE)</f>
        <v>10</v>
      </c>
      <c r="AA2438" s="93">
        <f>1/(2.5*2.4*0.5*4)</f>
        <v>8.3333333333333329E-2</v>
      </c>
      <c r="AB2438" s="93">
        <f>AD2438/AC2437</f>
        <v>119.99999999999999</v>
      </c>
      <c r="AC2438" s="93">
        <f>AC2437/AA2438</f>
        <v>133.29000000000002</v>
      </c>
      <c r="AD2438" s="94">
        <f t="shared" ref="AD2438:AD2440" si="1956">AC2438*Z2438</f>
        <v>1332.9</v>
      </c>
      <c r="AE2438" s="190"/>
      <c r="AF2438" s="191"/>
      <c r="AG2438" s="191"/>
      <c r="AH2438" s="191"/>
      <c r="AI2438" s="186"/>
      <c r="AK2438" s="171"/>
    </row>
    <row r="2439" spans="1:41" s="102" customFormat="1" ht="19.899999999999999" customHeight="1" x14ac:dyDescent="0.25">
      <c r="A2439" s="45"/>
      <c r="B2439" s="59"/>
      <c r="C2439" s="137"/>
      <c r="D2439" s="59"/>
      <c r="E2439" s="116"/>
      <c r="F2439" s="120"/>
      <c r="G2439" s="120"/>
      <c r="H2439" s="120"/>
      <c r="I2439" s="60"/>
      <c r="J2439" s="116"/>
      <c r="K2439" s="213"/>
      <c r="L2439" s="120"/>
      <c r="M2439" s="120"/>
      <c r="N2439" s="167"/>
      <c r="O2439" s="120"/>
      <c r="P2439" s="120"/>
      <c r="Q2439" s="120"/>
      <c r="R2439" s="120"/>
      <c r="S2439" s="120"/>
      <c r="T2439" s="221"/>
      <c r="U2439" s="89"/>
      <c r="V2439" s="61"/>
      <c r="W2439" s="92" t="s">
        <v>134</v>
      </c>
      <c r="X2439" s="93" t="s">
        <v>29</v>
      </c>
      <c r="Y2439" s="93" t="s">
        <v>93</v>
      </c>
      <c r="Z2439" s="134">
        <f>VLOOKUP(W2439,Sheet2!$B:$D,3,FALSE)</f>
        <v>65.599999999999994</v>
      </c>
      <c r="AA2439" s="93">
        <f>100/(2.5*2.4*0.5*4)</f>
        <v>8.3333333333333339</v>
      </c>
      <c r="AB2439" s="93">
        <f t="shared" ref="AB2439" si="1957">AD2439/AC2437</f>
        <v>7.8719999999999999</v>
      </c>
      <c r="AC2439" s="93">
        <f>AC2437/AA2439</f>
        <v>1.3329000000000002</v>
      </c>
      <c r="AD2439" s="94">
        <f t="shared" si="1956"/>
        <v>87.438240000000008</v>
      </c>
      <c r="AE2439" s="190"/>
      <c r="AF2439" s="191"/>
      <c r="AG2439" s="191"/>
      <c r="AH2439" s="191"/>
      <c r="AI2439" s="186"/>
      <c r="AK2439" s="171"/>
    </row>
    <row r="2440" spans="1:41" s="102" customFormat="1" ht="19.899999999999999" customHeight="1" x14ac:dyDescent="0.25">
      <c r="A2440" s="45"/>
      <c r="B2440" s="59"/>
      <c r="C2440" s="137"/>
      <c r="D2440" s="59"/>
      <c r="E2440" s="116"/>
      <c r="F2440" s="120"/>
      <c r="G2440" s="120"/>
      <c r="H2440" s="120"/>
      <c r="I2440" s="60"/>
      <c r="J2440" s="116"/>
      <c r="K2440" s="213"/>
      <c r="L2440" s="120"/>
      <c r="M2440" s="120"/>
      <c r="N2440" s="167"/>
      <c r="O2440" s="120"/>
      <c r="P2440" s="120"/>
      <c r="Q2440" s="120"/>
      <c r="R2440" s="120"/>
      <c r="S2440" s="120"/>
      <c r="T2440" s="221"/>
      <c r="U2440" s="89"/>
      <c r="V2440" s="61"/>
      <c r="W2440" s="92" t="s">
        <v>65</v>
      </c>
      <c r="X2440" s="93" t="s">
        <v>30</v>
      </c>
      <c r="Y2440" s="93" t="s">
        <v>1011</v>
      </c>
      <c r="Z2440" s="134">
        <f>VLOOKUP(W2440,Sheet2!$B:$D,3,FALSE)</f>
        <v>1.76</v>
      </c>
      <c r="AA2440" s="93">
        <f>AA2439/9</f>
        <v>0.92592592592592604</v>
      </c>
      <c r="AB2440" s="93">
        <f>AD2440/AC2437</f>
        <v>1.9007999999999998</v>
      </c>
      <c r="AC2440" s="93">
        <f>AC2437/AA2440</f>
        <v>11.9961</v>
      </c>
      <c r="AD2440" s="94">
        <f t="shared" si="1956"/>
        <v>21.113136000000001</v>
      </c>
      <c r="AE2440" s="190"/>
      <c r="AF2440" s="191"/>
      <c r="AG2440" s="191"/>
      <c r="AH2440" s="191"/>
      <c r="AI2440" s="186"/>
      <c r="AK2440" s="171"/>
    </row>
    <row r="2441" spans="1:41" s="102" customFormat="1" ht="19.899999999999999" customHeight="1" x14ac:dyDescent="0.25">
      <c r="A2441" s="45"/>
      <c r="B2441" s="59"/>
      <c r="C2441" s="137"/>
      <c r="D2441" s="59"/>
      <c r="E2441" s="116"/>
      <c r="F2441" s="120"/>
      <c r="G2441" s="120"/>
      <c r="H2441" s="120"/>
      <c r="I2441" s="60"/>
      <c r="J2441" s="116"/>
      <c r="K2441" s="213"/>
      <c r="L2441" s="120"/>
      <c r="M2441" s="120"/>
      <c r="N2441" s="167"/>
      <c r="O2441" s="120"/>
      <c r="P2441" s="120"/>
      <c r="Q2441" s="120"/>
      <c r="R2441" s="120"/>
      <c r="S2441" s="120"/>
      <c r="T2441" s="221"/>
      <c r="U2441" s="89"/>
      <c r="V2441" s="61"/>
      <c r="W2441" s="92" t="s">
        <v>161</v>
      </c>
      <c r="X2441" s="93" t="s">
        <v>29</v>
      </c>
      <c r="Y2441" s="93" t="s">
        <v>93</v>
      </c>
      <c r="Z2441" s="134">
        <f>VLOOKUP(W2441,Sheet2!$B:$D,3,FALSE)</f>
        <v>48</v>
      </c>
      <c r="AA2441" s="93">
        <f>(16*0.85*1.5)/(2.5*2.4*0.5*4)</f>
        <v>1.7</v>
      </c>
      <c r="AB2441" s="93">
        <f>AD2441/AC2437</f>
        <v>28.235294117647058</v>
      </c>
      <c r="AC2441" s="93">
        <f>AC2437/AA2441</f>
        <v>6.5338235294117659</v>
      </c>
      <c r="AD2441" s="94">
        <f>AC2441*Z2441</f>
        <v>313.62352941176476</v>
      </c>
      <c r="AE2441" s="190"/>
      <c r="AF2441" s="191"/>
      <c r="AG2441" s="191"/>
      <c r="AH2441" s="191"/>
      <c r="AI2441" s="186"/>
      <c r="AK2441" s="171"/>
    </row>
    <row r="2442" spans="1:41" s="102" customFormat="1" ht="19.899999999999999" customHeight="1" x14ac:dyDescent="0.25">
      <c r="A2442" s="45"/>
      <c r="B2442" s="59"/>
      <c r="C2442" s="137"/>
      <c r="D2442" s="59"/>
      <c r="E2442" s="116"/>
      <c r="F2442" s="120"/>
      <c r="G2442" s="120"/>
      <c r="H2442" s="120"/>
      <c r="I2442" s="60"/>
      <c r="J2442" s="116"/>
      <c r="K2442" s="213"/>
      <c r="L2442" s="120"/>
      <c r="M2442" s="120"/>
      <c r="N2442" s="167"/>
      <c r="O2442" s="120"/>
      <c r="P2442" s="120"/>
      <c r="Q2442" s="120"/>
      <c r="R2442" s="120"/>
      <c r="S2442" s="120"/>
      <c r="T2442" s="221"/>
      <c r="U2442" s="89"/>
      <c r="V2442" s="61"/>
      <c r="W2442" s="92" t="s">
        <v>65</v>
      </c>
      <c r="X2442" s="93" t="s">
        <v>30</v>
      </c>
      <c r="Y2442" s="93" t="s">
        <v>1011</v>
      </c>
      <c r="Z2442" s="134">
        <f>VLOOKUP(W2442,Sheet2!$B:$D,3,FALSE)</f>
        <v>1.76</v>
      </c>
      <c r="AA2442" s="93">
        <f>AA2441/10</f>
        <v>0.16999999999999998</v>
      </c>
      <c r="AB2442" s="93">
        <f>AD2442/AC2437</f>
        <v>10.352941176470589</v>
      </c>
      <c r="AC2442" s="93">
        <f>AC2437/AA2442</f>
        <v>65.338235294117666</v>
      </c>
      <c r="AD2442" s="94">
        <f>AC2442*Z2442</f>
        <v>114.99529411764709</v>
      </c>
      <c r="AE2442" s="190"/>
      <c r="AF2442" s="191"/>
      <c r="AG2442" s="191"/>
      <c r="AH2442" s="191"/>
      <c r="AI2442" s="186"/>
      <c r="AK2442" s="171"/>
    </row>
    <row r="2443" spans="1:41" s="102" customFormat="1" ht="19.899999999999999" customHeight="1" x14ac:dyDescent="0.25">
      <c r="A2443" s="45"/>
      <c r="B2443" s="59"/>
      <c r="C2443" s="137"/>
      <c r="D2443" s="59"/>
      <c r="E2443" s="116"/>
      <c r="F2443" s="120"/>
      <c r="G2443" s="120"/>
      <c r="H2443" s="120"/>
      <c r="I2443" s="60"/>
      <c r="J2443" s="116"/>
      <c r="K2443" s="213"/>
      <c r="L2443" s="120"/>
      <c r="M2443" s="120"/>
      <c r="N2443" s="167"/>
      <c r="O2443" s="120"/>
      <c r="P2443" s="120"/>
      <c r="Q2443" s="120"/>
      <c r="R2443" s="120"/>
      <c r="S2443" s="120"/>
      <c r="T2443" s="221"/>
      <c r="U2443" s="89"/>
      <c r="V2443" s="61"/>
      <c r="W2443" s="92" t="s">
        <v>173</v>
      </c>
      <c r="X2443" s="93" t="s">
        <v>29</v>
      </c>
      <c r="Y2443" s="93" t="s">
        <v>93</v>
      </c>
      <c r="Z2443" s="134">
        <f>VLOOKUP(W2443,Sheet2!$B:$D,3,FALSE)</f>
        <v>36</v>
      </c>
      <c r="AA2443" s="93">
        <f>50/(2.5*2.4*0.5*4)</f>
        <v>4.166666666666667</v>
      </c>
      <c r="AB2443" s="93">
        <f>AD2443/AC2437</f>
        <v>8.64</v>
      </c>
      <c r="AC2443" s="93">
        <f>AC2437/AA2443</f>
        <v>2.6658000000000004</v>
      </c>
      <c r="AD2443" s="94">
        <f>AC2443*Z2443</f>
        <v>95.968800000000016</v>
      </c>
      <c r="AE2443" s="190"/>
      <c r="AF2443" s="191"/>
      <c r="AG2443" s="191"/>
      <c r="AH2443" s="191"/>
      <c r="AI2443" s="186"/>
      <c r="AK2443" s="171"/>
    </row>
    <row r="2444" spans="1:41" s="102" customFormat="1" ht="19.899999999999999" customHeight="1" x14ac:dyDescent="0.25">
      <c r="A2444" s="45"/>
      <c r="B2444" s="59"/>
      <c r="C2444" s="137"/>
      <c r="D2444" s="59"/>
      <c r="E2444" s="116"/>
      <c r="F2444" s="120"/>
      <c r="G2444" s="120"/>
      <c r="H2444" s="120"/>
      <c r="I2444" s="60"/>
      <c r="J2444" s="116"/>
      <c r="K2444" s="213"/>
      <c r="L2444" s="120"/>
      <c r="M2444" s="120"/>
      <c r="N2444" s="167"/>
      <c r="O2444" s="120"/>
      <c r="P2444" s="120"/>
      <c r="Q2444" s="120"/>
      <c r="R2444" s="120"/>
      <c r="S2444" s="120"/>
      <c r="T2444" s="221"/>
      <c r="U2444" s="89"/>
      <c r="V2444" s="61"/>
      <c r="W2444" s="92" t="s">
        <v>65</v>
      </c>
      <c r="X2444" s="93" t="s">
        <v>30</v>
      </c>
      <c r="Y2444" s="93" t="s">
        <v>1011</v>
      </c>
      <c r="Z2444" s="134">
        <f>VLOOKUP(W2444,Sheet2!$B:$D,3,FALSE)</f>
        <v>1.76</v>
      </c>
      <c r="AA2444" s="93">
        <f>AA2443/9</f>
        <v>0.46296296296296302</v>
      </c>
      <c r="AB2444" s="93">
        <f>AD2444/AC2437</f>
        <v>3.8015999999999996</v>
      </c>
      <c r="AC2444" s="93">
        <f>AC2437/AA2444</f>
        <v>23.9922</v>
      </c>
      <c r="AD2444" s="94">
        <f>AC2444*Z2444</f>
        <v>42.226272000000002</v>
      </c>
      <c r="AE2444" s="190"/>
      <c r="AF2444" s="191"/>
      <c r="AG2444" s="191"/>
      <c r="AH2444" s="191"/>
      <c r="AI2444" s="186"/>
      <c r="AK2444" s="171"/>
    </row>
    <row r="2445" spans="1:41" s="102" customFormat="1" ht="19.899999999999999" customHeight="1" x14ac:dyDescent="0.25">
      <c r="A2445" s="45"/>
      <c r="B2445" s="59"/>
      <c r="C2445" s="137"/>
      <c r="D2445" s="59"/>
      <c r="E2445" s="116"/>
      <c r="F2445" s="120"/>
      <c r="G2445" s="120"/>
      <c r="H2445" s="120"/>
      <c r="I2445" s="60"/>
      <c r="J2445" s="116"/>
      <c r="K2445" s="213"/>
      <c r="L2445" s="120"/>
      <c r="M2445" s="120"/>
      <c r="N2445" s="167"/>
      <c r="O2445" s="120"/>
      <c r="P2445" s="120"/>
      <c r="Q2445" s="120"/>
      <c r="R2445" s="120"/>
      <c r="S2445" s="120"/>
      <c r="T2445" s="221"/>
      <c r="U2445" s="89"/>
      <c r="V2445" s="61"/>
      <c r="W2445" s="92" t="s">
        <v>1030</v>
      </c>
      <c r="X2445" s="93" t="s">
        <v>29</v>
      </c>
      <c r="Y2445" s="93" t="s">
        <v>93</v>
      </c>
      <c r="Z2445" s="134">
        <f>VLOOKUP(W2445,Sheet2!$B:$D,3,FALSE)</f>
        <v>23</v>
      </c>
      <c r="AA2445" s="93">
        <v>1</v>
      </c>
      <c r="AB2445" s="93">
        <f>AD2445/AC2437</f>
        <v>23</v>
      </c>
      <c r="AC2445" s="93">
        <f>AC2437/AA2445</f>
        <v>11.107500000000002</v>
      </c>
      <c r="AD2445" s="94">
        <f t="shared" ref="AD2445:AD2446" si="1958">AC2445*Z2445</f>
        <v>255.47250000000003</v>
      </c>
      <c r="AE2445" s="190"/>
      <c r="AF2445" s="191"/>
      <c r="AG2445" s="191"/>
      <c r="AH2445" s="191"/>
      <c r="AI2445" s="186"/>
      <c r="AK2445" s="171"/>
    </row>
    <row r="2446" spans="1:41" s="102" customFormat="1" ht="19.899999999999999" customHeight="1" x14ac:dyDescent="0.25">
      <c r="A2446" s="45"/>
      <c r="B2446" s="59"/>
      <c r="C2446" s="137"/>
      <c r="D2446" s="59"/>
      <c r="E2446" s="116"/>
      <c r="F2446" s="120"/>
      <c r="G2446" s="120"/>
      <c r="H2446" s="120"/>
      <c r="I2446" s="60"/>
      <c r="J2446" s="116"/>
      <c r="K2446" s="213"/>
      <c r="L2446" s="120"/>
      <c r="M2446" s="120"/>
      <c r="N2446" s="167"/>
      <c r="O2446" s="120"/>
      <c r="P2446" s="120"/>
      <c r="Q2446" s="120"/>
      <c r="R2446" s="120"/>
      <c r="S2446" s="120"/>
      <c r="T2446" s="221"/>
      <c r="U2446" s="89"/>
      <c r="V2446" s="61"/>
      <c r="W2446" s="92" t="s">
        <v>65</v>
      </c>
      <c r="X2446" s="93" t="s">
        <v>30</v>
      </c>
      <c r="Y2446" s="93" t="s">
        <v>1011</v>
      </c>
      <c r="Z2446" s="134">
        <f>VLOOKUP(W2446,Sheet2!$B:$D,3,FALSE)</f>
        <v>1.76</v>
      </c>
      <c r="AA2446" s="93">
        <f>AA2445/3</f>
        <v>0.33333333333333331</v>
      </c>
      <c r="AB2446" s="93">
        <f>AD2446/AC2437</f>
        <v>5.28</v>
      </c>
      <c r="AC2446" s="93">
        <f>AC2437/AA2446</f>
        <v>33.322500000000005</v>
      </c>
      <c r="AD2446" s="94">
        <f t="shared" si="1958"/>
        <v>58.647600000000011</v>
      </c>
      <c r="AE2446" s="190"/>
      <c r="AF2446" s="191"/>
      <c r="AG2446" s="191"/>
      <c r="AH2446" s="191"/>
      <c r="AI2446" s="186"/>
      <c r="AK2446" s="171"/>
    </row>
    <row r="2447" spans="1:41" ht="20.100000000000001" customHeight="1" x14ac:dyDescent="0.25">
      <c r="A2447" s="277" t="s">
        <v>410</v>
      </c>
      <c r="B2447" s="278"/>
      <c r="C2447" s="64" t="s">
        <v>470</v>
      </c>
      <c r="D2447" s="46" t="s">
        <v>215</v>
      </c>
      <c r="E2447" s="114">
        <v>2.06</v>
      </c>
      <c r="F2447" s="44">
        <v>41748</v>
      </c>
      <c r="G2447" s="44">
        <f t="shared" si="1686"/>
        <v>86000.88</v>
      </c>
      <c r="H2447" s="44">
        <f t="shared" si="1687"/>
        <v>12286.179576470588</v>
      </c>
      <c r="I2447" s="43">
        <f t="shared" si="1688"/>
        <v>25309.529927529413</v>
      </c>
      <c r="J2447" s="112">
        <f t="shared" si="1689"/>
        <v>2.06</v>
      </c>
      <c r="K2447" s="211">
        <f t="shared" si="1690"/>
        <v>2.06</v>
      </c>
      <c r="L2447" s="44"/>
      <c r="M2447" s="44">
        <f t="shared" si="1704"/>
        <v>2.06</v>
      </c>
      <c r="N2447" s="173">
        <f t="shared" si="1691"/>
        <v>1</v>
      </c>
      <c r="O2447" s="44">
        <f t="shared" si="1692"/>
        <v>41748</v>
      </c>
      <c r="P2447" s="44">
        <f t="shared" si="1693"/>
        <v>86000.88</v>
      </c>
      <c r="Q2447" s="44">
        <f t="shared" si="1694"/>
        <v>12286.179576470588</v>
      </c>
      <c r="R2447" s="44">
        <f t="shared" si="1705"/>
        <v>25309.529927529413</v>
      </c>
      <c r="S2447" s="123"/>
      <c r="T2447" s="219">
        <f t="shared" si="1706"/>
        <v>25309.529927529413</v>
      </c>
      <c r="U2447" s="87"/>
      <c r="V2447" s="47"/>
      <c r="W2447" s="48"/>
      <c r="X2447" s="48"/>
      <c r="Y2447" s="48"/>
      <c r="Z2447" s="135"/>
      <c r="AA2447" s="49"/>
      <c r="AB2447" s="50">
        <f t="shared" si="1695"/>
        <v>12286.179576470588</v>
      </c>
      <c r="AC2447" s="42">
        <f t="shared" si="1707"/>
        <v>2.06</v>
      </c>
      <c r="AD2447" s="90">
        <f>AD2448+AD2453+AD2465+AD2468</f>
        <v>25309.529927529409</v>
      </c>
      <c r="AE2447" s="188">
        <f t="shared" ref="AE2447" si="1959">AE2448+AE2453+AE2465+AE2468</f>
        <v>0</v>
      </c>
      <c r="AF2447" s="189">
        <f t="shared" ref="AF2447" si="1960">AF2448+AF2453+AF2465+AF2468</f>
        <v>0</v>
      </c>
      <c r="AG2447" s="189">
        <f t="shared" ref="AG2447" si="1961">AG2448+AG2453+AG2465+AG2468</f>
        <v>0</v>
      </c>
      <c r="AH2447" s="189">
        <f t="shared" ref="AH2447" si="1962">AH2448+AH2453+AH2465+AH2468</f>
        <v>0</v>
      </c>
      <c r="AI2447" s="161">
        <f t="shared" ref="AI2447:AI2448" si="1963">SUM(AE2447:AH2447)</f>
        <v>0</v>
      </c>
      <c r="AK2447" s="169">
        <v>5</v>
      </c>
      <c r="AO2447" s="19" t="s">
        <v>63</v>
      </c>
    </row>
    <row r="2448" spans="1:41" s="103" customFormat="1" ht="19.899999999999999" customHeight="1" x14ac:dyDescent="0.25">
      <c r="A2448" s="51"/>
      <c r="B2448" s="52"/>
      <c r="C2448" s="165"/>
      <c r="D2448" s="52"/>
      <c r="E2448" s="115"/>
      <c r="F2448" s="58"/>
      <c r="G2448" s="58"/>
      <c r="H2448" s="58"/>
      <c r="I2448" s="55"/>
      <c r="J2448" s="113">
        <f>J2447</f>
        <v>2.06</v>
      </c>
      <c r="K2448" s="212">
        <f>K2447</f>
        <v>2.06</v>
      </c>
      <c r="L2448" s="58"/>
      <c r="M2448" s="58">
        <f>K2448-L2448</f>
        <v>2.06</v>
      </c>
      <c r="N2448" s="166"/>
      <c r="O2448" s="58"/>
      <c r="P2448" s="58"/>
      <c r="Q2448" s="58"/>
      <c r="R2448" s="58"/>
      <c r="S2448" s="58"/>
      <c r="T2448" s="220"/>
      <c r="U2448" s="88"/>
      <c r="V2448" s="56"/>
      <c r="W2448" s="57" t="s">
        <v>1351</v>
      </c>
      <c r="X2448" s="53"/>
      <c r="Y2448" s="91" t="s">
        <v>35</v>
      </c>
      <c r="Z2448" s="136">
        <f>AD2448/AC2448</f>
        <v>90.4969411764706</v>
      </c>
      <c r="AA2448" s="58"/>
      <c r="AB2448" s="53">
        <f>AD2448/AC2448</f>
        <v>90.4969411764706</v>
      </c>
      <c r="AC2448" s="53">
        <f>M2448+$AE$10</f>
        <v>2.06</v>
      </c>
      <c r="AD2448" s="54">
        <f>SUM(AD2449:AD2452)</f>
        <v>186.42369882352943</v>
      </c>
      <c r="AE2448" s="184">
        <f>SUMIFS($AD$37:$AD$12971,$V$37:$V$12971,$V2448,$X$37:$X$12971,AE$13)</f>
        <v>0</v>
      </c>
      <c r="AF2448" s="185">
        <f>SUMIFS($AD$37:$AD$12971,$V$37:$V$12971,$V2448,$X$37:$X$12971,AF$13)</f>
        <v>0</v>
      </c>
      <c r="AG2448" s="185">
        <f>SUMIFS($AD$37:$AD$12971,$V$37:$V$12971,$V2448,$X$37:$X$12971,AG$13)</f>
        <v>0</v>
      </c>
      <c r="AH2448" s="187">
        <f>SUMIFS($AD$37:$AD$12971,$V$37:$V$12971,$V2448,$X$37:$X$12971,AH$13)</f>
        <v>0</v>
      </c>
      <c r="AI2448" s="161">
        <f t="shared" si="1963"/>
        <v>0</v>
      </c>
      <c r="AK2448" s="172"/>
    </row>
    <row r="2449" spans="1:37" s="102" customFormat="1" ht="19.899999999999999" customHeight="1" x14ac:dyDescent="0.25">
      <c r="A2449" s="45"/>
      <c r="B2449" s="59"/>
      <c r="C2449" s="137"/>
      <c r="D2449" s="59"/>
      <c r="E2449" s="116"/>
      <c r="F2449" s="120"/>
      <c r="G2449" s="120"/>
      <c r="H2449" s="120"/>
      <c r="I2449" s="60"/>
      <c r="J2449" s="116"/>
      <c r="K2449" s="213"/>
      <c r="L2449" s="120"/>
      <c r="M2449" s="120"/>
      <c r="N2449" s="167"/>
      <c r="O2449" s="120"/>
      <c r="P2449" s="120"/>
      <c r="Q2449" s="120"/>
      <c r="R2449" s="120"/>
      <c r="S2449" s="120"/>
      <c r="T2449" s="221"/>
      <c r="U2449" s="89"/>
      <c r="V2449" s="61"/>
      <c r="W2449" s="92" t="s">
        <v>129</v>
      </c>
      <c r="X2449" s="93" t="s">
        <v>29</v>
      </c>
      <c r="Y2449" s="93" t="s">
        <v>93</v>
      </c>
      <c r="Z2449" s="134">
        <f>VLOOKUP(W2449,Sheet2!$B:$D,3,FALSE)</f>
        <v>56</v>
      </c>
      <c r="AA2449" s="93">
        <f>100/(3*3*2.5)</f>
        <v>4.4444444444444446</v>
      </c>
      <c r="AB2449" s="93">
        <f t="shared" ref="AB2449" si="1964">AD2449/AC2448</f>
        <v>12.6</v>
      </c>
      <c r="AC2449" s="93">
        <f>AC2448/AA2449</f>
        <v>0.46349999999999997</v>
      </c>
      <c r="AD2449" s="94">
        <f t="shared" ref="AD2449:AD2450" si="1965">AC2449*Z2449</f>
        <v>25.956</v>
      </c>
      <c r="AE2449" s="190"/>
      <c r="AF2449" s="191"/>
      <c r="AG2449" s="191"/>
      <c r="AH2449" s="191"/>
      <c r="AI2449" s="186"/>
      <c r="AK2449" s="171"/>
    </row>
    <row r="2450" spans="1:37" s="102" customFormat="1" ht="19.899999999999999" customHeight="1" x14ac:dyDescent="0.25">
      <c r="A2450" s="45"/>
      <c r="B2450" s="59"/>
      <c r="C2450" s="137"/>
      <c r="D2450" s="59"/>
      <c r="E2450" s="116"/>
      <c r="F2450" s="120"/>
      <c r="G2450" s="120"/>
      <c r="H2450" s="120"/>
      <c r="I2450" s="60"/>
      <c r="J2450" s="116"/>
      <c r="K2450" s="213"/>
      <c r="L2450" s="120"/>
      <c r="M2450" s="120"/>
      <c r="N2450" s="167"/>
      <c r="O2450" s="120"/>
      <c r="P2450" s="120"/>
      <c r="Q2450" s="120"/>
      <c r="R2450" s="120"/>
      <c r="S2450" s="120"/>
      <c r="T2450" s="221"/>
      <c r="U2450" s="89"/>
      <c r="V2450" s="61"/>
      <c r="W2450" s="92" t="s">
        <v>65</v>
      </c>
      <c r="X2450" s="93" t="s">
        <v>30</v>
      </c>
      <c r="Y2450" s="93" t="s">
        <v>1011</v>
      </c>
      <c r="Z2450" s="134">
        <f>VLOOKUP(W2450,Sheet2!$B:$D,3,FALSE)</f>
        <v>1.76</v>
      </c>
      <c r="AA2450" s="93">
        <f>AA2449/14</f>
        <v>0.3174603174603175</v>
      </c>
      <c r="AB2450" s="93">
        <f>AD2450/AC2448</f>
        <v>5.5439999999999996</v>
      </c>
      <c r="AC2450" s="93">
        <f>AC2448/AA2450</f>
        <v>6.488999999999999</v>
      </c>
      <c r="AD2450" s="94">
        <f t="shared" si="1965"/>
        <v>11.420639999999999</v>
      </c>
      <c r="AE2450" s="190"/>
      <c r="AF2450" s="191"/>
      <c r="AG2450" s="191"/>
      <c r="AH2450" s="191"/>
      <c r="AI2450" s="186"/>
      <c r="AK2450" s="171"/>
    </row>
    <row r="2451" spans="1:37" s="102" customFormat="1" ht="19.899999999999999" customHeight="1" x14ac:dyDescent="0.25">
      <c r="A2451" s="45"/>
      <c r="B2451" s="59"/>
      <c r="C2451" s="137"/>
      <c r="D2451" s="59"/>
      <c r="E2451" s="116"/>
      <c r="F2451" s="120"/>
      <c r="G2451" s="120"/>
      <c r="H2451" s="120"/>
      <c r="I2451" s="60"/>
      <c r="J2451" s="116"/>
      <c r="K2451" s="213"/>
      <c r="L2451" s="120"/>
      <c r="M2451" s="120"/>
      <c r="N2451" s="167"/>
      <c r="O2451" s="120"/>
      <c r="P2451" s="120"/>
      <c r="Q2451" s="120"/>
      <c r="R2451" s="120"/>
      <c r="S2451" s="120"/>
      <c r="T2451" s="221"/>
      <c r="U2451" s="89"/>
      <c r="V2451" s="61"/>
      <c r="W2451" s="92" t="s">
        <v>161</v>
      </c>
      <c r="X2451" s="93" t="s">
        <v>29</v>
      </c>
      <c r="Y2451" s="93" t="s">
        <v>93</v>
      </c>
      <c r="Z2451" s="134">
        <f>VLOOKUP(W2451,Sheet2!$B:$D,3,FALSE)</f>
        <v>48</v>
      </c>
      <c r="AA2451" s="93">
        <f>(16*0.85*1.5)/(3*3*2.5)</f>
        <v>0.90666666666666662</v>
      </c>
      <c r="AB2451" s="93">
        <f>AD2451/AC2448</f>
        <v>52.941176470588239</v>
      </c>
      <c r="AC2451" s="93">
        <f>AC2448/AA2451</f>
        <v>2.2720588235294121</v>
      </c>
      <c r="AD2451" s="94">
        <f>AC2451*Z2451</f>
        <v>109.05882352941178</v>
      </c>
      <c r="AE2451" s="190"/>
      <c r="AF2451" s="191"/>
      <c r="AG2451" s="191"/>
      <c r="AH2451" s="191"/>
      <c r="AI2451" s="186"/>
      <c r="AK2451" s="171"/>
    </row>
    <row r="2452" spans="1:37" s="102" customFormat="1" ht="19.899999999999999" customHeight="1" x14ac:dyDescent="0.25">
      <c r="A2452" s="45"/>
      <c r="B2452" s="59"/>
      <c r="C2452" s="137"/>
      <c r="D2452" s="59"/>
      <c r="E2452" s="116"/>
      <c r="F2452" s="120"/>
      <c r="G2452" s="120"/>
      <c r="H2452" s="120"/>
      <c r="I2452" s="60"/>
      <c r="J2452" s="116"/>
      <c r="K2452" s="213"/>
      <c r="L2452" s="120"/>
      <c r="M2452" s="120"/>
      <c r="N2452" s="167"/>
      <c r="O2452" s="120"/>
      <c r="P2452" s="120"/>
      <c r="Q2452" s="120"/>
      <c r="R2452" s="120"/>
      <c r="S2452" s="120"/>
      <c r="T2452" s="221"/>
      <c r="U2452" s="89"/>
      <c r="V2452" s="61"/>
      <c r="W2452" s="92" t="s">
        <v>65</v>
      </c>
      <c r="X2452" s="93" t="s">
        <v>30</v>
      </c>
      <c r="Y2452" s="93" t="s">
        <v>1011</v>
      </c>
      <c r="Z2452" s="134">
        <f>VLOOKUP(W2452,Sheet2!$B:$D,3,FALSE)</f>
        <v>1.76</v>
      </c>
      <c r="AA2452" s="93">
        <f>AA2451/10</f>
        <v>9.0666666666666659E-2</v>
      </c>
      <c r="AB2452" s="93">
        <f>AD2452/AC2448</f>
        <v>19.411764705882355</v>
      </c>
      <c r="AC2452" s="93">
        <f>AC2448/AA2452</f>
        <v>22.72058823529412</v>
      </c>
      <c r="AD2452" s="94">
        <f>AC2452*Z2452</f>
        <v>39.988235294117651</v>
      </c>
      <c r="AE2452" s="190"/>
      <c r="AF2452" s="191"/>
      <c r="AG2452" s="191"/>
      <c r="AH2452" s="191"/>
      <c r="AI2452" s="186"/>
      <c r="AK2452" s="171"/>
    </row>
    <row r="2453" spans="1:37" s="103" customFormat="1" ht="19.899999999999999" customHeight="1" x14ac:dyDescent="0.25">
      <c r="A2453" s="51"/>
      <c r="B2453" s="52"/>
      <c r="C2453" s="165"/>
      <c r="D2453" s="52"/>
      <c r="E2453" s="115"/>
      <c r="F2453" s="58"/>
      <c r="G2453" s="58"/>
      <c r="H2453" s="58"/>
      <c r="I2453" s="55"/>
      <c r="J2453" s="113">
        <f>J2447</f>
        <v>2.06</v>
      </c>
      <c r="K2453" s="212">
        <f>K2447</f>
        <v>2.06</v>
      </c>
      <c r="L2453" s="58"/>
      <c r="M2453" s="58">
        <f>K2453-L2453</f>
        <v>2.06</v>
      </c>
      <c r="N2453" s="166"/>
      <c r="O2453" s="58"/>
      <c r="P2453" s="58"/>
      <c r="Q2453" s="58"/>
      <c r="R2453" s="58"/>
      <c r="S2453" s="58"/>
      <c r="T2453" s="220"/>
      <c r="U2453" s="88"/>
      <c r="V2453" s="56"/>
      <c r="W2453" s="57" t="s">
        <v>1352</v>
      </c>
      <c r="X2453" s="53"/>
      <c r="Y2453" s="91" t="s">
        <v>35</v>
      </c>
      <c r="Z2453" s="136">
        <f>AD2453/AC2453</f>
        <v>9186.6</v>
      </c>
      <c r="AA2453" s="58"/>
      <c r="AB2453" s="53">
        <f>AD2453/AC2453</f>
        <v>9186.6</v>
      </c>
      <c r="AC2453" s="53">
        <f>M2453+$AE$10</f>
        <v>2.06</v>
      </c>
      <c r="AD2453" s="54">
        <f>SUM(AD2454:AD2464)</f>
        <v>18924.396000000001</v>
      </c>
      <c r="AE2453" s="184">
        <f>SUMIFS($AD$37:$AD$12971,$V$37:$V$12971,$V2453,$X$37:$X$12971,AE$13)</f>
        <v>0</v>
      </c>
      <c r="AF2453" s="185">
        <f>SUMIFS($AD$37:$AD$12971,$V$37:$V$12971,$V2453,$X$37:$X$12971,AF$13)</f>
        <v>0</v>
      </c>
      <c r="AG2453" s="185">
        <f>SUMIFS($AD$37:$AD$12971,$V$37:$V$12971,$V2453,$X$37:$X$12971,AG$13)</f>
        <v>0</v>
      </c>
      <c r="AH2453" s="187">
        <f>SUMIFS($AD$37:$AD$12971,$V$37:$V$12971,$V2453,$X$37:$X$12971,AH$13)</f>
        <v>0</v>
      </c>
      <c r="AI2453" s="161">
        <f t="shared" ref="AI2453" si="1966">SUM(AE2453:AH2453)</f>
        <v>0</v>
      </c>
      <c r="AK2453" s="172"/>
    </row>
    <row r="2454" spans="1:37" s="102" customFormat="1" ht="19.899999999999999" customHeight="1" x14ac:dyDescent="0.25">
      <c r="A2454" s="45"/>
      <c r="B2454" s="59"/>
      <c r="C2454" s="137"/>
      <c r="D2454" s="59"/>
      <c r="E2454" s="116"/>
      <c r="F2454" s="120"/>
      <c r="G2454" s="120"/>
      <c r="H2454" s="120"/>
      <c r="I2454" s="60"/>
      <c r="J2454" s="116"/>
      <c r="K2454" s="213"/>
      <c r="L2454" s="120"/>
      <c r="M2454" s="120"/>
      <c r="N2454" s="167"/>
      <c r="O2454" s="120"/>
      <c r="P2454" s="120"/>
      <c r="Q2454" s="120"/>
      <c r="R2454" s="120"/>
      <c r="S2454" s="120"/>
      <c r="T2454" s="221"/>
      <c r="U2454" s="89"/>
      <c r="V2454" s="61"/>
      <c r="W2454" s="92" t="s">
        <v>1032</v>
      </c>
      <c r="X2454" s="93" t="s">
        <v>30</v>
      </c>
      <c r="Y2454" s="93" t="s">
        <v>66</v>
      </c>
      <c r="Z2454" s="134">
        <f>VLOOKUP(W2454,Sheet2!$B:$D,3,FALSE)</f>
        <v>250</v>
      </c>
      <c r="AA2454" s="93">
        <f>1/(3*3*0.1)</f>
        <v>1.1111111111111112</v>
      </c>
      <c r="AB2454" s="93">
        <f t="shared" ref="AB2454" si="1967">AD2454/AC2453</f>
        <v>224.99999999999997</v>
      </c>
      <c r="AC2454" s="93">
        <f>AC2453/AA2454</f>
        <v>1.8539999999999999</v>
      </c>
      <c r="AD2454" s="94">
        <f t="shared" ref="AD2454:AD2456" si="1968">AC2454*Z2454</f>
        <v>463.49999999999994</v>
      </c>
      <c r="AE2454" s="190"/>
      <c r="AF2454" s="191"/>
      <c r="AG2454" s="191"/>
      <c r="AH2454" s="191"/>
      <c r="AI2454" s="186"/>
      <c r="AK2454" s="171"/>
    </row>
    <row r="2455" spans="1:37" s="102" customFormat="1" ht="19.899999999999999" customHeight="1" x14ac:dyDescent="0.25">
      <c r="A2455" s="45"/>
      <c r="B2455" s="59"/>
      <c r="C2455" s="137"/>
      <c r="D2455" s="59"/>
      <c r="E2455" s="116"/>
      <c r="F2455" s="120"/>
      <c r="G2455" s="120"/>
      <c r="H2455" s="120"/>
      <c r="I2455" s="60"/>
      <c r="J2455" s="116"/>
      <c r="K2455" s="213"/>
      <c r="L2455" s="120"/>
      <c r="M2455" s="120"/>
      <c r="N2455" s="167"/>
      <c r="O2455" s="120"/>
      <c r="P2455" s="120"/>
      <c r="Q2455" s="120"/>
      <c r="R2455" s="120"/>
      <c r="S2455" s="120"/>
      <c r="T2455" s="221"/>
      <c r="U2455" s="89"/>
      <c r="V2455" s="61"/>
      <c r="W2455" s="92" t="s">
        <v>1353</v>
      </c>
      <c r="X2455" s="93" t="s">
        <v>30</v>
      </c>
      <c r="Y2455" s="93" t="s">
        <v>66</v>
      </c>
      <c r="Z2455" s="134">
        <f>VLOOKUP(W2455,Sheet2!$B:$D,3,FALSE)</f>
        <v>350</v>
      </c>
      <c r="AA2455" s="93">
        <f>1/(2*2*0.25*5)</f>
        <v>0.2</v>
      </c>
      <c r="AB2455" s="93">
        <f>AD2455/AC2453</f>
        <v>1749.9999999999998</v>
      </c>
      <c r="AC2455" s="93">
        <f>AC2453/AA2455</f>
        <v>10.299999999999999</v>
      </c>
      <c r="AD2455" s="94">
        <f t="shared" si="1968"/>
        <v>3604.9999999999995</v>
      </c>
      <c r="AE2455" s="190"/>
      <c r="AF2455" s="191"/>
      <c r="AG2455" s="191"/>
      <c r="AH2455" s="191"/>
      <c r="AI2455" s="186"/>
      <c r="AK2455" s="171"/>
    </row>
    <row r="2456" spans="1:37" s="102" customFormat="1" ht="19.899999999999999" customHeight="1" x14ac:dyDescent="0.25">
      <c r="A2456" s="45"/>
      <c r="B2456" s="59"/>
      <c r="C2456" s="137"/>
      <c r="D2456" s="59"/>
      <c r="E2456" s="116"/>
      <c r="F2456" s="120"/>
      <c r="G2456" s="120"/>
      <c r="H2456" s="120"/>
      <c r="I2456" s="60"/>
      <c r="J2456" s="116"/>
      <c r="K2456" s="213"/>
      <c r="L2456" s="120"/>
      <c r="M2456" s="120"/>
      <c r="N2456" s="167"/>
      <c r="O2456" s="120"/>
      <c r="P2456" s="120"/>
      <c r="Q2456" s="120"/>
      <c r="R2456" s="120"/>
      <c r="S2456" s="120"/>
      <c r="T2456" s="221"/>
      <c r="U2456" s="89"/>
      <c r="V2456" s="61"/>
      <c r="W2456" s="92" t="s">
        <v>99</v>
      </c>
      <c r="X2456" s="93" t="s">
        <v>30</v>
      </c>
      <c r="Y2456" s="93" t="s">
        <v>67</v>
      </c>
      <c r="Z2456" s="134">
        <f>VLOOKUP(W2456,Sheet2!$B:$D,3,FALSE)</f>
        <v>2500</v>
      </c>
      <c r="AA2456" s="93">
        <f>1/(2*2*0.25*5*0.08)</f>
        <v>2.5</v>
      </c>
      <c r="AB2456" s="93">
        <f>AD2456/AC2453</f>
        <v>1000</v>
      </c>
      <c r="AC2456" s="93">
        <f>AC2453/AA2456</f>
        <v>0.82400000000000007</v>
      </c>
      <c r="AD2456" s="94">
        <f t="shared" si="1968"/>
        <v>2060</v>
      </c>
      <c r="AE2456" s="190"/>
      <c r="AF2456" s="191"/>
      <c r="AG2456" s="191"/>
      <c r="AH2456" s="191"/>
      <c r="AI2456" s="186"/>
      <c r="AK2456" s="171"/>
    </row>
    <row r="2457" spans="1:37" s="102" customFormat="1" ht="19.899999999999999" customHeight="1" x14ac:dyDescent="0.25">
      <c r="A2457" s="45"/>
      <c r="B2457" s="59"/>
      <c r="C2457" s="137"/>
      <c r="D2457" s="59"/>
      <c r="E2457" s="116"/>
      <c r="F2457" s="120"/>
      <c r="G2457" s="120"/>
      <c r="H2457" s="120"/>
      <c r="I2457" s="60"/>
      <c r="J2457" s="116"/>
      <c r="K2457" s="213"/>
      <c r="L2457" s="120"/>
      <c r="M2457" s="120"/>
      <c r="N2457" s="167"/>
      <c r="O2457" s="120"/>
      <c r="P2457" s="120"/>
      <c r="Q2457" s="120"/>
      <c r="R2457" s="120"/>
      <c r="S2457" s="120"/>
      <c r="T2457" s="221"/>
      <c r="U2457" s="89"/>
      <c r="V2457" s="61"/>
      <c r="W2457" s="92" t="s">
        <v>1354</v>
      </c>
      <c r="X2457" s="93" t="s">
        <v>32</v>
      </c>
      <c r="Y2457" s="93" t="s">
        <v>66</v>
      </c>
      <c r="Z2457" s="134">
        <f>VLOOKUP(W2457,Sheet2!$B:$D,3,FALSE)</f>
        <v>150</v>
      </c>
      <c r="AA2457" s="93">
        <f>AA2454</f>
        <v>1.1111111111111112</v>
      </c>
      <c r="AB2457" s="93">
        <f>AD2457/AC2453</f>
        <v>134.99999999999997</v>
      </c>
      <c r="AC2457" s="93">
        <f>AC2453/AA2457</f>
        <v>1.8539999999999999</v>
      </c>
      <c r="AD2457" s="94">
        <f>AC2457*Z2457</f>
        <v>278.09999999999997</v>
      </c>
      <c r="AE2457" s="190"/>
      <c r="AF2457" s="191"/>
      <c r="AG2457" s="191"/>
      <c r="AH2457" s="191"/>
      <c r="AI2457" s="186"/>
      <c r="AK2457" s="171"/>
    </row>
    <row r="2458" spans="1:37" s="102" customFormat="1" ht="19.899999999999999" customHeight="1" x14ac:dyDescent="0.25">
      <c r="A2458" s="45"/>
      <c r="B2458" s="59"/>
      <c r="C2458" s="137"/>
      <c r="D2458" s="59"/>
      <c r="E2458" s="116"/>
      <c r="F2458" s="120"/>
      <c r="G2458" s="120"/>
      <c r="H2458" s="120"/>
      <c r="I2458" s="60"/>
      <c r="J2458" s="116"/>
      <c r="K2458" s="213"/>
      <c r="L2458" s="120"/>
      <c r="M2458" s="120"/>
      <c r="N2458" s="167"/>
      <c r="O2458" s="120"/>
      <c r="P2458" s="120"/>
      <c r="Q2458" s="120"/>
      <c r="R2458" s="120"/>
      <c r="S2458" s="120"/>
      <c r="T2458" s="221"/>
      <c r="U2458" s="89"/>
      <c r="V2458" s="61"/>
      <c r="W2458" s="92" t="s">
        <v>1355</v>
      </c>
      <c r="X2458" s="93" t="s">
        <v>32</v>
      </c>
      <c r="Y2458" s="93" t="s">
        <v>66</v>
      </c>
      <c r="Z2458" s="134">
        <f>VLOOKUP(W2458,Sheet2!$B:$D,3,FALSE)</f>
        <v>450</v>
      </c>
      <c r="AA2458" s="93">
        <f>AA2455</f>
        <v>0.2</v>
      </c>
      <c r="AB2458" s="93">
        <f>AD2458/AC2453</f>
        <v>2249.9999999999995</v>
      </c>
      <c r="AC2458" s="93">
        <f>AC2453/AA2458</f>
        <v>10.299999999999999</v>
      </c>
      <c r="AD2458" s="94">
        <f>AC2458*Z2458</f>
        <v>4634.9999999999991</v>
      </c>
      <c r="AE2458" s="190"/>
      <c r="AF2458" s="191"/>
      <c r="AG2458" s="191"/>
      <c r="AH2458" s="191"/>
      <c r="AI2458" s="186"/>
      <c r="AK2458" s="171"/>
    </row>
    <row r="2459" spans="1:37" s="102" customFormat="1" ht="19.899999999999999" customHeight="1" x14ac:dyDescent="0.25">
      <c r="A2459" s="45"/>
      <c r="B2459" s="59"/>
      <c r="C2459" s="137"/>
      <c r="D2459" s="59"/>
      <c r="E2459" s="116"/>
      <c r="F2459" s="120"/>
      <c r="G2459" s="120"/>
      <c r="H2459" s="120"/>
      <c r="I2459" s="60"/>
      <c r="J2459" s="116"/>
      <c r="K2459" s="213"/>
      <c r="L2459" s="120"/>
      <c r="M2459" s="120"/>
      <c r="N2459" s="167"/>
      <c r="O2459" s="120"/>
      <c r="P2459" s="120"/>
      <c r="Q2459" s="120"/>
      <c r="R2459" s="120"/>
      <c r="S2459" s="120"/>
      <c r="T2459" s="221"/>
      <c r="U2459" s="89"/>
      <c r="V2459" s="61"/>
      <c r="W2459" s="92" t="s">
        <v>1356</v>
      </c>
      <c r="X2459" s="93" t="s">
        <v>30</v>
      </c>
      <c r="Y2459" s="93" t="s">
        <v>35</v>
      </c>
      <c r="Z2459" s="134">
        <f>VLOOKUP(W2459,Sheet2!$B:$D,3,FALSE)</f>
        <v>3500</v>
      </c>
      <c r="AA2459" s="93">
        <v>1</v>
      </c>
      <c r="AB2459" s="93">
        <f>AD2459/AC2453</f>
        <v>3500</v>
      </c>
      <c r="AC2459" s="93">
        <f>AC2453/AA2459</f>
        <v>2.06</v>
      </c>
      <c r="AD2459" s="94">
        <f t="shared" ref="AD2459:AD2460" si="1969">AC2459*Z2459</f>
        <v>7210</v>
      </c>
      <c r="AE2459" s="190"/>
      <c r="AF2459" s="191"/>
      <c r="AG2459" s="191"/>
      <c r="AH2459" s="191"/>
      <c r="AI2459" s="186"/>
      <c r="AK2459" s="171"/>
    </row>
    <row r="2460" spans="1:37" s="102" customFormat="1" ht="19.899999999999999" customHeight="1" x14ac:dyDescent="0.25">
      <c r="A2460" s="45"/>
      <c r="B2460" s="59"/>
      <c r="C2460" s="137"/>
      <c r="D2460" s="59"/>
      <c r="E2460" s="116"/>
      <c r="F2460" s="120"/>
      <c r="G2460" s="120"/>
      <c r="H2460" s="120"/>
      <c r="I2460" s="60"/>
      <c r="J2460" s="116"/>
      <c r="K2460" s="213"/>
      <c r="L2460" s="120"/>
      <c r="M2460" s="120"/>
      <c r="N2460" s="167"/>
      <c r="O2460" s="120"/>
      <c r="P2460" s="120"/>
      <c r="Q2460" s="120"/>
      <c r="R2460" s="120"/>
      <c r="S2460" s="120"/>
      <c r="T2460" s="221"/>
      <c r="U2460" s="89"/>
      <c r="V2460" s="61"/>
      <c r="W2460" s="92" t="s">
        <v>174</v>
      </c>
      <c r="X2460" s="93" t="s">
        <v>29</v>
      </c>
      <c r="Y2460" s="93" t="s">
        <v>93</v>
      </c>
      <c r="Z2460" s="134">
        <f>VLOOKUP(W2460,Sheet2!$B:$D,3,FALSE)</f>
        <v>80</v>
      </c>
      <c r="AA2460" s="93">
        <v>4</v>
      </c>
      <c r="AB2460" s="93">
        <f>AD2460/AC2453</f>
        <v>20</v>
      </c>
      <c r="AC2460" s="93">
        <f>AC2453/AA2460</f>
        <v>0.51500000000000001</v>
      </c>
      <c r="AD2460" s="94">
        <f t="shared" si="1969"/>
        <v>41.2</v>
      </c>
      <c r="AE2460" s="190"/>
      <c r="AF2460" s="191"/>
      <c r="AG2460" s="191"/>
      <c r="AH2460" s="191"/>
      <c r="AI2460" s="186"/>
      <c r="AK2460" s="171"/>
    </row>
    <row r="2461" spans="1:37" s="102" customFormat="1" ht="19.899999999999999" customHeight="1" x14ac:dyDescent="0.25">
      <c r="A2461" s="45"/>
      <c r="B2461" s="59"/>
      <c r="C2461" s="137"/>
      <c r="D2461" s="59"/>
      <c r="E2461" s="116"/>
      <c r="F2461" s="120"/>
      <c r="G2461" s="120"/>
      <c r="H2461" s="120"/>
      <c r="I2461" s="60"/>
      <c r="J2461" s="116"/>
      <c r="K2461" s="213"/>
      <c r="L2461" s="120"/>
      <c r="M2461" s="120"/>
      <c r="N2461" s="167"/>
      <c r="O2461" s="120"/>
      <c r="P2461" s="120"/>
      <c r="Q2461" s="120"/>
      <c r="R2461" s="120"/>
      <c r="S2461" s="120"/>
      <c r="T2461" s="221"/>
      <c r="U2461" s="89"/>
      <c r="V2461" s="61"/>
      <c r="W2461" s="92" t="s">
        <v>65</v>
      </c>
      <c r="X2461" s="93" t="s">
        <v>30</v>
      </c>
      <c r="Y2461" s="93" t="s">
        <v>93</v>
      </c>
      <c r="Z2461" s="134">
        <f>VLOOKUP(W2461,Sheet2!$B:$D,3,FALSE)</f>
        <v>1.76</v>
      </c>
      <c r="AA2461" s="93">
        <f>AA2460/15</f>
        <v>0.26666666666666666</v>
      </c>
      <c r="AB2461" s="93">
        <f>AD2461/AC2453</f>
        <v>6.6000000000000005</v>
      </c>
      <c r="AC2461" s="93">
        <f>AC2453/AA2461</f>
        <v>7.7250000000000005</v>
      </c>
      <c r="AD2461" s="94">
        <f>AC2461*Z2461</f>
        <v>13.596000000000002</v>
      </c>
      <c r="AE2461" s="190"/>
      <c r="AF2461" s="191"/>
      <c r="AG2461" s="191"/>
      <c r="AH2461" s="191"/>
      <c r="AI2461" s="186"/>
      <c r="AK2461" s="171"/>
    </row>
    <row r="2462" spans="1:37" s="102" customFormat="1" ht="19.899999999999999" customHeight="1" x14ac:dyDescent="0.25">
      <c r="A2462" s="45"/>
      <c r="B2462" s="59"/>
      <c r="C2462" s="137"/>
      <c r="D2462" s="59"/>
      <c r="E2462" s="116"/>
      <c r="F2462" s="120"/>
      <c r="G2462" s="120"/>
      <c r="H2462" s="120"/>
      <c r="I2462" s="60"/>
      <c r="J2462" s="116"/>
      <c r="K2462" s="213"/>
      <c r="L2462" s="120"/>
      <c r="M2462" s="120"/>
      <c r="N2462" s="167"/>
      <c r="O2462" s="120"/>
      <c r="P2462" s="120"/>
      <c r="Q2462" s="120"/>
      <c r="R2462" s="120"/>
      <c r="S2462" s="120"/>
      <c r="T2462" s="221"/>
      <c r="U2462" s="89"/>
      <c r="V2462" s="61"/>
      <c r="W2462" s="92" t="s">
        <v>1357</v>
      </c>
      <c r="X2462" s="93" t="s">
        <v>30</v>
      </c>
      <c r="Y2462" s="93" t="s">
        <v>1349</v>
      </c>
      <c r="Z2462" s="134">
        <f>VLOOKUP(W2462,Sheet2!$B:$D,3,FALSE)</f>
        <v>150</v>
      </c>
      <c r="AA2462" s="93">
        <v>1</v>
      </c>
      <c r="AB2462" s="93">
        <f>AD2462/AC2453</f>
        <v>150</v>
      </c>
      <c r="AC2462" s="93">
        <f>AC2453/AA2462</f>
        <v>2.06</v>
      </c>
      <c r="AD2462" s="94">
        <f>AC2462*Z2462</f>
        <v>309</v>
      </c>
      <c r="AE2462" s="190"/>
      <c r="AF2462" s="191"/>
      <c r="AG2462" s="191"/>
      <c r="AH2462" s="191"/>
      <c r="AI2462" s="186"/>
      <c r="AK2462" s="171"/>
    </row>
    <row r="2463" spans="1:37" s="102" customFormat="1" ht="19.899999999999999" customHeight="1" x14ac:dyDescent="0.25">
      <c r="A2463" s="45"/>
      <c r="B2463" s="59"/>
      <c r="C2463" s="137"/>
      <c r="D2463" s="59"/>
      <c r="E2463" s="116"/>
      <c r="F2463" s="120"/>
      <c r="G2463" s="120"/>
      <c r="H2463" s="120"/>
      <c r="I2463" s="60"/>
      <c r="J2463" s="116"/>
      <c r="K2463" s="213"/>
      <c r="L2463" s="120"/>
      <c r="M2463" s="120"/>
      <c r="N2463" s="167"/>
      <c r="O2463" s="120"/>
      <c r="P2463" s="120"/>
      <c r="Q2463" s="120"/>
      <c r="R2463" s="120"/>
      <c r="S2463" s="120"/>
      <c r="T2463" s="221"/>
      <c r="U2463" s="89"/>
      <c r="V2463" s="61"/>
      <c r="W2463" s="92" t="s">
        <v>107</v>
      </c>
      <c r="X2463" s="93" t="s">
        <v>31</v>
      </c>
      <c r="Y2463" s="93" t="s">
        <v>93</v>
      </c>
      <c r="Z2463" s="134">
        <f>VLOOKUP(W2463,Sheet2!$B:$D,3,FALSE)</f>
        <v>17</v>
      </c>
      <c r="AA2463" s="93">
        <f>1/5</f>
        <v>0.2</v>
      </c>
      <c r="AB2463" s="93">
        <f>AD2463/AC2453</f>
        <v>85</v>
      </c>
      <c r="AC2463" s="93">
        <f>AC2453/AA2463</f>
        <v>10.299999999999999</v>
      </c>
      <c r="AD2463" s="94">
        <f>AC2463*Z2463</f>
        <v>175.1</v>
      </c>
      <c r="AE2463" s="190"/>
      <c r="AF2463" s="191"/>
      <c r="AG2463" s="191"/>
      <c r="AH2463" s="191"/>
      <c r="AI2463" s="186"/>
      <c r="AK2463" s="171"/>
    </row>
    <row r="2464" spans="1:37" s="102" customFormat="1" ht="19.899999999999999" customHeight="1" x14ac:dyDescent="0.25">
      <c r="A2464" s="45"/>
      <c r="B2464" s="59"/>
      <c r="C2464" s="137"/>
      <c r="D2464" s="59"/>
      <c r="E2464" s="116"/>
      <c r="F2464" s="120"/>
      <c r="G2464" s="120"/>
      <c r="H2464" s="120"/>
      <c r="I2464" s="60"/>
      <c r="J2464" s="116"/>
      <c r="K2464" s="213"/>
      <c r="L2464" s="120"/>
      <c r="M2464" s="120"/>
      <c r="N2464" s="167"/>
      <c r="O2464" s="120"/>
      <c r="P2464" s="120"/>
      <c r="Q2464" s="120"/>
      <c r="R2464" s="120"/>
      <c r="S2464" s="120"/>
      <c r="T2464" s="221"/>
      <c r="U2464" s="89"/>
      <c r="V2464" s="61"/>
      <c r="W2464" s="92" t="s">
        <v>112</v>
      </c>
      <c r="X2464" s="93" t="s">
        <v>31</v>
      </c>
      <c r="Y2464" s="93" t="s">
        <v>93</v>
      </c>
      <c r="Z2464" s="134">
        <f>VLOOKUP(W2464,Sheet2!$B:$D,3,FALSE)</f>
        <v>13</v>
      </c>
      <c r="AA2464" s="93">
        <f>AA2463</f>
        <v>0.2</v>
      </c>
      <c r="AB2464" s="93">
        <f>AD2464/AC2453</f>
        <v>64.999999999999986</v>
      </c>
      <c r="AC2464" s="93">
        <f>AC2453/AA2464</f>
        <v>10.299999999999999</v>
      </c>
      <c r="AD2464" s="94">
        <f>AC2464*Z2464</f>
        <v>133.89999999999998</v>
      </c>
      <c r="AE2464" s="190"/>
      <c r="AF2464" s="191"/>
      <c r="AG2464" s="191"/>
      <c r="AH2464" s="191"/>
      <c r="AI2464" s="186"/>
      <c r="AK2464" s="171"/>
    </row>
    <row r="2465" spans="1:37" s="103" customFormat="1" ht="19.899999999999999" customHeight="1" x14ac:dyDescent="0.25">
      <c r="A2465" s="51"/>
      <c r="B2465" s="52"/>
      <c r="C2465" s="165"/>
      <c r="D2465" s="52"/>
      <c r="E2465" s="115"/>
      <c r="F2465" s="58"/>
      <c r="G2465" s="58"/>
      <c r="H2465" s="58"/>
      <c r="I2465" s="55"/>
      <c r="J2465" s="113">
        <f>J2447</f>
        <v>2.06</v>
      </c>
      <c r="K2465" s="212">
        <f>K2447</f>
        <v>2.06</v>
      </c>
      <c r="L2465" s="58"/>
      <c r="M2465" s="58">
        <f>K2465-L2465</f>
        <v>2.06</v>
      </c>
      <c r="N2465" s="166"/>
      <c r="O2465" s="58"/>
      <c r="P2465" s="58"/>
      <c r="Q2465" s="58"/>
      <c r="R2465" s="58"/>
      <c r="S2465" s="58"/>
      <c r="T2465" s="220"/>
      <c r="U2465" s="88"/>
      <c r="V2465" s="56"/>
      <c r="W2465" s="57" t="s">
        <v>1358</v>
      </c>
      <c r="X2465" s="53"/>
      <c r="Y2465" s="91" t="s">
        <v>35</v>
      </c>
      <c r="Z2465" s="136">
        <f>AD2465/AC2465</f>
        <v>2799.9999999999995</v>
      </c>
      <c r="AA2465" s="58"/>
      <c r="AB2465" s="53">
        <f>AD2465/AC2465</f>
        <v>2799.9999999999995</v>
      </c>
      <c r="AC2465" s="53">
        <f>M2465+$AE$10</f>
        <v>2.06</v>
      </c>
      <c r="AD2465" s="54">
        <f>SUM(AD2466:AD2467)</f>
        <v>5767.9999999999991</v>
      </c>
      <c r="AE2465" s="184">
        <f>SUMIFS($AD$37:$AD$12971,$V$37:$V$12971,$V2465,$X$37:$X$12971,AE$13)</f>
        <v>0</v>
      </c>
      <c r="AF2465" s="185">
        <f>SUMIFS($AD$37:$AD$12971,$V$37:$V$12971,$V2465,$X$37:$X$12971,AF$13)</f>
        <v>0</v>
      </c>
      <c r="AG2465" s="185">
        <f>SUMIFS($AD$37:$AD$12971,$V$37:$V$12971,$V2465,$X$37:$X$12971,AG$13)</f>
        <v>0</v>
      </c>
      <c r="AH2465" s="187">
        <f>SUMIFS($AD$37:$AD$12971,$V$37:$V$12971,$V2465,$X$37:$X$12971,AH$13)</f>
        <v>0</v>
      </c>
      <c r="AI2465" s="161">
        <f t="shared" ref="AI2465" si="1970">SUM(AE2465:AH2465)</f>
        <v>0</v>
      </c>
      <c r="AK2465" s="172"/>
    </row>
    <row r="2466" spans="1:37" s="102" customFormat="1" ht="19.899999999999999" customHeight="1" x14ac:dyDescent="0.25">
      <c r="A2466" s="45"/>
      <c r="B2466" s="59"/>
      <c r="C2466" s="137"/>
      <c r="D2466" s="59"/>
      <c r="E2466" s="116"/>
      <c r="F2466" s="120"/>
      <c r="G2466" s="120"/>
      <c r="H2466" s="120"/>
      <c r="I2466" s="60"/>
      <c r="J2466" s="116"/>
      <c r="K2466" s="213"/>
      <c r="L2466" s="120"/>
      <c r="M2466" s="120"/>
      <c r="N2466" s="167"/>
      <c r="O2466" s="120"/>
      <c r="P2466" s="120"/>
      <c r="Q2466" s="120"/>
      <c r="R2466" s="120"/>
      <c r="S2466" s="120"/>
      <c r="T2466" s="221"/>
      <c r="U2466" s="89"/>
      <c r="V2466" s="61"/>
      <c r="W2466" s="92" t="s">
        <v>1359</v>
      </c>
      <c r="X2466" s="93" t="s">
        <v>32</v>
      </c>
      <c r="Y2466" s="93" t="s">
        <v>64</v>
      </c>
      <c r="Z2466" s="134">
        <f>VLOOKUP(W2466,Sheet2!$B:$D,3,FALSE)</f>
        <v>40</v>
      </c>
      <c r="AA2466" s="93">
        <f>1/40</f>
        <v>2.5000000000000001E-2</v>
      </c>
      <c r="AB2466" s="93">
        <f t="shared" ref="AB2466" si="1971">AD2466/AC2465</f>
        <v>1599.9999999999998</v>
      </c>
      <c r="AC2466" s="93">
        <f>AC2465/AA2466</f>
        <v>82.399999999999991</v>
      </c>
      <c r="AD2466" s="94">
        <f t="shared" ref="AD2466:AD2467" si="1972">AC2466*Z2466</f>
        <v>3295.9999999999995</v>
      </c>
      <c r="AE2466" s="190"/>
      <c r="AF2466" s="191"/>
      <c r="AG2466" s="191"/>
      <c r="AH2466" s="191"/>
      <c r="AI2466" s="186"/>
      <c r="AK2466" s="171"/>
    </row>
    <row r="2467" spans="1:37" s="102" customFormat="1" ht="19.899999999999999" customHeight="1" x14ac:dyDescent="0.25">
      <c r="A2467" s="45"/>
      <c r="B2467" s="59"/>
      <c r="C2467" s="137"/>
      <c r="D2467" s="59"/>
      <c r="E2467" s="116"/>
      <c r="F2467" s="120"/>
      <c r="G2467" s="120"/>
      <c r="H2467" s="120"/>
      <c r="I2467" s="60"/>
      <c r="J2467" s="116"/>
      <c r="K2467" s="213"/>
      <c r="L2467" s="120"/>
      <c r="M2467" s="120"/>
      <c r="N2467" s="167"/>
      <c r="O2467" s="120"/>
      <c r="P2467" s="120"/>
      <c r="Q2467" s="120"/>
      <c r="R2467" s="120"/>
      <c r="S2467" s="120"/>
      <c r="T2467" s="221"/>
      <c r="U2467" s="89"/>
      <c r="V2467" s="61"/>
      <c r="W2467" s="92" t="s">
        <v>1360</v>
      </c>
      <c r="X2467" s="93" t="s">
        <v>32</v>
      </c>
      <c r="Y2467" s="93" t="s">
        <v>64</v>
      </c>
      <c r="Z2467" s="134">
        <f>VLOOKUP(W2467,Sheet2!$B:$D,3,FALSE)</f>
        <v>30</v>
      </c>
      <c r="AA2467" s="93">
        <f>AA2466</f>
        <v>2.5000000000000001E-2</v>
      </c>
      <c r="AB2467" s="93">
        <f>AD2467/AC2465</f>
        <v>1199.9999999999998</v>
      </c>
      <c r="AC2467" s="93">
        <f>AC2465/AA2467</f>
        <v>82.399999999999991</v>
      </c>
      <c r="AD2467" s="94">
        <f t="shared" si="1972"/>
        <v>2471.9999999999995</v>
      </c>
      <c r="AE2467" s="190"/>
      <c r="AF2467" s="191"/>
      <c r="AG2467" s="191"/>
      <c r="AH2467" s="191"/>
      <c r="AI2467" s="186"/>
      <c r="AK2467" s="171"/>
    </row>
    <row r="2468" spans="1:37" s="103" customFormat="1" ht="19.899999999999999" customHeight="1" x14ac:dyDescent="0.25">
      <c r="A2468" s="51"/>
      <c r="B2468" s="52"/>
      <c r="C2468" s="165"/>
      <c r="D2468" s="52"/>
      <c r="E2468" s="115"/>
      <c r="F2468" s="58"/>
      <c r="G2468" s="58"/>
      <c r="H2468" s="58"/>
      <c r="I2468" s="55"/>
      <c r="J2468" s="113">
        <f>J2447</f>
        <v>2.06</v>
      </c>
      <c r="K2468" s="212">
        <f>K2447</f>
        <v>2.06</v>
      </c>
      <c r="L2468" s="58"/>
      <c r="M2468" s="58">
        <f>K2468-L2468</f>
        <v>2.06</v>
      </c>
      <c r="N2468" s="166"/>
      <c r="O2468" s="58"/>
      <c r="P2468" s="58"/>
      <c r="Q2468" s="58"/>
      <c r="R2468" s="58"/>
      <c r="S2468" s="58"/>
      <c r="T2468" s="220"/>
      <c r="U2468" s="88"/>
      <c r="V2468" s="56"/>
      <c r="W2468" s="57" t="s">
        <v>1272</v>
      </c>
      <c r="X2468" s="53"/>
      <c r="Y2468" s="91" t="s">
        <v>35</v>
      </c>
      <c r="Z2468" s="136">
        <f>AD2468/AC2468</f>
        <v>209.08263529411767</v>
      </c>
      <c r="AA2468" s="58"/>
      <c r="AB2468" s="53">
        <f>AD2468/AC2468</f>
        <v>209.08263529411767</v>
      </c>
      <c r="AC2468" s="53">
        <f>M2468+$AE$10</f>
        <v>2.06</v>
      </c>
      <c r="AD2468" s="54">
        <f>SUM(AD2469:AD2477)</f>
        <v>430.7102287058824</v>
      </c>
      <c r="AE2468" s="184">
        <f>SUMIFS($AD$37:$AD$12971,$V$37:$V$12971,$V2468,$X$37:$X$12971,AE$13)</f>
        <v>0</v>
      </c>
      <c r="AF2468" s="185">
        <f>SUMIFS($AD$37:$AD$12971,$V$37:$V$12971,$V2468,$X$37:$X$12971,AF$13)</f>
        <v>0</v>
      </c>
      <c r="AG2468" s="185">
        <f>SUMIFS($AD$37:$AD$12971,$V$37:$V$12971,$V2468,$X$37:$X$12971,AG$13)</f>
        <v>0</v>
      </c>
      <c r="AH2468" s="187">
        <f>SUMIFS($AD$37:$AD$12971,$V$37:$V$12971,$V2468,$X$37:$X$12971,AH$13)</f>
        <v>0</v>
      </c>
      <c r="AI2468" s="161">
        <f t="shared" ref="AI2468" si="1973">SUM(AE2468:AH2468)</f>
        <v>0</v>
      </c>
      <c r="AK2468" s="172"/>
    </row>
    <row r="2469" spans="1:37" s="102" customFormat="1" ht="19.899999999999999" customHeight="1" x14ac:dyDescent="0.25">
      <c r="A2469" s="45"/>
      <c r="B2469" s="59"/>
      <c r="C2469" s="137"/>
      <c r="D2469" s="59"/>
      <c r="E2469" s="116"/>
      <c r="F2469" s="120"/>
      <c r="G2469" s="120"/>
      <c r="H2469" s="120"/>
      <c r="I2469" s="60"/>
      <c r="J2469" s="116"/>
      <c r="K2469" s="213"/>
      <c r="L2469" s="120"/>
      <c r="M2469" s="120"/>
      <c r="N2469" s="167"/>
      <c r="O2469" s="120"/>
      <c r="P2469" s="120"/>
      <c r="Q2469" s="120"/>
      <c r="R2469" s="120"/>
      <c r="S2469" s="120"/>
      <c r="T2469" s="221"/>
      <c r="U2469" s="89"/>
      <c r="V2469" s="61"/>
      <c r="W2469" s="92" t="s">
        <v>1273</v>
      </c>
      <c r="X2469" s="93" t="s">
        <v>30</v>
      </c>
      <c r="Y2469" s="93" t="s">
        <v>66</v>
      </c>
      <c r="Z2469" s="134">
        <f>VLOOKUP(W2469,Sheet2!$B:$D,3,FALSE)</f>
        <v>10</v>
      </c>
      <c r="AA2469" s="93">
        <f>1/(2.5*2.4*0.5*4)</f>
        <v>8.3333333333333329E-2</v>
      </c>
      <c r="AB2469" s="93">
        <f>AD2469/AC2468</f>
        <v>120</v>
      </c>
      <c r="AC2469" s="93">
        <f>AC2468/AA2469</f>
        <v>24.720000000000002</v>
      </c>
      <c r="AD2469" s="94">
        <f t="shared" ref="AD2469:AD2471" si="1974">AC2469*Z2469</f>
        <v>247.20000000000002</v>
      </c>
      <c r="AE2469" s="190"/>
      <c r="AF2469" s="191"/>
      <c r="AG2469" s="191"/>
      <c r="AH2469" s="191"/>
      <c r="AI2469" s="186"/>
      <c r="AK2469" s="171"/>
    </row>
    <row r="2470" spans="1:37" s="102" customFormat="1" ht="19.899999999999999" customHeight="1" x14ac:dyDescent="0.25">
      <c r="A2470" s="45"/>
      <c r="B2470" s="59"/>
      <c r="C2470" s="137"/>
      <c r="D2470" s="59"/>
      <c r="E2470" s="116"/>
      <c r="F2470" s="120"/>
      <c r="G2470" s="120"/>
      <c r="H2470" s="120"/>
      <c r="I2470" s="60"/>
      <c r="J2470" s="116"/>
      <c r="K2470" s="213"/>
      <c r="L2470" s="120"/>
      <c r="M2470" s="120"/>
      <c r="N2470" s="167"/>
      <c r="O2470" s="120"/>
      <c r="P2470" s="120"/>
      <c r="Q2470" s="120"/>
      <c r="R2470" s="120"/>
      <c r="S2470" s="120"/>
      <c r="T2470" s="221"/>
      <c r="U2470" s="89"/>
      <c r="V2470" s="61"/>
      <c r="W2470" s="92" t="s">
        <v>134</v>
      </c>
      <c r="X2470" s="93" t="s">
        <v>29</v>
      </c>
      <c r="Y2470" s="93" t="s">
        <v>93</v>
      </c>
      <c r="Z2470" s="134">
        <f>VLOOKUP(W2470,Sheet2!$B:$D,3,FALSE)</f>
        <v>65.599999999999994</v>
      </c>
      <c r="AA2470" s="93">
        <f>100/(2.5*2.4*0.5*4)</f>
        <v>8.3333333333333339</v>
      </c>
      <c r="AB2470" s="93">
        <f t="shared" ref="AB2470" si="1975">AD2470/AC2468</f>
        <v>7.8719999999999981</v>
      </c>
      <c r="AC2470" s="93">
        <f>AC2468/AA2470</f>
        <v>0.24719999999999998</v>
      </c>
      <c r="AD2470" s="94">
        <f t="shared" si="1974"/>
        <v>16.216319999999996</v>
      </c>
      <c r="AE2470" s="190"/>
      <c r="AF2470" s="191"/>
      <c r="AG2470" s="191"/>
      <c r="AH2470" s="191"/>
      <c r="AI2470" s="186"/>
      <c r="AK2470" s="171"/>
    </row>
    <row r="2471" spans="1:37" s="102" customFormat="1" ht="19.899999999999999" customHeight="1" x14ac:dyDescent="0.25">
      <c r="A2471" s="45"/>
      <c r="B2471" s="59"/>
      <c r="C2471" s="137"/>
      <c r="D2471" s="59"/>
      <c r="E2471" s="116"/>
      <c r="F2471" s="120"/>
      <c r="G2471" s="120"/>
      <c r="H2471" s="120"/>
      <c r="I2471" s="60"/>
      <c r="J2471" s="116"/>
      <c r="K2471" s="213"/>
      <c r="L2471" s="120"/>
      <c r="M2471" s="120"/>
      <c r="N2471" s="167"/>
      <c r="O2471" s="120"/>
      <c r="P2471" s="120"/>
      <c r="Q2471" s="120"/>
      <c r="R2471" s="120"/>
      <c r="S2471" s="120"/>
      <c r="T2471" s="221"/>
      <c r="U2471" s="89"/>
      <c r="V2471" s="61"/>
      <c r="W2471" s="92" t="s">
        <v>65</v>
      </c>
      <c r="X2471" s="93" t="s">
        <v>30</v>
      </c>
      <c r="Y2471" s="93" t="s">
        <v>1011</v>
      </c>
      <c r="Z2471" s="134">
        <f>VLOOKUP(W2471,Sheet2!$B:$D,3,FALSE)</f>
        <v>1.76</v>
      </c>
      <c r="AA2471" s="93">
        <f>AA2470/9</f>
        <v>0.92592592592592604</v>
      </c>
      <c r="AB2471" s="93">
        <f>AD2471/AC2468</f>
        <v>1.9007999999999998</v>
      </c>
      <c r="AC2471" s="93">
        <f>AC2468/AA2471</f>
        <v>2.2247999999999997</v>
      </c>
      <c r="AD2471" s="94">
        <f t="shared" si="1974"/>
        <v>3.9156479999999996</v>
      </c>
      <c r="AE2471" s="190"/>
      <c r="AF2471" s="191"/>
      <c r="AG2471" s="191"/>
      <c r="AH2471" s="191"/>
      <c r="AI2471" s="186"/>
      <c r="AK2471" s="171"/>
    </row>
    <row r="2472" spans="1:37" s="102" customFormat="1" ht="19.899999999999999" customHeight="1" x14ac:dyDescent="0.25">
      <c r="A2472" s="45"/>
      <c r="B2472" s="59"/>
      <c r="C2472" s="137"/>
      <c r="D2472" s="59"/>
      <c r="E2472" s="116"/>
      <c r="F2472" s="120"/>
      <c r="G2472" s="120"/>
      <c r="H2472" s="120"/>
      <c r="I2472" s="60"/>
      <c r="J2472" s="116"/>
      <c r="K2472" s="213"/>
      <c r="L2472" s="120"/>
      <c r="M2472" s="120"/>
      <c r="N2472" s="167"/>
      <c r="O2472" s="120"/>
      <c r="P2472" s="120"/>
      <c r="Q2472" s="120"/>
      <c r="R2472" s="120"/>
      <c r="S2472" s="120"/>
      <c r="T2472" s="221"/>
      <c r="U2472" s="89"/>
      <c r="V2472" s="61"/>
      <c r="W2472" s="92" t="s">
        <v>161</v>
      </c>
      <c r="X2472" s="93" t="s">
        <v>29</v>
      </c>
      <c r="Y2472" s="93" t="s">
        <v>93</v>
      </c>
      <c r="Z2472" s="134">
        <f>VLOOKUP(W2472,Sheet2!$B:$D,3,FALSE)</f>
        <v>48</v>
      </c>
      <c r="AA2472" s="93">
        <f>(16*0.85*1.5)/(2.5*2.4*0.5*4)</f>
        <v>1.7</v>
      </c>
      <c r="AB2472" s="93">
        <f>AD2472/AC2468</f>
        <v>28.235294117647062</v>
      </c>
      <c r="AC2472" s="93">
        <f>AC2468/AA2472</f>
        <v>1.2117647058823531</v>
      </c>
      <c r="AD2472" s="94">
        <f>AC2472*Z2472</f>
        <v>58.164705882352948</v>
      </c>
      <c r="AE2472" s="190"/>
      <c r="AF2472" s="191"/>
      <c r="AG2472" s="191"/>
      <c r="AH2472" s="191"/>
      <c r="AI2472" s="186"/>
      <c r="AK2472" s="171"/>
    </row>
    <row r="2473" spans="1:37" s="102" customFormat="1" ht="19.899999999999999" customHeight="1" x14ac:dyDescent="0.25">
      <c r="A2473" s="45"/>
      <c r="B2473" s="59"/>
      <c r="C2473" s="137"/>
      <c r="D2473" s="59"/>
      <c r="E2473" s="116"/>
      <c r="F2473" s="120"/>
      <c r="G2473" s="120"/>
      <c r="H2473" s="120"/>
      <c r="I2473" s="60"/>
      <c r="J2473" s="116"/>
      <c r="K2473" s="213"/>
      <c r="L2473" s="120"/>
      <c r="M2473" s="120"/>
      <c r="N2473" s="167"/>
      <c r="O2473" s="120"/>
      <c r="P2473" s="120"/>
      <c r="Q2473" s="120"/>
      <c r="R2473" s="120"/>
      <c r="S2473" s="120"/>
      <c r="T2473" s="221"/>
      <c r="U2473" s="89"/>
      <c r="V2473" s="61"/>
      <c r="W2473" s="92" t="s">
        <v>65</v>
      </c>
      <c r="X2473" s="93" t="s">
        <v>30</v>
      </c>
      <c r="Y2473" s="93" t="s">
        <v>1011</v>
      </c>
      <c r="Z2473" s="134">
        <f>VLOOKUP(W2473,Sheet2!$B:$D,3,FALSE)</f>
        <v>1.76</v>
      </c>
      <c r="AA2473" s="93">
        <f>AA2472/10</f>
        <v>0.16999999999999998</v>
      </c>
      <c r="AB2473" s="93">
        <f>AD2473/AC2468</f>
        <v>10.352941176470589</v>
      </c>
      <c r="AC2473" s="93">
        <f>AC2468/AA2473</f>
        <v>12.117647058823531</v>
      </c>
      <c r="AD2473" s="94">
        <f>AC2473*Z2473</f>
        <v>21.327058823529413</v>
      </c>
      <c r="AE2473" s="190"/>
      <c r="AF2473" s="191"/>
      <c r="AG2473" s="191"/>
      <c r="AH2473" s="191"/>
      <c r="AI2473" s="186"/>
      <c r="AK2473" s="171"/>
    </row>
    <row r="2474" spans="1:37" s="102" customFormat="1" ht="19.899999999999999" customHeight="1" x14ac:dyDescent="0.25">
      <c r="A2474" s="45"/>
      <c r="B2474" s="59"/>
      <c r="C2474" s="137"/>
      <c r="D2474" s="59"/>
      <c r="E2474" s="116"/>
      <c r="F2474" s="120"/>
      <c r="G2474" s="120"/>
      <c r="H2474" s="120"/>
      <c r="I2474" s="60"/>
      <c r="J2474" s="116"/>
      <c r="K2474" s="213"/>
      <c r="L2474" s="120"/>
      <c r="M2474" s="120"/>
      <c r="N2474" s="167"/>
      <c r="O2474" s="120"/>
      <c r="P2474" s="120"/>
      <c r="Q2474" s="120"/>
      <c r="R2474" s="120"/>
      <c r="S2474" s="120"/>
      <c r="T2474" s="221"/>
      <c r="U2474" s="89"/>
      <c r="V2474" s="61"/>
      <c r="W2474" s="92" t="s">
        <v>173</v>
      </c>
      <c r="X2474" s="93" t="s">
        <v>29</v>
      </c>
      <c r="Y2474" s="93" t="s">
        <v>93</v>
      </c>
      <c r="Z2474" s="134">
        <f>VLOOKUP(W2474,Sheet2!$B:$D,3,FALSE)</f>
        <v>36</v>
      </c>
      <c r="AA2474" s="93">
        <f>50/(2.5*2.4*0.5*4)</f>
        <v>4.166666666666667</v>
      </c>
      <c r="AB2474" s="93">
        <f>AD2474/AC2468</f>
        <v>8.6399999999999988</v>
      </c>
      <c r="AC2474" s="93">
        <f>AC2468/AA2474</f>
        <v>0.49439999999999995</v>
      </c>
      <c r="AD2474" s="94">
        <f>AC2474*Z2474</f>
        <v>17.798399999999997</v>
      </c>
      <c r="AE2474" s="190"/>
      <c r="AF2474" s="191"/>
      <c r="AG2474" s="191"/>
      <c r="AH2474" s="191"/>
      <c r="AI2474" s="186"/>
      <c r="AK2474" s="171"/>
    </row>
    <row r="2475" spans="1:37" s="102" customFormat="1" ht="19.899999999999999" customHeight="1" x14ac:dyDescent="0.25">
      <c r="A2475" s="45"/>
      <c r="B2475" s="59"/>
      <c r="C2475" s="137"/>
      <c r="D2475" s="59"/>
      <c r="E2475" s="116"/>
      <c r="F2475" s="120"/>
      <c r="G2475" s="120"/>
      <c r="H2475" s="120"/>
      <c r="I2475" s="60"/>
      <c r="J2475" s="116"/>
      <c r="K2475" s="213"/>
      <c r="L2475" s="120"/>
      <c r="M2475" s="120"/>
      <c r="N2475" s="167"/>
      <c r="O2475" s="120"/>
      <c r="P2475" s="120"/>
      <c r="Q2475" s="120"/>
      <c r="R2475" s="120"/>
      <c r="S2475" s="120"/>
      <c r="T2475" s="221"/>
      <c r="U2475" s="89"/>
      <c r="V2475" s="61"/>
      <c r="W2475" s="92" t="s">
        <v>65</v>
      </c>
      <c r="X2475" s="93" t="s">
        <v>30</v>
      </c>
      <c r="Y2475" s="93" t="s">
        <v>1011</v>
      </c>
      <c r="Z2475" s="134">
        <f>VLOOKUP(W2475,Sheet2!$B:$D,3,FALSE)</f>
        <v>1.76</v>
      </c>
      <c r="AA2475" s="93">
        <f>AA2474/9</f>
        <v>0.46296296296296302</v>
      </c>
      <c r="AB2475" s="93">
        <f>AD2475/AC2468</f>
        <v>3.8015999999999996</v>
      </c>
      <c r="AC2475" s="93">
        <f>AC2468/AA2475</f>
        <v>4.4495999999999993</v>
      </c>
      <c r="AD2475" s="94">
        <f>AC2475*Z2475</f>
        <v>7.8312959999999991</v>
      </c>
      <c r="AE2475" s="190"/>
      <c r="AF2475" s="191"/>
      <c r="AG2475" s="191"/>
      <c r="AH2475" s="191"/>
      <c r="AI2475" s="186"/>
      <c r="AK2475" s="171"/>
    </row>
    <row r="2476" spans="1:37" s="102" customFormat="1" ht="19.899999999999999" customHeight="1" x14ac:dyDescent="0.25">
      <c r="A2476" s="45"/>
      <c r="B2476" s="59"/>
      <c r="C2476" s="137"/>
      <c r="D2476" s="59"/>
      <c r="E2476" s="116"/>
      <c r="F2476" s="120"/>
      <c r="G2476" s="120"/>
      <c r="H2476" s="120"/>
      <c r="I2476" s="60"/>
      <c r="J2476" s="116"/>
      <c r="K2476" s="213"/>
      <c r="L2476" s="120"/>
      <c r="M2476" s="120"/>
      <c r="N2476" s="167"/>
      <c r="O2476" s="120"/>
      <c r="P2476" s="120"/>
      <c r="Q2476" s="120"/>
      <c r="R2476" s="120"/>
      <c r="S2476" s="120"/>
      <c r="T2476" s="221"/>
      <c r="U2476" s="89"/>
      <c r="V2476" s="61"/>
      <c r="W2476" s="92" t="s">
        <v>1030</v>
      </c>
      <c r="X2476" s="93" t="s">
        <v>29</v>
      </c>
      <c r="Y2476" s="93" t="s">
        <v>93</v>
      </c>
      <c r="Z2476" s="134">
        <f>VLOOKUP(W2476,Sheet2!$B:$D,3,FALSE)</f>
        <v>23</v>
      </c>
      <c r="AA2476" s="93">
        <v>1</v>
      </c>
      <c r="AB2476" s="93">
        <f>AD2476/AC2468</f>
        <v>23</v>
      </c>
      <c r="AC2476" s="93">
        <f>AC2468/AA2476</f>
        <v>2.06</v>
      </c>
      <c r="AD2476" s="94">
        <f t="shared" ref="AD2476:AD2477" si="1976">AC2476*Z2476</f>
        <v>47.38</v>
      </c>
      <c r="AE2476" s="190"/>
      <c r="AF2476" s="191"/>
      <c r="AG2476" s="191"/>
      <c r="AH2476" s="191"/>
      <c r="AI2476" s="186"/>
      <c r="AK2476" s="171"/>
    </row>
    <row r="2477" spans="1:37" s="102" customFormat="1" ht="19.899999999999999" customHeight="1" x14ac:dyDescent="0.25">
      <c r="A2477" s="45"/>
      <c r="B2477" s="59"/>
      <c r="C2477" s="137"/>
      <c r="D2477" s="59"/>
      <c r="E2477" s="116"/>
      <c r="F2477" s="120"/>
      <c r="G2477" s="120"/>
      <c r="H2477" s="120"/>
      <c r="I2477" s="60"/>
      <c r="J2477" s="116"/>
      <c r="K2477" s="213"/>
      <c r="L2477" s="120"/>
      <c r="M2477" s="120"/>
      <c r="N2477" s="167"/>
      <c r="O2477" s="120"/>
      <c r="P2477" s="120"/>
      <c r="Q2477" s="120"/>
      <c r="R2477" s="120"/>
      <c r="S2477" s="120"/>
      <c r="T2477" s="221"/>
      <c r="U2477" s="89"/>
      <c r="V2477" s="61"/>
      <c r="W2477" s="92" t="s">
        <v>65</v>
      </c>
      <c r="X2477" s="93" t="s">
        <v>30</v>
      </c>
      <c r="Y2477" s="93" t="s">
        <v>1011</v>
      </c>
      <c r="Z2477" s="134">
        <f>VLOOKUP(W2477,Sheet2!$B:$D,3,FALSE)</f>
        <v>1.76</v>
      </c>
      <c r="AA2477" s="93">
        <f>AA2476/3</f>
        <v>0.33333333333333331</v>
      </c>
      <c r="AB2477" s="93">
        <f>AD2477/AC2468</f>
        <v>5.28</v>
      </c>
      <c r="AC2477" s="93">
        <f>AC2468/AA2477</f>
        <v>6.1800000000000006</v>
      </c>
      <c r="AD2477" s="94">
        <f t="shared" si="1976"/>
        <v>10.876800000000001</v>
      </c>
      <c r="AE2477" s="190"/>
      <c r="AF2477" s="191"/>
      <c r="AG2477" s="191"/>
      <c r="AH2477" s="191"/>
      <c r="AI2477" s="186"/>
      <c r="AK2477" s="171"/>
    </row>
    <row r="2478" spans="1:37" s="306" customFormat="1" ht="90" x14ac:dyDescent="0.25">
      <c r="A2478" s="287" t="s">
        <v>410</v>
      </c>
      <c r="B2478" s="288"/>
      <c r="C2478" s="286" t="s">
        <v>353</v>
      </c>
      <c r="D2478" s="289"/>
      <c r="E2478" s="290"/>
      <c r="F2478" s="291"/>
      <c r="G2478" s="291">
        <f t="shared" ref="G2478:G3165" si="1977">F2478*E2478</f>
        <v>0</v>
      </c>
      <c r="H2478" s="291">
        <f t="shared" ref="H2478:H3165" si="1978">AB2478</f>
        <v>0</v>
      </c>
      <c r="I2478" s="292">
        <f t="shared" ref="I2478:I3165" si="1979">H2478*E2478</f>
        <v>0</v>
      </c>
      <c r="J2478" s="290">
        <f t="shared" ref="J2478:J3165" si="1980">E2478</f>
        <v>0</v>
      </c>
      <c r="K2478" s="293">
        <f t="shared" ref="K2478:K3165" si="1981">J2478</f>
        <v>0</v>
      </c>
      <c r="L2478" s="291"/>
      <c r="M2478" s="291">
        <f t="shared" ref="M2478:M3186" si="1982">K2478-L2478</f>
        <v>0</v>
      </c>
      <c r="N2478" s="294">
        <f t="shared" ref="N2478:N3165" si="1983">IFERROR(M2478/K2478,0)</f>
        <v>0</v>
      </c>
      <c r="O2478" s="291">
        <f t="shared" ref="O2478:O3165" si="1984">F2478</f>
        <v>0</v>
      </c>
      <c r="P2478" s="291">
        <f t="shared" ref="P2478:P3165" si="1985">K2478*O2478</f>
        <v>0</v>
      </c>
      <c r="Q2478" s="291">
        <f t="shared" ref="Q2478:Q3165" si="1986">AB2478</f>
        <v>0</v>
      </c>
      <c r="R2478" s="291">
        <f t="shared" ref="R2478:R3186" si="1987">M2478*Q2478</f>
        <v>0</v>
      </c>
      <c r="S2478" s="291"/>
      <c r="T2478" s="295">
        <f t="shared" ref="T2478:T3186" si="1988">S2478+R2478</f>
        <v>0</v>
      </c>
      <c r="U2478" s="296"/>
      <c r="V2478" s="297"/>
      <c r="W2478" s="298"/>
      <c r="X2478" s="299"/>
      <c r="Y2478" s="300"/>
      <c r="Z2478" s="301"/>
      <c r="AA2478" s="300"/>
      <c r="AB2478" s="300">
        <f t="shared" ref="AB2478:AB3165" si="1989">AD2478/AC2478</f>
        <v>0</v>
      </c>
      <c r="AC2478" s="300">
        <f t="shared" ref="AC2478:AC3186" si="1990">M2478+$AE$10</f>
        <v>9.9999999999999998E-20</v>
      </c>
      <c r="AD2478" s="302"/>
      <c r="AE2478" s="303"/>
      <c r="AF2478" s="304"/>
      <c r="AG2478" s="304"/>
      <c r="AH2478" s="304"/>
      <c r="AI2478" s="305"/>
      <c r="AK2478" s="307"/>
    </row>
    <row r="2479" spans="1:37" ht="20.100000000000001" customHeight="1" x14ac:dyDescent="0.25">
      <c r="A2479" s="277" t="s">
        <v>410</v>
      </c>
      <c r="B2479" s="278"/>
      <c r="C2479" s="64" t="s">
        <v>471</v>
      </c>
      <c r="D2479" s="46"/>
      <c r="E2479" s="114"/>
      <c r="F2479" s="44"/>
      <c r="G2479" s="44">
        <f t="shared" si="1977"/>
        <v>0</v>
      </c>
      <c r="H2479" s="44">
        <f t="shared" si="1978"/>
        <v>0</v>
      </c>
      <c r="I2479" s="43">
        <f t="shared" si="1979"/>
        <v>0</v>
      </c>
      <c r="J2479" s="112">
        <f t="shared" si="1980"/>
        <v>0</v>
      </c>
      <c r="K2479" s="211">
        <f t="shared" si="1981"/>
        <v>0</v>
      </c>
      <c r="L2479" s="44"/>
      <c r="M2479" s="44">
        <f t="shared" si="1982"/>
        <v>0</v>
      </c>
      <c r="N2479" s="173">
        <f t="shared" si="1983"/>
        <v>0</v>
      </c>
      <c r="O2479" s="44">
        <f t="shared" si="1984"/>
        <v>0</v>
      </c>
      <c r="P2479" s="44">
        <f t="shared" si="1985"/>
        <v>0</v>
      </c>
      <c r="Q2479" s="44">
        <f t="shared" si="1986"/>
        <v>0</v>
      </c>
      <c r="R2479" s="44">
        <f t="shared" si="1987"/>
        <v>0</v>
      </c>
      <c r="S2479" s="123"/>
      <c r="T2479" s="219">
        <f t="shared" si="1988"/>
        <v>0</v>
      </c>
      <c r="U2479" s="87"/>
      <c r="V2479" s="47"/>
      <c r="W2479" s="48"/>
      <c r="X2479" s="48"/>
      <c r="Y2479" s="48"/>
      <c r="Z2479" s="135"/>
      <c r="AA2479" s="49"/>
      <c r="AB2479" s="50">
        <f t="shared" si="1989"/>
        <v>0</v>
      </c>
      <c r="AC2479" s="42">
        <f t="shared" si="1990"/>
        <v>9.9999999999999998E-20</v>
      </c>
      <c r="AD2479" s="90"/>
      <c r="AE2479" s="188"/>
      <c r="AF2479" s="189"/>
      <c r="AG2479" s="189"/>
      <c r="AH2479" s="189"/>
      <c r="AI2479" s="161"/>
    </row>
    <row r="2480" spans="1:37" ht="20.100000000000001" customHeight="1" x14ac:dyDescent="0.25">
      <c r="A2480" s="277" t="s">
        <v>410</v>
      </c>
      <c r="B2480" s="278"/>
      <c r="C2480" s="64" t="s">
        <v>472</v>
      </c>
      <c r="D2480" s="46"/>
      <c r="E2480" s="114"/>
      <c r="F2480" s="44"/>
      <c r="G2480" s="44">
        <f t="shared" si="1977"/>
        <v>0</v>
      </c>
      <c r="H2480" s="44">
        <f t="shared" si="1978"/>
        <v>0</v>
      </c>
      <c r="I2480" s="43">
        <f t="shared" si="1979"/>
        <v>0</v>
      </c>
      <c r="J2480" s="112">
        <f t="shared" si="1980"/>
        <v>0</v>
      </c>
      <c r="K2480" s="211">
        <f t="shared" si="1981"/>
        <v>0</v>
      </c>
      <c r="L2480" s="44"/>
      <c r="M2480" s="44">
        <f t="shared" si="1982"/>
        <v>0</v>
      </c>
      <c r="N2480" s="173">
        <f t="shared" si="1983"/>
        <v>0</v>
      </c>
      <c r="O2480" s="44">
        <f t="shared" si="1984"/>
        <v>0</v>
      </c>
      <c r="P2480" s="44">
        <f t="shared" si="1985"/>
        <v>0</v>
      </c>
      <c r="Q2480" s="44">
        <f t="shared" si="1986"/>
        <v>0</v>
      </c>
      <c r="R2480" s="44">
        <f t="shared" si="1987"/>
        <v>0</v>
      </c>
      <c r="S2480" s="123"/>
      <c r="T2480" s="219">
        <f t="shared" si="1988"/>
        <v>0</v>
      </c>
      <c r="U2480" s="87"/>
      <c r="V2480" s="47"/>
      <c r="W2480" s="48"/>
      <c r="X2480" s="48"/>
      <c r="Y2480" s="48"/>
      <c r="Z2480" s="135"/>
      <c r="AA2480" s="49"/>
      <c r="AB2480" s="50">
        <f t="shared" si="1989"/>
        <v>0</v>
      </c>
      <c r="AC2480" s="42">
        <f t="shared" si="1990"/>
        <v>9.9999999999999998E-20</v>
      </c>
      <c r="AD2480" s="90"/>
      <c r="AE2480" s="188"/>
      <c r="AF2480" s="189"/>
      <c r="AG2480" s="189"/>
      <c r="AH2480" s="189"/>
      <c r="AI2480" s="161"/>
    </row>
    <row r="2481" spans="1:41" ht="25.5" x14ac:dyDescent="0.25">
      <c r="A2481" s="277" t="s">
        <v>410</v>
      </c>
      <c r="B2481" s="278"/>
      <c r="C2481" s="64" t="s">
        <v>1460</v>
      </c>
      <c r="D2481" s="46" t="s">
        <v>215</v>
      </c>
      <c r="E2481" s="114">
        <v>14.975000000000003</v>
      </c>
      <c r="F2481" s="44">
        <v>27442</v>
      </c>
      <c r="G2481" s="44">
        <f t="shared" si="1977"/>
        <v>410943.95000000007</v>
      </c>
      <c r="H2481" s="44">
        <f t="shared" si="1978"/>
        <v>12286.179576470588</v>
      </c>
      <c r="I2481" s="43">
        <f t="shared" si="1979"/>
        <v>183985.53915764709</v>
      </c>
      <c r="J2481" s="112">
        <f t="shared" si="1980"/>
        <v>14.975000000000003</v>
      </c>
      <c r="K2481" s="211">
        <f t="shared" si="1981"/>
        <v>14.975000000000003</v>
      </c>
      <c r="L2481" s="44"/>
      <c r="M2481" s="44">
        <f t="shared" si="1982"/>
        <v>14.975000000000003</v>
      </c>
      <c r="N2481" s="173">
        <f t="shared" si="1983"/>
        <v>1</v>
      </c>
      <c r="O2481" s="44">
        <f t="shared" si="1984"/>
        <v>27442</v>
      </c>
      <c r="P2481" s="44">
        <f t="shared" si="1985"/>
        <v>410943.95000000007</v>
      </c>
      <c r="Q2481" s="44">
        <f t="shared" si="1986"/>
        <v>12286.179576470588</v>
      </c>
      <c r="R2481" s="44">
        <f t="shared" si="1987"/>
        <v>183985.53915764709</v>
      </c>
      <c r="S2481" s="123"/>
      <c r="T2481" s="219">
        <f t="shared" si="1988"/>
        <v>183985.53915764709</v>
      </c>
      <c r="U2481" s="87"/>
      <c r="V2481" s="47"/>
      <c r="W2481" s="48"/>
      <c r="X2481" s="48"/>
      <c r="Y2481" s="48"/>
      <c r="Z2481" s="135"/>
      <c r="AA2481" s="49"/>
      <c r="AB2481" s="50">
        <f t="shared" si="1989"/>
        <v>12286.179576470588</v>
      </c>
      <c r="AC2481" s="42">
        <f t="shared" si="1990"/>
        <v>14.975000000000003</v>
      </c>
      <c r="AD2481" s="90">
        <f>AD2482+AD2487+AD2499+AD2502</f>
        <v>183985.53915764709</v>
      </c>
      <c r="AE2481" s="188">
        <f t="shared" ref="AE2481" si="1991">AE2482+AE2487+AE2499+AE2502</f>
        <v>0</v>
      </c>
      <c r="AF2481" s="189">
        <f t="shared" ref="AF2481" si="1992">AF2482+AF2487+AF2499+AF2502</f>
        <v>0</v>
      </c>
      <c r="AG2481" s="189">
        <f t="shared" ref="AG2481" si="1993">AG2482+AG2487+AG2499+AG2502</f>
        <v>0</v>
      </c>
      <c r="AH2481" s="189">
        <f t="shared" ref="AH2481" si="1994">AH2482+AH2487+AH2499+AH2502</f>
        <v>0</v>
      </c>
      <c r="AI2481" s="161">
        <f t="shared" ref="AI2481" si="1995">SUM(AE2481:AH2481)</f>
        <v>0</v>
      </c>
      <c r="AK2481" s="169">
        <v>5</v>
      </c>
      <c r="AO2481" s="19" t="s">
        <v>63</v>
      </c>
    </row>
    <row r="2482" spans="1:41" s="103" customFormat="1" ht="19.899999999999999" customHeight="1" x14ac:dyDescent="0.25">
      <c r="A2482" s="51"/>
      <c r="B2482" s="52"/>
      <c r="C2482" s="165"/>
      <c r="D2482" s="52"/>
      <c r="E2482" s="115"/>
      <c r="F2482" s="58"/>
      <c r="G2482" s="58"/>
      <c r="H2482" s="58"/>
      <c r="I2482" s="55"/>
      <c r="J2482" s="113">
        <f>J2481</f>
        <v>14.975000000000003</v>
      </c>
      <c r="K2482" s="212">
        <f>K2481</f>
        <v>14.975000000000003</v>
      </c>
      <c r="L2482" s="58"/>
      <c r="M2482" s="58">
        <f>K2482-L2482</f>
        <v>14.975000000000003</v>
      </c>
      <c r="N2482" s="166"/>
      <c r="O2482" s="58"/>
      <c r="P2482" s="58"/>
      <c r="Q2482" s="58"/>
      <c r="R2482" s="58"/>
      <c r="S2482" s="58"/>
      <c r="T2482" s="220"/>
      <c r="U2482" s="88"/>
      <c r="V2482" s="56"/>
      <c r="W2482" s="57" t="s">
        <v>1351</v>
      </c>
      <c r="X2482" s="53"/>
      <c r="Y2482" s="91" t="s">
        <v>35</v>
      </c>
      <c r="Z2482" s="136">
        <f>AD2482/AC2482</f>
        <v>90.496941176470585</v>
      </c>
      <c r="AA2482" s="58"/>
      <c r="AB2482" s="53">
        <f>AD2482/AC2482</f>
        <v>90.496941176470585</v>
      </c>
      <c r="AC2482" s="53">
        <f>M2482+$AE$10</f>
        <v>14.975000000000003</v>
      </c>
      <c r="AD2482" s="54">
        <f>SUM(AD2483:AD2486)</f>
        <v>1355.1916941176473</v>
      </c>
      <c r="AE2482" s="184">
        <f>SUMIFS($AD$37:$AD$12971,$V$37:$V$12971,$V2482,$X$37:$X$12971,AE$13)</f>
        <v>0</v>
      </c>
      <c r="AF2482" s="185">
        <f>SUMIFS($AD$37:$AD$12971,$V$37:$V$12971,$V2482,$X$37:$X$12971,AF$13)</f>
        <v>0</v>
      </c>
      <c r="AG2482" s="185">
        <f>SUMIFS($AD$37:$AD$12971,$V$37:$V$12971,$V2482,$X$37:$X$12971,AG$13)</f>
        <v>0</v>
      </c>
      <c r="AH2482" s="187">
        <f>SUMIFS($AD$37:$AD$12971,$V$37:$V$12971,$V2482,$X$37:$X$12971,AH$13)</f>
        <v>0</v>
      </c>
      <c r="AI2482" s="161">
        <f t="shared" ref="AI2482" si="1996">SUM(AE2482:AH2482)</f>
        <v>0</v>
      </c>
      <c r="AK2482" s="172"/>
    </row>
    <row r="2483" spans="1:41" s="102" customFormat="1" ht="19.899999999999999" customHeight="1" x14ac:dyDescent="0.25">
      <c r="A2483" s="45"/>
      <c r="B2483" s="59"/>
      <c r="C2483" s="137"/>
      <c r="D2483" s="59"/>
      <c r="E2483" s="116"/>
      <c r="F2483" s="120"/>
      <c r="G2483" s="120"/>
      <c r="H2483" s="120"/>
      <c r="I2483" s="60"/>
      <c r="J2483" s="116"/>
      <c r="K2483" s="213"/>
      <c r="L2483" s="120"/>
      <c r="M2483" s="120"/>
      <c r="N2483" s="167"/>
      <c r="O2483" s="120"/>
      <c r="P2483" s="120"/>
      <c r="Q2483" s="120"/>
      <c r="R2483" s="120"/>
      <c r="S2483" s="120"/>
      <c r="T2483" s="221"/>
      <c r="U2483" s="89"/>
      <c r="V2483" s="61"/>
      <c r="W2483" s="92" t="s">
        <v>129</v>
      </c>
      <c r="X2483" s="93" t="s">
        <v>29</v>
      </c>
      <c r="Y2483" s="93" t="s">
        <v>93</v>
      </c>
      <c r="Z2483" s="134">
        <f>VLOOKUP(W2483,Sheet2!$B:$D,3,FALSE)</f>
        <v>56</v>
      </c>
      <c r="AA2483" s="93">
        <f>100/(3*3*2.5)</f>
        <v>4.4444444444444446</v>
      </c>
      <c r="AB2483" s="93">
        <f t="shared" ref="AB2483" si="1997">AD2483/AC2482</f>
        <v>12.6</v>
      </c>
      <c r="AC2483" s="93">
        <f>AC2482/AA2483</f>
        <v>3.3693750000000007</v>
      </c>
      <c r="AD2483" s="94">
        <f t="shared" ref="AD2483:AD2484" si="1998">AC2483*Z2483</f>
        <v>188.68500000000003</v>
      </c>
      <c r="AE2483" s="190"/>
      <c r="AF2483" s="191"/>
      <c r="AG2483" s="191"/>
      <c r="AH2483" s="191"/>
      <c r="AI2483" s="186"/>
      <c r="AK2483" s="171"/>
    </row>
    <row r="2484" spans="1:41" s="102" customFormat="1" ht="19.899999999999999" customHeight="1" x14ac:dyDescent="0.25">
      <c r="A2484" s="45"/>
      <c r="B2484" s="59"/>
      <c r="C2484" s="137"/>
      <c r="D2484" s="59"/>
      <c r="E2484" s="116"/>
      <c r="F2484" s="120"/>
      <c r="G2484" s="120"/>
      <c r="H2484" s="120"/>
      <c r="I2484" s="60"/>
      <c r="J2484" s="116"/>
      <c r="K2484" s="213"/>
      <c r="L2484" s="120"/>
      <c r="M2484" s="120"/>
      <c r="N2484" s="167"/>
      <c r="O2484" s="120"/>
      <c r="P2484" s="120"/>
      <c r="Q2484" s="120"/>
      <c r="R2484" s="120"/>
      <c r="S2484" s="120"/>
      <c r="T2484" s="221"/>
      <c r="U2484" s="89"/>
      <c r="V2484" s="61"/>
      <c r="W2484" s="92" t="s">
        <v>65</v>
      </c>
      <c r="X2484" s="93" t="s">
        <v>30</v>
      </c>
      <c r="Y2484" s="93" t="s">
        <v>1011</v>
      </c>
      <c r="Z2484" s="134">
        <f>VLOOKUP(W2484,Sheet2!$B:$D,3,FALSE)</f>
        <v>1.76</v>
      </c>
      <c r="AA2484" s="93">
        <f>AA2483/14</f>
        <v>0.3174603174603175</v>
      </c>
      <c r="AB2484" s="93">
        <f>AD2484/AC2482</f>
        <v>5.5439999999999996</v>
      </c>
      <c r="AC2484" s="93">
        <f>AC2482/AA2484</f>
        <v>47.171250000000008</v>
      </c>
      <c r="AD2484" s="94">
        <f t="shared" si="1998"/>
        <v>83.021400000000014</v>
      </c>
      <c r="AE2484" s="190"/>
      <c r="AF2484" s="191"/>
      <c r="AG2484" s="191"/>
      <c r="AH2484" s="191"/>
      <c r="AI2484" s="186"/>
      <c r="AK2484" s="171"/>
    </row>
    <row r="2485" spans="1:41" s="102" customFormat="1" ht="19.899999999999999" customHeight="1" x14ac:dyDescent="0.25">
      <c r="A2485" s="45"/>
      <c r="B2485" s="59"/>
      <c r="C2485" s="137"/>
      <c r="D2485" s="59"/>
      <c r="E2485" s="116"/>
      <c r="F2485" s="120"/>
      <c r="G2485" s="120"/>
      <c r="H2485" s="120"/>
      <c r="I2485" s="60"/>
      <c r="J2485" s="116"/>
      <c r="K2485" s="213"/>
      <c r="L2485" s="120"/>
      <c r="M2485" s="120"/>
      <c r="N2485" s="167"/>
      <c r="O2485" s="120"/>
      <c r="P2485" s="120"/>
      <c r="Q2485" s="120"/>
      <c r="R2485" s="120"/>
      <c r="S2485" s="120"/>
      <c r="T2485" s="221"/>
      <c r="U2485" s="89"/>
      <c r="V2485" s="61"/>
      <c r="W2485" s="92" t="s">
        <v>161</v>
      </c>
      <c r="X2485" s="93" t="s">
        <v>29</v>
      </c>
      <c r="Y2485" s="93" t="s">
        <v>93</v>
      </c>
      <c r="Z2485" s="134">
        <f>VLOOKUP(W2485,Sheet2!$B:$D,3,FALSE)</f>
        <v>48</v>
      </c>
      <c r="AA2485" s="93">
        <f>(16*0.85*1.5)/(3*3*2.5)</f>
        <v>0.90666666666666662</v>
      </c>
      <c r="AB2485" s="93">
        <f>AD2485/AC2482</f>
        <v>52.941176470588239</v>
      </c>
      <c r="AC2485" s="93">
        <f>AC2482/AA2485</f>
        <v>16.516544117647062</v>
      </c>
      <c r="AD2485" s="94">
        <f>AC2485*Z2485</f>
        <v>792.79411764705901</v>
      </c>
      <c r="AE2485" s="190"/>
      <c r="AF2485" s="191"/>
      <c r="AG2485" s="191"/>
      <c r="AH2485" s="191"/>
      <c r="AI2485" s="186"/>
      <c r="AK2485" s="171"/>
    </row>
    <row r="2486" spans="1:41" s="102" customFormat="1" ht="19.899999999999999" customHeight="1" x14ac:dyDescent="0.25">
      <c r="A2486" s="45"/>
      <c r="B2486" s="59"/>
      <c r="C2486" s="137"/>
      <c r="D2486" s="59"/>
      <c r="E2486" s="116"/>
      <c r="F2486" s="120"/>
      <c r="G2486" s="120"/>
      <c r="H2486" s="120"/>
      <c r="I2486" s="60"/>
      <c r="J2486" s="116"/>
      <c r="K2486" s="213"/>
      <c r="L2486" s="120"/>
      <c r="M2486" s="120"/>
      <c r="N2486" s="167"/>
      <c r="O2486" s="120"/>
      <c r="P2486" s="120"/>
      <c r="Q2486" s="120"/>
      <c r="R2486" s="120"/>
      <c r="S2486" s="120"/>
      <c r="T2486" s="221"/>
      <c r="U2486" s="89"/>
      <c r="V2486" s="61"/>
      <c r="W2486" s="92" t="s">
        <v>65</v>
      </c>
      <c r="X2486" s="93" t="s">
        <v>30</v>
      </c>
      <c r="Y2486" s="93" t="s">
        <v>1011</v>
      </c>
      <c r="Z2486" s="134">
        <f>VLOOKUP(W2486,Sheet2!$B:$D,3,FALSE)</f>
        <v>1.76</v>
      </c>
      <c r="AA2486" s="93">
        <f>AA2485/10</f>
        <v>9.0666666666666659E-2</v>
      </c>
      <c r="AB2486" s="93">
        <f>AD2486/AC2482</f>
        <v>19.411764705882355</v>
      </c>
      <c r="AC2486" s="93">
        <f>AC2482/AA2486</f>
        <v>165.16544117647064</v>
      </c>
      <c r="AD2486" s="94">
        <f>AC2486*Z2486</f>
        <v>290.69117647058835</v>
      </c>
      <c r="AE2486" s="190"/>
      <c r="AF2486" s="191"/>
      <c r="AG2486" s="191"/>
      <c r="AH2486" s="191"/>
      <c r="AI2486" s="186"/>
      <c r="AK2486" s="171"/>
    </row>
    <row r="2487" spans="1:41" s="103" customFormat="1" ht="19.899999999999999" customHeight="1" x14ac:dyDescent="0.25">
      <c r="A2487" s="51"/>
      <c r="B2487" s="52"/>
      <c r="C2487" s="165"/>
      <c r="D2487" s="52"/>
      <c r="E2487" s="115"/>
      <c r="F2487" s="58"/>
      <c r="G2487" s="58"/>
      <c r="H2487" s="58"/>
      <c r="I2487" s="55"/>
      <c r="J2487" s="113">
        <f>J2481</f>
        <v>14.975000000000003</v>
      </c>
      <c r="K2487" s="212">
        <f>K2481</f>
        <v>14.975000000000003</v>
      </c>
      <c r="L2487" s="58"/>
      <c r="M2487" s="58">
        <f>K2487-L2487</f>
        <v>14.975000000000003</v>
      </c>
      <c r="N2487" s="166"/>
      <c r="O2487" s="58"/>
      <c r="P2487" s="58"/>
      <c r="Q2487" s="58"/>
      <c r="R2487" s="58"/>
      <c r="S2487" s="58"/>
      <c r="T2487" s="220"/>
      <c r="U2487" s="88"/>
      <c r="V2487" s="56"/>
      <c r="W2487" s="57" t="s">
        <v>1463</v>
      </c>
      <c r="X2487" s="53"/>
      <c r="Y2487" s="91" t="s">
        <v>35</v>
      </c>
      <c r="Z2487" s="136">
        <f>AD2487/AC2487</f>
        <v>9186.5999999999985</v>
      </c>
      <c r="AA2487" s="58"/>
      <c r="AB2487" s="53">
        <f>AD2487/AC2487</f>
        <v>9186.5999999999985</v>
      </c>
      <c r="AC2487" s="53">
        <f>M2487+$AE$10</f>
        <v>14.975000000000003</v>
      </c>
      <c r="AD2487" s="54">
        <f>SUM(AD2488:AD2498)</f>
        <v>137569.33500000002</v>
      </c>
      <c r="AE2487" s="184">
        <f>SUMIFS($AD$37:$AD$12971,$V$37:$V$12971,$V2487,$X$37:$X$12971,AE$13)</f>
        <v>0</v>
      </c>
      <c r="AF2487" s="185">
        <f>SUMIFS($AD$37:$AD$12971,$V$37:$V$12971,$V2487,$X$37:$X$12971,AF$13)</f>
        <v>0</v>
      </c>
      <c r="AG2487" s="185">
        <f>SUMIFS($AD$37:$AD$12971,$V$37:$V$12971,$V2487,$X$37:$X$12971,AG$13)</f>
        <v>0</v>
      </c>
      <c r="AH2487" s="187">
        <f>SUMIFS($AD$37:$AD$12971,$V$37:$V$12971,$V2487,$X$37:$X$12971,AH$13)</f>
        <v>0</v>
      </c>
      <c r="AI2487" s="161">
        <f t="shared" ref="AI2487" si="1999">SUM(AE2487:AH2487)</f>
        <v>0</v>
      </c>
      <c r="AK2487" s="172"/>
    </row>
    <row r="2488" spans="1:41" s="102" customFormat="1" ht="19.899999999999999" customHeight="1" x14ac:dyDescent="0.25">
      <c r="A2488" s="45"/>
      <c r="B2488" s="59"/>
      <c r="C2488" s="137"/>
      <c r="D2488" s="59"/>
      <c r="E2488" s="116"/>
      <c r="F2488" s="120"/>
      <c r="G2488" s="120"/>
      <c r="H2488" s="120"/>
      <c r="I2488" s="60"/>
      <c r="J2488" s="116"/>
      <c r="K2488" s="213"/>
      <c r="L2488" s="120"/>
      <c r="M2488" s="120"/>
      <c r="N2488" s="167"/>
      <c r="O2488" s="120"/>
      <c r="P2488" s="120"/>
      <c r="Q2488" s="120"/>
      <c r="R2488" s="120"/>
      <c r="S2488" s="120"/>
      <c r="T2488" s="221"/>
      <c r="U2488" s="89"/>
      <c r="V2488" s="61"/>
      <c r="W2488" s="92" t="s">
        <v>1032</v>
      </c>
      <c r="X2488" s="93" t="s">
        <v>30</v>
      </c>
      <c r="Y2488" s="93" t="s">
        <v>66</v>
      </c>
      <c r="Z2488" s="134">
        <f>VLOOKUP(W2488,Sheet2!$B:$D,3,FALSE)</f>
        <v>250</v>
      </c>
      <c r="AA2488" s="93">
        <f>1/(3*3*0.1)</f>
        <v>1.1111111111111112</v>
      </c>
      <c r="AB2488" s="93">
        <f t="shared" ref="AB2488" si="2000">AD2488/AC2487</f>
        <v>224.99999999999997</v>
      </c>
      <c r="AC2488" s="93">
        <f>AC2487/AA2488</f>
        <v>13.477500000000003</v>
      </c>
      <c r="AD2488" s="94">
        <f t="shared" ref="AD2488:AD2490" si="2001">AC2488*Z2488</f>
        <v>3369.3750000000005</v>
      </c>
      <c r="AE2488" s="190"/>
      <c r="AF2488" s="191"/>
      <c r="AG2488" s="191"/>
      <c r="AH2488" s="191"/>
      <c r="AI2488" s="186"/>
      <c r="AK2488" s="171"/>
    </row>
    <row r="2489" spans="1:41" s="102" customFormat="1" ht="19.899999999999999" customHeight="1" x14ac:dyDescent="0.25">
      <c r="A2489" s="45"/>
      <c r="B2489" s="59"/>
      <c r="C2489" s="137"/>
      <c r="D2489" s="59"/>
      <c r="E2489" s="116"/>
      <c r="F2489" s="120"/>
      <c r="G2489" s="120"/>
      <c r="H2489" s="120"/>
      <c r="I2489" s="60"/>
      <c r="J2489" s="116"/>
      <c r="K2489" s="213"/>
      <c r="L2489" s="120"/>
      <c r="M2489" s="120"/>
      <c r="N2489" s="167"/>
      <c r="O2489" s="120"/>
      <c r="P2489" s="120"/>
      <c r="Q2489" s="120"/>
      <c r="R2489" s="120"/>
      <c r="S2489" s="120"/>
      <c r="T2489" s="221"/>
      <c r="U2489" s="89"/>
      <c r="V2489" s="61"/>
      <c r="W2489" s="92" t="s">
        <v>1353</v>
      </c>
      <c r="X2489" s="93" t="s">
        <v>30</v>
      </c>
      <c r="Y2489" s="93" t="s">
        <v>66</v>
      </c>
      <c r="Z2489" s="134">
        <f>VLOOKUP(W2489,Sheet2!$B:$D,3,FALSE)</f>
        <v>350</v>
      </c>
      <c r="AA2489" s="93">
        <f>1/(2*2*0.25*5)</f>
        <v>0.2</v>
      </c>
      <c r="AB2489" s="93">
        <f>AD2489/AC2487</f>
        <v>1749.9999999999998</v>
      </c>
      <c r="AC2489" s="93">
        <f>AC2487/AA2489</f>
        <v>74.875000000000014</v>
      </c>
      <c r="AD2489" s="94">
        <f t="shared" si="2001"/>
        <v>26206.250000000004</v>
      </c>
      <c r="AE2489" s="190"/>
      <c r="AF2489" s="191"/>
      <c r="AG2489" s="191"/>
      <c r="AH2489" s="191"/>
      <c r="AI2489" s="186"/>
      <c r="AK2489" s="171"/>
    </row>
    <row r="2490" spans="1:41" s="102" customFormat="1" ht="19.899999999999999" customHeight="1" x14ac:dyDescent="0.25">
      <c r="A2490" s="45"/>
      <c r="B2490" s="59"/>
      <c r="C2490" s="137"/>
      <c r="D2490" s="59"/>
      <c r="E2490" s="116"/>
      <c r="F2490" s="120"/>
      <c r="G2490" s="120"/>
      <c r="H2490" s="120"/>
      <c r="I2490" s="60"/>
      <c r="J2490" s="116"/>
      <c r="K2490" s="213"/>
      <c r="L2490" s="120"/>
      <c r="M2490" s="120"/>
      <c r="N2490" s="167"/>
      <c r="O2490" s="120"/>
      <c r="P2490" s="120"/>
      <c r="Q2490" s="120"/>
      <c r="R2490" s="120"/>
      <c r="S2490" s="120"/>
      <c r="T2490" s="221"/>
      <c r="U2490" s="89"/>
      <c r="V2490" s="61"/>
      <c r="W2490" s="92" t="s">
        <v>99</v>
      </c>
      <c r="X2490" s="93" t="s">
        <v>30</v>
      </c>
      <c r="Y2490" s="93" t="s">
        <v>67</v>
      </c>
      <c r="Z2490" s="134">
        <f>VLOOKUP(W2490,Sheet2!$B:$D,3,FALSE)</f>
        <v>2500</v>
      </c>
      <c r="AA2490" s="93">
        <f>1/(2*2*0.25*5*0.08)</f>
        <v>2.5</v>
      </c>
      <c r="AB2490" s="93">
        <f>AD2490/AC2487</f>
        <v>1000</v>
      </c>
      <c r="AC2490" s="93">
        <f>AC2487/AA2490</f>
        <v>5.9900000000000011</v>
      </c>
      <c r="AD2490" s="94">
        <f t="shared" si="2001"/>
        <v>14975.000000000004</v>
      </c>
      <c r="AE2490" s="190"/>
      <c r="AF2490" s="191"/>
      <c r="AG2490" s="191"/>
      <c r="AH2490" s="191"/>
      <c r="AI2490" s="186"/>
      <c r="AK2490" s="171"/>
    </row>
    <row r="2491" spans="1:41" s="102" customFormat="1" ht="19.899999999999999" customHeight="1" x14ac:dyDescent="0.25">
      <c r="A2491" s="45"/>
      <c r="B2491" s="59"/>
      <c r="C2491" s="137"/>
      <c r="D2491" s="59"/>
      <c r="E2491" s="116"/>
      <c r="F2491" s="120"/>
      <c r="G2491" s="120"/>
      <c r="H2491" s="120"/>
      <c r="I2491" s="60"/>
      <c r="J2491" s="116"/>
      <c r="K2491" s="213"/>
      <c r="L2491" s="120"/>
      <c r="M2491" s="120"/>
      <c r="N2491" s="167"/>
      <c r="O2491" s="120"/>
      <c r="P2491" s="120"/>
      <c r="Q2491" s="120"/>
      <c r="R2491" s="120"/>
      <c r="S2491" s="120"/>
      <c r="T2491" s="221"/>
      <c r="U2491" s="89"/>
      <c r="V2491" s="61"/>
      <c r="W2491" s="92" t="s">
        <v>1354</v>
      </c>
      <c r="X2491" s="93" t="s">
        <v>32</v>
      </c>
      <c r="Y2491" s="93" t="s">
        <v>66</v>
      </c>
      <c r="Z2491" s="134">
        <f>VLOOKUP(W2491,Sheet2!$B:$D,3,FALSE)</f>
        <v>150</v>
      </c>
      <c r="AA2491" s="93">
        <f>AA2488</f>
        <v>1.1111111111111112</v>
      </c>
      <c r="AB2491" s="93">
        <f>AD2491/AC2487</f>
        <v>135</v>
      </c>
      <c r="AC2491" s="93">
        <f>AC2487/AA2491</f>
        <v>13.477500000000003</v>
      </c>
      <c r="AD2491" s="94">
        <f>AC2491*Z2491</f>
        <v>2021.6250000000005</v>
      </c>
      <c r="AE2491" s="190"/>
      <c r="AF2491" s="191"/>
      <c r="AG2491" s="191"/>
      <c r="AH2491" s="191"/>
      <c r="AI2491" s="186"/>
      <c r="AK2491" s="171"/>
    </row>
    <row r="2492" spans="1:41" s="102" customFormat="1" ht="19.899999999999999" customHeight="1" x14ac:dyDescent="0.25">
      <c r="A2492" s="45"/>
      <c r="B2492" s="59"/>
      <c r="C2492" s="137"/>
      <c r="D2492" s="59"/>
      <c r="E2492" s="116"/>
      <c r="F2492" s="120"/>
      <c r="G2492" s="120"/>
      <c r="H2492" s="120"/>
      <c r="I2492" s="60"/>
      <c r="J2492" s="116"/>
      <c r="K2492" s="213"/>
      <c r="L2492" s="120"/>
      <c r="M2492" s="120"/>
      <c r="N2492" s="167"/>
      <c r="O2492" s="120"/>
      <c r="P2492" s="120"/>
      <c r="Q2492" s="120"/>
      <c r="R2492" s="120"/>
      <c r="S2492" s="120"/>
      <c r="T2492" s="221"/>
      <c r="U2492" s="89"/>
      <c r="V2492" s="61"/>
      <c r="W2492" s="92" t="s">
        <v>1355</v>
      </c>
      <c r="X2492" s="93" t="s">
        <v>32</v>
      </c>
      <c r="Y2492" s="93" t="s">
        <v>66</v>
      </c>
      <c r="Z2492" s="134">
        <f>VLOOKUP(W2492,Sheet2!$B:$D,3,FALSE)</f>
        <v>450</v>
      </c>
      <c r="AA2492" s="93">
        <f>AA2489</f>
        <v>0.2</v>
      </c>
      <c r="AB2492" s="93">
        <f>AD2492/AC2487</f>
        <v>2250</v>
      </c>
      <c r="AC2492" s="93">
        <f>AC2487/AA2492</f>
        <v>74.875000000000014</v>
      </c>
      <c r="AD2492" s="94">
        <f>AC2492*Z2492</f>
        <v>33693.750000000007</v>
      </c>
      <c r="AE2492" s="190"/>
      <c r="AF2492" s="191"/>
      <c r="AG2492" s="191"/>
      <c r="AH2492" s="191"/>
      <c r="AI2492" s="186"/>
      <c r="AK2492" s="171"/>
    </row>
    <row r="2493" spans="1:41" s="102" customFormat="1" ht="19.899999999999999" customHeight="1" x14ac:dyDescent="0.25">
      <c r="A2493" s="45"/>
      <c r="B2493" s="59"/>
      <c r="C2493" s="137"/>
      <c r="D2493" s="59"/>
      <c r="E2493" s="116"/>
      <c r="F2493" s="120"/>
      <c r="G2493" s="120"/>
      <c r="H2493" s="120"/>
      <c r="I2493" s="60"/>
      <c r="J2493" s="116"/>
      <c r="K2493" s="213"/>
      <c r="L2493" s="120"/>
      <c r="M2493" s="120"/>
      <c r="N2493" s="167"/>
      <c r="O2493" s="120"/>
      <c r="P2493" s="120"/>
      <c r="Q2493" s="120"/>
      <c r="R2493" s="120"/>
      <c r="S2493" s="120"/>
      <c r="T2493" s="221"/>
      <c r="U2493" s="89"/>
      <c r="V2493" s="61"/>
      <c r="W2493" s="92" t="s">
        <v>1356</v>
      </c>
      <c r="X2493" s="93" t="s">
        <v>30</v>
      </c>
      <c r="Y2493" s="93" t="s">
        <v>35</v>
      </c>
      <c r="Z2493" s="134">
        <f>VLOOKUP(W2493,Sheet2!$B:$D,3,FALSE)</f>
        <v>3500</v>
      </c>
      <c r="AA2493" s="93">
        <v>1</v>
      </c>
      <c r="AB2493" s="93">
        <f>AD2493/AC2487</f>
        <v>3500</v>
      </c>
      <c r="AC2493" s="93">
        <f>AC2487/AA2493</f>
        <v>14.975000000000003</v>
      </c>
      <c r="AD2493" s="94">
        <f t="shared" ref="AD2493:AD2494" si="2002">AC2493*Z2493</f>
        <v>52412.500000000015</v>
      </c>
      <c r="AE2493" s="190"/>
      <c r="AF2493" s="191"/>
      <c r="AG2493" s="191"/>
      <c r="AH2493" s="191"/>
      <c r="AI2493" s="186"/>
      <c r="AK2493" s="171"/>
    </row>
    <row r="2494" spans="1:41" s="102" customFormat="1" ht="19.899999999999999" customHeight="1" x14ac:dyDescent="0.25">
      <c r="A2494" s="45"/>
      <c r="B2494" s="59"/>
      <c r="C2494" s="137"/>
      <c r="D2494" s="59"/>
      <c r="E2494" s="116"/>
      <c r="F2494" s="120"/>
      <c r="G2494" s="120"/>
      <c r="H2494" s="120"/>
      <c r="I2494" s="60"/>
      <c r="J2494" s="116"/>
      <c r="K2494" s="213"/>
      <c r="L2494" s="120"/>
      <c r="M2494" s="120"/>
      <c r="N2494" s="167"/>
      <c r="O2494" s="120"/>
      <c r="P2494" s="120"/>
      <c r="Q2494" s="120"/>
      <c r="R2494" s="120"/>
      <c r="S2494" s="120"/>
      <c r="T2494" s="221"/>
      <c r="U2494" s="89"/>
      <c r="V2494" s="61"/>
      <c r="W2494" s="92" t="s">
        <v>174</v>
      </c>
      <c r="X2494" s="93" t="s">
        <v>29</v>
      </c>
      <c r="Y2494" s="93" t="s">
        <v>93</v>
      </c>
      <c r="Z2494" s="134">
        <f>VLOOKUP(W2494,Sheet2!$B:$D,3,FALSE)</f>
        <v>80</v>
      </c>
      <c r="AA2494" s="93">
        <v>4</v>
      </c>
      <c r="AB2494" s="93">
        <f>AD2494/AC2487</f>
        <v>20</v>
      </c>
      <c r="AC2494" s="93">
        <f>AC2487/AA2494</f>
        <v>3.7437500000000008</v>
      </c>
      <c r="AD2494" s="94">
        <f t="shared" si="2002"/>
        <v>299.50000000000006</v>
      </c>
      <c r="AE2494" s="190"/>
      <c r="AF2494" s="191"/>
      <c r="AG2494" s="191"/>
      <c r="AH2494" s="191"/>
      <c r="AI2494" s="186"/>
      <c r="AK2494" s="171"/>
    </row>
    <row r="2495" spans="1:41" s="102" customFormat="1" ht="19.899999999999999" customHeight="1" x14ac:dyDescent="0.25">
      <c r="A2495" s="45"/>
      <c r="B2495" s="59"/>
      <c r="C2495" s="137"/>
      <c r="D2495" s="59"/>
      <c r="E2495" s="116"/>
      <c r="F2495" s="120"/>
      <c r="G2495" s="120"/>
      <c r="H2495" s="120"/>
      <c r="I2495" s="60"/>
      <c r="J2495" s="116"/>
      <c r="K2495" s="213"/>
      <c r="L2495" s="120"/>
      <c r="M2495" s="120"/>
      <c r="N2495" s="167"/>
      <c r="O2495" s="120"/>
      <c r="P2495" s="120"/>
      <c r="Q2495" s="120"/>
      <c r="R2495" s="120"/>
      <c r="S2495" s="120"/>
      <c r="T2495" s="221"/>
      <c r="U2495" s="89"/>
      <c r="V2495" s="61"/>
      <c r="W2495" s="92" t="s">
        <v>65</v>
      </c>
      <c r="X2495" s="93" t="s">
        <v>30</v>
      </c>
      <c r="Y2495" s="93" t="s">
        <v>93</v>
      </c>
      <c r="Z2495" s="134">
        <f>VLOOKUP(W2495,Sheet2!$B:$D,3,FALSE)</f>
        <v>1.76</v>
      </c>
      <c r="AA2495" s="93">
        <f>AA2494/15</f>
        <v>0.26666666666666666</v>
      </c>
      <c r="AB2495" s="93">
        <f>AD2495/AC2487</f>
        <v>6.6</v>
      </c>
      <c r="AC2495" s="93">
        <f>AC2487/AA2495</f>
        <v>56.156250000000014</v>
      </c>
      <c r="AD2495" s="94">
        <f>AC2495*Z2495</f>
        <v>98.835000000000022</v>
      </c>
      <c r="AE2495" s="190"/>
      <c r="AF2495" s="191"/>
      <c r="AG2495" s="191"/>
      <c r="AH2495" s="191"/>
      <c r="AI2495" s="186"/>
      <c r="AK2495" s="171"/>
    </row>
    <row r="2496" spans="1:41" s="102" customFormat="1" ht="19.899999999999999" customHeight="1" x14ac:dyDescent="0.25">
      <c r="A2496" s="45"/>
      <c r="B2496" s="59"/>
      <c r="C2496" s="137"/>
      <c r="D2496" s="59"/>
      <c r="E2496" s="116"/>
      <c r="F2496" s="120"/>
      <c r="G2496" s="120"/>
      <c r="H2496" s="120"/>
      <c r="I2496" s="60"/>
      <c r="J2496" s="116"/>
      <c r="K2496" s="213"/>
      <c r="L2496" s="120"/>
      <c r="M2496" s="120"/>
      <c r="N2496" s="167"/>
      <c r="O2496" s="120"/>
      <c r="P2496" s="120"/>
      <c r="Q2496" s="120"/>
      <c r="R2496" s="120"/>
      <c r="S2496" s="120"/>
      <c r="T2496" s="221"/>
      <c r="U2496" s="89"/>
      <c r="V2496" s="61"/>
      <c r="W2496" s="92" t="s">
        <v>1357</v>
      </c>
      <c r="X2496" s="93" t="s">
        <v>30</v>
      </c>
      <c r="Y2496" s="93" t="s">
        <v>1349</v>
      </c>
      <c r="Z2496" s="134">
        <f>VLOOKUP(W2496,Sheet2!$B:$D,3,FALSE)</f>
        <v>150</v>
      </c>
      <c r="AA2496" s="93">
        <v>1</v>
      </c>
      <c r="AB2496" s="93">
        <f>AD2496/AC2487</f>
        <v>150</v>
      </c>
      <c r="AC2496" s="93">
        <f>AC2487/AA2496</f>
        <v>14.975000000000003</v>
      </c>
      <c r="AD2496" s="94">
        <f>AC2496*Z2496</f>
        <v>2246.2500000000005</v>
      </c>
      <c r="AE2496" s="190"/>
      <c r="AF2496" s="191"/>
      <c r="AG2496" s="191"/>
      <c r="AH2496" s="191"/>
      <c r="AI2496" s="186"/>
      <c r="AK2496" s="171"/>
    </row>
    <row r="2497" spans="1:41" s="102" customFormat="1" ht="19.899999999999999" customHeight="1" x14ac:dyDescent="0.25">
      <c r="A2497" s="45"/>
      <c r="B2497" s="59"/>
      <c r="C2497" s="137"/>
      <c r="D2497" s="59"/>
      <c r="E2497" s="116"/>
      <c r="F2497" s="120"/>
      <c r="G2497" s="120"/>
      <c r="H2497" s="120"/>
      <c r="I2497" s="60"/>
      <c r="J2497" s="116"/>
      <c r="K2497" s="213"/>
      <c r="L2497" s="120"/>
      <c r="M2497" s="120"/>
      <c r="N2497" s="167"/>
      <c r="O2497" s="120"/>
      <c r="P2497" s="120"/>
      <c r="Q2497" s="120"/>
      <c r="R2497" s="120"/>
      <c r="S2497" s="120"/>
      <c r="T2497" s="221"/>
      <c r="U2497" s="89"/>
      <c r="V2497" s="61"/>
      <c r="W2497" s="92" t="s">
        <v>107</v>
      </c>
      <c r="X2497" s="93" t="s">
        <v>31</v>
      </c>
      <c r="Y2497" s="93" t="s">
        <v>93</v>
      </c>
      <c r="Z2497" s="134">
        <f>VLOOKUP(W2497,Sheet2!$B:$D,3,FALSE)</f>
        <v>17</v>
      </c>
      <c r="AA2497" s="93">
        <f>1/5</f>
        <v>0.2</v>
      </c>
      <c r="AB2497" s="93">
        <f>AD2497/AC2487</f>
        <v>85</v>
      </c>
      <c r="AC2497" s="93">
        <f>AC2487/AA2497</f>
        <v>74.875000000000014</v>
      </c>
      <c r="AD2497" s="94">
        <f>AC2497*Z2497</f>
        <v>1272.8750000000002</v>
      </c>
      <c r="AE2497" s="190"/>
      <c r="AF2497" s="191"/>
      <c r="AG2497" s="191"/>
      <c r="AH2497" s="191"/>
      <c r="AI2497" s="186"/>
      <c r="AK2497" s="171"/>
    </row>
    <row r="2498" spans="1:41" s="102" customFormat="1" ht="19.899999999999999" customHeight="1" x14ac:dyDescent="0.25">
      <c r="A2498" s="45"/>
      <c r="B2498" s="59"/>
      <c r="C2498" s="137"/>
      <c r="D2498" s="59"/>
      <c r="E2498" s="116"/>
      <c r="F2498" s="120"/>
      <c r="G2498" s="120"/>
      <c r="H2498" s="120"/>
      <c r="I2498" s="60"/>
      <c r="J2498" s="116"/>
      <c r="K2498" s="213"/>
      <c r="L2498" s="120"/>
      <c r="M2498" s="120"/>
      <c r="N2498" s="167"/>
      <c r="O2498" s="120"/>
      <c r="P2498" s="120"/>
      <c r="Q2498" s="120"/>
      <c r="R2498" s="120"/>
      <c r="S2498" s="120"/>
      <c r="T2498" s="221"/>
      <c r="U2498" s="89"/>
      <c r="V2498" s="61"/>
      <c r="W2498" s="92" t="s">
        <v>112</v>
      </c>
      <c r="X2498" s="93" t="s">
        <v>31</v>
      </c>
      <c r="Y2498" s="93" t="s">
        <v>93</v>
      </c>
      <c r="Z2498" s="134">
        <f>VLOOKUP(W2498,Sheet2!$B:$D,3,FALSE)</f>
        <v>13</v>
      </c>
      <c r="AA2498" s="93">
        <f>AA2497</f>
        <v>0.2</v>
      </c>
      <c r="AB2498" s="93">
        <f>AD2498/AC2487</f>
        <v>65</v>
      </c>
      <c r="AC2498" s="93">
        <f>AC2487/AA2498</f>
        <v>74.875000000000014</v>
      </c>
      <c r="AD2498" s="94">
        <f>AC2498*Z2498</f>
        <v>973.37500000000023</v>
      </c>
      <c r="AE2498" s="190"/>
      <c r="AF2498" s="191"/>
      <c r="AG2498" s="191"/>
      <c r="AH2498" s="191"/>
      <c r="AI2498" s="186"/>
      <c r="AK2498" s="171"/>
    </row>
    <row r="2499" spans="1:41" s="103" customFormat="1" ht="19.899999999999999" customHeight="1" x14ac:dyDescent="0.25">
      <c r="A2499" s="51"/>
      <c r="B2499" s="52"/>
      <c r="C2499" s="165"/>
      <c r="D2499" s="52"/>
      <c r="E2499" s="115"/>
      <c r="F2499" s="58"/>
      <c r="G2499" s="58"/>
      <c r="H2499" s="58"/>
      <c r="I2499" s="55"/>
      <c r="J2499" s="113">
        <f>J2481</f>
        <v>14.975000000000003</v>
      </c>
      <c r="K2499" s="212">
        <f>K2481</f>
        <v>14.975000000000003</v>
      </c>
      <c r="L2499" s="58"/>
      <c r="M2499" s="58">
        <f>K2499-L2499</f>
        <v>14.975000000000003</v>
      </c>
      <c r="N2499" s="166"/>
      <c r="O2499" s="58"/>
      <c r="P2499" s="58"/>
      <c r="Q2499" s="58"/>
      <c r="R2499" s="58"/>
      <c r="S2499" s="58"/>
      <c r="T2499" s="220"/>
      <c r="U2499" s="88"/>
      <c r="V2499" s="56"/>
      <c r="W2499" s="57" t="s">
        <v>1358</v>
      </c>
      <c r="X2499" s="53"/>
      <c r="Y2499" s="91" t="s">
        <v>35</v>
      </c>
      <c r="Z2499" s="136">
        <f>AD2499/AC2499</f>
        <v>2800</v>
      </c>
      <c r="AA2499" s="58"/>
      <c r="AB2499" s="53">
        <f>AD2499/AC2499</f>
        <v>2800</v>
      </c>
      <c r="AC2499" s="53">
        <f>M2499+$AE$10</f>
        <v>14.975000000000003</v>
      </c>
      <c r="AD2499" s="54">
        <f>SUM(AD2500:AD2501)</f>
        <v>41930.000000000007</v>
      </c>
      <c r="AE2499" s="184">
        <f>SUMIFS($AD$37:$AD$12971,$V$37:$V$12971,$V2499,$X$37:$X$12971,AE$13)</f>
        <v>0</v>
      </c>
      <c r="AF2499" s="185">
        <f>SUMIFS($AD$37:$AD$12971,$V$37:$V$12971,$V2499,$X$37:$X$12971,AF$13)</f>
        <v>0</v>
      </c>
      <c r="AG2499" s="185">
        <f>SUMIFS($AD$37:$AD$12971,$V$37:$V$12971,$V2499,$X$37:$X$12971,AG$13)</f>
        <v>0</v>
      </c>
      <c r="AH2499" s="187">
        <f>SUMIFS($AD$37:$AD$12971,$V$37:$V$12971,$V2499,$X$37:$X$12971,AH$13)</f>
        <v>0</v>
      </c>
      <c r="AI2499" s="161">
        <f t="shared" ref="AI2499" si="2003">SUM(AE2499:AH2499)</f>
        <v>0</v>
      </c>
      <c r="AK2499" s="172"/>
    </row>
    <row r="2500" spans="1:41" s="102" customFormat="1" ht="19.899999999999999" customHeight="1" x14ac:dyDescent="0.25">
      <c r="A2500" s="45"/>
      <c r="B2500" s="59"/>
      <c r="C2500" s="137"/>
      <c r="D2500" s="59"/>
      <c r="E2500" s="116"/>
      <c r="F2500" s="120"/>
      <c r="G2500" s="120"/>
      <c r="H2500" s="120"/>
      <c r="I2500" s="60"/>
      <c r="J2500" s="116"/>
      <c r="K2500" s="213"/>
      <c r="L2500" s="120"/>
      <c r="M2500" s="120"/>
      <c r="N2500" s="167"/>
      <c r="O2500" s="120"/>
      <c r="P2500" s="120"/>
      <c r="Q2500" s="120"/>
      <c r="R2500" s="120"/>
      <c r="S2500" s="120"/>
      <c r="T2500" s="221"/>
      <c r="U2500" s="89"/>
      <c r="V2500" s="61"/>
      <c r="W2500" s="92" t="s">
        <v>1359</v>
      </c>
      <c r="X2500" s="93" t="s">
        <v>32</v>
      </c>
      <c r="Y2500" s="93" t="s">
        <v>64</v>
      </c>
      <c r="Z2500" s="134">
        <f>VLOOKUP(W2500,Sheet2!$B:$D,3,FALSE)</f>
        <v>40</v>
      </c>
      <c r="AA2500" s="93">
        <f>1/40</f>
        <v>2.5000000000000001E-2</v>
      </c>
      <c r="AB2500" s="93">
        <f t="shared" ref="AB2500" si="2004">AD2500/AC2499</f>
        <v>1600</v>
      </c>
      <c r="AC2500" s="93">
        <f>AC2499/AA2500</f>
        <v>599.00000000000011</v>
      </c>
      <c r="AD2500" s="94">
        <f t="shared" ref="AD2500:AD2501" si="2005">AC2500*Z2500</f>
        <v>23960.000000000004</v>
      </c>
      <c r="AE2500" s="190"/>
      <c r="AF2500" s="191"/>
      <c r="AG2500" s="191"/>
      <c r="AH2500" s="191"/>
      <c r="AI2500" s="186"/>
      <c r="AK2500" s="171"/>
    </row>
    <row r="2501" spans="1:41" s="102" customFormat="1" ht="19.899999999999999" customHeight="1" x14ac:dyDescent="0.25">
      <c r="A2501" s="45"/>
      <c r="B2501" s="59"/>
      <c r="C2501" s="137"/>
      <c r="D2501" s="59"/>
      <c r="E2501" s="116"/>
      <c r="F2501" s="120"/>
      <c r="G2501" s="120"/>
      <c r="H2501" s="120"/>
      <c r="I2501" s="60"/>
      <c r="J2501" s="116"/>
      <c r="K2501" s="213"/>
      <c r="L2501" s="120"/>
      <c r="M2501" s="120"/>
      <c r="N2501" s="167"/>
      <c r="O2501" s="120"/>
      <c r="P2501" s="120"/>
      <c r="Q2501" s="120"/>
      <c r="R2501" s="120"/>
      <c r="S2501" s="120"/>
      <c r="T2501" s="221"/>
      <c r="U2501" s="89"/>
      <c r="V2501" s="61"/>
      <c r="W2501" s="92" t="s">
        <v>1360</v>
      </c>
      <c r="X2501" s="93" t="s">
        <v>32</v>
      </c>
      <c r="Y2501" s="93" t="s">
        <v>64</v>
      </c>
      <c r="Z2501" s="134">
        <f>VLOOKUP(W2501,Sheet2!$B:$D,3,FALSE)</f>
        <v>30</v>
      </c>
      <c r="AA2501" s="93">
        <f>AA2500</f>
        <v>2.5000000000000001E-2</v>
      </c>
      <c r="AB2501" s="93">
        <f>AD2501/AC2499</f>
        <v>1200</v>
      </c>
      <c r="AC2501" s="93">
        <f>AC2499/AA2501</f>
        <v>599.00000000000011</v>
      </c>
      <c r="AD2501" s="94">
        <f t="shared" si="2005"/>
        <v>17970.000000000004</v>
      </c>
      <c r="AE2501" s="190"/>
      <c r="AF2501" s="191"/>
      <c r="AG2501" s="191"/>
      <c r="AH2501" s="191"/>
      <c r="AI2501" s="186"/>
      <c r="AK2501" s="171"/>
    </row>
    <row r="2502" spans="1:41" s="103" customFormat="1" ht="19.899999999999999" customHeight="1" x14ac:dyDescent="0.25">
      <c r="A2502" s="51"/>
      <c r="B2502" s="52"/>
      <c r="C2502" s="165"/>
      <c r="D2502" s="52"/>
      <c r="E2502" s="115"/>
      <c r="F2502" s="58"/>
      <c r="G2502" s="58"/>
      <c r="H2502" s="58"/>
      <c r="I2502" s="55"/>
      <c r="J2502" s="113">
        <f>J2481</f>
        <v>14.975000000000003</v>
      </c>
      <c r="K2502" s="212">
        <f>K2481</f>
        <v>14.975000000000003</v>
      </c>
      <c r="L2502" s="58"/>
      <c r="M2502" s="58">
        <f>K2502-L2502</f>
        <v>14.975000000000003</v>
      </c>
      <c r="N2502" s="166"/>
      <c r="O2502" s="58"/>
      <c r="P2502" s="58"/>
      <c r="Q2502" s="58"/>
      <c r="R2502" s="58"/>
      <c r="S2502" s="58"/>
      <c r="T2502" s="220"/>
      <c r="U2502" s="88"/>
      <c r="V2502" s="56"/>
      <c r="W2502" s="57" t="s">
        <v>1272</v>
      </c>
      <c r="X2502" s="53"/>
      <c r="Y2502" s="91" t="s">
        <v>35</v>
      </c>
      <c r="Z2502" s="136">
        <f>AD2502/AC2502</f>
        <v>209.08263529411767</v>
      </c>
      <c r="AA2502" s="58"/>
      <c r="AB2502" s="53">
        <f>AD2502/AC2502</f>
        <v>209.08263529411767</v>
      </c>
      <c r="AC2502" s="53">
        <f>M2502+$AE$10</f>
        <v>14.975000000000003</v>
      </c>
      <c r="AD2502" s="54">
        <f>SUM(AD2503:AD2511)</f>
        <v>3131.0124635294128</v>
      </c>
      <c r="AE2502" s="184">
        <f>SUMIFS($AD$37:$AD$12971,$V$37:$V$12971,$V2502,$X$37:$X$12971,AE$13)</f>
        <v>0</v>
      </c>
      <c r="AF2502" s="185">
        <f>SUMIFS($AD$37:$AD$12971,$V$37:$V$12971,$V2502,$X$37:$X$12971,AF$13)</f>
        <v>0</v>
      </c>
      <c r="AG2502" s="185">
        <f>SUMIFS($AD$37:$AD$12971,$V$37:$V$12971,$V2502,$X$37:$X$12971,AG$13)</f>
        <v>0</v>
      </c>
      <c r="AH2502" s="187">
        <f>SUMIFS($AD$37:$AD$12971,$V$37:$V$12971,$V2502,$X$37:$X$12971,AH$13)</f>
        <v>0</v>
      </c>
      <c r="AI2502" s="161">
        <f t="shared" ref="AI2502" si="2006">SUM(AE2502:AH2502)</f>
        <v>0</v>
      </c>
      <c r="AK2502" s="172"/>
    </row>
    <row r="2503" spans="1:41" s="102" customFormat="1" ht="19.899999999999999" customHeight="1" x14ac:dyDescent="0.25">
      <c r="A2503" s="45"/>
      <c r="B2503" s="59"/>
      <c r="C2503" s="137"/>
      <c r="D2503" s="59"/>
      <c r="E2503" s="116"/>
      <c r="F2503" s="120"/>
      <c r="G2503" s="120"/>
      <c r="H2503" s="120"/>
      <c r="I2503" s="60"/>
      <c r="J2503" s="116"/>
      <c r="K2503" s="213"/>
      <c r="L2503" s="120"/>
      <c r="M2503" s="120"/>
      <c r="N2503" s="167"/>
      <c r="O2503" s="120"/>
      <c r="P2503" s="120"/>
      <c r="Q2503" s="120"/>
      <c r="R2503" s="120"/>
      <c r="S2503" s="120"/>
      <c r="T2503" s="221"/>
      <c r="U2503" s="89"/>
      <c r="V2503" s="61"/>
      <c r="W2503" s="92" t="s">
        <v>1273</v>
      </c>
      <c r="X2503" s="93" t="s">
        <v>30</v>
      </c>
      <c r="Y2503" s="93" t="s">
        <v>66</v>
      </c>
      <c r="Z2503" s="134">
        <f>VLOOKUP(W2503,Sheet2!$B:$D,3,FALSE)</f>
        <v>10</v>
      </c>
      <c r="AA2503" s="93">
        <f>1/(2.5*2.4*0.5*4)</f>
        <v>8.3333333333333329E-2</v>
      </c>
      <c r="AB2503" s="93">
        <f>AD2503/AC2502</f>
        <v>120</v>
      </c>
      <c r="AC2503" s="93">
        <f>AC2502/AA2503</f>
        <v>179.70000000000005</v>
      </c>
      <c r="AD2503" s="94">
        <f t="shared" ref="AD2503:AD2505" si="2007">AC2503*Z2503</f>
        <v>1797.0000000000005</v>
      </c>
      <c r="AE2503" s="190"/>
      <c r="AF2503" s="191"/>
      <c r="AG2503" s="191"/>
      <c r="AH2503" s="191"/>
      <c r="AI2503" s="186"/>
      <c r="AK2503" s="171"/>
    </row>
    <row r="2504" spans="1:41" s="102" customFormat="1" ht="19.899999999999999" customHeight="1" x14ac:dyDescent="0.25">
      <c r="A2504" s="45"/>
      <c r="B2504" s="59"/>
      <c r="C2504" s="137"/>
      <c r="D2504" s="59"/>
      <c r="E2504" s="116"/>
      <c r="F2504" s="120"/>
      <c r="G2504" s="120"/>
      <c r="H2504" s="120"/>
      <c r="I2504" s="60"/>
      <c r="J2504" s="116"/>
      <c r="K2504" s="213"/>
      <c r="L2504" s="120"/>
      <c r="M2504" s="120"/>
      <c r="N2504" s="167"/>
      <c r="O2504" s="120"/>
      <c r="P2504" s="120"/>
      <c r="Q2504" s="120"/>
      <c r="R2504" s="120"/>
      <c r="S2504" s="120"/>
      <c r="T2504" s="221"/>
      <c r="U2504" s="89"/>
      <c r="V2504" s="61"/>
      <c r="W2504" s="92" t="s">
        <v>134</v>
      </c>
      <c r="X2504" s="93" t="s">
        <v>29</v>
      </c>
      <c r="Y2504" s="93" t="s">
        <v>93</v>
      </c>
      <c r="Z2504" s="134">
        <f>VLOOKUP(W2504,Sheet2!$B:$D,3,FALSE)</f>
        <v>65.599999999999994</v>
      </c>
      <c r="AA2504" s="93">
        <f>100/(2.5*2.4*0.5*4)</f>
        <v>8.3333333333333339</v>
      </c>
      <c r="AB2504" s="93">
        <f t="shared" ref="AB2504" si="2008">AD2504/AC2502</f>
        <v>7.8719999999999981</v>
      </c>
      <c r="AC2504" s="93">
        <f>AC2502/AA2504</f>
        <v>1.7970000000000002</v>
      </c>
      <c r="AD2504" s="94">
        <f t="shared" si="2007"/>
        <v>117.8832</v>
      </c>
      <c r="AE2504" s="190"/>
      <c r="AF2504" s="191"/>
      <c r="AG2504" s="191"/>
      <c r="AH2504" s="191"/>
      <c r="AI2504" s="186"/>
      <c r="AK2504" s="171"/>
    </row>
    <row r="2505" spans="1:41" s="102" customFormat="1" ht="19.899999999999999" customHeight="1" x14ac:dyDescent="0.25">
      <c r="A2505" s="45"/>
      <c r="B2505" s="59"/>
      <c r="C2505" s="137"/>
      <c r="D2505" s="59"/>
      <c r="E2505" s="116"/>
      <c r="F2505" s="120"/>
      <c r="G2505" s="120"/>
      <c r="H2505" s="120"/>
      <c r="I2505" s="60"/>
      <c r="J2505" s="116"/>
      <c r="K2505" s="213"/>
      <c r="L2505" s="120"/>
      <c r="M2505" s="120"/>
      <c r="N2505" s="167"/>
      <c r="O2505" s="120"/>
      <c r="P2505" s="120"/>
      <c r="Q2505" s="120"/>
      <c r="R2505" s="120"/>
      <c r="S2505" s="120"/>
      <c r="T2505" s="221"/>
      <c r="U2505" s="89"/>
      <c r="V2505" s="61"/>
      <c r="W2505" s="92" t="s">
        <v>65</v>
      </c>
      <c r="X2505" s="93" t="s">
        <v>30</v>
      </c>
      <c r="Y2505" s="93" t="s">
        <v>1011</v>
      </c>
      <c r="Z2505" s="134">
        <f>VLOOKUP(W2505,Sheet2!$B:$D,3,FALSE)</f>
        <v>1.76</v>
      </c>
      <c r="AA2505" s="93">
        <f>AA2504/9</f>
        <v>0.92592592592592604</v>
      </c>
      <c r="AB2505" s="93">
        <f>AD2505/AC2502</f>
        <v>1.9007999999999998</v>
      </c>
      <c r="AC2505" s="93">
        <f>AC2502/AA2505</f>
        <v>16.173000000000002</v>
      </c>
      <c r="AD2505" s="94">
        <f t="shared" si="2007"/>
        <v>28.464480000000002</v>
      </c>
      <c r="AE2505" s="190"/>
      <c r="AF2505" s="191"/>
      <c r="AG2505" s="191"/>
      <c r="AH2505" s="191"/>
      <c r="AI2505" s="186"/>
      <c r="AK2505" s="171"/>
    </row>
    <row r="2506" spans="1:41" s="102" customFormat="1" ht="19.899999999999999" customHeight="1" x14ac:dyDescent="0.25">
      <c r="A2506" s="45"/>
      <c r="B2506" s="59"/>
      <c r="C2506" s="137"/>
      <c r="D2506" s="59"/>
      <c r="E2506" s="116"/>
      <c r="F2506" s="120"/>
      <c r="G2506" s="120"/>
      <c r="H2506" s="120"/>
      <c r="I2506" s="60"/>
      <c r="J2506" s="116"/>
      <c r="K2506" s="213"/>
      <c r="L2506" s="120"/>
      <c r="M2506" s="120"/>
      <c r="N2506" s="167"/>
      <c r="O2506" s="120"/>
      <c r="P2506" s="120"/>
      <c r="Q2506" s="120"/>
      <c r="R2506" s="120"/>
      <c r="S2506" s="120"/>
      <c r="T2506" s="221"/>
      <c r="U2506" s="89"/>
      <c r="V2506" s="61"/>
      <c r="W2506" s="92" t="s">
        <v>161</v>
      </c>
      <c r="X2506" s="93" t="s">
        <v>29</v>
      </c>
      <c r="Y2506" s="93" t="s">
        <v>93</v>
      </c>
      <c r="Z2506" s="134">
        <f>VLOOKUP(W2506,Sheet2!$B:$D,3,FALSE)</f>
        <v>48</v>
      </c>
      <c r="AA2506" s="93">
        <f>(16*0.85*1.5)/(2.5*2.4*0.5*4)</f>
        <v>1.7</v>
      </c>
      <c r="AB2506" s="93">
        <f>AD2506/AC2502</f>
        <v>28.235294117647054</v>
      </c>
      <c r="AC2506" s="93">
        <f>AC2502/AA2506</f>
        <v>8.8088235294117663</v>
      </c>
      <c r="AD2506" s="94">
        <f>AC2506*Z2506</f>
        <v>422.82352941176475</v>
      </c>
      <c r="AE2506" s="190"/>
      <c r="AF2506" s="191"/>
      <c r="AG2506" s="191"/>
      <c r="AH2506" s="191"/>
      <c r="AI2506" s="186"/>
      <c r="AK2506" s="171"/>
    </row>
    <row r="2507" spans="1:41" s="102" customFormat="1" ht="19.899999999999999" customHeight="1" x14ac:dyDescent="0.25">
      <c r="A2507" s="45"/>
      <c r="B2507" s="59"/>
      <c r="C2507" s="137"/>
      <c r="D2507" s="59"/>
      <c r="E2507" s="116"/>
      <c r="F2507" s="120"/>
      <c r="G2507" s="120"/>
      <c r="H2507" s="120"/>
      <c r="I2507" s="60"/>
      <c r="J2507" s="116"/>
      <c r="K2507" s="213"/>
      <c r="L2507" s="120"/>
      <c r="M2507" s="120"/>
      <c r="N2507" s="167"/>
      <c r="O2507" s="120"/>
      <c r="P2507" s="120"/>
      <c r="Q2507" s="120"/>
      <c r="R2507" s="120"/>
      <c r="S2507" s="120"/>
      <c r="T2507" s="221"/>
      <c r="U2507" s="89"/>
      <c r="V2507" s="61"/>
      <c r="W2507" s="92" t="s">
        <v>65</v>
      </c>
      <c r="X2507" s="93" t="s">
        <v>30</v>
      </c>
      <c r="Y2507" s="93" t="s">
        <v>1011</v>
      </c>
      <c r="Z2507" s="134">
        <f>VLOOKUP(W2507,Sheet2!$B:$D,3,FALSE)</f>
        <v>1.76</v>
      </c>
      <c r="AA2507" s="93">
        <f>AA2506/10</f>
        <v>0.16999999999999998</v>
      </c>
      <c r="AB2507" s="93">
        <f>AD2507/AC2502</f>
        <v>10.352941176470589</v>
      </c>
      <c r="AC2507" s="93">
        <f>AC2502/AA2507</f>
        <v>88.08823529411768</v>
      </c>
      <c r="AD2507" s="94">
        <f>AC2507*Z2507</f>
        <v>155.03529411764711</v>
      </c>
      <c r="AE2507" s="190"/>
      <c r="AF2507" s="191"/>
      <c r="AG2507" s="191"/>
      <c r="AH2507" s="191"/>
      <c r="AI2507" s="186"/>
      <c r="AK2507" s="171"/>
    </row>
    <row r="2508" spans="1:41" s="102" customFormat="1" ht="19.899999999999999" customHeight="1" x14ac:dyDescent="0.25">
      <c r="A2508" s="45"/>
      <c r="B2508" s="59"/>
      <c r="C2508" s="137"/>
      <c r="D2508" s="59"/>
      <c r="E2508" s="116"/>
      <c r="F2508" s="120"/>
      <c r="G2508" s="120"/>
      <c r="H2508" s="120"/>
      <c r="I2508" s="60"/>
      <c r="J2508" s="116"/>
      <c r="K2508" s="213"/>
      <c r="L2508" s="120"/>
      <c r="M2508" s="120"/>
      <c r="N2508" s="167"/>
      <c r="O2508" s="120"/>
      <c r="P2508" s="120"/>
      <c r="Q2508" s="120"/>
      <c r="R2508" s="120"/>
      <c r="S2508" s="120"/>
      <c r="T2508" s="221"/>
      <c r="U2508" s="89"/>
      <c r="V2508" s="61"/>
      <c r="W2508" s="92" t="s">
        <v>173</v>
      </c>
      <c r="X2508" s="93" t="s">
        <v>29</v>
      </c>
      <c r="Y2508" s="93" t="s">
        <v>93</v>
      </c>
      <c r="Z2508" s="134">
        <f>VLOOKUP(W2508,Sheet2!$B:$D,3,FALSE)</f>
        <v>36</v>
      </c>
      <c r="AA2508" s="93">
        <f>50/(2.5*2.4*0.5*4)</f>
        <v>4.166666666666667</v>
      </c>
      <c r="AB2508" s="93">
        <f>AD2508/AC2502</f>
        <v>8.6399999999999988</v>
      </c>
      <c r="AC2508" s="93">
        <f>AC2502/AA2508</f>
        <v>3.5940000000000003</v>
      </c>
      <c r="AD2508" s="94">
        <f>AC2508*Z2508</f>
        <v>129.38400000000001</v>
      </c>
      <c r="AE2508" s="190"/>
      <c r="AF2508" s="191"/>
      <c r="AG2508" s="191"/>
      <c r="AH2508" s="191"/>
      <c r="AI2508" s="186"/>
      <c r="AK2508" s="171"/>
    </row>
    <row r="2509" spans="1:41" s="102" customFormat="1" ht="19.899999999999999" customHeight="1" x14ac:dyDescent="0.25">
      <c r="A2509" s="45"/>
      <c r="B2509" s="59"/>
      <c r="C2509" s="137"/>
      <c r="D2509" s="59"/>
      <c r="E2509" s="116"/>
      <c r="F2509" s="120"/>
      <c r="G2509" s="120"/>
      <c r="H2509" s="120"/>
      <c r="I2509" s="60"/>
      <c r="J2509" s="116"/>
      <c r="K2509" s="213"/>
      <c r="L2509" s="120"/>
      <c r="M2509" s="120"/>
      <c r="N2509" s="167"/>
      <c r="O2509" s="120"/>
      <c r="P2509" s="120"/>
      <c r="Q2509" s="120"/>
      <c r="R2509" s="120"/>
      <c r="S2509" s="120"/>
      <c r="T2509" s="221"/>
      <c r="U2509" s="89"/>
      <c r="V2509" s="61"/>
      <c r="W2509" s="92" t="s">
        <v>65</v>
      </c>
      <c r="X2509" s="93" t="s">
        <v>30</v>
      </c>
      <c r="Y2509" s="93" t="s">
        <v>1011</v>
      </c>
      <c r="Z2509" s="134">
        <f>VLOOKUP(W2509,Sheet2!$B:$D,3,FALSE)</f>
        <v>1.76</v>
      </c>
      <c r="AA2509" s="93">
        <f>AA2508/9</f>
        <v>0.46296296296296302</v>
      </c>
      <c r="AB2509" s="93">
        <f>AD2509/AC2502</f>
        <v>3.8015999999999996</v>
      </c>
      <c r="AC2509" s="93">
        <f>AC2502/AA2509</f>
        <v>32.346000000000004</v>
      </c>
      <c r="AD2509" s="94">
        <f>AC2509*Z2509</f>
        <v>56.928960000000004</v>
      </c>
      <c r="AE2509" s="190"/>
      <c r="AF2509" s="191"/>
      <c r="AG2509" s="191"/>
      <c r="AH2509" s="191"/>
      <c r="AI2509" s="186"/>
      <c r="AK2509" s="171"/>
    </row>
    <row r="2510" spans="1:41" s="102" customFormat="1" ht="19.899999999999999" customHeight="1" x14ac:dyDescent="0.25">
      <c r="A2510" s="45"/>
      <c r="B2510" s="59"/>
      <c r="C2510" s="137"/>
      <c r="D2510" s="59"/>
      <c r="E2510" s="116"/>
      <c r="F2510" s="120"/>
      <c r="G2510" s="120"/>
      <c r="H2510" s="120"/>
      <c r="I2510" s="60"/>
      <c r="J2510" s="116"/>
      <c r="K2510" s="213"/>
      <c r="L2510" s="120"/>
      <c r="M2510" s="120"/>
      <c r="N2510" s="167"/>
      <c r="O2510" s="120"/>
      <c r="P2510" s="120"/>
      <c r="Q2510" s="120"/>
      <c r="R2510" s="120"/>
      <c r="S2510" s="120"/>
      <c r="T2510" s="221"/>
      <c r="U2510" s="89"/>
      <c r="V2510" s="61"/>
      <c r="W2510" s="92" t="s">
        <v>1030</v>
      </c>
      <c r="X2510" s="93" t="s">
        <v>29</v>
      </c>
      <c r="Y2510" s="93" t="s">
        <v>93</v>
      </c>
      <c r="Z2510" s="134">
        <f>VLOOKUP(W2510,Sheet2!$B:$D,3,FALSE)</f>
        <v>23</v>
      </c>
      <c r="AA2510" s="93">
        <v>1</v>
      </c>
      <c r="AB2510" s="93">
        <f>AD2510/AC2502</f>
        <v>23</v>
      </c>
      <c r="AC2510" s="93">
        <f>AC2502/AA2510</f>
        <v>14.975000000000003</v>
      </c>
      <c r="AD2510" s="94">
        <f t="shared" ref="AD2510:AD2511" si="2009">AC2510*Z2510</f>
        <v>344.42500000000007</v>
      </c>
      <c r="AE2510" s="190"/>
      <c r="AF2510" s="191"/>
      <c r="AG2510" s="191"/>
      <c r="AH2510" s="191"/>
      <c r="AI2510" s="186"/>
      <c r="AK2510" s="171"/>
    </row>
    <row r="2511" spans="1:41" s="102" customFormat="1" ht="19.899999999999999" customHeight="1" x14ac:dyDescent="0.25">
      <c r="A2511" s="45"/>
      <c r="B2511" s="59"/>
      <c r="C2511" s="137"/>
      <c r="D2511" s="59"/>
      <c r="E2511" s="116"/>
      <c r="F2511" s="120"/>
      <c r="G2511" s="120"/>
      <c r="H2511" s="120"/>
      <c r="I2511" s="60"/>
      <c r="J2511" s="116"/>
      <c r="K2511" s="213"/>
      <c r="L2511" s="120"/>
      <c r="M2511" s="120"/>
      <c r="N2511" s="167"/>
      <c r="O2511" s="120"/>
      <c r="P2511" s="120"/>
      <c r="Q2511" s="120"/>
      <c r="R2511" s="120"/>
      <c r="S2511" s="120"/>
      <c r="T2511" s="221"/>
      <c r="U2511" s="89"/>
      <c r="V2511" s="61"/>
      <c r="W2511" s="92" t="s">
        <v>65</v>
      </c>
      <c r="X2511" s="93" t="s">
        <v>30</v>
      </c>
      <c r="Y2511" s="93" t="s">
        <v>1011</v>
      </c>
      <c r="Z2511" s="134">
        <f>VLOOKUP(W2511,Sheet2!$B:$D,3,FALSE)</f>
        <v>1.76</v>
      </c>
      <c r="AA2511" s="93">
        <f>AA2510/3</f>
        <v>0.33333333333333331</v>
      </c>
      <c r="AB2511" s="93">
        <f>AD2511/AC2502</f>
        <v>5.28</v>
      </c>
      <c r="AC2511" s="93">
        <f>AC2502/AA2511</f>
        <v>44.925000000000011</v>
      </c>
      <c r="AD2511" s="94">
        <f t="shared" si="2009"/>
        <v>79.068000000000026</v>
      </c>
      <c r="AE2511" s="190"/>
      <c r="AF2511" s="191"/>
      <c r="AG2511" s="191"/>
      <c r="AH2511" s="191"/>
      <c r="AI2511" s="186"/>
      <c r="AK2511" s="171"/>
    </row>
    <row r="2512" spans="1:41" ht="25.5" x14ac:dyDescent="0.25">
      <c r="A2512" s="277" t="s">
        <v>410</v>
      </c>
      <c r="B2512" s="278"/>
      <c r="C2512" s="64" t="s">
        <v>1461</v>
      </c>
      <c r="D2512" s="46" t="s">
        <v>215</v>
      </c>
      <c r="E2512" s="114">
        <v>5.120000000000001</v>
      </c>
      <c r="F2512" s="44">
        <v>30966</v>
      </c>
      <c r="G2512" s="44">
        <f t="shared" si="1977"/>
        <v>158545.92000000004</v>
      </c>
      <c r="H2512" s="44">
        <f t="shared" si="1978"/>
        <v>16017.712784313724</v>
      </c>
      <c r="I2512" s="43">
        <f t="shared" si="1979"/>
        <v>82010.689455686283</v>
      </c>
      <c r="J2512" s="112">
        <f t="shared" si="1980"/>
        <v>5.120000000000001</v>
      </c>
      <c r="K2512" s="211">
        <f t="shared" si="1981"/>
        <v>5.120000000000001</v>
      </c>
      <c r="L2512" s="44"/>
      <c r="M2512" s="44">
        <f t="shared" si="1982"/>
        <v>5.120000000000001</v>
      </c>
      <c r="N2512" s="173">
        <f t="shared" si="1983"/>
        <v>1</v>
      </c>
      <c r="O2512" s="44">
        <f t="shared" si="1984"/>
        <v>30966</v>
      </c>
      <c r="P2512" s="44">
        <f t="shared" si="1985"/>
        <v>158545.92000000004</v>
      </c>
      <c r="Q2512" s="44">
        <f t="shared" si="1986"/>
        <v>16017.712784313724</v>
      </c>
      <c r="R2512" s="44">
        <f t="shared" si="1987"/>
        <v>82010.689455686283</v>
      </c>
      <c r="S2512" s="123"/>
      <c r="T2512" s="219">
        <f t="shared" si="1988"/>
        <v>82010.689455686283</v>
      </c>
      <c r="U2512" s="87"/>
      <c r="V2512" s="47"/>
      <c r="W2512" s="48"/>
      <c r="X2512" s="48"/>
      <c r="Y2512" s="48"/>
      <c r="Z2512" s="135"/>
      <c r="AA2512" s="49"/>
      <c r="AB2512" s="50">
        <f t="shared" si="1989"/>
        <v>16017.712784313724</v>
      </c>
      <c r="AC2512" s="42">
        <f t="shared" si="1990"/>
        <v>5.120000000000001</v>
      </c>
      <c r="AD2512" s="90">
        <f>AD2513+AD2518+AD2530+AD2533</f>
        <v>82010.689455686283</v>
      </c>
      <c r="AE2512" s="188">
        <f t="shared" ref="AE2512" si="2010">AE2513+AE2518+AE2530+AE2533</f>
        <v>0</v>
      </c>
      <c r="AF2512" s="189">
        <f t="shared" ref="AF2512" si="2011">AF2513+AF2518+AF2530+AF2533</f>
        <v>0</v>
      </c>
      <c r="AG2512" s="189">
        <f t="shared" ref="AG2512" si="2012">AG2513+AG2518+AG2530+AG2533</f>
        <v>0</v>
      </c>
      <c r="AH2512" s="189">
        <f t="shared" ref="AH2512" si="2013">AH2513+AH2518+AH2530+AH2533</f>
        <v>0</v>
      </c>
      <c r="AI2512" s="161">
        <f t="shared" ref="AI2512" si="2014">SUM(AE2512:AH2512)</f>
        <v>0</v>
      </c>
      <c r="AK2512" s="169">
        <v>5</v>
      </c>
      <c r="AO2512" s="19" t="s">
        <v>63</v>
      </c>
    </row>
    <row r="2513" spans="1:37" s="103" customFormat="1" ht="19.899999999999999" customHeight="1" x14ac:dyDescent="0.25">
      <c r="A2513" s="51"/>
      <c r="B2513" s="52"/>
      <c r="C2513" s="165"/>
      <c r="D2513" s="52"/>
      <c r="E2513" s="115"/>
      <c r="F2513" s="58"/>
      <c r="G2513" s="58"/>
      <c r="H2513" s="58"/>
      <c r="I2513" s="55"/>
      <c r="J2513" s="113">
        <f>J2512</f>
        <v>5.120000000000001</v>
      </c>
      <c r="K2513" s="212">
        <f>K2512</f>
        <v>5.120000000000001</v>
      </c>
      <c r="L2513" s="58"/>
      <c r="M2513" s="58">
        <f>K2513-L2513</f>
        <v>5.120000000000001</v>
      </c>
      <c r="N2513" s="166"/>
      <c r="O2513" s="58"/>
      <c r="P2513" s="58"/>
      <c r="Q2513" s="58"/>
      <c r="R2513" s="58"/>
      <c r="S2513" s="58"/>
      <c r="T2513" s="220"/>
      <c r="U2513" s="88"/>
      <c r="V2513" s="56"/>
      <c r="W2513" s="57" t="s">
        <v>1462</v>
      </c>
      <c r="X2513" s="53"/>
      <c r="Y2513" s="91" t="s">
        <v>35</v>
      </c>
      <c r="Z2513" s="136">
        <f>AD2513/AC2513</f>
        <v>126.69571764705883</v>
      </c>
      <c r="AA2513" s="58"/>
      <c r="AB2513" s="53">
        <f>AD2513/AC2513</f>
        <v>126.69571764705883</v>
      </c>
      <c r="AC2513" s="53">
        <f>M2513+$AE$10</f>
        <v>5.120000000000001</v>
      </c>
      <c r="AD2513" s="54">
        <f>SUM(AD2514:AD2517)</f>
        <v>648.6820743529413</v>
      </c>
      <c r="AE2513" s="184">
        <f>SUMIFS($AD$37:$AD$12971,$V$37:$V$12971,$V2513,$X$37:$X$12971,AE$13)</f>
        <v>0</v>
      </c>
      <c r="AF2513" s="185">
        <f>SUMIFS($AD$37:$AD$12971,$V$37:$V$12971,$V2513,$X$37:$X$12971,AF$13)</f>
        <v>0</v>
      </c>
      <c r="AG2513" s="185">
        <f>SUMIFS($AD$37:$AD$12971,$V$37:$V$12971,$V2513,$X$37:$X$12971,AG$13)</f>
        <v>0</v>
      </c>
      <c r="AH2513" s="187">
        <f>SUMIFS($AD$37:$AD$12971,$V$37:$V$12971,$V2513,$X$37:$X$12971,AH$13)</f>
        <v>0</v>
      </c>
      <c r="AI2513" s="161">
        <f t="shared" ref="AI2513" si="2015">SUM(AE2513:AH2513)</f>
        <v>0</v>
      </c>
      <c r="AK2513" s="172"/>
    </row>
    <row r="2514" spans="1:37" s="102" customFormat="1" ht="19.899999999999999" customHeight="1" x14ac:dyDescent="0.25">
      <c r="A2514" s="45"/>
      <c r="B2514" s="59"/>
      <c r="C2514" s="137"/>
      <c r="D2514" s="59"/>
      <c r="E2514" s="116"/>
      <c r="F2514" s="120"/>
      <c r="G2514" s="120"/>
      <c r="H2514" s="120"/>
      <c r="I2514" s="60"/>
      <c r="J2514" s="116"/>
      <c r="K2514" s="213"/>
      <c r="L2514" s="120"/>
      <c r="M2514" s="120"/>
      <c r="N2514" s="167"/>
      <c r="O2514" s="120"/>
      <c r="P2514" s="120"/>
      <c r="Q2514" s="120"/>
      <c r="R2514" s="120"/>
      <c r="S2514" s="120"/>
      <c r="T2514" s="221"/>
      <c r="U2514" s="89"/>
      <c r="V2514" s="61"/>
      <c r="W2514" s="92" t="s">
        <v>129</v>
      </c>
      <c r="X2514" s="93" t="s">
        <v>29</v>
      </c>
      <c r="Y2514" s="93" t="s">
        <v>93</v>
      </c>
      <c r="Z2514" s="134">
        <f>VLOOKUP(W2514,Sheet2!$B:$D,3,FALSE)</f>
        <v>56</v>
      </c>
      <c r="AA2514" s="93">
        <f>100/(3*3*3.5)</f>
        <v>3.1746031746031744</v>
      </c>
      <c r="AB2514" s="93">
        <f t="shared" ref="AB2514" si="2016">AD2514/AC2513</f>
        <v>17.64</v>
      </c>
      <c r="AC2514" s="93">
        <f>AC2513/AA2514</f>
        <v>1.6128000000000005</v>
      </c>
      <c r="AD2514" s="94">
        <f t="shared" ref="AD2514:AD2515" si="2017">AC2514*Z2514</f>
        <v>90.316800000000029</v>
      </c>
      <c r="AE2514" s="190"/>
      <c r="AF2514" s="191"/>
      <c r="AG2514" s="191"/>
      <c r="AH2514" s="191"/>
      <c r="AI2514" s="186"/>
      <c r="AK2514" s="171"/>
    </row>
    <row r="2515" spans="1:37" s="102" customFormat="1" ht="19.899999999999999" customHeight="1" x14ac:dyDescent="0.25">
      <c r="A2515" s="45"/>
      <c r="B2515" s="59"/>
      <c r="C2515" s="137"/>
      <c r="D2515" s="59"/>
      <c r="E2515" s="116"/>
      <c r="F2515" s="120"/>
      <c r="G2515" s="120"/>
      <c r="H2515" s="120"/>
      <c r="I2515" s="60"/>
      <c r="J2515" s="116"/>
      <c r="K2515" s="213"/>
      <c r="L2515" s="120"/>
      <c r="M2515" s="120"/>
      <c r="N2515" s="167"/>
      <c r="O2515" s="120"/>
      <c r="P2515" s="120"/>
      <c r="Q2515" s="120"/>
      <c r="R2515" s="120"/>
      <c r="S2515" s="120"/>
      <c r="T2515" s="221"/>
      <c r="U2515" s="89"/>
      <c r="V2515" s="61"/>
      <c r="W2515" s="92" t="s">
        <v>65</v>
      </c>
      <c r="X2515" s="93" t="s">
        <v>30</v>
      </c>
      <c r="Y2515" s="93" t="s">
        <v>1011</v>
      </c>
      <c r="Z2515" s="134">
        <f>VLOOKUP(W2515,Sheet2!$B:$D,3,FALSE)</f>
        <v>1.76</v>
      </c>
      <c r="AA2515" s="93">
        <f>AA2514/14</f>
        <v>0.22675736961451246</v>
      </c>
      <c r="AB2515" s="93">
        <f>AD2515/AC2513</f>
        <v>7.7616000000000014</v>
      </c>
      <c r="AC2515" s="93">
        <f>AC2513/AA2515</f>
        <v>22.579200000000007</v>
      </c>
      <c r="AD2515" s="94">
        <f t="shared" si="2017"/>
        <v>39.739392000000016</v>
      </c>
      <c r="AE2515" s="190"/>
      <c r="AF2515" s="191"/>
      <c r="AG2515" s="191"/>
      <c r="AH2515" s="191"/>
      <c r="AI2515" s="186"/>
      <c r="AK2515" s="171"/>
    </row>
    <row r="2516" spans="1:37" s="102" customFormat="1" ht="19.899999999999999" customHeight="1" x14ac:dyDescent="0.25">
      <c r="A2516" s="45"/>
      <c r="B2516" s="59"/>
      <c r="C2516" s="137"/>
      <c r="D2516" s="59"/>
      <c r="E2516" s="116"/>
      <c r="F2516" s="120"/>
      <c r="G2516" s="120"/>
      <c r="H2516" s="120"/>
      <c r="I2516" s="60"/>
      <c r="J2516" s="116"/>
      <c r="K2516" s="213"/>
      <c r="L2516" s="120"/>
      <c r="M2516" s="120"/>
      <c r="N2516" s="167"/>
      <c r="O2516" s="120"/>
      <c r="P2516" s="120"/>
      <c r="Q2516" s="120"/>
      <c r="R2516" s="120"/>
      <c r="S2516" s="120"/>
      <c r="T2516" s="221"/>
      <c r="U2516" s="89"/>
      <c r="V2516" s="61"/>
      <c r="W2516" s="92" t="s">
        <v>161</v>
      </c>
      <c r="X2516" s="93" t="s">
        <v>29</v>
      </c>
      <c r="Y2516" s="93" t="s">
        <v>93</v>
      </c>
      <c r="Z2516" s="134">
        <f>VLOOKUP(W2516,Sheet2!$B:$D,3,FALSE)</f>
        <v>48</v>
      </c>
      <c r="AA2516" s="93">
        <f>(16*0.85*1.5)/(3*3*3.5)</f>
        <v>0.64761904761904754</v>
      </c>
      <c r="AB2516" s="93">
        <f>AD2516/AC2513</f>
        <v>74.117647058823536</v>
      </c>
      <c r="AC2516" s="93">
        <f>AC2513/AA2516</f>
        <v>7.9058823529411786</v>
      </c>
      <c r="AD2516" s="94">
        <f>AC2516*Z2516</f>
        <v>379.4823529411766</v>
      </c>
      <c r="AE2516" s="190"/>
      <c r="AF2516" s="191"/>
      <c r="AG2516" s="191"/>
      <c r="AH2516" s="191"/>
      <c r="AI2516" s="186"/>
      <c r="AK2516" s="171"/>
    </row>
    <row r="2517" spans="1:37" s="102" customFormat="1" ht="19.899999999999999" customHeight="1" x14ac:dyDescent="0.25">
      <c r="A2517" s="45"/>
      <c r="B2517" s="59"/>
      <c r="C2517" s="137"/>
      <c r="D2517" s="59"/>
      <c r="E2517" s="116"/>
      <c r="F2517" s="120"/>
      <c r="G2517" s="120"/>
      <c r="H2517" s="120"/>
      <c r="I2517" s="60"/>
      <c r="J2517" s="116"/>
      <c r="K2517" s="213"/>
      <c r="L2517" s="120"/>
      <c r="M2517" s="120"/>
      <c r="N2517" s="167"/>
      <c r="O2517" s="120"/>
      <c r="P2517" s="120"/>
      <c r="Q2517" s="120"/>
      <c r="R2517" s="120"/>
      <c r="S2517" s="120"/>
      <c r="T2517" s="221"/>
      <c r="U2517" s="89"/>
      <c r="V2517" s="61"/>
      <c r="W2517" s="92" t="s">
        <v>65</v>
      </c>
      <c r="X2517" s="93" t="s">
        <v>30</v>
      </c>
      <c r="Y2517" s="93" t="s">
        <v>1011</v>
      </c>
      <c r="Z2517" s="134">
        <f>VLOOKUP(W2517,Sheet2!$B:$D,3,FALSE)</f>
        <v>1.76</v>
      </c>
      <c r="AA2517" s="93">
        <f>AA2516/10</f>
        <v>6.4761904761904757E-2</v>
      </c>
      <c r="AB2517" s="93">
        <f>AD2517/AC2513</f>
        <v>27.176470588235297</v>
      </c>
      <c r="AC2517" s="93">
        <f>AC2513/AA2517</f>
        <v>79.058823529411782</v>
      </c>
      <c r="AD2517" s="94">
        <f>AC2517*Z2517</f>
        <v>139.14352941176475</v>
      </c>
      <c r="AE2517" s="190"/>
      <c r="AF2517" s="191"/>
      <c r="AG2517" s="191"/>
      <c r="AH2517" s="191"/>
      <c r="AI2517" s="186"/>
      <c r="AK2517" s="171"/>
    </row>
    <row r="2518" spans="1:37" s="103" customFormat="1" ht="19.899999999999999" customHeight="1" x14ac:dyDescent="0.25">
      <c r="A2518" s="51"/>
      <c r="B2518" s="52"/>
      <c r="C2518" s="165"/>
      <c r="D2518" s="52"/>
      <c r="E2518" s="115"/>
      <c r="F2518" s="58"/>
      <c r="G2518" s="58"/>
      <c r="H2518" s="58"/>
      <c r="I2518" s="55"/>
      <c r="J2518" s="113">
        <f>J2512</f>
        <v>5.120000000000001</v>
      </c>
      <c r="K2518" s="212">
        <f>K2512</f>
        <v>5.120000000000001</v>
      </c>
      <c r="L2518" s="58"/>
      <c r="M2518" s="58">
        <f>K2518-L2518</f>
        <v>5.120000000000001</v>
      </c>
      <c r="N2518" s="166"/>
      <c r="O2518" s="58"/>
      <c r="P2518" s="58"/>
      <c r="Q2518" s="58"/>
      <c r="R2518" s="58"/>
      <c r="S2518" s="58"/>
      <c r="T2518" s="220"/>
      <c r="U2518" s="88"/>
      <c r="V2518" s="56"/>
      <c r="W2518" s="57" t="s">
        <v>1463</v>
      </c>
      <c r="X2518" s="53"/>
      <c r="Y2518" s="91" t="s">
        <v>35</v>
      </c>
      <c r="Z2518" s="136">
        <f>AD2518/AC2518</f>
        <v>11686.6</v>
      </c>
      <c r="AA2518" s="58"/>
      <c r="AB2518" s="53">
        <f>AD2518/AC2518</f>
        <v>11686.6</v>
      </c>
      <c r="AC2518" s="53">
        <f>M2518+$AE$10</f>
        <v>5.120000000000001</v>
      </c>
      <c r="AD2518" s="54">
        <f>SUM(AD2519:AD2529)</f>
        <v>59835.392000000014</v>
      </c>
      <c r="AE2518" s="184">
        <f>SUMIFS($AD$37:$AD$12971,$V$37:$V$12971,$V2518,$X$37:$X$12971,AE$13)</f>
        <v>0</v>
      </c>
      <c r="AF2518" s="185">
        <f>SUMIFS($AD$37:$AD$12971,$V$37:$V$12971,$V2518,$X$37:$X$12971,AF$13)</f>
        <v>0</v>
      </c>
      <c r="AG2518" s="185">
        <f>SUMIFS($AD$37:$AD$12971,$V$37:$V$12971,$V2518,$X$37:$X$12971,AG$13)</f>
        <v>0</v>
      </c>
      <c r="AH2518" s="187">
        <f>SUMIFS($AD$37:$AD$12971,$V$37:$V$12971,$V2518,$X$37:$X$12971,AH$13)</f>
        <v>0</v>
      </c>
      <c r="AI2518" s="161">
        <f t="shared" ref="AI2518" si="2018">SUM(AE2518:AH2518)</f>
        <v>0</v>
      </c>
      <c r="AK2518" s="172"/>
    </row>
    <row r="2519" spans="1:37" s="102" customFormat="1" ht="19.899999999999999" customHeight="1" x14ac:dyDescent="0.25">
      <c r="A2519" s="45"/>
      <c r="B2519" s="59"/>
      <c r="C2519" s="137"/>
      <c r="D2519" s="59"/>
      <c r="E2519" s="116"/>
      <c r="F2519" s="120"/>
      <c r="G2519" s="120"/>
      <c r="H2519" s="120"/>
      <c r="I2519" s="60"/>
      <c r="J2519" s="116"/>
      <c r="K2519" s="213"/>
      <c r="L2519" s="120"/>
      <c r="M2519" s="120"/>
      <c r="N2519" s="167"/>
      <c r="O2519" s="120"/>
      <c r="P2519" s="120"/>
      <c r="Q2519" s="120"/>
      <c r="R2519" s="120"/>
      <c r="S2519" s="120"/>
      <c r="T2519" s="221"/>
      <c r="U2519" s="89"/>
      <c r="V2519" s="61"/>
      <c r="W2519" s="92" t="s">
        <v>1032</v>
      </c>
      <c r="X2519" s="93" t="s">
        <v>30</v>
      </c>
      <c r="Y2519" s="93" t="s">
        <v>66</v>
      </c>
      <c r="Z2519" s="134">
        <f>VLOOKUP(W2519,Sheet2!$B:$D,3,FALSE)</f>
        <v>250</v>
      </c>
      <c r="AA2519" s="93">
        <f>1/(3*3*0.1)</f>
        <v>1.1111111111111112</v>
      </c>
      <c r="AB2519" s="93">
        <f t="shared" ref="AB2519" si="2019">AD2519/AC2518</f>
        <v>225</v>
      </c>
      <c r="AC2519" s="93">
        <f>AC2518/AA2519</f>
        <v>4.6080000000000005</v>
      </c>
      <c r="AD2519" s="94">
        <f t="shared" ref="AD2519:AD2521" si="2020">AC2519*Z2519</f>
        <v>1152.0000000000002</v>
      </c>
      <c r="AE2519" s="190"/>
      <c r="AF2519" s="191"/>
      <c r="AG2519" s="191"/>
      <c r="AH2519" s="191"/>
      <c r="AI2519" s="186"/>
      <c r="AK2519" s="171"/>
    </row>
    <row r="2520" spans="1:37" s="102" customFormat="1" ht="19.899999999999999" customHeight="1" x14ac:dyDescent="0.25">
      <c r="A2520" s="45"/>
      <c r="B2520" s="59"/>
      <c r="C2520" s="137"/>
      <c r="D2520" s="59"/>
      <c r="E2520" s="116"/>
      <c r="F2520" s="120"/>
      <c r="G2520" s="120"/>
      <c r="H2520" s="120"/>
      <c r="I2520" s="60"/>
      <c r="J2520" s="116"/>
      <c r="K2520" s="213"/>
      <c r="L2520" s="120"/>
      <c r="M2520" s="120"/>
      <c r="N2520" s="167"/>
      <c r="O2520" s="120"/>
      <c r="P2520" s="120"/>
      <c r="Q2520" s="120"/>
      <c r="R2520" s="120"/>
      <c r="S2520" s="120"/>
      <c r="T2520" s="221"/>
      <c r="U2520" s="89"/>
      <c r="V2520" s="61"/>
      <c r="W2520" s="92" t="s">
        <v>1353</v>
      </c>
      <c r="X2520" s="93" t="s">
        <v>30</v>
      </c>
      <c r="Y2520" s="93" t="s">
        <v>66</v>
      </c>
      <c r="Z2520" s="134">
        <f>VLOOKUP(W2520,Sheet2!$B:$D,3,FALSE)</f>
        <v>350</v>
      </c>
      <c r="AA2520" s="93">
        <f>1/(2*3*0.25*5)</f>
        <v>0.13333333333333333</v>
      </c>
      <c r="AB2520" s="93">
        <f>AD2520/AC2518</f>
        <v>2625</v>
      </c>
      <c r="AC2520" s="93">
        <f>AC2518/AA2520</f>
        <v>38.400000000000006</v>
      </c>
      <c r="AD2520" s="94">
        <f t="shared" si="2020"/>
        <v>13440.000000000002</v>
      </c>
      <c r="AE2520" s="190"/>
      <c r="AF2520" s="191"/>
      <c r="AG2520" s="191"/>
      <c r="AH2520" s="191"/>
      <c r="AI2520" s="186"/>
      <c r="AK2520" s="171"/>
    </row>
    <row r="2521" spans="1:37" s="102" customFormat="1" ht="19.899999999999999" customHeight="1" x14ac:dyDescent="0.25">
      <c r="A2521" s="45"/>
      <c r="B2521" s="59"/>
      <c r="C2521" s="137"/>
      <c r="D2521" s="59"/>
      <c r="E2521" s="116"/>
      <c r="F2521" s="120"/>
      <c r="G2521" s="120"/>
      <c r="H2521" s="120"/>
      <c r="I2521" s="60"/>
      <c r="J2521" s="116"/>
      <c r="K2521" s="213"/>
      <c r="L2521" s="120"/>
      <c r="M2521" s="120"/>
      <c r="N2521" s="167"/>
      <c r="O2521" s="120"/>
      <c r="P2521" s="120"/>
      <c r="Q2521" s="120"/>
      <c r="R2521" s="120"/>
      <c r="S2521" s="120"/>
      <c r="T2521" s="221"/>
      <c r="U2521" s="89"/>
      <c r="V2521" s="61"/>
      <c r="W2521" s="92" t="s">
        <v>99</v>
      </c>
      <c r="X2521" s="93" t="s">
        <v>30</v>
      </c>
      <c r="Y2521" s="93" t="s">
        <v>67</v>
      </c>
      <c r="Z2521" s="134">
        <f>VLOOKUP(W2521,Sheet2!$B:$D,3,FALSE)</f>
        <v>2500</v>
      </c>
      <c r="AA2521" s="93">
        <f>1/(2*3*0.25*5*0.08)</f>
        <v>1.6666666666666667</v>
      </c>
      <c r="AB2521" s="93">
        <f>AD2521/AC2518</f>
        <v>1499.9999999999998</v>
      </c>
      <c r="AC2521" s="93">
        <f>AC2518/AA2521</f>
        <v>3.0720000000000005</v>
      </c>
      <c r="AD2521" s="94">
        <f t="shared" si="2020"/>
        <v>7680.0000000000009</v>
      </c>
      <c r="AE2521" s="190"/>
      <c r="AF2521" s="191"/>
      <c r="AG2521" s="191"/>
      <c r="AH2521" s="191"/>
      <c r="AI2521" s="186"/>
      <c r="AK2521" s="171"/>
    </row>
    <row r="2522" spans="1:37" s="102" customFormat="1" ht="19.899999999999999" customHeight="1" x14ac:dyDescent="0.25">
      <c r="A2522" s="45"/>
      <c r="B2522" s="59"/>
      <c r="C2522" s="137"/>
      <c r="D2522" s="59"/>
      <c r="E2522" s="116"/>
      <c r="F2522" s="120"/>
      <c r="G2522" s="120"/>
      <c r="H2522" s="120"/>
      <c r="I2522" s="60"/>
      <c r="J2522" s="116"/>
      <c r="K2522" s="213"/>
      <c r="L2522" s="120"/>
      <c r="M2522" s="120"/>
      <c r="N2522" s="167"/>
      <c r="O2522" s="120"/>
      <c r="P2522" s="120"/>
      <c r="Q2522" s="120"/>
      <c r="R2522" s="120"/>
      <c r="S2522" s="120"/>
      <c r="T2522" s="221"/>
      <c r="U2522" s="89"/>
      <c r="V2522" s="61"/>
      <c r="W2522" s="92" t="s">
        <v>1354</v>
      </c>
      <c r="X2522" s="93" t="s">
        <v>32</v>
      </c>
      <c r="Y2522" s="93" t="s">
        <v>66</v>
      </c>
      <c r="Z2522" s="134">
        <f>VLOOKUP(W2522,Sheet2!$B:$D,3,FALSE)</f>
        <v>150</v>
      </c>
      <c r="AA2522" s="93">
        <f>AA2519</f>
        <v>1.1111111111111112</v>
      </c>
      <c r="AB2522" s="93">
        <f>AD2522/AC2518</f>
        <v>134.99999999999997</v>
      </c>
      <c r="AC2522" s="93">
        <f>AC2518/AA2522</f>
        <v>4.6080000000000005</v>
      </c>
      <c r="AD2522" s="94">
        <f>AC2522*Z2522</f>
        <v>691.2</v>
      </c>
      <c r="AE2522" s="190"/>
      <c r="AF2522" s="191"/>
      <c r="AG2522" s="191"/>
      <c r="AH2522" s="191"/>
      <c r="AI2522" s="186"/>
      <c r="AK2522" s="171"/>
    </row>
    <row r="2523" spans="1:37" s="102" customFormat="1" ht="19.899999999999999" customHeight="1" x14ac:dyDescent="0.25">
      <c r="A2523" s="45"/>
      <c r="B2523" s="59"/>
      <c r="C2523" s="137"/>
      <c r="D2523" s="59"/>
      <c r="E2523" s="116"/>
      <c r="F2523" s="120"/>
      <c r="G2523" s="120"/>
      <c r="H2523" s="120"/>
      <c r="I2523" s="60"/>
      <c r="J2523" s="116"/>
      <c r="K2523" s="213"/>
      <c r="L2523" s="120"/>
      <c r="M2523" s="120"/>
      <c r="N2523" s="167"/>
      <c r="O2523" s="120"/>
      <c r="P2523" s="120"/>
      <c r="Q2523" s="120"/>
      <c r="R2523" s="120"/>
      <c r="S2523" s="120"/>
      <c r="T2523" s="221"/>
      <c r="U2523" s="89"/>
      <c r="V2523" s="61"/>
      <c r="W2523" s="92" t="s">
        <v>1355</v>
      </c>
      <c r="X2523" s="93" t="s">
        <v>32</v>
      </c>
      <c r="Y2523" s="93" t="s">
        <v>66</v>
      </c>
      <c r="Z2523" s="134">
        <f>VLOOKUP(W2523,Sheet2!$B:$D,3,FALSE)</f>
        <v>450</v>
      </c>
      <c r="AA2523" s="93">
        <f>AA2520</f>
        <v>0.13333333333333333</v>
      </c>
      <c r="AB2523" s="93">
        <f>AD2523/AC2518</f>
        <v>3375</v>
      </c>
      <c r="AC2523" s="93">
        <f>AC2518/AA2523</f>
        <v>38.400000000000006</v>
      </c>
      <c r="AD2523" s="94">
        <f>AC2523*Z2523</f>
        <v>17280.000000000004</v>
      </c>
      <c r="AE2523" s="190"/>
      <c r="AF2523" s="191"/>
      <c r="AG2523" s="191"/>
      <c r="AH2523" s="191"/>
      <c r="AI2523" s="186"/>
      <c r="AK2523" s="171"/>
    </row>
    <row r="2524" spans="1:37" s="102" customFormat="1" ht="19.899999999999999" customHeight="1" x14ac:dyDescent="0.25">
      <c r="A2524" s="45"/>
      <c r="B2524" s="59"/>
      <c r="C2524" s="137"/>
      <c r="D2524" s="59"/>
      <c r="E2524" s="116"/>
      <c r="F2524" s="120"/>
      <c r="G2524" s="120"/>
      <c r="H2524" s="120"/>
      <c r="I2524" s="60"/>
      <c r="J2524" s="116"/>
      <c r="K2524" s="213"/>
      <c r="L2524" s="120"/>
      <c r="M2524" s="120"/>
      <c r="N2524" s="167"/>
      <c r="O2524" s="120"/>
      <c r="P2524" s="120"/>
      <c r="Q2524" s="120"/>
      <c r="R2524" s="120"/>
      <c r="S2524" s="120"/>
      <c r="T2524" s="221"/>
      <c r="U2524" s="89"/>
      <c r="V2524" s="61"/>
      <c r="W2524" s="92" t="s">
        <v>1356</v>
      </c>
      <c r="X2524" s="93" t="s">
        <v>30</v>
      </c>
      <c r="Y2524" s="93" t="s">
        <v>35</v>
      </c>
      <c r="Z2524" s="134">
        <f>VLOOKUP(W2524,Sheet2!$B:$D,3,FALSE)</f>
        <v>3500</v>
      </c>
      <c r="AA2524" s="93">
        <v>1</v>
      </c>
      <c r="AB2524" s="93">
        <f>AD2524/AC2518</f>
        <v>3500</v>
      </c>
      <c r="AC2524" s="93">
        <f>AC2518/AA2524</f>
        <v>5.120000000000001</v>
      </c>
      <c r="AD2524" s="94">
        <f t="shared" ref="AD2524:AD2525" si="2021">AC2524*Z2524</f>
        <v>17920.000000000004</v>
      </c>
      <c r="AE2524" s="190"/>
      <c r="AF2524" s="191"/>
      <c r="AG2524" s="191"/>
      <c r="AH2524" s="191"/>
      <c r="AI2524" s="186"/>
      <c r="AK2524" s="171"/>
    </row>
    <row r="2525" spans="1:37" s="102" customFormat="1" ht="19.899999999999999" customHeight="1" x14ac:dyDescent="0.25">
      <c r="A2525" s="45"/>
      <c r="B2525" s="59"/>
      <c r="C2525" s="137"/>
      <c r="D2525" s="59"/>
      <c r="E2525" s="116"/>
      <c r="F2525" s="120"/>
      <c r="G2525" s="120"/>
      <c r="H2525" s="120"/>
      <c r="I2525" s="60"/>
      <c r="J2525" s="116"/>
      <c r="K2525" s="213"/>
      <c r="L2525" s="120"/>
      <c r="M2525" s="120"/>
      <c r="N2525" s="167"/>
      <c r="O2525" s="120"/>
      <c r="P2525" s="120"/>
      <c r="Q2525" s="120"/>
      <c r="R2525" s="120"/>
      <c r="S2525" s="120"/>
      <c r="T2525" s="221"/>
      <c r="U2525" s="89"/>
      <c r="V2525" s="61"/>
      <c r="W2525" s="92" t="s">
        <v>174</v>
      </c>
      <c r="X2525" s="93" t="s">
        <v>29</v>
      </c>
      <c r="Y2525" s="93" t="s">
        <v>93</v>
      </c>
      <c r="Z2525" s="134">
        <f>VLOOKUP(W2525,Sheet2!$B:$D,3,FALSE)</f>
        <v>80</v>
      </c>
      <c r="AA2525" s="93">
        <v>4</v>
      </c>
      <c r="AB2525" s="93">
        <f>AD2525/AC2518</f>
        <v>20</v>
      </c>
      <c r="AC2525" s="93">
        <f>AC2518/AA2525</f>
        <v>1.2800000000000002</v>
      </c>
      <c r="AD2525" s="94">
        <f t="shared" si="2021"/>
        <v>102.40000000000002</v>
      </c>
      <c r="AE2525" s="190"/>
      <c r="AF2525" s="191"/>
      <c r="AG2525" s="191"/>
      <c r="AH2525" s="191"/>
      <c r="AI2525" s="186"/>
      <c r="AK2525" s="171"/>
    </row>
    <row r="2526" spans="1:37" s="102" customFormat="1" ht="19.899999999999999" customHeight="1" x14ac:dyDescent="0.25">
      <c r="A2526" s="45"/>
      <c r="B2526" s="59"/>
      <c r="C2526" s="137"/>
      <c r="D2526" s="59"/>
      <c r="E2526" s="116"/>
      <c r="F2526" s="120"/>
      <c r="G2526" s="120"/>
      <c r="H2526" s="120"/>
      <c r="I2526" s="60"/>
      <c r="J2526" s="116"/>
      <c r="K2526" s="213"/>
      <c r="L2526" s="120"/>
      <c r="M2526" s="120"/>
      <c r="N2526" s="167"/>
      <c r="O2526" s="120"/>
      <c r="P2526" s="120"/>
      <c r="Q2526" s="120"/>
      <c r="R2526" s="120"/>
      <c r="S2526" s="120"/>
      <c r="T2526" s="221"/>
      <c r="U2526" s="89"/>
      <c r="V2526" s="61"/>
      <c r="W2526" s="92" t="s">
        <v>65</v>
      </c>
      <c r="X2526" s="93" t="s">
        <v>30</v>
      </c>
      <c r="Y2526" s="93" t="s">
        <v>93</v>
      </c>
      <c r="Z2526" s="134">
        <f>VLOOKUP(W2526,Sheet2!$B:$D,3,FALSE)</f>
        <v>1.76</v>
      </c>
      <c r="AA2526" s="93">
        <f>AA2525/15</f>
        <v>0.26666666666666666</v>
      </c>
      <c r="AB2526" s="93">
        <f>AD2526/AC2518</f>
        <v>6.6000000000000005</v>
      </c>
      <c r="AC2526" s="93">
        <f>AC2518/AA2526</f>
        <v>19.200000000000003</v>
      </c>
      <c r="AD2526" s="94">
        <f>AC2526*Z2526</f>
        <v>33.792000000000009</v>
      </c>
      <c r="AE2526" s="190"/>
      <c r="AF2526" s="191"/>
      <c r="AG2526" s="191"/>
      <c r="AH2526" s="191"/>
      <c r="AI2526" s="186"/>
      <c r="AK2526" s="171"/>
    </row>
    <row r="2527" spans="1:37" s="102" customFormat="1" ht="19.899999999999999" customHeight="1" x14ac:dyDescent="0.25">
      <c r="A2527" s="45"/>
      <c r="B2527" s="59"/>
      <c r="C2527" s="137"/>
      <c r="D2527" s="59"/>
      <c r="E2527" s="116"/>
      <c r="F2527" s="120"/>
      <c r="G2527" s="120"/>
      <c r="H2527" s="120"/>
      <c r="I2527" s="60"/>
      <c r="J2527" s="116"/>
      <c r="K2527" s="213"/>
      <c r="L2527" s="120"/>
      <c r="M2527" s="120"/>
      <c r="N2527" s="167"/>
      <c r="O2527" s="120"/>
      <c r="P2527" s="120"/>
      <c r="Q2527" s="120"/>
      <c r="R2527" s="120"/>
      <c r="S2527" s="120"/>
      <c r="T2527" s="221"/>
      <c r="U2527" s="89"/>
      <c r="V2527" s="61"/>
      <c r="W2527" s="92" t="s">
        <v>1357</v>
      </c>
      <c r="X2527" s="93" t="s">
        <v>30</v>
      </c>
      <c r="Y2527" s="93" t="s">
        <v>1349</v>
      </c>
      <c r="Z2527" s="134">
        <f>VLOOKUP(W2527,Sheet2!$B:$D,3,FALSE)</f>
        <v>150</v>
      </c>
      <c r="AA2527" s="93">
        <v>1</v>
      </c>
      <c r="AB2527" s="93">
        <f>AD2527/AC2518</f>
        <v>150</v>
      </c>
      <c r="AC2527" s="93">
        <f>AC2518/AA2527</f>
        <v>5.120000000000001</v>
      </c>
      <c r="AD2527" s="94">
        <f>AC2527*Z2527</f>
        <v>768.00000000000011</v>
      </c>
      <c r="AE2527" s="190"/>
      <c r="AF2527" s="191"/>
      <c r="AG2527" s="191"/>
      <c r="AH2527" s="191"/>
      <c r="AI2527" s="186"/>
      <c r="AK2527" s="171"/>
    </row>
    <row r="2528" spans="1:37" s="102" customFormat="1" ht="19.899999999999999" customHeight="1" x14ac:dyDescent="0.25">
      <c r="A2528" s="45"/>
      <c r="B2528" s="59"/>
      <c r="C2528" s="137"/>
      <c r="D2528" s="59"/>
      <c r="E2528" s="116"/>
      <c r="F2528" s="120"/>
      <c r="G2528" s="120"/>
      <c r="H2528" s="120"/>
      <c r="I2528" s="60"/>
      <c r="J2528" s="116"/>
      <c r="K2528" s="213"/>
      <c r="L2528" s="120"/>
      <c r="M2528" s="120"/>
      <c r="N2528" s="167"/>
      <c r="O2528" s="120"/>
      <c r="P2528" s="120"/>
      <c r="Q2528" s="120"/>
      <c r="R2528" s="120"/>
      <c r="S2528" s="120"/>
      <c r="T2528" s="221"/>
      <c r="U2528" s="89"/>
      <c r="V2528" s="61"/>
      <c r="W2528" s="92" t="s">
        <v>107</v>
      </c>
      <c r="X2528" s="93" t="s">
        <v>31</v>
      </c>
      <c r="Y2528" s="93" t="s">
        <v>93</v>
      </c>
      <c r="Z2528" s="134">
        <f>VLOOKUP(W2528,Sheet2!$B:$D,3,FALSE)</f>
        <v>17</v>
      </c>
      <c r="AA2528" s="93">
        <f>1/5</f>
        <v>0.2</v>
      </c>
      <c r="AB2528" s="93">
        <f>AD2528/AC2518</f>
        <v>85</v>
      </c>
      <c r="AC2528" s="93">
        <f>AC2518/AA2528</f>
        <v>25.600000000000005</v>
      </c>
      <c r="AD2528" s="94">
        <f>AC2528*Z2528</f>
        <v>435.2000000000001</v>
      </c>
      <c r="AE2528" s="190"/>
      <c r="AF2528" s="191"/>
      <c r="AG2528" s="191"/>
      <c r="AH2528" s="191"/>
      <c r="AI2528" s="186"/>
      <c r="AK2528" s="171"/>
    </row>
    <row r="2529" spans="1:41" s="102" customFormat="1" ht="19.899999999999999" customHeight="1" x14ac:dyDescent="0.25">
      <c r="A2529" s="45"/>
      <c r="B2529" s="59"/>
      <c r="C2529" s="137"/>
      <c r="D2529" s="59"/>
      <c r="E2529" s="116"/>
      <c r="F2529" s="120"/>
      <c r="G2529" s="120"/>
      <c r="H2529" s="120"/>
      <c r="I2529" s="60"/>
      <c r="J2529" s="116"/>
      <c r="K2529" s="213"/>
      <c r="L2529" s="120"/>
      <c r="M2529" s="120"/>
      <c r="N2529" s="167"/>
      <c r="O2529" s="120"/>
      <c r="P2529" s="120"/>
      <c r="Q2529" s="120"/>
      <c r="R2529" s="120"/>
      <c r="S2529" s="120"/>
      <c r="T2529" s="221"/>
      <c r="U2529" s="89"/>
      <c r="V2529" s="61"/>
      <c r="W2529" s="92" t="s">
        <v>112</v>
      </c>
      <c r="X2529" s="93" t="s">
        <v>31</v>
      </c>
      <c r="Y2529" s="93" t="s">
        <v>93</v>
      </c>
      <c r="Z2529" s="134">
        <f>VLOOKUP(W2529,Sheet2!$B:$D,3,FALSE)</f>
        <v>13</v>
      </c>
      <c r="AA2529" s="93">
        <f>AA2528</f>
        <v>0.2</v>
      </c>
      <c r="AB2529" s="93">
        <f>AD2529/AC2518</f>
        <v>65</v>
      </c>
      <c r="AC2529" s="93">
        <f>AC2518/AA2529</f>
        <v>25.600000000000005</v>
      </c>
      <c r="AD2529" s="94">
        <f>AC2529*Z2529</f>
        <v>332.80000000000007</v>
      </c>
      <c r="AE2529" s="190"/>
      <c r="AF2529" s="191"/>
      <c r="AG2529" s="191"/>
      <c r="AH2529" s="191"/>
      <c r="AI2529" s="186"/>
      <c r="AK2529" s="171"/>
    </row>
    <row r="2530" spans="1:41" s="103" customFormat="1" ht="19.899999999999999" customHeight="1" x14ac:dyDescent="0.25">
      <c r="A2530" s="51"/>
      <c r="B2530" s="52"/>
      <c r="C2530" s="165"/>
      <c r="D2530" s="52"/>
      <c r="E2530" s="115"/>
      <c r="F2530" s="58"/>
      <c r="G2530" s="58"/>
      <c r="H2530" s="58"/>
      <c r="I2530" s="55"/>
      <c r="J2530" s="113">
        <f>J2512</f>
        <v>5.120000000000001</v>
      </c>
      <c r="K2530" s="212">
        <f>K2512</f>
        <v>5.120000000000001</v>
      </c>
      <c r="L2530" s="58"/>
      <c r="M2530" s="58">
        <f>K2530-L2530</f>
        <v>5.120000000000001</v>
      </c>
      <c r="N2530" s="166"/>
      <c r="O2530" s="58"/>
      <c r="P2530" s="58"/>
      <c r="Q2530" s="58"/>
      <c r="R2530" s="58"/>
      <c r="S2530" s="58"/>
      <c r="T2530" s="220"/>
      <c r="U2530" s="88"/>
      <c r="V2530" s="56"/>
      <c r="W2530" s="57" t="s">
        <v>1358</v>
      </c>
      <c r="X2530" s="53"/>
      <c r="Y2530" s="91" t="s">
        <v>35</v>
      </c>
      <c r="Z2530" s="136">
        <f>AD2530/AC2530</f>
        <v>3920.0000000000005</v>
      </c>
      <c r="AA2530" s="58"/>
      <c r="AB2530" s="53">
        <f>AD2530/AC2530</f>
        <v>3920.0000000000005</v>
      </c>
      <c r="AC2530" s="53">
        <f>M2530+$AE$10</f>
        <v>5.120000000000001</v>
      </c>
      <c r="AD2530" s="54">
        <f>SUM(AD2531:AD2532)</f>
        <v>20070.400000000005</v>
      </c>
      <c r="AE2530" s="184">
        <f>SUMIFS($AD$37:$AD$12971,$V$37:$V$12971,$V2530,$X$37:$X$12971,AE$13)</f>
        <v>0</v>
      </c>
      <c r="AF2530" s="185">
        <f>SUMIFS($AD$37:$AD$12971,$V$37:$V$12971,$V2530,$X$37:$X$12971,AF$13)</f>
        <v>0</v>
      </c>
      <c r="AG2530" s="185">
        <f>SUMIFS($AD$37:$AD$12971,$V$37:$V$12971,$V2530,$X$37:$X$12971,AG$13)</f>
        <v>0</v>
      </c>
      <c r="AH2530" s="187">
        <f>SUMIFS($AD$37:$AD$12971,$V$37:$V$12971,$V2530,$X$37:$X$12971,AH$13)</f>
        <v>0</v>
      </c>
      <c r="AI2530" s="161">
        <f t="shared" ref="AI2530" si="2022">SUM(AE2530:AH2530)</f>
        <v>0</v>
      </c>
      <c r="AK2530" s="172"/>
    </row>
    <row r="2531" spans="1:41" s="102" customFormat="1" ht="19.899999999999999" customHeight="1" x14ac:dyDescent="0.25">
      <c r="A2531" s="45"/>
      <c r="B2531" s="59"/>
      <c r="C2531" s="137"/>
      <c r="D2531" s="59"/>
      <c r="E2531" s="116"/>
      <c r="F2531" s="120"/>
      <c r="G2531" s="120"/>
      <c r="H2531" s="120"/>
      <c r="I2531" s="60"/>
      <c r="J2531" s="116"/>
      <c r="K2531" s="213"/>
      <c r="L2531" s="120"/>
      <c r="M2531" s="120"/>
      <c r="N2531" s="167"/>
      <c r="O2531" s="120"/>
      <c r="P2531" s="120"/>
      <c r="Q2531" s="120"/>
      <c r="R2531" s="120"/>
      <c r="S2531" s="120"/>
      <c r="T2531" s="221"/>
      <c r="U2531" s="89"/>
      <c r="V2531" s="61"/>
      <c r="W2531" s="92" t="s">
        <v>1359</v>
      </c>
      <c r="X2531" s="93" t="s">
        <v>32</v>
      </c>
      <c r="Y2531" s="93" t="s">
        <v>64</v>
      </c>
      <c r="Z2531" s="134">
        <f>VLOOKUP(W2531,Sheet2!$B:$D,3,FALSE)</f>
        <v>40</v>
      </c>
      <c r="AA2531" s="93">
        <f>1/56</f>
        <v>1.7857142857142856E-2</v>
      </c>
      <c r="AB2531" s="93">
        <f t="shared" ref="AB2531" si="2023">AD2531/AC2530</f>
        <v>2240</v>
      </c>
      <c r="AC2531" s="93">
        <f>AC2530/AA2531</f>
        <v>286.72000000000008</v>
      </c>
      <c r="AD2531" s="94">
        <f t="shared" ref="AD2531:AD2532" si="2024">AC2531*Z2531</f>
        <v>11468.800000000003</v>
      </c>
      <c r="AE2531" s="190"/>
      <c r="AF2531" s="191"/>
      <c r="AG2531" s="191"/>
      <c r="AH2531" s="191"/>
      <c r="AI2531" s="186"/>
      <c r="AK2531" s="171"/>
    </row>
    <row r="2532" spans="1:41" s="102" customFormat="1" ht="19.899999999999999" customHeight="1" x14ac:dyDescent="0.25">
      <c r="A2532" s="45"/>
      <c r="B2532" s="59"/>
      <c r="C2532" s="137"/>
      <c r="D2532" s="59"/>
      <c r="E2532" s="116"/>
      <c r="F2532" s="120"/>
      <c r="G2532" s="120"/>
      <c r="H2532" s="120"/>
      <c r="I2532" s="60"/>
      <c r="J2532" s="116"/>
      <c r="K2532" s="213"/>
      <c r="L2532" s="120"/>
      <c r="M2532" s="120"/>
      <c r="N2532" s="167"/>
      <c r="O2532" s="120"/>
      <c r="P2532" s="120"/>
      <c r="Q2532" s="120"/>
      <c r="R2532" s="120"/>
      <c r="S2532" s="120"/>
      <c r="T2532" s="221"/>
      <c r="U2532" s="89"/>
      <c r="V2532" s="61"/>
      <c r="W2532" s="92" t="s">
        <v>1360</v>
      </c>
      <c r="X2532" s="93" t="s">
        <v>32</v>
      </c>
      <c r="Y2532" s="93" t="s">
        <v>64</v>
      </c>
      <c r="Z2532" s="134">
        <f>VLOOKUP(W2532,Sheet2!$B:$D,3,FALSE)</f>
        <v>30</v>
      </c>
      <c r="AA2532" s="93">
        <f>AA2531</f>
        <v>1.7857142857142856E-2</v>
      </c>
      <c r="AB2532" s="93">
        <f>AD2532/AC2530</f>
        <v>1680</v>
      </c>
      <c r="AC2532" s="93">
        <f>AC2530/AA2532</f>
        <v>286.72000000000008</v>
      </c>
      <c r="AD2532" s="94">
        <f t="shared" si="2024"/>
        <v>8601.6000000000022</v>
      </c>
      <c r="AE2532" s="190"/>
      <c r="AF2532" s="191"/>
      <c r="AG2532" s="191"/>
      <c r="AH2532" s="191"/>
      <c r="AI2532" s="186"/>
      <c r="AK2532" s="171"/>
    </row>
    <row r="2533" spans="1:41" s="103" customFormat="1" ht="19.899999999999999" customHeight="1" x14ac:dyDescent="0.25">
      <c r="A2533" s="51"/>
      <c r="B2533" s="52"/>
      <c r="C2533" s="165"/>
      <c r="D2533" s="52"/>
      <c r="E2533" s="115"/>
      <c r="F2533" s="58"/>
      <c r="G2533" s="58"/>
      <c r="H2533" s="58"/>
      <c r="I2533" s="55"/>
      <c r="J2533" s="113">
        <f>J2512</f>
        <v>5.120000000000001</v>
      </c>
      <c r="K2533" s="212">
        <f>K2512</f>
        <v>5.120000000000001</v>
      </c>
      <c r="L2533" s="58"/>
      <c r="M2533" s="58">
        <f>K2533-L2533</f>
        <v>5.120000000000001</v>
      </c>
      <c r="N2533" s="166"/>
      <c r="O2533" s="58"/>
      <c r="P2533" s="58"/>
      <c r="Q2533" s="58"/>
      <c r="R2533" s="58"/>
      <c r="S2533" s="58"/>
      <c r="T2533" s="220"/>
      <c r="U2533" s="88"/>
      <c r="V2533" s="56"/>
      <c r="W2533" s="57" t="s">
        <v>1272</v>
      </c>
      <c r="X2533" s="53"/>
      <c r="Y2533" s="91" t="s">
        <v>35</v>
      </c>
      <c r="Z2533" s="136">
        <f>AD2533/AC2533</f>
        <v>284.41706666666664</v>
      </c>
      <c r="AA2533" s="58"/>
      <c r="AB2533" s="53">
        <f>AD2533/AC2533</f>
        <v>284.41706666666664</v>
      </c>
      <c r="AC2533" s="53">
        <f>M2533+$AE$10</f>
        <v>5.120000000000001</v>
      </c>
      <c r="AD2533" s="54">
        <f>SUM(AD2534:AD2542)</f>
        <v>1456.2153813333334</v>
      </c>
      <c r="AE2533" s="184">
        <f>SUMIFS($AD$37:$AD$12971,$V$37:$V$12971,$V2533,$X$37:$X$12971,AE$13)</f>
        <v>0</v>
      </c>
      <c r="AF2533" s="185">
        <f>SUMIFS($AD$37:$AD$12971,$V$37:$V$12971,$V2533,$X$37:$X$12971,AF$13)</f>
        <v>0</v>
      </c>
      <c r="AG2533" s="185">
        <f>SUMIFS($AD$37:$AD$12971,$V$37:$V$12971,$V2533,$X$37:$X$12971,AG$13)</f>
        <v>0</v>
      </c>
      <c r="AH2533" s="187">
        <f>SUMIFS($AD$37:$AD$12971,$V$37:$V$12971,$V2533,$X$37:$X$12971,AH$13)</f>
        <v>0</v>
      </c>
      <c r="AI2533" s="161">
        <f t="shared" ref="AI2533" si="2025">SUM(AE2533:AH2533)</f>
        <v>0</v>
      </c>
      <c r="AK2533" s="172"/>
    </row>
    <row r="2534" spans="1:41" s="102" customFormat="1" ht="19.899999999999999" customHeight="1" x14ac:dyDescent="0.25">
      <c r="A2534" s="45"/>
      <c r="B2534" s="59"/>
      <c r="C2534" s="137"/>
      <c r="D2534" s="59"/>
      <c r="E2534" s="116"/>
      <c r="F2534" s="120"/>
      <c r="G2534" s="120"/>
      <c r="H2534" s="120"/>
      <c r="I2534" s="60"/>
      <c r="J2534" s="116"/>
      <c r="K2534" s="213"/>
      <c r="L2534" s="120"/>
      <c r="M2534" s="120"/>
      <c r="N2534" s="167"/>
      <c r="O2534" s="120"/>
      <c r="P2534" s="120"/>
      <c r="Q2534" s="120"/>
      <c r="R2534" s="120"/>
      <c r="S2534" s="120"/>
      <c r="T2534" s="221"/>
      <c r="U2534" s="89"/>
      <c r="V2534" s="61"/>
      <c r="W2534" s="92" t="s">
        <v>1273</v>
      </c>
      <c r="X2534" s="93" t="s">
        <v>30</v>
      </c>
      <c r="Y2534" s="93" t="s">
        <v>66</v>
      </c>
      <c r="Z2534" s="134">
        <f>VLOOKUP(W2534,Sheet2!$B:$D,3,FALSE)</f>
        <v>10</v>
      </c>
      <c r="AA2534" s="93">
        <f>1/(2.5*3.4*0.5*4)</f>
        <v>5.8823529411764705E-2</v>
      </c>
      <c r="AB2534" s="93">
        <f>AD2534/AC2533</f>
        <v>170</v>
      </c>
      <c r="AC2534" s="93">
        <f>AC2533/AA2534</f>
        <v>87.04000000000002</v>
      </c>
      <c r="AD2534" s="94">
        <f t="shared" ref="AD2534:AD2536" si="2026">AC2534*Z2534</f>
        <v>870.4000000000002</v>
      </c>
      <c r="AE2534" s="190"/>
      <c r="AF2534" s="191"/>
      <c r="AG2534" s="191"/>
      <c r="AH2534" s="191"/>
      <c r="AI2534" s="186"/>
      <c r="AK2534" s="171"/>
    </row>
    <row r="2535" spans="1:41" s="102" customFormat="1" ht="19.899999999999999" customHeight="1" x14ac:dyDescent="0.25">
      <c r="A2535" s="45"/>
      <c r="B2535" s="59"/>
      <c r="C2535" s="137"/>
      <c r="D2535" s="59"/>
      <c r="E2535" s="116"/>
      <c r="F2535" s="120"/>
      <c r="G2535" s="120"/>
      <c r="H2535" s="120"/>
      <c r="I2535" s="60"/>
      <c r="J2535" s="116"/>
      <c r="K2535" s="213"/>
      <c r="L2535" s="120"/>
      <c r="M2535" s="120"/>
      <c r="N2535" s="167"/>
      <c r="O2535" s="120"/>
      <c r="P2535" s="120"/>
      <c r="Q2535" s="120"/>
      <c r="R2535" s="120"/>
      <c r="S2535" s="120"/>
      <c r="T2535" s="221"/>
      <c r="U2535" s="89"/>
      <c r="V2535" s="61"/>
      <c r="W2535" s="92" t="s">
        <v>134</v>
      </c>
      <c r="X2535" s="93" t="s">
        <v>29</v>
      </c>
      <c r="Y2535" s="93" t="s">
        <v>93</v>
      </c>
      <c r="Z2535" s="134">
        <f>VLOOKUP(W2535,Sheet2!$B:$D,3,FALSE)</f>
        <v>65.599999999999994</v>
      </c>
      <c r="AA2535" s="93">
        <f>100/(2.5*3.4*0.5*4)</f>
        <v>5.882352941176471</v>
      </c>
      <c r="AB2535" s="93">
        <f t="shared" ref="AB2535" si="2027">AD2535/AC2533</f>
        <v>11.151999999999997</v>
      </c>
      <c r="AC2535" s="93">
        <f>AC2533/AA2535</f>
        <v>0.87040000000000006</v>
      </c>
      <c r="AD2535" s="94">
        <f t="shared" si="2026"/>
        <v>57.098239999999997</v>
      </c>
      <c r="AE2535" s="190"/>
      <c r="AF2535" s="191"/>
      <c r="AG2535" s="191"/>
      <c r="AH2535" s="191"/>
      <c r="AI2535" s="186"/>
      <c r="AK2535" s="171"/>
    </row>
    <row r="2536" spans="1:41" s="102" customFormat="1" ht="19.899999999999999" customHeight="1" x14ac:dyDescent="0.25">
      <c r="A2536" s="45"/>
      <c r="B2536" s="59"/>
      <c r="C2536" s="137"/>
      <c r="D2536" s="59"/>
      <c r="E2536" s="116"/>
      <c r="F2536" s="120"/>
      <c r="G2536" s="120"/>
      <c r="H2536" s="120"/>
      <c r="I2536" s="60"/>
      <c r="J2536" s="116"/>
      <c r="K2536" s="213"/>
      <c r="L2536" s="120"/>
      <c r="M2536" s="120"/>
      <c r="N2536" s="167"/>
      <c r="O2536" s="120"/>
      <c r="P2536" s="120"/>
      <c r="Q2536" s="120"/>
      <c r="R2536" s="120"/>
      <c r="S2536" s="120"/>
      <c r="T2536" s="221"/>
      <c r="U2536" s="89"/>
      <c r="V2536" s="61"/>
      <c r="W2536" s="92" t="s">
        <v>65</v>
      </c>
      <c r="X2536" s="93" t="s">
        <v>30</v>
      </c>
      <c r="Y2536" s="93" t="s">
        <v>1011</v>
      </c>
      <c r="Z2536" s="134">
        <f>VLOOKUP(W2536,Sheet2!$B:$D,3,FALSE)</f>
        <v>1.76</v>
      </c>
      <c r="AA2536" s="93">
        <f>AA2535/9</f>
        <v>0.65359477124183007</v>
      </c>
      <c r="AB2536" s="93">
        <f>AD2536/AC2533</f>
        <v>2.6928000000000001</v>
      </c>
      <c r="AC2536" s="93">
        <f>AC2533/AA2536</f>
        <v>7.8336000000000015</v>
      </c>
      <c r="AD2536" s="94">
        <f t="shared" si="2026"/>
        <v>13.787136000000002</v>
      </c>
      <c r="AE2536" s="190"/>
      <c r="AF2536" s="191"/>
      <c r="AG2536" s="191"/>
      <c r="AH2536" s="191"/>
      <c r="AI2536" s="186"/>
      <c r="AK2536" s="171"/>
    </row>
    <row r="2537" spans="1:41" s="102" customFormat="1" ht="19.899999999999999" customHeight="1" x14ac:dyDescent="0.25">
      <c r="A2537" s="45"/>
      <c r="B2537" s="59"/>
      <c r="C2537" s="137"/>
      <c r="D2537" s="59"/>
      <c r="E2537" s="116"/>
      <c r="F2537" s="120"/>
      <c r="G2537" s="120"/>
      <c r="H2537" s="120"/>
      <c r="I2537" s="60"/>
      <c r="J2537" s="116"/>
      <c r="K2537" s="213"/>
      <c r="L2537" s="120"/>
      <c r="M2537" s="120"/>
      <c r="N2537" s="167"/>
      <c r="O2537" s="120"/>
      <c r="P2537" s="120"/>
      <c r="Q2537" s="120"/>
      <c r="R2537" s="120"/>
      <c r="S2537" s="120"/>
      <c r="T2537" s="221"/>
      <c r="U2537" s="89"/>
      <c r="V2537" s="61"/>
      <c r="W2537" s="92" t="s">
        <v>161</v>
      </c>
      <c r="X2537" s="93" t="s">
        <v>29</v>
      </c>
      <c r="Y2537" s="93" t="s">
        <v>93</v>
      </c>
      <c r="Z2537" s="134">
        <f>VLOOKUP(W2537,Sheet2!$B:$D,3,FALSE)</f>
        <v>48</v>
      </c>
      <c r="AA2537" s="93">
        <f>(16*0.85*1.5)/(2.5*3.4*0.5*4)</f>
        <v>1.2</v>
      </c>
      <c r="AB2537" s="93">
        <f>AD2537/AC2533</f>
        <v>40</v>
      </c>
      <c r="AC2537" s="93">
        <f>AC2533/AA2537</f>
        <v>4.2666666666666675</v>
      </c>
      <c r="AD2537" s="94">
        <f>AC2537*Z2537</f>
        <v>204.80000000000004</v>
      </c>
      <c r="AE2537" s="190"/>
      <c r="AF2537" s="191"/>
      <c r="AG2537" s="191"/>
      <c r="AH2537" s="191"/>
      <c r="AI2537" s="186"/>
      <c r="AK2537" s="171"/>
    </row>
    <row r="2538" spans="1:41" s="102" customFormat="1" ht="19.899999999999999" customHeight="1" x14ac:dyDescent="0.25">
      <c r="A2538" s="45"/>
      <c r="B2538" s="59"/>
      <c r="C2538" s="137"/>
      <c r="D2538" s="59"/>
      <c r="E2538" s="116"/>
      <c r="F2538" s="120"/>
      <c r="G2538" s="120"/>
      <c r="H2538" s="120"/>
      <c r="I2538" s="60"/>
      <c r="J2538" s="116"/>
      <c r="K2538" s="213"/>
      <c r="L2538" s="120"/>
      <c r="M2538" s="120"/>
      <c r="N2538" s="167"/>
      <c r="O2538" s="120"/>
      <c r="P2538" s="120"/>
      <c r="Q2538" s="120"/>
      <c r="R2538" s="120"/>
      <c r="S2538" s="120"/>
      <c r="T2538" s="221"/>
      <c r="U2538" s="89"/>
      <c r="V2538" s="61"/>
      <c r="W2538" s="92" t="s">
        <v>65</v>
      </c>
      <c r="X2538" s="93" t="s">
        <v>30</v>
      </c>
      <c r="Y2538" s="93" t="s">
        <v>1011</v>
      </c>
      <c r="Z2538" s="134">
        <f>VLOOKUP(W2538,Sheet2!$B:$D,3,FALSE)</f>
        <v>1.76</v>
      </c>
      <c r="AA2538" s="93">
        <f>AA2537/10</f>
        <v>0.12</v>
      </c>
      <c r="AB2538" s="93">
        <f>AD2538/AC2533</f>
        <v>14.666666666666666</v>
      </c>
      <c r="AC2538" s="93">
        <f>AC2533/AA2538</f>
        <v>42.666666666666679</v>
      </c>
      <c r="AD2538" s="94">
        <f>AC2538*Z2538</f>
        <v>75.093333333333348</v>
      </c>
      <c r="AE2538" s="190"/>
      <c r="AF2538" s="191"/>
      <c r="AG2538" s="191"/>
      <c r="AH2538" s="191"/>
      <c r="AI2538" s="186"/>
      <c r="AK2538" s="171"/>
    </row>
    <row r="2539" spans="1:41" s="102" customFormat="1" ht="19.899999999999999" customHeight="1" x14ac:dyDescent="0.25">
      <c r="A2539" s="45"/>
      <c r="B2539" s="59"/>
      <c r="C2539" s="137"/>
      <c r="D2539" s="59"/>
      <c r="E2539" s="116"/>
      <c r="F2539" s="120"/>
      <c r="G2539" s="120"/>
      <c r="H2539" s="120"/>
      <c r="I2539" s="60"/>
      <c r="J2539" s="116"/>
      <c r="K2539" s="213"/>
      <c r="L2539" s="120"/>
      <c r="M2539" s="120"/>
      <c r="N2539" s="167"/>
      <c r="O2539" s="120"/>
      <c r="P2539" s="120"/>
      <c r="Q2539" s="120"/>
      <c r="R2539" s="120"/>
      <c r="S2539" s="120"/>
      <c r="T2539" s="221"/>
      <c r="U2539" s="89"/>
      <c r="V2539" s="61"/>
      <c r="W2539" s="92" t="s">
        <v>173</v>
      </c>
      <c r="X2539" s="93" t="s">
        <v>29</v>
      </c>
      <c r="Y2539" s="93" t="s">
        <v>93</v>
      </c>
      <c r="Z2539" s="134">
        <f>VLOOKUP(W2539,Sheet2!$B:$D,3,FALSE)</f>
        <v>36</v>
      </c>
      <c r="AA2539" s="93">
        <f>50/(2.5*3.4*0.5*4)</f>
        <v>2.9411764705882355</v>
      </c>
      <c r="AB2539" s="93">
        <f>AD2539/AC2533</f>
        <v>12.239999999999998</v>
      </c>
      <c r="AC2539" s="93">
        <f>AC2533/AA2539</f>
        <v>1.7408000000000001</v>
      </c>
      <c r="AD2539" s="94">
        <f>AC2539*Z2539</f>
        <v>62.668800000000005</v>
      </c>
      <c r="AE2539" s="190"/>
      <c r="AF2539" s="191"/>
      <c r="AG2539" s="191"/>
      <c r="AH2539" s="191"/>
      <c r="AI2539" s="186"/>
      <c r="AK2539" s="171"/>
    </row>
    <row r="2540" spans="1:41" s="102" customFormat="1" ht="19.899999999999999" customHeight="1" x14ac:dyDescent="0.25">
      <c r="A2540" s="45"/>
      <c r="B2540" s="59"/>
      <c r="C2540" s="137"/>
      <c r="D2540" s="59"/>
      <c r="E2540" s="116"/>
      <c r="F2540" s="120"/>
      <c r="G2540" s="120"/>
      <c r="H2540" s="120"/>
      <c r="I2540" s="60"/>
      <c r="J2540" s="116"/>
      <c r="K2540" s="213"/>
      <c r="L2540" s="120"/>
      <c r="M2540" s="120"/>
      <c r="N2540" s="167"/>
      <c r="O2540" s="120"/>
      <c r="P2540" s="120"/>
      <c r="Q2540" s="120"/>
      <c r="R2540" s="120"/>
      <c r="S2540" s="120"/>
      <c r="T2540" s="221"/>
      <c r="U2540" s="89"/>
      <c r="V2540" s="61"/>
      <c r="W2540" s="92" t="s">
        <v>65</v>
      </c>
      <c r="X2540" s="93" t="s">
        <v>30</v>
      </c>
      <c r="Y2540" s="93" t="s">
        <v>1011</v>
      </c>
      <c r="Z2540" s="134">
        <f>VLOOKUP(W2540,Sheet2!$B:$D,3,FALSE)</f>
        <v>1.76</v>
      </c>
      <c r="AA2540" s="93">
        <f>AA2539/9</f>
        <v>0.32679738562091504</v>
      </c>
      <c r="AB2540" s="93">
        <f>AD2540/AC2533</f>
        <v>5.3856000000000002</v>
      </c>
      <c r="AC2540" s="93">
        <f>AC2533/AA2540</f>
        <v>15.667200000000003</v>
      </c>
      <c r="AD2540" s="94">
        <f>AC2540*Z2540</f>
        <v>27.574272000000004</v>
      </c>
      <c r="AE2540" s="190"/>
      <c r="AF2540" s="191"/>
      <c r="AG2540" s="191"/>
      <c r="AH2540" s="191"/>
      <c r="AI2540" s="186"/>
      <c r="AK2540" s="171"/>
    </row>
    <row r="2541" spans="1:41" s="102" customFormat="1" ht="19.899999999999999" customHeight="1" x14ac:dyDescent="0.25">
      <c r="A2541" s="45"/>
      <c r="B2541" s="59"/>
      <c r="C2541" s="137"/>
      <c r="D2541" s="59"/>
      <c r="E2541" s="116"/>
      <c r="F2541" s="120"/>
      <c r="G2541" s="120"/>
      <c r="H2541" s="120"/>
      <c r="I2541" s="60"/>
      <c r="J2541" s="116"/>
      <c r="K2541" s="213"/>
      <c r="L2541" s="120"/>
      <c r="M2541" s="120"/>
      <c r="N2541" s="167"/>
      <c r="O2541" s="120"/>
      <c r="P2541" s="120"/>
      <c r="Q2541" s="120"/>
      <c r="R2541" s="120"/>
      <c r="S2541" s="120"/>
      <c r="T2541" s="221"/>
      <c r="U2541" s="89"/>
      <c r="V2541" s="61"/>
      <c r="W2541" s="92" t="s">
        <v>1030</v>
      </c>
      <c r="X2541" s="93" t="s">
        <v>29</v>
      </c>
      <c r="Y2541" s="93" t="s">
        <v>93</v>
      </c>
      <c r="Z2541" s="134">
        <f>VLOOKUP(W2541,Sheet2!$B:$D,3,FALSE)</f>
        <v>23</v>
      </c>
      <c r="AA2541" s="93">
        <v>1</v>
      </c>
      <c r="AB2541" s="93">
        <f>AD2541/AC2533</f>
        <v>23</v>
      </c>
      <c r="AC2541" s="93">
        <f>AC2533/AA2541</f>
        <v>5.120000000000001</v>
      </c>
      <c r="AD2541" s="94">
        <f t="shared" ref="AD2541:AD2542" si="2028">AC2541*Z2541</f>
        <v>117.76000000000002</v>
      </c>
      <c r="AE2541" s="190"/>
      <c r="AF2541" s="191"/>
      <c r="AG2541" s="191"/>
      <c r="AH2541" s="191"/>
      <c r="AI2541" s="186"/>
      <c r="AK2541" s="171"/>
    </row>
    <row r="2542" spans="1:41" s="102" customFormat="1" ht="19.899999999999999" customHeight="1" x14ac:dyDescent="0.25">
      <c r="A2542" s="45"/>
      <c r="B2542" s="59"/>
      <c r="C2542" s="137"/>
      <c r="D2542" s="59"/>
      <c r="E2542" s="116"/>
      <c r="F2542" s="120"/>
      <c r="G2542" s="120"/>
      <c r="H2542" s="120"/>
      <c r="I2542" s="60"/>
      <c r="J2542" s="116"/>
      <c r="K2542" s="213"/>
      <c r="L2542" s="120"/>
      <c r="M2542" s="120"/>
      <c r="N2542" s="167"/>
      <c r="O2542" s="120"/>
      <c r="P2542" s="120"/>
      <c r="Q2542" s="120"/>
      <c r="R2542" s="120"/>
      <c r="S2542" s="120"/>
      <c r="T2542" s="221"/>
      <c r="U2542" s="89"/>
      <c r="V2542" s="61"/>
      <c r="W2542" s="92" t="s">
        <v>65</v>
      </c>
      <c r="X2542" s="93" t="s">
        <v>30</v>
      </c>
      <c r="Y2542" s="93" t="s">
        <v>1011</v>
      </c>
      <c r="Z2542" s="134">
        <f>VLOOKUP(W2542,Sheet2!$B:$D,3,FALSE)</f>
        <v>1.76</v>
      </c>
      <c r="AA2542" s="93">
        <f>AA2541/3</f>
        <v>0.33333333333333331</v>
      </c>
      <c r="AB2542" s="93">
        <f>AD2542/AC2533</f>
        <v>5.28</v>
      </c>
      <c r="AC2542" s="93">
        <f>AC2533/AA2542</f>
        <v>15.360000000000003</v>
      </c>
      <c r="AD2542" s="94">
        <f t="shared" si="2028"/>
        <v>27.033600000000007</v>
      </c>
      <c r="AE2542" s="190"/>
      <c r="AF2542" s="191"/>
      <c r="AG2542" s="191"/>
      <c r="AH2542" s="191"/>
      <c r="AI2542" s="186"/>
      <c r="AK2542" s="171"/>
    </row>
    <row r="2543" spans="1:41" ht="25.5" x14ac:dyDescent="0.25">
      <c r="A2543" s="277" t="s">
        <v>410</v>
      </c>
      <c r="B2543" s="278"/>
      <c r="C2543" s="64" t="s">
        <v>473</v>
      </c>
      <c r="D2543" s="46" t="s">
        <v>215</v>
      </c>
      <c r="E2543" s="114">
        <v>0.20999999999999996</v>
      </c>
      <c r="F2543" s="44">
        <v>31596</v>
      </c>
      <c r="G2543" s="44">
        <f t="shared" si="1977"/>
        <v>6635.1599999999989</v>
      </c>
      <c r="H2543" s="44">
        <f t="shared" si="1978"/>
        <v>14151.946180392157</v>
      </c>
      <c r="I2543" s="43">
        <f t="shared" si="1979"/>
        <v>2971.9086978823525</v>
      </c>
      <c r="J2543" s="112">
        <f t="shared" si="1980"/>
        <v>0.20999999999999996</v>
      </c>
      <c r="K2543" s="211">
        <f t="shared" si="1981"/>
        <v>0.20999999999999996</v>
      </c>
      <c r="L2543" s="44"/>
      <c r="M2543" s="44">
        <f t="shared" si="1982"/>
        <v>0.20999999999999996</v>
      </c>
      <c r="N2543" s="173">
        <f t="shared" si="1983"/>
        <v>1</v>
      </c>
      <c r="O2543" s="44">
        <f t="shared" si="1984"/>
        <v>31596</v>
      </c>
      <c r="P2543" s="44">
        <f t="shared" si="1985"/>
        <v>6635.1599999999989</v>
      </c>
      <c r="Q2543" s="44">
        <f t="shared" si="1986"/>
        <v>14151.946180392157</v>
      </c>
      <c r="R2543" s="44">
        <f t="shared" si="1987"/>
        <v>2971.9086978823525</v>
      </c>
      <c r="S2543" s="123"/>
      <c r="T2543" s="219">
        <f t="shared" si="1988"/>
        <v>2971.9086978823525</v>
      </c>
      <c r="U2543" s="87"/>
      <c r="V2543" s="47"/>
      <c r="W2543" s="48"/>
      <c r="X2543" s="48"/>
      <c r="Y2543" s="48"/>
      <c r="Z2543" s="135"/>
      <c r="AA2543" s="49"/>
      <c r="AB2543" s="50">
        <f t="shared" si="1989"/>
        <v>14151.946180392157</v>
      </c>
      <c r="AC2543" s="42">
        <f t="shared" si="1990"/>
        <v>0.20999999999999996</v>
      </c>
      <c r="AD2543" s="90">
        <f>AD2544+AD2549+AD2561+AD2564</f>
        <v>2971.9086978823525</v>
      </c>
      <c r="AE2543" s="188">
        <f t="shared" ref="AE2543" si="2029">AE2544+AE2549+AE2561+AE2564</f>
        <v>0</v>
      </c>
      <c r="AF2543" s="189">
        <f t="shared" ref="AF2543" si="2030">AF2544+AF2549+AF2561+AF2564</f>
        <v>0</v>
      </c>
      <c r="AG2543" s="189">
        <f t="shared" ref="AG2543" si="2031">AG2544+AG2549+AG2561+AG2564</f>
        <v>0</v>
      </c>
      <c r="AH2543" s="189">
        <f t="shared" ref="AH2543" si="2032">AH2544+AH2549+AH2561+AH2564</f>
        <v>0</v>
      </c>
      <c r="AI2543" s="161">
        <f t="shared" ref="AI2543" si="2033">SUM(AE2543:AH2543)</f>
        <v>0</v>
      </c>
      <c r="AK2543" s="169">
        <v>5</v>
      </c>
      <c r="AO2543" s="19" t="s">
        <v>63</v>
      </c>
    </row>
    <row r="2544" spans="1:41" s="103" customFormat="1" ht="19.899999999999999" customHeight="1" x14ac:dyDescent="0.25">
      <c r="A2544" s="51"/>
      <c r="B2544" s="52"/>
      <c r="C2544" s="165"/>
      <c r="D2544" s="52"/>
      <c r="E2544" s="115"/>
      <c r="F2544" s="58"/>
      <c r="G2544" s="58"/>
      <c r="H2544" s="58"/>
      <c r="I2544" s="55"/>
      <c r="J2544" s="113">
        <f>J2543</f>
        <v>0.20999999999999996</v>
      </c>
      <c r="K2544" s="212">
        <f>K2543</f>
        <v>0.20999999999999996</v>
      </c>
      <c r="L2544" s="58"/>
      <c r="M2544" s="58">
        <f>K2544-L2544</f>
        <v>0.20999999999999996</v>
      </c>
      <c r="N2544" s="166"/>
      <c r="O2544" s="58"/>
      <c r="P2544" s="58"/>
      <c r="Q2544" s="58"/>
      <c r="R2544" s="58"/>
      <c r="S2544" s="58"/>
      <c r="T2544" s="220"/>
      <c r="U2544" s="88"/>
      <c r="V2544" s="56"/>
      <c r="W2544" s="57" t="s">
        <v>1371</v>
      </c>
      <c r="X2544" s="53"/>
      <c r="Y2544" s="91" t="s">
        <v>35</v>
      </c>
      <c r="Z2544" s="136">
        <f>AD2544/AC2544</f>
        <v>108.59632941176471</v>
      </c>
      <c r="AA2544" s="58"/>
      <c r="AB2544" s="53">
        <f>AD2544/AC2544</f>
        <v>108.59632941176471</v>
      </c>
      <c r="AC2544" s="53">
        <f>M2544+$AE$10</f>
        <v>0.20999999999999996</v>
      </c>
      <c r="AD2544" s="54">
        <f>SUM(AD2545:AD2548)</f>
        <v>22.805229176470586</v>
      </c>
      <c r="AE2544" s="184">
        <f>SUMIFS($AD$37:$AD$12971,$V$37:$V$12971,$V2544,$X$37:$X$12971,AE$13)</f>
        <v>0</v>
      </c>
      <c r="AF2544" s="185">
        <f>SUMIFS($AD$37:$AD$12971,$V$37:$V$12971,$V2544,$X$37:$X$12971,AF$13)</f>
        <v>0</v>
      </c>
      <c r="AG2544" s="185">
        <f>SUMIFS($AD$37:$AD$12971,$V$37:$V$12971,$V2544,$X$37:$X$12971,AG$13)</f>
        <v>0</v>
      </c>
      <c r="AH2544" s="187">
        <f>SUMIFS($AD$37:$AD$12971,$V$37:$V$12971,$V2544,$X$37:$X$12971,AH$13)</f>
        <v>0</v>
      </c>
      <c r="AI2544" s="161">
        <f t="shared" ref="AI2544" si="2034">SUM(AE2544:AH2544)</f>
        <v>0</v>
      </c>
      <c r="AK2544" s="172"/>
    </row>
    <row r="2545" spans="1:37" s="102" customFormat="1" ht="19.899999999999999" customHeight="1" x14ac:dyDescent="0.25">
      <c r="A2545" s="45"/>
      <c r="B2545" s="59"/>
      <c r="C2545" s="137"/>
      <c r="D2545" s="59"/>
      <c r="E2545" s="116"/>
      <c r="F2545" s="120"/>
      <c r="G2545" s="120"/>
      <c r="H2545" s="120"/>
      <c r="I2545" s="60"/>
      <c r="J2545" s="116"/>
      <c r="K2545" s="213"/>
      <c r="L2545" s="120"/>
      <c r="M2545" s="120"/>
      <c r="N2545" s="167"/>
      <c r="O2545" s="120"/>
      <c r="P2545" s="120"/>
      <c r="Q2545" s="120"/>
      <c r="R2545" s="120"/>
      <c r="S2545" s="120"/>
      <c r="T2545" s="221"/>
      <c r="U2545" s="89"/>
      <c r="V2545" s="61"/>
      <c r="W2545" s="92" t="s">
        <v>129</v>
      </c>
      <c r="X2545" s="93" t="s">
        <v>29</v>
      </c>
      <c r="Y2545" s="93" t="s">
        <v>93</v>
      </c>
      <c r="Z2545" s="134">
        <f>VLOOKUP(W2545,Sheet2!$B:$D,3,FALSE)</f>
        <v>56</v>
      </c>
      <c r="AA2545" s="93">
        <f>100/(3*3*3)</f>
        <v>3.7037037037037037</v>
      </c>
      <c r="AB2545" s="93">
        <f t="shared" ref="AB2545" si="2035">AD2545/AC2544</f>
        <v>15.120000000000001</v>
      </c>
      <c r="AC2545" s="93">
        <f>AC2544/AA2545</f>
        <v>5.6699999999999993E-2</v>
      </c>
      <c r="AD2545" s="94">
        <f t="shared" ref="AD2545:AD2546" si="2036">AC2545*Z2545</f>
        <v>3.1751999999999998</v>
      </c>
      <c r="AE2545" s="190"/>
      <c r="AF2545" s="191"/>
      <c r="AG2545" s="191"/>
      <c r="AH2545" s="191"/>
      <c r="AI2545" s="186"/>
      <c r="AK2545" s="171"/>
    </row>
    <row r="2546" spans="1:37" s="102" customFormat="1" ht="19.899999999999999" customHeight="1" x14ac:dyDescent="0.25">
      <c r="A2546" s="45"/>
      <c r="B2546" s="59"/>
      <c r="C2546" s="137"/>
      <c r="D2546" s="59"/>
      <c r="E2546" s="116"/>
      <c r="F2546" s="120"/>
      <c r="G2546" s="120"/>
      <c r="H2546" s="120"/>
      <c r="I2546" s="60"/>
      <c r="J2546" s="116"/>
      <c r="K2546" s="213"/>
      <c r="L2546" s="120"/>
      <c r="M2546" s="120"/>
      <c r="N2546" s="167"/>
      <c r="O2546" s="120"/>
      <c r="P2546" s="120"/>
      <c r="Q2546" s="120"/>
      <c r="R2546" s="120"/>
      <c r="S2546" s="120"/>
      <c r="T2546" s="221"/>
      <c r="U2546" s="89"/>
      <c r="V2546" s="61"/>
      <c r="W2546" s="92" t="s">
        <v>65</v>
      </c>
      <c r="X2546" s="93" t="s">
        <v>30</v>
      </c>
      <c r="Y2546" s="93" t="s">
        <v>1011</v>
      </c>
      <c r="Z2546" s="134">
        <f>VLOOKUP(W2546,Sheet2!$B:$D,3,FALSE)</f>
        <v>1.76</v>
      </c>
      <c r="AA2546" s="93">
        <f>AA2545/14</f>
        <v>0.26455026455026454</v>
      </c>
      <c r="AB2546" s="93">
        <f>AD2546/AC2544</f>
        <v>6.6528000000000009</v>
      </c>
      <c r="AC2546" s="93">
        <f>AC2544/AA2546</f>
        <v>0.79379999999999995</v>
      </c>
      <c r="AD2546" s="94">
        <f t="shared" si="2036"/>
        <v>1.3970879999999999</v>
      </c>
      <c r="AE2546" s="190"/>
      <c r="AF2546" s="191"/>
      <c r="AG2546" s="191"/>
      <c r="AH2546" s="191"/>
      <c r="AI2546" s="186"/>
      <c r="AK2546" s="171"/>
    </row>
    <row r="2547" spans="1:37" s="102" customFormat="1" ht="19.899999999999999" customHeight="1" x14ac:dyDescent="0.25">
      <c r="A2547" s="45"/>
      <c r="B2547" s="59"/>
      <c r="C2547" s="137"/>
      <c r="D2547" s="59"/>
      <c r="E2547" s="116"/>
      <c r="F2547" s="120"/>
      <c r="G2547" s="120"/>
      <c r="H2547" s="120"/>
      <c r="I2547" s="60"/>
      <c r="J2547" s="116"/>
      <c r="K2547" s="213"/>
      <c r="L2547" s="120"/>
      <c r="M2547" s="120"/>
      <c r="N2547" s="167"/>
      <c r="O2547" s="120"/>
      <c r="P2547" s="120"/>
      <c r="Q2547" s="120"/>
      <c r="R2547" s="120"/>
      <c r="S2547" s="120"/>
      <c r="T2547" s="221"/>
      <c r="U2547" s="89"/>
      <c r="V2547" s="61"/>
      <c r="W2547" s="92" t="s">
        <v>161</v>
      </c>
      <c r="X2547" s="93" t="s">
        <v>29</v>
      </c>
      <c r="Y2547" s="93" t="s">
        <v>93</v>
      </c>
      <c r="Z2547" s="134">
        <f>VLOOKUP(W2547,Sheet2!$B:$D,3,FALSE)</f>
        <v>48</v>
      </c>
      <c r="AA2547" s="93">
        <f>(16*0.85*1.5)/(3*3*3)</f>
        <v>0.75555555555555554</v>
      </c>
      <c r="AB2547" s="93">
        <f>AD2547/AC2544</f>
        <v>63.529411764705884</v>
      </c>
      <c r="AC2547" s="93">
        <f>AC2544/AA2547</f>
        <v>0.27794117647058819</v>
      </c>
      <c r="AD2547" s="94">
        <f>AC2547*Z2547</f>
        <v>13.341176470588234</v>
      </c>
      <c r="AE2547" s="190"/>
      <c r="AF2547" s="191"/>
      <c r="AG2547" s="191"/>
      <c r="AH2547" s="191"/>
      <c r="AI2547" s="186"/>
      <c r="AK2547" s="171"/>
    </row>
    <row r="2548" spans="1:37" s="102" customFormat="1" ht="19.899999999999999" customHeight="1" x14ac:dyDescent="0.25">
      <c r="A2548" s="45"/>
      <c r="B2548" s="59"/>
      <c r="C2548" s="137"/>
      <c r="D2548" s="59"/>
      <c r="E2548" s="116"/>
      <c r="F2548" s="120"/>
      <c r="G2548" s="120"/>
      <c r="H2548" s="120"/>
      <c r="I2548" s="60"/>
      <c r="J2548" s="116"/>
      <c r="K2548" s="213"/>
      <c r="L2548" s="120"/>
      <c r="M2548" s="120"/>
      <c r="N2548" s="167"/>
      <c r="O2548" s="120"/>
      <c r="P2548" s="120"/>
      <c r="Q2548" s="120"/>
      <c r="R2548" s="120"/>
      <c r="S2548" s="120"/>
      <c r="T2548" s="221"/>
      <c r="U2548" s="89"/>
      <c r="V2548" s="61"/>
      <c r="W2548" s="92" t="s">
        <v>65</v>
      </c>
      <c r="X2548" s="93" t="s">
        <v>30</v>
      </c>
      <c r="Y2548" s="93" t="s">
        <v>1011</v>
      </c>
      <c r="Z2548" s="134">
        <f>VLOOKUP(W2548,Sheet2!$B:$D,3,FALSE)</f>
        <v>1.76</v>
      </c>
      <c r="AA2548" s="93">
        <f>AA2547/10</f>
        <v>7.5555555555555556E-2</v>
      </c>
      <c r="AB2548" s="93">
        <f>AD2548/AC2544</f>
        <v>23.294117647058822</v>
      </c>
      <c r="AC2548" s="93">
        <f>AC2544/AA2548</f>
        <v>2.7794117647058818</v>
      </c>
      <c r="AD2548" s="94">
        <f>AC2548*Z2548</f>
        <v>4.8917647058823519</v>
      </c>
      <c r="AE2548" s="190"/>
      <c r="AF2548" s="191"/>
      <c r="AG2548" s="191"/>
      <c r="AH2548" s="191"/>
      <c r="AI2548" s="186"/>
      <c r="AK2548" s="171"/>
    </row>
    <row r="2549" spans="1:37" s="103" customFormat="1" ht="19.899999999999999" customHeight="1" x14ac:dyDescent="0.25">
      <c r="A2549" s="51"/>
      <c r="B2549" s="52"/>
      <c r="C2549" s="165"/>
      <c r="D2549" s="52"/>
      <c r="E2549" s="115"/>
      <c r="F2549" s="58"/>
      <c r="G2549" s="58"/>
      <c r="H2549" s="58"/>
      <c r="I2549" s="55"/>
      <c r="J2549" s="113">
        <f>J2543</f>
        <v>0.20999999999999996</v>
      </c>
      <c r="K2549" s="212">
        <f>K2543</f>
        <v>0.20999999999999996</v>
      </c>
      <c r="L2549" s="58"/>
      <c r="M2549" s="58">
        <f>K2549-L2549</f>
        <v>0.20999999999999996</v>
      </c>
      <c r="N2549" s="166"/>
      <c r="O2549" s="58"/>
      <c r="P2549" s="58"/>
      <c r="Q2549" s="58"/>
      <c r="R2549" s="58"/>
      <c r="S2549" s="58"/>
      <c r="T2549" s="220"/>
      <c r="U2549" s="88"/>
      <c r="V2549" s="56"/>
      <c r="W2549" s="57" t="s">
        <v>1463</v>
      </c>
      <c r="X2549" s="53"/>
      <c r="Y2549" s="91" t="s">
        <v>35</v>
      </c>
      <c r="Z2549" s="136">
        <f>AD2549/AC2549</f>
        <v>10436.6</v>
      </c>
      <c r="AA2549" s="58"/>
      <c r="AB2549" s="53">
        <f>AD2549/AC2549</f>
        <v>10436.6</v>
      </c>
      <c r="AC2549" s="53">
        <f>M2549+$AE$10</f>
        <v>0.20999999999999996</v>
      </c>
      <c r="AD2549" s="54">
        <f>SUM(AD2550:AD2560)</f>
        <v>2191.6859999999997</v>
      </c>
      <c r="AE2549" s="184">
        <f>SUMIFS($AD$37:$AD$12971,$V$37:$V$12971,$V2549,$X$37:$X$12971,AE$13)</f>
        <v>0</v>
      </c>
      <c r="AF2549" s="185">
        <f>SUMIFS($AD$37:$AD$12971,$V$37:$V$12971,$V2549,$X$37:$X$12971,AF$13)</f>
        <v>0</v>
      </c>
      <c r="AG2549" s="185">
        <f>SUMIFS($AD$37:$AD$12971,$V$37:$V$12971,$V2549,$X$37:$X$12971,AG$13)</f>
        <v>0</v>
      </c>
      <c r="AH2549" s="187">
        <f>SUMIFS($AD$37:$AD$12971,$V$37:$V$12971,$V2549,$X$37:$X$12971,AH$13)</f>
        <v>0</v>
      </c>
      <c r="AI2549" s="161">
        <f t="shared" ref="AI2549" si="2037">SUM(AE2549:AH2549)</f>
        <v>0</v>
      </c>
      <c r="AK2549" s="172"/>
    </row>
    <row r="2550" spans="1:37" s="102" customFormat="1" ht="19.899999999999999" customHeight="1" x14ac:dyDescent="0.25">
      <c r="A2550" s="45"/>
      <c r="B2550" s="59"/>
      <c r="C2550" s="137"/>
      <c r="D2550" s="59"/>
      <c r="E2550" s="116"/>
      <c r="F2550" s="120"/>
      <c r="G2550" s="120"/>
      <c r="H2550" s="120"/>
      <c r="I2550" s="60"/>
      <c r="J2550" s="116"/>
      <c r="K2550" s="213"/>
      <c r="L2550" s="120"/>
      <c r="M2550" s="120"/>
      <c r="N2550" s="167"/>
      <c r="O2550" s="120"/>
      <c r="P2550" s="120"/>
      <c r="Q2550" s="120"/>
      <c r="R2550" s="120"/>
      <c r="S2550" s="120"/>
      <c r="T2550" s="221"/>
      <c r="U2550" s="89"/>
      <c r="V2550" s="61"/>
      <c r="W2550" s="92" t="s">
        <v>1032</v>
      </c>
      <c r="X2550" s="93" t="s">
        <v>30</v>
      </c>
      <c r="Y2550" s="93" t="s">
        <v>66</v>
      </c>
      <c r="Z2550" s="134">
        <f>VLOOKUP(W2550,Sheet2!$B:$D,3,FALSE)</f>
        <v>250</v>
      </c>
      <c r="AA2550" s="93">
        <f>1/(3*3*0.1)</f>
        <v>1.1111111111111112</v>
      </c>
      <c r="AB2550" s="93">
        <f t="shared" ref="AB2550" si="2038">AD2550/AC2549</f>
        <v>224.99999999999997</v>
      </c>
      <c r="AC2550" s="93">
        <f>AC2549/AA2550</f>
        <v>0.18899999999999995</v>
      </c>
      <c r="AD2550" s="94">
        <f t="shared" ref="AD2550:AD2552" si="2039">AC2550*Z2550</f>
        <v>47.249999999999986</v>
      </c>
      <c r="AE2550" s="190"/>
      <c r="AF2550" s="191"/>
      <c r="AG2550" s="191"/>
      <c r="AH2550" s="191"/>
      <c r="AI2550" s="186"/>
      <c r="AK2550" s="171"/>
    </row>
    <row r="2551" spans="1:37" s="102" customFormat="1" ht="19.899999999999999" customHeight="1" x14ac:dyDescent="0.25">
      <c r="A2551" s="45"/>
      <c r="B2551" s="59"/>
      <c r="C2551" s="137"/>
      <c r="D2551" s="59"/>
      <c r="E2551" s="116"/>
      <c r="F2551" s="120"/>
      <c r="G2551" s="120"/>
      <c r="H2551" s="120"/>
      <c r="I2551" s="60"/>
      <c r="J2551" s="116"/>
      <c r="K2551" s="213"/>
      <c r="L2551" s="120"/>
      <c r="M2551" s="120"/>
      <c r="N2551" s="167"/>
      <c r="O2551" s="120"/>
      <c r="P2551" s="120"/>
      <c r="Q2551" s="120"/>
      <c r="R2551" s="120"/>
      <c r="S2551" s="120"/>
      <c r="T2551" s="221"/>
      <c r="U2551" s="89"/>
      <c r="V2551" s="61"/>
      <c r="W2551" s="92" t="s">
        <v>1353</v>
      </c>
      <c r="X2551" s="93" t="s">
        <v>30</v>
      </c>
      <c r="Y2551" s="93" t="s">
        <v>66</v>
      </c>
      <c r="Z2551" s="134">
        <f>VLOOKUP(W2551,Sheet2!$B:$D,3,FALSE)</f>
        <v>350</v>
      </c>
      <c r="AA2551" s="93">
        <f>1/(2*2.5*0.25*5)</f>
        <v>0.16</v>
      </c>
      <c r="AB2551" s="93">
        <f>AD2551/AC2549</f>
        <v>2187.5</v>
      </c>
      <c r="AC2551" s="93">
        <f>AC2549/AA2551</f>
        <v>1.3124999999999998</v>
      </c>
      <c r="AD2551" s="94">
        <f t="shared" si="2039"/>
        <v>459.37499999999994</v>
      </c>
      <c r="AE2551" s="190"/>
      <c r="AF2551" s="191"/>
      <c r="AG2551" s="191"/>
      <c r="AH2551" s="191"/>
      <c r="AI2551" s="186"/>
      <c r="AK2551" s="171"/>
    </row>
    <row r="2552" spans="1:37" s="102" customFormat="1" ht="19.899999999999999" customHeight="1" x14ac:dyDescent="0.25">
      <c r="A2552" s="45"/>
      <c r="B2552" s="59"/>
      <c r="C2552" s="137"/>
      <c r="D2552" s="59"/>
      <c r="E2552" s="116"/>
      <c r="F2552" s="120"/>
      <c r="G2552" s="120"/>
      <c r="H2552" s="120"/>
      <c r="I2552" s="60"/>
      <c r="J2552" s="116"/>
      <c r="K2552" s="213"/>
      <c r="L2552" s="120"/>
      <c r="M2552" s="120"/>
      <c r="N2552" s="167"/>
      <c r="O2552" s="120"/>
      <c r="P2552" s="120"/>
      <c r="Q2552" s="120"/>
      <c r="R2552" s="120"/>
      <c r="S2552" s="120"/>
      <c r="T2552" s="221"/>
      <c r="U2552" s="89"/>
      <c r="V2552" s="61"/>
      <c r="W2552" s="92" t="s">
        <v>99</v>
      </c>
      <c r="X2552" s="93" t="s">
        <v>30</v>
      </c>
      <c r="Y2552" s="93" t="s">
        <v>67</v>
      </c>
      <c r="Z2552" s="134">
        <f>VLOOKUP(W2552,Sheet2!$B:$D,3,FALSE)</f>
        <v>2500</v>
      </c>
      <c r="AA2552" s="93">
        <f>1/(2*2.5*0.25*5*0.08)</f>
        <v>2</v>
      </c>
      <c r="AB2552" s="93">
        <f>AD2552/AC2549</f>
        <v>1250</v>
      </c>
      <c r="AC2552" s="93">
        <f>AC2549/AA2552</f>
        <v>0.10499999999999998</v>
      </c>
      <c r="AD2552" s="94">
        <f t="shared" si="2039"/>
        <v>262.49999999999994</v>
      </c>
      <c r="AE2552" s="190"/>
      <c r="AF2552" s="191"/>
      <c r="AG2552" s="191"/>
      <c r="AH2552" s="191"/>
      <c r="AI2552" s="186"/>
      <c r="AK2552" s="171"/>
    </row>
    <row r="2553" spans="1:37" s="102" customFormat="1" ht="19.899999999999999" customHeight="1" x14ac:dyDescent="0.25">
      <c r="A2553" s="45"/>
      <c r="B2553" s="59"/>
      <c r="C2553" s="137"/>
      <c r="D2553" s="59"/>
      <c r="E2553" s="116"/>
      <c r="F2553" s="120"/>
      <c r="G2553" s="120"/>
      <c r="H2553" s="120"/>
      <c r="I2553" s="60"/>
      <c r="J2553" s="116"/>
      <c r="K2553" s="213"/>
      <c r="L2553" s="120"/>
      <c r="M2553" s="120"/>
      <c r="N2553" s="167"/>
      <c r="O2553" s="120"/>
      <c r="P2553" s="120"/>
      <c r="Q2553" s="120"/>
      <c r="R2553" s="120"/>
      <c r="S2553" s="120"/>
      <c r="T2553" s="221"/>
      <c r="U2553" s="89"/>
      <c r="V2553" s="61"/>
      <c r="W2553" s="92" t="s">
        <v>1354</v>
      </c>
      <c r="X2553" s="93" t="s">
        <v>32</v>
      </c>
      <c r="Y2553" s="93" t="s">
        <v>66</v>
      </c>
      <c r="Z2553" s="134">
        <f>VLOOKUP(W2553,Sheet2!$B:$D,3,FALSE)</f>
        <v>150</v>
      </c>
      <c r="AA2553" s="93">
        <f>AA2550</f>
        <v>1.1111111111111112</v>
      </c>
      <c r="AB2553" s="93">
        <f>AD2553/AC2549</f>
        <v>134.99999999999997</v>
      </c>
      <c r="AC2553" s="93">
        <f>AC2549/AA2553</f>
        <v>0.18899999999999995</v>
      </c>
      <c r="AD2553" s="94">
        <f>AC2553*Z2553</f>
        <v>28.349999999999991</v>
      </c>
      <c r="AE2553" s="190"/>
      <c r="AF2553" s="191"/>
      <c r="AG2553" s="191"/>
      <c r="AH2553" s="191"/>
      <c r="AI2553" s="186"/>
      <c r="AK2553" s="171"/>
    </row>
    <row r="2554" spans="1:37" s="102" customFormat="1" ht="19.899999999999999" customHeight="1" x14ac:dyDescent="0.25">
      <c r="A2554" s="45"/>
      <c r="B2554" s="59"/>
      <c r="C2554" s="137"/>
      <c r="D2554" s="59"/>
      <c r="E2554" s="116"/>
      <c r="F2554" s="120"/>
      <c r="G2554" s="120"/>
      <c r="H2554" s="120"/>
      <c r="I2554" s="60"/>
      <c r="J2554" s="116"/>
      <c r="K2554" s="213"/>
      <c r="L2554" s="120"/>
      <c r="M2554" s="120"/>
      <c r="N2554" s="167"/>
      <c r="O2554" s="120"/>
      <c r="P2554" s="120"/>
      <c r="Q2554" s="120"/>
      <c r="R2554" s="120"/>
      <c r="S2554" s="120"/>
      <c r="T2554" s="221"/>
      <c r="U2554" s="89"/>
      <c r="V2554" s="61"/>
      <c r="W2554" s="92" t="s">
        <v>1355</v>
      </c>
      <c r="X2554" s="93" t="s">
        <v>32</v>
      </c>
      <c r="Y2554" s="93" t="s">
        <v>66</v>
      </c>
      <c r="Z2554" s="134">
        <f>VLOOKUP(W2554,Sheet2!$B:$D,3,FALSE)</f>
        <v>450</v>
      </c>
      <c r="AA2554" s="93">
        <f>AA2551</f>
        <v>0.16</v>
      </c>
      <c r="AB2554" s="93">
        <f>AD2554/AC2549</f>
        <v>2812.5</v>
      </c>
      <c r="AC2554" s="93">
        <f>AC2549/AA2554</f>
        <v>1.3124999999999998</v>
      </c>
      <c r="AD2554" s="94">
        <f>AC2554*Z2554</f>
        <v>590.62499999999989</v>
      </c>
      <c r="AE2554" s="190"/>
      <c r="AF2554" s="191"/>
      <c r="AG2554" s="191"/>
      <c r="AH2554" s="191"/>
      <c r="AI2554" s="186"/>
      <c r="AK2554" s="171"/>
    </row>
    <row r="2555" spans="1:37" s="102" customFormat="1" ht="19.899999999999999" customHeight="1" x14ac:dyDescent="0.25">
      <c r="A2555" s="45"/>
      <c r="B2555" s="59"/>
      <c r="C2555" s="137"/>
      <c r="D2555" s="59"/>
      <c r="E2555" s="116"/>
      <c r="F2555" s="120"/>
      <c r="G2555" s="120"/>
      <c r="H2555" s="120"/>
      <c r="I2555" s="60"/>
      <c r="J2555" s="116"/>
      <c r="K2555" s="213"/>
      <c r="L2555" s="120"/>
      <c r="M2555" s="120"/>
      <c r="N2555" s="167"/>
      <c r="O2555" s="120"/>
      <c r="P2555" s="120"/>
      <c r="Q2555" s="120"/>
      <c r="R2555" s="120"/>
      <c r="S2555" s="120"/>
      <c r="T2555" s="221"/>
      <c r="U2555" s="89"/>
      <c r="V2555" s="61"/>
      <c r="W2555" s="92" t="s">
        <v>1356</v>
      </c>
      <c r="X2555" s="93" t="s">
        <v>30</v>
      </c>
      <c r="Y2555" s="93" t="s">
        <v>35</v>
      </c>
      <c r="Z2555" s="134">
        <f>VLOOKUP(W2555,Sheet2!$B:$D,3,FALSE)</f>
        <v>3500</v>
      </c>
      <c r="AA2555" s="93">
        <v>1</v>
      </c>
      <c r="AB2555" s="93">
        <f>AD2555/AC2549</f>
        <v>3500</v>
      </c>
      <c r="AC2555" s="93">
        <f>AC2549/AA2555</f>
        <v>0.20999999999999996</v>
      </c>
      <c r="AD2555" s="94">
        <f t="shared" ref="AD2555:AD2556" si="2040">AC2555*Z2555</f>
        <v>734.99999999999989</v>
      </c>
      <c r="AE2555" s="190"/>
      <c r="AF2555" s="191"/>
      <c r="AG2555" s="191"/>
      <c r="AH2555" s="191"/>
      <c r="AI2555" s="186"/>
      <c r="AK2555" s="171"/>
    </row>
    <row r="2556" spans="1:37" s="102" customFormat="1" ht="19.899999999999999" customHeight="1" x14ac:dyDescent="0.25">
      <c r="A2556" s="45"/>
      <c r="B2556" s="59"/>
      <c r="C2556" s="137"/>
      <c r="D2556" s="59"/>
      <c r="E2556" s="116"/>
      <c r="F2556" s="120"/>
      <c r="G2556" s="120"/>
      <c r="H2556" s="120"/>
      <c r="I2556" s="60"/>
      <c r="J2556" s="116"/>
      <c r="K2556" s="213"/>
      <c r="L2556" s="120"/>
      <c r="M2556" s="120"/>
      <c r="N2556" s="167"/>
      <c r="O2556" s="120"/>
      <c r="P2556" s="120"/>
      <c r="Q2556" s="120"/>
      <c r="R2556" s="120"/>
      <c r="S2556" s="120"/>
      <c r="T2556" s="221"/>
      <c r="U2556" s="89"/>
      <c r="V2556" s="61"/>
      <c r="W2556" s="92" t="s">
        <v>174</v>
      </c>
      <c r="X2556" s="93" t="s">
        <v>29</v>
      </c>
      <c r="Y2556" s="93" t="s">
        <v>93</v>
      </c>
      <c r="Z2556" s="134">
        <f>VLOOKUP(W2556,Sheet2!$B:$D,3,FALSE)</f>
        <v>80</v>
      </c>
      <c r="AA2556" s="93">
        <v>4</v>
      </c>
      <c r="AB2556" s="93">
        <f>AD2556/AC2549</f>
        <v>20</v>
      </c>
      <c r="AC2556" s="93">
        <f>AC2549/AA2556</f>
        <v>5.2499999999999991E-2</v>
      </c>
      <c r="AD2556" s="94">
        <f t="shared" si="2040"/>
        <v>4.1999999999999993</v>
      </c>
      <c r="AE2556" s="190"/>
      <c r="AF2556" s="191"/>
      <c r="AG2556" s="191"/>
      <c r="AH2556" s="191"/>
      <c r="AI2556" s="186"/>
      <c r="AK2556" s="171"/>
    </row>
    <row r="2557" spans="1:37" s="102" customFormat="1" ht="19.899999999999999" customHeight="1" x14ac:dyDescent="0.25">
      <c r="A2557" s="45"/>
      <c r="B2557" s="59"/>
      <c r="C2557" s="137"/>
      <c r="D2557" s="59"/>
      <c r="E2557" s="116"/>
      <c r="F2557" s="120"/>
      <c r="G2557" s="120"/>
      <c r="H2557" s="120"/>
      <c r="I2557" s="60"/>
      <c r="J2557" s="116"/>
      <c r="K2557" s="213"/>
      <c r="L2557" s="120"/>
      <c r="M2557" s="120"/>
      <c r="N2557" s="167"/>
      <c r="O2557" s="120"/>
      <c r="P2557" s="120"/>
      <c r="Q2557" s="120"/>
      <c r="R2557" s="120"/>
      <c r="S2557" s="120"/>
      <c r="T2557" s="221"/>
      <c r="U2557" s="89"/>
      <c r="V2557" s="61"/>
      <c r="W2557" s="92" t="s">
        <v>65</v>
      </c>
      <c r="X2557" s="93" t="s">
        <v>30</v>
      </c>
      <c r="Y2557" s="93" t="s">
        <v>93</v>
      </c>
      <c r="Z2557" s="134">
        <f>VLOOKUP(W2557,Sheet2!$B:$D,3,FALSE)</f>
        <v>1.76</v>
      </c>
      <c r="AA2557" s="93">
        <f>AA2556/15</f>
        <v>0.26666666666666666</v>
      </c>
      <c r="AB2557" s="93">
        <f>AD2557/AC2549</f>
        <v>6.6</v>
      </c>
      <c r="AC2557" s="93">
        <f>AC2549/AA2557</f>
        <v>0.78749999999999987</v>
      </c>
      <c r="AD2557" s="94">
        <f>AC2557*Z2557</f>
        <v>1.3859999999999997</v>
      </c>
      <c r="AE2557" s="190"/>
      <c r="AF2557" s="191"/>
      <c r="AG2557" s="191"/>
      <c r="AH2557" s="191"/>
      <c r="AI2557" s="186"/>
      <c r="AK2557" s="171"/>
    </row>
    <row r="2558" spans="1:37" s="102" customFormat="1" ht="19.899999999999999" customHeight="1" x14ac:dyDescent="0.25">
      <c r="A2558" s="45"/>
      <c r="B2558" s="59"/>
      <c r="C2558" s="137"/>
      <c r="D2558" s="59"/>
      <c r="E2558" s="116"/>
      <c r="F2558" s="120"/>
      <c r="G2558" s="120"/>
      <c r="H2558" s="120"/>
      <c r="I2558" s="60"/>
      <c r="J2558" s="116"/>
      <c r="K2558" s="213"/>
      <c r="L2558" s="120"/>
      <c r="M2558" s="120"/>
      <c r="N2558" s="167"/>
      <c r="O2558" s="120"/>
      <c r="P2558" s="120"/>
      <c r="Q2558" s="120"/>
      <c r="R2558" s="120"/>
      <c r="S2558" s="120"/>
      <c r="T2558" s="221"/>
      <c r="U2558" s="89"/>
      <c r="V2558" s="61"/>
      <c r="W2558" s="92" t="s">
        <v>1357</v>
      </c>
      <c r="X2558" s="93" t="s">
        <v>30</v>
      </c>
      <c r="Y2558" s="93" t="s">
        <v>1349</v>
      </c>
      <c r="Z2558" s="134">
        <f>VLOOKUP(W2558,Sheet2!$B:$D,3,FALSE)</f>
        <v>150</v>
      </c>
      <c r="AA2558" s="93">
        <v>1</v>
      </c>
      <c r="AB2558" s="93">
        <f>AD2558/AC2549</f>
        <v>150</v>
      </c>
      <c r="AC2558" s="93">
        <f>AC2549/AA2558</f>
        <v>0.20999999999999996</v>
      </c>
      <c r="AD2558" s="94">
        <f>AC2558*Z2558</f>
        <v>31.499999999999993</v>
      </c>
      <c r="AE2558" s="190"/>
      <c r="AF2558" s="191"/>
      <c r="AG2558" s="191"/>
      <c r="AH2558" s="191"/>
      <c r="AI2558" s="186"/>
      <c r="AK2558" s="171"/>
    </row>
    <row r="2559" spans="1:37" s="102" customFormat="1" ht="19.899999999999999" customHeight="1" x14ac:dyDescent="0.25">
      <c r="A2559" s="45"/>
      <c r="B2559" s="59"/>
      <c r="C2559" s="137"/>
      <c r="D2559" s="59"/>
      <c r="E2559" s="116"/>
      <c r="F2559" s="120"/>
      <c r="G2559" s="120"/>
      <c r="H2559" s="120"/>
      <c r="I2559" s="60"/>
      <c r="J2559" s="116"/>
      <c r="K2559" s="213"/>
      <c r="L2559" s="120"/>
      <c r="M2559" s="120"/>
      <c r="N2559" s="167"/>
      <c r="O2559" s="120"/>
      <c r="P2559" s="120"/>
      <c r="Q2559" s="120"/>
      <c r="R2559" s="120"/>
      <c r="S2559" s="120"/>
      <c r="T2559" s="221"/>
      <c r="U2559" s="89"/>
      <c r="V2559" s="61"/>
      <c r="W2559" s="92" t="s">
        <v>107</v>
      </c>
      <c r="X2559" s="93" t="s">
        <v>31</v>
      </c>
      <c r="Y2559" s="93" t="s">
        <v>93</v>
      </c>
      <c r="Z2559" s="134">
        <f>VLOOKUP(W2559,Sheet2!$B:$D,3,FALSE)</f>
        <v>17</v>
      </c>
      <c r="AA2559" s="93">
        <f>1/5</f>
        <v>0.2</v>
      </c>
      <c r="AB2559" s="93">
        <f>AD2559/AC2549</f>
        <v>85</v>
      </c>
      <c r="AC2559" s="93">
        <f>AC2549/AA2559</f>
        <v>1.0499999999999998</v>
      </c>
      <c r="AD2559" s="94">
        <f>AC2559*Z2559</f>
        <v>17.849999999999998</v>
      </c>
      <c r="AE2559" s="190"/>
      <c r="AF2559" s="191"/>
      <c r="AG2559" s="191"/>
      <c r="AH2559" s="191"/>
      <c r="AI2559" s="186"/>
      <c r="AK2559" s="171"/>
    </row>
    <row r="2560" spans="1:37" s="102" customFormat="1" ht="19.899999999999999" customHeight="1" x14ac:dyDescent="0.25">
      <c r="A2560" s="45"/>
      <c r="B2560" s="59"/>
      <c r="C2560" s="137"/>
      <c r="D2560" s="59"/>
      <c r="E2560" s="116"/>
      <c r="F2560" s="120"/>
      <c r="G2560" s="120"/>
      <c r="H2560" s="120"/>
      <c r="I2560" s="60"/>
      <c r="J2560" s="116"/>
      <c r="K2560" s="213"/>
      <c r="L2560" s="120"/>
      <c r="M2560" s="120"/>
      <c r="N2560" s="167"/>
      <c r="O2560" s="120"/>
      <c r="P2560" s="120"/>
      <c r="Q2560" s="120"/>
      <c r="R2560" s="120"/>
      <c r="S2560" s="120"/>
      <c r="T2560" s="221"/>
      <c r="U2560" s="89"/>
      <c r="V2560" s="61"/>
      <c r="W2560" s="92" t="s">
        <v>112</v>
      </c>
      <c r="X2560" s="93" t="s">
        <v>31</v>
      </c>
      <c r="Y2560" s="93" t="s">
        <v>93</v>
      </c>
      <c r="Z2560" s="134">
        <f>VLOOKUP(W2560,Sheet2!$B:$D,3,FALSE)</f>
        <v>13</v>
      </c>
      <c r="AA2560" s="93">
        <f>AA2559</f>
        <v>0.2</v>
      </c>
      <c r="AB2560" s="93">
        <f>AD2560/AC2549</f>
        <v>65</v>
      </c>
      <c r="AC2560" s="93">
        <f>AC2549/AA2560</f>
        <v>1.0499999999999998</v>
      </c>
      <c r="AD2560" s="94">
        <f>AC2560*Z2560</f>
        <v>13.649999999999999</v>
      </c>
      <c r="AE2560" s="190"/>
      <c r="AF2560" s="191"/>
      <c r="AG2560" s="191"/>
      <c r="AH2560" s="191"/>
      <c r="AI2560" s="186"/>
      <c r="AK2560" s="171"/>
    </row>
    <row r="2561" spans="1:37" s="103" customFormat="1" ht="19.899999999999999" customHeight="1" x14ac:dyDescent="0.25">
      <c r="A2561" s="51"/>
      <c r="B2561" s="52"/>
      <c r="C2561" s="165"/>
      <c r="D2561" s="52"/>
      <c r="E2561" s="115"/>
      <c r="F2561" s="58"/>
      <c r="G2561" s="58"/>
      <c r="H2561" s="58"/>
      <c r="I2561" s="55"/>
      <c r="J2561" s="113">
        <f>J2543</f>
        <v>0.20999999999999996</v>
      </c>
      <c r="K2561" s="212">
        <f>K2543</f>
        <v>0.20999999999999996</v>
      </c>
      <c r="L2561" s="58"/>
      <c r="M2561" s="58">
        <f>K2561-L2561</f>
        <v>0.20999999999999996</v>
      </c>
      <c r="N2561" s="166"/>
      <c r="O2561" s="58"/>
      <c r="P2561" s="58"/>
      <c r="Q2561" s="58"/>
      <c r="R2561" s="58"/>
      <c r="S2561" s="58"/>
      <c r="T2561" s="220"/>
      <c r="U2561" s="88"/>
      <c r="V2561" s="56"/>
      <c r="W2561" s="57" t="s">
        <v>1358</v>
      </c>
      <c r="X2561" s="53"/>
      <c r="Y2561" s="91" t="s">
        <v>35</v>
      </c>
      <c r="Z2561" s="136">
        <f>AD2561/AC2561</f>
        <v>3360</v>
      </c>
      <c r="AA2561" s="58"/>
      <c r="AB2561" s="53">
        <f>AD2561/AC2561</f>
        <v>3360</v>
      </c>
      <c r="AC2561" s="53">
        <f>M2561+$AE$10</f>
        <v>0.20999999999999996</v>
      </c>
      <c r="AD2561" s="54">
        <f>SUM(AD2562:AD2563)</f>
        <v>705.59999999999991</v>
      </c>
      <c r="AE2561" s="184">
        <f>SUMIFS($AD$37:$AD$12971,$V$37:$V$12971,$V2561,$X$37:$X$12971,AE$13)</f>
        <v>0</v>
      </c>
      <c r="AF2561" s="185">
        <f>SUMIFS($AD$37:$AD$12971,$V$37:$V$12971,$V2561,$X$37:$X$12971,AF$13)</f>
        <v>0</v>
      </c>
      <c r="AG2561" s="185">
        <f>SUMIFS($AD$37:$AD$12971,$V$37:$V$12971,$V2561,$X$37:$X$12971,AG$13)</f>
        <v>0</v>
      </c>
      <c r="AH2561" s="187">
        <f>SUMIFS($AD$37:$AD$12971,$V$37:$V$12971,$V2561,$X$37:$X$12971,AH$13)</f>
        <v>0</v>
      </c>
      <c r="AI2561" s="161">
        <f t="shared" ref="AI2561" si="2041">SUM(AE2561:AH2561)</f>
        <v>0</v>
      </c>
      <c r="AK2561" s="172"/>
    </row>
    <row r="2562" spans="1:37" s="102" customFormat="1" ht="19.899999999999999" customHeight="1" x14ac:dyDescent="0.25">
      <c r="A2562" s="45"/>
      <c r="B2562" s="59"/>
      <c r="C2562" s="137"/>
      <c r="D2562" s="59"/>
      <c r="E2562" s="116"/>
      <c r="F2562" s="120"/>
      <c r="G2562" s="120"/>
      <c r="H2562" s="120"/>
      <c r="I2562" s="60"/>
      <c r="J2562" s="116"/>
      <c r="K2562" s="213"/>
      <c r="L2562" s="120"/>
      <c r="M2562" s="120"/>
      <c r="N2562" s="167"/>
      <c r="O2562" s="120"/>
      <c r="P2562" s="120"/>
      <c r="Q2562" s="120"/>
      <c r="R2562" s="120"/>
      <c r="S2562" s="120"/>
      <c r="T2562" s="221"/>
      <c r="U2562" s="89"/>
      <c r="V2562" s="61"/>
      <c r="W2562" s="92" t="s">
        <v>1359</v>
      </c>
      <c r="X2562" s="93" t="s">
        <v>32</v>
      </c>
      <c r="Y2562" s="93" t="s">
        <v>64</v>
      </c>
      <c r="Z2562" s="134">
        <f>VLOOKUP(W2562,Sheet2!$B:$D,3,FALSE)</f>
        <v>40</v>
      </c>
      <c r="AA2562" s="93">
        <f>1/48</f>
        <v>2.0833333333333332E-2</v>
      </c>
      <c r="AB2562" s="93">
        <f t="shared" ref="AB2562" si="2042">AD2562/AC2561</f>
        <v>1920</v>
      </c>
      <c r="AC2562" s="93">
        <f>AC2561/AA2562</f>
        <v>10.079999999999998</v>
      </c>
      <c r="AD2562" s="94">
        <f t="shared" ref="AD2562:AD2563" si="2043">AC2562*Z2562</f>
        <v>403.19999999999993</v>
      </c>
      <c r="AE2562" s="190"/>
      <c r="AF2562" s="191"/>
      <c r="AG2562" s="191"/>
      <c r="AH2562" s="191"/>
      <c r="AI2562" s="186"/>
      <c r="AK2562" s="171"/>
    </row>
    <row r="2563" spans="1:37" s="102" customFormat="1" ht="19.899999999999999" customHeight="1" x14ac:dyDescent="0.25">
      <c r="A2563" s="45"/>
      <c r="B2563" s="59"/>
      <c r="C2563" s="137"/>
      <c r="D2563" s="59"/>
      <c r="E2563" s="116"/>
      <c r="F2563" s="120"/>
      <c r="G2563" s="120"/>
      <c r="H2563" s="120"/>
      <c r="I2563" s="60"/>
      <c r="J2563" s="116"/>
      <c r="K2563" s="213"/>
      <c r="L2563" s="120"/>
      <c r="M2563" s="120"/>
      <c r="N2563" s="167"/>
      <c r="O2563" s="120"/>
      <c r="P2563" s="120"/>
      <c r="Q2563" s="120"/>
      <c r="R2563" s="120"/>
      <c r="S2563" s="120"/>
      <c r="T2563" s="221"/>
      <c r="U2563" s="89"/>
      <c r="V2563" s="61"/>
      <c r="W2563" s="92" t="s">
        <v>1360</v>
      </c>
      <c r="X2563" s="93" t="s">
        <v>32</v>
      </c>
      <c r="Y2563" s="93" t="s">
        <v>64</v>
      </c>
      <c r="Z2563" s="134">
        <f>VLOOKUP(W2563,Sheet2!$B:$D,3,FALSE)</f>
        <v>30</v>
      </c>
      <c r="AA2563" s="93">
        <f>AA2562</f>
        <v>2.0833333333333332E-2</v>
      </c>
      <c r="AB2563" s="93">
        <f>AD2563/AC2561</f>
        <v>1440.0000000000002</v>
      </c>
      <c r="AC2563" s="93">
        <f>AC2561/AA2563</f>
        <v>10.079999999999998</v>
      </c>
      <c r="AD2563" s="94">
        <f t="shared" si="2043"/>
        <v>302.39999999999998</v>
      </c>
      <c r="AE2563" s="190"/>
      <c r="AF2563" s="191"/>
      <c r="AG2563" s="191"/>
      <c r="AH2563" s="191"/>
      <c r="AI2563" s="186"/>
      <c r="AK2563" s="171"/>
    </row>
    <row r="2564" spans="1:37" s="103" customFormat="1" ht="19.899999999999999" customHeight="1" x14ac:dyDescent="0.25">
      <c r="A2564" s="51"/>
      <c r="B2564" s="52"/>
      <c r="C2564" s="165"/>
      <c r="D2564" s="52"/>
      <c r="E2564" s="115"/>
      <c r="F2564" s="58"/>
      <c r="G2564" s="58"/>
      <c r="H2564" s="58"/>
      <c r="I2564" s="55"/>
      <c r="J2564" s="113">
        <f>J2543</f>
        <v>0.20999999999999996</v>
      </c>
      <c r="K2564" s="212">
        <f>K2543</f>
        <v>0.20999999999999996</v>
      </c>
      <c r="L2564" s="58"/>
      <c r="M2564" s="58">
        <f>K2564-L2564</f>
        <v>0.20999999999999996</v>
      </c>
      <c r="N2564" s="166"/>
      <c r="O2564" s="58"/>
      <c r="P2564" s="58"/>
      <c r="Q2564" s="58"/>
      <c r="R2564" s="58"/>
      <c r="S2564" s="58"/>
      <c r="T2564" s="220"/>
      <c r="U2564" s="88"/>
      <c r="V2564" s="56"/>
      <c r="W2564" s="57" t="s">
        <v>1272</v>
      </c>
      <c r="X2564" s="53"/>
      <c r="Y2564" s="91" t="s">
        <v>35</v>
      </c>
      <c r="Z2564" s="136">
        <f>AD2564/AC2564</f>
        <v>246.74985098039218</v>
      </c>
      <c r="AA2564" s="58"/>
      <c r="AB2564" s="53">
        <f>AD2564/AC2564</f>
        <v>246.74985098039218</v>
      </c>
      <c r="AC2564" s="53">
        <f>M2564+$AE$10</f>
        <v>0.20999999999999996</v>
      </c>
      <c r="AD2564" s="54">
        <f>SUM(AD2565:AD2573)</f>
        <v>51.817468705882348</v>
      </c>
      <c r="AE2564" s="184">
        <f>SUMIFS($AD$37:$AD$12971,$V$37:$V$12971,$V2564,$X$37:$X$12971,AE$13)</f>
        <v>0</v>
      </c>
      <c r="AF2564" s="185">
        <f>SUMIFS($AD$37:$AD$12971,$V$37:$V$12971,$V2564,$X$37:$X$12971,AF$13)</f>
        <v>0</v>
      </c>
      <c r="AG2564" s="185">
        <f>SUMIFS($AD$37:$AD$12971,$V$37:$V$12971,$V2564,$X$37:$X$12971,AG$13)</f>
        <v>0</v>
      </c>
      <c r="AH2564" s="187">
        <f>SUMIFS($AD$37:$AD$12971,$V$37:$V$12971,$V2564,$X$37:$X$12971,AH$13)</f>
        <v>0</v>
      </c>
      <c r="AI2564" s="161">
        <f t="shared" ref="AI2564" si="2044">SUM(AE2564:AH2564)</f>
        <v>0</v>
      </c>
      <c r="AK2564" s="172"/>
    </row>
    <row r="2565" spans="1:37" s="102" customFormat="1" ht="19.899999999999999" customHeight="1" x14ac:dyDescent="0.25">
      <c r="A2565" s="45"/>
      <c r="B2565" s="59"/>
      <c r="C2565" s="137"/>
      <c r="D2565" s="59"/>
      <c r="E2565" s="116"/>
      <c r="F2565" s="120"/>
      <c r="G2565" s="120"/>
      <c r="H2565" s="120"/>
      <c r="I2565" s="60"/>
      <c r="J2565" s="116"/>
      <c r="K2565" s="213"/>
      <c r="L2565" s="120"/>
      <c r="M2565" s="120"/>
      <c r="N2565" s="167"/>
      <c r="O2565" s="120"/>
      <c r="P2565" s="120"/>
      <c r="Q2565" s="120"/>
      <c r="R2565" s="120"/>
      <c r="S2565" s="120"/>
      <c r="T2565" s="221"/>
      <c r="U2565" s="89"/>
      <c r="V2565" s="61"/>
      <c r="W2565" s="92" t="s">
        <v>1273</v>
      </c>
      <c r="X2565" s="93" t="s">
        <v>30</v>
      </c>
      <c r="Y2565" s="93" t="s">
        <v>66</v>
      </c>
      <c r="Z2565" s="134">
        <f>VLOOKUP(W2565,Sheet2!$B:$D,3,FALSE)</f>
        <v>10</v>
      </c>
      <c r="AA2565" s="93">
        <f>1/(2.5*2.9*0.5*4)</f>
        <v>6.8965517241379309E-2</v>
      </c>
      <c r="AB2565" s="93">
        <f>AD2565/AC2564</f>
        <v>145</v>
      </c>
      <c r="AC2565" s="93">
        <f>AC2564/AA2565</f>
        <v>3.0449999999999995</v>
      </c>
      <c r="AD2565" s="94">
        <f t="shared" ref="AD2565:AD2567" si="2045">AC2565*Z2565</f>
        <v>30.449999999999996</v>
      </c>
      <c r="AE2565" s="190"/>
      <c r="AF2565" s="191"/>
      <c r="AG2565" s="191"/>
      <c r="AH2565" s="191"/>
      <c r="AI2565" s="186"/>
      <c r="AK2565" s="171"/>
    </row>
    <row r="2566" spans="1:37" s="102" customFormat="1" ht="19.899999999999999" customHeight="1" x14ac:dyDescent="0.25">
      <c r="A2566" s="45"/>
      <c r="B2566" s="59"/>
      <c r="C2566" s="137"/>
      <c r="D2566" s="59"/>
      <c r="E2566" s="116"/>
      <c r="F2566" s="120"/>
      <c r="G2566" s="120"/>
      <c r="H2566" s="120"/>
      <c r="I2566" s="60"/>
      <c r="J2566" s="116"/>
      <c r="K2566" s="213"/>
      <c r="L2566" s="120"/>
      <c r="M2566" s="120"/>
      <c r="N2566" s="167"/>
      <c r="O2566" s="120"/>
      <c r="P2566" s="120"/>
      <c r="Q2566" s="120"/>
      <c r="R2566" s="120"/>
      <c r="S2566" s="120"/>
      <c r="T2566" s="221"/>
      <c r="U2566" s="89"/>
      <c r="V2566" s="61"/>
      <c r="W2566" s="92" t="s">
        <v>134</v>
      </c>
      <c r="X2566" s="93" t="s">
        <v>29</v>
      </c>
      <c r="Y2566" s="93" t="s">
        <v>93</v>
      </c>
      <c r="Z2566" s="134">
        <f>VLOOKUP(W2566,Sheet2!$B:$D,3,FALSE)</f>
        <v>65.599999999999994</v>
      </c>
      <c r="AA2566" s="93">
        <f>100/(2.5*2.9*0.5*4)</f>
        <v>6.8965517241379306</v>
      </c>
      <c r="AB2566" s="93">
        <f t="shared" ref="AB2566" si="2046">AD2566/AC2564</f>
        <v>9.5120000000000005</v>
      </c>
      <c r="AC2566" s="93">
        <f>AC2564/AA2566</f>
        <v>3.0449999999999998E-2</v>
      </c>
      <c r="AD2566" s="94">
        <f t="shared" si="2045"/>
        <v>1.9975199999999997</v>
      </c>
      <c r="AE2566" s="190"/>
      <c r="AF2566" s="191"/>
      <c r="AG2566" s="191"/>
      <c r="AH2566" s="191"/>
      <c r="AI2566" s="186"/>
      <c r="AK2566" s="171"/>
    </row>
    <row r="2567" spans="1:37" s="102" customFormat="1" ht="19.899999999999999" customHeight="1" x14ac:dyDescent="0.25">
      <c r="A2567" s="45"/>
      <c r="B2567" s="59"/>
      <c r="C2567" s="137"/>
      <c r="D2567" s="59"/>
      <c r="E2567" s="116"/>
      <c r="F2567" s="120"/>
      <c r="G2567" s="120"/>
      <c r="H2567" s="120"/>
      <c r="I2567" s="60"/>
      <c r="J2567" s="116"/>
      <c r="K2567" s="213"/>
      <c r="L2567" s="120"/>
      <c r="M2567" s="120"/>
      <c r="N2567" s="167"/>
      <c r="O2567" s="120"/>
      <c r="P2567" s="120"/>
      <c r="Q2567" s="120"/>
      <c r="R2567" s="120"/>
      <c r="S2567" s="120"/>
      <c r="T2567" s="221"/>
      <c r="U2567" s="89"/>
      <c r="V2567" s="61"/>
      <c r="W2567" s="92" t="s">
        <v>65</v>
      </c>
      <c r="X2567" s="93" t="s">
        <v>30</v>
      </c>
      <c r="Y2567" s="93" t="s">
        <v>1011</v>
      </c>
      <c r="Z2567" s="134">
        <f>VLOOKUP(W2567,Sheet2!$B:$D,3,FALSE)</f>
        <v>1.76</v>
      </c>
      <c r="AA2567" s="93">
        <f>AA2566/9</f>
        <v>0.76628352490421447</v>
      </c>
      <c r="AB2567" s="93">
        <f>AD2567/AC2564</f>
        <v>2.2968000000000002</v>
      </c>
      <c r="AC2567" s="93">
        <f>AC2564/AA2567</f>
        <v>0.27404999999999996</v>
      </c>
      <c r="AD2567" s="94">
        <f t="shared" si="2045"/>
        <v>0.48232799999999992</v>
      </c>
      <c r="AE2567" s="190"/>
      <c r="AF2567" s="191"/>
      <c r="AG2567" s="191"/>
      <c r="AH2567" s="191"/>
      <c r="AI2567" s="186"/>
      <c r="AK2567" s="171"/>
    </row>
    <row r="2568" spans="1:37" s="102" customFormat="1" ht="19.899999999999999" customHeight="1" x14ac:dyDescent="0.25">
      <c r="A2568" s="45"/>
      <c r="B2568" s="59"/>
      <c r="C2568" s="137"/>
      <c r="D2568" s="59"/>
      <c r="E2568" s="116"/>
      <c r="F2568" s="120"/>
      <c r="G2568" s="120"/>
      <c r="H2568" s="120"/>
      <c r="I2568" s="60"/>
      <c r="J2568" s="116"/>
      <c r="K2568" s="213"/>
      <c r="L2568" s="120"/>
      <c r="M2568" s="120"/>
      <c r="N2568" s="167"/>
      <c r="O2568" s="120"/>
      <c r="P2568" s="120"/>
      <c r="Q2568" s="120"/>
      <c r="R2568" s="120"/>
      <c r="S2568" s="120"/>
      <c r="T2568" s="221"/>
      <c r="U2568" s="89"/>
      <c r="V2568" s="61"/>
      <c r="W2568" s="92" t="s">
        <v>161</v>
      </c>
      <c r="X2568" s="93" t="s">
        <v>29</v>
      </c>
      <c r="Y2568" s="93" t="s">
        <v>93</v>
      </c>
      <c r="Z2568" s="134">
        <f>VLOOKUP(W2568,Sheet2!$B:$D,3,FALSE)</f>
        <v>48</v>
      </c>
      <c r="AA2568" s="93">
        <f>(16*0.85*1.5)/(2.5*2.9*0.5*4)</f>
        <v>1.4068965517241379</v>
      </c>
      <c r="AB2568" s="93">
        <f>AD2568/AC2564</f>
        <v>34.117647058823529</v>
      </c>
      <c r="AC2568" s="93">
        <f>AC2564/AA2568</f>
        <v>0.14926470588235291</v>
      </c>
      <c r="AD2568" s="94">
        <f>AC2568*Z2568</f>
        <v>7.1647058823529397</v>
      </c>
      <c r="AE2568" s="190"/>
      <c r="AF2568" s="191"/>
      <c r="AG2568" s="191"/>
      <c r="AH2568" s="191"/>
      <c r="AI2568" s="186"/>
      <c r="AK2568" s="171"/>
    </row>
    <row r="2569" spans="1:37" s="102" customFormat="1" ht="19.899999999999999" customHeight="1" x14ac:dyDescent="0.25">
      <c r="A2569" s="45"/>
      <c r="B2569" s="59"/>
      <c r="C2569" s="137"/>
      <c r="D2569" s="59"/>
      <c r="E2569" s="116"/>
      <c r="F2569" s="120"/>
      <c r="G2569" s="120"/>
      <c r="H2569" s="120"/>
      <c r="I2569" s="60"/>
      <c r="J2569" s="116"/>
      <c r="K2569" s="213"/>
      <c r="L2569" s="120"/>
      <c r="M2569" s="120"/>
      <c r="N2569" s="167"/>
      <c r="O2569" s="120"/>
      <c r="P2569" s="120"/>
      <c r="Q2569" s="120"/>
      <c r="R2569" s="120"/>
      <c r="S2569" s="120"/>
      <c r="T2569" s="221"/>
      <c r="U2569" s="89"/>
      <c r="V2569" s="61"/>
      <c r="W2569" s="92" t="s">
        <v>65</v>
      </c>
      <c r="X2569" s="93" t="s">
        <v>30</v>
      </c>
      <c r="Y2569" s="93" t="s">
        <v>1011</v>
      </c>
      <c r="Z2569" s="134">
        <f>VLOOKUP(W2569,Sheet2!$B:$D,3,FALSE)</f>
        <v>1.76</v>
      </c>
      <c r="AA2569" s="93">
        <f>AA2568/10</f>
        <v>0.14068965517241377</v>
      </c>
      <c r="AB2569" s="93">
        <f>AD2569/AC2564</f>
        <v>12.509803921568629</v>
      </c>
      <c r="AC2569" s="93">
        <f>AC2564/AA2569</f>
        <v>1.4926470588235294</v>
      </c>
      <c r="AD2569" s="94">
        <f>AC2569*Z2569</f>
        <v>2.6270588235294117</v>
      </c>
      <c r="AE2569" s="190"/>
      <c r="AF2569" s="191"/>
      <c r="AG2569" s="191"/>
      <c r="AH2569" s="191"/>
      <c r="AI2569" s="186"/>
      <c r="AK2569" s="171"/>
    </row>
    <row r="2570" spans="1:37" s="102" customFormat="1" ht="19.899999999999999" customHeight="1" x14ac:dyDescent="0.25">
      <c r="A2570" s="45"/>
      <c r="B2570" s="59"/>
      <c r="C2570" s="137"/>
      <c r="D2570" s="59"/>
      <c r="E2570" s="116"/>
      <c r="F2570" s="120"/>
      <c r="G2570" s="120"/>
      <c r="H2570" s="120"/>
      <c r="I2570" s="60"/>
      <c r="J2570" s="116"/>
      <c r="K2570" s="213"/>
      <c r="L2570" s="120"/>
      <c r="M2570" s="120"/>
      <c r="N2570" s="167"/>
      <c r="O2570" s="120"/>
      <c r="P2570" s="120"/>
      <c r="Q2570" s="120"/>
      <c r="R2570" s="120"/>
      <c r="S2570" s="120"/>
      <c r="T2570" s="221"/>
      <c r="U2570" s="89"/>
      <c r="V2570" s="61"/>
      <c r="W2570" s="92" t="s">
        <v>173</v>
      </c>
      <c r="X2570" s="93" t="s">
        <v>29</v>
      </c>
      <c r="Y2570" s="93" t="s">
        <v>93</v>
      </c>
      <c r="Z2570" s="134">
        <f>VLOOKUP(W2570,Sheet2!$B:$D,3,FALSE)</f>
        <v>36</v>
      </c>
      <c r="AA2570" s="93">
        <f>50/(2.5*2.9*0.5*4)</f>
        <v>3.4482758620689653</v>
      </c>
      <c r="AB2570" s="93">
        <f>AD2570/AC2564</f>
        <v>10.44</v>
      </c>
      <c r="AC2570" s="93">
        <f>AC2564/AA2570</f>
        <v>6.0899999999999996E-2</v>
      </c>
      <c r="AD2570" s="94">
        <f>AC2570*Z2570</f>
        <v>2.1923999999999997</v>
      </c>
      <c r="AE2570" s="190"/>
      <c r="AF2570" s="191"/>
      <c r="AG2570" s="191"/>
      <c r="AH2570" s="191"/>
      <c r="AI2570" s="186"/>
      <c r="AK2570" s="171"/>
    </row>
    <row r="2571" spans="1:37" s="102" customFormat="1" ht="19.899999999999999" customHeight="1" x14ac:dyDescent="0.25">
      <c r="A2571" s="45"/>
      <c r="B2571" s="59"/>
      <c r="C2571" s="137"/>
      <c r="D2571" s="59"/>
      <c r="E2571" s="116"/>
      <c r="F2571" s="120"/>
      <c r="G2571" s="120"/>
      <c r="H2571" s="120"/>
      <c r="I2571" s="60"/>
      <c r="J2571" s="116"/>
      <c r="K2571" s="213"/>
      <c r="L2571" s="120"/>
      <c r="M2571" s="120"/>
      <c r="N2571" s="167"/>
      <c r="O2571" s="120"/>
      <c r="P2571" s="120"/>
      <c r="Q2571" s="120"/>
      <c r="R2571" s="120"/>
      <c r="S2571" s="120"/>
      <c r="T2571" s="221"/>
      <c r="U2571" s="89"/>
      <c r="V2571" s="61"/>
      <c r="W2571" s="92" t="s">
        <v>65</v>
      </c>
      <c r="X2571" s="93" t="s">
        <v>30</v>
      </c>
      <c r="Y2571" s="93" t="s">
        <v>1011</v>
      </c>
      <c r="Z2571" s="134">
        <f>VLOOKUP(W2571,Sheet2!$B:$D,3,FALSE)</f>
        <v>1.76</v>
      </c>
      <c r="AA2571" s="93">
        <f>AA2570/9</f>
        <v>0.38314176245210724</v>
      </c>
      <c r="AB2571" s="93">
        <f>AD2571/AC2564</f>
        <v>4.5936000000000003</v>
      </c>
      <c r="AC2571" s="93">
        <f>AC2564/AA2571</f>
        <v>0.54809999999999992</v>
      </c>
      <c r="AD2571" s="94">
        <f>AC2571*Z2571</f>
        <v>0.96465599999999985</v>
      </c>
      <c r="AE2571" s="190"/>
      <c r="AF2571" s="191"/>
      <c r="AG2571" s="191"/>
      <c r="AH2571" s="191"/>
      <c r="AI2571" s="186"/>
      <c r="AK2571" s="171"/>
    </row>
    <row r="2572" spans="1:37" s="102" customFormat="1" ht="19.899999999999999" customHeight="1" x14ac:dyDescent="0.25">
      <c r="A2572" s="45"/>
      <c r="B2572" s="59"/>
      <c r="C2572" s="137"/>
      <c r="D2572" s="59"/>
      <c r="E2572" s="116"/>
      <c r="F2572" s="120"/>
      <c r="G2572" s="120"/>
      <c r="H2572" s="120"/>
      <c r="I2572" s="60"/>
      <c r="J2572" s="116"/>
      <c r="K2572" s="213"/>
      <c r="L2572" s="120"/>
      <c r="M2572" s="120"/>
      <c r="N2572" s="167"/>
      <c r="O2572" s="120"/>
      <c r="P2572" s="120"/>
      <c r="Q2572" s="120"/>
      <c r="R2572" s="120"/>
      <c r="S2572" s="120"/>
      <c r="T2572" s="221"/>
      <c r="U2572" s="89"/>
      <c r="V2572" s="61"/>
      <c r="W2572" s="92" t="s">
        <v>1030</v>
      </c>
      <c r="X2572" s="93" t="s">
        <v>29</v>
      </c>
      <c r="Y2572" s="93" t="s">
        <v>93</v>
      </c>
      <c r="Z2572" s="134">
        <f>VLOOKUP(W2572,Sheet2!$B:$D,3,FALSE)</f>
        <v>23</v>
      </c>
      <c r="AA2572" s="93">
        <v>1</v>
      </c>
      <c r="AB2572" s="93">
        <f>AD2572/AC2564</f>
        <v>23</v>
      </c>
      <c r="AC2572" s="93">
        <f>AC2564/AA2572</f>
        <v>0.20999999999999996</v>
      </c>
      <c r="AD2572" s="94">
        <f t="shared" ref="AD2572:AD2573" si="2047">AC2572*Z2572</f>
        <v>4.8299999999999992</v>
      </c>
      <c r="AE2572" s="190"/>
      <c r="AF2572" s="191"/>
      <c r="AG2572" s="191"/>
      <c r="AH2572" s="191"/>
      <c r="AI2572" s="186"/>
      <c r="AK2572" s="171"/>
    </row>
    <row r="2573" spans="1:37" s="102" customFormat="1" ht="19.899999999999999" customHeight="1" x14ac:dyDescent="0.25">
      <c r="A2573" s="45"/>
      <c r="B2573" s="59"/>
      <c r="C2573" s="137"/>
      <c r="D2573" s="59"/>
      <c r="E2573" s="116"/>
      <c r="F2573" s="120"/>
      <c r="G2573" s="120"/>
      <c r="H2573" s="120"/>
      <c r="I2573" s="60"/>
      <c r="J2573" s="116"/>
      <c r="K2573" s="213"/>
      <c r="L2573" s="120"/>
      <c r="M2573" s="120"/>
      <c r="N2573" s="167"/>
      <c r="O2573" s="120"/>
      <c r="P2573" s="120"/>
      <c r="Q2573" s="120"/>
      <c r="R2573" s="120"/>
      <c r="S2573" s="120"/>
      <c r="T2573" s="221"/>
      <c r="U2573" s="89"/>
      <c r="V2573" s="61"/>
      <c r="W2573" s="92" t="s">
        <v>65</v>
      </c>
      <c r="X2573" s="93" t="s">
        <v>30</v>
      </c>
      <c r="Y2573" s="93" t="s">
        <v>1011</v>
      </c>
      <c r="Z2573" s="134">
        <f>VLOOKUP(W2573,Sheet2!$B:$D,3,FALSE)</f>
        <v>1.76</v>
      </c>
      <c r="AA2573" s="93">
        <f>AA2572/3</f>
        <v>0.33333333333333331</v>
      </c>
      <c r="AB2573" s="93">
        <f>AD2573/AC2564</f>
        <v>5.28</v>
      </c>
      <c r="AC2573" s="93">
        <f>AC2564/AA2573</f>
        <v>0.62999999999999989</v>
      </c>
      <c r="AD2573" s="94">
        <f t="shared" si="2047"/>
        <v>1.1087999999999998</v>
      </c>
      <c r="AE2573" s="190"/>
      <c r="AF2573" s="191"/>
      <c r="AG2573" s="191"/>
      <c r="AH2573" s="191"/>
      <c r="AI2573" s="186"/>
      <c r="AK2573" s="171"/>
    </row>
    <row r="2574" spans="1:37" s="306" customFormat="1" ht="90" x14ac:dyDescent="0.25">
      <c r="A2574" s="287" t="s">
        <v>410</v>
      </c>
      <c r="B2574" s="288"/>
      <c r="C2574" s="286" t="s">
        <v>474</v>
      </c>
      <c r="D2574" s="289"/>
      <c r="E2574" s="290"/>
      <c r="F2574" s="291"/>
      <c r="G2574" s="291">
        <f t="shared" si="1977"/>
        <v>0</v>
      </c>
      <c r="H2574" s="291">
        <f t="shared" si="1978"/>
        <v>0</v>
      </c>
      <c r="I2574" s="292">
        <f t="shared" si="1979"/>
        <v>0</v>
      </c>
      <c r="J2574" s="290">
        <f t="shared" si="1980"/>
        <v>0</v>
      </c>
      <c r="K2574" s="293">
        <f t="shared" si="1981"/>
        <v>0</v>
      </c>
      <c r="L2574" s="291"/>
      <c r="M2574" s="291">
        <f t="shared" si="1982"/>
        <v>0</v>
      </c>
      <c r="N2574" s="294">
        <f t="shared" si="1983"/>
        <v>0</v>
      </c>
      <c r="O2574" s="291">
        <f t="shared" si="1984"/>
        <v>0</v>
      </c>
      <c r="P2574" s="291">
        <f t="shared" si="1985"/>
        <v>0</v>
      </c>
      <c r="Q2574" s="291">
        <f t="shared" si="1986"/>
        <v>0</v>
      </c>
      <c r="R2574" s="291">
        <f t="shared" si="1987"/>
        <v>0</v>
      </c>
      <c r="S2574" s="291"/>
      <c r="T2574" s="295">
        <f t="shared" si="1988"/>
        <v>0</v>
      </c>
      <c r="U2574" s="296"/>
      <c r="V2574" s="297"/>
      <c r="W2574" s="298"/>
      <c r="X2574" s="299"/>
      <c r="Y2574" s="300"/>
      <c r="Z2574" s="301"/>
      <c r="AA2574" s="300"/>
      <c r="AB2574" s="300">
        <f t="shared" si="1989"/>
        <v>0</v>
      </c>
      <c r="AC2574" s="300">
        <f t="shared" si="1990"/>
        <v>9.9999999999999998E-20</v>
      </c>
      <c r="AD2574" s="302"/>
      <c r="AE2574" s="303"/>
      <c r="AF2574" s="304"/>
      <c r="AG2574" s="304"/>
      <c r="AH2574" s="304"/>
      <c r="AI2574" s="305"/>
      <c r="AK2574" s="307"/>
    </row>
    <row r="2575" spans="1:37" ht="20.100000000000001" customHeight="1" x14ac:dyDescent="0.25">
      <c r="A2575" s="277" t="s">
        <v>410</v>
      </c>
      <c r="B2575" s="278"/>
      <c r="C2575" s="64" t="s">
        <v>475</v>
      </c>
      <c r="D2575" s="46" t="s">
        <v>215</v>
      </c>
      <c r="E2575" s="114"/>
      <c r="F2575" s="44"/>
      <c r="G2575" s="44">
        <f t="shared" si="1977"/>
        <v>0</v>
      </c>
      <c r="H2575" s="44">
        <f t="shared" si="1978"/>
        <v>0</v>
      </c>
      <c r="I2575" s="43">
        <f t="shared" si="1979"/>
        <v>0</v>
      </c>
      <c r="J2575" s="112">
        <f t="shared" si="1980"/>
        <v>0</v>
      </c>
      <c r="K2575" s="211">
        <f t="shared" si="1981"/>
        <v>0</v>
      </c>
      <c r="L2575" s="44"/>
      <c r="M2575" s="44">
        <f t="shared" si="1982"/>
        <v>0</v>
      </c>
      <c r="N2575" s="173">
        <f t="shared" si="1983"/>
        <v>0</v>
      </c>
      <c r="O2575" s="44">
        <f t="shared" si="1984"/>
        <v>0</v>
      </c>
      <c r="P2575" s="44">
        <f t="shared" si="1985"/>
        <v>0</v>
      </c>
      <c r="Q2575" s="44">
        <f t="shared" si="1986"/>
        <v>0</v>
      </c>
      <c r="R2575" s="44">
        <f t="shared" si="1987"/>
        <v>0</v>
      </c>
      <c r="S2575" s="123"/>
      <c r="T2575" s="219">
        <f t="shared" si="1988"/>
        <v>0</v>
      </c>
      <c r="U2575" s="87"/>
      <c r="V2575" s="47"/>
      <c r="W2575" s="48"/>
      <c r="X2575" s="48"/>
      <c r="Y2575" s="48"/>
      <c r="Z2575" s="135"/>
      <c r="AA2575" s="49"/>
      <c r="AB2575" s="50">
        <f t="shared" si="1989"/>
        <v>0</v>
      </c>
      <c r="AC2575" s="42">
        <f t="shared" si="1990"/>
        <v>9.9999999999999998E-20</v>
      </c>
      <c r="AD2575" s="90"/>
      <c r="AE2575" s="188"/>
      <c r="AF2575" s="189"/>
      <c r="AG2575" s="189"/>
      <c r="AH2575" s="189"/>
      <c r="AI2575" s="161"/>
    </row>
    <row r="2576" spans="1:37" ht="20.100000000000001" customHeight="1" x14ac:dyDescent="0.25">
      <c r="A2576" s="277" t="s">
        <v>410</v>
      </c>
      <c r="B2576" s="278"/>
      <c r="C2576" s="64" t="s">
        <v>476</v>
      </c>
      <c r="D2576" s="46" t="s">
        <v>215</v>
      </c>
      <c r="E2576" s="114"/>
      <c r="F2576" s="44"/>
      <c r="G2576" s="44">
        <f t="shared" si="1977"/>
        <v>0</v>
      </c>
      <c r="H2576" s="44">
        <f t="shared" si="1978"/>
        <v>0</v>
      </c>
      <c r="I2576" s="43">
        <f t="shared" si="1979"/>
        <v>0</v>
      </c>
      <c r="J2576" s="112">
        <f t="shared" si="1980"/>
        <v>0</v>
      </c>
      <c r="K2576" s="211">
        <f t="shared" si="1981"/>
        <v>0</v>
      </c>
      <c r="L2576" s="44"/>
      <c r="M2576" s="44">
        <f t="shared" si="1982"/>
        <v>0</v>
      </c>
      <c r="N2576" s="173">
        <f t="shared" si="1983"/>
        <v>0</v>
      </c>
      <c r="O2576" s="44">
        <f t="shared" si="1984"/>
        <v>0</v>
      </c>
      <c r="P2576" s="44">
        <f t="shared" si="1985"/>
        <v>0</v>
      </c>
      <c r="Q2576" s="44">
        <f t="shared" si="1986"/>
        <v>0</v>
      </c>
      <c r="R2576" s="44">
        <f t="shared" si="1987"/>
        <v>0</v>
      </c>
      <c r="S2576" s="123"/>
      <c r="T2576" s="219">
        <f t="shared" si="1988"/>
        <v>0</v>
      </c>
      <c r="U2576" s="87"/>
      <c r="V2576" s="47"/>
      <c r="W2576" s="48"/>
      <c r="X2576" s="48"/>
      <c r="Y2576" s="48"/>
      <c r="Z2576" s="135"/>
      <c r="AA2576" s="49"/>
      <c r="AB2576" s="50">
        <f t="shared" si="1989"/>
        <v>0</v>
      </c>
      <c r="AC2576" s="42">
        <f t="shared" si="1990"/>
        <v>9.9999999999999998E-20</v>
      </c>
      <c r="AD2576" s="90"/>
      <c r="AE2576" s="188"/>
      <c r="AF2576" s="189"/>
      <c r="AG2576" s="189"/>
      <c r="AH2576" s="189"/>
      <c r="AI2576" s="161"/>
    </row>
    <row r="2577" spans="1:41" ht="20.100000000000001" customHeight="1" x14ac:dyDescent="0.25">
      <c r="A2577" s="277" t="s">
        <v>410</v>
      </c>
      <c r="B2577" s="278"/>
      <c r="C2577" s="64" t="s">
        <v>477</v>
      </c>
      <c r="D2577" s="46" t="s">
        <v>215</v>
      </c>
      <c r="E2577" s="114">
        <v>13.000000000000004</v>
      </c>
      <c r="F2577" s="44">
        <v>22406</v>
      </c>
      <c r="G2577" s="44">
        <f t="shared" si="1977"/>
        <v>291278.00000000006</v>
      </c>
      <c r="H2577" s="44">
        <f t="shared" si="1978"/>
        <v>12286.179576470588</v>
      </c>
      <c r="I2577" s="43">
        <f t="shared" si="1979"/>
        <v>159720.33449411768</v>
      </c>
      <c r="J2577" s="112">
        <f t="shared" si="1980"/>
        <v>13.000000000000004</v>
      </c>
      <c r="K2577" s="211">
        <f t="shared" si="1981"/>
        <v>13.000000000000004</v>
      </c>
      <c r="L2577" s="44"/>
      <c r="M2577" s="44">
        <f t="shared" si="1982"/>
        <v>13.000000000000004</v>
      </c>
      <c r="N2577" s="173">
        <f t="shared" si="1983"/>
        <v>1</v>
      </c>
      <c r="O2577" s="44">
        <f t="shared" si="1984"/>
        <v>22406</v>
      </c>
      <c r="P2577" s="44">
        <f t="shared" si="1985"/>
        <v>291278.00000000006</v>
      </c>
      <c r="Q2577" s="44">
        <f t="shared" si="1986"/>
        <v>12286.179576470588</v>
      </c>
      <c r="R2577" s="44">
        <f t="shared" si="1987"/>
        <v>159720.33449411768</v>
      </c>
      <c r="S2577" s="123"/>
      <c r="T2577" s="219">
        <f t="shared" si="1988"/>
        <v>159720.33449411768</v>
      </c>
      <c r="U2577" s="87"/>
      <c r="V2577" s="47"/>
      <c r="W2577" s="48"/>
      <c r="X2577" s="48"/>
      <c r="Y2577" s="48"/>
      <c r="Z2577" s="135"/>
      <c r="AA2577" s="49"/>
      <c r="AB2577" s="50">
        <f t="shared" si="1989"/>
        <v>12286.179576470588</v>
      </c>
      <c r="AC2577" s="42">
        <f t="shared" si="1990"/>
        <v>13.000000000000004</v>
      </c>
      <c r="AD2577" s="90">
        <f>AD2578+AD2583+AD2595+AD2598</f>
        <v>159720.33449411768</v>
      </c>
      <c r="AE2577" s="188">
        <f t="shared" ref="AE2577" si="2048">AE2578+AE2583+AE2595+AE2598</f>
        <v>0</v>
      </c>
      <c r="AF2577" s="189">
        <f t="shared" ref="AF2577" si="2049">AF2578+AF2583+AF2595+AF2598</f>
        <v>0</v>
      </c>
      <c r="AG2577" s="189">
        <f t="shared" ref="AG2577" si="2050">AG2578+AG2583+AG2595+AG2598</f>
        <v>0</v>
      </c>
      <c r="AH2577" s="189">
        <f t="shared" ref="AH2577" si="2051">AH2578+AH2583+AH2595+AH2598</f>
        <v>0</v>
      </c>
      <c r="AI2577" s="161">
        <f t="shared" ref="AI2577" si="2052">SUM(AE2577:AH2577)</f>
        <v>0</v>
      </c>
      <c r="AK2577" s="169">
        <v>5</v>
      </c>
      <c r="AO2577" s="19" t="s">
        <v>63</v>
      </c>
    </row>
    <row r="2578" spans="1:41" s="103" customFormat="1" ht="19.899999999999999" customHeight="1" x14ac:dyDescent="0.25">
      <c r="A2578" s="51"/>
      <c r="B2578" s="52"/>
      <c r="C2578" s="165"/>
      <c r="D2578" s="52"/>
      <c r="E2578" s="115"/>
      <c r="F2578" s="58"/>
      <c r="G2578" s="58"/>
      <c r="H2578" s="58"/>
      <c r="I2578" s="55"/>
      <c r="J2578" s="113">
        <f>J2577</f>
        <v>13.000000000000004</v>
      </c>
      <c r="K2578" s="212">
        <f>K2577</f>
        <v>13.000000000000004</v>
      </c>
      <c r="L2578" s="58"/>
      <c r="M2578" s="58">
        <f>K2578-L2578</f>
        <v>13.000000000000004</v>
      </c>
      <c r="N2578" s="166"/>
      <c r="O2578" s="58"/>
      <c r="P2578" s="58"/>
      <c r="Q2578" s="58"/>
      <c r="R2578" s="58"/>
      <c r="S2578" s="58"/>
      <c r="T2578" s="220"/>
      <c r="U2578" s="88"/>
      <c r="V2578" s="56"/>
      <c r="W2578" s="57" t="s">
        <v>1351</v>
      </c>
      <c r="X2578" s="53"/>
      <c r="Y2578" s="91" t="s">
        <v>35</v>
      </c>
      <c r="Z2578" s="136">
        <f>AD2578/AC2578</f>
        <v>90.4969411764706</v>
      </c>
      <c r="AA2578" s="58"/>
      <c r="AB2578" s="53">
        <f>AD2578/AC2578</f>
        <v>90.4969411764706</v>
      </c>
      <c r="AC2578" s="53">
        <f>M2578+$AE$10</f>
        <v>13.000000000000004</v>
      </c>
      <c r="AD2578" s="54">
        <f>SUM(AD2579:AD2582)</f>
        <v>1176.4602352941181</v>
      </c>
      <c r="AE2578" s="184">
        <f>SUMIFS($AD$37:$AD$12971,$V$37:$V$12971,$V2578,$X$37:$X$12971,AE$13)</f>
        <v>0</v>
      </c>
      <c r="AF2578" s="185">
        <f>SUMIFS($AD$37:$AD$12971,$V$37:$V$12971,$V2578,$X$37:$X$12971,AF$13)</f>
        <v>0</v>
      </c>
      <c r="AG2578" s="185">
        <f>SUMIFS($AD$37:$AD$12971,$V$37:$V$12971,$V2578,$X$37:$X$12971,AG$13)</f>
        <v>0</v>
      </c>
      <c r="AH2578" s="187">
        <f>SUMIFS($AD$37:$AD$12971,$V$37:$V$12971,$V2578,$X$37:$X$12971,AH$13)</f>
        <v>0</v>
      </c>
      <c r="AI2578" s="161">
        <f t="shared" ref="AI2578" si="2053">SUM(AE2578:AH2578)</f>
        <v>0</v>
      </c>
      <c r="AK2578" s="172"/>
    </row>
    <row r="2579" spans="1:41" s="102" customFormat="1" ht="19.899999999999999" customHeight="1" x14ac:dyDescent="0.25">
      <c r="A2579" s="45"/>
      <c r="B2579" s="59"/>
      <c r="C2579" s="137"/>
      <c r="D2579" s="59"/>
      <c r="E2579" s="116"/>
      <c r="F2579" s="120"/>
      <c r="G2579" s="120"/>
      <c r="H2579" s="120"/>
      <c r="I2579" s="60"/>
      <c r="J2579" s="116"/>
      <c r="K2579" s="213"/>
      <c r="L2579" s="120"/>
      <c r="M2579" s="120"/>
      <c r="N2579" s="167"/>
      <c r="O2579" s="120"/>
      <c r="P2579" s="120"/>
      <c r="Q2579" s="120"/>
      <c r="R2579" s="120"/>
      <c r="S2579" s="120"/>
      <c r="T2579" s="221"/>
      <c r="U2579" s="89"/>
      <c r="V2579" s="61"/>
      <c r="W2579" s="92" t="s">
        <v>129</v>
      </c>
      <c r="X2579" s="93" t="s">
        <v>29</v>
      </c>
      <c r="Y2579" s="93" t="s">
        <v>93</v>
      </c>
      <c r="Z2579" s="134">
        <f>VLOOKUP(W2579,Sheet2!$B:$D,3,FALSE)</f>
        <v>56</v>
      </c>
      <c r="AA2579" s="93">
        <f>100/(3*3*2.5)</f>
        <v>4.4444444444444446</v>
      </c>
      <c r="AB2579" s="93">
        <f t="shared" ref="AB2579" si="2054">AD2579/AC2578</f>
        <v>12.6</v>
      </c>
      <c r="AC2579" s="93">
        <f>AC2578/AA2579</f>
        <v>2.9250000000000007</v>
      </c>
      <c r="AD2579" s="94">
        <f t="shared" ref="AD2579:AD2580" si="2055">AC2579*Z2579</f>
        <v>163.80000000000004</v>
      </c>
      <c r="AE2579" s="190"/>
      <c r="AF2579" s="191"/>
      <c r="AG2579" s="191"/>
      <c r="AH2579" s="191"/>
      <c r="AI2579" s="186"/>
      <c r="AK2579" s="171"/>
    </row>
    <row r="2580" spans="1:41" s="102" customFormat="1" ht="19.899999999999999" customHeight="1" x14ac:dyDescent="0.25">
      <c r="A2580" s="45"/>
      <c r="B2580" s="59"/>
      <c r="C2580" s="137"/>
      <c r="D2580" s="59"/>
      <c r="E2580" s="116"/>
      <c r="F2580" s="120"/>
      <c r="G2580" s="120"/>
      <c r="H2580" s="120"/>
      <c r="I2580" s="60"/>
      <c r="J2580" s="116"/>
      <c r="K2580" s="213"/>
      <c r="L2580" s="120"/>
      <c r="M2580" s="120"/>
      <c r="N2580" s="167"/>
      <c r="O2580" s="120"/>
      <c r="P2580" s="120"/>
      <c r="Q2580" s="120"/>
      <c r="R2580" s="120"/>
      <c r="S2580" s="120"/>
      <c r="T2580" s="221"/>
      <c r="U2580" s="89"/>
      <c r="V2580" s="61"/>
      <c r="W2580" s="92" t="s">
        <v>65</v>
      </c>
      <c r="X2580" s="93" t="s">
        <v>30</v>
      </c>
      <c r="Y2580" s="93" t="s">
        <v>1011</v>
      </c>
      <c r="Z2580" s="134">
        <f>VLOOKUP(W2580,Sheet2!$B:$D,3,FALSE)</f>
        <v>1.76</v>
      </c>
      <c r="AA2580" s="93">
        <f>AA2579/14</f>
        <v>0.3174603174603175</v>
      </c>
      <c r="AB2580" s="93">
        <f>AD2580/AC2578</f>
        <v>5.5439999999999987</v>
      </c>
      <c r="AC2580" s="93">
        <f>AC2578/AA2580</f>
        <v>40.950000000000003</v>
      </c>
      <c r="AD2580" s="94">
        <f t="shared" si="2055"/>
        <v>72.072000000000003</v>
      </c>
      <c r="AE2580" s="190"/>
      <c r="AF2580" s="191"/>
      <c r="AG2580" s="191"/>
      <c r="AH2580" s="191"/>
      <c r="AI2580" s="186"/>
      <c r="AK2580" s="171"/>
    </row>
    <row r="2581" spans="1:41" s="102" customFormat="1" ht="19.899999999999999" customHeight="1" x14ac:dyDescent="0.25">
      <c r="A2581" s="45"/>
      <c r="B2581" s="59"/>
      <c r="C2581" s="137"/>
      <c r="D2581" s="59"/>
      <c r="E2581" s="116"/>
      <c r="F2581" s="120"/>
      <c r="G2581" s="120"/>
      <c r="H2581" s="120"/>
      <c r="I2581" s="60"/>
      <c r="J2581" s="116"/>
      <c r="K2581" s="213"/>
      <c r="L2581" s="120"/>
      <c r="M2581" s="120"/>
      <c r="N2581" s="167"/>
      <c r="O2581" s="120"/>
      <c r="P2581" s="120"/>
      <c r="Q2581" s="120"/>
      <c r="R2581" s="120"/>
      <c r="S2581" s="120"/>
      <c r="T2581" s="221"/>
      <c r="U2581" s="89"/>
      <c r="V2581" s="61"/>
      <c r="W2581" s="92" t="s">
        <v>161</v>
      </c>
      <c r="X2581" s="93" t="s">
        <v>29</v>
      </c>
      <c r="Y2581" s="93" t="s">
        <v>93</v>
      </c>
      <c r="Z2581" s="134">
        <f>VLOOKUP(W2581,Sheet2!$B:$D,3,FALSE)</f>
        <v>48</v>
      </c>
      <c r="AA2581" s="93">
        <f>(16*0.85*1.5)/(3*3*2.5)</f>
        <v>0.90666666666666662</v>
      </c>
      <c r="AB2581" s="93">
        <f>AD2581/AC2578</f>
        <v>52.941176470588239</v>
      </c>
      <c r="AC2581" s="93">
        <f>AC2578/AA2581</f>
        <v>14.338235294117652</v>
      </c>
      <c r="AD2581" s="94">
        <f>AC2581*Z2581</f>
        <v>688.2352941176473</v>
      </c>
      <c r="AE2581" s="190"/>
      <c r="AF2581" s="191"/>
      <c r="AG2581" s="191"/>
      <c r="AH2581" s="191"/>
      <c r="AI2581" s="186"/>
      <c r="AK2581" s="171"/>
    </row>
    <row r="2582" spans="1:41" s="102" customFormat="1" ht="19.899999999999999" customHeight="1" x14ac:dyDescent="0.25">
      <c r="A2582" s="45"/>
      <c r="B2582" s="59"/>
      <c r="C2582" s="137"/>
      <c r="D2582" s="59"/>
      <c r="E2582" s="116"/>
      <c r="F2582" s="120"/>
      <c r="G2582" s="120"/>
      <c r="H2582" s="120"/>
      <c r="I2582" s="60"/>
      <c r="J2582" s="116"/>
      <c r="K2582" s="213"/>
      <c r="L2582" s="120"/>
      <c r="M2582" s="120"/>
      <c r="N2582" s="167"/>
      <c r="O2582" s="120"/>
      <c r="P2582" s="120"/>
      <c r="Q2582" s="120"/>
      <c r="R2582" s="120"/>
      <c r="S2582" s="120"/>
      <c r="T2582" s="221"/>
      <c r="U2582" s="89"/>
      <c r="V2582" s="61"/>
      <c r="W2582" s="92" t="s">
        <v>65</v>
      </c>
      <c r="X2582" s="93" t="s">
        <v>30</v>
      </c>
      <c r="Y2582" s="93" t="s">
        <v>1011</v>
      </c>
      <c r="Z2582" s="134">
        <f>VLOOKUP(W2582,Sheet2!$B:$D,3,FALSE)</f>
        <v>1.76</v>
      </c>
      <c r="AA2582" s="93">
        <f>AA2581/10</f>
        <v>9.0666666666666659E-2</v>
      </c>
      <c r="AB2582" s="93">
        <f>AD2582/AC2578</f>
        <v>19.411764705882355</v>
      </c>
      <c r="AC2582" s="93">
        <f>AC2578/AA2582</f>
        <v>143.38235294117652</v>
      </c>
      <c r="AD2582" s="94">
        <f>AC2582*Z2582</f>
        <v>252.35294117647067</v>
      </c>
      <c r="AE2582" s="190"/>
      <c r="AF2582" s="191"/>
      <c r="AG2582" s="191"/>
      <c r="AH2582" s="191"/>
      <c r="AI2582" s="186"/>
      <c r="AK2582" s="171"/>
    </row>
    <row r="2583" spans="1:41" s="103" customFormat="1" ht="19.899999999999999" customHeight="1" x14ac:dyDescent="0.25">
      <c r="A2583" s="51"/>
      <c r="B2583" s="52"/>
      <c r="C2583" s="165"/>
      <c r="D2583" s="52"/>
      <c r="E2583" s="115"/>
      <c r="F2583" s="58"/>
      <c r="G2583" s="58"/>
      <c r="H2583" s="58"/>
      <c r="I2583" s="55"/>
      <c r="J2583" s="113">
        <f>J2577</f>
        <v>13.000000000000004</v>
      </c>
      <c r="K2583" s="212">
        <f>K2577</f>
        <v>13.000000000000004</v>
      </c>
      <c r="L2583" s="58"/>
      <c r="M2583" s="58">
        <f>K2583-L2583</f>
        <v>13.000000000000004</v>
      </c>
      <c r="N2583" s="166"/>
      <c r="O2583" s="58"/>
      <c r="P2583" s="58"/>
      <c r="Q2583" s="58"/>
      <c r="R2583" s="58"/>
      <c r="S2583" s="58"/>
      <c r="T2583" s="220"/>
      <c r="U2583" s="88"/>
      <c r="V2583" s="56"/>
      <c r="W2583" s="57" t="s">
        <v>1352</v>
      </c>
      <c r="X2583" s="53"/>
      <c r="Y2583" s="91" t="s">
        <v>35</v>
      </c>
      <c r="Z2583" s="136">
        <f>AD2583/AC2583</f>
        <v>9186.6</v>
      </c>
      <c r="AA2583" s="58"/>
      <c r="AB2583" s="53">
        <f>AD2583/AC2583</f>
        <v>9186.6</v>
      </c>
      <c r="AC2583" s="53">
        <f>M2583+$AE$10</f>
        <v>13.000000000000004</v>
      </c>
      <c r="AD2583" s="54">
        <f>SUM(AD2584:AD2594)</f>
        <v>119425.80000000003</v>
      </c>
      <c r="AE2583" s="184">
        <f>SUMIFS($AD$37:$AD$12971,$V$37:$V$12971,$V2583,$X$37:$X$12971,AE$13)</f>
        <v>0</v>
      </c>
      <c r="AF2583" s="185">
        <f>SUMIFS($AD$37:$AD$12971,$V$37:$V$12971,$V2583,$X$37:$X$12971,AF$13)</f>
        <v>0</v>
      </c>
      <c r="AG2583" s="185">
        <f>SUMIFS($AD$37:$AD$12971,$V$37:$V$12971,$V2583,$X$37:$X$12971,AG$13)</f>
        <v>0</v>
      </c>
      <c r="AH2583" s="187">
        <f>SUMIFS($AD$37:$AD$12971,$V$37:$V$12971,$V2583,$X$37:$X$12971,AH$13)</f>
        <v>0</v>
      </c>
      <c r="AI2583" s="161">
        <f t="shared" ref="AI2583" si="2056">SUM(AE2583:AH2583)</f>
        <v>0</v>
      </c>
      <c r="AK2583" s="172"/>
    </row>
    <row r="2584" spans="1:41" s="102" customFormat="1" ht="19.899999999999999" customHeight="1" x14ac:dyDescent="0.25">
      <c r="A2584" s="45"/>
      <c r="B2584" s="59"/>
      <c r="C2584" s="137"/>
      <c r="D2584" s="59"/>
      <c r="E2584" s="116"/>
      <c r="F2584" s="120"/>
      <c r="G2584" s="120"/>
      <c r="H2584" s="120"/>
      <c r="I2584" s="60"/>
      <c r="J2584" s="116"/>
      <c r="K2584" s="213"/>
      <c r="L2584" s="120"/>
      <c r="M2584" s="120"/>
      <c r="N2584" s="167"/>
      <c r="O2584" s="120"/>
      <c r="P2584" s="120"/>
      <c r="Q2584" s="120"/>
      <c r="R2584" s="120"/>
      <c r="S2584" s="120"/>
      <c r="T2584" s="221"/>
      <c r="U2584" s="89"/>
      <c r="V2584" s="61"/>
      <c r="W2584" s="92" t="s">
        <v>1032</v>
      </c>
      <c r="X2584" s="93" t="s">
        <v>30</v>
      </c>
      <c r="Y2584" s="93" t="s">
        <v>66</v>
      </c>
      <c r="Z2584" s="134">
        <f>VLOOKUP(W2584,Sheet2!$B:$D,3,FALSE)</f>
        <v>250</v>
      </c>
      <c r="AA2584" s="93">
        <f>1/(3*3*0.1)</f>
        <v>1.1111111111111112</v>
      </c>
      <c r="AB2584" s="93">
        <f t="shared" ref="AB2584" si="2057">AD2584/AC2583</f>
        <v>225</v>
      </c>
      <c r="AC2584" s="93">
        <f>AC2583/AA2584</f>
        <v>11.700000000000003</v>
      </c>
      <c r="AD2584" s="94">
        <f t="shared" ref="AD2584:AD2586" si="2058">AC2584*Z2584</f>
        <v>2925.0000000000009</v>
      </c>
      <c r="AE2584" s="190"/>
      <c r="AF2584" s="191"/>
      <c r="AG2584" s="191"/>
      <c r="AH2584" s="191"/>
      <c r="AI2584" s="186"/>
      <c r="AK2584" s="171"/>
    </row>
    <row r="2585" spans="1:41" s="102" customFormat="1" ht="19.899999999999999" customHeight="1" x14ac:dyDescent="0.25">
      <c r="A2585" s="45"/>
      <c r="B2585" s="59"/>
      <c r="C2585" s="137"/>
      <c r="D2585" s="59"/>
      <c r="E2585" s="116"/>
      <c r="F2585" s="120"/>
      <c r="G2585" s="120"/>
      <c r="H2585" s="120"/>
      <c r="I2585" s="60"/>
      <c r="J2585" s="116"/>
      <c r="K2585" s="213"/>
      <c r="L2585" s="120"/>
      <c r="M2585" s="120"/>
      <c r="N2585" s="167"/>
      <c r="O2585" s="120"/>
      <c r="P2585" s="120"/>
      <c r="Q2585" s="120"/>
      <c r="R2585" s="120"/>
      <c r="S2585" s="120"/>
      <c r="T2585" s="221"/>
      <c r="U2585" s="89"/>
      <c r="V2585" s="61"/>
      <c r="W2585" s="92" t="s">
        <v>1353</v>
      </c>
      <c r="X2585" s="93" t="s">
        <v>30</v>
      </c>
      <c r="Y2585" s="93" t="s">
        <v>66</v>
      </c>
      <c r="Z2585" s="134">
        <f>VLOOKUP(W2585,Sheet2!$B:$D,3,FALSE)</f>
        <v>350</v>
      </c>
      <c r="AA2585" s="93">
        <f>1/(2*2*0.25*5)</f>
        <v>0.2</v>
      </c>
      <c r="AB2585" s="93">
        <f>AD2585/AC2583</f>
        <v>1749.9999999999998</v>
      </c>
      <c r="AC2585" s="93">
        <f>AC2583/AA2585</f>
        <v>65.000000000000014</v>
      </c>
      <c r="AD2585" s="94">
        <f t="shared" si="2058"/>
        <v>22750.000000000004</v>
      </c>
      <c r="AE2585" s="190"/>
      <c r="AF2585" s="191"/>
      <c r="AG2585" s="191"/>
      <c r="AH2585" s="191"/>
      <c r="AI2585" s="186"/>
      <c r="AK2585" s="171"/>
    </row>
    <row r="2586" spans="1:41" s="102" customFormat="1" ht="19.899999999999999" customHeight="1" x14ac:dyDescent="0.25">
      <c r="A2586" s="45"/>
      <c r="B2586" s="59"/>
      <c r="C2586" s="137"/>
      <c r="D2586" s="59"/>
      <c r="E2586" s="116"/>
      <c r="F2586" s="120"/>
      <c r="G2586" s="120"/>
      <c r="H2586" s="120"/>
      <c r="I2586" s="60"/>
      <c r="J2586" s="116"/>
      <c r="K2586" s="213"/>
      <c r="L2586" s="120"/>
      <c r="M2586" s="120"/>
      <c r="N2586" s="167"/>
      <c r="O2586" s="120"/>
      <c r="P2586" s="120"/>
      <c r="Q2586" s="120"/>
      <c r="R2586" s="120"/>
      <c r="S2586" s="120"/>
      <c r="T2586" s="221"/>
      <c r="U2586" s="89"/>
      <c r="V2586" s="61"/>
      <c r="W2586" s="92" t="s">
        <v>99</v>
      </c>
      <c r="X2586" s="93" t="s">
        <v>30</v>
      </c>
      <c r="Y2586" s="93" t="s">
        <v>67</v>
      </c>
      <c r="Z2586" s="134">
        <f>VLOOKUP(W2586,Sheet2!$B:$D,3,FALSE)</f>
        <v>2500</v>
      </c>
      <c r="AA2586" s="93">
        <f>1/(2*2*0.25*5*0.08)</f>
        <v>2.5</v>
      </c>
      <c r="AB2586" s="93">
        <f>AD2586/AC2583</f>
        <v>999.99999999999989</v>
      </c>
      <c r="AC2586" s="93">
        <f>AC2583/AA2586</f>
        <v>5.2000000000000011</v>
      </c>
      <c r="AD2586" s="94">
        <f t="shared" si="2058"/>
        <v>13000.000000000002</v>
      </c>
      <c r="AE2586" s="190"/>
      <c r="AF2586" s="191"/>
      <c r="AG2586" s="191"/>
      <c r="AH2586" s="191"/>
      <c r="AI2586" s="186"/>
      <c r="AK2586" s="171"/>
    </row>
    <row r="2587" spans="1:41" s="102" customFormat="1" ht="19.899999999999999" customHeight="1" x14ac:dyDescent="0.25">
      <c r="A2587" s="45"/>
      <c r="B2587" s="59"/>
      <c r="C2587" s="137"/>
      <c r="D2587" s="59"/>
      <c r="E2587" s="116"/>
      <c r="F2587" s="120"/>
      <c r="G2587" s="120"/>
      <c r="H2587" s="120"/>
      <c r="I2587" s="60"/>
      <c r="J2587" s="116"/>
      <c r="K2587" s="213"/>
      <c r="L2587" s="120"/>
      <c r="M2587" s="120"/>
      <c r="N2587" s="167"/>
      <c r="O2587" s="120"/>
      <c r="P2587" s="120"/>
      <c r="Q2587" s="120"/>
      <c r="R2587" s="120"/>
      <c r="S2587" s="120"/>
      <c r="T2587" s="221"/>
      <c r="U2587" s="89"/>
      <c r="V2587" s="61"/>
      <c r="W2587" s="92" t="s">
        <v>1354</v>
      </c>
      <c r="X2587" s="93" t="s">
        <v>32</v>
      </c>
      <c r="Y2587" s="93" t="s">
        <v>66</v>
      </c>
      <c r="Z2587" s="134">
        <f>VLOOKUP(W2587,Sheet2!$B:$D,3,FALSE)</f>
        <v>150</v>
      </c>
      <c r="AA2587" s="93">
        <f>AA2584</f>
        <v>1.1111111111111112</v>
      </c>
      <c r="AB2587" s="93">
        <f>AD2587/AC2583</f>
        <v>135</v>
      </c>
      <c r="AC2587" s="93">
        <f>AC2583/AA2587</f>
        <v>11.700000000000003</v>
      </c>
      <c r="AD2587" s="94">
        <f>AC2587*Z2587</f>
        <v>1755.0000000000005</v>
      </c>
      <c r="AE2587" s="190"/>
      <c r="AF2587" s="191"/>
      <c r="AG2587" s="191"/>
      <c r="AH2587" s="191"/>
      <c r="AI2587" s="186"/>
      <c r="AK2587" s="171"/>
    </row>
    <row r="2588" spans="1:41" s="102" customFormat="1" ht="19.899999999999999" customHeight="1" x14ac:dyDescent="0.25">
      <c r="A2588" s="45"/>
      <c r="B2588" s="59"/>
      <c r="C2588" s="137"/>
      <c r="D2588" s="59"/>
      <c r="E2588" s="116"/>
      <c r="F2588" s="120"/>
      <c r="G2588" s="120"/>
      <c r="H2588" s="120"/>
      <c r="I2588" s="60"/>
      <c r="J2588" s="116"/>
      <c r="K2588" s="213"/>
      <c r="L2588" s="120"/>
      <c r="M2588" s="120"/>
      <c r="N2588" s="167"/>
      <c r="O2588" s="120"/>
      <c r="P2588" s="120"/>
      <c r="Q2588" s="120"/>
      <c r="R2588" s="120"/>
      <c r="S2588" s="120"/>
      <c r="T2588" s="221"/>
      <c r="U2588" s="89"/>
      <c r="V2588" s="61"/>
      <c r="W2588" s="92" t="s">
        <v>1355</v>
      </c>
      <c r="X2588" s="93" t="s">
        <v>32</v>
      </c>
      <c r="Y2588" s="93" t="s">
        <v>66</v>
      </c>
      <c r="Z2588" s="134">
        <f>VLOOKUP(W2588,Sheet2!$B:$D,3,FALSE)</f>
        <v>450</v>
      </c>
      <c r="AA2588" s="93">
        <f>AA2585</f>
        <v>0.2</v>
      </c>
      <c r="AB2588" s="93">
        <f>AD2588/AC2583</f>
        <v>2250</v>
      </c>
      <c r="AC2588" s="93">
        <f>AC2583/AA2588</f>
        <v>65.000000000000014</v>
      </c>
      <c r="AD2588" s="94">
        <f>AC2588*Z2588</f>
        <v>29250.000000000007</v>
      </c>
      <c r="AE2588" s="190"/>
      <c r="AF2588" s="191"/>
      <c r="AG2588" s="191"/>
      <c r="AH2588" s="191"/>
      <c r="AI2588" s="186"/>
      <c r="AK2588" s="171"/>
    </row>
    <row r="2589" spans="1:41" s="102" customFormat="1" ht="19.899999999999999" customHeight="1" x14ac:dyDescent="0.25">
      <c r="A2589" s="45"/>
      <c r="B2589" s="59"/>
      <c r="C2589" s="137"/>
      <c r="D2589" s="59"/>
      <c r="E2589" s="116"/>
      <c r="F2589" s="120"/>
      <c r="G2589" s="120"/>
      <c r="H2589" s="120"/>
      <c r="I2589" s="60"/>
      <c r="J2589" s="116"/>
      <c r="K2589" s="213"/>
      <c r="L2589" s="120"/>
      <c r="M2589" s="120"/>
      <c r="N2589" s="167"/>
      <c r="O2589" s="120"/>
      <c r="P2589" s="120"/>
      <c r="Q2589" s="120"/>
      <c r="R2589" s="120"/>
      <c r="S2589" s="120"/>
      <c r="T2589" s="221"/>
      <c r="U2589" s="89"/>
      <c r="V2589" s="61"/>
      <c r="W2589" s="92" t="s">
        <v>1356</v>
      </c>
      <c r="X2589" s="93" t="s">
        <v>30</v>
      </c>
      <c r="Y2589" s="93" t="s">
        <v>35</v>
      </c>
      <c r="Z2589" s="134">
        <f>VLOOKUP(W2589,Sheet2!$B:$D,3,FALSE)</f>
        <v>3500</v>
      </c>
      <c r="AA2589" s="93">
        <v>1</v>
      </c>
      <c r="AB2589" s="93">
        <f>AD2589/AC2583</f>
        <v>3500</v>
      </c>
      <c r="AC2589" s="93">
        <f>AC2583/AA2589</f>
        <v>13.000000000000004</v>
      </c>
      <c r="AD2589" s="94">
        <f t="shared" ref="AD2589:AD2590" si="2059">AC2589*Z2589</f>
        <v>45500.000000000015</v>
      </c>
      <c r="AE2589" s="190"/>
      <c r="AF2589" s="191"/>
      <c r="AG2589" s="191"/>
      <c r="AH2589" s="191"/>
      <c r="AI2589" s="186"/>
      <c r="AK2589" s="171"/>
    </row>
    <row r="2590" spans="1:41" s="102" customFormat="1" ht="19.899999999999999" customHeight="1" x14ac:dyDescent="0.25">
      <c r="A2590" s="45"/>
      <c r="B2590" s="59"/>
      <c r="C2590" s="137"/>
      <c r="D2590" s="59"/>
      <c r="E2590" s="116"/>
      <c r="F2590" s="120"/>
      <c r="G2590" s="120"/>
      <c r="H2590" s="120"/>
      <c r="I2590" s="60"/>
      <c r="J2590" s="116"/>
      <c r="K2590" s="213"/>
      <c r="L2590" s="120"/>
      <c r="M2590" s="120"/>
      <c r="N2590" s="167"/>
      <c r="O2590" s="120"/>
      <c r="P2590" s="120"/>
      <c r="Q2590" s="120"/>
      <c r="R2590" s="120"/>
      <c r="S2590" s="120"/>
      <c r="T2590" s="221"/>
      <c r="U2590" s="89"/>
      <c r="V2590" s="61"/>
      <c r="W2590" s="92" t="s">
        <v>174</v>
      </c>
      <c r="X2590" s="93" t="s">
        <v>29</v>
      </c>
      <c r="Y2590" s="93" t="s">
        <v>93</v>
      </c>
      <c r="Z2590" s="134">
        <f>VLOOKUP(W2590,Sheet2!$B:$D,3,FALSE)</f>
        <v>80</v>
      </c>
      <c r="AA2590" s="93">
        <v>4</v>
      </c>
      <c r="AB2590" s="93">
        <f>AD2590/AC2583</f>
        <v>20</v>
      </c>
      <c r="AC2590" s="93">
        <f>AC2583/AA2590</f>
        <v>3.2500000000000009</v>
      </c>
      <c r="AD2590" s="94">
        <f t="shared" si="2059"/>
        <v>260.00000000000006</v>
      </c>
      <c r="AE2590" s="190"/>
      <c r="AF2590" s="191"/>
      <c r="AG2590" s="191"/>
      <c r="AH2590" s="191"/>
      <c r="AI2590" s="186"/>
      <c r="AK2590" s="171"/>
    </row>
    <row r="2591" spans="1:41" s="102" customFormat="1" ht="19.899999999999999" customHeight="1" x14ac:dyDescent="0.25">
      <c r="A2591" s="45"/>
      <c r="B2591" s="59"/>
      <c r="C2591" s="137"/>
      <c r="D2591" s="59"/>
      <c r="E2591" s="116"/>
      <c r="F2591" s="120"/>
      <c r="G2591" s="120"/>
      <c r="H2591" s="120"/>
      <c r="I2591" s="60"/>
      <c r="J2591" s="116"/>
      <c r="K2591" s="213"/>
      <c r="L2591" s="120"/>
      <c r="M2591" s="120"/>
      <c r="N2591" s="167"/>
      <c r="O2591" s="120"/>
      <c r="P2591" s="120"/>
      <c r="Q2591" s="120"/>
      <c r="R2591" s="120"/>
      <c r="S2591" s="120"/>
      <c r="T2591" s="221"/>
      <c r="U2591" s="89"/>
      <c r="V2591" s="61"/>
      <c r="W2591" s="92" t="s">
        <v>65</v>
      </c>
      <c r="X2591" s="93" t="s">
        <v>30</v>
      </c>
      <c r="Y2591" s="93" t="s">
        <v>93</v>
      </c>
      <c r="Z2591" s="134">
        <f>VLOOKUP(W2591,Sheet2!$B:$D,3,FALSE)</f>
        <v>1.76</v>
      </c>
      <c r="AA2591" s="93">
        <f>AA2590/15</f>
        <v>0.26666666666666666</v>
      </c>
      <c r="AB2591" s="93">
        <f>AD2591/AC2583</f>
        <v>6.6000000000000005</v>
      </c>
      <c r="AC2591" s="93">
        <f>AC2583/AA2591</f>
        <v>48.750000000000014</v>
      </c>
      <c r="AD2591" s="94">
        <f>AC2591*Z2591</f>
        <v>85.800000000000026</v>
      </c>
      <c r="AE2591" s="190"/>
      <c r="AF2591" s="191"/>
      <c r="AG2591" s="191"/>
      <c r="AH2591" s="191"/>
      <c r="AI2591" s="186"/>
      <c r="AK2591" s="171"/>
    </row>
    <row r="2592" spans="1:41" s="102" customFormat="1" ht="19.899999999999999" customHeight="1" x14ac:dyDescent="0.25">
      <c r="A2592" s="45"/>
      <c r="B2592" s="59"/>
      <c r="C2592" s="137"/>
      <c r="D2592" s="59"/>
      <c r="E2592" s="116"/>
      <c r="F2592" s="120"/>
      <c r="G2592" s="120"/>
      <c r="H2592" s="120"/>
      <c r="I2592" s="60"/>
      <c r="J2592" s="116"/>
      <c r="K2592" s="213"/>
      <c r="L2592" s="120"/>
      <c r="M2592" s="120"/>
      <c r="N2592" s="167"/>
      <c r="O2592" s="120"/>
      <c r="P2592" s="120"/>
      <c r="Q2592" s="120"/>
      <c r="R2592" s="120"/>
      <c r="S2592" s="120"/>
      <c r="T2592" s="221"/>
      <c r="U2592" s="89"/>
      <c r="V2592" s="61"/>
      <c r="W2592" s="92" t="s">
        <v>1357</v>
      </c>
      <c r="X2592" s="93" t="s">
        <v>30</v>
      </c>
      <c r="Y2592" s="93" t="s">
        <v>1349</v>
      </c>
      <c r="Z2592" s="134">
        <f>VLOOKUP(W2592,Sheet2!$B:$D,3,FALSE)</f>
        <v>150</v>
      </c>
      <c r="AA2592" s="93">
        <v>1</v>
      </c>
      <c r="AB2592" s="93">
        <f>AD2592/AC2583</f>
        <v>150</v>
      </c>
      <c r="AC2592" s="93">
        <f>AC2583/AA2592</f>
        <v>13.000000000000004</v>
      </c>
      <c r="AD2592" s="94">
        <f>AC2592*Z2592</f>
        <v>1950.0000000000005</v>
      </c>
      <c r="AE2592" s="190"/>
      <c r="AF2592" s="191"/>
      <c r="AG2592" s="191"/>
      <c r="AH2592" s="191"/>
      <c r="AI2592" s="186"/>
      <c r="AK2592" s="171"/>
    </row>
    <row r="2593" spans="1:41" s="102" customFormat="1" ht="19.899999999999999" customHeight="1" x14ac:dyDescent="0.25">
      <c r="A2593" s="45"/>
      <c r="B2593" s="59"/>
      <c r="C2593" s="137"/>
      <c r="D2593" s="59"/>
      <c r="E2593" s="116"/>
      <c r="F2593" s="120"/>
      <c r="G2593" s="120"/>
      <c r="H2593" s="120"/>
      <c r="I2593" s="60"/>
      <c r="J2593" s="116"/>
      <c r="K2593" s="213"/>
      <c r="L2593" s="120"/>
      <c r="M2593" s="120"/>
      <c r="N2593" s="167"/>
      <c r="O2593" s="120"/>
      <c r="P2593" s="120"/>
      <c r="Q2593" s="120"/>
      <c r="R2593" s="120"/>
      <c r="S2593" s="120"/>
      <c r="T2593" s="221"/>
      <c r="U2593" s="89"/>
      <c r="V2593" s="61"/>
      <c r="W2593" s="92" t="s">
        <v>107</v>
      </c>
      <c r="X2593" s="93" t="s">
        <v>31</v>
      </c>
      <c r="Y2593" s="93" t="s">
        <v>93</v>
      </c>
      <c r="Z2593" s="134">
        <f>VLOOKUP(W2593,Sheet2!$B:$D,3,FALSE)</f>
        <v>17</v>
      </c>
      <c r="AA2593" s="93">
        <f>1/5</f>
        <v>0.2</v>
      </c>
      <c r="AB2593" s="93">
        <f>AD2593/AC2583</f>
        <v>85</v>
      </c>
      <c r="AC2593" s="93">
        <f>AC2583/AA2593</f>
        <v>65.000000000000014</v>
      </c>
      <c r="AD2593" s="94">
        <f>AC2593*Z2593</f>
        <v>1105.0000000000002</v>
      </c>
      <c r="AE2593" s="190"/>
      <c r="AF2593" s="191"/>
      <c r="AG2593" s="191"/>
      <c r="AH2593" s="191"/>
      <c r="AI2593" s="186"/>
      <c r="AK2593" s="171"/>
    </row>
    <row r="2594" spans="1:41" s="102" customFormat="1" ht="19.899999999999999" customHeight="1" x14ac:dyDescent="0.25">
      <c r="A2594" s="45"/>
      <c r="B2594" s="59"/>
      <c r="C2594" s="137"/>
      <c r="D2594" s="59"/>
      <c r="E2594" s="116"/>
      <c r="F2594" s="120"/>
      <c r="G2594" s="120"/>
      <c r="H2594" s="120"/>
      <c r="I2594" s="60"/>
      <c r="J2594" s="116"/>
      <c r="K2594" s="213"/>
      <c r="L2594" s="120"/>
      <c r="M2594" s="120"/>
      <c r="N2594" s="167"/>
      <c r="O2594" s="120"/>
      <c r="P2594" s="120"/>
      <c r="Q2594" s="120"/>
      <c r="R2594" s="120"/>
      <c r="S2594" s="120"/>
      <c r="T2594" s="221"/>
      <c r="U2594" s="89"/>
      <c r="V2594" s="61"/>
      <c r="W2594" s="92" t="s">
        <v>112</v>
      </c>
      <c r="X2594" s="93" t="s">
        <v>31</v>
      </c>
      <c r="Y2594" s="93" t="s">
        <v>93</v>
      </c>
      <c r="Z2594" s="134">
        <f>VLOOKUP(W2594,Sheet2!$B:$D,3,FALSE)</f>
        <v>13</v>
      </c>
      <c r="AA2594" s="93">
        <f>AA2593</f>
        <v>0.2</v>
      </c>
      <c r="AB2594" s="93">
        <f>AD2594/AC2583</f>
        <v>65</v>
      </c>
      <c r="AC2594" s="93">
        <f>AC2583/AA2594</f>
        <v>65.000000000000014</v>
      </c>
      <c r="AD2594" s="94">
        <f>AC2594*Z2594</f>
        <v>845.00000000000023</v>
      </c>
      <c r="AE2594" s="190"/>
      <c r="AF2594" s="191"/>
      <c r="AG2594" s="191"/>
      <c r="AH2594" s="191"/>
      <c r="AI2594" s="186"/>
      <c r="AK2594" s="171"/>
    </row>
    <row r="2595" spans="1:41" s="103" customFormat="1" ht="19.899999999999999" customHeight="1" x14ac:dyDescent="0.25">
      <c r="A2595" s="51"/>
      <c r="B2595" s="52"/>
      <c r="C2595" s="165"/>
      <c r="D2595" s="52"/>
      <c r="E2595" s="115"/>
      <c r="F2595" s="58"/>
      <c r="G2595" s="58"/>
      <c r="H2595" s="58"/>
      <c r="I2595" s="55"/>
      <c r="J2595" s="113">
        <f>J2577</f>
        <v>13.000000000000004</v>
      </c>
      <c r="K2595" s="212">
        <f>K2577</f>
        <v>13.000000000000004</v>
      </c>
      <c r="L2595" s="58"/>
      <c r="M2595" s="58">
        <f>K2595-L2595</f>
        <v>13.000000000000004</v>
      </c>
      <c r="N2595" s="166"/>
      <c r="O2595" s="58"/>
      <c r="P2595" s="58"/>
      <c r="Q2595" s="58"/>
      <c r="R2595" s="58"/>
      <c r="S2595" s="58"/>
      <c r="T2595" s="220"/>
      <c r="U2595" s="88"/>
      <c r="V2595" s="56"/>
      <c r="W2595" s="57" t="s">
        <v>1358</v>
      </c>
      <c r="X2595" s="53"/>
      <c r="Y2595" s="91" t="s">
        <v>35</v>
      </c>
      <c r="Z2595" s="136">
        <f>AD2595/AC2595</f>
        <v>2800</v>
      </c>
      <c r="AA2595" s="58"/>
      <c r="AB2595" s="53">
        <f>AD2595/AC2595</f>
        <v>2800</v>
      </c>
      <c r="AC2595" s="53">
        <f>M2595+$AE$10</f>
        <v>13.000000000000004</v>
      </c>
      <c r="AD2595" s="54">
        <f>SUM(AD2596:AD2597)</f>
        <v>36400.000000000007</v>
      </c>
      <c r="AE2595" s="184">
        <f>SUMIFS($AD$37:$AD$12971,$V$37:$V$12971,$V2595,$X$37:$X$12971,AE$13)</f>
        <v>0</v>
      </c>
      <c r="AF2595" s="185">
        <f>SUMIFS($AD$37:$AD$12971,$V$37:$V$12971,$V2595,$X$37:$X$12971,AF$13)</f>
        <v>0</v>
      </c>
      <c r="AG2595" s="185">
        <f>SUMIFS($AD$37:$AD$12971,$V$37:$V$12971,$V2595,$X$37:$X$12971,AG$13)</f>
        <v>0</v>
      </c>
      <c r="AH2595" s="187">
        <f>SUMIFS($AD$37:$AD$12971,$V$37:$V$12971,$V2595,$X$37:$X$12971,AH$13)</f>
        <v>0</v>
      </c>
      <c r="AI2595" s="161">
        <f t="shared" ref="AI2595" si="2060">SUM(AE2595:AH2595)</f>
        <v>0</v>
      </c>
      <c r="AK2595" s="172"/>
    </row>
    <row r="2596" spans="1:41" s="102" customFormat="1" ht="19.899999999999999" customHeight="1" x14ac:dyDescent="0.25">
      <c r="A2596" s="45"/>
      <c r="B2596" s="59"/>
      <c r="C2596" s="137"/>
      <c r="D2596" s="59"/>
      <c r="E2596" s="116"/>
      <c r="F2596" s="120"/>
      <c r="G2596" s="120"/>
      <c r="H2596" s="120"/>
      <c r="I2596" s="60"/>
      <c r="J2596" s="116"/>
      <c r="K2596" s="213"/>
      <c r="L2596" s="120"/>
      <c r="M2596" s="120"/>
      <c r="N2596" s="167"/>
      <c r="O2596" s="120"/>
      <c r="P2596" s="120"/>
      <c r="Q2596" s="120"/>
      <c r="R2596" s="120"/>
      <c r="S2596" s="120"/>
      <c r="T2596" s="221"/>
      <c r="U2596" s="89"/>
      <c r="V2596" s="61"/>
      <c r="W2596" s="92" t="s">
        <v>1359</v>
      </c>
      <c r="X2596" s="93" t="s">
        <v>32</v>
      </c>
      <c r="Y2596" s="93" t="s">
        <v>64</v>
      </c>
      <c r="Z2596" s="134">
        <f>VLOOKUP(W2596,Sheet2!$B:$D,3,FALSE)</f>
        <v>40</v>
      </c>
      <c r="AA2596" s="93">
        <f>1/40</f>
        <v>2.5000000000000001E-2</v>
      </c>
      <c r="AB2596" s="93">
        <f t="shared" ref="AB2596" si="2061">AD2596/AC2595</f>
        <v>1599.9999999999998</v>
      </c>
      <c r="AC2596" s="93">
        <f>AC2595/AA2596</f>
        <v>520.00000000000011</v>
      </c>
      <c r="AD2596" s="94">
        <f t="shared" ref="AD2596:AD2597" si="2062">AC2596*Z2596</f>
        <v>20800.000000000004</v>
      </c>
      <c r="AE2596" s="190"/>
      <c r="AF2596" s="191"/>
      <c r="AG2596" s="191"/>
      <c r="AH2596" s="191"/>
      <c r="AI2596" s="186"/>
      <c r="AK2596" s="171"/>
    </row>
    <row r="2597" spans="1:41" s="102" customFormat="1" ht="19.899999999999999" customHeight="1" x14ac:dyDescent="0.25">
      <c r="A2597" s="45"/>
      <c r="B2597" s="59"/>
      <c r="C2597" s="137"/>
      <c r="D2597" s="59"/>
      <c r="E2597" s="116"/>
      <c r="F2597" s="120"/>
      <c r="G2597" s="120"/>
      <c r="H2597" s="120"/>
      <c r="I2597" s="60"/>
      <c r="J2597" s="116"/>
      <c r="K2597" s="213"/>
      <c r="L2597" s="120"/>
      <c r="M2597" s="120"/>
      <c r="N2597" s="167"/>
      <c r="O2597" s="120"/>
      <c r="P2597" s="120"/>
      <c r="Q2597" s="120"/>
      <c r="R2597" s="120"/>
      <c r="S2597" s="120"/>
      <c r="T2597" s="221"/>
      <c r="U2597" s="89"/>
      <c r="V2597" s="61"/>
      <c r="W2597" s="92" t="s">
        <v>1360</v>
      </c>
      <c r="X2597" s="93" t="s">
        <v>32</v>
      </c>
      <c r="Y2597" s="93" t="s">
        <v>64</v>
      </c>
      <c r="Z2597" s="134">
        <f>VLOOKUP(W2597,Sheet2!$B:$D,3,FALSE)</f>
        <v>30</v>
      </c>
      <c r="AA2597" s="93">
        <f>AA2596</f>
        <v>2.5000000000000001E-2</v>
      </c>
      <c r="AB2597" s="93">
        <f>AD2597/AC2595</f>
        <v>1200</v>
      </c>
      <c r="AC2597" s="93">
        <f>AC2595/AA2597</f>
        <v>520.00000000000011</v>
      </c>
      <c r="AD2597" s="94">
        <f t="shared" si="2062"/>
        <v>15600.000000000004</v>
      </c>
      <c r="AE2597" s="190"/>
      <c r="AF2597" s="191"/>
      <c r="AG2597" s="191"/>
      <c r="AH2597" s="191"/>
      <c r="AI2597" s="186"/>
      <c r="AK2597" s="171"/>
    </row>
    <row r="2598" spans="1:41" s="103" customFormat="1" ht="19.899999999999999" customHeight="1" x14ac:dyDescent="0.25">
      <c r="A2598" s="51"/>
      <c r="B2598" s="52"/>
      <c r="C2598" s="165"/>
      <c r="D2598" s="52"/>
      <c r="E2598" s="115"/>
      <c r="F2598" s="58"/>
      <c r="G2598" s="58"/>
      <c r="H2598" s="58"/>
      <c r="I2598" s="55"/>
      <c r="J2598" s="113">
        <f>J2577</f>
        <v>13.000000000000004</v>
      </c>
      <c r="K2598" s="212">
        <f>K2577</f>
        <v>13.000000000000004</v>
      </c>
      <c r="L2598" s="58"/>
      <c r="M2598" s="58">
        <f>K2598-L2598</f>
        <v>13.000000000000004</v>
      </c>
      <c r="N2598" s="166"/>
      <c r="O2598" s="58"/>
      <c r="P2598" s="58"/>
      <c r="Q2598" s="58"/>
      <c r="R2598" s="58"/>
      <c r="S2598" s="58"/>
      <c r="T2598" s="220"/>
      <c r="U2598" s="88"/>
      <c r="V2598" s="56"/>
      <c r="W2598" s="57" t="s">
        <v>1272</v>
      </c>
      <c r="X2598" s="53"/>
      <c r="Y2598" s="91" t="s">
        <v>35</v>
      </c>
      <c r="Z2598" s="136">
        <f>AD2598/AC2598</f>
        <v>209.08263529411761</v>
      </c>
      <c r="AA2598" s="58"/>
      <c r="AB2598" s="53">
        <f>AD2598/AC2598</f>
        <v>209.08263529411761</v>
      </c>
      <c r="AC2598" s="53">
        <f>M2598+$AE$10</f>
        <v>13.000000000000004</v>
      </c>
      <c r="AD2598" s="54">
        <f>SUM(AD2599:AD2607)</f>
        <v>2718.0742588235298</v>
      </c>
      <c r="AE2598" s="184">
        <f>SUMIFS($AD$37:$AD$12971,$V$37:$V$12971,$V2598,$X$37:$X$12971,AE$13)</f>
        <v>0</v>
      </c>
      <c r="AF2598" s="185">
        <f>SUMIFS($AD$37:$AD$12971,$V$37:$V$12971,$V2598,$X$37:$X$12971,AF$13)</f>
        <v>0</v>
      </c>
      <c r="AG2598" s="185">
        <f>SUMIFS($AD$37:$AD$12971,$V$37:$V$12971,$V2598,$X$37:$X$12971,AG$13)</f>
        <v>0</v>
      </c>
      <c r="AH2598" s="187">
        <f>SUMIFS($AD$37:$AD$12971,$V$37:$V$12971,$V2598,$X$37:$X$12971,AH$13)</f>
        <v>0</v>
      </c>
      <c r="AI2598" s="161">
        <f t="shared" ref="AI2598" si="2063">SUM(AE2598:AH2598)</f>
        <v>0</v>
      </c>
      <c r="AK2598" s="172"/>
    </row>
    <row r="2599" spans="1:41" s="102" customFormat="1" ht="19.899999999999999" customHeight="1" x14ac:dyDescent="0.25">
      <c r="A2599" s="45"/>
      <c r="B2599" s="59"/>
      <c r="C2599" s="137"/>
      <c r="D2599" s="59"/>
      <c r="E2599" s="116"/>
      <c r="F2599" s="120"/>
      <c r="G2599" s="120"/>
      <c r="H2599" s="120"/>
      <c r="I2599" s="60"/>
      <c r="J2599" s="116"/>
      <c r="K2599" s="213"/>
      <c r="L2599" s="120"/>
      <c r="M2599" s="120"/>
      <c r="N2599" s="167"/>
      <c r="O2599" s="120"/>
      <c r="P2599" s="120"/>
      <c r="Q2599" s="120"/>
      <c r="R2599" s="120"/>
      <c r="S2599" s="120"/>
      <c r="T2599" s="221"/>
      <c r="U2599" s="89"/>
      <c r="V2599" s="61"/>
      <c r="W2599" s="92" t="s">
        <v>1273</v>
      </c>
      <c r="X2599" s="93" t="s">
        <v>30</v>
      </c>
      <c r="Y2599" s="93" t="s">
        <v>66</v>
      </c>
      <c r="Z2599" s="134">
        <f>VLOOKUP(W2599,Sheet2!$B:$D,3,FALSE)</f>
        <v>10</v>
      </c>
      <c r="AA2599" s="93">
        <f>1/(2.5*2.4*0.5*4)</f>
        <v>8.3333333333333329E-2</v>
      </c>
      <c r="AB2599" s="93">
        <f>AD2599/AC2598</f>
        <v>120</v>
      </c>
      <c r="AC2599" s="93">
        <f>AC2598/AA2599</f>
        <v>156.00000000000006</v>
      </c>
      <c r="AD2599" s="94">
        <f t="shared" ref="AD2599:AD2601" si="2064">AC2599*Z2599</f>
        <v>1560.0000000000005</v>
      </c>
      <c r="AE2599" s="190"/>
      <c r="AF2599" s="191"/>
      <c r="AG2599" s="191"/>
      <c r="AH2599" s="191"/>
      <c r="AI2599" s="186"/>
      <c r="AK2599" s="171"/>
    </row>
    <row r="2600" spans="1:41" s="102" customFormat="1" ht="19.899999999999999" customHeight="1" x14ac:dyDescent="0.25">
      <c r="A2600" s="45"/>
      <c r="B2600" s="59"/>
      <c r="C2600" s="137"/>
      <c r="D2600" s="59"/>
      <c r="E2600" s="116"/>
      <c r="F2600" s="120"/>
      <c r="G2600" s="120"/>
      <c r="H2600" s="120"/>
      <c r="I2600" s="60"/>
      <c r="J2600" s="116"/>
      <c r="K2600" s="213"/>
      <c r="L2600" s="120"/>
      <c r="M2600" s="120"/>
      <c r="N2600" s="167"/>
      <c r="O2600" s="120"/>
      <c r="P2600" s="120"/>
      <c r="Q2600" s="120"/>
      <c r="R2600" s="120"/>
      <c r="S2600" s="120"/>
      <c r="T2600" s="221"/>
      <c r="U2600" s="89"/>
      <c r="V2600" s="61"/>
      <c r="W2600" s="92" t="s">
        <v>134</v>
      </c>
      <c r="X2600" s="93" t="s">
        <v>29</v>
      </c>
      <c r="Y2600" s="93" t="s">
        <v>93</v>
      </c>
      <c r="Z2600" s="134">
        <f>VLOOKUP(W2600,Sheet2!$B:$D,3,FALSE)</f>
        <v>65.599999999999994</v>
      </c>
      <c r="AA2600" s="93">
        <f>100/(2.5*2.4*0.5*4)</f>
        <v>8.3333333333333339</v>
      </c>
      <c r="AB2600" s="93">
        <f t="shared" ref="AB2600" si="2065">AD2600/AC2598</f>
        <v>7.871999999999999</v>
      </c>
      <c r="AC2600" s="93">
        <f>AC2598/AA2600</f>
        <v>1.5600000000000003</v>
      </c>
      <c r="AD2600" s="94">
        <f t="shared" si="2064"/>
        <v>102.33600000000001</v>
      </c>
      <c r="AE2600" s="190"/>
      <c r="AF2600" s="191"/>
      <c r="AG2600" s="191"/>
      <c r="AH2600" s="191"/>
      <c r="AI2600" s="186"/>
      <c r="AK2600" s="171"/>
    </row>
    <row r="2601" spans="1:41" s="102" customFormat="1" ht="19.899999999999999" customHeight="1" x14ac:dyDescent="0.25">
      <c r="A2601" s="45"/>
      <c r="B2601" s="59"/>
      <c r="C2601" s="137"/>
      <c r="D2601" s="59"/>
      <c r="E2601" s="116"/>
      <c r="F2601" s="120"/>
      <c r="G2601" s="120"/>
      <c r="H2601" s="120"/>
      <c r="I2601" s="60"/>
      <c r="J2601" s="116"/>
      <c r="K2601" s="213"/>
      <c r="L2601" s="120"/>
      <c r="M2601" s="120"/>
      <c r="N2601" s="167"/>
      <c r="O2601" s="120"/>
      <c r="P2601" s="120"/>
      <c r="Q2601" s="120"/>
      <c r="R2601" s="120"/>
      <c r="S2601" s="120"/>
      <c r="T2601" s="221"/>
      <c r="U2601" s="89"/>
      <c r="V2601" s="61"/>
      <c r="W2601" s="92" t="s">
        <v>65</v>
      </c>
      <c r="X2601" s="93" t="s">
        <v>30</v>
      </c>
      <c r="Y2601" s="93" t="s">
        <v>1011</v>
      </c>
      <c r="Z2601" s="134">
        <f>VLOOKUP(W2601,Sheet2!$B:$D,3,FALSE)</f>
        <v>1.76</v>
      </c>
      <c r="AA2601" s="93">
        <f>AA2600/9</f>
        <v>0.92592592592592604</v>
      </c>
      <c r="AB2601" s="93">
        <f>AD2601/AC2598</f>
        <v>1.9007999999999998</v>
      </c>
      <c r="AC2601" s="93">
        <f>AC2598/AA2601</f>
        <v>14.040000000000003</v>
      </c>
      <c r="AD2601" s="94">
        <f t="shared" si="2064"/>
        <v>24.710400000000003</v>
      </c>
      <c r="AE2601" s="190"/>
      <c r="AF2601" s="191"/>
      <c r="AG2601" s="191"/>
      <c r="AH2601" s="191"/>
      <c r="AI2601" s="186"/>
      <c r="AK2601" s="171"/>
    </row>
    <row r="2602" spans="1:41" s="102" customFormat="1" ht="19.899999999999999" customHeight="1" x14ac:dyDescent="0.25">
      <c r="A2602" s="45"/>
      <c r="B2602" s="59"/>
      <c r="C2602" s="137"/>
      <c r="D2602" s="59"/>
      <c r="E2602" s="116"/>
      <c r="F2602" s="120"/>
      <c r="G2602" s="120"/>
      <c r="H2602" s="120"/>
      <c r="I2602" s="60"/>
      <c r="J2602" s="116"/>
      <c r="K2602" s="213"/>
      <c r="L2602" s="120"/>
      <c r="M2602" s="120"/>
      <c r="N2602" s="167"/>
      <c r="O2602" s="120"/>
      <c r="P2602" s="120"/>
      <c r="Q2602" s="120"/>
      <c r="R2602" s="120"/>
      <c r="S2602" s="120"/>
      <c r="T2602" s="221"/>
      <c r="U2602" s="89"/>
      <c r="V2602" s="61"/>
      <c r="W2602" s="92" t="s">
        <v>161</v>
      </c>
      <c r="X2602" s="93" t="s">
        <v>29</v>
      </c>
      <c r="Y2602" s="93" t="s">
        <v>93</v>
      </c>
      <c r="Z2602" s="134">
        <f>VLOOKUP(W2602,Sheet2!$B:$D,3,FALSE)</f>
        <v>48</v>
      </c>
      <c r="AA2602" s="93">
        <f>(16*0.85*1.5)/(2.5*2.4*0.5*4)</f>
        <v>1.7</v>
      </c>
      <c r="AB2602" s="93">
        <f>AD2602/AC2598</f>
        <v>28.235294117647062</v>
      </c>
      <c r="AC2602" s="93">
        <f>AC2598/AA2602</f>
        <v>7.6470588235294139</v>
      </c>
      <c r="AD2602" s="94">
        <f>AC2602*Z2602</f>
        <v>367.05882352941188</v>
      </c>
      <c r="AE2602" s="190"/>
      <c r="AF2602" s="191"/>
      <c r="AG2602" s="191"/>
      <c r="AH2602" s="191"/>
      <c r="AI2602" s="186"/>
      <c r="AK2602" s="171"/>
    </row>
    <row r="2603" spans="1:41" s="102" customFormat="1" ht="19.899999999999999" customHeight="1" x14ac:dyDescent="0.25">
      <c r="A2603" s="45"/>
      <c r="B2603" s="59"/>
      <c r="C2603" s="137"/>
      <c r="D2603" s="59"/>
      <c r="E2603" s="116"/>
      <c r="F2603" s="120"/>
      <c r="G2603" s="120"/>
      <c r="H2603" s="120"/>
      <c r="I2603" s="60"/>
      <c r="J2603" s="116"/>
      <c r="K2603" s="213"/>
      <c r="L2603" s="120"/>
      <c r="M2603" s="120"/>
      <c r="N2603" s="167"/>
      <c r="O2603" s="120"/>
      <c r="P2603" s="120"/>
      <c r="Q2603" s="120"/>
      <c r="R2603" s="120"/>
      <c r="S2603" s="120"/>
      <c r="T2603" s="221"/>
      <c r="U2603" s="89"/>
      <c r="V2603" s="61"/>
      <c r="W2603" s="92" t="s">
        <v>65</v>
      </c>
      <c r="X2603" s="93" t="s">
        <v>30</v>
      </c>
      <c r="Y2603" s="93" t="s">
        <v>1011</v>
      </c>
      <c r="Z2603" s="134">
        <f>VLOOKUP(W2603,Sheet2!$B:$D,3,FALSE)</f>
        <v>1.76</v>
      </c>
      <c r="AA2603" s="93">
        <f>AA2602/10</f>
        <v>0.16999999999999998</v>
      </c>
      <c r="AB2603" s="93">
        <f>AD2603/AC2598</f>
        <v>10.352941176470591</v>
      </c>
      <c r="AC2603" s="93">
        <f>AC2598/AA2603</f>
        <v>76.470588235294144</v>
      </c>
      <c r="AD2603" s="94">
        <f>AC2603*Z2603</f>
        <v>134.58823529411771</v>
      </c>
      <c r="AE2603" s="190"/>
      <c r="AF2603" s="191"/>
      <c r="AG2603" s="191"/>
      <c r="AH2603" s="191"/>
      <c r="AI2603" s="186"/>
      <c r="AK2603" s="171"/>
    </row>
    <row r="2604" spans="1:41" s="102" customFormat="1" ht="19.899999999999999" customHeight="1" x14ac:dyDescent="0.25">
      <c r="A2604" s="45"/>
      <c r="B2604" s="59"/>
      <c r="C2604" s="137"/>
      <c r="D2604" s="59"/>
      <c r="E2604" s="116"/>
      <c r="F2604" s="120"/>
      <c r="G2604" s="120"/>
      <c r="H2604" s="120"/>
      <c r="I2604" s="60"/>
      <c r="J2604" s="116"/>
      <c r="K2604" s="213"/>
      <c r="L2604" s="120"/>
      <c r="M2604" s="120"/>
      <c r="N2604" s="167"/>
      <c r="O2604" s="120"/>
      <c r="P2604" s="120"/>
      <c r="Q2604" s="120"/>
      <c r="R2604" s="120"/>
      <c r="S2604" s="120"/>
      <c r="T2604" s="221"/>
      <c r="U2604" s="89"/>
      <c r="V2604" s="61"/>
      <c r="W2604" s="92" t="s">
        <v>173</v>
      </c>
      <c r="X2604" s="93" t="s">
        <v>29</v>
      </c>
      <c r="Y2604" s="93" t="s">
        <v>93</v>
      </c>
      <c r="Z2604" s="134">
        <f>VLOOKUP(W2604,Sheet2!$B:$D,3,FALSE)</f>
        <v>36</v>
      </c>
      <c r="AA2604" s="93">
        <f>50/(2.5*2.4*0.5*4)</f>
        <v>4.166666666666667</v>
      </c>
      <c r="AB2604" s="93">
        <f>AD2604/AC2598</f>
        <v>8.6399999999999988</v>
      </c>
      <c r="AC2604" s="93">
        <f>AC2598/AA2604</f>
        <v>3.1200000000000006</v>
      </c>
      <c r="AD2604" s="94">
        <f>AC2604*Z2604</f>
        <v>112.32000000000002</v>
      </c>
      <c r="AE2604" s="190"/>
      <c r="AF2604" s="191"/>
      <c r="AG2604" s="191"/>
      <c r="AH2604" s="191"/>
      <c r="AI2604" s="186"/>
      <c r="AK2604" s="171"/>
    </row>
    <row r="2605" spans="1:41" s="102" customFormat="1" ht="19.899999999999999" customHeight="1" x14ac:dyDescent="0.25">
      <c r="A2605" s="45"/>
      <c r="B2605" s="59"/>
      <c r="C2605" s="137"/>
      <c r="D2605" s="59"/>
      <c r="E2605" s="116"/>
      <c r="F2605" s="120"/>
      <c r="G2605" s="120"/>
      <c r="H2605" s="120"/>
      <c r="I2605" s="60"/>
      <c r="J2605" s="116"/>
      <c r="K2605" s="213"/>
      <c r="L2605" s="120"/>
      <c r="M2605" s="120"/>
      <c r="N2605" s="167"/>
      <c r="O2605" s="120"/>
      <c r="P2605" s="120"/>
      <c r="Q2605" s="120"/>
      <c r="R2605" s="120"/>
      <c r="S2605" s="120"/>
      <c r="T2605" s="221"/>
      <c r="U2605" s="89"/>
      <c r="V2605" s="61"/>
      <c r="W2605" s="92" t="s">
        <v>65</v>
      </c>
      <c r="X2605" s="93" t="s">
        <v>30</v>
      </c>
      <c r="Y2605" s="93" t="s">
        <v>1011</v>
      </c>
      <c r="Z2605" s="134">
        <f>VLOOKUP(W2605,Sheet2!$B:$D,3,FALSE)</f>
        <v>1.76</v>
      </c>
      <c r="AA2605" s="93">
        <f>AA2604/9</f>
        <v>0.46296296296296302</v>
      </c>
      <c r="AB2605" s="93">
        <f>AD2605/AC2598</f>
        <v>3.8015999999999996</v>
      </c>
      <c r="AC2605" s="93">
        <f>AC2598/AA2605</f>
        <v>28.080000000000005</v>
      </c>
      <c r="AD2605" s="94">
        <f>AC2605*Z2605</f>
        <v>49.420800000000007</v>
      </c>
      <c r="AE2605" s="190"/>
      <c r="AF2605" s="191"/>
      <c r="AG2605" s="191"/>
      <c r="AH2605" s="191"/>
      <c r="AI2605" s="186"/>
      <c r="AK2605" s="171"/>
    </row>
    <row r="2606" spans="1:41" s="102" customFormat="1" ht="19.899999999999999" customHeight="1" x14ac:dyDescent="0.25">
      <c r="A2606" s="45"/>
      <c r="B2606" s="59"/>
      <c r="C2606" s="137"/>
      <c r="D2606" s="59"/>
      <c r="E2606" s="116"/>
      <c r="F2606" s="120"/>
      <c r="G2606" s="120"/>
      <c r="H2606" s="120"/>
      <c r="I2606" s="60"/>
      <c r="J2606" s="116"/>
      <c r="K2606" s="213"/>
      <c r="L2606" s="120"/>
      <c r="M2606" s="120"/>
      <c r="N2606" s="167"/>
      <c r="O2606" s="120"/>
      <c r="P2606" s="120"/>
      <c r="Q2606" s="120"/>
      <c r="R2606" s="120"/>
      <c r="S2606" s="120"/>
      <c r="T2606" s="221"/>
      <c r="U2606" s="89"/>
      <c r="V2606" s="61"/>
      <c r="W2606" s="92" t="s">
        <v>1030</v>
      </c>
      <c r="X2606" s="93" t="s">
        <v>29</v>
      </c>
      <c r="Y2606" s="93" t="s">
        <v>93</v>
      </c>
      <c r="Z2606" s="134">
        <f>VLOOKUP(W2606,Sheet2!$B:$D,3,FALSE)</f>
        <v>23</v>
      </c>
      <c r="AA2606" s="93">
        <v>1</v>
      </c>
      <c r="AB2606" s="93">
        <f>AD2606/AC2598</f>
        <v>22.999999999999996</v>
      </c>
      <c r="AC2606" s="93">
        <f>AC2598/AA2606</f>
        <v>13.000000000000004</v>
      </c>
      <c r="AD2606" s="94">
        <f t="shared" ref="AD2606:AD2607" si="2066">AC2606*Z2606</f>
        <v>299.00000000000006</v>
      </c>
      <c r="AE2606" s="190"/>
      <c r="AF2606" s="191"/>
      <c r="AG2606" s="191"/>
      <c r="AH2606" s="191"/>
      <c r="AI2606" s="186"/>
      <c r="AK2606" s="171"/>
    </row>
    <row r="2607" spans="1:41" s="102" customFormat="1" ht="19.899999999999999" customHeight="1" x14ac:dyDescent="0.25">
      <c r="A2607" s="45"/>
      <c r="B2607" s="59"/>
      <c r="C2607" s="137"/>
      <c r="D2607" s="59"/>
      <c r="E2607" s="116"/>
      <c r="F2607" s="120"/>
      <c r="G2607" s="120"/>
      <c r="H2607" s="120"/>
      <c r="I2607" s="60"/>
      <c r="J2607" s="116"/>
      <c r="K2607" s="213"/>
      <c r="L2607" s="120"/>
      <c r="M2607" s="120"/>
      <c r="N2607" s="167"/>
      <c r="O2607" s="120"/>
      <c r="P2607" s="120"/>
      <c r="Q2607" s="120"/>
      <c r="R2607" s="120"/>
      <c r="S2607" s="120"/>
      <c r="T2607" s="221"/>
      <c r="U2607" s="89"/>
      <c r="V2607" s="61"/>
      <c r="W2607" s="92" t="s">
        <v>65</v>
      </c>
      <c r="X2607" s="93" t="s">
        <v>30</v>
      </c>
      <c r="Y2607" s="93" t="s">
        <v>1011</v>
      </c>
      <c r="Z2607" s="134">
        <f>VLOOKUP(W2607,Sheet2!$B:$D,3,FALSE)</f>
        <v>1.76</v>
      </c>
      <c r="AA2607" s="93">
        <f>AA2606/3</f>
        <v>0.33333333333333331</v>
      </c>
      <c r="AB2607" s="93">
        <f>AD2607/AC2598</f>
        <v>5.2800000000000011</v>
      </c>
      <c r="AC2607" s="93">
        <f>AC2598/AA2607</f>
        <v>39.000000000000014</v>
      </c>
      <c r="AD2607" s="94">
        <f t="shared" si="2066"/>
        <v>68.640000000000029</v>
      </c>
      <c r="AE2607" s="190"/>
      <c r="AF2607" s="191"/>
      <c r="AG2607" s="191"/>
      <c r="AH2607" s="191"/>
      <c r="AI2607" s="186"/>
      <c r="AK2607" s="171"/>
    </row>
    <row r="2608" spans="1:41" ht="20.100000000000001" customHeight="1" x14ac:dyDescent="0.25">
      <c r="A2608" s="277" t="s">
        <v>410</v>
      </c>
      <c r="B2608" s="278"/>
      <c r="C2608" s="64" t="s">
        <v>478</v>
      </c>
      <c r="D2608" s="46" t="s">
        <v>215</v>
      </c>
      <c r="E2608" s="114">
        <v>3.32</v>
      </c>
      <c r="F2608" s="44">
        <v>23414</v>
      </c>
      <c r="G2608" s="44">
        <f t="shared" si="1977"/>
        <v>77734.48</v>
      </c>
      <c r="H2608" s="44">
        <f t="shared" si="1978"/>
        <v>12286.179576470588</v>
      </c>
      <c r="I2608" s="43">
        <f t="shared" si="1979"/>
        <v>40790.11619388235</v>
      </c>
      <c r="J2608" s="112">
        <f t="shared" si="1980"/>
        <v>3.32</v>
      </c>
      <c r="K2608" s="211">
        <f t="shared" si="1981"/>
        <v>3.32</v>
      </c>
      <c r="L2608" s="44"/>
      <c r="M2608" s="44">
        <f t="shared" si="1982"/>
        <v>3.32</v>
      </c>
      <c r="N2608" s="173">
        <f t="shared" si="1983"/>
        <v>1</v>
      </c>
      <c r="O2608" s="44">
        <f t="shared" si="1984"/>
        <v>23414</v>
      </c>
      <c r="P2608" s="44">
        <f t="shared" si="1985"/>
        <v>77734.48</v>
      </c>
      <c r="Q2608" s="44">
        <f t="shared" si="1986"/>
        <v>12286.179576470588</v>
      </c>
      <c r="R2608" s="44">
        <f t="shared" si="1987"/>
        <v>40790.11619388235</v>
      </c>
      <c r="S2608" s="123"/>
      <c r="T2608" s="219">
        <f t="shared" si="1988"/>
        <v>40790.11619388235</v>
      </c>
      <c r="U2608" s="87"/>
      <c r="V2608" s="47"/>
      <c r="W2608" s="48"/>
      <c r="X2608" s="48"/>
      <c r="Y2608" s="48"/>
      <c r="Z2608" s="135"/>
      <c r="AA2608" s="49"/>
      <c r="AB2608" s="50">
        <f t="shared" si="1989"/>
        <v>12286.179576470588</v>
      </c>
      <c r="AC2608" s="42">
        <f t="shared" si="1990"/>
        <v>3.32</v>
      </c>
      <c r="AD2608" s="90">
        <f>AD2609+AD2614+AD2626+AD2629</f>
        <v>40790.11619388235</v>
      </c>
      <c r="AE2608" s="188">
        <f t="shared" ref="AE2608" si="2067">AE2609+AE2614+AE2626+AE2629</f>
        <v>0</v>
      </c>
      <c r="AF2608" s="189">
        <f t="shared" ref="AF2608" si="2068">AF2609+AF2614+AF2626+AF2629</f>
        <v>0</v>
      </c>
      <c r="AG2608" s="189">
        <f t="shared" ref="AG2608" si="2069">AG2609+AG2614+AG2626+AG2629</f>
        <v>0</v>
      </c>
      <c r="AH2608" s="189">
        <f t="shared" ref="AH2608" si="2070">AH2609+AH2614+AH2626+AH2629</f>
        <v>0</v>
      </c>
      <c r="AI2608" s="161">
        <f t="shared" ref="AI2608:AI2639" si="2071">SUM(AE2608:AH2608)</f>
        <v>0</v>
      </c>
      <c r="AK2608" s="169">
        <v>5</v>
      </c>
      <c r="AO2608" s="19" t="s">
        <v>63</v>
      </c>
    </row>
    <row r="2609" spans="1:37" s="103" customFormat="1" ht="19.899999999999999" customHeight="1" x14ac:dyDescent="0.25">
      <c r="A2609" s="51"/>
      <c r="B2609" s="52"/>
      <c r="C2609" s="165"/>
      <c r="D2609" s="52"/>
      <c r="E2609" s="115"/>
      <c r="F2609" s="58"/>
      <c r="G2609" s="58"/>
      <c r="H2609" s="58"/>
      <c r="I2609" s="55"/>
      <c r="J2609" s="113">
        <f>J2608</f>
        <v>3.32</v>
      </c>
      <c r="K2609" s="212">
        <f>K2608</f>
        <v>3.32</v>
      </c>
      <c r="L2609" s="58"/>
      <c r="M2609" s="58">
        <f>K2609-L2609</f>
        <v>3.32</v>
      </c>
      <c r="N2609" s="166"/>
      <c r="O2609" s="58"/>
      <c r="P2609" s="58"/>
      <c r="Q2609" s="58"/>
      <c r="R2609" s="58"/>
      <c r="S2609" s="58"/>
      <c r="T2609" s="220"/>
      <c r="U2609" s="88"/>
      <c r="V2609" s="56"/>
      <c r="W2609" s="57" t="s">
        <v>1351</v>
      </c>
      <c r="X2609" s="53"/>
      <c r="Y2609" s="91" t="s">
        <v>35</v>
      </c>
      <c r="Z2609" s="136">
        <f>AD2609/AC2609</f>
        <v>90.4969411764706</v>
      </c>
      <c r="AA2609" s="58"/>
      <c r="AB2609" s="53">
        <f>AD2609/AC2609</f>
        <v>90.4969411764706</v>
      </c>
      <c r="AC2609" s="53">
        <f>M2609+$AE$10</f>
        <v>3.32</v>
      </c>
      <c r="AD2609" s="54">
        <f>SUM(AD2610:AD2613)</f>
        <v>300.44984470588236</v>
      </c>
      <c r="AE2609" s="184">
        <f>SUMIFS($AD$37:$AD$12971,$V$37:$V$12971,$V2609,$X$37:$X$12971,AE$13)</f>
        <v>0</v>
      </c>
      <c r="AF2609" s="185">
        <f>SUMIFS($AD$37:$AD$12971,$V$37:$V$12971,$V2609,$X$37:$X$12971,AF$13)</f>
        <v>0</v>
      </c>
      <c r="AG2609" s="185">
        <f>SUMIFS($AD$37:$AD$12971,$V$37:$V$12971,$V2609,$X$37:$X$12971,AG$13)</f>
        <v>0</v>
      </c>
      <c r="AH2609" s="187">
        <f>SUMIFS($AD$37:$AD$12971,$V$37:$V$12971,$V2609,$X$37:$X$12971,AH$13)</f>
        <v>0</v>
      </c>
      <c r="AI2609" s="161">
        <f t="shared" ref="AI2609" si="2072">SUM(AE2609:AH2609)</f>
        <v>0</v>
      </c>
      <c r="AK2609" s="172"/>
    </row>
    <row r="2610" spans="1:37" s="102" customFormat="1" ht="19.899999999999999" customHeight="1" x14ac:dyDescent="0.25">
      <c r="A2610" s="45"/>
      <c r="B2610" s="59"/>
      <c r="C2610" s="137"/>
      <c r="D2610" s="59"/>
      <c r="E2610" s="116"/>
      <c r="F2610" s="120"/>
      <c r="G2610" s="120"/>
      <c r="H2610" s="120"/>
      <c r="I2610" s="60"/>
      <c r="J2610" s="116"/>
      <c r="K2610" s="213"/>
      <c r="L2610" s="120"/>
      <c r="M2610" s="120"/>
      <c r="N2610" s="167"/>
      <c r="O2610" s="120"/>
      <c r="P2610" s="120"/>
      <c r="Q2610" s="120"/>
      <c r="R2610" s="120"/>
      <c r="S2610" s="120"/>
      <c r="T2610" s="221"/>
      <c r="U2610" s="89"/>
      <c r="V2610" s="61"/>
      <c r="W2610" s="92" t="s">
        <v>129</v>
      </c>
      <c r="X2610" s="93" t="s">
        <v>29</v>
      </c>
      <c r="Y2610" s="93" t="s">
        <v>93</v>
      </c>
      <c r="Z2610" s="134">
        <f>VLOOKUP(W2610,Sheet2!$B:$D,3,FALSE)</f>
        <v>56</v>
      </c>
      <c r="AA2610" s="93">
        <f>100/(3*3*2.5)</f>
        <v>4.4444444444444446</v>
      </c>
      <c r="AB2610" s="93">
        <f t="shared" ref="AB2610" si="2073">AD2610/AC2609</f>
        <v>12.599999999999998</v>
      </c>
      <c r="AC2610" s="93">
        <f>AC2609/AA2610</f>
        <v>0.74699999999999989</v>
      </c>
      <c r="AD2610" s="94">
        <f t="shared" ref="AD2610:AD2611" si="2074">AC2610*Z2610</f>
        <v>41.831999999999994</v>
      </c>
      <c r="AE2610" s="190"/>
      <c r="AF2610" s="191"/>
      <c r="AG2610" s="191"/>
      <c r="AH2610" s="191"/>
      <c r="AI2610" s="186"/>
      <c r="AK2610" s="171"/>
    </row>
    <row r="2611" spans="1:37" s="102" customFormat="1" ht="19.899999999999999" customHeight="1" x14ac:dyDescent="0.25">
      <c r="A2611" s="45"/>
      <c r="B2611" s="59"/>
      <c r="C2611" s="137"/>
      <c r="D2611" s="59"/>
      <c r="E2611" s="116"/>
      <c r="F2611" s="120"/>
      <c r="G2611" s="120"/>
      <c r="H2611" s="120"/>
      <c r="I2611" s="60"/>
      <c r="J2611" s="116"/>
      <c r="K2611" s="213"/>
      <c r="L2611" s="120"/>
      <c r="M2611" s="120"/>
      <c r="N2611" s="167"/>
      <c r="O2611" s="120"/>
      <c r="P2611" s="120"/>
      <c r="Q2611" s="120"/>
      <c r="R2611" s="120"/>
      <c r="S2611" s="120"/>
      <c r="T2611" s="221"/>
      <c r="U2611" s="89"/>
      <c r="V2611" s="61"/>
      <c r="W2611" s="92" t="s">
        <v>65</v>
      </c>
      <c r="X2611" s="93" t="s">
        <v>30</v>
      </c>
      <c r="Y2611" s="93" t="s">
        <v>1011</v>
      </c>
      <c r="Z2611" s="134">
        <f>VLOOKUP(W2611,Sheet2!$B:$D,3,FALSE)</f>
        <v>1.76</v>
      </c>
      <c r="AA2611" s="93">
        <f>AA2610/14</f>
        <v>0.3174603174603175</v>
      </c>
      <c r="AB2611" s="93">
        <f>AD2611/AC2609</f>
        <v>5.5439999999999987</v>
      </c>
      <c r="AC2611" s="93">
        <f>AC2609/AA2611</f>
        <v>10.457999999999998</v>
      </c>
      <c r="AD2611" s="94">
        <f t="shared" si="2074"/>
        <v>18.406079999999996</v>
      </c>
      <c r="AE2611" s="190"/>
      <c r="AF2611" s="191"/>
      <c r="AG2611" s="191"/>
      <c r="AH2611" s="191"/>
      <c r="AI2611" s="186"/>
      <c r="AK2611" s="171"/>
    </row>
    <row r="2612" spans="1:37" s="102" customFormat="1" ht="19.899999999999999" customHeight="1" x14ac:dyDescent="0.25">
      <c r="A2612" s="45"/>
      <c r="B2612" s="59"/>
      <c r="C2612" s="137"/>
      <c r="D2612" s="59"/>
      <c r="E2612" s="116"/>
      <c r="F2612" s="120"/>
      <c r="G2612" s="120"/>
      <c r="H2612" s="120"/>
      <c r="I2612" s="60"/>
      <c r="J2612" s="116"/>
      <c r="K2612" s="213"/>
      <c r="L2612" s="120"/>
      <c r="M2612" s="120"/>
      <c r="N2612" s="167"/>
      <c r="O2612" s="120"/>
      <c r="P2612" s="120"/>
      <c r="Q2612" s="120"/>
      <c r="R2612" s="120"/>
      <c r="S2612" s="120"/>
      <c r="T2612" s="221"/>
      <c r="U2612" s="89"/>
      <c r="V2612" s="61"/>
      <c r="W2612" s="92" t="s">
        <v>161</v>
      </c>
      <c r="X2612" s="93" t="s">
        <v>29</v>
      </c>
      <c r="Y2612" s="93" t="s">
        <v>93</v>
      </c>
      <c r="Z2612" s="134">
        <f>VLOOKUP(W2612,Sheet2!$B:$D,3,FALSE)</f>
        <v>48</v>
      </c>
      <c r="AA2612" s="93">
        <f>(16*0.85*1.5)/(3*3*2.5)</f>
        <v>0.90666666666666662</v>
      </c>
      <c r="AB2612" s="93">
        <f>AD2612/AC2609</f>
        <v>52.941176470588232</v>
      </c>
      <c r="AC2612" s="93">
        <f>AC2609/AA2612</f>
        <v>3.6617647058823528</v>
      </c>
      <c r="AD2612" s="94">
        <f>AC2612*Z2612</f>
        <v>175.76470588235293</v>
      </c>
      <c r="AE2612" s="190"/>
      <c r="AF2612" s="191"/>
      <c r="AG2612" s="191"/>
      <c r="AH2612" s="191"/>
      <c r="AI2612" s="186"/>
      <c r="AK2612" s="171"/>
    </row>
    <row r="2613" spans="1:37" s="102" customFormat="1" ht="19.899999999999999" customHeight="1" x14ac:dyDescent="0.25">
      <c r="A2613" s="45"/>
      <c r="B2613" s="59"/>
      <c r="C2613" s="137"/>
      <c r="D2613" s="59"/>
      <c r="E2613" s="116"/>
      <c r="F2613" s="120"/>
      <c r="G2613" s="120"/>
      <c r="H2613" s="120"/>
      <c r="I2613" s="60"/>
      <c r="J2613" s="116"/>
      <c r="K2613" s="213"/>
      <c r="L2613" s="120"/>
      <c r="M2613" s="120"/>
      <c r="N2613" s="167"/>
      <c r="O2613" s="120"/>
      <c r="P2613" s="120"/>
      <c r="Q2613" s="120"/>
      <c r="R2613" s="120"/>
      <c r="S2613" s="120"/>
      <c r="T2613" s="221"/>
      <c r="U2613" s="89"/>
      <c r="V2613" s="61"/>
      <c r="W2613" s="92" t="s">
        <v>65</v>
      </c>
      <c r="X2613" s="93" t="s">
        <v>30</v>
      </c>
      <c r="Y2613" s="93" t="s">
        <v>1011</v>
      </c>
      <c r="Z2613" s="134">
        <f>VLOOKUP(W2613,Sheet2!$B:$D,3,FALSE)</f>
        <v>1.76</v>
      </c>
      <c r="AA2613" s="93">
        <f>AA2612/10</f>
        <v>9.0666666666666659E-2</v>
      </c>
      <c r="AB2613" s="93">
        <f>AD2613/AC2609</f>
        <v>19.411764705882355</v>
      </c>
      <c r="AC2613" s="93">
        <f>AC2609/AA2613</f>
        <v>36.617647058823529</v>
      </c>
      <c r="AD2613" s="94">
        <f>AC2613*Z2613</f>
        <v>64.447058823529417</v>
      </c>
      <c r="AE2613" s="190"/>
      <c r="AF2613" s="191"/>
      <c r="AG2613" s="191"/>
      <c r="AH2613" s="191"/>
      <c r="AI2613" s="186"/>
      <c r="AK2613" s="171"/>
    </row>
    <row r="2614" spans="1:37" s="103" customFormat="1" ht="19.899999999999999" customHeight="1" x14ac:dyDescent="0.25">
      <c r="A2614" s="51"/>
      <c r="B2614" s="52"/>
      <c r="C2614" s="165"/>
      <c r="D2614" s="52"/>
      <c r="E2614" s="115"/>
      <c r="F2614" s="58"/>
      <c r="G2614" s="58"/>
      <c r="H2614" s="58"/>
      <c r="I2614" s="55"/>
      <c r="J2614" s="113">
        <f>J2608</f>
        <v>3.32</v>
      </c>
      <c r="K2614" s="212">
        <f>K2608</f>
        <v>3.32</v>
      </c>
      <c r="L2614" s="58"/>
      <c r="M2614" s="58">
        <f>K2614-L2614</f>
        <v>3.32</v>
      </c>
      <c r="N2614" s="166"/>
      <c r="O2614" s="58"/>
      <c r="P2614" s="58"/>
      <c r="Q2614" s="58"/>
      <c r="R2614" s="58"/>
      <c r="S2614" s="58"/>
      <c r="T2614" s="220"/>
      <c r="U2614" s="88"/>
      <c r="V2614" s="56"/>
      <c r="W2614" s="57" t="s">
        <v>1352</v>
      </c>
      <c r="X2614" s="53"/>
      <c r="Y2614" s="91" t="s">
        <v>35</v>
      </c>
      <c r="Z2614" s="136">
        <f>AD2614/AC2614</f>
        <v>9186.6</v>
      </c>
      <c r="AA2614" s="58"/>
      <c r="AB2614" s="53">
        <f>AD2614/AC2614</f>
        <v>9186.6</v>
      </c>
      <c r="AC2614" s="53">
        <f>M2614+$AE$10</f>
        <v>3.32</v>
      </c>
      <c r="AD2614" s="54">
        <f>SUM(AD2615:AD2625)</f>
        <v>30499.511999999999</v>
      </c>
      <c r="AE2614" s="184">
        <f>SUMIFS($AD$37:$AD$12971,$V$37:$V$12971,$V2614,$X$37:$X$12971,AE$13)</f>
        <v>0</v>
      </c>
      <c r="AF2614" s="185">
        <f>SUMIFS($AD$37:$AD$12971,$V$37:$V$12971,$V2614,$X$37:$X$12971,AF$13)</f>
        <v>0</v>
      </c>
      <c r="AG2614" s="185">
        <f>SUMIFS($AD$37:$AD$12971,$V$37:$V$12971,$V2614,$X$37:$X$12971,AG$13)</f>
        <v>0</v>
      </c>
      <c r="AH2614" s="187">
        <f>SUMIFS($AD$37:$AD$12971,$V$37:$V$12971,$V2614,$X$37:$X$12971,AH$13)</f>
        <v>0</v>
      </c>
      <c r="AI2614" s="161">
        <f t="shared" ref="AI2614" si="2075">SUM(AE2614:AH2614)</f>
        <v>0</v>
      </c>
      <c r="AK2614" s="172"/>
    </row>
    <row r="2615" spans="1:37" s="102" customFormat="1" ht="19.899999999999999" customHeight="1" x14ac:dyDescent="0.25">
      <c r="A2615" s="45"/>
      <c r="B2615" s="59"/>
      <c r="C2615" s="137"/>
      <c r="D2615" s="59"/>
      <c r="E2615" s="116"/>
      <c r="F2615" s="120"/>
      <c r="G2615" s="120"/>
      <c r="H2615" s="120"/>
      <c r="I2615" s="60"/>
      <c r="J2615" s="116"/>
      <c r="K2615" s="213"/>
      <c r="L2615" s="120"/>
      <c r="M2615" s="120"/>
      <c r="N2615" s="167"/>
      <c r="O2615" s="120"/>
      <c r="P2615" s="120"/>
      <c r="Q2615" s="120"/>
      <c r="R2615" s="120"/>
      <c r="S2615" s="120"/>
      <c r="T2615" s="221"/>
      <c r="U2615" s="89"/>
      <c r="V2615" s="61"/>
      <c r="W2615" s="92" t="s">
        <v>1032</v>
      </c>
      <c r="X2615" s="93" t="s">
        <v>30</v>
      </c>
      <c r="Y2615" s="93" t="s">
        <v>66</v>
      </c>
      <c r="Z2615" s="134">
        <f>VLOOKUP(W2615,Sheet2!$B:$D,3,FALSE)</f>
        <v>250</v>
      </c>
      <c r="AA2615" s="93">
        <f>1/(3*3*0.1)</f>
        <v>1.1111111111111112</v>
      </c>
      <c r="AB2615" s="93">
        <f t="shared" ref="AB2615" si="2076">AD2615/AC2614</f>
        <v>224.99999999999997</v>
      </c>
      <c r="AC2615" s="93">
        <f>AC2614/AA2615</f>
        <v>2.9879999999999995</v>
      </c>
      <c r="AD2615" s="94">
        <f t="shared" ref="AD2615:AD2617" si="2077">AC2615*Z2615</f>
        <v>746.99999999999989</v>
      </c>
      <c r="AE2615" s="190"/>
      <c r="AF2615" s="191"/>
      <c r="AG2615" s="191"/>
      <c r="AH2615" s="191"/>
      <c r="AI2615" s="186"/>
      <c r="AK2615" s="171"/>
    </row>
    <row r="2616" spans="1:37" s="102" customFormat="1" ht="19.899999999999999" customHeight="1" x14ac:dyDescent="0.25">
      <c r="A2616" s="45"/>
      <c r="B2616" s="59"/>
      <c r="C2616" s="137"/>
      <c r="D2616" s="59"/>
      <c r="E2616" s="116"/>
      <c r="F2616" s="120"/>
      <c r="G2616" s="120"/>
      <c r="H2616" s="120"/>
      <c r="I2616" s="60"/>
      <c r="J2616" s="116"/>
      <c r="K2616" s="213"/>
      <c r="L2616" s="120"/>
      <c r="M2616" s="120"/>
      <c r="N2616" s="167"/>
      <c r="O2616" s="120"/>
      <c r="P2616" s="120"/>
      <c r="Q2616" s="120"/>
      <c r="R2616" s="120"/>
      <c r="S2616" s="120"/>
      <c r="T2616" s="221"/>
      <c r="U2616" s="89"/>
      <c r="V2616" s="61"/>
      <c r="W2616" s="92" t="s">
        <v>1353</v>
      </c>
      <c r="X2616" s="93" t="s">
        <v>30</v>
      </c>
      <c r="Y2616" s="93" t="s">
        <v>66</v>
      </c>
      <c r="Z2616" s="134">
        <f>VLOOKUP(W2616,Sheet2!$B:$D,3,FALSE)</f>
        <v>350</v>
      </c>
      <c r="AA2616" s="93">
        <f>1/(2*2*0.25*5)</f>
        <v>0.2</v>
      </c>
      <c r="AB2616" s="93">
        <f>AD2616/AC2614</f>
        <v>1749.9999999999998</v>
      </c>
      <c r="AC2616" s="93">
        <f>AC2614/AA2616</f>
        <v>16.599999999999998</v>
      </c>
      <c r="AD2616" s="94">
        <f t="shared" si="2077"/>
        <v>5809.9999999999991</v>
      </c>
      <c r="AE2616" s="190"/>
      <c r="AF2616" s="191"/>
      <c r="AG2616" s="191"/>
      <c r="AH2616" s="191"/>
      <c r="AI2616" s="186"/>
      <c r="AK2616" s="171"/>
    </row>
    <row r="2617" spans="1:37" s="102" customFormat="1" ht="19.899999999999999" customHeight="1" x14ac:dyDescent="0.25">
      <c r="A2617" s="45"/>
      <c r="B2617" s="59"/>
      <c r="C2617" s="137"/>
      <c r="D2617" s="59"/>
      <c r="E2617" s="116"/>
      <c r="F2617" s="120"/>
      <c r="G2617" s="120"/>
      <c r="H2617" s="120"/>
      <c r="I2617" s="60"/>
      <c r="J2617" s="116"/>
      <c r="K2617" s="213"/>
      <c r="L2617" s="120"/>
      <c r="M2617" s="120"/>
      <c r="N2617" s="167"/>
      <c r="O2617" s="120"/>
      <c r="P2617" s="120"/>
      <c r="Q2617" s="120"/>
      <c r="R2617" s="120"/>
      <c r="S2617" s="120"/>
      <c r="T2617" s="221"/>
      <c r="U2617" s="89"/>
      <c r="V2617" s="61"/>
      <c r="W2617" s="92" t="s">
        <v>99</v>
      </c>
      <c r="X2617" s="93" t="s">
        <v>30</v>
      </c>
      <c r="Y2617" s="93" t="s">
        <v>67</v>
      </c>
      <c r="Z2617" s="134">
        <f>VLOOKUP(W2617,Sheet2!$B:$D,3,FALSE)</f>
        <v>2500</v>
      </c>
      <c r="AA2617" s="93">
        <f>1/(2*2*0.25*5*0.08)</f>
        <v>2.5</v>
      </c>
      <c r="AB2617" s="93">
        <f>AD2617/AC2614</f>
        <v>999.99999999999989</v>
      </c>
      <c r="AC2617" s="93">
        <f>AC2614/AA2617</f>
        <v>1.3279999999999998</v>
      </c>
      <c r="AD2617" s="94">
        <f t="shared" si="2077"/>
        <v>3319.9999999999995</v>
      </c>
      <c r="AE2617" s="190"/>
      <c r="AF2617" s="191"/>
      <c r="AG2617" s="191"/>
      <c r="AH2617" s="191"/>
      <c r="AI2617" s="186"/>
      <c r="AK2617" s="171"/>
    </row>
    <row r="2618" spans="1:37" s="102" customFormat="1" ht="19.899999999999999" customHeight="1" x14ac:dyDescent="0.25">
      <c r="A2618" s="45"/>
      <c r="B2618" s="59"/>
      <c r="C2618" s="137"/>
      <c r="D2618" s="59"/>
      <c r="E2618" s="116"/>
      <c r="F2618" s="120"/>
      <c r="G2618" s="120"/>
      <c r="H2618" s="120"/>
      <c r="I2618" s="60"/>
      <c r="J2618" s="116"/>
      <c r="K2618" s="213"/>
      <c r="L2618" s="120"/>
      <c r="M2618" s="120"/>
      <c r="N2618" s="167"/>
      <c r="O2618" s="120"/>
      <c r="P2618" s="120"/>
      <c r="Q2618" s="120"/>
      <c r="R2618" s="120"/>
      <c r="S2618" s="120"/>
      <c r="T2618" s="221"/>
      <c r="U2618" s="89"/>
      <c r="V2618" s="61"/>
      <c r="W2618" s="92" t="s">
        <v>1354</v>
      </c>
      <c r="X2618" s="93" t="s">
        <v>32</v>
      </c>
      <c r="Y2618" s="93" t="s">
        <v>66</v>
      </c>
      <c r="Z2618" s="134">
        <f>VLOOKUP(W2618,Sheet2!$B:$D,3,FALSE)</f>
        <v>150</v>
      </c>
      <c r="AA2618" s="93">
        <f>AA2615</f>
        <v>1.1111111111111112</v>
      </c>
      <c r="AB2618" s="93">
        <f>AD2618/AC2614</f>
        <v>135</v>
      </c>
      <c r="AC2618" s="93">
        <f>AC2614/AA2618</f>
        <v>2.9879999999999995</v>
      </c>
      <c r="AD2618" s="94">
        <f>AC2618*Z2618</f>
        <v>448.19999999999993</v>
      </c>
      <c r="AE2618" s="190"/>
      <c r="AF2618" s="191"/>
      <c r="AG2618" s="191"/>
      <c r="AH2618" s="191"/>
      <c r="AI2618" s="186"/>
      <c r="AK2618" s="171"/>
    </row>
    <row r="2619" spans="1:37" s="102" customFormat="1" ht="19.899999999999999" customHeight="1" x14ac:dyDescent="0.25">
      <c r="A2619" s="45"/>
      <c r="B2619" s="59"/>
      <c r="C2619" s="137"/>
      <c r="D2619" s="59"/>
      <c r="E2619" s="116"/>
      <c r="F2619" s="120"/>
      <c r="G2619" s="120"/>
      <c r="H2619" s="120"/>
      <c r="I2619" s="60"/>
      <c r="J2619" s="116"/>
      <c r="K2619" s="213"/>
      <c r="L2619" s="120"/>
      <c r="M2619" s="120"/>
      <c r="N2619" s="167"/>
      <c r="O2619" s="120"/>
      <c r="P2619" s="120"/>
      <c r="Q2619" s="120"/>
      <c r="R2619" s="120"/>
      <c r="S2619" s="120"/>
      <c r="T2619" s="221"/>
      <c r="U2619" s="89"/>
      <c r="V2619" s="61"/>
      <c r="W2619" s="92" t="s">
        <v>1355</v>
      </c>
      <c r="X2619" s="93" t="s">
        <v>32</v>
      </c>
      <c r="Y2619" s="93" t="s">
        <v>66</v>
      </c>
      <c r="Z2619" s="134">
        <f>VLOOKUP(W2619,Sheet2!$B:$D,3,FALSE)</f>
        <v>450</v>
      </c>
      <c r="AA2619" s="93">
        <f>AA2616</f>
        <v>0.2</v>
      </c>
      <c r="AB2619" s="93">
        <f>AD2619/AC2614</f>
        <v>2250</v>
      </c>
      <c r="AC2619" s="93">
        <f>AC2614/AA2619</f>
        <v>16.599999999999998</v>
      </c>
      <c r="AD2619" s="94">
        <f>AC2619*Z2619</f>
        <v>7469.9999999999991</v>
      </c>
      <c r="AE2619" s="190"/>
      <c r="AF2619" s="191"/>
      <c r="AG2619" s="191"/>
      <c r="AH2619" s="191"/>
      <c r="AI2619" s="186"/>
      <c r="AK2619" s="171"/>
    </row>
    <row r="2620" spans="1:37" s="102" customFormat="1" ht="19.899999999999999" customHeight="1" x14ac:dyDescent="0.25">
      <c r="A2620" s="45"/>
      <c r="B2620" s="59"/>
      <c r="C2620" s="137"/>
      <c r="D2620" s="59"/>
      <c r="E2620" s="116"/>
      <c r="F2620" s="120"/>
      <c r="G2620" s="120"/>
      <c r="H2620" s="120"/>
      <c r="I2620" s="60"/>
      <c r="J2620" s="116"/>
      <c r="K2620" s="213"/>
      <c r="L2620" s="120"/>
      <c r="M2620" s="120"/>
      <c r="N2620" s="167"/>
      <c r="O2620" s="120"/>
      <c r="P2620" s="120"/>
      <c r="Q2620" s="120"/>
      <c r="R2620" s="120"/>
      <c r="S2620" s="120"/>
      <c r="T2620" s="221"/>
      <c r="U2620" s="89"/>
      <c r="V2620" s="61"/>
      <c r="W2620" s="92" t="s">
        <v>1356</v>
      </c>
      <c r="X2620" s="93" t="s">
        <v>30</v>
      </c>
      <c r="Y2620" s="93" t="s">
        <v>35</v>
      </c>
      <c r="Z2620" s="134">
        <f>VLOOKUP(W2620,Sheet2!$B:$D,3,FALSE)</f>
        <v>3500</v>
      </c>
      <c r="AA2620" s="93">
        <v>1</v>
      </c>
      <c r="AB2620" s="93">
        <f>AD2620/AC2614</f>
        <v>3500</v>
      </c>
      <c r="AC2620" s="93">
        <f>AC2614/AA2620</f>
        <v>3.32</v>
      </c>
      <c r="AD2620" s="94">
        <f t="shared" ref="AD2620:AD2621" si="2078">AC2620*Z2620</f>
        <v>11620</v>
      </c>
      <c r="AE2620" s="190"/>
      <c r="AF2620" s="191"/>
      <c r="AG2620" s="191"/>
      <c r="AH2620" s="191"/>
      <c r="AI2620" s="186"/>
      <c r="AK2620" s="171"/>
    </row>
    <row r="2621" spans="1:37" s="102" customFormat="1" ht="19.899999999999999" customHeight="1" x14ac:dyDescent="0.25">
      <c r="A2621" s="45"/>
      <c r="B2621" s="59"/>
      <c r="C2621" s="137"/>
      <c r="D2621" s="59"/>
      <c r="E2621" s="116"/>
      <c r="F2621" s="120"/>
      <c r="G2621" s="120"/>
      <c r="H2621" s="120"/>
      <c r="I2621" s="60"/>
      <c r="J2621" s="116"/>
      <c r="K2621" s="213"/>
      <c r="L2621" s="120"/>
      <c r="M2621" s="120"/>
      <c r="N2621" s="167"/>
      <c r="O2621" s="120"/>
      <c r="P2621" s="120"/>
      <c r="Q2621" s="120"/>
      <c r="R2621" s="120"/>
      <c r="S2621" s="120"/>
      <c r="T2621" s="221"/>
      <c r="U2621" s="89"/>
      <c r="V2621" s="61"/>
      <c r="W2621" s="92" t="s">
        <v>174</v>
      </c>
      <c r="X2621" s="93" t="s">
        <v>29</v>
      </c>
      <c r="Y2621" s="93" t="s">
        <v>93</v>
      </c>
      <c r="Z2621" s="134">
        <f>VLOOKUP(W2621,Sheet2!$B:$D,3,FALSE)</f>
        <v>80</v>
      </c>
      <c r="AA2621" s="93">
        <v>4</v>
      </c>
      <c r="AB2621" s="93">
        <f>AD2621/AC2614</f>
        <v>20</v>
      </c>
      <c r="AC2621" s="93">
        <f>AC2614/AA2621</f>
        <v>0.83</v>
      </c>
      <c r="AD2621" s="94">
        <f t="shared" si="2078"/>
        <v>66.399999999999991</v>
      </c>
      <c r="AE2621" s="190"/>
      <c r="AF2621" s="191"/>
      <c r="AG2621" s="191"/>
      <c r="AH2621" s="191"/>
      <c r="AI2621" s="186"/>
      <c r="AK2621" s="171"/>
    </row>
    <row r="2622" spans="1:37" s="102" customFormat="1" ht="19.899999999999999" customHeight="1" x14ac:dyDescent="0.25">
      <c r="A2622" s="45"/>
      <c r="B2622" s="59"/>
      <c r="C2622" s="137"/>
      <c r="D2622" s="59"/>
      <c r="E2622" s="116"/>
      <c r="F2622" s="120"/>
      <c r="G2622" s="120"/>
      <c r="H2622" s="120"/>
      <c r="I2622" s="60"/>
      <c r="J2622" s="116"/>
      <c r="K2622" s="213"/>
      <c r="L2622" s="120"/>
      <c r="M2622" s="120"/>
      <c r="N2622" s="167"/>
      <c r="O2622" s="120"/>
      <c r="P2622" s="120"/>
      <c r="Q2622" s="120"/>
      <c r="R2622" s="120"/>
      <c r="S2622" s="120"/>
      <c r="T2622" s="221"/>
      <c r="U2622" s="89"/>
      <c r="V2622" s="61"/>
      <c r="W2622" s="92" t="s">
        <v>65</v>
      </c>
      <c r="X2622" s="93" t="s">
        <v>30</v>
      </c>
      <c r="Y2622" s="93" t="s">
        <v>93</v>
      </c>
      <c r="Z2622" s="134">
        <f>VLOOKUP(W2622,Sheet2!$B:$D,3,FALSE)</f>
        <v>1.76</v>
      </c>
      <c r="AA2622" s="93">
        <f>AA2621/15</f>
        <v>0.26666666666666666</v>
      </c>
      <c r="AB2622" s="93">
        <f>AD2622/AC2614</f>
        <v>6.6</v>
      </c>
      <c r="AC2622" s="93">
        <f>AC2614/AA2622</f>
        <v>12.45</v>
      </c>
      <c r="AD2622" s="94">
        <f>AC2622*Z2622</f>
        <v>21.911999999999999</v>
      </c>
      <c r="AE2622" s="190"/>
      <c r="AF2622" s="191"/>
      <c r="AG2622" s="191"/>
      <c r="AH2622" s="191"/>
      <c r="AI2622" s="186"/>
      <c r="AK2622" s="171"/>
    </row>
    <row r="2623" spans="1:37" s="102" customFormat="1" ht="19.899999999999999" customHeight="1" x14ac:dyDescent="0.25">
      <c r="A2623" s="45"/>
      <c r="B2623" s="59"/>
      <c r="C2623" s="137"/>
      <c r="D2623" s="59"/>
      <c r="E2623" s="116"/>
      <c r="F2623" s="120"/>
      <c r="G2623" s="120"/>
      <c r="H2623" s="120"/>
      <c r="I2623" s="60"/>
      <c r="J2623" s="116"/>
      <c r="K2623" s="213"/>
      <c r="L2623" s="120"/>
      <c r="M2623" s="120"/>
      <c r="N2623" s="167"/>
      <c r="O2623" s="120"/>
      <c r="P2623" s="120"/>
      <c r="Q2623" s="120"/>
      <c r="R2623" s="120"/>
      <c r="S2623" s="120"/>
      <c r="T2623" s="221"/>
      <c r="U2623" s="89"/>
      <c r="V2623" s="61"/>
      <c r="W2623" s="92" t="s">
        <v>1357</v>
      </c>
      <c r="X2623" s="93" t="s">
        <v>30</v>
      </c>
      <c r="Y2623" s="93" t="s">
        <v>1349</v>
      </c>
      <c r="Z2623" s="134">
        <f>VLOOKUP(W2623,Sheet2!$B:$D,3,FALSE)</f>
        <v>150</v>
      </c>
      <c r="AA2623" s="93">
        <v>1</v>
      </c>
      <c r="AB2623" s="93">
        <f>AD2623/AC2614</f>
        <v>150</v>
      </c>
      <c r="AC2623" s="93">
        <f>AC2614/AA2623</f>
        <v>3.32</v>
      </c>
      <c r="AD2623" s="94">
        <f>AC2623*Z2623</f>
        <v>498</v>
      </c>
      <c r="AE2623" s="190"/>
      <c r="AF2623" s="191"/>
      <c r="AG2623" s="191"/>
      <c r="AH2623" s="191"/>
      <c r="AI2623" s="186"/>
      <c r="AK2623" s="171"/>
    </row>
    <row r="2624" spans="1:37" s="102" customFormat="1" ht="19.899999999999999" customHeight="1" x14ac:dyDescent="0.25">
      <c r="A2624" s="45"/>
      <c r="B2624" s="59"/>
      <c r="C2624" s="137"/>
      <c r="D2624" s="59"/>
      <c r="E2624" s="116"/>
      <c r="F2624" s="120"/>
      <c r="G2624" s="120"/>
      <c r="H2624" s="120"/>
      <c r="I2624" s="60"/>
      <c r="J2624" s="116"/>
      <c r="K2624" s="213"/>
      <c r="L2624" s="120"/>
      <c r="M2624" s="120"/>
      <c r="N2624" s="167"/>
      <c r="O2624" s="120"/>
      <c r="P2624" s="120"/>
      <c r="Q2624" s="120"/>
      <c r="R2624" s="120"/>
      <c r="S2624" s="120"/>
      <c r="T2624" s="221"/>
      <c r="U2624" s="89"/>
      <c r="V2624" s="61"/>
      <c r="W2624" s="92" t="s">
        <v>107</v>
      </c>
      <c r="X2624" s="93" t="s">
        <v>31</v>
      </c>
      <c r="Y2624" s="93" t="s">
        <v>93</v>
      </c>
      <c r="Z2624" s="134">
        <f>VLOOKUP(W2624,Sheet2!$B:$D,3,FALSE)</f>
        <v>17</v>
      </c>
      <c r="AA2624" s="93">
        <f>1/5</f>
        <v>0.2</v>
      </c>
      <c r="AB2624" s="93">
        <f>AD2624/AC2614</f>
        <v>85</v>
      </c>
      <c r="AC2624" s="93">
        <f>AC2614/AA2624</f>
        <v>16.599999999999998</v>
      </c>
      <c r="AD2624" s="94">
        <f>AC2624*Z2624</f>
        <v>282.2</v>
      </c>
      <c r="AE2624" s="190"/>
      <c r="AF2624" s="191"/>
      <c r="AG2624" s="191"/>
      <c r="AH2624" s="191"/>
      <c r="AI2624" s="186"/>
      <c r="AK2624" s="171"/>
    </row>
    <row r="2625" spans="1:41" s="102" customFormat="1" ht="19.899999999999999" customHeight="1" x14ac:dyDescent="0.25">
      <c r="A2625" s="45"/>
      <c r="B2625" s="59"/>
      <c r="C2625" s="137"/>
      <c r="D2625" s="59"/>
      <c r="E2625" s="116"/>
      <c r="F2625" s="120"/>
      <c r="G2625" s="120"/>
      <c r="H2625" s="120"/>
      <c r="I2625" s="60"/>
      <c r="J2625" s="116"/>
      <c r="K2625" s="213"/>
      <c r="L2625" s="120"/>
      <c r="M2625" s="120"/>
      <c r="N2625" s="167"/>
      <c r="O2625" s="120"/>
      <c r="P2625" s="120"/>
      <c r="Q2625" s="120"/>
      <c r="R2625" s="120"/>
      <c r="S2625" s="120"/>
      <c r="T2625" s="221"/>
      <c r="U2625" s="89"/>
      <c r="V2625" s="61"/>
      <c r="W2625" s="92" t="s">
        <v>112</v>
      </c>
      <c r="X2625" s="93" t="s">
        <v>31</v>
      </c>
      <c r="Y2625" s="93" t="s">
        <v>93</v>
      </c>
      <c r="Z2625" s="134">
        <f>VLOOKUP(W2625,Sheet2!$B:$D,3,FALSE)</f>
        <v>13</v>
      </c>
      <c r="AA2625" s="93">
        <f>AA2624</f>
        <v>0.2</v>
      </c>
      <c r="AB2625" s="93">
        <f>AD2625/AC2614</f>
        <v>65</v>
      </c>
      <c r="AC2625" s="93">
        <f>AC2614/AA2625</f>
        <v>16.599999999999998</v>
      </c>
      <c r="AD2625" s="94">
        <f>AC2625*Z2625</f>
        <v>215.79999999999998</v>
      </c>
      <c r="AE2625" s="190"/>
      <c r="AF2625" s="191"/>
      <c r="AG2625" s="191"/>
      <c r="AH2625" s="191"/>
      <c r="AI2625" s="186"/>
      <c r="AK2625" s="171"/>
    </row>
    <row r="2626" spans="1:41" s="103" customFormat="1" ht="19.899999999999999" customHeight="1" x14ac:dyDescent="0.25">
      <c r="A2626" s="51"/>
      <c r="B2626" s="52"/>
      <c r="C2626" s="165"/>
      <c r="D2626" s="52"/>
      <c r="E2626" s="115"/>
      <c r="F2626" s="58"/>
      <c r="G2626" s="58"/>
      <c r="H2626" s="58"/>
      <c r="I2626" s="55"/>
      <c r="J2626" s="113">
        <f>J2608</f>
        <v>3.32</v>
      </c>
      <c r="K2626" s="212">
        <f>K2608</f>
        <v>3.32</v>
      </c>
      <c r="L2626" s="58"/>
      <c r="M2626" s="58">
        <f>K2626-L2626</f>
        <v>3.32</v>
      </c>
      <c r="N2626" s="166"/>
      <c r="O2626" s="58"/>
      <c r="P2626" s="58"/>
      <c r="Q2626" s="58"/>
      <c r="R2626" s="58"/>
      <c r="S2626" s="58"/>
      <c r="T2626" s="220"/>
      <c r="U2626" s="88"/>
      <c r="V2626" s="56"/>
      <c r="W2626" s="57" t="s">
        <v>1358</v>
      </c>
      <c r="X2626" s="53"/>
      <c r="Y2626" s="91" t="s">
        <v>35</v>
      </c>
      <c r="Z2626" s="136">
        <f>AD2626/AC2626</f>
        <v>2799.9999999999995</v>
      </c>
      <c r="AA2626" s="58"/>
      <c r="AB2626" s="53">
        <f>AD2626/AC2626</f>
        <v>2799.9999999999995</v>
      </c>
      <c r="AC2626" s="53">
        <f>M2626+$AE$10</f>
        <v>3.32</v>
      </c>
      <c r="AD2626" s="54">
        <f>SUM(AD2627:AD2628)</f>
        <v>9295.9999999999982</v>
      </c>
      <c r="AE2626" s="184">
        <f>SUMIFS($AD$37:$AD$12971,$V$37:$V$12971,$V2626,$X$37:$X$12971,AE$13)</f>
        <v>0</v>
      </c>
      <c r="AF2626" s="185">
        <f>SUMIFS($AD$37:$AD$12971,$V$37:$V$12971,$V2626,$X$37:$X$12971,AF$13)</f>
        <v>0</v>
      </c>
      <c r="AG2626" s="185">
        <f>SUMIFS($AD$37:$AD$12971,$V$37:$V$12971,$V2626,$X$37:$X$12971,AG$13)</f>
        <v>0</v>
      </c>
      <c r="AH2626" s="187">
        <f>SUMIFS($AD$37:$AD$12971,$V$37:$V$12971,$V2626,$X$37:$X$12971,AH$13)</f>
        <v>0</v>
      </c>
      <c r="AI2626" s="161">
        <f t="shared" ref="AI2626" si="2079">SUM(AE2626:AH2626)</f>
        <v>0</v>
      </c>
      <c r="AK2626" s="172"/>
    </row>
    <row r="2627" spans="1:41" s="102" customFormat="1" ht="19.899999999999999" customHeight="1" x14ac:dyDescent="0.25">
      <c r="A2627" s="45"/>
      <c r="B2627" s="59"/>
      <c r="C2627" s="137"/>
      <c r="D2627" s="59"/>
      <c r="E2627" s="116"/>
      <c r="F2627" s="120"/>
      <c r="G2627" s="120"/>
      <c r="H2627" s="120"/>
      <c r="I2627" s="60"/>
      <c r="J2627" s="116"/>
      <c r="K2627" s="213"/>
      <c r="L2627" s="120"/>
      <c r="M2627" s="120"/>
      <c r="N2627" s="167"/>
      <c r="O2627" s="120"/>
      <c r="P2627" s="120"/>
      <c r="Q2627" s="120"/>
      <c r="R2627" s="120"/>
      <c r="S2627" s="120"/>
      <c r="T2627" s="221"/>
      <c r="U2627" s="89"/>
      <c r="V2627" s="61"/>
      <c r="W2627" s="92" t="s">
        <v>1359</v>
      </c>
      <c r="X2627" s="93" t="s">
        <v>32</v>
      </c>
      <c r="Y2627" s="93" t="s">
        <v>64</v>
      </c>
      <c r="Z2627" s="134">
        <f>VLOOKUP(W2627,Sheet2!$B:$D,3,FALSE)</f>
        <v>40</v>
      </c>
      <c r="AA2627" s="93">
        <f>1/40</f>
        <v>2.5000000000000001E-2</v>
      </c>
      <c r="AB2627" s="93">
        <f t="shared" ref="AB2627" si="2080">AD2627/AC2626</f>
        <v>1599.9999999999998</v>
      </c>
      <c r="AC2627" s="93">
        <f>AC2626/AA2627</f>
        <v>132.79999999999998</v>
      </c>
      <c r="AD2627" s="94">
        <f t="shared" ref="AD2627:AD2628" si="2081">AC2627*Z2627</f>
        <v>5311.9999999999991</v>
      </c>
      <c r="AE2627" s="190"/>
      <c r="AF2627" s="191"/>
      <c r="AG2627" s="191"/>
      <c r="AH2627" s="191"/>
      <c r="AI2627" s="186"/>
      <c r="AK2627" s="171"/>
    </row>
    <row r="2628" spans="1:41" s="102" customFormat="1" ht="19.899999999999999" customHeight="1" x14ac:dyDescent="0.25">
      <c r="A2628" s="45"/>
      <c r="B2628" s="59"/>
      <c r="C2628" s="137"/>
      <c r="D2628" s="59"/>
      <c r="E2628" s="116"/>
      <c r="F2628" s="120"/>
      <c r="G2628" s="120"/>
      <c r="H2628" s="120"/>
      <c r="I2628" s="60"/>
      <c r="J2628" s="116"/>
      <c r="K2628" s="213"/>
      <c r="L2628" s="120"/>
      <c r="M2628" s="120"/>
      <c r="N2628" s="167"/>
      <c r="O2628" s="120"/>
      <c r="P2628" s="120"/>
      <c r="Q2628" s="120"/>
      <c r="R2628" s="120"/>
      <c r="S2628" s="120"/>
      <c r="T2628" s="221"/>
      <c r="U2628" s="89"/>
      <c r="V2628" s="61"/>
      <c r="W2628" s="92" t="s">
        <v>1360</v>
      </c>
      <c r="X2628" s="93" t="s">
        <v>32</v>
      </c>
      <c r="Y2628" s="93" t="s">
        <v>64</v>
      </c>
      <c r="Z2628" s="134">
        <f>VLOOKUP(W2628,Sheet2!$B:$D,3,FALSE)</f>
        <v>30</v>
      </c>
      <c r="AA2628" s="93">
        <f>AA2627</f>
        <v>2.5000000000000001E-2</v>
      </c>
      <c r="AB2628" s="93">
        <f>AD2628/AC2626</f>
        <v>1200</v>
      </c>
      <c r="AC2628" s="93">
        <f>AC2626/AA2628</f>
        <v>132.79999999999998</v>
      </c>
      <c r="AD2628" s="94">
        <f t="shared" si="2081"/>
        <v>3983.9999999999995</v>
      </c>
      <c r="AE2628" s="190"/>
      <c r="AF2628" s="191"/>
      <c r="AG2628" s="191"/>
      <c r="AH2628" s="191"/>
      <c r="AI2628" s="186"/>
      <c r="AK2628" s="171"/>
    </row>
    <row r="2629" spans="1:41" s="103" customFormat="1" ht="19.899999999999999" customHeight="1" x14ac:dyDescent="0.25">
      <c r="A2629" s="51"/>
      <c r="B2629" s="52"/>
      <c r="C2629" s="165"/>
      <c r="D2629" s="52"/>
      <c r="E2629" s="115"/>
      <c r="F2629" s="58"/>
      <c r="G2629" s="58"/>
      <c r="H2629" s="58"/>
      <c r="I2629" s="55"/>
      <c r="J2629" s="113">
        <f>J2608</f>
        <v>3.32</v>
      </c>
      <c r="K2629" s="212">
        <f>K2608</f>
        <v>3.32</v>
      </c>
      <c r="L2629" s="58"/>
      <c r="M2629" s="58">
        <f>K2629-L2629</f>
        <v>3.32</v>
      </c>
      <c r="N2629" s="166"/>
      <c r="O2629" s="58"/>
      <c r="P2629" s="58"/>
      <c r="Q2629" s="58"/>
      <c r="R2629" s="58"/>
      <c r="S2629" s="58"/>
      <c r="T2629" s="220"/>
      <c r="U2629" s="88"/>
      <c r="V2629" s="56"/>
      <c r="W2629" s="57" t="s">
        <v>1272</v>
      </c>
      <c r="X2629" s="53"/>
      <c r="Y2629" s="91" t="s">
        <v>35</v>
      </c>
      <c r="Z2629" s="136">
        <f>AD2629/AC2629</f>
        <v>209.08263529411764</v>
      </c>
      <c r="AA2629" s="58"/>
      <c r="AB2629" s="53">
        <f>AD2629/AC2629</f>
        <v>209.08263529411764</v>
      </c>
      <c r="AC2629" s="53">
        <f>M2629+$AE$10</f>
        <v>3.32</v>
      </c>
      <c r="AD2629" s="54">
        <f>SUM(AD2630:AD2638)</f>
        <v>694.15434917647053</v>
      </c>
      <c r="AE2629" s="184">
        <f>SUMIFS($AD$37:$AD$12971,$V$37:$V$12971,$V2629,$X$37:$X$12971,AE$13)</f>
        <v>0</v>
      </c>
      <c r="AF2629" s="185">
        <f>SUMIFS($AD$37:$AD$12971,$V$37:$V$12971,$V2629,$X$37:$X$12971,AF$13)</f>
        <v>0</v>
      </c>
      <c r="AG2629" s="185">
        <f>SUMIFS($AD$37:$AD$12971,$V$37:$V$12971,$V2629,$X$37:$X$12971,AG$13)</f>
        <v>0</v>
      </c>
      <c r="AH2629" s="187">
        <f>SUMIFS($AD$37:$AD$12971,$V$37:$V$12971,$V2629,$X$37:$X$12971,AH$13)</f>
        <v>0</v>
      </c>
      <c r="AI2629" s="161">
        <f t="shared" ref="AI2629" si="2082">SUM(AE2629:AH2629)</f>
        <v>0</v>
      </c>
      <c r="AK2629" s="172"/>
    </row>
    <row r="2630" spans="1:41" s="102" customFormat="1" ht="19.899999999999999" customHeight="1" x14ac:dyDescent="0.25">
      <c r="A2630" s="45"/>
      <c r="B2630" s="59"/>
      <c r="C2630" s="137"/>
      <c r="D2630" s="59"/>
      <c r="E2630" s="116"/>
      <c r="F2630" s="120"/>
      <c r="G2630" s="120"/>
      <c r="H2630" s="120"/>
      <c r="I2630" s="60"/>
      <c r="J2630" s="116"/>
      <c r="K2630" s="213"/>
      <c r="L2630" s="120"/>
      <c r="M2630" s="120"/>
      <c r="N2630" s="167"/>
      <c r="O2630" s="120"/>
      <c r="P2630" s="120"/>
      <c r="Q2630" s="120"/>
      <c r="R2630" s="120"/>
      <c r="S2630" s="120"/>
      <c r="T2630" s="221"/>
      <c r="U2630" s="89"/>
      <c r="V2630" s="61"/>
      <c r="W2630" s="92" t="s">
        <v>1273</v>
      </c>
      <c r="X2630" s="93" t="s">
        <v>30</v>
      </c>
      <c r="Y2630" s="93" t="s">
        <v>66</v>
      </c>
      <c r="Z2630" s="134">
        <f>VLOOKUP(W2630,Sheet2!$B:$D,3,FALSE)</f>
        <v>10</v>
      </c>
      <c r="AA2630" s="93">
        <f>1/(2.5*2.4*0.5*4)</f>
        <v>8.3333333333333329E-2</v>
      </c>
      <c r="AB2630" s="93">
        <f>AD2630/AC2629</f>
        <v>120.00000000000001</v>
      </c>
      <c r="AC2630" s="93">
        <f>AC2629/AA2630</f>
        <v>39.840000000000003</v>
      </c>
      <c r="AD2630" s="94">
        <f t="shared" ref="AD2630:AD2632" si="2083">AC2630*Z2630</f>
        <v>398.40000000000003</v>
      </c>
      <c r="AE2630" s="190"/>
      <c r="AF2630" s="191"/>
      <c r="AG2630" s="191"/>
      <c r="AH2630" s="191"/>
      <c r="AI2630" s="186"/>
      <c r="AK2630" s="171"/>
    </row>
    <row r="2631" spans="1:41" s="102" customFormat="1" ht="19.899999999999999" customHeight="1" x14ac:dyDescent="0.25">
      <c r="A2631" s="45"/>
      <c r="B2631" s="59"/>
      <c r="C2631" s="137"/>
      <c r="D2631" s="59"/>
      <c r="E2631" s="116"/>
      <c r="F2631" s="120"/>
      <c r="G2631" s="120"/>
      <c r="H2631" s="120"/>
      <c r="I2631" s="60"/>
      <c r="J2631" s="116"/>
      <c r="K2631" s="213"/>
      <c r="L2631" s="120"/>
      <c r="M2631" s="120"/>
      <c r="N2631" s="167"/>
      <c r="O2631" s="120"/>
      <c r="P2631" s="120"/>
      <c r="Q2631" s="120"/>
      <c r="R2631" s="120"/>
      <c r="S2631" s="120"/>
      <c r="T2631" s="221"/>
      <c r="U2631" s="89"/>
      <c r="V2631" s="61"/>
      <c r="W2631" s="92" t="s">
        <v>134</v>
      </c>
      <c r="X2631" s="93" t="s">
        <v>29</v>
      </c>
      <c r="Y2631" s="93" t="s">
        <v>93</v>
      </c>
      <c r="Z2631" s="134">
        <f>VLOOKUP(W2631,Sheet2!$B:$D,3,FALSE)</f>
        <v>65.599999999999994</v>
      </c>
      <c r="AA2631" s="93">
        <f>100/(2.5*2.4*0.5*4)</f>
        <v>8.3333333333333339</v>
      </c>
      <c r="AB2631" s="93">
        <f t="shared" ref="AB2631" si="2084">AD2631/AC2629</f>
        <v>7.871999999999999</v>
      </c>
      <c r="AC2631" s="93">
        <f>AC2629/AA2631</f>
        <v>0.39839999999999998</v>
      </c>
      <c r="AD2631" s="94">
        <f t="shared" si="2083"/>
        <v>26.135039999999996</v>
      </c>
      <c r="AE2631" s="190"/>
      <c r="AF2631" s="191"/>
      <c r="AG2631" s="191"/>
      <c r="AH2631" s="191"/>
      <c r="AI2631" s="186"/>
      <c r="AK2631" s="171"/>
    </row>
    <row r="2632" spans="1:41" s="102" customFormat="1" ht="19.899999999999999" customHeight="1" x14ac:dyDescent="0.25">
      <c r="A2632" s="45"/>
      <c r="B2632" s="59"/>
      <c r="C2632" s="137"/>
      <c r="D2632" s="59"/>
      <c r="E2632" s="116"/>
      <c r="F2632" s="120"/>
      <c r="G2632" s="120"/>
      <c r="H2632" s="120"/>
      <c r="I2632" s="60"/>
      <c r="J2632" s="116"/>
      <c r="K2632" s="213"/>
      <c r="L2632" s="120"/>
      <c r="M2632" s="120"/>
      <c r="N2632" s="167"/>
      <c r="O2632" s="120"/>
      <c r="P2632" s="120"/>
      <c r="Q2632" s="120"/>
      <c r="R2632" s="120"/>
      <c r="S2632" s="120"/>
      <c r="T2632" s="221"/>
      <c r="U2632" s="89"/>
      <c r="V2632" s="61"/>
      <c r="W2632" s="92" t="s">
        <v>65</v>
      </c>
      <c r="X2632" s="93" t="s">
        <v>30</v>
      </c>
      <c r="Y2632" s="93" t="s">
        <v>1011</v>
      </c>
      <c r="Z2632" s="134">
        <f>VLOOKUP(W2632,Sheet2!$B:$D,3,FALSE)</f>
        <v>1.76</v>
      </c>
      <c r="AA2632" s="93">
        <f>AA2631/9</f>
        <v>0.92592592592592604</v>
      </c>
      <c r="AB2632" s="93">
        <f>AD2632/AC2629</f>
        <v>1.9007999999999998</v>
      </c>
      <c r="AC2632" s="93">
        <f>AC2629/AA2632</f>
        <v>3.5855999999999995</v>
      </c>
      <c r="AD2632" s="94">
        <f t="shared" si="2083"/>
        <v>6.3106559999999989</v>
      </c>
      <c r="AE2632" s="190"/>
      <c r="AF2632" s="191"/>
      <c r="AG2632" s="191"/>
      <c r="AH2632" s="191"/>
      <c r="AI2632" s="186"/>
      <c r="AK2632" s="171"/>
    </row>
    <row r="2633" spans="1:41" s="102" customFormat="1" ht="19.899999999999999" customHeight="1" x14ac:dyDescent="0.25">
      <c r="A2633" s="45"/>
      <c r="B2633" s="59"/>
      <c r="C2633" s="137"/>
      <c r="D2633" s="59"/>
      <c r="E2633" s="116"/>
      <c r="F2633" s="120"/>
      <c r="G2633" s="120"/>
      <c r="H2633" s="120"/>
      <c r="I2633" s="60"/>
      <c r="J2633" s="116"/>
      <c r="K2633" s="213"/>
      <c r="L2633" s="120"/>
      <c r="M2633" s="120"/>
      <c r="N2633" s="167"/>
      <c r="O2633" s="120"/>
      <c r="P2633" s="120"/>
      <c r="Q2633" s="120"/>
      <c r="R2633" s="120"/>
      <c r="S2633" s="120"/>
      <c r="T2633" s="221"/>
      <c r="U2633" s="89"/>
      <c r="V2633" s="61"/>
      <c r="W2633" s="92" t="s">
        <v>161</v>
      </c>
      <c r="X2633" s="93" t="s">
        <v>29</v>
      </c>
      <c r="Y2633" s="93" t="s">
        <v>93</v>
      </c>
      <c r="Z2633" s="134">
        <f>VLOOKUP(W2633,Sheet2!$B:$D,3,FALSE)</f>
        <v>48</v>
      </c>
      <c r="AA2633" s="93">
        <f>(16*0.85*1.5)/(2.5*2.4*0.5*4)</f>
        <v>1.7</v>
      </c>
      <c r="AB2633" s="93">
        <f>AD2633/AC2629</f>
        <v>28.235294117647058</v>
      </c>
      <c r="AC2633" s="93">
        <f>AC2629/AA2633</f>
        <v>1.9529411764705882</v>
      </c>
      <c r="AD2633" s="94">
        <f>AC2633*Z2633</f>
        <v>93.741176470588229</v>
      </c>
      <c r="AE2633" s="190"/>
      <c r="AF2633" s="191"/>
      <c r="AG2633" s="191"/>
      <c r="AH2633" s="191"/>
      <c r="AI2633" s="186"/>
      <c r="AK2633" s="171"/>
    </row>
    <row r="2634" spans="1:41" s="102" customFormat="1" ht="19.899999999999999" customHeight="1" x14ac:dyDescent="0.25">
      <c r="A2634" s="45"/>
      <c r="B2634" s="59"/>
      <c r="C2634" s="137"/>
      <c r="D2634" s="59"/>
      <c r="E2634" s="116"/>
      <c r="F2634" s="120"/>
      <c r="G2634" s="120"/>
      <c r="H2634" s="120"/>
      <c r="I2634" s="60"/>
      <c r="J2634" s="116"/>
      <c r="K2634" s="213"/>
      <c r="L2634" s="120"/>
      <c r="M2634" s="120"/>
      <c r="N2634" s="167"/>
      <c r="O2634" s="120"/>
      <c r="P2634" s="120"/>
      <c r="Q2634" s="120"/>
      <c r="R2634" s="120"/>
      <c r="S2634" s="120"/>
      <c r="T2634" s="221"/>
      <c r="U2634" s="89"/>
      <c r="V2634" s="61"/>
      <c r="W2634" s="92" t="s">
        <v>65</v>
      </c>
      <c r="X2634" s="93" t="s">
        <v>30</v>
      </c>
      <c r="Y2634" s="93" t="s">
        <v>1011</v>
      </c>
      <c r="Z2634" s="134">
        <f>VLOOKUP(W2634,Sheet2!$B:$D,3,FALSE)</f>
        <v>1.76</v>
      </c>
      <c r="AA2634" s="93">
        <f>AA2633/10</f>
        <v>0.16999999999999998</v>
      </c>
      <c r="AB2634" s="93">
        <f>AD2634/AC2629</f>
        <v>10.352941176470589</v>
      </c>
      <c r="AC2634" s="93">
        <f>AC2629/AA2634</f>
        <v>19.529411764705884</v>
      </c>
      <c r="AD2634" s="94">
        <f>AC2634*Z2634</f>
        <v>34.371764705882356</v>
      </c>
      <c r="AE2634" s="190"/>
      <c r="AF2634" s="191"/>
      <c r="AG2634" s="191"/>
      <c r="AH2634" s="191"/>
      <c r="AI2634" s="186"/>
      <c r="AK2634" s="171"/>
    </row>
    <row r="2635" spans="1:41" s="102" customFormat="1" ht="19.899999999999999" customHeight="1" x14ac:dyDescent="0.25">
      <c r="A2635" s="45"/>
      <c r="B2635" s="59"/>
      <c r="C2635" s="137"/>
      <c r="D2635" s="59"/>
      <c r="E2635" s="116"/>
      <c r="F2635" s="120"/>
      <c r="G2635" s="120"/>
      <c r="H2635" s="120"/>
      <c r="I2635" s="60"/>
      <c r="J2635" s="116"/>
      <c r="K2635" s="213"/>
      <c r="L2635" s="120"/>
      <c r="M2635" s="120"/>
      <c r="N2635" s="167"/>
      <c r="O2635" s="120"/>
      <c r="P2635" s="120"/>
      <c r="Q2635" s="120"/>
      <c r="R2635" s="120"/>
      <c r="S2635" s="120"/>
      <c r="T2635" s="221"/>
      <c r="U2635" s="89"/>
      <c r="V2635" s="61"/>
      <c r="W2635" s="92" t="s">
        <v>173</v>
      </c>
      <c r="X2635" s="93" t="s">
        <v>29</v>
      </c>
      <c r="Y2635" s="93" t="s">
        <v>93</v>
      </c>
      <c r="Z2635" s="134">
        <f>VLOOKUP(W2635,Sheet2!$B:$D,3,FALSE)</f>
        <v>36</v>
      </c>
      <c r="AA2635" s="93">
        <f>50/(2.5*2.4*0.5*4)</f>
        <v>4.166666666666667</v>
      </c>
      <c r="AB2635" s="93">
        <f>AD2635/AC2629</f>
        <v>8.64</v>
      </c>
      <c r="AC2635" s="93">
        <f>AC2629/AA2635</f>
        <v>0.79679999999999995</v>
      </c>
      <c r="AD2635" s="94">
        <f>AC2635*Z2635</f>
        <v>28.684799999999999</v>
      </c>
      <c r="AE2635" s="190"/>
      <c r="AF2635" s="191"/>
      <c r="AG2635" s="191"/>
      <c r="AH2635" s="191"/>
      <c r="AI2635" s="186"/>
      <c r="AK2635" s="171"/>
    </row>
    <row r="2636" spans="1:41" s="102" customFormat="1" ht="19.899999999999999" customHeight="1" x14ac:dyDescent="0.25">
      <c r="A2636" s="45"/>
      <c r="B2636" s="59"/>
      <c r="C2636" s="137"/>
      <c r="D2636" s="59"/>
      <c r="E2636" s="116"/>
      <c r="F2636" s="120"/>
      <c r="G2636" s="120"/>
      <c r="H2636" s="120"/>
      <c r="I2636" s="60"/>
      <c r="J2636" s="116"/>
      <c r="K2636" s="213"/>
      <c r="L2636" s="120"/>
      <c r="M2636" s="120"/>
      <c r="N2636" s="167"/>
      <c r="O2636" s="120"/>
      <c r="P2636" s="120"/>
      <c r="Q2636" s="120"/>
      <c r="R2636" s="120"/>
      <c r="S2636" s="120"/>
      <c r="T2636" s="221"/>
      <c r="U2636" s="89"/>
      <c r="V2636" s="61"/>
      <c r="W2636" s="92" t="s">
        <v>65</v>
      </c>
      <c r="X2636" s="93" t="s">
        <v>30</v>
      </c>
      <c r="Y2636" s="93" t="s">
        <v>1011</v>
      </c>
      <c r="Z2636" s="134">
        <f>VLOOKUP(W2636,Sheet2!$B:$D,3,FALSE)</f>
        <v>1.76</v>
      </c>
      <c r="AA2636" s="93">
        <f>AA2635/9</f>
        <v>0.46296296296296302</v>
      </c>
      <c r="AB2636" s="93">
        <f>AD2636/AC2629</f>
        <v>3.8015999999999996</v>
      </c>
      <c r="AC2636" s="93">
        <f>AC2629/AA2636</f>
        <v>7.1711999999999989</v>
      </c>
      <c r="AD2636" s="94">
        <f>AC2636*Z2636</f>
        <v>12.621311999999998</v>
      </c>
      <c r="AE2636" s="190"/>
      <c r="AF2636" s="191"/>
      <c r="AG2636" s="191"/>
      <c r="AH2636" s="191"/>
      <c r="AI2636" s="186"/>
      <c r="AK2636" s="171"/>
    </row>
    <row r="2637" spans="1:41" s="102" customFormat="1" ht="19.899999999999999" customHeight="1" x14ac:dyDescent="0.25">
      <c r="A2637" s="45"/>
      <c r="B2637" s="59"/>
      <c r="C2637" s="137"/>
      <c r="D2637" s="59"/>
      <c r="E2637" s="116"/>
      <c r="F2637" s="120"/>
      <c r="G2637" s="120"/>
      <c r="H2637" s="120"/>
      <c r="I2637" s="60"/>
      <c r="J2637" s="116"/>
      <c r="K2637" s="213"/>
      <c r="L2637" s="120"/>
      <c r="M2637" s="120"/>
      <c r="N2637" s="167"/>
      <c r="O2637" s="120"/>
      <c r="P2637" s="120"/>
      <c r="Q2637" s="120"/>
      <c r="R2637" s="120"/>
      <c r="S2637" s="120"/>
      <c r="T2637" s="221"/>
      <c r="U2637" s="89"/>
      <c r="V2637" s="61"/>
      <c r="W2637" s="92" t="s">
        <v>1030</v>
      </c>
      <c r="X2637" s="93" t="s">
        <v>29</v>
      </c>
      <c r="Y2637" s="93" t="s">
        <v>93</v>
      </c>
      <c r="Z2637" s="134">
        <f>VLOOKUP(W2637,Sheet2!$B:$D,3,FALSE)</f>
        <v>23</v>
      </c>
      <c r="AA2637" s="93">
        <v>1</v>
      </c>
      <c r="AB2637" s="93">
        <f>AD2637/AC2629</f>
        <v>23</v>
      </c>
      <c r="AC2637" s="93">
        <f>AC2629/AA2637</f>
        <v>3.32</v>
      </c>
      <c r="AD2637" s="94">
        <f t="shared" ref="AD2637:AD2638" si="2085">AC2637*Z2637</f>
        <v>76.36</v>
      </c>
      <c r="AE2637" s="190"/>
      <c r="AF2637" s="191"/>
      <c r="AG2637" s="191"/>
      <c r="AH2637" s="191"/>
      <c r="AI2637" s="186"/>
      <c r="AK2637" s="171"/>
    </row>
    <row r="2638" spans="1:41" s="102" customFormat="1" ht="19.899999999999999" customHeight="1" x14ac:dyDescent="0.25">
      <c r="A2638" s="45"/>
      <c r="B2638" s="59"/>
      <c r="C2638" s="137"/>
      <c r="D2638" s="59"/>
      <c r="E2638" s="116"/>
      <c r="F2638" s="120"/>
      <c r="G2638" s="120"/>
      <c r="H2638" s="120"/>
      <c r="I2638" s="60"/>
      <c r="J2638" s="116"/>
      <c r="K2638" s="213"/>
      <c r="L2638" s="120"/>
      <c r="M2638" s="120"/>
      <c r="N2638" s="167"/>
      <c r="O2638" s="120"/>
      <c r="P2638" s="120"/>
      <c r="Q2638" s="120"/>
      <c r="R2638" s="120"/>
      <c r="S2638" s="120"/>
      <c r="T2638" s="221"/>
      <c r="U2638" s="89"/>
      <c r="V2638" s="61"/>
      <c r="W2638" s="92" t="s">
        <v>65</v>
      </c>
      <c r="X2638" s="93" t="s">
        <v>30</v>
      </c>
      <c r="Y2638" s="93" t="s">
        <v>1011</v>
      </c>
      <c r="Z2638" s="134">
        <f>VLOOKUP(W2638,Sheet2!$B:$D,3,FALSE)</f>
        <v>1.76</v>
      </c>
      <c r="AA2638" s="93">
        <f>AA2637/3</f>
        <v>0.33333333333333331</v>
      </c>
      <c r="AB2638" s="93">
        <f>AD2638/AC2629</f>
        <v>5.2800000000000011</v>
      </c>
      <c r="AC2638" s="93">
        <f>AC2629/AA2638</f>
        <v>9.9600000000000009</v>
      </c>
      <c r="AD2638" s="94">
        <f t="shared" si="2085"/>
        <v>17.529600000000002</v>
      </c>
      <c r="AE2638" s="190"/>
      <c r="AF2638" s="191"/>
      <c r="AG2638" s="191"/>
      <c r="AH2638" s="191"/>
      <c r="AI2638" s="186"/>
      <c r="AK2638" s="171"/>
    </row>
    <row r="2639" spans="1:41" ht="20.100000000000001" customHeight="1" x14ac:dyDescent="0.25">
      <c r="A2639" s="277" t="s">
        <v>410</v>
      </c>
      <c r="B2639" s="278"/>
      <c r="C2639" s="64" t="s">
        <v>479</v>
      </c>
      <c r="D2639" s="46" t="s">
        <v>215</v>
      </c>
      <c r="E2639" s="114">
        <v>0.81500000000000017</v>
      </c>
      <c r="F2639" s="44">
        <v>24295</v>
      </c>
      <c r="G2639" s="44">
        <f t="shared" si="1977"/>
        <v>19800.425000000003</v>
      </c>
      <c r="H2639" s="44">
        <f t="shared" si="1978"/>
        <v>12286.179576470586</v>
      </c>
      <c r="I2639" s="43">
        <f t="shared" si="1979"/>
        <v>10013.23635482353</v>
      </c>
      <c r="J2639" s="112">
        <f t="shared" si="1980"/>
        <v>0.81500000000000017</v>
      </c>
      <c r="K2639" s="211">
        <f t="shared" si="1981"/>
        <v>0.81500000000000017</v>
      </c>
      <c r="L2639" s="44"/>
      <c r="M2639" s="44">
        <f t="shared" si="1982"/>
        <v>0.81500000000000017</v>
      </c>
      <c r="N2639" s="173">
        <f t="shared" si="1983"/>
        <v>1</v>
      </c>
      <c r="O2639" s="44">
        <f t="shared" si="1984"/>
        <v>24295</v>
      </c>
      <c r="P2639" s="44">
        <f t="shared" si="1985"/>
        <v>19800.425000000003</v>
      </c>
      <c r="Q2639" s="44">
        <f t="shared" si="1986"/>
        <v>12286.179576470586</v>
      </c>
      <c r="R2639" s="44">
        <f t="shared" si="1987"/>
        <v>10013.23635482353</v>
      </c>
      <c r="S2639" s="123"/>
      <c r="T2639" s="219">
        <f t="shared" si="1988"/>
        <v>10013.23635482353</v>
      </c>
      <c r="U2639" s="87"/>
      <c r="V2639" s="47"/>
      <c r="W2639" s="48"/>
      <c r="X2639" s="48"/>
      <c r="Y2639" s="48"/>
      <c r="Z2639" s="135"/>
      <c r="AA2639" s="49"/>
      <c r="AB2639" s="50">
        <f t="shared" si="1989"/>
        <v>12286.179576470586</v>
      </c>
      <c r="AC2639" s="42">
        <f t="shared" si="1990"/>
        <v>0.81500000000000017</v>
      </c>
      <c r="AD2639" s="90">
        <f>AD2640+AD2645+AD2657+AD2660</f>
        <v>10013.23635482353</v>
      </c>
      <c r="AE2639" s="188">
        <f t="shared" ref="AE2639" si="2086">AE2640+AE2645+AE2657+AE2660</f>
        <v>0</v>
      </c>
      <c r="AF2639" s="189">
        <f t="shared" ref="AF2639" si="2087">AF2640+AF2645+AF2657+AF2660</f>
        <v>0</v>
      </c>
      <c r="AG2639" s="189">
        <f t="shared" ref="AG2639" si="2088">AG2640+AG2645+AG2657+AG2660</f>
        <v>0</v>
      </c>
      <c r="AH2639" s="189">
        <f t="shared" ref="AH2639" si="2089">AH2640+AH2645+AH2657+AH2660</f>
        <v>0</v>
      </c>
      <c r="AI2639" s="161">
        <f t="shared" si="2071"/>
        <v>0</v>
      </c>
      <c r="AK2639" s="169">
        <v>5</v>
      </c>
      <c r="AO2639" s="19" t="s">
        <v>63</v>
      </c>
    </row>
    <row r="2640" spans="1:41" s="103" customFormat="1" ht="19.899999999999999" customHeight="1" x14ac:dyDescent="0.25">
      <c r="A2640" s="51"/>
      <c r="B2640" s="52"/>
      <c r="C2640" s="165"/>
      <c r="D2640" s="52"/>
      <c r="E2640" s="115"/>
      <c r="F2640" s="58"/>
      <c r="G2640" s="58"/>
      <c r="H2640" s="58"/>
      <c r="I2640" s="55"/>
      <c r="J2640" s="113">
        <f>J2639</f>
        <v>0.81500000000000017</v>
      </c>
      <c r="K2640" s="212">
        <f>K2639</f>
        <v>0.81500000000000017</v>
      </c>
      <c r="L2640" s="58"/>
      <c r="M2640" s="58">
        <f>K2640-L2640</f>
        <v>0.81500000000000017</v>
      </c>
      <c r="N2640" s="166"/>
      <c r="O2640" s="58"/>
      <c r="P2640" s="58"/>
      <c r="Q2640" s="58"/>
      <c r="R2640" s="58"/>
      <c r="S2640" s="58"/>
      <c r="T2640" s="220"/>
      <c r="U2640" s="88"/>
      <c r="V2640" s="56"/>
      <c r="W2640" s="57" t="s">
        <v>1351</v>
      </c>
      <c r="X2640" s="53"/>
      <c r="Y2640" s="91" t="s">
        <v>35</v>
      </c>
      <c r="Z2640" s="136">
        <f>AD2640/AC2640</f>
        <v>90.4969411764706</v>
      </c>
      <c r="AA2640" s="58"/>
      <c r="AB2640" s="53">
        <f>AD2640/AC2640</f>
        <v>90.4969411764706</v>
      </c>
      <c r="AC2640" s="53">
        <f>M2640+$AE$10</f>
        <v>0.81500000000000017</v>
      </c>
      <c r="AD2640" s="54">
        <f>SUM(AD2641:AD2644)</f>
        <v>73.755007058823551</v>
      </c>
      <c r="AE2640" s="184">
        <f>SUMIFS($AD$37:$AD$12971,$V$37:$V$12971,$V2640,$X$37:$X$12971,AE$13)</f>
        <v>0</v>
      </c>
      <c r="AF2640" s="185">
        <f>SUMIFS($AD$37:$AD$12971,$V$37:$V$12971,$V2640,$X$37:$X$12971,AF$13)</f>
        <v>0</v>
      </c>
      <c r="AG2640" s="185">
        <f>SUMIFS($AD$37:$AD$12971,$V$37:$V$12971,$V2640,$X$37:$X$12971,AG$13)</f>
        <v>0</v>
      </c>
      <c r="AH2640" s="187">
        <f>SUMIFS($AD$37:$AD$12971,$V$37:$V$12971,$V2640,$X$37:$X$12971,AH$13)</f>
        <v>0</v>
      </c>
      <c r="AI2640" s="161">
        <f t="shared" ref="AI2640" si="2090">SUM(AE2640:AH2640)</f>
        <v>0</v>
      </c>
      <c r="AK2640" s="172"/>
    </row>
    <row r="2641" spans="1:37" s="102" customFormat="1" ht="19.899999999999999" customHeight="1" x14ac:dyDescent="0.25">
      <c r="A2641" s="45"/>
      <c r="B2641" s="59"/>
      <c r="C2641" s="137"/>
      <c r="D2641" s="59"/>
      <c r="E2641" s="116"/>
      <c r="F2641" s="120"/>
      <c r="G2641" s="120"/>
      <c r="H2641" s="120"/>
      <c r="I2641" s="60"/>
      <c r="J2641" s="116"/>
      <c r="K2641" s="213"/>
      <c r="L2641" s="120"/>
      <c r="M2641" s="120"/>
      <c r="N2641" s="167"/>
      <c r="O2641" s="120"/>
      <c r="P2641" s="120"/>
      <c r="Q2641" s="120"/>
      <c r="R2641" s="120"/>
      <c r="S2641" s="120"/>
      <c r="T2641" s="221"/>
      <c r="U2641" s="89"/>
      <c r="V2641" s="61"/>
      <c r="W2641" s="92" t="s">
        <v>129</v>
      </c>
      <c r="X2641" s="93" t="s">
        <v>29</v>
      </c>
      <c r="Y2641" s="93" t="s">
        <v>93</v>
      </c>
      <c r="Z2641" s="134">
        <f>VLOOKUP(W2641,Sheet2!$B:$D,3,FALSE)</f>
        <v>56</v>
      </c>
      <c r="AA2641" s="93">
        <f>100/(3*3*2.5)</f>
        <v>4.4444444444444446</v>
      </c>
      <c r="AB2641" s="93">
        <f t="shared" ref="AB2641" si="2091">AD2641/AC2640</f>
        <v>12.6</v>
      </c>
      <c r="AC2641" s="93">
        <f>AC2640/AA2641</f>
        <v>0.18337500000000004</v>
      </c>
      <c r="AD2641" s="94">
        <f t="shared" ref="AD2641:AD2642" si="2092">AC2641*Z2641</f>
        <v>10.269000000000002</v>
      </c>
      <c r="AE2641" s="190"/>
      <c r="AF2641" s="191"/>
      <c r="AG2641" s="191"/>
      <c r="AH2641" s="191"/>
      <c r="AI2641" s="186"/>
      <c r="AK2641" s="171"/>
    </row>
    <row r="2642" spans="1:37" s="102" customFormat="1" ht="19.899999999999999" customHeight="1" x14ac:dyDescent="0.25">
      <c r="A2642" s="45"/>
      <c r="B2642" s="59"/>
      <c r="C2642" s="137"/>
      <c r="D2642" s="59"/>
      <c r="E2642" s="116"/>
      <c r="F2642" s="120"/>
      <c r="G2642" s="120"/>
      <c r="H2642" s="120"/>
      <c r="I2642" s="60"/>
      <c r="J2642" s="116"/>
      <c r="K2642" s="213"/>
      <c r="L2642" s="120"/>
      <c r="M2642" s="120"/>
      <c r="N2642" s="167"/>
      <c r="O2642" s="120"/>
      <c r="P2642" s="120"/>
      <c r="Q2642" s="120"/>
      <c r="R2642" s="120"/>
      <c r="S2642" s="120"/>
      <c r="T2642" s="221"/>
      <c r="U2642" s="89"/>
      <c r="V2642" s="61"/>
      <c r="W2642" s="92" t="s">
        <v>65</v>
      </c>
      <c r="X2642" s="93" t="s">
        <v>30</v>
      </c>
      <c r="Y2642" s="93" t="s">
        <v>1011</v>
      </c>
      <c r="Z2642" s="134">
        <f>VLOOKUP(W2642,Sheet2!$B:$D,3,FALSE)</f>
        <v>1.76</v>
      </c>
      <c r="AA2642" s="93">
        <f>AA2641/14</f>
        <v>0.3174603174603175</v>
      </c>
      <c r="AB2642" s="93">
        <f>AD2642/AC2640</f>
        <v>5.5439999999999996</v>
      </c>
      <c r="AC2642" s="93">
        <f>AC2640/AA2642</f>
        <v>2.56725</v>
      </c>
      <c r="AD2642" s="94">
        <f t="shared" si="2092"/>
        <v>4.5183600000000004</v>
      </c>
      <c r="AE2642" s="190"/>
      <c r="AF2642" s="191"/>
      <c r="AG2642" s="191"/>
      <c r="AH2642" s="191"/>
      <c r="AI2642" s="186"/>
      <c r="AK2642" s="171"/>
    </row>
    <row r="2643" spans="1:37" s="102" customFormat="1" ht="19.899999999999999" customHeight="1" x14ac:dyDescent="0.25">
      <c r="A2643" s="45"/>
      <c r="B2643" s="59"/>
      <c r="C2643" s="137"/>
      <c r="D2643" s="59"/>
      <c r="E2643" s="116"/>
      <c r="F2643" s="120"/>
      <c r="G2643" s="120"/>
      <c r="H2643" s="120"/>
      <c r="I2643" s="60"/>
      <c r="J2643" s="116"/>
      <c r="K2643" s="213"/>
      <c r="L2643" s="120"/>
      <c r="M2643" s="120"/>
      <c r="N2643" s="167"/>
      <c r="O2643" s="120"/>
      <c r="P2643" s="120"/>
      <c r="Q2643" s="120"/>
      <c r="R2643" s="120"/>
      <c r="S2643" s="120"/>
      <c r="T2643" s="221"/>
      <c r="U2643" s="89"/>
      <c r="V2643" s="61"/>
      <c r="W2643" s="92" t="s">
        <v>161</v>
      </c>
      <c r="X2643" s="93" t="s">
        <v>29</v>
      </c>
      <c r="Y2643" s="93" t="s">
        <v>93</v>
      </c>
      <c r="Z2643" s="134">
        <f>VLOOKUP(W2643,Sheet2!$B:$D,3,FALSE)</f>
        <v>48</v>
      </c>
      <c r="AA2643" s="93">
        <f>(16*0.85*1.5)/(3*3*2.5)</f>
        <v>0.90666666666666662</v>
      </c>
      <c r="AB2643" s="93">
        <f>AD2643/AC2640</f>
        <v>52.941176470588232</v>
      </c>
      <c r="AC2643" s="93">
        <f>AC2640/AA2643</f>
        <v>0.89889705882352966</v>
      </c>
      <c r="AD2643" s="94">
        <f>AC2643*Z2643</f>
        <v>43.14705882352942</v>
      </c>
      <c r="AE2643" s="190"/>
      <c r="AF2643" s="191"/>
      <c r="AG2643" s="191"/>
      <c r="AH2643" s="191"/>
      <c r="AI2643" s="186"/>
      <c r="AK2643" s="171"/>
    </row>
    <row r="2644" spans="1:37" s="102" customFormat="1" ht="19.899999999999999" customHeight="1" x14ac:dyDescent="0.25">
      <c r="A2644" s="45"/>
      <c r="B2644" s="59"/>
      <c r="C2644" s="137"/>
      <c r="D2644" s="59"/>
      <c r="E2644" s="116"/>
      <c r="F2644" s="120"/>
      <c r="G2644" s="120"/>
      <c r="H2644" s="120"/>
      <c r="I2644" s="60"/>
      <c r="J2644" s="116"/>
      <c r="K2644" s="213"/>
      <c r="L2644" s="120"/>
      <c r="M2644" s="120"/>
      <c r="N2644" s="167"/>
      <c r="O2644" s="120"/>
      <c r="P2644" s="120"/>
      <c r="Q2644" s="120"/>
      <c r="R2644" s="120"/>
      <c r="S2644" s="120"/>
      <c r="T2644" s="221"/>
      <c r="U2644" s="89"/>
      <c r="V2644" s="61"/>
      <c r="W2644" s="92" t="s">
        <v>65</v>
      </c>
      <c r="X2644" s="93" t="s">
        <v>30</v>
      </c>
      <c r="Y2644" s="93" t="s">
        <v>1011</v>
      </c>
      <c r="Z2644" s="134">
        <f>VLOOKUP(W2644,Sheet2!$B:$D,3,FALSE)</f>
        <v>1.76</v>
      </c>
      <c r="AA2644" s="93">
        <f>AA2643/10</f>
        <v>9.0666666666666659E-2</v>
      </c>
      <c r="AB2644" s="93">
        <f>AD2644/AC2640</f>
        <v>19.411764705882355</v>
      </c>
      <c r="AC2644" s="93">
        <f>AC2640/AA2644</f>
        <v>8.988970588235297</v>
      </c>
      <c r="AD2644" s="94">
        <f>AC2644*Z2644</f>
        <v>15.820588235294123</v>
      </c>
      <c r="AE2644" s="190"/>
      <c r="AF2644" s="191"/>
      <c r="AG2644" s="191"/>
      <c r="AH2644" s="191"/>
      <c r="AI2644" s="186"/>
      <c r="AK2644" s="171"/>
    </row>
    <row r="2645" spans="1:37" s="103" customFormat="1" ht="19.899999999999999" customHeight="1" x14ac:dyDescent="0.25">
      <c r="A2645" s="51"/>
      <c r="B2645" s="52"/>
      <c r="C2645" s="165"/>
      <c r="D2645" s="52"/>
      <c r="E2645" s="115"/>
      <c r="F2645" s="58"/>
      <c r="G2645" s="58"/>
      <c r="H2645" s="58"/>
      <c r="I2645" s="55"/>
      <c r="J2645" s="113">
        <f>J2639</f>
        <v>0.81500000000000017</v>
      </c>
      <c r="K2645" s="212">
        <f>K2639</f>
        <v>0.81500000000000017</v>
      </c>
      <c r="L2645" s="58"/>
      <c r="M2645" s="58">
        <f>K2645-L2645</f>
        <v>0.81500000000000017</v>
      </c>
      <c r="N2645" s="166"/>
      <c r="O2645" s="58"/>
      <c r="P2645" s="58"/>
      <c r="Q2645" s="58"/>
      <c r="R2645" s="58"/>
      <c r="S2645" s="58"/>
      <c r="T2645" s="220"/>
      <c r="U2645" s="88"/>
      <c r="V2645" s="56"/>
      <c r="W2645" s="57" t="s">
        <v>1352</v>
      </c>
      <c r="X2645" s="53"/>
      <c r="Y2645" s="91" t="s">
        <v>35</v>
      </c>
      <c r="Z2645" s="136">
        <f>AD2645/AC2645</f>
        <v>9186.5999999999985</v>
      </c>
      <c r="AA2645" s="58"/>
      <c r="AB2645" s="53">
        <f>AD2645/AC2645</f>
        <v>9186.5999999999985</v>
      </c>
      <c r="AC2645" s="53">
        <f>M2645+$AE$10</f>
        <v>0.81500000000000017</v>
      </c>
      <c r="AD2645" s="54">
        <f>SUM(AD2646:AD2656)</f>
        <v>7487.0789999999997</v>
      </c>
      <c r="AE2645" s="184">
        <f>SUMIFS($AD$37:$AD$12971,$V$37:$V$12971,$V2645,$X$37:$X$12971,AE$13)</f>
        <v>0</v>
      </c>
      <c r="AF2645" s="185">
        <f>SUMIFS($AD$37:$AD$12971,$V$37:$V$12971,$V2645,$X$37:$X$12971,AF$13)</f>
        <v>0</v>
      </c>
      <c r="AG2645" s="185">
        <f>SUMIFS($AD$37:$AD$12971,$V$37:$V$12971,$V2645,$X$37:$X$12971,AG$13)</f>
        <v>0</v>
      </c>
      <c r="AH2645" s="187">
        <f>SUMIFS($AD$37:$AD$12971,$V$37:$V$12971,$V2645,$X$37:$X$12971,AH$13)</f>
        <v>0</v>
      </c>
      <c r="AI2645" s="161">
        <f t="shared" ref="AI2645" si="2093">SUM(AE2645:AH2645)</f>
        <v>0</v>
      </c>
      <c r="AK2645" s="172"/>
    </row>
    <row r="2646" spans="1:37" s="102" customFormat="1" ht="19.899999999999999" customHeight="1" x14ac:dyDescent="0.25">
      <c r="A2646" s="45"/>
      <c r="B2646" s="59"/>
      <c r="C2646" s="137"/>
      <c r="D2646" s="59"/>
      <c r="E2646" s="116"/>
      <c r="F2646" s="120"/>
      <c r="G2646" s="120"/>
      <c r="H2646" s="120"/>
      <c r="I2646" s="60"/>
      <c r="J2646" s="116"/>
      <c r="K2646" s="213"/>
      <c r="L2646" s="120"/>
      <c r="M2646" s="120"/>
      <c r="N2646" s="167"/>
      <c r="O2646" s="120"/>
      <c r="P2646" s="120"/>
      <c r="Q2646" s="120"/>
      <c r="R2646" s="120"/>
      <c r="S2646" s="120"/>
      <c r="T2646" s="221"/>
      <c r="U2646" s="89"/>
      <c r="V2646" s="61"/>
      <c r="W2646" s="92" t="s">
        <v>1032</v>
      </c>
      <c r="X2646" s="93" t="s">
        <v>30</v>
      </c>
      <c r="Y2646" s="93" t="s">
        <v>66</v>
      </c>
      <c r="Z2646" s="134">
        <f>VLOOKUP(W2646,Sheet2!$B:$D,3,FALSE)</f>
        <v>250</v>
      </c>
      <c r="AA2646" s="93">
        <f>1/(3*3*0.1)</f>
        <v>1.1111111111111112</v>
      </c>
      <c r="AB2646" s="93">
        <f t="shared" ref="AB2646" si="2094">AD2646/AC2645</f>
        <v>225</v>
      </c>
      <c r="AC2646" s="93">
        <f>AC2645/AA2646</f>
        <v>0.73350000000000015</v>
      </c>
      <c r="AD2646" s="94">
        <f t="shared" ref="AD2646:AD2648" si="2095">AC2646*Z2646</f>
        <v>183.37500000000003</v>
      </c>
      <c r="AE2646" s="190"/>
      <c r="AF2646" s="191"/>
      <c r="AG2646" s="191"/>
      <c r="AH2646" s="191"/>
      <c r="AI2646" s="186"/>
      <c r="AK2646" s="171"/>
    </row>
    <row r="2647" spans="1:37" s="102" customFormat="1" ht="19.899999999999999" customHeight="1" x14ac:dyDescent="0.25">
      <c r="A2647" s="45"/>
      <c r="B2647" s="59"/>
      <c r="C2647" s="137"/>
      <c r="D2647" s="59"/>
      <c r="E2647" s="116"/>
      <c r="F2647" s="120"/>
      <c r="G2647" s="120"/>
      <c r="H2647" s="120"/>
      <c r="I2647" s="60"/>
      <c r="J2647" s="116"/>
      <c r="K2647" s="213"/>
      <c r="L2647" s="120"/>
      <c r="M2647" s="120"/>
      <c r="N2647" s="167"/>
      <c r="O2647" s="120"/>
      <c r="P2647" s="120"/>
      <c r="Q2647" s="120"/>
      <c r="R2647" s="120"/>
      <c r="S2647" s="120"/>
      <c r="T2647" s="221"/>
      <c r="U2647" s="89"/>
      <c r="V2647" s="61"/>
      <c r="W2647" s="92" t="s">
        <v>1353</v>
      </c>
      <c r="X2647" s="93" t="s">
        <v>30</v>
      </c>
      <c r="Y2647" s="93" t="s">
        <v>66</v>
      </c>
      <c r="Z2647" s="134">
        <f>VLOOKUP(W2647,Sheet2!$B:$D,3,FALSE)</f>
        <v>350</v>
      </c>
      <c r="AA2647" s="93">
        <f>1/(2*2*0.25*5)</f>
        <v>0.2</v>
      </c>
      <c r="AB2647" s="93">
        <f>AD2647/AC2645</f>
        <v>1749.9999999999995</v>
      </c>
      <c r="AC2647" s="93">
        <f>AC2645/AA2647</f>
        <v>4.0750000000000002</v>
      </c>
      <c r="AD2647" s="94">
        <f t="shared" si="2095"/>
        <v>1426.25</v>
      </c>
      <c r="AE2647" s="190"/>
      <c r="AF2647" s="191"/>
      <c r="AG2647" s="191"/>
      <c r="AH2647" s="191"/>
      <c r="AI2647" s="186"/>
      <c r="AK2647" s="171"/>
    </row>
    <row r="2648" spans="1:37" s="102" customFormat="1" ht="19.899999999999999" customHeight="1" x14ac:dyDescent="0.25">
      <c r="A2648" s="45"/>
      <c r="B2648" s="59"/>
      <c r="C2648" s="137"/>
      <c r="D2648" s="59"/>
      <c r="E2648" s="116"/>
      <c r="F2648" s="120"/>
      <c r="G2648" s="120"/>
      <c r="H2648" s="120"/>
      <c r="I2648" s="60"/>
      <c r="J2648" s="116"/>
      <c r="K2648" s="213"/>
      <c r="L2648" s="120"/>
      <c r="M2648" s="120"/>
      <c r="N2648" s="167"/>
      <c r="O2648" s="120"/>
      <c r="P2648" s="120"/>
      <c r="Q2648" s="120"/>
      <c r="R2648" s="120"/>
      <c r="S2648" s="120"/>
      <c r="T2648" s="221"/>
      <c r="U2648" s="89"/>
      <c r="V2648" s="61"/>
      <c r="W2648" s="92" t="s">
        <v>99</v>
      </c>
      <c r="X2648" s="93" t="s">
        <v>30</v>
      </c>
      <c r="Y2648" s="93" t="s">
        <v>67</v>
      </c>
      <c r="Z2648" s="134">
        <f>VLOOKUP(W2648,Sheet2!$B:$D,3,FALSE)</f>
        <v>2500</v>
      </c>
      <c r="AA2648" s="93">
        <f>1/(2*2*0.25*5*0.08)</f>
        <v>2.5</v>
      </c>
      <c r="AB2648" s="93">
        <f>AD2648/AC2645</f>
        <v>999.99999999999989</v>
      </c>
      <c r="AC2648" s="93">
        <f>AC2645/AA2648</f>
        <v>0.32600000000000007</v>
      </c>
      <c r="AD2648" s="94">
        <f t="shared" si="2095"/>
        <v>815.00000000000011</v>
      </c>
      <c r="AE2648" s="190"/>
      <c r="AF2648" s="191"/>
      <c r="AG2648" s="191"/>
      <c r="AH2648" s="191"/>
      <c r="AI2648" s="186"/>
      <c r="AK2648" s="171"/>
    </row>
    <row r="2649" spans="1:37" s="102" customFormat="1" ht="19.899999999999999" customHeight="1" x14ac:dyDescent="0.25">
      <c r="A2649" s="45"/>
      <c r="B2649" s="59"/>
      <c r="C2649" s="137"/>
      <c r="D2649" s="59"/>
      <c r="E2649" s="116"/>
      <c r="F2649" s="120"/>
      <c r="G2649" s="120"/>
      <c r="H2649" s="120"/>
      <c r="I2649" s="60"/>
      <c r="J2649" s="116"/>
      <c r="K2649" s="213"/>
      <c r="L2649" s="120"/>
      <c r="M2649" s="120"/>
      <c r="N2649" s="167"/>
      <c r="O2649" s="120"/>
      <c r="P2649" s="120"/>
      <c r="Q2649" s="120"/>
      <c r="R2649" s="120"/>
      <c r="S2649" s="120"/>
      <c r="T2649" s="221"/>
      <c r="U2649" s="89"/>
      <c r="V2649" s="61"/>
      <c r="W2649" s="92" t="s">
        <v>1354</v>
      </c>
      <c r="X2649" s="93" t="s">
        <v>32</v>
      </c>
      <c r="Y2649" s="93" t="s">
        <v>66</v>
      </c>
      <c r="Z2649" s="134">
        <f>VLOOKUP(W2649,Sheet2!$B:$D,3,FALSE)</f>
        <v>150</v>
      </c>
      <c r="AA2649" s="93">
        <f>AA2646</f>
        <v>1.1111111111111112</v>
      </c>
      <c r="AB2649" s="93">
        <f>AD2649/AC2645</f>
        <v>135</v>
      </c>
      <c r="AC2649" s="93">
        <f>AC2645/AA2649</f>
        <v>0.73350000000000015</v>
      </c>
      <c r="AD2649" s="94">
        <f>AC2649*Z2649</f>
        <v>110.02500000000002</v>
      </c>
      <c r="AE2649" s="190"/>
      <c r="AF2649" s="191"/>
      <c r="AG2649" s="191"/>
      <c r="AH2649" s="191"/>
      <c r="AI2649" s="186"/>
      <c r="AK2649" s="171"/>
    </row>
    <row r="2650" spans="1:37" s="102" customFormat="1" ht="19.899999999999999" customHeight="1" x14ac:dyDescent="0.25">
      <c r="A2650" s="45"/>
      <c r="B2650" s="59"/>
      <c r="C2650" s="137"/>
      <c r="D2650" s="59"/>
      <c r="E2650" s="116"/>
      <c r="F2650" s="120"/>
      <c r="G2650" s="120"/>
      <c r="H2650" s="120"/>
      <c r="I2650" s="60"/>
      <c r="J2650" s="116"/>
      <c r="K2650" s="213"/>
      <c r="L2650" s="120"/>
      <c r="M2650" s="120"/>
      <c r="N2650" s="167"/>
      <c r="O2650" s="120"/>
      <c r="P2650" s="120"/>
      <c r="Q2650" s="120"/>
      <c r="R2650" s="120"/>
      <c r="S2650" s="120"/>
      <c r="T2650" s="221"/>
      <c r="U2650" s="89"/>
      <c r="V2650" s="61"/>
      <c r="W2650" s="92" t="s">
        <v>1355</v>
      </c>
      <c r="X2650" s="93" t="s">
        <v>32</v>
      </c>
      <c r="Y2650" s="93" t="s">
        <v>66</v>
      </c>
      <c r="Z2650" s="134">
        <f>VLOOKUP(W2650,Sheet2!$B:$D,3,FALSE)</f>
        <v>450</v>
      </c>
      <c r="AA2650" s="93">
        <f>AA2647</f>
        <v>0.2</v>
      </c>
      <c r="AB2650" s="93">
        <f>AD2650/AC2645</f>
        <v>2249.9999999999995</v>
      </c>
      <c r="AC2650" s="93">
        <f>AC2645/AA2650</f>
        <v>4.0750000000000002</v>
      </c>
      <c r="AD2650" s="94">
        <f>AC2650*Z2650</f>
        <v>1833.75</v>
      </c>
      <c r="AE2650" s="190"/>
      <c r="AF2650" s="191"/>
      <c r="AG2650" s="191"/>
      <c r="AH2650" s="191"/>
      <c r="AI2650" s="186"/>
      <c r="AK2650" s="171"/>
    </row>
    <row r="2651" spans="1:37" s="102" customFormat="1" ht="19.899999999999999" customHeight="1" x14ac:dyDescent="0.25">
      <c r="A2651" s="45"/>
      <c r="B2651" s="59"/>
      <c r="C2651" s="137"/>
      <c r="D2651" s="59"/>
      <c r="E2651" s="116"/>
      <c r="F2651" s="120"/>
      <c r="G2651" s="120"/>
      <c r="H2651" s="120"/>
      <c r="I2651" s="60"/>
      <c r="J2651" s="116"/>
      <c r="K2651" s="213"/>
      <c r="L2651" s="120"/>
      <c r="M2651" s="120"/>
      <c r="N2651" s="167"/>
      <c r="O2651" s="120"/>
      <c r="P2651" s="120"/>
      <c r="Q2651" s="120"/>
      <c r="R2651" s="120"/>
      <c r="S2651" s="120"/>
      <c r="T2651" s="221"/>
      <c r="U2651" s="89"/>
      <c r="V2651" s="61"/>
      <c r="W2651" s="92" t="s">
        <v>1356</v>
      </c>
      <c r="X2651" s="93" t="s">
        <v>30</v>
      </c>
      <c r="Y2651" s="93" t="s">
        <v>35</v>
      </c>
      <c r="Z2651" s="134">
        <f>VLOOKUP(W2651,Sheet2!$B:$D,3,FALSE)</f>
        <v>3500</v>
      </c>
      <c r="AA2651" s="93">
        <v>1</v>
      </c>
      <c r="AB2651" s="93">
        <f>AD2651/AC2645</f>
        <v>3500</v>
      </c>
      <c r="AC2651" s="93">
        <f>AC2645/AA2651</f>
        <v>0.81500000000000017</v>
      </c>
      <c r="AD2651" s="94">
        <f t="shared" ref="AD2651:AD2652" si="2096">AC2651*Z2651</f>
        <v>2852.5000000000005</v>
      </c>
      <c r="AE2651" s="190"/>
      <c r="AF2651" s="191"/>
      <c r="AG2651" s="191"/>
      <c r="AH2651" s="191"/>
      <c r="AI2651" s="186"/>
      <c r="AK2651" s="171"/>
    </row>
    <row r="2652" spans="1:37" s="102" customFormat="1" ht="19.899999999999999" customHeight="1" x14ac:dyDescent="0.25">
      <c r="A2652" s="45"/>
      <c r="B2652" s="59"/>
      <c r="C2652" s="137"/>
      <c r="D2652" s="59"/>
      <c r="E2652" s="116"/>
      <c r="F2652" s="120"/>
      <c r="G2652" s="120"/>
      <c r="H2652" s="120"/>
      <c r="I2652" s="60"/>
      <c r="J2652" s="116"/>
      <c r="K2652" s="213"/>
      <c r="L2652" s="120"/>
      <c r="M2652" s="120"/>
      <c r="N2652" s="167"/>
      <c r="O2652" s="120"/>
      <c r="P2652" s="120"/>
      <c r="Q2652" s="120"/>
      <c r="R2652" s="120"/>
      <c r="S2652" s="120"/>
      <c r="T2652" s="221"/>
      <c r="U2652" s="89"/>
      <c r="V2652" s="61"/>
      <c r="W2652" s="92" t="s">
        <v>174</v>
      </c>
      <c r="X2652" s="93" t="s">
        <v>29</v>
      </c>
      <c r="Y2652" s="93" t="s">
        <v>93</v>
      </c>
      <c r="Z2652" s="134">
        <f>VLOOKUP(W2652,Sheet2!$B:$D,3,FALSE)</f>
        <v>80</v>
      </c>
      <c r="AA2652" s="93">
        <v>4</v>
      </c>
      <c r="AB2652" s="93">
        <f>AD2652/AC2645</f>
        <v>20</v>
      </c>
      <c r="AC2652" s="93">
        <f>AC2645/AA2652</f>
        <v>0.20375000000000004</v>
      </c>
      <c r="AD2652" s="94">
        <f t="shared" si="2096"/>
        <v>16.300000000000004</v>
      </c>
      <c r="AE2652" s="190"/>
      <c r="AF2652" s="191"/>
      <c r="AG2652" s="191"/>
      <c r="AH2652" s="191"/>
      <c r="AI2652" s="186"/>
      <c r="AK2652" s="171"/>
    </row>
    <row r="2653" spans="1:37" s="102" customFormat="1" ht="19.899999999999999" customHeight="1" x14ac:dyDescent="0.25">
      <c r="A2653" s="45"/>
      <c r="B2653" s="59"/>
      <c r="C2653" s="137"/>
      <c r="D2653" s="59"/>
      <c r="E2653" s="116"/>
      <c r="F2653" s="120"/>
      <c r="G2653" s="120"/>
      <c r="H2653" s="120"/>
      <c r="I2653" s="60"/>
      <c r="J2653" s="116"/>
      <c r="K2653" s="213"/>
      <c r="L2653" s="120"/>
      <c r="M2653" s="120"/>
      <c r="N2653" s="167"/>
      <c r="O2653" s="120"/>
      <c r="P2653" s="120"/>
      <c r="Q2653" s="120"/>
      <c r="R2653" s="120"/>
      <c r="S2653" s="120"/>
      <c r="T2653" s="221"/>
      <c r="U2653" s="89"/>
      <c r="V2653" s="61"/>
      <c r="W2653" s="92" t="s">
        <v>65</v>
      </c>
      <c r="X2653" s="93" t="s">
        <v>30</v>
      </c>
      <c r="Y2653" s="93" t="s">
        <v>93</v>
      </c>
      <c r="Z2653" s="134">
        <f>VLOOKUP(W2653,Sheet2!$B:$D,3,FALSE)</f>
        <v>1.76</v>
      </c>
      <c r="AA2653" s="93">
        <f>AA2652/15</f>
        <v>0.26666666666666666</v>
      </c>
      <c r="AB2653" s="93">
        <f>AD2653/AC2645</f>
        <v>6.6000000000000005</v>
      </c>
      <c r="AC2653" s="93">
        <f>AC2645/AA2653</f>
        <v>3.0562500000000008</v>
      </c>
      <c r="AD2653" s="94">
        <f>AC2653*Z2653</f>
        <v>5.3790000000000013</v>
      </c>
      <c r="AE2653" s="190"/>
      <c r="AF2653" s="191"/>
      <c r="AG2653" s="191"/>
      <c r="AH2653" s="191"/>
      <c r="AI2653" s="186"/>
      <c r="AK2653" s="171"/>
    </row>
    <row r="2654" spans="1:37" s="102" customFormat="1" ht="19.899999999999999" customHeight="1" x14ac:dyDescent="0.25">
      <c r="A2654" s="45"/>
      <c r="B2654" s="59"/>
      <c r="C2654" s="137"/>
      <c r="D2654" s="59"/>
      <c r="E2654" s="116"/>
      <c r="F2654" s="120"/>
      <c r="G2654" s="120"/>
      <c r="H2654" s="120"/>
      <c r="I2654" s="60"/>
      <c r="J2654" s="116"/>
      <c r="K2654" s="213"/>
      <c r="L2654" s="120"/>
      <c r="M2654" s="120"/>
      <c r="N2654" s="167"/>
      <c r="O2654" s="120"/>
      <c r="P2654" s="120"/>
      <c r="Q2654" s="120"/>
      <c r="R2654" s="120"/>
      <c r="S2654" s="120"/>
      <c r="T2654" s="221"/>
      <c r="U2654" s="89"/>
      <c r="V2654" s="61"/>
      <c r="W2654" s="92" t="s">
        <v>1357</v>
      </c>
      <c r="X2654" s="93" t="s">
        <v>30</v>
      </c>
      <c r="Y2654" s="93" t="s">
        <v>1349</v>
      </c>
      <c r="Z2654" s="134">
        <f>VLOOKUP(W2654,Sheet2!$B:$D,3,FALSE)</f>
        <v>150</v>
      </c>
      <c r="AA2654" s="93">
        <v>1</v>
      </c>
      <c r="AB2654" s="93">
        <f>AD2654/AC2645</f>
        <v>150</v>
      </c>
      <c r="AC2654" s="93">
        <f>AC2645/AA2654</f>
        <v>0.81500000000000017</v>
      </c>
      <c r="AD2654" s="94">
        <f>AC2654*Z2654</f>
        <v>122.25000000000003</v>
      </c>
      <c r="AE2654" s="190"/>
      <c r="AF2654" s="191"/>
      <c r="AG2654" s="191"/>
      <c r="AH2654" s="191"/>
      <c r="AI2654" s="186"/>
      <c r="AK2654" s="171"/>
    </row>
    <row r="2655" spans="1:37" s="102" customFormat="1" ht="19.899999999999999" customHeight="1" x14ac:dyDescent="0.25">
      <c r="A2655" s="45"/>
      <c r="B2655" s="59"/>
      <c r="C2655" s="137"/>
      <c r="D2655" s="59"/>
      <c r="E2655" s="116"/>
      <c r="F2655" s="120"/>
      <c r="G2655" s="120"/>
      <c r="H2655" s="120"/>
      <c r="I2655" s="60"/>
      <c r="J2655" s="116"/>
      <c r="K2655" s="213"/>
      <c r="L2655" s="120"/>
      <c r="M2655" s="120"/>
      <c r="N2655" s="167"/>
      <c r="O2655" s="120"/>
      <c r="P2655" s="120"/>
      <c r="Q2655" s="120"/>
      <c r="R2655" s="120"/>
      <c r="S2655" s="120"/>
      <c r="T2655" s="221"/>
      <c r="U2655" s="89"/>
      <c r="V2655" s="61"/>
      <c r="W2655" s="92" t="s">
        <v>107</v>
      </c>
      <c r="X2655" s="93" t="s">
        <v>31</v>
      </c>
      <c r="Y2655" s="93" t="s">
        <v>93</v>
      </c>
      <c r="Z2655" s="134">
        <f>VLOOKUP(W2655,Sheet2!$B:$D,3,FALSE)</f>
        <v>17</v>
      </c>
      <c r="AA2655" s="93">
        <f>1/5</f>
        <v>0.2</v>
      </c>
      <c r="AB2655" s="93">
        <f>AD2655/AC2645</f>
        <v>84.999999999999986</v>
      </c>
      <c r="AC2655" s="93">
        <f>AC2645/AA2655</f>
        <v>4.0750000000000002</v>
      </c>
      <c r="AD2655" s="94">
        <f>AC2655*Z2655</f>
        <v>69.275000000000006</v>
      </c>
      <c r="AE2655" s="190"/>
      <c r="AF2655" s="191"/>
      <c r="AG2655" s="191"/>
      <c r="AH2655" s="191"/>
      <c r="AI2655" s="186"/>
      <c r="AK2655" s="171"/>
    </row>
    <row r="2656" spans="1:37" s="102" customFormat="1" ht="19.899999999999999" customHeight="1" x14ac:dyDescent="0.25">
      <c r="A2656" s="45"/>
      <c r="B2656" s="59"/>
      <c r="C2656" s="137"/>
      <c r="D2656" s="59"/>
      <c r="E2656" s="116"/>
      <c r="F2656" s="120"/>
      <c r="G2656" s="120"/>
      <c r="H2656" s="120"/>
      <c r="I2656" s="60"/>
      <c r="J2656" s="116"/>
      <c r="K2656" s="213"/>
      <c r="L2656" s="120"/>
      <c r="M2656" s="120"/>
      <c r="N2656" s="167"/>
      <c r="O2656" s="120"/>
      <c r="P2656" s="120"/>
      <c r="Q2656" s="120"/>
      <c r="R2656" s="120"/>
      <c r="S2656" s="120"/>
      <c r="T2656" s="221"/>
      <c r="U2656" s="89"/>
      <c r="V2656" s="61"/>
      <c r="W2656" s="92" t="s">
        <v>112</v>
      </c>
      <c r="X2656" s="93" t="s">
        <v>31</v>
      </c>
      <c r="Y2656" s="93" t="s">
        <v>93</v>
      </c>
      <c r="Z2656" s="134">
        <f>VLOOKUP(W2656,Sheet2!$B:$D,3,FALSE)</f>
        <v>13</v>
      </c>
      <c r="AA2656" s="93">
        <f>AA2655</f>
        <v>0.2</v>
      </c>
      <c r="AB2656" s="93">
        <f>AD2656/AC2645</f>
        <v>64.999999999999986</v>
      </c>
      <c r="AC2656" s="93">
        <f>AC2645/AA2656</f>
        <v>4.0750000000000002</v>
      </c>
      <c r="AD2656" s="94">
        <f>AC2656*Z2656</f>
        <v>52.975000000000001</v>
      </c>
      <c r="AE2656" s="190"/>
      <c r="AF2656" s="191"/>
      <c r="AG2656" s="191"/>
      <c r="AH2656" s="191"/>
      <c r="AI2656" s="186"/>
      <c r="AK2656" s="171"/>
    </row>
    <row r="2657" spans="1:41" s="103" customFormat="1" ht="19.899999999999999" customHeight="1" x14ac:dyDescent="0.25">
      <c r="A2657" s="51"/>
      <c r="B2657" s="52"/>
      <c r="C2657" s="165"/>
      <c r="D2657" s="52"/>
      <c r="E2657" s="115"/>
      <c r="F2657" s="58"/>
      <c r="G2657" s="58"/>
      <c r="H2657" s="58"/>
      <c r="I2657" s="55"/>
      <c r="J2657" s="113">
        <f>J2639</f>
        <v>0.81500000000000017</v>
      </c>
      <c r="K2657" s="212">
        <f>K2639</f>
        <v>0.81500000000000017</v>
      </c>
      <c r="L2657" s="58"/>
      <c r="M2657" s="58">
        <f>K2657-L2657</f>
        <v>0.81500000000000017</v>
      </c>
      <c r="N2657" s="166"/>
      <c r="O2657" s="58"/>
      <c r="P2657" s="58"/>
      <c r="Q2657" s="58"/>
      <c r="R2657" s="58"/>
      <c r="S2657" s="58"/>
      <c r="T2657" s="220"/>
      <c r="U2657" s="88"/>
      <c r="V2657" s="56"/>
      <c r="W2657" s="57" t="s">
        <v>1358</v>
      </c>
      <c r="X2657" s="53"/>
      <c r="Y2657" s="91" t="s">
        <v>35</v>
      </c>
      <c r="Z2657" s="136">
        <f>AD2657/AC2657</f>
        <v>2799.9999999999995</v>
      </c>
      <c r="AA2657" s="58"/>
      <c r="AB2657" s="53">
        <f>AD2657/AC2657</f>
        <v>2799.9999999999995</v>
      </c>
      <c r="AC2657" s="53">
        <f>M2657+$AE$10</f>
        <v>0.81500000000000017</v>
      </c>
      <c r="AD2657" s="54">
        <f>SUM(AD2658:AD2659)</f>
        <v>2282</v>
      </c>
      <c r="AE2657" s="184">
        <f>SUMIFS($AD$37:$AD$12971,$V$37:$V$12971,$V2657,$X$37:$X$12971,AE$13)</f>
        <v>0</v>
      </c>
      <c r="AF2657" s="185">
        <f>SUMIFS($AD$37:$AD$12971,$V$37:$V$12971,$V2657,$X$37:$X$12971,AF$13)</f>
        <v>0</v>
      </c>
      <c r="AG2657" s="185">
        <f>SUMIFS($AD$37:$AD$12971,$V$37:$V$12971,$V2657,$X$37:$X$12971,AG$13)</f>
        <v>0</v>
      </c>
      <c r="AH2657" s="187">
        <f>SUMIFS($AD$37:$AD$12971,$V$37:$V$12971,$V2657,$X$37:$X$12971,AH$13)</f>
        <v>0</v>
      </c>
      <c r="AI2657" s="161">
        <f t="shared" ref="AI2657" si="2097">SUM(AE2657:AH2657)</f>
        <v>0</v>
      </c>
      <c r="AK2657" s="172"/>
    </row>
    <row r="2658" spans="1:41" s="102" customFormat="1" ht="19.899999999999999" customHeight="1" x14ac:dyDescent="0.25">
      <c r="A2658" s="45"/>
      <c r="B2658" s="59"/>
      <c r="C2658" s="137"/>
      <c r="D2658" s="59"/>
      <c r="E2658" s="116"/>
      <c r="F2658" s="120"/>
      <c r="G2658" s="120"/>
      <c r="H2658" s="120"/>
      <c r="I2658" s="60"/>
      <c r="J2658" s="116"/>
      <c r="K2658" s="213"/>
      <c r="L2658" s="120"/>
      <c r="M2658" s="120"/>
      <c r="N2658" s="167"/>
      <c r="O2658" s="120"/>
      <c r="P2658" s="120"/>
      <c r="Q2658" s="120"/>
      <c r="R2658" s="120"/>
      <c r="S2658" s="120"/>
      <c r="T2658" s="221"/>
      <c r="U2658" s="89"/>
      <c r="V2658" s="61"/>
      <c r="W2658" s="92" t="s">
        <v>1359</v>
      </c>
      <c r="X2658" s="93" t="s">
        <v>32</v>
      </c>
      <c r="Y2658" s="93" t="s">
        <v>64</v>
      </c>
      <c r="Z2658" s="134">
        <f>VLOOKUP(W2658,Sheet2!$B:$D,3,FALSE)</f>
        <v>40</v>
      </c>
      <c r="AA2658" s="93">
        <f>1/40</f>
        <v>2.5000000000000001E-2</v>
      </c>
      <c r="AB2658" s="93">
        <f t="shared" ref="AB2658" si="2098">AD2658/AC2657</f>
        <v>1599.9999999999998</v>
      </c>
      <c r="AC2658" s="93">
        <f>AC2657/AA2658</f>
        <v>32.6</v>
      </c>
      <c r="AD2658" s="94">
        <f t="shared" ref="AD2658:AD2659" si="2099">AC2658*Z2658</f>
        <v>1304</v>
      </c>
      <c r="AE2658" s="190"/>
      <c r="AF2658" s="191"/>
      <c r="AG2658" s="191"/>
      <c r="AH2658" s="191"/>
      <c r="AI2658" s="186"/>
      <c r="AK2658" s="171"/>
    </row>
    <row r="2659" spans="1:41" s="102" customFormat="1" ht="19.899999999999999" customHeight="1" x14ac:dyDescent="0.25">
      <c r="A2659" s="45"/>
      <c r="B2659" s="59"/>
      <c r="C2659" s="137"/>
      <c r="D2659" s="59"/>
      <c r="E2659" s="116"/>
      <c r="F2659" s="120"/>
      <c r="G2659" s="120"/>
      <c r="H2659" s="120"/>
      <c r="I2659" s="60"/>
      <c r="J2659" s="116"/>
      <c r="K2659" s="213"/>
      <c r="L2659" s="120"/>
      <c r="M2659" s="120"/>
      <c r="N2659" s="167"/>
      <c r="O2659" s="120"/>
      <c r="P2659" s="120"/>
      <c r="Q2659" s="120"/>
      <c r="R2659" s="120"/>
      <c r="S2659" s="120"/>
      <c r="T2659" s="221"/>
      <c r="U2659" s="89"/>
      <c r="V2659" s="61"/>
      <c r="W2659" s="92" t="s">
        <v>1360</v>
      </c>
      <c r="X2659" s="93" t="s">
        <v>32</v>
      </c>
      <c r="Y2659" s="93" t="s">
        <v>64</v>
      </c>
      <c r="Z2659" s="134">
        <f>VLOOKUP(W2659,Sheet2!$B:$D,3,FALSE)</f>
        <v>30</v>
      </c>
      <c r="AA2659" s="93">
        <f>AA2658</f>
        <v>2.5000000000000001E-2</v>
      </c>
      <c r="AB2659" s="93">
        <f>AD2659/AC2657</f>
        <v>1199.9999999999998</v>
      </c>
      <c r="AC2659" s="93">
        <f>AC2657/AA2659</f>
        <v>32.6</v>
      </c>
      <c r="AD2659" s="94">
        <f t="shared" si="2099"/>
        <v>978</v>
      </c>
      <c r="AE2659" s="190"/>
      <c r="AF2659" s="191"/>
      <c r="AG2659" s="191"/>
      <c r="AH2659" s="191"/>
      <c r="AI2659" s="186"/>
      <c r="AK2659" s="171"/>
    </row>
    <row r="2660" spans="1:41" s="103" customFormat="1" ht="19.899999999999999" customHeight="1" x14ac:dyDescent="0.25">
      <c r="A2660" s="51"/>
      <c r="B2660" s="52"/>
      <c r="C2660" s="165"/>
      <c r="D2660" s="52"/>
      <c r="E2660" s="115"/>
      <c r="F2660" s="58"/>
      <c r="G2660" s="58"/>
      <c r="H2660" s="58"/>
      <c r="I2660" s="55"/>
      <c r="J2660" s="113">
        <f>J2639</f>
        <v>0.81500000000000017</v>
      </c>
      <c r="K2660" s="212">
        <f>K2639</f>
        <v>0.81500000000000017</v>
      </c>
      <c r="L2660" s="58"/>
      <c r="M2660" s="58">
        <f>K2660-L2660</f>
        <v>0.81500000000000017</v>
      </c>
      <c r="N2660" s="166"/>
      <c r="O2660" s="58"/>
      <c r="P2660" s="58"/>
      <c r="Q2660" s="58"/>
      <c r="R2660" s="58"/>
      <c r="S2660" s="58"/>
      <c r="T2660" s="220"/>
      <c r="U2660" s="88"/>
      <c r="V2660" s="56"/>
      <c r="W2660" s="57" t="s">
        <v>1272</v>
      </c>
      <c r="X2660" s="53"/>
      <c r="Y2660" s="91" t="s">
        <v>35</v>
      </c>
      <c r="Z2660" s="136">
        <f>AD2660/AC2660</f>
        <v>209.08263529411767</v>
      </c>
      <c r="AA2660" s="58"/>
      <c r="AB2660" s="53">
        <f>AD2660/AC2660</f>
        <v>209.08263529411767</v>
      </c>
      <c r="AC2660" s="53">
        <f>M2660+$AE$10</f>
        <v>0.81500000000000017</v>
      </c>
      <c r="AD2660" s="54">
        <f>SUM(AD2661:AD2669)</f>
        <v>170.40234776470592</v>
      </c>
      <c r="AE2660" s="184">
        <f>SUMIFS($AD$37:$AD$12971,$V$37:$V$12971,$V2660,$X$37:$X$12971,AE$13)</f>
        <v>0</v>
      </c>
      <c r="AF2660" s="185">
        <f>SUMIFS($AD$37:$AD$12971,$V$37:$V$12971,$V2660,$X$37:$X$12971,AF$13)</f>
        <v>0</v>
      </c>
      <c r="AG2660" s="185">
        <f>SUMIFS($AD$37:$AD$12971,$V$37:$V$12971,$V2660,$X$37:$X$12971,AG$13)</f>
        <v>0</v>
      </c>
      <c r="AH2660" s="187">
        <f>SUMIFS($AD$37:$AD$12971,$V$37:$V$12971,$V2660,$X$37:$X$12971,AH$13)</f>
        <v>0</v>
      </c>
      <c r="AI2660" s="161">
        <f t="shared" ref="AI2660" si="2100">SUM(AE2660:AH2660)</f>
        <v>0</v>
      </c>
      <c r="AK2660" s="172"/>
    </row>
    <row r="2661" spans="1:41" s="102" customFormat="1" ht="19.899999999999999" customHeight="1" x14ac:dyDescent="0.25">
      <c r="A2661" s="45"/>
      <c r="B2661" s="59"/>
      <c r="C2661" s="137"/>
      <c r="D2661" s="59"/>
      <c r="E2661" s="116"/>
      <c r="F2661" s="120"/>
      <c r="G2661" s="120"/>
      <c r="H2661" s="120"/>
      <c r="I2661" s="60"/>
      <c r="J2661" s="116"/>
      <c r="K2661" s="213"/>
      <c r="L2661" s="120"/>
      <c r="M2661" s="120"/>
      <c r="N2661" s="167"/>
      <c r="O2661" s="120"/>
      <c r="P2661" s="120"/>
      <c r="Q2661" s="120"/>
      <c r="R2661" s="120"/>
      <c r="S2661" s="120"/>
      <c r="T2661" s="221"/>
      <c r="U2661" s="89"/>
      <c r="V2661" s="61"/>
      <c r="W2661" s="92" t="s">
        <v>1273</v>
      </c>
      <c r="X2661" s="93" t="s">
        <v>30</v>
      </c>
      <c r="Y2661" s="93" t="s">
        <v>66</v>
      </c>
      <c r="Z2661" s="134">
        <f>VLOOKUP(W2661,Sheet2!$B:$D,3,FALSE)</f>
        <v>10</v>
      </c>
      <c r="AA2661" s="93">
        <f>1/(2.5*2.4*0.5*4)</f>
        <v>8.3333333333333329E-2</v>
      </c>
      <c r="AB2661" s="93">
        <f>AD2661/AC2660</f>
        <v>120</v>
      </c>
      <c r="AC2661" s="93">
        <f>AC2660/AA2661</f>
        <v>9.7800000000000029</v>
      </c>
      <c r="AD2661" s="94">
        <f t="shared" ref="AD2661:AD2663" si="2101">AC2661*Z2661</f>
        <v>97.800000000000026</v>
      </c>
      <c r="AE2661" s="190"/>
      <c r="AF2661" s="191"/>
      <c r="AG2661" s="191"/>
      <c r="AH2661" s="191"/>
      <c r="AI2661" s="186"/>
      <c r="AK2661" s="171"/>
    </row>
    <row r="2662" spans="1:41" s="102" customFormat="1" ht="19.899999999999999" customHeight="1" x14ac:dyDescent="0.25">
      <c r="A2662" s="45"/>
      <c r="B2662" s="59"/>
      <c r="C2662" s="137"/>
      <c r="D2662" s="59"/>
      <c r="E2662" s="116"/>
      <c r="F2662" s="120"/>
      <c r="G2662" s="120"/>
      <c r="H2662" s="120"/>
      <c r="I2662" s="60"/>
      <c r="J2662" s="116"/>
      <c r="K2662" s="213"/>
      <c r="L2662" s="120"/>
      <c r="M2662" s="120"/>
      <c r="N2662" s="167"/>
      <c r="O2662" s="120"/>
      <c r="P2662" s="120"/>
      <c r="Q2662" s="120"/>
      <c r="R2662" s="120"/>
      <c r="S2662" s="120"/>
      <c r="T2662" s="221"/>
      <c r="U2662" s="89"/>
      <c r="V2662" s="61"/>
      <c r="W2662" s="92" t="s">
        <v>134</v>
      </c>
      <c r="X2662" s="93" t="s">
        <v>29</v>
      </c>
      <c r="Y2662" s="93" t="s">
        <v>93</v>
      </c>
      <c r="Z2662" s="134">
        <f>VLOOKUP(W2662,Sheet2!$B:$D,3,FALSE)</f>
        <v>65.599999999999994</v>
      </c>
      <c r="AA2662" s="93">
        <f>100/(2.5*2.4*0.5*4)</f>
        <v>8.3333333333333339</v>
      </c>
      <c r="AB2662" s="93">
        <f t="shared" ref="AB2662" si="2102">AD2662/AC2660</f>
        <v>7.8719999999999981</v>
      </c>
      <c r="AC2662" s="93">
        <f>AC2660/AA2662</f>
        <v>9.7800000000000012E-2</v>
      </c>
      <c r="AD2662" s="94">
        <f t="shared" si="2101"/>
        <v>6.41568</v>
      </c>
      <c r="AE2662" s="190"/>
      <c r="AF2662" s="191"/>
      <c r="AG2662" s="191"/>
      <c r="AH2662" s="191"/>
      <c r="AI2662" s="186"/>
      <c r="AK2662" s="171"/>
    </row>
    <row r="2663" spans="1:41" s="102" customFormat="1" ht="19.899999999999999" customHeight="1" x14ac:dyDescent="0.25">
      <c r="A2663" s="45"/>
      <c r="B2663" s="59"/>
      <c r="C2663" s="137"/>
      <c r="D2663" s="59"/>
      <c r="E2663" s="116"/>
      <c r="F2663" s="120"/>
      <c r="G2663" s="120"/>
      <c r="H2663" s="120"/>
      <c r="I2663" s="60"/>
      <c r="J2663" s="116"/>
      <c r="K2663" s="213"/>
      <c r="L2663" s="120"/>
      <c r="M2663" s="120"/>
      <c r="N2663" s="167"/>
      <c r="O2663" s="120"/>
      <c r="P2663" s="120"/>
      <c r="Q2663" s="120"/>
      <c r="R2663" s="120"/>
      <c r="S2663" s="120"/>
      <c r="T2663" s="221"/>
      <c r="U2663" s="89"/>
      <c r="V2663" s="61"/>
      <c r="W2663" s="92" t="s">
        <v>65</v>
      </c>
      <c r="X2663" s="93" t="s">
        <v>30</v>
      </c>
      <c r="Y2663" s="93" t="s">
        <v>1011</v>
      </c>
      <c r="Z2663" s="134">
        <f>VLOOKUP(W2663,Sheet2!$B:$D,3,FALSE)</f>
        <v>1.76</v>
      </c>
      <c r="AA2663" s="93">
        <f>AA2662/9</f>
        <v>0.92592592592592604</v>
      </c>
      <c r="AB2663" s="93">
        <f>AD2663/AC2660</f>
        <v>1.9007999999999996</v>
      </c>
      <c r="AC2663" s="93">
        <f>AC2660/AA2663</f>
        <v>0.88020000000000009</v>
      </c>
      <c r="AD2663" s="94">
        <f t="shared" si="2101"/>
        <v>1.5491520000000001</v>
      </c>
      <c r="AE2663" s="190"/>
      <c r="AF2663" s="191"/>
      <c r="AG2663" s="191"/>
      <c r="AH2663" s="191"/>
      <c r="AI2663" s="186"/>
      <c r="AK2663" s="171"/>
    </row>
    <row r="2664" spans="1:41" s="102" customFormat="1" ht="19.899999999999999" customHeight="1" x14ac:dyDescent="0.25">
      <c r="A2664" s="45"/>
      <c r="B2664" s="59"/>
      <c r="C2664" s="137"/>
      <c r="D2664" s="59"/>
      <c r="E2664" s="116"/>
      <c r="F2664" s="120"/>
      <c r="G2664" s="120"/>
      <c r="H2664" s="120"/>
      <c r="I2664" s="60"/>
      <c r="J2664" s="116"/>
      <c r="K2664" s="213"/>
      <c r="L2664" s="120"/>
      <c r="M2664" s="120"/>
      <c r="N2664" s="167"/>
      <c r="O2664" s="120"/>
      <c r="P2664" s="120"/>
      <c r="Q2664" s="120"/>
      <c r="R2664" s="120"/>
      <c r="S2664" s="120"/>
      <c r="T2664" s="221"/>
      <c r="U2664" s="89"/>
      <c r="V2664" s="61"/>
      <c r="W2664" s="92" t="s">
        <v>161</v>
      </c>
      <c r="X2664" s="93" t="s">
        <v>29</v>
      </c>
      <c r="Y2664" s="93" t="s">
        <v>93</v>
      </c>
      <c r="Z2664" s="134">
        <f>VLOOKUP(W2664,Sheet2!$B:$D,3,FALSE)</f>
        <v>48</v>
      </c>
      <c r="AA2664" s="93">
        <f>(16*0.85*1.5)/(2.5*2.4*0.5*4)</f>
        <v>1.7</v>
      </c>
      <c r="AB2664" s="93">
        <f>AD2664/AC2660</f>
        <v>28.235294117647062</v>
      </c>
      <c r="AC2664" s="93">
        <f>AC2660/AA2664</f>
        <v>0.47941176470588248</v>
      </c>
      <c r="AD2664" s="94">
        <f>AC2664*Z2664</f>
        <v>23.01176470588236</v>
      </c>
      <c r="AE2664" s="190"/>
      <c r="AF2664" s="191"/>
      <c r="AG2664" s="191"/>
      <c r="AH2664" s="191"/>
      <c r="AI2664" s="186"/>
      <c r="AK2664" s="171"/>
    </row>
    <row r="2665" spans="1:41" s="102" customFormat="1" ht="19.899999999999999" customHeight="1" x14ac:dyDescent="0.25">
      <c r="A2665" s="45"/>
      <c r="B2665" s="59"/>
      <c r="C2665" s="137"/>
      <c r="D2665" s="59"/>
      <c r="E2665" s="116"/>
      <c r="F2665" s="120"/>
      <c r="G2665" s="120"/>
      <c r="H2665" s="120"/>
      <c r="I2665" s="60"/>
      <c r="J2665" s="116"/>
      <c r="K2665" s="213"/>
      <c r="L2665" s="120"/>
      <c r="M2665" s="120"/>
      <c r="N2665" s="167"/>
      <c r="O2665" s="120"/>
      <c r="P2665" s="120"/>
      <c r="Q2665" s="120"/>
      <c r="R2665" s="120"/>
      <c r="S2665" s="120"/>
      <c r="T2665" s="221"/>
      <c r="U2665" s="89"/>
      <c r="V2665" s="61"/>
      <c r="W2665" s="92" t="s">
        <v>65</v>
      </c>
      <c r="X2665" s="93" t="s">
        <v>30</v>
      </c>
      <c r="Y2665" s="93" t="s">
        <v>1011</v>
      </c>
      <c r="Z2665" s="134">
        <f>VLOOKUP(W2665,Sheet2!$B:$D,3,FALSE)</f>
        <v>1.76</v>
      </c>
      <c r="AA2665" s="93">
        <f>AA2664/10</f>
        <v>0.16999999999999998</v>
      </c>
      <c r="AB2665" s="93">
        <f>AD2665/AC2660</f>
        <v>10.352941176470591</v>
      </c>
      <c r="AC2665" s="93">
        <f>AC2660/AA2665</f>
        <v>4.7941176470588251</v>
      </c>
      <c r="AD2665" s="94">
        <f>AC2665*Z2665</f>
        <v>8.4376470588235328</v>
      </c>
      <c r="AE2665" s="190"/>
      <c r="AF2665" s="191"/>
      <c r="AG2665" s="191"/>
      <c r="AH2665" s="191"/>
      <c r="AI2665" s="186"/>
      <c r="AK2665" s="171"/>
    </row>
    <row r="2666" spans="1:41" s="102" customFormat="1" ht="19.899999999999999" customHeight="1" x14ac:dyDescent="0.25">
      <c r="A2666" s="45"/>
      <c r="B2666" s="59"/>
      <c r="C2666" s="137"/>
      <c r="D2666" s="59"/>
      <c r="E2666" s="116"/>
      <c r="F2666" s="120"/>
      <c r="G2666" s="120"/>
      <c r="H2666" s="120"/>
      <c r="I2666" s="60"/>
      <c r="J2666" s="116"/>
      <c r="K2666" s="213"/>
      <c r="L2666" s="120"/>
      <c r="M2666" s="120"/>
      <c r="N2666" s="167"/>
      <c r="O2666" s="120"/>
      <c r="P2666" s="120"/>
      <c r="Q2666" s="120"/>
      <c r="R2666" s="120"/>
      <c r="S2666" s="120"/>
      <c r="T2666" s="221"/>
      <c r="U2666" s="89"/>
      <c r="V2666" s="61"/>
      <c r="W2666" s="92" t="s">
        <v>173</v>
      </c>
      <c r="X2666" s="93" t="s">
        <v>29</v>
      </c>
      <c r="Y2666" s="93" t="s">
        <v>93</v>
      </c>
      <c r="Z2666" s="134">
        <f>VLOOKUP(W2666,Sheet2!$B:$D,3,FALSE)</f>
        <v>36</v>
      </c>
      <c r="AA2666" s="93">
        <f>50/(2.5*2.4*0.5*4)</f>
        <v>4.166666666666667</v>
      </c>
      <c r="AB2666" s="93">
        <f>AD2666/AC2660</f>
        <v>8.6399999999999988</v>
      </c>
      <c r="AC2666" s="93">
        <f>AC2660/AA2666</f>
        <v>0.19560000000000002</v>
      </c>
      <c r="AD2666" s="94">
        <f>AC2666*Z2666</f>
        <v>7.0416000000000007</v>
      </c>
      <c r="AE2666" s="190"/>
      <c r="AF2666" s="191"/>
      <c r="AG2666" s="191"/>
      <c r="AH2666" s="191"/>
      <c r="AI2666" s="186"/>
      <c r="AK2666" s="171"/>
    </row>
    <row r="2667" spans="1:41" s="102" customFormat="1" ht="19.899999999999999" customHeight="1" x14ac:dyDescent="0.25">
      <c r="A2667" s="45"/>
      <c r="B2667" s="59"/>
      <c r="C2667" s="137"/>
      <c r="D2667" s="59"/>
      <c r="E2667" s="116"/>
      <c r="F2667" s="120"/>
      <c r="G2667" s="120"/>
      <c r="H2667" s="120"/>
      <c r="I2667" s="60"/>
      <c r="J2667" s="116"/>
      <c r="K2667" s="213"/>
      <c r="L2667" s="120"/>
      <c r="M2667" s="120"/>
      <c r="N2667" s="167"/>
      <c r="O2667" s="120"/>
      <c r="P2667" s="120"/>
      <c r="Q2667" s="120"/>
      <c r="R2667" s="120"/>
      <c r="S2667" s="120"/>
      <c r="T2667" s="221"/>
      <c r="U2667" s="89"/>
      <c r="V2667" s="61"/>
      <c r="W2667" s="92" t="s">
        <v>65</v>
      </c>
      <c r="X2667" s="93" t="s">
        <v>30</v>
      </c>
      <c r="Y2667" s="93" t="s">
        <v>1011</v>
      </c>
      <c r="Z2667" s="134">
        <f>VLOOKUP(W2667,Sheet2!$B:$D,3,FALSE)</f>
        <v>1.76</v>
      </c>
      <c r="AA2667" s="93">
        <f>AA2666/9</f>
        <v>0.46296296296296302</v>
      </c>
      <c r="AB2667" s="93">
        <f>AD2667/AC2660</f>
        <v>3.8015999999999992</v>
      </c>
      <c r="AC2667" s="93">
        <f>AC2660/AA2667</f>
        <v>1.7604000000000002</v>
      </c>
      <c r="AD2667" s="94">
        <f>AC2667*Z2667</f>
        <v>3.0983040000000002</v>
      </c>
      <c r="AE2667" s="190"/>
      <c r="AF2667" s="191"/>
      <c r="AG2667" s="191"/>
      <c r="AH2667" s="191"/>
      <c r="AI2667" s="186"/>
      <c r="AK2667" s="171"/>
    </row>
    <row r="2668" spans="1:41" s="102" customFormat="1" ht="19.899999999999999" customHeight="1" x14ac:dyDescent="0.25">
      <c r="A2668" s="45"/>
      <c r="B2668" s="59"/>
      <c r="C2668" s="137"/>
      <c r="D2668" s="59"/>
      <c r="E2668" s="116"/>
      <c r="F2668" s="120"/>
      <c r="G2668" s="120"/>
      <c r="H2668" s="120"/>
      <c r="I2668" s="60"/>
      <c r="J2668" s="116"/>
      <c r="K2668" s="213"/>
      <c r="L2668" s="120"/>
      <c r="M2668" s="120"/>
      <c r="N2668" s="167"/>
      <c r="O2668" s="120"/>
      <c r="P2668" s="120"/>
      <c r="Q2668" s="120"/>
      <c r="R2668" s="120"/>
      <c r="S2668" s="120"/>
      <c r="T2668" s="221"/>
      <c r="U2668" s="89"/>
      <c r="V2668" s="61"/>
      <c r="W2668" s="92" t="s">
        <v>1030</v>
      </c>
      <c r="X2668" s="93" t="s">
        <v>29</v>
      </c>
      <c r="Y2668" s="93" t="s">
        <v>93</v>
      </c>
      <c r="Z2668" s="134">
        <f>VLOOKUP(W2668,Sheet2!$B:$D,3,FALSE)</f>
        <v>23</v>
      </c>
      <c r="AA2668" s="93">
        <v>1</v>
      </c>
      <c r="AB2668" s="93">
        <f>AD2668/AC2660</f>
        <v>23</v>
      </c>
      <c r="AC2668" s="93">
        <f>AC2660/AA2668</f>
        <v>0.81500000000000017</v>
      </c>
      <c r="AD2668" s="94">
        <f t="shared" ref="AD2668:AD2669" si="2103">AC2668*Z2668</f>
        <v>18.745000000000005</v>
      </c>
      <c r="AE2668" s="190"/>
      <c r="AF2668" s="191"/>
      <c r="AG2668" s="191"/>
      <c r="AH2668" s="191"/>
      <c r="AI2668" s="186"/>
      <c r="AK2668" s="171"/>
    </row>
    <row r="2669" spans="1:41" s="102" customFormat="1" ht="19.899999999999999" customHeight="1" x14ac:dyDescent="0.25">
      <c r="A2669" s="45"/>
      <c r="B2669" s="59"/>
      <c r="C2669" s="137"/>
      <c r="D2669" s="59"/>
      <c r="E2669" s="116"/>
      <c r="F2669" s="120"/>
      <c r="G2669" s="120"/>
      <c r="H2669" s="120"/>
      <c r="I2669" s="60"/>
      <c r="J2669" s="116"/>
      <c r="K2669" s="213"/>
      <c r="L2669" s="120"/>
      <c r="M2669" s="120"/>
      <c r="N2669" s="167"/>
      <c r="O2669" s="120"/>
      <c r="P2669" s="120"/>
      <c r="Q2669" s="120"/>
      <c r="R2669" s="120"/>
      <c r="S2669" s="120"/>
      <c r="T2669" s="221"/>
      <c r="U2669" s="89"/>
      <c r="V2669" s="61"/>
      <c r="W2669" s="92" t="s">
        <v>65</v>
      </c>
      <c r="X2669" s="93" t="s">
        <v>30</v>
      </c>
      <c r="Y2669" s="93" t="s">
        <v>1011</v>
      </c>
      <c r="Z2669" s="134">
        <f>VLOOKUP(W2669,Sheet2!$B:$D,3,FALSE)</f>
        <v>1.76</v>
      </c>
      <c r="AA2669" s="93">
        <f>AA2668/3</f>
        <v>0.33333333333333331</v>
      </c>
      <c r="AB2669" s="93">
        <f>AD2669/AC2660</f>
        <v>5.28</v>
      </c>
      <c r="AC2669" s="93">
        <f>AC2660/AA2669</f>
        <v>2.4450000000000007</v>
      </c>
      <c r="AD2669" s="94">
        <f t="shared" si="2103"/>
        <v>4.3032000000000012</v>
      </c>
      <c r="AE2669" s="190"/>
      <c r="AF2669" s="191"/>
      <c r="AG2669" s="191"/>
      <c r="AH2669" s="191"/>
      <c r="AI2669" s="186"/>
      <c r="AK2669" s="171"/>
    </row>
    <row r="2670" spans="1:41" s="306" customFormat="1" ht="30" x14ac:dyDescent="0.25">
      <c r="A2670" s="287" t="s">
        <v>410</v>
      </c>
      <c r="B2670" s="288"/>
      <c r="C2670" s="286" t="s">
        <v>366</v>
      </c>
      <c r="D2670" s="289"/>
      <c r="E2670" s="290"/>
      <c r="F2670" s="291"/>
      <c r="G2670" s="291">
        <f t="shared" si="1977"/>
        <v>0</v>
      </c>
      <c r="H2670" s="291">
        <f t="shared" si="1978"/>
        <v>0</v>
      </c>
      <c r="I2670" s="292">
        <f t="shared" si="1979"/>
        <v>0</v>
      </c>
      <c r="J2670" s="290">
        <f t="shared" si="1980"/>
        <v>0</v>
      </c>
      <c r="K2670" s="293">
        <f t="shared" si="1981"/>
        <v>0</v>
      </c>
      <c r="L2670" s="291"/>
      <c r="M2670" s="291">
        <f t="shared" si="1982"/>
        <v>0</v>
      </c>
      <c r="N2670" s="294">
        <f t="shared" si="1983"/>
        <v>0</v>
      </c>
      <c r="O2670" s="291">
        <f t="shared" si="1984"/>
        <v>0</v>
      </c>
      <c r="P2670" s="291">
        <f t="shared" si="1985"/>
        <v>0</v>
      </c>
      <c r="Q2670" s="291">
        <f t="shared" si="1986"/>
        <v>0</v>
      </c>
      <c r="R2670" s="291">
        <f t="shared" si="1987"/>
        <v>0</v>
      </c>
      <c r="S2670" s="291"/>
      <c r="T2670" s="295">
        <f t="shared" si="1988"/>
        <v>0</v>
      </c>
      <c r="U2670" s="296"/>
      <c r="V2670" s="297"/>
      <c r="W2670" s="298"/>
      <c r="X2670" s="299"/>
      <c r="Y2670" s="300"/>
      <c r="Z2670" s="301"/>
      <c r="AA2670" s="300"/>
      <c r="AB2670" s="300">
        <f t="shared" si="1989"/>
        <v>0</v>
      </c>
      <c r="AC2670" s="300">
        <f t="shared" si="1990"/>
        <v>9.9999999999999998E-20</v>
      </c>
      <c r="AD2670" s="302"/>
      <c r="AE2670" s="303"/>
      <c r="AF2670" s="304"/>
      <c r="AG2670" s="304"/>
      <c r="AH2670" s="304"/>
      <c r="AI2670" s="305"/>
      <c r="AK2670" s="307"/>
    </row>
    <row r="2671" spans="1:41" ht="25.5" x14ac:dyDescent="0.25">
      <c r="A2671" s="277" t="s">
        <v>410</v>
      </c>
      <c r="B2671" s="278"/>
      <c r="C2671" s="64" t="s">
        <v>480</v>
      </c>
      <c r="D2671" s="46" t="s">
        <v>215</v>
      </c>
      <c r="E2671" s="114">
        <v>2</v>
      </c>
      <c r="F2671" s="44">
        <v>38534</v>
      </c>
      <c r="G2671" s="44">
        <f t="shared" si="1977"/>
        <v>77068</v>
      </c>
      <c r="H2671" s="44">
        <f t="shared" si="1978"/>
        <v>24043.53957647059</v>
      </c>
      <c r="I2671" s="43">
        <f t="shared" si="1979"/>
        <v>48087.07915294118</v>
      </c>
      <c r="J2671" s="112">
        <f t="shared" si="1980"/>
        <v>2</v>
      </c>
      <c r="K2671" s="211">
        <f t="shared" si="1981"/>
        <v>2</v>
      </c>
      <c r="L2671" s="44"/>
      <c r="M2671" s="44">
        <f t="shared" si="1982"/>
        <v>2</v>
      </c>
      <c r="N2671" s="173">
        <f t="shared" si="1983"/>
        <v>1</v>
      </c>
      <c r="O2671" s="44">
        <f t="shared" si="1984"/>
        <v>38534</v>
      </c>
      <c r="P2671" s="44">
        <f t="shared" si="1985"/>
        <v>77068</v>
      </c>
      <c r="Q2671" s="44">
        <f t="shared" si="1986"/>
        <v>24043.53957647059</v>
      </c>
      <c r="R2671" s="44">
        <f t="shared" si="1987"/>
        <v>48087.07915294118</v>
      </c>
      <c r="S2671" s="123"/>
      <c r="T2671" s="219">
        <f t="shared" si="1988"/>
        <v>48087.07915294118</v>
      </c>
      <c r="U2671" s="87"/>
      <c r="V2671" s="47"/>
      <c r="W2671" s="48"/>
      <c r="X2671" s="48"/>
      <c r="Y2671" s="48"/>
      <c r="Z2671" s="135"/>
      <c r="AA2671" s="49"/>
      <c r="AB2671" s="50">
        <f t="shared" si="1989"/>
        <v>24043.53957647059</v>
      </c>
      <c r="AC2671" s="42">
        <f t="shared" si="1990"/>
        <v>2</v>
      </c>
      <c r="AD2671" s="90">
        <f>AD2672+AD2677+AD2690+AD2693</f>
        <v>48087.07915294118</v>
      </c>
      <c r="AE2671" s="188">
        <f t="shared" ref="AE2671:AH2671" si="2104">AE2672+AE2677+AE2690+AE2693</f>
        <v>0</v>
      </c>
      <c r="AF2671" s="189">
        <f t="shared" si="2104"/>
        <v>0</v>
      </c>
      <c r="AG2671" s="189">
        <f t="shared" si="2104"/>
        <v>0</v>
      </c>
      <c r="AH2671" s="189">
        <f t="shared" si="2104"/>
        <v>0</v>
      </c>
      <c r="AI2671" s="161">
        <f t="shared" ref="AI2671" si="2105">SUM(AE2671:AH2671)</f>
        <v>0</v>
      </c>
      <c r="AK2671" s="169">
        <v>5</v>
      </c>
      <c r="AO2671" s="19" t="s">
        <v>63</v>
      </c>
    </row>
    <row r="2672" spans="1:41" s="103" customFormat="1" ht="19.899999999999999" customHeight="1" x14ac:dyDescent="0.25">
      <c r="A2672" s="51"/>
      <c r="B2672" s="52"/>
      <c r="C2672" s="165"/>
      <c r="D2672" s="52"/>
      <c r="E2672" s="115"/>
      <c r="F2672" s="58"/>
      <c r="G2672" s="58"/>
      <c r="H2672" s="58"/>
      <c r="I2672" s="55"/>
      <c r="J2672" s="113">
        <f>J2671</f>
        <v>2</v>
      </c>
      <c r="K2672" s="212">
        <f>K2671</f>
        <v>2</v>
      </c>
      <c r="L2672" s="58"/>
      <c r="M2672" s="58">
        <f>K2672-L2672</f>
        <v>2</v>
      </c>
      <c r="N2672" s="166"/>
      <c r="O2672" s="58"/>
      <c r="P2672" s="58"/>
      <c r="Q2672" s="58"/>
      <c r="R2672" s="58"/>
      <c r="S2672" s="58"/>
      <c r="T2672" s="220"/>
      <c r="U2672" s="88"/>
      <c r="V2672" s="56"/>
      <c r="W2672" s="57" t="s">
        <v>1351</v>
      </c>
      <c r="X2672" s="53"/>
      <c r="Y2672" s="91" t="s">
        <v>35</v>
      </c>
      <c r="Z2672" s="136">
        <f>AD2672/AC2672</f>
        <v>90.496941176470585</v>
      </c>
      <c r="AA2672" s="58"/>
      <c r="AB2672" s="53">
        <f>AD2672/AC2672</f>
        <v>90.496941176470585</v>
      </c>
      <c r="AC2672" s="53">
        <f>M2672+$AE$10</f>
        <v>2</v>
      </c>
      <c r="AD2672" s="54">
        <f>SUM(AD2673:AD2676)</f>
        <v>180.99388235294117</v>
      </c>
      <c r="AE2672" s="184">
        <f>SUMIFS($AD$37:$AD$12971,$V$37:$V$12971,$V2672,$X$37:$X$12971,AE$13)</f>
        <v>0</v>
      </c>
      <c r="AF2672" s="185">
        <f>SUMIFS($AD$37:$AD$12971,$V$37:$V$12971,$V2672,$X$37:$X$12971,AF$13)</f>
        <v>0</v>
      </c>
      <c r="AG2672" s="185">
        <f>SUMIFS($AD$37:$AD$12971,$V$37:$V$12971,$V2672,$X$37:$X$12971,AG$13)</f>
        <v>0</v>
      </c>
      <c r="AH2672" s="187">
        <f>SUMIFS($AD$37:$AD$12971,$V$37:$V$12971,$V2672,$X$37:$X$12971,AH$13)</f>
        <v>0</v>
      </c>
      <c r="AI2672" s="161">
        <f t="shared" ref="AI2672" si="2106">SUM(AE2672:AH2672)</f>
        <v>0</v>
      </c>
      <c r="AK2672" s="172"/>
    </row>
    <row r="2673" spans="1:37" s="102" customFormat="1" ht="19.899999999999999" customHeight="1" x14ac:dyDescent="0.25">
      <c r="A2673" s="45"/>
      <c r="B2673" s="59"/>
      <c r="C2673" s="137"/>
      <c r="D2673" s="59"/>
      <c r="E2673" s="116"/>
      <c r="F2673" s="120"/>
      <c r="G2673" s="120"/>
      <c r="H2673" s="120"/>
      <c r="I2673" s="60"/>
      <c r="J2673" s="116"/>
      <c r="K2673" s="213"/>
      <c r="L2673" s="120"/>
      <c r="M2673" s="120"/>
      <c r="N2673" s="167"/>
      <c r="O2673" s="120"/>
      <c r="P2673" s="120"/>
      <c r="Q2673" s="120"/>
      <c r="R2673" s="120"/>
      <c r="S2673" s="120"/>
      <c r="T2673" s="221"/>
      <c r="U2673" s="89"/>
      <c r="V2673" s="61"/>
      <c r="W2673" s="92" t="s">
        <v>129</v>
      </c>
      <c r="X2673" s="93" t="s">
        <v>29</v>
      </c>
      <c r="Y2673" s="93" t="s">
        <v>93</v>
      </c>
      <c r="Z2673" s="134">
        <f>VLOOKUP(W2673,Sheet2!$B:$D,3,FALSE)</f>
        <v>56</v>
      </c>
      <c r="AA2673" s="93">
        <f>100/(3*3*2.5)</f>
        <v>4.4444444444444446</v>
      </c>
      <c r="AB2673" s="93">
        <f t="shared" ref="AB2673" si="2107">AD2673/AC2672</f>
        <v>12.599999999999998</v>
      </c>
      <c r="AC2673" s="93">
        <f>AC2672/AA2673</f>
        <v>0.44999999999999996</v>
      </c>
      <c r="AD2673" s="94">
        <f t="shared" ref="AD2673:AD2674" si="2108">AC2673*Z2673</f>
        <v>25.199999999999996</v>
      </c>
      <c r="AE2673" s="190"/>
      <c r="AF2673" s="191"/>
      <c r="AG2673" s="191"/>
      <c r="AH2673" s="191"/>
      <c r="AI2673" s="186"/>
      <c r="AK2673" s="171"/>
    </row>
    <row r="2674" spans="1:37" s="102" customFormat="1" ht="19.899999999999999" customHeight="1" x14ac:dyDescent="0.25">
      <c r="A2674" s="45"/>
      <c r="B2674" s="59"/>
      <c r="C2674" s="137"/>
      <c r="D2674" s="59"/>
      <c r="E2674" s="116"/>
      <c r="F2674" s="120"/>
      <c r="G2674" s="120"/>
      <c r="H2674" s="120"/>
      <c r="I2674" s="60"/>
      <c r="J2674" s="116"/>
      <c r="K2674" s="213"/>
      <c r="L2674" s="120"/>
      <c r="M2674" s="120"/>
      <c r="N2674" s="167"/>
      <c r="O2674" s="120"/>
      <c r="P2674" s="120"/>
      <c r="Q2674" s="120"/>
      <c r="R2674" s="120"/>
      <c r="S2674" s="120"/>
      <c r="T2674" s="221"/>
      <c r="U2674" s="89"/>
      <c r="V2674" s="61"/>
      <c r="W2674" s="92" t="s">
        <v>65</v>
      </c>
      <c r="X2674" s="93" t="s">
        <v>30</v>
      </c>
      <c r="Y2674" s="93" t="s">
        <v>1011</v>
      </c>
      <c r="Z2674" s="134">
        <f>VLOOKUP(W2674,Sheet2!$B:$D,3,FALSE)</f>
        <v>1.76</v>
      </c>
      <c r="AA2674" s="93">
        <f>AA2673/14</f>
        <v>0.3174603174603175</v>
      </c>
      <c r="AB2674" s="93">
        <f>AD2674/AC2672</f>
        <v>5.5439999999999987</v>
      </c>
      <c r="AC2674" s="93">
        <f>AC2672/AA2674</f>
        <v>6.2999999999999989</v>
      </c>
      <c r="AD2674" s="94">
        <f t="shared" si="2108"/>
        <v>11.087999999999997</v>
      </c>
      <c r="AE2674" s="190"/>
      <c r="AF2674" s="191"/>
      <c r="AG2674" s="191"/>
      <c r="AH2674" s="191"/>
      <c r="AI2674" s="186"/>
      <c r="AK2674" s="171"/>
    </row>
    <row r="2675" spans="1:37" s="102" customFormat="1" ht="19.899999999999999" customHeight="1" x14ac:dyDescent="0.25">
      <c r="A2675" s="45"/>
      <c r="B2675" s="59"/>
      <c r="C2675" s="137"/>
      <c r="D2675" s="59"/>
      <c r="E2675" s="116"/>
      <c r="F2675" s="120"/>
      <c r="G2675" s="120"/>
      <c r="H2675" s="120"/>
      <c r="I2675" s="60"/>
      <c r="J2675" s="116"/>
      <c r="K2675" s="213"/>
      <c r="L2675" s="120"/>
      <c r="M2675" s="120"/>
      <c r="N2675" s="167"/>
      <c r="O2675" s="120"/>
      <c r="P2675" s="120"/>
      <c r="Q2675" s="120"/>
      <c r="R2675" s="120"/>
      <c r="S2675" s="120"/>
      <c r="T2675" s="221"/>
      <c r="U2675" s="89"/>
      <c r="V2675" s="61"/>
      <c r="W2675" s="92" t="s">
        <v>161</v>
      </c>
      <c r="X2675" s="93" t="s">
        <v>29</v>
      </c>
      <c r="Y2675" s="93" t="s">
        <v>93</v>
      </c>
      <c r="Z2675" s="134">
        <f>VLOOKUP(W2675,Sheet2!$B:$D,3,FALSE)</f>
        <v>48</v>
      </c>
      <c r="AA2675" s="93">
        <f>(16*0.85*1.5)/(3*3*2.5)</f>
        <v>0.90666666666666662</v>
      </c>
      <c r="AB2675" s="93">
        <f>AD2675/AC2672</f>
        <v>52.941176470588239</v>
      </c>
      <c r="AC2675" s="93">
        <f>AC2672/AA2675</f>
        <v>2.2058823529411766</v>
      </c>
      <c r="AD2675" s="94">
        <f>AC2675*Z2675</f>
        <v>105.88235294117648</v>
      </c>
      <c r="AE2675" s="190"/>
      <c r="AF2675" s="191"/>
      <c r="AG2675" s="191"/>
      <c r="AH2675" s="191"/>
      <c r="AI2675" s="186"/>
      <c r="AK2675" s="171"/>
    </row>
    <row r="2676" spans="1:37" s="102" customFormat="1" ht="19.899999999999999" customHeight="1" x14ac:dyDescent="0.25">
      <c r="A2676" s="45"/>
      <c r="B2676" s="59"/>
      <c r="C2676" s="137"/>
      <c r="D2676" s="59"/>
      <c r="E2676" s="116"/>
      <c r="F2676" s="120"/>
      <c r="G2676" s="120"/>
      <c r="H2676" s="120"/>
      <c r="I2676" s="60"/>
      <c r="J2676" s="116"/>
      <c r="K2676" s="213"/>
      <c r="L2676" s="120"/>
      <c r="M2676" s="120"/>
      <c r="N2676" s="167"/>
      <c r="O2676" s="120"/>
      <c r="P2676" s="120"/>
      <c r="Q2676" s="120"/>
      <c r="R2676" s="120"/>
      <c r="S2676" s="120"/>
      <c r="T2676" s="221"/>
      <c r="U2676" s="89"/>
      <c r="V2676" s="61"/>
      <c r="W2676" s="92" t="s">
        <v>65</v>
      </c>
      <c r="X2676" s="93" t="s">
        <v>30</v>
      </c>
      <c r="Y2676" s="93" t="s">
        <v>1011</v>
      </c>
      <c r="Z2676" s="134">
        <f>VLOOKUP(W2676,Sheet2!$B:$D,3,FALSE)</f>
        <v>1.76</v>
      </c>
      <c r="AA2676" s="93">
        <f>AA2675/10</f>
        <v>9.0666666666666659E-2</v>
      </c>
      <c r="AB2676" s="93">
        <f>AD2676/AC2672</f>
        <v>19.411764705882355</v>
      </c>
      <c r="AC2676" s="93">
        <f>AC2672/AA2676</f>
        <v>22.058823529411768</v>
      </c>
      <c r="AD2676" s="94">
        <f>AC2676*Z2676</f>
        <v>38.82352941176471</v>
      </c>
      <c r="AE2676" s="190"/>
      <c r="AF2676" s="191"/>
      <c r="AG2676" s="191"/>
      <c r="AH2676" s="191"/>
      <c r="AI2676" s="186"/>
      <c r="AK2676" s="171"/>
    </row>
    <row r="2677" spans="1:37" s="103" customFormat="1" ht="19.899999999999999" customHeight="1" x14ac:dyDescent="0.25">
      <c r="A2677" s="51"/>
      <c r="B2677" s="52"/>
      <c r="C2677" s="165"/>
      <c r="D2677" s="52"/>
      <c r="E2677" s="115"/>
      <c r="F2677" s="58"/>
      <c r="G2677" s="58"/>
      <c r="H2677" s="58"/>
      <c r="I2677" s="55"/>
      <c r="J2677" s="113">
        <f>J2671</f>
        <v>2</v>
      </c>
      <c r="K2677" s="212">
        <f>K2671</f>
        <v>2</v>
      </c>
      <c r="L2677" s="58"/>
      <c r="M2677" s="58">
        <f>K2677-L2677</f>
        <v>2</v>
      </c>
      <c r="N2677" s="166"/>
      <c r="O2677" s="58"/>
      <c r="P2677" s="58"/>
      <c r="Q2677" s="58"/>
      <c r="R2677" s="58"/>
      <c r="S2677" s="58"/>
      <c r="T2677" s="220"/>
      <c r="U2677" s="88"/>
      <c r="V2677" s="56"/>
      <c r="W2677" s="57" t="s">
        <v>1370</v>
      </c>
      <c r="X2677" s="53"/>
      <c r="Y2677" s="91" t="s">
        <v>35</v>
      </c>
      <c r="Z2677" s="136">
        <f>AD2677/AC2677</f>
        <v>20943.96</v>
      </c>
      <c r="AA2677" s="58"/>
      <c r="AB2677" s="53">
        <f>AD2677/AC2677</f>
        <v>20943.96</v>
      </c>
      <c r="AC2677" s="53">
        <f>M2677+$AE$10</f>
        <v>2</v>
      </c>
      <c r="AD2677" s="54">
        <f>SUM(AD2678:AD2689)</f>
        <v>41887.919999999998</v>
      </c>
      <c r="AE2677" s="184">
        <f>SUMIFS($AD$37:$AD$12971,$V$37:$V$12971,$V2677,$X$37:$X$12971,AE$13)</f>
        <v>0</v>
      </c>
      <c r="AF2677" s="185">
        <f>SUMIFS($AD$37:$AD$12971,$V$37:$V$12971,$V2677,$X$37:$X$12971,AF$13)</f>
        <v>0</v>
      </c>
      <c r="AG2677" s="185">
        <f>SUMIFS($AD$37:$AD$12971,$V$37:$V$12971,$V2677,$X$37:$X$12971,AG$13)</f>
        <v>0</v>
      </c>
      <c r="AH2677" s="187">
        <f>SUMIFS($AD$37:$AD$12971,$V$37:$V$12971,$V2677,$X$37:$X$12971,AH$13)</f>
        <v>0</v>
      </c>
      <c r="AI2677" s="161">
        <f t="shared" ref="AI2677" si="2109">SUM(AE2677:AH2677)</f>
        <v>0</v>
      </c>
      <c r="AK2677" s="172"/>
    </row>
    <row r="2678" spans="1:37" s="102" customFormat="1" ht="19.899999999999999" customHeight="1" x14ac:dyDescent="0.25">
      <c r="A2678" s="45"/>
      <c r="B2678" s="59"/>
      <c r="C2678" s="137"/>
      <c r="D2678" s="59"/>
      <c r="E2678" s="116"/>
      <c r="F2678" s="120"/>
      <c r="G2678" s="120"/>
      <c r="H2678" s="120"/>
      <c r="I2678" s="60"/>
      <c r="J2678" s="116"/>
      <c r="K2678" s="213"/>
      <c r="L2678" s="120"/>
      <c r="M2678" s="120"/>
      <c r="N2678" s="167"/>
      <c r="O2678" s="120"/>
      <c r="P2678" s="120"/>
      <c r="Q2678" s="120"/>
      <c r="R2678" s="120"/>
      <c r="S2678" s="120"/>
      <c r="T2678" s="221"/>
      <c r="U2678" s="89"/>
      <c r="V2678" s="61"/>
      <c r="W2678" s="92" t="s">
        <v>1032</v>
      </c>
      <c r="X2678" s="93" t="s">
        <v>30</v>
      </c>
      <c r="Y2678" s="93" t="s">
        <v>66</v>
      </c>
      <c r="Z2678" s="134">
        <f>VLOOKUP(W2678,Sheet2!$B:$D,3,FALSE)</f>
        <v>250</v>
      </c>
      <c r="AA2678" s="93">
        <f>1/(3*3*0.1)</f>
        <v>1.1111111111111112</v>
      </c>
      <c r="AB2678" s="93">
        <f t="shared" ref="AB2678" si="2110">AD2678/AC2677</f>
        <v>224.99999999999997</v>
      </c>
      <c r="AC2678" s="93">
        <f>AC2677/AA2678</f>
        <v>1.7999999999999998</v>
      </c>
      <c r="AD2678" s="94">
        <f t="shared" ref="AD2678:AD2680" si="2111">AC2678*Z2678</f>
        <v>449.99999999999994</v>
      </c>
      <c r="AE2678" s="190"/>
      <c r="AF2678" s="191"/>
      <c r="AG2678" s="191"/>
      <c r="AH2678" s="191"/>
      <c r="AI2678" s="186"/>
      <c r="AK2678" s="171"/>
    </row>
    <row r="2679" spans="1:37" s="102" customFormat="1" ht="19.899999999999999" customHeight="1" x14ac:dyDescent="0.25">
      <c r="A2679" s="45"/>
      <c r="B2679" s="59"/>
      <c r="C2679" s="137"/>
      <c r="D2679" s="59"/>
      <c r="E2679" s="116"/>
      <c r="F2679" s="120"/>
      <c r="G2679" s="120"/>
      <c r="H2679" s="120"/>
      <c r="I2679" s="60"/>
      <c r="J2679" s="116"/>
      <c r="K2679" s="213"/>
      <c r="L2679" s="120"/>
      <c r="M2679" s="120"/>
      <c r="N2679" s="167"/>
      <c r="O2679" s="120"/>
      <c r="P2679" s="120"/>
      <c r="Q2679" s="120"/>
      <c r="R2679" s="120"/>
      <c r="S2679" s="120"/>
      <c r="T2679" s="221"/>
      <c r="U2679" s="89"/>
      <c r="V2679" s="61"/>
      <c r="W2679" s="92" t="s">
        <v>1353</v>
      </c>
      <c r="X2679" s="93" t="s">
        <v>30</v>
      </c>
      <c r="Y2679" s="93" t="s">
        <v>66</v>
      </c>
      <c r="Z2679" s="134">
        <f>VLOOKUP(W2679,Sheet2!$B:$D,3,FALSE)</f>
        <v>350</v>
      </c>
      <c r="AA2679" s="93">
        <f>1/(2*2*0.25*5)</f>
        <v>0.2</v>
      </c>
      <c r="AB2679" s="93">
        <f>AD2679/AC2677</f>
        <v>1750</v>
      </c>
      <c r="AC2679" s="93">
        <f>AC2677/AA2679</f>
        <v>10</v>
      </c>
      <c r="AD2679" s="94">
        <f t="shared" si="2111"/>
        <v>3500</v>
      </c>
      <c r="AE2679" s="190"/>
      <c r="AF2679" s="191"/>
      <c r="AG2679" s="191"/>
      <c r="AH2679" s="191"/>
      <c r="AI2679" s="186"/>
      <c r="AK2679" s="171"/>
    </row>
    <row r="2680" spans="1:37" s="102" customFormat="1" ht="19.899999999999999" customHeight="1" x14ac:dyDescent="0.25">
      <c r="A2680" s="45"/>
      <c r="B2680" s="59"/>
      <c r="C2680" s="137"/>
      <c r="D2680" s="59"/>
      <c r="E2680" s="116"/>
      <c r="F2680" s="120"/>
      <c r="G2680" s="120"/>
      <c r="H2680" s="120"/>
      <c r="I2680" s="60"/>
      <c r="J2680" s="116"/>
      <c r="K2680" s="213"/>
      <c r="L2680" s="120"/>
      <c r="M2680" s="120"/>
      <c r="N2680" s="167"/>
      <c r="O2680" s="120"/>
      <c r="P2680" s="120"/>
      <c r="Q2680" s="120"/>
      <c r="R2680" s="120"/>
      <c r="S2680" s="120"/>
      <c r="T2680" s="221"/>
      <c r="U2680" s="89"/>
      <c r="V2680" s="61"/>
      <c r="W2680" s="92" t="s">
        <v>99</v>
      </c>
      <c r="X2680" s="93" t="s">
        <v>30</v>
      </c>
      <c r="Y2680" s="93" t="s">
        <v>67</v>
      </c>
      <c r="Z2680" s="134">
        <f>VLOOKUP(W2680,Sheet2!$B:$D,3,FALSE)</f>
        <v>2500</v>
      </c>
      <c r="AA2680" s="93">
        <f>1/(2*2*0.25*5*0.08)</f>
        <v>2.5</v>
      </c>
      <c r="AB2680" s="93">
        <f>AD2680/AC2677</f>
        <v>1000</v>
      </c>
      <c r="AC2680" s="93">
        <f>AC2677/AA2680</f>
        <v>0.8</v>
      </c>
      <c r="AD2680" s="94">
        <f t="shared" si="2111"/>
        <v>2000</v>
      </c>
      <c r="AE2680" s="190"/>
      <c r="AF2680" s="191"/>
      <c r="AG2680" s="191"/>
      <c r="AH2680" s="191"/>
      <c r="AI2680" s="186"/>
      <c r="AK2680" s="171"/>
    </row>
    <row r="2681" spans="1:37" s="102" customFormat="1" ht="19.899999999999999" customHeight="1" x14ac:dyDescent="0.25">
      <c r="A2681" s="45"/>
      <c r="B2681" s="59"/>
      <c r="C2681" s="137"/>
      <c r="D2681" s="59"/>
      <c r="E2681" s="116"/>
      <c r="F2681" s="120"/>
      <c r="G2681" s="120"/>
      <c r="H2681" s="120"/>
      <c r="I2681" s="60"/>
      <c r="J2681" s="116"/>
      <c r="K2681" s="213"/>
      <c r="L2681" s="120"/>
      <c r="M2681" s="120"/>
      <c r="N2681" s="167"/>
      <c r="O2681" s="120"/>
      <c r="P2681" s="120"/>
      <c r="Q2681" s="120"/>
      <c r="R2681" s="120"/>
      <c r="S2681" s="120"/>
      <c r="T2681" s="221"/>
      <c r="U2681" s="89"/>
      <c r="V2681" s="61"/>
      <c r="W2681" s="92" t="s">
        <v>1354</v>
      </c>
      <c r="X2681" s="93" t="s">
        <v>32</v>
      </c>
      <c r="Y2681" s="93" t="s">
        <v>66</v>
      </c>
      <c r="Z2681" s="134">
        <f>VLOOKUP(W2681,Sheet2!$B:$D,3,FALSE)</f>
        <v>150</v>
      </c>
      <c r="AA2681" s="93">
        <f>AA2678</f>
        <v>1.1111111111111112</v>
      </c>
      <c r="AB2681" s="93">
        <f>AD2681/AC2677</f>
        <v>135</v>
      </c>
      <c r="AC2681" s="93">
        <f>AC2677/AA2681</f>
        <v>1.7999999999999998</v>
      </c>
      <c r="AD2681" s="94">
        <f>AC2681*Z2681</f>
        <v>270</v>
      </c>
      <c r="AE2681" s="190"/>
      <c r="AF2681" s="191"/>
      <c r="AG2681" s="191"/>
      <c r="AH2681" s="191"/>
      <c r="AI2681" s="186"/>
      <c r="AK2681" s="171"/>
    </row>
    <row r="2682" spans="1:37" s="102" customFormat="1" ht="19.899999999999999" customHeight="1" x14ac:dyDescent="0.25">
      <c r="A2682" s="45"/>
      <c r="B2682" s="59"/>
      <c r="C2682" s="137"/>
      <c r="D2682" s="59"/>
      <c r="E2682" s="116"/>
      <c r="F2682" s="120"/>
      <c r="G2682" s="120"/>
      <c r="H2682" s="120"/>
      <c r="I2682" s="60"/>
      <c r="J2682" s="116"/>
      <c r="K2682" s="213"/>
      <c r="L2682" s="120"/>
      <c r="M2682" s="120"/>
      <c r="N2682" s="167"/>
      <c r="O2682" s="120"/>
      <c r="P2682" s="120"/>
      <c r="Q2682" s="120"/>
      <c r="R2682" s="120"/>
      <c r="S2682" s="120"/>
      <c r="T2682" s="221"/>
      <c r="U2682" s="89"/>
      <c r="V2682" s="61"/>
      <c r="W2682" s="92" t="s">
        <v>1355</v>
      </c>
      <c r="X2682" s="93" t="s">
        <v>32</v>
      </c>
      <c r="Y2682" s="93" t="s">
        <v>66</v>
      </c>
      <c r="Z2682" s="134">
        <f>VLOOKUP(W2682,Sheet2!$B:$D,3,FALSE)</f>
        <v>450</v>
      </c>
      <c r="AA2682" s="93">
        <f>AA2679</f>
        <v>0.2</v>
      </c>
      <c r="AB2682" s="93">
        <f>AD2682/AC2677</f>
        <v>2250</v>
      </c>
      <c r="AC2682" s="93">
        <f>AC2677/AA2682</f>
        <v>10</v>
      </c>
      <c r="AD2682" s="94">
        <f>AC2682*Z2682</f>
        <v>4500</v>
      </c>
      <c r="AE2682" s="190"/>
      <c r="AF2682" s="191"/>
      <c r="AG2682" s="191"/>
      <c r="AH2682" s="191"/>
      <c r="AI2682" s="186"/>
      <c r="AK2682" s="171"/>
    </row>
    <row r="2683" spans="1:37" s="102" customFormat="1" ht="19.899999999999999" customHeight="1" x14ac:dyDescent="0.25">
      <c r="A2683" s="45"/>
      <c r="B2683" s="59"/>
      <c r="C2683" s="137"/>
      <c r="D2683" s="59"/>
      <c r="E2683" s="116"/>
      <c r="F2683" s="120"/>
      <c r="G2683" s="120"/>
      <c r="H2683" s="120"/>
      <c r="I2683" s="60"/>
      <c r="J2683" s="116"/>
      <c r="K2683" s="213"/>
      <c r="L2683" s="120"/>
      <c r="M2683" s="120"/>
      <c r="N2683" s="167"/>
      <c r="O2683" s="120"/>
      <c r="P2683" s="120"/>
      <c r="Q2683" s="120"/>
      <c r="R2683" s="120"/>
      <c r="S2683" s="120"/>
      <c r="T2683" s="221"/>
      <c r="U2683" s="89"/>
      <c r="V2683" s="61"/>
      <c r="W2683" s="92" t="s">
        <v>1356</v>
      </c>
      <c r="X2683" s="93" t="s">
        <v>30</v>
      </c>
      <c r="Y2683" s="93" t="s">
        <v>35</v>
      </c>
      <c r="Z2683" s="134">
        <f>VLOOKUP(W2683,Sheet2!$B:$D,3,FALSE)</f>
        <v>3500</v>
      </c>
      <c r="AA2683" s="93">
        <v>1</v>
      </c>
      <c r="AB2683" s="93">
        <f>AD2683/AC2677</f>
        <v>3500</v>
      </c>
      <c r="AC2683" s="93">
        <f>AC2677/AA2683</f>
        <v>2</v>
      </c>
      <c r="AD2683" s="94">
        <f t="shared" ref="AD2683:AD2685" si="2112">AC2683*Z2683</f>
        <v>7000</v>
      </c>
      <c r="AE2683" s="190"/>
      <c r="AF2683" s="191"/>
      <c r="AG2683" s="191"/>
      <c r="AH2683" s="191"/>
      <c r="AI2683" s="186"/>
      <c r="AK2683" s="171"/>
    </row>
    <row r="2684" spans="1:37" s="102" customFormat="1" ht="19.899999999999999" customHeight="1" x14ac:dyDescent="0.25">
      <c r="A2684" s="45"/>
      <c r="B2684" s="59"/>
      <c r="C2684" s="137"/>
      <c r="D2684" s="59"/>
      <c r="E2684" s="116"/>
      <c r="F2684" s="120"/>
      <c r="G2684" s="120"/>
      <c r="H2684" s="120"/>
      <c r="I2684" s="60"/>
      <c r="J2684" s="116"/>
      <c r="K2684" s="213"/>
      <c r="L2684" s="120"/>
      <c r="M2684" s="120"/>
      <c r="N2684" s="167"/>
      <c r="O2684" s="120"/>
      <c r="P2684" s="120"/>
      <c r="Q2684" s="120"/>
      <c r="R2684" s="120"/>
      <c r="S2684" s="120"/>
      <c r="T2684" s="221"/>
      <c r="U2684" s="89"/>
      <c r="V2684" s="61"/>
      <c r="W2684" s="92" t="s">
        <v>1464</v>
      </c>
      <c r="X2684" s="93" t="s">
        <v>30</v>
      </c>
      <c r="Y2684" s="93" t="s">
        <v>35</v>
      </c>
      <c r="Z2684" s="134">
        <f>VLOOKUP(W2684,Sheet2!$B:$D,3,FALSE)</f>
        <v>11757.36</v>
      </c>
      <c r="AA2684" s="93">
        <v>1</v>
      </c>
      <c r="AB2684" s="93">
        <f>AD2684/AC2677</f>
        <v>11757.36</v>
      </c>
      <c r="AC2684" s="93">
        <f>AC2677/AA2684</f>
        <v>2</v>
      </c>
      <c r="AD2684" s="94">
        <f t="shared" si="2112"/>
        <v>23514.720000000001</v>
      </c>
      <c r="AE2684" s="190"/>
      <c r="AF2684" s="191"/>
      <c r="AG2684" s="191"/>
      <c r="AH2684" s="191"/>
      <c r="AI2684" s="186"/>
      <c r="AK2684" s="171"/>
    </row>
    <row r="2685" spans="1:37" s="102" customFormat="1" ht="19.899999999999999" customHeight="1" x14ac:dyDescent="0.25">
      <c r="A2685" s="45"/>
      <c r="B2685" s="59"/>
      <c r="C2685" s="137"/>
      <c r="D2685" s="59"/>
      <c r="E2685" s="116"/>
      <c r="F2685" s="120"/>
      <c r="G2685" s="120"/>
      <c r="H2685" s="120"/>
      <c r="I2685" s="60"/>
      <c r="J2685" s="116"/>
      <c r="K2685" s="213"/>
      <c r="L2685" s="120"/>
      <c r="M2685" s="120"/>
      <c r="N2685" s="167"/>
      <c r="O2685" s="120"/>
      <c r="P2685" s="120"/>
      <c r="Q2685" s="120"/>
      <c r="R2685" s="120"/>
      <c r="S2685" s="120"/>
      <c r="T2685" s="221"/>
      <c r="U2685" s="89"/>
      <c r="V2685" s="61"/>
      <c r="W2685" s="92" t="s">
        <v>174</v>
      </c>
      <c r="X2685" s="93" t="s">
        <v>29</v>
      </c>
      <c r="Y2685" s="93" t="s">
        <v>93</v>
      </c>
      <c r="Z2685" s="134">
        <f>VLOOKUP(W2685,Sheet2!$B:$D,3,FALSE)</f>
        <v>80</v>
      </c>
      <c r="AA2685" s="93">
        <v>4</v>
      </c>
      <c r="AB2685" s="93">
        <f>AD2685/AC2677</f>
        <v>20</v>
      </c>
      <c r="AC2685" s="93">
        <f>AC2677/AA2685</f>
        <v>0.5</v>
      </c>
      <c r="AD2685" s="94">
        <f t="shared" si="2112"/>
        <v>40</v>
      </c>
      <c r="AE2685" s="190"/>
      <c r="AF2685" s="191"/>
      <c r="AG2685" s="191"/>
      <c r="AH2685" s="191"/>
      <c r="AI2685" s="186"/>
      <c r="AK2685" s="171"/>
    </row>
    <row r="2686" spans="1:37" s="102" customFormat="1" ht="19.899999999999999" customHeight="1" x14ac:dyDescent="0.25">
      <c r="A2686" s="45"/>
      <c r="B2686" s="59"/>
      <c r="C2686" s="137"/>
      <c r="D2686" s="59"/>
      <c r="E2686" s="116"/>
      <c r="F2686" s="120"/>
      <c r="G2686" s="120"/>
      <c r="H2686" s="120"/>
      <c r="I2686" s="60"/>
      <c r="J2686" s="116"/>
      <c r="K2686" s="213"/>
      <c r="L2686" s="120"/>
      <c r="M2686" s="120"/>
      <c r="N2686" s="167"/>
      <c r="O2686" s="120"/>
      <c r="P2686" s="120"/>
      <c r="Q2686" s="120"/>
      <c r="R2686" s="120"/>
      <c r="S2686" s="120"/>
      <c r="T2686" s="221"/>
      <c r="U2686" s="89"/>
      <c r="V2686" s="61"/>
      <c r="W2686" s="92" t="s">
        <v>65</v>
      </c>
      <c r="X2686" s="93" t="s">
        <v>30</v>
      </c>
      <c r="Y2686" s="93" t="s">
        <v>93</v>
      </c>
      <c r="Z2686" s="134">
        <f>VLOOKUP(W2686,Sheet2!$B:$D,3,FALSE)</f>
        <v>1.76</v>
      </c>
      <c r="AA2686" s="93">
        <f>AA2685/15</f>
        <v>0.26666666666666666</v>
      </c>
      <c r="AB2686" s="93">
        <f>AD2686/AC2677</f>
        <v>6.6</v>
      </c>
      <c r="AC2686" s="93">
        <f>AC2677/AA2686</f>
        <v>7.5</v>
      </c>
      <c r="AD2686" s="94">
        <f>AC2686*Z2686</f>
        <v>13.2</v>
      </c>
      <c r="AE2686" s="190"/>
      <c r="AF2686" s="191"/>
      <c r="AG2686" s="191"/>
      <c r="AH2686" s="191"/>
      <c r="AI2686" s="186"/>
      <c r="AK2686" s="171"/>
    </row>
    <row r="2687" spans="1:37" s="102" customFormat="1" ht="19.899999999999999" customHeight="1" x14ac:dyDescent="0.25">
      <c r="A2687" s="45"/>
      <c r="B2687" s="59"/>
      <c r="C2687" s="137"/>
      <c r="D2687" s="59"/>
      <c r="E2687" s="116"/>
      <c r="F2687" s="120"/>
      <c r="G2687" s="120"/>
      <c r="H2687" s="120"/>
      <c r="I2687" s="60"/>
      <c r="J2687" s="116"/>
      <c r="K2687" s="213"/>
      <c r="L2687" s="120"/>
      <c r="M2687" s="120"/>
      <c r="N2687" s="167"/>
      <c r="O2687" s="120"/>
      <c r="P2687" s="120"/>
      <c r="Q2687" s="120"/>
      <c r="R2687" s="120"/>
      <c r="S2687" s="120"/>
      <c r="T2687" s="221"/>
      <c r="U2687" s="89"/>
      <c r="V2687" s="61"/>
      <c r="W2687" s="92" t="s">
        <v>1357</v>
      </c>
      <c r="X2687" s="93" t="s">
        <v>30</v>
      </c>
      <c r="Y2687" s="93" t="s">
        <v>1349</v>
      </c>
      <c r="Z2687" s="134">
        <f>VLOOKUP(W2687,Sheet2!$B:$D,3,FALSE)</f>
        <v>150</v>
      </c>
      <c r="AA2687" s="93">
        <v>1</v>
      </c>
      <c r="AB2687" s="93">
        <f>AD2687/AC2677</f>
        <v>150</v>
      </c>
      <c r="AC2687" s="93">
        <f>AC2677/AA2687</f>
        <v>2</v>
      </c>
      <c r="AD2687" s="94">
        <f>AC2687*Z2687</f>
        <v>300</v>
      </c>
      <c r="AE2687" s="190"/>
      <c r="AF2687" s="191"/>
      <c r="AG2687" s="191"/>
      <c r="AH2687" s="191"/>
      <c r="AI2687" s="186"/>
      <c r="AK2687" s="171"/>
    </row>
    <row r="2688" spans="1:37" s="102" customFormat="1" ht="19.899999999999999" customHeight="1" x14ac:dyDescent="0.25">
      <c r="A2688" s="45"/>
      <c r="B2688" s="59"/>
      <c r="C2688" s="137"/>
      <c r="D2688" s="59"/>
      <c r="E2688" s="116"/>
      <c r="F2688" s="120"/>
      <c r="G2688" s="120"/>
      <c r="H2688" s="120"/>
      <c r="I2688" s="60"/>
      <c r="J2688" s="116"/>
      <c r="K2688" s="213"/>
      <c r="L2688" s="120"/>
      <c r="M2688" s="120"/>
      <c r="N2688" s="167"/>
      <c r="O2688" s="120"/>
      <c r="P2688" s="120"/>
      <c r="Q2688" s="120"/>
      <c r="R2688" s="120"/>
      <c r="S2688" s="120"/>
      <c r="T2688" s="221"/>
      <c r="U2688" s="89"/>
      <c r="V2688" s="61"/>
      <c r="W2688" s="92" t="s">
        <v>107</v>
      </c>
      <c r="X2688" s="93" t="s">
        <v>31</v>
      </c>
      <c r="Y2688" s="93" t="s">
        <v>93</v>
      </c>
      <c r="Z2688" s="134">
        <f>VLOOKUP(W2688,Sheet2!$B:$D,3,FALSE)</f>
        <v>17</v>
      </c>
      <c r="AA2688" s="93">
        <f>1/5</f>
        <v>0.2</v>
      </c>
      <c r="AB2688" s="93">
        <f>AD2688/AC2677</f>
        <v>85</v>
      </c>
      <c r="AC2688" s="93">
        <f>AC2677/AA2688</f>
        <v>10</v>
      </c>
      <c r="AD2688" s="94">
        <f>AC2688*Z2688</f>
        <v>170</v>
      </c>
      <c r="AE2688" s="190"/>
      <c r="AF2688" s="191"/>
      <c r="AG2688" s="191"/>
      <c r="AH2688" s="191"/>
      <c r="AI2688" s="186"/>
      <c r="AK2688" s="171"/>
    </row>
    <row r="2689" spans="1:41" s="102" customFormat="1" ht="19.899999999999999" customHeight="1" x14ac:dyDescent="0.25">
      <c r="A2689" s="45"/>
      <c r="B2689" s="59"/>
      <c r="C2689" s="137"/>
      <c r="D2689" s="59"/>
      <c r="E2689" s="116"/>
      <c r="F2689" s="120"/>
      <c r="G2689" s="120"/>
      <c r="H2689" s="120"/>
      <c r="I2689" s="60"/>
      <c r="J2689" s="116"/>
      <c r="K2689" s="213"/>
      <c r="L2689" s="120"/>
      <c r="M2689" s="120"/>
      <c r="N2689" s="167"/>
      <c r="O2689" s="120"/>
      <c r="P2689" s="120"/>
      <c r="Q2689" s="120"/>
      <c r="R2689" s="120"/>
      <c r="S2689" s="120"/>
      <c r="T2689" s="221"/>
      <c r="U2689" s="89"/>
      <c r="V2689" s="61"/>
      <c r="W2689" s="92" t="s">
        <v>112</v>
      </c>
      <c r="X2689" s="93" t="s">
        <v>31</v>
      </c>
      <c r="Y2689" s="93" t="s">
        <v>93</v>
      </c>
      <c r="Z2689" s="134">
        <f>VLOOKUP(W2689,Sheet2!$B:$D,3,FALSE)</f>
        <v>13</v>
      </c>
      <c r="AA2689" s="93">
        <f>AA2688</f>
        <v>0.2</v>
      </c>
      <c r="AB2689" s="93">
        <f>AD2689/AC2677</f>
        <v>65</v>
      </c>
      <c r="AC2689" s="93">
        <f>AC2677/AA2689</f>
        <v>10</v>
      </c>
      <c r="AD2689" s="94">
        <f>AC2689*Z2689</f>
        <v>130</v>
      </c>
      <c r="AE2689" s="190"/>
      <c r="AF2689" s="191"/>
      <c r="AG2689" s="191"/>
      <c r="AH2689" s="191"/>
      <c r="AI2689" s="186"/>
      <c r="AK2689" s="171"/>
    </row>
    <row r="2690" spans="1:41" s="103" customFormat="1" ht="19.899999999999999" customHeight="1" x14ac:dyDescent="0.25">
      <c r="A2690" s="51"/>
      <c r="B2690" s="52"/>
      <c r="C2690" s="165"/>
      <c r="D2690" s="52"/>
      <c r="E2690" s="115"/>
      <c r="F2690" s="58"/>
      <c r="G2690" s="58"/>
      <c r="H2690" s="58"/>
      <c r="I2690" s="55"/>
      <c r="J2690" s="113">
        <f>J2671</f>
        <v>2</v>
      </c>
      <c r="K2690" s="212">
        <f>K2671</f>
        <v>2</v>
      </c>
      <c r="L2690" s="58"/>
      <c r="M2690" s="58">
        <f>K2690-L2690</f>
        <v>2</v>
      </c>
      <c r="N2690" s="166"/>
      <c r="O2690" s="58"/>
      <c r="P2690" s="58"/>
      <c r="Q2690" s="58"/>
      <c r="R2690" s="58"/>
      <c r="S2690" s="58"/>
      <c r="T2690" s="220"/>
      <c r="U2690" s="88"/>
      <c r="V2690" s="56"/>
      <c r="W2690" s="57" t="s">
        <v>1358</v>
      </c>
      <c r="X2690" s="53"/>
      <c r="Y2690" s="91" t="s">
        <v>35</v>
      </c>
      <c r="Z2690" s="136">
        <f>AD2690/AC2690</f>
        <v>2800</v>
      </c>
      <c r="AA2690" s="58"/>
      <c r="AB2690" s="53">
        <f>AD2690/AC2690</f>
        <v>2800</v>
      </c>
      <c r="AC2690" s="53">
        <f>M2690+$AE$10</f>
        <v>2</v>
      </c>
      <c r="AD2690" s="54">
        <f>SUM(AD2691:AD2692)</f>
        <v>5600</v>
      </c>
      <c r="AE2690" s="184">
        <f>SUMIFS($AD$37:$AD$12971,$V$37:$V$12971,$V2690,$X$37:$X$12971,AE$13)</f>
        <v>0</v>
      </c>
      <c r="AF2690" s="185">
        <f>SUMIFS($AD$37:$AD$12971,$V$37:$V$12971,$V2690,$X$37:$X$12971,AF$13)</f>
        <v>0</v>
      </c>
      <c r="AG2690" s="185">
        <f>SUMIFS($AD$37:$AD$12971,$V$37:$V$12971,$V2690,$X$37:$X$12971,AG$13)</f>
        <v>0</v>
      </c>
      <c r="AH2690" s="187">
        <f>SUMIFS($AD$37:$AD$12971,$V$37:$V$12971,$V2690,$X$37:$X$12971,AH$13)</f>
        <v>0</v>
      </c>
      <c r="AI2690" s="161">
        <f t="shared" ref="AI2690" si="2113">SUM(AE2690:AH2690)</f>
        <v>0</v>
      </c>
      <c r="AK2690" s="172"/>
    </row>
    <row r="2691" spans="1:41" s="102" customFormat="1" ht="19.899999999999999" customHeight="1" x14ac:dyDescent="0.25">
      <c r="A2691" s="45"/>
      <c r="B2691" s="59"/>
      <c r="C2691" s="137"/>
      <c r="D2691" s="59"/>
      <c r="E2691" s="116"/>
      <c r="F2691" s="120"/>
      <c r="G2691" s="120"/>
      <c r="H2691" s="120"/>
      <c r="I2691" s="60"/>
      <c r="J2691" s="116"/>
      <c r="K2691" s="213"/>
      <c r="L2691" s="120"/>
      <c r="M2691" s="120"/>
      <c r="N2691" s="167"/>
      <c r="O2691" s="120"/>
      <c r="P2691" s="120"/>
      <c r="Q2691" s="120"/>
      <c r="R2691" s="120"/>
      <c r="S2691" s="120"/>
      <c r="T2691" s="221"/>
      <c r="U2691" s="89"/>
      <c r="V2691" s="61"/>
      <c r="W2691" s="92" t="s">
        <v>1359</v>
      </c>
      <c r="X2691" s="93" t="s">
        <v>32</v>
      </c>
      <c r="Y2691" s="93" t="s">
        <v>64</v>
      </c>
      <c r="Z2691" s="134">
        <f>VLOOKUP(W2691,Sheet2!$B:$D,3,FALSE)</f>
        <v>40</v>
      </c>
      <c r="AA2691" s="93">
        <f>1/40</f>
        <v>2.5000000000000001E-2</v>
      </c>
      <c r="AB2691" s="93">
        <f t="shared" ref="AB2691" si="2114">AD2691/AC2690</f>
        <v>1600</v>
      </c>
      <c r="AC2691" s="93">
        <f>AC2690/AA2691</f>
        <v>80</v>
      </c>
      <c r="AD2691" s="94">
        <f t="shared" ref="AD2691:AD2692" si="2115">AC2691*Z2691</f>
        <v>3200</v>
      </c>
      <c r="AE2691" s="190"/>
      <c r="AF2691" s="191"/>
      <c r="AG2691" s="191"/>
      <c r="AH2691" s="191"/>
      <c r="AI2691" s="186"/>
      <c r="AK2691" s="171"/>
    </row>
    <row r="2692" spans="1:41" s="102" customFormat="1" ht="19.899999999999999" customHeight="1" x14ac:dyDescent="0.25">
      <c r="A2692" s="45"/>
      <c r="B2692" s="59"/>
      <c r="C2692" s="137"/>
      <c r="D2692" s="59"/>
      <c r="E2692" s="116"/>
      <c r="F2692" s="120"/>
      <c r="G2692" s="120"/>
      <c r="H2692" s="120"/>
      <c r="I2692" s="60"/>
      <c r="J2692" s="116"/>
      <c r="K2692" s="213"/>
      <c r="L2692" s="120"/>
      <c r="M2692" s="120"/>
      <c r="N2692" s="167"/>
      <c r="O2692" s="120"/>
      <c r="P2692" s="120"/>
      <c r="Q2692" s="120"/>
      <c r="R2692" s="120"/>
      <c r="S2692" s="120"/>
      <c r="T2692" s="221"/>
      <c r="U2692" s="89"/>
      <c r="V2692" s="61"/>
      <c r="W2692" s="92" t="s">
        <v>1360</v>
      </c>
      <c r="X2692" s="93" t="s">
        <v>32</v>
      </c>
      <c r="Y2692" s="93" t="s">
        <v>64</v>
      </c>
      <c r="Z2692" s="134">
        <f>VLOOKUP(W2692,Sheet2!$B:$D,3,FALSE)</f>
        <v>30</v>
      </c>
      <c r="AA2692" s="93">
        <f>AA2691</f>
        <v>2.5000000000000001E-2</v>
      </c>
      <c r="AB2692" s="93">
        <f>AD2692/AC2690</f>
        <v>1200</v>
      </c>
      <c r="AC2692" s="93">
        <f>AC2690/AA2692</f>
        <v>80</v>
      </c>
      <c r="AD2692" s="94">
        <f t="shared" si="2115"/>
        <v>2400</v>
      </c>
      <c r="AE2692" s="190"/>
      <c r="AF2692" s="191"/>
      <c r="AG2692" s="191"/>
      <c r="AH2692" s="191"/>
      <c r="AI2692" s="186"/>
      <c r="AK2692" s="171"/>
    </row>
    <row r="2693" spans="1:41" s="103" customFormat="1" ht="19.899999999999999" customHeight="1" x14ac:dyDescent="0.25">
      <c r="A2693" s="51"/>
      <c r="B2693" s="52"/>
      <c r="C2693" s="165"/>
      <c r="D2693" s="52"/>
      <c r="E2693" s="115"/>
      <c r="F2693" s="58"/>
      <c r="G2693" s="58"/>
      <c r="H2693" s="58"/>
      <c r="I2693" s="55"/>
      <c r="J2693" s="113">
        <f>J2671</f>
        <v>2</v>
      </c>
      <c r="K2693" s="212">
        <f>K2671</f>
        <v>2</v>
      </c>
      <c r="L2693" s="58"/>
      <c r="M2693" s="58">
        <f>K2693-L2693</f>
        <v>2</v>
      </c>
      <c r="N2693" s="166"/>
      <c r="O2693" s="58"/>
      <c r="P2693" s="58"/>
      <c r="Q2693" s="58"/>
      <c r="R2693" s="58"/>
      <c r="S2693" s="58"/>
      <c r="T2693" s="220"/>
      <c r="U2693" s="88"/>
      <c r="V2693" s="56"/>
      <c r="W2693" s="57" t="s">
        <v>1272</v>
      </c>
      <c r="X2693" s="53"/>
      <c r="Y2693" s="91" t="s">
        <v>35</v>
      </c>
      <c r="Z2693" s="136">
        <f>AD2693/AC2693</f>
        <v>209.08263529411764</v>
      </c>
      <c r="AA2693" s="58"/>
      <c r="AB2693" s="53">
        <f>AD2693/AC2693</f>
        <v>209.08263529411764</v>
      </c>
      <c r="AC2693" s="53">
        <f>M2693+$AE$10</f>
        <v>2</v>
      </c>
      <c r="AD2693" s="54">
        <f>SUM(AD2694:AD2702)</f>
        <v>418.16527058823527</v>
      </c>
      <c r="AE2693" s="184">
        <f>SUMIFS($AD$37:$AD$12971,$V$37:$V$12971,$V2693,$X$37:$X$12971,AE$13)</f>
        <v>0</v>
      </c>
      <c r="AF2693" s="185">
        <f>SUMIFS($AD$37:$AD$12971,$V$37:$V$12971,$V2693,$X$37:$X$12971,AF$13)</f>
        <v>0</v>
      </c>
      <c r="AG2693" s="185">
        <f>SUMIFS($AD$37:$AD$12971,$V$37:$V$12971,$V2693,$X$37:$X$12971,AG$13)</f>
        <v>0</v>
      </c>
      <c r="AH2693" s="187">
        <f>SUMIFS($AD$37:$AD$12971,$V$37:$V$12971,$V2693,$X$37:$X$12971,AH$13)</f>
        <v>0</v>
      </c>
      <c r="AI2693" s="161">
        <f t="shared" ref="AI2693" si="2116">SUM(AE2693:AH2693)</f>
        <v>0</v>
      </c>
      <c r="AK2693" s="172"/>
    </row>
    <row r="2694" spans="1:41" s="102" customFormat="1" ht="19.899999999999999" customHeight="1" x14ac:dyDescent="0.25">
      <c r="A2694" s="45"/>
      <c r="B2694" s="59"/>
      <c r="C2694" s="137"/>
      <c r="D2694" s="59"/>
      <c r="E2694" s="116"/>
      <c r="F2694" s="120"/>
      <c r="G2694" s="120"/>
      <c r="H2694" s="120"/>
      <c r="I2694" s="60"/>
      <c r="J2694" s="116"/>
      <c r="K2694" s="213"/>
      <c r="L2694" s="120"/>
      <c r="M2694" s="120"/>
      <c r="N2694" s="167"/>
      <c r="O2694" s="120"/>
      <c r="P2694" s="120"/>
      <c r="Q2694" s="120"/>
      <c r="R2694" s="120"/>
      <c r="S2694" s="120"/>
      <c r="T2694" s="221"/>
      <c r="U2694" s="89"/>
      <c r="V2694" s="61"/>
      <c r="W2694" s="92" t="s">
        <v>1273</v>
      </c>
      <c r="X2694" s="93" t="s">
        <v>30</v>
      </c>
      <c r="Y2694" s="93" t="s">
        <v>66</v>
      </c>
      <c r="Z2694" s="134">
        <f>VLOOKUP(W2694,Sheet2!$B:$D,3,FALSE)</f>
        <v>10</v>
      </c>
      <c r="AA2694" s="93">
        <f>1/(2.5*2.4*0.5*4)</f>
        <v>8.3333333333333329E-2</v>
      </c>
      <c r="AB2694" s="93">
        <f>AD2694/AC2693</f>
        <v>120</v>
      </c>
      <c r="AC2694" s="93">
        <f>AC2693/AA2694</f>
        <v>24</v>
      </c>
      <c r="AD2694" s="94">
        <f t="shared" ref="AD2694:AD2696" si="2117">AC2694*Z2694</f>
        <v>240</v>
      </c>
      <c r="AE2694" s="190"/>
      <c r="AF2694" s="191"/>
      <c r="AG2694" s="191"/>
      <c r="AH2694" s="191"/>
      <c r="AI2694" s="186"/>
      <c r="AK2694" s="171"/>
    </row>
    <row r="2695" spans="1:41" s="102" customFormat="1" ht="19.899999999999999" customHeight="1" x14ac:dyDescent="0.25">
      <c r="A2695" s="45"/>
      <c r="B2695" s="59"/>
      <c r="C2695" s="137"/>
      <c r="D2695" s="59"/>
      <c r="E2695" s="116"/>
      <c r="F2695" s="120"/>
      <c r="G2695" s="120"/>
      <c r="H2695" s="120"/>
      <c r="I2695" s="60"/>
      <c r="J2695" s="116"/>
      <c r="K2695" s="213"/>
      <c r="L2695" s="120"/>
      <c r="M2695" s="120"/>
      <c r="N2695" s="167"/>
      <c r="O2695" s="120"/>
      <c r="P2695" s="120"/>
      <c r="Q2695" s="120"/>
      <c r="R2695" s="120"/>
      <c r="S2695" s="120"/>
      <c r="T2695" s="221"/>
      <c r="U2695" s="89"/>
      <c r="V2695" s="61"/>
      <c r="W2695" s="92" t="s">
        <v>134</v>
      </c>
      <c r="X2695" s="93" t="s">
        <v>29</v>
      </c>
      <c r="Y2695" s="93" t="s">
        <v>93</v>
      </c>
      <c r="Z2695" s="134">
        <f>VLOOKUP(W2695,Sheet2!$B:$D,3,FALSE)</f>
        <v>65.599999999999994</v>
      </c>
      <c r="AA2695" s="93">
        <f>100/(2.5*2.4*0.5*4)</f>
        <v>8.3333333333333339</v>
      </c>
      <c r="AB2695" s="93">
        <f t="shared" ref="AB2695" si="2118">AD2695/AC2693</f>
        <v>7.871999999999999</v>
      </c>
      <c r="AC2695" s="93">
        <f>AC2693/AA2695</f>
        <v>0.24</v>
      </c>
      <c r="AD2695" s="94">
        <f t="shared" si="2117"/>
        <v>15.743999999999998</v>
      </c>
      <c r="AE2695" s="190"/>
      <c r="AF2695" s="191"/>
      <c r="AG2695" s="191"/>
      <c r="AH2695" s="191"/>
      <c r="AI2695" s="186"/>
      <c r="AK2695" s="171"/>
    </row>
    <row r="2696" spans="1:41" s="102" customFormat="1" ht="19.899999999999999" customHeight="1" x14ac:dyDescent="0.25">
      <c r="A2696" s="45"/>
      <c r="B2696" s="59"/>
      <c r="C2696" s="137"/>
      <c r="D2696" s="59"/>
      <c r="E2696" s="116"/>
      <c r="F2696" s="120"/>
      <c r="G2696" s="120"/>
      <c r="H2696" s="120"/>
      <c r="I2696" s="60"/>
      <c r="J2696" s="116"/>
      <c r="K2696" s="213"/>
      <c r="L2696" s="120"/>
      <c r="M2696" s="120"/>
      <c r="N2696" s="167"/>
      <c r="O2696" s="120"/>
      <c r="P2696" s="120"/>
      <c r="Q2696" s="120"/>
      <c r="R2696" s="120"/>
      <c r="S2696" s="120"/>
      <c r="T2696" s="221"/>
      <c r="U2696" s="89"/>
      <c r="V2696" s="61"/>
      <c r="W2696" s="92" t="s">
        <v>65</v>
      </c>
      <c r="X2696" s="93" t="s">
        <v>30</v>
      </c>
      <c r="Y2696" s="93" t="s">
        <v>1011</v>
      </c>
      <c r="Z2696" s="134">
        <f>VLOOKUP(W2696,Sheet2!$B:$D,3,FALSE)</f>
        <v>1.76</v>
      </c>
      <c r="AA2696" s="93">
        <f>AA2695/9</f>
        <v>0.92592592592592604</v>
      </c>
      <c r="AB2696" s="93">
        <f>AD2696/AC2693</f>
        <v>1.9007999999999998</v>
      </c>
      <c r="AC2696" s="93">
        <f>AC2693/AA2696</f>
        <v>2.1599999999999997</v>
      </c>
      <c r="AD2696" s="94">
        <f t="shared" si="2117"/>
        <v>3.8015999999999996</v>
      </c>
      <c r="AE2696" s="190"/>
      <c r="AF2696" s="191"/>
      <c r="AG2696" s="191"/>
      <c r="AH2696" s="191"/>
      <c r="AI2696" s="186"/>
      <c r="AK2696" s="171"/>
    </row>
    <row r="2697" spans="1:41" s="102" customFormat="1" ht="19.899999999999999" customHeight="1" x14ac:dyDescent="0.25">
      <c r="A2697" s="45"/>
      <c r="B2697" s="59"/>
      <c r="C2697" s="137"/>
      <c r="D2697" s="59"/>
      <c r="E2697" s="116"/>
      <c r="F2697" s="120"/>
      <c r="G2697" s="120"/>
      <c r="H2697" s="120"/>
      <c r="I2697" s="60"/>
      <c r="J2697" s="116"/>
      <c r="K2697" s="213"/>
      <c r="L2697" s="120"/>
      <c r="M2697" s="120"/>
      <c r="N2697" s="167"/>
      <c r="O2697" s="120"/>
      <c r="P2697" s="120"/>
      <c r="Q2697" s="120"/>
      <c r="R2697" s="120"/>
      <c r="S2697" s="120"/>
      <c r="T2697" s="221"/>
      <c r="U2697" s="89"/>
      <c r="V2697" s="61"/>
      <c r="W2697" s="92" t="s">
        <v>161</v>
      </c>
      <c r="X2697" s="93" t="s">
        <v>29</v>
      </c>
      <c r="Y2697" s="93" t="s">
        <v>93</v>
      </c>
      <c r="Z2697" s="134">
        <f>VLOOKUP(W2697,Sheet2!$B:$D,3,FALSE)</f>
        <v>48</v>
      </c>
      <c r="AA2697" s="93">
        <f>(16*0.85*1.5)/(2.5*2.4*0.5*4)</f>
        <v>1.7</v>
      </c>
      <c r="AB2697" s="93">
        <f>AD2697/AC2693</f>
        <v>28.235294117647058</v>
      </c>
      <c r="AC2697" s="93">
        <f>AC2693/AA2697</f>
        <v>1.1764705882352942</v>
      </c>
      <c r="AD2697" s="94">
        <f>AC2697*Z2697</f>
        <v>56.470588235294116</v>
      </c>
      <c r="AE2697" s="190"/>
      <c r="AF2697" s="191"/>
      <c r="AG2697" s="191"/>
      <c r="AH2697" s="191"/>
      <c r="AI2697" s="186"/>
      <c r="AK2697" s="171"/>
    </row>
    <row r="2698" spans="1:41" s="102" customFormat="1" ht="19.899999999999999" customHeight="1" x14ac:dyDescent="0.25">
      <c r="A2698" s="45"/>
      <c r="B2698" s="59"/>
      <c r="C2698" s="137"/>
      <c r="D2698" s="59"/>
      <c r="E2698" s="116"/>
      <c r="F2698" s="120"/>
      <c r="G2698" s="120"/>
      <c r="H2698" s="120"/>
      <c r="I2698" s="60"/>
      <c r="J2698" s="116"/>
      <c r="K2698" s="213"/>
      <c r="L2698" s="120"/>
      <c r="M2698" s="120"/>
      <c r="N2698" s="167"/>
      <c r="O2698" s="120"/>
      <c r="P2698" s="120"/>
      <c r="Q2698" s="120"/>
      <c r="R2698" s="120"/>
      <c r="S2698" s="120"/>
      <c r="T2698" s="221"/>
      <c r="U2698" s="89"/>
      <c r="V2698" s="61"/>
      <c r="W2698" s="92" t="s">
        <v>65</v>
      </c>
      <c r="X2698" s="93" t="s">
        <v>30</v>
      </c>
      <c r="Y2698" s="93" t="s">
        <v>1011</v>
      </c>
      <c r="Z2698" s="134">
        <f>VLOOKUP(W2698,Sheet2!$B:$D,3,FALSE)</f>
        <v>1.76</v>
      </c>
      <c r="AA2698" s="93">
        <f>AA2697/10</f>
        <v>0.16999999999999998</v>
      </c>
      <c r="AB2698" s="93">
        <f>AD2698/AC2693</f>
        <v>10.352941176470589</v>
      </c>
      <c r="AC2698" s="93">
        <f>AC2693/AA2698</f>
        <v>11.764705882352942</v>
      </c>
      <c r="AD2698" s="94">
        <f>AC2698*Z2698</f>
        <v>20.705882352941178</v>
      </c>
      <c r="AE2698" s="190"/>
      <c r="AF2698" s="191"/>
      <c r="AG2698" s="191"/>
      <c r="AH2698" s="191"/>
      <c r="AI2698" s="186"/>
      <c r="AK2698" s="171"/>
    </row>
    <row r="2699" spans="1:41" s="102" customFormat="1" ht="19.899999999999999" customHeight="1" x14ac:dyDescent="0.25">
      <c r="A2699" s="45"/>
      <c r="B2699" s="59"/>
      <c r="C2699" s="137"/>
      <c r="D2699" s="59"/>
      <c r="E2699" s="116"/>
      <c r="F2699" s="120"/>
      <c r="G2699" s="120"/>
      <c r="H2699" s="120"/>
      <c r="I2699" s="60"/>
      <c r="J2699" s="116"/>
      <c r="K2699" s="213"/>
      <c r="L2699" s="120"/>
      <c r="M2699" s="120"/>
      <c r="N2699" s="167"/>
      <c r="O2699" s="120"/>
      <c r="P2699" s="120"/>
      <c r="Q2699" s="120"/>
      <c r="R2699" s="120"/>
      <c r="S2699" s="120"/>
      <c r="T2699" s="221"/>
      <c r="U2699" s="89"/>
      <c r="V2699" s="61"/>
      <c r="W2699" s="92" t="s">
        <v>173</v>
      </c>
      <c r="X2699" s="93" t="s">
        <v>29</v>
      </c>
      <c r="Y2699" s="93" t="s">
        <v>93</v>
      </c>
      <c r="Z2699" s="134">
        <f>VLOOKUP(W2699,Sheet2!$B:$D,3,FALSE)</f>
        <v>36</v>
      </c>
      <c r="AA2699" s="93">
        <f>50/(2.5*2.4*0.5*4)</f>
        <v>4.166666666666667</v>
      </c>
      <c r="AB2699" s="93">
        <f>AD2699/AC2693</f>
        <v>8.64</v>
      </c>
      <c r="AC2699" s="93">
        <f>AC2693/AA2699</f>
        <v>0.48</v>
      </c>
      <c r="AD2699" s="94">
        <f>AC2699*Z2699</f>
        <v>17.28</v>
      </c>
      <c r="AE2699" s="190"/>
      <c r="AF2699" s="191"/>
      <c r="AG2699" s="191"/>
      <c r="AH2699" s="191"/>
      <c r="AI2699" s="186"/>
      <c r="AK2699" s="171"/>
    </row>
    <row r="2700" spans="1:41" s="102" customFormat="1" ht="19.899999999999999" customHeight="1" x14ac:dyDescent="0.25">
      <c r="A2700" s="45"/>
      <c r="B2700" s="59"/>
      <c r="C2700" s="137"/>
      <c r="D2700" s="59"/>
      <c r="E2700" s="116"/>
      <c r="F2700" s="120"/>
      <c r="G2700" s="120"/>
      <c r="H2700" s="120"/>
      <c r="I2700" s="60"/>
      <c r="J2700" s="116"/>
      <c r="K2700" s="213"/>
      <c r="L2700" s="120"/>
      <c r="M2700" s="120"/>
      <c r="N2700" s="167"/>
      <c r="O2700" s="120"/>
      <c r="P2700" s="120"/>
      <c r="Q2700" s="120"/>
      <c r="R2700" s="120"/>
      <c r="S2700" s="120"/>
      <c r="T2700" s="221"/>
      <c r="U2700" s="89"/>
      <c r="V2700" s="61"/>
      <c r="W2700" s="92" t="s">
        <v>65</v>
      </c>
      <c r="X2700" s="93" t="s">
        <v>30</v>
      </c>
      <c r="Y2700" s="93" t="s">
        <v>1011</v>
      </c>
      <c r="Z2700" s="134">
        <f>VLOOKUP(W2700,Sheet2!$B:$D,3,FALSE)</f>
        <v>1.76</v>
      </c>
      <c r="AA2700" s="93">
        <f>AA2699/9</f>
        <v>0.46296296296296302</v>
      </c>
      <c r="AB2700" s="93">
        <f>AD2700/AC2693</f>
        <v>3.8015999999999996</v>
      </c>
      <c r="AC2700" s="93">
        <f>AC2693/AA2700</f>
        <v>4.3199999999999994</v>
      </c>
      <c r="AD2700" s="94">
        <f>AC2700*Z2700</f>
        <v>7.6031999999999993</v>
      </c>
      <c r="AE2700" s="190"/>
      <c r="AF2700" s="191"/>
      <c r="AG2700" s="191"/>
      <c r="AH2700" s="191"/>
      <c r="AI2700" s="186"/>
      <c r="AK2700" s="171"/>
    </row>
    <row r="2701" spans="1:41" s="102" customFormat="1" ht="19.899999999999999" customHeight="1" x14ac:dyDescent="0.25">
      <c r="A2701" s="45"/>
      <c r="B2701" s="59"/>
      <c r="C2701" s="137"/>
      <c r="D2701" s="59"/>
      <c r="E2701" s="116"/>
      <c r="F2701" s="120"/>
      <c r="G2701" s="120"/>
      <c r="H2701" s="120"/>
      <c r="I2701" s="60"/>
      <c r="J2701" s="116"/>
      <c r="K2701" s="213"/>
      <c r="L2701" s="120"/>
      <c r="M2701" s="120"/>
      <c r="N2701" s="167"/>
      <c r="O2701" s="120"/>
      <c r="P2701" s="120"/>
      <c r="Q2701" s="120"/>
      <c r="R2701" s="120"/>
      <c r="S2701" s="120"/>
      <c r="T2701" s="221"/>
      <c r="U2701" s="89"/>
      <c r="V2701" s="61"/>
      <c r="W2701" s="92" t="s">
        <v>1030</v>
      </c>
      <c r="X2701" s="93" t="s">
        <v>29</v>
      </c>
      <c r="Y2701" s="93" t="s">
        <v>93</v>
      </c>
      <c r="Z2701" s="134">
        <f>VLOOKUP(W2701,Sheet2!$B:$D,3,FALSE)</f>
        <v>23</v>
      </c>
      <c r="AA2701" s="93">
        <v>1</v>
      </c>
      <c r="AB2701" s="93">
        <f>AD2701/AC2693</f>
        <v>23</v>
      </c>
      <c r="AC2701" s="93">
        <f>AC2693/AA2701</f>
        <v>2</v>
      </c>
      <c r="AD2701" s="94">
        <f t="shared" ref="AD2701:AD2702" si="2119">AC2701*Z2701</f>
        <v>46</v>
      </c>
      <c r="AE2701" s="190"/>
      <c r="AF2701" s="191"/>
      <c r="AG2701" s="191"/>
      <c r="AH2701" s="191"/>
      <c r="AI2701" s="186"/>
      <c r="AK2701" s="171"/>
    </row>
    <row r="2702" spans="1:41" s="102" customFormat="1" ht="19.899999999999999" customHeight="1" x14ac:dyDescent="0.25">
      <c r="A2702" s="45"/>
      <c r="B2702" s="59"/>
      <c r="C2702" s="137"/>
      <c r="D2702" s="59"/>
      <c r="E2702" s="116"/>
      <c r="F2702" s="120"/>
      <c r="G2702" s="120"/>
      <c r="H2702" s="120"/>
      <c r="I2702" s="60"/>
      <c r="J2702" s="116"/>
      <c r="K2702" s="213"/>
      <c r="L2702" s="120"/>
      <c r="M2702" s="120"/>
      <c r="N2702" s="167"/>
      <c r="O2702" s="120"/>
      <c r="P2702" s="120"/>
      <c r="Q2702" s="120"/>
      <c r="R2702" s="120"/>
      <c r="S2702" s="120"/>
      <c r="T2702" s="221"/>
      <c r="U2702" s="89"/>
      <c r="V2702" s="61"/>
      <c r="W2702" s="92" t="s">
        <v>65</v>
      </c>
      <c r="X2702" s="93" t="s">
        <v>30</v>
      </c>
      <c r="Y2702" s="93" t="s">
        <v>1011</v>
      </c>
      <c r="Z2702" s="134">
        <f>VLOOKUP(W2702,Sheet2!$B:$D,3,FALSE)</f>
        <v>1.76</v>
      </c>
      <c r="AA2702" s="93">
        <f>AA2701/3</f>
        <v>0.33333333333333331</v>
      </c>
      <c r="AB2702" s="93">
        <f>AD2702/AC2693</f>
        <v>5.28</v>
      </c>
      <c r="AC2702" s="93">
        <f>AC2693/AA2702</f>
        <v>6</v>
      </c>
      <c r="AD2702" s="94">
        <f t="shared" si="2119"/>
        <v>10.56</v>
      </c>
      <c r="AE2702" s="190"/>
      <c r="AF2702" s="191"/>
      <c r="AG2702" s="191"/>
      <c r="AH2702" s="191"/>
      <c r="AI2702" s="186"/>
      <c r="AK2702" s="171"/>
    </row>
    <row r="2703" spans="1:41" ht="25.5" x14ac:dyDescent="0.25">
      <c r="A2703" s="277" t="s">
        <v>410</v>
      </c>
      <c r="B2703" s="278"/>
      <c r="C2703" s="64" t="s">
        <v>481</v>
      </c>
      <c r="D2703" s="46" t="s">
        <v>215</v>
      </c>
      <c r="E2703" s="114">
        <v>6.5049999999999999</v>
      </c>
      <c r="F2703" s="44">
        <v>40785</v>
      </c>
      <c r="G2703" s="44">
        <f t="shared" si="1977"/>
        <v>265306.42499999999</v>
      </c>
      <c r="H2703" s="44">
        <f t="shared" si="1978"/>
        <v>25903.169576470587</v>
      </c>
      <c r="I2703" s="43">
        <f t="shared" si="1979"/>
        <v>168500.11809494116</v>
      </c>
      <c r="J2703" s="112">
        <f t="shared" si="1980"/>
        <v>6.5049999999999999</v>
      </c>
      <c r="K2703" s="211">
        <f t="shared" si="1981"/>
        <v>6.5049999999999999</v>
      </c>
      <c r="L2703" s="44"/>
      <c r="M2703" s="44">
        <f t="shared" si="1982"/>
        <v>6.5049999999999999</v>
      </c>
      <c r="N2703" s="173">
        <f t="shared" si="1983"/>
        <v>1</v>
      </c>
      <c r="O2703" s="44">
        <f t="shared" si="1984"/>
        <v>40785</v>
      </c>
      <c r="P2703" s="44">
        <f t="shared" si="1985"/>
        <v>265306.42499999999</v>
      </c>
      <c r="Q2703" s="44">
        <f t="shared" si="1986"/>
        <v>25903.169576470587</v>
      </c>
      <c r="R2703" s="44">
        <f t="shared" si="1987"/>
        <v>168500.11809494116</v>
      </c>
      <c r="S2703" s="123"/>
      <c r="T2703" s="219">
        <f t="shared" si="1988"/>
        <v>168500.11809494116</v>
      </c>
      <c r="U2703" s="87"/>
      <c r="V2703" s="47"/>
      <c r="W2703" s="48"/>
      <c r="X2703" s="48"/>
      <c r="Y2703" s="48"/>
      <c r="Z2703" s="135"/>
      <c r="AA2703" s="49"/>
      <c r="AB2703" s="50">
        <f t="shared" si="1989"/>
        <v>25903.169576470587</v>
      </c>
      <c r="AC2703" s="42">
        <f t="shared" si="1990"/>
        <v>6.5049999999999999</v>
      </c>
      <c r="AD2703" s="90">
        <f>AD2704+AD2709+AD2722+AD2725</f>
        <v>168500.11809494116</v>
      </c>
      <c r="AE2703" s="188">
        <f t="shared" ref="AE2703" si="2120">AE2704+AE2709+AE2722+AE2725</f>
        <v>0</v>
      </c>
      <c r="AF2703" s="189">
        <f t="shared" ref="AF2703" si="2121">AF2704+AF2709+AF2722+AF2725</f>
        <v>0</v>
      </c>
      <c r="AG2703" s="189">
        <f t="shared" ref="AG2703" si="2122">AG2704+AG2709+AG2722+AG2725</f>
        <v>0</v>
      </c>
      <c r="AH2703" s="189">
        <f t="shared" ref="AH2703" si="2123">AH2704+AH2709+AH2722+AH2725</f>
        <v>0</v>
      </c>
      <c r="AI2703" s="161">
        <f t="shared" ref="AI2703" si="2124">SUM(AE2703:AH2703)</f>
        <v>0</v>
      </c>
      <c r="AK2703" s="169">
        <v>5</v>
      </c>
      <c r="AO2703" s="19" t="s">
        <v>63</v>
      </c>
    </row>
    <row r="2704" spans="1:41" s="103" customFormat="1" ht="19.899999999999999" customHeight="1" x14ac:dyDescent="0.25">
      <c r="A2704" s="51"/>
      <c r="B2704" s="52"/>
      <c r="C2704" s="165"/>
      <c r="D2704" s="52"/>
      <c r="E2704" s="115"/>
      <c r="F2704" s="58"/>
      <c r="G2704" s="58"/>
      <c r="H2704" s="58"/>
      <c r="I2704" s="55"/>
      <c r="J2704" s="113">
        <f>J2703</f>
        <v>6.5049999999999999</v>
      </c>
      <c r="K2704" s="212">
        <f>K2703</f>
        <v>6.5049999999999999</v>
      </c>
      <c r="L2704" s="58"/>
      <c r="M2704" s="58">
        <f>K2704-L2704</f>
        <v>6.5049999999999999</v>
      </c>
      <c r="N2704" s="166"/>
      <c r="O2704" s="58"/>
      <c r="P2704" s="58"/>
      <c r="Q2704" s="58"/>
      <c r="R2704" s="58"/>
      <c r="S2704" s="58"/>
      <c r="T2704" s="220"/>
      <c r="U2704" s="88"/>
      <c r="V2704" s="56"/>
      <c r="W2704" s="57" t="s">
        <v>1351</v>
      </c>
      <c r="X2704" s="53"/>
      <c r="Y2704" s="91" t="s">
        <v>35</v>
      </c>
      <c r="Z2704" s="136">
        <f>AD2704/AC2704</f>
        <v>90.496941176470585</v>
      </c>
      <c r="AA2704" s="58"/>
      <c r="AB2704" s="53">
        <f>AD2704/AC2704</f>
        <v>90.496941176470585</v>
      </c>
      <c r="AC2704" s="53">
        <f>M2704+$AE$10</f>
        <v>6.5049999999999999</v>
      </c>
      <c r="AD2704" s="54">
        <f>SUM(AD2705:AD2708)</f>
        <v>588.6826023529411</v>
      </c>
      <c r="AE2704" s="184">
        <f>SUMIFS($AD$37:$AD$12971,$V$37:$V$12971,$V2704,$X$37:$X$12971,AE$13)</f>
        <v>0</v>
      </c>
      <c r="AF2704" s="185">
        <f>SUMIFS($AD$37:$AD$12971,$V$37:$V$12971,$V2704,$X$37:$X$12971,AF$13)</f>
        <v>0</v>
      </c>
      <c r="AG2704" s="185">
        <f>SUMIFS($AD$37:$AD$12971,$V$37:$V$12971,$V2704,$X$37:$X$12971,AG$13)</f>
        <v>0</v>
      </c>
      <c r="AH2704" s="187">
        <f>SUMIFS($AD$37:$AD$12971,$V$37:$V$12971,$V2704,$X$37:$X$12971,AH$13)</f>
        <v>0</v>
      </c>
      <c r="AI2704" s="161">
        <f t="shared" ref="AI2704" si="2125">SUM(AE2704:AH2704)</f>
        <v>0</v>
      </c>
      <c r="AK2704" s="172"/>
    </row>
    <row r="2705" spans="1:37" s="102" customFormat="1" ht="19.899999999999999" customHeight="1" x14ac:dyDescent="0.25">
      <c r="A2705" s="45"/>
      <c r="B2705" s="59"/>
      <c r="C2705" s="137"/>
      <c r="D2705" s="59"/>
      <c r="E2705" s="116"/>
      <c r="F2705" s="120"/>
      <c r="G2705" s="120"/>
      <c r="H2705" s="120"/>
      <c r="I2705" s="60"/>
      <c r="J2705" s="116"/>
      <c r="K2705" s="213"/>
      <c r="L2705" s="120"/>
      <c r="M2705" s="120"/>
      <c r="N2705" s="167"/>
      <c r="O2705" s="120"/>
      <c r="P2705" s="120"/>
      <c r="Q2705" s="120"/>
      <c r="R2705" s="120"/>
      <c r="S2705" s="120"/>
      <c r="T2705" s="221"/>
      <c r="U2705" s="89"/>
      <c r="V2705" s="61"/>
      <c r="W2705" s="92" t="s">
        <v>129</v>
      </c>
      <c r="X2705" s="93" t="s">
        <v>29</v>
      </c>
      <c r="Y2705" s="93" t="s">
        <v>93</v>
      </c>
      <c r="Z2705" s="134">
        <f>VLOOKUP(W2705,Sheet2!$B:$D,3,FALSE)</f>
        <v>56</v>
      </c>
      <c r="AA2705" s="93">
        <f>100/(3*3*2.5)</f>
        <v>4.4444444444444446</v>
      </c>
      <c r="AB2705" s="93">
        <f t="shared" ref="AB2705" si="2126">AD2705/AC2704</f>
        <v>12.6</v>
      </c>
      <c r="AC2705" s="93">
        <f>AC2704/AA2705</f>
        <v>1.463625</v>
      </c>
      <c r="AD2705" s="94">
        <f t="shared" ref="AD2705:AD2706" si="2127">AC2705*Z2705</f>
        <v>81.962999999999994</v>
      </c>
      <c r="AE2705" s="190"/>
      <c r="AF2705" s="191"/>
      <c r="AG2705" s="191"/>
      <c r="AH2705" s="191"/>
      <c r="AI2705" s="186"/>
      <c r="AK2705" s="171"/>
    </row>
    <row r="2706" spans="1:37" s="102" customFormat="1" ht="19.899999999999999" customHeight="1" x14ac:dyDescent="0.25">
      <c r="A2706" s="45"/>
      <c r="B2706" s="59"/>
      <c r="C2706" s="137"/>
      <c r="D2706" s="59"/>
      <c r="E2706" s="116"/>
      <c r="F2706" s="120"/>
      <c r="G2706" s="120"/>
      <c r="H2706" s="120"/>
      <c r="I2706" s="60"/>
      <c r="J2706" s="116"/>
      <c r="K2706" s="213"/>
      <c r="L2706" s="120"/>
      <c r="M2706" s="120"/>
      <c r="N2706" s="167"/>
      <c r="O2706" s="120"/>
      <c r="P2706" s="120"/>
      <c r="Q2706" s="120"/>
      <c r="R2706" s="120"/>
      <c r="S2706" s="120"/>
      <c r="T2706" s="221"/>
      <c r="U2706" s="89"/>
      <c r="V2706" s="61"/>
      <c r="W2706" s="92" t="s">
        <v>65</v>
      </c>
      <c r="X2706" s="93" t="s">
        <v>30</v>
      </c>
      <c r="Y2706" s="93" t="s">
        <v>1011</v>
      </c>
      <c r="Z2706" s="134">
        <f>VLOOKUP(W2706,Sheet2!$B:$D,3,FALSE)</f>
        <v>1.76</v>
      </c>
      <c r="AA2706" s="93">
        <f>AA2705/14</f>
        <v>0.3174603174603175</v>
      </c>
      <c r="AB2706" s="93">
        <f>AD2706/AC2704</f>
        <v>5.5439999999999996</v>
      </c>
      <c r="AC2706" s="93">
        <f>AC2704/AA2706</f>
        <v>20.490749999999998</v>
      </c>
      <c r="AD2706" s="94">
        <f t="shared" si="2127"/>
        <v>36.063719999999996</v>
      </c>
      <c r="AE2706" s="190"/>
      <c r="AF2706" s="191"/>
      <c r="AG2706" s="191"/>
      <c r="AH2706" s="191"/>
      <c r="AI2706" s="186"/>
      <c r="AK2706" s="171"/>
    </row>
    <row r="2707" spans="1:37" s="102" customFormat="1" ht="19.899999999999999" customHeight="1" x14ac:dyDescent="0.25">
      <c r="A2707" s="45"/>
      <c r="B2707" s="59"/>
      <c r="C2707" s="137"/>
      <c r="D2707" s="59"/>
      <c r="E2707" s="116"/>
      <c r="F2707" s="120"/>
      <c r="G2707" s="120"/>
      <c r="H2707" s="120"/>
      <c r="I2707" s="60"/>
      <c r="J2707" s="116"/>
      <c r="K2707" s="213"/>
      <c r="L2707" s="120"/>
      <c r="M2707" s="120"/>
      <c r="N2707" s="167"/>
      <c r="O2707" s="120"/>
      <c r="P2707" s="120"/>
      <c r="Q2707" s="120"/>
      <c r="R2707" s="120"/>
      <c r="S2707" s="120"/>
      <c r="T2707" s="221"/>
      <c r="U2707" s="89"/>
      <c r="V2707" s="61"/>
      <c r="W2707" s="92" t="s">
        <v>161</v>
      </c>
      <c r="X2707" s="93" t="s">
        <v>29</v>
      </c>
      <c r="Y2707" s="93" t="s">
        <v>93</v>
      </c>
      <c r="Z2707" s="134">
        <f>VLOOKUP(W2707,Sheet2!$B:$D,3,FALSE)</f>
        <v>48</v>
      </c>
      <c r="AA2707" s="93">
        <f>(16*0.85*1.5)/(3*3*2.5)</f>
        <v>0.90666666666666662</v>
      </c>
      <c r="AB2707" s="93">
        <f>AD2707/AC2704</f>
        <v>52.941176470588232</v>
      </c>
      <c r="AC2707" s="93">
        <f>AC2704/AA2707</f>
        <v>7.1746323529411766</v>
      </c>
      <c r="AD2707" s="94">
        <f>AC2707*Z2707</f>
        <v>344.38235294117646</v>
      </c>
      <c r="AE2707" s="190"/>
      <c r="AF2707" s="191"/>
      <c r="AG2707" s="191"/>
      <c r="AH2707" s="191"/>
      <c r="AI2707" s="186"/>
      <c r="AK2707" s="171"/>
    </row>
    <row r="2708" spans="1:37" s="102" customFormat="1" ht="19.899999999999999" customHeight="1" x14ac:dyDescent="0.25">
      <c r="A2708" s="45"/>
      <c r="B2708" s="59"/>
      <c r="C2708" s="137"/>
      <c r="D2708" s="59"/>
      <c r="E2708" s="116"/>
      <c r="F2708" s="120"/>
      <c r="G2708" s="120"/>
      <c r="H2708" s="120"/>
      <c r="I2708" s="60"/>
      <c r="J2708" s="116"/>
      <c r="K2708" s="213"/>
      <c r="L2708" s="120"/>
      <c r="M2708" s="120"/>
      <c r="N2708" s="167"/>
      <c r="O2708" s="120"/>
      <c r="P2708" s="120"/>
      <c r="Q2708" s="120"/>
      <c r="R2708" s="120"/>
      <c r="S2708" s="120"/>
      <c r="T2708" s="221"/>
      <c r="U2708" s="89"/>
      <c r="V2708" s="61"/>
      <c r="W2708" s="92" t="s">
        <v>65</v>
      </c>
      <c r="X2708" s="93" t="s">
        <v>30</v>
      </c>
      <c r="Y2708" s="93" t="s">
        <v>1011</v>
      </c>
      <c r="Z2708" s="134">
        <f>VLOOKUP(W2708,Sheet2!$B:$D,3,FALSE)</f>
        <v>1.76</v>
      </c>
      <c r="AA2708" s="93">
        <f>AA2707/10</f>
        <v>9.0666666666666659E-2</v>
      </c>
      <c r="AB2708" s="93">
        <f>AD2708/AC2704</f>
        <v>19.411764705882355</v>
      </c>
      <c r="AC2708" s="93">
        <f>AC2704/AA2708</f>
        <v>71.746323529411768</v>
      </c>
      <c r="AD2708" s="94">
        <f>AC2708*Z2708</f>
        <v>126.27352941176471</v>
      </c>
      <c r="AE2708" s="190"/>
      <c r="AF2708" s="191"/>
      <c r="AG2708" s="191"/>
      <c r="AH2708" s="191"/>
      <c r="AI2708" s="186"/>
      <c r="AK2708" s="171"/>
    </row>
    <row r="2709" spans="1:37" s="103" customFormat="1" ht="19.899999999999999" customHeight="1" x14ac:dyDescent="0.25">
      <c r="A2709" s="51"/>
      <c r="B2709" s="52"/>
      <c r="C2709" s="165"/>
      <c r="D2709" s="52"/>
      <c r="E2709" s="115"/>
      <c r="F2709" s="58"/>
      <c r="G2709" s="58"/>
      <c r="H2709" s="58"/>
      <c r="I2709" s="55"/>
      <c r="J2709" s="113">
        <f>J2703</f>
        <v>6.5049999999999999</v>
      </c>
      <c r="K2709" s="212">
        <f>K2703</f>
        <v>6.5049999999999999</v>
      </c>
      <c r="L2709" s="58"/>
      <c r="M2709" s="58">
        <f>K2709-L2709</f>
        <v>6.5049999999999999</v>
      </c>
      <c r="N2709" s="166"/>
      <c r="O2709" s="58"/>
      <c r="P2709" s="58"/>
      <c r="Q2709" s="58"/>
      <c r="R2709" s="58"/>
      <c r="S2709" s="58"/>
      <c r="T2709" s="220"/>
      <c r="U2709" s="88"/>
      <c r="V2709" s="56"/>
      <c r="W2709" s="57" t="s">
        <v>1370</v>
      </c>
      <c r="X2709" s="53"/>
      <c r="Y2709" s="91" t="s">
        <v>35</v>
      </c>
      <c r="Z2709" s="136">
        <f>AD2709/AC2709</f>
        <v>22803.59</v>
      </c>
      <c r="AA2709" s="58"/>
      <c r="AB2709" s="53">
        <f>AD2709/AC2709</f>
        <v>22803.59</v>
      </c>
      <c r="AC2709" s="53">
        <f>M2709+$AE$10</f>
        <v>6.5049999999999999</v>
      </c>
      <c r="AD2709" s="54">
        <f>SUM(AD2710:AD2721)</f>
        <v>148337.35295</v>
      </c>
      <c r="AE2709" s="184">
        <f>SUMIFS($AD$37:$AD$12971,$V$37:$V$12971,$V2709,$X$37:$X$12971,AE$13)</f>
        <v>0</v>
      </c>
      <c r="AF2709" s="185">
        <f>SUMIFS($AD$37:$AD$12971,$V$37:$V$12971,$V2709,$X$37:$X$12971,AF$13)</f>
        <v>0</v>
      </c>
      <c r="AG2709" s="185">
        <f>SUMIFS($AD$37:$AD$12971,$V$37:$V$12971,$V2709,$X$37:$X$12971,AG$13)</f>
        <v>0</v>
      </c>
      <c r="AH2709" s="187">
        <f>SUMIFS($AD$37:$AD$12971,$V$37:$V$12971,$V2709,$X$37:$X$12971,AH$13)</f>
        <v>0</v>
      </c>
      <c r="AI2709" s="161">
        <f t="shared" ref="AI2709" si="2128">SUM(AE2709:AH2709)</f>
        <v>0</v>
      </c>
      <c r="AK2709" s="172"/>
    </row>
    <row r="2710" spans="1:37" s="102" customFormat="1" ht="19.899999999999999" customHeight="1" x14ac:dyDescent="0.25">
      <c r="A2710" s="45"/>
      <c r="B2710" s="59"/>
      <c r="C2710" s="137"/>
      <c r="D2710" s="59"/>
      <c r="E2710" s="116"/>
      <c r="F2710" s="120"/>
      <c r="G2710" s="120"/>
      <c r="H2710" s="120"/>
      <c r="I2710" s="60"/>
      <c r="J2710" s="116"/>
      <c r="K2710" s="213"/>
      <c r="L2710" s="120"/>
      <c r="M2710" s="120"/>
      <c r="N2710" s="167"/>
      <c r="O2710" s="120"/>
      <c r="P2710" s="120"/>
      <c r="Q2710" s="120"/>
      <c r="R2710" s="120"/>
      <c r="S2710" s="120"/>
      <c r="T2710" s="221"/>
      <c r="U2710" s="89"/>
      <c r="V2710" s="61"/>
      <c r="W2710" s="92" t="s">
        <v>1032</v>
      </c>
      <c r="X2710" s="93" t="s">
        <v>30</v>
      </c>
      <c r="Y2710" s="93" t="s">
        <v>66</v>
      </c>
      <c r="Z2710" s="134">
        <f>VLOOKUP(W2710,Sheet2!$B:$D,3,FALSE)</f>
        <v>250</v>
      </c>
      <c r="AA2710" s="93">
        <f>1/(3*3*0.1)</f>
        <v>1.1111111111111112</v>
      </c>
      <c r="AB2710" s="93">
        <f t="shared" ref="AB2710" si="2129">AD2710/AC2709</f>
        <v>225</v>
      </c>
      <c r="AC2710" s="93">
        <f>AC2709/AA2710</f>
        <v>5.8544999999999998</v>
      </c>
      <c r="AD2710" s="94">
        <f t="shared" ref="AD2710:AD2712" si="2130">AC2710*Z2710</f>
        <v>1463.625</v>
      </c>
      <c r="AE2710" s="190"/>
      <c r="AF2710" s="191"/>
      <c r="AG2710" s="191"/>
      <c r="AH2710" s="191"/>
      <c r="AI2710" s="186"/>
      <c r="AK2710" s="171"/>
    </row>
    <row r="2711" spans="1:37" s="102" customFormat="1" ht="19.899999999999999" customHeight="1" x14ac:dyDescent="0.25">
      <c r="A2711" s="45"/>
      <c r="B2711" s="59"/>
      <c r="C2711" s="137"/>
      <c r="D2711" s="59"/>
      <c r="E2711" s="116"/>
      <c r="F2711" s="120"/>
      <c r="G2711" s="120"/>
      <c r="H2711" s="120"/>
      <c r="I2711" s="60"/>
      <c r="J2711" s="116"/>
      <c r="K2711" s="213"/>
      <c r="L2711" s="120"/>
      <c r="M2711" s="120"/>
      <c r="N2711" s="167"/>
      <c r="O2711" s="120"/>
      <c r="P2711" s="120"/>
      <c r="Q2711" s="120"/>
      <c r="R2711" s="120"/>
      <c r="S2711" s="120"/>
      <c r="T2711" s="221"/>
      <c r="U2711" s="89"/>
      <c r="V2711" s="61"/>
      <c r="W2711" s="92" t="s">
        <v>1353</v>
      </c>
      <c r="X2711" s="93" t="s">
        <v>30</v>
      </c>
      <c r="Y2711" s="93" t="s">
        <v>66</v>
      </c>
      <c r="Z2711" s="134">
        <f>VLOOKUP(W2711,Sheet2!$B:$D,3,FALSE)</f>
        <v>350</v>
      </c>
      <c r="AA2711" s="93">
        <f>1/(2*2*0.25*5)</f>
        <v>0.2</v>
      </c>
      <c r="AB2711" s="93">
        <f>AD2711/AC2709</f>
        <v>1750</v>
      </c>
      <c r="AC2711" s="93">
        <f>AC2709/AA2711</f>
        <v>32.524999999999999</v>
      </c>
      <c r="AD2711" s="94">
        <f t="shared" si="2130"/>
        <v>11383.75</v>
      </c>
      <c r="AE2711" s="190"/>
      <c r="AF2711" s="191"/>
      <c r="AG2711" s="191"/>
      <c r="AH2711" s="191"/>
      <c r="AI2711" s="186"/>
      <c r="AK2711" s="171"/>
    </row>
    <row r="2712" spans="1:37" s="102" customFormat="1" ht="19.899999999999999" customHeight="1" x14ac:dyDescent="0.25">
      <c r="A2712" s="45"/>
      <c r="B2712" s="59"/>
      <c r="C2712" s="137"/>
      <c r="D2712" s="59"/>
      <c r="E2712" s="116"/>
      <c r="F2712" s="120"/>
      <c r="G2712" s="120"/>
      <c r="H2712" s="120"/>
      <c r="I2712" s="60"/>
      <c r="J2712" s="116"/>
      <c r="K2712" s="213"/>
      <c r="L2712" s="120"/>
      <c r="M2712" s="120"/>
      <c r="N2712" s="167"/>
      <c r="O2712" s="120"/>
      <c r="P2712" s="120"/>
      <c r="Q2712" s="120"/>
      <c r="R2712" s="120"/>
      <c r="S2712" s="120"/>
      <c r="T2712" s="221"/>
      <c r="U2712" s="89"/>
      <c r="V2712" s="61"/>
      <c r="W2712" s="92" t="s">
        <v>99</v>
      </c>
      <c r="X2712" s="93" t="s">
        <v>30</v>
      </c>
      <c r="Y2712" s="93" t="s">
        <v>67</v>
      </c>
      <c r="Z2712" s="134">
        <f>VLOOKUP(W2712,Sheet2!$B:$D,3,FALSE)</f>
        <v>2500</v>
      </c>
      <c r="AA2712" s="93">
        <f>1/(2*2*0.25*5*0.08)</f>
        <v>2.5</v>
      </c>
      <c r="AB2712" s="93">
        <f>AD2712/AC2709</f>
        <v>1000</v>
      </c>
      <c r="AC2712" s="93">
        <f>AC2709/AA2712</f>
        <v>2.6019999999999999</v>
      </c>
      <c r="AD2712" s="94">
        <f t="shared" si="2130"/>
        <v>6505</v>
      </c>
      <c r="AE2712" s="190"/>
      <c r="AF2712" s="191"/>
      <c r="AG2712" s="191"/>
      <c r="AH2712" s="191"/>
      <c r="AI2712" s="186"/>
      <c r="AK2712" s="171"/>
    </row>
    <row r="2713" spans="1:37" s="102" customFormat="1" ht="19.899999999999999" customHeight="1" x14ac:dyDescent="0.25">
      <c r="A2713" s="45"/>
      <c r="B2713" s="59"/>
      <c r="C2713" s="137"/>
      <c r="D2713" s="59"/>
      <c r="E2713" s="116"/>
      <c r="F2713" s="120"/>
      <c r="G2713" s="120"/>
      <c r="H2713" s="120"/>
      <c r="I2713" s="60"/>
      <c r="J2713" s="116"/>
      <c r="K2713" s="213"/>
      <c r="L2713" s="120"/>
      <c r="M2713" s="120"/>
      <c r="N2713" s="167"/>
      <c r="O2713" s="120"/>
      <c r="P2713" s="120"/>
      <c r="Q2713" s="120"/>
      <c r="R2713" s="120"/>
      <c r="S2713" s="120"/>
      <c r="T2713" s="221"/>
      <c r="U2713" s="89"/>
      <c r="V2713" s="61"/>
      <c r="W2713" s="92" t="s">
        <v>1354</v>
      </c>
      <c r="X2713" s="93" t="s">
        <v>32</v>
      </c>
      <c r="Y2713" s="93" t="s">
        <v>66</v>
      </c>
      <c r="Z2713" s="134">
        <f>VLOOKUP(W2713,Sheet2!$B:$D,3,FALSE)</f>
        <v>150</v>
      </c>
      <c r="AA2713" s="93">
        <f>AA2710</f>
        <v>1.1111111111111112</v>
      </c>
      <c r="AB2713" s="93">
        <f>AD2713/AC2709</f>
        <v>135</v>
      </c>
      <c r="AC2713" s="93">
        <f>AC2709/AA2713</f>
        <v>5.8544999999999998</v>
      </c>
      <c r="AD2713" s="94">
        <f>AC2713*Z2713</f>
        <v>878.17499999999995</v>
      </c>
      <c r="AE2713" s="190"/>
      <c r="AF2713" s="191"/>
      <c r="AG2713" s="191"/>
      <c r="AH2713" s="191"/>
      <c r="AI2713" s="186"/>
      <c r="AK2713" s="171"/>
    </row>
    <row r="2714" spans="1:37" s="102" customFormat="1" ht="19.899999999999999" customHeight="1" x14ac:dyDescent="0.25">
      <c r="A2714" s="45"/>
      <c r="B2714" s="59"/>
      <c r="C2714" s="137"/>
      <c r="D2714" s="59"/>
      <c r="E2714" s="116"/>
      <c r="F2714" s="120"/>
      <c r="G2714" s="120"/>
      <c r="H2714" s="120"/>
      <c r="I2714" s="60"/>
      <c r="J2714" s="116"/>
      <c r="K2714" s="213"/>
      <c r="L2714" s="120"/>
      <c r="M2714" s="120"/>
      <c r="N2714" s="167"/>
      <c r="O2714" s="120"/>
      <c r="P2714" s="120"/>
      <c r="Q2714" s="120"/>
      <c r="R2714" s="120"/>
      <c r="S2714" s="120"/>
      <c r="T2714" s="221"/>
      <c r="U2714" s="89"/>
      <c r="V2714" s="61"/>
      <c r="W2714" s="92" t="s">
        <v>1355</v>
      </c>
      <c r="X2714" s="93" t="s">
        <v>32</v>
      </c>
      <c r="Y2714" s="93" t="s">
        <v>66</v>
      </c>
      <c r="Z2714" s="134">
        <f>VLOOKUP(W2714,Sheet2!$B:$D,3,FALSE)</f>
        <v>450</v>
      </c>
      <c r="AA2714" s="93">
        <f>AA2711</f>
        <v>0.2</v>
      </c>
      <c r="AB2714" s="93">
        <f>AD2714/AC2709</f>
        <v>2250</v>
      </c>
      <c r="AC2714" s="93">
        <f>AC2709/AA2714</f>
        <v>32.524999999999999</v>
      </c>
      <c r="AD2714" s="94">
        <f>AC2714*Z2714</f>
        <v>14636.25</v>
      </c>
      <c r="AE2714" s="190"/>
      <c r="AF2714" s="191"/>
      <c r="AG2714" s="191"/>
      <c r="AH2714" s="191"/>
      <c r="AI2714" s="186"/>
      <c r="AK2714" s="171"/>
    </row>
    <row r="2715" spans="1:37" s="102" customFormat="1" ht="19.899999999999999" customHeight="1" x14ac:dyDescent="0.25">
      <c r="A2715" s="45"/>
      <c r="B2715" s="59"/>
      <c r="C2715" s="137"/>
      <c r="D2715" s="59"/>
      <c r="E2715" s="116"/>
      <c r="F2715" s="120"/>
      <c r="G2715" s="120"/>
      <c r="H2715" s="120"/>
      <c r="I2715" s="60"/>
      <c r="J2715" s="116"/>
      <c r="K2715" s="213"/>
      <c r="L2715" s="120"/>
      <c r="M2715" s="120"/>
      <c r="N2715" s="167"/>
      <c r="O2715" s="120"/>
      <c r="P2715" s="120"/>
      <c r="Q2715" s="120"/>
      <c r="R2715" s="120"/>
      <c r="S2715" s="120"/>
      <c r="T2715" s="221"/>
      <c r="U2715" s="89"/>
      <c r="V2715" s="61"/>
      <c r="W2715" s="92" t="s">
        <v>1356</v>
      </c>
      <c r="X2715" s="93" t="s">
        <v>30</v>
      </c>
      <c r="Y2715" s="93" t="s">
        <v>35</v>
      </c>
      <c r="Z2715" s="134">
        <f>VLOOKUP(W2715,Sheet2!$B:$D,3,FALSE)</f>
        <v>3500</v>
      </c>
      <c r="AA2715" s="93">
        <v>1</v>
      </c>
      <c r="AB2715" s="93">
        <f>AD2715/AC2709</f>
        <v>3500</v>
      </c>
      <c r="AC2715" s="93">
        <f>AC2709/AA2715</f>
        <v>6.5049999999999999</v>
      </c>
      <c r="AD2715" s="94">
        <f t="shared" ref="AD2715:AD2717" si="2131">AC2715*Z2715</f>
        <v>22767.5</v>
      </c>
      <c r="AE2715" s="190"/>
      <c r="AF2715" s="191"/>
      <c r="AG2715" s="191"/>
      <c r="AH2715" s="191"/>
      <c r="AI2715" s="186"/>
      <c r="AK2715" s="171"/>
    </row>
    <row r="2716" spans="1:37" s="102" customFormat="1" ht="19.899999999999999" customHeight="1" x14ac:dyDescent="0.25">
      <c r="A2716" s="45"/>
      <c r="B2716" s="59"/>
      <c r="C2716" s="137"/>
      <c r="D2716" s="59"/>
      <c r="E2716" s="116"/>
      <c r="F2716" s="120"/>
      <c r="G2716" s="120"/>
      <c r="H2716" s="120"/>
      <c r="I2716" s="60"/>
      <c r="J2716" s="116"/>
      <c r="K2716" s="213"/>
      <c r="L2716" s="120"/>
      <c r="M2716" s="120"/>
      <c r="N2716" s="167"/>
      <c r="O2716" s="120"/>
      <c r="P2716" s="120"/>
      <c r="Q2716" s="120"/>
      <c r="R2716" s="120"/>
      <c r="S2716" s="120"/>
      <c r="T2716" s="221"/>
      <c r="U2716" s="89"/>
      <c r="V2716" s="61"/>
      <c r="W2716" s="92" t="s">
        <v>1465</v>
      </c>
      <c r="X2716" s="93" t="s">
        <v>30</v>
      </c>
      <c r="Y2716" s="93" t="s">
        <v>35</v>
      </c>
      <c r="Z2716" s="134">
        <f>VLOOKUP(W2716,Sheet2!$B:$D,3,FALSE)</f>
        <v>13616.99</v>
      </c>
      <c r="AA2716" s="93">
        <v>1</v>
      </c>
      <c r="AB2716" s="93">
        <f>AD2716/AC2709</f>
        <v>13616.99</v>
      </c>
      <c r="AC2716" s="93">
        <f>AC2709/AA2716</f>
        <v>6.5049999999999999</v>
      </c>
      <c r="AD2716" s="94">
        <f t="shared" si="2131"/>
        <v>88578.519950000002</v>
      </c>
      <c r="AE2716" s="190"/>
      <c r="AF2716" s="191"/>
      <c r="AG2716" s="191"/>
      <c r="AH2716" s="191"/>
      <c r="AI2716" s="186"/>
      <c r="AK2716" s="171"/>
    </row>
    <row r="2717" spans="1:37" s="102" customFormat="1" ht="19.899999999999999" customHeight="1" x14ac:dyDescent="0.25">
      <c r="A2717" s="45"/>
      <c r="B2717" s="59"/>
      <c r="C2717" s="137"/>
      <c r="D2717" s="59"/>
      <c r="E2717" s="116"/>
      <c r="F2717" s="120"/>
      <c r="G2717" s="120"/>
      <c r="H2717" s="120"/>
      <c r="I2717" s="60"/>
      <c r="J2717" s="116"/>
      <c r="K2717" s="213"/>
      <c r="L2717" s="120"/>
      <c r="M2717" s="120"/>
      <c r="N2717" s="167"/>
      <c r="O2717" s="120"/>
      <c r="P2717" s="120"/>
      <c r="Q2717" s="120"/>
      <c r="R2717" s="120"/>
      <c r="S2717" s="120"/>
      <c r="T2717" s="221"/>
      <c r="U2717" s="89"/>
      <c r="V2717" s="61"/>
      <c r="W2717" s="92" t="s">
        <v>174</v>
      </c>
      <c r="X2717" s="93" t="s">
        <v>29</v>
      </c>
      <c r="Y2717" s="93" t="s">
        <v>93</v>
      </c>
      <c r="Z2717" s="134">
        <f>VLOOKUP(W2717,Sheet2!$B:$D,3,FALSE)</f>
        <v>80</v>
      </c>
      <c r="AA2717" s="93">
        <v>4</v>
      </c>
      <c r="AB2717" s="93">
        <f>AD2717/AC2709</f>
        <v>20</v>
      </c>
      <c r="AC2717" s="93">
        <f>AC2709/AA2717</f>
        <v>1.62625</v>
      </c>
      <c r="AD2717" s="94">
        <f t="shared" si="2131"/>
        <v>130.1</v>
      </c>
      <c r="AE2717" s="190"/>
      <c r="AF2717" s="191"/>
      <c r="AG2717" s="191"/>
      <c r="AH2717" s="191"/>
      <c r="AI2717" s="186"/>
      <c r="AK2717" s="171"/>
    </row>
    <row r="2718" spans="1:37" s="102" customFormat="1" ht="19.899999999999999" customHeight="1" x14ac:dyDescent="0.25">
      <c r="A2718" s="45"/>
      <c r="B2718" s="59"/>
      <c r="C2718" s="137"/>
      <c r="D2718" s="59"/>
      <c r="E2718" s="116"/>
      <c r="F2718" s="120"/>
      <c r="G2718" s="120"/>
      <c r="H2718" s="120"/>
      <c r="I2718" s="60"/>
      <c r="J2718" s="116"/>
      <c r="K2718" s="213"/>
      <c r="L2718" s="120"/>
      <c r="M2718" s="120"/>
      <c r="N2718" s="167"/>
      <c r="O2718" s="120"/>
      <c r="P2718" s="120"/>
      <c r="Q2718" s="120"/>
      <c r="R2718" s="120"/>
      <c r="S2718" s="120"/>
      <c r="T2718" s="221"/>
      <c r="U2718" s="89"/>
      <c r="V2718" s="61"/>
      <c r="W2718" s="92" t="s">
        <v>65</v>
      </c>
      <c r="X2718" s="93" t="s">
        <v>30</v>
      </c>
      <c r="Y2718" s="93" t="s">
        <v>93</v>
      </c>
      <c r="Z2718" s="134">
        <f>VLOOKUP(W2718,Sheet2!$B:$D,3,FALSE)</f>
        <v>1.76</v>
      </c>
      <c r="AA2718" s="93">
        <f>AA2717/15</f>
        <v>0.26666666666666666</v>
      </c>
      <c r="AB2718" s="93">
        <f>AD2718/AC2709</f>
        <v>6.6</v>
      </c>
      <c r="AC2718" s="93">
        <f>AC2709/AA2718</f>
        <v>24.393750000000001</v>
      </c>
      <c r="AD2718" s="94">
        <f>AC2718*Z2718</f>
        <v>42.933</v>
      </c>
      <c r="AE2718" s="190"/>
      <c r="AF2718" s="191"/>
      <c r="AG2718" s="191"/>
      <c r="AH2718" s="191"/>
      <c r="AI2718" s="186"/>
      <c r="AK2718" s="171"/>
    </row>
    <row r="2719" spans="1:37" s="102" customFormat="1" ht="19.899999999999999" customHeight="1" x14ac:dyDescent="0.25">
      <c r="A2719" s="45"/>
      <c r="B2719" s="59"/>
      <c r="C2719" s="137"/>
      <c r="D2719" s="59"/>
      <c r="E2719" s="116"/>
      <c r="F2719" s="120"/>
      <c r="G2719" s="120"/>
      <c r="H2719" s="120"/>
      <c r="I2719" s="60"/>
      <c r="J2719" s="116"/>
      <c r="K2719" s="213"/>
      <c r="L2719" s="120"/>
      <c r="M2719" s="120"/>
      <c r="N2719" s="167"/>
      <c r="O2719" s="120"/>
      <c r="P2719" s="120"/>
      <c r="Q2719" s="120"/>
      <c r="R2719" s="120"/>
      <c r="S2719" s="120"/>
      <c r="T2719" s="221"/>
      <c r="U2719" s="89"/>
      <c r="V2719" s="61"/>
      <c r="W2719" s="92" t="s">
        <v>1357</v>
      </c>
      <c r="X2719" s="93" t="s">
        <v>30</v>
      </c>
      <c r="Y2719" s="93" t="s">
        <v>1349</v>
      </c>
      <c r="Z2719" s="134">
        <f>VLOOKUP(W2719,Sheet2!$B:$D,3,FALSE)</f>
        <v>150</v>
      </c>
      <c r="AA2719" s="93">
        <v>1</v>
      </c>
      <c r="AB2719" s="93">
        <f>AD2719/AC2709</f>
        <v>150</v>
      </c>
      <c r="AC2719" s="93">
        <f>AC2709/AA2719</f>
        <v>6.5049999999999999</v>
      </c>
      <c r="AD2719" s="94">
        <f>AC2719*Z2719</f>
        <v>975.75</v>
      </c>
      <c r="AE2719" s="190"/>
      <c r="AF2719" s="191"/>
      <c r="AG2719" s="191"/>
      <c r="AH2719" s="191"/>
      <c r="AI2719" s="186"/>
      <c r="AK2719" s="171"/>
    </row>
    <row r="2720" spans="1:37" s="102" customFormat="1" ht="19.899999999999999" customHeight="1" x14ac:dyDescent="0.25">
      <c r="A2720" s="45"/>
      <c r="B2720" s="59"/>
      <c r="C2720" s="137"/>
      <c r="D2720" s="59"/>
      <c r="E2720" s="116"/>
      <c r="F2720" s="120"/>
      <c r="G2720" s="120"/>
      <c r="H2720" s="120"/>
      <c r="I2720" s="60"/>
      <c r="J2720" s="116"/>
      <c r="K2720" s="213"/>
      <c r="L2720" s="120"/>
      <c r="M2720" s="120"/>
      <c r="N2720" s="167"/>
      <c r="O2720" s="120"/>
      <c r="P2720" s="120"/>
      <c r="Q2720" s="120"/>
      <c r="R2720" s="120"/>
      <c r="S2720" s="120"/>
      <c r="T2720" s="221"/>
      <c r="U2720" s="89"/>
      <c r="V2720" s="61"/>
      <c r="W2720" s="92" t="s">
        <v>107</v>
      </c>
      <c r="X2720" s="93" t="s">
        <v>31</v>
      </c>
      <c r="Y2720" s="93" t="s">
        <v>93</v>
      </c>
      <c r="Z2720" s="134">
        <f>VLOOKUP(W2720,Sheet2!$B:$D,3,FALSE)</f>
        <v>17</v>
      </c>
      <c r="AA2720" s="93">
        <f>1/5</f>
        <v>0.2</v>
      </c>
      <c r="AB2720" s="93">
        <f>AD2720/AC2709</f>
        <v>85</v>
      </c>
      <c r="AC2720" s="93">
        <f>AC2709/AA2720</f>
        <v>32.524999999999999</v>
      </c>
      <c r="AD2720" s="94">
        <f>AC2720*Z2720</f>
        <v>552.92499999999995</v>
      </c>
      <c r="AE2720" s="190"/>
      <c r="AF2720" s="191"/>
      <c r="AG2720" s="191"/>
      <c r="AH2720" s="191"/>
      <c r="AI2720" s="186"/>
      <c r="AK2720" s="171"/>
    </row>
    <row r="2721" spans="1:41" s="102" customFormat="1" ht="19.899999999999999" customHeight="1" x14ac:dyDescent="0.25">
      <c r="A2721" s="45"/>
      <c r="B2721" s="59"/>
      <c r="C2721" s="137"/>
      <c r="D2721" s="59"/>
      <c r="E2721" s="116"/>
      <c r="F2721" s="120"/>
      <c r="G2721" s="120"/>
      <c r="H2721" s="120"/>
      <c r="I2721" s="60"/>
      <c r="J2721" s="116"/>
      <c r="K2721" s="213"/>
      <c r="L2721" s="120"/>
      <c r="M2721" s="120"/>
      <c r="N2721" s="167"/>
      <c r="O2721" s="120"/>
      <c r="P2721" s="120"/>
      <c r="Q2721" s="120"/>
      <c r="R2721" s="120"/>
      <c r="S2721" s="120"/>
      <c r="T2721" s="221"/>
      <c r="U2721" s="89"/>
      <c r="V2721" s="61"/>
      <c r="W2721" s="92" t="s">
        <v>112</v>
      </c>
      <c r="X2721" s="93" t="s">
        <v>31</v>
      </c>
      <c r="Y2721" s="93" t="s">
        <v>93</v>
      </c>
      <c r="Z2721" s="134">
        <f>VLOOKUP(W2721,Sheet2!$B:$D,3,FALSE)</f>
        <v>13</v>
      </c>
      <c r="AA2721" s="93">
        <f>AA2720</f>
        <v>0.2</v>
      </c>
      <c r="AB2721" s="93">
        <f>AD2721/AC2709</f>
        <v>65</v>
      </c>
      <c r="AC2721" s="93">
        <f>AC2709/AA2721</f>
        <v>32.524999999999999</v>
      </c>
      <c r="AD2721" s="94">
        <f>AC2721*Z2721</f>
        <v>422.82499999999999</v>
      </c>
      <c r="AE2721" s="190"/>
      <c r="AF2721" s="191"/>
      <c r="AG2721" s="191"/>
      <c r="AH2721" s="191"/>
      <c r="AI2721" s="186"/>
      <c r="AK2721" s="171"/>
    </row>
    <row r="2722" spans="1:41" s="103" customFormat="1" ht="19.899999999999999" customHeight="1" x14ac:dyDescent="0.25">
      <c r="A2722" s="51"/>
      <c r="B2722" s="52"/>
      <c r="C2722" s="165"/>
      <c r="D2722" s="52"/>
      <c r="E2722" s="115"/>
      <c r="F2722" s="58"/>
      <c r="G2722" s="58"/>
      <c r="H2722" s="58"/>
      <c r="I2722" s="55"/>
      <c r="J2722" s="113">
        <f>J2703</f>
        <v>6.5049999999999999</v>
      </c>
      <c r="K2722" s="212">
        <f>K2703</f>
        <v>6.5049999999999999</v>
      </c>
      <c r="L2722" s="58"/>
      <c r="M2722" s="58">
        <f>K2722-L2722</f>
        <v>6.5049999999999999</v>
      </c>
      <c r="N2722" s="166"/>
      <c r="O2722" s="58"/>
      <c r="P2722" s="58"/>
      <c r="Q2722" s="58"/>
      <c r="R2722" s="58"/>
      <c r="S2722" s="58"/>
      <c r="T2722" s="220"/>
      <c r="U2722" s="88"/>
      <c r="V2722" s="56"/>
      <c r="W2722" s="57" t="s">
        <v>1358</v>
      </c>
      <c r="X2722" s="53"/>
      <c r="Y2722" s="91" t="s">
        <v>35</v>
      </c>
      <c r="Z2722" s="136">
        <f>AD2722/AC2722</f>
        <v>2800</v>
      </c>
      <c r="AA2722" s="58"/>
      <c r="AB2722" s="53">
        <f>AD2722/AC2722</f>
        <v>2800</v>
      </c>
      <c r="AC2722" s="53">
        <f>M2722+$AE$10</f>
        <v>6.5049999999999999</v>
      </c>
      <c r="AD2722" s="54">
        <f>SUM(AD2723:AD2724)</f>
        <v>18214</v>
      </c>
      <c r="AE2722" s="184">
        <f>SUMIFS($AD$37:$AD$12971,$V$37:$V$12971,$V2722,$X$37:$X$12971,AE$13)</f>
        <v>0</v>
      </c>
      <c r="AF2722" s="185">
        <f>SUMIFS($AD$37:$AD$12971,$V$37:$V$12971,$V2722,$X$37:$X$12971,AF$13)</f>
        <v>0</v>
      </c>
      <c r="AG2722" s="185">
        <f>SUMIFS($AD$37:$AD$12971,$V$37:$V$12971,$V2722,$X$37:$X$12971,AG$13)</f>
        <v>0</v>
      </c>
      <c r="AH2722" s="187">
        <f>SUMIFS($AD$37:$AD$12971,$V$37:$V$12971,$V2722,$X$37:$X$12971,AH$13)</f>
        <v>0</v>
      </c>
      <c r="AI2722" s="161">
        <f t="shared" ref="AI2722" si="2132">SUM(AE2722:AH2722)</f>
        <v>0</v>
      </c>
      <c r="AK2722" s="172"/>
    </row>
    <row r="2723" spans="1:41" s="102" customFormat="1" ht="19.899999999999999" customHeight="1" x14ac:dyDescent="0.25">
      <c r="A2723" s="45"/>
      <c r="B2723" s="59"/>
      <c r="C2723" s="137"/>
      <c r="D2723" s="59"/>
      <c r="E2723" s="116"/>
      <c r="F2723" s="120"/>
      <c r="G2723" s="120"/>
      <c r="H2723" s="120"/>
      <c r="I2723" s="60"/>
      <c r="J2723" s="116"/>
      <c r="K2723" s="213"/>
      <c r="L2723" s="120"/>
      <c r="M2723" s="120"/>
      <c r="N2723" s="167"/>
      <c r="O2723" s="120"/>
      <c r="P2723" s="120"/>
      <c r="Q2723" s="120"/>
      <c r="R2723" s="120"/>
      <c r="S2723" s="120"/>
      <c r="T2723" s="221"/>
      <c r="U2723" s="89"/>
      <c r="V2723" s="61"/>
      <c r="W2723" s="92" t="s">
        <v>1359</v>
      </c>
      <c r="X2723" s="93" t="s">
        <v>32</v>
      </c>
      <c r="Y2723" s="93" t="s">
        <v>64</v>
      </c>
      <c r="Z2723" s="134">
        <f>VLOOKUP(W2723,Sheet2!$B:$D,3,FALSE)</f>
        <v>40</v>
      </c>
      <c r="AA2723" s="93">
        <f>1/40</f>
        <v>2.5000000000000001E-2</v>
      </c>
      <c r="AB2723" s="93">
        <f t="shared" ref="AB2723" si="2133">AD2723/AC2722</f>
        <v>1600</v>
      </c>
      <c r="AC2723" s="93">
        <f>AC2722/AA2723</f>
        <v>260.2</v>
      </c>
      <c r="AD2723" s="94">
        <f t="shared" ref="AD2723:AD2724" si="2134">AC2723*Z2723</f>
        <v>10408</v>
      </c>
      <c r="AE2723" s="190"/>
      <c r="AF2723" s="191"/>
      <c r="AG2723" s="191"/>
      <c r="AH2723" s="191"/>
      <c r="AI2723" s="186"/>
      <c r="AK2723" s="171"/>
    </row>
    <row r="2724" spans="1:41" s="102" customFormat="1" ht="19.899999999999999" customHeight="1" x14ac:dyDescent="0.25">
      <c r="A2724" s="45"/>
      <c r="B2724" s="59"/>
      <c r="C2724" s="137"/>
      <c r="D2724" s="59"/>
      <c r="E2724" s="116"/>
      <c r="F2724" s="120"/>
      <c r="G2724" s="120"/>
      <c r="H2724" s="120"/>
      <c r="I2724" s="60"/>
      <c r="J2724" s="116"/>
      <c r="K2724" s="213"/>
      <c r="L2724" s="120"/>
      <c r="M2724" s="120"/>
      <c r="N2724" s="167"/>
      <c r="O2724" s="120"/>
      <c r="P2724" s="120"/>
      <c r="Q2724" s="120"/>
      <c r="R2724" s="120"/>
      <c r="S2724" s="120"/>
      <c r="T2724" s="221"/>
      <c r="U2724" s="89"/>
      <c r="V2724" s="61"/>
      <c r="W2724" s="92" t="s">
        <v>1360</v>
      </c>
      <c r="X2724" s="93" t="s">
        <v>32</v>
      </c>
      <c r="Y2724" s="93" t="s">
        <v>64</v>
      </c>
      <c r="Z2724" s="134">
        <f>VLOOKUP(W2724,Sheet2!$B:$D,3,FALSE)</f>
        <v>30</v>
      </c>
      <c r="AA2724" s="93">
        <f>AA2723</f>
        <v>2.5000000000000001E-2</v>
      </c>
      <c r="AB2724" s="93">
        <f>AD2724/AC2722</f>
        <v>1200</v>
      </c>
      <c r="AC2724" s="93">
        <f>AC2722/AA2724</f>
        <v>260.2</v>
      </c>
      <c r="AD2724" s="94">
        <f t="shared" si="2134"/>
        <v>7806</v>
      </c>
      <c r="AE2724" s="190"/>
      <c r="AF2724" s="191"/>
      <c r="AG2724" s="191"/>
      <c r="AH2724" s="191"/>
      <c r="AI2724" s="186"/>
      <c r="AK2724" s="171"/>
    </row>
    <row r="2725" spans="1:41" s="103" customFormat="1" ht="19.899999999999999" customHeight="1" x14ac:dyDescent="0.25">
      <c r="A2725" s="51"/>
      <c r="B2725" s="52"/>
      <c r="C2725" s="165"/>
      <c r="D2725" s="52"/>
      <c r="E2725" s="115"/>
      <c r="F2725" s="58"/>
      <c r="G2725" s="58"/>
      <c r="H2725" s="58"/>
      <c r="I2725" s="55"/>
      <c r="J2725" s="113">
        <f>J2703</f>
        <v>6.5049999999999999</v>
      </c>
      <c r="K2725" s="212">
        <f>K2703</f>
        <v>6.5049999999999999</v>
      </c>
      <c r="L2725" s="58"/>
      <c r="M2725" s="58">
        <f>K2725-L2725</f>
        <v>6.5049999999999999</v>
      </c>
      <c r="N2725" s="166"/>
      <c r="O2725" s="58"/>
      <c r="P2725" s="58"/>
      <c r="Q2725" s="58"/>
      <c r="R2725" s="58"/>
      <c r="S2725" s="58"/>
      <c r="T2725" s="220"/>
      <c r="U2725" s="88"/>
      <c r="V2725" s="56"/>
      <c r="W2725" s="57" t="s">
        <v>1272</v>
      </c>
      <c r="X2725" s="53"/>
      <c r="Y2725" s="91" t="s">
        <v>35</v>
      </c>
      <c r="Z2725" s="136">
        <f>AD2725/AC2725</f>
        <v>209.08263529411758</v>
      </c>
      <c r="AA2725" s="58"/>
      <c r="AB2725" s="53">
        <f>AD2725/AC2725</f>
        <v>209.08263529411758</v>
      </c>
      <c r="AC2725" s="53">
        <f>M2725+$AE$10</f>
        <v>6.5049999999999999</v>
      </c>
      <c r="AD2725" s="54">
        <f>SUM(AD2726:AD2734)</f>
        <v>1360.0825425882349</v>
      </c>
      <c r="AE2725" s="184">
        <f>SUMIFS($AD$37:$AD$12971,$V$37:$V$12971,$V2725,$X$37:$X$12971,AE$13)</f>
        <v>0</v>
      </c>
      <c r="AF2725" s="185">
        <f>SUMIFS($AD$37:$AD$12971,$V$37:$V$12971,$V2725,$X$37:$X$12971,AF$13)</f>
        <v>0</v>
      </c>
      <c r="AG2725" s="185">
        <f>SUMIFS($AD$37:$AD$12971,$V$37:$V$12971,$V2725,$X$37:$X$12971,AG$13)</f>
        <v>0</v>
      </c>
      <c r="AH2725" s="187">
        <f>SUMIFS($AD$37:$AD$12971,$V$37:$V$12971,$V2725,$X$37:$X$12971,AH$13)</f>
        <v>0</v>
      </c>
      <c r="AI2725" s="161">
        <f t="shared" ref="AI2725" si="2135">SUM(AE2725:AH2725)</f>
        <v>0</v>
      </c>
      <c r="AK2725" s="172"/>
    </row>
    <row r="2726" spans="1:41" s="102" customFormat="1" ht="19.899999999999999" customHeight="1" x14ac:dyDescent="0.25">
      <c r="A2726" s="45"/>
      <c r="B2726" s="59"/>
      <c r="C2726" s="137"/>
      <c r="D2726" s="59"/>
      <c r="E2726" s="116"/>
      <c r="F2726" s="120"/>
      <c r="G2726" s="120"/>
      <c r="H2726" s="120"/>
      <c r="I2726" s="60"/>
      <c r="J2726" s="116"/>
      <c r="K2726" s="213"/>
      <c r="L2726" s="120"/>
      <c r="M2726" s="120"/>
      <c r="N2726" s="167"/>
      <c r="O2726" s="120"/>
      <c r="P2726" s="120"/>
      <c r="Q2726" s="120"/>
      <c r="R2726" s="120"/>
      <c r="S2726" s="120"/>
      <c r="T2726" s="221"/>
      <c r="U2726" s="89"/>
      <c r="V2726" s="61"/>
      <c r="W2726" s="92" t="s">
        <v>1273</v>
      </c>
      <c r="X2726" s="93" t="s">
        <v>30</v>
      </c>
      <c r="Y2726" s="93" t="s">
        <v>66</v>
      </c>
      <c r="Z2726" s="134">
        <f>VLOOKUP(W2726,Sheet2!$B:$D,3,FALSE)</f>
        <v>10</v>
      </c>
      <c r="AA2726" s="93">
        <f>1/(2.5*2.4*0.5*4)</f>
        <v>8.3333333333333329E-2</v>
      </c>
      <c r="AB2726" s="93">
        <f>AD2726/AC2725</f>
        <v>120</v>
      </c>
      <c r="AC2726" s="93">
        <f>AC2725/AA2726</f>
        <v>78.06</v>
      </c>
      <c r="AD2726" s="94">
        <f t="shared" ref="AD2726:AD2728" si="2136">AC2726*Z2726</f>
        <v>780.6</v>
      </c>
      <c r="AE2726" s="190"/>
      <c r="AF2726" s="191"/>
      <c r="AG2726" s="191"/>
      <c r="AH2726" s="191"/>
      <c r="AI2726" s="186"/>
      <c r="AK2726" s="171"/>
    </row>
    <row r="2727" spans="1:41" s="102" customFormat="1" ht="19.899999999999999" customHeight="1" x14ac:dyDescent="0.25">
      <c r="A2727" s="45"/>
      <c r="B2727" s="59"/>
      <c r="C2727" s="137"/>
      <c r="D2727" s="59"/>
      <c r="E2727" s="116"/>
      <c r="F2727" s="120"/>
      <c r="G2727" s="120"/>
      <c r="H2727" s="120"/>
      <c r="I2727" s="60"/>
      <c r="J2727" s="116"/>
      <c r="K2727" s="213"/>
      <c r="L2727" s="120"/>
      <c r="M2727" s="120"/>
      <c r="N2727" s="167"/>
      <c r="O2727" s="120"/>
      <c r="P2727" s="120"/>
      <c r="Q2727" s="120"/>
      <c r="R2727" s="120"/>
      <c r="S2727" s="120"/>
      <c r="T2727" s="221"/>
      <c r="U2727" s="89"/>
      <c r="V2727" s="61"/>
      <c r="W2727" s="92" t="s">
        <v>134</v>
      </c>
      <c r="X2727" s="93" t="s">
        <v>29</v>
      </c>
      <c r="Y2727" s="93" t="s">
        <v>93</v>
      </c>
      <c r="Z2727" s="134">
        <f>VLOOKUP(W2727,Sheet2!$B:$D,3,FALSE)</f>
        <v>65.599999999999994</v>
      </c>
      <c r="AA2727" s="93">
        <f>100/(2.5*2.4*0.5*4)</f>
        <v>8.3333333333333339</v>
      </c>
      <c r="AB2727" s="93">
        <f t="shared" ref="AB2727" si="2137">AD2727/AC2725</f>
        <v>7.871999999999999</v>
      </c>
      <c r="AC2727" s="93">
        <f>AC2725/AA2727</f>
        <v>0.78059999999999996</v>
      </c>
      <c r="AD2727" s="94">
        <f t="shared" si="2136"/>
        <v>51.207359999999994</v>
      </c>
      <c r="AE2727" s="190"/>
      <c r="AF2727" s="191"/>
      <c r="AG2727" s="191"/>
      <c r="AH2727" s="191"/>
      <c r="AI2727" s="186"/>
      <c r="AK2727" s="171"/>
    </row>
    <row r="2728" spans="1:41" s="102" customFormat="1" ht="19.899999999999999" customHeight="1" x14ac:dyDescent="0.25">
      <c r="A2728" s="45"/>
      <c r="B2728" s="59"/>
      <c r="C2728" s="137"/>
      <c r="D2728" s="59"/>
      <c r="E2728" s="116"/>
      <c r="F2728" s="120"/>
      <c r="G2728" s="120"/>
      <c r="H2728" s="120"/>
      <c r="I2728" s="60"/>
      <c r="J2728" s="116"/>
      <c r="K2728" s="213"/>
      <c r="L2728" s="120"/>
      <c r="M2728" s="120"/>
      <c r="N2728" s="167"/>
      <c r="O2728" s="120"/>
      <c r="P2728" s="120"/>
      <c r="Q2728" s="120"/>
      <c r="R2728" s="120"/>
      <c r="S2728" s="120"/>
      <c r="T2728" s="221"/>
      <c r="U2728" s="89"/>
      <c r="V2728" s="61"/>
      <c r="W2728" s="92" t="s">
        <v>65</v>
      </c>
      <c r="X2728" s="93" t="s">
        <v>30</v>
      </c>
      <c r="Y2728" s="93" t="s">
        <v>1011</v>
      </c>
      <c r="Z2728" s="134">
        <f>VLOOKUP(W2728,Sheet2!$B:$D,3,FALSE)</f>
        <v>1.76</v>
      </c>
      <c r="AA2728" s="93">
        <f>AA2727/9</f>
        <v>0.92592592592592604</v>
      </c>
      <c r="AB2728" s="93">
        <f>AD2728/AC2725</f>
        <v>1.9008</v>
      </c>
      <c r="AC2728" s="93">
        <f>AC2725/AA2728</f>
        <v>7.0253999999999994</v>
      </c>
      <c r="AD2728" s="94">
        <f t="shared" si="2136"/>
        <v>12.364704</v>
      </c>
      <c r="AE2728" s="190"/>
      <c r="AF2728" s="191"/>
      <c r="AG2728" s="191"/>
      <c r="AH2728" s="191"/>
      <c r="AI2728" s="186"/>
      <c r="AK2728" s="171"/>
    </row>
    <row r="2729" spans="1:41" s="102" customFormat="1" ht="19.899999999999999" customHeight="1" x14ac:dyDescent="0.25">
      <c r="A2729" s="45"/>
      <c r="B2729" s="59"/>
      <c r="C2729" s="137"/>
      <c r="D2729" s="59"/>
      <c r="E2729" s="116"/>
      <c r="F2729" s="120"/>
      <c r="G2729" s="120"/>
      <c r="H2729" s="120"/>
      <c r="I2729" s="60"/>
      <c r="J2729" s="116"/>
      <c r="K2729" s="213"/>
      <c r="L2729" s="120"/>
      <c r="M2729" s="120"/>
      <c r="N2729" s="167"/>
      <c r="O2729" s="120"/>
      <c r="P2729" s="120"/>
      <c r="Q2729" s="120"/>
      <c r="R2729" s="120"/>
      <c r="S2729" s="120"/>
      <c r="T2729" s="221"/>
      <c r="U2729" s="89"/>
      <c r="V2729" s="61"/>
      <c r="W2729" s="92" t="s">
        <v>161</v>
      </c>
      <c r="X2729" s="93" t="s">
        <v>29</v>
      </c>
      <c r="Y2729" s="93" t="s">
        <v>93</v>
      </c>
      <c r="Z2729" s="134">
        <f>VLOOKUP(W2729,Sheet2!$B:$D,3,FALSE)</f>
        <v>48</v>
      </c>
      <c r="AA2729" s="93">
        <f>(16*0.85*1.5)/(2.5*2.4*0.5*4)</f>
        <v>1.7</v>
      </c>
      <c r="AB2729" s="93">
        <f>AD2729/AC2725</f>
        <v>28.235294117647062</v>
      </c>
      <c r="AC2729" s="93">
        <f>AC2725/AA2729</f>
        <v>3.8264705882352943</v>
      </c>
      <c r="AD2729" s="94">
        <f>AC2729*Z2729</f>
        <v>183.67058823529413</v>
      </c>
      <c r="AE2729" s="190"/>
      <c r="AF2729" s="191"/>
      <c r="AG2729" s="191"/>
      <c r="AH2729" s="191"/>
      <c r="AI2729" s="186"/>
      <c r="AK2729" s="171"/>
    </row>
    <row r="2730" spans="1:41" s="102" customFormat="1" ht="19.899999999999999" customHeight="1" x14ac:dyDescent="0.25">
      <c r="A2730" s="45"/>
      <c r="B2730" s="59"/>
      <c r="C2730" s="137"/>
      <c r="D2730" s="59"/>
      <c r="E2730" s="116"/>
      <c r="F2730" s="120"/>
      <c r="G2730" s="120"/>
      <c r="H2730" s="120"/>
      <c r="I2730" s="60"/>
      <c r="J2730" s="116"/>
      <c r="K2730" s="213"/>
      <c r="L2730" s="120"/>
      <c r="M2730" s="120"/>
      <c r="N2730" s="167"/>
      <c r="O2730" s="120"/>
      <c r="P2730" s="120"/>
      <c r="Q2730" s="120"/>
      <c r="R2730" s="120"/>
      <c r="S2730" s="120"/>
      <c r="T2730" s="221"/>
      <c r="U2730" s="89"/>
      <c r="V2730" s="61"/>
      <c r="W2730" s="92" t="s">
        <v>65</v>
      </c>
      <c r="X2730" s="93" t="s">
        <v>30</v>
      </c>
      <c r="Y2730" s="93" t="s">
        <v>1011</v>
      </c>
      <c r="Z2730" s="134">
        <f>VLOOKUP(W2730,Sheet2!$B:$D,3,FALSE)</f>
        <v>1.76</v>
      </c>
      <c r="AA2730" s="93">
        <f>AA2729/10</f>
        <v>0.16999999999999998</v>
      </c>
      <c r="AB2730" s="93">
        <f>AD2730/AC2725</f>
        <v>10.352941176470589</v>
      </c>
      <c r="AC2730" s="93">
        <f>AC2725/AA2730</f>
        <v>38.264705882352942</v>
      </c>
      <c r="AD2730" s="94">
        <f>AC2730*Z2730</f>
        <v>67.345882352941175</v>
      </c>
      <c r="AE2730" s="190"/>
      <c r="AF2730" s="191"/>
      <c r="AG2730" s="191"/>
      <c r="AH2730" s="191"/>
      <c r="AI2730" s="186"/>
      <c r="AK2730" s="171"/>
    </row>
    <row r="2731" spans="1:41" s="102" customFormat="1" ht="19.899999999999999" customHeight="1" x14ac:dyDescent="0.25">
      <c r="A2731" s="45"/>
      <c r="B2731" s="59"/>
      <c r="C2731" s="137"/>
      <c r="D2731" s="59"/>
      <c r="E2731" s="116"/>
      <c r="F2731" s="120"/>
      <c r="G2731" s="120"/>
      <c r="H2731" s="120"/>
      <c r="I2731" s="60"/>
      <c r="J2731" s="116"/>
      <c r="K2731" s="213"/>
      <c r="L2731" s="120"/>
      <c r="M2731" s="120"/>
      <c r="N2731" s="167"/>
      <c r="O2731" s="120"/>
      <c r="P2731" s="120"/>
      <c r="Q2731" s="120"/>
      <c r="R2731" s="120"/>
      <c r="S2731" s="120"/>
      <c r="T2731" s="221"/>
      <c r="U2731" s="89"/>
      <c r="V2731" s="61"/>
      <c r="W2731" s="92" t="s">
        <v>173</v>
      </c>
      <c r="X2731" s="93" t="s">
        <v>29</v>
      </c>
      <c r="Y2731" s="93" t="s">
        <v>93</v>
      </c>
      <c r="Z2731" s="134">
        <f>VLOOKUP(W2731,Sheet2!$B:$D,3,FALSE)</f>
        <v>36</v>
      </c>
      <c r="AA2731" s="93">
        <f>50/(2.5*2.4*0.5*4)</f>
        <v>4.166666666666667</v>
      </c>
      <c r="AB2731" s="93">
        <f>AD2731/AC2725</f>
        <v>8.6399999999999988</v>
      </c>
      <c r="AC2731" s="93">
        <f>AC2725/AA2731</f>
        <v>1.5611999999999999</v>
      </c>
      <c r="AD2731" s="94">
        <f>AC2731*Z2731</f>
        <v>56.203199999999995</v>
      </c>
      <c r="AE2731" s="190"/>
      <c r="AF2731" s="191"/>
      <c r="AG2731" s="191"/>
      <c r="AH2731" s="191"/>
      <c r="AI2731" s="186"/>
      <c r="AK2731" s="171"/>
    </row>
    <row r="2732" spans="1:41" s="102" customFormat="1" ht="19.899999999999999" customHeight="1" x14ac:dyDescent="0.25">
      <c r="A2732" s="45"/>
      <c r="B2732" s="59"/>
      <c r="C2732" s="137"/>
      <c r="D2732" s="59"/>
      <c r="E2732" s="116"/>
      <c r="F2732" s="120"/>
      <c r="G2732" s="120"/>
      <c r="H2732" s="120"/>
      <c r="I2732" s="60"/>
      <c r="J2732" s="116"/>
      <c r="K2732" s="213"/>
      <c r="L2732" s="120"/>
      <c r="M2732" s="120"/>
      <c r="N2732" s="167"/>
      <c r="O2732" s="120"/>
      <c r="P2732" s="120"/>
      <c r="Q2732" s="120"/>
      <c r="R2732" s="120"/>
      <c r="S2732" s="120"/>
      <c r="T2732" s="221"/>
      <c r="U2732" s="89"/>
      <c r="V2732" s="61"/>
      <c r="W2732" s="92" t="s">
        <v>65</v>
      </c>
      <c r="X2732" s="93" t="s">
        <v>30</v>
      </c>
      <c r="Y2732" s="93" t="s">
        <v>1011</v>
      </c>
      <c r="Z2732" s="134">
        <f>VLOOKUP(W2732,Sheet2!$B:$D,3,FALSE)</f>
        <v>1.76</v>
      </c>
      <c r="AA2732" s="93">
        <f>AA2731/9</f>
        <v>0.46296296296296302</v>
      </c>
      <c r="AB2732" s="93">
        <f>AD2732/AC2725</f>
        <v>3.8016000000000001</v>
      </c>
      <c r="AC2732" s="93">
        <f>AC2725/AA2732</f>
        <v>14.050799999999999</v>
      </c>
      <c r="AD2732" s="94">
        <f>AC2732*Z2732</f>
        <v>24.729407999999999</v>
      </c>
      <c r="AE2732" s="190"/>
      <c r="AF2732" s="191"/>
      <c r="AG2732" s="191"/>
      <c r="AH2732" s="191"/>
      <c r="AI2732" s="186"/>
      <c r="AK2732" s="171"/>
    </row>
    <row r="2733" spans="1:41" s="102" customFormat="1" ht="19.899999999999999" customHeight="1" x14ac:dyDescent="0.25">
      <c r="A2733" s="45"/>
      <c r="B2733" s="59"/>
      <c r="C2733" s="137"/>
      <c r="D2733" s="59"/>
      <c r="E2733" s="116"/>
      <c r="F2733" s="120"/>
      <c r="G2733" s="120"/>
      <c r="H2733" s="120"/>
      <c r="I2733" s="60"/>
      <c r="J2733" s="116"/>
      <c r="K2733" s="213"/>
      <c r="L2733" s="120"/>
      <c r="M2733" s="120"/>
      <c r="N2733" s="167"/>
      <c r="O2733" s="120"/>
      <c r="P2733" s="120"/>
      <c r="Q2733" s="120"/>
      <c r="R2733" s="120"/>
      <c r="S2733" s="120"/>
      <c r="T2733" s="221"/>
      <c r="U2733" s="89"/>
      <c r="V2733" s="61"/>
      <c r="W2733" s="92" t="s">
        <v>1030</v>
      </c>
      <c r="X2733" s="93" t="s">
        <v>29</v>
      </c>
      <c r="Y2733" s="93" t="s">
        <v>93</v>
      </c>
      <c r="Z2733" s="134">
        <f>VLOOKUP(W2733,Sheet2!$B:$D,3,FALSE)</f>
        <v>23</v>
      </c>
      <c r="AA2733" s="93">
        <v>1</v>
      </c>
      <c r="AB2733" s="93">
        <f>AD2733/AC2725</f>
        <v>23</v>
      </c>
      <c r="AC2733" s="93">
        <f>AC2725/AA2733</f>
        <v>6.5049999999999999</v>
      </c>
      <c r="AD2733" s="94">
        <f t="shared" ref="AD2733:AD2734" si="2138">AC2733*Z2733</f>
        <v>149.61500000000001</v>
      </c>
      <c r="AE2733" s="190"/>
      <c r="AF2733" s="191"/>
      <c r="AG2733" s="191"/>
      <c r="AH2733" s="191"/>
      <c r="AI2733" s="186"/>
      <c r="AK2733" s="171"/>
    </row>
    <row r="2734" spans="1:41" s="102" customFormat="1" ht="19.899999999999999" customHeight="1" x14ac:dyDescent="0.25">
      <c r="A2734" s="45"/>
      <c r="B2734" s="59"/>
      <c r="C2734" s="137"/>
      <c r="D2734" s="59"/>
      <c r="E2734" s="116"/>
      <c r="F2734" s="120"/>
      <c r="G2734" s="120"/>
      <c r="H2734" s="120"/>
      <c r="I2734" s="60"/>
      <c r="J2734" s="116"/>
      <c r="K2734" s="213"/>
      <c r="L2734" s="120"/>
      <c r="M2734" s="120"/>
      <c r="N2734" s="167"/>
      <c r="O2734" s="120"/>
      <c r="P2734" s="120"/>
      <c r="Q2734" s="120"/>
      <c r="R2734" s="120"/>
      <c r="S2734" s="120"/>
      <c r="T2734" s="221"/>
      <c r="U2734" s="89"/>
      <c r="V2734" s="61"/>
      <c r="W2734" s="92" t="s">
        <v>65</v>
      </c>
      <c r="X2734" s="93" t="s">
        <v>30</v>
      </c>
      <c r="Y2734" s="93" t="s">
        <v>1011</v>
      </c>
      <c r="Z2734" s="134">
        <f>VLOOKUP(W2734,Sheet2!$B:$D,3,FALSE)</f>
        <v>1.76</v>
      </c>
      <c r="AA2734" s="93">
        <f>AA2733/3</f>
        <v>0.33333333333333331</v>
      </c>
      <c r="AB2734" s="93">
        <f>AD2734/AC2725</f>
        <v>5.28</v>
      </c>
      <c r="AC2734" s="93">
        <f>AC2725/AA2734</f>
        <v>19.515000000000001</v>
      </c>
      <c r="AD2734" s="94">
        <f t="shared" si="2138"/>
        <v>34.346400000000003</v>
      </c>
      <c r="AE2734" s="190"/>
      <c r="AF2734" s="191"/>
      <c r="AG2734" s="191"/>
      <c r="AH2734" s="191"/>
      <c r="AI2734" s="186"/>
      <c r="AK2734" s="171"/>
    </row>
    <row r="2735" spans="1:41" ht="25.5" x14ac:dyDescent="0.25">
      <c r="A2735" s="277" t="s">
        <v>410</v>
      </c>
      <c r="B2735" s="278"/>
      <c r="C2735" s="64" t="s">
        <v>482</v>
      </c>
      <c r="D2735" s="46" t="s">
        <v>215</v>
      </c>
      <c r="E2735" s="114">
        <v>0.49</v>
      </c>
      <c r="F2735" s="44">
        <v>51107</v>
      </c>
      <c r="G2735" s="44">
        <f t="shared" si="1977"/>
        <v>25042.43</v>
      </c>
      <c r="H2735" s="44">
        <f t="shared" si="1978"/>
        <v>38614.78957647059</v>
      </c>
      <c r="I2735" s="43">
        <f t="shared" si="1979"/>
        <v>18921.24689247059</v>
      </c>
      <c r="J2735" s="112">
        <f t="shared" si="1980"/>
        <v>0.49</v>
      </c>
      <c r="K2735" s="211">
        <f t="shared" si="1981"/>
        <v>0.49</v>
      </c>
      <c r="L2735" s="44"/>
      <c r="M2735" s="44">
        <f t="shared" si="1982"/>
        <v>0.49</v>
      </c>
      <c r="N2735" s="173">
        <f t="shared" si="1983"/>
        <v>1</v>
      </c>
      <c r="O2735" s="44">
        <f t="shared" si="1984"/>
        <v>51107</v>
      </c>
      <c r="P2735" s="44">
        <f t="shared" si="1985"/>
        <v>25042.43</v>
      </c>
      <c r="Q2735" s="44">
        <f t="shared" si="1986"/>
        <v>38614.78957647059</v>
      </c>
      <c r="R2735" s="44">
        <f t="shared" si="1987"/>
        <v>18921.24689247059</v>
      </c>
      <c r="S2735" s="123"/>
      <c r="T2735" s="219">
        <f t="shared" si="1988"/>
        <v>18921.24689247059</v>
      </c>
      <c r="U2735" s="87"/>
      <c r="V2735" s="47"/>
      <c r="W2735" s="48"/>
      <c r="X2735" s="48"/>
      <c r="Y2735" s="48"/>
      <c r="Z2735" s="135"/>
      <c r="AA2735" s="49"/>
      <c r="AB2735" s="50">
        <f t="shared" si="1989"/>
        <v>38614.78957647059</v>
      </c>
      <c r="AC2735" s="42">
        <f t="shared" si="1990"/>
        <v>0.49</v>
      </c>
      <c r="AD2735" s="90">
        <f>AD2736+AD2741+AD2754+AD2757</f>
        <v>18921.24689247059</v>
      </c>
      <c r="AE2735" s="188">
        <f t="shared" ref="AE2735" si="2139">AE2736+AE2741+AE2754+AE2757</f>
        <v>0</v>
      </c>
      <c r="AF2735" s="189">
        <f t="shared" ref="AF2735" si="2140">AF2736+AF2741+AF2754+AF2757</f>
        <v>0</v>
      </c>
      <c r="AG2735" s="189">
        <f t="shared" ref="AG2735" si="2141">AG2736+AG2741+AG2754+AG2757</f>
        <v>0</v>
      </c>
      <c r="AH2735" s="189">
        <f t="shared" ref="AH2735" si="2142">AH2736+AH2741+AH2754+AH2757</f>
        <v>0</v>
      </c>
      <c r="AI2735" s="161">
        <f t="shared" ref="AI2735" si="2143">SUM(AE2735:AH2735)</f>
        <v>0</v>
      </c>
      <c r="AK2735" s="169">
        <v>5</v>
      </c>
      <c r="AO2735" s="19" t="s">
        <v>63</v>
      </c>
    </row>
    <row r="2736" spans="1:41" s="103" customFormat="1" ht="19.899999999999999" customHeight="1" x14ac:dyDescent="0.25">
      <c r="A2736" s="51"/>
      <c r="B2736" s="52"/>
      <c r="C2736" s="165"/>
      <c r="D2736" s="52"/>
      <c r="E2736" s="115"/>
      <c r="F2736" s="58"/>
      <c r="G2736" s="58"/>
      <c r="H2736" s="58"/>
      <c r="I2736" s="55"/>
      <c r="J2736" s="113">
        <f>J2735</f>
        <v>0.49</v>
      </c>
      <c r="K2736" s="212">
        <f>K2735</f>
        <v>0.49</v>
      </c>
      <c r="L2736" s="58"/>
      <c r="M2736" s="58">
        <f>K2736-L2736</f>
        <v>0.49</v>
      </c>
      <c r="N2736" s="166"/>
      <c r="O2736" s="58"/>
      <c r="P2736" s="58"/>
      <c r="Q2736" s="58"/>
      <c r="R2736" s="58"/>
      <c r="S2736" s="58"/>
      <c r="T2736" s="220"/>
      <c r="U2736" s="88"/>
      <c r="V2736" s="56"/>
      <c r="W2736" s="57" t="s">
        <v>1351</v>
      </c>
      <c r="X2736" s="53"/>
      <c r="Y2736" s="91" t="s">
        <v>35</v>
      </c>
      <c r="Z2736" s="136">
        <f>AD2736/AC2736</f>
        <v>90.496941176470585</v>
      </c>
      <c r="AA2736" s="58"/>
      <c r="AB2736" s="53">
        <f>AD2736/AC2736</f>
        <v>90.496941176470585</v>
      </c>
      <c r="AC2736" s="53">
        <f>M2736+$AE$10</f>
        <v>0.49</v>
      </c>
      <c r="AD2736" s="54">
        <f>SUM(AD2737:AD2740)</f>
        <v>44.343501176470589</v>
      </c>
      <c r="AE2736" s="184">
        <f>SUMIFS($AD$37:$AD$12971,$V$37:$V$12971,$V2736,$X$37:$X$12971,AE$13)</f>
        <v>0</v>
      </c>
      <c r="AF2736" s="185">
        <f>SUMIFS($AD$37:$AD$12971,$V$37:$V$12971,$V2736,$X$37:$X$12971,AF$13)</f>
        <v>0</v>
      </c>
      <c r="AG2736" s="185">
        <f>SUMIFS($AD$37:$AD$12971,$V$37:$V$12971,$V2736,$X$37:$X$12971,AG$13)</f>
        <v>0</v>
      </c>
      <c r="AH2736" s="187">
        <f>SUMIFS($AD$37:$AD$12971,$V$37:$V$12971,$V2736,$X$37:$X$12971,AH$13)</f>
        <v>0</v>
      </c>
      <c r="AI2736" s="161">
        <f t="shared" ref="AI2736" si="2144">SUM(AE2736:AH2736)</f>
        <v>0</v>
      </c>
      <c r="AK2736" s="172"/>
    </row>
    <row r="2737" spans="1:37" s="102" customFormat="1" ht="19.899999999999999" customHeight="1" x14ac:dyDescent="0.25">
      <c r="A2737" s="45"/>
      <c r="B2737" s="59"/>
      <c r="C2737" s="137"/>
      <c r="D2737" s="59"/>
      <c r="E2737" s="116"/>
      <c r="F2737" s="120"/>
      <c r="G2737" s="120"/>
      <c r="H2737" s="120"/>
      <c r="I2737" s="60"/>
      <c r="J2737" s="116"/>
      <c r="K2737" s="213"/>
      <c r="L2737" s="120"/>
      <c r="M2737" s="120"/>
      <c r="N2737" s="167"/>
      <c r="O2737" s="120"/>
      <c r="P2737" s="120"/>
      <c r="Q2737" s="120"/>
      <c r="R2737" s="120"/>
      <c r="S2737" s="120"/>
      <c r="T2737" s="221"/>
      <c r="U2737" s="89"/>
      <c r="V2737" s="61"/>
      <c r="W2737" s="92" t="s">
        <v>129</v>
      </c>
      <c r="X2737" s="93" t="s">
        <v>29</v>
      </c>
      <c r="Y2737" s="93" t="s">
        <v>93</v>
      </c>
      <c r="Z2737" s="134">
        <f>VLOOKUP(W2737,Sheet2!$B:$D,3,FALSE)</f>
        <v>56</v>
      </c>
      <c r="AA2737" s="93">
        <f>100/(3*3*2.5)</f>
        <v>4.4444444444444446</v>
      </c>
      <c r="AB2737" s="93">
        <f t="shared" ref="AB2737" si="2145">AD2737/AC2736</f>
        <v>12.6</v>
      </c>
      <c r="AC2737" s="93">
        <f>AC2736/AA2737</f>
        <v>0.11024999999999999</v>
      </c>
      <c r="AD2737" s="94">
        <f t="shared" ref="AD2737:AD2738" si="2146">AC2737*Z2737</f>
        <v>6.1739999999999995</v>
      </c>
      <c r="AE2737" s="190"/>
      <c r="AF2737" s="191"/>
      <c r="AG2737" s="191"/>
      <c r="AH2737" s="191"/>
      <c r="AI2737" s="186"/>
      <c r="AK2737" s="171"/>
    </row>
    <row r="2738" spans="1:37" s="102" customFormat="1" ht="19.899999999999999" customHeight="1" x14ac:dyDescent="0.25">
      <c r="A2738" s="45"/>
      <c r="B2738" s="59"/>
      <c r="C2738" s="137"/>
      <c r="D2738" s="59"/>
      <c r="E2738" s="116"/>
      <c r="F2738" s="120"/>
      <c r="G2738" s="120"/>
      <c r="H2738" s="120"/>
      <c r="I2738" s="60"/>
      <c r="J2738" s="116"/>
      <c r="K2738" s="213"/>
      <c r="L2738" s="120"/>
      <c r="M2738" s="120"/>
      <c r="N2738" s="167"/>
      <c r="O2738" s="120"/>
      <c r="P2738" s="120"/>
      <c r="Q2738" s="120"/>
      <c r="R2738" s="120"/>
      <c r="S2738" s="120"/>
      <c r="T2738" s="221"/>
      <c r="U2738" s="89"/>
      <c r="V2738" s="61"/>
      <c r="W2738" s="92" t="s">
        <v>65</v>
      </c>
      <c r="X2738" s="93" t="s">
        <v>30</v>
      </c>
      <c r="Y2738" s="93" t="s">
        <v>1011</v>
      </c>
      <c r="Z2738" s="134">
        <f>VLOOKUP(W2738,Sheet2!$B:$D,3,FALSE)</f>
        <v>1.76</v>
      </c>
      <c r="AA2738" s="93">
        <f>AA2737/14</f>
        <v>0.3174603174603175</v>
      </c>
      <c r="AB2738" s="93">
        <f>AD2738/AC2736</f>
        <v>5.5439999999999996</v>
      </c>
      <c r="AC2738" s="93">
        <f>AC2736/AA2738</f>
        <v>1.5434999999999999</v>
      </c>
      <c r="AD2738" s="94">
        <f t="shared" si="2146"/>
        <v>2.7165599999999999</v>
      </c>
      <c r="AE2738" s="190"/>
      <c r="AF2738" s="191"/>
      <c r="AG2738" s="191"/>
      <c r="AH2738" s="191"/>
      <c r="AI2738" s="186"/>
      <c r="AK2738" s="171"/>
    </row>
    <row r="2739" spans="1:37" s="102" customFormat="1" ht="19.899999999999999" customHeight="1" x14ac:dyDescent="0.25">
      <c r="A2739" s="45"/>
      <c r="B2739" s="59"/>
      <c r="C2739" s="137"/>
      <c r="D2739" s="59"/>
      <c r="E2739" s="116"/>
      <c r="F2739" s="120"/>
      <c r="G2739" s="120"/>
      <c r="H2739" s="120"/>
      <c r="I2739" s="60"/>
      <c r="J2739" s="116"/>
      <c r="K2739" s="213"/>
      <c r="L2739" s="120"/>
      <c r="M2739" s="120"/>
      <c r="N2739" s="167"/>
      <c r="O2739" s="120"/>
      <c r="P2739" s="120"/>
      <c r="Q2739" s="120"/>
      <c r="R2739" s="120"/>
      <c r="S2739" s="120"/>
      <c r="T2739" s="221"/>
      <c r="U2739" s="89"/>
      <c r="V2739" s="61"/>
      <c r="W2739" s="92" t="s">
        <v>161</v>
      </c>
      <c r="X2739" s="93" t="s">
        <v>29</v>
      </c>
      <c r="Y2739" s="93" t="s">
        <v>93</v>
      </c>
      <c r="Z2739" s="134">
        <f>VLOOKUP(W2739,Sheet2!$B:$D,3,FALSE)</f>
        <v>48</v>
      </c>
      <c r="AA2739" s="93">
        <f>(16*0.85*1.5)/(3*3*2.5)</f>
        <v>0.90666666666666662</v>
      </c>
      <c r="AB2739" s="93">
        <f>AD2739/AC2736</f>
        <v>52.941176470588232</v>
      </c>
      <c r="AC2739" s="93">
        <f>AC2736/AA2739</f>
        <v>0.5404411764705882</v>
      </c>
      <c r="AD2739" s="94">
        <f>AC2739*Z2739</f>
        <v>25.941176470588232</v>
      </c>
      <c r="AE2739" s="190"/>
      <c r="AF2739" s="191"/>
      <c r="AG2739" s="191"/>
      <c r="AH2739" s="191"/>
      <c r="AI2739" s="186"/>
      <c r="AK2739" s="171"/>
    </row>
    <row r="2740" spans="1:37" s="102" customFormat="1" ht="19.899999999999999" customHeight="1" x14ac:dyDescent="0.25">
      <c r="A2740" s="45"/>
      <c r="B2740" s="59"/>
      <c r="C2740" s="137"/>
      <c r="D2740" s="59"/>
      <c r="E2740" s="116"/>
      <c r="F2740" s="120"/>
      <c r="G2740" s="120"/>
      <c r="H2740" s="120"/>
      <c r="I2740" s="60"/>
      <c r="J2740" s="116"/>
      <c r="K2740" s="213"/>
      <c r="L2740" s="120"/>
      <c r="M2740" s="120"/>
      <c r="N2740" s="167"/>
      <c r="O2740" s="120"/>
      <c r="P2740" s="120"/>
      <c r="Q2740" s="120"/>
      <c r="R2740" s="120"/>
      <c r="S2740" s="120"/>
      <c r="T2740" s="221"/>
      <c r="U2740" s="89"/>
      <c r="V2740" s="61"/>
      <c r="W2740" s="92" t="s">
        <v>65</v>
      </c>
      <c r="X2740" s="93" t="s">
        <v>30</v>
      </c>
      <c r="Y2740" s="93" t="s">
        <v>1011</v>
      </c>
      <c r="Z2740" s="134">
        <f>VLOOKUP(W2740,Sheet2!$B:$D,3,FALSE)</f>
        <v>1.76</v>
      </c>
      <c r="AA2740" s="93">
        <f>AA2739/10</f>
        <v>9.0666666666666659E-2</v>
      </c>
      <c r="AB2740" s="93">
        <f>AD2740/AC2736</f>
        <v>19.411764705882359</v>
      </c>
      <c r="AC2740" s="93">
        <f>AC2736/AA2740</f>
        <v>5.4044117647058831</v>
      </c>
      <c r="AD2740" s="94">
        <f>AC2740*Z2740</f>
        <v>9.5117647058823547</v>
      </c>
      <c r="AE2740" s="190"/>
      <c r="AF2740" s="191"/>
      <c r="AG2740" s="191"/>
      <c r="AH2740" s="191"/>
      <c r="AI2740" s="186"/>
      <c r="AK2740" s="171"/>
    </row>
    <row r="2741" spans="1:37" s="103" customFormat="1" ht="19.899999999999999" customHeight="1" x14ac:dyDescent="0.25">
      <c r="A2741" s="51"/>
      <c r="B2741" s="52"/>
      <c r="C2741" s="165"/>
      <c r="D2741" s="52"/>
      <c r="E2741" s="115"/>
      <c r="F2741" s="58"/>
      <c r="G2741" s="58"/>
      <c r="H2741" s="58"/>
      <c r="I2741" s="55"/>
      <c r="J2741" s="113">
        <f>J2735</f>
        <v>0.49</v>
      </c>
      <c r="K2741" s="212">
        <f>K2735</f>
        <v>0.49</v>
      </c>
      <c r="L2741" s="58"/>
      <c r="M2741" s="58">
        <f>K2741-L2741</f>
        <v>0.49</v>
      </c>
      <c r="N2741" s="166"/>
      <c r="O2741" s="58"/>
      <c r="P2741" s="58"/>
      <c r="Q2741" s="58"/>
      <c r="R2741" s="58"/>
      <c r="S2741" s="58"/>
      <c r="T2741" s="220"/>
      <c r="U2741" s="88"/>
      <c r="V2741" s="56"/>
      <c r="W2741" s="57" t="s">
        <v>1370</v>
      </c>
      <c r="X2741" s="53"/>
      <c r="Y2741" s="91" t="s">
        <v>35</v>
      </c>
      <c r="Z2741" s="136">
        <f>AD2741/AC2741</f>
        <v>35515.21</v>
      </c>
      <c r="AA2741" s="58"/>
      <c r="AB2741" s="53">
        <f>AD2741/AC2741</f>
        <v>35515.21</v>
      </c>
      <c r="AC2741" s="53">
        <f>M2741+$AE$10</f>
        <v>0.49</v>
      </c>
      <c r="AD2741" s="54">
        <f>SUM(AD2742:AD2753)</f>
        <v>17402.4529</v>
      </c>
      <c r="AE2741" s="184">
        <f>SUMIFS($AD$37:$AD$12971,$V$37:$V$12971,$V2741,$X$37:$X$12971,AE$13)</f>
        <v>0</v>
      </c>
      <c r="AF2741" s="185">
        <f>SUMIFS($AD$37:$AD$12971,$V$37:$V$12971,$V2741,$X$37:$X$12971,AF$13)</f>
        <v>0</v>
      </c>
      <c r="AG2741" s="185">
        <f>SUMIFS($AD$37:$AD$12971,$V$37:$V$12971,$V2741,$X$37:$X$12971,AG$13)</f>
        <v>0</v>
      </c>
      <c r="AH2741" s="187">
        <f>SUMIFS($AD$37:$AD$12971,$V$37:$V$12971,$V2741,$X$37:$X$12971,AH$13)</f>
        <v>0</v>
      </c>
      <c r="AI2741" s="161">
        <f t="shared" ref="AI2741" si="2147">SUM(AE2741:AH2741)</f>
        <v>0</v>
      </c>
      <c r="AK2741" s="172"/>
    </row>
    <row r="2742" spans="1:37" s="102" customFormat="1" ht="19.899999999999999" customHeight="1" x14ac:dyDescent="0.25">
      <c r="A2742" s="45"/>
      <c r="B2742" s="59"/>
      <c r="C2742" s="137"/>
      <c r="D2742" s="59"/>
      <c r="E2742" s="116"/>
      <c r="F2742" s="120"/>
      <c r="G2742" s="120"/>
      <c r="H2742" s="120"/>
      <c r="I2742" s="60"/>
      <c r="J2742" s="116"/>
      <c r="K2742" s="213"/>
      <c r="L2742" s="120"/>
      <c r="M2742" s="120"/>
      <c r="N2742" s="167"/>
      <c r="O2742" s="120"/>
      <c r="P2742" s="120"/>
      <c r="Q2742" s="120"/>
      <c r="R2742" s="120"/>
      <c r="S2742" s="120"/>
      <c r="T2742" s="221"/>
      <c r="U2742" s="89"/>
      <c r="V2742" s="61"/>
      <c r="W2742" s="92" t="s">
        <v>1032</v>
      </c>
      <c r="X2742" s="93" t="s">
        <v>30</v>
      </c>
      <c r="Y2742" s="93" t="s">
        <v>66</v>
      </c>
      <c r="Z2742" s="134">
        <f>VLOOKUP(W2742,Sheet2!$B:$D,3,FALSE)</f>
        <v>250</v>
      </c>
      <c r="AA2742" s="93">
        <f>1/(3*3*0.1)</f>
        <v>1.1111111111111112</v>
      </c>
      <c r="AB2742" s="93">
        <f t="shared" ref="AB2742" si="2148">AD2742/AC2741</f>
        <v>224.99999999999997</v>
      </c>
      <c r="AC2742" s="93">
        <f>AC2741/AA2742</f>
        <v>0.44099999999999995</v>
      </c>
      <c r="AD2742" s="94">
        <f t="shared" ref="AD2742:AD2744" si="2149">AC2742*Z2742</f>
        <v>110.24999999999999</v>
      </c>
      <c r="AE2742" s="190"/>
      <c r="AF2742" s="191"/>
      <c r="AG2742" s="191"/>
      <c r="AH2742" s="191"/>
      <c r="AI2742" s="186"/>
      <c r="AK2742" s="171"/>
    </row>
    <row r="2743" spans="1:37" s="102" customFormat="1" ht="19.899999999999999" customHeight="1" x14ac:dyDescent="0.25">
      <c r="A2743" s="45"/>
      <c r="B2743" s="59"/>
      <c r="C2743" s="137"/>
      <c r="D2743" s="59"/>
      <c r="E2743" s="116"/>
      <c r="F2743" s="120"/>
      <c r="G2743" s="120"/>
      <c r="H2743" s="120"/>
      <c r="I2743" s="60"/>
      <c r="J2743" s="116"/>
      <c r="K2743" s="213"/>
      <c r="L2743" s="120"/>
      <c r="M2743" s="120"/>
      <c r="N2743" s="167"/>
      <c r="O2743" s="120"/>
      <c r="P2743" s="120"/>
      <c r="Q2743" s="120"/>
      <c r="R2743" s="120"/>
      <c r="S2743" s="120"/>
      <c r="T2743" s="221"/>
      <c r="U2743" s="89"/>
      <c r="V2743" s="61"/>
      <c r="W2743" s="92" t="s">
        <v>1353</v>
      </c>
      <c r="X2743" s="93" t="s">
        <v>30</v>
      </c>
      <c r="Y2743" s="93" t="s">
        <v>66</v>
      </c>
      <c r="Z2743" s="134">
        <f>VLOOKUP(W2743,Sheet2!$B:$D,3,FALSE)</f>
        <v>350</v>
      </c>
      <c r="AA2743" s="93">
        <f>1/(2*2*0.25*5)</f>
        <v>0.2</v>
      </c>
      <c r="AB2743" s="93">
        <f>AD2743/AC2741</f>
        <v>1749.9999999999998</v>
      </c>
      <c r="AC2743" s="93">
        <f>AC2741/AA2743</f>
        <v>2.4499999999999997</v>
      </c>
      <c r="AD2743" s="94">
        <f t="shared" si="2149"/>
        <v>857.49999999999989</v>
      </c>
      <c r="AE2743" s="190"/>
      <c r="AF2743" s="191"/>
      <c r="AG2743" s="191"/>
      <c r="AH2743" s="191"/>
      <c r="AI2743" s="186"/>
      <c r="AK2743" s="171"/>
    </row>
    <row r="2744" spans="1:37" s="102" customFormat="1" ht="19.899999999999999" customHeight="1" x14ac:dyDescent="0.25">
      <c r="A2744" s="45"/>
      <c r="B2744" s="59"/>
      <c r="C2744" s="137"/>
      <c r="D2744" s="59"/>
      <c r="E2744" s="116"/>
      <c r="F2744" s="120"/>
      <c r="G2744" s="120"/>
      <c r="H2744" s="120"/>
      <c r="I2744" s="60"/>
      <c r="J2744" s="116"/>
      <c r="K2744" s="213"/>
      <c r="L2744" s="120"/>
      <c r="M2744" s="120"/>
      <c r="N2744" s="167"/>
      <c r="O2744" s="120"/>
      <c r="P2744" s="120"/>
      <c r="Q2744" s="120"/>
      <c r="R2744" s="120"/>
      <c r="S2744" s="120"/>
      <c r="T2744" s="221"/>
      <c r="U2744" s="89"/>
      <c r="V2744" s="61"/>
      <c r="W2744" s="92" t="s">
        <v>99</v>
      </c>
      <c r="X2744" s="93" t="s">
        <v>30</v>
      </c>
      <c r="Y2744" s="93" t="s">
        <v>67</v>
      </c>
      <c r="Z2744" s="134">
        <f>VLOOKUP(W2744,Sheet2!$B:$D,3,FALSE)</f>
        <v>2500</v>
      </c>
      <c r="AA2744" s="93">
        <f>1/(2*2*0.25*5*0.08)</f>
        <v>2.5</v>
      </c>
      <c r="AB2744" s="93">
        <f>AD2744/AC2741</f>
        <v>1000</v>
      </c>
      <c r="AC2744" s="93">
        <f>AC2741/AA2744</f>
        <v>0.19600000000000001</v>
      </c>
      <c r="AD2744" s="94">
        <f t="shared" si="2149"/>
        <v>490</v>
      </c>
      <c r="AE2744" s="190"/>
      <c r="AF2744" s="191"/>
      <c r="AG2744" s="191"/>
      <c r="AH2744" s="191"/>
      <c r="AI2744" s="186"/>
      <c r="AK2744" s="171"/>
    </row>
    <row r="2745" spans="1:37" s="102" customFormat="1" ht="19.899999999999999" customHeight="1" x14ac:dyDescent="0.25">
      <c r="A2745" s="45"/>
      <c r="B2745" s="59"/>
      <c r="C2745" s="137"/>
      <c r="D2745" s="59"/>
      <c r="E2745" s="116"/>
      <c r="F2745" s="120"/>
      <c r="G2745" s="120"/>
      <c r="H2745" s="120"/>
      <c r="I2745" s="60"/>
      <c r="J2745" s="116"/>
      <c r="K2745" s="213"/>
      <c r="L2745" s="120"/>
      <c r="M2745" s="120"/>
      <c r="N2745" s="167"/>
      <c r="O2745" s="120"/>
      <c r="P2745" s="120"/>
      <c r="Q2745" s="120"/>
      <c r="R2745" s="120"/>
      <c r="S2745" s="120"/>
      <c r="T2745" s="221"/>
      <c r="U2745" s="89"/>
      <c r="V2745" s="61"/>
      <c r="W2745" s="92" t="s">
        <v>1354</v>
      </c>
      <c r="X2745" s="93" t="s">
        <v>32</v>
      </c>
      <c r="Y2745" s="93" t="s">
        <v>66</v>
      </c>
      <c r="Z2745" s="134">
        <f>VLOOKUP(W2745,Sheet2!$B:$D,3,FALSE)</f>
        <v>150</v>
      </c>
      <c r="AA2745" s="93">
        <f>AA2742</f>
        <v>1.1111111111111112</v>
      </c>
      <c r="AB2745" s="93">
        <f>AD2745/AC2741</f>
        <v>134.99999999999997</v>
      </c>
      <c r="AC2745" s="93">
        <f>AC2741/AA2745</f>
        <v>0.44099999999999995</v>
      </c>
      <c r="AD2745" s="94">
        <f>AC2745*Z2745</f>
        <v>66.149999999999991</v>
      </c>
      <c r="AE2745" s="190"/>
      <c r="AF2745" s="191"/>
      <c r="AG2745" s="191"/>
      <c r="AH2745" s="191"/>
      <c r="AI2745" s="186"/>
      <c r="AK2745" s="171"/>
    </row>
    <row r="2746" spans="1:37" s="102" customFormat="1" ht="19.899999999999999" customHeight="1" x14ac:dyDescent="0.25">
      <c r="A2746" s="45"/>
      <c r="B2746" s="59"/>
      <c r="C2746" s="137"/>
      <c r="D2746" s="59"/>
      <c r="E2746" s="116"/>
      <c r="F2746" s="120"/>
      <c r="G2746" s="120"/>
      <c r="H2746" s="120"/>
      <c r="I2746" s="60"/>
      <c r="J2746" s="116"/>
      <c r="K2746" s="213"/>
      <c r="L2746" s="120"/>
      <c r="M2746" s="120"/>
      <c r="N2746" s="167"/>
      <c r="O2746" s="120"/>
      <c r="P2746" s="120"/>
      <c r="Q2746" s="120"/>
      <c r="R2746" s="120"/>
      <c r="S2746" s="120"/>
      <c r="T2746" s="221"/>
      <c r="U2746" s="89"/>
      <c r="V2746" s="61"/>
      <c r="W2746" s="92" t="s">
        <v>1355</v>
      </c>
      <c r="X2746" s="93" t="s">
        <v>32</v>
      </c>
      <c r="Y2746" s="93" t="s">
        <v>66</v>
      </c>
      <c r="Z2746" s="134">
        <f>VLOOKUP(W2746,Sheet2!$B:$D,3,FALSE)</f>
        <v>450</v>
      </c>
      <c r="AA2746" s="93">
        <f>AA2743</f>
        <v>0.2</v>
      </c>
      <c r="AB2746" s="93">
        <f>AD2746/AC2741</f>
        <v>2249.9999999999995</v>
      </c>
      <c r="AC2746" s="93">
        <f>AC2741/AA2746</f>
        <v>2.4499999999999997</v>
      </c>
      <c r="AD2746" s="94">
        <f>AC2746*Z2746</f>
        <v>1102.4999999999998</v>
      </c>
      <c r="AE2746" s="190"/>
      <c r="AF2746" s="191"/>
      <c r="AG2746" s="191"/>
      <c r="AH2746" s="191"/>
      <c r="AI2746" s="186"/>
      <c r="AK2746" s="171"/>
    </row>
    <row r="2747" spans="1:37" s="102" customFormat="1" ht="19.899999999999999" customHeight="1" x14ac:dyDescent="0.25">
      <c r="A2747" s="45"/>
      <c r="B2747" s="59"/>
      <c r="C2747" s="137"/>
      <c r="D2747" s="59"/>
      <c r="E2747" s="116"/>
      <c r="F2747" s="120"/>
      <c r="G2747" s="120"/>
      <c r="H2747" s="120"/>
      <c r="I2747" s="60"/>
      <c r="J2747" s="116"/>
      <c r="K2747" s="213"/>
      <c r="L2747" s="120"/>
      <c r="M2747" s="120"/>
      <c r="N2747" s="167"/>
      <c r="O2747" s="120"/>
      <c r="P2747" s="120"/>
      <c r="Q2747" s="120"/>
      <c r="R2747" s="120"/>
      <c r="S2747" s="120"/>
      <c r="T2747" s="221"/>
      <c r="U2747" s="89"/>
      <c r="V2747" s="61"/>
      <c r="W2747" s="92" t="s">
        <v>1356</v>
      </c>
      <c r="X2747" s="93" t="s">
        <v>30</v>
      </c>
      <c r="Y2747" s="93" t="s">
        <v>35</v>
      </c>
      <c r="Z2747" s="134">
        <f>VLOOKUP(W2747,Sheet2!$B:$D,3,FALSE)</f>
        <v>3500</v>
      </c>
      <c r="AA2747" s="93">
        <v>1</v>
      </c>
      <c r="AB2747" s="93">
        <f>AD2747/AC2741</f>
        <v>3500</v>
      </c>
      <c r="AC2747" s="93">
        <f>AC2741/AA2747</f>
        <v>0.49</v>
      </c>
      <c r="AD2747" s="94">
        <f t="shared" ref="AD2747:AD2749" si="2150">AC2747*Z2747</f>
        <v>1715</v>
      </c>
      <c r="AE2747" s="190"/>
      <c r="AF2747" s="191"/>
      <c r="AG2747" s="191"/>
      <c r="AH2747" s="191"/>
      <c r="AI2747" s="186"/>
      <c r="AK2747" s="171"/>
    </row>
    <row r="2748" spans="1:37" s="102" customFormat="1" ht="19.899999999999999" customHeight="1" x14ac:dyDescent="0.25">
      <c r="A2748" s="45"/>
      <c r="B2748" s="59"/>
      <c r="C2748" s="137"/>
      <c r="D2748" s="59"/>
      <c r="E2748" s="116"/>
      <c r="F2748" s="120"/>
      <c r="G2748" s="120"/>
      <c r="H2748" s="120"/>
      <c r="I2748" s="60"/>
      <c r="J2748" s="116"/>
      <c r="K2748" s="213"/>
      <c r="L2748" s="120"/>
      <c r="M2748" s="120"/>
      <c r="N2748" s="167"/>
      <c r="O2748" s="120"/>
      <c r="P2748" s="120"/>
      <c r="Q2748" s="120"/>
      <c r="R2748" s="120"/>
      <c r="S2748" s="120"/>
      <c r="T2748" s="221"/>
      <c r="U2748" s="89"/>
      <c r="V2748" s="61"/>
      <c r="W2748" s="92" t="s">
        <v>1466</v>
      </c>
      <c r="X2748" s="93" t="s">
        <v>30</v>
      </c>
      <c r="Y2748" s="93" t="s">
        <v>35</v>
      </c>
      <c r="Z2748" s="134">
        <f>VLOOKUP(W2748,Sheet2!$B:$D,3,FALSE)</f>
        <v>26328.61</v>
      </c>
      <c r="AA2748" s="93">
        <v>1</v>
      </c>
      <c r="AB2748" s="93">
        <f>AD2748/AC2741</f>
        <v>26328.61</v>
      </c>
      <c r="AC2748" s="93">
        <f>AC2741/AA2748</f>
        <v>0.49</v>
      </c>
      <c r="AD2748" s="94">
        <f t="shared" si="2150"/>
        <v>12901.018900000001</v>
      </c>
      <c r="AE2748" s="190"/>
      <c r="AF2748" s="191"/>
      <c r="AG2748" s="191"/>
      <c r="AH2748" s="191"/>
      <c r="AI2748" s="186"/>
      <c r="AK2748" s="171"/>
    </row>
    <row r="2749" spans="1:37" s="102" customFormat="1" ht="19.899999999999999" customHeight="1" x14ac:dyDescent="0.25">
      <c r="A2749" s="45"/>
      <c r="B2749" s="59"/>
      <c r="C2749" s="137"/>
      <c r="D2749" s="59"/>
      <c r="E2749" s="116"/>
      <c r="F2749" s="120"/>
      <c r="G2749" s="120"/>
      <c r="H2749" s="120"/>
      <c r="I2749" s="60"/>
      <c r="J2749" s="116"/>
      <c r="K2749" s="213"/>
      <c r="L2749" s="120"/>
      <c r="M2749" s="120"/>
      <c r="N2749" s="167"/>
      <c r="O2749" s="120"/>
      <c r="P2749" s="120"/>
      <c r="Q2749" s="120"/>
      <c r="R2749" s="120"/>
      <c r="S2749" s="120"/>
      <c r="T2749" s="221"/>
      <c r="U2749" s="89"/>
      <c r="V2749" s="61"/>
      <c r="W2749" s="92" t="s">
        <v>174</v>
      </c>
      <c r="X2749" s="93" t="s">
        <v>29</v>
      </c>
      <c r="Y2749" s="93" t="s">
        <v>93</v>
      </c>
      <c r="Z2749" s="134">
        <f>VLOOKUP(W2749,Sheet2!$B:$D,3,FALSE)</f>
        <v>80</v>
      </c>
      <c r="AA2749" s="93">
        <v>4</v>
      </c>
      <c r="AB2749" s="93">
        <f>AD2749/AC2741</f>
        <v>20.000000000000004</v>
      </c>
      <c r="AC2749" s="93">
        <f>AC2741/AA2749</f>
        <v>0.1225</v>
      </c>
      <c r="AD2749" s="94">
        <f t="shared" si="2150"/>
        <v>9.8000000000000007</v>
      </c>
      <c r="AE2749" s="190"/>
      <c r="AF2749" s="191"/>
      <c r="AG2749" s="191"/>
      <c r="AH2749" s="191"/>
      <c r="AI2749" s="186"/>
      <c r="AK2749" s="171"/>
    </row>
    <row r="2750" spans="1:37" s="102" customFormat="1" ht="19.899999999999999" customHeight="1" x14ac:dyDescent="0.25">
      <c r="A2750" s="45"/>
      <c r="B2750" s="59"/>
      <c r="C2750" s="137"/>
      <c r="D2750" s="59"/>
      <c r="E2750" s="116"/>
      <c r="F2750" s="120"/>
      <c r="G2750" s="120"/>
      <c r="H2750" s="120"/>
      <c r="I2750" s="60"/>
      <c r="J2750" s="116"/>
      <c r="K2750" s="213"/>
      <c r="L2750" s="120"/>
      <c r="M2750" s="120"/>
      <c r="N2750" s="167"/>
      <c r="O2750" s="120"/>
      <c r="P2750" s="120"/>
      <c r="Q2750" s="120"/>
      <c r="R2750" s="120"/>
      <c r="S2750" s="120"/>
      <c r="T2750" s="221"/>
      <c r="U2750" s="89"/>
      <c r="V2750" s="61"/>
      <c r="W2750" s="92" t="s">
        <v>65</v>
      </c>
      <c r="X2750" s="93" t="s">
        <v>30</v>
      </c>
      <c r="Y2750" s="93" t="s">
        <v>93</v>
      </c>
      <c r="Z2750" s="134">
        <f>VLOOKUP(W2750,Sheet2!$B:$D,3,FALSE)</f>
        <v>1.76</v>
      </c>
      <c r="AA2750" s="93">
        <f>AA2749/15</f>
        <v>0.26666666666666666</v>
      </c>
      <c r="AB2750" s="93">
        <f>AD2750/AC2741</f>
        <v>6.6000000000000005</v>
      </c>
      <c r="AC2750" s="93">
        <f>AC2741/AA2750</f>
        <v>1.8374999999999999</v>
      </c>
      <c r="AD2750" s="94">
        <f>AC2750*Z2750</f>
        <v>3.234</v>
      </c>
      <c r="AE2750" s="190"/>
      <c r="AF2750" s="191"/>
      <c r="AG2750" s="191"/>
      <c r="AH2750" s="191"/>
      <c r="AI2750" s="186"/>
      <c r="AK2750" s="171"/>
    </row>
    <row r="2751" spans="1:37" s="102" customFormat="1" ht="19.899999999999999" customHeight="1" x14ac:dyDescent="0.25">
      <c r="A2751" s="45"/>
      <c r="B2751" s="59"/>
      <c r="C2751" s="137"/>
      <c r="D2751" s="59"/>
      <c r="E2751" s="116"/>
      <c r="F2751" s="120"/>
      <c r="G2751" s="120"/>
      <c r="H2751" s="120"/>
      <c r="I2751" s="60"/>
      <c r="J2751" s="116"/>
      <c r="K2751" s="213"/>
      <c r="L2751" s="120"/>
      <c r="M2751" s="120"/>
      <c r="N2751" s="167"/>
      <c r="O2751" s="120"/>
      <c r="P2751" s="120"/>
      <c r="Q2751" s="120"/>
      <c r="R2751" s="120"/>
      <c r="S2751" s="120"/>
      <c r="T2751" s="221"/>
      <c r="U2751" s="89"/>
      <c r="V2751" s="61"/>
      <c r="W2751" s="92" t="s">
        <v>1357</v>
      </c>
      <c r="X2751" s="93" t="s">
        <v>30</v>
      </c>
      <c r="Y2751" s="93" t="s">
        <v>1349</v>
      </c>
      <c r="Z2751" s="134">
        <f>VLOOKUP(W2751,Sheet2!$B:$D,3,FALSE)</f>
        <v>150</v>
      </c>
      <c r="AA2751" s="93">
        <v>1</v>
      </c>
      <c r="AB2751" s="93">
        <f>AD2751/AC2741</f>
        <v>150</v>
      </c>
      <c r="AC2751" s="93">
        <f>AC2741/AA2751</f>
        <v>0.49</v>
      </c>
      <c r="AD2751" s="94">
        <f>AC2751*Z2751</f>
        <v>73.5</v>
      </c>
      <c r="AE2751" s="190"/>
      <c r="AF2751" s="191"/>
      <c r="AG2751" s="191"/>
      <c r="AH2751" s="191"/>
      <c r="AI2751" s="186"/>
      <c r="AK2751" s="171"/>
    </row>
    <row r="2752" spans="1:37" s="102" customFormat="1" ht="19.899999999999999" customHeight="1" x14ac:dyDescent="0.25">
      <c r="A2752" s="45"/>
      <c r="B2752" s="59"/>
      <c r="C2752" s="137"/>
      <c r="D2752" s="59"/>
      <c r="E2752" s="116"/>
      <c r="F2752" s="120"/>
      <c r="G2752" s="120"/>
      <c r="H2752" s="120"/>
      <c r="I2752" s="60"/>
      <c r="J2752" s="116"/>
      <c r="K2752" s="213"/>
      <c r="L2752" s="120"/>
      <c r="M2752" s="120"/>
      <c r="N2752" s="167"/>
      <c r="O2752" s="120"/>
      <c r="P2752" s="120"/>
      <c r="Q2752" s="120"/>
      <c r="R2752" s="120"/>
      <c r="S2752" s="120"/>
      <c r="T2752" s="221"/>
      <c r="U2752" s="89"/>
      <c r="V2752" s="61"/>
      <c r="W2752" s="92" t="s">
        <v>107</v>
      </c>
      <c r="X2752" s="93" t="s">
        <v>31</v>
      </c>
      <c r="Y2752" s="93" t="s">
        <v>93</v>
      </c>
      <c r="Z2752" s="134">
        <f>VLOOKUP(W2752,Sheet2!$B:$D,3,FALSE)</f>
        <v>17</v>
      </c>
      <c r="AA2752" s="93">
        <f>1/5</f>
        <v>0.2</v>
      </c>
      <c r="AB2752" s="93">
        <f>AD2752/AC2741</f>
        <v>85</v>
      </c>
      <c r="AC2752" s="93">
        <f>AC2741/AA2752</f>
        <v>2.4499999999999997</v>
      </c>
      <c r="AD2752" s="94">
        <f>AC2752*Z2752</f>
        <v>41.65</v>
      </c>
      <c r="AE2752" s="190"/>
      <c r="AF2752" s="191"/>
      <c r="AG2752" s="191"/>
      <c r="AH2752" s="191"/>
      <c r="AI2752" s="186"/>
      <c r="AK2752" s="171"/>
    </row>
    <row r="2753" spans="1:37" s="102" customFormat="1" ht="19.899999999999999" customHeight="1" x14ac:dyDescent="0.25">
      <c r="A2753" s="45"/>
      <c r="B2753" s="59"/>
      <c r="C2753" s="137"/>
      <c r="D2753" s="59"/>
      <c r="E2753" s="116"/>
      <c r="F2753" s="120"/>
      <c r="G2753" s="120"/>
      <c r="H2753" s="120"/>
      <c r="I2753" s="60"/>
      <c r="J2753" s="116"/>
      <c r="K2753" s="213"/>
      <c r="L2753" s="120"/>
      <c r="M2753" s="120"/>
      <c r="N2753" s="167"/>
      <c r="O2753" s="120"/>
      <c r="P2753" s="120"/>
      <c r="Q2753" s="120"/>
      <c r="R2753" s="120"/>
      <c r="S2753" s="120"/>
      <c r="T2753" s="221"/>
      <c r="U2753" s="89"/>
      <c r="V2753" s="61"/>
      <c r="W2753" s="92" t="s">
        <v>112</v>
      </c>
      <c r="X2753" s="93" t="s">
        <v>31</v>
      </c>
      <c r="Y2753" s="93" t="s">
        <v>93</v>
      </c>
      <c r="Z2753" s="134">
        <f>VLOOKUP(W2753,Sheet2!$B:$D,3,FALSE)</f>
        <v>13</v>
      </c>
      <c r="AA2753" s="93">
        <f>AA2752</f>
        <v>0.2</v>
      </c>
      <c r="AB2753" s="93">
        <f>AD2753/AC2741</f>
        <v>65</v>
      </c>
      <c r="AC2753" s="93">
        <f>AC2741/AA2753</f>
        <v>2.4499999999999997</v>
      </c>
      <c r="AD2753" s="94">
        <f>AC2753*Z2753</f>
        <v>31.849999999999998</v>
      </c>
      <c r="AE2753" s="190"/>
      <c r="AF2753" s="191"/>
      <c r="AG2753" s="191"/>
      <c r="AH2753" s="191"/>
      <c r="AI2753" s="186"/>
      <c r="AK2753" s="171"/>
    </row>
    <row r="2754" spans="1:37" s="103" customFormat="1" ht="19.899999999999999" customHeight="1" x14ac:dyDescent="0.25">
      <c r="A2754" s="51"/>
      <c r="B2754" s="52"/>
      <c r="C2754" s="165"/>
      <c r="D2754" s="52"/>
      <c r="E2754" s="115"/>
      <c r="F2754" s="58"/>
      <c r="G2754" s="58"/>
      <c r="H2754" s="58"/>
      <c r="I2754" s="55"/>
      <c r="J2754" s="113">
        <f>J2735</f>
        <v>0.49</v>
      </c>
      <c r="K2754" s="212">
        <f>K2735</f>
        <v>0.49</v>
      </c>
      <c r="L2754" s="58"/>
      <c r="M2754" s="58">
        <f>K2754-L2754</f>
        <v>0.49</v>
      </c>
      <c r="N2754" s="166"/>
      <c r="O2754" s="58"/>
      <c r="P2754" s="58"/>
      <c r="Q2754" s="58"/>
      <c r="R2754" s="58"/>
      <c r="S2754" s="58"/>
      <c r="T2754" s="220"/>
      <c r="U2754" s="88"/>
      <c r="V2754" s="56"/>
      <c r="W2754" s="57" t="s">
        <v>1358</v>
      </c>
      <c r="X2754" s="53"/>
      <c r="Y2754" s="91" t="s">
        <v>35</v>
      </c>
      <c r="Z2754" s="136">
        <f>AD2754/AC2754</f>
        <v>2799.9999999999995</v>
      </c>
      <c r="AA2754" s="58"/>
      <c r="AB2754" s="53">
        <f>AD2754/AC2754</f>
        <v>2799.9999999999995</v>
      </c>
      <c r="AC2754" s="53">
        <f>M2754+$AE$10</f>
        <v>0.49</v>
      </c>
      <c r="AD2754" s="54">
        <f>SUM(AD2755:AD2756)</f>
        <v>1371.9999999999998</v>
      </c>
      <c r="AE2754" s="184">
        <f>SUMIFS($AD$37:$AD$12971,$V$37:$V$12971,$V2754,$X$37:$X$12971,AE$13)</f>
        <v>0</v>
      </c>
      <c r="AF2754" s="185">
        <f>SUMIFS($AD$37:$AD$12971,$V$37:$V$12971,$V2754,$X$37:$X$12971,AF$13)</f>
        <v>0</v>
      </c>
      <c r="AG2754" s="185">
        <f>SUMIFS($AD$37:$AD$12971,$V$37:$V$12971,$V2754,$X$37:$X$12971,AG$13)</f>
        <v>0</v>
      </c>
      <c r="AH2754" s="187">
        <f>SUMIFS($AD$37:$AD$12971,$V$37:$V$12971,$V2754,$X$37:$X$12971,AH$13)</f>
        <v>0</v>
      </c>
      <c r="AI2754" s="161">
        <f t="shared" ref="AI2754" si="2151">SUM(AE2754:AH2754)</f>
        <v>0</v>
      </c>
      <c r="AK2754" s="172"/>
    </row>
    <row r="2755" spans="1:37" s="102" customFormat="1" ht="19.899999999999999" customHeight="1" x14ac:dyDescent="0.25">
      <c r="A2755" s="45"/>
      <c r="B2755" s="59"/>
      <c r="C2755" s="137"/>
      <c r="D2755" s="59"/>
      <c r="E2755" s="116"/>
      <c r="F2755" s="120"/>
      <c r="G2755" s="120"/>
      <c r="H2755" s="120"/>
      <c r="I2755" s="60"/>
      <c r="J2755" s="116"/>
      <c r="K2755" s="213"/>
      <c r="L2755" s="120"/>
      <c r="M2755" s="120"/>
      <c r="N2755" s="167"/>
      <c r="O2755" s="120"/>
      <c r="P2755" s="120"/>
      <c r="Q2755" s="120"/>
      <c r="R2755" s="120"/>
      <c r="S2755" s="120"/>
      <c r="T2755" s="221"/>
      <c r="U2755" s="89"/>
      <c r="V2755" s="61"/>
      <c r="W2755" s="92" t="s">
        <v>1359</v>
      </c>
      <c r="X2755" s="93" t="s">
        <v>32</v>
      </c>
      <c r="Y2755" s="93" t="s">
        <v>64</v>
      </c>
      <c r="Z2755" s="134">
        <f>VLOOKUP(W2755,Sheet2!$B:$D,3,FALSE)</f>
        <v>40</v>
      </c>
      <c r="AA2755" s="93">
        <f>1/40</f>
        <v>2.5000000000000001E-2</v>
      </c>
      <c r="AB2755" s="93">
        <f t="shared" ref="AB2755" si="2152">AD2755/AC2754</f>
        <v>1599.9999999999998</v>
      </c>
      <c r="AC2755" s="93">
        <f>AC2754/AA2755</f>
        <v>19.599999999999998</v>
      </c>
      <c r="AD2755" s="94">
        <f t="shared" ref="AD2755:AD2756" si="2153">AC2755*Z2755</f>
        <v>783.99999999999989</v>
      </c>
      <c r="AE2755" s="190"/>
      <c r="AF2755" s="191"/>
      <c r="AG2755" s="191"/>
      <c r="AH2755" s="191"/>
      <c r="AI2755" s="186"/>
      <c r="AK2755" s="171"/>
    </row>
    <row r="2756" spans="1:37" s="102" customFormat="1" ht="19.899999999999999" customHeight="1" x14ac:dyDescent="0.25">
      <c r="A2756" s="45"/>
      <c r="B2756" s="59"/>
      <c r="C2756" s="137"/>
      <c r="D2756" s="59"/>
      <c r="E2756" s="116"/>
      <c r="F2756" s="120"/>
      <c r="G2756" s="120"/>
      <c r="H2756" s="120"/>
      <c r="I2756" s="60"/>
      <c r="J2756" s="116"/>
      <c r="K2756" s="213"/>
      <c r="L2756" s="120"/>
      <c r="M2756" s="120"/>
      <c r="N2756" s="167"/>
      <c r="O2756" s="120"/>
      <c r="P2756" s="120"/>
      <c r="Q2756" s="120"/>
      <c r="R2756" s="120"/>
      <c r="S2756" s="120"/>
      <c r="T2756" s="221"/>
      <c r="U2756" s="89"/>
      <c r="V2756" s="61"/>
      <c r="W2756" s="92" t="s">
        <v>1360</v>
      </c>
      <c r="X2756" s="93" t="s">
        <v>32</v>
      </c>
      <c r="Y2756" s="93" t="s">
        <v>64</v>
      </c>
      <c r="Z2756" s="134">
        <f>VLOOKUP(W2756,Sheet2!$B:$D,3,FALSE)</f>
        <v>30</v>
      </c>
      <c r="AA2756" s="93">
        <f>AA2755</f>
        <v>2.5000000000000001E-2</v>
      </c>
      <c r="AB2756" s="93">
        <f>AD2756/AC2754</f>
        <v>1199.9999999999998</v>
      </c>
      <c r="AC2756" s="93">
        <f>AC2754/AA2756</f>
        <v>19.599999999999998</v>
      </c>
      <c r="AD2756" s="94">
        <f t="shared" si="2153"/>
        <v>587.99999999999989</v>
      </c>
      <c r="AE2756" s="190"/>
      <c r="AF2756" s="191"/>
      <c r="AG2756" s="191"/>
      <c r="AH2756" s="191"/>
      <c r="AI2756" s="186"/>
      <c r="AK2756" s="171"/>
    </row>
    <row r="2757" spans="1:37" s="103" customFormat="1" ht="19.899999999999999" customHeight="1" x14ac:dyDescent="0.25">
      <c r="A2757" s="51"/>
      <c r="B2757" s="52"/>
      <c r="C2757" s="165"/>
      <c r="D2757" s="52"/>
      <c r="E2757" s="115"/>
      <c r="F2757" s="58"/>
      <c r="G2757" s="58"/>
      <c r="H2757" s="58"/>
      <c r="I2757" s="55"/>
      <c r="J2757" s="113">
        <f>J2735</f>
        <v>0.49</v>
      </c>
      <c r="K2757" s="212">
        <f>K2735</f>
        <v>0.49</v>
      </c>
      <c r="L2757" s="58"/>
      <c r="M2757" s="58">
        <f>K2757-L2757</f>
        <v>0.49</v>
      </c>
      <c r="N2757" s="166"/>
      <c r="O2757" s="58"/>
      <c r="P2757" s="58"/>
      <c r="Q2757" s="58"/>
      <c r="R2757" s="58"/>
      <c r="S2757" s="58"/>
      <c r="T2757" s="220"/>
      <c r="U2757" s="88"/>
      <c r="V2757" s="56"/>
      <c r="W2757" s="57" t="s">
        <v>1272</v>
      </c>
      <c r="X2757" s="53"/>
      <c r="Y2757" s="91" t="s">
        <v>35</v>
      </c>
      <c r="Z2757" s="136">
        <f>AD2757/AC2757</f>
        <v>209.08263529411764</v>
      </c>
      <c r="AA2757" s="58"/>
      <c r="AB2757" s="53">
        <f>AD2757/AC2757</f>
        <v>209.08263529411764</v>
      </c>
      <c r="AC2757" s="53">
        <f>M2757+$AE$10</f>
        <v>0.49</v>
      </c>
      <c r="AD2757" s="54">
        <f>SUM(AD2758:AD2766)</f>
        <v>102.45049129411764</v>
      </c>
      <c r="AE2757" s="184">
        <f>SUMIFS($AD$37:$AD$12971,$V$37:$V$12971,$V2757,$X$37:$X$12971,AE$13)</f>
        <v>0</v>
      </c>
      <c r="AF2757" s="185">
        <f>SUMIFS($AD$37:$AD$12971,$V$37:$V$12971,$V2757,$X$37:$X$12971,AF$13)</f>
        <v>0</v>
      </c>
      <c r="AG2757" s="185">
        <f>SUMIFS($AD$37:$AD$12971,$V$37:$V$12971,$V2757,$X$37:$X$12971,AG$13)</f>
        <v>0</v>
      </c>
      <c r="AH2757" s="187">
        <f>SUMIFS($AD$37:$AD$12971,$V$37:$V$12971,$V2757,$X$37:$X$12971,AH$13)</f>
        <v>0</v>
      </c>
      <c r="AI2757" s="161">
        <f t="shared" ref="AI2757" si="2154">SUM(AE2757:AH2757)</f>
        <v>0</v>
      </c>
      <c r="AK2757" s="172"/>
    </row>
    <row r="2758" spans="1:37" s="102" customFormat="1" ht="19.899999999999999" customHeight="1" x14ac:dyDescent="0.25">
      <c r="A2758" s="45"/>
      <c r="B2758" s="59"/>
      <c r="C2758" s="137"/>
      <c r="D2758" s="59"/>
      <c r="E2758" s="116"/>
      <c r="F2758" s="120"/>
      <c r="G2758" s="120"/>
      <c r="H2758" s="120"/>
      <c r="I2758" s="60"/>
      <c r="J2758" s="116"/>
      <c r="K2758" s="213"/>
      <c r="L2758" s="120"/>
      <c r="M2758" s="120"/>
      <c r="N2758" s="167"/>
      <c r="O2758" s="120"/>
      <c r="P2758" s="120"/>
      <c r="Q2758" s="120"/>
      <c r="R2758" s="120"/>
      <c r="S2758" s="120"/>
      <c r="T2758" s="221"/>
      <c r="U2758" s="89"/>
      <c r="V2758" s="61"/>
      <c r="W2758" s="92" t="s">
        <v>1273</v>
      </c>
      <c r="X2758" s="93" t="s">
        <v>30</v>
      </c>
      <c r="Y2758" s="93" t="s">
        <v>66</v>
      </c>
      <c r="Z2758" s="134">
        <f>VLOOKUP(W2758,Sheet2!$B:$D,3,FALSE)</f>
        <v>10</v>
      </c>
      <c r="AA2758" s="93">
        <f>1/(2.5*2.4*0.5*4)</f>
        <v>8.3333333333333329E-2</v>
      </c>
      <c r="AB2758" s="93">
        <f>AD2758/AC2757</f>
        <v>120</v>
      </c>
      <c r="AC2758" s="93">
        <f>AC2757/AA2758</f>
        <v>5.88</v>
      </c>
      <c r="AD2758" s="94">
        <f t="shared" ref="AD2758:AD2760" si="2155">AC2758*Z2758</f>
        <v>58.8</v>
      </c>
      <c r="AE2758" s="190"/>
      <c r="AF2758" s="191"/>
      <c r="AG2758" s="191"/>
      <c r="AH2758" s="191"/>
      <c r="AI2758" s="186"/>
      <c r="AK2758" s="171"/>
    </row>
    <row r="2759" spans="1:37" s="102" customFormat="1" ht="19.899999999999999" customHeight="1" x14ac:dyDescent="0.25">
      <c r="A2759" s="45"/>
      <c r="B2759" s="59"/>
      <c r="C2759" s="137"/>
      <c r="D2759" s="59"/>
      <c r="E2759" s="116"/>
      <c r="F2759" s="120"/>
      <c r="G2759" s="120"/>
      <c r="H2759" s="120"/>
      <c r="I2759" s="60"/>
      <c r="J2759" s="116"/>
      <c r="K2759" s="213"/>
      <c r="L2759" s="120"/>
      <c r="M2759" s="120"/>
      <c r="N2759" s="167"/>
      <c r="O2759" s="120"/>
      <c r="P2759" s="120"/>
      <c r="Q2759" s="120"/>
      <c r="R2759" s="120"/>
      <c r="S2759" s="120"/>
      <c r="T2759" s="221"/>
      <c r="U2759" s="89"/>
      <c r="V2759" s="61"/>
      <c r="W2759" s="92" t="s">
        <v>134</v>
      </c>
      <c r="X2759" s="93" t="s">
        <v>29</v>
      </c>
      <c r="Y2759" s="93" t="s">
        <v>93</v>
      </c>
      <c r="Z2759" s="134">
        <f>VLOOKUP(W2759,Sheet2!$B:$D,3,FALSE)</f>
        <v>65.599999999999994</v>
      </c>
      <c r="AA2759" s="93">
        <f>100/(2.5*2.4*0.5*4)</f>
        <v>8.3333333333333339</v>
      </c>
      <c r="AB2759" s="93">
        <f t="shared" ref="AB2759" si="2156">AD2759/AC2757</f>
        <v>7.871999999999999</v>
      </c>
      <c r="AC2759" s="93">
        <f>AC2757/AA2759</f>
        <v>5.8799999999999998E-2</v>
      </c>
      <c r="AD2759" s="94">
        <f t="shared" si="2155"/>
        <v>3.8572799999999994</v>
      </c>
      <c r="AE2759" s="190"/>
      <c r="AF2759" s="191"/>
      <c r="AG2759" s="191"/>
      <c r="AH2759" s="191"/>
      <c r="AI2759" s="186"/>
      <c r="AK2759" s="171"/>
    </row>
    <row r="2760" spans="1:37" s="102" customFormat="1" ht="19.899999999999999" customHeight="1" x14ac:dyDescent="0.25">
      <c r="A2760" s="45"/>
      <c r="B2760" s="59"/>
      <c r="C2760" s="137"/>
      <c r="D2760" s="59"/>
      <c r="E2760" s="116"/>
      <c r="F2760" s="120"/>
      <c r="G2760" s="120"/>
      <c r="H2760" s="120"/>
      <c r="I2760" s="60"/>
      <c r="J2760" s="116"/>
      <c r="K2760" s="213"/>
      <c r="L2760" s="120"/>
      <c r="M2760" s="120"/>
      <c r="N2760" s="167"/>
      <c r="O2760" s="120"/>
      <c r="P2760" s="120"/>
      <c r="Q2760" s="120"/>
      <c r="R2760" s="120"/>
      <c r="S2760" s="120"/>
      <c r="T2760" s="221"/>
      <c r="U2760" s="89"/>
      <c r="V2760" s="61"/>
      <c r="W2760" s="92" t="s">
        <v>65</v>
      </c>
      <c r="X2760" s="93" t="s">
        <v>30</v>
      </c>
      <c r="Y2760" s="93" t="s">
        <v>1011</v>
      </c>
      <c r="Z2760" s="134">
        <f>VLOOKUP(W2760,Sheet2!$B:$D,3,FALSE)</f>
        <v>1.76</v>
      </c>
      <c r="AA2760" s="93">
        <f>AA2759/9</f>
        <v>0.92592592592592604</v>
      </c>
      <c r="AB2760" s="93">
        <f>AD2760/AC2757</f>
        <v>1.9007999999999996</v>
      </c>
      <c r="AC2760" s="93">
        <f>AC2757/AA2760</f>
        <v>0.52919999999999989</v>
      </c>
      <c r="AD2760" s="94">
        <f t="shared" si="2155"/>
        <v>0.93139199999999978</v>
      </c>
      <c r="AE2760" s="190"/>
      <c r="AF2760" s="191"/>
      <c r="AG2760" s="191"/>
      <c r="AH2760" s="191"/>
      <c r="AI2760" s="186"/>
      <c r="AK2760" s="171"/>
    </row>
    <row r="2761" spans="1:37" s="102" customFormat="1" ht="19.899999999999999" customHeight="1" x14ac:dyDescent="0.25">
      <c r="A2761" s="45"/>
      <c r="B2761" s="59"/>
      <c r="C2761" s="137"/>
      <c r="D2761" s="59"/>
      <c r="E2761" s="116"/>
      <c r="F2761" s="120"/>
      <c r="G2761" s="120"/>
      <c r="H2761" s="120"/>
      <c r="I2761" s="60"/>
      <c r="J2761" s="116"/>
      <c r="K2761" s="213"/>
      <c r="L2761" s="120"/>
      <c r="M2761" s="120"/>
      <c r="N2761" s="167"/>
      <c r="O2761" s="120"/>
      <c r="P2761" s="120"/>
      <c r="Q2761" s="120"/>
      <c r="R2761" s="120"/>
      <c r="S2761" s="120"/>
      <c r="T2761" s="221"/>
      <c r="U2761" s="89"/>
      <c r="V2761" s="61"/>
      <c r="W2761" s="92" t="s">
        <v>161</v>
      </c>
      <c r="X2761" s="93" t="s">
        <v>29</v>
      </c>
      <c r="Y2761" s="93" t="s">
        <v>93</v>
      </c>
      <c r="Z2761" s="134">
        <f>VLOOKUP(W2761,Sheet2!$B:$D,3,FALSE)</f>
        <v>48</v>
      </c>
      <c r="AA2761" s="93">
        <f>(16*0.85*1.5)/(2.5*2.4*0.5*4)</f>
        <v>1.7</v>
      </c>
      <c r="AB2761" s="93">
        <f>AD2761/AC2757</f>
        <v>28.235294117647058</v>
      </c>
      <c r="AC2761" s="93">
        <f>AC2757/AA2761</f>
        <v>0.28823529411764703</v>
      </c>
      <c r="AD2761" s="94">
        <f>AC2761*Z2761</f>
        <v>13.835294117647058</v>
      </c>
      <c r="AE2761" s="190"/>
      <c r="AF2761" s="191"/>
      <c r="AG2761" s="191"/>
      <c r="AH2761" s="191"/>
      <c r="AI2761" s="186"/>
      <c r="AK2761" s="171"/>
    </row>
    <row r="2762" spans="1:37" s="102" customFormat="1" ht="19.899999999999999" customHeight="1" x14ac:dyDescent="0.25">
      <c r="A2762" s="45"/>
      <c r="B2762" s="59"/>
      <c r="C2762" s="137"/>
      <c r="D2762" s="59"/>
      <c r="E2762" s="116"/>
      <c r="F2762" s="120"/>
      <c r="G2762" s="120"/>
      <c r="H2762" s="120"/>
      <c r="I2762" s="60"/>
      <c r="J2762" s="116"/>
      <c r="K2762" s="213"/>
      <c r="L2762" s="120"/>
      <c r="M2762" s="120"/>
      <c r="N2762" s="167"/>
      <c r="O2762" s="120"/>
      <c r="P2762" s="120"/>
      <c r="Q2762" s="120"/>
      <c r="R2762" s="120"/>
      <c r="S2762" s="120"/>
      <c r="T2762" s="221"/>
      <c r="U2762" s="89"/>
      <c r="V2762" s="61"/>
      <c r="W2762" s="92" t="s">
        <v>65</v>
      </c>
      <c r="X2762" s="93" t="s">
        <v>30</v>
      </c>
      <c r="Y2762" s="93" t="s">
        <v>1011</v>
      </c>
      <c r="Z2762" s="134">
        <f>VLOOKUP(W2762,Sheet2!$B:$D,3,FALSE)</f>
        <v>1.76</v>
      </c>
      <c r="AA2762" s="93">
        <f>AA2761/10</f>
        <v>0.16999999999999998</v>
      </c>
      <c r="AB2762" s="93">
        <f>AD2762/AC2757</f>
        <v>10.352941176470591</v>
      </c>
      <c r="AC2762" s="93">
        <f>AC2757/AA2762</f>
        <v>2.882352941176471</v>
      </c>
      <c r="AD2762" s="94">
        <f>AC2762*Z2762</f>
        <v>5.0729411764705894</v>
      </c>
      <c r="AE2762" s="190"/>
      <c r="AF2762" s="191"/>
      <c r="AG2762" s="191"/>
      <c r="AH2762" s="191"/>
      <c r="AI2762" s="186"/>
      <c r="AK2762" s="171"/>
    </row>
    <row r="2763" spans="1:37" s="102" customFormat="1" ht="19.899999999999999" customHeight="1" x14ac:dyDescent="0.25">
      <c r="A2763" s="45"/>
      <c r="B2763" s="59"/>
      <c r="C2763" s="137"/>
      <c r="D2763" s="59"/>
      <c r="E2763" s="116"/>
      <c r="F2763" s="120"/>
      <c r="G2763" s="120"/>
      <c r="H2763" s="120"/>
      <c r="I2763" s="60"/>
      <c r="J2763" s="116"/>
      <c r="K2763" s="213"/>
      <c r="L2763" s="120"/>
      <c r="M2763" s="120"/>
      <c r="N2763" s="167"/>
      <c r="O2763" s="120"/>
      <c r="P2763" s="120"/>
      <c r="Q2763" s="120"/>
      <c r="R2763" s="120"/>
      <c r="S2763" s="120"/>
      <c r="T2763" s="221"/>
      <c r="U2763" s="89"/>
      <c r="V2763" s="61"/>
      <c r="W2763" s="92" t="s">
        <v>173</v>
      </c>
      <c r="X2763" s="93" t="s">
        <v>29</v>
      </c>
      <c r="Y2763" s="93" t="s">
        <v>93</v>
      </c>
      <c r="Z2763" s="134">
        <f>VLOOKUP(W2763,Sheet2!$B:$D,3,FALSE)</f>
        <v>36</v>
      </c>
      <c r="AA2763" s="93">
        <f>50/(2.5*2.4*0.5*4)</f>
        <v>4.166666666666667</v>
      </c>
      <c r="AB2763" s="93">
        <f>AD2763/AC2757</f>
        <v>8.64</v>
      </c>
      <c r="AC2763" s="93">
        <f>AC2757/AA2763</f>
        <v>0.1176</v>
      </c>
      <c r="AD2763" s="94">
        <f>AC2763*Z2763</f>
        <v>4.2336</v>
      </c>
      <c r="AE2763" s="190"/>
      <c r="AF2763" s="191"/>
      <c r="AG2763" s="191"/>
      <c r="AH2763" s="191"/>
      <c r="AI2763" s="186"/>
      <c r="AK2763" s="171"/>
    </row>
    <row r="2764" spans="1:37" s="102" customFormat="1" ht="19.899999999999999" customHeight="1" x14ac:dyDescent="0.25">
      <c r="A2764" s="45"/>
      <c r="B2764" s="59"/>
      <c r="C2764" s="137"/>
      <c r="D2764" s="59"/>
      <c r="E2764" s="116"/>
      <c r="F2764" s="120"/>
      <c r="G2764" s="120"/>
      <c r="H2764" s="120"/>
      <c r="I2764" s="60"/>
      <c r="J2764" s="116"/>
      <c r="K2764" s="213"/>
      <c r="L2764" s="120"/>
      <c r="M2764" s="120"/>
      <c r="N2764" s="167"/>
      <c r="O2764" s="120"/>
      <c r="P2764" s="120"/>
      <c r="Q2764" s="120"/>
      <c r="R2764" s="120"/>
      <c r="S2764" s="120"/>
      <c r="T2764" s="221"/>
      <c r="U2764" s="89"/>
      <c r="V2764" s="61"/>
      <c r="W2764" s="92" t="s">
        <v>65</v>
      </c>
      <c r="X2764" s="93" t="s">
        <v>30</v>
      </c>
      <c r="Y2764" s="93" t="s">
        <v>1011</v>
      </c>
      <c r="Z2764" s="134">
        <f>VLOOKUP(W2764,Sheet2!$B:$D,3,FALSE)</f>
        <v>1.76</v>
      </c>
      <c r="AA2764" s="93">
        <f>AA2763/9</f>
        <v>0.46296296296296302</v>
      </c>
      <c r="AB2764" s="93">
        <f>AD2764/AC2757</f>
        <v>3.8015999999999992</v>
      </c>
      <c r="AC2764" s="93">
        <f>AC2757/AA2764</f>
        <v>1.0583999999999998</v>
      </c>
      <c r="AD2764" s="94">
        <f>AC2764*Z2764</f>
        <v>1.8627839999999996</v>
      </c>
      <c r="AE2764" s="190"/>
      <c r="AF2764" s="191"/>
      <c r="AG2764" s="191"/>
      <c r="AH2764" s="191"/>
      <c r="AI2764" s="186"/>
      <c r="AK2764" s="171"/>
    </row>
    <row r="2765" spans="1:37" s="102" customFormat="1" ht="19.899999999999999" customHeight="1" x14ac:dyDescent="0.25">
      <c r="A2765" s="45"/>
      <c r="B2765" s="59"/>
      <c r="C2765" s="137"/>
      <c r="D2765" s="59"/>
      <c r="E2765" s="116"/>
      <c r="F2765" s="120"/>
      <c r="G2765" s="120"/>
      <c r="H2765" s="120"/>
      <c r="I2765" s="60"/>
      <c r="J2765" s="116"/>
      <c r="K2765" s="213"/>
      <c r="L2765" s="120"/>
      <c r="M2765" s="120"/>
      <c r="N2765" s="167"/>
      <c r="O2765" s="120"/>
      <c r="P2765" s="120"/>
      <c r="Q2765" s="120"/>
      <c r="R2765" s="120"/>
      <c r="S2765" s="120"/>
      <c r="T2765" s="221"/>
      <c r="U2765" s="89"/>
      <c r="V2765" s="61"/>
      <c r="W2765" s="92" t="s">
        <v>1030</v>
      </c>
      <c r="X2765" s="93" t="s">
        <v>29</v>
      </c>
      <c r="Y2765" s="93" t="s">
        <v>93</v>
      </c>
      <c r="Z2765" s="134">
        <f>VLOOKUP(W2765,Sheet2!$B:$D,3,FALSE)</f>
        <v>23</v>
      </c>
      <c r="AA2765" s="93">
        <v>1</v>
      </c>
      <c r="AB2765" s="93">
        <f>AD2765/AC2757</f>
        <v>23</v>
      </c>
      <c r="AC2765" s="93">
        <f>AC2757/AA2765</f>
        <v>0.49</v>
      </c>
      <c r="AD2765" s="94">
        <f t="shared" ref="AD2765:AD2766" si="2157">AC2765*Z2765</f>
        <v>11.27</v>
      </c>
      <c r="AE2765" s="190"/>
      <c r="AF2765" s="191"/>
      <c r="AG2765" s="191"/>
      <c r="AH2765" s="191"/>
      <c r="AI2765" s="186"/>
      <c r="AK2765" s="171"/>
    </row>
    <row r="2766" spans="1:37" s="102" customFormat="1" ht="19.899999999999999" customHeight="1" x14ac:dyDescent="0.25">
      <c r="A2766" s="45"/>
      <c r="B2766" s="59"/>
      <c r="C2766" s="137"/>
      <c r="D2766" s="59"/>
      <c r="E2766" s="116"/>
      <c r="F2766" s="120"/>
      <c r="G2766" s="120"/>
      <c r="H2766" s="120"/>
      <c r="I2766" s="60"/>
      <c r="J2766" s="116"/>
      <c r="K2766" s="213"/>
      <c r="L2766" s="120"/>
      <c r="M2766" s="120"/>
      <c r="N2766" s="167"/>
      <c r="O2766" s="120"/>
      <c r="P2766" s="120"/>
      <c r="Q2766" s="120"/>
      <c r="R2766" s="120"/>
      <c r="S2766" s="120"/>
      <c r="T2766" s="221"/>
      <c r="U2766" s="89"/>
      <c r="V2766" s="61"/>
      <c r="W2766" s="92" t="s">
        <v>65</v>
      </c>
      <c r="X2766" s="93" t="s">
        <v>30</v>
      </c>
      <c r="Y2766" s="93" t="s">
        <v>1011</v>
      </c>
      <c r="Z2766" s="134">
        <f>VLOOKUP(W2766,Sheet2!$B:$D,3,FALSE)</f>
        <v>1.76</v>
      </c>
      <c r="AA2766" s="93">
        <f>AA2765/3</f>
        <v>0.33333333333333331</v>
      </c>
      <c r="AB2766" s="93">
        <f>AD2766/AC2757</f>
        <v>5.28</v>
      </c>
      <c r="AC2766" s="93">
        <f>AC2757/AA2766</f>
        <v>1.47</v>
      </c>
      <c r="AD2766" s="94">
        <f t="shared" si="2157"/>
        <v>2.5872000000000002</v>
      </c>
      <c r="AE2766" s="190"/>
      <c r="AF2766" s="191"/>
      <c r="AG2766" s="191"/>
      <c r="AH2766" s="191"/>
      <c r="AI2766" s="186"/>
      <c r="AK2766" s="171"/>
    </row>
    <row r="2767" spans="1:37" s="306" customFormat="1" ht="30" x14ac:dyDescent="0.25">
      <c r="A2767" s="287" t="s">
        <v>410</v>
      </c>
      <c r="B2767" s="288"/>
      <c r="C2767" s="286" t="s">
        <v>1467</v>
      </c>
      <c r="D2767" s="289"/>
      <c r="E2767" s="290"/>
      <c r="F2767" s="291"/>
      <c r="G2767" s="291">
        <f t="shared" ref="G2767" si="2158">F2767*E2767</f>
        <v>0</v>
      </c>
      <c r="H2767" s="291">
        <f t="shared" ref="H2767" si="2159">AB2767</f>
        <v>0</v>
      </c>
      <c r="I2767" s="292">
        <f t="shared" ref="I2767" si="2160">H2767*E2767</f>
        <v>0</v>
      </c>
      <c r="J2767" s="290">
        <f t="shared" ref="J2767" si="2161">E2767</f>
        <v>0</v>
      </c>
      <c r="K2767" s="293">
        <f t="shared" ref="K2767" si="2162">J2767</f>
        <v>0</v>
      </c>
      <c r="L2767" s="291"/>
      <c r="M2767" s="291">
        <f t="shared" ref="M2767" si="2163">K2767-L2767</f>
        <v>0</v>
      </c>
      <c r="N2767" s="294">
        <f t="shared" ref="N2767" si="2164">IFERROR(M2767/K2767,0)</f>
        <v>0</v>
      </c>
      <c r="O2767" s="291">
        <f t="shared" ref="O2767" si="2165">F2767</f>
        <v>0</v>
      </c>
      <c r="P2767" s="291">
        <f t="shared" ref="P2767" si="2166">K2767*O2767</f>
        <v>0</v>
      </c>
      <c r="Q2767" s="291">
        <f t="shared" ref="Q2767" si="2167">AB2767</f>
        <v>0</v>
      </c>
      <c r="R2767" s="291">
        <f t="shared" ref="R2767" si="2168">M2767*Q2767</f>
        <v>0</v>
      </c>
      <c r="S2767" s="291"/>
      <c r="T2767" s="295">
        <f t="shared" ref="T2767" si="2169">S2767+R2767</f>
        <v>0</v>
      </c>
      <c r="U2767" s="296"/>
      <c r="V2767" s="297"/>
      <c r="W2767" s="298"/>
      <c r="X2767" s="299"/>
      <c r="Y2767" s="300"/>
      <c r="Z2767" s="301"/>
      <c r="AA2767" s="300"/>
      <c r="AB2767" s="300">
        <f t="shared" ref="AB2767" si="2170">AD2767/AC2767</f>
        <v>0</v>
      </c>
      <c r="AC2767" s="300">
        <f t="shared" ref="AC2767" si="2171">M2767+$AE$10</f>
        <v>9.9999999999999998E-20</v>
      </c>
      <c r="AD2767" s="302"/>
      <c r="AE2767" s="303"/>
      <c r="AF2767" s="304"/>
      <c r="AG2767" s="304"/>
      <c r="AH2767" s="304"/>
      <c r="AI2767" s="305"/>
      <c r="AK2767" s="307"/>
    </row>
    <row r="2768" spans="1:37" s="306" customFormat="1" ht="20.100000000000001" customHeight="1" x14ac:dyDescent="0.25">
      <c r="A2768" s="287" t="s">
        <v>410</v>
      </c>
      <c r="B2768" s="288"/>
      <c r="C2768" s="286" t="s">
        <v>377</v>
      </c>
      <c r="D2768" s="289"/>
      <c r="E2768" s="290"/>
      <c r="F2768" s="291"/>
      <c r="G2768" s="291">
        <f t="shared" si="1977"/>
        <v>0</v>
      </c>
      <c r="H2768" s="291">
        <f t="shared" si="1978"/>
        <v>0</v>
      </c>
      <c r="I2768" s="292">
        <f t="shared" si="1979"/>
        <v>0</v>
      </c>
      <c r="J2768" s="290">
        <f t="shared" si="1980"/>
        <v>0</v>
      </c>
      <c r="K2768" s="293">
        <f t="shared" si="1981"/>
        <v>0</v>
      </c>
      <c r="L2768" s="291"/>
      <c r="M2768" s="291">
        <f t="shared" si="1982"/>
        <v>0</v>
      </c>
      <c r="N2768" s="294">
        <f t="shared" si="1983"/>
        <v>0</v>
      </c>
      <c r="O2768" s="291">
        <f t="shared" si="1984"/>
        <v>0</v>
      </c>
      <c r="P2768" s="291">
        <f t="shared" si="1985"/>
        <v>0</v>
      </c>
      <c r="Q2768" s="291">
        <f t="shared" si="1986"/>
        <v>0</v>
      </c>
      <c r="R2768" s="291">
        <f t="shared" si="1987"/>
        <v>0</v>
      </c>
      <c r="S2768" s="291"/>
      <c r="T2768" s="295">
        <f t="shared" si="1988"/>
        <v>0</v>
      </c>
      <c r="U2768" s="296"/>
      <c r="V2768" s="297"/>
      <c r="W2768" s="298"/>
      <c r="X2768" s="299"/>
      <c r="Y2768" s="300"/>
      <c r="Z2768" s="301"/>
      <c r="AA2768" s="300"/>
      <c r="AB2768" s="300">
        <f t="shared" si="1989"/>
        <v>0</v>
      </c>
      <c r="AC2768" s="300">
        <f t="shared" si="1990"/>
        <v>9.9999999999999998E-20</v>
      </c>
      <c r="AD2768" s="302"/>
      <c r="AE2768" s="303"/>
      <c r="AF2768" s="304"/>
      <c r="AG2768" s="304"/>
      <c r="AH2768" s="304"/>
      <c r="AI2768" s="305"/>
      <c r="AK2768" s="307"/>
    </row>
    <row r="2769" spans="1:41" ht="20.100000000000001" customHeight="1" x14ac:dyDescent="0.25">
      <c r="A2769" s="277" t="s">
        <v>410</v>
      </c>
      <c r="B2769" s="278"/>
      <c r="C2769" s="64" t="s">
        <v>483</v>
      </c>
      <c r="D2769" s="46" t="s">
        <v>97</v>
      </c>
      <c r="E2769" s="114"/>
      <c r="F2769" s="44"/>
      <c r="G2769" s="44">
        <f t="shared" si="1977"/>
        <v>0</v>
      </c>
      <c r="H2769" s="44">
        <f t="shared" si="1978"/>
        <v>0</v>
      </c>
      <c r="I2769" s="43">
        <f t="shared" si="1979"/>
        <v>0</v>
      </c>
      <c r="J2769" s="112">
        <f t="shared" si="1980"/>
        <v>0</v>
      </c>
      <c r="K2769" s="211">
        <f t="shared" si="1981"/>
        <v>0</v>
      </c>
      <c r="L2769" s="44"/>
      <c r="M2769" s="44">
        <f t="shared" si="1982"/>
        <v>0</v>
      </c>
      <c r="N2769" s="173">
        <f t="shared" si="1983"/>
        <v>0</v>
      </c>
      <c r="O2769" s="44">
        <f t="shared" si="1984"/>
        <v>0</v>
      </c>
      <c r="P2769" s="44">
        <f t="shared" si="1985"/>
        <v>0</v>
      </c>
      <c r="Q2769" s="44">
        <f t="shared" si="1986"/>
        <v>0</v>
      </c>
      <c r="R2769" s="44">
        <f t="shared" si="1987"/>
        <v>0</v>
      </c>
      <c r="S2769" s="123"/>
      <c r="T2769" s="219">
        <f t="shared" si="1988"/>
        <v>0</v>
      </c>
      <c r="U2769" s="87"/>
      <c r="V2769" s="47"/>
      <c r="W2769" s="48"/>
      <c r="X2769" s="48"/>
      <c r="Y2769" s="48"/>
      <c r="Z2769" s="135"/>
      <c r="AA2769" s="49"/>
      <c r="AB2769" s="50">
        <f t="shared" si="1989"/>
        <v>0</v>
      </c>
      <c r="AC2769" s="42">
        <f t="shared" si="1990"/>
        <v>9.9999999999999998E-20</v>
      </c>
      <c r="AD2769" s="90"/>
      <c r="AE2769" s="188"/>
      <c r="AF2769" s="189"/>
      <c r="AG2769" s="189"/>
      <c r="AH2769" s="189"/>
      <c r="AI2769" s="161"/>
    </row>
    <row r="2770" spans="1:41" ht="20.100000000000001" customHeight="1" x14ac:dyDescent="0.25">
      <c r="A2770" s="277" t="s">
        <v>410</v>
      </c>
      <c r="B2770" s="278"/>
      <c r="C2770" s="64" t="s">
        <v>484</v>
      </c>
      <c r="D2770" s="46" t="s">
        <v>97</v>
      </c>
      <c r="E2770" s="114"/>
      <c r="F2770" s="44"/>
      <c r="G2770" s="44">
        <f t="shared" si="1977"/>
        <v>0</v>
      </c>
      <c r="H2770" s="44">
        <f t="shared" si="1978"/>
        <v>0</v>
      </c>
      <c r="I2770" s="43">
        <f t="shared" si="1979"/>
        <v>0</v>
      </c>
      <c r="J2770" s="112">
        <f t="shared" si="1980"/>
        <v>0</v>
      </c>
      <c r="K2770" s="211">
        <f t="shared" si="1981"/>
        <v>0</v>
      </c>
      <c r="L2770" s="44"/>
      <c r="M2770" s="44">
        <f t="shared" si="1982"/>
        <v>0</v>
      </c>
      <c r="N2770" s="173">
        <f t="shared" si="1983"/>
        <v>0</v>
      </c>
      <c r="O2770" s="44">
        <f t="shared" si="1984"/>
        <v>0</v>
      </c>
      <c r="P2770" s="44">
        <f t="shared" si="1985"/>
        <v>0</v>
      </c>
      <c r="Q2770" s="44">
        <f t="shared" si="1986"/>
        <v>0</v>
      </c>
      <c r="R2770" s="44">
        <f t="shared" si="1987"/>
        <v>0</v>
      </c>
      <c r="S2770" s="123"/>
      <c r="T2770" s="219">
        <f t="shared" si="1988"/>
        <v>0</v>
      </c>
      <c r="U2770" s="87"/>
      <c r="V2770" s="47"/>
      <c r="W2770" s="48"/>
      <c r="X2770" s="48"/>
      <c r="Y2770" s="48"/>
      <c r="Z2770" s="135"/>
      <c r="AA2770" s="49"/>
      <c r="AB2770" s="50">
        <f t="shared" si="1989"/>
        <v>0</v>
      </c>
      <c r="AC2770" s="42">
        <f t="shared" si="1990"/>
        <v>9.9999999999999998E-20</v>
      </c>
      <c r="AD2770" s="90"/>
      <c r="AE2770" s="188"/>
      <c r="AF2770" s="189"/>
      <c r="AG2770" s="189"/>
      <c r="AH2770" s="189"/>
      <c r="AI2770" s="161"/>
    </row>
    <row r="2771" spans="1:41" ht="20.100000000000001" customHeight="1" x14ac:dyDescent="0.25">
      <c r="A2771" s="277" t="s">
        <v>410</v>
      </c>
      <c r="B2771" s="278"/>
      <c r="C2771" s="64" t="s">
        <v>485</v>
      </c>
      <c r="D2771" s="46" t="s">
        <v>97</v>
      </c>
      <c r="E2771" s="114"/>
      <c r="F2771" s="44"/>
      <c r="G2771" s="44">
        <f t="shared" si="1977"/>
        <v>0</v>
      </c>
      <c r="H2771" s="44">
        <f t="shared" si="1978"/>
        <v>0</v>
      </c>
      <c r="I2771" s="43">
        <f t="shared" si="1979"/>
        <v>0</v>
      </c>
      <c r="J2771" s="112">
        <f t="shared" si="1980"/>
        <v>0</v>
      </c>
      <c r="K2771" s="211">
        <f t="shared" si="1981"/>
        <v>0</v>
      </c>
      <c r="L2771" s="44"/>
      <c r="M2771" s="44">
        <f t="shared" si="1982"/>
        <v>0</v>
      </c>
      <c r="N2771" s="173">
        <f t="shared" si="1983"/>
        <v>0</v>
      </c>
      <c r="O2771" s="44">
        <f t="shared" si="1984"/>
        <v>0</v>
      </c>
      <c r="P2771" s="44">
        <f t="shared" si="1985"/>
        <v>0</v>
      </c>
      <c r="Q2771" s="44">
        <f t="shared" si="1986"/>
        <v>0</v>
      </c>
      <c r="R2771" s="44">
        <f t="shared" si="1987"/>
        <v>0</v>
      </c>
      <c r="S2771" s="123"/>
      <c r="T2771" s="219">
        <f t="shared" si="1988"/>
        <v>0</v>
      </c>
      <c r="U2771" s="87"/>
      <c r="V2771" s="47"/>
      <c r="W2771" s="48"/>
      <c r="X2771" s="48"/>
      <c r="Y2771" s="48"/>
      <c r="Z2771" s="135"/>
      <c r="AA2771" s="49"/>
      <c r="AB2771" s="50">
        <f t="shared" si="1989"/>
        <v>0</v>
      </c>
      <c r="AC2771" s="42">
        <f t="shared" si="1990"/>
        <v>9.9999999999999998E-20</v>
      </c>
      <c r="AD2771" s="90"/>
      <c r="AE2771" s="188"/>
      <c r="AF2771" s="189"/>
      <c r="AG2771" s="189"/>
      <c r="AH2771" s="189"/>
      <c r="AI2771" s="161"/>
    </row>
    <row r="2772" spans="1:41" ht="20.100000000000001" customHeight="1" x14ac:dyDescent="0.25">
      <c r="A2772" s="277" t="s">
        <v>410</v>
      </c>
      <c r="B2772" s="278"/>
      <c r="C2772" s="64" t="s">
        <v>486</v>
      </c>
      <c r="D2772" s="46" t="s">
        <v>97</v>
      </c>
      <c r="E2772" s="114"/>
      <c r="F2772" s="44"/>
      <c r="G2772" s="44">
        <f t="shared" si="1977"/>
        <v>0</v>
      </c>
      <c r="H2772" s="44">
        <f t="shared" si="1978"/>
        <v>0</v>
      </c>
      <c r="I2772" s="43">
        <f t="shared" si="1979"/>
        <v>0</v>
      </c>
      <c r="J2772" s="112">
        <f t="shared" si="1980"/>
        <v>0</v>
      </c>
      <c r="K2772" s="211">
        <f t="shared" si="1981"/>
        <v>0</v>
      </c>
      <c r="L2772" s="44"/>
      <c r="M2772" s="44">
        <f t="shared" si="1982"/>
        <v>0</v>
      </c>
      <c r="N2772" s="173">
        <f t="shared" si="1983"/>
        <v>0</v>
      </c>
      <c r="O2772" s="44">
        <f t="shared" si="1984"/>
        <v>0</v>
      </c>
      <c r="P2772" s="44">
        <f t="shared" si="1985"/>
        <v>0</v>
      </c>
      <c r="Q2772" s="44">
        <f t="shared" si="1986"/>
        <v>0</v>
      </c>
      <c r="R2772" s="44">
        <f t="shared" si="1987"/>
        <v>0</v>
      </c>
      <c r="S2772" s="123"/>
      <c r="T2772" s="219">
        <f t="shared" si="1988"/>
        <v>0</v>
      </c>
      <c r="U2772" s="87"/>
      <c r="V2772" s="47"/>
      <c r="W2772" s="48"/>
      <c r="X2772" s="48"/>
      <c r="Y2772" s="48"/>
      <c r="Z2772" s="135"/>
      <c r="AA2772" s="49"/>
      <c r="AB2772" s="50">
        <f t="shared" si="1989"/>
        <v>0</v>
      </c>
      <c r="AC2772" s="42">
        <f t="shared" si="1990"/>
        <v>9.9999999999999998E-20</v>
      </c>
      <c r="AD2772" s="90"/>
      <c r="AE2772" s="188"/>
      <c r="AF2772" s="189"/>
      <c r="AG2772" s="189"/>
      <c r="AH2772" s="189"/>
      <c r="AI2772" s="161"/>
    </row>
    <row r="2773" spans="1:41" ht="20.100000000000001" customHeight="1" x14ac:dyDescent="0.25">
      <c r="A2773" s="277" t="s">
        <v>410</v>
      </c>
      <c r="B2773" s="278"/>
      <c r="C2773" s="64" t="s">
        <v>487</v>
      </c>
      <c r="D2773" s="46" t="s">
        <v>97</v>
      </c>
      <c r="E2773" s="114"/>
      <c r="F2773" s="44"/>
      <c r="G2773" s="44">
        <f t="shared" si="1977"/>
        <v>0</v>
      </c>
      <c r="H2773" s="44">
        <f t="shared" si="1978"/>
        <v>0</v>
      </c>
      <c r="I2773" s="43">
        <f t="shared" si="1979"/>
        <v>0</v>
      </c>
      <c r="J2773" s="112">
        <f t="shared" si="1980"/>
        <v>0</v>
      </c>
      <c r="K2773" s="211">
        <f t="shared" si="1981"/>
        <v>0</v>
      </c>
      <c r="L2773" s="44"/>
      <c r="M2773" s="44">
        <f t="shared" si="1982"/>
        <v>0</v>
      </c>
      <c r="N2773" s="173">
        <f t="shared" si="1983"/>
        <v>0</v>
      </c>
      <c r="O2773" s="44">
        <f t="shared" si="1984"/>
        <v>0</v>
      </c>
      <c r="P2773" s="44">
        <f t="shared" si="1985"/>
        <v>0</v>
      </c>
      <c r="Q2773" s="44">
        <f t="shared" si="1986"/>
        <v>0</v>
      </c>
      <c r="R2773" s="44">
        <f t="shared" si="1987"/>
        <v>0</v>
      </c>
      <c r="S2773" s="123"/>
      <c r="T2773" s="219">
        <f t="shared" si="1988"/>
        <v>0</v>
      </c>
      <c r="U2773" s="87"/>
      <c r="V2773" s="47"/>
      <c r="W2773" s="48"/>
      <c r="X2773" s="48"/>
      <c r="Y2773" s="48"/>
      <c r="Z2773" s="135"/>
      <c r="AA2773" s="49"/>
      <c r="AB2773" s="50">
        <f t="shared" si="1989"/>
        <v>0</v>
      </c>
      <c r="AC2773" s="42">
        <f t="shared" si="1990"/>
        <v>9.9999999999999998E-20</v>
      </c>
      <c r="AD2773" s="90"/>
      <c r="AE2773" s="188"/>
      <c r="AF2773" s="189"/>
      <c r="AG2773" s="189"/>
      <c r="AH2773" s="189"/>
      <c r="AI2773" s="161"/>
    </row>
    <row r="2774" spans="1:41" s="306" customFormat="1" ht="20.100000000000001" customHeight="1" x14ac:dyDescent="0.25">
      <c r="A2774" s="287" t="s">
        <v>410</v>
      </c>
      <c r="B2774" s="288"/>
      <c r="C2774" s="286" t="s">
        <v>858</v>
      </c>
      <c r="D2774" s="289"/>
      <c r="E2774" s="290"/>
      <c r="F2774" s="291"/>
      <c r="G2774" s="291">
        <f t="shared" ref="G2774" si="2172">F2774*E2774</f>
        <v>0</v>
      </c>
      <c r="H2774" s="291">
        <f t="shared" ref="H2774" si="2173">AB2774</f>
        <v>0</v>
      </c>
      <c r="I2774" s="292">
        <f t="shared" ref="I2774" si="2174">H2774*E2774</f>
        <v>0</v>
      </c>
      <c r="J2774" s="290">
        <f t="shared" ref="J2774" si="2175">E2774</f>
        <v>0</v>
      </c>
      <c r="K2774" s="293">
        <f t="shared" ref="K2774" si="2176">J2774</f>
        <v>0</v>
      </c>
      <c r="L2774" s="291"/>
      <c r="M2774" s="291">
        <f t="shared" ref="M2774" si="2177">K2774-L2774</f>
        <v>0</v>
      </c>
      <c r="N2774" s="294">
        <f t="shared" ref="N2774" si="2178">IFERROR(M2774/K2774,0)</f>
        <v>0</v>
      </c>
      <c r="O2774" s="291">
        <f t="shared" ref="O2774" si="2179">F2774</f>
        <v>0</v>
      </c>
      <c r="P2774" s="291">
        <f t="shared" ref="P2774" si="2180">K2774*O2774</f>
        <v>0</v>
      </c>
      <c r="Q2774" s="291">
        <f t="shared" ref="Q2774" si="2181">AB2774</f>
        <v>0</v>
      </c>
      <c r="R2774" s="291">
        <f t="shared" ref="R2774" si="2182">M2774*Q2774</f>
        <v>0</v>
      </c>
      <c r="S2774" s="291"/>
      <c r="T2774" s="295">
        <f t="shared" ref="T2774" si="2183">S2774+R2774</f>
        <v>0</v>
      </c>
      <c r="U2774" s="296"/>
      <c r="V2774" s="297"/>
      <c r="W2774" s="298"/>
      <c r="X2774" s="299"/>
      <c r="Y2774" s="300"/>
      <c r="Z2774" s="301"/>
      <c r="AA2774" s="300"/>
      <c r="AB2774" s="300">
        <f t="shared" ref="AB2774" si="2184">AD2774/AC2774</f>
        <v>0</v>
      </c>
      <c r="AC2774" s="300">
        <f t="shared" ref="AC2774" si="2185">M2774+$AE$10</f>
        <v>9.9999999999999998E-20</v>
      </c>
      <c r="AD2774" s="302"/>
      <c r="AE2774" s="303"/>
      <c r="AF2774" s="304"/>
      <c r="AG2774" s="304"/>
      <c r="AH2774" s="304"/>
      <c r="AI2774" s="305"/>
      <c r="AK2774" s="307"/>
    </row>
    <row r="2775" spans="1:41" s="306" customFormat="1" ht="60" x14ac:dyDescent="0.25">
      <c r="A2775" s="287" t="s">
        <v>410</v>
      </c>
      <c r="B2775" s="288"/>
      <c r="C2775" s="286" t="s">
        <v>385</v>
      </c>
      <c r="D2775" s="289"/>
      <c r="E2775" s="290"/>
      <c r="F2775" s="291"/>
      <c r="G2775" s="291">
        <f t="shared" si="1977"/>
        <v>0</v>
      </c>
      <c r="H2775" s="291">
        <f t="shared" si="1978"/>
        <v>0</v>
      </c>
      <c r="I2775" s="292">
        <f t="shared" si="1979"/>
        <v>0</v>
      </c>
      <c r="J2775" s="290">
        <f t="shared" si="1980"/>
        <v>0</v>
      </c>
      <c r="K2775" s="293">
        <f t="shared" si="1981"/>
        <v>0</v>
      </c>
      <c r="L2775" s="291"/>
      <c r="M2775" s="291">
        <f t="shared" si="1982"/>
        <v>0</v>
      </c>
      <c r="N2775" s="294">
        <f t="shared" si="1983"/>
        <v>0</v>
      </c>
      <c r="O2775" s="291">
        <f t="shared" si="1984"/>
        <v>0</v>
      </c>
      <c r="P2775" s="291">
        <f t="shared" si="1985"/>
        <v>0</v>
      </c>
      <c r="Q2775" s="291">
        <f t="shared" si="1986"/>
        <v>0</v>
      </c>
      <c r="R2775" s="291">
        <f t="shared" si="1987"/>
        <v>0</v>
      </c>
      <c r="S2775" s="291"/>
      <c r="T2775" s="295">
        <f t="shared" si="1988"/>
        <v>0</v>
      </c>
      <c r="U2775" s="296"/>
      <c r="V2775" s="297"/>
      <c r="W2775" s="298"/>
      <c r="X2775" s="299"/>
      <c r="Y2775" s="300"/>
      <c r="Z2775" s="301"/>
      <c r="AA2775" s="300"/>
      <c r="AB2775" s="300">
        <f t="shared" si="1989"/>
        <v>0</v>
      </c>
      <c r="AC2775" s="300">
        <f t="shared" si="1990"/>
        <v>9.9999999999999998E-20</v>
      </c>
      <c r="AD2775" s="302"/>
      <c r="AE2775" s="303"/>
      <c r="AF2775" s="304"/>
      <c r="AG2775" s="304"/>
      <c r="AH2775" s="304"/>
      <c r="AI2775" s="305"/>
      <c r="AK2775" s="307"/>
    </row>
    <row r="2776" spans="1:41" ht="20.100000000000001" customHeight="1" x14ac:dyDescent="0.25">
      <c r="A2776" s="277" t="s">
        <v>410</v>
      </c>
      <c r="B2776" s="278"/>
      <c r="C2776" s="64" t="s">
        <v>483</v>
      </c>
      <c r="D2776" s="46" t="s">
        <v>97</v>
      </c>
      <c r="E2776" s="114">
        <v>3402.1919999999955</v>
      </c>
      <c r="F2776" s="44">
        <v>20</v>
      </c>
      <c r="G2776" s="44">
        <f t="shared" si="1977"/>
        <v>68043.839999999909</v>
      </c>
      <c r="H2776" s="44">
        <f t="shared" si="1978"/>
        <v>13.08719477124183</v>
      </c>
      <c r="I2776" s="43">
        <f t="shared" si="1979"/>
        <v>44525.149353160727</v>
      </c>
      <c r="J2776" s="112">
        <f t="shared" si="1980"/>
        <v>3402.1919999999955</v>
      </c>
      <c r="K2776" s="211">
        <f t="shared" si="1981"/>
        <v>3402.1919999999955</v>
      </c>
      <c r="L2776" s="44"/>
      <c r="M2776" s="44">
        <f t="shared" si="1982"/>
        <v>3402.1919999999955</v>
      </c>
      <c r="N2776" s="173">
        <f t="shared" si="1983"/>
        <v>1</v>
      </c>
      <c r="O2776" s="44">
        <f t="shared" si="1984"/>
        <v>20</v>
      </c>
      <c r="P2776" s="44">
        <f t="shared" si="1985"/>
        <v>68043.839999999909</v>
      </c>
      <c r="Q2776" s="44">
        <f t="shared" si="1986"/>
        <v>13.08719477124183</v>
      </c>
      <c r="R2776" s="44">
        <f t="shared" si="1987"/>
        <v>44525.149353160727</v>
      </c>
      <c r="S2776" s="123"/>
      <c r="T2776" s="219">
        <f t="shared" si="1988"/>
        <v>44525.149353160727</v>
      </c>
      <c r="U2776" s="87"/>
      <c r="V2776" s="47"/>
      <c r="W2776" s="48"/>
      <c r="X2776" s="48"/>
      <c r="Y2776" s="48"/>
      <c r="Z2776" s="135"/>
      <c r="AA2776" s="49"/>
      <c r="AB2776" s="50">
        <f t="shared" si="1989"/>
        <v>13.08719477124183</v>
      </c>
      <c r="AC2776" s="42">
        <f t="shared" si="1990"/>
        <v>3402.1919999999955</v>
      </c>
      <c r="AD2776" s="90">
        <f>AD2777</f>
        <v>44525.149353160727</v>
      </c>
      <c r="AE2776" s="188">
        <f t="shared" ref="AE2776" si="2186">AE2777</f>
        <v>0</v>
      </c>
      <c r="AF2776" s="189">
        <f t="shared" ref="AF2776" si="2187">AF2777</f>
        <v>0</v>
      </c>
      <c r="AG2776" s="189">
        <f t="shared" ref="AG2776" si="2188">AG2777</f>
        <v>0</v>
      </c>
      <c r="AH2776" s="189">
        <f t="shared" ref="AH2776" si="2189">AH2777</f>
        <v>0</v>
      </c>
      <c r="AI2776" s="161">
        <f t="shared" ref="AI2776" si="2190">SUM(AE2776:AH2776)</f>
        <v>0</v>
      </c>
      <c r="AK2776" s="169">
        <v>5</v>
      </c>
      <c r="AO2776" s="19" t="s">
        <v>63</v>
      </c>
    </row>
    <row r="2777" spans="1:41" s="103" customFormat="1" ht="19.899999999999999" customHeight="1" x14ac:dyDescent="0.25">
      <c r="A2777" s="51"/>
      <c r="B2777" s="52"/>
      <c r="C2777" s="165"/>
      <c r="D2777" s="52"/>
      <c r="E2777" s="115"/>
      <c r="F2777" s="58"/>
      <c r="G2777" s="58"/>
      <c r="H2777" s="58"/>
      <c r="I2777" s="55"/>
      <c r="J2777" s="113">
        <f>J2776</f>
        <v>3402.1919999999955</v>
      </c>
      <c r="K2777" s="212">
        <f>K2776</f>
        <v>3402.1919999999955</v>
      </c>
      <c r="L2777" s="58"/>
      <c r="M2777" s="58">
        <f>K2777-L2777</f>
        <v>3402.1919999999955</v>
      </c>
      <c r="N2777" s="166"/>
      <c r="O2777" s="58"/>
      <c r="P2777" s="58"/>
      <c r="Q2777" s="58"/>
      <c r="R2777" s="58"/>
      <c r="S2777" s="58"/>
      <c r="T2777" s="220"/>
      <c r="U2777" s="88"/>
      <c r="V2777" s="56"/>
      <c r="W2777" s="57" t="s">
        <v>1372</v>
      </c>
      <c r="X2777" s="53"/>
      <c r="Y2777" s="91" t="s">
        <v>68</v>
      </c>
      <c r="Z2777" s="136">
        <f>AD2777/AC2777</f>
        <v>13.08719477124183</v>
      </c>
      <c r="AA2777" s="58"/>
      <c r="AB2777" s="53">
        <f>AD2777/AC2777</f>
        <v>13.08719477124183</v>
      </c>
      <c r="AC2777" s="53">
        <f>M2777+$AE$10</f>
        <v>3402.1919999999955</v>
      </c>
      <c r="AD2777" s="54">
        <f>SUM(AD2778:AD2787)</f>
        <v>44525.149353160727</v>
      </c>
      <c r="AE2777" s="184">
        <f>SUMIFS($AD$37:$AD$12971,$V$37:$V$12971,$V2777,$X$37:$X$12971,AE$13)</f>
        <v>0</v>
      </c>
      <c r="AF2777" s="185">
        <f>SUMIFS($AD$37:$AD$12971,$V$37:$V$12971,$V2777,$X$37:$X$12971,AF$13)</f>
        <v>0</v>
      </c>
      <c r="AG2777" s="185">
        <f>SUMIFS($AD$37:$AD$12971,$V$37:$V$12971,$V2777,$X$37:$X$12971,AG$13)</f>
        <v>0</v>
      </c>
      <c r="AH2777" s="187">
        <f>SUMIFS($AD$37:$AD$12971,$V$37:$V$12971,$V2777,$X$37:$X$12971,AH$13)</f>
        <v>0</v>
      </c>
      <c r="AI2777" s="161">
        <f t="shared" ref="AI2777" si="2191">SUM(AE2777:AH2777)</f>
        <v>0</v>
      </c>
      <c r="AK2777" s="172"/>
    </row>
    <row r="2778" spans="1:41" s="102" customFormat="1" ht="19.899999999999999" customHeight="1" x14ac:dyDescent="0.25">
      <c r="A2778" s="45"/>
      <c r="B2778" s="59"/>
      <c r="C2778" s="137"/>
      <c r="D2778" s="59"/>
      <c r="E2778" s="116"/>
      <c r="F2778" s="120"/>
      <c r="G2778" s="120"/>
      <c r="H2778" s="120"/>
      <c r="I2778" s="60"/>
      <c r="J2778" s="116"/>
      <c r="K2778" s="213"/>
      <c r="L2778" s="120"/>
      <c r="M2778" s="120"/>
      <c r="N2778" s="167"/>
      <c r="O2778" s="120"/>
      <c r="P2778" s="120"/>
      <c r="Q2778" s="120"/>
      <c r="R2778" s="120"/>
      <c r="S2778" s="120"/>
      <c r="T2778" s="221"/>
      <c r="U2778" s="89"/>
      <c r="V2778" s="61"/>
      <c r="W2778" s="92" t="s">
        <v>134</v>
      </c>
      <c r="X2778" s="93" t="s">
        <v>29</v>
      </c>
      <c r="Y2778" s="93" t="s">
        <v>93</v>
      </c>
      <c r="Z2778" s="134">
        <f>VLOOKUP(W2778,Sheet2!$B:$D,3,FALSE)</f>
        <v>65.599999999999994</v>
      </c>
      <c r="AA2778" s="93">
        <f>100/(1*2)</f>
        <v>50</v>
      </c>
      <c r="AB2778" s="93">
        <f>AD2778/AC2777</f>
        <v>1.3119999999999998</v>
      </c>
      <c r="AC2778" s="93">
        <f>AC2777/AA2778</f>
        <v>68.043839999999904</v>
      </c>
      <c r="AD2778" s="94">
        <f t="shared" ref="AD2778:AD2779" si="2192">AC2778*Z2778</f>
        <v>4463.6759039999934</v>
      </c>
      <c r="AE2778" s="190"/>
      <c r="AF2778" s="191"/>
      <c r="AG2778" s="191"/>
      <c r="AH2778" s="191"/>
      <c r="AI2778" s="186"/>
      <c r="AK2778" s="171"/>
    </row>
    <row r="2779" spans="1:41" s="102" customFormat="1" ht="19.899999999999999" customHeight="1" x14ac:dyDescent="0.25">
      <c r="A2779" s="45"/>
      <c r="B2779" s="59"/>
      <c r="C2779" s="137"/>
      <c r="D2779" s="59"/>
      <c r="E2779" s="116"/>
      <c r="F2779" s="120"/>
      <c r="G2779" s="120"/>
      <c r="H2779" s="120"/>
      <c r="I2779" s="60"/>
      <c r="J2779" s="116"/>
      <c r="K2779" s="213"/>
      <c r="L2779" s="120"/>
      <c r="M2779" s="120"/>
      <c r="N2779" s="167"/>
      <c r="O2779" s="120"/>
      <c r="P2779" s="120"/>
      <c r="Q2779" s="120"/>
      <c r="R2779" s="120"/>
      <c r="S2779" s="120"/>
      <c r="T2779" s="221"/>
      <c r="U2779" s="89"/>
      <c r="V2779" s="61"/>
      <c r="W2779" s="92" t="s">
        <v>65</v>
      </c>
      <c r="X2779" s="93" t="s">
        <v>30</v>
      </c>
      <c r="Y2779" s="93" t="s">
        <v>1011</v>
      </c>
      <c r="Z2779" s="134">
        <f>VLOOKUP(W2779,Sheet2!$B:$D,3,FALSE)</f>
        <v>1.76</v>
      </c>
      <c r="AA2779" s="93">
        <f>AA2778/9</f>
        <v>5.5555555555555554</v>
      </c>
      <c r="AB2779" s="93">
        <f>AD2779/AC2777</f>
        <v>0.31679999999999997</v>
      </c>
      <c r="AC2779" s="93">
        <f>AC2777/AA2779</f>
        <v>612.39455999999916</v>
      </c>
      <c r="AD2779" s="94">
        <f t="shared" si="2192"/>
        <v>1077.8144255999985</v>
      </c>
      <c r="AE2779" s="190"/>
      <c r="AF2779" s="191"/>
      <c r="AG2779" s="191"/>
      <c r="AH2779" s="191"/>
      <c r="AI2779" s="186"/>
      <c r="AK2779" s="171"/>
    </row>
    <row r="2780" spans="1:41" s="102" customFormat="1" ht="19.899999999999999" customHeight="1" x14ac:dyDescent="0.25">
      <c r="A2780" s="45"/>
      <c r="B2780" s="59"/>
      <c r="C2780" s="137"/>
      <c r="D2780" s="59"/>
      <c r="E2780" s="116"/>
      <c r="F2780" s="120"/>
      <c r="G2780" s="120"/>
      <c r="H2780" s="120"/>
      <c r="I2780" s="60"/>
      <c r="J2780" s="116"/>
      <c r="K2780" s="213"/>
      <c r="L2780" s="120"/>
      <c r="M2780" s="120"/>
      <c r="N2780" s="167"/>
      <c r="O2780" s="120"/>
      <c r="P2780" s="120"/>
      <c r="Q2780" s="120"/>
      <c r="R2780" s="120"/>
      <c r="S2780" s="120"/>
      <c r="T2780" s="221"/>
      <c r="U2780" s="89"/>
      <c r="V2780" s="61"/>
      <c r="W2780" s="92" t="s">
        <v>161</v>
      </c>
      <c r="X2780" s="93" t="s">
        <v>29</v>
      </c>
      <c r="Y2780" s="93" t="s">
        <v>93</v>
      </c>
      <c r="Z2780" s="134">
        <f>VLOOKUP(W2780,Sheet2!$B:$D,3,FALSE)</f>
        <v>48</v>
      </c>
      <c r="AA2780" s="93">
        <f>(16*0.85*1.5)/(1*2)</f>
        <v>10.199999999999999</v>
      </c>
      <c r="AB2780" s="93">
        <f>AD2780/AC2777</f>
        <v>4.7058823529411766</v>
      </c>
      <c r="AC2780" s="93">
        <f>AC2777/AA2780</f>
        <v>333.54823529411721</v>
      </c>
      <c r="AD2780" s="94">
        <f>AC2780*Z2780</f>
        <v>16010.315294117627</v>
      </c>
      <c r="AE2780" s="190"/>
      <c r="AF2780" s="191"/>
      <c r="AG2780" s="191"/>
      <c r="AH2780" s="191"/>
      <c r="AI2780" s="186"/>
      <c r="AK2780" s="171"/>
    </row>
    <row r="2781" spans="1:41" s="102" customFormat="1" ht="19.899999999999999" customHeight="1" x14ac:dyDescent="0.25">
      <c r="A2781" s="45"/>
      <c r="B2781" s="59"/>
      <c r="C2781" s="137"/>
      <c r="D2781" s="59"/>
      <c r="E2781" s="116"/>
      <c r="F2781" s="120"/>
      <c r="G2781" s="120"/>
      <c r="H2781" s="120"/>
      <c r="I2781" s="60"/>
      <c r="J2781" s="116"/>
      <c r="K2781" s="213"/>
      <c r="L2781" s="120"/>
      <c r="M2781" s="120"/>
      <c r="N2781" s="167"/>
      <c r="O2781" s="120"/>
      <c r="P2781" s="120"/>
      <c r="Q2781" s="120"/>
      <c r="R2781" s="120"/>
      <c r="S2781" s="120"/>
      <c r="T2781" s="221"/>
      <c r="U2781" s="89"/>
      <c r="V2781" s="61"/>
      <c r="W2781" s="92" t="s">
        <v>65</v>
      </c>
      <c r="X2781" s="93" t="s">
        <v>30</v>
      </c>
      <c r="Y2781" s="93" t="s">
        <v>1011</v>
      </c>
      <c r="Z2781" s="134">
        <f>VLOOKUP(W2781,Sheet2!$B:$D,3,FALSE)</f>
        <v>1.76</v>
      </c>
      <c r="AA2781" s="93">
        <f>AA2780/10</f>
        <v>1.02</v>
      </c>
      <c r="AB2781" s="93">
        <f>AD2781/AC2777</f>
        <v>1.7254901960784312</v>
      </c>
      <c r="AC2781" s="93">
        <f>AC2777/AA2781</f>
        <v>3335.4823529411719</v>
      </c>
      <c r="AD2781" s="94">
        <f>AC2781*Z2781</f>
        <v>5870.4489411764625</v>
      </c>
      <c r="AE2781" s="190"/>
      <c r="AF2781" s="191"/>
      <c r="AG2781" s="191"/>
      <c r="AH2781" s="191"/>
      <c r="AI2781" s="186"/>
      <c r="AK2781" s="171"/>
    </row>
    <row r="2782" spans="1:41" s="102" customFormat="1" ht="19.899999999999999" customHeight="1" x14ac:dyDescent="0.25">
      <c r="A2782" s="45"/>
      <c r="B2782" s="59"/>
      <c r="C2782" s="137"/>
      <c r="D2782" s="59"/>
      <c r="E2782" s="116"/>
      <c r="F2782" s="120"/>
      <c r="G2782" s="120"/>
      <c r="H2782" s="120"/>
      <c r="I2782" s="60"/>
      <c r="J2782" s="116"/>
      <c r="K2782" s="213"/>
      <c r="L2782" s="120"/>
      <c r="M2782" s="120"/>
      <c r="N2782" s="167"/>
      <c r="O2782" s="120"/>
      <c r="P2782" s="120"/>
      <c r="Q2782" s="120"/>
      <c r="R2782" s="120"/>
      <c r="S2782" s="120"/>
      <c r="T2782" s="221"/>
      <c r="U2782" s="89"/>
      <c r="V2782" s="61"/>
      <c r="W2782" s="92" t="s">
        <v>173</v>
      </c>
      <c r="X2782" s="93" t="s">
        <v>29</v>
      </c>
      <c r="Y2782" s="93" t="s">
        <v>93</v>
      </c>
      <c r="Z2782" s="134">
        <f>VLOOKUP(W2782,Sheet2!$B:$D,3,FALSE)</f>
        <v>36</v>
      </c>
      <c r="AA2782" s="93">
        <f>50/(1*2)</f>
        <v>25</v>
      </c>
      <c r="AB2782" s="93">
        <f>AD2782/AC2777</f>
        <v>1.44</v>
      </c>
      <c r="AC2782" s="93">
        <f>AC2777/AA2782</f>
        <v>136.08767999999981</v>
      </c>
      <c r="AD2782" s="94">
        <f>AC2782*Z2782</f>
        <v>4899.1564799999933</v>
      </c>
      <c r="AE2782" s="190"/>
      <c r="AF2782" s="191"/>
      <c r="AG2782" s="191"/>
      <c r="AH2782" s="191"/>
      <c r="AI2782" s="186"/>
      <c r="AK2782" s="171"/>
    </row>
    <row r="2783" spans="1:41" s="102" customFormat="1" ht="19.899999999999999" customHeight="1" x14ac:dyDescent="0.25">
      <c r="A2783" s="45"/>
      <c r="B2783" s="59"/>
      <c r="C2783" s="137"/>
      <c r="D2783" s="59"/>
      <c r="E2783" s="116"/>
      <c r="F2783" s="120"/>
      <c r="G2783" s="120"/>
      <c r="H2783" s="120"/>
      <c r="I2783" s="60"/>
      <c r="J2783" s="116"/>
      <c r="K2783" s="213"/>
      <c r="L2783" s="120"/>
      <c r="M2783" s="120"/>
      <c r="N2783" s="167"/>
      <c r="O2783" s="120"/>
      <c r="P2783" s="120"/>
      <c r="Q2783" s="120"/>
      <c r="R2783" s="120"/>
      <c r="S2783" s="120"/>
      <c r="T2783" s="221"/>
      <c r="U2783" s="89"/>
      <c r="V2783" s="61"/>
      <c r="W2783" s="92" t="s">
        <v>65</v>
      </c>
      <c r="X2783" s="93" t="s">
        <v>30</v>
      </c>
      <c r="Y2783" s="93" t="s">
        <v>1011</v>
      </c>
      <c r="Z2783" s="134">
        <f>VLOOKUP(W2783,Sheet2!$B:$D,3,FALSE)</f>
        <v>1.76</v>
      </c>
      <c r="AA2783" s="93">
        <f>AA2782/9</f>
        <v>2.7777777777777777</v>
      </c>
      <c r="AB2783" s="93">
        <f>AD2783/AC2777</f>
        <v>0.63359999999999994</v>
      </c>
      <c r="AC2783" s="93">
        <f>AC2777/AA2783</f>
        <v>1224.7891199999983</v>
      </c>
      <c r="AD2783" s="94">
        <f>AC2783*Z2783</f>
        <v>2155.6288511999969</v>
      </c>
      <c r="AE2783" s="190"/>
      <c r="AF2783" s="191"/>
      <c r="AG2783" s="191"/>
      <c r="AH2783" s="191"/>
      <c r="AI2783" s="186"/>
      <c r="AK2783" s="171"/>
    </row>
    <row r="2784" spans="1:41" s="102" customFormat="1" ht="19.899999999999999" customHeight="1" x14ac:dyDescent="0.25">
      <c r="A2784" s="45"/>
      <c r="B2784" s="59"/>
      <c r="C2784" s="137"/>
      <c r="D2784" s="59"/>
      <c r="E2784" s="116"/>
      <c r="F2784" s="120"/>
      <c r="G2784" s="120"/>
      <c r="H2784" s="120"/>
      <c r="I2784" s="60"/>
      <c r="J2784" s="116"/>
      <c r="K2784" s="213"/>
      <c r="L2784" s="120"/>
      <c r="M2784" s="120"/>
      <c r="N2784" s="167"/>
      <c r="O2784" s="120"/>
      <c r="P2784" s="120"/>
      <c r="Q2784" s="120"/>
      <c r="R2784" s="120"/>
      <c r="S2784" s="120"/>
      <c r="T2784" s="221"/>
      <c r="U2784" s="89"/>
      <c r="V2784" s="61"/>
      <c r="W2784" s="92" t="s">
        <v>148</v>
      </c>
      <c r="X2784" s="93" t="s">
        <v>29</v>
      </c>
      <c r="Y2784" s="93" t="s">
        <v>93</v>
      </c>
      <c r="Z2784" s="134">
        <f>VLOOKUP(W2784,Sheet2!$B:$D,3,FALSE)</f>
        <v>48</v>
      </c>
      <c r="AA2784" s="93">
        <f>7.2/(2*1*0.1)</f>
        <v>36</v>
      </c>
      <c r="AB2784" s="93">
        <f>AD2784/AC2777</f>
        <v>1.3333333333333333</v>
      </c>
      <c r="AC2784" s="93">
        <f>AC2777/AA2784</f>
        <v>94.505333333333212</v>
      </c>
      <c r="AD2784" s="94">
        <f t="shared" ref="AD2784:AD2787" si="2193">AC2784*Z2784</f>
        <v>4536.2559999999939</v>
      </c>
      <c r="AE2784" s="190"/>
      <c r="AF2784" s="191"/>
      <c r="AG2784" s="191"/>
      <c r="AH2784" s="191"/>
      <c r="AI2784" s="186"/>
      <c r="AK2784" s="171"/>
    </row>
    <row r="2785" spans="1:41" s="102" customFormat="1" ht="19.899999999999999" customHeight="1" x14ac:dyDescent="0.25">
      <c r="A2785" s="45"/>
      <c r="B2785" s="59"/>
      <c r="C2785" s="137"/>
      <c r="D2785" s="59"/>
      <c r="E2785" s="116"/>
      <c r="F2785" s="120"/>
      <c r="G2785" s="120"/>
      <c r="H2785" s="120"/>
      <c r="I2785" s="60"/>
      <c r="J2785" s="116"/>
      <c r="K2785" s="213"/>
      <c r="L2785" s="120"/>
      <c r="M2785" s="120"/>
      <c r="N2785" s="167"/>
      <c r="O2785" s="120"/>
      <c r="P2785" s="120"/>
      <c r="Q2785" s="120"/>
      <c r="R2785" s="120"/>
      <c r="S2785" s="120"/>
      <c r="T2785" s="221"/>
      <c r="U2785" s="89"/>
      <c r="V2785" s="61"/>
      <c r="W2785" s="92" t="s">
        <v>65</v>
      </c>
      <c r="X2785" s="93" t="s">
        <v>30</v>
      </c>
      <c r="Y2785" s="93" t="s">
        <v>1011</v>
      </c>
      <c r="Z2785" s="134">
        <f>VLOOKUP(W2785,Sheet2!$B:$D,3,FALSE)</f>
        <v>1.76</v>
      </c>
      <c r="AA2785" s="93">
        <f>AA2784/10</f>
        <v>3.6</v>
      </c>
      <c r="AB2785" s="93">
        <f>AD2785/AC2777</f>
        <v>0.48888888888888887</v>
      </c>
      <c r="AC2785" s="93">
        <f>AC2777/AA2785</f>
        <v>945.05333333333203</v>
      </c>
      <c r="AD2785" s="94">
        <f t="shared" si="2193"/>
        <v>1663.2938666666644</v>
      </c>
      <c r="AE2785" s="190"/>
      <c r="AF2785" s="191"/>
      <c r="AG2785" s="191"/>
      <c r="AH2785" s="191"/>
      <c r="AI2785" s="186"/>
      <c r="AK2785" s="171"/>
    </row>
    <row r="2786" spans="1:41" s="102" customFormat="1" ht="19.899999999999999" customHeight="1" x14ac:dyDescent="0.25">
      <c r="A2786" s="45"/>
      <c r="B2786" s="59"/>
      <c r="C2786" s="137"/>
      <c r="D2786" s="59"/>
      <c r="E2786" s="116"/>
      <c r="F2786" s="120"/>
      <c r="G2786" s="120"/>
      <c r="H2786" s="120"/>
      <c r="I2786" s="60"/>
      <c r="J2786" s="116"/>
      <c r="K2786" s="213"/>
      <c r="L2786" s="120"/>
      <c r="M2786" s="120"/>
      <c r="N2786" s="167"/>
      <c r="O2786" s="120"/>
      <c r="P2786" s="120"/>
      <c r="Q2786" s="120"/>
      <c r="R2786" s="120"/>
      <c r="S2786" s="120"/>
      <c r="T2786" s="221"/>
      <c r="U2786" s="89"/>
      <c r="V2786" s="61"/>
      <c r="W2786" s="92" t="s">
        <v>1030</v>
      </c>
      <c r="X2786" s="93" t="s">
        <v>29</v>
      </c>
      <c r="Y2786" s="93" t="s">
        <v>93</v>
      </c>
      <c r="Z2786" s="134">
        <f>VLOOKUP(W2786,Sheet2!$B:$D,3,FALSE)</f>
        <v>23</v>
      </c>
      <c r="AA2786" s="93">
        <v>25</v>
      </c>
      <c r="AB2786" s="93">
        <f>AD2786/AC2777</f>
        <v>0.91999999999999993</v>
      </c>
      <c r="AC2786" s="93">
        <f>AC2777/AA2786</f>
        <v>136.08767999999981</v>
      </c>
      <c r="AD2786" s="94">
        <f t="shared" si="2193"/>
        <v>3130.0166399999957</v>
      </c>
      <c r="AE2786" s="190"/>
      <c r="AF2786" s="191"/>
      <c r="AG2786" s="191"/>
      <c r="AH2786" s="191"/>
      <c r="AI2786" s="186"/>
      <c r="AK2786" s="171"/>
    </row>
    <row r="2787" spans="1:41" s="102" customFormat="1" ht="19.899999999999999" customHeight="1" x14ac:dyDescent="0.25">
      <c r="A2787" s="45"/>
      <c r="B2787" s="59"/>
      <c r="C2787" s="137"/>
      <c r="D2787" s="59"/>
      <c r="E2787" s="116"/>
      <c r="F2787" s="120"/>
      <c r="G2787" s="120"/>
      <c r="H2787" s="120"/>
      <c r="I2787" s="60"/>
      <c r="J2787" s="116"/>
      <c r="K2787" s="213"/>
      <c r="L2787" s="120"/>
      <c r="M2787" s="120"/>
      <c r="N2787" s="167"/>
      <c r="O2787" s="120"/>
      <c r="P2787" s="120"/>
      <c r="Q2787" s="120"/>
      <c r="R2787" s="120"/>
      <c r="S2787" s="120"/>
      <c r="T2787" s="221"/>
      <c r="U2787" s="89"/>
      <c r="V2787" s="61"/>
      <c r="W2787" s="92" t="s">
        <v>65</v>
      </c>
      <c r="X2787" s="93" t="s">
        <v>30</v>
      </c>
      <c r="Y2787" s="93" t="s">
        <v>1011</v>
      </c>
      <c r="Z2787" s="134">
        <f>VLOOKUP(W2787,Sheet2!$B:$D,3,FALSE)</f>
        <v>1.76</v>
      </c>
      <c r="AA2787" s="93">
        <f>AA2786/3</f>
        <v>8.3333333333333339</v>
      </c>
      <c r="AB2787" s="93">
        <f>AD2787/AC2777</f>
        <v>0.21119999999999997</v>
      </c>
      <c r="AC2787" s="93">
        <f>AC2777/AA2787</f>
        <v>408.26303999999942</v>
      </c>
      <c r="AD2787" s="94">
        <f t="shared" si="2193"/>
        <v>718.54295039999897</v>
      </c>
      <c r="AE2787" s="190"/>
      <c r="AF2787" s="191"/>
      <c r="AG2787" s="191"/>
      <c r="AH2787" s="191"/>
      <c r="AI2787" s="186"/>
      <c r="AK2787" s="171"/>
    </row>
    <row r="2788" spans="1:41" ht="20.100000000000001" customHeight="1" x14ac:dyDescent="0.25">
      <c r="A2788" s="277" t="s">
        <v>410</v>
      </c>
      <c r="B2788" s="278"/>
      <c r="C2788" s="64" t="s">
        <v>484</v>
      </c>
      <c r="D2788" s="46" t="s">
        <v>97</v>
      </c>
      <c r="E2788" s="114">
        <v>1214.6300000000001</v>
      </c>
      <c r="F2788" s="44">
        <v>24</v>
      </c>
      <c r="G2788" s="44">
        <f t="shared" si="1977"/>
        <v>29151.120000000003</v>
      </c>
      <c r="H2788" s="44">
        <f t="shared" si="1978"/>
        <v>13.087194771241828</v>
      </c>
      <c r="I2788" s="43">
        <f t="shared" si="1979"/>
        <v>15896.099384993462</v>
      </c>
      <c r="J2788" s="112">
        <f t="shared" si="1980"/>
        <v>1214.6300000000001</v>
      </c>
      <c r="K2788" s="211">
        <f t="shared" si="1981"/>
        <v>1214.6300000000001</v>
      </c>
      <c r="L2788" s="44"/>
      <c r="M2788" s="44">
        <f t="shared" si="1982"/>
        <v>1214.6300000000001</v>
      </c>
      <c r="N2788" s="173">
        <f t="shared" si="1983"/>
        <v>1</v>
      </c>
      <c r="O2788" s="44">
        <f t="shared" si="1984"/>
        <v>24</v>
      </c>
      <c r="P2788" s="44">
        <f t="shared" si="1985"/>
        <v>29151.120000000003</v>
      </c>
      <c r="Q2788" s="44">
        <f t="shared" si="1986"/>
        <v>13.087194771241828</v>
      </c>
      <c r="R2788" s="44">
        <f t="shared" si="1987"/>
        <v>15896.099384993462</v>
      </c>
      <c r="S2788" s="123"/>
      <c r="T2788" s="219">
        <f t="shared" si="1988"/>
        <v>15896.099384993462</v>
      </c>
      <c r="U2788" s="87"/>
      <c r="V2788" s="47"/>
      <c r="W2788" s="48"/>
      <c r="X2788" s="48"/>
      <c r="Y2788" s="48"/>
      <c r="Z2788" s="135"/>
      <c r="AA2788" s="49"/>
      <c r="AB2788" s="50">
        <f t="shared" si="1989"/>
        <v>13.087194771241828</v>
      </c>
      <c r="AC2788" s="42">
        <f t="shared" si="1990"/>
        <v>1214.6300000000001</v>
      </c>
      <c r="AD2788" s="90">
        <f>AD2789</f>
        <v>15896.099384993464</v>
      </c>
      <c r="AE2788" s="188">
        <f t="shared" ref="AE2788" si="2194">AE2789</f>
        <v>0</v>
      </c>
      <c r="AF2788" s="189">
        <f t="shared" ref="AF2788" si="2195">AF2789</f>
        <v>0</v>
      </c>
      <c r="AG2788" s="189">
        <f t="shared" ref="AG2788" si="2196">AG2789</f>
        <v>0</v>
      </c>
      <c r="AH2788" s="189">
        <f t="shared" ref="AH2788" si="2197">AH2789</f>
        <v>0</v>
      </c>
      <c r="AI2788" s="161">
        <f t="shared" ref="AI2788" si="2198">SUM(AE2788:AH2788)</f>
        <v>0</v>
      </c>
      <c r="AK2788" s="169">
        <v>5</v>
      </c>
      <c r="AO2788" s="19" t="s">
        <v>63</v>
      </c>
    </row>
    <row r="2789" spans="1:41" s="103" customFormat="1" ht="19.899999999999999" customHeight="1" x14ac:dyDescent="0.25">
      <c r="A2789" s="51"/>
      <c r="B2789" s="52"/>
      <c r="C2789" s="165"/>
      <c r="D2789" s="52"/>
      <c r="E2789" s="115"/>
      <c r="F2789" s="58"/>
      <c r="G2789" s="58"/>
      <c r="H2789" s="58"/>
      <c r="I2789" s="55"/>
      <c r="J2789" s="113">
        <f>J2788</f>
        <v>1214.6300000000001</v>
      </c>
      <c r="K2789" s="212">
        <f>K2788</f>
        <v>1214.6300000000001</v>
      </c>
      <c r="L2789" s="58"/>
      <c r="M2789" s="58">
        <f>K2789-L2789</f>
        <v>1214.6300000000001</v>
      </c>
      <c r="N2789" s="166"/>
      <c r="O2789" s="58"/>
      <c r="P2789" s="58"/>
      <c r="Q2789" s="58"/>
      <c r="R2789" s="58"/>
      <c r="S2789" s="58"/>
      <c r="T2789" s="220"/>
      <c r="U2789" s="88"/>
      <c r="V2789" s="56"/>
      <c r="W2789" s="57" t="s">
        <v>1372</v>
      </c>
      <c r="X2789" s="53"/>
      <c r="Y2789" s="91" t="s">
        <v>68</v>
      </c>
      <c r="Z2789" s="136">
        <f>AD2789/AC2789</f>
        <v>13.087194771241828</v>
      </c>
      <c r="AA2789" s="58"/>
      <c r="AB2789" s="53">
        <f>AD2789/AC2789</f>
        <v>13.087194771241828</v>
      </c>
      <c r="AC2789" s="53">
        <f>M2789+$AE$10</f>
        <v>1214.6300000000001</v>
      </c>
      <c r="AD2789" s="54">
        <f>SUM(AD2790:AD2799)</f>
        <v>15896.099384993464</v>
      </c>
      <c r="AE2789" s="184">
        <f>SUMIFS($AD$37:$AD$12971,$V$37:$V$12971,$V2789,$X$37:$X$12971,AE$13)</f>
        <v>0</v>
      </c>
      <c r="AF2789" s="185">
        <f>SUMIFS($AD$37:$AD$12971,$V$37:$V$12971,$V2789,$X$37:$X$12971,AF$13)</f>
        <v>0</v>
      </c>
      <c r="AG2789" s="185">
        <f>SUMIFS($AD$37:$AD$12971,$V$37:$V$12971,$V2789,$X$37:$X$12971,AG$13)</f>
        <v>0</v>
      </c>
      <c r="AH2789" s="187">
        <f>SUMIFS($AD$37:$AD$12971,$V$37:$V$12971,$V2789,$X$37:$X$12971,AH$13)</f>
        <v>0</v>
      </c>
      <c r="AI2789" s="161">
        <f t="shared" ref="AI2789" si="2199">SUM(AE2789:AH2789)</f>
        <v>0</v>
      </c>
      <c r="AK2789" s="172"/>
    </row>
    <row r="2790" spans="1:41" s="102" customFormat="1" ht="19.899999999999999" customHeight="1" x14ac:dyDescent="0.25">
      <c r="A2790" s="45"/>
      <c r="B2790" s="59"/>
      <c r="C2790" s="137"/>
      <c r="D2790" s="59"/>
      <c r="E2790" s="116"/>
      <c r="F2790" s="120"/>
      <c r="G2790" s="120"/>
      <c r="H2790" s="120"/>
      <c r="I2790" s="60"/>
      <c r="J2790" s="116"/>
      <c r="K2790" s="213"/>
      <c r="L2790" s="120"/>
      <c r="M2790" s="120"/>
      <c r="N2790" s="167"/>
      <c r="O2790" s="120"/>
      <c r="P2790" s="120"/>
      <c r="Q2790" s="120"/>
      <c r="R2790" s="120"/>
      <c r="S2790" s="120"/>
      <c r="T2790" s="221"/>
      <c r="U2790" s="89"/>
      <c r="V2790" s="61"/>
      <c r="W2790" s="92" t="s">
        <v>134</v>
      </c>
      <c r="X2790" s="93" t="s">
        <v>29</v>
      </c>
      <c r="Y2790" s="93" t="s">
        <v>93</v>
      </c>
      <c r="Z2790" s="134">
        <f>VLOOKUP(W2790,Sheet2!$B:$D,3,FALSE)</f>
        <v>65.599999999999994</v>
      </c>
      <c r="AA2790" s="93">
        <f>100/(1*2)</f>
        <v>50</v>
      </c>
      <c r="AB2790" s="93">
        <f>AD2790/AC2789</f>
        <v>1.3119999999999998</v>
      </c>
      <c r="AC2790" s="93">
        <f>AC2789/AA2790</f>
        <v>24.292600000000004</v>
      </c>
      <c r="AD2790" s="94">
        <f t="shared" ref="AD2790:AD2791" si="2200">AC2790*Z2790</f>
        <v>1593.59456</v>
      </c>
      <c r="AE2790" s="190"/>
      <c r="AF2790" s="191"/>
      <c r="AG2790" s="191"/>
      <c r="AH2790" s="191"/>
      <c r="AI2790" s="186"/>
      <c r="AK2790" s="171"/>
    </row>
    <row r="2791" spans="1:41" s="102" customFormat="1" ht="19.899999999999999" customHeight="1" x14ac:dyDescent="0.25">
      <c r="A2791" s="45"/>
      <c r="B2791" s="59"/>
      <c r="C2791" s="137"/>
      <c r="D2791" s="59"/>
      <c r="E2791" s="116"/>
      <c r="F2791" s="120"/>
      <c r="G2791" s="120"/>
      <c r="H2791" s="120"/>
      <c r="I2791" s="60"/>
      <c r="J2791" s="116"/>
      <c r="K2791" s="213"/>
      <c r="L2791" s="120"/>
      <c r="M2791" s="120"/>
      <c r="N2791" s="167"/>
      <c r="O2791" s="120"/>
      <c r="P2791" s="120"/>
      <c r="Q2791" s="120"/>
      <c r="R2791" s="120"/>
      <c r="S2791" s="120"/>
      <c r="T2791" s="221"/>
      <c r="U2791" s="89"/>
      <c r="V2791" s="61"/>
      <c r="W2791" s="92" t="s">
        <v>65</v>
      </c>
      <c r="X2791" s="93" t="s">
        <v>30</v>
      </c>
      <c r="Y2791" s="93" t="s">
        <v>1011</v>
      </c>
      <c r="Z2791" s="134">
        <f>VLOOKUP(W2791,Sheet2!$B:$D,3,FALSE)</f>
        <v>1.76</v>
      </c>
      <c r="AA2791" s="93">
        <f>AA2790/9</f>
        <v>5.5555555555555554</v>
      </c>
      <c r="AB2791" s="93">
        <f>AD2791/AC2789</f>
        <v>0.31680000000000003</v>
      </c>
      <c r="AC2791" s="93">
        <f>AC2789/AA2791</f>
        <v>218.63340000000002</v>
      </c>
      <c r="AD2791" s="94">
        <f t="shared" si="2200"/>
        <v>384.79478400000005</v>
      </c>
      <c r="AE2791" s="190"/>
      <c r="AF2791" s="191"/>
      <c r="AG2791" s="191"/>
      <c r="AH2791" s="191"/>
      <c r="AI2791" s="186"/>
      <c r="AK2791" s="171"/>
    </row>
    <row r="2792" spans="1:41" s="102" customFormat="1" ht="19.899999999999999" customHeight="1" x14ac:dyDescent="0.25">
      <c r="A2792" s="45"/>
      <c r="B2792" s="59"/>
      <c r="C2792" s="137"/>
      <c r="D2792" s="59"/>
      <c r="E2792" s="116"/>
      <c r="F2792" s="120"/>
      <c r="G2792" s="120"/>
      <c r="H2792" s="120"/>
      <c r="I2792" s="60"/>
      <c r="J2792" s="116"/>
      <c r="K2792" s="213"/>
      <c r="L2792" s="120"/>
      <c r="M2792" s="120"/>
      <c r="N2792" s="167"/>
      <c r="O2792" s="120"/>
      <c r="P2792" s="120"/>
      <c r="Q2792" s="120"/>
      <c r="R2792" s="120"/>
      <c r="S2792" s="120"/>
      <c r="T2792" s="221"/>
      <c r="U2792" s="89"/>
      <c r="V2792" s="61"/>
      <c r="W2792" s="92" t="s">
        <v>161</v>
      </c>
      <c r="X2792" s="93" t="s">
        <v>29</v>
      </c>
      <c r="Y2792" s="93" t="s">
        <v>93</v>
      </c>
      <c r="Z2792" s="134">
        <f>VLOOKUP(W2792,Sheet2!$B:$D,3,FALSE)</f>
        <v>48</v>
      </c>
      <c r="AA2792" s="93">
        <f>(16*0.85*1.5)/(1*2)</f>
        <v>10.199999999999999</v>
      </c>
      <c r="AB2792" s="93">
        <f>AD2792/AC2789</f>
        <v>4.7058823529411766</v>
      </c>
      <c r="AC2792" s="93">
        <f>AC2789/AA2792</f>
        <v>119.08137254901963</v>
      </c>
      <c r="AD2792" s="94">
        <f>AC2792*Z2792</f>
        <v>5715.9058823529422</v>
      </c>
      <c r="AE2792" s="190"/>
      <c r="AF2792" s="191"/>
      <c r="AG2792" s="191"/>
      <c r="AH2792" s="191"/>
      <c r="AI2792" s="186"/>
      <c r="AK2792" s="171"/>
    </row>
    <row r="2793" spans="1:41" s="102" customFormat="1" ht="19.899999999999999" customHeight="1" x14ac:dyDescent="0.25">
      <c r="A2793" s="45"/>
      <c r="B2793" s="59"/>
      <c r="C2793" s="137"/>
      <c r="D2793" s="59"/>
      <c r="E2793" s="116"/>
      <c r="F2793" s="120"/>
      <c r="G2793" s="120"/>
      <c r="H2793" s="120"/>
      <c r="I2793" s="60"/>
      <c r="J2793" s="116"/>
      <c r="K2793" s="213"/>
      <c r="L2793" s="120"/>
      <c r="M2793" s="120"/>
      <c r="N2793" s="167"/>
      <c r="O2793" s="120"/>
      <c r="P2793" s="120"/>
      <c r="Q2793" s="120"/>
      <c r="R2793" s="120"/>
      <c r="S2793" s="120"/>
      <c r="T2793" s="221"/>
      <c r="U2793" s="89"/>
      <c r="V2793" s="61"/>
      <c r="W2793" s="92" t="s">
        <v>65</v>
      </c>
      <c r="X2793" s="93" t="s">
        <v>30</v>
      </c>
      <c r="Y2793" s="93" t="s">
        <v>1011</v>
      </c>
      <c r="Z2793" s="134">
        <f>VLOOKUP(W2793,Sheet2!$B:$D,3,FALSE)</f>
        <v>1.76</v>
      </c>
      <c r="AA2793" s="93">
        <f>AA2792/10</f>
        <v>1.02</v>
      </c>
      <c r="AB2793" s="93">
        <f>AD2793/AC2789</f>
        <v>1.7254901960784312</v>
      </c>
      <c r="AC2793" s="93">
        <f>AC2789/AA2793</f>
        <v>1190.8137254901962</v>
      </c>
      <c r="AD2793" s="94">
        <f>AC2793*Z2793</f>
        <v>2095.8321568627453</v>
      </c>
      <c r="AE2793" s="190"/>
      <c r="AF2793" s="191"/>
      <c r="AG2793" s="191"/>
      <c r="AH2793" s="191"/>
      <c r="AI2793" s="186"/>
      <c r="AK2793" s="171"/>
    </row>
    <row r="2794" spans="1:41" s="102" customFormat="1" ht="19.899999999999999" customHeight="1" x14ac:dyDescent="0.25">
      <c r="A2794" s="45"/>
      <c r="B2794" s="59"/>
      <c r="C2794" s="137"/>
      <c r="D2794" s="59"/>
      <c r="E2794" s="116"/>
      <c r="F2794" s="120"/>
      <c r="G2794" s="120"/>
      <c r="H2794" s="120"/>
      <c r="I2794" s="60"/>
      <c r="J2794" s="116"/>
      <c r="K2794" s="213"/>
      <c r="L2794" s="120"/>
      <c r="M2794" s="120"/>
      <c r="N2794" s="167"/>
      <c r="O2794" s="120"/>
      <c r="P2794" s="120"/>
      <c r="Q2794" s="120"/>
      <c r="R2794" s="120"/>
      <c r="S2794" s="120"/>
      <c r="T2794" s="221"/>
      <c r="U2794" s="89"/>
      <c r="V2794" s="61"/>
      <c r="W2794" s="92" t="s">
        <v>173</v>
      </c>
      <c r="X2794" s="93" t="s">
        <v>29</v>
      </c>
      <c r="Y2794" s="93" t="s">
        <v>93</v>
      </c>
      <c r="Z2794" s="134">
        <f>VLOOKUP(W2794,Sheet2!$B:$D,3,FALSE)</f>
        <v>36</v>
      </c>
      <c r="AA2794" s="93">
        <f>50/(1*2)</f>
        <v>25</v>
      </c>
      <c r="AB2794" s="93">
        <f>AD2794/AC2789</f>
        <v>1.44</v>
      </c>
      <c r="AC2794" s="93">
        <f>AC2789/AA2794</f>
        <v>48.585200000000007</v>
      </c>
      <c r="AD2794" s="94">
        <f>AC2794*Z2794</f>
        <v>1749.0672000000002</v>
      </c>
      <c r="AE2794" s="190"/>
      <c r="AF2794" s="191"/>
      <c r="AG2794" s="191"/>
      <c r="AH2794" s="191"/>
      <c r="AI2794" s="186"/>
      <c r="AK2794" s="171"/>
    </row>
    <row r="2795" spans="1:41" s="102" customFormat="1" ht="19.899999999999999" customHeight="1" x14ac:dyDescent="0.25">
      <c r="A2795" s="45"/>
      <c r="B2795" s="59"/>
      <c r="C2795" s="137"/>
      <c r="D2795" s="59"/>
      <c r="E2795" s="116"/>
      <c r="F2795" s="120"/>
      <c r="G2795" s="120"/>
      <c r="H2795" s="120"/>
      <c r="I2795" s="60"/>
      <c r="J2795" s="116"/>
      <c r="K2795" s="213"/>
      <c r="L2795" s="120"/>
      <c r="M2795" s="120"/>
      <c r="N2795" s="167"/>
      <c r="O2795" s="120"/>
      <c r="P2795" s="120"/>
      <c r="Q2795" s="120"/>
      <c r="R2795" s="120"/>
      <c r="S2795" s="120"/>
      <c r="T2795" s="221"/>
      <c r="U2795" s="89"/>
      <c r="V2795" s="61"/>
      <c r="W2795" s="92" t="s">
        <v>65</v>
      </c>
      <c r="X2795" s="93" t="s">
        <v>30</v>
      </c>
      <c r="Y2795" s="93" t="s">
        <v>1011</v>
      </c>
      <c r="Z2795" s="134">
        <f>VLOOKUP(W2795,Sheet2!$B:$D,3,FALSE)</f>
        <v>1.76</v>
      </c>
      <c r="AA2795" s="93">
        <f>AA2794/9</f>
        <v>2.7777777777777777</v>
      </c>
      <c r="AB2795" s="93">
        <f>AD2795/AC2789</f>
        <v>0.63360000000000005</v>
      </c>
      <c r="AC2795" s="93">
        <f>AC2789/AA2795</f>
        <v>437.26680000000005</v>
      </c>
      <c r="AD2795" s="94">
        <f>AC2795*Z2795</f>
        <v>769.5895680000001</v>
      </c>
      <c r="AE2795" s="190"/>
      <c r="AF2795" s="191"/>
      <c r="AG2795" s="191"/>
      <c r="AH2795" s="191"/>
      <c r="AI2795" s="186"/>
      <c r="AK2795" s="171"/>
    </row>
    <row r="2796" spans="1:41" s="102" customFormat="1" ht="19.899999999999999" customHeight="1" x14ac:dyDescent="0.25">
      <c r="A2796" s="45"/>
      <c r="B2796" s="59"/>
      <c r="C2796" s="137"/>
      <c r="D2796" s="59"/>
      <c r="E2796" s="116"/>
      <c r="F2796" s="120"/>
      <c r="G2796" s="120"/>
      <c r="H2796" s="120"/>
      <c r="I2796" s="60"/>
      <c r="J2796" s="116"/>
      <c r="K2796" s="213"/>
      <c r="L2796" s="120"/>
      <c r="M2796" s="120"/>
      <c r="N2796" s="167"/>
      <c r="O2796" s="120"/>
      <c r="P2796" s="120"/>
      <c r="Q2796" s="120"/>
      <c r="R2796" s="120"/>
      <c r="S2796" s="120"/>
      <c r="T2796" s="221"/>
      <c r="U2796" s="89"/>
      <c r="V2796" s="61"/>
      <c r="W2796" s="92" t="s">
        <v>148</v>
      </c>
      <c r="X2796" s="93" t="s">
        <v>29</v>
      </c>
      <c r="Y2796" s="93" t="s">
        <v>93</v>
      </c>
      <c r="Z2796" s="134">
        <f>VLOOKUP(W2796,Sheet2!$B:$D,3,FALSE)</f>
        <v>48</v>
      </c>
      <c r="AA2796" s="93">
        <f>7.2/(2*1*0.1)</f>
        <v>36</v>
      </c>
      <c r="AB2796" s="93">
        <f>AD2796/AC2789</f>
        <v>1.3333333333333335</v>
      </c>
      <c r="AC2796" s="93">
        <f>AC2789/AA2796</f>
        <v>33.739722222222227</v>
      </c>
      <c r="AD2796" s="94">
        <f t="shared" ref="AD2796:AD2799" si="2201">AC2796*Z2796</f>
        <v>1619.5066666666669</v>
      </c>
      <c r="AE2796" s="190"/>
      <c r="AF2796" s="191"/>
      <c r="AG2796" s="191"/>
      <c r="AH2796" s="191"/>
      <c r="AI2796" s="186"/>
      <c r="AK2796" s="171"/>
    </row>
    <row r="2797" spans="1:41" s="102" customFormat="1" ht="19.899999999999999" customHeight="1" x14ac:dyDescent="0.25">
      <c r="A2797" s="45"/>
      <c r="B2797" s="59"/>
      <c r="C2797" s="137"/>
      <c r="D2797" s="59"/>
      <c r="E2797" s="116"/>
      <c r="F2797" s="120"/>
      <c r="G2797" s="120"/>
      <c r="H2797" s="120"/>
      <c r="I2797" s="60"/>
      <c r="J2797" s="116"/>
      <c r="K2797" s="213"/>
      <c r="L2797" s="120"/>
      <c r="M2797" s="120"/>
      <c r="N2797" s="167"/>
      <c r="O2797" s="120"/>
      <c r="P2797" s="120"/>
      <c r="Q2797" s="120"/>
      <c r="R2797" s="120"/>
      <c r="S2797" s="120"/>
      <c r="T2797" s="221"/>
      <c r="U2797" s="89"/>
      <c r="V2797" s="61"/>
      <c r="W2797" s="92" t="s">
        <v>65</v>
      </c>
      <c r="X2797" s="93" t="s">
        <v>30</v>
      </c>
      <c r="Y2797" s="93" t="s">
        <v>1011</v>
      </c>
      <c r="Z2797" s="134">
        <f>VLOOKUP(W2797,Sheet2!$B:$D,3,FALSE)</f>
        <v>1.76</v>
      </c>
      <c r="AA2797" s="93">
        <f>AA2796/10</f>
        <v>3.6</v>
      </c>
      <c r="AB2797" s="93">
        <f>AD2797/AC2789</f>
        <v>0.48888888888888887</v>
      </c>
      <c r="AC2797" s="93">
        <f>AC2789/AA2797</f>
        <v>337.39722222222224</v>
      </c>
      <c r="AD2797" s="94">
        <f t="shared" si="2201"/>
        <v>593.81911111111117</v>
      </c>
      <c r="AE2797" s="190"/>
      <c r="AF2797" s="191"/>
      <c r="AG2797" s="191"/>
      <c r="AH2797" s="191"/>
      <c r="AI2797" s="186"/>
      <c r="AK2797" s="171"/>
    </row>
    <row r="2798" spans="1:41" s="102" customFormat="1" ht="19.899999999999999" customHeight="1" x14ac:dyDescent="0.25">
      <c r="A2798" s="45"/>
      <c r="B2798" s="59"/>
      <c r="C2798" s="137"/>
      <c r="D2798" s="59"/>
      <c r="E2798" s="116"/>
      <c r="F2798" s="120"/>
      <c r="G2798" s="120"/>
      <c r="H2798" s="120"/>
      <c r="I2798" s="60"/>
      <c r="J2798" s="116"/>
      <c r="K2798" s="213"/>
      <c r="L2798" s="120"/>
      <c r="M2798" s="120"/>
      <c r="N2798" s="167"/>
      <c r="O2798" s="120"/>
      <c r="P2798" s="120"/>
      <c r="Q2798" s="120"/>
      <c r="R2798" s="120"/>
      <c r="S2798" s="120"/>
      <c r="T2798" s="221"/>
      <c r="U2798" s="89"/>
      <c r="V2798" s="61"/>
      <c r="W2798" s="92" t="s">
        <v>1030</v>
      </c>
      <c r="X2798" s="93" t="s">
        <v>29</v>
      </c>
      <c r="Y2798" s="93" t="s">
        <v>93</v>
      </c>
      <c r="Z2798" s="134">
        <f>VLOOKUP(W2798,Sheet2!$B:$D,3,FALSE)</f>
        <v>23</v>
      </c>
      <c r="AA2798" s="93">
        <v>25</v>
      </c>
      <c r="AB2798" s="93">
        <f>AD2798/AC2789</f>
        <v>0.92</v>
      </c>
      <c r="AC2798" s="93">
        <f>AC2789/AA2798</f>
        <v>48.585200000000007</v>
      </c>
      <c r="AD2798" s="94">
        <f t="shared" si="2201"/>
        <v>1117.4596000000001</v>
      </c>
      <c r="AE2798" s="190"/>
      <c r="AF2798" s="191"/>
      <c r="AG2798" s="191"/>
      <c r="AH2798" s="191"/>
      <c r="AI2798" s="186"/>
      <c r="AK2798" s="171"/>
    </row>
    <row r="2799" spans="1:41" s="102" customFormat="1" ht="19.899999999999999" customHeight="1" x14ac:dyDescent="0.25">
      <c r="A2799" s="45"/>
      <c r="B2799" s="59"/>
      <c r="C2799" s="137"/>
      <c r="D2799" s="59"/>
      <c r="E2799" s="116"/>
      <c r="F2799" s="120"/>
      <c r="G2799" s="120"/>
      <c r="H2799" s="120"/>
      <c r="I2799" s="60"/>
      <c r="J2799" s="116"/>
      <c r="K2799" s="213"/>
      <c r="L2799" s="120"/>
      <c r="M2799" s="120"/>
      <c r="N2799" s="167"/>
      <c r="O2799" s="120"/>
      <c r="P2799" s="120"/>
      <c r="Q2799" s="120"/>
      <c r="R2799" s="120"/>
      <c r="S2799" s="120"/>
      <c r="T2799" s="221"/>
      <c r="U2799" s="89"/>
      <c r="V2799" s="61"/>
      <c r="W2799" s="92" t="s">
        <v>65</v>
      </c>
      <c r="X2799" s="93" t="s">
        <v>30</v>
      </c>
      <c r="Y2799" s="93" t="s">
        <v>1011</v>
      </c>
      <c r="Z2799" s="134">
        <f>VLOOKUP(W2799,Sheet2!$B:$D,3,FALSE)</f>
        <v>1.76</v>
      </c>
      <c r="AA2799" s="93">
        <f>AA2798/3</f>
        <v>8.3333333333333339</v>
      </c>
      <c r="AB2799" s="93">
        <f>AD2799/AC2789</f>
        <v>0.21120000000000003</v>
      </c>
      <c r="AC2799" s="93">
        <f>AC2789/AA2799</f>
        <v>145.75560000000002</v>
      </c>
      <c r="AD2799" s="94">
        <f t="shared" si="2201"/>
        <v>256.52985600000005</v>
      </c>
      <c r="AE2799" s="190"/>
      <c r="AF2799" s="191"/>
      <c r="AG2799" s="191"/>
      <c r="AH2799" s="191"/>
      <c r="AI2799" s="186"/>
      <c r="AK2799" s="171"/>
    </row>
    <row r="2800" spans="1:41" ht="20.100000000000001" customHeight="1" x14ac:dyDescent="0.25">
      <c r="A2800" s="277" t="s">
        <v>410</v>
      </c>
      <c r="B2800" s="278"/>
      <c r="C2800" s="64" t="s">
        <v>485</v>
      </c>
      <c r="D2800" s="46" t="s">
        <v>97</v>
      </c>
      <c r="E2800" s="114">
        <v>330.67699999999786</v>
      </c>
      <c r="F2800" s="44">
        <v>32</v>
      </c>
      <c r="G2800" s="44">
        <f t="shared" si="1977"/>
        <v>10581.663999999932</v>
      </c>
      <c r="H2800" s="44">
        <f t="shared" si="1978"/>
        <v>13.08719477124183</v>
      </c>
      <c r="I2800" s="43">
        <f t="shared" si="1979"/>
        <v>4327.6343053699065</v>
      </c>
      <c r="J2800" s="112">
        <f t="shared" si="1980"/>
        <v>330.67699999999786</v>
      </c>
      <c r="K2800" s="211">
        <f t="shared" si="1981"/>
        <v>330.67699999999786</v>
      </c>
      <c r="L2800" s="44"/>
      <c r="M2800" s="44">
        <f t="shared" si="1982"/>
        <v>330.67699999999786</v>
      </c>
      <c r="N2800" s="173">
        <f t="shared" si="1983"/>
        <v>1</v>
      </c>
      <c r="O2800" s="44">
        <f t="shared" si="1984"/>
        <v>32</v>
      </c>
      <c r="P2800" s="44">
        <f t="shared" si="1985"/>
        <v>10581.663999999932</v>
      </c>
      <c r="Q2800" s="44">
        <f t="shared" si="1986"/>
        <v>13.08719477124183</v>
      </c>
      <c r="R2800" s="44">
        <f t="shared" si="1987"/>
        <v>4327.6343053699065</v>
      </c>
      <c r="S2800" s="123"/>
      <c r="T2800" s="219">
        <f t="shared" si="1988"/>
        <v>4327.6343053699065</v>
      </c>
      <c r="U2800" s="87"/>
      <c r="V2800" s="47"/>
      <c r="W2800" s="48"/>
      <c r="X2800" s="48"/>
      <c r="Y2800" s="48"/>
      <c r="Z2800" s="135"/>
      <c r="AA2800" s="49"/>
      <c r="AB2800" s="50">
        <f t="shared" si="1989"/>
        <v>13.08719477124183</v>
      </c>
      <c r="AC2800" s="42">
        <f t="shared" si="1990"/>
        <v>330.67699999999786</v>
      </c>
      <c r="AD2800" s="90">
        <f>AD2801</f>
        <v>4327.6343053699065</v>
      </c>
      <c r="AE2800" s="188">
        <f t="shared" ref="AE2800" si="2202">AE2801</f>
        <v>0</v>
      </c>
      <c r="AF2800" s="189">
        <f t="shared" ref="AF2800" si="2203">AF2801</f>
        <v>0</v>
      </c>
      <c r="AG2800" s="189">
        <f t="shared" ref="AG2800" si="2204">AG2801</f>
        <v>0</v>
      </c>
      <c r="AH2800" s="189">
        <f t="shared" ref="AH2800" si="2205">AH2801</f>
        <v>0</v>
      </c>
      <c r="AI2800" s="161">
        <f t="shared" ref="AI2800" si="2206">SUM(AE2800:AH2800)</f>
        <v>0</v>
      </c>
      <c r="AK2800" s="169">
        <v>5</v>
      </c>
      <c r="AO2800" s="19" t="s">
        <v>63</v>
      </c>
    </row>
    <row r="2801" spans="1:41" s="103" customFormat="1" ht="19.899999999999999" customHeight="1" x14ac:dyDescent="0.25">
      <c r="A2801" s="51"/>
      <c r="B2801" s="52"/>
      <c r="C2801" s="165"/>
      <c r="D2801" s="52"/>
      <c r="E2801" s="115"/>
      <c r="F2801" s="58"/>
      <c r="G2801" s="58"/>
      <c r="H2801" s="58"/>
      <c r="I2801" s="55"/>
      <c r="J2801" s="113">
        <f>J2800</f>
        <v>330.67699999999786</v>
      </c>
      <c r="K2801" s="212">
        <f>K2800</f>
        <v>330.67699999999786</v>
      </c>
      <c r="L2801" s="58"/>
      <c r="M2801" s="58">
        <f>K2801-L2801</f>
        <v>330.67699999999786</v>
      </c>
      <c r="N2801" s="166"/>
      <c r="O2801" s="58"/>
      <c r="P2801" s="58"/>
      <c r="Q2801" s="58"/>
      <c r="R2801" s="58"/>
      <c r="S2801" s="58"/>
      <c r="T2801" s="220"/>
      <c r="U2801" s="88"/>
      <c r="V2801" s="56"/>
      <c r="W2801" s="57" t="s">
        <v>1372</v>
      </c>
      <c r="X2801" s="53"/>
      <c r="Y2801" s="91" t="s">
        <v>68</v>
      </c>
      <c r="Z2801" s="136">
        <f>AD2801/AC2801</f>
        <v>13.08719477124183</v>
      </c>
      <c r="AA2801" s="58"/>
      <c r="AB2801" s="53">
        <f>AD2801/AC2801</f>
        <v>13.08719477124183</v>
      </c>
      <c r="AC2801" s="53">
        <f>M2801+$AE$10</f>
        <v>330.67699999999786</v>
      </c>
      <c r="AD2801" s="54">
        <f>SUM(AD2802:AD2811)</f>
        <v>4327.6343053699065</v>
      </c>
      <c r="AE2801" s="184">
        <f>SUMIFS($AD$37:$AD$12971,$V$37:$V$12971,$V2801,$X$37:$X$12971,AE$13)</f>
        <v>0</v>
      </c>
      <c r="AF2801" s="185">
        <f>SUMIFS($AD$37:$AD$12971,$V$37:$V$12971,$V2801,$X$37:$X$12971,AF$13)</f>
        <v>0</v>
      </c>
      <c r="AG2801" s="185">
        <f>SUMIFS($AD$37:$AD$12971,$V$37:$V$12971,$V2801,$X$37:$X$12971,AG$13)</f>
        <v>0</v>
      </c>
      <c r="AH2801" s="187">
        <f>SUMIFS($AD$37:$AD$12971,$V$37:$V$12971,$V2801,$X$37:$X$12971,AH$13)</f>
        <v>0</v>
      </c>
      <c r="AI2801" s="161">
        <f t="shared" ref="AI2801" si="2207">SUM(AE2801:AH2801)</f>
        <v>0</v>
      </c>
      <c r="AK2801" s="172"/>
    </row>
    <row r="2802" spans="1:41" s="102" customFormat="1" ht="19.899999999999999" customHeight="1" x14ac:dyDescent="0.25">
      <c r="A2802" s="45"/>
      <c r="B2802" s="59"/>
      <c r="C2802" s="137"/>
      <c r="D2802" s="59"/>
      <c r="E2802" s="116"/>
      <c r="F2802" s="120"/>
      <c r="G2802" s="120"/>
      <c r="H2802" s="120"/>
      <c r="I2802" s="60"/>
      <c r="J2802" s="116"/>
      <c r="K2802" s="213"/>
      <c r="L2802" s="120"/>
      <c r="M2802" s="120"/>
      <c r="N2802" s="167"/>
      <c r="O2802" s="120"/>
      <c r="P2802" s="120"/>
      <c r="Q2802" s="120"/>
      <c r="R2802" s="120"/>
      <c r="S2802" s="120"/>
      <c r="T2802" s="221"/>
      <c r="U2802" s="89"/>
      <c r="V2802" s="61"/>
      <c r="W2802" s="92" t="s">
        <v>134</v>
      </c>
      <c r="X2802" s="93" t="s">
        <v>29</v>
      </c>
      <c r="Y2802" s="93" t="s">
        <v>93</v>
      </c>
      <c r="Z2802" s="134">
        <f>VLOOKUP(W2802,Sheet2!$B:$D,3,FALSE)</f>
        <v>65.599999999999994</v>
      </c>
      <c r="AA2802" s="93">
        <f>100/(1*2)</f>
        <v>50</v>
      </c>
      <c r="AB2802" s="93">
        <f>AD2802/AC2801</f>
        <v>1.3119999999999998</v>
      </c>
      <c r="AC2802" s="93">
        <f>AC2801/AA2802</f>
        <v>6.6135399999999569</v>
      </c>
      <c r="AD2802" s="94">
        <f t="shared" ref="AD2802:AD2803" si="2208">AC2802*Z2802</f>
        <v>433.84822399999712</v>
      </c>
      <c r="AE2802" s="190"/>
      <c r="AF2802" s="191"/>
      <c r="AG2802" s="191"/>
      <c r="AH2802" s="191"/>
      <c r="AI2802" s="186"/>
      <c r="AK2802" s="171"/>
    </row>
    <row r="2803" spans="1:41" s="102" customFormat="1" ht="19.899999999999999" customHeight="1" x14ac:dyDescent="0.25">
      <c r="A2803" s="45"/>
      <c r="B2803" s="59"/>
      <c r="C2803" s="137"/>
      <c r="D2803" s="59"/>
      <c r="E2803" s="116"/>
      <c r="F2803" s="120"/>
      <c r="G2803" s="120"/>
      <c r="H2803" s="120"/>
      <c r="I2803" s="60"/>
      <c r="J2803" s="116"/>
      <c r="K2803" s="213"/>
      <c r="L2803" s="120"/>
      <c r="M2803" s="120"/>
      <c r="N2803" s="167"/>
      <c r="O2803" s="120"/>
      <c r="P2803" s="120"/>
      <c r="Q2803" s="120"/>
      <c r="R2803" s="120"/>
      <c r="S2803" s="120"/>
      <c r="T2803" s="221"/>
      <c r="U2803" s="89"/>
      <c r="V2803" s="61"/>
      <c r="W2803" s="92" t="s">
        <v>65</v>
      </c>
      <c r="X2803" s="93" t="s">
        <v>30</v>
      </c>
      <c r="Y2803" s="93" t="s">
        <v>1011</v>
      </c>
      <c r="Z2803" s="134">
        <f>VLOOKUP(W2803,Sheet2!$B:$D,3,FALSE)</f>
        <v>1.76</v>
      </c>
      <c r="AA2803" s="93">
        <f>AA2802/9</f>
        <v>5.5555555555555554</v>
      </c>
      <c r="AB2803" s="93">
        <f>AD2803/AC2801</f>
        <v>0.31680000000000003</v>
      </c>
      <c r="AC2803" s="93">
        <f>AC2801/AA2803</f>
        <v>59.52185999999962</v>
      </c>
      <c r="AD2803" s="94">
        <f t="shared" si="2208"/>
        <v>104.75847359999933</v>
      </c>
      <c r="AE2803" s="190"/>
      <c r="AF2803" s="191"/>
      <c r="AG2803" s="191"/>
      <c r="AH2803" s="191"/>
      <c r="AI2803" s="186"/>
      <c r="AK2803" s="171"/>
    </row>
    <row r="2804" spans="1:41" s="102" customFormat="1" ht="19.899999999999999" customHeight="1" x14ac:dyDescent="0.25">
      <c r="A2804" s="45"/>
      <c r="B2804" s="59"/>
      <c r="C2804" s="137"/>
      <c r="D2804" s="59"/>
      <c r="E2804" s="116"/>
      <c r="F2804" s="120"/>
      <c r="G2804" s="120"/>
      <c r="H2804" s="120"/>
      <c r="I2804" s="60"/>
      <c r="J2804" s="116"/>
      <c r="K2804" s="213"/>
      <c r="L2804" s="120"/>
      <c r="M2804" s="120"/>
      <c r="N2804" s="167"/>
      <c r="O2804" s="120"/>
      <c r="P2804" s="120"/>
      <c r="Q2804" s="120"/>
      <c r="R2804" s="120"/>
      <c r="S2804" s="120"/>
      <c r="T2804" s="221"/>
      <c r="U2804" s="89"/>
      <c r="V2804" s="61"/>
      <c r="W2804" s="92" t="s">
        <v>161</v>
      </c>
      <c r="X2804" s="93" t="s">
        <v>29</v>
      </c>
      <c r="Y2804" s="93" t="s">
        <v>93</v>
      </c>
      <c r="Z2804" s="134">
        <f>VLOOKUP(W2804,Sheet2!$B:$D,3,FALSE)</f>
        <v>48</v>
      </c>
      <c r="AA2804" s="93">
        <f>(16*0.85*1.5)/(1*2)</f>
        <v>10.199999999999999</v>
      </c>
      <c r="AB2804" s="93">
        <f>AD2804/AC2801</f>
        <v>4.7058823529411766</v>
      </c>
      <c r="AC2804" s="93">
        <f>AC2801/AA2804</f>
        <v>32.419313725489985</v>
      </c>
      <c r="AD2804" s="94">
        <f>AC2804*Z2804</f>
        <v>1556.1270588235193</v>
      </c>
      <c r="AE2804" s="190"/>
      <c r="AF2804" s="191"/>
      <c r="AG2804" s="191"/>
      <c r="AH2804" s="191"/>
      <c r="AI2804" s="186"/>
      <c r="AK2804" s="171"/>
    </row>
    <row r="2805" spans="1:41" s="102" customFormat="1" ht="19.899999999999999" customHeight="1" x14ac:dyDescent="0.25">
      <c r="A2805" s="45"/>
      <c r="B2805" s="59"/>
      <c r="C2805" s="137"/>
      <c r="D2805" s="59"/>
      <c r="E2805" s="116"/>
      <c r="F2805" s="120"/>
      <c r="G2805" s="120"/>
      <c r="H2805" s="120"/>
      <c r="I2805" s="60"/>
      <c r="J2805" s="116"/>
      <c r="K2805" s="213"/>
      <c r="L2805" s="120"/>
      <c r="M2805" s="120"/>
      <c r="N2805" s="167"/>
      <c r="O2805" s="120"/>
      <c r="P2805" s="120"/>
      <c r="Q2805" s="120"/>
      <c r="R2805" s="120"/>
      <c r="S2805" s="120"/>
      <c r="T2805" s="221"/>
      <c r="U2805" s="89"/>
      <c r="V2805" s="61"/>
      <c r="W2805" s="92" t="s">
        <v>65</v>
      </c>
      <c r="X2805" s="93" t="s">
        <v>30</v>
      </c>
      <c r="Y2805" s="93" t="s">
        <v>1011</v>
      </c>
      <c r="Z2805" s="134">
        <f>VLOOKUP(W2805,Sheet2!$B:$D,3,FALSE)</f>
        <v>1.76</v>
      </c>
      <c r="AA2805" s="93">
        <f>AA2804/10</f>
        <v>1.02</v>
      </c>
      <c r="AB2805" s="93">
        <f>AD2805/AC2801</f>
        <v>1.7254901960784312</v>
      </c>
      <c r="AC2805" s="93">
        <f>AC2801/AA2805</f>
        <v>324.19313725489985</v>
      </c>
      <c r="AD2805" s="94">
        <f>AC2805*Z2805</f>
        <v>570.57992156862372</v>
      </c>
      <c r="AE2805" s="190"/>
      <c r="AF2805" s="191"/>
      <c r="AG2805" s="191"/>
      <c r="AH2805" s="191"/>
      <c r="AI2805" s="186"/>
      <c r="AK2805" s="171"/>
    </row>
    <row r="2806" spans="1:41" s="102" customFormat="1" ht="19.899999999999999" customHeight="1" x14ac:dyDescent="0.25">
      <c r="A2806" s="45"/>
      <c r="B2806" s="59"/>
      <c r="C2806" s="137"/>
      <c r="D2806" s="59"/>
      <c r="E2806" s="116"/>
      <c r="F2806" s="120"/>
      <c r="G2806" s="120"/>
      <c r="H2806" s="120"/>
      <c r="I2806" s="60"/>
      <c r="J2806" s="116"/>
      <c r="K2806" s="213"/>
      <c r="L2806" s="120"/>
      <c r="M2806" s="120"/>
      <c r="N2806" s="167"/>
      <c r="O2806" s="120"/>
      <c r="P2806" s="120"/>
      <c r="Q2806" s="120"/>
      <c r="R2806" s="120"/>
      <c r="S2806" s="120"/>
      <c r="T2806" s="221"/>
      <c r="U2806" s="89"/>
      <c r="V2806" s="61"/>
      <c r="W2806" s="92" t="s">
        <v>173</v>
      </c>
      <c r="X2806" s="93" t="s">
        <v>29</v>
      </c>
      <c r="Y2806" s="93" t="s">
        <v>93</v>
      </c>
      <c r="Z2806" s="134">
        <f>VLOOKUP(W2806,Sheet2!$B:$D,3,FALSE)</f>
        <v>36</v>
      </c>
      <c r="AA2806" s="93">
        <f>50/(1*2)</f>
        <v>25</v>
      </c>
      <c r="AB2806" s="93">
        <f>AD2806/AC2801</f>
        <v>1.44</v>
      </c>
      <c r="AC2806" s="93">
        <f>AC2801/AA2806</f>
        <v>13.227079999999914</v>
      </c>
      <c r="AD2806" s="94">
        <f>AC2806*Z2806</f>
        <v>476.1748799999969</v>
      </c>
      <c r="AE2806" s="190"/>
      <c r="AF2806" s="191"/>
      <c r="AG2806" s="191"/>
      <c r="AH2806" s="191"/>
      <c r="AI2806" s="186"/>
      <c r="AK2806" s="171"/>
    </row>
    <row r="2807" spans="1:41" s="102" customFormat="1" ht="19.899999999999999" customHeight="1" x14ac:dyDescent="0.25">
      <c r="A2807" s="45"/>
      <c r="B2807" s="59"/>
      <c r="C2807" s="137"/>
      <c r="D2807" s="59"/>
      <c r="E2807" s="116"/>
      <c r="F2807" s="120"/>
      <c r="G2807" s="120"/>
      <c r="H2807" s="120"/>
      <c r="I2807" s="60"/>
      <c r="J2807" s="116"/>
      <c r="K2807" s="213"/>
      <c r="L2807" s="120"/>
      <c r="M2807" s="120"/>
      <c r="N2807" s="167"/>
      <c r="O2807" s="120"/>
      <c r="P2807" s="120"/>
      <c r="Q2807" s="120"/>
      <c r="R2807" s="120"/>
      <c r="S2807" s="120"/>
      <c r="T2807" s="221"/>
      <c r="U2807" s="89"/>
      <c r="V2807" s="61"/>
      <c r="W2807" s="92" t="s">
        <v>65</v>
      </c>
      <c r="X2807" s="93" t="s">
        <v>30</v>
      </c>
      <c r="Y2807" s="93" t="s">
        <v>1011</v>
      </c>
      <c r="Z2807" s="134">
        <f>VLOOKUP(W2807,Sheet2!$B:$D,3,FALSE)</f>
        <v>1.76</v>
      </c>
      <c r="AA2807" s="93">
        <f>AA2806/9</f>
        <v>2.7777777777777777</v>
      </c>
      <c r="AB2807" s="93">
        <f>AD2807/AC2801</f>
        <v>0.63360000000000005</v>
      </c>
      <c r="AC2807" s="93">
        <f>AC2801/AA2807</f>
        <v>119.04371999999924</v>
      </c>
      <c r="AD2807" s="94">
        <f>AC2807*Z2807</f>
        <v>209.51694719999867</v>
      </c>
      <c r="AE2807" s="190"/>
      <c r="AF2807" s="191"/>
      <c r="AG2807" s="191"/>
      <c r="AH2807" s="191"/>
      <c r="AI2807" s="186"/>
      <c r="AK2807" s="171"/>
    </row>
    <row r="2808" spans="1:41" s="102" customFormat="1" ht="19.899999999999999" customHeight="1" x14ac:dyDescent="0.25">
      <c r="A2808" s="45"/>
      <c r="B2808" s="59"/>
      <c r="C2808" s="137"/>
      <c r="D2808" s="59"/>
      <c r="E2808" s="116"/>
      <c r="F2808" s="120"/>
      <c r="G2808" s="120"/>
      <c r="H2808" s="120"/>
      <c r="I2808" s="60"/>
      <c r="J2808" s="116"/>
      <c r="K2808" s="213"/>
      <c r="L2808" s="120"/>
      <c r="M2808" s="120"/>
      <c r="N2808" s="167"/>
      <c r="O2808" s="120"/>
      <c r="P2808" s="120"/>
      <c r="Q2808" s="120"/>
      <c r="R2808" s="120"/>
      <c r="S2808" s="120"/>
      <c r="T2808" s="221"/>
      <c r="U2808" s="89"/>
      <c r="V2808" s="61"/>
      <c r="W2808" s="92" t="s">
        <v>148</v>
      </c>
      <c r="X2808" s="93" t="s">
        <v>29</v>
      </c>
      <c r="Y2808" s="93" t="s">
        <v>93</v>
      </c>
      <c r="Z2808" s="134">
        <f>VLOOKUP(W2808,Sheet2!$B:$D,3,FALSE)</f>
        <v>48</v>
      </c>
      <c r="AA2808" s="93">
        <f>7.2/(2*1*0.1)</f>
        <v>36</v>
      </c>
      <c r="AB2808" s="93">
        <f>AD2808/AC2801</f>
        <v>1.3333333333333335</v>
      </c>
      <c r="AC2808" s="93">
        <f>AC2801/AA2808</f>
        <v>9.1854722222221632</v>
      </c>
      <c r="AD2808" s="94">
        <f t="shared" ref="AD2808:AD2811" si="2209">AC2808*Z2808</f>
        <v>440.90266666666383</v>
      </c>
      <c r="AE2808" s="190"/>
      <c r="AF2808" s="191"/>
      <c r="AG2808" s="191"/>
      <c r="AH2808" s="191"/>
      <c r="AI2808" s="186"/>
      <c r="AK2808" s="171"/>
    </row>
    <row r="2809" spans="1:41" s="102" customFormat="1" ht="19.899999999999999" customHeight="1" x14ac:dyDescent="0.25">
      <c r="A2809" s="45"/>
      <c r="B2809" s="59"/>
      <c r="C2809" s="137"/>
      <c r="D2809" s="59"/>
      <c r="E2809" s="116"/>
      <c r="F2809" s="120"/>
      <c r="G2809" s="120"/>
      <c r="H2809" s="120"/>
      <c r="I2809" s="60"/>
      <c r="J2809" s="116"/>
      <c r="K2809" s="213"/>
      <c r="L2809" s="120"/>
      <c r="M2809" s="120"/>
      <c r="N2809" s="167"/>
      <c r="O2809" s="120"/>
      <c r="P2809" s="120"/>
      <c r="Q2809" s="120"/>
      <c r="R2809" s="120"/>
      <c r="S2809" s="120"/>
      <c r="T2809" s="221"/>
      <c r="U2809" s="89"/>
      <c r="V2809" s="61"/>
      <c r="W2809" s="92" t="s">
        <v>65</v>
      </c>
      <c r="X2809" s="93" t="s">
        <v>30</v>
      </c>
      <c r="Y2809" s="93" t="s">
        <v>1011</v>
      </c>
      <c r="Z2809" s="134">
        <f>VLOOKUP(W2809,Sheet2!$B:$D,3,FALSE)</f>
        <v>1.76</v>
      </c>
      <c r="AA2809" s="93">
        <f>AA2808/10</f>
        <v>3.6</v>
      </c>
      <c r="AB2809" s="93">
        <f>AD2809/AC2801</f>
        <v>0.48888888888888887</v>
      </c>
      <c r="AC2809" s="93">
        <f>AC2801/AA2809</f>
        <v>91.854722222221625</v>
      </c>
      <c r="AD2809" s="94">
        <f t="shared" si="2209"/>
        <v>161.66431111111007</v>
      </c>
      <c r="AE2809" s="190"/>
      <c r="AF2809" s="191"/>
      <c r="AG2809" s="191"/>
      <c r="AH2809" s="191"/>
      <c r="AI2809" s="186"/>
      <c r="AK2809" s="171"/>
    </row>
    <row r="2810" spans="1:41" s="102" customFormat="1" ht="19.899999999999999" customHeight="1" x14ac:dyDescent="0.25">
      <c r="A2810" s="45"/>
      <c r="B2810" s="59"/>
      <c r="C2810" s="137"/>
      <c r="D2810" s="59"/>
      <c r="E2810" s="116"/>
      <c r="F2810" s="120"/>
      <c r="G2810" s="120"/>
      <c r="H2810" s="120"/>
      <c r="I2810" s="60"/>
      <c r="J2810" s="116"/>
      <c r="K2810" s="213"/>
      <c r="L2810" s="120"/>
      <c r="M2810" s="120"/>
      <c r="N2810" s="167"/>
      <c r="O2810" s="120"/>
      <c r="P2810" s="120"/>
      <c r="Q2810" s="120"/>
      <c r="R2810" s="120"/>
      <c r="S2810" s="120"/>
      <c r="T2810" s="221"/>
      <c r="U2810" s="89"/>
      <c r="V2810" s="61"/>
      <c r="W2810" s="92" t="s">
        <v>1030</v>
      </c>
      <c r="X2810" s="93" t="s">
        <v>29</v>
      </c>
      <c r="Y2810" s="93" t="s">
        <v>93</v>
      </c>
      <c r="Z2810" s="134">
        <f>VLOOKUP(W2810,Sheet2!$B:$D,3,FALSE)</f>
        <v>23</v>
      </c>
      <c r="AA2810" s="93">
        <v>25</v>
      </c>
      <c r="AB2810" s="93">
        <f>AD2810/AC2801</f>
        <v>0.92</v>
      </c>
      <c r="AC2810" s="93">
        <f>AC2801/AA2810</f>
        <v>13.227079999999914</v>
      </c>
      <c r="AD2810" s="94">
        <f t="shared" si="2209"/>
        <v>304.22283999999803</v>
      </c>
      <c r="AE2810" s="190"/>
      <c r="AF2810" s="191"/>
      <c r="AG2810" s="191"/>
      <c r="AH2810" s="191"/>
      <c r="AI2810" s="186"/>
      <c r="AK2810" s="171"/>
    </row>
    <row r="2811" spans="1:41" s="102" customFormat="1" ht="19.899999999999999" customHeight="1" x14ac:dyDescent="0.25">
      <c r="A2811" s="45"/>
      <c r="B2811" s="59"/>
      <c r="C2811" s="137"/>
      <c r="D2811" s="59"/>
      <c r="E2811" s="116"/>
      <c r="F2811" s="120"/>
      <c r="G2811" s="120"/>
      <c r="H2811" s="120"/>
      <c r="I2811" s="60"/>
      <c r="J2811" s="116"/>
      <c r="K2811" s="213"/>
      <c r="L2811" s="120"/>
      <c r="M2811" s="120"/>
      <c r="N2811" s="167"/>
      <c r="O2811" s="120"/>
      <c r="P2811" s="120"/>
      <c r="Q2811" s="120"/>
      <c r="R2811" s="120"/>
      <c r="S2811" s="120"/>
      <c r="T2811" s="221"/>
      <c r="U2811" s="89"/>
      <c r="V2811" s="61"/>
      <c r="W2811" s="92" t="s">
        <v>65</v>
      </c>
      <c r="X2811" s="93" t="s">
        <v>30</v>
      </c>
      <c r="Y2811" s="93" t="s">
        <v>1011</v>
      </c>
      <c r="Z2811" s="134">
        <f>VLOOKUP(W2811,Sheet2!$B:$D,3,FALSE)</f>
        <v>1.76</v>
      </c>
      <c r="AA2811" s="93">
        <f>AA2810/3</f>
        <v>8.3333333333333339</v>
      </c>
      <c r="AB2811" s="93">
        <f>AD2811/AC2801</f>
        <v>0.21119999999999997</v>
      </c>
      <c r="AC2811" s="93">
        <f>AC2801/AA2811</f>
        <v>39.68123999999974</v>
      </c>
      <c r="AD2811" s="94">
        <f t="shared" si="2209"/>
        <v>69.838982399999537</v>
      </c>
      <c r="AE2811" s="190"/>
      <c r="AF2811" s="191"/>
      <c r="AG2811" s="191"/>
      <c r="AH2811" s="191"/>
      <c r="AI2811" s="186"/>
      <c r="AK2811" s="171"/>
    </row>
    <row r="2812" spans="1:41" ht="20.100000000000001" customHeight="1" x14ac:dyDescent="0.25">
      <c r="A2812" s="277" t="s">
        <v>410</v>
      </c>
      <c r="B2812" s="278"/>
      <c r="C2812" s="64" t="s">
        <v>486</v>
      </c>
      <c r="D2812" s="46" t="s">
        <v>97</v>
      </c>
      <c r="E2812" s="114">
        <v>25.536999999998443</v>
      </c>
      <c r="F2812" s="44">
        <v>53</v>
      </c>
      <c r="G2812" s="44">
        <f t="shared" si="1977"/>
        <v>1353.4609999999175</v>
      </c>
      <c r="H2812" s="44">
        <f t="shared" si="1978"/>
        <v>18.154081045751635</v>
      </c>
      <c r="I2812" s="43">
        <f t="shared" si="1979"/>
        <v>463.60076766533126</v>
      </c>
      <c r="J2812" s="112">
        <f t="shared" si="1980"/>
        <v>25.536999999998443</v>
      </c>
      <c r="K2812" s="211">
        <f t="shared" si="1981"/>
        <v>25.536999999998443</v>
      </c>
      <c r="L2812" s="44"/>
      <c r="M2812" s="44">
        <f t="shared" si="1982"/>
        <v>25.536999999998443</v>
      </c>
      <c r="N2812" s="173">
        <f t="shared" si="1983"/>
        <v>1</v>
      </c>
      <c r="O2812" s="44">
        <f t="shared" si="1984"/>
        <v>53</v>
      </c>
      <c r="P2812" s="44">
        <f t="shared" si="1985"/>
        <v>1353.4609999999175</v>
      </c>
      <c r="Q2812" s="44">
        <f t="shared" si="1986"/>
        <v>18.154081045751635</v>
      </c>
      <c r="R2812" s="44">
        <f t="shared" si="1987"/>
        <v>463.60076766533126</v>
      </c>
      <c r="S2812" s="123"/>
      <c r="T2812" s="219">
        <f t="shared" si="1988"/>
        <v>463.60076766533126</v>
      </c>
      <c r="U2812" s="87"/>
      <c r="V2812" s="47"/>
      <c r="W2812" s="48"/>
      <c r="X2812" s="48"/>
      <c r="Y2812" s="48"/>
      <c r="Z2812" s="135"/>
      <c r="AA2812" s="49"/>
      <c r="AB2812" s="50">
        <f t="shared" si="1989"/>
        <v>18.154081045751635</v>
      </c>
      <c r="AC2812" s="42">
        <f t="shared" si="1990"/>
        <v>25.536999999998443</v>
      </c>
      <c r="AD2812" s="90">
        <f>AD2813</f>
        <v>463.6007676653312</v>
      </c>
      <c r="AE2812" s="188">
        <f t="shared" ref="AE2812:AH2812" si="2210">AE2813</f>
        <v>0</v>
      </c>
      <c r="AF2812" s="189">
        <f t="shared" si="2210"/>
        <v>0</v>
      </c>
      <c r="AG2812" s="189">
        <f t="shared" si="2210"/>
        <v>0</v>
      </c>
      <c r="AH2812" s="189">
        <f t="shared" si="2210"/>
        <v>0</v>
      </c>
      <c r="AI2812" s="161">
        <f t="shared" ref="AI2812" si="2211">SUM(AE2812:AH2812)</f>
        <v>0</v>
      </c>
      <c r="AK2812" s="169">
        <v>5</v>
      </c>
      <c r="AO2812" s="19" t="s">
        <v>63</v>
      </c>
    </row>
    <row r="2813" spans="1:41" s="103" customFormat="1" ht="19.899999999999999" customHeight="1" x14ac:dyDescent="0.25">
      <c r="A2813" s="51"/>
      <c r="B2813" s="52"/>
      <c r="C2813" s="165"/>
      <c r="D2813" s="52"/>
      <c r="E2813" s="115"/>
      <c r="F2813" s="58"/>
      <c r="G2813" s="58"/>
      <c r="H2813" s="58"/>
      <c r="I2813" s="55"/>
      <c r="J2813" s="113">
        <f>J2812</f>
        <v>25.536999999998443</v>
      </c>
      <c r="K2813" s="212">
        <f>K2812</f>
        <v>25.536999999998443</v>
      </c>
      <c r="L2813" s="58"/>
      <c r="M2813" s="58">
        <f>K2813-L2813</f>
        <v>25.536999999998443</v>
      </c>
      <c r="N2813" s="166"/>
      <c r="O2813" s="58"/>
      <c r="P2813" s="58"/>
      <c r="Q2813" s="58"/>
      <c r="R2813" s="58"/>
      <c r="S2813" s="58"/>
      <c r="T2813" s="220"/>
      <c r="U2813" s="88"/>
      <c r="V2813" s="56"/>
      <c r="W2813" s="57" t="s">
        <v>1468</v>
      </c>
      <c r="X2813" s="53"/>
      <c r="Y2813" s="91" t="s">
        <v>68</v>
      </c>
      <c r="Z2813" s="136">
        <f>AD2813/AC2813</f>
        <v>18.154081045751635</v>
      </c>
      <c r="AA2813" s="58"/>
      <c r="AB2813" s="53">
        <f>AD2813/AC2813</f>
        <v>18.154081045751635</v>
      </c>
      <c r="AC2813" s="53">
        <f>M2813+$AE$10</f>
        <v>25.536999999998443</v>
      </c>
      <c r="AD2813" s="54">
        <f>SUM(AD2814:AD2823)</f>
        <v>463.6007676653312</v>
      </c>
      <c r="AE2813" s="184">
        <f>SUMIFS($AD$37:$AD$12971,$V$37:$V$12971,$V2813,$X$37:$X$12971,AE$13)</f>
        <v>0</v>
      </c>
      <c r="AF2813" s="185">
        <f>SUMIFS($AD$37:$AD$12971,$V$37:$V$12971,$V2813,$X$37:$X$12971,AF$13)</f>
        <v>0</v>
      </c>
      <c r="AG2813" s="185">
        <f>SUMIFS($AD$37:$AD$12971,$V$37:$V$12971,$V2813,$X$37:$X$12971,AG$13)</f>
        <v>0</v>
      </c>
      <c r="AH2813" s="187">
        <f>SUMIFS($AD$37:$AD$12971,$V$37:$V$12971,$V2813,$X$37:$X$12971,AH$13)</f>
        <v>0</v>
      </c>
      <c r="AI2813" s="161">
        <f t="shared" ref="AI2813" si="2212">SUM(AE2813:AH2813)</f>
        <v>0</v>
      </c>
      <c r="AK2813" s="172"/>
    </row>
    <row r="2814" spans="1:41" s="102" customFormat="1" ht="19.899999999999999" customHeight="1" x14ac:dyDescent="0.25">
      <c r="A2814" s="45"/>
      <c r="B2814" s="59"/>
      <c r="C2814" s="137"/>
      <c r="D2814" s="59"/>
      <c r="E2814" s="116"/>
      <c r="F2814" s="120"/>
      <c r="G2814" s="120"/>
      <c r="H2814" s="120"/>
      <c r="I2814" s="60"/>
      <c r="J2814" s="116"/>
      <c r="K2814" s="213"/>
      <c r="L2814" s="120"/>
      <c r="M2814" s="120"/>
      <c r="N2814" s="167"/>
      <c r="O2814" s="120"/>
      <c r="P2814" s="120"/>
      <c r="Q2814" s="120"/>
      <c r="R2814" s="120"/>
      <c r="S2814" s="120"/>
      <c r="T2814" s="221"/>
      <c r="U2814" s="89"/>
      <c r="V2814" s="61"/>
      <c r="W2814" s="92" t="s">
        <v>134</v>
      </c>
      <c r="X2814" s="93" t="s">
        <v>29</v>
      </c>
      <c r="Y2814" s="93" t="s">
        <v>93</v>
      </c>
      <c r="Z2814" s="134">
        <f>VLOOKUP(W2814,Sheet2!$B:$D,3,FALSE)</f>
        <v>65.599999999999994</v>
      </c>
      <c r="AA2814" s="93">
        <f>100/(1.5*2)</f>
        <v>33.333333333333336</v>
      </c>
      <c r="AB2814" s="93">
        <f>AD2814/AC2813</f>
        <v>1.9679999999999995</v>
      </c>
      <c r="AC2814" s="93">
        <f>AC2813/AA2814</f>
        <v>0.76610999999995322</v>
      </c>
      <c r="AD2814" s="94">
        <f t="shared" ref="AD2814:AD2815" si="2213">AC2814*Z2814</f>
        <v>50.256815999996924</v>
      </c>
      <c r="AE2814" s="190"/>
      <c r="AF2814" s="191"/>
      <c r="AG2814" s="191"/>
      <c r="AH2814" s="191"/>
      <c r="AI2814" s="186"/>
      <c r="AK2814" s="171"/>
    </row>
    <row r="2815" spans="1:41" s="102" customFormat="1" ht="19.899999999999999" customHeight="1" x14ac:dyDescent="0.25">
      <c r="A2815" s="45"/>
      <c r="B2815" s="59"/>
      <c r="C2815" s="137"/>
      <c r="D2815" s="59"/>
      <c r="E2815" s="116"/>
      <c r="F2815" s="120"/>
      <c r="G2815" s="120"/>
      <c r="H2815" s="120"/>
      <c r="I2815" s="60"/>
      <c r="J2815" s="116"/>
      <c r="K2815" s="213"/>
      <c r="L2815" s="120"/>
      <c r="M2815" s="120"/>
      <c r="N2815" s="167"/>
      <c r="O2815" s="120"/>
      <c r="P2815" s="120"/>
      <c r="Q2815" s="120"/>
      <c r="R2815" s="120"/>
      <c r="S2815" s="120"/>
      <c r="T2815" s="221"/>
      <c r="U2815" s="89"/>
      <c r="V2815" s="61"/>
      <c r="W2815" s="92" t="s">
        <v>65</v>
      </c>
      <c r="X2815" s="93" t="s">
        <v>30</v>
      </c>
      <c r="Y2815" s="93" t="s">
        <v>1011</v>
      </c>
      <c r="Z2815" s="134">
        <f>VLOOKUP(W2815,Sheet2!$B:$D,3,FALSE)</f>
        <v>1.76</v>
      </c>
      <c r="AA2815" s="93">
        <f>AA2814/9</f>
        <v>3.7037037037037042</v>
      </c>
      <c r="AB2815" s="93">
        <f>AD2815/AC2813</f>
        <v>0.47519999999999996</v>
      </c>
      <c r="AC2815" s="93">
        <f>AC2813/AA2815</f>
        <v>6.894989999999579</v>
      </c>
      <c r="AD2815" s="94">
        <f t="shared" si="2213"/>
        <v>12.135182399999259</v>
      </c>
      <c r="AE2815" s="190"/>
      <c r="AF2815" s="191"/>
      <c r="AG2815" s="191"/>
      <c r="AH2815" s="191"/>
      <c r="AI2815" s="186"/>
      <c r="AK2815" s="171"/>
    </row>
    <row r="2816" spans="1:41" s="102" customFormat="1" ht="19.899999999999999" customHeight="1" x14ac:dyDescent="0.25">
      <c r="A2816" s="45"/>
      <c r="B2816" s="59"/>
      <c r="C2816" s="137"/>
      <c r="D2816" s="59"/>
      <c r="E2816" s="116"/>
      <c r="F2816" s="120"/>
      <c r="G2816" s="120"/>
      <c r="H2816" s="120"/>
      <c r="I2816" s="60"/>
      <c r="J2816" s="116"/>
      <c r="K2816" s="213"/>
      <c r="L2816" s="120"/>
      <c r="M2816" s="120"/>
      <c r="N2816" s="167"/>
      <c r="O2816" s="120"/>
      <c r="P2816" s="120"/>
      <c r="Q2816" s="120"/>
      <c r="R2816" s="120"/>
      <c r="S2816" s="120"/>
      <c r="T2816" s="221"/>
      <c r="U2816" s="89"/>
      <c r="V2816" s="61"/>
      <c r="W2816" s="92" t="s">
        <v>161</v>
      </c>
      <c r="X2816" s="93" t="s">
        <v>29</v>
      </c>
      <c r="Y2816" s="93" t="s">
        <v>93</v>
      </c>
      <c r="Z2816" s="134">
        <f>VLOOKUP(W2816,Sheet2!$B:$D,3,FALSE)</f>
        <v>48</v>
      </c>
      <c r="AA2816" s="93">
        <f>(16*0.85*1.5)/(1.5*2)</f>
        <v>6.8</v>
      </c>
      <c r="AB2816" s="93">
        <f>AD2816/AC2813</f>
        <v>7.0588235294117654</v>
      </c>
      <c r="AC2816" s="93">
        <f>AC2813/AA2816</f>
        <v>3.7554411764703595</v>
      </c>
      <c r="AD2816" s="94">
        <f>AC2816*Z2816</f>
        <v>180.26117647057725</v>
      </c>
      <c r="AE2816" s="190"/>
      <c r="AF2816" s="191"/>
      <c r="AG2816" s="191"/>
      <c r="AH2816" s="191"/>
      <c r="AI2816" s="186"/>
      <c r="AK2816" s="171"/>
    </row>
    <row r="2817" spans="1:41" s="102" customFormat="1" ht="19.899999999999999" customHeight="1" x14ac:dyDescent="0.25">
      <c r="A2817" s="45"/>
      <c r="B2817" s="59"/>
      <c r="C2817" s="137"/>
      <c r="D2817" s="59"/>
      <c r="E2817" s="116"/>
      <c r="F2817" s="120"/>
      <c r="G2817" s="120"/>
      <c r="H2817" s="120"/>
      <c r="I2817" s="60"/>
      <c r="J2817" s="116"/>
      <c r="K2817" s="213"/>
      <c r="L2817" s="120"/>
      <c r="M2817" s="120"/>
      <c r="N2817" s="167"/>
      <c r="O2817" s="120"/>
      <c r="P2817" s="120"/>
      <c r="Q2817" s="120"/>
      <c r="R2817" s="120"/>
      <c r="S2817" s="120"/>
      <c r="T2817" s="221"/>
      <c r="U2817" s="89"/>
      <c r="V2817" s="61"/>
      <c r="W2817" s="92" t="s">
        <v>65</v>
      </c>
      <c r="X2817" s="93" t="s">
        <v>30</v>
      </c>
      <c r="Y2817" s="93" t="s">
        <v>1011</v>
      </c>
      <c r="Z2817" s="134">
        <f>VLOOKUP(W2817,Sheet2!$B:$D,3,FALSE)</f>
        <v>1.76</v>
      </c>
      <c r="AA2817" s="93">
        <f>AA2816/10</f>
        <v>0.67999999999999994</v>
      </c>
      <c r="AB2817" s="93">
        <f>AD2817/AC2813</f>
        <v>2.5882352941176472</v>
      </c>
      <c r="AC2817" s="93">
        <f>AC2813/AA2817</f>
        <v>37.554411764703595</v>
      </c>
      <c r="AD2817" s="94">
        <f>AC2817*Z2817</f>
        <v>66.095764705878324</v>
      </c>
      <c r="AE2817" s="190"/>
      <c r="AF2817" s="191"/>
      <c r="AG2817" s="191"/>
      <c r="AH2817" s="191"/>
      <c r="AI2817" s="186"/>
      <c r="AK2817" s="171"/>
    </row>
    <row r="2818" spans="1:41" s="102" customFormat="1" ht="19.899999999999999" customHeight="1" x14ac:dyDescent="0.25">
      <c r="A2818" s="45"/>
      <c r="B2818" s="59"/>
      <c r="C2818" s="137"/>
      <c r="D2818" s="59"/>
      <c r="E2818" s="116"/>
      <c r="F2818" s="120"/>
      <c r="G2818" s="120"/>
      <c r="H2818" s="120"/>
      <c r="I2818" s="60"/>
      <c r="J2818" s="116"/>
      <c r="K2818" s="213"/>
      <c r="L2818" s="120"/>
      <c r="M2818" s="120"/>
      <c r="N2818" s="167"/>
      <c r="O2818" s="120"/>
      <c r="P2818" s="120"/>
      <c r="Q2818" s="120"/>
      <c r="R2818" s="120"/>
      <c r="S2818" s="120"/>
      <c r="T2818" s="221"/>
      <c r="U2818" s="89"/>
      <c r="V2818" s="61"/>
      <c r="W2818" s="92" t="s">
        <v>173</v>
      </c>
      <c r="X2818" s="93" t="s">
        <v>29</v>
      </c>
      <c r="Y2818" s="93" t="s">
        <v>93</v>
      </c>
      <c r="Z2818" s="134">
        <f>VLOOKUP(W2818,Sheet2!$B:$D,3,FALSE)</f>
        <v>36</v>
      </c>
      <c r="AA2818" s="93">
        <f>50/(1.5*2)</f>
        <v>16.666666666666668</v>
      </c>
      <c r="AB2818" s="93">
        <f>AD2818/AC2813</f>
        <v>2.1599999999999997</v>
      </c>
      <c r="AC2818" s="93">
        <f>AC2813/AA2818</f>
        <v>1.5322199999999064</v>
      </c>
      <c r="AD2818" s="94">
        <f>AC2818*Z2818</f>
        <v>55.159919999996632</v>
      </c>
      <c r="AE2818" s="190"/>
      <c r="AF2818" s="191"/>
      <c r="AG2818" s="191"/>
      <c r="AH2818" s="191"/>
      <c r="AI2818" s="186"/>
      <c r="AK2818" s="171"/>
    </row>
    <row r="2819" spans="1:41" s="102" customFormat="1" ht="19.899999999999999" customHeight="1" x14ac:dyDescent="0.25">
      <c r="A2819" s="45"/>
      <c r="B2819" s="59"/>
      <c r="C2819" s="137"/>
      <c r="D2819" s="59"/>
      <c r="E2819" s="116"/>
      <c r="F2819" s="120"/>
      <c r="G2819" s="120"/>
      <c r="H2819" s="120"/>
      <c r="I2819" s="60"/>
      <c r="J2819" s="116"/>
      <c r="K2819" s="213"/>
      <c r="L2819" s="120"/>
      <c r="M2819" s="120"/>
      <c r="N2819" s="167"/>
      <c r="O2819" s="120"/>
      <c r="P2819" s="120"/>
      <c r="Q2819" s="120"/>
      <c r="R2819" s="120"/>
      <c r="S2819" s="120"/>
      <c r="T2819" s="221"/>
      <c r="U2819" s="89"/>
      <c r="V2819" s="61"/>
      <c r="W2819" s="92" t="s">
        <v>65</v>
      </c>
      <c r="X2819" s="93" t="s">
        <v>30</v>
      </c>
      <c r="Y2819" s="93" t="s">
        <v>1011</v>
      </c>
      <c r="Z2819" s="134">
        <f>VLOOKUP(W2819,Sheet2!$B:$D,3,FALSE)</f>
        <v>1.76</v>
      </c>
      <c r="AA2819" s="93">
        <f>AA2818/9</f>
        <v>1.8518518518518521</v>
      </c>
      <c r="AB2819" s="93">
        <f>AD2819/AC2813</f>
        <v>0.95039999999999991</v>
      </c>
      <c r="AC2819" s="93">
        <f>AC2813/AA2819</f>
        <v>13.789979999999158</v>
      </c>
      <c r="AD2819" s="94">
        <f>AC2819*Z2819</f>
        <v>24.270364799998518</v>
      </c>
      <c r="AE2819" s="190"/>
      <c r="AF2819" s="191"/>
      <c r="AG2819" s="191"/>
      <c r="AH2819" s="191"/>
      <c r="AI2819" s="186"/>
      <c r="AK2819" s="171"/>
    </row>
    <row r="2820" spans="1:41" s="102" customFormat="1" ht="19.899999999999999" customHeight="1" x14ac:dyDescent="0.25">
      <c r="A2820" s="45"/>
      <c r="B2820" s="59"/>
      <c r="C2820" s="137"/>
      <c r="D2820" s="59"/>
      <c r="E2820" s="116"/>
      <c r="F2820" s="120"/>
      <c r="G2820" s="120"/>
      <c r="H2820" s="120"/>
      <c r="I2820" s="60"/>
      <c r="J2820" s="116"/>
      <c r="K2820" s="213"/>
      <c r="L2820" s="120"/>
      <c r="M2820" s="120"/>
      <c r="N2820" s="167"/>
      <c r="O2820" s="120"/>
      <c r="P2820" s="120"/>
      <c r="Q2820" s="120"/>
      <c r="R2820" s="120"/>
      <c r="S2820" s="120"/>
      <c r="T2820" s="221"/>
      <c r="U2820" s="89"/>
      <c r="V2820" s="61"/>
      <c r="W2820" s="92" t="s">
        <v>148</v>
      </c>
      <c r="X2820" s="93" t="s">
        <v>29</v>
      </c>
      <c r="Y2820" s="93" t="s">
        <v>93</v>
      </c>
      <c r="Z2820" s="134">
        <f>VLOOKUP(W2820,Sheet2!$B:$D,3,FALSE)</f>
        <v>48</v>
      </c>
      <c r="AA2820" s="93">
        <f>7.2/(2*1*0.1)</f>
        <v>36</v>
      </c>
      <c r="AB2820" s="93">
        <f>AD2820/AC2813</f>
        <v>1.3333333333333333</v>
      </c>
      <c r="AC2820" s="93">
        <f>AC2813/AA2820</f>
        <v>0.70936111111106781</v>
      </c>
      <c r="AD2820" s="94">
        <f t="shared" ref="AD2820:AD2823" si="2214">AC2820*Z2820</f>
        <v>34.049333333331255</v>
      </c>
      <c r="AE2820" s="190"/>
      <c r="AF2820" s="191"/>
      <c r="AG2820" s="191"/>
      <c r="AH2820" s="191"/>
      <c r="AI2820" s="186"/>
      <c r="AK2820" s="171"/>
    </row>
    <row r="2821" spans="1:41" s="102" customFormat="1" ht="19.899999999999999" customHeight="1" x14ac:dyDescent="0.25">
      <c r="A2821" s="45"/>
      <c r="B2821" s="59"/>
      <c r="C2821" s="137"/>
      <c r="D2821" s="59"/>
      <c r="E2821" s="116"/>
      <c r="F2821" s="120"/>
      <c r="G2821" s="120"/>
      <c r="H2821" s="120"/>
      <c r="I2821" s="60"/>
      <c r="J2821" s="116"/>
      <c r="K2821" s="213"/>
      <c r="L2821" s="120"/>
      <c r="M2821" s="120"/>
      <c r="N2821" s="167"/>
      <c r="O2821" s="120"/>
      <c r="P2821" s="120"/>
      <c r="Q2821" s="120"/>
      <c r="R2821" s="120"/>
      <c r="S2821" s="120"/>
      <c r="T2821" s="221"/>
      <c r="U2821" s="89"/>
      <c r="V2821" s="61"/>
      <c r="W2821" s="92" t="s">
        <v>65</v>
      </c>
      <c r="X2821" s="93" t="s">
        <v>30</v>
      </c>
      <c r="Y2821" s="93" t="s">
        <v>1011</v>
      </c>
      <c r="Z2821" s="134">
        <f>VLOOKUP(W2821,Sheet2!$B:$D,3,FALSE)</f>
        <v>1.76</v>
      </c>
      <c r="AA2821" s="93">
        <f>AA2820/10</f>
        <v>3.6</v>
      </c>
      <c r="AB2821" s="93">
        <f>AD2821/AC2813</f>
        <v>0.48888888888888882</v>
      </c>
      <c r="AC2821" s="93">
        <f>AC2813/AA2821</f>
        <v>7.0936111111106781</v>
      </c>
      <c r="AD2821" s="94">
        <f t="shared" si="2214"/>
        <v>12.484755555554793</v>
      </c>
      <c r="AE2821" s="190"/>
      <c r="AF2821" s="191"/>
      <c r="AG2821" s="191"/>
      <c r="AH2821" s="191"/>
      <c r="AI2821" s="186"/>
      <c r="AK2821" s="171"/>
    </row>
    <row r="2822" spans="1:41" s="102" customFormat="1" ht="19.899999999999999" customHeight="1" x14ac:dyDescent="0.25">
      <c r="A2822" s="45"/>
      <c r="B2822" s="59"/>
      <c r="C2822" s="137"/>
      <c r="D2822" s="59"/>
      <c r="E2822" s="116"/>
      <c r="F2822" s="120"/>
      <c r="G2822" s="120"/>
      <c r="H2822" s="120"/>
      <c r="I2822" s="60"/>
      <c r="J2822" s="116"/>
      <c r="K2822" s="213"/>
      <c r="L2822" s="120"/>
      <c r="M2822" s="120"/>
      <c r="N2822" s="167"/>
      <c r="O2822" s="120"/>
      <c r="P2822" s="120"/>
      <c r="Q2822" s="120"/>
      <c r="R2822" s="120"/>
      <c r="S2822" s="120"/>
      <c r="T2822" s="221"/>
      <c r="U2822" s="89"/>
      <c r="V2822" s="61"/>
      <c r="W2822" s="92" t="s">
        <v>1030</v>
      </c>
      <c r="X2822" s="93" t="s">
        <v>29</v>
      </c>
      <c r="Y2822" s="93" t="s">
        <v>93</v>
      </c>
      <c r="Z2822" s="134">
        <f>VLOOKUP(W2822,Sheet2!$B:$D,3,FALSE)</f>
        <v>23</v>
      </c>
      <c r="AA2822" s="93">
        <v>25</v>
      </c>
      <c r="AB2822" s="93">
        <f>AD2822/AC2813</f>
        <v>0.92000000000000015</v>
      </c>
      <c r="AC2822" s="93">
        <f>AC2813/AA2822</f>
        <v>1.0214799999999378</v>
      </c>
      <c r="AD2822" s="94">
        <f t="shared" si="2214"/>
        <v>23.49403999999857</v>
      </c>
      <c r="AE2822" s="190"/>
      <c r="AF2822" s="191"/>
      <c r="AG2822" s="191"/>
      <c r="AH2822" s="191"/>
      <c r="AI2822" s="186"/>
      <c r="AK2822" s="171"/>
    </row>
    <row r="2823" spans="1:41" s="102" customFormat="1" ht="19.899999999999999" customHeight="1" x14ac:dyDescent="0.25">
      <c r="A2823" s="45"/>
      <c r="B2823" s="59"/>
      <c r="C2823" s="137"/>
      <c r="D2823" s="59"/>
      <c r="E2823" s="116"/>
      <c r="F2823" s="120"/>
      <c r="G2823" s="120"/>
      <c r="H2823" s="120"/>
      <c r="I2823" s="60"/>
      <c r="J2823" s="116"/>
      <c r="K2823" s="213"/>
      <c r="L2823" s="120"/>
      <c r="M2823" s="120"/>
      <c r="N2823" s="167"/>
      <c r="O2823" s="120"/>
      <c r="P2823" s="120"/>
      <c r="Q2823" s="120"/>
      <c r="R2823" s="120"/>
      <c r="S2823" s="120"/>
      <c r="T2823" s="221"/>
      <c r="U2823" s="89"/>
      <c r="V2823" s="61"/>
      <c r="W2823" s="92" t="s">
        <v>65</v>
      </c>
      <c r="X2823" s="93" t="s">
        <v>30</v>
      </c>
      <c r="Y2823" s="93" t="s">
        <v>1011</v>
      </c>
      <c r="Z2823" s="134">
        <f>VLOOKUP(W2823,Sheet2!$B:$D,3,FALSE)</f>
        <v>1.76</v>
      </c>
      <c r="AA2823" s="93">
        <f>AA2822/3</f>
        <v>8.3333333333333339</v>
      </c>
      <c r="AB2823" s="93">
        <f>AD2823/AC2813</f>
        <v>0.21119999999999997</v>
      </c>
      <c r="AC2823" s="93">
        <f>AC2813/AA2823</f>
        <v>3.0644399999998129</v>
      </c>
      <c r="AD2823" s="94">
        <f t="shared" si="2214"/>
        <v>5.3934143999996706</v>
      </c>
      <c r="AE2823" s="190"/>
      <c r="AF2823" s="191"/>
      <c r="AG2823" s="191"/>
      <c r="AH2823" s="191"/>
      <c r="AI2823" s="186"/>
      <c r="AK2823" s="171"/>
    </row>
    <row r="2824" spans="1:41" ht="20.100000000000001" customHeight="1" x14ac:dyDescent="0.25">
      <c r="A2824" s="277" t="s">
        <v>410</v>
      </c>
      <c r="B2824" s="278"/>
      <c r="C2824" s="64" t="s">
        <v>487</v>
      </c>
      <c r="D2824" s="46" t="s">
        <v>97</v>
      </c>
      <c r="E2824" s="114">
        <v>91.394999999999953</v>
      </c>
      <c r="F2824" s="44">
        <v>68</v>
      </c>
      <c r="G2824" s="44">
        <f t="shared" si="1977"/>
        <v>6214.8599999999969</v>
      </c>
      <c r="H2824" s="44">
        <f t="shared" si="1978"/>
        <v>19.471471477124183</v>
      </c>
      <c r="I2824" s="43">
        <f t="shared" si="1979"/>
        <v>1779.5951356517637</v>
      </c>
      <c r="J2824" s="112">
        <f t="shared" si="1980"/>
        <v>91.394999999999953</v>
      </c>
      <c r="K2824" s="211">
        <f t="shared" si="1981"/>
        <v>91.394999999999953</v>
      </c>
      <c r="L2824" s="44"/>
      <c r="M2824" s="44">
        <f t="shared" si="1982"/>
        <v>91.394999999999953</v>
      </c>
      <c r="N2824" s="173">
        <f t="shared" si="1983"/>
        <v>1</v>
      </c>
      <c r="O2824" s="44">
        <f t="shared" si="1984"/>
        <v>68</v>
      </c>
      <c r="P2824" s="44">
        <f t="shared" si="1985"/>
        <v>6214.8599999999969</v>
      </c>
      <c r="Q2824" s="44">
        <f t="shared" si="1986"/>
        <v>19.471471477124183</v>
      </c>
      <c r="R2824" s="44">
        <f t="shared" si="1987"/>
        <v>1779.5951356517637</v>
      </c>
      <c r="S2824" s="123"/>
      <c r="T2824" s="219">
        <f t="shared" si="1988"/>
        <v>1779.5951356517637</v>
      </c>
      <c r="U2824" s="87"/>
      <c r="V2824" s="47"/>
      <c r="W2824" s="48"/>
      <c r="X2824" s="48"/>
      <c r="Y2824" s="48"/>
      <c r="Z2824" s="135"/>
      <c r="AA2824" s="49"/>
      <c r="AB2824" s="50">
        <f t="shared" si="1989"/>
        <v>19.471471477124183</v>
      </c>
      <c r="AC2824" s="42">
        <f t="shared" si="1990"/>
        <v>91.394999999999953</v>
      </c>
      <c r="AD2824" s="90">
        <f>AD2825</f>
        <v>1779.5951356517639</v>
      </c>
      <c r="AE2824" s="188">
        <f t="shared" ref="AE2824" si="2215">AE2825</f>
        <v>0</v>
      </c>
      <c r="AF2824" s="189">
        <f t="shared" ref="AF2824" si="2216">AF2825</f>
        <v>0</v>
      </c>
      <c r="AG2824" s="189">
        <f t="shared" ref="AG2824" si="2217">AG2825</f>
        <v>0</v>
      </c>
      <c r="AH2824" s="189">
        <f t="shared" ref="AH2824" si="2218">AH2825</f>
        <v>0</v>
      </c>
      <c r="AI2824" s="161">
        <f t="shared" ref="AI2824" si="2219">SUM(AE2824:AH2824)</f>
        <v>0</v>
      </c>
      <c r="AK2824" s="169">
        <v>5</v>
      </c>
      <c r="AO2824" s="19" t="s">
        <v>63</v>
      </c>
    </row>
    <row r="2825" spans="1:41" s="103" customFormat="1" ht="19.899999999999999" customHeight="1" x14ac:dyDescent="0.25">
      <c r="A2825" s="51"/>
      <c r="B2825" s="52"/>
      <c r="C2825" s="165"/>
      <c r="D2825" s="52"/>
      <c r="E2825" s="115"/>
      <c r="F2825" s="58"/>
      <c r="G2825" s="58"/>
      <c r="H2825" s="58"/>
      <c r="I2825" s="55"/>
      <c r="J2825" s="113">
        <f>J2824</f>
        <v>91.394999999999953</v>
      </c>
      <c r="K2825" s="212">
        <f>K2824</f>
        <v>91.394999999999953</v>
      </c>
      <c r="L2825" s="58"/>
      <c r="M2825" s="58">
        <f>K2825-L2825</f>
        <v>91.394999999999953</v>
      </c>
      <c r="N2825" s="166"/>
      <c r="O2825" s="58"/>
      <c r="P2825" s="58"/>
      <c r="Q2825" s="58"/>
      <c r="R2825" s="58"/>
      <c r="S2825" s="58"/>
      <c r="T2825" s="220"/>
      <c r="U2825" s="88"/>
      <c r="V2825" s="56"/>
      <c r="W2825" s="57" t="s">
        <v>1469</v>
      </c>
      <c r="X2825" s="53"/>
      <c r="Y2825" s="91" t="s">
        <v>68</v>
      </c>
      <c r="Z2825" s="136">
        <f>AD2825/AC2825</f>
        <v>19.471471477124183</v>
      </c>
      <c r="AA2825" s="58"/>
      <c r="AB2825" s="53">
        <f>AD2825/AC2825</f>
        <v>19.471471477124183</v>
      </c>
      <c r="AC2825" s="53">
        <f>M2825+$AE$10</f>
        <v>91.394999999999953</v>
      </c>
      <c r="AD2825" s="54">
        <f>SUM(AD2826:AD2835)</f>
        <v>1779.5951356517639</v>
      </c>
      <c r="AE2825" s="184">
        <f>SUMIFS($AD$37:$AD$12971,$V$37:$V$12971,$V2825,$X$37:$X$12971,AE$13)</f>
        <v>0</v>
      </c>
      <c r="AF2825" s="185">
        <f>SUMIFS($AD$37:$AD$12971,$V$37:$V$12971,$V2825,$X$37:$X$12971,AF$13)</f>
        <v>0</v>
      </c>
      <c r="AG2825" s="185">
        <f>SUMIFS($AD$37:$AD$12971,$V$37:$V$12971,$V2825,$X$37:$X$12971,AG$13)</f>
        <v>0</v>
      </c>
      <c r="AH2825" s="187">
        <f>SUMIFS($AD$37:$AD$12971,$V$37:$V$12971,$V2825,$X$37:$X$12971,AH$13)</f>
        <v>0</v>
      </c>
      <c r="AI2825" s="161">
        <f t="shared" ref="AI2825" si="2220">SUM(AE2825:AH2825)</f>
        <v>0</v>
      </c>
      <c r="AK2825" s="172"/>
    </row>
    <row r="2826" spans="1:41" s="102" customFormat="1" ht="19.899999999999999" customHeight="1" x14ac:dyDescent="0.25">
      <c r="A2826" s="45"/>
      <c r="B2826" s="59"/>
      <c r="C2826" s="137"/>
      <c r="D2826" s="59"/>
      <c r="E2826" s="116"/>
      <c r="F2826" s="120"/>
      <c r="G2826" s="120"/>
      <c r="H2826" s="120"/>
      <c r="I2826" s="60"/>
      <c r="J2826" s="116"/>
      <c r="K2826" s="213"/>
      <c r="L2826" s="120"/>
      <c r="M2826" s="120"/>
      <c r="N2826" s="167"/>
      <c r="O2826" s="120"/>
      <c r="P2826" s="120"/>
      <c r="Q2826" s="120"/>
      <c r="R2826" s="120"/>
      <c r="S2826" s="120"/>
      <c r="T2826" s="221"/>
      <c r="U2826" s="89"/>
      <c r="V2826" s="61"/>
      <c r="W2826" s="92" t="s">
        <v>134</v>
      </c>
      <c r="X2826" s="93" t="s">
        <v>29</v>
      </c>
      <c r="Y2826" s="93" t="s">
        <v>93</v>
      </c>
      <c r="Z2826" s="134">
        <f>VLOOKUP(W2826,Sheet2!$B:$D,3,FALSE)</f>
        <v>65.599999999999994</v>
      </c>
      <c r="AA2826" s="93">
        <f>100/(1.63*2)</f>
        <v>30.674846625766872</v>
      </c>
      <c r="AB2826" s="93">
        <f>AD2826/AC2825</f>
        <v>2.1385599999999996</v>
      </c>
      <c r="AC2826" s="93">
        <f>AC2825/AA2826</f>
        <v>2.9794769999999984</v>
      </c>
      <c r="AD2826" s="94">
        <f t="shared" ref="AD2826:AD2827" si="2221">AC2826*Z2826</f>
        <v>195.45369119999987</v>
      </c>
      <c r="AE2826" s="190"/>
      <c r="AF2826" s="191"/>
      <c r="AG2826" s="191"/>
      <c r="AH2826" s="191"/>
      <c r="AI2826" s="186"/>
      <c r="AK2826" s="171"/>
    </row>
    <row r="2827" spans="1:41" s="102" customFormat="1" ht="19.899999999999999" customHeight="1" x14ac:dyDescent="0.25">
      <c r="A2827" s="45"/>
      <c r="B2827" s="59"/>
      <c r="C2827" s="137"/>
      <c r="D2827" s="59"/>
      <c r="E2827" s="116"/>
      <c r="F2827" s="120"/>
      <c r="G2827" s="120"/>
      <c r="H2827" s="120"/>
      <c r="I2827" s="60"/>
      <c r="J2827" s="116"/>
      <c r="K2827" s="213"/>
      <c r="L2827" s="120"/>
      <c r="M2827" s="120"/>
      <c r="N2827" s="167"/>
      <c r="O2827" s="120"/>
      <c r="P2827" s="120"/>
      <c r="Q2827" s="120"/>
      <c r="R2827" s="120"/>
      <c r="S2827" s="120"/>
      <c r="T2827" s="221"/>
      <c r="U2827" s="89"/>
      <c r="V2827" s="61"/>
      <c r="W2827" s="92" t="s">
        <v>65</v>
      </c>
      <c r="X2827" s="93" t="s">
        <v>30</v>
      </c>
      <c r="Y2827" s="93" t="s">
        <v>1011</v>
      </c>
      <c r="Z2827" s="134">
        <f>VLOOKUP(W2827,Sheet2!$B:$D,3,FALSE)</f>
        <v>1.76</v>
      </c>
      <c r="AA2827" s="93">
        <f>AA2826/9</f>
        <v>3.4083162917518748</v>
      </c>
      <c r="AB2827" s="93">
        <f>AD2827/AC2825</f>
        <v>0.51638399999999995</v>
      </c>
      <c r="AC2827" s="93">
        <f>AC2825/AA2827</f>
        <v>26.815292999999986</v>
      </c>
      <c r="AD2827" s="94">
        <f t="shared" si="2221"/>
        <v>47.194915679999973</v>
      </c>
      <c r="AE2827" s="190"/>
      <c r="AF2827" s="191"/>
      <c r="AG2827" s="191"/>
      <c r="AH2827" s="191"/>
      <c r="AI2827" s="186"/>
      <c r="AK2827" s="171"/>
    </row>
    <row r="2828" spans="1:41" s="102" customFormat="1" ht="19.899999999999999" customHeight="1" x14ac:dyDescent="0.25">
      <c r="A2828" s="45"/>
      <c r="B2828" s="59"/>
      <c r="C2828" s="137"/>
      <c r="D2828" s="59"/>
      <c r="E2828" s="116"/>
      <c r="F2828" s="120"/>
      <c r="G2828" s="120"/>
      <c r="H2828" s="120"/>
      <c r="I2828" s="60"/>
      <c r="J2828" s="116"/>
      <c r="K2828" s="213"/>
      <c r="L2828" s="120"/>
      <c r="M2828" s="120"/>
      <c r="N2828" s="167"/>
      <c r="O2828" s="120"/>
      <c r="P2828" s="120"/>
      <c r="Q2828" s="120"/>
      <c r="R2828" s="120"/>
      <c r="S2828" s="120"/>
      <c r="T2828" s="221"/>
      <c r="U2828" s="89"/>
      <c r="V2828" s="61"/>
      <c r="W2828" s="92" t="s">
        <v>161</v>
      </c>
      <c r="X2828" s="93" t="s">
        <v>29</v>
      </c>
      <c r="Y2828" s="93" t="s">
        <v>93</v>
      </c>
      <c r="Z2828" s="134">
        <f>VLOOKUP(W2828,Sheet2!$B:$D,3,FALSE)</f>
        <v>48</v>
      </c>
      <c r="AA2828" s="93">
        <f>(16*0.85*1.5)/(1.63*2)</f>
        <v>6.257668711656442</v>
      </c>
      <c r="AB2828" s="93">
        <f>AD2828/AC2825</f>
        <v>7.6705882352941179</v>
      </c>
      <c r="AC2828" s="93">
        <f>AC2825/AA2828</f>
        <v>14.605279411764698</v>
      </c>
      <c r="AD2828" s="94">
        <f>AC2828*Z2828</f>
        <v>701.05341176470552</v>
      </c>
      <c r="AE2828" s="190"/>
      <c r="AF2828" s="191"/>
      <c r="AG2828" s="191"/>
      <c r="AH2828" s="191"/>
      <c r="AI2828" s="186"/>
      <c r="AK2828" s="171"/>
    </row>
    <row r="2829" spans="1:41" s="102" customFormat="1" ht="19.899999999999999" customHeight="1" x14ac:dyDescent="0.25">
      <c r="A2829" s="45"/>
      <c r="B2829" s="59"/>
      <c r="C2829" s="137"/>
      <c r="D2829" s="59"/>
      <c r="E2829" s="116"/>
      <c r="F2829" s="120"/>
      <c r="G2829" s="120"/>
      <c r="H2829" s="120"/>
      <c r="I2829" s="60"/>
      <c r="J2829" s="116"/>
      <c r="K2829" s="213"/>
      <c r="L2829" s="120"/>
      <c r="M2829" s="120"/>
      <c r="N2829" s="167"/>
      <c r="O2829" s="120"/>
      <c r="P2829" s="120"/>
      <c r="Q2829" s="120"/>
      <c r="R2829" s="120"/>
      <c r="S2829" s="120"/>
      <c r="T2829" s="221"/>
      <c r="U2829" s="89"/>
      <c r="V2829" s="61"/>
      <c r="W2829" s="92" t="s">
        <v>65</v>
      </c>
      <c r="X2829" s="93" t="s">
        <v>30</v>
      </c>
      <c r="Y2829" s="93" t="s">
        <v>1011</v>
      </c>
      <c r="Z2829" s="134">
        <f>VLOOKUP(W2829,Sheet2!$B:$D,3,FALSE)</f>
        <v>1.76</v>
      </c>
      <c r="AA2829" s="93">
        <f>AA2828/10</f>
        <v>0.62576687116564422</v>
      </c>
      <c r="AB2829" s="93">
        <f>AD2829/AC2825</f>
        <v>2.8125490196078431</v>
      </c>
      <c r="AC2829" s="93">
        <f>AC2825/AA2829</f>
        <v>146.05279411764698</v>
      </c>
      <c r="AD2829" s="94">
        <f>AC2829*Z2829</f>
        <v>257.05291764705868</v>
      </c>
      <c r="AE2829" s="190"/>
      <c r="AF2829" s="191"/>
      <c r="AG2829" s="191"/>
      <c r="AH2829" s="191"/>
      <c r="AI2829" s="186"/>
      <c r="AK2829" s="171"/>
    </row>
    <row r="2830" spans="1:41" s="102" customFormat="1" ht="19.899999999999999" customHeight="1" x14ac:dyDescent="0.25">
      <c r="A2830" s="45"/>
      <c r="B2830" s="59"/>
      <c r="C2830" s="137"/>
      <c r="D2830" s="59"/>
      <c r="E2830" s="116"/>
      <c r="F2830" s="120"/>
      <c r="G2830" s="120"/>
      <c r="H2830" s="120"/>
      <c r="I2830" s="60"/>
      <c r="J2830" s="116"/>
      <c r="K2830" s="213"/>
      <c r="L2830" s="120"/>
      <c r="M2830" s="120"/>
      <c r="N2830" s="167"/>
      <c r="O2830" s="120"/>
      <c r="P2830" s="120"/>
      <c r="Q2830" s="120"/>
      <c r="R2830" s="120"/>
      <c r="S2830" s="120"/>
      <c r="T2830" s="221"/>
      <c r="U2830" s="89"/>
      <c r="V2830" s="61"/>
      <c r="W2830" s="92" t="s">
        <v>173</v>
      </c>
      <c r="X2830" s="93" t="s">
        <v>29</v>
      </c>
      <c r="Y2830" s="93" t="s">
        <v>93</v>
      </c>
      <c r="Z2830" s="134">
        <f>VLOOKUP(W2830,Sheet2!$B:$D,3,FALSE)</f>
        <v>36</v>
      </c>
      <c r="AA2830" s="93">
        <f>50/(1.63*2)</f>
        <v>15.337423312883436</v>
      </c>
      <c r="AB2830" s="93">
        <f>AD2830/AC2825</f>
        <v>2.3472</v>
      </c>
      <c r="AC2830" s="93">
        <f>AC2825/AA2830</f>
        <v>5.9589539999999968</v>
      </c>
      <c r="AD2830" s="94">
        <f>AC2830*Z2830</f>
        <v>214.52234399999989</v>
      </c>
      <c r="AE2830" s="190"/>
      <c r="AF2830" s="191"/>
      <c r="AG2830" s="191"/>
      <c r="AH2830" s="191"/>
      <c r="AI2830" s="186"/>
      <c r="AK2830" s="171"/>
    </row>
    <row r="2831" spans="1:41" s="102" customFormat="1" ht="19.899999999999999" customHeight="1" x14ac:dyDescent="0.25">
      <c r="A2831" s="45"/>
      <c r="B2831" s="59"/>
      <c r="C2831" s="137"/>
      <c r="D2831" s="59"/>
      <c r="E2831" s="116"/>
      <c r="F2831" s="120"/>
      <c r="G2831" s="120"/>
      <c r="H2831" s="120"/>
      <c r="I2831" s="60"/>
      <c r="J2831" s="116"/>
      <c r="K2831" s="213"/>
      <c r="L2831" s="120"/>
      <c r="M2831" s="120"/>
      <c r="N2831" s="167"/>
      <c r="O2831" s="120"/>
      <c r="P2831" s="120"/>
      <c r="Q2831" s="120"/>
      <c r="R2831" s="120"/>
      <c r="S2831" s="120"/>
      <c r="T2831" s="221"/>
      <c r="U2831" s="89"/>
      <c r="V2831" s="61"/>
      <c r="W2831" s="92" t="s">
        <v>65</v>
      </c>
      <c r="X2831" s="93" t="s">
        <v>30</v>
      </c>
      <c r="Y2831" s="93" t="s">
        <v>1011</v>
      </c>
      <c r="Z2831" s="134">
        <f>VLOOKUP(W2831,Sheet2!$B:$D,3,FALSE)</f>
        <v>1.76</v>
      </c>
      <c r="AA2831" s="93">
        <f>AA2830/9</f>
        <v>1.7041581458759374</v>
      </c>
      <c r="AB2831" s="93">
        <f>AD2831/AC2825</f>
        <v>1.0327679999999999</v>
      </c>
      <c r="AC2831" s="93">
        <f>AC2825/AA2831</f>
        <v>53.630585999999973</v>
      </c>
      <c r="AD2831" s="94">
        <f>AC2831*Z2831</f>
        <v>94.389831359999945</v>
      </c>
      <c r="AE2831" s="190"/>
      <c r="AF2831" s="191"/>
      <c r="AG2831" s="191"/>
      <c r="AH2831" s="191"/>
      <c r="AI2831" s="186"/>
      <c r="AK2831" s="171"/>
    </row>
    <row r="2832" spans="1:41" s="102" customFormat="1" ht="19.899999999999999" customHeight="1" x14ac:dyDescent="0.25">
      <c r="A2832" s="45"/>
      <c r="B2832" s="59"/>
      <c r="C2832" s="137"/>
      <c r="D2832" s="59"/>
      <c r="E2832" s="116"/>
      <c r="F2832" s="120"/>
      <c r="G2832" s="120"/>
      <c r="H2832" s="120"/>
      <c r="I2832" s="60"/>
      <c r="J2832" s="116"/>
      <c r="K2832" s="213"/>
      <c r="L2832" s="120"/>
      <c r="M2832" s="120"/>
      <c r="N2832" s="167"/>
      <c r="O2832" s="120"/>
      <c r="P2832" s="120"/>
      <c r="Q2832" s="120"/>
      <c r="R2832" s="120"/>
      <c r="S2832" s="120"/>
      <c r="T2832" s="221"/>
      <c r="U2832" s="89"/>
      <c r="V2832" s="61"/>
      <c r="W2832" s="92" t="s">
        <v>148</v>
      </c>
      <c r="X2832" s="93" t="s">
        <v>29</v>
      </c>
      <c r="Y2832" s="93" t="s">
        <v>93</v>
      </c>
      <c r="Z2832" s="134">
        <f>VLOOKUP(W2832,Sheet2!$B:$D,3,FALSE)</f>
        <v>48</v>
      </c>
      <c r="AA2832" s="93">
        <f>7.2/(2*1*0.1)</f>
        <v>36</v>
      </c>
      <c r="AB2832" s="93">
        <f>AD2832/AC2825</f>
        <v>1.3333333333333333</v>
      </c>
      <c r="AC2832" s="93">
        <f>AC2825/AA2832</f>
        <v>2.5387499999999985</v>
      </c>
      <c r="AD2832" s="94">
        <f t="shared" ref="AD2832:AD2835" si="2222">AC2832*Z2832</f>
        <v>121.85999999999993</v>
      </c>
      <c r="AE2832" s="190"/>
      <c r="AF2832" s="191"/>
      <c r="AG2832" s="191"/>
      <c r="AH2832" s="191"/>
      <c r="AI2832" s="186"/>
      <c r="AK2832" s="171"/>
    </row>
    <row r="2833" spans="1:41" s="102" customFormat="1" ht="19.899999999999999" customHeight="1" x14ac:dyDescent="0.25">
      <c r="A2833" s="45"/>
      <c r="B2833" s="59"/>
      <c r="C2833" s="137"/>
      <c r="D2833" s="59"/>
      <c r="E2833" s="116"/>
      <c r="F2833" s="120"/>
      <c r="G2833" s="120"/>
      <c r="H2833" s="120"/>
      <c r="I2833" s="60"/>
      <c r="J2833" s="116"/>
      <c r="K2833" s="213"/>
      <c r="L2833" s="120"/>
      <c r="M2833" s="120"/>
      <c r="N2833" s="167"/>
      <c r="O2833" s="120"/>
      <c r="P2833" s="120"/>
      <c r="Q2833" s="120"/>
      <c r="R2833" s="120"/>
      <c r="S2833" s="120"/>
      <c r="T2833" s="221"/>
      <c r="U2833" s="89"/>
      <c r="V2833" s="61"/>
      <c r="W2833" s="92" t="s">
        <v>65</v>
      </c>
      <c r="X2833" s="93" t="s">
        <v>30</v>
      </c>
      <c r="Y2833" s="93" t="s">
        <v>1011</v>
      </c>
      <c r="Z2833" s="134">
        <f>VLOOKUP(W2833,Sheet2!$B:$D,3,FALSE)</f>
        <v>1.76</v>
      </c>
      <c r="AA2833" s="93">
        <f>AA2832/10</f>
        <v>3.6</v>
      </c>
      <c r="AB2833" s="93">
        <f>AD2833/AC2825</f>
        <v>0.48888888888888887</v>
      </c>
      <c r="AC2833" s="93">
        <f>AC2825/AA2833</f>
        <v>25.387499999999985</v>
      </c>
      <c r="AD2833" s="94">
        <f t="shared" si="2222"/>
        <v>44.681999999999974</v>
      </c>
      <c r="AE2833" s="190"/>
      <c r="AF2833" s="191"/>
      <c r="AG2833" s="191"/>
      <c r="AH2833" s="191"/>
      <c r="AI2833" s="186"/>
      <c r="AK2833" s="171"/>
    </row>
    <row r="2834" spans="1:41" s="102" customFormat="1" ht="19.899999999999999" customHeight="1" x14ac:dyDescent="0.25">
      <c r="A2834" s="45"/>
      <c r="B2834" s="59"/>
      <c r="C2834" s="137"/>
      <c r="D2834" s="59"/>
      <c r="E2834" s="116"/>
      <c r="F2834" s="120"/>
      <c r="G2834" s="120"/>
      <c r="H2834" s="120"/>
      <c r="I2834" s="60"/>
      <c r="J2834" s="116"/>
      <c r="K2834" s="213"/>
      <c r="L2834" s="120"/>
      <c r="M2834" s="120"/>
      <c r="N2834" s="167"/>
      <c r="O2834" s="120"/>
      <c r="P2834" s="120"/>
      <c r="Q2834" s="120"/>
      <c r="R2834" s="120"/>
      <c r="S2834" s="120"/>
      <c r="T2834" s="221"/>
      <c r="U2834" s="89"/>
      <c r="V2834" s="61"/>
      <c r="W2834" s="92" t="s">
        <v>1030</v>
      </c>
      <c r="X2834" s="93" t="s">
        <v>29</v>
      </c>
      <c r="Y2834" s="93" t="s">
        <v>93</v>
      </c>
      <c r="Z2834" s="134">
        <f>VLOOKUP(W2834,Sheet2!$B:$D,3,FALSE)</f>
        <v>23</v>
      </c>
      <c r="AA2834" s="93">
        <v>25</v>
      </c>
      <c r="AB2834" s="93">
        <f>AD2834/AC2825</f>
        <v>0.91999999999999993</v>
      </c>
      <c r="AC2834" s="93">
        <f>AC2825/AA2834</f>
        <v>3.6557999999999979</v>
      </c>
      <c r="AD2834" s="94">
        <f t="shared" si="2222"/>
        <v>84.083399999999955</v>
      </c>
      <c r="AE2834" s="190"/>
      <c r="AF2834" s="191"/>
      <c r="AG2834" s="191"/>
      <c r="AH2834" s="191"/>
      <c r="AI2834" s="186"/>
      <c r="AK2834" s="171"/>
    </row>
    <row r="2835" spans="1:41" s="102" customFormat="1" ht="19.899999999999999" customHeight="1" x14ac:dyDescent="0.25">
      <c r="A2835" s="45"/>
      <c r="B2835" s="59"/>
      <c r="C2835" s="137"/>
      <c r="D2835" s="59"/>
      <c r="E2835" s="116"/>
      <c r="F2835" s="120"/>
      <c r="G2835" s="120"/>
      <c r="H2835" s="120"/>
      <c r="I2835" s="60"/>
      <c r="J2835" s="116"/>
      <c r="K2835" s="213"/>
      <c r="L2835" s="120"/>
      <c r="M2835" s="120"/>
      <c r="N2835" s="167"/>
      <c r="O2835" s="120"/>
      <c r="P2835" s="120"/>
      <c r="Q2835" s="120"/>
      <c r="R2835" s="120"/>
      <c r="S2835" s="120"/>
      <c r="T2835" s="221"/>
      <c r="U2835" s="89"/>
      <c r="V2835" s="61"/>
      <c r="W2835" s="92" t="s">
        <v>65</v>
      </c>
      <c r="X2835" s="93" t="s">
        <v>30</v>
      </c>
      <c r="Y2835" s="93" t="s">
        <v>1011</v>
      </c>
      <c r="Z2835" s="134">
        <f>VLOOKUP(W2835,Sheet2!$B:$D,3,FALSE)</f>
        <v>1.76</v>
      </c>
      <c r="AA2835" s="93">
        <f>AA2834/3</f>
        <v>8.3333333333333339</v>
      </c>
      <c r="AB2835" s="93">
        <f>AD2835/AC2825</f>
        <v>0.2112</v>
      </c>
      <c r="AC2835" s="93">
        <f>AC2825/AA2835</f>
        <v>10.967399999999994</v>
      </c>
      <c r="AD2835" s="94">
        <f t="shared" si="2222"/>
        <v>19.302623999999991</v>
      </c>
      <c r="AE2835" s="190"/>
      <c r="AF2835" s="191"/>
      <c r="AG2835" s="191"/>
      <c r="AH2835" s="191"/>
      <c r="AI2835" s="186"/>
      <c r="AK2835" s="171"/>
    </row>
    <row r="2836" spans="1:41" ht="20.100000000000001" customHeight="1" x14ac:dyDescent="0.25">
      <c r="A2836" s="277" t="s">
        <v>410</v>
      </c>
      <c r="B2836" s="278"/>
      <c r="C2836" s="64" t="s">
        <v>387</v>
      </c>
      <c r="D2836" s="46" t="s">
        <v>215</v>
      </c>
      <c r="E2836" s="114">
        <v>317.99999999999909</v>
      </c>
      <c r="F2836" s="44">
        <v>755</v>
      </c>
      <c r="G2836" s="44">
        <f t="shared" si="1977"/>
        <v>240089.9999999993</v>
      </c>
      <c r="H2836" s="44">
        <f t="shared" si="1978"/>
        <v>675.00000000000011</v>
      </c>
      <c r="I2836" s="43">
        <f t="shared" si="1979"/>
        <v>214649.99999999942</v>
      </c>
      <c r="J2836" s="112">
        <f t="shared" si="1980"/>
        <v>317.99999999999909</v>
      </c>
      <c r="K2836" s="211">
        <f t="shared" si="1981"/>
        <v>317.99999999999909</v>
      </c>
      <c r="L2836" s="44"/>
      <c r="M2836" s="44">
        <f t="shared" si="1982"/>
        <v>317.99999999999909</v>
      </c>
      <c r="N2836" s="173">
        <f t="shared" si="1983"/>
        <v>1</v>
      </c>
      <c r="O2836" s="44">
        <f t="shared" si="1984"/>
        <v>755</v>
      </c>
      <c r="P2836" s="44">
        <f t="shared" si="1985"/>
        <v>240089.9999999993</v>
      </c>
      <c r="Q2836" s="44">
        <f t="shared" si="1986"/>
        <v>675.00000000000011</v>
      </c>
      <c r="R2836" s="44">
        <f t="shared" si="1987"/>
        <v>214649.99999999942</v>
      </c>
      <c r="S2836" s="123"/>
      <c r="T2836" s="219">
        <f t="shared" si="1988"/>
        <v>214649.99999999942</v>
      </c>
      <c r="U2836" s="87"/>
      <c r="V2836" s="47"/>
      <c r="W2836" s="48"/>
      <c r="X2836" s="48"/>
      <c r="Y2836" s="48"/>
      <c r="Z2836" s="135"/>
      <c r="AA2836" s="49"/>
      <c r="AB2836" s="50">
        <f t="shared" si="1989"/>
        <v>675.00000000000011</v>
      </c>
      <c r="AC2836" s="42">
        <f t="shared" si="1990"/>
        <v>317.99999999999909</v>
      </c>
      <c r="AD2836" s="90">
        <f>AD2837</f>
        <v>214649.99999999942</v>
      </c>
      <c r="AE2836" s="188">
        <f t="shared" ref="AE2836" si="2223">AE2837</f>
        <v>0</v>
      </c>
      <c r="AF2836" s="189">
        <f t="shared" ref="AF2836" si="2224">AF2837</f>
        <v>0</v>
      </c>
      <c r="AG2836" s="189">
        <f t="shared" ref="AG2836" si="2225">AG2837</f>
        <v>0</v>
      </c>
      <c r="AH2836" s="189">
        <f t="shared" ref="AH2836" si="2226">AH2837</f>
        <v>0</v>
      </c>
      <c r="AI2836" s="161">
        <f t="shared" ref="AI2836" si="2227">SUM(AE2836:AH2836)</f>
        <v>0</v>
      </c>
      <c r="AK2836" s="169">
        <v>5</v>
      </c>
      <c r="AO2836" s="19" t="s">
        <v>63</v>
      </c>
    </row>
    <row r="2837" spans="1:41" s="103" customFormat="1" ht="19.899999999999999" customHeight="1" x14ac:dyDescent="0.25">
      <c r="A2837" s="51"/>
      <c r="B2837" s="52"/>
      <c r="C2837" s="165"/>
      <c r="D2837" s="52"/>
      <c r="E2837" s="115"/>
      <c r="F2837" s="58"/>
      <c r="G2837" s="58"/>
      <c r="H2837" s="58"/>
      <c r="I2837" s="55"/>
      <c r="J2837" s="113">
        <f>J2836</f>
        <v>317.99999999999909</v>
      </c>
      <c r="K2837" s="212">
        <f>K2836</f>
        <v>317.99999999999909</v>
      </c>
      <c r="L2837" s="58"/>
      <c r="M2837" s="58">
        <f>K2837-L2837</f>
        <v>317.99999999999909</v>
      </c>
      <c r="N2837" s="166"/>
      <c r="O2837" s="58"/>
      <c r="P2837" s="58"/>
      <c r="Q2837" s="58"/>
      <c r="R2837" s="58"/>
      <c r="S2837" s="58"/>
      <c r="T2837" s="220"/>
      <c r="U2837" s="88"/>
      <c r="V2837" s="56"/>
      <c r="W2837" s="57" t="s">
        <v>1373</v>
      </c>
      <c r="X2837" s="53"/>
      <c r="Y2837" s="91" t="s">
        <v>35</v>
      </c>
      <c r="Z2837" s="136">
        <f>AD2837/AC2837</f>
        <v>675.00000000000011</v>
      </c>
      <c r="AA2837" s="58"/>
      <c r="AB2837" s="53">
        <f>AD2837/AC2837</f>
        <v>675.00000000000011</v>
      </c>
      <c r="AC2837" s="53">
        <f>M2837+$AE$10</f>
        <v>317.99999999999909</v>
      </c>
      <c r="AD2837" s="54">
        <f>SUM(AD2838:AD2840)</f>
        <v>214649.99999999942</v>
      </c>
      <c r="AE2837" s="184">
        <f>SUMIFS($AD$37:$AD$12971,$V$37:$V$12971,$V2837,$X$37:$X$12971,AE$13)</f>
        <v>0</v>
      </c>
      <c r="AF2837" s="185">
        <f>SUMIFS($AD$37:$AD$12971,$V$37:$V$12971,$V2837,$X$37:$X$12971,AF$13)</f>
        <v>0</v>
      </c>
      <c r="AG2837" s="185">
        <f>SUMIFS($AD$37:$AD$12971,$V$37:$V$12971,$V2837,$X$37:$X$12971,AG$13)</f>
        <v>0</v>
      </c>
      <c r="AH2837" s="187">
        <f>SUMIFS($AD$37:$AD$12971,$V$37:$V$12971,$V2837,$X$37:$X$12971,AH$13)</f>
        <v>0</v>
      </c>
      <c r="AI2837" s="161">
        <f t="shared" ref="AI2837" si="2228">SUM(AE2837:AH2837)</f>
        <v>0</v>
      </c>
      <c r="AK2837" s="172"/>
    </row>
    <row r="2838" spans="1:41" s="102" customFormat="1" ht="19.899999999999999" customHeight="1" x14ac:dyDescent="0.25">
      <c r="A2838" s="45"/>
      <c r="B2838" s="59"/>
      <c r="C2838" s="137"/>
      <c r="D2838" s="59"/>
      <c r="E2838" s="116"/>
      <c r="F2838" s="120"/>
      <c r="G2838" s="120"/>
      <c r="H2838" s="120"/>
      <c r="I2838" s="60"/>
      <c r="J2838" s="116"/>
      <c r="K2838" s="213"/>
      <c r="L2838" s="120"/>
      <c r="M2838" s="120"/>
      <c r="N2838" s="167"/>
      <c r="O2838" s="120"/>
      <c r="P2838" s="120"/>
      <c r="Q2838" s="120"/>
      <c r="R2838" s="120"/>
      <c r="S2838" s="120"/>
      <c r="T2838" s="221"/>
      <c r="U2838" s="89"/>
      <c r="V2838" s="61"/>
      <c r="W2838" s="92" t="s">
        <v>1353</v>
      </c>
      <c r="X2838" s="93" t="s">
        <v>30</v>
      </c>
      <c r="Y2838" s="93" t="s">
        <v>66</v>
      </c>
      <c r="Z2838" s="134">
        <f>VLOOKUP(W2838,Sheet2!$B:$D,3,FALSE)</f>
        <v>350</v>
      </c>
      <c r="AA2838" s="93">
        <f>1/0.75</f>
        <v>1.3333333333333333</v>
      </c>
      <c r="AB2838" s="93">
        <f>AD2838/AC2837</f>
        <v>262.5</v>
      </c>
      <c r="AC2838" s="93">
        <f>AC2837/AA2838</f>
        <v>238.49999999999932</v>
      </c>
      <c r="AD2838" s="94">
        <f t="shared" ref="AD2838:AD2839" si="2229">AC2838*Z2838</f>
        <v>83474.999999999767</v>
      </c>
      <c r="AE2838" s="190"/>
      <c r="AF2838" s="191"/>
      <c r="AG2838" s="191"/>
      <c r="AH2838" s="191"/>
      <c r="AI2838" s="186"/>
      <c r="AK2838" s="171"/>
    </row>
    <row r="2839" spans="1:41" s="102" customFormat="1" ht="19.899999999999999" customHeight="1" x14ac:dyDescent="0.25">
      <c r="A2839" s="45"/>
      <c r="B2839" s="59"/>
      <c r="C2839" s="137"/>
      <c r="D2839" s="59"/>
      <c r="E2839" s="116"/>
      <c r="F2839" s="120"/>
      <c r="G2839" s="120"/>
      <c r="H2839" s="120"/>
      <c r="I2839" s="60"/>
      <c r="J2839" s="116"/>
      <c r="K2839" s="213"/>
      <c r="L2839" s="120"/>
      <c r="M2839" s="120"/>
      <c r="N2839" s="167"/>
      <c r="O2839" s="120"/>
      <c r="P2839" s="120"/>
      <c r="Q2839" s="120"/>
      <c r="R2839" s="120"/>
      <c r="S2839" s="120"/>
      <c r="T2839" s="221"/>
      <c r="U2839" s="89"/>
      <c r="V2839" s="61"/>
      <c r="W2839" s="92" t="s">
        <v>99</v>
      </c>
      <c r="X2839" s="93" t="s">
        <v>30</v>
      </c>
      <c r="Y2839" s="93" t="s">
        <v>67</v>
      </c>
      <c r="Z2839" s="134">
        <f>VLOOKUP(W2839,Sheet2!$B:$D,3,FALSE)</f>
        <v>2500</v>
      </c>
      <c r="AA2839" s="93">
        <f>AA2838/0.08</f>
        <v>16.666666666666664</v>
      </c>
      <c r="AB2839" s="93">
        <f>AD2839/AC2837</f>
        <v>150.00000000000003</v>
      </c>
      <c r="AC2839" s="93">
        <f>AC2837/AA2839</f>
        <v>19.079999999999949</v>
      </c>
      <c r="AD2839" s="94">
        <f t="shared" si="2229"/>
        <v>47699.999999999869</v>
      </c>
      <c r="AE2839" s="190"/>
      <c r="AF2839" s="191"/>
      <c r="AG2839" s="191"/>
      <c r="AH2839" s="191"/>
      <c r="AI2839" s="186"/>
      <c r="AK2839" s="171"/>
    </row>
    <row r="2840" spans="1:41" s="102" customFormat="1" ht="19.899999999999999" customHeight="1" x14ac:dyDescent="0.25">
      <c r="A2840" s="45"/>
      <c r="B2840" s="59"/>
      <c r="C2840" s="137"/>
      <c r="D2840" s="59"/>
      <c r="E2840" s="116"/>
      <c r="F2840" s="120"/>
      <c r="G2840" s="120"/>
      <c r="H2840" s="120"/>
      <c r="I2840" s="60"/>
      <c r="J2840" s="116"/>
      <c r="K2840" s="213"/>
      <c r="L2840" s="120"/>
      <c r="M2840" s="120"/>
      <c r="N2840" s="167"/>
      <c r="O2840" s="120"/>
      <c r="P2840" s="120"/>
      <c r="Q2840" s="120"/>
      <c r="R2840" s="120"/>
      <c r="S2840" s="120"/>
      <c r="T2840" s="221"/>
      <c r="U2840" s="89"/>
      <c r="V2840" s="61"/>
      <c r="W2840" s="92" t="s">
        <v>1378</v>
      </c>
      <c r="X2840" s="93" t="s">
        <v>32</v>
      </c>
      <c r="Y2840" s="93" t="s">
        <v>66</v>
      </c>
      <c r="Z2840" s="134">
        <f>VLOOKUP(W2840,Sheet2!$B:$D,3,FALSE)</f>
        <v>350</v>
      </c>
      <c r="AA2840" s="93">
        <f>AA2838</f>
        <v>1.3333333333333333</v>
      </c>
      <c r="AB2840" s="93">
        <f>AD2840/AC2837</f>
        <v>262.5</v>
      </c>
      <c r="AC2840" s="93">
        <f>AC2837/AA2840</f>
        <v>238.49999999999932</v>
      </c>
      <c r="AD2840" s="94">
        <f>AC2840*Z2840</f>
        <v>83474.999999999767</v>
      </c>
      <c r="AE2840" s="190"/>
      <c r="AF2840" s="191"/>
      <c r="AG2840" s="191"/>
      <c r="AH2840" s="191"/>
      <c r="AI2840" s="186"/>
      <c r="AK2840" s="171"/>
    </row>
    <row r="2841" spans="1:41" ht="20.100000000000001" customHeight="1" x14ac:dyDescent="0.25">
      <c r="A2841" s="277" t="s">
        <v>410</v>
      </c>
      <c r="B2841" s="278"/>
      <c r="C2841" s="64" t="s">
        <v>488</v>
      </c>
      <c r="D2841" s="46" t="s">
        <v>215</v>
      </c>
      <c r="E2841" s="114">
        <v>43.250000000000028</v>
      </c>
      <c r="F2841" s="44">
        <v>1133</v>
      </c>
      <c r="G2841" s="44">
        <f t="shared" si="1977"/>
        <v>49002.250000000029</v>
      </c>
      <c r="H2841" s="44">
        <f t="shared" si="1978"/>
        <v>1350</v>
      </c>
      <c r="I2841" s="43">
        <f t="shared" si="1979"/>
        <v>58387.500000000036</v>
      </c>
      <c r="J2841" s="112">
        <f t="shared" si="1980"/>
        <v>43.250000000000028</v>
      </c>
      <c r="K2841" s="211">
        <f t="shared" si="1981"/>
        <v>43.250000000000028</v>
      </c>
      <c r="L2841" s="44"/>
      <c r="M2841" s="44">
        <f t="shared" si="1982"/>
        <v>43.250000000000028</v>
      </c>
      <c r="N2841" s="173">
        <f t="shared" si="1983"/>
        <v>1</v>
      </c>
      <c r="O2841" s="44">
        <f t="shared" si="1984"/>
        <v>1133</v>
      </c>
      <c r="P2841" s="44">
        <f t="shared" si="1985"/>
        <v>49002.250000000029</v>
      </c>
      <c r="Q2841" s="44">
        <f t="shared" si="1986"/>
        <v>1350</v>
      </c>
      <c r="R2841" s="44">
        <f t="shared" si="1987"/>
        <v>58387.500000000036</v>
      </c>
      <c r="S2841" s="123"/>
      <c r="T2841" s="219">
        <f t="shared" si="1988"/>
        <v>58387.500000000036</v>
      </c>
      <c r="U2841" s="87"/>
      <c r="V2841" s="47"/>
      <c r="W2841" s="48"/>
      <c r="X2841" s="48"/>
      <c r="Y2841" s="48"/>
      <c r="Z2841" s="135"/>
      <c r="AA2841" s="49"/>
      <c r="AB2841" s="50">
        <f t="shared" si="1989"/>
        <v>1350</v>
      </c>
      <c r="AC2841" s="42">
        <f t="shared" si="1990"/>
        <v>43.250000000000028</v>
      </c>
      <c r="AD2841" s="90">
        <f>AD2842</f>
        <v>58387.500000000036</v>
      </c>
      <c r="AE2841" s="188">
        <f t="shared" ref="AE2841" si="2230">AE2842</f>
        <v>0</v>
      </c>
      <c r="AF2841" s="189">
        <f t="shared" ref="AF2841" si="2231">AF2842</f>
        <v>0</v>
      </c>
      <c r="AG2841" s="189">
        <f t="shared" ref="AG2841" si="2232">AG2842</f>
        <v>0</v>
      </c>
      <c r="AH2841" s="189">
        <f t="shared" ref="AH2841" si="2233">AH2842</f>
        <v>0</v>
      </c>
      <c r="AI2841" s="161">
        <f t="shared" ref="AI2841" si="2234">SUM(AE2841:AH2841)</f>
        <v>0</v>
      </c>
      <c r="AK2841" s="169">
        <v>5</v>
      </c>
      <c r="AO2841" s="19" t="s">
        <v>63</v>
      </c>
    </row>
    <row r="2842" spans="1:41" s="103" customFormat="1" ht="19.899999999999999" customHeight="1" x14ac:dyDescent="0.25">
      <c r="A2842" s="51"/>
      <c r="B2842" s="52"/>
      <c r="C2842" s="165"/>
      <c r="D2842" s="52"/>
      <c r="E2842" s="115"/>
      <c r="F2842" s="58"/>
      <c r="G2842" s="58"/>
      <c r="H2842" s="58"/>
      <c r="I2842" s="55"/>
      <c r="J2842" s="113">
        <f>J2841</f>
        <v>43.250000000000028</v>
      </c>
      <c r="K2842" s="212">
        <f>K2841</f>
        <v>43.250000000000028</v>
      </c>
      <c r="L2842" s="58"/>
      <c r="M2842" s="58">
        <f>K2842-L2842</f>
        <v>43.250000000000028</v>
      </c>
      <c r="N2842" s="166"/>
      <c r="O2842" s="58"/>
      <c r="P2842" s="58"/>
      <c r="Q2842" s="58"/>
      <c r="R2842" s="58"/>
      <c r="S2842" s="58"/>
      <c r="T2842" s="220"/>
      <c r="U2842" s="88"/>
      <c r="V2842" s="56"/>
      <c r="W2842" s="57" t="s">
        <v>1374</v>
      </c>
      <c r="X2842" s="53"/>
      <c r="Y2842" s="91" t="s">
        <v>35</v>
      </c>
      <c r="Z2842" s="136">
        <f>AD2842/AC2842</f>
        <v>1350</v>
      </c>
      <c r="AA2842" s="58"/>
      <c r="AB2842" s="53">
        <f>AD2842/AC2842</f>
        <v>1350</v>
      </c>
      <c r="AC2842" s="53">
        <f>M2842+$AE$10</f>
        <v>43.250000000000028</v>
      </c>
      <c r="AD2842" s="54">
        <f>SUM(AD2843:AD2845)</f>
        <v>58387.500000000036</v>
      </c>
      <c r="AE2842" s="184">
        <f>SUMIFS($AD$37:$AD$12971,$V$37:$V$12971,$V2842,$X$37:$X$12971,AE$13)</f>
        <v>0</v>
      </c>
      <c r="AF2842" s="185">
        <f>SUMIFS($AD$37:$AD$12971,$V$37:$V$12971,$V2842,$X$37:$X$12971,AF$13)</f>
        <v>0</v>
      </c>
      <c r="AG2842" s="185">
        <f>SUMIFS($AD$37:$AD$12971,$V$37:$V$12971,$V2842,$X$37:$X$12971,AG$13)</f>
        <v>0</v>
      </c>
      <c r="AH2842" s="187">
        <f>SUMIFS($AD$37:$AD$12971,$V$37:$V$12971,$V2842,$X$37:$X$12971,AH$13)</f>
        <v>0</v>
      </c>
      <c r="AI2842" s="161">
        <f t="shared" ref="AI2842" si="2235">SUM(AE2842:AH2842)</f>
        <v>0</v>
      </c>
      <c r="AK2842" s="172"/>
    </row>
    <row r="2843" spans="1:41" s="102" customFormat="1" ht="19.899999999999999" customHeight="1" x14ac:dyDescent="0.25">
      <c r="A2843" s="45"/>
      <c r="B2843" s="59"/>
      <c r="C2843" s="137"/>
      <c r="D2843" s="59"/>
      <c r="E2843" s="116"/>
      <c r="F2843" s="120"/>
      <c r="G2843" s="120"/>
      <c r="H2843" s="120"/>
      <c r="I2843" s="60"/>
      <c r="J2843" s="116"/>
      <c r="K2843" s="213"/>
      <c r="L2843" s="120"/>
      <c r="M2843" s="120"/>
      <c r="N2843" s="167"/>
      <c r="O2843" s="120"/>
      <c r="P2843" s="120"/>
      <c r="Q2843" s="120"/>
      <c r="R2843" s="120"/>
      <c r="S2843" s="120"/>
      <c r="T2843" s="221"/>
      <c r="U2843" s="89"/>
      <c r="V2843" s="61"/>
      <c r="W2843" s="92" t="s">
        <v>1353</v>
      </c>
      <c r="X2843" s="93" t="s">
        <v>30</v>
      </c>
      <c r="Y2843" s="93" t="s">
        <v>66</v>
      </c>
      <c r="Z2843" s="134">
        <f>VLOOKUP(W2843,Sheet2!$B:$D,3,FALSE)</f>
        <v>350</v>
      </c>
      <c r="AA2843" s="93">
        <f>1/1.5</f>
        <v>0.66666666666666663</v>
      </c>
      <c r="AB2843" s="93">
        <f>AD2843/AC2842</f>
        <v>525</v>
      </c>
      <c r="AC2843" s="93">
        <f>AC2842/AA2843</f>
        <v>64.875000000000043</v>
      </c>
      <c r="AD2843" s="94">
        <f t="shared" ref="AD2843:AD2844" si="2236">AC2843*Z2843</f>
        <v>22706.250000000015</v>
      </c>
      <c r="AE2843" s="190"/>
      <c r="AF2843" s="191"/>
      <c r="AG2843" s="191"/>
      <c r="AH2843" s="191"/>
      <c r="AI2843" s="186"/>
      <c r="AK2843" s="171"/>
    </row>
    <row r="2844" spans="1:41" s="102" customFormat="1" ht="19.899999999999999" customHeight="1" x14ac:dyDescent="0.25">
      <c r="A2844" s="45"/>
      <c r="B2844" s="59"/>
      <c r="C2844" s="137"/>
      <c r="D2844" s="59"/>
      <c r="E2844" s="116"/>
      <c r="F2844" s="120"/>
      <c r="G2844" s="120"/>
      <c r="H2844" s="120"/>
      <c r="I2844" s="60"/>
      <c r="J2844" s="116"/>
      <c r="K2844" s="213"/>
      <c r="L2844" s="120"/>
      <c r="M2844" s="120"/>
      <c r="N2844" s="167"/>
      <c r="O2844" s="120"/>
      <c r="P2844" s="120"/>
      <c r="Q2844" s="120"/>
      <c r="R2844" s="120"/>
      <c r="S2844" s="120"/>
      <c r="T2844" s="221"/>
      <c r="U2844" s="89"/>
      <c r="V2844" s="61"/>
      <c r="W2844" s="92" t="s">
        <v>99</v>
      </c>
      <c r="X2844" s="93" t="s">
        <v>30</v>
      </c>
      <c r="Y2844" s="93" t="s">
        <v>67</v>
      </c>
      <c r="Z2844" s="134">
        <f>VLOOKUP(W2844,Sheet2!$B:$D,3,FALSE)</f>
        <v>2500</v>
      </c>
      <c r="AA2844" s="93">
        <f>AA2843/0.08</f>
        <v>8.3333333333333321</v>
      </c>
      <c r="AB2844" s="93">
        <f>AD2844/AC2842</f>
        <v>300</v>
      </c>
      <c r="AC2844" s="93">
        <f>AC2842/AA2844</f>
        <v>5.1900000000000039</v>
      </c>
      <c r="AD2844" s="94">
        <f t="shared" si="2236"/>
        <v>12975.000000000009</v>
      </c>
      <c r="AE2844" s="190"/>
      <c r="AF2844" s="191"/>
      <c r="AG2844" s="191"/>
      <c r="AH2844" s="191"/>
      <c r="AI2844" s="186"/>
      <c r="AK2844" s="171"/>
    </row>
    <row r="2845" spans="1:41" s="102" customFormat="1" ht="19.899999999999999" customHeight="1" x14ac:dyDescent="0.25">
      <c r="A2845" s="45"/>
      <c r="B2845" s="59"/>
      <c r="C2845" s="137"/>
      <c r="D2845" s="59"/>
      <c r="E2845" s="116"/>
      <c r="F2845" s="120"/>
      <c r="G2845" s="120"/>
      <c r="H2845" s="120"/>
      <c r="I2845" s="60"/>
      <c r="J2845" s="116"/>
      <c r="K2845" s="213"/>
      <c r="L2845" s="120"/>
      <c r="M2845" s="120"/>
      <c r="N2845" s="167"/>
      <c r="O2845" s="120"/>
      <c r="P2845" s="120"/>
      <c r="Q2845" s="120"/>
      <c r="R2845" s="120"/>
      <c r="S2845" s="120"/>
      <c r="T2845" s="221"/>
      <c r="U2845" s="89"/>
      <c r="V2845" s="61"/>
      <c r="W2845" s="92" t="s">
        <v>1378</v>
      </c>
      <c r="X2845" s="93" t="s">
        <v>32</v>
      </c>
      <c r="Y2845" s="93" t="s">
        <v>66</v>
      </c>
      <c r="Z2845" s="134">
        <f>VLOOKUP(W2845,Sheet2!$B:$D,3,FALSE)</f>
        <v>350</v>
      </c>
      <c r="AA2845" s="93">
        <f>AA2843</f>
        <v>0.66666666666666663</v>
      </c>
      <c r="AB2845" s="93">
        <f>AD2845/AC2842</f>
        <v>525</v>
      </c>
      <c r="AC2845" s="93">
        <f>AC2842/AA2845</f>
        <v>64.875000000000043</v>
      </c>
      <c r="AD2845" s="94">
        <f>AC2845*Z2845</f>
        <v>22706.250000000015</v>
      </c>
      <c r="AE2845" s="190"/>
      <c r="AF2845" s="191"/>
      <c r="AG2845" s="191"/>
      <c r="AH2845" s="191"/>
      <c r="AI2845" s="186"/>
      <c r="AK2845" s="171"/>
    </row>
    <row r="2846" spans="1:41" ht="20.100000000000001" customHeight="1" x14ac:dyDescent="0.25">
      <c r="A2846" s="277" t="s">
        <v>410</v>
      </c>
      <c r="B2846" s="278"/>
      <c r="C2846" s="64" t="s">
        <v>489</v>
      </c>
      <c r="D2846" s="46" t="s">
        <v>215</v>
      </c>
      <c r="E2846" s="114">
        <v>13.2</v>
      </c>
      <c r="F2846" s="44">
        <v>4249</v>
      </c>
      <c r="G2846" s="44">
        <f t="shared" si="1977"/>
        <v>56086.799999999996</v>
      </c>
      <c r="H2846" s="44">
        <f t="shared" si="1978"/>
        <v>4499.9999999999991</v>
      </c>
      <c r="I2846" s="43">
        <f t="shared" si="1979"/>
        <v>59399.999999999985</v>
      </c>
      <c r="J2846" s="112">
        <f t="shared" si="1980"/>
        <v>13.2</v>
      </c>
      <c r="K2846" s="211">
        <f t="shared" si="1981"/>
        <v>13.2</v>
      </c>
      <c r="L2846" s="44"/>
      <c r="M2846" s="44">
        <f t="shared" si="1982"/>
        <v>13.2</v>
      </c>
      <c r="N2846" s="173">
        <f t="shared" si="1983"/>
        <v>1</v>
      </c>
      <c r="O2846" s="44">
        <f t="shared" si="1984"/>
        <v>4249</v>
      </c>
      <c r="P2846" s="44">
        <f t="shared" si="1985"/>
        <v>56086.799999999996</v>
      </c>
      <c r="Q2846" s="44">
        <f t="shared" si="1986"/>
        <v>4499.9999999999991</v>
      </c>
      <c r="R2846" s="44">
        <f t="shared" si="1987"/>
        <v>59399.999999999985</v>
      </c>
      <c r="S2846" s="123"/>
      <c r="T2846" s="219">
        <f t="shared" si="1988"/>
        <v>59399.999999999985</v>
      </c>
      <c r="U2846" s="87"/>
      <c r="V2846" s="47"/>
      <c r="W2846" s="48"/>
      <c r="X2846" s="48"/>
      <c r="Y2846" s="48"/>
      <c r="Z2846" s="135"/>
      <c r="AA2846" s="49"/>
      <c r="AB2846" s="50">
        <f t="shared" si="1989"/>
        <v>4499.9999999999991</v>
      </c>
      <c r="AC2846" s="42">
        <f t="shared" si="1990"/>
        <v>13.2</v>
      </c>
      <c r="AD2846" s="90">
        <f>AD2847</f>
        <v>59399.999999999985</v>
      </c>
      <c r="AE2846" s="188">
        <f t="shared" ref="AE2846" si="2237">AE2847</f>
        <v>0</v>
      </c>
      <c r="AF2846" s="189">
        <f t="shared" ref="AF2846" si="2238">AF2847</f>
        <v>0</v>
      </c>
      <c r="AG2846" s="189">
        <f t="shared" ref="AG2846" si="2239">AG2847</f>
        <v>0</v>
      </c>
      <c r="AH2846" s="189">
        <f t="shared" ref="AH2846" si="2240">AH2847</f>
        <v>0</v>
      </c>
      <c r="AI2846" s="161">
        <f t="shared" ref="AI2846" si="2241">SUM(AE2846:AH2846)</f>
        <v>0</v>
      </c>
      <c r="AK2846" s="169">
        <v>5</v>
      </c>
      <c r="AO2846" s="19" t="s">
        <v>63</v>
      </c>
    </row>
    <row r="2847" spans="1:41" s="103" customFormat="1" ht="19.899999999999999" customHeight="1" x14ac:dyDescent="0.25">
      <c r="A2847" s="51"/>
      <c r="B2847" s="52"/>
      <c r="C2847" s="165"/>
      <c r="D2847" s="52"/>
      <c r="E2847" s="115"/>
      <c r="F2847" s="58"/>
      <c r="G2847" s="58"/>
      <c r="H2847" s="58"/>
      <c r="I2847" s="55"/>
      <c r="J2847" s="113">
        <f>J2846</f>
        <v>13.2</v>
      </c>
      <c r="K2847" s="212">
        <f>K2846</f>
        <v>13.2</v>
      </c>
      <c r="L2847" s="58"/>
      <c r="M2847" s="58">
        <f>K2847-L2847</f>
        <v>13.2</v>
      </c>
      <c r="N2847" s="166"/>
      <c r="O2847" s="58"/>
      <c r="P2847" s="58"/>
      <c r="Q2847" s="58"/>
      <c r="R2847" s="58"/>
      <c r="S2847" s="58"/>
      <c r="T2847" s="220"/>
      <c r="U2847" s="88"/>
      <c r="V2847" s="56"/>
      <c r="W2847" s="57" t="s">
        <v>1376</v>
      </c>
      <c r="X2847" s="53"/>
      <c r="Y2847" s="91" t="s">
        <v>35</v>
      </c>
      <c r="Z2847" s="136">
        <f>AD2847/AC2847</f>
        <v>4499.9999999999991</v>
      </c>
      <c r="AA2847" s="58"/>
      <c r="AB2847" s="53">
        <f>AD2847/AC2847</f>
        <v>4499.9999999999991</v>
      </c>
      <c r="AC2847" s="53">
        <f>M2847+$AE$10</f>
        <v>13.2</v>
      </c>
      <c r="AD2847" s="54">
        <f>SUM(AD2848:AD2850)</f>
        <v>59399.999999999985</v>
      </c>
      <c r="AE2847" s="184">
        <f>SUMIFS($AD$37:$AD$12971,$V$37:$V$12971,$V2847,$X$37:$X$12971,AE$13)</f>
        <v>0</v>
      </c>
      <c r="AF2847" s="185">
        <f>SUMIFS($AD$37:$AD$12971,$V$37:$V$12971,$V2847,$X$37:$X$12971,AF$13)</f>
        <v>0</v>
      </c>
      <c r="AG2847" s="185">
        <f>SUMIFS($AD$37:$AD$12971,$V$37:$V$12971,$V2847,$X$37:$X$12971,AG$13)</f>
        <v>0</v>
      </c>
      <c r="AH2847" s="187">
        <f>SUMIFS($AD$37:$AD$12971,$V$37:$V$12971,$V2847,$X$37:$X$12971,AH$13)</f>
        <v>0</v>
      </c>
      <c r="AI2847" s="161">
        <f t="shared" ref="AI2847" si="2242">SUM(AE2847:AH2847)</f>
        <v>0</v>
      </c>
      <c r="AK2847" s="172"/>
    </row>
    <row r="2848" spans="1:41" s="102" customFormat="1" ht="19.899999999999999" customHeight="1" x14ac:dyDescent="0.25">
      <c r="A2848" s="45"/>
      <c r="B2848" s="59"/>
      <c r="C2848" s="137"/>
      <c r="D2848" s="59"/>
      <c r="E2848" s="116"/>
      <c r="F2848" s="120"/>
      <c r="G2848" s="120"/>
      <c r="H2848" s="120"/>
      <c r="I2848" s="60"/>
      <c r="J2848" s="116"/>
      <c r="K2848" s="213"/>
      <c r="L2848" s="120"/>
      <c r="M2848" s="120"/>
      <c r="N2848" s="167"/>
      <c r="O2848" s="120"/>
      <c r="P2848" s="120"/>
      <c r="Q2848" s="120"/>
      <c r="R2848" s="120"/>
      <c r="S2848" s="120"/>
      <c r="T2848" s="221"/>
      <c r="U2848" s="89"/>
      <c r="V2848" s="61"/>
      <c r="W2848" s="92" t="s">
        <v>1353</v>
      </c>
      <c r="X2848" s="93" t="s">
        <v>30</v>
      </c>
      <c r="Y2848" s="93" t="s">
        <v>66</v>
      </c>
      <c r="Z2848" s="134">
        <f>VLOOKUP(W2848,Sheet2!$B:$D,3,FALSE)</f>
        <v>350</v>
      </c>
      <c r="AA2848" s="93">
        <f>1/5</f>
        <v>0.2</v>
      </c>
      <c r="AB2848" s="93">
        <f>AD2848/AC2847</f>
        <v>1749.9999999999998</v>
      </c>
      <c r="AC2848" s="93">
        <f>AC2847/AA2848</f>
        <v>65.999999999999986</v>
      </c>
      <c r="AD2848" s="94">
        <f t="shared" ref="AD2848:AD2849" si="2243">AC2848*Z2848</f>
        <v>23099.999999999996</v>
      </c>
      <c r="AE2848" s="190"/>
      <c r="AF2848" s="191"/>
      <c r="AG2848" s="191"/>
      <c r="AH2848" s="191"/>
      <c r="AI2848" s="186"/>
      <c r="AK2848" s="171"/>
    </row>
    <row r="2849" spans="1:41" s="102" customFormat="1" ht="19.899999999999999" customHeight="1" x14ac:dyDescent="0.25">
      <c r="A2849" s="45"/>
      <c r="B2849" s="59"/>
      <c r="C2849" s="137"/>
      <c r="D2849" s="59"/>
      <c r="E2849" s="116"/>
      <c r="F2849" s="120"/>
      <c r="G2849" s="120"/>
      <c r="H2849" s="120"/>
      <c r="I2849" s="60"/>
      <c r="J2849" s="116"/>
      <c r="K2849" s="213"/>
      <c r="L2849" s="120"/>
      <c r="M2849" s="120"/>
      <c r="N2849" s="167"/>
      <c r="O2849" s="120"/>
      <c r="P2849" s="120"/>
      <c r="Q2849" s="120"/>
      <c r="R2849" s="120"/>
      <c r="S2849" s="120"/>
      <c r="T2849" s="221"/>
      <c r="U2849" s="89"/>
      <c r="V2849" s="61"/>
      <c r="W2849" s="92" t="s">
        <v>99</v>
      </c>
      <c r="X2849" s="93" t="s">
        <v>30</v>
      </c>
      <c r="Y2849" s="93" t="s">
        <v>67</v>
      </c>
      <c r="Z2849" s="134">
        <f>VLOOKUP(W2849,Sheet2!$B:$D,3,FALSE)</f>
        <v>2500</v>
      </c>
      <c r="AA2849" s="93">
        <f>AA2848/0.08</f>
        <v>2.5</v>
      </c>
      <c r="AB2849" s="93">
        <f>AD2849/AC2847</f>
        <v>999.99999999999989</v>
      </c>
      <c r="AC2849" s="93">
        <f>AC2847/AA2849</f>
        <v>5.2799999999999994</v>
      </c>
      <c r="AD2849" s="94">
        <f t="shared" si="2243"/>
        <v>13199.999999999998</v>
      </c>
      <c r="AE2849" s="190"/>
      <c r="AF2849" s="191"/>
      <c r="AG2849" s="191"/>
      <c r="AH2849" s="191"/>
      <c r="AI2849" s="186"/>
      <c r="AK2849" s="171"/>
    </row>
    <row r="2850" spans="1:41" s="102" customFormat="1" ht="19.899999999999999" customHeight="1" x14ac:dyDescent="0.25">
      <c r="A2850" s="45"/>
      <c r="B2850" s="59"/>
      <c r="C2850" s="137"/>
      <c r="D2850" s="59"/>
      <c r="E2850" s="116"/>
      <c r="F2850" s="120"/>
      <c r="G2850" s="120"/>
      <c r="H2850" s="120"/>
      <c r="I2850" s="60"/>
      <c r="J2850" s="116"/>
      <c r="K2850" s="213"/>
      <c r="L2850" s="120"/>
      <c r="M2850" s="120"/>
      <c r="N2850" s="167"/>
      <c r="O2850" s="120"/>
      <c r="P2850" s="120"/>
      <c r="Q2850" s="120"/>
      <c r="R2850" s="120"/>
      <c r="S2850" s="120"/>
      <c r="T2850" s="221"/>
      <c r="U2850" s="89"/>
      <c r="V2850" s="61"/>
      <c r="W2850" s="92" t="s">
        <v>1378</v>
      </c>
      <c r="X2850" s="93" t="s">
        <v>32</v>
      </c>
      <c r="Y2850" s="93" t="s">
        <v>66</v>
      </c>
      <c r="Z2850" s="134">
        <f>VLOOKUP(W2850,Sheet2!$B:$D,3,FALSE)</f>
        <v>350</v>
      </c>
      <c r="AA2850" s="93">
        <f>AA2848</f>
        <v>0.2</v>
      </c>
      <c r="AB2850" s="93">
        <f>AD2850/AC2847</f>
        <v>1749.9999999999998</v>
      </c>
      <c r="AC2850" s="93">
        <f>AC2847/AA2850</f>
        <v>65.999999999999986</v>
      </c>
      <c r="AD2850" s="94">
        <f>AC2850*Z2850</f>
        <v>23099.999999999996</v>
      </c>
      <c r="AE2850" s="190"/>
      <c r="AF2850" s="191"/>
      <c r="AG2850" s="191"/>
      <c r="AH2850" s="191"/>
      <c r="AI2850" s="186"/>
      <c r="AK2850" s="171"/>
    </row>
    <row r="2851" spans="1:41" ht="20.100000000000001" customHeight="1" x14ac:dyDescent="0.25">
      <c r="A2851" s="277" t="s">
        <v>410</v>
      </c>
      <c r="B2851" s="278"/>
      <c r="C2851" s="64" t="s">
        <v>490</v>
      </c>
      <c r="D2851" s="46" t="s">
        <v>215</v>
      </c>
      <c r="E2851" s="114">
        <v>29.499999999999915</v>
      </c>
      <c r="F2851" s="44">
        <v>4532</v>
      </c>
      <c r="G2851" s="44">
        <f t="shared" si="1977"/>
        <v>133693.99999999962</v>
      </c>
      <c r="H2851" s="44">
        <f t="shared" si="1978"/>
        <v>5400</v>
      </c>
      <c r="I2851" s="43">
        <f t="shared" si="1979"/>
        <v>159299.99999999953</v>
      </c>
      <c r="J2851" s="112">
        <f t="shared" si="1980"/>
        <v>29.499999999999915</v>
      </c>
      <c r="K2851" s="211">
        <f t="shared" si="1981"/>
        <v>29.499999999999915</v>
      </c>
      <c r="L2851" s="44"/>
      <c r="M2851" s="44">
        <f t="shared" si="1982"/>
        <v>29.499999999999915</v>
      </c>
      <c r="N2851" s="173">
        <f t="shared" si="1983"/>
        <v>1</v>
      </c>
      <c r="O2851" s="44">
        <f t="shared" si="1984"/>
        <v>4532</v>
      </c>
      <c r="P2851" s="44">
        <f t="shared" si="1985"/>
        <v>133693.99999999962</v>
      </c>
      <c r="Q2851" s="44">
        <f t="shared" si="1986"/>
        <v>5400</v>
      </c>
      <c r="R2851" s="44">
        <f t="shared" si="1987"/>
        <v>159299.99999999953</v>
      </c>
      <c r="S2851" s="123"/>
      <c r="T2851" s="219">
        <f t="shared" si="1988"/>
        <v>159299.99999999953</v>
      </c>
      <c r="U2851" s="87"/>
      <c r="V2851" s="47"/>
      <c r="W2851" s="48"/>
      <c r="X2851" s="48"/>
      <c r="Y2851" s="48"/>
      <c r="Z2851" s="135"/>
      <c r="AA2851" s="49"/>
      <c r="AB2851" s="50">
        <f t="shared" si="1989"/>
        <v>5400</v>
      </c>
      <c r="AC2851" s="42">
        <f t="shared" si="1990"/>
        <v>29.499999999999915</v>
      </c>
      <c r="AD2851" s="90">
        <f>AD2852</f>
        <v>159299.99999999953</v>
      </c>
      <c r="AE2851" s="188">
        <f t="shared" ref="AE2851:AH2851" si="2244">AE2852</f>
        <v>0</v>
      </c>
      <c r="AF2851" s="189">
        <f t="shared" si="2244"/>
        <v>0</v>
      </c>
      <c r="AG2851" s="189">
        <f t="shared" si="2244"/>
        <v>0</v>
      </c>
      <c r="AH2851" s="189">
        <f t="shared" si="2244"/>
        <v>0</v>
      </c>
      <c r="AI2851" s="161">
        <f t="shared" ref="AI2851:AI2876" si="2245">SUM(AE2851:AH2851)</f>
        <v>0</v>
      </c>
      <c r="AK2851" s="169">
        <v>5</v>
      </c>
      <c r="AO2851" s="19" t="s">
        <v>63</v>
      </c>
    </row>
    <row r="2852" spans="1:41" s="103" customFormat="1" ht="19.899999999999999" customHeight="1" x14ac:dyDescent="0.25">
      <c r="A2852" s="51"/>
      <c r="B2852" s="52"/>
      <c r="C2852" s="165"/>
      <c r="D2852" s="52"/>
      <c r="E2852" s="115"/>
      <c r="F2852" s="58"/>
      <c r="G2852" s="58"/>
      <c r="H2852" s="58"/>
      <c r="I2852" s="55"/>
      <c r="J2852" s="113">
        <f>J2851</f>
        <v>29.499999999999915</v>
      </c>
      <c r="K2852" s="212">
        <f>K2851</f>
        <v>29.499999999999915</v>
      </c>
      <c r="L2852" s="58"/>
      <c r="M2852" s="58">
        <f>K2852-L2852</f>
        <v>29.499999999999915</v>
      </c>
      <c r="N2852" s="166"/>
      <c r="O2852" s="58"/>
      <c r="P2852" s="58"/>
      <c r="Q2852" s="58"/>
      <c r="R2852" s="58"/>
      <c r="S2852" s="58"/>
      <c r="T2852" s="220"/>
      <c r="U2852" s="88"/>
      <c r="V2852" s="56"/>
      <c r="W2852" s="57" t="s">
        <v>1377</v>
      </c>
      <c r="X2852" s="53"/>
      <c r="Y2852" s="91" t="s">
        <v>35</v>
      </c>
      <c r="Z2852" s="136">
        <f>AD2852/AC2852</f>
        <v>5400</v>
      </c>
      <c r="AA2852" s="58"/>
      <c r="AB2852" s="53">
        <f>AD2852/AC2852</f>
        <v>5400</v>
      </c>
      <c r="AC2852" s="53">
        <f>M2852+$AE$10</f>
        <v>29.499999999999915</v>
      </c>
      <c r="AD2852" s="54">
        <f>SUM(AD2853:AD2855)</f>
        <v>159299.99999999953</v>
      </c>
      <c r="AE2852" s="184">
        <f>SUMIFS($AD$37:$AD$12971,$V$37:$V$12971,$V2852,$X$37:$X$12971,AE$13)</f>
        <v>0</v>
      </c>
      <c r="AF2852" s="185">
        <f>SUMIFS($AD$37:$AD$12971,$V$37:$V$12971,$V2852,$X$37:$X$12971,AF$13)</f>
        <v>0</v>
      </c>
      <c r="AG2852" s="185">
        <f>SUMIFS($AD$37:$AD$12971,$V$37:$V$12971,$V2852,$X$37:$X$12971,AG$13)</f>
        <v>0</v>
      </c>
      <c r="AH2852" s="187">
        <f>SUMIFS($AD$37:$AD$12971,$V$37:$V$12971,$V2852,$X$37:$X$12971,AH$13)</f>
        <v>0</v>
      </c>
      <c r="AI2852" s="161">
        <f t="shared" ref="AI2852" si="2246">SUM(AE2852:AH2852)</f>
        <v>0</v>
      </c>
      <c r="AK2852" s="172"/>
    </row>
    <row r="2853" spans="1:41" s="102" customFormat="1" ht="19.899999999999999" customHeight="1" x14ac:dyDescent="0.25">
      <c r="A2853" s="45"/>
      <c r="B2853" s="59"/>
      <c r="C2853" s="137"/>
      <c r="D2853" s="59"/>
      <c r="E2853" s="116"/>
      <c r="F2853" s="120"/>
      <c r="G2853" s="120"/>
      <c r="H2853" s="120"/>
      <c r="I2853" s="60"/>
      <c r="J2853" s="116"/>
      <c r="K2853" s="213"/>
      <c r="L2853" s="120"/>
      <c r="M2853" s="120"/>
      <c r="N2853" s="167"/>
      <c r="O2853" s="120"/>
      <c r="P2853" s="120"/>
      <c r="Q2853" s="120"/>
      <c r="R2853" s="120"/>
      <c r="S2853" s="120"/>
      <c r="T2853" s="221"/>
      <c r="U2853" s="89"/>
      <c r="V2853" s="61"/>
      <c r="W2853" s="92" t="s">
        <v>1353</v>
      </c>
      <c r="X2853" s="93" t="s">
        <v>30</v>
      </c>
      <c r="Y2853" s="93" t="s">
        <v>66</v>
      </c>
      <c r="Z2853" s="134">
        <f>VLOOKUP(W2853,Sheet2!$B:$D,3,FALSE)</f>
        <v>350</v>
      </c>
      <c r="AA2853" s="93">
        <f>1/6</f>
        <v>0.16666666666666666</v>
      </c>
      <c r="AB2853" s="93">
        <f>AD2853/AC2852</f>
        <v>2100</v>
      </c>
      <c r="AC2853" s="93">
        <f>AC2852/AA2853</f>
        <v>176.99999999999949</v>
      </c>
      <c r="AD2853" s="94">
        <f t="shared" ref="AD2853:AD2854" si="2247">AC2853*Z2853</f>
        <v>61949.999999999818</v>
      </c>
      <c r="AE2853" s="190"/>
      <c r="AF2853" s="191"/>
      <c r="AG2853" s="191"/>
      <c r="AH2853" s="191"/>
      <c r="AI2853" s="186"/>
      <c r="AK2853" s="171"/>
    </row>
    <row r="2854" spans="1:41" s="102" customFormat="1" ht="19.899999999999999" customHeight="1" x14ac:dyDescent="0.25">
      <c r="A2854" s="45"/>
      <c r="B2854" s="59"/>
      <c r="C2854" s="137"/>
      <c r="D2854" s="59"/>
      <c r="E2854" s="116"/>
      <c r="F2854" s="120"/>
      <c r="G2854" s="120"/>
      <c r="H2854" s="120"/>
      <c r="I2854" s="60"/>
      <c r="J2854" s="116"/>
      <c r="K2854" s="213"/>
      <c r="L2854" s="120"/>
      <c r="M2854" s="120"/>
      <c r="N2854" s="167"/>
      <c r="O2854" s="120"/>
      <c r="P2854" s="120"/>
      <c r="Q2854" s="120"/>
      <c r="R2854" s="120"/>
      <c r="S2854" s="120"/>
      <c r="T2854" s="221"/>
      <c r="U2854" s="89"/>
      <c r="V2854" s="61"/>
      <c r="W2854" s="92" t="s">
        <v>99</v>
      </c>
      <c r="X2854" s="93" t="s">
        <v>30</v>
      </c>
      <c r="Y2854" s="93" t="s">
        <v>67</v>
      </c>
      <c r="Z2854" s="134">
        <f>VLOOKUP(W2854,Sheet2!$B:$D,3,FALSE)</f>
        <v>2500</v>
      </c>
      <c r="AA2854" s="93">
        <f>AA2853/0.08</f>
        <v>2.083333333333333</v>
      </c>
      <c r="AB2854" s="93">
        <f>AD2854/AC2852</f>
        <v>1200.0000000000002</v>
      </c>
      <c r="AC2854" s="93">
        <f>AC2852/AA2854</f>
        <v>14.159999999999961</v>
      </c>
      <c r="AD2854" s="94">
        <f t="shared" si="2247"/>
        <v>35399.999999999905</v>
      </c>
      <c r="AE2854" s="190"/>
      <c r="AF2854" s="191"/>
      <c r="AG2854" s="191"/>
      <c r="AH2854" s="191"/>
      <c r="AI2854" s="186"/>
      <c r="AK2854" s="171"/>
    </row>
    <row r="2855" spans="1:41" s="102" customFormat="1" ht="19.899999999999999" customHeight="1" x14ac:dyDescent="0.25">
      <c r="A2855" s="45"/>
      <c r="B2855" s="59"/>
      <c r="C2855" s="137"/>
      <c r="D2855" s="59"/>
      <c r="E2855" s="116"/>
      <c r="F2855" s="120"/>
      <c r="G2855" s="120"/>
      <c r="H2855" s="120"/>
      <c r="I2855" s="60"/>
      <c r="J2855" s="116"/>
      <c r="K2855" s="213"/>
      <c r="L2855" s="120"/>
      <c r="M2855" s="120"/>
      <c r="N2855" s="167"/>
      <c r="O2855" s="120"/>
      <c r="P2855" s="120"/>
      <c r="Q2855" s="120"/>
      <c r="R2855" s="120"/>
      <c r="S2855" s="120"/>
      <c r="T2855" s="221"/>
      <c r="U2855" s="89"/>
      <c r="V2855" s="61"/>
      <c r="W2855" s="92" t="s">
        <v>1378</v>
      </c>
      <c r="X2855" s="93" t="s">
        <v>32</v>
      </c>
      <c r="Y2855" s="93" t="s">
        <v>66</v>
      </c>
      <c r="Z2855" s="134">
        <f>VLOOKUP(W2855,Sheet2!$B:$D,3,FALSE)</f>
        <v>350</v>
      </c>
      <c r="AA2855" s="93">
        <f>AA2853</f>
        <v>0.16666666666666666</v>
      </c>
      <c r="AB2855" s="93">
        <f>AD2855/AC2852</f>
        <v>2100</v>
      </c>
      <c r="AC2855" s="93">
        <f>AC2852/AA2855</f>
        <v>176.99999999999949</v>
      </c>
      <c r="AD2855" s="94">
        <f>AC2855*Z2855</f>
        <v>61949.999999999818</v>
      </c>
      <c r="AE2855" s="190"/>
      <c r="AF2855" s="191"/>
      <c r="AG2855" s="191"/>
      <c r="AH2855" s="191"/>
      <c r="AI2855" s="186"/>
      <c r="AK2855" s="171"/>
    </row>
    <row r="2856" spans="1:41" ht="38.25" x14ac:dyDescent="0.25">
      <c r="A2856" s="277" t="s">
        <v>410</v>
      </c>
      <c r="B2856" s="278"/>
      <c r="C2856" s="64" t="s">
        <v>393</v>
      </c>
      <c r="D2856" s="46" t="s">
        <v>201</v>
      </c>
      <c r="E2856" s="114">
        <v>17</v>
      </c>
      <c r="F2856" s="44">
        <v>50</v>
      </c>
      <c r="G2856" s="44">
        <f t="shared" si="1977"/>
        <v>850</v>
      </c>
      <c r="H2856" s="44">
        <f t="shared" si="1978"/>
        <v>30.657992156862747</v>
      </c>
      <c r="I2856" s="43">
        <f t="shared" si="1979"/>
        <v>521.1858666666667</v>
      </c>
      <c r="J2856" s="112">
        <f t="shared" si="1980"/>
        <v>17</v>
      </c>
      <c r="K2856" s="211">
        <f t="shared" si="1981"/>
        <v>17</v>
      </c>
      <c r="L2856" s="44"/>
      <c r="M2856" s="44">
        <f t="shared" si="1982"/>
        <v>17</v>
      </c>
      <c r="N2856" s="173">
        <f t="shared" si="1983"/>
        <v>1</v>
      </c>
      <c r="O2856" s="44">
        <f t="shared" si="1984"/>
        <v>50</v>
      </c>
      <c r="P2856" s="44">
        <f t="shared" si="1985"/>
        <v>850</v>
      </c>
      <c r="Q2856" s="44">
        <f t="shared" si="1986"/>
        <v>30.657992156862747</v>
      </c>
      <c r="R2856" s="44">
        <f t="shared" si="1987"/>
        <v>521.1858666666667</v>
      </c>
      <c r="S2856" s="123"/>
      <c r="T2856" s="219">
        <f t="shared" si="1988"/>
        <v>521.1858666666667</v>
      </c>
      <c r="U2856" s="87"/>
      <c r="V2856" s="47"/>
      <c r="W2856" s="48"/>
      <c r="X2856" s="48"/>
      <c r="Y2856" s="48"/>
      <c r="Z2856" s="135"/>
      <c r="AA2856" s="49"/>
      <c r="AB2856" s="50">
        <f t="shared" si="1989"/>
        <v>30.657992156862747</v>
      </c>
      <c r="AC2856" s="42">
        <f t="shared" si="1990"/>
        <v>17</v>
      </c>
      <c r="AD2856" s="90">
        <f>AD2857+AD2864</f>
        <v>521.1858666666667</v>
      </c>
      <c r="AE2856" s="188">
        <f t="shared" ref="AE2856:AH2856" si="2248">AE2857+AE2864</f>
        <v>0</v>
      </c>
      <c r="AF2856" s="189">
        <f t="shared" si="2248"/>
        <v>0</v>
      </c>
      <c r="AG2856" s="189">
        <f t="shared" si="2248"/>
        <v>0</v>
      </c>
      <c r="AH2856" s="189">
        <f t="shared" si="2248"/>
        <v>0</v>
      </c>
      <c r="AI2856" s="161">
        <f t="shared" si="2245"/>
        <v>0</v>
      </c>
      <c r="AK2856" s="169">
        <v>5</v>
      </c>
      <c r="AO2856" s="19" t="s">
        <v>63</v>
      </c>
    </row>
    <row r="2857" spans="1:41" s="103" customFormat="1" ht="19.899999999999999" customHeight="1" x14ac:dyDescent="0.25">
      <c r="A2857" s="51"/>
      <c r="B2857" s="52"/>
      <c r="C2857" s="165"/>
      <c r="D2857" s="52"/>
      <c r="E2857" s="115"/>
      <c r="F2857" s="58"/>
      <c r="G2857" s="58"/>
      <c r="H2857" s="58"/>
      <c r="I2857" s="55"/>
      <c r="J2857" s="113">
        <f>J2856</f>
        <v>17</v>
      </c>
      <c r="K2857" s="212">
        <f>K2856</f>
        <v>17</v>
      </c>
      <c r="L2857" s="58"/>
      <c r="M2857" s="58">
        <f>K2857-L2857</f>
        <v>17</v>
      </c>
      <c r="N2857" s="166"/>
      <c r="O2857" s="58"/>
      <c r="P2857" s="58"/>
      <c r="Q2857" s="58"/>
      <c r="R2857" s="58"/>
      <c r="S2857" s="58"/>
      <c r="T2857" s="220"/>
      <c r="U2857" s="88"/>
      <c r="V2857" s="56"/>
      <c r="W2857" s="57" t="s">
        <v>1379</v>
      </c>
      <c r="X2857" s="53"/>
      <c r="Y2857" s="91" t="s">
        <v>66</v>
      </c>
      <c r="Z2857" s="136">
        <f>AD2857/AC2857</f>
        <v>22.355262745098038</v>
      </c>
      <c r="AA2857" s="58"/>
      <c r="AB2857" s="53">
        <f>AD2857/AC2857</f>
        <v>22.355262745098038</v>
      </c>
      <c r="AC2857" s="53">
        <f>M2857+$AE$10</f>
        <v>17</v>
      </c>
      <c r="AD2857" s="54">
        <f>SUM(AD2858:AD2863)</f>
        <v>380.03946666666667</v>
      </c>
      <c r="AE2857" s="184">
        <f>SUMIFS($AD$37:$AD$12971,$V$37:$V$12971,$V2857,$X$37:$X$12971,AE$13)</f>
        <v>0</v>
      </c>
      <c r="AF2857" s="185">
        <f>SUMIFS($AD$37:$AD$12971,$V$37:$V$12971,$V2857,$X$37:$X$12971,AF$13)</f>
        <v>0</v>
      </c>
      <c r="AG2857" s="185">
        <f>SUMIFS($AD$37:$AD$12971,$V$37:$V$12971,$V2857,$X$37:$X$12971,AG$13)</f>
        <v>0</v>
      </c>
      <c r="AH2857" s="187">
        <f>SUMIFS($AD$37:$AD$12971,$V$37:$V$12971,$V2857,$X$37:$X$12971,AH$13)</f>
        <v>0</v>
      </c>
      <c r="AI2857" s="161">
        <f t="shared" ref="AI2857" si="2249">SUM(AE2857:AH2857)</f>
        <v>0</v>
      </c>
      <c r="AK2857" s="172"/>
    </row>
    <row r="2858" spans="1:41" s="102" customFormat="1" ht="19.899999999999999" customHeight="1" x14ac:dyDescent="0.25">
      <c r="A2858" s="45"/>
      <c r="B2858" s="59"/>
      <c r="C2858" s="137"/>
      <c r="D2858" s="59"/>
      <c r="E2858" s="116"/>
      <c r="F2858" s="120"/>
      <c r="G2858" s="120"/>
      <c r="H2858" s="120"/>
      <c r="I2858" s="60"/>
      <c r="J2858" s="116"/>
      <c r="K2858" s="213"/>
      <c r="L2858" s="120"/>
      <c r="M2858" s="120"/>
      <c r="N2858" s="167"/>
      <c r="O2858" s="120"/>
      <c r="P2858" s="120"/>
      <c r="Q2858" s="120"/>
      <c r="R2858" s="120"/>
      <c r="S2858" s="120"/>
      <c r="T2858" s="221"/>
      <c r="U2858" s="89"/>
      <c r="V2858" s="61"/>
      <c r="W2858" s="92" t="s">
        <v>110</v>
      </c>
      <c r="X2858" s="93" t="s">
        <v>29</v>
      </c>
      <c r="Y2858" s="93" t="s">
        <v>93</v>
      </c>
      <c r="Z2858" s="134">
        <f>VLOOKUP(W2858,Sheet2!$B:$D,3,FALSE)</f>
        <v>150.4</v>
      </c>
      <c r="AA2858" s="93">
        <v>15</v>
      </c>
      <c r="AB2858" s="93">
        <f>AD2858/AC2857</f>
        <v>10.026666666666667</v>
      </c>
      <c r="AC2858" s="93">
        <f>AC2857/AA2858</f>
        <v>1.1333333333333333</v>
      </c>
      <c r="AD2858" s="94">
        <f t="shared" ref="AD2858:AD2861" si="2250">AC2858*Z2858</f>
        <v>170.45333333333335</v>
      </c>
      <c r="AE2858" s="190"/>
      <c r="AF2858" s="191"/>
      <c r="AG2858" s="191"/>
      <c r="AH2858" s="191"/>
      <c r="AI2858" s="186"/>
      <c r="AK2858" s="171"/>
    </row>
    <row r="2859" spans="1:41" s="102" customFormat="1" ht="19.899999999999999" customHeight="1" x14ac:dyDescent="0.25">
      <c r="A2859" s="45"/>
      <c r="B2859" s="59"/>
      <c r="C2859" s="137"/>
      <c r="D2859" s="59"/>
      <c r="E2859" s="116"/>
      <c r="F2859" s="120"/>
      <c r="G2859" s="120"/>
      <c r="H2859" s="120"/>
      <c r="I2859" s="60"/>
      <c r="J2859" s="116"/>
      <c r="K2859" s="213"/>
      <c r="L2859" s="120"/>
      <c r="M2859" s="120"/>
      <c r="N2859" s="167"/>
      <c r="O2859" s="120"/>
      <c r="P2859" s="120"/>
      <c r="Q2859" s="120"/>
      <c r="R2859" s="120"/>
      <c r="S2859" s="120"/>
      <c r="T2859" s="221"/>
      <c r="U2859" s="89"/>
      <c r="V2859" s="61"/>
      <c r="W2859" s="92" t="s">
        <v>65</v>
      </c>
      <c r="X2859" s="93" t="s">
        <v>30</v>
      </c>
      <c r="Y2859" s="93" t="s">
        <v>1011</v>
      </c>
      <c r="Z2859" s="134">
        <f>VLOOKUP(W2859,Sheet2!$B:$D,3,FALSE)</f>
        <v>1.76</v>
      </c>
      <c r="AA2859" s="93">
        <f>AA2858/32</f>
        <v>0.46875</v>
      </c>
      <c r="AB2859" s="93">
        <f>AD2859/AC2857</f>
        <v>3.7546666666666666</v>
      </c>
      <c r="AC2859" s="93">
        <f>AC2857/AA2859</f>
        <v>36.266666666666666</v>
      </c>
      <c r="AD2859" s="94">
        <f t="shared" si="2250"/>
        <v>63.829333333333331</v>
      </c>
      <c r="AE2859" s="190"/>
      <c r="AF2859" s="191"/>
      <c r="AG2859" s="191"/>
      <c r="AH2859" s="191"/>
      <c r="AI2859" s="186"/>
      <c r="AK2859" s="171"/>
    </row>
    <row r="2860" spans="1:41" s="102" customFormat="1" ht="19.899999999999999" customHeight="1" x14ac:dyDescent="0.25">
      <c r="A2860" s="45"/>
      <c r="B2860" s="59"/>
      <c r="C2860" s="137"/>
      <c r="D2860" s="59"/>
      <c r="E2860" s="116"/>
      <c r="F2860" s="120"/>
      <c r="G2860" s="120"/>
      <c r="H2860" s="120"/>
      <c r="I2860" s="60"/>
      <c r="J2860" s="116"/>
      <c r="K2860" s="213"/>
      <c r="L2860" s="120"/>
      <c r="M2860" s="120"/>
      <c r="N2860" s="167"/>
      <c r="O2860" s="120"/>
      <c r="P2860" s="120"/>
      <c r="Q2860" s="120"/>
      <c r="R2860" s="120"/>
      <c r="S2860" s="120"/>
      <c r="T2860" s="221"/>
      <c r="U2860" s="89"/>
      <c r="V2860" s="61"/>
      <c r="W2860" s="92" t="s">
        <v>131</v>
      </c>
      <c r="X2860" s="93" t="s">
        <v>29</v>
      </c>
      <c r="Y2860" s="93" t="s">
        <v>93</v>
      </c>
      <c r="Z2860" s="134">
        <f>VLOOKUP(W2860,Sheet2!$B:$D,3,FALSE)</f>
        <v>131.19999999999999</v>
      </c>
      <c r="AA2860" s="93">
        <v>50</v>
      </c>
      <c r="AB2860" s="93">
        <f t="shared" ref="AB2860" si="2251">AD2860/AC2857</f>
        <v>2.6239999999999997</v>
      </c>
      <c r="AC2860" s="93">
        <f>AC2857/AA2860</f>
        <v>0.34</v>
      </c>
      <c r="AD2860" s="94">
        <f t="shared" si="2250"/>
        <v>44.607999999999997</v>
      </c>
      <c r="AE2860" s="190"/>
      <c r="AF2860" s="191"/>
      <c r="AG2860" s="191"/>
      <c r="AH2860" s="191"/>
      <c r="AI2860" s="186"/>
      <c r="AK2860" s="171"/>
    </row>
    <row r="2861" spans="1:41" s="102" customFormat="1" ht="19.899999999999999" customHeight="1" x14ac:dyDescent="0.25">
      <c r="A2861" s="45"/>
      <c r="B2861" s="59"/>
      <c r="C2861" s="137"/>
      <c r="D2861" s="59"/>
      <c r="E2861" s="116"/>
      <c r="F2861" s="120"/>
      <c r="G2861" s="120"/>
      <c r="H2861" s="120"/>
      <c r="I2861" s="60"/>
      <c r="J2861" s="116"/>
      <c r="K2861" s="213"/>
      <c r="L2861" s="120"/>
      <c r="M2861" s="120"/>
      <c r="N2861" s="167"/>
      <c r="O2861" s="120"/>
      <c r="P2861" s="120"/>
      <c r="Q2861" s="120"/>
      <c r="R2861" s="120"/>
      <c r="S2861" s="120"/>
      <c r="T2861" s="221"/>
      <c r="U2861" s="89"/>
      <c r="V2861" s="61"/>
      <c r="W2861" s="92" t="s">
        <v>65</v>
      </c>
      <c r="X2861" s="93" t="s">
        <v>30</v>
      </c>
      <c r="Y2861" s="93" t="s">
        <v>1011</v>
      </c>
      <c r="Z2861" s="134">
        <f>VLOOKUP(W2861,Sheet2!$B:$D,3,FALSE)</f>
        <v>1.76</v>
      </c>
      <c r="AA2861" s="93">
        <f>AA2860/32</f>
        <v>1.5625</v>
      </c>
      <c r="AB2861" s="93">
        <f>AD2861/AC2857</f>
        <v>1.1264000000000001</v>
      </c>
      <c r="AC2861" s="93">
        <f>AC2857/AA2861</f>
        <v>10.88</v>
      </c>
      <c r="AD2861" s="94">
        <f t="shared" si="2250"/>
        <v>19.148800000000001</v>
      </c>
      <c r="AE2861" s="190"/>
      <c r="AF2861" s="191"/>
      <c r="AG2861" s="191"/>
      <c r="AH2861" s="191"/>
      <c r="AI2861" s="186"/>
      <c r="AK2861" s="171"/>
    </row>
    <row r="2862" spans="1:41" s="102" customFormat="1" ht="19.899999999999999" customHeight="1" x14ac:dyDescent="0.25">
      <c r="A2862" s="45"/>
      <c r="B2862" s="59"/>
      <c r="C2862" s="137"/>
      <c r="D2862" s="59"/>
      <c r="E2862" s="116"/>
      <c r="F2862" s="120"/>
      <c r="G2862" s="120"/>
      <c r="H2862" s="120"/>
      <c r="I2862" s="60"/>
      <c r="J2862" s="116"/>
      <c r="K2862" s="213"/>
      <c r="L2862" s="120"/>
      <c r="M2862" s="120"/>
      <c r="N2862" s="167"/>
      <c r="O2862" s="120"/>
      <c r="P2862" s="120"/>
      <c r="Q2862" s="120"/>
      <c r="R2862" s="120"/>
      <c r="S2862" s="120"/>
      <c r="T2862" s="221"/>
      <c r="U2862" s="89"/>
      <c r="V2862" s="61"/>
      <c r="W2862" s="92" t="s">
        <v>161</v>
      </c>
      <c r="X2862" s="93" t="s">
        <v>29</v>
      </c>
      <c r="Y2862" s="93" t="s">
        <v>93</v>
      </c>
      <c r="Z2862" s="134">
        <f>VLOOKUP(W2862,Sheet2!$B:$D,3,FALSE)</f>
        <v>48</v>
      </c>
      <c r="AA2862" s="93">
        <f>(16*0.85*1)</f>
        <v>13.6</v>
      </c>
      <c r="AB2862" s="93">
        <f>AD2862/AC2857</f>
        <v>3.5294117647058822</v>
      </c>
      <c r="AC2862" s="93">
        <f>AC2857/AA2862</f>
        <v>1.25</v>
      </c>
      <c r="AD2862" s="94">
        <f>AC2862*Z2862</f>
        <v>60</v>
      </c>
      <c r="AE2862" s="190"/>
      <c r="AF2862" s="191"/>
      <c r="AG2862" s="191"/>
      <c r="AH2862" s="191"/>
      <c r="AI2862" s="186"/>
      <c r="AK2862" s="171"/>
    </row>
    <row r="2863" spans="1:41" s="102" customFormat="1" ht="19.899999999999999" customHeight="1" x14ac:dyDescent="0.25">
      <c r="A2863" s="45"/>
      <c r="B2863" s="59"/>
      <c r="C2863" s="137"/>
      <c r="D2863" s="59"/>
      <c r="E2863" s="116"/>
      <c r="F2863" s="120"/>
      <c r="G2863" s="120"/>
      <c r="H2863" s="120"/>
      <c r="I2863" s="60"/>
      <c r="J2863" s="116"/>
      <c r="K2863" s="213"/>
      <c r="L2863" s="120"/>
      <c r="M2863" s="120"/>
      <c r="N2863" s="167"/>
      <c r="O2863" s="120"/>
      <c r="P2863" s="120"/>
      <c r="Q2863" s="120"/>
      <c r="R2863" s="120"/>
      <c r="S2863" s="120"/>
      <c r="T2863" s="221"/>
      <c r="U2863" s="89"/>
      <c r="V2863" s="61"/>
      <c r="W2863" s="92" t="s">
        <v>65</v>
      </c>
      <c r="X2863" s="93" t="s">
        <v>30</v>
      </c>
      <c r="Y2863" s="93" t="s">
        <v>1011</v>
      </c>
      <c r="Z2863" s="134">
        <f>VLOOKUP(W2863,Sheet2!$B:$D,3,FALSE)</f>
        <v>1.76</v>
      </c>
      <c r="AA2863" s="93">
        <f>AA2862/10</f>
        <v>1.3599999999999999</v>
      </c>
      <c r="AB2863" s="93">
        <f>AD2863/AC2857</f>
        <v>1.2941176470588238</v>
      </c>
      <c r="AC2863" s="93">
        <f>AC2857/AA2863</f>
        <v>12.500000000000002</v>
      </c>
      <c r="AD2863" s="94">
        <f>AC2863*Z2863</f>
        <v>22.000000000000004</v>
      </c>
      <c r="AE2863" s="190"/>
      <c r="AF2863" s="191"/>
      <c r="AG2863" s="191"/>
      <c r="AH2863" s="191"/>
      <c r="AI2863" s="186"/>
      <c r="AK2863" s="171"/>
    </row>
    <row r="2864" spans="1:41" s="103" customFormat="1" ht="19.899999999999999" customHeight="1" x14ac:dyDescent="0.25">
      <c r="A2864" s="51"/>
      <c r="B2864" s="52"/>
      <c r="C2864" s="165"/>
      <c r="D2864" s="52"/>
      <c r="E2864" s="115"/>
      <c r="F2864" s="58"/>
      <c r="G2864" s="58"/>
      <c r="H2864" s="58"/>
      <c r="I2864" s="55"/>
      <c r="J2864" s="113">
        <f>J2856</f>
        <v>17</v>
      </c>
      <c r="K2864" s="212">
        <f>K2856</f>
        <v>17</v>
      </c>
      <c r="L2864" s="58"/>
      <c r="M2864" s="58">
        <f>K2864-L2864</f>
        <v>17</v>
      </c>
      <c r="N2864" s="166"/>
      <c r="O2864" s="58"/>
      <c r="P2864" s="58"/>
      <c r="Q2864" s="58"/>
      <c r="R2864" s="58"/>
      <c r="S2864" s="58"/>
      <c r="T2864" s="220"/>
      <c r="U2864" s="88"/>
      <c r="V2864" s="56"/>
      <c r="W2864" s="57" t="s">
        <v>1380</v>
      </c>
      <c r="X2864" s="53"/>
      <c r="Y2864" s="91" t="s">
        <v>66</v>
      </c>
      <c r="Z2864" s="136">
        <f>AD2864/AC2864</f>
        <v>8.3027294117647035</v>
      </c>
      <c r="AA2864" s="58"/>
      <c r="AB2864" s="53">
        <f>AD2864/AC2864</f>
        <v>8.3027294117647035</v>
      </c>
      <c r="AC2864" s="53">
        <f>M2864+$AE$10</f>
        <v>17</v>
      </c>
      <c r="AD2864" s="54">
        <f>SUM(AD2865:AD2874)</f>
        <v>141.14639999999997</v>
      </c>
      <c r="AE2864" s="184">
        <f>SUMIFS($AD$37:$AD$12971,$V$37:$V$12971,$V2864,$X$37:$X$12971,AE$13)</f>
        <v>0</v>
      </c>
      <c r="AF2864" s="185">
        <f>SUMIFS($AD$37:$AD$12971,$V$37:$V$12971,$V2864,$X$37:$X$12971,AF$13)</f>
        <v>0</v>
      </c>
      <c r="AG2864" s="185">
        <f>SUMIFS($AD$37:$AD$12971,$V$37:$V$12971,$V2864,$X$37:$X$12971,AG$13)</f>
        <v>0</v>
      </c>
      <c r="AH2864" s="187">
        <f>SUMIFS($AD$37:$AD$12971,$V$37:$V$12971,$V2864,$X$37:$X$12971,AH$13)</f>
        <v>0</v>
      </c>
      <c r="AI2864" s="161">
        <f t="shared" ref="AI2864" si="2252">SUM(AE2864:AH2864)</f>
        <v>0</v>
      </c>
      <c r="AK2864" s="172"/>
    </row>
    <row r="2865" spans="1:41" s="102" customFormat="1" ht="19.899999999999999" customHeight="1" x14ac:dyDescent="0.25">
      <c r="A2865" s="45"/>
      <c r="B2865" s="59"/>
      <c r="C2865" s="137"/>
      <c r="D2865" s="59"/>
      <c r="E2865" s="116"/>
      <c r="F2865" s="120"/>
      <c r="G2865" s="120"/>
      <c r="H2865" s="120"/>
      <c r="I2865" s="60"/>
      <c r="J2865" s="116"/>
      <c r="K2865" s="213"/>
      <c r="L2865" s="120"/>
      <c r="M2865" s="120"/>
      <c r="N2865" s="167"/>
      <c r="O2865" s="120"/>
      <c r="P2865" s="120"/>
      <c r="Q2865" s="120"/>
      <c r="R2865" s="120"/>
      <c r="S2865" s="120"/>
      <c r="T2865" s="221"/>
      <c r="U2865" s="89"/>
      <c r="V2865" s="61"/>
      <c r="W2865" s="92" t="s">
        <v>134</v>
      </c>
      <c r="X2865" s="93" t="s">
        <v>29</v>
      </c>
      <c r="Y2865" s="93" t="s">
        <v>93</v>
      </c>
      <c r="Z2865" s="134">
        <f>VLOOKUP(W2865,Sheet2!$B:$D,3,FALSE)</f>
        <v>65.599999999999994</v>
      </c>
      <c r="AA2865" s="93">
        <f>100</f>
        <v>100</v>
      </c>
      <c r="AB2865" s="93">
        <f>AD2865/AC2864</f>
        <v>0.65599999999999992</v>
      </c>
      <c r="AC2865" s="93">
        <f>AC2864/AA2865</f>
        <v>0.17</v>
      </c>
      <c r="AD2865" s="94">
        <f t="shared" ref="AD2865:AD2866" si="2253">AC2865*Z2865</f>
        <v>11.151999999999999</v>
      </c>
      <c r="AE2865" s="190"/>
      <c r="AF2865" s="191"/>
      <c r="AG2865" s="191"/>
      <c r="AH2865" s="191"/>
      <c r="AI2865" s="186"/>
      <c r="AK2865" s="171"/>
    </row>
    <row r="2866" spans="1:41" s="102" customFormat="1" ht="19.899999999999999" customHeight="1" x14ac:dyDescent="0.25">
      <c r="A2866" s="45"/>
      <c r="B2866" s="59"/>
      <c r="C2866" s="137"/>
      <c r="D2866" s="59"/>
      <c r="E2866" s="116"/>
      <c r="F2866" s="120"/>
      <c r="G2866" s="120"/>
      <c r="H2866" s="120"/>
      <c r="I2866" s="60"/>
      <c r="J2866" s="116"/>
      <c r="K2866" s="213"/>
      <c r="L2866" s="120"/>
      <c r="M2866" s="120"/>
      <c r="N2866" s="167"/>
      <c r="O2866" s="120"/>
      <c r="P2866" s="120"/>
      <c r="Q2866" s="120"/>
      <c r="R2866" s="120"/>
      <c r="S2866" s="120"/>
      <c r="T2866" s="221"/>
      <c r="U2866" s="89"/>
      <c r="V2866" s="61"/>
      <c r="W2866" s="92" t="s">
        <v>65</v>
      </c>
      <c r="X2866" s="93" t="s">
        <v>30</v>
      </c>
      <c r="Y2866" s="93" t="s">
        <v>1011</v>
      </c>
      <c r="Z2866" s="134">
        <f>VLOOKUP(W2866,Sheet2!$B:$D,3,FALSE)</f>
        <v>1.76</v>
      </c>
      <c r="AA2866" s="93">
        <f>AA2865/9</f>
        <v>11.111111111111111</v>
      </c>
      <c r="AB2866" s="93">
        <f>AD2866/AC2864</f>
        <v>0.15840000000000001</v>
      </c>
      <c r="AC2866" s="93">
        <f>AC2864/AA2866</f>
        <v>1.53</v>
      </c>
      <c r="AD2866" s="94">
        <f t="shared" si="2253"/>
        <v>2.6928000000000001</v>
      </c>
      <c r="AE2866" s="190"/>
      <c r="AF2866" s="191"/>
      <c r="AG2866" s="191"/>
      <c r="AH2866" s="191"/>
      <c r="AI2866" s="186"/>
      <c r="AK2866" s="171"/>
    </row>
    <row r="2867" spans="1:41" s="102" customFormat="1" ht="19.899999999999999" customHeight="1" x14ac:dyDescent="0.25">
      <c r="A2867" s="45"/>
      <c r="B2867" s="59"/>
      <c r="C2867" s="137"/>
      <c r="D2867" s="59"/>
      <c r="E2867" s="116"/>
      <c r="F2867" s="120"/>
      <c r="G2867" s="120"/>
      <c r="H2867" s="120"/>
      <c r="I2867" s="60"/>
      <c r="J2867" s="116"/>
      <c r="K2867" s="213"/>
      <c r="L2867" s="120"/>
      <c r="M2867" s="120"/>
      <c r="N2867" s="167"/>
      <c r="O2867" s="120"/>
      <c r="P2867" s="120"/>
      <c r="Q2867" s="120"/>
      <c r="R2867" s="120"/>
      <c r="S2867" s="120"/>
      <c r="T2867" s="221"/>
      <c r="U2867" s="89"/>
      <c r="V2867" s="61"/>
      <c r="W2867" s="92" t="s">
        <v>161</v>
      </c>
      <c r="X2867" s="93" t="s">
        <v>29</v>
      </c>
      <c r="Y2867" s="93" t="s">
        <v>93</v>
      </c>
      <c r="Z2867" s="134">
        <f>VLOOKUP(W2867,Sheet2!$B:$D,3,FALSE)</f>
        <v>48</v>
      </c>
      <c r="AA2867" s="93">
        <f>(16*0.85*1)</f>
        <v>13.6</v>
      </c>
      <c r="AB2867" s="93">
        <f>AD2867/AC2864</f>
        <v>3.5294117647058822</v>
      </c>
      <c r="AC2867" s="93">
        <f>AC2864/AA2867</f>
        <v>1.25</v>
      </c>
      <c r="AD2867" s="94">
        <f>AC2867*Z2867</f>
        <v>60</v>
      </c>
      <c r="AE2867" s="190"/>
      <c r="AF2867" s="191"/>
      <c r="AG2867" s="191"/>
      <c r="AH2867" s="191"/>
      <c r="AI2867" s="186"/>
      <c r="AK2867" s="171"/>
    </row>
    <row r="2868" spans="1:41" s="102" customFormat="1" ht="19.899999999999999" customHeight="1" x14ac:dyDescent="0.25">
      <c r="A2868" s="45"/>
      <c r="B2868" s="59"/>
      <c r="C2868" s="137"/>
      <c r="D2868" s="59"/>
      <c r="E2868" s="116"/>
      <c r="F2868" s="120"/>
      <c r="G2868" s="120"/>
      <c r="H2868" s="120"/>
      <c r="I2868" s="60"/>
      <c r="J2868" s="116"/>
      <c r="K2868" s="213"/>
      <c r="L2868" s="120"/>
      <c r="M2868" s="120"/>
      <c r="N2868" s="167"/>
      <c r="O2868" s="120"/>
      <c r="P2868" s="120"/>
      <c r="Q2868" s="120"/>
      <c r="R2868" s="120"/>
      <c r="S2868" s="120"/>
      <c r="T2868" s="221"/>
      <c r="U2868" s="89"/>
      <c r="V2868" s="61"/>
      <c r="W2868" s="92" t="s">
        <v>65</v>
      </c>
      <c r="X2868" s="93" t="s">
        <v>30</v>
      </c>
      <c r="Y2868" s="93" t="s">
        <v>1011</v>
      </c>
      <c r="Z2868" s="134">
        <f>VLOOKUP(W2868,Sheet2!$B:$D,3,FALSE)</f>
        <v>1.76</v>
      </c>
      <c r="AA2868" s="93">
        <f>AA2867/10</f>
        <v>1.3599999999999999</v>
      </c>
      <c r="AB2868" s="93">
        <f>AD2868/AC2864</f>
        <v>1.2941176470588238</v>
      </c>
      <c r="AC2868" s="93">
        <f>AC2864/AA2868</f>
        <v>12.500000000000002</v>
      </c>
      <c r="AD2868" s="94">
        <f>AC2868*Z2868</f>
        <v>22.000000000000004</v>
      </c>
      <c r="AE2868" s="190"/>
      <c r="AF2868" s="191"/>
      <c r="AG2868" s="191"/>
      <c r="AH2868" s="191"/>
      <c r="AI2868" s="186"/>
      <c r="AK2868" s="171"/>
    </row>
    <row r="2869" spans="1:41" s="102" customFormat="1" ht="19.899999999999999" customHeight="1" x14ac:dyDescent="0.25">
      <c r="A2869" s="45"/>
      <c r="B2869" s="59"/>
      <c r="C2869" s="137"/>
      <c r="D2869" s="59"/>
      <c r="E2869" s="116"/>
      <c r="F2869" s="120"/>
      <c r="G2869" s="120"/>
      <c r="H2869" s="120"/>
      <c r="I2869" s="60"/>
      <c r="J2869" s="116"/>
      <c r="K2869" s="213"/>
      <c r="L2869" s="120"/>
      <c r="M2869" s="120"/>
      <c r="N2869" s="167"/>
      <c r="O2869" s="120"/>
      <c r="P2869" s="120"/>
      <c r="Q2869" s="120"/>
      <c r="R2869" s="120"/>
      <c r="S2869" s="120"/>
      <c r="T2869" s="221"/>
      <c r="U2869" s="89"/>
      <c r="V2869" s="61"/>
      <c r="W2869" s="92" t="s">
        <v>173</v>
      </c>
      <c r="X2869" s="93" t="s">
        <v>29</v>
      </c>
      <c r="Y2869" s="93" t="s">
        <v>93</v>
      </c>
      <c r="Z2869" s="134">
        <f>VLOOKUP(W2869,Sheet2!$B:$D,3,FALSE)</f>
        <v>36</v>
      </c>
      <c r="AA2869" s="93">
        <f>50</f>
        <v>50</v>
      </c>
      <c r="AB2869" s="93">
        <f>AD2869/AC2864</f>
        <v>0.72</v>
      </c>
      <c r="AC2869" s="93">
        <f>AC2864/AA2869</f>
        <v>0.34</v>
      </c>
      <c r="AD2869" s="94">
        <f>AC2869*Z2869</f>
        <v>12.24</v>
      </c>
      <c r="AE2869" s="190"/>
      <c r="AF2869" s="191"/>
      <c r="AG2869" s="191"/>
      <c r="AH2869" s="191"/>
      <c r="AI2869" s="186"/>
      <c r="AK2869" s="171"/>
    </row>
    <row r="2870" spans="1:41" s="102" customFormat="1" ht="19.899999999999999" customHeight="1" x14ac:dyDescent="0.25">
      <c r="A2870" s="45"/>
      <c r="B2870" s="59"/>
      <c r="C2870" s="137"/>
      <c r="D2870" s="59"/>
      <c r="E2870" s="116"/>
      <c r="F2870" s="120"/>
      <c r="G2870" s="120"/>
      <c r="H2870" s="120"/>
      <c r="I2870" s="60"/>
      <c r="J2870" s="116"/>
      <c r="K2870" s="213"/>
      <c r="L2870" s="120"/>
      <c r="M2870" s="120"/>
      <c r="N2870" s="167"/>
      <c r="O2870" s="120"/>
      <c r="P2870" s="120"/>
      <c r="Q2870" s="120"/>
      <c r="R2870" s="120"/>
      <c r="S2870" s="120"/>
      <c r="T2870" s="221"/>
      <c r="U2870" s="89"/>
      <c r="V2870" s="61"/>
      <c r="W2870" s="92" t="s">
        <v>65</v>
      </c>
      <c r="X2870" s="93" t="s">
        <v>30</v>
      </c>
      <c r="Y2870" s="93" t="s">
        <v>1011</v>
      </c>
      <c r="Z2870" s="134">
        <f>VLOOKUP(W2870,Sheet2!$B:$D,3,FALSE)</f>
        <v>1.76</v>
      </c>
      <c r="AA2870" s="93">
        <f>AA2869/9</f>
        <v>5.5555555555555554</v>
      </c>
      <c r="AB2870" s="93">
        <f>AD2870/AC2864</f>
        <v>0.31680000000000003</v>
      </c>
      <c r="AC2870" s="93">
        <f>AC2864/AA2870</f>
        <v>3.06</v>
      </c>
      <c r="AD2870" s="94">
        <f>AC2870*Z2870</f>
        <v>5.3856000000000002</v>
      </c>
      <c r="AE2870" s="190"/>
      <c r="AF2870" s="191"/>
      <c r="AG2870" s="191"/>
      <c r="AH2870" s="191"/>
      <c r="AI2870" s="186"/>
      <c r="AK2870" s="171"/>
    </row>
    <row r="2871" spans="1:41" s="102" customFormat="1" ht="19.899999999999999" customHeight="1" x14ac:dyDescent="0.25">
      <c r="A2871" s="45"/>
      <c r="B2871" s="59"/>
      <c r="C2871" s="137"/>
      <c r="D2871" s="59"/>
      <c r="E2871" s="116"/>
      <c r="F2871" s="120"/>
      <c r="G2871" s="120"/>
      <c r="H2871" s="120"/>
      <c r="I2871" s="60"/>
      <c r="J2871" s="116"/>
      <c r="K2871" s="213"/>
      <c r="L2871" s="120"/>
      <c r="M2871" s="120"/>
      <c r="N2871" s="167"/>
      <c r="O2871" s="120"/>
      <c r="P2871" s="120"/>
      <c r="Q2871" s="120"/>
      <c r="R2871" s="120"/>
      <c r="S2871" s="120"/>
      <c r="T2871" s="221"/>
      <c r="U2871" s="89"/>
      <c r="V2871" s="61"/>
      <c r="W2871" s="92" t="s">
        <v>148</v>
      </c>
      <c r="X2871" s="93" t="s">
        <v>29</v>
      </c>
      <c r="Y2871" s="93" t="s">
        <v>93</v>
      </c>
      <c r="Z2871" s="134">
        <f>VLOOKUP(W2871,Sheet2!$B:$D,3,FALSE)</f>
        <v>48</v>
      </c>
      <c r="AA2871" s="93">
        <v>80</v>
      </c>
      <c r="AB2871" s="93">
        <f>AD2871/AC2864</f>
        <v>0.6</v>
      </c>
      <c r="AC2871" s="93">
        <f>AC2864/AA2871</f>
        <v>0.21249999999999999</v>
      </c>
      <c r="AD2871" s="94">
        <f t="shared" ref="AD2871:AD2874" si="2254">AC2871*Z2871</f>
        <v>10.199999999999999</v>
      </c>
      <c r="AE2871" s="190"/>
      <c r="AF2871" s="191"/>
      <c r="AG2871" s="191"/>
      <c r="AH2871" s="191"/>
      <c r="AI2871" s="186"/>
      <c r="AK2871" s="171"/>
    </row>
    <row r="2872" spans="1:41" s="102" customFormat="1" ht="19.899999999999999" customHeight="1" x14ac:dyDescent="0.25">
      <c r="A2872" s="45"/>
      <c r="B2872" s="59"/>
      <c r="C2872" s="137"/>
      <c r="D2872" s="59"/>
      <c r="E2872" s="116"/>
      <c r="F2872" s="120"/>
      <c r="G2872" s="120"/>
      <c r="H2872" s="120"/>
      <c r="I2872" s="60"/>
      <c r="J2872" s="116"/>
      <c r="K2872" s="213"/>
      <c r="L2872" s="120"/>
      <c r="M2872" s="120"/>
      <c r="N2872" s="167"/>
      <c r="O2872" s="120"/>
      <c r="P2872" s="120"/>
      <c r="Q2872" s="120"/>
      <c r="R2872" s="120"/>
      <c r="S2872" s="120"/>
      <c r="T2872" s="221"/>
      <c r="U2872" s="89"/>
      <c r="V2872" s="61"/>
      <c r="W2872" s="92" t="s">
        <v>65</v>
      </c>
      <c r="X2872" s="93" t="s">
        <v>30</v>
      </c>
      <c r="Y2872" s="93" t="s">
        <v>1011</v>
      </c>
      <c r="Z2872" s="134">
        <f>VLOOKUP(W2872,Sheet2!$B:$D,3,FALSE)</f>
        <v>1.76</v>
      </c>
      <c r="AA2872" s="93">
        <f>AA2871/10</f>
        <v>8</v>
      </c>
      <c r="AB2872" s="93">
        <f>AD2872/AC2864</f>
        <v>0.22</v>
      </c>
      <c r="AC2872" s="93">
        <f>AC2864/AA2872</f>
        <v>2.125</v>
      </c>
      <c r="AD2872" s="94">
        <f t="shared" si="2254"/>
        <v>3.74</v>
      </c>
      <c r="AE2872" s="190"/>
      <c r="AF2872" s="191"/>
      <c r="AG2872" s="191"/>
      <c r="AH2872" s="191"/>
      <c r="AI2872" s="186"/>
      <c r="AK2872" s="171"/>
    </row>
    <row r="2873" spans="1:41" s="102" customFormat="1" ht="19.899999999999999" customHeight="1" x14ac:dyDescent="0.25">
      <c r="A2873" s="45"/>
      <c r="B2873" s="59"/>
      <c r="C2873" s="137"/>
      <c r="D2873" s="59"/>
      <c r="E2873" s="116"/>
      <c r="F2873" s="120"/>
      <c r="G2873" s="120"/>
      <c r="H2873" s="120"/>
      <c r="I2873" s="60"/>
      <c r="J2873" s="116"/>
      <c r="K2873" s="213"/>
      <c r="L2873" s="120"/>
      <c r="M2873" s="120"/>
      <c r="N2873" s="167"/>
      <c r="O2873" s="120"/>
      <c r="P2873" s="120"/>
      <c r="Q2873" s="120"/>
      <c r="R2873" s="120"/>
      <c r="S2873" s="120"/>
      <c r="T2873" s="221"/>
      <c r="U2873" s="89"/>
      <c r="V2873" s="61"/>
      <c r="W2873" s="92" t="s">
        <v>145</v>
      </c>
      <c r="X2873" s="93" t="s">
        <v>29</v>
      </c>
      <c r="Y2873" s="93" t="s">
        <v>93</v>
      </c>
      <c r="Z2873" s="134">
        <f>VLOOKUP(W2873,Sheet2!$B:$D,3,FALSE)</f>
        <v>40</v>
      </c>
      <c r="AA2873" s="93">
        <v>80</v>
      </c>
      <c r="AB2873" s="93">
        <f>AD2873/AC2864</f>
        <v>0.5</v>
      </c>
      <c r="AC2873" s="93">
        <f>AC2864/AA2873</f>
        <v>0.21249999999999999</v>
      </c>
      <c r="AD2873" s="94">
        <f t="shared" si="2254"/>
        <v>8.5</v>
      </c>
      <c r="AE2873" s="190"/>
      <c r="AF2873" s="191"/>
      <c r="AG2873" s="191"/>
      <c r="AH2873" s="191"/>
      <c r="AI2873" s="186"/>
      <c r="AK2873" s="171"/>
    </row>
    <row r="2874" spans="1:41" s="102" customFormat="1" ht="19.899999999999999" customHeight="1" x14ac:dyDescent="0.25">
      <c r="A2874" s="45"/>
      <c r="B2874" s="59"/>
      <c r="C2874" s="137"/>
      <c r="D2874" s="59"/>
      <c r="E2874" s="116"/>
      <c r="F2874" s="120"/>
      <c r="G2874" s="120"/>
      <c r="H2874" s="120"/>
      <c r="I2874" s="60"/>
      <c r="J2874" s="116"/>
      <c r="K2874" s="213"/>
      <c r="L2874" s="120"/>
      <c r="M2874" s="120"/>
      <c r="N2874" s="167"/>
      <c r="O2874" s="120"/>
      <c r="P2874" s="120"/>
      <c r="Q2874" s="120"/>
      <c r="R2874" s="120"/>
      <c r="S2874" s="120"/>
      <c r="T2874" s="221"/>
      <c r="U2874" s="89"/>
      <c r="V2874" s="61"/>
      <c r="W2874" s="92" t="s">
        <v>65</v>
      </c>
      <c r="X2874" s="93" t="s">
        <v>30</v>
      </c>
      <c r="Y2874" s="93" t="s">
        <v>1011</v>
      </c>
      <c r="Z2874" s="134">
        <f>VLOOKUP(W2874,Sheet2!$B:$D,3,FALSE)</f>
        <v>1.76</v>
      </c>
      <c r="AA2874" s="93">
        <f>AA2873/14</f>
        <v>5.7142857142857144</v>
      </c>
      <c r="AB2874" s="93">
        <f>AD2874/AC2864</f>
        <v>0.308</v>
      </c>
      <c r="AC2874" s="93">
        <f>AC2864/AA2874</f>
        <v>2.9750000000000001</v>
      </c>
      <c r="AD2874" s="94">
        <f t="shared" si="2254"/>
        <v>5.2359999999999998</v>
      </c>
      <c r="AE2874" s="190"/>
      <c r="AF2874" s="191"/>
      <c r="AG2874" s="191"/>
      <c r="AH2874" s="191"/>
      <c r="AI2874" s="186"/>
      <c r="AK2874" s="171"/>
    </row>
    <row r="2875" spans="1:41" s="306" customFormat="1" ht="165" x14ac:dyDescent="0.25">
      <c r="A2875" s="287"/>
      <c r="B2875" s="288"/>
      <c r="C2875" s="286" t="s">
        <v>1219</v>
      </c>
      <c r="D2875" s="289"/>
      <c r="E2875" s="290"/>
      <c r="F2875" s="291"/>
      <c r="G2875" s="291"/>
      <c r="H2875" s="291"/>
      <c r="I2875" s="292"/>
      <c r="J2875" s="290"/>
      <c r="K2875" s="293"/>
      <c r="L2875" s="291"/>
      <c r="M2875" s="291"/>
      <c r="N2875" s="294"/>
      <c r="O2875" s="291"/>
      <c r="P2875" s="291"/>
      <c r="Q2875" s="291"/>
      <c r="R2875" s="291"/>
      <c r="S2875" s="291"/>
      <c r="T2875" s="295"/>
      <c r="U2875" s="296"/>
      <c r="V2875" s="297"/>
      <c r="W2875" s="298"/>
      <c r="X2875" s="299"/>
      <c r="Y2875" s="300"/>
      <c r="Z2875" s="301"/>
      <c r="AA2875" s="300"/>
      <c r="AB2875" s="300"/>
      <c r="AC2875" s="300"/>
      <c r="AD2875" s="302"/>
      <c r="AE2875" s="303"/>
      <c r="AF2875" s="304"/>
      <c r="AG2875" s="304"/>
      <c r="AH2875" s="304"/>
      <c r="AI2875" s="305"/>
      <c r="AK2875" s="307"/>
    </row>
    <row r="2876" spans="1:41" ht="20.100000000000001" customHeight="1" x14ac:dyDescent="0.25">
      <c r="A2876" s="277" t="s">
        <v>491</v>
      </c>
      <c r="B2876" s="278"/>
      <c r="C2876" s="64" t="s">
        <v>1148</v>
      </c>
      <c r="D2876" s="46" t="s">
        <v>97</v>
      </c>
      <c r="E2876" s="114">
        <v>99.909349999999904</v>
      </c>
      <c r="F2876" s="44">
        <v>122</v>
      </c>
      <c r="G2876" s="44">
        <f t="shared" si="1977"/>
        <v>12188.940699999988</v>
      </c>
      <c r="H2876" s="44">
        <f t="shared" si="1978"/>
        <v>91.166062745098031</v>
      </c>
      <c r="I2876" s="43">
        <f t="shared" si="1979"/>
        <v>9108.3420709219517</v>
      </c>
      <c r="J2876" s="112">
        <f t="shared" si="1980"/>
        <v>99.909349999999904</v>
      </c>
      <c r="K2876" s="211">
        <f t="shared" si="1981"/>
        <v>99.909349999999904</v>
      </c>
      <c r="L2876" s="44"/>
      <c r="M2876" s="44">
        <f t="shared" si="1982"/>
        <v>99.909349999999904</v>
      </c>
      <c r="N2876" s="173">
        <f t="shared" si="1983"/>
        <v>1</v>
      </c>
      <c r="O2876" s="44">
        <f t="shared" si="1984"/>
        <v>122</v>
      </c>
      <c r="P2876" s="44">
        <f t="shared" si="1985"/>
        <v>12188.940699999988</v>
      </c>
      <c r="Q2876" s="44">
        <f t="shared" si="1986"/>
        <v>91.166062745098031</v>
      </c>
      <c r="R2876" s="44">
        <f t="shared" si="1987"/>
        <v>9108.3420709219517</v>
      </c>
      <c r="S2876" s="123"/>
      <c r="T2876" s="219">
        <f t="shared" si="1988"/>
        <v>9108.3420709219517</v>
      </c>
      <c r="U2876" s="87"/>
      <c r="V2876" s="47"/>
      <c r="W2876" s="48"/>
      <c r="X2876" s="48"/>
      <c r="Y2876" s="48"/>
      <c r="Z2876" s="135"/>
      <c r="AA2876" s="49"/>
      <c r="AB2876" s="50">
        <f t="shared" si="1989"/>
        <v>91.166062745098031</v>
      </c>
      <c r="AC2876" s="42">
        <f t="shared" si="1990"/>
        <v>99.909349999999904</v>
      </c>
      <c r="AD2876" s="90">
        <f>AD2877+AD2886+AD2894</f>
        <v>9108.3420709219517</v>
      </c>
      <c r="AE2876" s="188">
        <f t="shared" ref="AE2876:AH2876" si="2255">AE2877+AE2886+AE2894</f>
        <v>0</v>
      </c>
      <c r="AF2876" s="189">
        <f t="shared" si="2255"/>
        <v>0</v>
      </c>
      <c r="AG2876" s="189">
        <f t="shared" si="2255"/>
        <v>0</v>
      </c>
      <c r="AH2876" s="189">
        <f t="shared" si="2255"/>
        <v>0</v>
      </c>
      <c r="AI2876" s="161">
        <f t="shared" si="2245"/>
        <v>0</v>
      </c>
      <c r="AK2876" s="169">
        <v>5</v>
      </c>
      <c r="AO2876" s="19" t="s">
        <v>63</v>
      </c>
    </row>
    <row r="2877" spans="1:41" s="103" customFormat="1" ht="19.899999999999999" customHeight="1" x14ac:dyDescent="0.25">
      <c r="A2877" s="51"/>
      <c r="B2877" s="52"/>
      <c r="C2877" s="165"/>
      <c r="D2877" s="52"/>
      <c r="E2877" s="115"/>
      <c r="F2877" s="58"/>
      <c r="G2877" s="58"/>
      <c r="H2877" s="58"/>
      <c r="I2877" s="55"/>
      <c r="J2877" s="113">
        <f>J2876</f>
        <v>99.909349999999904</v>
      </c>
      <c r="K2877" s="212">
        <f>K2876</f>
        <v>99.909349999999904</v>
      </c>
      <c r="L2877" s="58"/>
      <c r="M2877" s="58">
        <f>K2877-L2877</f>
        <v>99.909349999999904</v>
      </c>
      <c r="N2877" s="166"/>
      <c r="O2877" s="58"/>
      <c r="P2877" s="58"/>
      <c r="Q2877" s="58"/>
      <c r="R2877" s="58"/>
      <c r="S2877" s="58"/>
      <c r="T2877" s="220"/>
      <c r="U2877" s="88"/>
      <c r="V2877" s="56"/>
      <c r="W2877" s="57" t="s">
        <v>1034</v>
      </c>
      <c r="X2877" s="53"/>
      <c r="Y2877" s="91" t="s">
        <v>68</v>
      </c>
      <c r="Z2877" s="136">
        <f>AD2877/AC2877</f>
        <v>7.5827294117647073</v>
      </c>
      <c r="AA2877" s="58"/>
      <c r="AB2877" s="53">
        <f>AD2877/AC2877</f>
        <v>7.5827294117647073</v>
      </c>
      <c r="AC2877" s="53">
        <f>M2877+$AE$10</f>
        <v>99.909349999999904</v>
      </c>
      <c r="AD2877" s="54">
        <f>SUM(AD2878:AD2885)</f>
        <v>757.58556675529348</v>
      </c>
      <c r="AE2877" s="184">
        <f>SUMIFS($AD$37:$AD$12971,$V$37:$V$12971,$V2877,$X$37:$X$12971,AE$13)</f>
        <v>0</v>
      </c>
      <c r="AF2877" s="185">
        <f>SUMIFS($AD$37:$AD$12971,$V$37:$V$12971,$V2877,$X$37:$X$12971,AF$13)</f>
        <v>0</v>
      </c>
      <c r="AG2877" s="185">
        <f>SUMIFS($AD$37:$AD$12971,$V$37:$V$12971,$V2877,$X$37:$X$12971,AG$13)</f>
        <v>0</v>
      </c>
      <c r="AH2877" s="187">
        <f>SUMIFS($AD$37:$AD$12971,$V$37:$V$12971,$V2877,$X$37:$X$12971,AH$13)</f>
        <v>0</v>
      </c>
      <c r="AI2877" s="161">
        <f t="shared" ref="AI2877" si="2256">SUM(AE2877:AH2877)</f>
        <v>0</v>
      </c>
      <c r="AK2877" s="172"/>
    </row>
    <row r="2878" spans="1:41" s="102" customFormat="1" ht="19.899999999999999" customHeight="1" x14ac:dyDescent="0.25">
      <c r="A2878" s="45"/>
      <c r="B2878" s="59"/>
      <c r="C2878" s="137"/>
      <c r="D2878" s="59"/>
      <c r="E2878" s="116"/>
      <c r="F2878" s="120"/>
      <c r="G2878" s="120"/>
      <c r="H2878" s="120"/>
      <c r="I2878" s="60"/>
      <c r="J2878" s="116"/>
      <c r="K2878" s="213"/>
      <c r="L2878" s="120"/>
      <c r="M2878" s="120"/>
      <c r="N2878" s="167"/>
      <c r="O2878" s="120"/>
      <c r="P2878" s="120"/>
      <c r="Q2878" s="120"/>
      <c r="R2878" s="120"/>
      <c r="S2878" s="120"/>
      <c r="T2878" s="221"/>
      <c r="U2878" s="89"/>
      <c r="V2878" s="61"/>
      <c r="W2878" s="92" t="s">
        <v>129</v>
      </c>
      <c r="X2878" s="93" t="s">
        <v>29</v>
      </c>
      <c r="Y2878" s="93" t="s">
        <v>93</v>
      </c>
      <c r="Z2878" s="134">
        <f>VLOOKUP(W2878,Sheet2!$B:$D,3,FALSE)</f>
        <v>56</v>
      </c>
      <c r="AA2878" s="93">
        <f>100/(1*1.5)</f>
        <v>66.666666666666671</v>
      </c>
      <c r="AB2878" s="93">
        <f t="shared" ref="AB2878" si="2257">AD2878/AC2877</f>
        <v>0.84</v>
      </c>
      <c r="AC2878" s="93">
        <f>AC2877/AA2878</f>
        <v>1.4986402499999985</v>
      </c>
      <c r="AD2878" s="94">
        <f t="shared" ref="AD2878:AD2879" si="2258">AC2878*Z2878</f>
        <v>83.92385399999992</v>
      </c>
      <c r="AE2878" s="190"/>
      <c r="AF2878" s="191"/>
      <c r="AG2878" s="191"/>
      <c r="AH2878" s="191"/>
      <c r="AI2878" s="186"/>
      <c r="AK2878" s="171"/>
    </row>
    <row r="2879" spans="1:41" s="102" customFormat="1" ht="19.899999999999999" customHeight="1" x14ac:dyDescent="0.25">
      <c r="A2879" s="45"/>
      <c r="B2879" s="59"/>
      <c r="C2879" s="137"/>
      <c r="D2879" s="59"/>
      <c r="E2879" s="116"/>
      <c r="F2879" s="120"/>
      <c r="G2879" s="120"/>
      <c r="H2879" s="120"/>
      <c r="I2879" s="60"/>
      <c r="J2879" s="116"/>
      <c r="K2879" s="213"/>
      <c r="L2879" s="120"/>
      <c r="M2879" s="120"/>
      <c r="N2879" s="167"/>
      <c r="O2879" s="120"/>
      <c r="P2879" s="120"/>
      <c r="Q2879" s="120"/>
      <c r="R2879" s="120"/>
      <c r="S2879" s="120"/>
      <c r="T2879" s="221"/>
      <c r="U2879" s="89"/>
      <c r="V2879" s="61"/>
      <c r="W2879" s="92" t="s">
        <v>65</v>
      </c>
      <c r="X2879" s="93" t="s">
        <v>30</v>
      </c>
      <c r="Y2879" s="93" t="s">
        <v>1011</v>
      </c>
      <c r="Z2879" s="134">
        <f>VLOOKUP(W2879,Sheet2!$B:$D,3,FALSE)</f>
        <v>1.76</v>
      </c>
      <c r="AA2879" s="93">
        <f>AA2878/14</f>
        <v>4.7619047619047619</v>
      </c>
      <c r="AB2879" s="93">
        <f>AD2879/AC2877</f>
        <v>0.36960000000000004</v>
      </c>
      <c r="AC2879" s="93">
        <f>AC2877/AA2879</f>
        <v>20.98096349999998</v>
      </c>
      <c r="AD2879" s="94">
        <f t="shared" si="2258"/>
        <v>36.926495759999966</v>
      </c>
      <c r="AE2879" s="190"/>
      <c r="AF2879" s="191"/>
      <c r="AG2879" s="191"/>
      <c r="AH2879" s="191"/>
      <c r="AI2879" s="186"/>
      <c r="AK2879" s="171"/>
    </row>
    <row r="2880" spans="1:41" s="102" customFormat="1" ht="19.899999999999999" customHeight="1" x14ac:dyDescent="0.25">
      <c r="A2880" s="45"/>
      <c r="B2880" s="59"/>
      <c r="C2880" s="137"/>
      <c r="D2880" s="59"/>
      <c r="E2880" s="116"/>
      <c r="F2880" s="120"/>
      <c r="G2880" s="120"/>
      <c r="H2880" s="120"/>
      <c r="I2880" s="60"/>
      <c r="J2880" s="116"/>
      <c r="K2880" s="213"/>
      <c r="L2880" s="120"/>
      <c r="M2880" s="120"/>
      <c r="N2880" s="167"/>
      <c r="O2880" s="120"/>
      <c r="P2880" s="120"/>
      <c r="Q2880" s="120"/>
      <c r="R2880" s="120"/>
      <c r="S2880" s="120"/>
      <c r="T2880" s="221"/>
      <c r="U2880" s="89"/>
      <c r="V2880" s="61"/>
      <c r="W2880" s="92" t="s">
        <v>161</v>
      </c>
      <c r="X2880" s="93" t="s">
        <v>29</v>
      </c>
      <c r="Y2880" s="93" t="s">
        <v>93</v>
      </c>
      <c r="Z2880" s="134">
        <f>VLOOKUP(W2880,Sheet2!$B:$D,3,FALSE)</f>
        <v>48</v>
      </c>
      <c r="AA2880" s="93">
        <f>(16*0.85*1.5)/(1*1.5)</f>
        <v>13.6</v>
      </c>
      <c r="AB2880" s="93">
        <f>AD2880/AC2877</f>
        <v>3.5294117647058822</v>
      </c>
      <c r="AC2880" s="93">
        <f>AC2877/AA2880</f>
        <v>7.3462757352941104</v>
      </c>
      <c r="AD2880" s="94">
        <f>AC2880*Z2880</f>
        <v>352.6212352941173</v>
      </c>
      <c r="AE2880" s="190"/>
      <c r="AF2880" s="191"/>
      <c r="AG2880" s="191"/>
      <c r="AH2880" s="191"/>
      <c r="AI2880" s="186"/>
      <c r="AK2880" s="171"/>
    </row>
    <row r="2881" spans="1:41" s="102" customFormat="1" ht="19.899999999999999" customHeight="1" x14ac:dyDescent="0.25">
      <c r="A2881" s="45"/>
      <c r="B2881" s="59"/>
      <c r="C2881" s="137"/>
      <c r="D2881" s="59"/>
      <c r="E2881" s="116"/>
      <c r="F2881" s="120"/>
      <c r="G2881" s="120"/>
      <c r="H2881" s="120"/>
      <c r="I2881" s="60"/>
      <c r="J2881" s="116"/>
      <c r="K2881" s="213"/>
      <c r="L2881" s="120"/>
      <c r="M2881" s="120"/>
      <c r="N2881" s="167"/>
      <c r="O2881" s="120"/>
      <c r="P2881" s="120"/>
      <c r="Q2881" s="120"/>
      <c r="R2881" s="120"/>
      <c r="S2881" s="120"/>
      <c r="T2881" s="221"/>
      <c r="U2881" s="89"/>
      <c r="V2881" s="61"/>
      <c r="W2881" s="92" t="s">
        <v>65</v>
      </c>
      <c r="X2881" s="93" t="s">
        <v>30</v>
      </c>
      <c r="Y2881" s="93" t="s">
        <v>1011</v>
      </c>
      <c r="Z2881" s="134">
        <f>VLOOKUP(W2881,Sheet2!$B:$D,3,FALSE)</f>
        <v>1.76</v>
      </c>
      <c r="AA2881" s="93">
        <f>AA2880/10</f>
        <v>1.3599999999999999</v>
      </c>
      <c r="AB2881" s="93">
        <f>AD2881/AC2877</f>
        <v>1.2941176470588236</v>
      </c>
      <c r="AC2881" s="93">
        <f>AC2877/AA2881</f>
        <v>73.462757352941111</v>
      </c>
      <c r="AD2881" s="94">
        <f>AC2881*Z2881</f>
        <v>129.29445294117636</v>
      </c>
      <c r="AE2881" s="190"/>
      <c r="AF2881" s="191"/>
      <c r="AG2881" s="191"/>
      <c r="AH2881" s="191"/>
      <c r="AI2881" s="186"/>
      <c r="AK2881" s="171"/>
    </row>
    <row r="2882" spans="1:41" s="102" customFormat="1" ht="19.899999999999999" customHeight="1" x14ac:dyDescent="0.25">
      <c r="A2882" s="45"/>
      <c r="B2882" s="59"/>
      <c r="C2882" s="137"/>
      <c r="D2882" s="59"/>
      <c r="E2882" s="116"/>
      <c r="F2882" s="120"/>
      <c r="G2882" s="120"/>
      <c r="H2882" s="120"/>
      <c r="I2882" s="60"/>
      <c r="J2882" s="116"/>
      <c r="K2882" s="213"/>
      <c r="L2882" s="120"/>
      <c r="M2882" s="120"/>
      <c r="N2882" s="167"/>
      <c r="O2882" s="120"/>
      <c r="P2882" s="120"/>
      <c r="Q2882" s="120"/>
      <c r="R2882" s="120"/>
      <c r="S2882" s="120"/>
      <c r="T2882" s="221"/>
      <c r="U2882" s="89"/>
      <c r="V2882" s="61"/>
      <c r="W2882" s="92" t="s">
        <v>1030</v>
      </c>
      <c r="X2882" s="93" t="s">
        <v>29</v>
      </c>
      <c r="Y2882" s="93" t="s">
        <v>93</v>
      </c>
      <c r="Z2882" s="134">
        <f>VLOOKUP(W2882,Sheet2!$B:$D,3,FALSE)</f>
        <v>23</v>
      </c>
      <c r="AA2882" s="93">
        <v>50</v>
      </c>
      <c r="AB2882" s="93">
        <f>AD2882/AC2877</f>
        <v>0.46</v>
      </c>
      <c r="AC2882" s="93">
        <f>AC2877/AA2882</f>
        <v>1.9981869999999982</v>
      </c>
      <c r="AD2882" s="94">
        <f t="shared" ref="AD2882:AD2885" si="2259">AC2882*Z2882</f>
        <v>45.958300999999956</v>
      </c>
      <c r="AE2882" s="190"/>
      <c r="AF2882" s="191"/>
      <c r="AG2882" s="191"/>
      <c r="AH2882" s="191"/>
      <c r="AI2882" s="186"/>
      <c r="AK2882" s="171"/>
    </row>
    <row r="2883" spans="1:41" s="102" customFormat="1" ht="19.899999999999999" customHeight="1" x14ac:dyDescent="0.25">
      <c r="A2883" s="45"/>
      <c r="B2883" s="59"/>
      <c r="C2883" s="137"/>
      <c r="D2883" s="59"/>
      <c r="E2883" s="116"/>
      <c r="F2883" s="120"/>
      <c r="G2883" s="120"/>
      <c r="H2883" s="120"/>
      <c r="I2883" s="60"/>
      <c r="J2883" s="116"/>
      <c r="K2883" s="213"/>
      <c r="L2883" s="120"/>
      <c r="M2883" s="120"/>
      <c r="N2883" s="167"/>
      <c r="O2883" s="120"/>
      <c r="P2883" s="120"/>
      <c r="Q2883" s="120"/>
      <c r="R2883" s="120"/>
      <c r="S2883" s="120"/>
      <c r="T2883" s="221"/>
      <c r="U2883" s="89"/>
      <c r="V2883" s="61"/>
      <c r="W2883" s="92" t="s">
        <v>65</v>
      </c>
      <c r="X2883" s="93" t="s">
        <v>30</v>
      </c>
      <c r="Y2883" s="93" t="s">
        <v>1011</v>
      </c>
      <c r="Z2883" s="134">
        <f>VLOOKUP(W2883,Sheet2!$B:$D,3,FALSE)</f>
        <v>1.76</v>
      </c>
      <c r="AA2883" s="93">
        <f>AA2882/3</f>
        <v>16.666666666666668</v>
      </c>
      <c r="AB2883" s="93">
        <f>AD2883/AC2877</f>
        <v>0.1056</v>
      </c>
      <c r="AC2883" s="93">
        <f>AC2877/AA2883</f>
        <v>5.9945609999999938</v>
      </c>
      <c r="AD2883" s="94">
        <f t="shared" si="2259"/>
        <v>10.55042735999999</v>
      </c>
      <c r="AE2883" s="190"/>
      <c r="AF2883" s="191"/>
      <c r="AG2883" s="191"/>
      <c r="AH2883" s="191"/>
      <c r="AI2883" s="186"/>
      <c r="AK2883" s="171"/>
    </row>
    <row r="2884" spans="1:41" s="102" customFormat="1" ht="19.899999999999999" customHeight="1" x14ac:dyDescent="0.25">
      <c r="A2884" s="45"/>
      <c r="B2884" s="59"/>
      <c r="C2884" s="137"/>
      <c r="D2884" s="59"/>
      <c r="E2884" s="116"/>
      <c r="F2884" s="120"/>
      <c r="G2884" s="120"/>
      <c r="H2884" s="120"/>
      <c r="I2884" s="60"/>
      <c r="J2884" s="116"/>
      <c r="K2884" s="213"/>
      <c r="L2884" s="120"/>
      <c r="M2884" s="120"/>
      <c r="N2884" s="167"/>
      <c r="O2884" s="120"/>
      <c r="P2884" s="120"/>
      <c r="Q2884" s="120"/>
      <c r="R2884" s="120"/>
      <c r="S2884" s="120"/>
      <c r="T2884" s="221"/>
      <c r="U2884" s="89"/>
      <c r="V2884" s="61"/>
      <c r="W2884" s="92" t="s">
        <v>148</v>
      </c>
      <c r="X2884" s="93" t="s">
        <v>29</v>
      </c>
      <c r="Y2884" s="93" t="s">
        <v>93</v>
      </c>
      <c r="Z2884" s="134">
        <f>VLOOKUP(W2884,Sheet2!$B:$D,3,FALSE)</f>
        <v>48</v>
      </c>
      <c r="AA2884" s="93">
        <f>AA2878</f>
        <v>66.666666666666671</v>
      </c>
      <c r="AB2884" s="93">
        <f>AD2884/AC2877</f>
        <v>0.72</v>
      </c>
      <c r="AC2884" s="93">
        <f>AC2877/AA2884</f>
        <v>1.4986402499999985</v>
      </c>
      <c r="AD2884" s="94">
        <f t="shared" si="2259"/>
        <v>71.934731999999926</v>
      </c>
      <c r="AE2884" s="190"/>
      <c r="AF2884" s="191"/>
      <c r="AG2884" s="191"/>
      <c r="AH2884" s="191"/>
      <c r="AI2884" s="186"/>
      <c r="AK2884" s="171"/>
    </row>
    <row r="2885" spans="1:41" s="102" customFormat="1" ht="19.899999999999999" customHeight="1" x14ac:dyDescent="0.25">
      <c r="A2885" s="45"/>
      <c r="B2885" s="59"/>
      <c r="C2885" s="137"/>
      <c r="D2885" s="59"/>
      <c r="E2885" s="116"/>
      <c r="F2885" s="120"/>
      <c r="G2885" s="120"/>
      <c r="H2885" s="120"/>
      <c r="I2885" s="60"/>
      <c r="J2885" s="116"/>
      <c r="K2885" s="213"/>
      <c r="L2885" s="120"/>
      <c r="M2885" s="120"/>
      <c r="N2885" s="167"/>
      <c r="O2885" s="120"/>
      <c r="P2885" s="120"/>
      <c r="Q2885" s="120"/>
      <c r="R2885" s="120"/>
      <c r="S2885" s="120"/>
      <c r="T2885" s="221"/>
      <c r="U2885" s="89"/>
      <c r="V2885" s="61"/>
      <c r="W2885" s="92" t="s">
        <v>65</v>
      </c>
      <c r="X2885" s="93" t="s">
        <v>30</v>
      </c>
      <c r="Y2885" s="93" t="s">
        <v>1011</v>
      </c>
      <c r="Z2885" s="134">
        <f>VLOOKUP(W2885,Sheet2!$B:$D,3,FALSE)</f>
        <v>1.76</v>
      </c>
      <c r="AA2885" s="93">
        <f>AA2884/10</f>
        <v>6.666666666666667</v>
      </c>
      <c r="AB2885" s="93">
        <f>AD2885/AC2877</f>
        <v>0.26399999999999996</v>
      </c>
      <c r="AC2885" s="93">
        <f>AC2877/AA2885</f>
        <v>14.986402499999985</v>
      </c>
      <c r="AD2885" s="94">
        <f t="shared" si="2259"/>
        <v>26.376068399999973</v>
      </c>
      <c r="AE2885" s="190"/>
      <c r="AF2885" s="191"/>
      <c r="AG2885" s="191"/>
      <c r="AH2885" s="191"/>
      <c r="AI2885" s="186"/>
      <c r="AK2885" s="171"/>
    </row>
    <row r="2886" spans="1:41" s="103" customFormat="1" ht="19.899999999999999" customHeight="1" x14ac:dyDescent="0.25">
      <c r="A2886" s="51"/>
      <c r="B2886" s="52"/>
      <c r="C2886" s="165"/>
      <c r="D2886" s="52"/>
      <c r="E2886" s="115"/>
      <c r="F2886" s="58"/>
      <c r="G2886" s="58"/>
      <c r="H2886" s="58"/>
      <c r="I2886" s="55"/>
      <c r="J2886" s="113">
        <f>J2876</f>
        <v>99.909349999999904</v>
      </c>
      <c r="K2886" s="212">
        <f>K2876</f>
        <v>99.909349999999904</v>
      </c>
      <c r="L2886" s="58"/>
      <c r="M2886" s="58">
        <f>K2886-L2886</f>
        <v>99.909349999999904</v>
      </c>
      <c r="N2886" s="166"/>
      <c r="O2886" s="58"/>
      <c r="P2886" s="58"/>
      <c r="Q2886" s="58"/>
      <c r="R2886" s="58"/>
      <c r="S2886" s="58"/>
      <c r="T2886" s="220"/>
      <c r="U2886" s="88"/>
      <c r="V2886" s="56"/>
      <c r="W2886" s="57" t="s">
        <v>1036</v>
      </c>
      <c r="X2886" s="53"/>
      <c r="Y2886" s="91" t="s">
        <v>68</v>
      </c>
      <c r="Z2886" s="136">
        <f>AD2886/AC2886</f>
        <v>78.583333333333329</v>
      </c>
      <c r="AA2886" s="58"/>
      <c r="AB2886" s="53">
        <f>AD2886/AC2886</f>
        <v>78.583333333333329</v>
      </c>
      <c r="AC2886" s="53">
        <f>M2886+$AE$10</f>
        <v>99.909349999999904</v>
      </c>
      <c r="AD2886" s="54">
        <f>SUM(AD2887:AD2893)</f>
        <v>7851.209754166659</v>
      </c>
      <c r="AE2886" s="184">
        <f>SUMIFS($AD$37:$AD$12971,$V$37:$V$12971,$V2886,$X$37:$X$12971,AE$13)</f>
        <v>0</v>
      </c>
      <c r="AF2886" s="185">
        <f>SUMIFS($AD$37:$AD$12971,$V$37:$V$12971,$V2886,$X$37:$X$12971,AF$13)</f>
        <v>0</v>
      </c>
      <c r="AG2886" s="185">
        <f>SUMIFS($AD$37:$AD$12971,$V$37:$V$12971,$V2886,$X$37:$X$12971,AG$13)</f>
        <v>0</v>
      </c>
      <c r="AH2886" s="187">
        <f>SUMIFS($AD$37:$AD$12971,$V$37:$V$12971,$V2886,$X$37:$X$12971,AH$13)</f>
        <v>0</v>
      </c>
      <c r="AI2886" s="161">
        <f t="shared" ref="AI2886" si="2260">SUM(AE2886:AH2886)</f>
        <v>0</v>
      </c>
      <c r="AK2886" s="172"/>
    </row>
    <row r="2887" spans="1:41" s="102" customFormat="1" ht="19.899999999999999" customHeight="1" x14ac:dyDescent="0.25">
      <c r="A2887" s="45"/>
      <c r="B2887" s="59"/>
      <c r="C2887" s="137"/>
      <c r="D2887" s="59"/>
      <c r="E2887" s="116"/>
      <c r="F2887" s="120"/>
      <c r="G2887" s="120"/>
      <c r="H2887" s="120"/>
      <c r="I2887" s="60"/>
      <c r="J2887" s="116"/>
      <c r="K2887" s="213"/>
      <c r="L2887" s="120"/>
      <c r="M2887" s="120"/>
      <c r="N2887" s="167"/>
      <c r="O2887" s="120"/>
      <c r="P2887" s="120"/>
      <c r="Q2887" s="120"/>
      <c r="R2887" s="120"/>
      <c r="S2887" s="120"/>
      <c r="T2887" s="221"/>
      <c r="U2887" s="89"/>
      <c r="V2887" s="61"/>
      <c r="W2887" s="92" t="s">
        <v>1101</v>
      </c>
      <c r="X2887" s="93" t="s">
        <v>30</v>
      </c>
      <c r="Y2887" s="93" t="s">
        <v>68</v>
      </c>
      <c r="Z2887" s="134">
        <f>VLOOKUP(W2887,Sheet2!$B:$D,3,FALSE)</f>
        <v>33.5</v>
      </c>
      <c r="AA2887" s="93">
        <v>1</v>
      </c>
      <c r="AB2887" s="93">
        <f>AD2887/AC2886</f>
        <v>33.5</v>
      </c>
      <c r="AC2887" s="93">
        <f>AC2886/AA2887</f>
        <v>99.909349999999904</v>
      </c>
      <c r="AD2887" s="94">
        <f t="shared" ref="AD2887" si="2261">AC2887*Z2887</f>
        <v>3346.9632249999968</v>
      </c>
      <c r="AE2887" s="190"/>
      <c r="AF2887" s="191"/>
      <c r="AG2887" s="191"/>
      <c r="AH2887" s="191"/>
      <c r="AI2887" s="186"/>
      <c r="AK2887" s="171"/>
    </row>
    <row r="2888" spans="1:41" s="102" customFormat="1" ht="20.100000000000001" customHeight="1" x14ac:dyDescent="0.25">
      <c r="A2888" s="45"/>
      <c r="B2888" s="59"/>
      <c r="C2888" s="137"/>
      <c r="D2888" s="59"/>
      <c r="E2888" s="116"/>
      <c r="F2888" s="120"/>
      <c r="G2888" s="120"/>
      <c r="H2888" s="120"/>
      <c r="I2888" s="60"/>
      <c r="J2888" s="116"/>
      <c r="K2888" s="213"/>
      <c r="L2888" s="120"/>
      <c r="M2888" s="120"/>
      <c r="N2888" s="167"/>
      <c r="O2888" s="120"/>
      <c r="P2888" s="120"/>
      <c r="Q2888" s="120"/>
      <c r="R2888" s="120"/>
      <c r="S2888" s="120"/>
      <c r="T2888" s="221"/>
      <c r="U2888" s="89"/>
      <c r="V2888" s="61"/>
      <c r="W2888" s="92" t="s">
        <v>1102</v>
      </c>
      <c r="X2888" s="93" t="s">
        <v>30</v>
      </c>
      <c r="Y2888" s="93" t="s">
        <v>68</v>
      </c>
      <c r="Z2888" s="134">
        <f>VLOOKUP(W2888,Sheet2!$B:$D,3,FALSE)</f>
        <v>2</v>
      </c>
      <c r="AA2888" s="93">
        <v>1</v>
      </c>
      <c r="AB2888" s="93">
        <f>AD2888/AC2886</f>
        <v>2</v>
      </c>
      <c r="AC2888" s="93">
        <f>AC2886/AA2888</f>
        <v>99.909349999999904</v>
      </c>
      <c r="AD2888" s="94">
        <f>AC2888*Z2888</f>
        <v>199.81869999999981</v>
      </c>
      <c r="AE2888" s="190"/>
      <c r="AF2888" s="191"/>
      <c r="AG2888" s="191"/>
      <c r="AH2888" s="191"/>
      <c r="AI2888" s="186"/>
      <c r="AK2888" s="171"/>
    </row>
    <row r="2889" spans="1:41" s="102" customFormat="1" ht="20.100000000000001" customHeight="1" x14ac:dyDescent="0.25">
      <c r="A2889" s="45"/>
      <c r="B2889" s="59"/>
      <c r="C2889" s="137"/>
      <c r="D2889" s="59"/>
      <c r="E2889" s="116"/>
      <c r="F2889" s="120"/>
      <c r="G2889" s="120"/>
      <c r="H2889" s="120"/>
      <c r="I2889" s="60"/>
      <c r="J2889" s="116"/>
      <c r="K2889" s="213"/>
      <c r="L2889" s="120"/>
      <c r="M2889" s="120"/>
      <c r="N2889" s="167"/>
      <c r="O2889" s="120"/>
      <c r="P2889" s="120"/>
      <c r="Q2889" s="120"/>
      <c r="R2889" s="120"/>
      <c r="S2889" s="120"/>
      <c r="T2889" s="221"/>
      <c r="U2889" s="89"/>
      <c r="V2889" s="61"/>
      <c r="W2889" s="92" t="s">
        <v>107</v>
      </c>
      <c r="X2889" s="93" t="s">
        <v>31</v>
      </c>
      <c r="Y2889" s="93" t="s">
        <v>93</v>
      </c>
      <c r="Z2889" s="134">
        <f>VLOOKUP(W2889,Sheet2!$B:$D,3,FALSE)</f>
        <v>17</v>
      </c>
      <c r="AA2889" s="93">
        <v>12</v>
      </c>
      <c r="AB2889" s="93">
        <f>AD2889/AC2886</f>
        <v>1.4166666666666665</v>
      </c>
      <c r="AC2889" s="93">
        <f>AC2886/AA2889</f>
        <v>8.3257791666666581</v>
      </c>
      <c r="AD2889" s="94">
        <f>AC2889*Z2889</f>
        <v>141.53824583333318</v>
      </c>
      <c r="AE2889" s="190"/>
      <c r="AF2889" s="191"/>
      <c r="AG2889" s="191"/>
      <c r="AH2889" s="191"/>
      <c r="AI2889" s="186"/>
      <c r="AK2889" s="171"/>
    </row>
    <row r="2890" spans="1:41" s="102" customFormat="1" ht="20.100000000000001" customHeight="1" x14ac:dyDescent="0.25">
      <c r="A2890" s="45"/>
      <c r="B2890" s="59"/>
      <c r="C2890" s="137"/>
      <c r="D2890" s="59"/>
      <c r="E2890" s="116"/>
      <c r="F2890" s="120"/>
      <c r="G2890" s="120"/>
      <c r="H2890" s="120"/>
      <c r="I2890" s="60"/>
      <c r="J2890" s="116"/>
      <c r="K2890" s="213"/>
      <c r="L2890" s="120"/>
      <c r="M2890" s="120"/>
      <c r="N2890" s="167"/>
      <c r="O2890" s="120"/>
      <c r="P2890" s="120"/>
      <c r="Q2890" s="120"/>
      <c r="R2890" s="120"/>
      <c r="S2890" s="120"/>
      <c r="T2890" s="221"/>
      <c r="U2890" s="89"/>
      <c r="V2890" s="61"/>
      <c r="W2890" s="92" t="s">
        <v>112</v>
      </c>
      <c r="X2890" s="93" t="s">
        <v>31</v>
      </c>
      <c r="Y2890" s="93" t="s">
        <v>93</v>
      </c>
      <c r="Z2890" s="134">
        <f>VLOOKUP(W2890,Sheet2!$B:$D,3,FALSE)</f>
        <v>13</v>
      </c>
      <c r="AA2890" s="93">
        <v>12</v>
      </c>
      <c r="AB2890" s="93">
        <f>AD2890/AC2886</f>
        <v>1.0833333333333333</v>
      </c>
      <c r="AC2890" s="93">
        <f>AC2886/AA2890</f>
        <v>8.3257791666666581</v>
      </c>
      <c r="AD2890" s="94">
        <f>AC2890*Z2890</f>
        <v>108.23512916666655</v>
      </c>
      <c r="AE2890" s="190"/>
      <c r="AF2890" s="191"/>
      <c r="AG2890" s="191"/>
      <c r="AH2890" s="191"/>
      <c r="AI2890" s="186"/>
      <c r="AK2890" s="171"/>
    </row>
    <row r="2891" spans="1:41" s="102" customFormat="1" ht="20.100000000000001" customHeight="1" x14ac:dyDescent="0.25">
      <c r="A2891" s="45"/>
      <c r="B2891" s="59"/>
      <c r="C2891" s="137"/>
      <c r="D2891" s="59"/>
      <c r="E2891" s="116"/>
      <c r="F2891" s="120"/>
      <c r="G2891" s="120"/>
      <c r="H2891" s="120"/>
      <c r="I2891" s="60"/>
      <c r="J2891" s="116"/>
      <c r="K2891" s="213"/>
      <c r="L2891" s="120"/>
      <c r="M2891" s="120"/>
      <c r="N2891" s="167"/>
      <c r="O2891" s="120"/>
      <c r="P2891" s="120"/>
      <c r="Q2891" s="120"/>
      <c r="R2891" s="120"/>
      <c r="S2891" s="120"/>
      <c r="T2891" s="221"/>
      <c r="U2891" s="89"/>
      <c r="V2891" s="61"/>
      <c r="W2891" s="92" t="s">
        <v>1032</v>
      </c>
      <c r="X2891" s="93" t="s">
        <v>30</v>
      </c>
      <c r="Y2891" s="93" t="s">
        <v>66</v>
      </c>
      <c r="Z2891" s="134">
        <f>VLOOKUP(W2891,Sheet2!$B:$D,3,FALSE)</f>
        <v>250</v>
      </c>
      <c r="AA2891" s="93">
        <f>1/(1*1*0.1)</f>
        <v>10</v>
      </c>
      <c r="AB2891" s="93">
        <f>AD2891/AC2886</f>
        <v>25</v>
      </c>
      <c r="AC2891" s="93">
        <f>AC2886/AA2891</f>
        <v>9.9909349999999897</v>
      </c>
      <c r="AD2891" s="94">
        <f>AC2891*Z2891</f>
        <v>2497.7337499999976</v>
      </c>
      <c r="AE2891" s="190"/>
      <c r="AF2891" s="191"/>
      <c r="AG2891" s="191"/>
      <c r="AH2891" s="191"/>
      <c r="AI2891" s="186"/>
      <c r="AK2891" s="171"/>
    </row>
    <row r="2892" spans="1:41" s="102" customFormat="1" ht="20.100000000000001" customHeight="1" x14ac:dyDescent="0.25">
      <c r="A2892" s="45"/>
      <c r="B2892" s="59"/>
      <c r="C2892" s="137"/>
      <c r="D2892" s="59"/>
      <c r="E2892" s="116"/>
      <c r="F2892" s="120"/>
      <c r="G2892" s="120"/>
      <c r="H2892" s="120"/>
      <c r="I2892" s="60"/>
      <c r="J2892" s="116"/>
      <c r="K2892" s="213"/>
      <c r="L2892" s="120"/>
      <c r="M2892" s="120"/>
      <c r="N2892" s="167"/>
      <c r="O2892" s="120"/>
      <c r="P2892" s="120"/>
      <c r="Q2892" s="120"/>
      <c r="R2892" s="120"/>
      <c r="S2892" s="120"/>
      <c r="T2892" s="221"/>
      <c r="U2892" s="89"/>
      <c r="V2892" s="61"/>
      <c r="W2892" s="92" t="s">
        <v>1035</v>
      </c>
      <c r="X2892" s="93" t="s">
        <v>32</v>
      </c>
      <c r="Y2892" s="93" t="s">
        <v>66</v>
      </c>
      <c r="Z2892" s="134">
        <f>VLOOKUP(W2892,Sheet2!$B:$D,3,FALSE)</f>
        <v>150</v>
      </c>
      <c r="AA2892" s="93">
        <f>AA2891</f>
        <v>10</v>
      </c>
      <c r="AB2892" s="93">
        <f>AD2892/AC2886</f>
        <v>15</v>
      </c>
      <c r="AC2892" s="93">
        <f>AC2886/AA2892</f>
        <v>9.9909349999999897</v>
      </c>
      <c r="AD2892" s="94">
        <f t="shared" ref="AD2892:AD2893" si="2262">AC2892*Z2892</f>
        <v>1498.6402499999986</v>
      </c>
      <c r="AE2892" s="190"/>
      <c r="AF2892" s="191"/>
      <c r="AG2892" s="191"/>
      <c r="AH2892" s="191"/>
      <c r="AI2892" s="186"/>
      <c r="AK2892" s="171"/>
    </row>
    <row r="2893" spans="1:41" s="102" customFormat="1" ht="20.100000000000001" customHeight="1" x14ac:dyDescent="0.25">
      <c r="A2893" s="45"/>
      <c r="B2893" s="59"/>
      <c r="C2893" s="137"/>
      <c r="D2893" s="59"/>
      <c r="E2893" s="116"/>
      <c r="F2893" s="120"/>
      <c r="G2893" s="120"/>
      <c r="H2893" s="120"/>
      <c r="I2893" s="60"/>
      <c r="J2893" s="116"/>
      <c r="K2893" s="213"/>
      <c r="L2893" s="120"/>
      <c r="M2893" s="120"/>
      <c r="N2893" s="167"/>
      <c r="O2893" s="120"/>
      <c r="P2893" s="120"/>
      <c r="Q2893" s="120"/>
      <c r="R2893" s="120"/>
      <c r="S2893" s="120"/>
      <c r="T2893" s="221"/>
      <c r="U2893" s="89"/>
      <c r="V2893" s="61"/>
      <c r="W2893" s="92" t="s">
        <v>1037</v>
      </c>
      <c r="X2893" s="93" t="s">
        <v>30</v>
      </c>
      <c r="Y2893" s="93" t="s">
        <v>1038</v>
      </c>
      <c r="Z2893" s="134">
        <f>VLOOKUP(W2893,Sheet2!$B:$D,3,FALSE)</f>
        <v>175</v>
      </c>
      <c r="AA2893" s="93">
        <v>300</v>
      </c>
      <c r="AB2893" s="93">
        <f>AD2893/AC2886</f>
        <v>0.58333333333333326</v>
      </c>
      <c r="AC2893" s="93">
        <f>AC2886/AA2893</f>
        <v>0.33303116666666632</v>
      </c>
      <c r="AD2893" s="94">
        <f t="shared" si="2262"/>
        <v>58.280454166666608</v>
      </c>
      <c r="AE2893" s="190"/>
      <c r="AF2893" s="191"/>
      <c r="AG2893" s="191"/>
      <c r="AH2893" s="191"/>
      <c r="AI2893" s="186"/>
      <c r="AK2893" s="171"/>
    </row>
    <row r="2894" spans="1:41" s="103" customFormat="1" ht="20.100000000000001" customHeight="1" x14ac:dyDescent="0.25">
      <c r="A2894" s="51"/>
      <c r="B2894" s="52"/>
      <c r="C2894" s="165"/>
      <c r="D2894" s="52"/>
      <c r="E2894" s="115"/>
      <c r="F2894" s="58"/>
      <c r="G2894" s="58"/>
      <c r="H2894" s="58"/>
      <c r="I2894" s="55"/>
      <c r="J2894" s="113">
        <f>J2876</f>
        <v>99.909349999999904</v>
      </c>
      <c r="K2894" s="212">
        <f>K2876</f>
        <v>99.909349999999904</v>
      </c>
      <c r="L2894" s="58"/>
      <c r="M2894" s="58">
        <f>K2894-L2894</f>
        <v>99.909349999999904</v>
      </c>
      <c r="N2894" s="166"/>
      <c r="O2894" s="58"/>
      <c r="P2894" s="58"/>
      <c r="Q2894" s="58"/>
      <c r="R2894" s="58"/>
      <c r="S2894" s="58"/>
      <c r="T2894" s="220"/>
      <c r="U2894" s="88"/>
      <c r="V2894" s="56"/>
      <c r="W2894" s="57" t="s">
        <v>1040</v>
      </c>
      <c r="X2894" s="53"/>
      <c r="Y2894" s="91" t="s">
        <v>68</v>
      </c>
      <c r="Z2894" s="136">
        <f>AD2894/AC2894</f>
        <v>5</v>
      </c>
      <c r="AA2894" s="58"/>
      <c r="AB2894" s="53">
        <f>AD2894/AC2894</f>
        <v>5</v>
      </c>
      <c r="AC2894" s="53">
        <f>M2894+$AE$10</f>
        <v>99.909349999999904</v>
      </c>
      <c r="AD2894" s="54">
        <f>SUM(AD2895)</f>
        <v>499.54674999999952</v>
      </c>
      <c r="AE2894" s="184">
        <f>SUMIFS($AD$37:$AD$12971,$V$37:$V$12971,$V2894,$X$37:$X$12971,AE$13)</f>
        <v>0</v>
      </c>
      <c r="AF2894" s="185">
        <f>SUMIFS($AD$37:$AD$12971,$V$37:$V$12971,$V2894,$X$37:$X$12971,AF$13)</f>
        <v>0</v>
      </c>
      <c r="AG2894" s="185">
        <f>SUMIFS($AD$37:$AD$12971,$V$37:$V$12971,$V2894,$X$37:$X$12971,AG$13)</f>
        <v>0</v>
      </c>
      <c r="AH2894" s="187">
        <f>SUMIFS($AD$37:$AD$12971,$V$37:$V$12971,$V2894,$X$37:$X$12971,AH$13)</f>
        <v>0</v>
      </c>
      <c r="AI2894" s="161">
        <f t="shared" ref="AI2894" si="2263">SUM(AE2894:AH2894)</f>
        <v>0</v>
      </c>
      <c r="AK2894" s="172"/>
    </row>
    <row r="2895" spans="1:41" s="102" customFormat="1" ht="20.100000000000001" customHeight="1" x14ac:dyDescent="0.25">
      <c r="A2895" s="45"/>
      <c r="B2895" s="59"/>
      <c r="C2895" s="137"/>
      <c r="D2895" s="59"/>
      <c r="E2895" s="116"/>
      <c r="F2895" s="120"/>
      <c r="G2895" s="120"/>
      <c r="H2895" s="120"/>
      <c r="I2895" s="60"/>
      <c r="J2895" s="116"/>
      <c r="K2895" s="213"/>
      <c r="L2895" s="120"/>
      <c r="M2895" s="120"/>
      <c r="N2895" s="167"/>
      <c r="O2895" s="120"/>
      <c r="P2895" s="120"/>
      <c r="Q2895" s="120"/>
      <c r="R2895" s="120"/>
      <c r="S2895" s="120"/>
      <c r="T2895" s="221"/>
      <c r="U2895" s="89"/>
      <c r="V2895" s="61"/>
      <c r="W2895" s="92" t="s">
        <v>1039</v>
      </c>
      <c r="X2895" s="93" t="s">
        <v>32</v>
      </c>
      <c r="Y2895" s="93" t="s">
        <v>68</v>
      </c>
      <c r="Z2895" s="134">
        <f>VLOOKUP(W2895,Sheet2!$B:$D,3,FALSE)</f>
        <v>5</v>
      </c>
      <c r="AA2895" s="93">
        <v>1</v>
      </c>
      <c r="AB2895" s="93">
        <f>AD2895/AC2894</f>
        <v>5</v>
      </c>
      <c r="AC2895" s="93">
        <f>AC2894/AA2895</f>
        <v>99.909349999999904</v>
      </c>
      <c r="AD2895" s="94">
        <f t="shared" ref="AD2895" si="2264">AC2895*Z2895</f>
        <v>499.54674999999952</v>
      </c>
      <c r="AE2895" s="190"/>
      <c r="AF2895" s="191"/>
      <c r="AG2895" s="191"/>
      <c r="AH2895" s="191"/>
      <c r="AI2895" s="186"/>
      <c r="AK2895" s="171"/>
    </row>
    <row r="2896" spans="1:41" ht="20.100000000000001" customHeight="1" x14ac:dyDescent="0.25">
      <c r="A2896" s="277" t="s">
        <v>491</v>
      </c>
      <c r="B2896" s="278"/>
      <c r="C2896" s="64" t="s">
        <v>1205</v>
      </c>
      <c r="D2896" s="46" t="s">
        <v>97</v>
      </c>
      <c r="E2896" s="114">
        <v>210.3186500000038</v>
      </c>
      <c r="F2896" s="44">
        <v>132</v>
      </c>
      <c r="G2896" s="44">
        <f t="shared" si="1977"/>
        <v>27762.061800000502</v>
      </c>
      <c r="H2896" s="44">
        <f t="shared" si="1978"/>
        <v>93.505105882352922</v>
      </c>
      <c r="I2896" s="43">
        <f t="shared" si="1979"/>
        <v>19665.867637283882</v>
      </c>
      <c r="J2896" s="112">
        <f t="shared" si="1980"/>
        <v>210.3186500000038</v>
      </c>
      <c r="K2896" s="211">
        <f t="shared" si="1981"/>
        <v>210.3186500000038</v>
      </c>
      <c r="L2896" s="44"/>
      <c r="M2896" s="44">
        <f t="shared" si="1982"/>
        <v>210.3186500000038</v>
      </c>
      <c r="N2896" s="173">
        <f t="shared" si="1983"/>
        <v>1</v>
      </c>
      <c r="O2896" s="44">
        <f t="shared" si="1984"/>
        <v>132</v>
      </c>
      <c r="P2896" s="44">
        <f t="shared" si="1985"/>
        <v>27762.061800000502</v>
      </c>
      <c r="Q2896" s="44">
        <f t="shared" si="1986"/>
        <v>93.505105882352922</v>
      </c>
      <c r="R2896" s="44">
        <f t="shared" si="1987"/>
        <v>19665.867637283882</v>
      </c>
      <c r="S2896" s="123"/>
      <c r="T2896" s="219">
        <f t="shared" si="1988"/>
        <v>19665.867637283882</v>
      </c>
      <c r="U2896" s="87"/>
      <c r="V2896" s="47"/>
      <c r="W2896" s="48"/>
      <c r="X2896" s="48"/>
      <c r="Y2896" s="48"/>
      <c r="Z2896" s="135"/>
      <c r="AA2896" s="49"/>
      <c r="AB2896" s="50">
        <f t="shared" si="1989"/>
        <v>93.505105882352922</v>
      </c>
      <c r="AC2896" s="42">
        <f t="shared" si="1990"/>
        <v>210.3186500000038</v>
      </c>
      <c r="AD2896" s="90">
        <f>AD2897+AD2906+AD2914</f>
        <v>19665.867637283882</v>
      </c>
      <c r="AE2896" s="188">
        <f t="shared" ref="AE2896" si="2265">AE2897+AE2906+AE2914</f>
        <v>0</v>
      </c>
      <c r="AF2896" s="189">
        <f t="shared" ref="AF2896" si="2266">AF2897+AF2906+AF2914</f>
        <v>0</v>
      </c>
      <c r="AG2896" s="189">
        <f t="shared" ref="AG2896" si="2267">AG2897+AG2906+AG2914</f>
        <v>0</v>
      </c>
      <c r="AH2896" s="189">
        <f t="shared" ref="AH2896" si="2268">AH2897+AH2906+AH2914</f>
        <v>0</v>
      </c>
      <c r="AI2896" s="161">
        <f t="shared" ref="AI2896" si="2269">SUM(AE2896:AH2896)</f>
        <v>0</v>
      </c>
      <c r="AK2896" s="169">
        <v>5</v>
      </c>
      <c r="AO2896" s="19" t="s">
        <v>63</v>
      </c>
    </row>
    <row r="2897" spans="1:37" s="103" customFormat="1" ht="19.899999999999999" customHeight="1" x14ac:dyDescent="0.25">
      <c r="A2897" s="51"/>
      <c r="B2897" s="52"/>
      <c r="C2897" s="165"/>
      <c r="D2897" s="52"/>
      <c r="E2897" s="115"/>
      <c r="F2897" s="58"/>
      <c r="G2897" s="58"/>
      <c r="H2897" s="58"/>
      <c r="I2897" s="55"/>
      <c r="J2897" s="113">
        <f>J2896</f>
        <v>210.3186500000038</v>
      </c>
      <c r="K2897" s="212">
        <f>K2896</f>
        <v>210.3186500000038</v>
      </c>
      <c r="L2897" s="58"/>
      <c r="M2897" s="58">
        <f>K2897-L2897</f>
        <v>210.3186500000038</v>
      </c>
      <c r="N2897" s="166"/>
      <c r="O2897" s="58"/>
      <c r="P2897" s="58"/>
      <c r="Q2897" s="58"/>
      <c r="R2897" s="58"/>
      <c r="S2897" s="58"/>
      <c r="T2897" s="220"/>
      <c r="U2897" s="88"/>
      <c r="V2897" s="56"/>
      <c r="W2897" s="57" t="s">
        <v>1041</v>
      </c>
      <c r="X2897" s="53"/>
      <c r="Y2897" s="91" t="s">
        <v>68</v>
      </c>
      <c r="Z2897" s="136">
        <f>AD2897/AC2897</f>
        <v>9.9217725490196109</v>
      </c>
      <c r="AA2897" s="58"/>
      <c r="AB2897" s="53">
        <f>AD2897/AC2897</f>
        <v>9.9217725490196109</v>
      </c>
      <c r="AC2897" s="53">
        <f>M2897+$AE$10</f>
        <v>210.3186500000038</v>
      </c>
      <c r="AD2897" s="54">
        <f>SUM(AD2898:AD2905)</f>
        <v>2086.7338081169009</v>
      </c>
      <c r="AE2897" s="184">
        <f>SUMIFS($AD$37:$AD$12971,$V$37:$V$12971,$V2897,$X$37:$X$12971,AE$13)</f>
        <v>0</v>
      </c>
      <c r="AF2897" s="185">
        <f>SUMIFS($AD$37:$AD$12971,$V$37:$V$12971,$V2897,$X$37:$X$12971,AF$13)</f>
        <v>0</v>
      </c>
      <c r="AG2897" s="185">
        <f>SUMIFS($AD$37:$AD$12971,$V$37:$V$12971,$V2897,$X$37:$X$12971,AG$13)</f>
        <v>0</v>
      </c>
      <c r="AH2897" s="187">
        <f>SUMIFS($AD$37:$AD$12971,$V$37:$V$12971,$V2897,$X$37:$X$12971,AH$13)</f>
        <v>0</v>
      </c>
      <c r="AI2897" s="161">
        <f t="shared" ref="AI2897" si="2270">SUM(AE2897:AH2897)</f>
        <v>0</v>
      </c>
      <c r="AK2897" s="172"/>
    </row>
    <row r="2898" spans="1:37" s="102" customFormat="1" ht="19.899999999999999" customHeight="1" x14ac:dyDescent="0.25">
      <c r="A2898" s="45"/>
      <c r="B2898" s="59"/>
      <c r="C2898" s="137"/>
      <c r="D2898" s="59"/>
      <c r="E2898" s="116"/>
      <c r="F2898" s="120"/>
      <c r="G2898" s="120"/>
      <c r="H2898" s="120"/>
      <c r="I2898" s="60"/>
      <c r="J2898" s="116"/>
      <c r="K2898" s="213"/>
      <c r="L2898" s="120"/>
      <c r="M2898" s="120"/>
      <c r="N2898" s="167"/>
      <c r="O2898" s="120"/>
      <c r="P2898" s="120"/>
      <c r="Q2898" s="120"/>
      <c r="R2898" s="120"/>
      <c r="S2898" s="120"/>
      <c r="T2898" s="221"/>
      <c r="U2898" s="89"/>
      <c r="V2898" s="61"/>
      <c r="W2898" s="92" t="s">
        <v>129</v>
      </c>
      <c r="X2898" s="93" t="s">
        <v>29</v>
      </c>
      <c r="Y2898" s="93" t="s">
        <v>93</v>
      </c>
      <c r="Z2898" s="134">
        <f>VLOOKUP(W2898,Sheet2!$B:$D,3,FALSE)</f>
        <v>56</v>
      </c>
      <c r="AA2898" s="93">
        <f>100/(1*2)</f>
        <v>50</v>
      </c>
      <c r="AB2898" s="93">
        <f t="shared" ref="AB2898" si="2271">AD2898/AC2897</f>
        <v>1.1199999999999999</v>
      </c>
      <c r="AC2898" s="93">
        <f>AC2897/AA2898</f>
        <v>4.2063730000000756</v>
      </c>
      <c r="AD2898" s="94">
        <f t="shared" ref="AD2898:AD2899" si="2272">AC2898*Z2898</f>
        <v>235.55688800000422</v>
      </c>
      <c r="AE2898" s="190"/>
      <c r="AF2898" s="191"/>
      <c r="AG2898" s="191"/>
      <c r="AH2898" s="191"/>
      <c r="AI2898" s="186"/>
      <c r="AK2898" s="171"/>
    </row>
    <row r="2899" spans="1:37" s="102" customFormat="1" ht="19.899999999999999" customHeight="1" x14ac:dyDescent="0.25">
      <c r="A2899" s="45"/>
      <c r="B2899" s="59"/>
      <c r="C2899" s="137"/>
      <c r="D2899" s="59"/>
      <c r="E2899" s="116"/>
      <c r="F2899" s="120"/>
      <c r="G2899" s="120"/>
      <c r="H2899" s="120"/>
      <c r="I2899" s="60"/>
      <c r="J2899" s="116"/>
      <c r="K2899" s="213"/>
      <c r="L2899" s="120"/>
      <c r="M2899" s="120"/>
      <c r="N2899" s="167"/>
      <c r="O2899" s="120"/>
      <c r="P2899" s="120"/>
      <c r="Q2899" s="120"/>
      <c r="R2899" s="120"/>
      <c r="S2899" s="120"/>
      <c r="T2899" s="221"/>
      <c r="U2899" s="89"/>
      <c r="V2899" s="61"/>
      <c r="W2899" s="92" t="s">
        <v>65</v>
      </c>
      <c r="X2899" s="93" t="s">
        <v>30</v>
      </c>
      <c r="Y2899" s="93" t="s">
        <v>1011</v>
      </c>
      <c r="Z2899" s="134">
        <f>VLOOKUP(W2899,Sheet2!$B:$D,3,FALSE)</f>
        <v>1.76</v>
      </c>
      <c r="AA2899" s="93">
        <f>AA2898/14</f>
        <v>3.5714285714285716</v>
      </c>
      <c r="AB2899" s="93">
        <f>AD2899/AC2897</f>
        <v>0.49280000000000002</v>
      </c>
      <c r="AC2899" s="93">
        <f>AC2897/AA2899</f>
        <v>58.889222000001062</v>
      </c>
      <c r="AD2899" s="94">
        <f t="shared" si="2272"/>
        <v>103.64503072000187</v>
      </c>
      <c r="AE2899" s="190"/>
      <c r="AF2899" s="191"/>
      <c r="AG2899" s="191"/>
      <c r="AH2899" s="191"/>
      <c r="AI2899" s="186"/>
      <c r="AK2899" s="171"/>
    </row>
    <row r="2900" spans="1:37" s="102" customFormat="1" ht="19.899999999999999" customHeight="1" x14ac:dyDescent="0.25">
      <c r="A2900" s="45"/>
      <c r="B2900" s="59"/>
      <c r="C2900" s="137"/>
      <c r="D2900" s="59"/>
      <c r="E2900" s="116"/>
      <c r="F2900" s="120"/>
      <c r="G2900" s="120"/>
      <c r="H2900" s="120"/>
      <c r="I2900" s="60"/>
      <c r="J2900" s="116"/>
      <c r="K2900" s="213"/>
      <c r="L2900" s="120"/>
      <c r="M2900" s="120"/>
      <c r="N2900" s="167"/>
      <c r="O2900" s="120"/>
      <c r="P2900" s="120"/>
      <c r="Q2900" s="120"/>
      <c r="R2900" s="120"/>
      <c r="S2900" s="120"/>
      <c r="T2900" s="221"/>
      <c r="U2900" s="89"/>
      <c r="V2900" s="61"/>
      <c r="W2900" s="92" t="s">
        <v>161</v>
      </c>
      <c r="X2900" s="93" t="s">
        <v>29</v>
      </c>
      <c r="Y2900" s="93" t="s">
        <v>93</v>
      </c>
      <c r="Z2900" s="134">
        <f>VLOOKUP(W2900,Sheet2!$B:$D,3,FALSE)</f>
        <v>48</v>
      </c>
      <c r="AA2900" s="93">
        <f>(16*0.85*1.5)/(1*2)</f>
        <v>10.199999999999999</v>
      </c>
      <c r="AB2900" s="93">
        <f>AD2900/AC2897</f>
        <v>4.7058823529411775</v>
      </c>
      <c r="AC2900" s="93">
        <f>AC2897/AA2900</f>
        <v>20.619475490196454</v>
      </c>
      <c r="AD2900" s="94">
        <f>AC2900*Z2900</f>
        <v>989.73482352942983</v>
      </c>
      <c r="AE2900" s="190"/>
      <c r="AF2900" s="191"/>
      <c r="AG2900" s="191"/>
      <c r="AH2900" s="191"/>
      <c r="AI2900" s="186"/>
      <c r="AK2900" s="171"/>
    </row>
    <row r="2901" spans="1:37" s="102" customFormat="1" ht="19.899999999999999" customHeight="1" x14ac:dyDescent="0.25">
      <c r="A2901" s="45"/>
      <c r="B2901" s="59"/>
      <c r="C2901" s="137"/>
      <c r="D2901" s="59"/>
      <c r="E2901" s="116"/>
      <c r="F2901" s="120"/>
      <c r="G2901" s="120"/>
      <c r="H2901" s="120"/>
      <c r="I2901" s="60"/>
      <c r="J2901" s="116"/>
      <c r="K2901" s="213"/>
      <c r="L2901" s="120"/>
      <c r="M2901" s="120"/>
      <c r="N2901" s="167"/>
      <c r="O2901" s="120"/>
      <c r="P2901" s="120"/>
      <c r="Q2901" s="120"/>
      <c r="R2901" s="120"/>
      <c r="S2901" s="120"/>
      <c r="T2901" s="221"/>
      <c r="U2901" s="89"/>
      <c r="V2901" s="61"/>
      <c r="W2901" s="92" t="s">
        <v>65</v>
      </c>
      <c r="X2901" s="93" t="s">
        <v>30</v>
      </c>
      <c r="Y2901" s="93" t="s">
        <v>1011</v>
      </c>
      <c r="Z2901" s="134">
        <f>VLOOKUP(W2901,Sheet2!$B:$D,3,FALSE)</f>
        <v>1.76</v>
      </c>
      <c r="AA2901" s="93">
        <f>AA2900/10</f>
        <v>1.02</v>
      </c>
      <c r="AB2901" s="93">
        <f>AD2901/AC2897</f>
        <v>1.7254901960784315</v>
      </c>
      <c r="AC2901" s="93">
        <f>AC2897/AA2901</f>
        <v>206.1947549019645</v>
      </c>
      <c r="AD2901" s="94">
        <f>AC2901*Z2901</f>
        <v>362.90276862745753</v>
      </c>
      <c r="AE2901" s="190"/>
      <c r="AF2901" s="191"/>
      <c r="AG2901" s="191"/>
      <c r="AH2901" s="191"/>
      <c r="AI2901" s="186"/>
      <c r="AK2901" s="171"/>
    </row>
    <row r="2902" spans="1:37" s="102" customFormat="1" ht="19.899999999999999" customHeight="1" x14ac:dyDescent="0.25">
      <c r="A2902" s="45"/>
      <c r="B2902" s="59"/>
      <c r="C2902" s="137"/>
      <c r="D2902" s="59"/>
      <c r="E2902" s="116"/>
      <c r="F2902" s="120"/>
      <c r="G2902" s="120"/>
      <c r="H2902" s="120"/>
      <c r="I2902" s="60"/>
      <c r="J2902" s="116"/>
      <c r="K2902" s="213"/>
      <c r="L2902" s="120"/>
      <c r="M2902" s="120"/>
      <c r="N2902" s="167"/>
      <c r="O2902" s="120"/>
      <c r="P2902" s="120"/>
      <c r="Q2902" s="120"/>
      <c r="R2902" s="120"/>
      <c r="S2902" s="120"/>
      <c r="T2902" s="221"/>
      <c r="U2902" s="89"/>
      <c r="V2902" s="61"/>
      <c r="W2902" s="92" t="s">
        <v>1030</v>
      </c>
      <c r="X2902" s="93" t="s">
        <v>29</v>
      </c>
      <c r="Y2902" s="93" t="s">
        <v>93</v>
      </c>
      <c r="Z2902" s="134">
        <f>VLOOKUP(W2902,Sheet2!$B:$D,3,FALSE)</f>
        <v>23</v>
      </c>
      <c r="AA2902" s="93">
        <v>50</v>
      </c>
      <c r="AB2902" s="93">
        <f>AD2902/AC2897</f>
        <v>0.45999999999999996</v>
      </c>
      <c r="AC2902" s="93">
        <f>AC2897/AA2902</f>
        <v>4.2063730000000756</v>
      </c>
      <c r="AD2902" s="94">
        <f t="shared" ref="AD2902:AD2905" si="2273">AC2902*Z2902</f>
        <v>96.746579000001745</v>
      </c>
      <c r="AE2902" s="190"/>
      <c r="AF2902" s="191"/>
      <c r="AG2902" s="191"/>
      <c r="AH2902" s="191"/>
      <c r="AI2902" s="186"/>
      <c r="AK2902" s="171"/>
    </row>
    <row r="2903" spans="1:37" s="102" customFormat="1" ht="19.899999999999999" customHeight="1" x14ac:dyDescent="0.25">
      <c r="A2903" s="45"/>
      <c r="B2903" s="59"/>
      <c r="C2903" s="137"/>
      <c r="D2903" s="59"/>
      <c r="E2903" s="116"/>
      <c r="F2903" s="120"/>
      <c r="G2903" s="120"/>
      <c r="H2903" s="120"/>
      <c r="I2903" s="60"/>
      <c r="J2903" s="116"/>
      <c r="K2903" s="213"/>
      <c r="L2903" s="120"/>
      <c r="M2903" s="120"/>
      <c r="N2903" s="167"/>
      <c r="O2903" s="120"/>
      <c r="P2903" s="120"/>
      <c r="Q2903" s="120"/>
      <c r="R2903" s="120"/>
      <c r="S2903" s="120"/>
      <c r="T2903" s="221"/>
      <c r="U2903" s="89"/>
      <c r="V2903" s="61"/>
      <c r="W2903" s="92" t="s">
        <v>65</v>
      </c>
      <c r="X2903" s="93" t="s">
        <v>30</v>
      </c>
      <c r="Y2903" s="93" t="s">
        <v>1011</v>
      </c>
      <c r="Z2903" s="134">
        <f>VLOOKUP(W2903,Sheet2!$B:$D,3,FALSE)</f>
        <v>1.76</v>
      </c>
      <c r="AA2903" s="93">
        <f>AA2902/3</f>
        <v>16.666666666666668</v>
      </c>
      <c r="AB2903" s="93">
        <f>AD2903/AC2897</f>
        <v>0.1056</v>
      </c>
      <c r="AC2903" s="93">
        <f>AC2897/AA2903</f>
        <v>12.619119000000227</v>
      </c>
      <c r="AD2903" s="94">
        <f t="shared" si="2273"/>
        <v>22.209649440000401</v>
      </c>
      <c r="AE2903" s="190"/>
      <c r="AF2903" s="191"/>
      <c r="AG2903" s="191"/>
      <c r="AH2903" s="191"/>
      <c r="AI2903" s="186"/>
      <c r="AK2903" s="171"/>
    </row>
    <row r="2904" spans="1:37" s="102" customFormat="1" ht="19.899999999999999" customHeight="1" x14ac:dyDescent="0.25">
      <c r="A2904" s="45"/>
      <c r="B2904" s="59"/>
      <c r="C2904" s="137"/>
      <c r="D2904" s="59"/>
      <c r="E2904" s="116"/>
      <c r="F2904" s="120"/>
      <c r="G2904" s="120"/>
      <c r="H2904" s="120"/>
      <c r="I2904" s="60"/>
      <c r="J2904" s="116"/>
      <c r="K2904" s="213"/>
      <c r="L2904" s="120"/>
      <c r="M2904" s="120"/>
      <c r="N2904" s="167"/>
      <c r="O2904" s="120"/>
      <c r="P2904" s="120"/>
      <c r="Q2904" s="120"/>
      <c r="R2904" s="120"/>
      <c r="S2904" s="120"/>
      <c r="T2904" s="221"/>
      <c r="U2904" s="89"/>
      <c r="V2904" s="61"/>
      <c r="W2904" s="92" t="s">
        <v>148</v>
      </c>
      <c r="X2904" s="93" t="s">
        <v>29</v>
      </c>
      <c r="Y2904" s="93" t="s">
        <v>93</v>
      </c>
      <c r="Z2904" s="134">
        <f>VLOOKUP(W2904,Sheet2!$B:$D,3,FALSE)</f>
        <v>48</v>
      </c>
      <c r="AA2904" s="93">
        <f>AA2898</f>
        <v>50</v>
      </c>
      <c r="AB2904" s="93">
        <f>AD2904/AC2897</f>
        <v>0.96</v>
      </c>
      <c r="AC2904" s="93">
        <f>AC2897/AA2904</f>
        <v>4.2063730000000756</v>
      </c>
      <c r="AD2904" s="94">
        <f t="shared" si="2273"/>
        <v>201.90590400000363</v>
      </c>
      <c r="AE2904" s="190"/>
      <c r="AF2904" s="191"/>
      <c r="AG2904" s="191"/>
      <c r="AH2904" s="191"/>
      <c r="AI2904" s="186"/>
      <c r="AK2904" s="171"/>
    </row>
    <row r="2905" spans="1:37" s="102" customFormat="1" ht="19.899999999999999" customHeight="1" x14ac:dyDescent="0.25">
      <c r="A2905" s="45"/>
      <c r="B2905" s="59"/>
      <c r="C2905" s="137"/>
      <c r="D2905" s="59"/>
      <c r="E2905" s="116"/>
      <c r="F2905" s="120"/>
      <c r="G2905" s="120"/>
      <c r="H2905" s="120"/>
      <c r="I2905" s="60"/>
      <c r="J2905" s="116"/>
      <c r="K2905" s="213"/>
      <c r="L2905" s="120"/>
      <c r="M2905" s="120"/>
      <c r="N2905" s="167"/>
      <c r="O2905" s="120"/>
      <c r="P2905" s="120"/>
      <c r="Q2905" s="120"/>
      <c r="R2905" s="120"/>
      <c r="S2905" s="120"/>
      <c r="T2905" s="221"/>
      <c r="U2905" s="89"/>
      <c r="V2905" s="61"/>
      <c r="W2905" s="92" t="s">
        <v>65</v>
      </c>
      <c r="X2905" s="93" t="s">
        <v>30</v>
      </c>
      <c r="Y2905" s="93" t="s">
        <v>1011</v>
      </c>
      <c r="Z2905" s="134">
        <f>VLOOKUP(W2905,Sheet2!$B:$D,3,FALSE)</f>
        <v>1.76</v>
      </c>
      <c r="AA2905" s="93">
        <f>AA2904/10</f>
        <v>5</v>
      </c>
      <c r="AB2905" s="93">
        <f>AD2905/AC2897</f>
        <v>0.35200000000000004</v>
      </c>
      <c r="AC2905" s="93">
        <f>AC2897/AA2905</f>
        <v>42.06373000000076</v>
      </c>
      <c r="AD2905" s="94">
        <f t="shared" si="2273"/>
        <v>74.03216480000134</v>
      </c>
      <c r="AE2905" s="190"/>
      <c r="AF2905" s="191"/>
      <c r="AG2905" s="191"/>
      <c r="AH2905" s="191"/>
      <c r="AI2905" s="186"/>
      <c r="AK2905" s="171"/>
    </row>
    <row r="2906" spans="1:37" s="103" customFormat="1" ht="19.899999999999999" customHeight="1" x14ac:dyDescent="0.25">
      <c r="A2906" s="51"/>
      <c r="B2906" s="52"/>
      <c r="C2906" s="165"/>
      <c r="D2906" s="52"/>
      <c r="E2906" s="115"/>
      <c r="F2906" s="58"/>
      <c r="G2906" s="58"/>
      <c r="H2906" s="58"/>
      <c r="I2906" s="55"/>
      <c r="J2906" s="113">
        <f>J2896</f>
        <v>210.3186500000038</v>
      </c>
      <c r="K2906" s="212">
        <f>K2896</f>
        <v>210.3186500000038</v>
      </c>
      <c r="L2906" s="58"/>
      <c r="M2906" s="58">
        <f>K2906-L2906</f>
        <v>210.3186500000038</v>
      </c>
      <c r="N2906" s="166"/>
      <c r="O2906" s="58"/>
      <c r="P2906" s="58"/>
      <c r="Q2906" s="58"/>
      <c r="R2906" s="58"/>
      <c r="S2906" s="58"/>
      <c r="T2906" s="220"/>
      <c r="U2906" s="88"/>
      <c r="V2906" s="56"/>
      <c r="W2906" s="57" t="s">
        <v>1036</v>
      </c>
      <c r="X2906" s="53"/>
      <c r="Y2906" s="91" t="s">
        <v>68</v>
      </c>
      <c r="Z2906" s="136">
        <f>AD2906/AC2906</f>
        <v>78.583333333333314</v>
      </c>
      <c r="AA2906" s="58"/>
      <c r="AB2906" s="53">
        <f>AD2906/AC2906</f>
        <v>78.583333333333314</v>
      </c>
      <c r="AC2906" s="53">
        <f>M2906+$AE$10</f>
        <v>210.3186500000038</v>
      </c>
      <c r="AD2906" s="54">
        <f>SUM(AD2907:AD2913)</f>
        <v>16527.540579166962</v>
      </c>
      <c r="AE2906" s="184">
        <f>SUMIFS($AD$37:$AD$12971,$V$37:$V$12971,$V2906,$X$37:$X$12971,AE$13)</f>
        <v>0</v>
      </c>
      <c r="AF2906" s="185">
        <f>SUMIFS($AD$37:$AD$12971,$V$37:$V$12971,$V2906,$X$37:$X$12971,AF$13)</f>
        <v>0</v>
      </c>
      <c r="AG2906" s="185">
        <f>SUMIFS($AD$37:$AD$12971,$V$37:$V$12971,$V2906,$X$37:$X$12971,AG$13)</f>
        <v>0</v>
      </c>
      <c r="AH2906" s="187">
        <f>SUMIFS($AD$37:$AD$12971,$V$37:$V$12971,$V2906,$X$37:$X$12971,AH$13)</f>
        <v>0</v>
      </c>
      <c r="AI2906" s="161">
        <f t="shared" ref="AI2906" si="2274">SUM(AE2906:AH2906)</f>
        <v>0</v>
      </c>
      <c r="AK2906" s="172"/>
    </row>
    <row r="2907" spans="1:37" s="102" customFormat="1" ht="19.899999999999999" customHeight="1" x14ac:dyDescent="0.25">
      <c r="A2907" s="45"/>
      <c r="B2907" s="59"/>
      <c r="C2907" s="137"/>
      <c r="D2907" s="59"/>
      <c r="E2907" s="116"/>
      <c r="F2907" s="120"/>
      <c r="G2907" s="120"/>
      <c r="H2907" s="120"/>
      <c r="I2907" s="60"/>
      <c r="J2907" s="116"/>
      <c r="K2907" s="213"/>
      <c r="L2907" s="120"/>
      <c r="M2907" s="120"/>
      <c r="N2907" s="167"/>
      <c r="O2907" s="120"/>
      <c r="P2907" s="120"/>
      <c r="Q2907" s="120"/>
      <c r="R2907" s="120"/>
      <c r="S2907" s="120"/>
      <c r="T2907" s="221"/>
      <c r="U2907" s="89"/>
      <c r="V2907" s="61"/>
      <c r="W2907" s="92" t="s">
        <v>1101</v>
      </c>
      <c r="X2907" s="93" t="s">
        <v>30</v>
      </c>
      <c r="Y2907" s="93" t="s">
        <v>68</v>
      </c>
      <c r="Z2907" s="134">
        <f>VLOOKUP(W2907,Sheet2!$B:$D,3,FALSE)</f>
        <v>33.5</v>
      </c>
      <c r="AA2907" s="93">
        <v>1</v>
      </c>
      <c r="AB2907" s="93">
        <f>AD2907/AC2906</f>
        <v>33.5</v>
      </c>
      <c r="AC2907" s="93">
        <f>AC2906/AA2907</f>
        <v>210.3186500000038</v>
      </c>
      <c r="AD2907" s="94">
        <f t="shared" ref="AD2907" si="2275">AC2907*Z2907</f>
        <v>7045.6747750001268</v>
      </c>
      <c r="AE2907" s="190"/>
      <c r="AF2907" s="191"/>
      <c r="AG2907" s="191"/>
      <c r="AH2907" s="191"/>
      <c r="AI2907" s="186"/>
      <c r="AK2907" s="171"/>
    </row>
    <row r="2908" spans="1:37" s="102" customFormat="1" ht="20.100000000000001" customHeight="1" x14ac:dyDescent="0.25">
      <c r="A2908" s="45"/>
      <c r="B2908" s="59"/>
      <c r="C2908" s="137"/>
      <c r="D2908" s="59"/>
      <c r="E2908" s="116"/>
      <c r="F2908" s="120"/>
      <c r="G2908" s="120"/>
      <c r="H2908" s="120"/>
      <c r="I2908" s="60"/>
      <c r="J2908" s="116"/>
      <c r="K2908" s="213"/>
      <c r="L2908" s="120"/>
      <c r="M2908" s="120"/>
      <c r="N2908" s="167"/>
      <c r="O2908" s="120"/>
      <c r="P2908" s="120"/>
      <c r="Q2908" s="120"/>
      <c r="R2908" s="120"/>
      <c r="S2908" s="120"/>
      <c r="T2908" s="221"/>
      <c r="U2908" s="89"/>
      <c r="V2908" s="61"/>
      <c r="W2908" s="92" t="s">
        <v>1102</v>
      </c>
      <c r="X2908" s="93" t="s">
        <v>30</v>
      </c>
      <c r="Y2908" s="93" t="s">
        <v>68</v>
      </c>
      <c r="Z2908" s="134">
        <f>VLOOKUP(W2908,Sheet2!$B:$D,3,FALSE)</f>
        <v>2</v>
      </c>
      <c r="AA2908" s="93">
        <v>1</v>
      </c>
      <c r="AB2908" s="93">
        <f>AD2908/AC2906</f>
        <v>2</v>
      </c>
      <c r="AC2908" s="93">
        <f>AC2906/AA2908</f>
        <v>210.3186500000038</v>
      </c>
      <c r="AD2908" s="94">
        <f>AC2908*Z2908</f>
        <v>420.6373000000076</v>
      </c>
      <c r="AE2908" s="190"/>
      <c r="AF2908" s="191"/>
      <c r="AG2908" s="191"/>
      <c r="AH2908" s="191"/>
      <c r="AI2908" s="186"/>
      <c r="AK2908" s="171"/>
    </row>
    <row r="2909" spans="1:37" s="102" customFormat="1" ht="20.100000000000001" customHeight="1" x14ac:dyDescent="0.25">
      <c r="A2909" s="45"/>
      <c r="B2909" s="59"/>
      <c r="C2909" s="137"/>
      <c r="D2909" s="59"/>
      <c r="E2909" s="116"/>
      <c r="F2909" s="120"/>
      <c r="G2909" s="120"/>
      <c r="H2909" s="120"/>
      <c r="I2909" s="60"/>
      <c r="J2909" s="116"/>
      <c r="K2909" s="213"/>
      <c r="L2909" s="120"/>
      <c r="M2909" s="120"/>
      <c r="N2909" s="167"/>
      <c r="O2909" s="120"/>
      <c r="P2909" s="120"/>
      <c r="Q2909" s="120"/>
      <c r="R2909" s="120"/>
      <c r="S2909" s="120"/>
      <c r="T2909" s="221"/>
      <c r="U2909" s="89"/>
      <c r="V2909" s="61"/>
      <c r="W2909" s="92" t="s">
        <v>107</v>
      </c>
      <c r="X2909" s="93" t="s">
        <v>31</v>
      </c>
      <c r="Y2909" s="93" t="s">
        <v>93</v>
      </c>
      <c r="Z2909" s="134">
        <f>VLOOKUP(W2909,Sheet2!$B:$D,3,FALSE)</f>
        <v>17</v>
      </c>
      <c r="AA2909" s="93">
        <v>12</v>
      </c>
      <c r="AB2909" s="93">
        <f>AD2909/AC2906</f>
        <v>1.4166666666666667</v>
      </c>
      <c r="AC2909" s="93">
        <f>AC2906/AA2909</f>
        <v>17.526554166666983</v>
      </c>
      <c r="AD2909" s="94">
        <f>AC2909*Z2909</f>
        <v>297.95142083333872</v>
      </c>
      <c r="AE2909" s="190"/>
      <c r="AF2909" s="191"/>
      <c r="AG2909" s="191"/>
      <c r="AH2909" s="191"/>
      <c r="AI2909" s="186"/>
      <c r="AK2909" s="171"/>
    </row>
    <row r="2910" spans="1:37" s="102" customFormat="1" ht="20.100000000000001" customHeight="1" x14ac:dyDescent="0.25">
      <c r="A2910" s="45"/>
      <c r="B2910" s="59"/>
      <c r="C2910" s="137"/>
      <c r="D2910" s="59"/>
      <c r="E2910" s="116"/>
      <c r="F2910" s="120"/>
      <c r="G2910" s="120"/>
      <c r="H2910" s="120"/>
      <c r="I2910" s="60"/>
      <c r="J2910" s="116"/>
      <c r="K2910" s="213"/>
      <c r="L2910" s="120"/>
      <c r="M2910" s="120"/>
      <c r="N2910" s="167"/>
      <c r="O2910" s="120"/>
      <c r="P2910" s="120"/>
      <c r="Q2910" s="120"/>
      <c r="R2910" s="120"/>
      <c r="S2910" s="120"/>
      <c r="T2910" s="221"/>
      <c r="U2910" s="89"/>
      <c r="V2910" s="61"/>
      <c r="W2910" s="92" t="s">
        <v>112</v>
      </c>
      <c r="X2910" s="93" t="s">
        <v>31</v>
      </c>
      <c r="Y2910" s="93" t="s">
        <v>93</v>
      </c>
      <c r="Z2910" s="134">
        <f>VLOOKUP(W2910,Sheet2!$B:$D,3,FALSE)</f>
        <v>13</v>
      </c>
      <c r="AA2910" s="93">
        <v>12</v>
      </c>
      <c r="AB2910" s="93">
        <f>AD2910/AC2906</f>
        <v>1.0833333333333333</v>
      </c>
      <c r="AC2910" s="93">
        <f>AC2906/AA2910</f>
        <v>17.526554166666983</v>
      </c>
      <c r="AD2910" s="94">
        <f>AC2910*Z2910</f>
        <v>227.84520416667078</v>
      </c>
      <c r="AE2910" s="190"/>
      <c r="AF2910" s="191"/>
      <c r="AG2910" s="191"/>
      <c r="AH2910" s="191"/>
      <c r="AI2910" s="186"/>
      <c r="AK2910" s="171"/>
    </row>
    <row r="2911" spans="1:37" s="102" customFormat="1" ht="20.100000000000001" customHeight="1" x14ac:dyDescent="0.25">
      <c r="A2911" s="45"/>
      <c r="B2911" s="59"/>
      <c r="C2911" s="137"/>
      <c r="D2911" s="59"/>
      <c r="E2911" s="116"/>
      <c r="F2911" s="120"/>
      <c r="G2911" s="120"/>
      <c r="H2911" s="120"/>
      <c r="I2911" s="60"/>
      <c r="J2911" s="116"/>
      <c r="K2911" s="213"/>
      <c r="L2911" s="120"/>
      <c r="M2911" s="120"/>
      <c r="N2911" s="167"/>
      <c r="O2911" s="120"/>
      <c r="P2911" s="120"/>
      <c r="Q2911" s="120"/>
      <c r="R2911" s="120"/>
      <c r="S2911" s="120"/>
      <c r="T2911" s="221"/>
      <c r="U2911" s="89"/>
      <c r="V2911" s="61"/>
      <c r="W2911" s="92" t="s">
        <v>1032</v>
      </c>
      <c r="X2911" s="93" t="s">
        <v>30</v>
      </c>
      <c r="Y2911" s="93" t="s">
        <v>66</v>
      </c>
      <c r="Z2911" s="134">
        <f>VLOOKUP(W2911,Sheet2!$B:$D,3,FALSE)</f>
        <v>250</v>
      </c>
      <c r="AA2911" s="93">
        <f>1/(1*1*0.1)</f>
        <v>10</v>
      </c>
      <c r="AB2911" s="93">
        <f>AD2911/AC2906</f>
        <v>25</v>
      </c>
      <c r="AC2911" s="93">
        <f>AC2906/AA2911</f>
        <v>21.03186500000038</v>
      </c>
      <c r="AD2911" s="94">
        <f>AC2911*Z2911</f>
        <v>5257.966250000095</v>
      </c>
      <c r="AE2911" s="190"/>
      <c r="AF2911" s="191"/>
      <c r="AG2911" s="191"/>
      <c r="AH2911" s="191"/>
      <c r="AI2911" s="186"/>
      <c r="AK2911" s="171"/>
    </row>
    <row r="2912" spans="1:37" s="102" customFormat="1" ht="20.100000000000001" customHeight="1" x14ac:dyDescent="0.25">
      <c r="A2912" s="45"/>
      <c r="B2912" s="59"/>
      <c r="C2912" s="137"/>
      <c r="D2912" s="59"/>
      <c r="E2912" s="116"/>
      <c r="F2912" s="120"/>
      <c r="G2912" s="120"/>
      <c r="H2912" s="120"/>
      <c r="I2912" s="60"/>
      <c r="J2912" s="116"/>
      <c r="K2912" s="213"/>
      <c r="L2912" s="120"/>
      <c r="M2912" s="120"/>
      <c r="N2912" s="167"/>
      <c r="O2912" s="120"/>
      <c r="P2912" s="120"/>
      <c r="Q2912" s="120"/>
      <c r="R2912" s="120"/>
      <c r="S2912" s="120"/>
      <c r="T2912" s="221"/>
      <c r="U2912" s="89"/>
      <c r="V2912" s="61"/>
      <c r="W2912" s="92" t="s">
        <v>1035</v>
      </c>
      <c r="X2912" s="93" t="s">
        <v>32</v>
      </c>
      <c r="Y2912" s="93" t="s">
        <v>66</v>
      </c>
      <c r="Z2912" s="134">
        <f>VLOOKUP(W2912,Sheet2!$B:$D,3,FALSE)</f>
        <v>150</v>
      </c>
      <c r="AA2912" s="93">
        <f>AA2911</f>
        <v>10</v>
      </c>
      <c r="AB2912" s="93">
        <f>AD2912/AC2906</f>
        <v>15</v>
      </c>
      <c r="AC2912" s="93">
        <f>AC2906/AA2912</f>
        <v>21.03186500000038</v>
      </c>
      <c r="AD2912" s="94">
        <f t="shared" ref="AD2912:AD2913" si="2276">AC2912*Z2912</f>
        <v>3154.779750000057</v>
      </c>
      <c r="AE2912" s="190"/>
      <c r="AF2912" s="191"/>
      <c r="AG2912" s="191"/>
      <c r="AH2912" s="191"/>
      <c r="AI2912" s="186"/>
      <c r="AK2912" s="171"/>
    </row>
    <row r="2913" spans="1:41" s="102" customFormat="1" ht="20.100000000000001" customHeight="1" x14ac:dyDescent="0.25">
      <c r="A2913" s="45"/>
      <c r="B2913" s="59"/>
      <c r="C2913" s="137"/>
      <c r="D2913" s="59"/>
      <c r="E2913" s="116"/>
      <c r="F2913" s="120"/>
      <c r="G2913" s="120"/>
      <c r="H2913" s="120"/>
      <c r="I2913" s="60"/>
      <c r="J2913" s="116"/>
      <c r="K2913" s="213"/>
      <c r="L2913" s="120"/>
      <c r="M2913" s="120"/>
      <c r="N2913" s="167"/>
      <c r="O2913" s="120"/>
      <c r="P2913" s="120"/>
      <c r="Q2913" s="120"/>
      <c r="R2913" s="120"/>
      <c r="S2913" s="120"/>
      <c r="T2913" s="221"/>
      <c r="U2913" s="89"/>
      <c r="V2913" s="61"/>
      <c r="W2913" s="92" t="s">
        <v>1037</v>
      </c>
      <c r="X2913" s="93" t="s">
        <v>30</v>
      </c>
      <c r="Y2913" s="93" t="s">
        <v>1038</v>
      </c>
      <c r="Z2913" s="134">
        <f>VLOOKUP(W2913,Sheet2!$B:$D,3,FALSE)</f>
        <v>175</v>
      </c>
      <c r="AA2913" s="93">
        <v>300</v>
      </c>
      <c r="AB2913" s="93">
        <f>AD2913/AC2906</f>
        <v>0.58333333333333337</v>
      </c>
      <c r="AC2913" s="93">
        <f>AC2906/AA2913</f>
        <v>0.70106216666667931</v>
      </c>
      <c r="AD2913" s="94">
        <f t="shared" si="2276"/>
        <v>122.68587916666888</v>
      </c>
      <c r="AE2913" s="190"/>
      <c r="AF2913" s="191"/>
      <c r="AG2913" s="191"/>
      <c r="AH2913" s="191"/>
      <c r="AI2913" s="186"/>
      <c r="AK2913" s="171"/>
    </row>
    <row r="2914" spans="1:41" s="103" customFormat="1" ht="20.100000000000001" customHeight="1" x14ac:dyDescent="0.25">
      <c r="A2914" s="51"/>
      <c r="B2914" s="52"/>
      <c r="C2914" s="165"/>
      <c r="D2914" s="52"/>
      <c r="E2914" s="115"/>
      <c r="F2914" s="58"/>
      <c r="G2914" s="58"/>
      <c r="H2914" s="58"/>
      <c r="I2914" s="55"/>
      <c r="J2914" s="113">
        <f>J2896</f>
        <v>210.3186500000038</v>
      </c>
      <c r="K2914" s="212">
        <f>K2896</f>
        <v>210.3186500000038</v>
      </c>
      <c r="L2914" s="58"/>
      <c r="M2914" s="58">
        <f>K2914-L2914</f>
        <v>210.3186500000038</v>
      </c>
      <c r="N2914" s="166"/>
      <c r="O2914" s="58"/>
      <c r="P2914" s="58"/>
      <c r="Q2914" s="58"/>
      <c r="R2914" s="58"/>
      <c r="S2914" s="58"/>
      <c r="T2914" s="220"/>
      <c r="U2914" s="88"/>
      <c r="V2914" s="56"/>
      <c r="W2914" s="57" t="s">
        <v>1040</v>
      </c>
      <c r="X2914" s="53"/>
      <c r="Y2914" s="91" t="s">
        <v>68</v>
      </c>
      <c r="Z2914" s="136">
        <f>AD2914/AC2914</f>
        <v>5</v>
      </c>
      <c r="AA2914" s="58"/>
      <c r="AB2914" s="53">
        <f>AD2914/AC2914</f>
        <v>5</v>
      </c>
      <c r="AC2914" s="53">
        <f>M2914+$AE$10</f>
        <v>210.3186500000038</v>
      </c>
      <c r="AD2914" s="54">
        <f>SUM(AD2915)</f>
        <v>1051.593250000019</v>
      </c>
      <c r="AE2914" s="184">
        <f>SUMIFS($AD$37:$AD$12971,$V$37:$V$12971,$V2914,$X$37:$X$12971,AE$13)</f>
        <v>0</v>
      </c>
      <c r="AF2914" s="185">
        <f>SUMIFS($AD$37:$AD$12971,$V$37:$V$12971,$V2914,$X$37:$X$12971,AF$13)</f>
        <v>0</v>
      </c>
      <c r="AG2914" s="185">
        <f>SUMIFS($AD$37:$AD$12971,$V$37:$V$12971,$V2914,$X$37:$X$12971,AG$13)</f>
        <v>0</v>
      </c>
      <c r="AH2914" s="187">
        <f>SUMIFS($AD$37:$AD$12971,$V$37:$V$12971,$V2914,$X$37:$X$12971,AH$13)</f>
        <v>0</v>
      </c>
      <c r="AI2914" s="161">
        <f t="shared" ref="AI2914" si="2277">SUM(AE2914:AH2914)</f>
        <v>0</v>
      </c>
      <c r="AK2914" s="172"/>
    </row>
    <row r="2915" spans="1:41" s="102" customFormat="1" ht="20.100000000000001" customHeight="1" x14ac:dyDescent="0.25">
      <c r="A2915" s="45"/>
      <c r="B2915" s="59"/>
      <c r="C2915" s="137"/>
      <c r="D2915" s="59"/>
      <c r="E2915" s="116"/>
      <c r="F2915" s="120"/>
      <c r="G2915" s="120"/>
      <c r="H2915" s="120"/>
      <c r="I2915" s="60"/>
      <c r="J2915" s="116"/>
      <c r="K2915" s="213"/>
      <c r="L2915" s="120"/>
      <c r="M2915" s="120"/>
      <c r="N2915" s="167"/>
      <c r="O2915" s="120"/>
      <c r="P2915" s="120"/>
      <c r="Q2915" s="120"/>
      <c r="R2915" s="120"/>
      <c r="S2915" s="120"/>
      <c r="T2915" s="221"/>
      <c r="U2915" s="89"/>
      <c r="V2915" s="61"/>
      <c r="W2915" s="92" t="s">
        <v>1039</v>
      </c>
      <c r="X2915" s="93" t="s">
        <v>32</v>
      </c>
      <c r="Y2915" s="93" t="s">
        <v>68</v>
      </c>
      <c r="Z2915" s="134">
        <f>VLOOKUP(W2915,Sheet2!$B:$D,3,FALSE)</f>
        <v>5</v>
      </c>
      <c r="AA2915" s="93">
        <v>1</v>
      </c>
      <c r="AB2915" s="93">
        <f>AD2915/AC2914</f>
        <v>5</v>
      </c>
      <c r="AC2915" s="93">
        <f>AC2914/AA2915</f>
        <v>210.3186500000038</v>
      </c>
      <c r="AD2915" s="94">
        <f t="shared" ref="AD2915" si="2278">AC2915*Z2915</f>
        <v>1051.593250000019</v>
      </c>
      <c r="AE2915" s="190"/>
      <c r="AF2915" s="191"/>
      <c r="AG2915" s="191"/>
      <c r="AH2915" s="191"/>
      <c r="AI2915" s="186"/>
      <c r="AK2915" s="171"/>
    </row>
    <row r="2916" spans="1:41" ht="20.100000000000001" customHeight="1" x14ac:dyDescent="0.25">
      <c r="A2916" s="277" t="s">
        <v>491</v>
      </c>
      <c r="B2916" s="278"/>
      <c r="C2916" s="64" t="s">
        <v>1206</v>
      </c>
      <c r="D2916" s="46" t="s">
        <v>97</v>
      </c>
      <c r="E2916" s="114">
        <v>57.92764999999963</v>
      </c>
      <c r="F2916" s="44">
        <v>148</v>
      </c>
      <c r="G2916" s="44">
        <f t="shared" si="1977"/>
        <v>8573.2921999999453</v>
      </c>
      <c r="H2916" s="44">
        <f t="shared" si="1978"/>
        <v>130.84414901960784</v>
      </c>
      <c r="I2916" s="43">
        <f t="shared" si="1979"/>
        <v>7579.4940689556379</v>
      </c>
      <c r="J2916" s="112">
        <f t="shared" si="1980"/>
        <v>57.92764999999963</v>
      </c>
      <c r="K2916" s="211">
        <f t="shared" si="1981"/>
        <v>57.92764999999963</v>
      </c>
      <c r="L2916" s="44"/>
      <c r="M2916" s="44">
        <f t="shared" si="1982"/>
        <v>57.92764999999963</v>
      </c>
      <c r="N2916" s="173">
        <f t="shared" si="1983"/>
        <v>1</v>
      </c>
      <c r="O2916" s="44">
        <f t="shared" si="1984"/>
        <v>148</v>
      </c>
      <c r="P2916" s="44">
        <f t="shared" si="1985"/>
        <v>8573.2921999999453</v>
      </c>
      <c r="Q2916" s="44">
        <f t="shared" si="1986"/>
        <v>130.84414901960784</v>
      </c>
      <c r="R2916" s="44">
        <f t="shared" si="1987"/>
        <v>7579.4940689556379</v>
      </c>
      <c r="S2916" s="123"/>
      <c r="T2916" s="219">
        <f t="shared" si="1988"/>
        <v>7579.4940689556379</v>
      </c>
      <c r="U2916" s="87"/>
      <c r="V2916" s="47"/>
      <c r="W2916" s="48"/>
      <c r="X2916" s="48"/>
      <c r="Y2916" s="48"/>
      <c r="Z2916" s="135"/>
      <c r="AA2916" s="49"/>
      <c r="AB2916" s="50">
        <f t="shared" si="1989"/>
        <v>130.84414901960784</v>
      </c>
      <c r="AC2916" s="42">
        <f t="shared" si="1990"/>
        <v>57.92764999999963</v>
      </c>
      <c r="AD2916" s="90">
        <f>AD2917+AD2927+AD2935</f>
        <v>7579.494068955637</v>
      </c>
      <c r="AE2916" s="188">
        <f t="shared" ref="AE2916:AH2916" si="2279">AE2917+AE2927+AE2935</f>
        <v>0</v>
      </c>
      <c r="AF2916" s="189">
        <f t="shared" si="2279"/>
        <v>0</v>
      </c>
      <c r="AG2916" s="189">
        <f t="shared" si="2279"/>
        <v>0</v>
      </c>
      <c r="AH2916" s="189">
        <f t="shared" si="2279"/>
        <v>0</v>
      </c>
      <c r="AI2916" s="161">
        <f t="shared" ref="AI2916" si="2280">SUM(AE2916:AH2916)</f>
        <v>0</v>
      </c>
      <c r="AK2916" s="169">
        <v>5</v>
      </c>
      <c r="AO2916" s="19" t="s">
        <v>63</v>
      </c>
    </row>
    <row r="2917" spans="1:41" s="103" customFormat="1" ht="19.899999999999999" customHeight="1" x14ac:dyDescent="0.25">
      <c r="A2917" s="51"/>
      <c r="B2917" s="52"/>
      <c r="C2917" s="165"/>
      <c r="D2917" s="52"/>
      <c r="E2917" s="115"/>
      <c r="F2917" s="58"/>
      <c r="G2917" s="58"/>
      <c r="H2917" s="58"/>
      <c r="I2917" s="55"/>
      <c r="J2917" s="113">
        <f>J2916</f>
        <v>57.92764999999963</v>
      </c>
      <c r="K2917" s="212">
        <f>K2916</f>
        <v>57.92764999999963</v>
      </c>
      <c r="L2917" s="58"/>
      <c r="M2917" s="58">
        <f>K2917-L2917</f>
        <v>57.92764999999963</v>
      </c>
      <c r="N2917" s="166"/>
      <c r="O2917" s="58"/>
      <c r="P2917" s="58"/>
      <c r="Q2917" s="58"/>
      <c r="R2917" s="58"/>
      <c r="S2917" s="58"/>
      <c r="T2917" s="220"/>
      <c r="U2917" s="88"/>
      <c r="V2917" s="56"/>
      <c r="W2917" s="57" t="s">
        <v>1050</v>
      </c>
      <c r="X2917" s="53"/>
      <c r="Y2917" s="91" t="s">
        <v>68</v>
      </c>
      <c r="Z2917" s="136">
        <f>AD2917/AC2917</f>
        <v>47.260815686274512</v>
      </c>
      <c r="AA2917" s="58"/>
      <c r="AB2917" s="53">
        <f>AD2917/AC2917</f>
        <v>47.260815686274512</v>
      </c>
      <c r="AC2917" s="53">
        <f>M2917+$AE$10</f>
        <v>57.92764999999963</v>
      </c>
      <c r="AD2917" s="54">
        <f>SUM(AD2918:AD2926)</f>
        <v>2737.7079897890021</v>
      </c>
      <c r="AE2917" s="184">
        <f>SUMIFS($AD$37:$AD$12971,$V$37:$V$12971,$V2917,$X$37:$X$12971,AE$13)</f>
        <v>0</v>
      </c>
      <c r="AF2917" s="185">
        <f>SUMIFS($AD$37:$AD$12971,$V$37:$V$12971,$V2917,$X$37:$X$12971,AF$13)</f>
        <v>0</v>
      </c>
      <c r="AG2917" s="185">
        <f>SUMIFS($AD$37:$AD$12971,$V$37:$V$12971,$V2917,$X$37:$X$12971,AG$13)</f>
        <v>0</v>
      </c>
      <c r="AH2917" s="187">
        <f>SUMIFS($AD$37:$AD$12971,$V$37:$V$12971,$V2917,$X$37:$X$12971,AH$13)</f>
        <v>0</v>
      </c>
      <c r="AI2917" s="161">
        <f t="shared" ref="AI2917" si="2281">SUM(AE2917:AH2917)</f>
        <v>0</v>
      </c>
      <c r="AK2917" s="172"/>
    </row>
    <row r="2918" spans="1:41" s="102" customFormat="1" ht="19.899999999999999" customHeight="1" x14ac:dyDescent="0.25">
      <c r="A2918" s="45"/>
      <c r="B2918" s="59"/>
      <c r="C2918" s="137"/>
      <c r="D2918" s="59"/>
      <c r="E2918" s="116"/>
      <c r="F2918" s="120"/>
      <c r="G2918" s="120"/>
      <c r="H2918" s="120"/>
      <c r="I2918" s="60"/>
      <c r="J2918" s="116"/>
      <c r="K2918" s="213"/>
      <c r="L2918" s="120"/>
      <c r="M2918" s="120"/>
      <c r="N2918" s="167"/>
      <c r="O2918" s="120"/>
      <c r="P2918" s="120"/>
      <c r="Q2918" s="120"/>
      <c r="R2918" s="120"/>
      <c r="S2918" s="120"/>
      <c r="T2918" s="221"/>
      <c r="U2918" s="89"/>
      <c r="V2918" s="61"/>
      <c r="W2918" s="92" t="s">
        <v>129</v>
      </c>
      <c r="X2918" s="93" t="s">
        <v>29</v>
      </c>
      <c r="Y2918" s="93" t="s">
        <v>93</v>
      </c>
      <c r="Z2918" s="134">
        <f>VLOOKUP(W2918,Sheet2!$B:$D,3,FALSE)</f>
        <v>56</v>
      </c>
      <c r="AA2918" s="93">
        <f>100/(1*2.5)</f>
        <v>40</v>
      </c>
      <c r="AB2918" s="93">
        <f t="shared" ref="AB2918" si="2282">AD2918/AC2917</f>
        <v>1.4000000000000001</v>
      </c>
      <c r="AC2918" s="93">
        <f>AC2917/AA2918</f>
        <v>1.4481912499999907</v>
      </c>
      <c r="AD2918" s="94">
        <f t="shared" ref="AD2918:AD2919" si="2283">AC2918*Z2918</f>
        <v>81.098709999999485</v>
      </c>
      <c r="AE2918" s="190"/>
      <c r="AF2918" s="191"/>
      <c r="AG2918" s="191"/>
      <c r="AH2918" s="191"/>
      <c r="AI2918" s="186"/>
      <c r="AK2918" s="171"/>
    </row>
    <row r="2919" spans="1:41" s="102" customFormat="1" ht="19.899999999999999" customHeight="1" x14ac:dyDescent="0.25">
      <c r="A2919" s="45"/>
      <c r="B2919" s="59"/>
      <c r="C2919" s="137"/>
      <c r="D2919" s="59"/>
      <c r="E2919" s="116"/>
      <c r="F2919" s="120"/>
      <c r="G2919" s="120"/>
      <c r="H2919" s="120"/>
      <c r="I2919" s="60"/>
      <c r="J2919" s="116"/>
      <c r="K2919" s="213"/>
      <c r="L2919" s="120"/>
      <c r="M2919" s="120"/>
      <c r="N2919" s="167"/>
      <c r="O2919" s="120"/>
      <c r="P2919" s="120"/>
      <c r="Q2919" s="120"/>
      <c r="R2919" s="120"/>
      <c r="S2919" s="120"/>
      <c r="T2919" s="221"/>
      <c r="U2919" s="89"/>
      <c r="V2919" s="61"/>
      <c r="W2919" s="92" t="s">
        <v>65</v>
      </c>
      <c r="X2919" s="93" t="s">
        <v>30</v>
      </c>
      <c r="Y2919" s="93" t="s">
        <v>1011</v>
      </c>
      <c r="Z2919" s="134">
        <f>VLOOKUP(W2919,Sheet2!$B:$D,3,FALSE)</f>
        <v>1.76</v>
      </c>
      <c r="AA2919" s="93">
        <f>AA2918/14</f>
        <v>2.8571428571428572</v>
      </c>
      <c r="AB2919" s="93">
        <f>AD2919/AC2917</f>
        <v>0.61599999999999999</v>
      </c>
      <c r="AC2919" s="93">
        <f>AC2917/AA2919</f>
        <v>20.274677499999871</v>
      </c>
      <c r="AD2919" s="94">
        <f t="shared" si="2283"/>
        <v>35.683432399999774</v>
      </c>
      <c r="AE2919" s="190"/>
      <c r="AF2919" s="191"/>
      <c r="AG2919" s="191"/>
      <c r="AH2919" s="191"/>
      <c r="AI2919" s="186"/>
      <c r="AK2919" s="171"/>
    </row>
    <row r="2920" spans="1:41" s="102" customFormat="1" ht="19.899999999999999" customHeight="1" x14ac:dyDescent="0.25">
      <c r="A2920" s="45"/>
      <c r="B2920" s="59"/>
      <c r="C2920" s="137"/>
      <c r="D2920" s="59"/>
      <c r="E2920" s="116"/>
      <c r="F2920" s="120"/>
      <c r="G2920" s="120"/>
      <c r="H2920" s="120"/>
      <c r="I2920" s="60"/>
      <c r="J2920" s="116"/>
      <c r="K2920" s="213"/>
      <c r="L2920" s="120"/>
      <c r="M2920" s="120"/>
      <c r="N2920" s="167"/>
      <c r="O2920" s="120"/>
      <c r="P2920" s="120"/>
      <c r="Q2920" s="120"/>
      <c r="R2920" s="120"/>
      <c r="S2920" s="120"/>
      <c r="T2920" s="221"/>
      <c r="U2920" s="89"/>
      <c r="V2920" s="61"/>
      <c r="W2920" s="92" t="s">
        <v>161</v>
      </c>
      <c r="X2920" s="93" t="s">
        <v>29</v>
      </c>
      <c r="Y2920" s="93" t="s">
        <v>93</v>
      </c>
      <c r="Z2920" s="134">
        <f>VLOOKUP(W2920,Sheet2!$B:$D,3,FALSE)</f>
        <v>48</v>
      </c>
      <c r="AA2920" s="93">
        <f>(16*0.85*1.5)/(1*2.5)</f>
        <v>8.16</v>
      </c>
      <c r="AB2920" s="93">
        <f>AD2920/AC2917</f>
        <v>5.882352941176471</v>
      </c>
      <c r="AC2920" s="93">
        <f>AC2917/AA2920</f>
        <v>7.0989767156862289</v>
      </c>
      <c r="AD2920" s="94">
        <f>AC2920*Z2920</f>
        <v>340.75088235293902</v>
      </c>
      <c r="AE2920" s="190"/>
      <c r="AF2920" s="191"/>
      <c r="AG2920" s="191"/>
      <c r="AH2920" s="191"/>
      <c r="AI2920" s="186"/>
      <c r="AK2920" s="171"/>
    </row>
    <row r="2921" spans="1:41" s="102" customFormat="1" ht="19.899999999999999" customHeight="1" x14ac:dyDescent="0.25">
      <c r="A2921" s="45"/>
      <c r="B2921" s="59"/>
      <c r="C2921" s="137"/>
      <c r="D2921" s="59"/>
      <c r="E2921" s="116"/>
      <c r="F2921" s="120"/>
      <c r="G2921" s="120"/>
      <c r="H2921" s="120"/>
      <c r="I2921" s="60"/>
      <c r="J2921" s="116"/>
      <c r="K2921" s="213"/>
      <c r="L2921" s="120"/>
      <c r="M2921" s="120"/>
      <c r="N2921" s="167"/>
      <c r="O2921" s="120"/>
      <c r="P2921" s="120"/>
      <c r="Q2921" s="120"/>
      <c r="R2921" s="120"/>
      <c r="S2921" s="120"/>
      <c r="T2921" s="221"/>
      <c r="U2921" s="89"/>
      <c r="V2921" s="61"/>
      <c r="W2921" s="92" t="s">
        <v>65</v>
      </c>
      <c r="X2921" s="93" t="s">
        <v>30</v>
      </c>
      <c r="Y2921" s="93" t="s">
        <v>1011</v>
      </c>
      <c r="Z2921" s="134">
        <f>VLOOKUP(W2921,Sheet2!$B:$D,3,FALSE)</f>
        <v>1.76</v>
      </c>
      <c r="AA2921" s="93">
        <f>AA2920/10</f>
        <v>0.81600000000000006</v>
      </c>
      <c r="AB2921" s="93">
        <f>AD2921/AC2917</f>
        <v>2.1568627450980391</v>
      </c>
      <c r="AC2921" s="93">
        <f>AC2917/AA2921</f>
        <v>70.989767156862285</v>
      </c>
      <c r="AD2921" s="94">
        <f>AC2921*Z2921</f>
        <v>124.94199019607763</v>
      </c>
      <c r="AE2921" s="190"/>
      <c r="AF2921" s="191"/>
      <c r="AG2921" s="191"/>
      <c r="AH2921" s="191"/>
      <c r="AI2921" s="186"/>
      <c r="AK2921" s="171"/>
    </row>
    <row r="2922" spans="1:41" s="102" customFormat="1" ht="19.899999999999999" customHeight="1" x14ac:dyDescent="0.25">
      <c r="A2922" s="45"/>
      <c r="B2922" s="59"/>
      <c r="C2922" s="137"/>
      <c r="D2922" s="59"/>
      <c r="E2922" s="116"/>
      <c r="F2922" s="120"/>
      <c r="G2922" s="120"/>
      <c r="H2922" s="120"/>
      <c r="I2922" s="60"/>
      <c r="J2922" s="116"/>
      <c r="K2922" s="213"/>
      <c r="L2922" s="120"/>
      <c r="M2922" s="120"/>
      <c r="N2922" s="167"/>
      <c r="O2922" s="120"/>
      <c r="P2922" s="120"/>
      <c r="Q2922" s="120"/>
      <c r="R2922" s="120"/>
      <c r="S2922" s="120"/>
      <c r="T2922" s="221"/>
      <c r="U2922" s="89"/>
      <c r="V2922" s="61"/>
      <c r="W2922" s="92" t="s">
        <v>1030</v>
      </c>
      <c r="X2922" s="93" t="s">
        <v>29</v>
      </c>
      <c r="Y2922" s="93" t="s">
        <v>93</v>
      </c>
      <c r="Z2922" s="134">
        <f>VLOOKUP(W2922,Sheet2!$B:$D,3,FALSE)</f>
        <v>23</v>
      </c>
      <c r="AA2922" s="93">
        <v>50</v>
      </c>
      <c r="AB2922" s="93">
        <f>AD2922/AC2917</f>
        <v>0.46</v>
      </c>
      <c r="AC2922" s="93">
        <f>AC2917/AA2922</f>
        <v>1.1585529999999926</v>
      </c>
      <c r="AD2922" s="94">
        <f t="shared" ref="AD2922:AD2926" si="2284">AC2922*Z2922</f>
        <v>26.64671899999983</v>
      </c>
      <c r="AE2922" s="190"/>
      <c r="AF2922" s="191"/>
      <c r="AG2922" s="191"/>
      <c r="AH2922" s="191"/>
      <c r="AI2922" s="186"/>
      <c r="AK2922" s="171"/>
    </row>
    <row r="2923" spans="1:41" s="102" customFormat="1" ht="19.899999999999999" customHeight="1" x14ac:dyDescent="0.25">
      <c r="A2923" s="45"/>
      <c r="B2923" s="59"/>
      <c r="C2923" s="137"/>
      <c r="D2923" s="59"/>
      <c r="E2923" s="116"/>
      <c r="F2923" s="120"/>
      <c r="G2923" s="120"/>
      <c r="H2923" s="120"/>
      <c r="I2923" s="60"/>
      <c r="J2923" s="116"/>
      <c r="K2923" s="213"/>
      <c r="L2923" s="120"/>
      <c r="M2923" s="120"/>
      <c r="N2923" s="167"/>
      <c r="O2923" s="120"/>
      <c r="P2923" s="120"/>
      <c r="Q2923" s="120"/>
      <c r="R2923" s="120"/>
      <c r="S2923" s="120"/>
      <c r="T2923" s="221"/>
      <c r="U2923" s="89"/>
      <c r="V2923" s="61"/>
      <c r="W2923" s="92" t="s">
        <v>65</v>
      </c>
      <c r="X2923" s="93" t="s">
        <v>30</v>
      </c>
      <c r="Y2923" s="93" t="s">
        <v>1011</v>
      </c>
      <c r="Z2923" s="134">
        <f>VLOOKUP(W2923,Sheet2!$B:$D,3,FALSE)</f>
        <v>1.76</v>
      </c>
      <c r="AA2923" s="93">
        <f>AA2922/3</f>
        <v>16.666666666666668</v>
      </c>
      <c r="AB2923" s="93">
        <f>AD2923/AC2917</f>
        <v>0.10559999999999999</v>
      </c>
      <c r="AC2923" s="93">
        <f>AC2917/AA2923</f>
        <v>3.4756589999999776</v>
      </c>
      <c r="AD2923" s="94">
        <f t="shared" si="2284"/>
        <v>6.1171598399999603</v>
      </c>
      <c r="AE2923" s="190"/>
      <c r="AF2923" s="191"/>
      <c r="AG2923" s="191"/>
      <c r="AH2923" s="191"/>
      <c r="AI2923" s="186"/>
      <c r="AK2923" s="171"/>
    </row>
    <row r="2924" spans="1:41" s="102" customFormat="1" ht="19.899999999999999" customHeight="1" x14ac:dyDescent="0.25">
      <c r="A2924" s="45"/>
      <c r="B2924" s="59"/>
      <c r="C2924" s="137"/>
      <c r="D2924" s="59"/>
      <c r="E2924" s="116"/>
      <c r="F2924" s="120"/>
      <c r="G2924" s="120"/>
      <c r="H2924" s="120"/>
      <c r="I2924" s="60"/>
      <c r="J2924" s="116"/>
      <c r="K2924" s="213"/>
      <c r="L2924" s="120"/>
      <c r="M2924" s="120"/>
      <c r="N2924" s="167"/>
      <c r="O2924" s="120"/>
      <c r="P2924" s="120"/>
      <c r="Q2924" s="120"/>
      <c r="R2924" s="120"/>
      <c r="S2924" s="120"/>
      <c r="T2924" s="221"/>
      <c r="U2924" s="89"/>
      <c r="V2924" s="61"/>
      <c r="W2924" s="92" t="s">
        <v>148</v>
      </c>
      <c r="X2924" s="93" t="s">
        <v>29</v>
      </c>
      <c r="Y2924" s="93" t="s">
        <v>93</v>
      </c>
      <c r="Z2924" s="134">
        <f>VLOOKUP(W2924,Sheet2!$B:$D,3,FALSE)</f>
        <v>48</v>
      </c>
      <c r="AA2924" s="93">
        <f>AA2918</f>
        <v>40</v>
      </c>
      <c r="AB2924" s="93">
        <f>AD2924/AC2917</f>
        <v>1.2</v>
      </c>
      <c r="AC2924" s="93">
        <f>AC2917/AA2924</f>
        <v>1.4481912499999907</v>
      </c>
      <c r="AD2924" s="94">
        <f t="shared" si="2284"/>
        <v>69.513179999999551</v>
      </c>
      <c r="AE2924" s="190"/>
      <c r="AF2924" s="191"/>
      <c r="AG2924" s="191"/>
      <c r="AH2924" s="191"/>
      <c r="AI2924" s="186"/>
      <c r="AK2924" s="171"/>
    </row>
    <row r="2925" spans="1:41" s="102" customFormat="1" ht="19.899999999999999" customHeight="1" x14ac:dyDescent="0.25">
      <c r="A2925" s="45"/>
      <c r="B2925" s="59"/>
      <c r="C2925" s="137"/>
      <c r="D2925" s="59"/>
      <c r="E2925" s="116"/>
      <c r="F2925" s="120"/>
      <c r="G2925" s="120"/>
      <c r="H2925" s="120"/>
      <c r="I2925" s="60"/>
      <c r="J2925" s="116"/>
      <c r="K2925" s="213"/>
      <c r="L2925" s="120"/>
      <c r="M2925" s="120"/>
      <c r="N2925" s="167"/>
      <c r="O2925" s="120"/>
      <c r="P2925" s="120"/>
      <c r="Q2925" s="120"/>
      <c r="R2925" s="120"/>
      <c r="S2925" s="120"/>
      <c r="T2925" s="221"/>
      <c r="U2925" s="89"/>
      <c r="V2925" s="61"/>
      <c r="W2925" s="92" t="s">
        <v>65</v>
      </c>
      <c r="X2925" s="93" t="s">
        <v>30</v>
      </c>
      <c r="Y2925" s="93" t="s">
        <v>1011</v>
      </c>
      <c r="Z2925" s="134">
        <f>VLOOKUP(W2925,Sheet2!$B:$D,3,FALSE)</f>
        <v>1.76</v>
      </c>
      <c r="AA2925" s="93">
        <f>AA2924/10</f>
        <v>4</v>
      </c>
      <c r="AB2925" s="93">
        <f>AD2925/AC2917</f>
        <v>0.44</v>
      </c>
      <c r="AC2925" s="93">
        <f>AC2917/AA2925</f>
        <v>14.481912499999908</v>
      </c>
      <c r="AD2925" s="94">
        <f t="shared" si="2284"/>
        <v>25.488165999999836</v>
      </c>
      <c r="AE2925" s="190"/>
      <c r="AF2925" s="191"/>
      <c r="AG2925" s="191"/>
      <c r="AH2925" s="191"/>
      <c r="AI2925" s="186"/>
      <c r="AK2925" s="171"/>
    </row>
    <row r="2926" spans="1:41" s="102" customFormat="1" ht="19.899999999999999" customHeight="1" x14ac:dyDescent="0.25">
      <c r="A2926" s="45"/>
      <c r="B2926" s="59"/>
      <c r="C2926" s="137"/>
      <c r="D2926" s="59"/>
      <c r="E2926" s="116"/>
      <c r="F2926" s="120"/>
      <c r="G2926" s="120"/>
      <c r="H2926" s="120"/>
      <c r="I2926" s="60"/>
      <c r="J2926" s="116"/>
      <c r="K2926" s="213"/>
      <c r="L2926" s="120"/>
      <c r="M2926" s="120"/>
      <c r="N2926" s="167"/>
      <c r="O2926" s="120"/>
      <c r="P2926" s="120"/>
      <c r="Q2926" s="120"/>
      <c r="R2926" s="120"/>
      <c r="S2926" s="120"/>
      <c r="T2926" s="221"/>
      <c r="U2926" s="89"/>
      <c r="V2926" s="61"/>
      <c r="W2926" s="92" t="s">
        <v>1048</v>
      </c>
      <c r="X2926" s="93" t="s">
        <v>30</v>
      </c>
      <c r="Y2926" s="93" t="s">
        <v>68</v>
      </c>
      <c r="Z2926" s="134">
        <f>VLOOKUP(W2926,Sheet2!$B:$D,3,FALSE)</f>
        <v>35</v>
      </c>
      <c r="AA2926" s="93">
        <v>1</v>
      </c>
      <c r="AB2926" s="93">
        <f>AD2926/AC2917</f>
        <v>35</v>
      </c>
      <c r="AC2926" s="93">
        <f>AC2917/AA2926</f>
        <v>57.92764999999963</v>
      </c>
      <c r="AD2926" s="94">
        <f t="shared" si="2284"/>
        <v>2027.4677499999871</v>
      </c>
      <c r="AE2926" s="190"/>
      <c r="AF2926" s="191"/>
      <c r="AG2926" s="191"/>
      <c r="AH2926" s="191"/>
      <c r="AI2926" s="186"/>
      <c r="AK2926" s="171"/>
    </row>
    <row r="2927" spans="1:41" s="103" customFormat="1" ht="19.899999999999999" customHeight="1" x14ac:dyDescent="0.25">
      <c r="A2927" s="51"/>
      <c r="B2927" s="52"/>
      <c r="C2927" s="165"/>
      <c r="D2927" s="52"/>
      <c r="E2927" s="115"/>
      <c r="F2927" s="58"/>
      <c r="G2927" s="58"/>
      <c r="H2927" s="58"/>
      <c r="I2927" s="55"/>
      <c r="J2927" s="113">
        <f>J2916</f>
        <v>57.92764999999963</v>
      </c>
      <c r="K2927" s="212">
        <f>K2916</f>
        <v>57.92764999999963</v>
      </c>
      <c r="L2927" s="58"/>
      <c r="M2927" s="58">
        <f>K2927-L2927</f>
        <v>57.92764999999963</v>
      </c>
      <c r="N2927" s="166"/>
      <c r="O2927" s="58"/>
      <c r="P2927" s="58"/>
      <c r="Q2927" s="58"/>
      <c r="R2927" s="58"/>
      <c r="S2927" s="58"/>
      <c r="T2927" s="220"/>
      <c r="U2927" s="88"/>
      <c r="V2927" s="56"/>
      <c r="W2927" s="57" t="s">
        <v>1036</v>
      </c>
      <c r="X2927" s="53"/>
      <c r="Y2927" s="91" t="s">
        <v>68</v>
      </c>
      <c r="Z2927" s="136">
        <f>AD2927/AC2927</f>
        <v>78.583333333333329</v>
      </c>
      <c r="AA2927" s="58"/>
      <c r="AB2927" s="53">
        <f>AD2927/AC2927</f>
        <v>78.583333333333329</v>
      </c>
      <c r="AC2927" s="53">
        <f>M2927+$AE$10</f>
        <v>57.92764999999963</v>
      </c>
      <c r="AD2927" s="54">
        <f>SUM(AD2928:AD2934)</f>
        <v>4552.1478291666372</v>
      </c>
      <c r="AE2927" s="184">
        <f>SUMIFS($AD$37:$AD$12971,$V$37:$V$12971,$V2927,$X$37:$X$12971,AE$13)</f>
        <v>0</v>
      </c>
      <c r="AF2927" s="185">
        <f>SUMIFS($AD$37:$AD$12971,$V$37:$V$12971,$V2927,$X$37:$X$12971,AF$13)</f>
        <v>0</v>
      </c>
      <c r="AG2927" s="185">
        <f>SUMIFS($AD$37:$AD$12971,$V$37:$V$12971,$V2927,$X$37:$X$12971,AG$13)</f>
        <v>0</v>
      </c>
      <c r="AH2927" s="187">
        <f>SUMIFS($AD$37:$AD$12971,$V$37:$V$12971,$V2927,$X$37:$X$12971,AH$13)</f>
        <v>0</v>
      </c>
      <c r="AI2927" s="161">
        <f t="shared" ref="AI2927" si="2285">SUM(AE2927:AH2927)</f>
        <v>0</v>
      </c>
      <c r="AK2927" s="172"/>
    </row>
    <row r="2928" spans="1:41" s="102" customFormat="1" ht="19.899999999999999" customHeight="1" x14ac:dyDescent="0.25">
      <c r="A2928" s="45"/>
      <c r="B2928" s="59"/>
      <c r="C2928" s="137"/>
      <c r="D2928" s="59"/>
      <c r="E2928" s="116"/>
      <c r="F2928" s="120"/>
      <c r="G2928" s="120"/>
      <c r="H2928" s="120"/>
      <c r="I2928" s="60"/>
      <c r="J2928" s="116"/>
      <c r="K2928" s="213"/>
      <c r="L2928" s="120"/>
      <c r="M2928" s="120"/>
      <c r="N2928" s="167"/>
      <c r="O2928" s="120"/>
      <c r="P2928" s="120"/>
      <c r="Q2928" s="120"/>
      <c r="R2928" s="120"/>
      <c r="S2928" s="120"/>
      <c r="T2928" s="221"/>
      <c r="U2928" s="89"/>
      <c r="V2928" s="61"/>
      <c r="W2928" s="92" t="s">
        <v>1101</v>
      </c>
      <c r="X2928" s="93" t="s">
        <v>30</v>
      </c>
      <c r="Y2928" s="93" t="s">
        <v>68</v>
      </c>
      <c r="Z2928" s="134">
        <f>VLOOKUP(W2928,Sheet2!$B:$D,3,FALSE)</f>
        <v>33.5</v>
      </c>
      <c r="AA2928" s="93">
        <v>1</v>
      </c>
      <c r="AB2928" s="93">
        <f>AD2928/AC2927</f>
        <v>33.5</v>
      </c>
      <c r="AC2928" s="93">
        <f>AC2927/AA2928</f>
        <v>57.92764999999963</v>
      </c>
      <c r="AD2928" s="94">
        <f t="shared" ref="AD2928" si="2286">AC2928*Z2928</f>
        <v>1940.5762749999876</v>
      </c>
      <c r="AE2928" s="190"/>
      <c r="AF2928" s="191"/>
      <c r="AG2928" s="191"/>
      <c r="AH2928" s="191"/>
      <c r="AI2928" s="186"/>
      <c r="AK2928" s="171"/>
    </row>
    <row r="2929" spans="1:41" s="102" customFormat="1" ht="19.899999999999999" customHeight="1" x14ac:dyDescent="0.25">
      <c r="A2929" s="45"/>
      <c r="B2929" s="59"/>
      <c r="C2929" s="137"/>
      <c r="D2929" s="59"/>
      <c r="E2929" s="116"/>
      <c r="F2929" s="120"/>
      <c r="G2929" s="120"/>
      <c r="H2929" s="120"/>
      <c r="I2929" s="60"/>
      <c r="J2929" s="116"/>
      <c r="K2929" s="213"/>
      <c r="L2929" s="120"/>
      <c r="M2929" s="120"/>
      <c r="N2929" s="167"/>
      <c r="O2929" s="120"/>
      <c r="P2929" s="120"/>
      <c r="Q2929" s="120"/>
      <c r="R2929" s="120"/>
      <c r="S2929" s="120"/>
      <c r="T2929" s="221"/>
      <c r="U2929" s="89"/>
      <c r="V2929" s="61"/>
      <c r="W2929" s="92" t="s">
        <v>1102</v>
      </c>
      <c r="X2929" s="93" t="s">
        <v>30</v>
      </c>
      <c r="Y2929" s="93" t="s">
        <v>68</v>
      </c>
      <c r="Z2929" s="134">
        <f>VLOOKUP(W2929,Sheet2!$B:$D,3,FALSE)</f>
        <v>2</v>
      </c>
      <c r="AA2929" s="93">
        <v>1</v>
      </c>
      <c r="AB2929" s="93">
        <f>AD2929/AC2927</f>
        <v>2</v>
      </c>
      <c r="AC2929" s="93">
        <f>AC2927/AA2929</f>
        <v>57.92764999999963</v>
      </c>
      <c r="AD2929" s="94">
        <f>AC2929*Z2929</f>
        <v>115.85529999999926</v>
      </c>
      <c r="AE2929" s="190"/>
      <c r="AF2929" s="191"/>
      <c r="AG2929" s="191"/>
      <c r="AH2929" s="191"/>
      <c r="AI2929" s="186"/>
      <c r="AK2929" s="171"/>
    </row>
    <row r="2930" spans="1:41" s="102" customFormat="1" ht="19.899999999999999" customHeight="1" x14ac:dyDescent="0.25">
      <c r="A2930" s="45"/>
      <c r="B2930" s="59"/>
      <c r="C2930" s="137"/>
      <c r="D2930" s="59"/>
      <c r="E2930" s="116"/>
      <c r="F2930" s="120"/>
      <c r="G2930" s="120"/>
      <c r="H2930" s="120"/>
      <c r="I2930" s="60"/>
      <c r="J2930" s="116"/>
      <c r="K2930" s="213"/>
      <c r="L2930" s="120"/>
      <c r="M2930" s="120"/>
      <c r="N2930" s="167"/>
      <c r="O2930" s="120"/>
      <c r="P2930" s="120"/>
      <c r="Q2930" s="120"/>
      <c r="R2930" s="120"/>
      <c r="S2930" s="120"/>
      <c r="T2930" s="221"/>
      <c r="U2930" s="89"/>
      <c r="V2930" s="61"/>
      <c r="W2930" s="92" t="s">
        <v>107</v>
      </c>
      <c r="X2930" s="93" t="s">
        <v>31</v>
      </c>
      <c r="Y2930" s="93" t="s">
        <v>93</v>
      </c>
      <c r="Z2930" s="134">
        <f>VLOOKUP(W2930,Sheet2!$B:$D,3,FALSE)</f>
        <v>17</v>
      </c>
      <c r="AA2930" s="93">
        <v>12</v>
      </c>
      <c r="AB2930" s="93">
        <f>AD2930/AC2927</f>
        <v>1.4166666666666667</v>
      </c>
      <c r="AC2930" s="93">
        <f>AC2927/AA2930</f>
        <v>4.8273041666666359</v>
      </c>
      <c r="AD2930" s="94">
        <f>AC2930*Z2930</f>
        <v>82.06417083333281</v>
      </c>
      <c r="AE2930" s="190"/>
      <c r="AF2930" s="191"/>
      <c r="AG2930" s="191"/>
      <c r="AH2930" s="191"/>
      <c r="AI2930" s="186"/>
      <c r="AK2930" s="171"/>
    </row>
    <row r="2931" spans="1:41" s="102" customFormat="1" ht="19.899999999999999" customHeight="1" x14ac:dyDescent="0.25">
      <c r="A2931" s="45"/>
      <c r="B2931" s="59"/>
      <c r="C2931" s="137"/>
      <c r="D2931" s="59"/>
      <c r="E2931" s="116"/>
      <c r="F2931" s="120"/>
      <c r="G2931" s="120"/>
      <c r="H2931" s="120"/>
      <c r="I2931" s="60"/>
      <c r="J2931" s="116"/>
      <c r="K2931" s="213"/>
      <c r="L2931" s="120"/>
      <c r="M2931" s="120"/>
      <c r="N2931" s="167"/>
      <c r="O2931" s="120"/>
      <c r="P2931" s="120"/>
      <c r="Q2931" s="120"/>
      <c r="R2931" s="120"/>
      <c r="S2931" s="120"/>
      <c r="T2931" s="221"/>
      <c r="U2931" s="89"/>
      <c r="V2931" s="61"/>
      <c r="W2931" s="92" t="s">
        <v>112</v>
      </c>
      <c r="X2931" s="93" t="s">
        <v>31</v>
      </c>
      <c r="Y2931" s="93" t="s">
        <v>93</v>
      </c>
      <c r="Z2931" s="134">
        <f>VLOOKUP(W2931,Sheet2!$B:$D,3,FALSE)</f>
        <v>13</v>
      </c>
      <c r="AA2931" s="93">
        <v>12</v>
      </c>
      <c r="AB2931" s="93">
        <f>AD2931/AC2927</f>
        <v>1.0833333333333333</v>
      </c>
      <c r="AC2931" s="93">
        <f>AC2927/AA2931</f>
        <v>4.8273041666666359</v>
      </c>
      <c r="AD2931" s="94">
        <f>AC2931*Z2931</f>
        <v>62.754954166666266</v>
      </c>
      <c r="AE2931" s="190"/>
      <c r="AF2931" s="191"/>
      <c r="AG2931" s="191"/>
      <c r="AH2931" s="191"/>
      <c r="AI2931" s="186"/>
      <c r="AK2931" s="171"/>
    </row>
    <row r="2932" spans="1:41" s="102" customFormat="1" ht="19.899999999999999" customHeight="1" x14ac:dyDescent="0.25">
      <c r="A2932" s="45"/>
      <c r="B2932" s="59"/>
      <c r="C2932" s="137"/>
      <c r="D2932" s="59"/>
      <c r="E2932" s="116"/>
      <c r="F2932" s="120"/>
      <c r="G2932" s="120"/>
      <c r="H2932" s="120"/>
      <c r="I2932" s="60"/>
      <c r="J2932" s="116"/>
      <c r="K2932" s="213"/>
      <c r="L2932" s="120"/>
      <c r="M2932" s="120"/>
      <c r="N2932" s="167"/>
      <c r="O2932" s="120"/>
      <c r="P2932" s="120"/>
      <c r="Q2932" s="120"/>
      <c r="R2932" s="120"/>
      <c r="S2932" s="120"/>
      <c r="T2932" s="221"/>
      <c r="U2932" s="89"/>
      <c r="V2932" s="61"/>
      <c r="W2932" s="92" t="s">
        <v>1032</v>
      </c>
      <c r="X2932" s="93" t="s">
        <v>30</v>
      </c>
      <c r="Y2932" s="93" t="s">
        <v>66</v>
      </c>
      <c r="Z2932" s="134">
        <f>VLOOKUP(W2932,Sheet2!$B:$D,3,FALSE)</f>
        <v>250</v>
      </c>
      <c r="AA2932" s="93">
        <f>1/(1*1*0.1)</f>
        <v>10</v>
      </c>
      <c r="AB2932" s="93">
        <f>AD2932/AC2927</f>
        <v>25</v>
      </c>
      <c r="AC2932" s="93">
        <f>AC2927/AA2932</f>
        <v>5.7927649999999629</v>
      </c>
      <c r="AD2932" s="94">
        <f>AC2932*Z2932</f>
        <v>1448.1912499999908</v>
      </c>
      <c r="AE2932" s="190"/>
      <c r="AF2932" s="191"/>
      <c r="AG2932" s="191"/>
      <c r="AH2932" s="191"/>
      <c r="AI2932" s="186"/>
      <c r="AK2932" s="171"/>
    </row>
    <row r="2933" spans="1:41" s="102" customFormat="1" ht="19.899999999999999" customHeight="1" x14ac:dyDescent="0.25">
      <c r="A2933" s="45"/>
      <c r="B2933" s="59"/>
      <c r="C2933" s="137"/>
      <c r="D2933" s="59"/>
      <c r="E2933" s="116"/>
      <c r="F2933" s="120"/>
      <c r="G2933" s="120"/>
      <c r="H2933" s="120"/>
      <c r="I2933" s="60"/>
      <c r="J2933" s="116"/>
      <c r="K2933" s="213"/>
      <c r="L2933" s="120"/>
      <c r="M2933" s="120"/>
      <c r="N2933" s="167"/>
      <c r="O2933" s="120"/>
      <c r="P2933" s="120"/>
      <c r="Q2933" s="120"/>
      <c r="R2933" s="120"/>
      <c r="S2933" s="120"/>
      <c r="T2933" s="221"/>
      <c r="U2933" s="89"/>
      <c r="V2933" s="61"/>
      <c r="W2933" s="92" t="s">
        <v>1035</v>
      </c>
      <c r="X2933" s="93" t="s">
        <v>32</v>
      </c>
      <c r="Y2933" s="93" t="s">
        <v>66</v>
      </c>
      <c r="Z2933" s="134">
        <f>VLOOKUP(W2933,Sheet2!$B:$D,3,FALSE)</f>
        <v>150</v>
      </c>
      <c r="AA2933" s="93">
        <f>AA2932</f>
        <v>10</v>
      </c>
      <c r="AB2933" s="93">
        <f>AD2933/AC2927</f>
        <v>15</v>
      </c>
      <c r="AC2933" s="93">
        <f>AC2927/AA2933</f>
        <v>5.7927649999999629</v>
      </c>
      <c r="AD2933" s="94">
        <f t="shared" ref="AD2933:AD2934" si="2287">AC2933*Z2933</f>
        <v>868.91474999999446</v>
      </c>
      <c r="AE2933" s="190"/>
      <c r="AF2933" s="191"/>
      <c r="AG2933" s="191"/>
      <c r="AH2933" s="191"/>
      <c r="AI2933" s="186"/>
      <c r="AK2933" s="171"/>
    </row>
    <row r="2934" spans="1:41" s="102" customFormat="1" ht="19.899999999999999" customHeight="1" x14ac:dyDescent="0.25">
      <c r="A2934" s="45"/>
      <c r="B2934" s="59"/>
      <c r="C2934" s="137"/>
      <c r="D2934" s="59"/>
      <c r="E2934" s="116"/>
      <c r="F2934" s="120"/>
      <c r="G2934" s="120"/>
      <c r="H2934" s="120"/>
      <c r="I2934" s="60"/>
      <c r="J2934" s="116"/>
      <c r="K2934" s="213"/>
      <c r="L2934" s="120"/>
      <c r="M2934" s="120"/>
      <c r="N2934" s="167"/>
      <c r="O2934" s="120"/>
      <c r="P2934" s="120"/>
      <c r="Q2934" s="120"/>
      <c r="R2934" s="120"/>
      <c r="S2934" s="120"/>
      <c r="T2934" s="221"/>
      <c r="U2934" s="89"/>
      <c r="V2934" s="61"/>
      <c r="W2934" s="92" t="s">
        <v>1037</v>
      </c>
      <c r="X2934" s="93" t="s">
        <v>30</v>
      </c>
      <c r="Y2934" s="93" t="s">
        <v>1038</v>
      </c>
      <c r="Z2934" s="134">
        <f>VLOOKUP(W2934,Sheet2!$B:$D,3,FALSE)</f>
        <v>175</v>
      </c>
      <c r="AA2934" s="93">
        <v>300</v>
      </c>
      <c r="AB2934" s="93">
        <f>AD2934/AC2927</f>
        <v>0.58333333333333337</v>
      </c>
      <c r="AC2934" s="93">
        <f>AC2927/AA2934</f>
        <v>0.19309216666666543</v>
      </c>
      <c r="AD2934" s="94">
        <f t="shared" si="2287"/>
        <v>33.791129166666451</v>
      </c>
      <c r="AE2934" s="190"/>
      <c r="AF2934" s="191"/>
      <c r="AG2934" s="191"/>
      <c r="AH2934" s="191"/>
      <c r="AI2934" s="186"/>
      <c r="AK2934" s="171"/>
    </row>
    <row r="2935" spans="1:41" s="103" customFormat="1" ht="19.899999999999999" customHeight="1" x14ac:dyDescent="0.25">
      <c r="A2935" s="51"/>
      <c r="B2935" s="52"/>
      <c r="C2935" s="165"/>
      <c r="D2935" s="52"/>
      <c r="E2935" s="115"/>
      <c r="F2935" s="58"/>
      <c r="G2935" s="58"/>
      <c r="H2935" s="58"/>
      <c r="I2935" s="55"/>
      <c r="J2935" s="113">
        <f>J2916</f>
        <v>57.92764999999963</v>
      </c>
      <c r="K2935" s="212">
        <f>K2916</f>
        <v>57.92764999999963</v>
      </c>
      <c r="L2935" s="58"/>
      <c r="M2935" s="58">
        <f>K2935-L2935</f>
        <v>57.92764999999963</v>
      </c>
      <c r="N2935" s="166"/>
      <c r="O2935" s="58"/>
      <c r="P2935" s="58"/>
      <c r="Q2935" s="58"/>
      <c r="R2935" s="58"/>
      <c r="S2935" s="58"/>
      <c r="T2935" s="220"/>
      <c r="U2935" s="88"/>
      <c r="V2935" s="56"/>
      <c r="W2935" s="57" t="s">
        <v>1040</v>
      </c>
      <c r="X2935" s="53"/>
      <c r="Y2935" s="91" t="s">
        <v>68</v>
      </c>
      <c r="Z2935" s="136">
        <f>AD2935/AC2935</f>
        <v>5</v>
      </c>
      <c r="AA2935" s="58"/>
      <c r="AB2935" s="53">
        <f>AD2935/AC2935</f>
        <v>5</v>
      </c>
      <c r="AC2935" s="53">
        <f>M2935+$AE$10</f>
        <v>57.92764999999963</v>
      </c>
      <c r="AD2935" s="54">
        <f>SUM(AD2936)</f>
        <v>289.63824999999815</v>
      </c>
      <c r="AE2935" s="184">
        <f>SUMIFS($AD$37:$AD$12971,$V$37:$V$12971,$V2935,$X$37:$X$12971,AE$13)</f>
        <v>0</v>
      </c>
      <c r="AF2935" s="185">
        <f>SUMIFS($AD$37:$AD$12971,$V$37:$V$12971,$V2935,$X$37:$X$12971,AF$13)</f>
        <v>0</v>
      </c>
      <c r="AG2935" s="185">
        <f>SUMIFS($AD$37:$AD$12971,$V$37:$V$12971,$V2935,$X$37:$X$12971,AG$13)</f>
        <v>0</v>
      </c>
      <c r="AH2935" s="187">
        <f>SUMIFS($AD$37:$AD$12971,$V$37:$V$12971,$V2935,$X$37:$X$12971,AH$13)</f>
        <v>0</v>
      </c>
      <c r="AI2935" s="161">
        <f t="shared" ref="AI2935" si="2288">SUM(AE2935:AH2935)</f>
        <v>0</v>
      </c>
      <c r="AK2935" s="172"/>
    </row>
    <row r="2936" spans="1:41" s="102" customFormat="1" ht="19.899999999999999" customHeight="1" x14ac:dyDescent="0.25">
      <c r="A2936" s="45"/>
      <c r="B2936" s="59"/>
      <c r="C2936" s="137"/>
      <c r="D2936" s="59"/>
      <c r="E2936" s="116"/>
      <c r="F2936" s="120"/>
      <c r="G2936" s="120"/>
      <c r="H2936" s="120"/>
      <c r="I2936" s="60"/>
      <c r="J2936" s="116"/>
      <c r="K2936" s="213"/>
      <c r="L2936" s="120"/>
      <c r="M2936" s="120"/>
      <c r="N2936" s="167"/>
      <c r="O2936" s="120"/>
      <c r="P2936" s="120"/>
      <c r="Q2936" s="120"/>
      <c r="R2936" s="120"/>
      <c r="S2936" s="120"/>
      <c r="T2936" s="221"/>
      <c r="U2936" s="89"/>
      <c r="V2936" s="61"/>
      <c r="W2936" s="92" t="s">
        <v>1039</v>
      </c>
      <c r="X2936" s="93" t="s">
        <v>32</v>
      </c>
      <c r="Y2936" s="93" t="s">
        <v>68</v>
      </c>
      <c r="Z2936" s="134">
        <f>VLOOKUP(W2936,Sheet2!$B:$D,3,FALSE)</f>
        <v>5</v>
      </c>
      <c r="AA2936" s="93">
        <v>1</v>
      </c>
      <c r="AB2936" s="93">
        <f>AD2936/AC2935</f>
        <v>5</v>
      </c>
      <c r="AC2936" s="93">
        <f>AC2935/AA2936</f>
        <v>57.92764999999963</v>
      </c>
      <c r="AD2936" s="94">
        <f t="shared" ref="AD2936" si="2289">AC2936*Z2936</f>
        <v>289.63824999999815</v>
      </c>
      <c r="AE2936" s="190"/>
      <c r="AF2936" s="191"/>
      <c r="AG2936" s="191"/>
      <c r="AH2936" s="191"/>
      <c r="AI2936" s="186"/>
      <c r="AK2936" s="171"/>
    </row>
    <row r="2937" spans="1:41" ht="20.100000000000001" customHeight="1" x14ac:dyDescent="0.25">
      <c r="A2937" s="277" t="s">
        <v>491</v>
      </c>
      <c r="B2937" s="278"/>
      <c r="C2937" s="64" t="s">
        <v>1207</v>
      </c>
      <c r="D2937" s="46" t="s">
        <v>97</v>
      </c>
      <c r="E2937" s="114"/>
      <c r="F2937" s="44"/>
      <c r="G2937" s="44">
        <f t="shared" si="1977"/>
        <v>0</v>
      </c>
      <c r="H2937" s="44">
        <f t="shared" si="1978"/>
        <v>0</v>
      </c>
      <c r="I2937" s="43">
        <f t="shared" si="1979"/>
        <v>0</v>
      </c>
      <c r="J2937" s="112">
        <f t="shared" si="1980"/>
        <v>0</v>
      </c>
      <c r="K2937" s="211">
        <f t="shared" si="1981"/>
        <v>0</v>
      </c>
      <c r="L2937" s="44"/>
      <c r="M2937" s="44">
        <f t="shared" si="1982"/>
        <v>0</v>
      </c>
      <c r="N2937" s="173">
        <f t="shared" si="1983"/>
        <v>0</v>
      </c>
      <c r="O2937" s="44">
        <f t="shared" si="1984"/>
        <v>0</v>
      </c>
      <c r="P2937" s="44">
        <f t="shared" si="1985"/>
        <v>0</v>
      </c>
      <c r="Q2937" s="44">
        <f t="shared" si="1986"/>
        <v>0</v>
      </c>
      <c r="R2937" s="44">
        <f t="shared" si="1987"/>
        <v>0</v>
      </c>
      <c r="S2937" s="123"/>
      <c r="T2937" s="219">
        <f t="shared" si="1988"/>
        <v>0</v>
      </c>
      <c r="U2937" s="87"/>
      <c r="V2937" s="47"/>
      <c r="W2937" s="48"/>
      <c r="X2937" s="48"/>
      <c r="Y2937" s="48"/>
      <c r="Z2937" s="135"/>
      <c r="AA2937" s="49"/>
      <c r="AB2937" s="50">
        <f t="shared" si="1989"/>
        <v>0</v>
      </c>
      <c r="AC2937" s="42">
        <f t="shared" si="1990"/>
        <v>9.9999999999999998E-20</v>
      </c>
      <c r="AD2937" s="90"/>
      <c r="AE2937" s="188"/>
      <c r="AF2937" s="189"/>
      <c r="AG2937" s="189"/>
      <c r="AH2937" s="189"/>
      <c r="AI2937" s="161"/>
    </row>
    <row r="2938" spans="1:41" ht="20.100000000000001" customHeight="1" x14ac:dyDescent="0.25">
      <c r="A2938" s="277" t="s">
        <v>491</v>
      </c>
      <c r="B2938" s="278"/>
      <c r="C2938" s="64" t="s">
        <v>1208</v>
      </c>
      <c r="D2938" s="46" t="s">
        <v>97</v>
      </c>
      <c r="E2938" s="114">
        <v>65.292449999999462</v>
      </c>
      <c r="F2938" s="44">
        <v>174</v>
      </c>
      <c r="G2938" s="44">
        <f t="shared" si="1977"/>
        <v>11360.886299999907</v>
      </c>
      <c r="H2938" s="44">
        <f t="shared" si="1978"/>
        <v>100.91606274509805</v>
      </c>
      <c r="I2938" s="43">
        <f t="shared" si="1979"/>
        <v>6589.0569809811223</v>
      </c>
      <c r="J2938" s="112">
        <f t="shared" si="1980"/>
        <v>65.292449999999462</v>
      </c>
      <c r="K2938" s="211">
        <f t="shared" si="1981"/>
        <v>65.292449999999462</v>
      </c>
      <c r="L2938" s="44"/>
      <c r="M2938" s="44">
        <f t="shared" si="1982"/>
        <v>65.292449999999462</v>
      </c>
      <c r="N2938" s="173">
        <f t="shared" si="1983"/>
        <v>1</v>
      </c>
      <c r="O2938" s="44">
        <f t="shared" si="1984"/>
        <v>174</v>
      </c>
      <c r="P2938" s="44">
        <f t="shared" si="1985"/>
        <v>11360.886299999907</v>
      </c>
      <c r="Q2938" s="44">
        <f t="shared" si="1986"/>
        <v>100.91606274509805</v>
      </c>
      <c r="R2938" s="44">
        <f t="shared" si="1987"/>
        <v>6589.0569809811223</v>
      </c>
      <c r="S2938" s="123"/>
      <c r="T2938" s="219">
        <f t="shared" si="1988"/>
        <v>6589.0569809811223</v>
      </c>
      <c r="U2938" s="87"/>
      <c r="V2938" s="47"/>
      <c r="W2938" s="48"/>
      <c r="X2938" s="48"/>
      <c r="Y2938" s="48"/>
      <c r="Z2938" s="135"/>
      <c r="AA2938" s="49"/>
      <c r="AB2938" s="50">
        <f t="shared" si="1989"/>
        <v>100.91606274509805</v>
      </c>
      <c r="AC2938" s="42">
        <f t="shared" si="1990"/>
        <v>65.292449999999462</v>
      </c>
      <c r="AD2938" s="90">
        <f>AD2939+AD2948+AD2956</f>
        <v>6589.0569809811223</v>
      </c>
      <c r="AE2938" s="188">
        <f t="shared" ref="AE2938:AH2938" si="2290">AE2939+AE2948+AE2956</f>
        <v>0</v>
      </c>
      <c r="AF2938" s="189">
        <f t="shared" si="2290"/>
        <v>0</v>
      </c>
      <c r="AG2938" s="189">
        <f t="shared" si="2290"/>
        <v>0</v>
      </c>
      <c r="AH2938" s="189">
        <f t="shared" si="2290"/>
        <v>0</v>
      </c>
      <c r="AI2938" s="161">
        <f t="shared" ref="AI2938" si="2291">SUM(AE2938:AH2938)</f>
        <v>0</v>
      </c>
      <c r="AK2938" s="169">
        <v>5</v>
      </c>
      <c r="AO2938" s="19" t="s">
        <v>63</v>
      </c>
    </row>
    <row r="2939" spans="1:41" s="103" customFormat="1" ht="19.899999999999999" customHeight="1" x14ac:dyDescent="0.25">
      <c r="A2939" s="51"/>
      <c r="B2939" s="52"/>
      <c r="C2939" s="165"/>
      <c r="D2939" s="52"/>
      <c r="E2939" s="115"/>
      <c r="F2939" s="58"/>
      <c r="G2939" s="58"/>
      <c r="H2939" s="58"/>
      <c r="I2939" s="55"/>
      <c r="J2939" s="113">
        <f>J2938</f>
        <v>65.292449999999462</v>
      </c>
      <c r="K2939" s="212">
        <f>K2938</f>
        <v>65.292449999999462</v>
      </c>
      <c r="L2939" s="58"/>
      <c r="M2939" s="58">
        <f>K2939-L2939</f>
        <v>65.292449999999462</v>
      </c>
      <c r="N2939" s="166"/>
      <c r="O2939" s="58"/>
      <c r="P2939" s="58"/>
      <c r="Q2939" s="58"/>
      <c r="R2939" s="58"/>
      <c r="S2939" s="58"/>
      <c r="T2939" s="220"/>
      <c r="U2939" s="88"/>
      <c r="V2939" s="56"/>
      <c r="W2939" s="57" t="s">
        <v>1034</v>
      </c>
      <c r="X2939" s="53"/>
      <c r="Y2939" s="91" t="s">
        <v>68</v>
      </c>
      <c r="Z2939" s="136">
        <f>AD2939/AC2939</f>
        <v>7.5827294117647055</v>
      </c>
      <c r="AA2939" s="58"/>
      <c r="AB2939" s="53">
        <f>AD2939/AC2939</f>
        <v>7.5827294117647055</v>
      </c>
      <c r="AC2939" s="53">
        <f>M2939+$AE$10</f>
        <v>65.292449999999462</v>
      </c>
      <c r="AD2939" s="54">
        <f>SUM(AD2940:AD2947)</f>
        <v>495.09498098117234</v>
      </c>
      <c r="AE2939" s="184">
        <f>SUMIFS($AD$37:$AD$12971,$V$37:$V$12971,$V2939,$X$37:$X$12971,AE$13)</f>
        <v>0</v>
      </c>
      <c r="AF2939" s="185">
        <f>SUMIFS($AD$37:$AD$12971,$V$37:$V$12971,$V2939,$X$37:$X$12971,AF$13)</f>
        <v>0</v>
      </c>
      <c r="AG2939" s="185">
        <f>SUMIFS($AD$37:$AD$12971,$V$37:$V$12971,$V2939,$X$37:$X$12971,AG$13)</f>
        <v>0</v>
      </c>
      <c r="AH2939" s="187">
        <f>SUMIFS($AD$37:$AD$12971,$V$37:$V$12971,$V2939,$X$37:$X$12971,AH$13)</f>
        <v>0</v>
      </c>
      <c r="AI2939" s="161">
        <f t="shared" ref="AI2939" si="2292">SUM(AE2939:AH2939)</f>
        <v>0</v>
      </c>
      <c r="AK2939" s="172"/>
    </row>
    <row r="2940" spans="1:41" s="102" customFormat="1" ht="19.899999999999999" customHeight="1" x14ac:dyDescent="0.25">
      <c r="A2940" s="45"/>
      <c r="B2940" s="59"/>
      <c r="C2940" s="137"/>
      <c r="D2940" s="59"/>
      <c r="E2940" s="116"/>
      <c r="F2940" s="120"/>
      <c r="G2940" s="120"/>
      <c r="H2940" s="120"/>
      <c r="I2940" s="60"/>
      <c r="J2940" s="116"/>
      <c r="K2940" s="213"/>
      <c r="L2940" s="120"/>
      <c r="M2940" s="120"/>
      <c r="N2940" s="167"/>
      <c r="O2940" s="120"/>
      <c r="P2940" s="120"/>
      <c r="Q2940" s="120"/>
      <c r="R2940" s="120"/>
      <c r="S2940" s="120"/>
      <c r="T2940" s="221"/>
      <c r="U2940" s="89"/>
      <c r="V2940" s="61"/>
      <c r="W2940" s="92" t="s">
        <v>129</v>
      </c>
      <c r="X2940" s="93" t="s">
        <v>29</v>
      </c>
      <c r="Y2940" s="93" t="s">
        <v>93</v>
      </c>
      <c r="Z2940" s="134">
        <f>VLOOKUP(W2940,Sheet2!$B:$D,3,FALSE)</f>
        <v>56</v>
      </c>
      <c r="AA2940" s="93">
        <f>100/(1*1.5)</f>
        <v>66.666666666666671</v>
      </c>
      <c r="AB2940" s="93">
        <f t="shared" ref="AB2940" si="2293">AD2940/AC2939</f>
        <v>0.84</v>
      </c>
      <c r="AC2940" s="93">
        <f>AC2939/AA2940</f>
        <v>0.97938674999999187</v>
      </c>
      <c r="AD2940" s="94">
        <f t="shared" ref="AD2940:AD2941" si="2294">AC2940*Z2940</f>
        <v>54.845657999999545</v>
      </c>
      <c r="AE2940" s="190"/>
      <c r="AF2940" s="191"/>
      <c r="AG2940" s="191"/>
      <c r="AH2940" s="191"/>
      <c r="AI2940" s="186"/>
      <c r="AK2940" s="171"/>
    </row>
    <row r="2941" spans="1:41" s="102" customFormat="1" ht="19.899999999999999" customHeight="1" x14ac:dyDescent="0.25">
      <c r="A2941" s="45"/>
      <c r="B2941" s="59"/>
      <c r="C2941" s="137"/>
      <c r="D2941" s="59"/>
      <c r="E2941" s="116"/>
      <c r="F2941" s="120"/>
      <c r="G2941" s="120"/>
      <c r="H2941" s="120"/>
      <c r="I2941" s="60"/>
      <c r="J2941" s="116"/>
      <c r="K2941" s="213"/>
      <c r="L2941" s="120"/>
      <c r="M2941" s="120"/>
      <c r="N2941" s="167"/>
      <c r="O2941" s="120"/>
      <c r="P2941" s="120"/>
      <c r="Q2941" s="120"/>
      <c r="R2941" s="120"/>
      <c r="S2941" s="120"/>
      <c r="T2941" s="221"/>
      <c r="U2941" s="89"/>
      <c r="V2941" s="61"/>
      <c r="W2941" s="92" t="s">
        <v>65</v>
      </c>
      <c r="X2941" s="93" t="s">
        <v>30</v>
      </c>
      <c r="Y2941" s="93" t="s">
        <v>1011</v>
      </c>
      <c r="Z2941" s="134">
        <f>VLOOKUP(W2941,Sheet2!$B:$D,3,FALSE)</f>
        <v>1.76</v>
      </c>
      <c r="AA2941" s="93">
        <f>AA2940/14</f>
        <v>4.7619047619047619</v>
      </c>
      <c r="AB2941" s="93">
        <f>AD2941/AC2939</f>
        <v>0.36959999999999998</v>
      </c>
      <c r="AC2941" s="93">
        <f>AC2939/AA2941</f>
        <v>13.711414499999886</v>
      </c>
      <c r="AD2941" s="94">
        <f t="shared" si="2294"/>
        <v>24.132089519999798</v>
      </c>
      <c r="AE2941" s="190"/>
      <c r="AF2941" s="191"/>
      <c r="AG2941" s="191"/>
      <c r="AH2941" s="191"/>
      <c r="AI2941" s="186"/>
      <c r="AK2941" s="171"/>
    </row>
    <row r="2942" spans="1:41" s="102" customFormat="1" ht="19.899999999999999" customHeight="1" x14ac:dyDescent="0.25">
      <c r="A2942" s="45"/>
      <c r="B2942" s="59"/>
      <c r="C2942" s="137"/>
      <c r="D2942" s="59"/>
      <c r="E2942" s="116"/>
      <c r="F2942" s="120"/>
      <c r="G2942" s="120"/>
      <c r="H2942" s="120"/>
      <c r="I2942" s="60"/>
      <c r="J2942" s="116"/>
      <c r="K2942" s="213"/>
      <c r="L2942" s="120"/>
      <c r="M2942" s="120"/>
      <c r="N2942" s="167"/>
      <c r="O2942" s="120"/>
      <c r="P2942" s="120"/>
      <c r="Q2942" s="120"/>
      <c r="R2942" s="120"/>
      <c r="S2942" s="120"/>
      <c r="T2942" s="221"/>
      <c r="U2942" s="89"/>
      <c r="V2942" s="61"/>
      <c r="W2942" s="92" t="s">
        <v>161</v>
      </c>
      <c r="X2942" s="93" t="s">
        <v>29</v>
      </c>
      <c r="Y2942" s="93" t="s">
        <v>93</v>
      </c>
      <c r="Z2942" s="134">
        <f>VLOOKUP(W2942,Sheet2!$B:$D,3,FALSE)</f>
        <v>48</v>
      </c>
      <c r="AA2942" s="93">
        <f>(16*0.85*1.5)/(1*1.5)</f>
        <v>13.6</v>
      </c>
      <c r="AB2942" s="93">
        <f>AD2942/AC2939</f>
        <v>3.5294117647058822</v>
      </c>
      <c r="AC2942" s="93">
        <f>AC2939/AA2942</f>
        <v>4.8009154411764312</v>
      </c>
      <c r="AD2942" s="94">
        <f>AC2942*Z2942</f>
        <v>230.44394117646868</v>
      </c>
      <c r="AE2942" s="190"/>
      <c r="AF2942" s="191"/>
      <c r="AG2942" s="191"/>
      <c r="AH2942" s="191"/>
      <c r="AI2942" s="186"/>
      <c r="AK2942" s="171"/>
    </row>
    <row r="2943" spans="1:41" s="102" customFormat="1" ht="19.899999999999999" customHeight="1" x14ac:dyDescent="0.25">
      <c r="A2943" s="45"/>
      <c r="B2943" s="59"/>
      <c r="C2943" s="137"/>
      <c r="D2943" s="59"/>
      <c r="E2943" s="116"/>
      <c r="F2943" s="120"/>
      <c r="G2943" s="120"/>
      <c r="H2943" s="120"/>
      <c r="I2943" s="60"/>
      <c r="J2943" s="116"/>
      <c r="K2943" s="213"/>
      <c r="L2943" s="120"/>
      <c r="M2943" s="120"/>
      <c r="N2943" s="167"/>
      <c r="O2943" s="120"/>
      <c r="P2943" s="120"/>
      <c r="Q2943" s="120"/>
      <c r="R2943" s="120"/>
      <c r="S2943" s="120"/>
      <c r="T2943" s="221"/>
      <c r="U2943" s="89"/>
      <c r="V2943" s="61"/>
      <c r="W2943" s="92" t="s">
        <v>65</v>
      </c>
      <c r="X2943" s="93" t="s">
        <v>30</v>
      </c>
      <c r="Y2943" s="93" t="s">
        <v>1011</v>
      </c>
      <c r="Z2943" s="134">
        <f>VLOOKUP(W2943,Sheet2!$B:$D,3,FALSE)</f>
        <v>1.76</v>
      </c>
      <c r="AA2943" s="93">
        <f>AA2942/10</f>
        <v>1.3599999999999999</v>
      </c>
      <c r="AB2943" s="93">
        <f>AD2943/AC2939</f>
        <v>1.2941176470588236</v>
      </c>
      <c r="AC2943" s="93">
        <f>AC2939/AA2943</f>
        <v>48.009154411764314</v>
      </c>
      <c r="AD2943" s="94">
        <f>AC2943*Z2943</f>
        <v>84.496111764705191</v>
      </c>
      <c r="AE2943" s="190"/>
      <c r="AF2943" s="191"/>
      <c r="AG2943" s="191"/>
      <c r="AH2943" s="191"/>
      <c r="AI2943" s="186"/>
      <c r="AK2943" s="171"/>
    </row>
    <row r="2944" spans="1:41" s="102" customFormat="1" ht="19.899999999999999" customHeight="1" x14ac:dyDescent="0.25">
      <c r="A2944" s="45"/>
      <c r="B2944" s="59"/>
      <c r="C2944" s="137"/>
      <c r="D2944" s="59"/>
      <c r="E2944" s="116"/>
      <c r="F2944" s="120"/>
      <c r="G2944" s="120"/>
      <c r="H2944" s="120"/>
      <c r="I2944" s="60"/>
      <c r="J2944" s="116"/>
      <c r="K2944" s="213"/>
      <c r="L2944" s="120"/>
      <c r="M2944" s="120"/>
      <c r="N2944" s="167"/>
      <c r="O2944" s="120"/>
      <c r="P2944" s="120"/>
      <c r="Q2944" s="120"/>
      <c r="R2944" s="120"/>
      <c r="S2944" s="120"/>
      <c r="T2944" s="221"/>
      <c r="U2944" s="89"/>
      <c r="V2944" s="61"/>
      <c r="W2944" s="92" t="s">
        <v>1030</v>
      </c>
      <c r="X2944" s="93" t="s">
        <v>29</v>
      </c>
      <c r="Y2944" s="93" t="s">
        <v>93</v>
      </c>
      <c r="Z2944" s="134">
        <f>VLOOKUP(W2944,Sheet2!$B:$D,3,FALSE)</f>
        <v>23</v>
      </c>
      <c r="AA2944" s="93">
        <v>50</v>
      </c>
      <c r="AB2944" s="93">
        <f>AD2944/AC2939</f>
        <v>0.45999999999999996</v>
      </c>
      <c r="AC2944" s="93">
        <f>AC2939/AA2944</f>
        <v>1.3058489999999892</v>
      </c>
      <c r="AD2944" s="94">
        <f t="shared" ref="AD2944:AD2947" si="2295">AC2944*Z2944</f>
        <v>30.034526999999752</v>
      </c>
      <c r="AE2944" s="190"/>
      <c r="AF2944" s="191"/>
      <c r="AG2944" s="191"/>
      <c r="AH2944" s="191"/>
      <c r="AI2944" s="186"/>
      <c r="AK2944" s="171"/>
    </row>
    <row r="2945" spans="1:41" s="102" customFormat="1" ht="19.899999999999999" customHeight="1" x14ac:dyDescent="0.25">
      <c r="A2945" s="45"/>
      <c r="B2945" s="59"/>
      <c r="C2945" s="137"/>
      <c r="D2945" s="59"/>
      <c r="E2945" s="116"/>
      <c r="F2945" s="120"/>
      <c r="G2945" s="120"/>
      <c r="H2945" s="120"/>
      <c r="I2945" s="60"/>
      <c r="J2945" s="116"/>
      <c r="K2945" s="213"/>
      <c r="L2945" s="120"/>
      <c r="M2945" s="120"/>
      <c r="N2945" s="167"/>
      <c r="O2945" s="120"/>
      <c r="P2945" s="120"/>
      <c r="Q2945" s="120"/>
      <c r="R2945" s="120"/>
      <c r="S2945" s="120"/>
      <c r="T2945" s="221"/>
      <c r="U2945" s="89"/>
      <c r="V2945" s="61"/>
      <c r="W2945" s="92" t="s">
        <v>65</v>
      </c>
      <c r="X2945" s="93" t="s">
        <v>30</v>
      </c>
      <c r="Y2945" s="93" t="s">
        <v>1011</v>
      </c>
      <c r="Z2945" s="134">
        <f>VLOOKUP(W2945,Sheet2!$B:$D,3,FALSE)</f>
        <v>1.76</v>
      </c>
      <c r="AA2945" s="93">
        <f>AA2944/3</f>
        <v>16.666666666666668</v>
      </c>
      <c r="AB2945" s="93">
        <f>AD2945/AC2939</f>
        <v>0.1056</v>
      </c>
      <c r="AC2945" s="93">
        <f>AC2939/AA2945</f>
        <v>3.9175469999999675</v>
      </c>
      <c r="AD2945" s="94">
        <f t="shared" si="2295"/>
        <v>6.8948827199999432</v>
      </c>
      <c r="AE2945" s="190"/>
      <c r="AF2945" s="191"/>
      <c r="AG2945" s="191"/>
      <c r="AH2945" s="191"/>
      <c r="AI2945" s="186"/>
      <c r="AK2945" s="171"/>
    </row>
    <row r="2946" spans="1:41" s="102" customFormat="1" ht="19.899999999999999" customHeight="1" x14ac:dyDescent="0.25">
      <c r="A2946" s="45"/>
      <c r="B2946" s="59"/>
      <c r="C2946" s="137"/>
      <c r="D2946" s="59"/>
      <c r="E2946" s="116"/>
      <c r="F2946" s="120"/>
      <c r="G2946" s="120"/>
      <c r="H2946" s="120"/>
      <c r="I2946" s="60"/>
      <c r="J2946" s="116"/>
      <c r="K2946" s="213"/>
      <c r="L2946" s="120"/>
      <c r="M2946" s="120"/>
      <c r="N2946" s="167"/>
      <c r="O2946" s="120"/>
      <c r="P2946" s="120"/>
      <c r="Q2946" s="120"/>
      <c r="R2946" s="120"/>
      <c r="S2946" s="120"/>
      <c r="T2946" s="221"/>
      <c r="U2946" s="89"/>
      <c r="V2946" s="61"/>
      <c r="W2946" s="92" t="s">
        <v>148</v>
      </c>
      <c r="X2946" s="93" t="s">
        <v>29</v>
      </c>
      <c r="Y2946" s="93" t="s">
        <v>93</v>
      </c>
      <c r="Z2946" s="134">
        <f>VLOOKUP(W2946,Sheet2!$B:$D,3,FALSE)</f>
        <v>48</v>
      </c>
      <c r="AA2946" s="93">
        <f>AA2940</f>
        <v>66.666666666666671</v>
      </c>
      <c r="AB2946" s="93">
        <f>AD2946/AC2939</f>
        <v>0.72</v>
      </c>
      <c r="AC2946" s="93">
        <f>AC2939/AA2946</f>
        <v>0.97938674999999187</v>
      </c>
      <c r="AD2946" s="94">
        <f t="shared" si="2295"/>
        <v>47.010563999999611</v>
      </c>
      <c r="AE2946" s="190"/>
      <c r="AF2946" s="191"/>
      <c r="AG2946" s="191"/>
      <c r="AH2946" s="191"/>
      <c r="AI2946" s="186"/>
      <c r="AK2946" s="171"/>
    </row>
    <row r="2947" spans="1:41" s="102" customFormat="1" ht="19.899999999999999" customHeight="1" x14ac:dyDescent="0.25">
      <c r="A2947" s="45"/>
      <c r="B2947" s="59"/>
      <c r="C2947" s="137"/>
      <c r="D2947" s="59"/>
      <c r="E2947" s="116"/>
      <c r="F2947" s="120"/>
      <c r="G2947" s="120"/>
      <c r="H2947" s="120"/>
      <c r="I2947" s="60"/>
      <c r="J2947" s="116"/>
      <c r="K2947" s="213"/>
      <c r="L2947" s="120"/>
      <c r="M2947" s="120"/>
      <c r="N2947" s="167"/>
      <c r="O2947" s="120"/>
      <c r="P2947" s="120"/>
      <c r="Q2947" s="120"/>
      <c r="R2947" s="120"/>
      <c r="S2947" s="120"/>
      <c r="T2947" s="221"/>
      <c r="U2947" s="89"/>
      <c r="V2947" s="61"/>
      <c r="W2947" s="92" t="s">
        <v>65</v>
      </c>
      <c r="X2947" s="93" t="s">
        <v>30</v>
      </c>
      <c r="Y2947" s="93" t="s">
        <v>1011</v>
      </c>
      <c r="Z2947" s="134">
        <f>VLOOKUP(W2947,Sheet2!$B:$D,3,FALSE)</f>
        <v>1.76</v>
      </c>
      <c r="AA2947" s="93">
        <f>AA2946/10</f>
        <v>6.666666666666667</v>
      </c>
      <c r="AB2947" s="93">
        <f>AD2947/AC2939</f>
        <v>0.26400000000000001</v>
      </c>
      <c r="AC2947" s="93">
        <f>AC2939/AA2947</f>
        <v>9.7938674999999193</v>
      </c>
      <c r="AD2947" s="94">
        <f t="shared" si="2295"/>
        <v>17.237206799999857</v>
      </c>
      <c r="AE2947" s="190"/>
      <c r="AF2947" s="191"/>
      <c r="AG2947" s="191"/>
      <c r="AH2947" s="191"/>
      <c r="AI2947" s="186"/>
      <c r="AK2947" s="171"/>
    </row>
    <row r="2948" spans="1:41" s="103" customFormat="1" ht="19.899999999999999" customHeight="1" x14ac:dyDescent="0.25">
      <c r="A2948" s="51"/>
      <c r="B2948" s="52"/>
      <c r="C2948" s="165"/>
      <c r="D2948" s="52"/>
      <c r="E2948" s="115"/>
      <c r="F2948" s="58"/>
      <c r="G2948" s="58"/>
      <c r="H2948" s="58"/>
      <c r="I2948" s="55"/>
      <c r="J2948" s="113">
        <f>J2938</f>
        <v>65.292449999999462</v>
      </c>
      <c r="K2948" s="212">
        <f>K2938</f>
        <v>65.292449999999462</v>
      </c>
      <c r="L2948" s="58"/>
      <c r="M2948" s="58">
        <f>K2948-L2948</f>
        <v>65.292449999999462</v>
      </c>
      <c r="N2948" s="166"/>
      <c r="O2948" s="58"/>
      <c r="P2948" s="58"/>
      <c r="Q2948" s="58"/>
      <c r="R2948" s="58"/>
      <c r="S2948" s="58"/>
      <c r="T2948" s="220"/>
      <c r="U2948" s="88"/>
      <c r="V2948" s="56"/>
      <c r="W2948" s="57" t="s">
        <v>1036</v>
      </c>
      <c r="X2948" s="53"/>
      <c r="Y2948" s="91" t="s">
        <v>68</v>
      </c>
      <c r="Z2948" s="136">
        <f>AD2948/AC2948</f>
        <v>88.333333333333329</v>
      </c>
      <c r="AA2948" s="58"/>
      <c r="AB2948" s="53">
        <f>AD2948/AC2948</f>
        <v>88.333333333333329</v>
      </c>
      <c r="AC2948" s="53">
        <f>M2948+$AE$10</f>
        <v>65.292449999999462</v>
      </c>
      <c r="AD2948" s="54">
        <f>SUM(AD2949:AD2955)</f>
        <v>5767.4997499999517</v>
      </c>
      <c r="AE2948" s="184">
        <f>SUMIFS($AD$37:$AD$12971,$V$37:$V$12971,$V2948,$X$37:$X$12971,AE$13)</f>
        <v>0</v>
      </c>
      <c r="AF2948" s="185">
        <f>SUMIFS($AD$37:$AD$12971,$V$37:$V$12971,$V2948,$X$37:$X$12971,AF$13)</f>
        <v>0</v>
      </c>
      <c r="AG2948" s="185">
        <f>SUMIFS($AD$37:$AD$12971,$V$37:$V$12971,$V2948,$X$37:$X$12971,AG$13)</f>
        <v>0</v>
      </c>
      <c r="AH2948" s="187">
        <f>SUMIFS($AD$37:$AD$12971,$V$37:$V$12971,$V2948,$X$37:$X$12971,AH$13)</f>
        <v>0</v>
      </c>
      <c r="AI2948" s="161">
        <f t="shared" ref="AI2948" si="2296">SUM(AE2948:AH2948)</f>
        <v>0</v>
      </c>
      <c r="AK2948" s="172"/>
    </row>
    <row r="2949" spans="1:41" s="102" customFormat="1" ht="19.899999999999999" customHeight="1" x14ac:dyDescent="0.25">
      <c r="A2949" s="45"/>
      <c r="B2949" s="59"/>
      <c r="C2949" s="137"/>
      <c r="D2949" s="59"/>
      <c r="E2949" s="116"/>
      <c r="F2949" s="120"/>
      <c r="G2949" s="120"/>
      <c r="H2949" s="120"/>
      <c r="I2949" s="60"/>
      <c r="J2949" s="116"/>
      <c r="K2949" s="213"/>
      <c r="L2949" s="120"/>
      <c r="M2949" s="120"/>
      <c r="N2949" s="167"/>
      <c r="O2949" s="120"/>
      <c r="P2949" s="120"/>
      <c r="Q2949" s="120"/>
      <c r="R2949" s="120"/>
      <c r="S2949" s="120"/>
      <c r="T2949" s="221"/>
      <c r="U2949" s="89"/>
      <c r="V2949" s="61"/>
      <c r="W2949" s="92" t="s">
        <v>1220</v>
      </c>
      <c r="X2949" s="93" t="s">
        <v>30</v>
      </c>
      <c r="Y2949" s="93" t="s">
        <v>68</v>
      </c>
      <c r="Z2949" s="134">
        <f>VLOOKUP(W2949,Sheet2!$B:$D,3,FALSE)</f>
        <v>40</v>
      </c>
      <c r="AA2949" s="93">
        <v>1</v>
      </c>
      <c r="AB2949" s="93">
        <f>AD2949/AC2948</f>
        <v>40</v>
      </c>
      <c r="AC2949" s="93">
        <f>AC2948/AA2949</f>
        <v>65.292449999999462</v>
      </c>
      <c r="AD2949" s="94">
        <f t="shared" ref="AD2949" si="2297">AC2949*Z2949</f>
        <v>2611.6979999999785</v>
      </c>
      <c r="AE2949" s="190"/>
      <c r="AF2949" s="191"/>
      <c r="AG2949" s="191"/>
      <c r="AH2949" s="191"/>
      <c r="AI2949" s="186"/>
      <c r="AK2949" s="171"/>
    </row>
    <row r="2950" spans="1:41" s="102" customFormat="1" ht="20.100000000000001" customHeight="1" x14ac:dyDescent="0.25">
      <c r="A2950" s="45"/>
      <c r="B2950" s="59"/>
      <c r="C2950" s="137"/>
      <c r="D2950" s="59"/>
      <c r="E2950" s="116"/>
      <c r="F2950" s="120"/>
      <c r="G2950" s="120"/>
      <c r="H2950" s="120"/>
      <c r="I2950" s="60"/>
      <c r="J2950" s="116"/>
      <c r="K2950" s="213"/>
      <c r="L2950" s="120"/>
      <c r="M2950" s="120"/>
      <c r="N2950" s="167"/>
      <c r="O2950" s="120"/>
      <c r="P2950" s="120"/>
      <c r="Q2950" s="120"/>
      <c r="R2950" s="120"/>
      <c r="S2950" s="120"/>
      <c r="T2950" s="221"/>
      <c r="U2950" s="89"/>
      <c r="V2950" s="61"/>
      <c r="W2950" s="92" t="s">
        <v>1221</v>
      </c>
      <c r="X2950" s="93" t="s">
        <v>30</v>
      </c>
      <c r="Y2950" s="93" t="s">
        <v>68</v>
      </c>
      <c r="Z2950" s="134">
        <f>VLOOKUP(W2950,Sheet2!$B:$D,3,FALSE)</f>
        <v>4</v>
      </c>
      <c r="AA2950" s="93">
        <v>1</v>
      </c>
      <c r="AB2950" s="93">
        <f>AD2950/AC2948</f>
        <v>4</v>
      </c>
      <c r="AC2950" s="93">
        <f>AC2948/AA2950</f>
        <v>65.292449999999462</v>
      </c>
      <c r="AD2950" s="94">
        <f>AC2950*Z2950</f>
        <v>261.16979999999785</v>
      </c>
      <c r="AE2950" s="190"/>
      <c r="AF2950" s="191"/>
      <c r="AG2950" s="191"/>
      <c r="AH2950" s="191"/>
      <c r="AI2950" s="186"/>
      <c r="AK2950" s="171"/>
    </row>
    <row r="2951" spans="1:41" s="102" customFormat="1" ht="20.100000000000001" customHeight="1" x14ac:dyDescent="0.25">
      <c r="A2951" s="45"/>
      <c r="B2951" s="59"/>
      <c r="C2951" s="137"/>
      <c r="D2951" s="59"/>
      <c r="E2951" s="116"/>
      <c r="F2951" s="120"/>
      <c r="G2951" s="120"/>
      <c r="H2951" s="120"/>
      <c r="I2951" s="60"/>
      <c r="J2951" s="116"/>
      <c r="K2951" s="213"/>
      <c r="L2951" s="120"/>
      <c r="M2951" s="120"/>
      <c r="N2951" s="167"/>
      <c r="O2951" s="120"/>
      <c r="P2951" s="120"/>
      <c r="Q2951" s="120"/>
      <c r="R2951" s="120"/>
      <c r="S2951" s="120"/>
      <c r="T2951" s="221"/>
      <c r="U2951" s="89"/>
      <c r="V2951" s="61"/>
      <c r="W2951" s="92" t="s">
        <v>107</v>
      </c>
      <c r="X2951" s="93" t="s">
        <v>31</v>
      </c>
      <c r="Y2951" s="93" t="s">
        <v>93</v>
      </c>
      <c r="Z2951" s="134">
        <f>VLOOKUP(W2951,Sheet2!$B:$D,3,FALSE)</f>
        <v>17</v>
      </c>
      <c r="AA2951" s="93">
        <v>8</v>
      </c>
      <c r="AB2951" s="93">
        <f>AD2951/AC2948</f>
        <v>2.125</v>
      </c>
      <c r="AC2951" s="93">
        <f>AC2948/AA2951</f>
        <v>8.1615562499999328</v>
      </c>
      <c r="AD2951" s="94">
        <f>AC2951*Z2951</f>
        <v>138.74645624999886</v>
      </c>
      <c r="AE2951" s="190"/>
      <c r="AF2951" s="191"/>
      <c r="AG2951" s="191"/>
      <c r="AH2951" s="191"/>
      <c r="AI2951" s="186"/>
      <c r="AK2951" s="171"/>
    </row>
    <row r="2952" spans="1:41" s="102" customFormat="1" ht="20.100000000000001" customHeight="1" x14ac:dyDescent="0.25">
      <c r="A2952" s="45"/>
      <c r="B2952" s="59"/>
      <c r="C2952" s="137"/>
      <c r="D2952" s="59"/>
      <c r="E2952" s="116"/>
      <c r="F2952" s="120"/>
      <c r="G2952" s="120"/>
      <c r="H2952" s="120"/>
      <c r="I2952" s="60"/>
      <c r="J2952" s="116"/>
      <c r="K2952" s="213"/>
      <c r="L2952" s="120"/>
      <c r="M2952" s="120"/>
      <c r="N2952" s="167"/>
      <c r="O2952" s="120"/>
      <c r="P2952" s="120"/>
      <c r="Q2952" s="120"/>
      <c r="R2952" s="120"/>
      <c r="S2952" s="120"/>
      <c r="T2952" s="221"/>
      <c r="U2952" s="89"/>
      <c r="V2952" s="61"/>
      <c r="W2952" s="92" t="s">
        <v>112</v>
      </c>
      <c r="X2952" s="93" t="s">
        <v>31</v>
      </c>
      <c r="Y2952" s="93" t="s">
        <v>93</v>
      </c>
      <c r="Z2952" s="134">
        <f>VLOOKUP(W2952,Sheet2!$B:$D,3,FALSE)</f>
        <v>13</v>
      </c>
      <c r="AA2952" s="93">
        <v>8</v>
      </c>
      <c r="AB2952" s="93">
        <f>AD2952/AC2948</f>
        <v>1.625</v>
      </c>
      <c r="AC2952" s="93">
        <f>AC2948/AA2952</f>
        <v>8.1615562499999328</v>
      </c>
      <c r="AD2952" s="94">
        <f>AC2952*Z2952</f>
        <v>106.10023124999913</v>
      </c>
      <c r="AE2952" s="190"/>
      <c r="AF2952" s="191"/>
      <c r="AG2952" s="191"/>
      <c r="AH2952" s="191"/>
      <c r="AI2952" s="186"/>
      <c r="AK2952" s="171"/>
    </row>
    <row r="2953" spans="1:41" s="102" customFormat="1" ht="20.100000000000001" customHeight="1" x14ac:dyDescent="0.25">
      <c r="A2953" s="45"/>
      <c r="B2953" s="59"/>
      <c r="C2953" s="137"/>
      <c r="D2953" s="59"/>
      <c r="E2953" s="116"/>
      <c r="F2953" s="120"/>
      <c r="G2953" s="120"/>
      <c r="H2953" s="120"/>
      <c r="I2953" s="60"/>
      <c r="J2953" s="116"/>
      <c r="K2953" s="213"/>
      <c r="L2953" s="120"/>
      <c r="M2953" s="120"/>
      <c r="N2953" s="167"/>
      <c r="O2953" s="120"/>
      <c r="P2953" s="120"/>
      <c r="Q2953" s="120"/>
      <c r="R2953" s="120"/>
      <c r="S2953" s="120"/>
      <c r="T2953" s="221"/>
      <c r="U2953" s="89"/>
      <c r="V2953" s="61"/>
      <c r="W2953" s="92" t="s">
        <v>1032</v>
      </c>
      <c r="X2953" s="93" t="s">
        <v>30</v>
      </c>
      <c r="Y2953" s="93" t="s">
        <v>66</v>
      </c>
      <c r="Z2953" s="134">
        <f>VLOOKUP(W2953,Sheet2!$B:$D,3,FALSE)</f>
        <v>250</v>
      </c>
      <c r="AA2953" s="93">
        <f>1/(1*1*0.1)</f>
        <v>10</v>
      </c>
      <c r="AB2953" s="93">
        <f>AD2953/AC2948</f>
        <v>25</v>
      </c>
      <c r="AC2953" s="93">
        <f>AC2948/AA2953</f>
        <v>6.5292449999999462</v>
      </c>
      <c r="AD2953" s="94">
        <f>AC2953*Z2953</f>
        <v>1632.3112499999866</v>
      </c>
      <c r="AE2953" s="190"/>
      <c r="AF2953" s="191"/>
      <c r="AG2953" s="191"/>
      <c r="AH2953" s="191"/>
      <c r="AI2953" s="186"/>
      <c r="AK2953" s="171"/>
    </row>
    <row r="2954" spans="1:41" s="102" customFormat="1" ht="20.100000000000001" customHeight="1" x14ac:dyDescent="0.25">
      <c r="A2954" s="45"/>
      <c r="B2954" s="59"/>
      <c r="C2954" s="137"/>
      <c r="D2954" s="59"/>
      <c r="E2954" s="116"/>
      <c r="F2954" s="120"/>
      <c r="G2954" s="120"/>
      <c r="H2954" s="120"/>
      <c r="I2954" s="60"/>
      <c r="J2954" s="116"/>
      <c r="K2954" s="213"/>
      <c r="L2954" s="120"/>
      <c r="M2954" s="120"/>
      <c r="N2954" s="167"/>
      <c r="O2954" s="120"/>
      <c r="P2954" s="120"/>
      <c r="Q2954" s="120"/>
      <c r="R2954" s="120"/>
      <c r="S2954" s="120"/>
      <c r="T2954" s="221"/>
      <c r="U2954" s="89"/>
      <c r="V2954" s="61"/>
      <c r="W2954" s="92" t="s">
        <v>1035</v>
      </c>
      <c r="X2954" s="93" t="s">
        <v>32</v>
      </c>
      <c r="Y2954" s="93" t="s">
        <v>66</v>
      </c>
      <c r="Z2954" s="134">
        <f>VLOOKUP(W2954,Sheet2!$B:$D,3,FALSE)</f>
        <v>150</v>
      </c>
      <c r="AA2954" s="93">
        <f>AA2953</f>
        <v>10</v>
      </c>
      <c r="AB2954" s="93">
        <f>AD2954/AC2948</f>
        <v>15</v>
      </c>
      <c r="AC2954" s="93">
        <f>AC2948/AA2954</f>
        <v>6.5292449999999462</v>
      </c>
      <c r="AD2954" s="94">
        <f t="shared" ref="AD2954:AD2955" si="2298">AC2954*Z2954</f>
        <v>979.38674999999193</v>
      </c>
      <c r="AE2954" s="190"/>
      <c r="AF2954" s="191"/>
      <c r="AG2954" s="191"/>
      <c r="AH2954" s="191"/>
      <c r="AI2954" s="186"/>
      <c r="AK2954" s="171"/>
    </row>
    <row r="2955" spans="1:41" s="102" customFormat="1" ht="20.100000000000001" customHeight="1" x14ac:dyDescent="0.25">
      <c r="A2955" s="45"/>
      <c r="B2955" s="59"/>
      <c r="C2955" s="137"/>
      <c r="D2955" s="59"/>
      <c r="E2955" s="116"/>
      <c r="F2955" s="120"/>
      <c r="G2955" s="120"/>
      <c r="H2955" s="120"/>
      <c r="I2955" s="60"/>
      <c r="J2955" s="116"/>
      <c r="K2955" s="213"/>
      <c r="L2955" s="120"/>
      <c r="M2955" s="120"/>
      <c r="N2955" s="167"/>
      <c r="O2955" s="120"/>
      <c r="P2955" s="120"/>
      <c r="Q2955" s="120"/>
      <c r="R2955" s="120"/>
      <c r="S2955" s="120"/>
      <c r="T2955" s="221"/>
      <c r="U2955" s="89"/>
      <c r="V2955" s="61"/>
      <c r="W2955" s="92" t="s">
        <v>1037</v>
      </c>
      <c r="X2955" s="93" t="s">
        <v>30</v>
      </c>
      <c r="Y2955" s="93" t="s">
        <v>1038</v>
      </c>
      <c r="Z2955" s="134">
        <f>VLOOKUP(W2955,Sheet2!$B:$D,3,FALSE)</f>
        <v>175</v>
      </c>
      <c r="AA2955" s="93">
        <v>300</v>
      </c>
      <c r="AB2955" s="93">
        <f>AD2955/AC2948</f>
        <v>0.58333333333333337</v>
      </c>
      <c r="AC2955" s="93">
        <f>AC2948/AA2955</f>
        <v>0.21764149999999821</v>
      </c>
      <c r="AD2955" s="94">
        <f t="shared" si="2298"/>
        <v>38.087262499999689</v>
      </c>
      <c r="AE2955" s="190"/>
      <c r="AF2955" s="191"/>
      <c r="AG2955" s="191"/>
      <c r="AH2955" s="191"/>
      <c r="AI2955" s="186"/>
      <c r="AK2955" s="171"/>
    </row>
    <row r="2956" spans="1:41" s="103" customFormat="1" ht="20.100000000000001" customHeight="1" x14ac:dyDescent="0.25">
      <c r="A2956" s="51"/>
      <c r="B2956" s="52"/>
      <c r="C2956" s="165"/>
      <c r="D2956" s="52"/>
      <c r="E2956" s="115"/>
      <c r="F2956" s="58"/>
      <c r="G2956" s="58"/>
      <c r="H2956" s="58"/>
      <c r="I2956" s="55"/>
      <c r="J2956" s="113">
        <f>J2938</f>
        <v>65.292449999999462</v>
      </c>
      <c r="K2956" s="212">
        <f>K2938</f>
        <v>65.292449999999462</v>
      </c>
      <c r="L2956" s="58"/>
      <c r="M2956" s="58">
        <f>K2956-L2956</f>
        <v>65.292449999999462</v>
      </c>
      <c r="N2956" s="166"/>
      <c r="O2956" s="58"/>
      <c r="P2956" s="58"/>
      <c r="Q2956" s="58"/>
      <c r="R2956" s="58"/>
      <c r="S2956" s="58"/>
      <c r="T2956" s="220"/>
      <c r="U2956" s="88"/>
      <c r="V2956" s="56"/>
      <c r="W2956" s="57" t="s">
        <v>1040</v>
      </c>
      <c r="X2956" s="53"/>
      <c r="Y2956" s="91" t="s">
        <v>68</v>
      </c>
      <c r="Z2956" s="136">
        <f>AD2956/AC2956</f>
        <v>5</v>
      </c>
      <c r="AA2956" s="58"/>
      <c r="AB2956" s="53">
        <f>AD2956/AC2956</f>
        <v>5</v>
      </c>
      <c r="AC2956" s="53">
        <f>M2956+$AE$10</f>
        <v>65.292449999999462</v>
      </c>
      <c r="AD2956" s="54">
        <f>SUM(AD2957)</f>
        <v>326.46224999999731</v>
      </c>
      <c r="AE2956" s="184">
        <f>SUMIFS($AD$37:$AD$12971,$V$37:$V$12971,$V2956,$X$37:$X$12971,AE$13)</f>
        <v>0</v>
      </c>
      <c r="AF2956" s="185">
        <f>SUMIFS($AD$37:$AD$12971,$V$37:$V$12971,$V2956,$X$37:$X$12971,AF$13)</f>
        <v>0</v>
      </c>
      <c r="AG2956" s="185">
        <f>SUMIFS($AD$37:$AD$12971,$V$37:$V$12971,$V2956,$X$37:$X$12971,AG$13)</f>
        <v>0</v>
      </c>
      <c r="AH2956" s="187">
        <f>SUMIFS($AD$37:$AD$12971,$V$37:$V$12971,$V2956,$X$37:$X$12971,AH$13)</f>
        <v>0</v>
      </c>
      <c r="AI2956" s="161">
        <f t="shared" ref="AI2956" si="2299">SUM(AE2956:AH2956)</f>
        <v>0</v>
      </c>
      <c r="AK2956" s="172"/>
    </row>
    <row r="2957" spans="1:41" s="102" customFormat="1" ht="20.100000000000001" customHeight="1" x14ac:dyDescent="0.25">
      <c r="A2957" s="45"/>
      <c r="B2957" s="59"/>
      <c r="C2957" s="137"/>
      <c r="D2957" s="59"/>
      <c r="E2957" s="116"/>
      <c r="F2957" s="120"/>
      <c r="G2957" s="120"/>
      <c r="H2957" s="120"/>
      <c r="I2957" s="60"/>
      <c r="J2957" s="116"/>
      <c r="K2957" s="213"/>
      <c r="L2957" s="120"/>
      <c r="M2957" s="120"/>
      <c r="N2957" s="167"/>
      <c r="O2957" s="120"/>
      <c r="P2957" s="120"/>
      <c r="Q2957" s="120"/>
      <c r="R2957" s="120"/>
      <c r="S2957" s="120"/>
      <c r="T2957" s="221"/>
      <c r="U2957" s="89"/>
      <c r="V2957" s="61"/>
      <c r="W2957" s="92" t="s">
        <v>1039</v>
      </c>
      <c r="X2957" s="93" t="s">
        <v>32</v>
      </c>
      <c r="Y2957" s="93" t="s">
        <v>68</v>
      </c>
      <c r="Z2957" s="134">
        <f>VLOOKUP(W2957,Sheet2!$B:$D,3,FALSE)</f>
        <v>5</v>
      </c>
      <c r="AA2957" s="93">
        <v>1</v>
      </c>
      <c r="AB2957" s="93">
        <f>AD2957/AC2956</f>
        <v>5</v>
      </c>
      <c r="AC2957" s="93">
        <f>AC2956/AA2957</f>
        <v>65.292449999999462</v>
      </c>
      <c r="AD2957" s="94">
        <f t="shared" ref="AD2957" si="2300">AC2957*Z2957</f>
        <v>326.46224999999731</v>
      </c>
      <c r="AE2957" s="190"/>
      <c r="AF2957" s="191"/>
      <c r="AG2957" s="191"/>
      <c r="AH2957" s="191"/>
      <c r="AI2957" s="186"/>
      <c r="AK2957" s="171"/>
    </row>
    <row r="2958" spans="1:41" ht="20.100000000000001" customHeight="1" x14ac:dyDescent="0.25">
      <c r="A2958" s="277" t="s">
        <v>491</v>
      </c>
      <c r="B2958" s="278"/>
      <c r="C2958" s="64" t="s">
        <v>1209</v>
      </c>
      <c r="D2958" s="46" t="s">
        <v>97</v>
      </c>
      <c r="E2958" s="114">
        <v>30.101499999999646</v>
      </c>
      <c r="F2958" s="44">
        <v>184</v>
      </c>
      <c r="G2958" s="44">
        <f t="shared" si="1977"/>
        <v>5538.6759999999349</v>
      </c>
      <c r="H2958" s="44">
        <f t="shared" si="1978"/>
        <v>103.25510588235294</v>
      </c>
      <c r="I2958" s="43">
        <f t="shared" si="1979"/>
        <v>3108.1335697176105</v>
      </c>
      <c r="J2958" s="112">
        <f t="shared" si="1980"/>
        <v>30.101499999999646</v>
      </c>
      <c r="K2958" s="211">
        <f t="shared" si="1981"/>
        <v>30.101499999999646</v>
      </c>
      <c r="L2958" s="44"/>
      <c r="M2958" s="44">
        <f t="shared" si="1982"/>
        <v>30.101499999999646</v>
      </c>
      <c r="N2958" s="173">
        <f t="shared" si="1983"/>
        <v>1</v>
      </c>
      <c r="O2958" s="44">
        <f t="shared" si="1984"/>
        <v>184</v>
      </c>
      <c r="P2958" s="44">
        <f t="shared" si="1985"/>
        <v>5538.6759999999349</v>
      </c>
      <c r="Q2958" s="44">
        <f t="shared" si="1986"/>
        <v>103.25510588235294</v>
      </c>
      <c r="R2958" s="44">
        <f t="shared" si="1987"/>
        <v>3108.1335697176105</v>
      </c>
      <c r="S2958" s="123"/>
      <c r="T2958" s="219">
        <f t="shared" si="1988"/>
        <v>3108.1335697176105</v>
      </c>
      <c r="U2958" s="87"/>
      <c r="V2958" s="47"/>
      <c r="W2958" s="48"/>
      <c r="X2958" s="48"/>
      <c r="Y2958" s="48"/>
      <c r="Z2958" s="135"/>
      <c r="AA2958" s="49"/>
      <c r="AB2958" s="50">
        <f t="shared" si="1989"/>
        <v>103.25510588235294</v>
      </c>
      <c r="AC2958" s="42">
        <f t="shared" si="1990"/>
        <v>30.101499999999646</v>
      </c>
      <c r="AD2958" s="90">
        <f>AD2959+AD2968+AD2976</f>
        <v>3108.1335697176105</v>
      </c>
      <c r="AE2958" s="188">
        <f t="shared" ref="AE2958" si="2301">AE2959+AE2968+AE2976</f>
        <v>0</v>
      </c>
      <c r="AF2958" s="189">
        <f t="shared" ref="AF2958" si="2302">AF2959+AF2968+AF2976</f>
        <v>0</v>
      </c>
      <c r="AG2958" s="189">
        <f t="shared" ref="AG2958" si="2303">AG2959+AG2968+AG2976</f>
        <v>0</v>
      </c>
      <c r="AH2958" s="189">
        <f t="shared" ref="AH2958" si="2304">AH2959+AH2968+AH2976</f>
        <v>0</v>
      </c>
      <c r="AI2958" s="161">
        <f t="shared" ref="AI2958" si="2305">SUM(AE2958:AH2958)</f>
        <v>0</v>
      </c>
      <c r="AK2958" s="169">
        <v>5</v>
      </c>
      <c r="AO2958" s="19" t="s">
        <v>63</v>
      </c>
    </row>
    <row r="2959" spans="1:41" s="103" customFormat="1" ht="19.899999999999999" customHeight="1" x14ac:dyDescent="0.25">
      <c r="A2959" s="51"/>
      <c r="B2959" s="52"/>
      <c r="C2959" s="165"/>
      <c r="D2959" s="52"/>
      <c r="E2959" s="115"/>
      <c r="F2959" s="58"/>
      <c r="G2959" s="58"/>
      <c r="H2959" s="58"/>
      <c r="I2959" s="55"/>
      <c r="J2959" s="113">
        <f>J2958</f>
        <v>30.101499999999646</v>
      </c>
      <c r="K2959" s="212">
        <f>K2958</f>
        <v>30.101499999999646</v>
      </c>
      <c r="L2959" s="58"/>
      <c r="M2959" s="58">
        <f>K2959-L2959</f>
        <v>30.101499999999646</v>
      </c>
      <c r="N2959" s="166"/>
      <c r="O2959" s="58"/>
      <c r="P2959" s="58"/>
      <c r="Q2959" s="58"/>
      <c r="R2959" s="58"/>
      <c r="S2959" s="58"/>
      <c r="T2959" s="220"/>
      <c r="U2959" s="88"/>
      <c r="V2959" s="56"/>
      <c r="W2959" s="57" t="s">
        <v>1041</v>
      </c>
      <c r="X2959" s="53"/>
      <c r="Y2959" s="91" t="s">
        <v>68</v>
      </c>
      <c r="Z2959" s="136">
        <f>AD2959/AC2959</f>
        <v>9.9217725490196091</v>
      </c>
      <c r="AA2959" s="58"/>
      <c r="AB2959" s="53">
        <f>AD2959/AC2959</f>
        <v>9.9217725490196091</v>
      </c>
      <c r="AC2959" s="53">
        <f>M2959+$AE$10</f>
        <v>30.101499999999646</v>
      </c>
      <c r="AD2959" s="54">
        <f>SUM(AD2960:AD2967)</f>
        <v>298.66023638431028</v>
      </c>
      <c r="AE2959" s="184">
        <f>SUMIFS($AD$37:$AD$12971,$V$37:$V$12971,$V2959,$X$37:$X$12971,AE$13)</f>
        <v>0</v>
      </c>
      <c r="AF2959" s="185">
        <f>SUMIFS($AD$37:$AD$12971,$V$37:$V$12971,$V2959,$X$37:$X$12971,AF$13)</f>
        <v>0</v>
      </c>
      <c r="AG2959" s="185">
        <f>SUMIFS($AD$37:$AD$12971,$V$37:$V$12971,$V2959,$X$37:$X$12971,AG$13)</f>
        <v>0</v>
      </c>
      <c r="AH2959" s="187">
        <f>SUMIFS($AD$37:$AD$12971,$V$37:$V$12971,$V2959,$X$37:$X$12971,AH$13)</f>
        <v>0</v>
      </c>
      <c r="AI2959" s="161">
        <f t="shared" ref="AI2959" si="2306">SUM(AE2959:AH2959)</f>
        <v>0</v>
      </c>
      <c r="AK2959" s="172"/>
    </row>
    <row r="2960" spans="1:41" s="102" customFormat="1" ht="19.899999999999999" customHeight="1" x14ac:dyDescent="0.25">
      <c r="A2960" s="45"/>
      <c r="B2960" s="59"/>
      <c r="C2960" s="137"/>
      <c r="D2960" s="59"/>
      <c r="E2960" s="116"/>
      <c r="F2960" s="120"/>
      <c r="G2960" s="120"/>
      <c r="H2960" s="120"/>
      <c r="I2960" s="60"/>
      <c r="J2960" s="116"/>
      <c r="K2960" s="213"/>
      <c r="L2960" s="120"/>
      <c r="M2960" s="120"/>
      <c r="N2960" s="167"/>
      <c r="O2960" s="120"/>
      <c r="P2960" s="120"/>
      <c r="Q2960" s="120"/>
      <c r="R2960" s="120"/>
      <c r="S2960" s="120"/>
      <c r="T2960" s="221"/>
      <c r="U2960" s="89"/>
      <c r="V2960" s="61"/>
      <c r="W2960" s="92" t="s">
        <v>129</v>
      </c>
      <c r="X2960" s="93" t="s">
        <v>29</v>
      </c>
      <c r="Y2960" s="93" t="s">
        <v>93</v>
      </c>
      <c r="Z2960" s="134">
        <f>VLOOKUP(W2960,Sheet2!$B:$D,3,FALSE)</f>
        <v>56</v>
      </c>
      <c r="AA2960" s="93">
        <f>100/(1*2)</f>
        <v>50</v>
      </c>
      <c r="AB2960" s="93">
        <f t="shared" ref="AB2960" si="2307">AD2960/AC2959</f>
        <v>1.1200000000000001</v>
      </c>
      <c r="AC2960" s="93">
        <f>AC2959/AA2960</f>
        <v>0.60202999999999296</v>
      </c>
      <c r="AD2960" s="94">
        <f t="shared" ref="AD2960:AD2961" si="2308">AC2960*Z2960</f>
        <v>33.713679999999606</v>
      </c>
      <c r="AE2960" s="190"/>
      <c r="AF2960" s="191"/>
      <c r="AG2960" s="191"/>
      <c r="AH2960" s="191"/>
      <c r="AI2960" s="186"/>
      <c r="AK2960" s="171"/>
    </row>
    <row r="2961" spans="1:37" s="102" customFormat="1" ht="19.899999999999999" customHeight="1" x14ac:dyDescent="0.25">
      <c r="A2961" s="45"/>
      <c r="B2961" s="59"/>
      <c r="C2961" s="137"/>
      <c r="D2961" s="59"/>
      <c r="E2961" s="116"/>
      <c r="F2961" s="120"/>
      <c r="G2961" s="120"/>
      <c r="H2961" s="120"/>
      <c r="I2961" s="60"/>
      <c r="J2961" s="116"/>
      <c r="K2961" s="213"/>
      <c r="L2961" s="120"/>
      <c r="M2961" s="120"/>
      <c r="N2961" s="167"/>
      <c r="O2961" s="120"/>
      <c r="P2961" s="120"/>
      <c r="Q2961" s="120"/>
      <c r="R2961" s="120"/>
      <c r="S2961" s="120"/>
      <c r="T2961" s="221"/>
      <c r="U2961" s="89"/>
      <c r="V2961" s="61"/>
      <c r="W2961" s="92" t="s">
        <v>65</v>
      </c>
      <c r="X2961" s="93" t="s">
        <v>30</v>
      </c>
      <c r="Y2961" s="93" t="s">
        <v>1011</v>
      </c>
      <c r="Z2961" s="134">
        <f>VLOOKUP(W2961,Sheet2!$B:$D,3,FALSE)</f>
        <v>1.76</v>
      </c>
      <c r="AA2961" s="93">
        <f>AA2960/14</f>
        <v>3.5714285714285716</v>
      </c>
      <c r="AB2961" s="93">
        <f>AD2961/AC2959</f>
        <v>0.49279999999999996</v>
      </c>
      <c r="AC2961" s="93">
        <f>AC2959/AA2961</f>
        <v>8.4284199999998997</v>
      </c>
      <c r="AD2961" s="94">
        <f t="shared" si="2308"/>
        <v>14.834019199999824</v>
      </c>
      <c r="AE2961" s="190"/>
      <c r="AF2961" s="191"/>
      <c r="AG2961" s="191"/>
      <c r="AH2961" s="191"/>
      <c r="AI2961" s="186"/>
      <c r="AK2961" s="171"/>
    </row>
    <row r="2962" spans="1:37" s="102" customFormat="1" ht="19.899999999999999" customHeight="1" x14ac:dyDescent="0.25">
      <c r="A2962" s="45"/>
      <c r="B2962" s="59"/>
      <c r="C2962" s="137"/>
      <c r="D2962" s="59"/>
      <c r="E2962" s="116"/>
      <c r="F2962" s="120"/>
      <c r="G2962" s="120"/>
      <c r="H2962" s="120"/>
      <c r="I2962" s="60"/>
      <c r="J2962" s="116"/>
      <c r="K2962" s="213"/>
      <c r="L2962" s="120"/>
      <c r="M2962" s="120"/>
      <c r="N2962" s="167"/>
      <c r="O2962" s="120"/>
      <c r="P2962" s="120"/>
      <c r="Q2962" s="120"/>
      <c r="R2962" s="120"/>
      <c r="S2962" s="120"/>
      <c r="T2962" s="221"/>
      <c r="U2962" s="89"/>
      <c r="V2962" s="61"/>
      <c r="W2962" s="92" t="s">
        <v>161</v>
      </c>
      <c r="X2962" s="93" t="s">
        <v>29</v>
      </c>
      <c r="Y2962" s="93" t="s">
        <v>93</v>
      </c>
      <c r="Z2962" s="134">
        <f>VLOOKUP(W2962,Sheet2!$B:$D,3,FALSE)</f>
        <v>48</v>
      </c>
      <c r="AA2962" s="93">
        <f>(16*0.85*1.5)/(1*2)</f>
        <v>10.199999999999999</v>
      </c>
      <c r="AB2962" s="93">
        <f>AD2962/AC2959</f>
        <v>4.7058823529411757</v>
      </c>
      <c r="AC2962" s="93">
        <f>AC2959/AA2962</f>
        <v>2.9511274509803576</v>
      </c>
      <c r="AD2962" s="94">
        <f>AC2962*Z2962</f>
        <v>141.65411764705715</v>
      </c>
      <c r="AE2962" s="190"/>
      <c r="AF2962" s="191"/>
      <c r="AG2962" s="191"/>
      <c r="AH2962" s="191"/>
      <c r="AI2962" s="186"/>
      <c r="AK2962" s="171"/>
    </row>
    <row r="2963" spans="1:37" s="102" customFormat="1" ht="19.899999999999999" customHeight="1" x14ac:dyDescent="0.25">
      <c r="A2963" s="45"/>
      <c r="B2963" s="59"/>
      <c r="C2963" s="137"/>
      <c r="D2963" s="59"/>
      <c r="E2963" s="116"/>
      <c r="F2963" s="120"/>
      <c r="G2963" s="120"/>
      <c r="H2963" s="120"/>
      <c r="I2963" s="60"/>
      <c r="J2963" s="116"/>
      <c r="K2963" s="213"/>
      <c r="L2963" s="120"/>
      <c r="M2963" s="120"/>
      <c r="N2963" s="167"/>
      <c r="O2963" s="120"/>
      <c r="P2963" s="120"/>
      <c r="Q2963" s="120"/>
      <c r="R2963" s="120"/>
      <c r="S2963" s="120"/>
      <c r="T2963" s="221"/>
      <c r="U2963" s="89"/>
      <c r="V2963" s="61"/>
      <c r="W2963" s="92" t="s">
        <v>65</v>
      </c>
      <c r="X2963" s="93" t="s">
        <v>30</v>
      </c>
      <c r="Y2963" s="93" t="s">
        <v>1011</v>
      </c>
      <c r="Z2963" s="134">
        <f>VLOOKUP(W2963,Sheet2!$B:$D,3,FALSE)</f>
        <v>1.76</v>
      </c>
      <c r="AA2963" s="93">
        <f>AA2962/10</f>
        <v>1.02</v>
      </c>
      <c r="AB2963" s="93">
        <f>AD2963/AC2959</f>
        <v>1.7254901960784315</v>
      </c>
      <c r="AC2963" s="93">
        <f>AC2959/AA2963</f>
        <v>29.511274509803574</v>
      </c>
      <c r="AD2963" s="94">
        <f>AC2963*Z2963</f>
        <v>51.939843137254293</v>
      </c>
      <c r="AE2963" s="190"/>
      <c r="AF2963" s="191"/>
      <c r="AG2963" s="191"/>
      <c r="AH2963" s="191"/>
      <c r="AI2963" s="186"/>
      <c r="AK2963" s="171"/>
    </row>
    <row r="2964" spans="1:37" s="102" customFormat="1" ht="19.899999999999999" customHeight="1" x14ac:dyDescent="0.25">
      <c r="A2964" s="45"/>
      <c r="B2964" s="59"/>
      <c r="C2964" s="137"/>
      <c r="D2964" s="59"/>
      <c r="E2964" s="116"/>
      <c r="F2964" s="120"/>
      <c r="G2964" s="120"/>
      <c r="H2964" s="120"/>
      <c r="I2964" s="60"/>
      <c r="J2964" s="116"/>
      <c r="K2964" s="213"/>
      <c r="L2964" s="120"/>
      <c r="M2964" s="120"/>
      <c r="N2964" s="167"/>
      <c r="O2964" s="120"/>
      <c r="P2964" s="120"/>
      <c r="Q2964" s="120"/>
      <c r="R2964" s="120"/>
      <c r="S2964" s="120"/>
      <c r="T2964" s="221"/>
      <c r="U2964" s="89"/>
      <c r="V2964" s="61"/>
      <c r="W2964" s="92" t="s">
        <v>1030</v>
      </c>
      <c r="X2964" s="93" t="s">
        <v>29</v>
      </c>
      <c r="Y2964" s="93" t="s">
        <v>93</v>
      </c>
      <c r="Z2964" s="134">
        <f>VLOOKUP(W2964,Sheet2!$B:$D,3,FALSE)</f>
        <v>23</v>
      </c>
      <c r="AA2964" s="93">
        <v>50</v>
      </c>
      <c r="AB2964" s="93">
        <f>AD2964/AC2959</f>
        <v>0.46000000000000008</v>
      </c>
      <c r="AC2964" s="93">
        <f>AC2959/AA2964</f>
        <v>0.60202999999999296</v>
      </c>
      <c r="AD2964" s="94">
        <f t="shared" ref="AD2964:AD2967" si="2309">AC2964*Z2964</f>
        <v>13.846689999999839</v>
      </c>
      <c r="AE2964" s="190"/>
      <c r="AF2964" s="191"/>
      <c r="AG2964" s="191"/>
      <c r="AH2964" s="191"/>
      <c r="AI2964" s="186"/>
      <c r="AK2964" s="171"/>
    </row>
    <row r="2965" spans="1:37" s="102" customFormat="1" ht="19.899999999999999" customHeight="1" x14ac:dyDescent="0.25">
      <c r="A2965" s="45"/>
      <c r="B2965" s="59"/>
      <c r="C2965" s="137"/>
      <c r="D2965" s="59"/>
      <c r="E2965" s="116"/>
      <c r="F2965" s="120"/>
      <c r="G2965" s="120"/>
      <c r="H2965" s="120"/>
      <c r="I2965" s="60"/>
      <c r="J2965" s="116"/>
      <c r="K2965" s="213"/>
      <c r="L2965" s="120"/>
      <c r="M2965" s="120"/>
      <c r="N2965" s="167"/>
      <c r="O2965" s="120"/>
      <c r="P2965" s="120"/>
      <c r="Q2965" s="120"/>
      <c r="R2965" s="120"/>
      <c r="S2965" s="120"/>
      <c r="T2965" s="221"/>
      <c r="U2965" s="89"/>
      <c r="V2965" s="61"/>
      <c r="W2965" s="92" t="s">
        <v>65</v>
      </c>
      <c r="X2965" s="93" t="s">
        <v>30</v>
      </c>
      <c r="Y2965" s="93" t="s">
        <v>1011</v>
      </c>
      <c r="Z2965" s="134">
        <f>VLOOKUP(W2965,Sheet2!$B:$D,3,FALSE)</f>
        <v>1.76</v>
      </c>
      <c r="AA2965" s="93">
        <f>AA2964/3</f>
        <v>16.666666666666668</v>
      </c>
      <c r="AB2965" s="93">
        <f>AD2965/AC2959</f>
        <v>0.1056</v>
      </c>
      <c r="AC2965" s="93">
        <f>AC2959/AA2965</f>
        <v>1.8060899999999787</v>
      </c>
      <c r="AD2965" s="94">
        <f t="shared" si="2309"/>
        <v>3.1787183999999624</v>
      </c>
      <c r="AE2965" s="190"/>
      <c r="AF2965" s="191"/>
      <c r="AG2965" s="191"/>
      <c r="AH2965" s="191"/>
      <c r="AI2965" s="186"/>
      <c r="AK2965" s="171"/>
    </row>
    <row r="2966" spans="1:37" s="102" customFormat="1" ht="19.899999999999999" customHeight="1" x14ac:dyDescent="0.25">
      <c r="A2966" s="45"/>
      <c r="B2966" s="59"/>
      <c r="C2966" s="137"/>
      <c r="D2966" s="59"/>
      <c r="E2966" s="116"/>
      <c r="F2966" s="120"/>
      <c r="G2966" s="120"/>
      <c r="H2966" s="120"/>
      <c r="I2966" s="60"/>
      <c r="J2966" s="116"/>
      <c r="K2966" s="213"/>
      <c r="L2966" s="120"/>
      <c r="M2966" s="120"/>
      <c r="N2966" s="167"/>
      <c r="O2966" s="120"/>
      <c r="P2966" s="120"/>
      <c r="Q2966" s="120"/>
      <c r="R2966" s="120"/>
      <c r="S2966" s="120"/>
      <c r="T2966" s="221"/>
      <c r="U2966" s="89"/>
      <c r="V2966" s="61"/>
      <c r="W2966" s="92" t="s">
        <v>148</v>
      </c>
      <c r="X2966" s="93" t="s">
        <v>29</v>
      </c>
      <c r="Y2966" s="93" t="s">
        <v>93</v>
      </c>
      <c r="Z2966" s="134">
        <f>VLOOKUP(W2966,Sheet2!$B:$D,3,FALSE)</f>
        <v>48</v>
      </c>
      <c r="AA2966" s="93">
        <f>AA2960</f>
        <v>50</v>
      </c>
      <c r="AB2966" s="93">
        <f>AD2966/AC2959</f>
        <v>0.96000000000000008</v>
      </c>
      <c r="AC2966" s="93">
        <f>AC2959/AA2966</f>
        <v>0.60202999999999296</v>
      </c>
      <c r="AD2966" s="94">
        <f t="shared" si="2309"/>
        <v>28.897439999999662</v>
      </c>
      <c r="AE2966" s="190"/>
      <c r="AF2966" s="191"/>
      <c r="AG2966" s="191"/>
      <c r="AH2966" s="191"/>
      <c r="AI2966" s="186"/>
      <c r="AK2966" s="171"/>
    </row>
    <row r="2967" spans="1:37" s="102" customFormat="1" ht="19.899999999999999" customHeight="1" x14ac:dyDescent="0.25">
      <c r="A2967" s="45"/>
      <c r="B2967" s="59"/>
      <c r="C2967" s="137"/>
      <c r="D2967" s="59"/>
      <c r="E2967" s="116"/>
      <c r="F2967" s="120"/>
      <c r="G2967" s="120"/>
      <c r="H2967" s="120"/>
      <c r="I2967" s="60"/>
      <c r="J2967" s="116"/>
      <c r="K2967" s="213"/>
      <c r="L2967" s="120"/>
      <c r="M2967" s="120"/>
      <c r="N2967" s="167"/>
      <c r="O2967" s="120"/>
      <c r="P2967" s="120"/>
      <c r="Q2967" s="120"/>
      <c r="R2967" s="120"/>
      <c r="S2967" s="120"/>
      <c r="T2967" s="221"/>
      <c r="U2967" s="89"/>
      <c r="V2967" s="61"/>
      <c r="W2967" s="92" t="s">
        <v>65</v>
      </c>
      <c r="X2967" s="93" t="s">
        <v>30</v>
      </c>
      <c r="Y2967" s="93" t="s">
        <v>1011</v>
      </c>
      <c r="Z2967" s="134">
        <f>VLOOKUP(W2967,Sheet2!$B:$D,3,FALSE)</f>
        <v>1.76</v>
      </c>
      <c r="AA2967" s="93">
        <f>AA2966/10</f>
        <v>5</v>
      </c>
      <c r="AB2967" s="93">
        <f>AD2967/AC2959</f>
        <v>0.35200000000000004</v>
      </c>
      <c r="AC2967" s="93">
        <f>AC2959/AA2967</f>
        <v>6.0202999999999296</v>
      </c>
      <c r="AD2967" s="94">
        <f t="shared" si="2309"/>
        <v>10.595727999999877</v>
      </c>
      <c r="AE2967" s="190"/>
      <c r="AF2967" s="191"/>
      <c r="AG2967" s="191"/>
      <c r="AH2967" s="191"/>
      <c r="AI2967" s="186"/>
      <c r="AK2967" s="171"/>
    </row>
    <row r="2968" spans="1:37" s="103" customFormat="1" ht="19.899999999999999" customHeight="1" x14ac:dyDescent="0.25">
      <c r="A2968" s="51"/>
      <c r="B2968" s="52"/>
      <c r="C2968" s="165"/>
      <c r="D2968" s="52"/>
      <c r="E2968" s="115"/>
      <c r="F2968" s="58"/>
      <c r="G2968" s="58"/>
      <c r="H2968" s="58"/>
      <c r="I2968" s="55"/>
      <c r="J2968" s="113">
        <f>J2958</f>
        <v>30.101499999999646</v>
      </c>
      <c r="K2968" s="212">
        <f>K2958</f>
        <v>30.101499999999646</v>
      </c>
      <c r="L2968" s="58"/>
      <c r="M2968" s="58">
        <f>K2968-L2968</f>
        <v>30.101499999999646</v>
      </c>
      <c r="N2968" s="166"/>
      <c r="O2968" s="58"/>
      <c r="P2968" s="58"/>
      <c r="Q2968" s="58"/>
      <c r="R2968" s="58"/>
      <c r="S2968" s="58"/>
      <c r="T2968" s="220"/>
      <c r="U2968" s="88"/>
      <c r="V2968" s="56"/>
      <c r="W2968" s="57" t="s">
        <v>1036</v>
      </c>
      <c r="X2968" s="53"/>
      <c r="Y2968" s="91" t="s">
        <v>68</v>
      </c>
      <c r="Z2968" s="136">
        <f>AD2968/AC2968</f>
        <v>88.333333333333329</v>
      </c>
      <c r="AA2968" s="58"/>
      <c r="AB2968" s="53">
        <f>AD2968/AC2968</f>
        <v>88.333333333333329</v>
      </c>
      <c r="AC2968" s="53">
        <f>M2968+$AE$10</f>
        <v>30.101499999999646</v>
      </c>
      <c r="AD2968" s="54">
        <f>SUM(AD2969:AD2975)</f>
        <v>2658.9658333333018</v>
      </c>
      <c r="AE2968" s="184">
        <f>SUMIFS($AD$37:$AD$12971,$V$37:$V$12971,$V2968,$X$37:$X$12971,AE$13)</f>
        <v>0</v>
      </c>
      <c r="AF2968" s="185">
        <f>SUMIFS($AD$37:$AD$12971,$V$37:$V$12971,$V2968,$X$37:$X$12971,AF$13)</f>
        <v>0</v>
      </c>
      <c r="AG2968" s="185">
        <f>SUMIFS($AD$37:$AD$12971,$V$37:$V$12971,$V2968,$X$37:$X$12971,AG$13)</f>
        <v>0</v>
      </c>
      <c r="AH2968" s="187">
        <f>SUMIFS($AD$37:$AD$12971,$V$37:$V$12971,$V2968,$X$37:$X$12971,AH$13)</f>
        <v>0</v>
      </c>
      <c r="AI2968" s="161">
        <f t="shared" ref="AI2968" si="2310">SUM(AE2968:AH2968)</f>
        <v>0</v>
      </c>
      <c r="AK2968" s="172"/>
    </row>
    <row r="2969" spans="1:37" s="102" customFormat="1" ht="19.899999999999999" customHeight="1" x14ac:dyDescent="0.25">
      <c r="A2969" s="45"/>
      <c r="B2969" s="59"/>
      <c r="C2969" s="137"/>
      <c r="D2969" s="59"/>
      <c r="E2969" s="116"/>
      <c r="F2969" s="120"/>
      <c r="G2969" s="120"/>
      <c r="H2969" s="120"/>
      <c r="I2969" s="60"/>
      <c r="J2969" s="116"/>
      <c r="K2969" s="213"/>
      <c r="L2969" s="120"/>
      <c r="M2969" s="120"/>
      <c r="N2969" s="167"/>
      <c r="O2969" s="120"/>
      <c r="P2969" s="120"/>
      <c r="Q2969" s="120"/>
      <c r="R2969" s="120"/>
      <c r="S2969" s="120"/>
      <c r="T2969" s="221"/>
      <c r="U2969" s="89"/>
      <c r="V2969" s="61"/>
      <c r="W2969" s="92" t="s">
        <v>1220</v>
      </c>
      <c r="X2969" s="93" t="s">
        <v>30</v>
      </c>
      <c r="Y2969" s="93" t="s">
        <v>68</v>
      </c>
      <c r="Z2969" s="134">
        <f>VLOOKUP(W2969,Sheet2!$B:$D,3,FALSE)</f>
        <v>40</v>
      </c>
      <c r="AA2969" s="93">
        <v>1</v>
      </c>
      <c r="AB2969" s="93">
        <f>AD2969/AC2968</f>
        <v>40</v>
      </c>
      <c r="AC2969" s="93">
        <f>AC2968/AA2969</f>
        <v>30.101499999999646</v>
      </c>
      <c r="AD2969" s="94">
        <f t="shared" ref="AD2969" si="2311">AC2969*Z2969</f>
        <v>1204.0599999999858</v>
      </c>
      <c r="AE2969" s="190"/>
      <c r="AF2969" s="191"/>
      <c r="AG2969" s="191"/>
      <c r="AH2969" s="191"/>
      <c r="AI2969" s="186"/>
      <c r="AK2969" s="171"/>
    </row>
    <row r="2970" spans="1:37" s="102" customFormat="1" ht="20.100000000000001" customHeight="1" x14ac:dyDescent="0.25">
      <c r="A2970" s="45"/>
      <c r="B2970" s="59"/>
      <c r="C2970" s="137"/>
      <c r="D2970" s="59"/>
      <c r="E2970" s="116"/>
      <c r="F2970" s="120"/>
      <c r="G2970" s="120"/>
      <c r="H2970" s="120"/>
      <c r="I2970" s="60"/>
      <c r="J2970" s="116"/>
      <c r="K2970" s="213"/>
      <c r="L2970" s="120"/>
      <c r="M2970" s="120"/>
      <c r="N2970" s="167"/>
      <c r="O2970" s="120"/>
      <c r="P2970" s="120"/>
      <c r="Q2970" s="120"/>
      <c r="R2970" s="120"/>
      <c r="S2970" s="120"/>
      <c r="T2970" s="221"/>
      <c r="U2970" s="89"/>
      <c r="V2970" s="61"/>
      <c r="W2970" s="92" t="s">
        <v>1221</v>
      </c>
      <c r="X2970" s="93" t="s">
        <v>30</v>
      </c>
      <c r="Y2970" s="93" t="s">
        <v>68</v>
      </c>
      <c r="Z2970" s="134">
        <f>VLOOKUP(W2970,Sheet2!$B:$D,3,FALSE)</f>
        <v>4</v>
      </c>
      <c r="AA2970" s="93">
        <v>1</v>
      </c>
      <c r="AB2970" s="93">
        <f>AD2970/AC2968</f>
        <v>4</v>
      </c>
      <c r="AC2970" s="93">
        <f>AC2968/AA2970</f>
        <v>30.101499999999646</v>
      </c>
      <c r="AD2970" s="94">
        <f>AC2970*Z2970</f>
        <v>120.40599999999858</v>
      </c>
      <c r="AE2970" s="190"/>
      <c r="AF2970" s="191"/>
      <c r="AG2970" s="191"/>
      <c r="AH2970" s="191"/>
      <c r="AI2970" s="186"/>
      <c r="AK2970" s="171"/>
    </row>
    <row r="2971" spans="1:37" s="102" customFormat="1" ht="20.100000000000001" customHeight="1" x14ac:dyDescent="0.25">
      <c r="A2971" s="45"/>
      <c r="B2971" s="59"/>
      <c r="C2971" s="137"/>
      <c r="D2971" s="59"/>
      <c r="E2971" s="116"/>
      <c r="F2971" s="120"/>
      <c r="G2971" s="120"/>
      <c r="H2971" s="120"/>
      <c r="I2971" s="60"/>
      <c r="J2971" s="116"/>
      <c r="K2971" s="213"/>
      <c r="L2971" s="120"/>
      <c r="M2971" s="120"/>
      <c r="N2971" s="167"/>
      <c r="O2971" s="120"/>
      <c r="P2971" s="120"/>
      <c r="Q2971" s="120"/>
      <c r="R2971" s="120"/>
      <c r="S2971" s="120"/>
      <c r="T2971" s="221"/>
      <c r="U2971" s="89"/>
      <c r="V2971" s="61"/>
      <c r="W2971" s="92" t="s">
        <v>107</v>
      </c>
      <c r="X2971" s="93" t="s">
        <v>31</v>
      </c>
      <c r="Y2971" s="93" t="s">
        <v>93</v>
      </c>
      <c r="Z2971" s="134">
        <f>VLOOKUP(W2971,Sheet2!$B:$D,3,FALSE)</f>
        <v>17</v>
      </c>
      <c r="AA2971" s="93">
        <v>8</v>
      </c>
      <c r="AB2971" s="93">
        <f>AD2971/AC2968</f>
        <v>2.125</v>
      </c>
      <c r="AC2971" s="93">
        <f>AC2968/AA2971</f>
        <v>3.7626874999999558</v>
      </c>
      <c r="AD2971" s="94">
        <f>AC2971*Z2971</f>
        <v>63.965687499999248</v>
      </c>
      <c r="AE2971" s="190"/>
      <c r="AF2971" s="191"/>
      <c r="AG2971" s="191"/>
      <c r="AH2971" s="191"/>
      <c r="AI2971" s="186"/>
      <c r="AK2971" s="171"/>
    </row>
    <row r="2972" spans="1:37" s="102" customFormat="1" ht="20.100000000000001" customHeight="1" x14ac:dyDescent="0.25">
      <c r="A2972" s="45"/>
      <c r="B2972" s="59"/>
      <c r="C2972" s="137"/>
      <c r="D2972" s="59"/>
      <c r="E2972" s="116"/>
      <c r="F2972" s="120"/>
      <c r="G2972" s="120"/>
      <c r="H2972" s="120"/>
      <c r="I2972" s="60"/>
      <c r="J2972" s="116"/>
      <c r="K2972" s="213"/>
      <c r="L2972" s="120"/>
      <c r="M2972" s="120"/>
      <c r="N2972" s="167"/>
      <c r="O2972" s="120"/>
      <c r="P2972" s="120"/>
      <c r="Q2972" s="120"/>
      <c r="R2972" s="120"/>
      <c r="S2972" s="120"/>
      <c r="T2972" s="221"/>
      <c r="U2972" s="89"/>
      <c r="V2972" s="61"/>
      <c r="W2972" s="92" t="s">
        <v>112</v>
      </c>
      <c r="X2972" s="93" t="s">
        <v>31</v>
      </c>
      <c r="Y2972" s="93" t="s">
        <v>93</v>
      </c>
      <c r="Z2972" s="134">
        <f>VLOOKUP(W2972,Sheet2!$B:$D,3,FALSE)</f>
        <v>13</v>
      </c>
      <c r="AA2972" s="93">
        <v>8</v>
      </c>
      <c r="AB2972" s="93">
        <f>AD2972/AC2968</f>
        <v>1.625</v>
      </c>
      <c r="AC2972" s="93">
        <f>AC2968/AA2972</f>
        <v>3.7626874999999558</v>
      </c>
      <c r="AD2972" s="94">
        <f>AC2972*Z2972</f>
        <v>48.914937499999425</v>
      </c>
      <c r="AE2972" s="190"/>
      <c r="AF2972" s="191"/>
      <c r="AG2972" s="191"/>
      <c r="AH2972" s="191"/>
      <c r="AI2972" s="186"/>
      <c r="AK2972" s="171"/>
    </row>
    <row r="2973" spans="1:37" s="102" customFormat="1" ht="20.100000000000001" customHeight="1" x14ac:dyDescent="0.25">
      <c r="A2973" s="45"/>
      <c r="B2973" s="59"/>
      <c r="C2973" s="137"/>
      <c r="D2973" s="59"/>
      <c r="E2973" s="116"/>
      <c r="F2973" s="120"/>
      <c r="G2973" s="120"/>
      <c r="H2973" s="120"/>
      <c r="I2973" s="60"/>
      <c r="J2973" s="116"/>
      <c r="K2973" s="213"/>
      <c r="L2973" s="120"/>
      <c r="M2973" s="120"/>
      <c r="N2973" s="167"/>
      <c r="O2973" s="120"/>
      <c r="P2973" s="120"/>
      <c r="Q2973" s="120"/>
      <c r="R2973" s="120"/>
      <c r="S2973" s="120"/>
      <c r="T2973" s="221"/>
      <c r="U2973" s="89"/>
      <c r="V2973" s="61"/>
      <c r="W2973" s="92" t="s">
        <v>1032</v>
      </c>
      <c r="X2973" s="93" t="s">
        <v>30</v>
      </c>
      <c r="Y2973" s="93" t="s">
        <v>66</v>
      </c>
      <c r="Z2973" s="134">
        <f>VLOOKUP(W2973,Sheet2!$B:$D,3,FALSE)</f>
        <v>250</v>
      </c>
      <c r="AA2973" s="93">
        <f>1/(1*1*0.1)</f>
        <v>10</v>
      </c>
      <c r="AB2973" s="93">
        <f>AD2973/AC2968</f>
        <v>25</v>
      </c>
      <c r="AC2973" s="93">
        <f>AC2968/AA2973</f>
        <v>3.0101499999999648</v>
      </c>
      <c r="AD2973" s="94">
        <f>AC2973*Z2973</f>
        <v>752.53749999999116</v>
      </c>
      <c r="AE2973" s="190"/>
      <c r="AF2973" s="191"/>
      <c r="AG2973" s="191"/>
      <c r="AH2973" s="191"/>
      <c r="AI2973" s="186"/>
      <c r="AK2973" s="171"/>
    </row>
    <row r="2974" spans="1:37" s="102" customFormat="1" ht="20.100000000000001" customHeight="1" x14ac:dyDescent="0.25">
      <c r="A2974" s="45"/>
      <c r="B2974" s="59"/>
      <c r="C2974" s="137"/>
      <c r="D2974" s="59"/>
      <c r="E2974" s="116"/>
      <c r="F2974" s="120"/>
      <c r="G2974" s="120"/>
      <c r="H2974" s="120"/>
      <c r="I2974" s="60"/>
      <c r="J2974" s="116"/>
      <c r="K2974" s="213"/>
      <c r="L2974" s="120"/>
      <c r="M2974" s="120"/>
      <c r="N2974" s="167"/>
      <c r="O2974" s="120"/>
      <c r="P2974" s="120"/>
      <c r="Q2974" s="120"/>
      <c r="R2974" s="120"/>
      <c r="S2974" s="120"/>
      <c r="T2974" s="221"/>
      <c r="U2974" s="89"/>
      <c r="V2974" s="61"/>
      <c r="W2974" s="92" t="s">
        <v>1035</v>
      </c>
      <c r="X2974" s="93" t="s">
        <v>32</v>
      </c>
      <c r="Y2974" s="93" t="s">
        <v>66</v>
      </c>
      <c r="Z2974" s="134">
        <f>VLOOKUP(W2974,Sheet2!$B:$D,3,FALSE)</f>
        <v>150</v>
      </c>
      <c r="AA2974" s="93">
        <f>AA2973</f>
        <v>10</v>
      </c>
      <c r="AB2974" s="93">
        <f>AD2974/AC2968</f>
        <v>15</v>
      </c>
      <c r="AC2974" s="93">
        <f>AC2968/AA2974</f>
        <v>3.0101499999999648</v>
      </c>
      <c r="AD2974" s="94">
        <f t="shared" ref="AD2974:AD2975" si="2312">AC2974*Z2974</f>
        <v>451.52249999999469</v>
      </c>
      <c r="AE2974" s="190"/>
      <c r="AF2974" s="191"/>
      <c r="AG2974" s="191"/>
      <c r="AH2974" s="191"/>
      <c r="AI2974" s="186"/>
      <c r="AK2974" s="171"/>
    </row>
    <row r="2975" spans="1:37" s="102" customFormat="1" ht="20.100000000000001" customHeight="1" x14ac:dyDescent="0.25">
      <c r="A2975" s="45"/>
      <c r="B2975" s="59"/>
      <c r="C2975" s="137"/>
      <c r="D2975" s="59"/>
      <c r="E2975" s="116"/>
      <c r="F2975" s="120"/>
      <c r="G2975" s="120"/>
      <c r="H2975" s="120"/>
      <c r="I2975" s="60"/>
      <c r="J2975" s="116"/>
      <c r="K2975" s="213"/>
      <c r="L2975" s="120"/>
      <c r="M2975" s="120"/>
      <c r="N2975" s="167"/>
      <c r="O2975" s="120"/>
      <c r="P2975" s="120"/>
      <c r="Q2975" s="120"/>
      <c r="R2975" s="120"/>
      <c r="S2975" s="120"/>
      <c r="T2975" s="221"/>
      <c r="U2975" s="89"/>
      <c r="V2975" s="61"/>
      <c r="W2975" s="92" t="s">
        <v>1037</v>
      </c>
      <c r="X2975" s="93" t="s">
        <v>30</v>
      </c>
      <c r="Y2975" s="93" t="s">
        <v>1038</v>
      </c>
      <c r="Z2975" s="134">
        <f>VLOOKUP(W2975,Sheet2!$B:$D,3,FALSE)</f>
        <v>175</v>
      </c>
      <c r="AA2975" s="93">
        <v>300</v>
      </c>
      <c r="AB2975" s="93">
        <f>AD2975/AC2968</f>
        <v>0.58333333333333337</v>
      </c>
      <c r="AC2975" s="93">
        <f>AC2968/AA2975</f>
        <v>0.10033833333333216</v>
      </c>
      <c r="AD2975" s="94">
        <f t="shared" si="2312"/>
        <v>17.559208333333128</v>
      </c>
      <c r="AE2975" s="190"/>
      <c r="AF2975" s="191"/>
      <c r="AG2975" s="191"/>
      <c r="AH2975" s="191"/>
      <c r="AI2975" s="186"/>
      <c r="AK2975" s="171"/>
    </row>
    <row r="2976" spans="1:37" s="103" customFormat="1" ht="20.100000000000001" customHeight="1" x14ac:dyDescent="0.25">
      <c r="A2976" s="51"/>
      <c r="B2976" s="52"/>
      <c r="C2976" s="165"/>
      <c r="D2976" s="52"/>
      <c r="E2976" s="115"/>
      <c r="F2976" s="58"/>
      <c r="G2976" s="58"/>
      <c r="H2976" s="58"/>
      <c r="I2976" s="55"/>
      <c r="J2976" s="113">
        <f>J2958</f>
        <v>30.101499999999646</v>
      </c>
      <c r="K2976" s="212">
        <f>K2958</f>
        <v>30.101499999999646</v>
      </c>
      <c r="L2976" s="58"/>
      <c r="M2976" s="58">
        <f>K2976-L2976</f>
        <v>30.101499999999646</v>
      </c>
      <c r="N2976" s="166"/>
      <c r="O2976" s="58"/>
      <c r="P2976" s="58"/>
      <c r="Q2976" s="58"/>
      <c r="R2976" s="58"/>
      <c r="S2976" s="58"/>
      <c r="T2976" s="220"/>
      <c r="U2976" s="88"/>
      <c r="V2976" s="56"/>
      <c r="W2976" s="57" t="s">
        <v>1040</v>
      </c>
      <c r="X2976" s="53"/>
      <c r="Y2976" s="91" t="s">
        <v>68</v>
      </c>
      <c r="Z2976" s="136">
        <f>AD2976/AC2976</f>
        <v>5</v>
      </c>
      <c r="AA2976" s="58"/>
      <c r="AB2976" s="53">
        <f>AD2976/AC2976</f>
        <v>5</v>
      </c>
      <c r="AC2976" s="53">
        <f>M2976+$AE$10</f>
        <v>30.101499999999646</v>
      </c>
      <c r="AD2976" s="54">
        <f>SUM(AD2977)</f>
        <v>150.50749999999823</v>
      </c>
      <c r="AE2976" s="184">
        <f>SUMIFS($AD$37:$AD$12971,$V$37:$V$12971,$V2976,$X$37:$X$12971,AE$13)</f>
        <v>0</v>
      </c>
      <c r="AF2976" s="185">
        <f>SUMIFS($AD$37:$AD$12971,$V$37:$V$12971,$V2976,$X$37:$X$12971,AF$13)</f>
        <v>0</v>
      </c>
      <c r="AG2976" s="185">
        <f>SUMIFS($AD$37:$AD$12971,$V$37:$V$12971,$V2976,$X$37:$X$12971,AG$13)</f>
        <v>0</v>
      </c>
      <c r="AH2976" s="187">
        <f>SUMIFS($AD$37:$AD$12971,$V$37:$V$12971,$V2976,$X$37:$X$12971,AH$13)</f>
        <v>0</v>
      </c>
      <c r="AI2976" s="161">
        <f t="shared" ref="AI2976" si="2313">SUM(AE2976:AH2976)</f>
        <v>0</v>
      </c>
      <c r="AK2976" s="172"/>
    </row>
    <row r="2977" spans="1:41" s="102" customFormat="1" ht="20.100000000000001" customHeight="1" x14ac:dyDescent="0.25">
      <c r="A2977" s="45"/>
      <c r="B2977" s="59"/>
      <c r="C2977" s="137"/>
      <c r="D2977" s="59"/>
      <c r="E2977" s="116"/>
      <c r="F2977" s="120"/>
      <c r="G2977" s="120"/>
      <c r="H2977" s="120"/>
      <c r="I2977" s="60"/>
      <c r="J2977" s="116"/>
      <c r="K2977" s="213"/>
      <c r="L2977" s="120"/>
      <c r="M2977" s="120"/>
      <c r="N2977" s="167"/>
      <c r="O2977" s="120"/>
      <c r="P2977" s="120"/>
      <c r="Q2977" s="120"/>
      <c r="R2977" s="120"/>
      <c r="S2977" s="120"/>
      <c r="T2977" s="221"/>
      <c r="U2977" s="89"/>
      <c r="V2977" s="61"/>
      <c r="W2977" s="92" t="s">
        <v>1039</v>
      </c>
      <c r="X2977" s="93" t="s">
        <v>32</v>
      </c>
      <c r="Y2977" s="93" t="s">
        <v>68</v>
      </c>
      <c r="Z2977" s="134">
        <f>VLOOKUP(W2977,Sheet2!$B:$D,3,FALSE)</f>
        <v>5</v>
      </c>
      <c r="AA2977" s="93">
        <v>1</v>
      </c>
      <c r="AB2977" s="93">
        <f>AD2977/AC2976</f>
        <v>5</v>
      </c>
      <c r="AC2977" s="93">
        <f>AC2976/AA2977</f>
        <v>30.101499999999646</v>
      </c>
      <c r="AD2977" s="94">
        <f t="shared" ref="AD2977" si="2314">AC2977*Z2977</f>
        <v>150.50749999999823</v>
      </c>
      <c r="AE2977" s="190"/>
      <c r="AF2977" s="191"/>
      <c r="AG2977" s="191"/>
      <c r="AH2977" s="191"/>
      <c r="AI2977" s="186"/>
      <c r="AK2977" s="171"/>
    </row>
    <row r="2978" spans="1:41" ht="20.100000000000001" customHeight="1" x14ac:dyDescent="0.25">
      <c r="A2978" s="277" t="s">
        <v>491</v>
      </c>
      <c r="B2978" s="278"/>
      <c r="C2978" s="64" t="s">
        <v>1210</v>
      </c>
      <c r="D2978" s="46" t="s">
        <v>97</v>
      </c>
      <c r="E2978" s="114">
        <v>259.43295000000489</v>
      </c>
      <c r="F2978" s="44">
        <v>195</v>
      </c>
      <c r="G2978" s="44">
        <f t="shared" si="1977"/>
        <v>50589.425250000953</v>
      </c>
      <c r="H2978" s="44">
        <f t="shared" si="1978"/>
        <v>140.59414901960781</v>
      </c>
      <c r="I2978" s="43">
        <f t="shared" si="1979"/>
        <v>36474.754832897153</v>
      </c>
      <c r="J2978" s="112">
        <f t="shared" si="1980"/>
        <v>259.43295000000489</v>
      </c>
      <c r="K2978" s="211">
        <f t="shared" si="1981"/>
        <v>259.43295000000489</v>
      </c>
      <c r="L2978" s="44"/>
      <c r="M2978" s="44">
        <f t="shared" si="1982"/>
        <v>259.43295000000489</v>
      </c>
      <c r="N2978" s="173">
        <f t="shared" si="1983"/>
        <v>1</v>
      </c>
      <c r="O2978" s="44">
        <f t="shared" si="1984"/>
        <v>195</v>
      </c>
      <c r="P2978" s="44">
        <f t="shared" si="1985"/>
        <v>50589.425250000953</v>
      </c>
      <c r="Q2978" s="44">
        <f t="shared" si="1986"/>
        <v>140.59414901960781</v>
      </c>
      <c r="R2978" s="44">
        <f t="shared" si="1987"/>
        <v>36474.754832897153</v>
      </c>
      <c r="S2978" s="123"/>
      <c r="T2978" s="219">
        <f t="shared" si="1988"/>
        <v>36474.754832897153</v>
      </c>
      <c r="U2978" s="87"/>
      <c r="V2978" s="47"/>
      <c r="W2978" s="48"/>
      <c r="X2978" s="48"/>
      <c r="Y2978" s="48"/>
      <c r="Z2978" s="135"/>
      <c r="AA2978" s="49"/>
      <c r="AB2978" s="50">
        <f t="shared" si="1989"/>
        <v>140.59414901960781</v>
      </c>
      <c r="AC2978" s="42">
        <f t="shared" si="1990"/>
        <v>259.43295000000489</v>
      </c>
      <c r="AD2978" s="90">
        <f>AD2979+AD2989+AD2997</f>
        <v>36474.754832897153</v>
      </c>
      <c r="AE2978" s="188">
        <f t="shared" ref="AE2978:AH2978" si="2315">AE2979+AE2989+AE2997</f>
        <v>0</v>
      </c>
      <c r="AF2978" s="189">
        <f t="shared" si="2315"/>
        <v>0</v>
      </c>
      <c r="AG2978" s="189">
        <f t="shared" si="2315"/>
        <v>0</v>
      </c>
      <c r="AH2978" s="189">
        <f t="shared" si="2315"/>
        <v>0</v>
      </c>
      <c r="AI2978" s="161">
        <f t="shared" ref="AI2978" si="2316">SUM(AE2978:AH2978)</f>
        <v>0</v>
      </c>
      <c r="AK2978" s="169">
        <v>5</v>
      </c>
      <c r="AO2978" s="19" t="s">
        <v>63</v>
      </c>
    </row>
    <row r="2979" spans="1:41" s="103" customFormat="1" ht="19.899999999999999" customHeight="1" x14ac:dyDescent="0.25">
      <c r="A2979" s="51"/>
      <c r="B2979" s="52"/>
      <c r="C2979" s="165"/>
      <c r="D2979" s="52"/>
      <c r="E2979" s="115"/>
      <c r="F2979" s="58"/>
      <c r="G2979" s="58"/>
      <c r="H2979" s="58"/>
      <c r="I2979" s="55"/>
      <c r="J2979" s="113">
        <f>J2978</f>
        <v>259.43295000000489</v>
      </c>
      <c r="K2979" s="212">
        <f>K2978</f>
        <v>259.43295000000489</v>
      </c>
      <c r="L2979" s="58"/>
      <c r="M2979" s="58">
        <f>K2979-L2979</f>
        <v>259.43295000000489</v>
      </c>
      <c r="N2979" s="166"/>
      <c r="O2979" s="58"/>
      <c r="P2979" s="58"/>
      <c r="Q2979" s="58"/>
      <c r="R2979" s="58"/>
      <c r="S2979" s="58"/>
      <c r="T2979" s="220"/>
      <c r="U2979" s="88"/>
      <c r="V2979" s="56"/>
      <c r="W2979" s="57" t="s">
        <v>1050</v>
      </c>
      <c r="X2979" s="53"/>
      <c r="Y2979" s="91" t="s">
        <v>68</v>
      </c>
      <c r="Z2979" s="136">
        <f>AD2979/AC2979</f>
        <v>47.260815686274505</v>
      </c>
      <c r="AA2979" s="58"/>
      <c r="AB2979" s="53">
        <f>AD2979/AC2979</f>
        <v>47.260815686274505</v>
      </c>
      <c r="AC2979" s="53">
        <f>M2979+$AE$10</f>
        <v>259.43295000000489</v>
      </c>
      <c r="AD2979" s="54">
        <f>SUM(AD2980:AD2988)</f>
        <v>12261.0128328967</v>
      </c>
      <c r="AE2979" s="184">
        <f>SUMIFS($AD$37:$AD$12971,$V$37:$V$12971,$V2979,$X$37:$X$12971,AE$13)</f>
        <v>0</v>
      </c>
      <c r="AF2979" s="185">
        <f>SUMIFS($AD$37:$AD$12971,$V$37:$V$12971,$V2979,$X$37:$X$12971,AF$13)</f>
        <v>0</v>
      </c>
      <c r="AG2979" s="185">
        <f>SUMIFS($AD$37:$AD$12971,$V$37:$V$12971,$V2979,$X$37:$X$12971,AG$13)</f>
        <v>0</v>
      </c>
      <c r="AH2979" s="187">
        <f>SUMIFS($AD$37:$AD$12971,$V$37:$V$12971,$V2979,$X$37:$X$12971,AH$13)</f>
        <v>0</v>
      </c>
      <c r="AI2979" s="161">
        <f t="shared" ref="AI2979" si="2317">SUM(AE2979:AH2979)</f>
        <v>0</v>
      </c>
      <c r="AK2979" s="172"/>
    </row>
    <row r="2980" spans="1:41" s="102" customFormat="1" ht="19.899999999999999" customHeight="1" x14ac:dyDescent="0.25">
      <c r="A2980" s="45"/>
      <c r="B2980" s="59"/>
      <c r="C2980" s="137"/>
      <c r="D2980" s="59"/>
      <c r="E2980" s="116"/>
      <c r="F2980" s="120"/>
      <c r="G2980" s="120"/>
      <c r="H2980" s="120"/>
      <c r="I2980" s="60"/>
      <c r="J2980" s="116"/>
      <c r="K2980" s="213"/>
      <c r="L2980" s="120"/>
      <c r="M2980" s="120"/>
      <c r="N2980" s="167"/>
      <c r="O2980" s="120"/>
      <c r="P2980" s="120"/>
      <c r="Q2980" s="120"/>
      <c r="R2980" s="120"/>
      <c r="S2980" s="120"/>
      <c r="T2980" s="221"/>
      <c r="U2980" s="89"/>
      <c r="V2980" s="61"/>
      <c r="W2980" s="92" t="s">
        <v>129</v>
      </c>
      <c r="X2980" s="93" t="s">
        <v>29</v>
      </c>
      <c r="Y2980" s="93" t="s">
        <v>93</v>
      </c>
      <c r="Z2980" s="134">
        <f>VLOOKUP(W2980,Sheet2!$B:$D,3,FALSE)</f>
        <v>56</v>
      </c>
      <c r="AA2980" s="93">
        <f>100/(1*2.5)</f>
        <v>40</v>
      </c>
      <c r="AB2980" s="93">
        <f t="shared" ref="AB2980" si="2318">AD2980/AC2979</f>
        <v>1.4</v>
      </c>
      <c r="AC2980" s="93">
        <f>AC2979/AA2980</f>
        <v>6.4858237500001223</v>
      </c>
      <c r="AD2980" s="94">
        <f t="shared" ref="AD2980:AD2981" si="2319">AC2980*Z2980</f>
        <v>363.20613000000685</v>
      </c>
      <c r="AE2980" s="190"/>
      <c r="AF2980" s="191"/>
      <c r="AG2980" s="191"/>
      <c r="AH2980" s="191"/>
      <c r="AI2980" s="186"/>
      <c r="AK2980" s="171"/>
    </row>
    <row r="2981" spans="1:41" s="102" customFormat="1" ht="19.899999999999999" customHeight="1" x14ac:dyDescent="0.25">
      <c r="A2981" s="45"/>
      <c r="B2981" s="59"/>
      <c r="C2981" s="137"/>
      <c r="D2981" s="59"/>
      <c r="E2981" s="116"/>
      <c r="F2981" s="120"/>
      <c r="G2981" s="120"/>
      <c r="H2981" s="120"/>
      <c r="I2981" s="60"/>
      <c r="J2981" s="116"/>
      <c r="K2981" s="213"/>
      <c r="L2981" s="120"/>
      <c r="M2981" s="120"/>
      <c r="N2981" s="167"/>
      <c r="O2981" s="120"/>
      <c r="P2981" s="120"/>
      <c r="Q2981" s="120"/>
      <c r="R2981" s="120"/>
      <c r="S2981" s="120"/>
      <c r="T2981" s="221"/>
      <c r="U2981" s="89"/>
      <c r="V2981" s="61"/>
      <c r="W2981" s="92" t="s">
        <v>65</v>
      </c>
      <c r="X2981" s="93" t="s">
        <v>30</v>
      </c>
      <c r="Y2981" s="93" t="s">
        <v>1011</v>
      </c>
      <c r="Z2981" s="134">
        <f>VLOOKUP(W2981,Sheet2!$B:$D,3,FALSE)</f>
        <v>1.76</v>
      </c>
      <c r="AA2981" s="93">
        <f>AA2980/14</f>
        <v>2.8571428571428572</v>
      </c>
      <c r="AB2981" s="93">
        <f>AD2981/AC2979</f>
        <v>0.61599999999999999</v>
      </c>
      <c r="AC2981" s="93">
        <f>AC2979/AA2981</f>
        <v>90.801532500001713</v>
      </c>
      <c r="AD2981" s="94">
        <f t="shared" si="2319"/>
        <v>159.81069720000301</v>
      </c>
      <c r="AE2981" s="190"/>
      <c r="AF2981" s="191"/>
      <c r="AG2981" s="191"/>
      <c r="AH2981" s="191"/>
      <c r="AI2981" s="186"/>
      <c r="AK2981" s="171"/>
    </row>
    <row r="2982" spans="1:41" s="102" customFormat="1" ht="19.899999999999999" customHeight="1" x14ac:dyDescent="0.25">
      <c r="A2982" s="45"/>
      <c r="B2982" s="59"/>
      <c r="C2982" s="137"/>
      <c r="D2982" s="59"/>
      <c r="E2982" s="116"/>
      <c r="F2982" s="120"/>
      <c r="G2982" s="120"/>
      <c r="H2982" s="120"/>
      <c r="I2982" s="60"/>
      <c r="J2982" s="116"/>
      <c r="K2982" s="213"/>
      <c r="L2982" s="120"/>
      <c r="M2982" s="120"/>
      <c r="N2982" s="167"/>
      <c r="O2982" s="120"/>
      <c r="P2982" s="120"/>
      <c r="Q2982" s="120"/>
      <c r="R2982" s="120"/>
      <c r="S2982" s="120"/>
      <c r="T2982" s="221"/>
      <c r="U2982" s="89"/>
      <c r="V2982" s="61"/>
      <c r="W2982" s="92" t="s">
        <v>161</v>
      </c>
      <c r="X2982" s="93" t="s">
        <v>29</v>
      </c>
      <c r="Y2982" s="93" t="s">
        <v>93</v>
      </c>
      <c r="Z2982" s="134">
        <f>VLOOKUP(W2982,Sheet2!$B:$D,3,FALSE)</f>
        <v>48</v>
      </c>
      <c r="AA2982" s="93">
        <f>(16*0.85*1.5)/(1*2.5)</f>
        <v>8.16</v>
      </c>
      <c r="AB2982" s="93">
        <f>AD2982/AC2979</f>
        <v>5.882352941176471</v>
      </c>
      <c r="AC2982" s="93">
        <f>AC2979/AA2982</f>
        <v>31.793253676471188</v>
      </c>
      <c r="AD2982" s="94">
        <f>AC2982*Z2982</f>
        <v>1526.0761764706172</v>
      </c>
      <c r="AE2982" s="190"/>
      <c r="AF2982" s="191"/>
      <c r="AG2982" s="191"/>
      <c r="AH2982" s="191"/>
      <c r="AI2982" s="186"/>
      <c r="AK2982" s="171"/>
    </row>
    <row r="2983" spans="1:41" s="102" customFormat="1" ht="19.899999999999999" customHeight="1" x14ac:dyDescent="0.25">
      <c r="A2983" s="45"/>
      <c r="B2983" s="59"/>
      <c r="C2983" s="137"/>
      <c r="D2983" s="59"/>
      <c r="E2983" s="116"/>
      <c r="F2983" s="120"/>
      <c r="G2983" s="120"/>
      <c r="H2983" s="120"/>
      <c r="I2983" s="60"/>
      <c r="J2983" s="116"/>
      <c r="K2983" s="213"/>
      <c r="L2983" s="120"/>
      <c r="M2983" s="120"/>
      <c r="N2983" s="167"/>
      <c r="O2983" s="120"/>
      <c r="P2983" s="120"/>
      <c r="Q2983" s="120"/>
      <c r="R2983" s="120"/>
      <c r="S2983" s="120"/>
      <c r="T2983" s="221"/>
      <c r="U2983" s="89"/>
      <c r="V2983" s="61"/>
      <c r="W2983" s="92" t="s">
        <v>65</v>
      </c>
      <c r="X2983" s="93" t="s">
        <v>30</v>
      </c>
      <c r="Y2983" s="93" t="s">
        <v>1011</v>
      </c>
      <c r="Z2983" s="134">
        <f>VLOOKUP(W2983,Sheet2!$B:$D,3,FALSE)</f>
        <v>1.76</v>
      </c>
      <c r="AA2983" s="93">
        <f>AA2982/10</f>
        <v>0.81600000000000006</v>
      </c>
      <c r="AB2983" s="93">
        <f>AD2983/AC2979</f>
        <v>2.1568627450980391</v>
      </c>
      <c r="AC2983" s="93">
        <f>AC2979/AA2983</f>
        <v>317.93253676471187</v>
      </c>
      <c r="AD2983" s="94">
        <f>AC2983*Z2983</f>
        <v>559.56126470589288</v>
      </c>
      <c r="AE2983" s="190"/>
      <c r="AF2983" s="191"/>
      <c r="AG2983" s="191"/>
      <c r="AH2983" s="191"/>
      <c r="AI2983" s="186"/>
      <c r="AK2983" s="171"/>
    </row>
    <row r="2984" spans="1:41" s="102" customFormat="1" ht="19.899999999999999" customHeight="1" x14ac:dyDescent="0.25">
      <c r="A2984" s="45"/>
      <c r="B2984" s="59"/>
      <c r="C2984" s="137"/>
      <c r="D2984" s="59"/>
      <c r="E2984" s="116"/>
      <c r="F2984" s="120"/>
      <c r="G2984" s="120"/>
      <c r="H2984" s="120"/>
      <c r="I2984" s="60"/>
      <c r="J2984" s="116"/>
      <c r="K2984" s="213"/>
      <c r="L2984" s="120"/>
      <c r="M2984" s="120"/>
      <c r="N2984" s="167"/>
      <c r="O2984" s="120"/>
      <c r="P2984" s="120"/>
      <c r="Q2984" s="120"/>
      <c r="R2984" s="120"/>
      <c r="S2984" s="120"/>
      <c r="T2984" s="221"/>
      <c r="U2984" s="89"/>
      <c r="V2984" s="61"/>
      <c r="W2984" s="92" t="s">
        <v>1030</v>
      </c>
      <c r="X2984" s="93" t="s">
        <v>29</v>
      </c>
      <c r="Y2984" s="93" t="s">
        <v>93</v>
      </c>
      <c r="Z2984" s="134">
        <f>VLOOKUP(W2984,Sheet2!$B:$D,3,FALSE)</f>
        <v>23</v>
      </c>
      <c r="AA2984" s="93">
        <v>50</v>
      </c>
      <c r="AB2984" s="93">
        <f>AD2984/AC2979</f>
        <v>0.46</v>
      </c>
      <c r="AC2984" s="93">
        <f>AC2979/AA2984</f>
        <v>5.1886590000000981</v>
      </c>
      <c r="AD2984" s="94">
        <f t="shared" ref="AD2984:AD2988" si="2320">AC2984*Z2984</f>
        <v>119.33915700000226</v>
      </c>
      <c r="AE2984" s="190"/>
      <c r="AF2984" s="191"/>
      <c r="AG2984" s="191"/>
      <c r="AH2984" s="191"/>
      <c r="AI2984" s="186"/>
      <c r="AK2984" s="171"/>
    </row>
    <row r="2985" spans="1:41" s="102" customFormat="1" ht="19.899999999999999" customHeight="1" x14ac:dyDescent="0.25">
      <c r="A2985" s="45"/>
      <c r="B2985" s="59"/>
      <c r="C2985" s="137"/>
      <c r="D2985" s="59"/>
      <c r="E2985" s="116"/>
      <c r="F2985" s="120"/>
      <c r="G2985" s="120"/>
      <c r="H2985" s="120"/>
      <c r="I2985" s="60"/>
      <c r="J2985" s="116"/>
      <c r="K2985" s="213"/>
      <c r="L2985" s="120"/>
      <c r="M2985" s="120"/>
      <c r="N2985" s="167"/>
      <c r="O2985" s="120"/>
      <c r="P2985" s="120"/>
      <c r="Q2985" s="120"/>
      <c r="R2985" s="120"/>
      <c r="S2985" s="120"/>
      <c r="T2985" s="221"/>
      <c r="U2985" s="89"/>
      <c r="V2985" s="61"/>
      <c r="W2985" s="92" t="s">
        <v>65</v>
      </c>
      <c r="X2985" s="93" t="s">
        <v>30</v>
      </c>
      <c r="Y2985" s="93" t="s">
        <v>1011</v>
      </c>
      <c r="Z2985" s="134">
        <f>VLOOKUP(W2985,Sheet2!$B:$D,3,FALSE)</f>
        <v>1.76</v>
      </c>
      <c r="AA2985" s="93">
        <f>AA2984/3</f>
        <v>16.666666666666668</v>
      </c>
      <c r="AB2985" s="93">
        <f>AD2985/AC2979</f>
        <v>0.1056</v>
      </c>
      <c r="AC2985" s="93">
        <f>AC2979/AA2985</f>
        <v>15.565977000000293</v>
      </c>
      <c r="AD2985" s="94">
        <f t="shared" si="2320"/>
        <v>27.396119520000518</v>
      </c>
      <c r="AE2985" s="190"/>
      <c r="AF2985" s="191"/>
      <c r="AG2985" s="191"/>
      <c r="AH2985" s="191"/>
      <c r="AI2985" s="186"/>
      <c r="AK2985" s="171"/>
    </row>
    <row r="2986" spans="1:41" s="102" customFormat="1" ht="19.899999999999999" customHeight="1" x14ac:dyDescent="0.25">
      <c r="A2986" s="45"/>
      <c r="B2986" s="59"/>
      <c r="C2986" s="137"/>
      <c r="D2986" s="59"/>
      <c r="E2986" s="116"/>
      <c r="F2986" s="120"/>
      <c r="G2986" s="120"/>
      <c r="H2986" s="120"/>
      <c r="I2986" s="60"/>
      <c r="J2986" s="116"/>
      <c r="K2986" s="213"/>
      <c r="L2986" s="120"/>
      <c r="M2986" s="120"/>
      <c r="N2986" s="167"/>
      <c r="O2986" s="120"/>
      <c r="P2986" s="120"/>
      <c r="Q2986" s="120"/>
      <c r="R2986" s="120"/>
      <c r="S2986" s="120"/>
      <c r="T2986" s="221"/>
      <c r="U2986" s="89"/>
      <c r="V2986" s="61"/>
      <c r="W2986" s="92" t="s">
        <v>148</v>
      </c>
      <c r="X2986" s="93" t="s">
        <v>29</v>
      </c>
      <c r="Y2986" s="93" t="s">
        <v>93</v>
      </c>
      <c r="Z2986" s="134">
        <f>VLOOKUP(W2986,Sheet2!$B:$D,3,FALSE)</f>
        <v>48</v>
      </c>
      <c r="AA2986" s="93">
        <f>AA2980</f>
        <v>40</v>
      </c>
      <c r="AB2986" s="93">
        <f>AD2986/AC2979</f>
        <v>1.2</v>
      </c>
      <c r="AC2986" s="93">
        <f>AC2979/AA2986</f>
        <v>6.4858237500001223</v>
      </c>
      <c r="AD2986" s="94">
        <f t="shared" si="2320"/>
        <v>311.31954000000587</v>
      </c>
      <c r="AE2986" s="190"/>
      <c r="AF2986" s="191"/>
      <c r="AG2986" s="191"/>
      <c r="AH2986" s="191"/>
      <c r="AI2986" s="186"/>
      <c r="AK2986" s="171"/>
    </row>
    <row r="2987" spans="1:41" s="102" customFormat="1" ht="19.899999999999999" customHeight="1" x14ac:dyDescent="0.25">
      <c r="A2987" s="45"/>
      <c r="B2987" s="59"/>
      <c r="C2987" s="137"/>
      <c r="D2987" s="59"/>
      <c r="E2987" s="116"/>
      <c r="F2987" s="120"/>
      <c r="G2987" s="120"/>
      <c r="H2987" s="120"/>
      <c r="I2987" s="60"/>
      <c r="J2987" s="116"/>
      <c r="K2987" s="213"/>
      <c r="L2987" s="120"/>
      <c r="M2987" s="120"/>
      <c r="N2987" s="167"/>
      <c r="O2987" s="120"/>
      <c r="P2987" s="120"/>
      <c r="Q2987" s="120"/>
      <c r="R2987" s="120"/>
      <c r="S2987" s="120"/>
      <c r="T2987" s="221"/>
      <c r="U2987" s="89"/>
      <c r="V2987" s="61"/>
      <c r="W2987" s="92" t="s">
        <v>65</v>
      </c>
      <c r="X2987" s="93" t="s">
        <v>30</v>
      </c>
      <c r="Y2987" s="93" t="s">
        <v>1011</v>
      </c>
      <c r="Z2987" s="134">
        <f>VLOOKUP(W2987,Sheet2!$B:$D,3,FALSE)</f>
        <v>1.76</v>
      </c>
      <c r="AA2987" s="93">
        <f>AA2986/10</f>
        <v>4</v>
      </c>
      <c r="AB2987" s="93">
        <f>AD2987/AC2979</f>
        <v>0.44</v>
      </c>
      <c r="AC2987" s="93">
        <f>AC2979/AA2987</f>
        <v>64.858237500001223</v>
      </c>
      <c r="AD2987" s="94">
        <f t="shared" si="2320"/>
        <v>114.15049800000216</v>
      </c>
      <c r="AE2987" s="190"/>
      <c r="AF2987" s="191"/>
      <c r="AG2987" s="191"/>
      <c r="AH2987" s="191"/>
      <c r="AI2987" s="186"/>
      <c r="AK2987" s="171"/>
    </row>
    <row r="2988" spans="1:41" s="102" customFormat="1" ht="19.899999999999999" customHeight="1" x14ac:dyDescent="0.25">
      <c r="A2988" s="45"/>
      <c r="B2988" s="59"/>
      <c r="C2988" s="137"/>
      <c r="D2988" s="59"/>
      <c r="E2988" s="116"/>
      <c r="F2988" s="120"/>
      <c r="G2988" s="120"/>
      <c r="H2988" s="120"/>
      <c r="I2988" s="60"/>
      <c r="J2988" s="116"/>
      <c r="K2988" s="213"/>
      <c r="L2988" s="120"/>
      <c r="M2988" s="120"/>
      <c r="N2988" s="167"/>
      <c r="O2988" s="120"/>
      <c r="P2988" s="120"/>
      <c r="Q2988" s="120"/>
      <c r="R2988" s="120"/>
      <c r="S2988" s="120"/>
      <c r="T2988" s="221"/>
      <c r="U2988" s="89"/>
      <c r="V2988" s="61"/>
      <c r="W2988" s="92" t="s">
        <v>1048</v>
      </c>
      <c r="X2988" s="93" t="s">
        <v>30</v>
      </c>
      <c r="Y2988" s="93" t="s">
        <v>68</v>
      </c>
      <c r="Z2988" s="134">
        <f>VLOOKUP(W2988,Sheet2!$B:$D,3,FALSE)</f>
        <v>35</v>
      </c>
      <c r="AA2988" s="93">
        <v>1</v>
      </c>
      <c r="AB2988" s="93">
        <f>AD2988/AC2979</f>
        <v>35</v>
      </c>
      <c r="AC2988" s="93">
        <f>AC2979/AA2988</f>
        <v>259.43295000000489</v>
      </c>
      <c r="AD2988" s="94">
        <f t="shared" si="2320"/>
        <v>9080.1532500001704</v>
      </c>
      <c r="AE2988" s="190"/>
      <c r="AF2988" s="191"/>
      <c r="AG2988" s="191"/>
      <c r="AH2988" s="191"/>
      <c r="AI2988" s="186"/>
      <c r="AK2988" s="171"/>
    </row>
    <row r="2989" spans="1:41" s="103" customFormat="1" ht="19.899999999999999" customHeight="1" x14ac:dyDescent="0.25">
      <c r="A2989" s="51"/>
      <c r="B2989" s="52"/>
      <c r="C2989" s="165"/>
      <c r="D2989" s="52"/>
      <c r="E2989" s="115"/>
      <c r="F2989" s="58"/>
      <c r="G2989" s="58"/>
      <c r="H2989" s="58"/>
      <c r="I2989" s="55"/>
      <c r="J2989" s="113">
        <f>J2978</f>
        <v>259.43295000000489</v>
      </c>
      <c r="K2989" s="212">
        <f>K2978</f>
        <v>259.43295000000489</v>
      </c>
      <c r="L2989" s="58"/>
      <c r="M2989" s="58">
        <f>K2989-L2989</f>
        <v>259.43295000000489</v>
      </c>
      <c r="N2989" s="166"/>
      <c r="O2989" s="58"/>
      <c r="P2989" s="58"/>
      <c r="Q2989" s="58"/>
      <c r="R2989" s="58"/>
      <c r="S2989" s="58"/>
      <c r="T2989" s="220"/>
      <c r="U2989" s="88"/>
      <c r="V2989" s="56"/>
      <c r="W2989" s="57" t="s">
        <v>1036</v>
      </c>
      <c r="X2989" s="53"/>
      <c r="Y2989" s="91" t="s">
        <v>68</v>
      </c>
      <c r="Z2989" s="136">
        <f>AD2989/AC2989</f>
        <v>88.333333333333314</v>
      </c>
      <c r="AA2989" s="58"/>
      <c r="AB2989" s="53">
        <f>AD2989/AC2989</f>
        <v>88.333333333333314</v>
      </c>
      <c r="AC2989" s="53">
        <f>M2989+$AE$10</f>
        <v>259.43295000000489</v>
      </c>
      <c r="AD2989" s="54">
        <f>SUM(AD2990:AD2996)</f>
        <v>22916.577250000428</v>
      </c>
      <c r="AE2989" s="184">
        <f>SUMIFS($AD$37:$AD$12971,$V$37:$V$12971,$V2989,$X$37:$X$12971,AE$13)</f>
        <v>0</v>
      </c>
      <c r="AF2989" s="185">
        <f>SUMIFS($AD$37:$AD$12971,$V$37:$V$12971,$V2989,$X$37:$X$12971,AF$13)</f>
        <v>0</v>
      </c>
      <c r="AG2989" s="185">
        <f>SUMIFS($AD$37:$AD$12971,$V$37:$V$12971,$V2989,$X$37:$X$12971,AG$13)</f>
        <v>0</v>
      </c>
      <c r="AH2989" s="187">
        <f>SUMIFS($AD$37:$AD$12971,$V$37:$V$12971,$V2989,$X$37:$X$12971,AH$13)</f>
        <v>0</v>
      </c>
      <c r="AI2989" s="161">
        <f t="shared" ref="AI2989" si="2321">SUM(AE2989:AH2989)</f>
        <v>0</v>
      </c>
      <c r="AK2989" s="172"/>
    </row>
    <row r="2990" spans="1:41" s="102" customFormat="1" ht="19.899999999999999" customHeight="1" x14ac:dyDescent="0.25">
      <c r="A2990" s="45"/>
      <c r="B2990" s="59"/>
      <c r="C2990" s="137"/>
      <c r="D2990" s="59"/>
      <c r="E2990" s="116"/>
      <c r="F2990" s="120"/>
      <c r="G2990" s="120"/>
      <c r="H2990" s="120"/>
      <c r="I2990" s="60"/>
      <c r="J2990" s="116"/>
      <c r="K2990" s="213"/>
      <c r="L2990" s="120"/>
      <c r="M2990" s="120"/>
      <c r="N2990" s="167"/>
      <c r="O2990" s="120"/>
      <c r="P2990" s="120"/>
      <c r="Q2990" s="120"/>
      <c r="R2990" s="120"/>
      <c r="S2990" s="120"/>
      <c r="T2990" s="221"/>
      <c r="U2990" s="89"/>
      <c r="V2990" s="61"/>
      <c r="W2990" s="92" t="s">
        <v>1220</v>
      </c>
      <c r="X2990" s="93" t="s">
        <v>30</v>
      </c>
      <c r="Y2990" s="93" t="s">
        <v>68</v>
      </c>
      <c r="Z2990" s="134">
        <f>VLOOKUP(W2990,Sheet2!$B:$D,3,FALSE)</f>
        <v>40</v>
      </c>
      <c r="AA2990" s="93">
        <v>1</v>
      </c>
      <c r="AB2990" s="93">
        <f>AD2990/AC2989</f>
        <v>40</v>
      </c>
      <c r="AC2990" s="93">
        <f>AC2989/AA2990</f>
        <v>259.43295000000489</v>
      </c>
      <c r="AD2990" s="94">
        <f t="shared" ref="AD2990" si="2322">AC2990*Z2990</f>
        <v>10377.318000000196</v>
      </c>
      <c r="AE2990" s="190"/>
      <c r="AF2990" s="191"/>
      <c r="AG2990" s="191"/>
      <c r="AH2990" s="191"/>
      <c r="AI2990" s="186"/>
      <c r="AK2990" s="171"/>
    </row>
    <row r="2991" spans="1:41" s="102" customFormat="1" ht="19.899999999999999" customHeight="1" x14ac:dyDescent="0.25">
      <c r="A2991" s="45"/>
      <c r="B2991" s="59"/>
      <c r="C2991" s="137"/>
      <c r="D2991" s="59"/>
      <c r="E2991" s="116"/>
      <c r="F2991" s="120"/>
      <c r="G2991" s="120"/>
      <c r="H2991" s="120"/>
      <c r="I2991" s="60"/>
      <c r="J2991" s="116"/>
      <c r="K2991" s="213"/>
      <c r="L2991" s="120"/>
      <c r="M2991" s="120"/>
      <c r="N2991" s="167"/>
      <c r="O2991" s="120"/>
      <c r="P2991" s="120"/>
      <c r="Q2991" s="120"/>
      <c r="R2991" s="120"/>
      <c r="S2991" s="120"/>
      <c r="T2991" s="221"/>
      <c r="U2991" s="89"/>
      <c r="V2991" s="61"/>
      <c r="W2991" s="92" t="s">
        <v>1221</v>
      </c>
      <c r="X2991" s="93" t="s">
        <v>30</v>
      </c>
      <c r="Y2991" s="93" t="s">
        <v>68</v>
      </c>
      <c r="Z2991" s="134">
        <f>VLOOKUP(W2991,Sheet2!$B:$D,3,FALSE)</f>
        <v>4</v>
      </c>
      <c r="AA2991" s="93">
        <v>1</v>
      </c>
      <c r="AB2991" s="93">
        <f>AD2991/AC2989</f>
        <v>4</v>
      </c>
      <c r="AC2991" s="93">
        <f>AC2989/AA2991</f>
        <v>259.43295000000489</v>
      </c>
      <c r="AD2991" s="94">
        <f>AC2991*Z2991</f>
        <v>1037.7318000000196</v>
      </c>
      <c r="AE2991" s="190"/>
      <c r="AF2991" s="191"/>
      <c r="AG2991" s="191"/>
      <c r="AH2991" s="191"/>
      <c r="AI2991" s="186"/>
      <c r="AK2991" s="171"/>
    </row>
    <row r="2992" spans="1:41" s="102" customFormat="1" ht="19.899999999999999" customHeight="1" x14ac:dyDescent="0.25">
      <c r="A2992" s="45"/>
      <c r="B2992" s="59"/>
      <c r="C2992" s="137"/>
      <c r="D2992" s="59"/>
      <c r="E2992" s="116"/>
      <c r="F2992" s="120"/>
      <c r="G2992" s="120"/>
      <c r="H2992" s="120"/>
      <c r="I2992" s="60"/>
      <c r="J2992" s="116"/>
      <c r="K2992" s="213"/>
      <c r="L2992" s="120"/>
      <c r="M2992" s="120"/>
      <c r="N2992" s="167"/>
      <c r="O2992" s="120"/>
      <c r="P2992" s="120"/>
      <c r="Q2992" s="120"/>
      <c r="R2992" s="120"/>
      <c r="S2992" s="120"/>
      <c r="T2992" s="221"/>
      <c r="U2992" s="89"/>
      <c r="V2992" s="61"/>
      <c r="W2992" s="92" t="s">
        <v>107</v>
      </c>
      <c r="X2992" s="93" t="s">
        <v>31</v>
      </c>
      <c r="Y2992" s="93" t="s">
        <v>93</v>
      </c>
      <c r="Z2992" s="134">
        <f>VLOOKUP(W2992,Sheet2!$B:$D,3,FALSE)</f>
        <v>17</v>
      </c>
      <c r="AA2992" s="93">
        <v>8</v>
      </c>
      <c r="AB2992" s="93">
        <f>AD2992/AC2989</f>
        <v>2.125</v>
      </c>
      <c r="AC2992" s="93">
        <f>AC2989/AA2992</f>
        <v>32.429118750000612</v>
      </c>
      <c r="AD2992" s="94">
        <f>AC2992*Z2992</f>
        <v>551.2950187500104</v>
      </c>
      <c r="AE2992" s="190"/>
      <c r="AF2992" s="191"/>
      <c r="AG2992" s="191"/>
      <c r="AH2992" s="191"/>
      <c r="AI2992" s="186"/>
      <c r="AK2992" s="171"/>
    </row>
    <row r="2993" spans="1:41" s="102" customFormat="1" ht="19.899999999999999" customHeight="1" x14ac:dyDescent="0.25">
      <c r="A2993" s="45"/>
      <c r="B2993" s="59"/>
      <c r="C2993" s="137"/>
      <c r="D2993" s="59"/>
      <c r="E2993" s="116"/>
      <c r="F2993" s="120"/>
      <c r="G2993" s="120"/>
      <c r="H2993" s="120"/>
      <c r="I2993" s="60"/>
      <c r="J2993" s="116"/>
      <c r="K2993" s="213"/>
      <c r="L2993" s="120"/>
      <c r="M2993" s="120"/>
      <c r="N2993" s="167"/>
      <c r="O2993" s="120"/>
      <c r="P2993" s="120"/>
      <c r="Q2993" s="120"/>
      <c r="R2993" s="120"/>
      <c r="S2993" s="120"/>
      <c r="T2993" s="221"/>
      <c r="U2993" s="89"/>
      <c r="V2993" s="61"/>
      <c r="W2993" s="92" t="s">
        <v>112</v>
      </c>
      <c r="X2993" s="93" t="s">
        <v>31</v>
      </c>
      <c r="Y2993" s="93" t="s">
        <v>93</v>
      </c>
      <c r="Z2993" s="134">
        <f>VLOOKUP(W2993,Sheet2!$B:$D,3,FALSE)</f>
        <v>13</v>
      </c>
      <c r="AA2993" s="93">
        <v>8</v>
      </c>
      <c r="AB2993" s="93">
        <f>AD2993/AC2989</f>
        <v>1.625</v>
      </c>
      <c r="AC2993" s="93">
        <f>AC2989/AA2993</f>
        <v>32.429118750000612</v>
      </c>
      <c r="AD2993" s="94">
        <f>AC2993*Z2993</f>
        <v>421.57854375000795</v>
      </c>
      <c r="AE2993" s="190"/>
      <c r="AF2993" s="191"/>
      <c r="AG2993" s="191"/>
      <c r="AH2993" s="191"/>
      <c r="AI2993" s="186"/>
      <c r="AK2993" s="171"/>
    </row>
    <row r="2994" spans="1:41" s="102" customFormat="1" ht="19.899999999999999" customHeight="1" x14ac:dyDescent="0.25">
      <c r="A2994" s="45"/>
      <c r="B2994" s="59"/>
      <c r="C2994" s="137"/>
      <c r="D2994" s="59"/>
      <c r="E2994" s="116"/>
      <c r="F2994" s="120"/>
      <c r="G2994" s="120"/>
      <c r="H2994" s="120"/>
      <c r="I2994" s="60"/>
      <c r="J2994" s="116"/>
      <c r="K2994" s="213"/>
      <c r="L2994" s="120"/>
      <c r="M2994" s="120"/>
      <c r="N2994" s="167"/>
      <c r="O2994" s="120"/>
      <c r="P2994" s="120"/>
      <c r="Q2994" s="120"/>
      <c r="R2994" s="120"/>
      <c r="S2994" s="120"/>
      <c r="T2994" s="221"/>
      <c r="U2994" s="89"/>
      <c r="V2994" s="61"/>
      <c r="W2994" s="92" t="s">
        <v>1032</v>
      </c>
      <c r="X2994" s="93" t="s">
        <v>30</v>
      </c>
      <c r="Y2994" s="93" t="s">
        <v>66</v>
      </c>
      <c r="Z2994" s="134">
        <f>VLOOKUP(W2994,Sheet2!$B:$D,3,FALSE)</f>
        <v>250</v>
      </c>
      <c r="AA2994" s="93">
        <f>1/(1*1*0.1)</f>
        <v>10</v>
      </c>
      <c r="AB2994" s="93">
        <f>AD2994/AC2989</f>
        <v>25</v>
      </c>
      <c r="AC2994" s="93">
        <f>AC2989/AA2994</f>
        <v>25.943295000000489</v>
      </c>
      <c r="AD2994" s="94">
        <f>AC2994*Z2994</f>
        <v>6485.8237500001223</v>
      </c>
      <c r="AE2994" s="190"/>
      <c r="AF2994" s="191"/>
      <c r="AG2994" s="191"/>
      <c r="AH2994" s="191"/>
      <c r="AI2994" s="186"/>
      <c r="AK2994" s="171"/>
    </row>
    <row r="2995" spans="1:41" s="102" customFormat="1" ht="19.899999999999999" customHeight="1" x14ac:dyDescent="0.25">
      <c r="A2995" s="45"/>
      <c r="B2995" s="59"/>
      <c r="C2995" s="137"/>
      <c r="D2995" s="59"/>
      <c r="E2995" s="116"/>
      <c r="F2995" s="120"/>
      <c r="G2995" s="120"/>
      <c r="H2995" s="120"/>
      <c r="I2995" s="60"/>
      <c r="J2995" s="116"/>
      <c r="K2995" s="213"/>
      <c r="L2995" s="120"/>
      <c r="M2995" s="120"/>
      <c r="N2995" s="167"/>
      <c r="O2995" s="120"/>
      <c r="P2995" s="120"/>
      <c r="Q2995" s="120"/>
      <c r="R2995" s="120"/>
      <c r="S2995" s="120"/>
      <c r="T2995" s="221"/>
      <c r="U2995" s="89"/>
      <c r="V2995" s="61"/>
      <c r="W2995" s="92" t="s">
        <v>1035</v>
      </c>
      <c r="X2995" s="93" t="s">
        <v>32</v>
      </c>
      <c r="Y2995" s="93" t="s">
        <v>66</v>
      </c>
      <c r="Z2995" s="134">
        <f>VLOOKUP(W2995,Sheet2!$B:$D,3,FALSE)</f>
        <v>150</v>
      </c>
      <c r="AA2995" s="93">
        <f>AA2994</f>
        <v>10</v>
      </c>
      <c r="AB2995" s="93">
        <f>AD2995/AC2989</f>
        <v>15</v>
      </c>
      <c r="AC2995" s="93">
        <f>AC2989/AA2995</f>
        <v>25.943295000000489</v>
      </c>
      <c r="AD2995" s="94">
        <f t="shared" ref="AD2995:AD2996" si="2323">AC2995*Z2995</f>
        <v>3891.4942500000734</v>
      </c>
      <c r="AE2995" s="190"/>
      <c r="AF2995" s="191"/>
      <c r="AG2995" s="191"/>
      <c r="AH2995" s="191"/>
      <c r="AI2995" s="186"/>
      <c r="AK2995" s="171"/>
    </row>
    <row r="2996" spans="1:41" s="102" customFormat="1" ht="19.899999999999999" customHeight="1" x14ac:dyDescent="0.25">
      <c r="A2996" s="45"/>
      <c r="B2996" s="59"/>
      <c r="C2996" s="137"/>
      <c r="D2996" s="59"/>
      <c r="E2996" s="116"/>
      <c r="F2996" s="120"/>
      <c r="G2996" s="120"/>
      <c r="H2996" s="120"/>
      <c r="I2996" s="60"/>
      <c r="J2996" s="116"/>
      <c r="K2996" s="213"/>
      <c r="L2996" s="120"/>
      <c r="M2996" s="120"/>
      <c r="N2996" s="167"/>
      <c r="O2996" s="120"/>
      <c r="P2996" s="120"/>
      <c r="Q2996" s="120"/>
      <c r="R2996" s="120"/>
      <c r="S2996" s="120"/>
      <c r="T2996" s="221"/>
      <c r="U2996" s="89"/>
      <c r="V2996" s="61"/>
      <c r="W2996" s="92" t="s">
        <v>1037</v>
      </c>
      <c r="X2996" s="93" t="s">
        <v>30</v>
      </c>
      <c r="Y2996" s="93" t="s">
        <v>1038</v>
      </c>
      <c r="Z2996" s="134">
        <f>VLOOKUP(W2996,Sheet2!$B:$D,3,FALSE)</f>
        <v>175</v>
      </c>
      <c r="AA2996" s="93">
        <v>300</v>
      </c>
      <c r="AB2996" s="93">
        <f>AD2996/AC2989</f>
        <v>0.58333333333333337</v>
      </c>
      <c r="AC2996" s="93">
        <f>AC2989/AA2996</f>
        <v>0.86477650000001627</v>
      </c>
      <c r="AD2996" s="94">
        <f t="shared" si="2323"/>
        <v>151.33588750000285</v>
      </c>
      <c r="AE2996" s="190"/>
      <c r="AF2996" s="191"/>
      <c r="AG2996" s="191"/>
      <c r="AH2996" s="191"/>
      <c r="AI2996" s="186"/>
      <c r="AK2996" s="171"/>
    </row>
    <row r="2997" spans="1:41" s="103" customFormat="1" ht="19.899999999999999" customHeight="1" x14ac:dyDescent="0.25">
      <c r="A2997" s="51"/>
      <c r="B2997" s="52"/>
      <c r="C2997" s="165"/>
      <c r="D2997" s="52"/>
      <c r="E2997" s="115"/>
      <c r="F2997" s="58"/>
      <c r="G2997" s="58"/>
      <c r="H2997" s="58"/>
      <c r="I2997" s="55"/>
      <c r="J2997" s="113">
        <f>J2978</f>
        <v>259.43295000000489</v>
      </c>
      <c r="K2997" s="212">
        <f>K2978</f>
        <v>259.43295000000489</v>
      </c>
      <c r="L2997" s="58"/>
      <c r="M2997" s="58">
        <f>K2997-L2997</f>
        <v>259.43295000000489</v>
      </c>
      <c r="N2997" s="166"/>
      <c r="O2997" s="58"/>
      <c r="P2997" s="58"/>
      <c r="Q2997" s="58"/>
      <c r="R2997" s="58"/>
      <c r="S2997" s="58"/>
      <c r="T2997" s="220"/>
      <c r="U2997" s="88"/>
      <c r="V2997" s="56"/>
      <c r="W2997" s="57" t="s">
        <v>1040</v>
      </c>
      <c r="X2997" s="53"/>
      <c r="Y2997" s="91" t="s">
        <v>68</v>
      </c>
      <c r="Z2997" s="136">
        <f>AD2997/AC2997</f>
        <v>5</v>
      </c>
      <c r="AA2997" s="58"/>
      <c r="AB2997" s="53">
        <f>AD2997/AC2997</f>
        <v>5</v>
      </c>
      <c r="AC2997" s="53">
        <f>M2997+$AE$10</f>
        <v>259.43295000000489</v>
      </c>
      <c r="AD2997" s="54">
        <f>SUM(AD2998)</f>
        <v>1297.1647500000245</v>
      </c>
      <c r="AE2997" s="184">
        <f>SUMIFS($AD$37:$AD$12971,$V$37:$V$12971,$V2997,$X$37:$X$12971,AE$13)</f>
        <v>0</v>
      </c>
      <c r="AF2997" s="185">
        <f>SUMIFS($AD$37:$AD$12971,$V$37:$V$12971,$V2997,$X$37:$X$12971,AF$13)</f>
        <v>0</v>
      </c>
      <c r="AG2997" s="185">
        <f>SUMIFS($AD$37:$AD$12971,$V$37:$V$12971,$V2997,$X$37:$X$12971,AG$13)</f>
        <v>0</v>
      </c>
      <c r="AH2997" s="187">
        <f>SUMIFS($AD$37:$AD$12971,$V$37:$V$12971,$V2997,$X$37:$X$12971,AH$13)</f>
        <v>0</v>
      </c>
      <c r="AI2997" s="161">
        <f t="shared" ref="AI2997" si="2324">SUM(AE2997:AH2997)</f>
        <v>0</v>
      </c>
      <c r="AK2997" s="172"/>
    </row>
    <row r="2998" spans="1:41" s="102" customFormat="1" ht="19.899999999999999" customHeight="1" x14ac:dyDescent="0.25">
      <c r="A2998" s="45"/>
      <c r="B2998" s="59"/>
      <c r="C2998" s="137"/>
      <c r="D2998" s="59"/>
      <c r="E2998" s="116"/>
      <c r="F2998" s="120"/>
      <c r="G2998" s="120"/>
      <c r="H2998" s="120"/>
      <c r="I2998" s="60"/>
      <c r="J2998" s="116"/>
      <c r="K2998" s="213"/>
      <c r="L2998" s="120"/>
      <c r="M2998" s="120"/>
      <c r="N2998" s="167"/>
      <c r="O2998" s="120"/>
      <c r="P2998" s="120"/>
      <c r="Q2998" s="120"/>
      <c r="R2998" s="120"/>
      <c r="S2998" s="120"/>
      <c r="T2998" s="221"/>
      <c r="U2998" s="89"/>
      <c r="V2998" s="61"/>
      <c r="W2998" s="92" t="s">
        <v>1039</v>
      </c>
      <c r="X2998" s="93" t="s">
        <v>32</v>
      </c>
      <c r="Y2998" s="93" t="s">
        <v>68</v>
      </c>
      <c r="Z2998" s="134">
        <f>VLOOKUP(W2998,Sheet2!$B:$D,3,FALSE)</f>
        <v>5</v>
      </c>
      <c r="AA2998" s="93">
        <v>1</v>
      </c>
      <c r="AB2998" s="93">
        <f>AD2998/AC2997</f>
        <v>5</v>
      </c>
      <c r="AC2998" s="93">
        <f>AC2997/AA2998</f>
        <v>259.43295000000489</v>
      </c>
      <c r="AD2998" s="94">
        <f t="shared" ref="AD2998" si="2325">AC2998*Z2998</f>
        <v>1297.1647500000245</v>
      </c>
      <c r="AE2998" s="190"/>
      <c r="AF2998" s="191"/>
      <c r="AG2998" s="191"/>
      <c r="AH2998" s="191"/>
      <c r="AI2998" s="186"/>
      <c r="AK2998" s="171"/>
    </row>
    <row r="2999" spans="1:41" ht="20.100000000000001" customHeight="1" x14ac:dyDescent="0.25">
      <c r="A2999" s="277" t="s">
        <v>491</v>
      </c>
      <c r="B2999" s="278"/>
      <c r="C2999" s="64" t="s">
        <v>1211</v>
      </c>
      <c r="D2999" s="46" t="s">
        <v>97</v>
      </c>
      <c r="E2999" s="114">
        <v>288.84090000000742</v>
      </c>
      <c r="F2999" s="44">
        <v>325</v>
      </c>
      <c r="G2999" s="44">
        <f t="shared" si="1977"/>
        <v>93873.292500002412</v>
      </c>
      <c r="H2999" s="44">
        <f t="shared" si="1978"/>
        <v>167.93319215686276</v>
      </c>
      <c r="I2999" s="43">
        <f t="shared" si="1979"/>
        <v>48505.974362462424</v>
      </c>
      <c r="J2999" s="112">
        <f t="shared" si="1980"/>
        <v>288.84090000000742</v>
      </c>
      <c r="K2999" s="211">
        <f t="shared" si="1981"/>
        <v>288.84090000000742</v>
      </c>
      <c r="L2999" s="44"/>
      <c r="M2999" s="44">
        <f t="shared" si="1982"/>
        <v>288.84090000000742</v>
      </c>
      <c r="N2999" s="173">
        <f t="shared" si="1983"/>
        <v>1</v>
      </c>
      <c r="O2999" s="44">
        <f t="shared" si="1984"/>
        <v>325</v>
      </c>
      <c r="P2999" s="44">
        <f t="shared" si="1985"/>
        <v>93873.292500002412</v>
      </c>
      <c r="Q2999" s="44">
        <f t="shared" si="1986"/>
        <v>167.93319215686276</v>
      </c>
      <c r="R2999" s="44">
        <f t="shared" si="1987"/>
        <v>48505.974362462424</v>
      </c>
      <c r="S2999" s="123"/>
      <c r="T2999" s="219">
        <f t="shared" si="1988"/>
        <v>48505.974362462424</v>
      </c>
      <c r="U2999" s="87"/>
      <c r="V2999" s="47"/>
      <c r="W2999" s="48"/>
      <c r="X2999" s="48"/>
      <c r="Y2999" s="48"/>
      <c r="Z2999" s="135"/>
      <c r="AA2999" s="49"/>
      <c r="AB2999" s="50">
        <f t="shared" si="1989"/>
        <v>167.93319215686276</v>
      </c>
      <c r="AC2999" s="42">
        <f t="shared" si="1990"/>
        <v>288.84090000000742</v>
      </c>
      <c r="AD2999" s="90">
        <f>AD3000+AD3010+AD3018</f>
        <v>48505.974362462424</v>
      </c>
      <c r="AE2999" s="188">
        <f t="shared" ref="AE2999:AH2999" si="2326">AE3000+AE3010+AE3018</f>
        <v>0</v>
      </c>
      <c r="AF2999" s="189">
        <f t="shared" si="2326"/>
        <v>0</v>
      </c>
      <c r="AG2999" s="189">
        <f t="shared" si="2326"/>
        <v>0</v>
      </c>
      <c r="AH2999" s="189">
        <f t="shared" si="2326"/>
        <v>0</v>
      </c>
      <c r="AI2999" s="161">
        <f t="shared" ref="AI2999" si="2327">SUM(AE2999:AH2999)</f>
        <v>0</v>
      </c>
      <c r="AK2999" s="169">
        <v>5</v>
      </c>
      <c r="AO2999" s="19" t="s">
        <v>63</v>
      </c>
    </row>
    <row r="3000" spans="1:41" s="103" customFormat="1" ht="19.899999999999999" customHeight="1" x14ac:dyDescent="0.25">
      <c r="A3000" s="51"/>
      <c r="B3000" s="52"/>
      <c r="C3000" s="165"/>
      <c r="D3000" s="52"/>
      <c r="E3000" s="115"/>
      <c r="F3000" s="58"/>
      <c r="G3000" s="58"/>
      <c r="H3000" s="58"/>
      <c r="I3000" s="55"/>
      <c r="J3000" s="113">
        <f>J2999</f>
        <v>288.84090000000742</v>
      </c>
      <c r="K3000" s="212">
        <f>K2999</f>
        <v>288.84090000000742</v>
      </c>
      <c r="L3000" s="58"/>
      <c r="M3000" s="58">
        <f>K3000-L3000</f>
        <v>288.84090000000742</v>
      </c>
      <c r="N3000" s="166"/>
      <c r="O3000" s="58"/>
      <c r="P3000" s="58"/>
      <c r="Q3000" s="58"/>
      <c r="R3000" s="58"/>
      <c r="S3000" s="58"/>
      <c r="T3000" s="220"/>
      <c r="U3000" s="88"/>
      <c r="V3000" s="56"/>
      <c r="W3000" s="57" t="s">
        <v>1051</v>
      </c>
      <c r="X3000" s="53"/>
      <c r="Y3000" s="91" t="s">
        <v>68</v>
      </c>
      <c r="Z3000" s="136">
        <f>AD3000/AC3000</f>
        <v>74.599858823529402</v>
      </c>
      <c r="AA3000" s="58"/>
      <c r="AB3000" s="53">
        <f>AD3000/AC3000</f>
        <v>74.599858823529402</v>
      </c>
      <c r="AC3000" s="53">
        <f>M3000+$AE$10</f>
        <v>288.84090000000742</v>
      </c>
      <c r="AD3000" s="54">
        <f>SUM(AD3001:AD3009)</f>
        <v>21547.490362461729</v>
      </c>
      <c r="AE3000" s="184">
        <f>SUMIFS($AD$37:$AD$12971,$V$37:$V$12971,$V3000,$X$37:$X$12971,AE$13)</f>
        <v>0</v>
      </c>
      <c r="AF3000" s="185">
        <f>SUMIFS($AD$37:$AD$12971,$V$37:$V$12971,$V3000,$X$37:$X$12971,AF$13)</f>
        <v>0</v>
      </c>
      <c r="AG3000" s="185">
        <f>SUMIFS($AD$37:$AD$12971,$V$37:$V$12971,$V3000,$X$37:$X$12971,AG$13)</f>
        <v>0</v>
      </c>
      <c r="AH3000" s="187">
        <f>SUMIFS($AD$37:$AD$12971,$V$37:$V$12971,$V3000,$X$37:$X$12971,AH$13)</f>
        <v>0</v>
      </c>
      <c r="AI3000" s="161">
        <f t="shared" ref="AI3000" si="2328">SUM(AE3000:AH3000)</f>
        <v>0</v>
      </c>
      <c r="AK3000" s="172"/>
    </row>
    <row r="3001" spans="1:41" s="102" customFormat="1" ht="19.899999999999999" customHeight="1" x14ac:dyDescent="0.25">
      <c r="A3001" s="45"/>
      <c r="B3001" s="59"/>
      <c r="C3001" s="137"/>
      <c r="D3001" s="59"/>
      <c r="E3001" s="116"/>
      <c r="F3001" s="120"/>
      <c r="G3001" s="120"/>
      <c r="H3001" s="120"/>
      <c r="I3001" s="60"/>
      <c r="J3001" s="116"/>
      <c r="K3001" s="213"/>
      <c r="L3001" s="120"/>
      <c r="M3001" s="120"/>
      <c r="N3001" s="167"/>
      <c r="O3001" s="120"/>
      <c r="P3001" s="120"/>
      <c r="Q3001" s="120"/>
      <c r="R3001" s="120"/>
      <c r="S3001" s="120"/>
      <c r="T3001" s="221"/>
      <c r="U3001" s="89"/>
      <c r="V3001" s="61"/>
      <c r="W3001" s="92" t="s">
        <v>129</v>
      </c>
      <c r="X3001" s="93" t="s">
        <v>29</v>
      </c>
      <c r="Y3001" s="93" t="s">
        <v>93</v>
      </c>
      <c r="Z3001" s="134">
        <f>VLOOKUP(W3001,Sheet2!$B:$D,3,FALSE)</f>
        <v>56</v>
      </c>
      <c r="AA3001" s="93">
        <f>100/(1*3)</f>
        <v>33.333333333333336</v>
      </c>
      <c r="AB3001" s="93">
        <f t="shared" ref="AB3001" si="2329">AD3001/AC3000</f>
        <v>1.68</v>
      </c>
      <c r="AC3001" s="93">
        <f>AC3000/AA3001</f>
        <v>8.6652270000002218</v>
      </c>
      <c r="AD3001" s="94">
        <f t="shared" ref="AD3001:AD3002" si="2330">AC3001*Z3001</f>
        <v>485.25271200001242</v>
      </c>
      <c r="AE3001" s="190"/>
      <c r="AF3001" s="191"/>
      <c r="AG3001" s="191"/>
      <c r="AH3001" s="191"/>
      <c r="AI3001" s="186"/>
      <c r="AK3001" s="171"/>
    </row>
    <row r="3002" spans="1:41" s="102" customFormat="1" ht="19.899999999999999" customHeight="1" x14ac:dyDescent="0.25">
      <c r="A3002" s="45"/>
      <c r="B3002" s="59"/>
      <c r="C3002" s="137"/>
      <c r="D3002" s="59"/>
      <c r="E3002" s="116"/>
      <c r="F3002" s="120"/>
      <c r="G3002" s="120"/>
      <c r="H3002" s="120"/>
      <c r="I3002" s="60"/>
      <c r="J3002" s="116"/>
      <c r="K3002" s="213"/>
      <c r="L3002" s="120"/>
      <c r="M3002" s="120"/>
      <c r="N3002" s="167"/>
      <c r="O3002" s="120"/>
      <c r="P3002" s="120"/>
      <c r="Q3002" s="120"/>
      <c r="R3002" s="120"/>
      <c r="S3002" s="120"/>
      <c r="T3002" s="221"/>
      <c r="U3002" s="89"/>
      <c r="V3002" s="61"/>
      <c r="W3002" s="92" t="s">
        <v>65</v>
      </c>
      <c r="X3002" s="93" t="s">
        <v>30</v>
      </c>
      <c r="Y3002" s="93" t="s">
        <v>1011</v>
      </c>
      <c r="Z3002" s="134">
        <f>VLOOKUP(W3002,Sheet2!$B:$D,3,FALSE)</f>
        <v>1.76</v>
      </c>
      <c r="AA3002" s="93">
        <f>AA3001/14</f>
        <v>2.3809523809523809</v>
      </c>
      <c r="AB3002" s="93">
        <f>AD3002/AC3000</f>
        <v>0.73920000000000008</v>
      </c>
      <c r="AC3002" s="93">
        <f>AC3000/AA3002</f>
        <v>121.31317800000312</v>
      </c>
      <c r="AD3002" s="94">
        <f t="shared" si="2330"/>
        <v>213.5111932800055</v>
      </c>
      <c r="AE3002" s="190"/>
      <c r="AF3002" s="191"/>
      <c r="AG3002" s="191"/>
      <c r="AH3002" s="191"/>
      <c r="AI3002" s="186"/>
      <c r="AK3002" s="171"/>
    </row>
    <row r="3003" spans="1:41" s="102" customFormat="1" ht="19.899999999999999" customHeight="1" x14ac:dyDescent="0.25">
      <c r="A3003" s="45"/>
      <c r="B3003" s="59"/>
      <c r="C3003" s="137"/>
      <c r="D3003" s="59"/>
      <c r="E3003" s="116"/>
      <c r="F3003" s="120"/>
      <c r="G3003" s="120"/>
      <c r="H3003" s="120"/>
      <c r="I3003" s="60"/>
      <c r="J3003" s="116"/>
      <c r="K3003" s="213"/>
      <c r="L3003" s="120"/>
      <c r="M3003" s="120"/>
      <c r="N3003" s="167"/>
      <c r="O3003" s="120"/>
      <c r="P3003" s="120"/>
      <c r="Q3003" s="120"/>
      <c r="R3003" s="120"/>
      <c r="S3003" s="120"/>
      <c r="T3003" s="221"/>
      <c r="U3003" s="89"/>
      <c r="V3003" s="61"/>
      <c r="W3003" s="92" t="s">
        <v>161</v>
      </c>
      <c r="X3003" s="93" t="s">
        <v>29</v>
      </c>
      <c r="Y3003" s="93" t="s">
        <v>93</v>
      </c>
      <c r="Z3003" s="134">
        <f>VLOOKUP(W3003,Sheet2!$B:$D,3,FALSE)</f>
        <v>48</v>
      </c>
      <c r="AA3003" s="93">
        <f>(16*0.85*1.5)/(1*3)</f>
        <v>6.8</v>
      </c>
      <c r="AB3003" s="93">
        <f>AD3003/AC3000</f>
        <v>7.0588235294117645</v>
      </c>
      <c r="AC3003" s="93">
        <f>AC3000/AA3003</f>
        <v>42.476602941177561</v>
      </c>
      <c r="AD3003" s="94">
        <f>AC3003*Z3003</f>
        <v>2038.8769411765229</v>
      </c>
      <c r="AE3003" s="190"/>
      <c r="AF3003" s="191"/>
      <c r="AG3003" s="191"/>
      <c r="AH3003" s="191"/>
      <c r="AI3003" s="186"/>
      <c r="AK3003" s="171"/>
    </row>
    <row r="3004" spans="1:41" s="102" customFormat="1" ht="19.899999999999999" customHeight="1" x14ac:dyDescent="0.25">
      <c r="A3004" s="45"/>
      <c r="B3004" s="59"/>
      <c r="C3004" s="137"/>
      <c r="D3004" s="59"/>
      <c r="E3004" s="116"/>
      <c r="F3004" s="120"/>
      <c r="G3004" s="120"/>
      <c r="H3004" s="120"/>
      <c r="I3004" s="60"/>
      <c r="J3004" s="116"/>
      <c r="K3004" s="213"/>
      <c r="L3004" s="120"/>
      <c r="M3004" s="120"/>
      <c r="N3004" s="167"/>
      <c r="O3004" s="120"/>
      <c r="P3004" s="120"/>
      <c r="Q3004" s="120"/>
      <c r="R3004" s="120"/>
      <c r="S3004" s="120"/>
      <c r="T3004" s="221"/>
      <c r="U3004" s="89"/>
      <c r="V3004" s="61"/>
      <c r="W3004" s="92" t="s">
        <v>65</v>
      </c>
      <c r="X3004" s="93" t="s">
        <v>30</v>
      </c>
      <c r="Y3004" s="93" t="s">
        <v>1011</v>
      </c>
      <c r="Z3004" s="134">
        <f>VLOOKUP(W3004,Sheet2!$B:$D,3,FALSE)</f>
        <v>1.76</v>
      </c>
      <c r="AA3004" s="93">
        <f>AA3003/10</f>
        <v>0.67999999999999994</v>
      </c>
      <c r="AB3004" s="93">
        <f>AD3004/AC3000</f>
        <v>2.5882352941176476</v>
      </c>
      <c r="AC3004" s="93">
        <f>AC3000/AA3004</f>
        <v>424.76602941177566</v>
      </c>
      <c r="AD3004" s="94">
        <f>AC3004*Z3004</f>
        <v>747.5882117647252</v>
      </c>
      <c r="AE3004" s="190"/>
      <c r="AF3004" s="191"/>
      <c r="AG3004" s="191"/>
      <c r="AH3004" s="191"/>
      <c r="AI3004" s="186"/>
      <c r="AK3004" s="171"/>
    </row>
    <row r="3005" spans="1:41" s="102" customFormat="1" ht="19.899999999999999" customHeight="1" x14ac:dyDescent="0.25">
      <c r="A3005" s="45"/>
      <c r="B3005" s="59"/>
      <c r="C3005" s="137"/>
      <c r="D3005" s="59"/>
      <c r="E3005" s="116"/>
      <c r="F3005" s="120"/>
      <c r="G3005" s="120"/>
      <c r="H3005" s="120"/>
      <c r="I3005" s="60"/>
      <c r="J3005" s="116"/>
      <c r="K3005" s="213"/>
      <c r="L3005" s="120"/>
      <c r="M3005" s="120"/>
      <c r="N3005" s="167"/>
      <c r="O3005" s="120"/>
      <c r="P3005" s="120"/>
      <c r="Q3005" s="120"/>
      <c r="R3005" s="120"/>
      <c r="S3005" s="120"/>
      <c r="T3005" s="221"/>
      <c r="U3005" s="89"/>
      <c r="V3005" s="61"/>
      <c r="W3005" s="92" t="s">
        <v>1030</v>
      </c>
      <c r="X3005" s="93" t="s">
        <v>29</v>
      </c>
      <c r="Y3005" s="93" t="s">
        <v>93</v>
      </c>
      <c r="Z3005" s="134">
        <f>VLOOKUP(W3005,Sheet2!$B:$D,3,FALSE)</f>
        <v>23</v>
      </c>
      <c r="AA3005" s="93">
        <v>50</v>
      </c>
      <c r="AB3005" s="93">
        <f>AD3005/AC3000</f>
        <v>0.46</v>
      </c>
      <c r="AC3005" s="93">
        <f>AC3000/AA3005</f>
        <v>5.7768180000001488</v>
      </c>
      <c r="AD3005" s="94">
        <f t="shared" ref="AD3005:AD3009" si="2331">AC3005*Z3005</f>
        <v>132.86681400000342</v>
      </c>
      <c r="AE3005" s="190"/>
      <c r="AF3005" s="191"/>
      <c r="AG3005" s="191"/>
      <c r="AH3005" s="191"/>
      <c r="AI3005" s="186"/>
      <c r="AK3005" s="171"/>
    </row>
    <row r="3006" spans="1:41" s="102" customFormat="1" ht="19.899999999999999" customHeight="1" x14ac:dyDescent="0.25">
      <c r="A3006" s="45"/>
      <c r="B3006" s="59"/>
      <c r="C3006" s="137"/>
      <c r="D3006" s="59"/>
      <c r="E3006" s="116"/>
      <c r="F3006" s="120"/>
      <c r="G3006" s="120"/>
      <c r="H3006" s="120"/>
      <c r="I3006" s="60"/>
      <c r="J3006" s="116"/>
      <c r="K3006" s="213"/>
      <c r="L3006" s="120"/>
      <c r="M3006" s="120"/>
      <c r="N3006" s="167"/>
      <c r="O3006" s="120"/>
      <c r="P3006" s="120"/>
      <c r="Q3006" s="120"/>
      <c r="R3006" s="120"/>
      <c r="S3006" s="120"/>
      <c r="T3006" s="221"/>
      <c r="U3006" s="89"/>
      <c r="V3006" s="61"/>
      <c r="W3006" s="92" t="s">
        <v>65</v>
      </c>
      <c r="X3006" s="93" t="s">
        <v>30</v>
      </c>
      <c r="Y3006" s="93" t="s">
        <v>1011</v>
      </c>
      <c r="Z3006" s="134">
        <f>VLOOKUP(W3006,Sheet2!$B:$D,3,FALSE)</f>
        <v>1.76</v>
      </c>
      <c r="AA3006" s="93">
        <f>AA3005/3</f>
        <v>16.666666666666668</v>
      </c>
      <c r="AB3006" s="93">
        <f>AD3006/AC3000</f>
        <v>0.10559999999999999</v>
      </c>
      <c r="AC3006" s="93">
        <f>AC3000/AA3006</f>
        <v>17.330454000000444</v>
      </c>
      <c r="AD3006" s="94">
        <f t="shared" si="2331"/>
        <v>30.50159904000078</v>
      </c>
      <c r="AE3006" s="190"/>
      <c r="AF3006" s="191"/>
      <c r="AG3006" s="191"/>
      <c r="AH3006" s="191"/>
      <c r="AI3006" s="186"/>
      <c r="AK3006" s="171"/>
    </row>
    <row r="3007" spans="1:41" s="102" customFormat="1" ht="19.899999999999999" customHeight="1" x14ac:dyDescent="0.25">
      <c r="A3007" s="45"/>
      <c r="B3007" s="59"/>
      <c r="C3007" s="137"/>
      <c r="D3007" s="59"/>
      <c r="E3007" s="116"/>
      <c r="F3007" s="120"/>
      <c r="G3007" s="120"/>
      <c r="H3007" s="120"/>
      <c r="I3007" s="60"/>
      <c r="J3007" s="116"/>
      <c r="K3007" s="213"/>
      <c r="L3007" s="120"/>
      <c r="M3007" s="120"/>
      <c r="N3007" s="167"/>
      <c r="O3007" s="120"/>
      <c r="P3007" s="120"/>
      <c r="Q3007" s="120"/>
      <c r="R3007" s="120"/>
      <c r="S3007" s="120"/>
      <c r="T3007" s="221"/>
      <c r="U3007" s="89"/>
      <c r="V3007" s="61"/>
      <c r="W3007" s="92" t="s">
        <v>148</v>
      </c>
      <c r="X3007" s="93" t="s">
        <v>29</v>
      </c>
      <c r="Y3007" s="93" t="s">
        <v>93</v>
      </c>
      <c r="Z3007" s="134">
        <f>VLOOKUP(W3007,Sheet2!$B:$D,3,FALSE)</f>
        <v>48</v>
      </c>
      <c r="AA3007" s="93">
        <f>AA3001</f>
        <v>33.333333333333336</v>
      </c>
      <c r="AB3007" s="93">
        <f>AD3007/AC3000</f>
        <v>1.44</v>
      </c>
      <c r="AC3007" s="93">
        <f>AC3000/AA3007</f>
        <v>8.6652270000002218</v>
      </c>
      <c r="AD3007" s="94">
        <f t="shared" si="2331"/>
        <v>415.93089600001065</v>
      </c>
      <c r="AE3007" s="190"/>
      <c r="AF3007" s="191"/>
      <c r="AG3007" s="191"/>
      <c r="AH3007" s="191"/>
      <c r="AI3007" s="186"/>
      <c r="AK3007" s="171"/>
    </row>
    <row r="3008" spans="1:41" s="102" customFormat="1" ht="19.899999999999999" customHeight="1" x14ac:dyDescent="0.25">
      <c r="A3008" s="45"/>
      <c r="B3008" s="59"/>
      <c r="C3008" s="137"/>
      <c r="D3008" s="59"/>
      <c r="E3008" s="116"/>
      <c r="F3008" s="120"/>
      <c r="G3008" s="120"/>
      <c r="H3008" s="120"/>
      <c r="I3008" s="60"/>
      <c r="J3008" s="116"/>
      <c r="K3008" s="213"/>
      <c r="L3008" s="120"/>
      <c r="M3008" s="120"/>
      <c r="N3008" s="167"/>
      <c r="O3008" s="120"/>
      <c r="P3008" s="120"/>
      <c r="Q3008" s="120"/>
      <c r="R3008" s="120"/>
      <c r="S3008" s="120"/>
      <c r="T3008" s="221"/>
      <c r="U3008" s="89"/>
      <c r="V3008" s="61"/>
      <c r="W3008" s="92" t="s">
        <v>65</v>
      </c>
      <c r="X3008" s="93" t="s">
        <v>30</v>
      </c>
      <c r="Y3008" s="93" t="s">
        <v>1011</v>
      </c>
      <c r="Z3008" s="134">
        <f>VLOOKUP(W3008,Sheet2!$B:$D,3,FALSE)</f>
        <v>1.76</v>
      </c>
      <c r="AA3008" s="93">
        <f>AA3007/10</f>
        <v>3.3333333333333335</v>
      </c>
      <c r="AB3008" s="93">
        <f>AD3008/AC3000</f>
        <v>0.52799999999999991</v>
      </c>
      <c r="AC3008" s="93">
        <f>AC3000/AA3008</f>
        <v>86.652270000002218</v>
      </c>
      <c r="AD3008" s="94">
        <f t="shared" si="2331"/>
        <v>152.5079952000039</v>
      </c>
      <c r="AE3008" s="190"/>
      <c r="AF3008" s="191"/>
      <c r="AG3008" s="191"/>
      <c r="AH3008" s="191"/>
      <c r="AI3008" s="186"/>
      <c r="AK3008" s="171"/>
    </row>
    <row r="3009" spans="1:41" s="102" customFormat="1" ht="19.899999999999999" customHeight="1" x14ac:dyDescent="0.25">
      <c r="A3009" s="45"/>
      <c r="B3009" s="59"/>
      <c r="C3009" s="137"/>
      <c r="D3009" s="59"/>
      <c r="E3009" s="116"/>
      <c r="F3009" s="120"/>
      <c r="G3009" s="120"/>
      <c r="H3009" s="120"/>
      <c r="I3009" s="60"/>
      <c r="J3009" s="116"/>
      <c r="K3009" s="213"/>
      <c r="L3009" s="120"/>
      <c r="M3009" s="120"/>
      <c r="N3009" s="167"/>
      <c r="O3009" s="120"/>
      <c r="P3009" s="120"/>
      <c r="Q3009" s="120"/>
      <c r="R3009" s="120"/>
      <c r="S3009" s="120"/>
      <c r="T3009" s="221"/>
      <c r="U3009" s="89"/>
      <c r="V3009" s="61"/>
      <c r="W3009" s="92" t="s">
        <v>1049</v>
      </c>
      <c r="X3009" s="93" t="s">
        <v>30</v>
      </c>
      <c r="Y3009" s="93" t="s">
        <v>68</v>
      </c>
      <c r="Z3009" s="134">
        <f>VLOOKUP(W3009,Sheet2!$B:$D,3,FALSE)</f>
        <v>60</v>
      </c>
      <c r="AA3009" s="93">
        <v>1</v>
      </c>
      <c r="AB3009" s="93">
        <f>AD3009/AC3000</f>
        <v>60</v>
      </c>
      <c r="AC3009" s="93">
        <f>AC3000/AA3009</f>
        <v>288.84090000000742</v>
      </c>
      <c r="AD3009" s="94">
        <f t="shared" si="2331"/>
        <v>17330.454000000445</v>
      </c>
      <c r="AE3009" s="190"/>
      <c r="AF3009" s="191"/>
      <c r="AG3009" s="191"/>
      <c r="AH3009" s="191"/>
      <c r="AI3009" s="186"/>
      <c r="AK3009" s="171"/>
    </row>
    <row r="3010" spans="1:41" s="103" customFormat="1" ht="19.899999999999999" customHeight="1" x14ac:dyDescent="0.25">
      <c r="A3010" s="51"/>
      <c r="B3010" s="52"/>
      <c r="C3010" s="165"/>
      <c r="D3010" s="52"/>
      <c r="E3010" s="115"/>
      <c r="F3010" s="58"/>
      <c r="G3010" s="58"/>
      <c r="H3010" s="58"/>
      <c r="I3010" s="55"/>
      <c r="J3010" s="113">
        <f>J2999</f>
        <v>288.84090000000742</v>
      </c>
      <c r="K3010" s="212">
        <f>K2999</f>
        <v>288.84090000000742</v>
      </c>
      <c r="L3010" s="58"/>
      <c r="M3010" s="58">
        <f>K3010-L3010</f>
        <v>288.84090000000742</v>
      </c>
      <c r="N3010" s="166"/>
      <c r="O3010" s="58"/>
      <c r="P3010" s="58"/>
      <c r="Q3010" s="58"/>
      <c r="R3010" s="58"/>
      <c r="S3010" s="58"/>
      <c r="T3010" s="220"/>
      <c r="U3010" s="88"/>
      <c r="V3010" s="56"/>
      <c r="W3010" s="57" t="s">
        <v>1036</v>
      </c>
      <c r="X3010" s="53"/>
      <c r="Y3010" s="91" t="s">
        <v>68</v>
      </c>
      <c r="Z3010" s="136">
        <f>AD3010/AC3010</f>
        <v>88.333333333333343</v>
      </c>
      <c r="AA3010" s="58"/>
      <c r="AB3010" s="53">
        <f>AD3010/AC3010</f>
        <v>88.333333333333343</v>
      </c>
      <c r="AC3010" s="53">
        <f>M3010+$AE$10</f>
        <v>288.84090000000742</v>
      </c>
      <c r="AD3010" s="54">
        <f>SUM(AD3011:AD3017)</f>
        <v>25514.279500000659</v>
      </c>
      <c r="AE3010" s="184">
        <f>SUMIFS($AD$37:$AD$12971,$V$37:$V$12971,$V3010,$X$37:$X$12971,AE$13)</f>
        <v>0</v>
      </c>
      <c r="AF3010" s="185">
        <f>SUMIFS($AD$37:$AD$12971,$V$37:$V$12971,$V3010,$X$37:$X$12971,AF$13)</f>
        <v>0</v>
      </c>
      <c r="AG3010" s="185">
        <f>SUMIFS($AD$37:$AD$12971,$V$37:$V$12971,$V3010,$X$37:$X$12971,AG$13)</f>
        <v>0</v>
      </c>
      <c r="AH3010" s="187">
        <f>SUMIFS($AD$37:$AD$12971,$V$37:$V$12971,$V3010,$X$37:$X$12971,AH$13)</f>
        <v>0</v>
      </c>
      <c r="AI3010" s="161">
        <f t="shared" ref="AI3010" si="2332">SUM(AE3010:AH3010)</f>
        <v>0</v>
      </c>
      <c r="AK3010" s="172"/>
    </row>
    <row r="3011" spans="1:41" s="102" customFormat="1" ht="19.899999999999999" customHeight="1" x14ac:dyDescent="0.25">
      <c r="A3011" s="45"/>
      <c r="B3011" s="59"/>
      <c r="C3011" s="137"/>
      <c r="D3011" s="59"/>
      <c r="E3011" s="116"/>
      <c r="F3011" s="120"/>
      <c r="G3011" s="120"/>
      <c r="H3011" s="120"/>
      <c r="I3011" s="60"/>
      <c r="J3011" s="116"/>
      <c r="K3011" s="213"/>
      <c r="L3011" s="120"/>
      <c r="M3011" s="120"/>
      <c r="N3011" s="167"/>
      <c r="O3011" s="120"/>
      <c r="P3011" s="120"/>
      <c r="Q3011" s="120"/>
      <c r="R3011" s="120"/>
      <c r="S3011" s="120"/>
      <c r="T3011" s="221"/>
      <c r="U3011" s="89"/>
      <c r="V3011" s="61"/>
      <c r="W3011" s="92" t="s">
        <v>1220</v>
      </c>
      <c r="X3011" s="93" t="s">
        <v>30</v>
      </c>
      <c r="Y3011" s="93" t="s">
        <v>68</v>
      </c>
      <c r="Z3011" s="134">
        <f>VLOOKUP(W3011,Sheet2!$B:$D,3,FALSE)</f>
        <v>40</v>
      </c>
      <c r="AA3011" s="93">
        <v>1</v>
      </c>
      <c r="AB3011" s="93">
        <f>AD3011/AC3010</f>
        <v>40</v>
      </c>
      <c r="AC3011" s="93">
        <f>AC3010/AA3011</f>
        <v>288.84090000000742</v>
      </c>
      <c r="AD3011" s="94">
        <f t="shared" ref="AD3011" si="2333">AC3011*Z3011</f>
        <v>11553.636000000297</v>
      </c>
      <c r="AE3011" s="190"/>
      <c r="AF3011" s="191"/>
      <c r="AG3011" s="191"/>
      <c r="AH3011" s="191"/>
      <c r="AI3011" s="186"/>
      <c r="AK3011" s="171"/>
    </row>
    <row r="3012" spans="1:41" s="102" customFormat="1" ht="19.899999999999999" customHeight="1" x14ac:dyDescent="0.25">
      <c r="A3012" s="45"/>
      <c r="B3012" s="59"/>
      <c r="C3012" s="137"/>
      <c r="D3012" s="59"/>
      <c r="E3012" s="116"/>
      <c r="F3012" s="120"/>
      <c r="G3012" s="120"/>
      <c r="H3012" s="120"/>
      <c r="I3012" s="60"/>
      <c r="J3012" s="116"/>
      <c r="K3012" s="213"/>
      <c r="L3012" s="120"/>
      <c r="M3012" s="120"/>
      <c r="N3012" s="167"/>
      <c r="O3012" s="120"/>
      <c r="P3012" s="120"/>
      <c r="Q3012" s="120"/>
      <c r="R3012" s="120"/>
      <c r="S3012" s="120"/>
      <c r="T3012" s="221"/>
      <c r="U3012" s="89"/>
      <c r="V3012" s="61"/>
      <c r="W3012" s="92" t="s">
        <v>1221</v>
      </c>
      <c r="X3012" s="93" t="s">
        <v>30</v>
      </c>
      <c r="Y3012" s="93" t="s">
        <v>68</v>
      </c>
      <c r="Z3012" s="134">
        <f>VLOOKUP(W3012,Sheet2!$B:$D,3,FALSE)</f>
        <v>4</v>
      </c>
      <c r="AA3012" s="93">
        <v>1</v>
      </c>
      <c r="AB3012" s="93">
        <f>AD3012/AC3010</f>
        <v>4</v>
      </c>
      <c r="AC3012" s="93">
        <f>AC3010/AA3012</f>
        <v>288.84090000000742</v>
      </c>
      <c r="AD3012" s="94">
        <f>AC3012*Z3012</f>
        <v>1155.3636000000297</v>
      </c>
      <c r="AE3012" s="190"/>
      <c r="AF3012" s="191"/>
      <c r="AG3012" s="191"/>
      <c r="AH3012" s="191"/>
      <c r="AI3012" s="186"/>
      <c r="AK3012" s="171"/>
    </row>
    <row r="3013" spans="1:41" s="102" customFormat="1" ht="19.899999999999999" customHeight="1" x14ac:dyDescent="0.25">
      <c r="A3013" s="45"/>
      <c r="B3013" s="59"/>
      <c r="C3013" s="137"/>
      <c r="D3013" s="59"/>
      <c r="E3013" s="116"/>
      <c r="F3013" s="120"/>
      <c r="G3013" s="120"/>
      <c r="H3013" s="120"/>
      <c r="I3013" s="60"/>
      <c r="J3013" s="116"/>
      <c r="K3013" s="213"/>
      <c r="L3013" s="120"/>
      <c r="M3013" s="120"/>
      <c r="N3013" s="167"/>
      <c r="O3013" s="120"/>
      <c r="P3013" s="120"/>
      <c r="Q3013" s="120"/>
      <c r="R3013" s="120"/>
      <c r="S3013" s="120"/>
      <c r="T3013" s="221"/>
      <c r="U3013" s="89"/>
      <c r="V3013" s="61"/>
      <c r="W3013" s="92" t="s">
        <v>107</v>
      </c>
      <c r="X3013" s="93" t="s">
        <v>31</v>
      </c>
      <c r="Y3013" s="93" t="s">
        <v>93</v>
      </c>
      <c r="Z3013" s="134">
        <f>VLOOKUP(W3013,Sheet2!$B:$D,3,FALSE)</f>
        <v>17</v>
      </c>
      <c r="AA3013" s="93">
        <v>8</v>
      </c>
      <c r="AB3013" s="93">
        <f>AD3013/AC3010</f>
        <v>2.125</v>
      </c>
      <c r="AC3013" s="93">
        <f>AC3010/AA3013</f>
        <v>36.105112500000928</v>
      </c>
      <c r="AD3013" s="94">
        <f>AC3013*Z3013</f>
        <v>613.78691250001577</v>
      </c>
      <c r="AE3013" s="190"/>
      <c r="AF3013" s="191"/>
      <c r="AG3013" s="191"/>
      <c r="AH3013" s="191"/>
      <c r="AI3013" s="186"/>
      <c r="AK3013" s="171"/>
    </row>
    <row r="3014" spans="1:41" s="102" customFormat="1" ht="19.899999999999999" customHeight="1" x14ac:dyDescent="0.25">
      <c r="A3014" s="45"/>
      <c r="B3014" s="59"/>
      <c r="C3014" s="137"/>
      <c r="D3014" s="59"/>
      <c r="E3014" s="116"/>
      <c r="F3014" s="120"/>
      <c r="G3014" s="120"/>
      <c r="H3014" s="120"/>
      <c r="I3014" s="60"/>
      <c r="J3014" s="116"/>
      <c r="K3014" s="213"/>
      <c r="L3014" s="120"/>
      <c r="M3014" s="120"/>
      <c r="N3014" s="167"/>
      <c r="O3014" s="120"/>
      <c r="P3014" s="120"/>
      <c r="Q3014" s="120"/>
      <c r="R3014" s="120"/>
      <c r="S3014" s="120"/>
      <c r="T3014" s="221"/>
      <c r="U3014" s="89"/>
      <c r="V3014" s="61"/>
      <c r="W3014" s="92" t="s">
        <v>112</v>
      </c>
      <c r="X3014" s="93" t="s">
        <v>31</v>
      </c>
      <c r="Y3014" s="93" t="s">
        <v>93</v>
      </c>
      <c r="Z3014" s="134">
        <f>VLOOKUP(W3014,Sheet2!$B:$D,3,FALSE)</f>
        <v>13</v>
      </c>
      <c r="AA3014" s="93">
        <v>8</v>
      </c>
      <c r="AB3014" s="93">
        <f>AD3014/AC3010</f>
        <v>1.625</v>
      </c>
      <c r="AC3014" s="93">
        <f>AC3010/AA3014</f>
        <v>36.105112500000928</v>
      </c>
      <c r="AD3014" s="94">
        <f>AC3014*Z3014</f>
        <v>469.36646250001206</v>
      </c>
      <c r="AE3014" s="190"/>
      <c r="AF3014" s="191"/>
      <c r="AG3014" s="191"/>
      <c r="AH3014" s="191"/>
      <c r="AI3014" s="186"/>
      <c r="AK3014" s="171"/>
    </row>
    <row r="3015" spans="1:41" s="102" customFormat="1" ht="19.899999999999999" customHeight="1" x14ac:dyDescent="0.25">
      <c r="A3015" s="45"/>
      <c r="B3015" s="59"/>
      <c r="C3015" s="137"/>
      <c r="D3015" s="59"/>
      <c r="E3015" s="116"/>
      <c r="F3015" s="120"/>
      <c r="G3015" s="120"/>
      <c r="H3015" s="120"/>
      <c r="I3015" s="60"/>
      <c r="J3015" s="116"/>
      <c r="K3015" s="213"/>
      <c r="L3015" s="120"/>
      <c r="M3015" s="120"/>
      <c r="N3015" s="167"/>
      <c r="O3015" s="120"/>
      <c r="P3015" s="120"/>
      <c r="Q3015" s="120"/>
      <c r="R3015" s="120"/>
      <c r="S3015" s="120"/>
      <c r="T3015" s="221"/>
      <c r="U3015" s="89"/>
      <c r="V3015" s="61"/>
      <c r="W3015" s="92" t="s">
        <v>1032</v>
      </c>
      <c r="X3015" s="93" t="s">
        <v>30</v>
      </c>
      <c r="Y3015" s="93" t="s">
        <v>66</v>
      </c>
      <c r="Z3015" s="134">
        <f>VLOOKUP(W3015,Sheet2!$B:$D,3,FALSE)</f>
        <v>250</v>
      </c>
      <c r="AA3015" s="93">
        <f>1/(1*1*0.1)</f>
        <v>10</v>
      </c>
      <c r="AB3015" s="93">
        <f>AD3015/AC3010</f>
        <v>25</v>
      </c>
      <c r="AC3015" s="93">
        <f>AC3010/AA3015</f>
        <v>28.884090000000743</v>
      </c>
      <c r="AD3015" s="94">
        <f>AC3015*Z3015</f>
        <v>7221.0225000001856</v>
      </c>
      <c r="AE3015" s="190"/>
      <c r="AF3015" s="191"/>
      <c r="AG3015" s="191"/>
      <c r="AH3015" s="191"/>
      <c r="AI3015" s="186"/>
      <c r="AK3015" s="171"/>
    </row>
    <row r="3016" spans="1:41" s="102" customFormat="1" ht="19.899999999999999" customHeight="1" x14ac:dyDescent="0.25">
      <c r="A3016" s="45"/>
      <c r="B3016" s="59"/>
      <c r="C3016" s="137"/>
      <c r="D3016" s="59"/>
      <c r="E3016" s="116"/>
      <c r="F3016" s="120"/>
      <c r="G3016" s="120"/>
      <c r="H3016" s="120"/>
      <c r="I3016" s="60"/>
      <c r="J3016" s="116"/>
      <c r="K3016" s="213"/>
      <c r="L3016" s="120"/>
      <c r="M3016" s="120"/>
      <c r="N3016" s="167"/>
      <c r="O3016" s="120"/>
      <c r="P3016" s="120"/>
      <c r="Q3016" s="120"/>
      <c r="R3016" s="120"/>
      <c r="S3016" s="120"/>
      <c r="T3016" s="221"/>
      <c r="U3016" s="89"/>
      <c r="V3016" s="61"/>
      <c r="W3016" s="92" t="s">
        <v>1035</v>
      </c>
      <c r="X3016" s="93" t="s">
        <v>32</v>
      </c>
      <c r="Y3016" s="93" t="s">
        <v>66</v>
      </c>
      <c r="Z3016" s="134">
        <f>VLOOKUP(W3016,Sheet2!$B:$D,3,FALSE)</f>
        <v>150</v>
      </c>
      <c r="AA3016" s="93">
        <f>AA3015</f>
        <v>10</v>
      </c>
      <c r="AB3016" s="93">
        <f>AD3016/AC3010</f>
        <v>15</v>
      </c>
      <c r="AC3016" s="93">
        <f>AC3010/AA3016</f>
        <v>28.884090000000743</v>
      </c>
      <c r="AD3016" s="94">
        <f t="shared" ref="AD3016:AD3017" si="2334">AC3016*Z3016</f>
        <v>4332.6135000001113</v>
      </c>
      <c r="AE3016" s="190"/>
      <c r="AF3016" s="191"/>
      <c r="AG3016" s="191"/>
      <c r="AH3016" s="191"/>
      <c r="AI3016" s="186"/>
      <c r="AK3016" s="171"/>
    </row>
    <row r="3017" spans="1:41" s="102" customFormat="1" ht="19.899999999999999" customHeight="1" x14ac:dyDescent="0.25">
      <c r="A3017" s="45"/>
      <c r="B3017" s="59"/>
      <c r="C3017" s="137"/>
      <c r="D3017" s="59"/>
      <c r="E3017" s="116"/>
      <c r="F3017" s="120"/>
      <c r="G3017" s="120"/>
      <c r="H3017" s="120"/>
      <c r="I3017" s="60"/>
      <c r="J3017" s="116"/>
      <c r="K3017" s="213"/>
      <c r="L3017" s="120"/>
      <c r="M3017" s="120"/>
      <c r="N3017" s="167"/>
      <c r="O3017" s="120"/>
      <c r="P3017" s="120"/>
      <c r="Q3017" s="120"/>
      <c r="R3017" s="120"/>
      <c r="S3017" s="120"/>
      <c r="T3017" s="221"/>
      <c r="U3017" s="89"/>
      <c r="V3017" s="61"/>
      <c r="W3017" s="92" t="s">
        <v>1037</v>
      </c>
      <c r="X3017" s="93" t="s">
        <v>30</v>
      </c>
      <c r="Y3017" s="93" t="s">
        <v>1038</v>
      </c>
      <c r="Z3017" s="134">
        <f>VLOOKUP(W3017,Sheet2!$B:$D,3,FALSE)</f>
        <v>175</v>
      </c>
      <c r="AA3017" s="93">
        <v>300</v>
      </c>
      <c r="AB3017" s="93">
        <f>AD3017/AC3010</f>
        <v>0.58333333333333337</v>
      </c>
      <c r="AC3017" s="93">
        <f>AC3010/AA3017</f>
        <v>0.96280300000002472</v>
      </c>
      <c r="AD3017" s="94">
        <f t="shared" si="2334"/>
        <v>168.49052500000434</v>
      </c>
      <c r="AE3017" s="190"/>
      <c r="AF3017" s="191"/>
      <c r="AG3017" s="191"/>
      <c r="AH3017" s="191"/>
      <c r="AI3017" s="186"/>
      <c r="AK3017" s="171"/>
    </row>
    <row r="3018" spans="1:41" s="103" customFormat="1" ht="19.899999999999999" customHeight="1" x14ac:dyDescent="0.25">
      <c r="A3018" s="51"/>
      <c r="B3018" s="52"/>
      <c r="C3018" s="165"/>
      <c r="D3018" s="52"/>
      <c r="E3018" s="115"/>
      <c r="F3018" s="58"/>
      <c r="G3018" s="58"/>
      <c r="H3018" s="58"/>
      <c r="I3018" s="55"/>
      <c r="J3018" s="113">
        <f>J2999</f>
        <v>288.84090000000742</v>
      </c>
      <c r="K3018" s="212">
        <f>K2999</f>
        <v>288.84090000000742</v>
      </c>
      <c r="L3018" s="58"/>
      <c r="M3018" s="58">
        <f>K3018-L3018</f>
        <v>288.84090000000742</v>
      </c>
      <c r="N3018" s="166"/>
      <c r="O3018" s="58"/>
      <c r="P3018" s="58"/>
      <c r="Q3018" s="58"/>
      <c r="R3018" s="58"/>
      <c r="S3018" s="58"/>
      <c r="T3018" s="220"/>
      <c r="U3018" s="88"/>
      <c r="V3018" s="56"/>
      <c r="W3018" s="57" t="s">
        <v>1040</v>
      </c>
      <c r="X3018" s="53"/>
      <c r="Y3018" s="91" t="s">
        <v>68</v>
      </c>
      <c r="Z3018" s="136">
        <f>AD3018/AC3018</f>
        <v>5</v>
      </c>
      <c r="AA3018" s="58"/>
      <c r="AB3018" s="53">
        <f>AD3018/AC3018</f>
        <v>5</v>
      </c>
      <c r="AC3018" s="53">
        <f>M3018+$AE$10</f>
        <v>288.84090000000742</v>
      </c>
      <c r="AD3018" s="54">
        <f>SUM(AD3019)</f>
        <v>1444.2045000000371</v>
      </c>
      <c r="AE3018" s="184">
        <f>SUMIFS($AD$37:$AD$12971,$V$37:$V$12971,$V3018,$X$37:$X$12971,AE$13)</f>
        <v>0</v>
      </c>
      <c r="AF3018" s="185">
        <f>SUMIFS($AD$37:$AD$12971,$V$37:$V$12971,$V3018,$X$37:$X$12971,AF$13)</f>
        <v>0</v>
      </c>
      <c r="AG3018" s="185">
        <f>SUMIFS($AD$37:$AD$12971,$V$37:$V$12971,$V3018,$X$37:$X$12971,AG$13)</f>
        <v>0</v>
      </c>
      <c r="AH3018" s="187">
        <f>SUMIFS($AD$37:$AD$12971,$V$37:$V$12971,$V3018,$X$37:$X$12971,AH$13)</f>
        <v>0</v>
      </c>
      <c r="AI3018" s="161">
        <f t="shared" ref="AI3018" si="2335">SUM(AE3018:AH3018)</f>
        <v>0</v>
      </c>
      <c r="AK3018" s="172"/>
    </row>
    <row r="3019" spans="1:41" s="102" customFormat="1" ht="19.899999999999999" customHeight="1" x14ac:dyDescent="0.25">
      <c r="A3019" s="45"/>
      <c r="B3019" s="59"/>
      <c r="C3019" s="137"/>
      <c r="D3019" s="59"/>
      <c r="E3019" s="116"/>
      <c r="F3019" s="120"/>
      <c r="G3019" s="120"/>
      <c r="H3019" s="120"/>
      <c r="I3019" s="60"/>
      <c r="J3019" s="116"/>
      <c r="K3019" s="213"/>
      <c r="L3019" s="120"/>
      <c r="M3019" s="120"/>
      <c r="N3019" s="167"/>
      <c r="O3019" s="120"/>
      <c r="P3019" s="120"/>
      <c r="Q3019" s="120"/>
      <c r="R3019" s="120"/>
      <c r="S3019" s="120"/>
      <c r="T3019" s="221"/>
      <c r="U3019" s="89"/>
      <c r="V3019" s="61"/>
      <c r="W3019" s="92" t="s">
        <v>1039</v>
      </c>
      <c r="X3019" s="93" t="s">
        <v>32</v>
      </c>
      <c r="Y3019" s="93" t="s">
        <v>68</v>
      </c>
      <c r="Z3019" s="134">
        <f>VLOOKUP(W3019,Sheet2!$B:$D,3,FALSE)</f>
        <v>5</v>
      </c>
      <c r="AA3019" s="93">
        <v>1</v>
      </c>
      <c r="AB3019" s="93">
        <f>AD3019/AC3018</f>
        <v>5</v>
      </c>
      <c r="AC3019" s="93">
        <f>AC3018/AA3019</f>
        <v>288.84090000000742</v>
      </c>
      <c r="AD3019" s="94">
        <f t="shared" ref="AD3019" si="2336">AC3019*Z3019</f>
        <v>1444.2045000000371</v>
      </c>
      <c r="AE3019" s="190"/>
      <c r="AF3019" s="191"/>
      <c r="AG3019" s="191"/>
      <c r="AH3019" s="191"/>
      <c r="AI3019" s="186"/>
      <c r="AK3019" s="171"/>
    </row>
    <row r="3020" spans="1:41" ht="20.100000000000001" customHeight="1" x14ac:dyDescent="0.25">
      <c r="A3020" s="277" t="s">
        <v>491</v>
      </c>
      <c r="B3020" s="278"/>
      <c r="C3020" s="64" t="s">
        <v>1212</v>
      </c>
      <c r="D3020" s="46" t="s">
        <v>97</v>
      </c>
      <c r="E3020" s="114">
        <v>333.00915000000214</v>
      </c>
      <c r="F3020" s="44">
        <v>410</v>
      </c>
      <c r="G3020" s="44">
        <f t="shared" si="1977"/>
        <v>136533.75150000089</v>
      </c>
      <c r="H3020" s="44">
        <f t="shared" si="1978"/>
        <v>170.27223529411768</v>
      </c>
      <c r="I3020" s="43">
        <f t="shared" si="1979"/>
        <v>56702.212343894491</v>
      </c>
      <c r="J3020" s="112">
        <f t="shared" si="1980"/>
        <v>333.00915000000214</v>
      </c>
      <c r="K3020" s="211">
        <f t="shared" si="1981"/>
        <v>333.00915000000214</v>
      </c>
      <c r="L3020" s="44"/>
      <c r="M3020" s="44">
        <f t="shared" si="1982"/>
        <v>333.00915000000214</v>
      </c>
      <c r="N3020" s="173">
        <f t="shared" si="1983"/>
        <v>1</v>
      </c>
      <c r="O3020" s="44">
        <f t="shared" si="1984"/>
        <v>410</v>
      </c>
      <c r="P3020" s="44">
        <f t="shared" si="1985"/>
        <v>136533.75150000089</v>
      </c>
      <c r="Q3020" s="44">
        <f t="shared" si="1986"/>
        <v>170.27223529411768</v>
      </c>
      <c r="R3020" s="44">
        <f t="shared" si="1987"/>
        <v>56702.212343894491</v>
      </c>
      <c r="S3020" s="123"/>
      <c r="T3020" s="219">
        <f t="shared" si="1988"/>
        <v>56702.212343894491</v>
      </c>
      <c r="U3020" s="87"/>
      <c r="V3020" s="47"/>
      <c r="W3020" s="48"/>
      <c r="X3020" s="48"/>
      <c r="Y3020" s="48"/>
      <c r="Z3020" s="135"/>
      <c r="AA3020" s="49"/>
      <c r="AB3020" s="50">
        <f t="shared" si="1989"/>
        <v>170.27223529411768</v>
      </c>
      <c r="AC3020" s="42">
        <f t="shared" si="1990"/>
        <v>333.00915000000214</v>
      </c>
      <c r="AD3020" s="90">
        <f>AD3021+AD3031+AD3039</f>
        <v>56702.212343894491</v>
      </c>
      <c r="AE3020" s="188">
        <f t="shared" ref="AE3020" si="2337">AE3021+AE3031+AE3039</f>
        <v>0</v>
      </c>
      <c r="AF3020" s="189">
        <f t="shared" ref="AF3020" si="2338">AF3021+AF3031+AF3039</f>
        <v>0</v>
      </c>
      <c r="AG3020" s="189">
        <f t="shared" ref="AG3020" si="2339">AG3021+AG3031+AG3039</f>
        <v>0</v>
      </c>
      <c r="AH3020" s="189">
        <f t="shared" ref="AH3020" si="2340">AH3021+AH3031+AH3039</f>
        <v>0</v>
      </c>
      <c r="AI3020" s="161">
        <f t="shared" ref="AI3020" si="2341">SUM(AE3020:AH3020)</f>
        <v>0</v>
      </c>
      <c r="AK3020" s="169">
        <v>5</v>
      </c>
      <c r="AO3020" s="19" t="s">
        <v>63</v>
      </c>
    </row>
    <row r="3021" spans="1:41" s="103" customFormat="1" ht="19.899999999999999" customHeight="1" x14ac:dyDescent="0.25">
      <c r="A3021" s="51"/>
      <c r="B3021" s="52"/>
      <c r="C3021" s="165"/>
      <c r="D3021" s="52"/>
      <c r="E3021" s="115"/>
      <c r="F3021" s="58"/>
      <c r="G3021" s="58"/>
      <c r="H3021" s="58"/>
      <c r="I3021" s="55"/>
      <c r="J3021" s="113">
        <f>J3020</f>
        <v>333.00915000000214</v>
      </c>
      <c r="K3021" s="212">
        <f>K3020</f>
        <v>333.00915000000214</v>
      </c>
      <c r="L3021" s="58"/>
      <c r="M3021" s="58">
        <f>K3021-L3021</f>
        <v>333.00915000000214</v>
      </c>
      <c r="N3021" s="166"/>
      <c r="O3021" s="58"/>
      <c r="P3021" s="58"/>
      <c r="Q3021" s="58"/>
      <c r="R3021" s="58"/>
      <c r="S3021" s="58"/>
      <c r="T3021" s="220"/>
      <c r="U3021" s="88"/>
      <c r="V3021" s="56"/>
      <c r="W3021" s="57" t="s">
        <v>1052</v>
      </c>
      <c r="X3021" s="53"/>
      <c r="Y3021" s="91" t="s">
        <v>68</v>
      </c>
      <c r="Z3021" s="136">
        <f>AD3021/AC3021</f>
        <v>76.938901960784321</v>
      </c>
      <c r="AA3021" s="58"/>
      <c r="AB3021" s="53">
        <f>AD3021/AC3021</f>
        <v>76.938901960784321</v>
      </c>
      <c r="AC3021" s="53">
        <f>M3021+$AE$10</f>
        <v>333.00915000000214</v>
      </c>
      <c r="AD3021" s="54">
        <f>SUM(AD3022:AD3030)</f>
        <v>25621.358343894284</v>
      </c>
      <c r="AE3021" s="184">
        <f>SUMIFS($AD$37:$AD$12971,$V$37:$V$12971,$V3021,$X$37:$X$12971,AE$13)</f>
        <v>0</v>
      </c>
      <c r="AF3021" s="185">
        <f>SUMIFS($AD$37:$AD$12971,$V$37:$V$12971,$V3021,$X$37:$X$12971,AF$13)</f>
        <v>0</v>
      </c>
      <c r="AG3021" s="185">
        <f>SUMIFS($AD$37:$AD$12971,$V$37:$V$12971,$V3021,$X$37:$X$12971,AG$13)</f>
        <v>0</v>
      </c>
      <c r="AH3021" s="187">
        <f>SUMIFS($AD$37:$AD$12971,$V$37:$V$12971,$V3021,$X$37:$X$12971,AH$13)</f>
        <v>0</v>
      </c>
      <c r="AI3021" s="161">
        <f t="shared" ref="AI3021" si="2342">SUM(AE3021:AH3021)</f>
        <v>0</v>
      </c>
      <c r="AK3021" s="172"/>
    </row>
    <row r="3022" spans="1:41" s="102" customFormat="1" ht="19.899999999999999" customHeight="1" x14ac:dyDescent="0.25">
      <c r="A3022" s="45"/>
      <c r="B3022" s="59"/>
      <c r="C3022" s="137"/>
      <c r="D3022" s="59"/>
      <c r="E3022" s="116"/>
      <c r="F3022" s="120"/>
      <c r="G3022" s="120"/>
      <c r="H3022" s="120"/>
      <c r="I3022" s="60"/>
      <c r="J3022" s="116"/>
      <c r="K3022" s="213"/>
      <c r="L3022" s="120"/>
      <c r="M3022" s="120"/>
      <c r="N3022" s="167"/>
      <c r="O3022" s="120"/>
      <c r="P3022" s="120"/>
      <c r="Q3022" s="120"/>
      <c r="R3022" s="120"/>
      <c r="S3022" s="120"/>
      <c r="T3022" s="221"/>
      <c r="U3022" s="89"/>
      <c r="V3022" s="61"/>
      <c r="W3022" s="92" t="s">
        <v>129</v>
      </c>
      <c r="X3022" s="93" t="s">
        <v>29</v>
      </c>
      <c r="Y3022" s="93" t="s">
        <v>93</v>
      </c>
      <c r="Z3022" s="134">
        <f>VLOOKUP(W3022,Sheet2!$B:$D,3,FALSE)</f>
        <v>56</v>
      </c>
      <c r="AA3022" s="93">
        <f>100/(1*3.5)</f>
        <v>28.571428571428573</v>
      </c>
      <c r="AB3022" s="93">
        <f t="shared" ref="AB3022" si="2343">AD3022/AC3021</f>
        <v>1.9599999999999997</v>
      </c>
      <c r="AC3022" s="93">
        <f>AC3021/AA3022</f>
        <v>11.655320250000074</v>
      </c>
      <c r="AD3022" s="94">
        <f t="shared" ref="AD3022:AD3023" si="2344">AC3022*Z3022</f>
        <v>652.69793400000412</v>
      </c>
      <c r="AE3022" s="190"/>
      <c r="AF3022" s="191"/>
      <c r="AG3022" s="191"/>
      <c r="AH3022" s="191"/>
      <c r="AI3022" s="186"/>
      <c r="AK3022" s="171"/>
    </row>
    <row r="3023" spans="1:41" s="102" customFormat="1" ht="19.899999999999999" customHeight="1" x14ac:dyDescent="0.25">
      <c r="A3023" s="45"/>
      <c r="B3023" s="59"/>
      <c r="C3023" s="137"/>
      <c r="D3023" s="59"/>
      <c r="E3023" s="116"/>
      <c r="F3023" s="120"/>
      <c r="G3023" s="120"/>
      <c r="H3023" s="120"/>
      <c r="I3023" s="60"/>
      <c r="J3023" s="116"/>
      <c r="K3023" s="213"/>
      <c r="L3023" s="120"/>
      <c r="M3023" s="120"/>
      <c r="N3023" s="167"/>
      <c r="O3023" s="120"/>
      <c r="P3023" s="120"/>
      <c r="Q3023" s="120"/>
      <c r="R3023" s="120"/>
      <c r="S3023" s="120"/>
      <c r="T3023" s="221"/>
      <c r="U3023" s="89"/>
      <c r="V3023" s="61"/>
      <c r="W3023" s="92" t="s">
        <v>65</v>
      </c>
      <c r="X3023" s="93" t="s">
        <v>30</v>
      </c>
      <c r="Y3023" s="93" t="s">
        <v>1011</v>
      </c>
      <c r="Z3023" s="134">
        <f>VLOOKUP(W3023,Sheet2!$B:$D,3,FALSE)</f>
        <v>1.76</v>
      </c>
      <c r="AA3023" s="93">
        <f>AA3022/14</f>
        <v>2.0408163265306123</v>
      </c>
      <c r="AB3023" s="93">
        <f>AD3023/AC3021</f>
        <v>0.86239999999999983</v>
      </c>
      <c r="AC3023" s="93">
        <f>AC3021/AA3023</f>
        <v>163.17448350000103</v>
      </c>
      <c r="AD3023" s="94">
        <f t="shared" si="2344"/>
        <v>287.1870909600018</v>
      </c>
      <c r="AE3023" s="190"/>
      <c r="AF3023" s="191"/>
      <c r="AG3023" s="191"/>
      <c r="AH3023" s="191"/>
      <c r="AI3023" s="186"/>
      <c r="AK3023" s="171"/>
    </row>
    <row r="3024" spans="1:41" s="102" customFormat="1" ht="19.899999999999999" customHeight="1" x14ac:dyDescent="0.25">
      <c r="A3024" s="45"/>
      <c r="B3024" s="59"/>
      <c r="C3024" s="137"/>
      <c r="D3024" s="59"/>
      <c r="E3024" s="116"/>
      <c r="F3024" s="120"/>
      <c r="G3024" s="120"/>
      <c r="H3024" s="120"/>
      <c r="I3024" s="60"/>
      <c r="J3024" s="116"/>
      <c r="K3024" s="213"/>
      <c r="L3024" s="120"/>
      <c r="M3024" s="120"/>
      <c r="N3024" s="167"/>
      <c r="O3024" s="120"/>
      <c r="P3024" s="120"/>
      <c r="Q3024" s="120"/>
      <c r="R3024" s="120"/>
      <c r="S3024" s="120"/>
      <c r="T3024" s="221"/>
      <c r="U3024" s="89"/>
      <c r="V3024" s="61"/>
      <c r="W3024" s="92" t="s">
        <v>161</v>
      </c>
      <c r="X3024" s="93" t="s">
        <v>29</v>
      </c>
      <c r="Y3024" s="93" t="s">
        <v>93</v>
      </c>
      <c r="Z3024" s="134">
        <f>VLOOKUP(W3024,Sheet2!$B:$D,3,FALSE)</f>
        <v>48</v>
      </c>
      <c r="AA3024" s="93">
        <f>(16*0.85*1.5)/(1*3.5)</f>
        <v>5.8285714285714283</v>
      </c>
      <c r="AB3024" s="93">
        <f>AD3024/AC3021</f>
        <v>8.2352941176470598</v>
      </c>
      <c r="AC3024" s="93">
        <f>AC3021/AA3024</f>
        <v>57.133922794118014</v>
      </c>
      <c r="AD3024" s="94">
        <f>AC3024*Z3024</f>
        <v>2742.4282941176648</v>
      </c>
      <c r="AE3024" s="190"/>
      <c r="AF3024" s="191"/>
      <c r="AG3024" s="191"/>
      <c r="AH3024" s="191"/>
      <c r="AI3024" s="186"/>
      <c r="AK3024" s="171"/>
    </row>
    <row r="3025" spans="1:37" s="102" customFormat="1" ht="19.899999999999999" customHeight="1" x14ac:dyDescent="0.25">
      <c r="A3025" s="45"/>
      <c r="B3025" s="59"/>
      <c r="C3025" s="137"/>
      <c r="D3025" s="59"/>
      <c r="E3025" s="116"/>
      <c r="F3025" s="120"/>
      <c r="G3025" s="120"/>
      <c r="H3025" s="120"/>
      <c r="I3025" s="60"/>
      <c r="J3025" s="116"/>
      <c r="K3025" s="213"/>
      <c r="L3025" s="120"/>
      <c r="M3025" s="120"/>
      <c r="N3025" s="167"/>
      <c r="O3025" s="120"/>
      <c r="P3025" s="120"/>
      <c r="Q3025" s="120"/>
      <c r="R3025" s="120"/>
      <c r="S3025" s="120"/>
      <c r="T3025" s="221"/>
      <c r="U3025" s="89"/>
      <c r="V3025" s="61"/>
      <c r="W3025" s="92" t="s">
        <v>65</v>
      </c>
      <c r="X3025" s="93" t="s">
        <v>30</v>
      </c>
      <c r="Y3025" s="93" t="s">
        <v>1011</v>
      </c>
      <c r="Z3025" s="134">
        <f>VLOOKUP(W3025,Sheet2!$B:$D,3,FALSE)</f>
        <v>1.76</v>
      </c>
      <c r="AA3025" s="93">
        <f>AA3024/10</f>
        <v>0.58285714285714285</v>
      </c>
      <c r="AB3025" s="93">
        <f>AD3025/AC3021</f>
        <v>3.0196078431372553</v>
      </c>
      <c r="AC3025" s="93">
        <f>AC3021/AA3025</f>
        <v>571.33922794118018</v>
      </c>
      <c r="AD3025" s="94">
        <f>AC3025*Z3025</f>
        <v>1005.5570411764771</v>
      </c>
      <c r="AE3025" s="190"/>
      <c r="AF3025" s="191"/>
      <c r="AG3025" s="191"/>
      <c r="AH3025" s="191"/>
      <c r="AI3025" s="186"/>
      <c r="AK3025" s="171"/>
    </row>
    <row r="3026" spans="1:37" s="102" customFormat="1" ht="19.899999999999999" customHeight="1" x14ac:dyDescent="0.25">
      <c r="A3026" s="45"/>
      <c r="B3026" s="59"/>
      <c r="C3026" s="137"/>
      <c r="D3026" s="59"/>
      <c r="E3026" s="116"/>
      <c r="F3026" s="120"/>
      <c r="G3026" s="120"/>
      <c r="H3026" s="120"/>
      <c r="I3026" s="60"/>
      <c r="J3026" s="116"/>
      <c r="K3026" s="213"/>
      <c r="L3026" s="120"/>
      <c r="M3026" s="120"/>
      <c r="N3026" s="167"/>
      <c r="O3026" s="120"/>
      <c r="P3026" s="120"/>
      <c r="Q3026" s="120"/>
      <c r="R3026" s="120"/>
      <c r="S3026" s="120"/>
      <c r="T3026" s="221"/>
      <c r="U3026" s="89"/>
      <c r="V3026" s="61"/>
      <c r="W3026" s="92" t="s">
        <v>1030</v>
      </c>
      <c r="X3026" s="93" t="s">
        <v>29</v>
      </c>
      <c r="Y3026" s="93" t="s">
        <v>93</v>
      </c>
      <c r="Z3026" s="134">
        <f>VLOOKUP(W3026,Sheet2!$B:$D,3,FALSE)</f>
        <v>23</v>
      </c>
      <c r="AA3026" s="93">
        <v>50</v>
      </c>
      <c r="AB3026" s="93">
        <f>AD3026/AC3021</f>
        <v>0.45999999999999996</v>
      </c>
      <c r="AC3026" s="93">
        <f>AC3021/AA3026</f>
        <v>6.6601830000000426</v>
      </c>
      <c r="AD3026" s="94">
        <f t="shared" ref="AD3026:AD3030" si="2345">AC3026*Z3026</f>
        <v>153.18420900000098</v>
      </c>
      <c r="AE3026" s="190"/>
      <c r="AF3026" s="191"/>
      <c r="AG3026" s="191"/>
      <c r="AH3026" s="191"/>
      <c r="AI3026" s="186"/>
      <c r="AK3026" s="171"/>
    </row>
    <row r="3027" spans="1:37" s="102" customFormat="1" ht="19.899999999999999" customHeight="1" x14ac:dyDescent="0.25">
      <c r="A3027" s="45"/>
      <c r="B3027" s="59"/>
      <c r="C3027" s="137"/>
      <c r="D3027" s="59"/>
      <c r="E3027" s="116"/>
      <c r="F3027" s="120"/>
      <c r="G3027" s="120"/>
      <c r="H3027" s="120"/>
      <c r="I3027" s="60"/>
      <c r="J3027" s="116"/>
      <c r="K3027" s="213"/>
      <c r="L3027" s="120"/>
      <c r="M3027" s="120"/>
      <c r="N3027" s="167"/>
      <c r="O3027" s="120"/>
      <c r="P3027" s="120"/>
      <c r="Q3027" s="120"/>
      <c r="R3027" s="120"/>
      <c r="S3027" s="120"/>
      <c r="T3027" s="221"/>
      <c r="U3027" s="89"/>
      <c r="V3027" s="61"/>
      <c r="W3027" s="92" t="s">
        <v>65</v>
      </c>
      <c r="X3027" s="93" t="s">
        <v>30</v>
      </c>
      <c r="Y3027" s="93" t="s">
        <v>1011</v>
      </c>
      <c r="Z3027" s="134">
        <f>VLOOKUP(W3027,Sheet2!$B:$D,3,FALSE)</f>
        <v>1.76</v>
      </c>
      <c r="AA3027" s="93">
        <f>AA3026/3</f>
        <v>16.666666666666668</v>
      </c>
      <c r="AB3027" s="93">
        <f>AD3027/AC3021</f>
        <v>0.1056</v>
      </c>
      <c r="AC3027" s="93">
        <f>AC3021/AA3027</f>
        <v>19.980549000000128</v>
      </c>
      <c r="AD3027" s="94">
        <f t="shared" si="2345"/>
        <v>35.165766240000224</v>
      </c>
      <c r="AE3027" s="190"/>
      <c r="AF3027" s="191"/>
      <c r="AG3027" s="191"/>
      <c r="AH3027" s="191"/>
      <c r="AI3027" s="186"/>
      <c r="AK3027" s="171"/>
    </row>
    <row r="3028" spans="1:37" s="102" customFormat="1" ht="19.899999999999999" customHeight="1" x14ac:dyDescent="0.25">
      <c r="A3028" s="45"/>
      <c r="B3028" s="59"/>
      <c r="C3028" s="137"/>
      <c r="D3028" s="59"/>
      <c r="E3028" s="116"/>
      <c r="F3028" s="120"/>
      <c r="G3028" s="120"/>
      <c r="H3028" s="120"/>
      <c r="I3028" s="60"/>
      <c r="J3028" s="116"/>
      <c r="K3028" s="213"/>
      <c r="L3028" s="120"/>
      <c r="M3028" s="120"/>
      <c r="N3028" s="167"/>
      <c r="O3028" s="120"/>
      <c r="P3028" s="120"/>
      <c r="Q3028" s="120"/>
      <c r="R3028" s="120"/>
      <c r="S3028" s="120"/>
      <c r="T3028" s="221"/>
      <c r="U3028" s="89"/>
      <c r="V3028" s="61"/>
      <c r="W3028" s="92" t="s">
        <v>148</v>
      </c>
      <c r="X3028" s="93" t="s">
        <v>29</v>
      </c>
      <c r="Y3028" s="93" t="s">
        <v>93</v>
      </c>
      <c r="Z3028" s="134">
        <f>VLOOKUP(W3028,Sheet2!$B:$D,3,FALSE)</f>
        <v>48</v>
      </c>
      <c r="AA3028" s="93">
        <f>AA3022</f>
        <v>28.571428571428573</v>
      </c>
      <c r="AB3028" s="93">
        <f>AD3028/AC3021</f>
        <v>1.68</v>
      </c>
      <c r="AC3028" s="93">
        <f>AC3021/AA3028</f>
        <v>11.655320250000074</v>
      </c>
      <c r="AD3028" s="94">
        <f t="shared" si="2345"/>
        <v>559.45537200000354</v>
      </c>
      <c r="AE3028" s="190"/>
      <c r="AF3028" s="191"/>
      <c r="AG3028" s="191"/>
      <c r="AH3028" s="191"/>
      <c r="AI3028" s="186"/>
      <c r="AK3028" s="171"/>
    </row>
    <row r="3029" spans="1:37" s="102" customFormat="1" ht="19.899999999999999" customHeight="1" x14ac:dyDescent="0.25">
      <c r="A3029" s="45"/>
      <c r="B3029" s="59"/>
      <c r="C3029" s="137"/>
      <c r="D3029" s="59"/>
      <c r="E3029" s="116"/>
      <c r="F3029" s="120"/>
      <c r="G3029" s="120"/>
      <c r="H3029" s="120"/>
      <c r="I3029" s="60"/>
      <c r="J3029" s="116"/>
      <c r="K3029" s="213"/>
      <c r="L3029" s="120"/>
      <c r="M3029" s="120"/>
      <c r="N3029" s="167"/>
      <c r="O3029" s="120"/>
      <c r="P3029" s="120"/>
      <c r="Q3029" s="120"/>
      <c r="R3029" s="120"/>
      <c r="S3029" s="120"/>
      <c r="T3029" s="221"/>
      <c r="U3029" s="89"/>
      <c r="V3029" s="61"/>
      <c r="W3029" s="92" t="s">
        <v>65</v>
      </c>
      <c r="X3029" s="93" t="s">
        <v>30</v>
      </c>
      <c r="Y3029" s="93" t="s">
        <v>1011</v>
      </c>
      <c r="Z3029" s="134">
        <f>VLOOKUP(W3029,Sheet2!$B:$D,3,FALSE)</f>
        <v>1.76</v>
      </c>
      <c r="AA3029" s="93">
        <f>AA3028/10</f>
        <v>2.8571428571428572</v>
      </c>
      <c r="AB3029" s="93">
        <f>AD3029/AC3021</f>
        <v>0.6160000000000001</v>
      </c>
      <c r="AC3029" s="93">
        <f>AC3021/AA3029</f>
        <v>116.55320250000075</v>
      </c>
      <c r="AD3029" s="94">
        <f t="shared" si="2345"/>
        <v>205.13363640000134</v>
      </c>
      <c r="AE3029" s="190"/>
      <c r="AF3029" s="191"/>
      <c r="AG3029" s="191"/>
      <c r="AH3029" s="191"/>
      <c r="AI3029" s="186"/>
      <c r="AK3029" s="171"/>
    </row>
    <row r="3030" spans="1:37" s="102" customFormat="1" ht="19.899999999999999" customHeight="1" x14ac:dyDescent="0.25">
      <c r="A3030" s="45"/>
      <c r="B3030" s="59"/>
      <c r="C3030" s="137"/>
      <c r="D3030" s="59"/>
      <c r="E3030" s="116"/>
      <c r="F3030" s="120"/>
      <c r="G3030" s="120"/>
      <c r="H3030" s="120"/>
      <c r="I3030" s="60"/>
      <c r="J3030" s="116"/>
      <c r="K3030" s="213"/>
      <c r="L3030" s="120"/>
      <c r="M3030" s="120"/>
      <c r="N3030" s="167"/>
      <c r="O3030" s="120"/>
      <c r="P3030" s="120"/>
      <c r="Q3030" s="120"/>
      <c r="R3030" s="120"/>
      <c r="S3030" s="120"/>
      <c r="T3030" s="221"/>
      <c r="U3030" s="89"/>
      <c r="V3030" s="61"/>
      <c r="W3030" s="92" t="s">
        <v>1049</v>
      </c>
      <c r="X3030" s="93" t="s">
        <v>30</v>
      </c>
      <c r="Y3030" s="93" t="s">
        <v>68</v>
      </c>
      <c r="Z3030" s="134">
        <f>VLOOKUP(W3030,Sheet2!$B:$D,3,FALSE)</f>
        <v>60</v>
      </c>
      <c r="AA3030" s="93">
        <v>1</v>
      </c>
      <c r="AB3030" s="93">
        <f>AD3030/AC3021</f>
        <v>60.000000000000007</v>
      </c>
      <c r="AC3030" s="93">
        <f>AC3021/AA3030</f>
        <v>333.00915000000214</v>
      </c>
      <c r="AD3030" s="94">
        <f t="shared" si="2345"/>
        <v>19980.54900000013</v>
      </c>
      <c r="AE3030" s="190"/>
      <c r="AF3030" s="191"/>
      <c r="AG3030" s="191"/>
      <c r="AH3030" s="191"/>
      <c r="AI3030" s="186"/>
      <c r="AK3030" s="171"/>
    </row>
    <row r="3031" spans="1:37" s="103" customFormat="1" ht="19.899999999999999" customHeight="1" x14ac:dyDescent="0.25">
      <c r="A3031" s="51"/>
      <c r="B3031" s="52"/>
      <c r="C3031" s="165"/>
      <c r="D3031" s="52"/>
      <c r="E3031" s="115"/>
      <c r="F3031" s="58"/>
      <c r="G3031" s="58"/>
      <c r="H3031" s="58"/>
      <c r="I3031" s="55"/>
      <c r="J3031" s="113">
        <f>J3020</f>
        <v>333.00915000000214</v>
      </c>
      <c r="K3031" s="212">
        <f>K3020</f>
        <v>333.00915000000214</v>
      </c>
      <c r="L3031" s="58"/>
      <c r="M3031" s="58">
        <f>K3031-L3031</f>
        <v>333.00915000000214</v>
      </c>
      <c r="N3031" s="166"/>
      <c r="O3031" s="58"/>
      <c r="P3031" s="58"/>
      <c r="Q3031" s="58"/>
      <c r="R3031" s="58"/>
      <c r="S3031" s="58"/>
      <c r="T3031" s="220"/>
      <c r="U3031" s="88"/>
      <c r="V3031" s="56"/>
      <c r="W3031" s="57" t="s">
        <v>1036</v>
      </c>
      <c r="X3031" s="53"/>
      <c r="Y3031" s="91" t="s">
        <v>68</v>
      </c>
      <c r="Z3031" s="136">
        <f>AD3031/AC3031</f>
        <v>88.333333333333343</v>
      </c>
      <c r="AA3031" s="58"/>
      <c r="AB3031" s="53">
        <f>AD3031/AC3031</f>
        <v>88.333333333333343</v>
      </c>
      <c r="AC3031" s="53">
        <f>M3031+$AE$10</f>
        <v>333.00915000000214</v>
      </c>
      <c r="AD3031" s="54">
        <f>SUM(AD3032:AD3038)</f>
        <v>29415.808250000191</v>
      </c>
      <c r="AE3031" s="184">
        <f>SUMIFS($AD$37:$AD$12971,$V$37:$V$12971,$V3031,$X$37:$X$12971,AE$13)</f>
        <v>0</v>
      </c>
      <c r="AF3031" s="185">
        <f>SUMIFS($AD$37:$AD$12971,$V$37:$V$12971,$V3031,$X$37:$X$12971,AF$13)</f>
        <v>0</v>
      </c>
      <c r="AG3031" s="185">
        <f>SUMIFS($AD$37:$AD$12971,$V$37:$V$12971,$V3031,$X$37:$X$12971,AG$13)</f>
        <v>0</v>
      </c>
      <c r="AH3031" s="187">
        <f>SUMIFS($AD$37:$AD$12971,$V$37:$V$12971,$V3031,$X$37:$X$12971,AH$13)</f>
        <v>0</v>
      </c>
      <c r="AI3031" s="161">
        <f t="shared" ref="AI3031" si="2346">SUM(AE3031:AH3031)</f>
        <v>0</v>
      </c>
      <c r="AK3031" s="172"/>
    </row>
    <row r="3032" spans="1:37" s="102" customFormat="1" ht="19.899999999999999" customHeight="1" x14ac:dyDescent="0.25">
      <c r="A3032" s="45"/>
      <c r="B3032" s="59"/>
      <c r="C3032" s="137"/>
      <c r="D3032" s="59"/>
      <c r="E3032" s="116"/>
      <c r="F3032" s="120"/>
      <c r="G3032" s="120"/>
      <c r="H3032" s="120"/>
      <c r="I3032" s="60"/>
      <c r="J3032" s="116"/>
      <c r="K3032" s="213"/>
      <c r="L3032" s="120"/>
      <c r="M3032" s="120"/>
      <c r="N3032" s="167"/>
      <c r="O3032" s="120"/>
      <c r="P3032" s="120"/>
      <c r="Q3032" s="120"/>
      <c r="R3032" s="120"/>
      <c r="S3032" s="120"/>
      <c r="T3032" s="221"/>
      <c r="U3032" s="89"/>
      <c r="V3032" s="61"/>
      <c r="W3032" s="92" t="s">
        <v>1220</v>
      </c>
      <c r="X3032" s="93" t="s">
        <v>30</v>
      </c>
      <c r="Y3032" s="93" t="s">
        <v>68</v>
      </c>
      <c r="Z3032" s="134">
        <f>VLOOKUP(W3032,Sheet2!$B:$D,3,FALSE)</f>
        <v>40</v>
      </c>
      <c r="AA3032" s="93">
        <v>1</v>
      </c>
      <c r="AB3032" s="93">
        <f>AD3032/AC3031</f>
        <v>40</v>
      </c>
      <c r="AC3032" s="93">
        <f>AC3031/AA3032</f>
        <v>333.00915000000214</v>
      </c>
      <c r="AD3032" s="94">
        <f t="shared" ref="AD3032" si="2347">AC3032*Z3032</f>
        <v>13320.366000000085</v>
      </c>
      <c r="AE3032" s="190"/>
      <c r="AF3032" s="191"/>
      <c r="AG3032" s="191"/>
      <c r="AH3032" s="191"/>
      <c r="AI3032" s="186"/>
      <c r="AK3032" s="171"/>
    </row>
    <row r="3033" spans="1:37" s="102" customFormat="1" ht="19.899999999999999" customHeight="1" x14ac:dyDescent="0.25">
      <c r="A3033" s="45"/>
      <c r="B3033" s="59"/>
      <c r="C3033" s="137"/>
      <c r="D3033" s="59"/>
      <c r="E3033" s="116"/>
      <c r="F3033" s="120"/>
      <c r="G3033" s="120"/>
      <c r="H3033" s="120"/>
      <c r="I3033" s="60"/>
      <c r="J3033" s="116"/>
      <c r="K3033" s="213"/>
      <c r="L3033" s="120"/>
      <c r="M3033" s="120"/>
      <c r="N3033" s="167"/>
      <c r="O3033" s="120"/>
      <c r="P3033" s="120"/>
      <c r="Q3033" s="120"/>
      <c r="R3033" s="120"/>
      <c r="S3033" s="120"/>
      <c r="T3033" s="221"/>
      <c r="U3033" s="89"/>
      <c r="V3033" s="61"/>
      <c r="W3033" s="92" t="s">
        <v>1221</v>
      </c>
      <c r="X3033" s="93" t="s">
        <v>30</v>
      </c>
      <c r="Y3033" s="93" t="s">
        <v>68</v>
      </c>
      <c r="Z3033" s="134">
        <f>VLOOKUP(W3033,Sheet2!$B:$D,3,FALSE)</f>
        <v>4</v>
      </c>
      <c r="AA3033" s="93">
        <v>1</v>
      </c>
      <c r="AB3033" s="93">
        <f>AD3033/AC3031</f>
        <v>4</v>
      </c>
      <c r="AC3033" s="93">
        <f>AC3031/AA3033</f>
        <v>333.00915000000214</v>
      </c>
      <c r="AD3033" s="94">
        <f>AC3033*Z3033</f>
        <v>1332.0366000000085</v>
      </c>
      <c r="AE3033" s="190"/>
      <c r="AF3033" s="191"/>
      <c r="AG3033" s="191"/>
      <c r="AH3033" s="191"/>
      <c r="AI3033" s="186"/>
      <c r="AK3033" s="171"/>
    </row>
    <row r="3034" spans="1:37" s="102" customFormat="1" ht="19.899999999999999" customHeight="1" x14ac:dyDescent="0.25">
      <c r="A3034" s="45"/>
      <c r="B3034" s="59"/>
      <c r="C3034" s="137"/>
      <c r="D3034" s="59"/>
      <c r="E3034" s="116"/>
      <c r="F3034" s="120"/>
      <c r="G3034" s="120"/>
      <c r="H3034" s="120"/>
      <c r="I3034" s="60"/>
      <c r="J3034" s="116"/>
      <c r="K3034" s="213"/>
      <c r="L3034" s="120"/>
      <c r="M3034" s="120"/>
      <c r="N3034" s="167"/>
      <c r="O3034" s="120"/>
      <c r="P3034" s="120"/>
      <c r="Q3034" s="120"/>
      <c r="R3034" s="120"/>
      <c r="S3034" s="120"/>
      <c r="T3034" s="221"/>
      <c r="U3034" s="89"/>
      <c r="V3034" s="61"/>
      <c r="W3034" s="92" t="s">
        <v>107</v>
      </c>
      <c r="X3034" s="93" t="s">
        <v>31</v>
      </c>
      <c r="Y3034" s="93" t="s">
        <v>93</v>
      </c>
      <c r="Z3034" s="134">
        <f>VLOOKUP(W3034,Sheet2!$B:$D,3,FALSE)</f>
        <v>17</v>
      </c>
      <c r="AA3034" s="93">
        <v>8</v>
      </c>
      <c r="AB3034" s="93">
        <f>AD3034/AC3031</f>
        <v>2.125</v>
      </c>
      <c r="AC3034" s="93">
        <f>AC3031/AA3034</f>
        <v>41.626143750000267</v>
      </c>
      <c r="AD3034" s="94">
        <f>AC3034*Z3034</f>
        <v>707.64444375000448</v>
      </c>
      <c r="AE3034" s="190"/>
      <c r="AF3034" s="191"/>
      <c r="AG3034" s="191"/>
      <c r="AH3034" s="191"/>
      <c r="AI3034" s="186"/>
      <c r="AK3034" s="171"/>
    </row>
    <row r="3035" spans="1:37" s="102" customFormat="1" ht="19.899999999999999" customHeight="1" x14ac:dyDescent="0.25">
      <c r="A3035" s="45"/>
      <c r="B3035" s="59"/>
      <c r="C3035" s="137"/>
      <c r="D3035" s="59"/>
      <c r="E3035" s="116"/>
      <c r="F3035" s="120"/>
      <c r="G3035" s="120"/>
      <c r="H3035" s="120"/>
      <c r="I3035" s="60"/>
      <c r="J3035" s="116"/>
      <c r="K3035" s="213"/>
      <c r="L3035" s="120"/>
      <c r="M3035" s="120"/>
      <c r="N3035" s="167"/>
      <c r="O3035" s="120"/>
      <c r="P3035" s="120"/>
      <c r="Q3035" s="120"/>
      <c r="R3035" s="120"/>
      <c r="S3035" s="120"/>
      <c r="T3035" s="221"/>
      <c r="U3035" s="89"/>
      <c r="V3035" s="61"/>
      <c r="W3035" s="92" t="s">
        <v>112</v>
      </c>
      <c r="X3035" s="93" t="s">
        <v>31</v>
      </c>
      <c r="Y3035" s="93" t="s">
        <v>93</v>
      </c>
      <c r="Z3035" s="134">
        <f>VLOOKUP(W3035,Sheet2!$B:$D,3,FALSE)</f>
        <v>13</v>
      </c>
      <c r="AA3035" s="93">
        <v>8</v>
      </c>
      <c r="AB3035" s="93">
        <f>AD3035/AC3031</f>
        <v>1.6249999999999998</v>
      </c>
      <c r="AC3035" s="93">
        <f>AC3031/AA3035</f>
        <v>41.626143750000267</v>
      </c>
      <c r="AD3035" s="94">
        <f>AC3035*Z3035</f>
        <v>541.13986875000342</v>
      </c>
      <c r="AE3035" s="190"/>
      <c r="AF3035" s="191"/>
      <c r="AG3035" s="191"/>
      <c r="AH3035" s="191"/>
      <c r="AI3035" s="186"/>
      <c r="AK3035" s="171"/>
    </row>
    <row r="3036" spans="1:37" s="102" customFormat="1" ht="19.899999999999999" customHeight="1" x14ac:dyDescent="0.25">
      <c r="A3036" s="45"/>
      <c r="B3036" s="59"/>
      <c r="C3036" s="137"/>
      <c r="D3036" s="59"/>
      <c r="E3036" s="116"/>
      <c r="F3036" s="120"/>
      <c r="G3036" s="120"/>
      <c r="H3036" s="120"/>
      <c r="I3036" s="60"/>
      <c r="J3036" s="116"/>
      <c r="K3036" s="213"/>
      <c r="L3036" s="120"/>
      <c r="M3036" s="120"/>
      <c r="N3036" s="167"/>
      <c r="O3036" s="120"/>
      <c r="P3036" s="120"/>
      <c r="Q3036" s="120"/>
      <c r="R3036" s="120"/>
      <c r="S3036" s="120"/>
      <c r="T3036" s="221"/>
      <c r="U3036" s="89"/>
      <c r="V3036" s="61"/>
      <c r="W3036" s="92" t="s">
        <v>1032</v>
      </c>
      <c r="X3036" s="93" t="s">
        <v>30</v>
      </c>
      <c r="Y3036" s="93" t="s">
        <v>66</v>
      </c>
      <c r="Z3036" s="134">
        <f>VLOOKUP(W3036,Sheet2!$B:$D,3,FALSE)</f>
        <v>250</v>
      </c>
      <c r="AA3036" s="93">
        <f>1/(1*1*0.1)</f>
        <v>10</v>
      </c>
      <c r="AB3036" s="93">
        <f>AD3036/AC3031</f>
        <v>25.000000000000004</v>
      </c>
      <c r="AC3036" s="93">
        <f>AC3031/AA3036</f>
        <v>33.300915000000217</v>
      </c>
      <c r="AD3036" s="94">
        <f>AC3036*Z3036</f>
        <v>8325.2287500000548</v>
      </c>
      <c r="AE3036" s="190"/>
      <c r="AF3036" s="191"/>
      <c r="AG3036" s="191"/>
      <c r="AH3036" s="191"/>
      <c r="AI3036" s="186"/>
      <c r="AK3036" s="171"/>
    </row>
    <row r="3037" spans="1:37" s="102" customFormat="1" ht="19.899999999999999" customHeight="1" x14ac:dyDescent="0.25">
      <c r="A3037" s="45"/>
      <c r="B3037" s="59"/>
      <c r="C3037" s="137"/>
      <c r="D3037" s="59"/>
      <c r="E3037" s="116"/>
      <c r="F3037" s="120"/>
      <c r="G3037" s="120"/>
      <c r="H3037" s="120"/>
      <c r="I3037" s="60"/>
      <c r="J3037" s="116"/>
      <c r="K3037" s="213"/>
      <c r="L3037" s="120"/>
      <c r="M3037" s="120"/>
      <c r="N3037" s="167"/>
      <c r="O3037" s="120"/>
      <c r="P3037" s="120"/>
      <c r="Q3037" s="120"/>
      <c r="R3037" s="120"/>
      <c r="S3037" s="120"/>
      <c r="T3037" s="221"/>
      <c r="U3037" s="89"/>
      <c r="V3037" s="61"/>
      <c r="W3037" s="92" t="s">
        <v>1035</v>
      </c>
      <c r="X3037" s="93" t="s">
        <v>32</v>
      </c>
      <c r="Y3037" s="93" t="s">
        <v>66</v>
      </c>
      <c r="Z3037" s="134">
        <f>VLOOKUP(W3037,Sheet2!$B:$D,3,FALSE)</f>
        <v>150</v>
      </c>
      <c r="AA3037" s="93">
        <f>AA3036</f>
        <v>10</v>
      </c>
      <c r="AB3037" s="93">
        <f>AD3037/AC3031</f>
        <v>15.000000000000002</v>
      </c>
      <c r="AC3037" s="93">
        <f>AC3031/AA3037</f>
        <v>33.300915000000217</v>
      </c>
      <c r="AD3037" s="94">
        <f t="shared" ref="AD3037:AD3038" si="2348">AC3037*Z3037</f>
        <v>4995.1372500000325</v>
      </c>
      <c r="AE3037" s="190"/>
      <c r="AF3037" s="191"/>
      <c r="AG3037" s="191"/>
      <c r="AH3037" s="191"/>
      <c r="AI3037" s="186"/>
      <c r="AK3037" s="171"/>
    </row>
    <row r="3038" spans="1:37" s="102" customFormat="1" ht="19.899999999999999" customHeight="1" x14ac:dyDescent="0.25">
      <c r="A3038" s="45"/>
      <c r="B3038" s="59"/>
      <c r="C3038" s="137"/>
      <c r="D3038" s="59"/>
      <c r="E3038" s="116"/>
      <c r="F3038" s="120"/>
      <c r="G3038" s="120"/>
      <c r="H3038" s="120"/>
      <c r="I3038" s="60"/>
      <c r="J3038" s="116"/>
      <c r="K3038" s="213"/>
      <c r="L3038" s="120"/>
      <c r="M3038" s="120"/>
      <c r="N3038" s="167"/>
      <c r="O3038" s="120"/>
      <c r="P3038" s="120"/>
      <c r="Q3038" s="120"/>
      <c r="R3038" s="120"/>
      <c r="S3038" s="120"/>
      <c r="T3038" s="221"/>
      <c r="U3038" s="89"/>
      <c r="V3038" s="61"/>
      <c r="W3038" s="92" t="s">
        <v>1037</v>
      </c>
      <c r="X3038" s="93" t="s">
        <v>30</v>
      </c>
      <c r="Y3038" s="93" t="s">
        <v>1038</v>
      </c>
      <c r="Z3038" s="134">
        <f>VLOOKUP(W3038,Sheet2!$B:$D,3,FALSE)</f>
        <v>175</v>
      </c>
      <c r="AA3038" s="93">
        <v>300</v>
      </c>
      <c r="AB3038" s="93">
        <f>AD3038/AC3031</f>
        <v>0.58333333333333326</v>
      </c>
      <c r="AC3038" s="93">
        <f>AC3031/AA3038</f>
        <v>1.110030500000007</v>
      </c>
      <c r="AD3038" s="94">
        <f t="shared" si="2348"/>
        <v>194.25533750000122</v>
      </c>
      <c r="AE3038" s="190"/>
      <c r="AF3038" s="191"/>
      <c r="AG3038" s="191"/>
      <c r="AH3038" s="191"/>
      <c r="AI3038" s="186"/>
      <c r="AK3038" s="171"/>
    </row>
    <row r="3039" spans="1:37" s="103" customFormat="1" ht="19.899999999999999" customHeight="1" x14ac:dyDescent="0.25">
      <c r="A3039" s="51"/>
      <c r="B3039" s="52"/>
      <c r="C3039" s="165"/>
      <c r="D3039" s="52"/>
      <c r="E3039" s="115"/>
      <c r="F3039" s="58"/>
      <c r="G3039" s="58"/>
      <c r="H3039" s="58"/>
      <c r="I3039" s="55"/>
      <c r="J3039" s="113">
        <f>J3020</f>
        <v>333.00915000000214</v>
      </c>
      <c r="K3039" s="212">
        <f>K3020</f>
        <v>333.00915000000214</v>
      </c>
      <c r="L3039" s="58"/>
      <c r="M3039" s="58">
        <f>K3039-L3039</f>
        <v>333.00915000000214</v>
      </c>
      <c r="N3039" s="166"/>
      <c r="O3039" s="58"/>
      <c r="P3039" s="58"/>
      <c r="Q3039" s="58"/>
      <c r="R3039" s="58"/>
      <c r="S3039" s="58"/>
      <c r="T3039" s="220"/>
      <c r="U3039" s="88"/>
      <c r="V3039" s="56"/>
      <c r="W3039" s="57" t="s">
        <v>1040</v>
      </c>
      <c r="X3039" s="53"/>
      <c r="Y3039" s="91" t="s">
        <v>68</v>
      </c>
      <c r="Z3039" s="136">
        <f>AD3039/AC3039</f>
        <v>5</v>
      </c>
      <c r="AA3039" s="58"/>
      <c r="AB3039" s="53">
        <f>AD3039/AC3039</f>
        <v>5</v>
      </c>
      <c r="AC3039" s="53">
        <f>M3039+$AE$10</f>
        <v>333.00915000000214</v>
      </c>
      <c r="AD3039" s="54">
        <f>SUM(AD3040)</f>
        <v>1665.0457500000107</v>
      </c>
      <c r="AE3039" s="184">
        <f>SUMIFS($AD$37:$AD$12971,$V$37:$V$12971,$V3039,$X$37:$X$12971,AE$13)</f>
        <v>0</v>
      </c>
      <c r="AF3039" s="185">
        <f>SUMIFS($AD$37:$AD$12971,$V$37:$V$12971,$V3039,$X$37:$X$12971,AF$13)</f>
        <v>0</v>
      </c>
      <c r="AG3039" s="185">
        <f>SUMIFS($AD$37:$AD$12971,$V$37:$V$12971,$V3039,$X$37:$X$12971,AG$13)</f>
        <v>0</v>
      </c>
      <c r="AH3039" s="187">
        <f>SUMIFS($AD$37:$AD$12971,$V$37:$V$12971,$V3039,$X$37:$X$12971,AH$13)</f>
        <v>0</v>
      </c>
      <c r="AI3039" s="161">
        <f t="shared" ref="AI3039" si="2349">SUM(AE3039:AH3039)</f>
        <v>0</v>
      </c>
      <c r="AK3039" s="172"/>
    </row>
    <row r="3040" spans="1:37" s="102" customFormat="1" ht="19.899999999999999" customHeight="1" x14ac:dyDescent="0.25">
      <c r="A3040" s="45"/>
      <c r="B3040" s="59"/>
      <c r="C3040" s="137"/>
      <c r="D3040" s="59"/>
      <c r="E3040" s="116"/>
      <c r="F3040" s="120"/>
      <c r="G3040" s="120"/>
      <c r="H3040" s="120"/>
      <c r="I3040" s="60"/>
      <c r="J3040" s="116"/>
      <c r="K3040" s="213"/>
      <c r="L3040" s="120"/>
      <c r="M3040" s="120"/>
      <c r="N3040" s="167"/>
      <c r="O3040" s="120"/>
      <c r="P3040" s="120"/>
      <c r="Q3040" s="120"/>
      <c r="R3040" s="120"/>
      <c r="S3040" s="120"/>
      <c r="T3040" s="221"/>
      <c r="U3040" s="89"/>
      <c r="V3040" s="61"/>
      <c r="W3040" s="92" t="s">
        <v>1039</v>
      </c>
      <c r="X3040" s="93" t="s">
        <v>32</v>
      </c>
      <c r="Y3040" s="93" t="s">
        <v>68</v>
      </c>
      <c r="Z3040" s="134">
        <f>VLOOKUP(W3040,Sheet2!$B:$D,3,FALSE)</f>
        <v>5</v>
      </c>
      <c r="AA3040" s="93">
        <v>1</v>
      </c>
      <c r="AB3040" s="93">
        <f>AD3040/AC3039</f>
        <v>5</v>
      </c>
      <c r="AC3040" s="93">
        <f>AC3039/AA3040</f>
        <v>333.00915000000214</v>
      </c>
      <c r="AD3040" s="94">
        <f t="shared" ref="AD3040" si="2350">AC3040*Z3040</f>
        <v>1665.0457500000107</v>
      </c>
      <c r="AE3040" s="190"/>
      <c r="AF3040" s="191"/>
      <c r="AG3040" s="191"/>
      <c r="AH3040" s="191"/>
      <c r="AI3040" s="186"/>
      <c r="AK3040" s="171"/>
    </row>
    <row r="3041" spans="1:41" ht="20.100000000000001" customHeight="1" x14ac:dyDescent="0.25">
      <c r="A3041" s="277" t="s">
        <v>491</v>
      </c>
      <c r="B3041" s="278"/>
      <c r="C3041" s="64" t="s">
        <v>1213</v>
      </c>
      <c r="D3041" s="46" t="s">
        <v>97</v>
      </c>
      <c r="E3041" s="114">
        <v>239.39405000000124</v>
      </c>
      <c r="F3041" s="44">
        <v>432</v>
      </c>
      <c r="G3041" s="44">
        <f t="shared" si="1977"/>
        <v>103418.22960000054</v>
      </c>
      <c r="H3041" s="44">
        <f t="shared" si="1978"/>
        <v>172.61127843137254</v>
      </c>
      <c r="I3041" s="43">
        <f t="shared" si="1979"/>
        <v>41322.113019364137</v>
      </c>
      <c r="J3041" s="112">
        <f t="shared" si="1980"/>
        <v>239.39405000000124</v>
      </c>
      <c r="K3041" s="211">
        <f t="shared" si="1981"/>
        <v>239.39405000000124</v>
      </c>
      <c r="L3041" s="44"/>
      <c r="M3041" s="44">
        <f t="shared" si="1982"/>
        <v>239.39405000000124</v>
      </c>
      <c r="N3041" s="173">
        <f t="shared" si="1983"/>
        <v>1</v>
      </c>
      <c r="O3041" s="44">
        <f t="shared" si="1984"/>
        <v>432</v>
      </c>
      <c r="P3041" s="44">
        <f t="shared" si="1985"/>
        <v>103418.22960000054</v>
      </c>
      <c r="Q3041" s="44">
        <f t="shared" si="1986"/>
        <v>172.61127843137254</v>
      </c>
      <c r="R3041" s="44">
        <f t="shared" si="1987"/>
        <v>41322.113019364137</v>
      </c>
      <c r="S3041" s="123"/>
      <c r="T3041" s="219">
        <f t="shared" si="1988"/>
        <v>41322.113019364137</v>
      </c>
      <c r="U3041" s="87"/>
      <c r="V3041" s="47"/>
      <c r="W3041" s="48"/>
      <c r="X3041" s="48"/>
      <c r="Y3041" s="48"/>
      <c r="Z3041" s="135"/>
      <c r="AA3041" s="49"/>
      <c r="AB3041" s="50">
        <f t="shared" si="1989"/>
        <v>172.61127843137254</v>
      </c>
      <c r="AC3041" s="42">
        <f t="shared" si="1990"/>
        <v>239.39405000000124</v>
      </c>
      <c r="AD3041" s="90">
        <f>AD3042+AD3052+AD3060</f>
        <v>41322.113019364137</v>
      </c>
      <c r="AE3041" s="188">
        <f t="shared" ref="AE3041" si="2351">AE3042+AE3052+AE3060</f>
        <v>0</v>
      </c>
      <c r="AF3041" s="189">
        <f t="shared" ref="AF3041" si="2352">AF3042+AF3052+AF3060</f>
        <v>0</v>
      </c>
      <c r="AG3041" s="189">
        <f t="shared" ref="AG3041" si="2353">AG3042+AG3052+AG3060</f>
        <v>0</v>
      </c>
      <c r="AH3041" s="189">
        <f t="shared" ref="AH3041" si="2354">AH3042+AH3052+AH3060</f>
        <v>0</v>
      </c>
      <c r="AI3041" s="161">
        <f t="shared" ref="AI3041" si="2355">SUM(AE3041:AH3041)</f>
        <v>0</v>
      </c>
      <c r="AK3041" s="169">
        <v>5</v>
      </c>
      <c r="AO3041" s="19" t="s">
        <v>63</v>
      </c>
    </row>
    <row r="3042" spans="1:41" s="103" customFormat="1" ht="19.899999999999999" customHeight="1" x14ac:dyDescent="0.25">
      <c r="A3042" s="51"/>
      <c r="B3042" s="52"/>
      <c r="C3042" s="165"/>
      <c r="D3042" s="52"/>
      <c r="E3042" s="115"/>
      <c r="F3042" s="58"/>
      <c r="G3042" s="58"/>
      <c r="H3042" s="58"/>
      <c r="I3042" s="55"/>
      <c r="J3042" s="113">
        <f>J3041</f>
        <v>239.39405000000124</v>
      </c>
      <c r="K3042" s="212">
        <f>K3041</f>
        <v>239.39405000000124</v>
      </c>
      <c r="L3042" s="58"/>
      <c r="M3042" s="58">
        <f>K3042-L3042</f>
        <v>239.39405000000124</v>
      </c>
      <c r="N3042" s="166"/>
      <c r="O3042" s="58"/>
      <c r="P3042" s="58"/>
      <c r="Q3042" s="58"/>
      <c r="R3042" s="58"/>
      <c r="S3042" s="58"/>
      <c r="T3042" s="220"/>
      <c r="U3042" s="88"/>
      <c r="V3042" s="56"/>
      <c r="W3042" s="57" t="s">
        <v>1053</v>
      </c>
      <c r="X3042" s="53"/>
      <c r="Y3042" s="91" t="s">
        <v>68</v>
      </c>
      <c r="Z3042" s="136">
        <f>AD3042/AC3042</f>
        <v>79.277945098039211</v>
      </c>
      <c r="AA3042" s="58"/>
      <c r="AB3042" s="53">
        <f>AD3042/AC3042</f>
        <v>79.277945098039211</v>
      </c>
      <c r="AC3042" s="53">
        <f>M3042+$AE$10</f>
        <v>239.39405000000124</v>
      </c>
      <c r="AD3042" s="54">
        <f>SUM(AD3043:AD3051)</f>
        <v>18978.668352697354</v>
      </c>
      <c r="AE3042" s="184">
        <f>SUMIFS($AD$37:$AD$12971,$V$37:$V$12971,$V3042,$X$37:$X$12971,AE$13)</f>
        <v>0</v>
      </c>
      <c r="AF3042" s="185">
        <f>SUMIFS($AD$37:$AD$12971,$V$37:$V$12971,$V3042,$X$37:$X$12971,AF$13)</f>
        <v>0</v>
      </c>
      <c r="AG3042" s="185">
        <f>SUMIFS($AD$37:$AD$12971,$V$37:$V$12971,$V3042,$X$37:$X$12971,AG$13)</f>
        <v>0</v>
      </c>
      <c r="AH3042" s="187">
        <f>SUMIFS($AD$37:$AD$12971,$V$37:$V$12971,$V3042,$X$37:$X$12971,AH$13)</f>
        <v>0</v>
      </c>
      <c r="AI3042" s="161">
        <f t="shared" ref="AI3042" si="2356">SUM(AE3042:AH3042)</f>
        <v>0</v>
      </c>
      <c r="AK3042" s="172"/>
    </row>
    <row r="3043" spans="1:41" s="102" customFormat="1" ht="19.899999999999999" customHeight="1" x14ac:dyDescent="0.25">
      <c r="A3043" s="45"/>
      <c r="B3043" s="59"/>
      <c r="C3043" s="137"/>
      <c r="D3043" s="59"/>
      <c r="E3043" s="116"/>
      <c r="F3043" s="120"/>
      <c r="G3043" s="120"/>
      <c r="H3043" s="120"/>
      <c r="I3043" s="60"/>
      <c r="J3043" s="116"/>
      <c r="K3043" s="213"/>
      <c r="L3043" s="120"/>
      <c r="M3043" s="120"/>
      <c r="N3043" s="167"/>
      <c r="O3043" s="120"/>
      <c r="P3043" s="120"/>
      <c r="Q3043" s="120"/>
      <c r="R3043" s="120"/>
      <c r="S3043" s="120"/>
      <c r="T3043" s="221"/>
      <c r="U3043" s="89"/>
      <c r="V3043" s="61"/>
      <c r="W3043" s="92" t="s">
        <v>129</v>
      </c>
      <c r="X3043" s="93" t="s">
        <v>29</v>
      </c>
      <c r="Y3043" s="93" t="s">
        <v>93</v>
      </c>
      <c r="Z3043" s="134">
        <f>VLOOKUP(W3043,Sheet2!$B:$D,3,FALSE)</f>
        <v>56</v>
      </c>
      <c r="AA3043" s="93">
        <f>100/(1*4)</f>
        <v>25</v>
      </c>
      <c r="AB3043" s="93">
        <f t="shared" ref="AB3043" si="2357">AD3043/AC3042</f>
        <v>2.2399999999999998</v>
      </c>
      <c r="AC3043" s="93">
        <f>AC3042/AA3043</f>
        <v>9.575762000000049</v>
      </c>
      <c r="AD3043" s="94">
        <f t="shared" ref="AD3043:AD3044" si="2358">AC3043*Z3043</f>
        <v>536.2426720000027</v>
      </c>
      <c r="AE3043" s="190"/>
      <c r="AF3043" s="191"/>
      <c r="AG3043" s="191"/>
      <c r="AH3043" s="191"/>
      <c r="AI3043" s="186"/>
      <c r="AK3043" s="171"/>
    </row>
    <row r="3044" spans="1:41" s="102" customFormat="1" ht="19.899999999999999" customHeight="1" x14ac:dyDescent="0.25">
      <c r="A3044" s="45"/>
      <c r="B3044" s="59"/>
      <c r="C3044" s="137"/>
      <c r="D3044" s="59"/>
      <c r="E3044" s="116"/>
      <c r="F3044" s="120"/>
      <c r="G3044" s="120"/>
      <c r="H3044" s="120"/>
      <c r="I3044" s="60"/>
      <c r="J3044" s="116"/>
      <c r="K3044" s="213"/>
      <c r="L3044" s="120"/>
      <c r="M3044" s="120"/>
      <c r="N3044" s="167"/>
      <c r="O3044" s="120"/>
      <c r="P3044" s="120"/>
      <c r="Q3044" s="120"/>
      <c r="R3044" s="120"/>
      <c r="S3044" s="120"/>
      <c r="T3044" s="221"/>
      <c r="U3044" s="89"/>
      <c r="V3044" s="61"/>
      <c r="W3044" s="92" t="s">
        <v>65</v>
      </c>
      <c r="X3044" s="93" t="s">
        <v>30</v>
      </c>
      <c r="Y3044" s="93" t="s">
        <v>1011</v>
      </c>
      <c r="Z3044" s="134">
        <f>VLOOKUP(W3044,Sheet2!$B:$D,3,FALSE)</f>
        <v>1.76</v>
      </c>
      <c r="AA3044" s="93">
        <f>AA3043/14</f>
        <v>1.7857142857142858</v>
      </c>
      <c r="AB3044" s="93">
        <f>AD3044/AC3042</f>
        <v>0.98560000000000014</v>
      </c>
      <c r="AC3044" s="93">
        <f>AC3042/AA3044</f>
        <v>134.0606680000007</v>
      </c>
      <c r="AD3044" s="94">
        <f t="shared" si="2358"/>
        <v>235.94677568000125</v>
      </c>
      <c r="AE3044" s="190"/>
      <c r="AF3044" s="191"/>
      <c r="AG3044" s="191"/>
      <c r="AH3044" s="191"/>
      <c r="AI3044" s="186"/>
      <c r="AK3044" s="171"/>
    </row>
    <row r="3045" spans="1:41" s="102" customFormat="1" ht="19.899999999999999" customHeight="1" x14ac:dyDescent="0.25">
      <c r="A3045" s="45"/>
      <c r="B3045" s="59"/>
      <c r="C3045" s="137"/>
      <c r="D3045" s="59"/>
      <c r="E3045" s="116"/>
      <c r="F3045" s="120"/>
      <c r="G3045" s="120"/>
      <c r="H3045" s="120"/>
      <c r="I3045" s="60"/>
      <c r="J3045" s="116"/>
      <c r="K3045" s="213"/>
      <c r="L3045" s="120"/>
      <c r="M3045" s="120"/>
      <c r="N3045" s="167"/>
      <c r="O3045" s="120"/>
      <c r="P3045" s="120"/>
      <c r="Q3045" s="120"/>
      <c r="R3045" s="120"/>
      <c r="S3045" s="120"/>
      <c r="T3045" s="221"/>
      <c r="U3045" s="89"/>
      <c r="V3045" s="61"/>
      <c r="W3045" s="92" t="s">
        <v>161</v>
      </c>
      <c r="X3045" s="93" t="s">
        <v>29</v>
      </c>
      <c r="Y3045" s="93" t="s">
        <v>93</v>
      </c>
      <c r="Z3045" s="134">
        <f>VLOOKUP(W3045,Sheet2!$B:$D,3,FALSE)</f>
        <v>48</v>
      </c>
      <c r="AA3045" s="93">
        <f>(16*0.85*1.5)/(1*4)</f>
        <v>5.0999999999999996</v>
      </c>
      <c r="AB3045" s="93">
        <f>AD3045/AC3042</f>
        <v>9.411764705882355</v>
      </c>
      <c r="AC3045" s="93">
        <f>AC3042/AA3045</f>
        <v>46.940009803921818</v>
      </c>
      <c r="AD3045" s="94">
        <f>AC3045*Z3045</f>
        <v>2253.1204705882474</v>
      </c>
      <c r="AE3045" s="190"/>
      <c r="AF3045" s="191"/>
      <c r="AG3045" s="191"/>
      <c r="AH3045" s="191"/>
      <c r="AI3045" s="186"/>
      <c r="AK3045" s="171"/>
    </row>
    <row r="3046" spans="1:41" s="102" customFormat="1" ht="19.899999999999999" customHeight="1" x14ac:dyDescent="0.25">
      <c r="A3046" s="45"/>
      <c r="B3046" s="59"/>
      <c r="C3046" s="137"/>
      <c r="D3046" s="59"/>
      <c r="E3046" s="116"/>
      <c r="F3046" s="120"/>
      <c r="G3046" s="120"/>
      <c r="H3046" s="120"/>
      <c r="I3046" s="60"/>
      <c r="J3046" s="116"/>
      <c r="K3046" s="213"/>
      <c r="L3046" s="120"/>
      <c r="M3046" s="120"/>
      <c r="N3046" s="167"/>
      <c r="O3046" s="120"/>
      <c r="P3046" s="120"/>
      <c r="Q3046" s="120"/>
      <c r="R3046" s="120"/>
      <c r="S3046" s="120"/>
      <c r="T3046" s="221"/>
      <c r="U3046" s="89"/>
      <c r="V3046" s="61"/>
      <c r="W3046" s="92" t="s">
        <v>65</v>
      </c>
      <c r="X3046" s="93" t="s">
        <v>30</v>
      </c>
      <c r="Y3046" s="93" t="s">
        <v>1011</v>
      </c>
      <c r="Z3046" s="134">
        <f>VLOOKUP(W3046,Sheet2!$B:$D,3,FALSE)</f>
        <v>1.76</v>
      </c>
      <c r="AA3046" s="93">
        <f>AA3045/10</f>
        <v>0.51</v>
      </c>
      <c r="AB3046" s="93">
        <f>AD3046/AC3042</f>
        <v>3.4509803921568629</v>
      </c>
      <c r="AC3046" s="93">
        <f>AC3042/AA3046</f>
        <v>469.40009803921811</v>
      </c>
      <c r="AD3046" s="94">
        <f>AC3046*Z3046</f>
        <v>826.14417254902389</v>
      </c>
      <c r="AE3046" s="190"/>
      <c r="AF3046" s="191"/>
      <c r="AG3046" s="191"/>
      <c r="AH3046" s="191"/>
      <c r="AI3046" s="186"/>
      <c r="AK3046" s="171"/>
    </row>
    <row r="3047" spans="1:41" s="102" customFormat="1" ht="19.899999999999999" customHeight="1" x14ac:dyDescent="0.25">
      <c r="A3047" s="45"/>
      <c r="B3047" s="59"/>
      <c r="C3047" s="137"/>
      <c r="D3047" s="59"/>
      <c r="E3047" s="116"/>
      <c r="F3047" s="120"/>
      <c r="G3047" s="120"/>
      <c r="H3047" s="120"/>
      <c r="I3047" s="60"/>
      <c r="J3047" s="116"/>
      <c r="K3047" s="213"/>
      <c r="L3047" s="120"/>
      <c r="M3047" s="120"/>
      <c r="N3047" s="167"/>
      <c r="O3047" s="120"/>
      <c r="P3047" s="120"/>
      <c r="Q3047" s="120"/>
      <c r="R3047" s="120"/>
      <c r="S3047" s="120"/>
      <c r="T3047" s="221"/>
      <c r="U3047" s="89"/>
      <c r="V3047" s="61"/>
      <c r="W3047" s="92" t="s">
        <v>1030</v>
      </c>
      <c r="X3047" s="93" t="s">
        <v>29</v>
      </c>
      <c r="Y3047" s="93" t="s">
        <v>93</v>
      </c>
      <c r="Z3047" s="134">
        <f>VLOOKUP(W3047,Sheet2!$B:$D,3,FALSE)</f>
        <v>23</v>
      </c>
      <c r="AA3047" s="93">
        <v>50</v>
      </c>
      <c r="AB3047" s="93">
        <f>AD3047/AC3042</f>
        <v>0.45999999999999996</v>
      </c>
      <c r="AC3047" s="93">
        <f>AC3042/AA3047</f>
        <v>4.7878810000000245</v>
      </c>
      <c r="AD3047" s="94">
        <f t="shared" ref="AD3047:AD3051" si="2359">AC3047*Z3047</f>
        <v>110.12126300000057</v>
      </c>
      <c r="AE3047" s="190"/>
      <c r="AF3047" s="191"/>
      <c r="AG3047" s="191"/>
      <c r="AH3047" s="191"/>
      <c r="AI3047" s="186"/>
      <c r="AK3047" s="171"/>
    </row>
    <row r="3048" spans="1:41" s="102" customFormat="1" ht="19.899999999999999" customHeight="1" x14ac:dyDescent="0.25">
      <c r="A3048" s="45"/>
      <c r="B3048" s="59"/>
      <c r="C3048" s="137"/>
      <c r="D3048" s="59"/>
      <c r="E3048" s="116"/>
      <c r="F3048" s="120"/>
      <c r="G3048" s="120"/>
      <c r="H3048" s="120"/>
      <c r="I3048" s="60"/>
      <c r="J3048" s="116"/>
      <c r="K3048" s="213"/>
      <c r="L3048" s="120"/>
      <c r="M3048" s="120"/>
      <c r="N3048" s="167"/>
      <c r="O3048" s="120"/>
      <c r="P3048" s="120"/>
      <c r="Q3048" s="120"/>
      <c r="R3048" s="120"/>
      <c r="S3048" s="120"/>
      <c r="T3048" s="221"/>
      <c r="U3048" s="89"/>
      <c r="V3048" s="61"/>
      <c r="W3048" s="92" t="s">
        <v>65</v>
      </c>
      <c r="X3048" s="93" t="s">
        <v>30</v>
      </c>
      <c r="Y3048" s="93" t="s">
        <v>1011</v>
      </c>
      <c r="Z3048" s="134">
        <f>VLOOKUP(W3048,Sheet2!$B:$D,3,FALSE)</f>
        <v>1.76</v>
      </c>
      <c r="AA3048" s="93">
        <f>AA3047/3</f>
        <v>16.666666666666668</v>
      </c>
      <c r="AB3048" s="93">
        <f>AD3048/AC3042</f>
        <v>0.1056</v>
      </c>
      <c r="AC3048" s="93">
        <f>AC3042/AA3048</f>
        <v>14.363643000000074</v>
      </c>
      <c r="AD3048" s="94">
        <f t="shared" si="2359"/>
        <v>25.280011680000133</v>
      </c>
      <c r="AE3048" s="190"/>
      <c r="AF3048" s="191"/>
      <c r="AG3048" s="191"/>
      <c r="AH3048" s="191"/>
      <c r="AI3048" s="186"/>
      <c r="AK3048" s="171"/>
    </row>
    <row r="3049" spans="1:41" s="102" customFormat="1" ht="19.899999999999999" customHeight="1" x14ac:dyDescent="0.25">
      <c r="A3049" s="45"/>
      <c r="B3049" s="59"/>
      <c r="C3049" s="137"/>
      <c r="D3049" s="59"/>
      <c r="E3049" s="116"/>
      <c r="F3049" s="120"/>
      <c r="G3049" s="120"/>
      <c r="H3049" s="120"/>
      <c r="I3049" s="60"/>
      <c r="J3049" s="116"/>
      <c r="K3049" s="213"/>
      <c r="L3049" s="120"/>
      <c r="M3049" s="120"/>
      <c r="N3049" s="167"/>
      <c r="O3049" s="120"/>
      <c r="P3049" s="120"/>
      <c r="Q3049" s="120"/>
      <c r="R3049" s="120"/>
      <c r="S3049" s="120"/>
      <c r="T3049" s="221"/>
      <c r="U3049" s="89"/>
      <c r="V3049" s="61"/>
      <c r="W3049" s="92" t="s">
        <v>148</v>
      </c>
      <c r="X3049" s="93" t="s">
        <v>29</v>
      </c>
      <c r="Y3049" s="93" t="s">
        <v>93</v>
      </c>
      <c r="Z3049" s="134">
        <f>VLOOKUP(W3049,Sheet2!$B:$D,3,FALSE)</f>
        <v>48</v>
      </c>
      <c r="AA3049" s="93">
        <f>AA3043</f>
        <v>25</v>
      </c>
      <c r="AB3049" s="93">
        <f>AD3049/AC3042</f>
        <v>1.92</v>
      </c>
      <c r="AC3049" s="93">
        <f>AC3042/AA3049</f>
        <v>9.575762000000049</v>
      </c>
      <c r="AD3049" s="94">
        <f t="shared" si="2359"/>
        <v>459.63657600000238</v>
      </c>
      <c r="AE3049" s="190"/>
      <c r="AF3049" s="191"/>
      <c r="AG3049" s="191"/>
      <c r="AH3049" s="191"/>
      <c r="AI3049" s="186"/>
      <c r="AK3049" s="171"/>
    </row>
    <row r="3050" spans="1:41" s="102" customFormat="1" ht="19.899999999999999" customHeight="1" x14ac:dyDescent="0.25">
      <c r="A3050" s="45"/>
      <c r="B3050" s="59"/>
      <c r="C3050" s="137"/>
      <c r="D3050" s="59"/>
      <c r="E3050" s="116"/>
      <c r="F3050" s="120"/>
      <c r="G3050" s="120"/>
      <c r="H3050" s="120"/>
      <c r="I3050" s="60"/>
      <c r="J3050" s="116"/>
      <c r="K3050" s="213"/>
      <c r="L3050" s="120"/>
      <c r="M3050" s="120"/>
      <c r="N3050" s="167"/>
      <c r="O3050" s="120"/>
      <c r="P3050" s="120"/>
      <c r="Q3050" s="120"/>
      <c r="R3050" s="120"/>
      <c r="S3050" s="120"/>
      <c r="T3050" s="221"/>
      <c r="U3050" s="89"/>
      <c r="V3050" s="61"/>
      <c r="W3050" s="92" t="s">
        <v>65</v>
      </c>
      <c r="X3050" s="93" t="s">
        <v>30</v>
      </c>
      <c r="Y3050" s="93" t="s">
        <v>1011</v>
      </c>
      <c r="Z3050" s="134">
        <f>VLOOKUP(W3050,Sheet2!$B:$D,3,FALSE)</f>
        <v>1.76</v>
      </c>
      <c r="AA3050" s="93">
        <f>AA3049/10</f>
        <v>2.5</v>
      </c>
      <c r="AB3050" s="93">
        <f>AD3050/AC3042</f>
        <v>0.70399999999999996</v>
      </c>
      <c r="AC3050" s="93">
        <f>AC3042/AA3050</f>
        <v>95.7576200000005</v>
      </c>
      <c r="AD3050" s="94">
        <f t="shared" si="2359"/>
        <v>168.53341120000087</v>
      </c>
      <c r="AE3050" s="190"/>
      <c r="AF3050" s="191"/>
      <c r="AG3050" s="191"/>
      <c r="AH3050" s="191"/>
      <c r="AI3050" s="186"/>
      <c r="AK3050" s="171"/>
    </row>
    <row r="3051" spans="1:41" s="102" customFormat="1" ht="19.899999999999999" customHeight="1" x14ac:dyDescent="0.25">
      <c r="A3051" s="45"/>
      <c r="B3051" s="59"/>
      <c r="C3051" s="137"/>
      <c r="D3051" s="59"/>
      <c r="E3051" s="116"/>
      <c r="F3051" s="120"/>
      <c r="G3051" s="120"/>
      <c r="H3051" s="120"/>
      <c r="I3051" s="60"/>
      <c r="J3051" s="116"/>
      <c r="K3051" s="213"/>
      <c r="L3051" s="120"/>
      <c r="M3051" s="120"/>
      <c r="N3051" s="167"/>
      <c r="O3051" s="120"/>
      <c r="P3051" s="120"/>
      <c r="Q3051" s="120"/>
      <c r="R3051" s="120"/>
      <c r="S3051" s="120"/>
      <c r="T3051" s="221"/>
      <c r="U3051" s="89"/>
      <c r="V3051" s="61"/>
      <c r="W3051" s="92" t="s">
        <v>1049</v>
      </c>
      <c r="X3051" s="93" t="s">
        <v>30</v>
      </c>
      <c r="Y3051" s="93" t="s">
        <v>68</v>
      </c>
      <c r="Z3051" s="134">
        <f>VLOOKUP(W3051,Sheet2!$B:$D,3,FALSE)</f>
        <v>60</v>
      </c>
      <c r="AA3051" s="93">
        <v>1</v>
      </c>
      <c r="AB3051" s="93">
        <f>AD3051/AC3042</f>
        <v>60</v>
      </c>
      <c r="AC3051" s="93">
        <f>AC3042/AA3051</f>
        <v>239.39405000000124</v>
      </c>
      <c r="AD3051" s="94">
        <f t="shared" si="2359"/>
        <v>14363.643000000075</v>
      </c>
      <c r="AE3051" s="190"/>
      <c r="AF3051" s="191"/>
      <c r="AG3051" s="191"/>
      <c r="AH3051" s="191"/>
      <c r="AI3051" s="186"/>
      <c r="AK3051" s="171"/>
    </row>
    <row r="3052" spans="1:41" s="103" customFormat="1" ht="19.899999999999999" customHeight="1" x14ac:dyDescent="0.25">
      <c r="A3052" s="51"/>
      <c r="B3052" s="52"/>
      <c r="C3052" s="165"/>
      <c r="D3052" s="52"/>
      <c r="E3052" s="115"/>
      <c r="F3052" s="58"/>
      <c r="G3052" s="58"/>
      <c r="H3052" s="58"/>
      <c r="I3052" s="55"/>
      <c r="J3052" s="113">
        <f>J3041</f>
        <v>239.39405000000124</v>
      </c>
      <c r="K3052" s="212">
        <f>K3041</f>
        <v>239.39405000000124</v>
      </c>
      <c r="L3052" s="58"/>
      <c r="M3052" s="58">
        <f>K3052-L3052</f>
        <v>239.39405000000124</v>
      </c>
      <c r="N3052" s="166"/>
      <c r="O3052" s="58"/>
      <c r="P3052" s="58"/>
      <c r="Q3052" s="58"/>
      <c r="R3052" s="58"/>
      <c r="S3052" s="58"/>
      <c r="T3052" s="220"/>
      <c r="U3052" s="88"/>
      <c r="V3052" s="56"/>
      <c r="W3052" s="57" t="s">
        <v>1036</v>
      </c>
      <c r="X3052" s="53"/>
      <c r="Y3052" s="91" t="s">
        <v>68</v>
      </c>
      <c r="Z3052" s="136">
        <f>AD3052/AC3052</f>
        <v>88.333333333333329</v>
      </c>
      <c r="AA3052" s="58"/>
      <c r="AB3052" s="53">
        <f>AD3052/AC3052</f>
        <v>88.333333333333329</v>
      </c>
      <c r="AC3052" s="53">
        <f>M3052+$AE$10</f>
        <v>239.39405000000124</v>
      </c>
      <c r="AD3052" s="54">
        <f>SUM(AD3053:AD3059)</f>
        <v>21146.474416666777</v>
      </c>
      <c r="AE3052" s="184">
        <f>SUMIFS($AD$37:$AD$12971,$V$37:$V$12971,$V3052,$X$37:$X$12971,AE$13)</f>
        <v>0</v>
      </c>
      <c r="AF3052" s="185">
        <f>SUMIFS($AD$37:$AD$12971,$V$37:$V$12971,$V3052,$X$37:$X$12971,AF$13)</f>
        <v>0</v>
      </c>
      <c r="AG3052" s="185">
        <f>SUMIFS($AD$37:$AD$12971,$V$37:$V$12971,$V3052,$X$37:$X$12971,AG$13)</f>
        <v>0</v>
      </c>
      <c r="AH3052" s="187">
        <f>SUMIFS($AD$37:$AD$12971,$V$37:$V$12971,$V3052,$X$37:$X$12971,AH$13)</f>
        <v>0</v>
      </c>
      <c r="AI3052" s="161">
        <f t="shared" ref="AI3052" si="2360">SUM(AE3052:AH3052)</f>
        <v>0</v>
      </c>
      <c r="AK3052" s="172"/>
    </row>
    <row r="3053" spans="1:41" s="102" customFormat="1" ht="19.899999999999999" customHeight="1" x14ac:dyDescent="0.25">
      <c r="A3053" s="45"/>
      <c r="B3053" s="59"/>
      <c r="C3053" s="137"/>
      <c r="D3053" s="59"/>
      <c r="E3053" s="116"/>
      <c r="F3053" s="120"/>
      <c r="G3053" s="120"/>
      <c r="H3053" s="120"/>
      <c r="I3053" s="60"/>
      <c r="J3053" s="116"/>
      <c r="K3053" s="213"/>
      <c r="L3053" s="120"/>
      <c r="M3053" s="120"/>
      <c r="N3053" s="167"/>
      <c r="O3053" s="120"/>
      <c r="P3053" s="120"/>
      <c r="Q3053" s="120"/>
      <c r="R3053" s="120"/>
      <c r="S3053" s="120"/>
      <c r="T3053" s="221"/>
      <c r="U3053" s="89"/>
      <c r="V3053" s="61"/>
      <c r="W3053" s="92" t="s">
        <v>1220</v>
      </c>
      <c r="X3053" s="93" t="s">
        <v>30</v>
      </c>
      <c r="Y3053" s="93" t="s">
        <v>68</v>
      </c>
      <c r="Z3053" s="134">
        <f>VLOOKUP(W3053,Sheet2!$B:$D,3,FALSE)</f>
        <v>40</v>
      </c>
      <c r="AA3053" s="93">
        <v>1</v>
      </c>
      <c r="AB3053" s="93">
        <f>AD3053/AC3052</f>
        <v>40</v>
      </c>
      <c r="AC3053" s="93">
        <f>AC3052/AA3053</f>
        <v>239.39405000000124</v>
      </c>
      <c r="AD3053" s="94">
        <f t="shared" ref="AD3053" si="2361">AC3053*Z3053</f>
        <v>9575.7620000000497</v>
      </c>
      <c r="AE3053" s="190"/>
      <c r="AF3053" s="191"/>
      <c r="AG3053" s="191"/>
      <c r="AH3053" s="191"/>
      <c r="AI3053" s="186"/>
      <c r="AK3053" s="171"/>
    </row>
    <row r="3054" spans="1:41" s="102" customFormat="1" ht="19.899999999999999" customHeight="1" x14ac:dyDescent="0.25">
      <c r="A3054" s="45"/>
      <c r="B3054" s="59"/>
      <c r="C3054" s="137"/>
      <c r="D3054" s="59"/>
      <c r="E3054" s="116"/>
      <c r="F3054" s="120"/>
      <c r="G3054" s="120"/>
      <c r="H3054" s="120"/>
      <c r="I3054" s="60"/>
      <c r="J3054" s="116"/>
      <c r="K3054" s="213"/>
      <c r="L3054" s="120"/>
      <c r="M3054" s="120"/>
      <c r="N3054" s="167"/>
      <c r="O3054" s="120"/>
      <c r="P3054" s="120"/>
      <c r="Q3054" s="120"/>
      <c r="R3054" s="120"/>
      <c r="S3054" s="120"/>
      <c r="T3054" s="221"/>
      <c r="U3054" s="89"/>
      <c r="V3054" s="61"/>
      <c r="W3054" s="92" t="s">
        <v>1221</v>
      </c>
      <c r="X3054" s="93" t="s">
        <v>30</v>
      </c>
      <c r="Y3054" s="93" t="s">
        <v>68</v>
      </c>
      <c r="Z3054" s="134">
        <f>VLOOKUP(W3054,Sheet2!$B:$D,3,FALSE)</f>
        <v>4</v>
      </c>
      <c r="AA3054" s="93">
        <v>1</v>
      </c>
      <c r="AB3054" s="93">
        <f>AD3054/AC3052</f>
        <v>4</v>
      </c>
      <c r="AC3054" s="93">
        <f>AC3052/AA3054</f>
        <v>239.39405000000124</v>
      </c>
      <c r="AD3054" s="94">
        <f>AC3054*Z3054</f>
        <v>957.57620000000497</v>
      </c>
      <c r="AE3054" s="190"/>
      <c r="AF3054" s="191"/>
      <c r="AG3054" s="191"/>
      <c r="AH3054" s="191"/>
      <c r="AI3054" s="186"/>
      <c r="AK3054" s="171"/>
    </row>
    <row r="3055" spans="1:41" s="102" customFormat="1" ht="19.899999999999999" customHeight="1" x14ac:dyDescent="0.25">
      <c r="A3055" s="45"/>
      <c r="B3055" s="59"/>
      <c r="C3055" s="137"/>
      <c r="D3055" s="59"/>
      <c r="E3055" s="116"/>
      <c r="F3055" s="120"/>
      <c r="G3055" s="120"/>
      <c r="H3055" s="120"/>
      <c r="I3055" s="60"/>
      <c r="J3055" s="116"/>
      <c r="K3055" s="213"/>
      <c r="L3055" s="120"/>
      <c r="M3055" s="120"/>
      <c r="N3055" s="167"/>
      <c r="O3055" s="120"/>
      <c r="P3055" s="120"/>
      <c r="Q3055" s="120"/>
      <c r="R3055" s="120"/>
      <c r="S3055" s="120"/>
      <c r="T3055" s="221"/>
      <c r="U3055" s="89"/>
      <c r="V3055" s="61"/>
      <c r="W3055" s="92" t="s">
        <v>107</v>
      </c>
      <c r="X3055" s="93" t="s">
        <v>31</v>
      </c>
      <c r="Y3055" s="93" t="s">
        <v>93</v>
      </c>
      <c r="Z3055" s="134">
        <f>VLOOKUP(W3055,Sheet2!$B:$D,3,FALSE)</f>
        <v>17</v>
      </c>
      <c r="AA3055" s="93">
        <v>8</v>
      </c>
      <c r="AB3055" s="93">
        <f>AD3055/AC3052</f>
        <v>2.125</v>
      </c>
      <c r="AC3055" s="93">
        <f>AC3052/AA3055</f>
        <v>29.924256250000155</v>
      </c>
      <c r="AD3055" s="94">
        <f>AC3055*Z3055</f>
        <v>508.71235625000264</v>
      </c>
      <c r="AE3055" s="190"/>
      <c r="AF3055" s="191"/>
      <c r="AG3055" s="191"/>
      <c r="AH3055" s="191"/>
      <c r="AI3055" s="186"/>
      <c r="AK3055" s="171"/>
    </row>
    <row r="3056" spans="1:41" s="102" customFormat="1" ht="19.899999999999999" customHeight="1" x14ac:dyDescent="0.25">
      <c r="A3056" s="45"/>
      <c r="B3056" s="59"/>
      <c r="C3056" s="137"/>
      <c r="D3056" s="59"/>
      <c r="E3056" s="116"/>
      <c r="F3056" s="120"/>
      <c r="G3056" s="120"/>
      <c r="H3056" s="120"/>
      <c r="I3056" s="60"/>
      <c r="J3056" s="116"/>
      <c r="K3056" s="213"/>
      <c r="L3056" s="120"/>
      <c r="M3056" s="120"/>
      <c r="N3056" s="167"/>
      <c r="O3056" s="120"/>
      <c r="P3056" s="120"/>
      <c r="Q3056" s="120"/>
      <c r="R3056" s="120"/>
      <c r="S3056" s="120"/>
      <c r="T3056" s="221"/>
      <c r="U3056" s="89"/>
      <c r="V3056" s="61"/>
      <c r="W3056" s="92" t="s">
        <v>112</v>
      </c>
      <c r="X3056" s="93" t="s">
        <v>31</v>
      </c>
      <c r="Y3056" s="93" t="s">
        <v>93</v>
      </c>
      <c r="Z3056" s="134">
        <f>VLOOKUP(W3056,Sheet2!$B:$D,3,FALSE)</f>
        <v>13</v>
      </c>
      <c r="AA3056" s="93">
        <v>8</v>
      </c>
      <c r="AB3056" s="93">
        <f>AD3056/AC3052</f>
        <v>1.625</v>
      </c>
      <c r="AC3056" s="93">
        <f>AC3052/AA3056</f>
        <v>29.924256250000155</v>
      </c>
      <c r="AD3056" s="94">
        <f>AC3056*Z3056</f>
        <v>389.01533125000202</v>
      </c>
      <c r="AE3056" s="190"/>
      <c r="AF3056" s="191"/>
      <c r="AG3056" s="191"/>
      <c r="AH3056" s="191"/>
      <c r="AI3056" s="186"/>
      <c r="AK3056" s="171"/>
    </row>
    <row r="3057" spans="1:41" s="102" customFormat="1" ht="19.899999999999999" customHeight="1" x14ac:dyDescent="0.25">
      <c r="A3057" s="45"/>
      <c r="B3057" s="59"/>
      <c r="C3057" s="137"/>
      <c r="D3057" s="59"/>
      <c r="E3057" s="116"/>
      <c r="F3057" s="120"/>
      <c r="G3057" s="120"/>
      <c r="H3057" s="120"/>
      <c r="I3057" s="60"/>
      <c r="J3057" s="116"/>
      <c r="K3057" s="213"/>
      <c r="L3057" s="120"/>
      <c r="M3057" s="120"/>
      <c r="N3057" s="167"/>
      <c r="O3057" s="120"/>
      <c r="P3057" s="120"/>
      <c r="Q3057" s="120"/>
      <c r="R3057" s="120"/>
      <c r="S3057" s="120"/>
      <c r="T3057" s="221"/>
      <c r="U3057" s="89"/>
      <c r="V3057" s="61"/>
      <c r="W3057" s="92" t="s">
        <v>1032</v>
      </c>
      <c r="X3057" s="93" t="s">
        <v>30</v>
      </c>
      <c r="Y3057" s="93" t="s">
        <v>66</v>
      </c>
      <c r="Z3057" s="134">
        <f>VLOOKUP(W3057,Sheet2!$B:$D,3,FALSE)</f>
        <v>250</v>
      </c>
      <c r="AA3057" s="93">
        <f>1/(1*1*0.1)</f>
        <v>10</v>
      </c>
      <c r="AB3057" s="93">
        <f>AD3057/AC3052</f>
        <v>25.000000000000004</v>
      </c>
      <c r="AC3057" s="93">
        <f>AC3052/AA3057</f>
        <v>23.939405000000125</v>
      </c>
      <c r="AD3057" s="94">
        <f>AC3057*Z3057</f>
        <v>5984.8512500000315</v>
      </c>
      <c r="AE3057" s="190"/>
      <c r="AF3057" s="191"/>
      <c r="AG3057" s="191"/>
      <c r="AH3057" s="191"/>
      <c r="AI3057" s="186"/>
      <c r="AK3057" s="171"/>
    </row>
    <row r="3058" spans="1:41" s="102" customFormat="1" ht="19.899999999999999" customHeight="1" x14ac:dyDescent="0.25">
      <c r="A3058" s="45"/>
      <c r="B3058" s="59"/>
      <c r="C3058" s="137"/>
      <c r="D3058" s="59"/>
      <c r="E3058" s="116"/>
      <c r="F3058" s="120"/>
      <c r="G3058" s="120"/>
      <c r="H3058" s="120"/>
      <c r="I3058" s="60"/>
      <c r="J3058" s="116"/>
      <c r="K3058" s="213"/>
      <c r="L3058" s="120"/>
      <c r="M3058" s="120"/>
      <c r="N3058" s="167"/>
      <c r="O3058" s="120"/>
      <c r="P3058" s="120"/>
      <c r="Q3058" s="120"/>
      <c r="R3058" s="120"/>
      <c r="S3058" s="120"/>
      <c r="T3058" s="221"/>
      <c r="U3058" s="89"/>
      <c r="V3058" s="61"/>
      <c r="W3058" s="92" t="s">
        <v>1035</v>
      </c>
      <c r="X3058" s="93" t="s">
        <v>32</v>
      </c>
      <c r="Y3058" s="93" t="s">
        <v>66</v>
      </c>
      <c r="Z3058" s="134">
        <f>VLOOKUP(W3058,Sheet2!$B:$D,3,FALSE)</f>
        <v>150</v>
      </c>
      <c r="AA3058" s="93">
        <f>AA3057</f>
        <v>10</v>
      </c>
      <c r="AB3058" s="93">
        <f>AD3058/AC3052</f>
        <v>15</v>
      </c>
      <c r="AC3058" s="93">
        <f>AC3052/AA3058</f>
        <v>23.939405000000125</v>
      </c>
      <c r="AD3058" s="94">
        <f t="shared" ref="AD3058:AD3059" si="2362">AC3058*Z3058</f>
        <v>3590.9107500000187</v>
      </c>
      <c r="AE3058" s="190"/>
      <c r="AF3058" s="191"/>
      <c r="AG3058" s="191"/>
      <c r="AH3058" s="191"/>
      <c r="AI3058" s="186"/>
      <c r="AK3058" s="171"/>
    </row>
    <row r="3059" spans="1:41" s="102" customFormat="1" ht="19.899999999999999" customHeight="1" x14ac:dyDescent="0.25">
      <c r="A3059" s="45"/>
      <c r="B3059" s="59"/>
      <c r="C3059" s="137"/>
      <c r="D3059" s="59"/>
      <c r="E3059" s="116"/>
      <c r="F3059" s="120"/>
      <c r="G3059" s="120"/>
      <c r="H3059" s="120"/>
      <c r="I3059" s="60"/>
      <c r="J3059" s="116"/>
      <c r="K3059" s="213"/>
      <c r="L3059" s="120"/>
      <c r="M3059" s="120"/>
      <c r="N3059" s="167"/>
      <c r="O3059" s="120"/>
      <c r="P3059" s="120"/>
      <c r="Q3059" s="120"/>
      <c r="R3059" s="120"/>
      <c r="S3059" s="120"/>
      <c r="T3059" s="221"/>
      <c r="U3059" s="89"/>
      <c r="V3059" s="61"/>
      <c r="W3059" s="92" t="s">
        <v>1037</v>
      </c>
      <c r="X3059" s="93" t="s">
        <v>30</v>
      </c>
      <c r="Y3059" s="93" t="s">
        <v>1038</v>
      </c>
      <c r="Z3059" s="134">
        <f>VLOOKUP(W3059,Sheet2!$B:$D,3,FALSE)</f>
        <v>175</v>
      </c>
      <c r="AA3059" s="93">
        <v>300</v>
      </c>
      <c r="AB3059" s="93">
        <f>AD3059/AC3052</f>
        <v>0.58333333333333337</v>
      </c>
      <c r="AC3059" s="93">
        <f>AC3052/AA3059</f>
        <v>0.79798016666667082</v>
      </c>
      <c r="AD3059" s="94">
        <f t="shared" si="2362"/>
        <v>139.64652916666739</v>
      </c>
      <c r="AE3059" s="190"/>
      <c r="AF3059" s="191"/>
      <c r="AG3059" s="191"/>
      <c r="AH3059" s="191"/>
      <c r="AI3059" s="186"/>
      <c r="AK3059" s="171"/>
    </row>
    <row r="3060" spans="1:41" s="103" customFormat="1" ht="19.899999999999999" customHeight="1" x14ac:dyDescent="0.25">
      <c r="A3060" s="51"/>
      <c r="B3060" s="52"/>
      <c r="C3060" s="165"/>
      <c r="D3060" s="52"/>
      <c r="E3060" s="115"/>
      <c r="F3060" s="58"/>
      <c r="G3060" s="58"/>
      <c r="H3060" s="58"/>
      <c r="I3060" s="55"/>
      <c r="J3060" s="113">
        <f>J3041</f>
        <v>239.39405000000124</v>
      </c>
      <c r="K3060" s="212">
        <f>K3041</f>
        <v>239.39405000000124</v>
      </c>
      <c r="L3060" s="58"/>
      <c r="M3060" s="58">
        <f>K3060-L3060</f>
        <v>239.39405000000124</v>
      </c>
      <c r="N3060" s="166"/>
      <c r="O3060" s="58"/>
      <c r="P3060" s="58"/>
      <c r="Q3060" s="58"/>
      <c r="R3060" s="58"/>
      <c r="S3060" s="58"/>
      <c r="T3060" s="220"/>
      <c r="U3060" s="88"/>
      <c r="V3060" s="56"/>
      <c r="W3060" s="57" t="s">
        <v>1040</v>
      </c>
      <c r="X3060" s="53"/>
      <c r="Y3060" s="91" t="s">
        <v>68</v>
      </c>
      <c r="Z3060" s="136">
        <f>AD3060/AC3060</f>
        <v>5</v>
      </c>
      <c r="AA3060" s="58"/>
      <c r="AB3060" s="53">
        <f>AD3060/AC3060</f>
        <v>5</v>
      </c>
      <c r="AC3060" s="53">
        <f>M3060+$AE$10</f>
        <v>239.39405000000124</v>
      </c>
      <c r="AD3060" s="54">
        <f>SUM(AD3061)</f>
        <v>1196.9702500000062</v>
      </c>
      <c r="AE3060" s="184">
        <f>SUMIFS($AD$37:$AD$12971,$V$37:$V$12971,$V3060,$X$37:$X$12971,AE$13)</f>
        <v>0</v>
      </c>
      <c r="AF3060" s="185">
        <f>SUMIFS($AD$37:$AD$12971,$V$37:$V$12971,$V3060,$X$37:$X$12971,AF$13)</f>
        <v>0</v>
      </c>
      <c r="AG3060" s="185">
        <f>SUMIFS($AD$37:$AD$12971,$V$37:$V$12971,$V3060,$X$37:$X$12971,AG$13)</f>
        <v>0</v>
      </c>
      <c r="AH3060" s="187">
        <f>SUMIFS($AD$37:$AD$12971,$V$37:$V$12971,$V3060,$X$37:$X$12971,AH$13)</f>
        <v>0</v>
      </c>
      <c r="AI3060" s="161">
        <f t="shared" ref="AI3060" si="2363">SUM(AE3060:AH3060)</f>
        <v>0</v>
      </c>
      <c r="AK3060" s="172"/>
    </row>
    <row r="3061" spans="1:41" s="102" customFormat="1" ht="19.899999999999999" customHeight="1" x14ac:dyDescent="0.25">
      <c r="A3061" s="45"/>
      <c r="B3061" s="59"/>
      <c r="C3061" s="137"/>
      <c r="D3061" s="59"/>
      <c r="E3061" s="116"/>
      <c r="F3061" s="120"/>
      <c r="G3061" s="120"/>
      <c r="H3061" s="120"/>
      <c r="I3061" s="60"/>
      <c r="J3061" s="116"/>
      <c r="K3061" s="213"/>
      <c r="L3061" s="120"/>
      <c r="M3061" s="120"/>
      <c r="N3061" s="167"/>
      <c r="O3061" s="120"/>
      <c r="P3061" s="120"/>
      <c r="Q3061" s="120"/>
      <c r="R3061" s="120"/>
      <c r="S3061" s="120"/>
      <c r="T3061" s="221"/>
      <c r="U3061" s="89"/>
      <c r="V3061" s="61"/>
      <c r="W3061" s="92" t="s">
        <v>1039</v>
      </c>
      <c r="X3061" s="93" t="s">
        <v>32</v>
      </c>
      <c r="Y3061" s="93" t="s">
        <v>68</v>
      </c>
      <c r="Z3061" s="134">
        <f>VLOOKUP(W3061,Sheet2!$B:$D,3,FALSE)</f>
        <v>5</v>
      </c>
      <c r="AA3061" s="93">
        <v>1</v>
      </c>
      <c r="AB3061" s="93">
        <f>AD3061/AC3060</f>
        <v>5</v>
      </c>
      <c r="AC3061" s="93">
        <f>AC3060/AA3061</f>
        <v>239.39405000000124</v>
      </c>
      <c r="AD3061" s="94">
        <f t="shared" ref="AD3061" si="2364">AC3061*Z3061</f>
        <v>1196.9702500000062</v>
      </c>
      <c r="AE3061" s="190"/>
      <c r="AF3061" s="191"/>
      <c r="AG3061" s="191"/>
      <c r="AH3061" s="191"/>
      <c r="AI3061" s="186"/>
      <c r="AK3061" s="171"/>
    </row>
    <row r="3062" spans="1:41" ht="20.100000000000001" customHeight="1" x14ac:dyDescent="0.25">
      <c r="A3062" s="277" t="s">
        <v>491</v>
      </c>
      <c r="B3062" s="278"/>
      <c r="C3062" s="64" t="s">
        <v>1214</v>
      </c>
      <c r="D3062" s="46" t="s">
        <v>97</v>
      </c>
      <c r="E3062" s="114">
        <v>327.94319999999925</v>
      </c>
      <c r="F3062" s="44">
        <v>518</v>
      </c>
      <c r="G3062" s="44">
        <f t="shared" si="1977"/>
        <v>169874.57759999961</v>
      </c>
      <c r="H3062" s="44">
        <f t="shared" si="1978"/>
        <v>174.95032156862746</v>
      </c>
      <c r="I3062" s="43">
        <f t="shared" si="1979"/>
        <v>57373.768296244576</v>
      </c>
      <c r="J3062" s="112">
        <f t="shared" si="1980"/>
        <v>327.94319999999925</v>
      </c>
      <c r="K3062" s="211">
        <f t="shared" si="1981"/>
        <v>327.94319999999925</v>
      </c>
      <c r="L3062" s="44"/>
      <c r="M3062" s="44">
        <f t="shared" si="1982"/>
        <v>327.94319999999925</v>
      </c>
      <c r="N3062" s="173">
        <f t="shared" si="1983"/>
        <v>1</v>
      </c>
      <c r="O3062" s="44">
        <f t="shared" si="1984"/>
        <v>518</v>
      </c>
      <c r="P3062" s="44">
        <f t="shared" si="1985"/>
        <v>169874.57759999961</v>
      </c>
      <c r="Q3062" s="44">
        <f t="shared" si="1986"/>
        <v>174.95032156862746</v>
      </c>
      <c r="R3062" s="44">
        <f t="shared" si="1987"/>
        <v>57373.768296244576</v>
      </c>
      <c r="S3062" s="123"/>
      <c r="T3062" s="219">
        <f t="shared" si="1988"/>
        <v>57373.768296244576</v>
      </c>
      <c r="U3062" s="87"/>
      <c r="V3062" s="47"/>
      <c r="W3062" s="48"/>
      <c r="X3062" s="48"/>
      <c r="Y3062" s="48"/>
      <c r="Z3062" s="135"/>
      <c r="AA3062" s="49"/>
      <c r="AB3062" s="50">
        <f t="shared" si="1989"/>
        <v>174.95032156862746</v>
      </c>
      <c r="AC3062" s="42">
        <f t="shared" si="1990"/>
        <v>327.94319999999925</v>
      </c>
      <c r="AD3062" s="90">
        <f>AD3063+AD3073+AD3081</f>
        <v>57373.768296244576</v>
      </c>
      <c r="AE3062" s="188">
        <f t="shared" ref="AE3062" si="2365">AE3063+AE3073+AE3081</f>
        <v>0</v>
      </c>
      <c r="AF3062" s="189">
        <f t="shared" ref="AF3062" si="2366">AF3063+AF3073+AF3081</f>
        <v>0</v>
      </c>
      <c r="AG3062" s="189">
        <f t="shared" ref="AG3062" si="2367">AG3063+AG3073+AG3081</f>
        <v>0</v>
      </c>
      <c r="AH3062" s="189">
        <f t="shared" ref="AH3062" si="2368">AH3063+AH3073+AH3081</f>
        <v>0</v>
      </c>
      <c r="AI3062" s="161">
        <f t="shared" ref="AI3062" si="2369">SUM(AE3062:AH3062)</f>
        <v>0</v>
      </c>
      <c r="AK3062" s="169">
        <v>5</v>
      </c>
      <c r="AO3062" s="19" t="s">
        <v>63</v>
      </c>
    </row>
    <row r="3063" spans="1:41" s="103" customFormat="1" ht="19.899999999999999" customHeight="1" x14ac:dyDescent="0.25">
      <c r="A3063" s="51"/>
      <c r="B3063" s="52"/>
      <c r="C3063" s="165"/>
      <c r="D3063" s="52"/>
      <c r="E3063" s="115"/>
      <c r="F3063" s="58"/>
      <c r="G3063" s="58"/>
      <c r="H3063" s="58"/>
      <c r="I3063" s="55"/>
      <c r="J3063" s="113">
        <f>J3062</f>
        <v>327.94319999999925</v>
      </c>
      <c r="K3063" s="212">
        <f>K3062</f>
        <v>327.94319999999925</v>
      </c>
      <c r="L3063" s="58"/>
      <c r="M3063" s="58">
        <f>K3063-L3063</f>
        <v>327.94319999999925</v>
      </c>
      <c r="N3063" s="166"/>
      <c r="O3063" s="58"/>
      <c r="P3063" s="58"/>
      <c r="Q3063" s="58"/>
      <c r="R3063" s="58"/>
      <c r="S3063" s="58"/>
      <c r="T3063" s="220"/>
      <c r="U3063" s="88"/>
      <c r="V3063" s="56"/>
      <c r="W3063" s="57" t="s">
        <v>1222</v>
      </c>
      <c r="X3063" s="53"/>
      <c r="Y3063" s="91" t="s">
        <v>68</v>
      </c>
      <c r="Z3063" s="136">
        <f>AD3063/AC3063</f>
        <v>81.616988235294116</v>
      </c>
      <c r="AA3063" s="58"/>
      <c r="AB3063" s="53">
        <f>AD3063/AC3063</f>
        <v>81.616988235294116</v>
      </c>
      <c r="AC3063" s="53">
        <f>M3063+$AE$10</f>
        <v>327.94319999999925</v>
      </c>
      <c r="AD3063" s="54">
        <f>SUM(AD3064:AD3072)</f>
        <v>26765.736296244642</v>
      </c>
      <c r="AE3063" s="184">
        <f>SUMIFS($AD$37:$AD$12971,$V$37:$V$12971,$V3063,$X$37:$X$12971,AE$13)</f>
        <v>0</v>
      </c>
      <c r="AF3063" s="185">
        <f>SUMIFS($AD$37:$AD$12971,$V$37:$V$12971,$V3063,$X$37:$X$12971,AF$13)</f>
        <v>0</v>
      </c>
      <c r="AG3063" s="185">
        <f>SUMIFS($AD$37:$AD$12971,$V$37:$V$12971,$V3063,$X$37:$X$12971,AG$13)</f>
        <v>0</v>
      </c>
      <c r="AH3063" s="187">
        <f>SUMIFS($AD$37:$AD$12971,$V$37:$V$12971,$V3063,$X$37:$X$12971,AH$13)</f>
        <v>0</v>
      </c>
      <c r="AI3063" s="161">
        <f t="shared" ref="AI3063" si="2370">SUM(AE3063:AH3063)</f>
        <v>0</v>
      </c>
      <c r="AK3063" s="172"/>
    </row>
    <row r="3064" spans="1:41" s="102" customFormat="1" ht="19.899999999999999" customHeight="1" x14ac:dyDescent="0.25">
      <c r="A3064" s="45"/>
      <c r="B3064" s="59"/>
      <c r="C3064" s="137"/>
      <c r="D3064" s="59"/>
      <c r="E3064" s="116"/>
      <c r="F3064" s="120"/>
      <c r="G3064" s="120"/>
      <c r="H3064" s="120"/>
      <c r="I3064" s="60"/>
      <c r="J3064" s="116"/>
      <c r="K3064" s="213"/>
      <c r="L3064" s="120"/>
      <c r="M3064" s="120"/>
      <c r="N3064" s="167"/>
      <c r="O3064" s="120"/>
      <c r="P3064" s="120"/>
      <c r="Q3064" s="120"/>
      <c r="R3064" s="120"/>
      <c r="S3064" s="120"/>
      <c r="T3064" s="221"/>
      <c r="U3064" s="89"/>
      <c r="V3064" s="61"/>
      <c r="W3064" s="92" t="s">
        <v>129</v>
      </c>
      <c r="X3064" s="93" t="s">
        <v>29</v>
      </c>
      <c r="Y3064" s="93" t="s">
        <v>93</v>
      </c>
      <c r="Z3064" s="134">
        <f>VLOOKUP(W3064,Sheet2!$B:$D,3,FALSE)</f>
        <v>56</v>
      </c>
      <c r="AA3064" s="93">
        <f>100/(1*4.5)</f>
        <v>22.222222222222221</v>
      </c>
      <c r="AB3064" s="93">
        <f t="shared" ref="AB3064" si="2371">AD3064/AC3063</f>
        <v>2.5200000000000005</v>
      </c>
      <c r="AC3064" s="93">
        <f>AC3063/AA3064</f>
        <v>14.757443999999968</v>
      </c>
      <c r="AD3064" s="94">
        <f t="shared" ref="AD3064:AD3065" si="2372">AC3064*Z3064</f>
        <v>826.41686399999821</v>
      </c>
      <c r="AE3064" s="190"/>
      <c r="AF3064" s="191"/>
      <c r="AG3064" s="191"/>
      <c r="AH3064" s="191"/>
      <c r="AI3064" s="186"/>
      <c r="AK3064" s="171"/>
    </row>
    <row r="3065" spans="1:41" s="102" customFormat="1" ht="19.899999999999999" customHeight="1" x14ac:dyDescent="0.25">
      <c r="A3065" s="45"/>
      <c r="B3065" s="59"/>
      <c r="C3065" s="137"/>
      <c r="D3065" s="59"/>
      <c r="E3065" s="116"/>
      <c r="F3065" s="120"/>
      <c r="G3065" s="120"/>
      <c r="H3065" s="120"/>
      <c r="I3065" s="60"/>
      <c r="J3065" s="116"/>
      <c r="K3065" s="213"/>
      <c r="L3065" s="120"/>
      <c r="M3065" s="120"/>
      <c r="N3065" s="167"/>
      <c r="O3065" s="120"/>
      <c r="P3065" s="120"/>
      <c r="Q3065" s="120"/>
      <c r="R3065" s="120"/>
      <c r="S3065" s="120"/>
      <c r="T3065" s="221"/>
      <c r="U3065" s="89"/>
      <c r="V3065" s="61"/>
      <c r="W3065" s="92" t="s">
        <v>65</v>
      </c>
      <c r="X3065" s="93" t="s">
        <v>30</v>
      </c>
      <c r="Y3065" s="93" t="s">
        <v>1011</v>
      </c>
      <c r="Z3065" s="134">
        <f>VLOOKUP(W3065,Sheet2!$B:$D,3,FALSE)</f>
        <v>1.76</v>
      </c>
      <c r="AA3065" s="93">
        <f>AA3064/14</f>
        <v>1.5873015873015872</v>
      </c>
      <c r="AB3065" s="93">
        <f>AD3065/AC3063</f>
        <v>1.1088000000000002</v>
      </c>
      <c r="AC3065" s="93">
        <f>AC3063/AA3065</f>
        <v>206.60421599999955</v>
      </c>
      <c r="AD3065" s="94">
        <f t="shared" si="2372"/>
        <v>363.62342015999923</v>
      </c>
      <c r="AE3065" s="190"/>
      <c r="AF3065" s="191"/>
      <c r="AG3065" s="191"/>
      <c r="AH3065" s="191"/>
      <c r="AI3065" s="186"/>
      <c r="AK3065" s="171"/>
    </row>
    <row r="3066" spans="1:41" s="102" customFormat="1" ht="19.899999999999999" customHeight="1" x14ac:dyDescent="0.25">
      <c r="A3066" s="45"/>
      <c r="B3066" s="59"/>
      <c r="C3066" s="137"/>
      <c r="D3066" s="59"/>
      <c r="E3066" s="116"/>
      <c r="F3066" s="120"/>
      <c r="G3066" s="120"/>
      <c r="H3066" s="120"/>
      <c r="I3066" s="60"/>
      <c r="J3066" s="116"/>
      <c r="K3066" s="213"/>
      <c r="L3066" s="120"/>
      <c r="M3066" s="120"/>
      <c r="N3066" s="167"/>
      <c r="O3066" s="120"/>
      <c r="P3066" s="120"/>
      <c r="Q3066" s="120"/>
      <c r="R3066" s="120"/>
      <c r="S3066" s="120"/>
      <c r="T3066" s="221"/>
      <c r="U3066" s="89"/>
      <c r="V3066" s="61"/>
      <c r="W3066" s="92" t="s">
        <v>161</v>
      </c>
      <c r="X3066" s="93" t="s">
        <v>29</v>
      </c>
      <c r="Y3066" s="93" t="s">
        <v>93</v>
      </c>
      <c r="Z3066" s="134">
        <f>VLOOKUP(W3066,Sheet2!$B:$D,3,FALSE)</f>
        <v>48</v>
      </c>
      <c r="AA3066" s="93">
        <f>(16*0.85*1.5)/(1*4.5)</f>
        <v>4.5333333333333332</v>
      </c>
      <c r="AB3066" s="93">
        <f>AD3066/AC3063</f>
        <v>10.588235294117647</v>
      </c>
      <c r="AC3066" s="93">
        <f>AC3063/AA3066</f>
        <v>72.340411764705721</v>
      </c>
      <c r="AD3066" s="94">
        <f>AC3066*Z3066</f>
        <v>3472.3397647058746</v>
      </c>
      <c r="AE3066" s="190"/>
      <c r="AF3066" s="191"/>
      <c r="AG3066" s="191"/>
      <c r="AH3066" s="191"/>
      <c r="AI3066" s="186"/>
      <c r="AK3066" s="171"/>
    </row>
    <row r="3067" spans="1:41" s="102" customFormat="1" ht="19.899999999999999" customHeight="1" x14ac:dyDescent="0.25">
      <c r="A3067" s="45"/>
      <c r="B3067" s="59"/>
      <c r="C3067" s="137"/>
      <c r="D3067" s="59"/>
      <c r="E3067" s="116"/>
      <c r="F3067" s="120"/>
      <c r="G3067" s="120"/>
      <c r="H3067" s="120"/>
      <c r="I3067" s="60"/>
      <c r="J3067" s="116"/>
      <c r="K3067" s="213"/>
      <c r="L3067" s="120"/>
      <c r="M3067" s="120"/>
      <c r="N3067" s="167"/>
      <c r="O3067" s="120"/>
      <c r="P3067" s="120"/>
      <c r="Q3067" s="120"/>
      <c r="R3067" s="120"/>
      <c r="S3067" s="120"/>
      <c r="T3067" s="221"/>
      <c r="U3067" s="89"/>
      <c r="V3067" s="61"/>
      <c r="W3067" s="92" t="s">
        <v>65</v>
      </c>
      <c r="X3067" s="93" t="s">
        <v>30</v>
      </c>
      <c r="Y3067" s="93" t="s">
        <v>1011</v>
      </c>
      <c r="Z3067" s="134">
        <f>VLOOKUP(W3067,Sheet2!$B:$D,3,FALSE)</f>
        <v>1.76</v>
      </c>
      <c r="AA3067" s="93">
        <f>AA3066/10</f>
        <v>0.45333333333333331</v>
      </c>
      <c r="AB3067" s="93">
        <f>AD3067/AC3063</f>
        <v>3.8823529411764706</v>
      </c>
      <c r="AC3067" s="93">
        <f>AC3063/AA3067</f>
        <v>723.40411764705721</v>
      </c>
      <c r="AD3067" s="94">
        <f>AC3067*Z3067</f>
        <v>1273.1912470588206</v>
      </c>
      <c r="AE3067" s="190"/>
      <c r="AF3067" s="191"/>
      <c r="AG3067" s="191"/>
      <c r="AH3067" s="191"/>
      <c r="AI3067" s="186"/>
      <c r="AK3067" s="171"/>
    </row>
    <row r="3068" spans="1:41" s="102" customFormat="1" ht="19.899999999999999" customHeight="1" x14ac:dyDescent="0.25">
      <c r="A3068" s="45"/>
      <c r="B3068" s="59"/>
      <c r="C3068" s="137"/>
      <c r="D3068" s="59"/>
      <c r="E3068" s="116"/>
      <c r="F3068" s="120"/>
      <c r="G3068" s="120"/>
      <c r="H3068" s="120"/>
      <c r="I3068" s="60"/>
      <c r="J3068" s="116"/>
      <c r="K3068" s="213"/>
      <c r="L3068" s="120"/>
      <c r="M3068" s="120"/>
      <c r="N3068" s="167"/>
      <c r="O3068" s="120"/>
      <c r="P3068" s="120"/>
      <c r="Q3068" s="120"/>
      <c r="R3068" s="120"/>
      <c r="S3068" s="120"/>
      <c r="T3068" s="221"/>
      <c r="U3068" s="89"/>
      <c r="V3068" s="61"/>
      <c r="W3068" s="92" t="s">
        <v>1030</v>
      </c>
      <c r="X3068" s="93" t="s">
        <v>29</v>
      </c>
      <c r="Y3068" s="93" t="s">
        <v>93</v>
      </c>
      <c r="Z3068" s="134">
        <f>VLOOKUP(W3068,Sheet2!$B:$D,3,FALSE)</f>
        <v>23</v>
      </c>
      <c r="AA3068" s="93">
        <v>50</v>
      </c>
      <c r="AB3068" s="93">
        <f>AD3068/AC3063</f>
        <v>0.46</v>
      </c>
      <c r="AC3068" s="93">
        <f>AC3063/AA3068</f>
        <v>6.5588639999999847</v>
      </c>
      <c r="AD3068" s="94">
        <f t="shared" ref="AD3068:AD3072" si="2373">AC3068*Z3068</f>
        <v>150.85387199999965</v>
      </c>
      <c r="AE3068" s="190"/>
      <c r="AF3068" s="191"/>
      <c r="AG3068" s="191"/>
      <c r="AH3068" s="191"/>
      <c r="AI3068" s="186"/>
      <c r="AK3068" s="171"/>
    </row>
    <row r="3069" spans="1:41" s="102" customFormat="1" ht="19.899999999999999" customHeight="1" x14ac:dyDescent="0.25">
      <c r="A3069" s="45"/>
      <c r="B3069" s="59"/>
      <c r="C3069" s="137"/>
      <c r="D3069" s="59"/>
      <c r="E3069" s="116"/>
      <c r="F3069" s="120"/>
      <c r="G3069" s="120"/>
      <c r="H3069" s="120"/>
      <c r="I3069" s="60"/>
      <c r="J3069" s="116"/>
      <c r="K3069" s="213"/>
      <c r="L3069" s="120"/>
      <c r="M3069" s="120"/>
      <c r="N3069" s="167"/>
      <c r="O3069" s="120"/>
      <c r="P3069" s="120"/>
      <c r="Q3069" s="120"/>
      <c r="R3069" s="120"/>
      <c r="S3069" s="120"/>
      <c r="T3069" s="221"/>
      <c r="U3069" s="89"/>
      <c r="V3069" s="61"/>
      <c r="W3069" s="92" t="s">
        <v>65</v>
      </c>
      <c r="X3069" s="93" t="s">
        <v>30</v>
      </c>
      <c r="Y3069" s="93" t="s">
        <v>1011</v>
      </c>
      <c r="Z3069" s="134">
        <f>VLOOKUP(W3069,Sheet2!$B:$D,3,FALSE)</f>
        <v>1.76</v>
      </c>
      <c r="AA3069" s="93">
        <f>AA3068/3</f>
        <v>16.666666666666668</v>
      </c>
      <c r="AB3069" s="93">
        <f>AD3069/AC3063</f>
        <v>0.10559999999999999</v>
      </c>
      <c r="AC3069" s="93">
        <f>AC3063/AA3069</f>
        <v>19.676591999999953</v>
      </c>
      <c r="AD3069" s="94">
        <f t="shared" si="2373"/>
        <v>34.630801919999918</v>
      </c>
      <c r="AE3069" s="190"/>
      <c r="AF3069" s="191"/>
      <c r="AG3069" s="191"/>
      <c r="AH3069" s="191"/>
      <c r="AI3069" s="186"/>
      <c r="AK3069" s="171"/>
    </row>
    <row r="3070" spans="1:41" s="102" customFormat="1" ht="19.899999999999999" customHeight="1" x14ac:dyDescent="0.25">
      <c r="A3070" s="45"/>
      <c r="B3070" s="59"/>
      <c r="C3070" s="137"/>
      <c r="D3070" s="59"/>
      <c r="E3070" s="116"/>
      <c r="F3070" s="120"/>
      <c r="G3070" s="120"/>
      <c r="H3070" s="120"/>
      <c r="I3070" s="60"/>
      <c r="J3070" s="116"/>
      <c r="K3070" s="213"/>
      <c r="L3070" s="120"/>
      <c r="M3070" s="120"/>
      <c r="N3070" s="167"/>
      <c r="O3070" s="120"/>
      <c r="P3070" s="120"/>
      <c r="Q3070" s="120"/>
      <c r="R3070" s="120"/>
      <c r="S3070" s="120"/>
      <c r="T3070" s="221"/>
      <c r="U3070" s="89"/>
      <c r="V3070" s="61"/>
      <c r="W3070" s="92" t="s">
        <v>148</v>
      </c>
      <c r="X3070" s="93" t="s">
        <v>29</v>
      </c>
      <c r="Y3070" s="93" t="s">
        <v>93</v>
      </c>
      <c r="Z3070" s="134">
        <f>VLOOKUP(W3070,Sheet2!$B:$D,3,FALSE)</f>
        <v>48</v>
      </c>
      <c r="AA3070" s="93">
        <f>AA3064</f>
        <v>22.222222222222221</v>
      </c>
      <c r="AB3070" s="93">
        <f>AD3070/AC3063</f>
        <v>2.16</v>
      </c>
      <c r="AC3070" s="93">
        <f>AC3063/AA3070</f>
        <v>14.757443999999968</v>
      </c>
      <c r="AD3070" s="94">
        <f t="shared" si="2373"/>
        <v>708.3573119999985</v>
      </c>
      <c r="AE3070" s="190"/>
      <c r="AF3070" s="191"/>
      <c r="AG3070" s="191"/>
      <c r="AH3070" s="191"/>
      <c r="AI3070" s="186"/>
      <c r="AK3070" s="171"/>
    </row>
    <row r="3071" spans="1:41" s="102" customFormat="1" ht="19.899999999999999" customHeight="1" x14ac:dyDescent="0.25">
      <c r="A3071" s="45"/>
      <c r="B3071" s="59"/>
      <c r="C3071" s="137"/>
      <c r="D3071" s="59"/>
      <c r="E3071" s="116"/>
      <c r="F3071" s="120"/>
      <c r="G3071" s="120"/>
      <c r="H3071" s="120"/>
      <c r="I3071" s="60"/>
      <c r="J3071" s="116"/>
      <c r="K3071" s="213"/>
      <c r="L3071" s="120"/>
      <c r="M3071" s="120"/>
      <c r="N3071" s="167"/>
      <c r="O3071" s="120"/>
      <c r="P3071" s="120"/>
      <c r="Q3071" s="120"/>
      <c r="R3071" s="120"/>
      <c r="S3071" s="120"/>
      <c r="T3071" s="221"/>
      <c r="U3071" s="89"/>
      <c r="V3071" s="61"/>
      <c r="W3071" s="92" t="s">
        <v>65</v>
      </c>
      <c r="X3071" s="93" t="s">
        <v>30</v>
      </c>
      <c r="Y3071" s="93" t="s">
        <v>1011</v>
      </c>
      <c r="Z3071" s="134">
        <f>VLOOKUP(W3071,Sheet2!$B:$D,3,FALSE)</f>
        <v>1.76</v>
      </c>
      <c r="AA3071" s="93">
        <f>AA3070/10</f>
        <v>2.2222222222222223</v>
      </c>
      <c r="AB3071" s="93">
        <f>AD3071/AC3063</f>
        <v>0.79200000000000004</v>
      </c>
      <c r="AC3071" s="93">
        <f>AC3063/AA3071</f>
        <v>147.57443999999967</v>
      </c>
      <c r="AD3071" s="94">
        <f t="shared" si="2373"/>
        <v>259.73101439999942</v>
      </c>
      <c r="AE3071" s="190"/>
      <c r="AF3071" s="191"/>
      <c r="AG3071" s="191"/>
      <c r="AH3071" s="191"/>
      <c r="AI3071" s="186"/>
      <c r="AK3071" s="171"/>
    </row>
    <row r="3072" spans="1:41" s="102" customFormat="1" ht="19.899999999999999" customHeight="1" x14ac:dyDescent="0.25">
      <c r="A3072" s="45"/>
      <c r="B3072" s="59"/>
      <c r="C3072" s="137"/>
      <c r="D3072" s="59"/>
      <c r="E3072" s="116"/>
      <c r="F3072" s="120"/>
      <c r="G3072" s="120"/>
      <c r="H3072" s="120"/>
      <c r="I3072" s="60"/>
      <c r="J3072" s="116"/>
      <c r="K3072" s="213"/>
      <c r="L3072" s="120"/>
      <c r="M3072" s="120"/>
      <c r="N3072" s="167"/>
      <c r="O3072" s="120"/>
      <c r="P3072" s="120"/>
      <c r="Q3072" s="120"/>
      <c r="R3072" s="120"/>
      <c r="S3072" s="120"/>
      <c r="T3072" s="221"/>
      <c r="U3072" s="89"/>
      <c r="V3072" s="61"/>
      <c r="W3072" s="92" t="s">
        <v>1049</v>
      </c>
      <c r="X3072" s="93" t="s">
        <v>30</v>
      </c>
      <c r="Y3072" s="93" t="s">
        <v>68</v>
      </c>
      <c r="Z3072" s="134">
        <f>VLOOKUP(W3072,Sheet2!$B:$D,3,FALSE)</f>
        <v>60</v>
      </c>
      <c r="AA3072" s="93">
        <v>1</v>
      </c>
      <c r="AB3072" s="93">
        <f>AD3072/AC3063</f>
        <v>59.999999999999993</v>
      </c>
      <c r="AC3072" s="93">
        <f>AC3063/AA3072</f>
        <v>327.94319999999925</v>
      </c>
      <c r="AD3072" s="94">
        <f t="shared" si="2373"/>
        <v>19676.591999999953</v>
      </c>
      <c r="AE3072" s="190"/>
      <c r="AF3072" s="191"/>
      <c r="AG3072" s="191"/>
      <c r="AH3072" s="191"/>
      <c r="AI3072" s="186"/>
      <c r="AK3072" s="171"/>
    </row>
    <row r="3073" spans="1:41" s="103" customFormat="1" ht="19.899999999999999" customHeight="1" x14ac:dyDescent="0.25">
      <c r="A3073" s="51"/>
      <c r="B3073" s="52"/>
      <c r="C3073" s="165"/>
      <c r="D3073" s="52"/>
      <c r="E3073" s="115"/>
      <c r="F3073" s="58"/>
      <c r="G3073" s="58"/>
      <c r="H3073" s="58"/>
      <c r="I3073" s="55"/>
      <c r="J3073" s="113">
        <f>J3062</f>
        <v>327.94319999999925</v>
      </c>
      <c r="K3073" s="212">
        <f>K3062</f>
        <v>327.94319999999925</v>
      </c>
      <c r="L3073" s="58"/>
      <c r="M3073" s="58">
        <f>K3073-L3073</f>
        <v>327.94319999999925</v>
      </c>
      <c r="N3073" s="166"/>
      <c r="O3073" s="58"/>
      <c r="P3073" s="58"/>
      <c r="Q3073" s="58"/>
      <c r="R3073" s="58"/>
      <c r="S3073" s="58"/>
      <c r="T3073" s="220"/>
      <c r="U3073" s="88"/>
      <c r="V3073" s="56"/>
      <c r="W3073" s="57" t="s">
        <v>1036</v>
      </c>
      <c r="X3073" s="53"/>
      <c r="Y3073" s="91" t="s">
        <v>68</v>
      </c>
      <c r="Z3073" s="136">
        <f>AD3073/AC3073</f>
        <v>88.333333333333343</v>
      </c>
      <c r="AA3073" s="58"/>
      <c r="AB3073" s="53">
        <f>AD3073/AC3073</f>
        <v>88.333333333333343</v>
      </c>
      <c r="AC3073" s="53">
        <f>M3073+$AE$10</f>
        <v>327.94319999999925</v>
      </c>
      <c r="AD3073" s="54">
        <f>SUM(AD3074:AD3080)</f>
        <v>28968.315999999937</v>
      </c>
      <c r="AE3073" s="184">
        <f>SUMIFS($AD$37:$AD$12971,$V$37:$V$12971,$V3073,$X$37:$X$12971,AE$13)</f>
        <v>0</v>
      </c>
      <c r="AF3073" s="185">
        <f>SUMIFS($AD$37:$AD$12971,$V$37:$V$12971,$V3073,$X$37:$X$12971,AF$13)</f>
        <v>0</v>
      </c>
      <c r="AG3073" s="185">
        <f>SUMIFS($AD$37:$AD$12971,$V$37:$V$12971,$V3073,$X$37:$X$12971,AG$13)</f>
        <v>0</v>
      </c>
      <c r="AH3073" s="187">
        <f>SUMIFS($AD$37:$AD$12971,$V$37:$V$12971,$V3073,$X$37:$X$12971,AH$13)</f>
        <v>0</v>
      </c>
      <c r="AI3073" s="161">
        <f t="shared" ref="AI3073" si="2374">SUM(AE3073:AH3073)</f>
        <v>0</v>
      </c>
      <c r="AK3073" s="172"/>
    </row>
    <row r="3074" spans="1:41" s="102" customFormat="1" ht="19.899999999999999" customHeight="1" x14ac:dyDescent="0.25">
      <c r="A3074" s="45"/>
      <c r="B3074" s="59"/>
      <c r="C3074" s="137"/>
      <c r="D3074" s="59"/>
      <c r="E3074" s="116"/>
      <c r="F3074" s="120"/>
      <c r="G3074" s="120"/>
      <c r="H3074" s="120"/>
      <c r="I3074" s="60"/>
      <c r="J3074" s="116"/>
      <c r="K3074" s="213"/>
      <c r="L3074" s="120"/>
      <c r="M3074" s="120"/>
      <c r="N3074" s="167"/>
      <c r="O3074" s="120"/>
      <c r="P3074" s="120"/>
      <c r="Q3074" s="120"/>
      <c r="R3074" s="120"/>
      <c r="S3074" s="120"/>
      <c r="T3074" s="221"/>
      <c r="U3074" s="89"/>
      <c r="V3074" s="61"/>
      <c r="W3074" s="92" t="s">
        <v>1220</v>
      </c>
      <c r="X3074" s="93" t="s">
        <v>30</v>
      </c>
      <c r="Y3074" s="93" t="s">
        <v>68</v>
      </c>
      <c r="Z3074" s="134">
        <f>VLOOKUP(W3074,Sheet2!$B:$D,3,FALSE)</f>
        <v>40</v>
      </c>
      <c r="AA3074" s="93">
        <v>1</v>
      </c>
      <c r="AB3074" s="93">
        <f>AD3074/AC3073</f>
        <v>40</v>
      </c>
      <c r="AC3074" s="93">
        <f>AC3073/AA3074</f>
        <v>327.94319999999925</v>
      </c>
      <c r="AD3074" s="94">
        <f t="shared" ref="AD3074" si="2375">AC3074*Z3074</f>
        <v>13117.72799999997</v>
      </c>
      <c r="AE3074" s="190"/>
      <c r="AF3074" s="191"/>
      <c r="AG3074" s="191"/>
      <c r="AH3074" s="191"/>
      <c r="AI3074" s="186"/>
      <c r="AK3074" s="171"/>
    </row>
    <row r="3075" spans="1:41" s="102" customFormat="1" ht="19.899999999999999" customHeight="1" x14ac:dyDescent="0.25">
      <c r="A3075" s="45"/>
      <c r="B3075" s="59"/>
      <c r="C3075" s="137"/>
      <c r="D3075" s="59"/>
      <c r="E3075" s="116"/>
      <c r="F3075" s="120"/>
      <c r="G3075" s="120"/>
      <c r="H3075" s="120"/>
      <c r="I3075" s="60"/>
      <c r="J3075" s="116"/>
      <c r="K3075" s="213"/>
      <c r="L3075" s="120"/>
      <c r="M3075" s="120"/>
      <c r="N3075" s="167"/>
      <c r="O3075" s="120"/>
      <c r="P3075" s="120"/>
      <c r="Q3075" s="120"/>
      <c r="R3075" s="120"/>
      <c r="S3075" s="120"/>
      <c r="T3075" s="221"/>
      <c r="U3075" s="89"/>
      <c r="V3075" s="61"/>
      <c r="W3075" s="92" t="s">
        <v>1221</v>
      </c>
      <c r="X3075" s="93" t="s">
        <v>30</v>
      </c>
      <c r="Y3075" s="93" t="s">
        <v>68</v>
      </c>
      <c r="Z3075" s="134">
        <f>VLOOKUP(W3075,Sheet2!$B:$D,3,FALSE)</f>
        <v>4</v>
      </c>
      <c r="AA3075" s="93">
        <v>1</v>
      </c>
      <c r="AB3075" s="93">
        <f>AD3075/AC3073</f>
        <v>4</v>
      </c>
      <c r="AC3075" s="93">
        <f>AC3073/AA3075</f>
        <v>327.94319999999925</v>
      </c>
      <c r="AD3075" s="94">
        <f>AC3075*Z3075</f>
        <v>1311.772799999997</v>
      </c>
      <c r="AE3075" s="190"/>
      <c r="AF3075" s="191"/>
      <c r="AG3075" s="191"/>
      <c r="AH3075" s="191"/>
      <c r="AI3075" s="186"/>
      <c r="AK3075" s="171"/>
    </row>
    <row r="3076" spans="1:41" s="102" customFormat="1" ht="19.899999999999999" customHeight="1" x14ac:dyDescent="0.25">
      <c r="A3076" s="45"/>
      <c r="B3076" s="59"/>
      <c r="C3076" s="137"/>
      <c r="D3076" s="59"/>
      <c r="E3076" s="116"/>
      <c r="F3076" s="120"/>
      <c r="G3076" s="120"/>
      <c r="H3076" s="120"/>
      <c r="I3076" s="60"/>
      <c r="J3076" s="116"/>
      <c r="K3076" s="213"/>
      <c r="L3076" s="120"/>
      <c r="M3076" s="120"/>
      <c r="N3076" s="167"/>
      <c r="O3076" s="120"/>
      <c r="P3076" s="120"/>
      <c r="Q3076" s="120"/>
      <c r="R3076" s="120"/>
      <c r="S3076" s="120"/>
      <c r="T3076" s="221"/>
      <c r="U3076" s="89"/>
      <c r="V3076" s="61"/>
      <c r="W3076" s="92" t="s">
        <v>107</v>
      </c>
      <c r="X3076" s="93" t="s">
        <v>31</v>
      </c>
      <c r="Y3076" s="93" t="s">
        <v>93</v>
      </c>
      <c r="Z3076" s="134">
        <f>VLOOKUP(W3076,Sheet2!$B:$D,3,FALSE)</f>
        <v>17</v>
      </c>
      <c r="AA3076" s="93">
        <v>8</v>
      </c>
      <c r="AB3076" s="93">
        <f>AD3076/AC3073</f>
        <v>2.125</v>
      </c>
      <c r="AC3076" s="93">
        <f>AC3073/AA3076</f>
        <v>40.992899999999906</v>
      </c>
      <c r="AD3076" s="94">
        <f>AC3076*Z3076</f>
        <v>696.87929999999847</v>
      </c>
      <c r="AE3076" s="190"/>
      <c r="AF3076" s="191"/>
      <c r="AG3076" s="191"/>
      <c r="AH3076" s="191"/>
      <c r="AI3076" s="186"/>
      <c r="AK3076" s="171"/>
    </row>
    <row r="3077" spans="1:41" s="102" customFormat="1" ht="19.899999999999999" customHeight="1" x14ac:dyDescent="0.25">
      <c r="A3077" s="45"/>
      <c r="B3077" s="59"/>
      <c r="C3077" s="137"/>
      <c r="D3077" s="59"/>
      <c r="E3077" s="116"/>
      <c r="F3077" s="120"/>
      <c r="G3077" s="120"/>
      <c r="H3077" s="120"/>
      <c r="I3077" s="60"/>
      <c r="J3077" s="116"/>
      <c r="K3077" s="213"/>
      <c r="L3077" s="120"/>
      <c r="M3077" s="120"/>
      <c r="N3077" s="167"/>
      <c r="O3077" s="120"/>
      <c r="P3077" s="120"/>
      <c r="Q3077" s="120"/>
      <c r="R3077" s="120"/>
      <c r="S3077" s="120"/>
      <c r="T3077" s="221"/>
      <c r="U3077" s="89"/>
      <c r="V3077" s="61"/>
      <c r="W3077" s="92" t="s">
        <v>112</v>
      </c>
      <c r="X3077" s="93" t="s">
        <v>31</v>
      </c>
      <c r="Y3077" s="93" t="s">
        <v>93</v>
      </c>
      <c r="Z3077" s="134">
        <f>VLOOKUP(W3077,Sheet2!$B:$D,3,FALSE)</f>
        <v>13</v>
      </c>
      <c r="AA3077" s="93">
        <v>8</v>
      </c>
      <c r="AB3077" s="93">
        <f>AD3077/AC3073</f>
        <v>1.6250000000000002</v>
      </c>
      <c r="AC3077" s="93">
        <f>AC3073/AA3077</f>
        <v>40.992899999999906</v>
      </c>
      <c r="AD3077" s="94">
        <f>AC3077*Z3077</f>
        <v>532.90769999999884</v>
      </c>
      <c r="AE3077" s="190"/>
      <c r="AF3077" s="191"/>
      <c r="AG3077" s="191"/>
      <c r="AH3077" s="191"/>
      <c r="AI3077" s="186"/>
      <c r="AK3077" s="171"/>
    </row>
    <row r="3078" spans="1:41" s="102" customFormat="1" ht="19.899999999999999" customHeight="1" x14ac:dyDescent="0.25">
      <c r="A3078" s="45"/>
      <c r="B3078" s="59"/>
      <c r="C3078" s="137"/>
      <c r="D3078" s="59"/>
      <c r="E3078" s="116"/>
      <c r="F3078" s="120"/>
      <c r="G3078" s="120"/>
      <c r="H3078" s="120"/>
      <c r="I3078" s="60"/>
      <c r="J3078" s="116"/>
      <c r="K3078" s="213"/>
      <c r="L3078" s="120"/>
      <c r="M3078" s="120"/>
      <c r="N3078" s="167"/>
      <c r="O3078" s="120"/>
      <c r="P3078" s="120"/>
      <c r="Q3078" s="120"/>
      <c r="R3078" s="120"/>
      <c r="S3078" s="120"/>
      <c r="T3078" s="221"/>
      <c r="U3078" s="89"/>
      <c r="V3078" s="61"/>
      <c r="W3078" s="92" t="s">
        <v>1032</v>
      </c>
      <c r="X3078" s="93" t="s">
        <v>30</v>
      </c>
      <c r="Y3078" s="93" t="s">
        <v>66</v>
      </c>
      <c r="Z3078" s="134">
        <f>VLOOKUP(W3078,Sheet2!$B:$D,3,FALSE)</f>
        <v>250</v>
      </c>
      <c r="AA3078" s="93">
        <f>1/(1*1*0.1)</f>
        <v>10</v>
      </c>
      <c r="AB3078" s="93">
        <f>AD3078/AC3073</f>
        <v>25</v>
      </c>
      <c r="AC3078" s="93">
        <f>AC3073/AA3078</f>
        <v>32.794319999999928</v>
      </c>
      <c r="AD3078" s="94">
        <f>AC3078*Z3078</f>
        <v>8198.5799999999817</v>
      </c>
      <c r="AE3078" s="190"/>
      <c r="AF3078" s="191"/>
      <c r="AG3078" s="191"/>
      <c r="AH3078" s="191"/>
      <c r="AI3078" s="186"/>
      <c r="AK3078" s="171"/>
    </row>
    <row r="3079" spans="1:41" s="102" customFormat="1" ht="19.899999999999999" customHeight="1" x14ac:dyDescent="0.25">
      <c r="A3079" s="45"/>
      <c r="B3079" s="59"/>
      <c r="C3079" s="137"/>
      <c r="D3079" s="59"/>
      <c r="E3079" s="116"/>
      <c r="F3079" s="120"/>
      <c r="G3079" s="120"/>
      <c r="H3079" s="120"/>
      <c r="I3079" s="60"/>
      <c r="J3079" s="116"/>
      <c r="K3079" s="213"/>
      <c r="L3079" s="120"/>
      <c r="M3079" s="120"/>
      <c r="N3079" s="167"/>
      <c r="O3079" s="120"/>
      <c r="P3079" s="120"/>
      <c r="Q3079" s="120"/>
      <c r="R3079" s="120"/>
      <c r="S3079" s="120"/>
      <c r="T3079" s="221"/>
      <c r="U3079" s="89"/>
      <c r="V3079" s="61"/>
      <c r="W3079" s="92" t="s">
        <v>1035</v>
      </c>
      <c r="X3079" s="93" t="s">
        <v>32</v>
      </c>
      <c r="Y3079" s="93" t="s">
        <v>66</v>
      </c>
      <c r="Z3079" s="134">
        <f>VLOOKUP(W3079,Sheet2!$B:$D,3,FALSE)</f>
        <v>150</v>
      </c>
      <c r="AA3079" s="93">
        <f>AA3078</f>
        <v>10</v>
      </c>
      <c r="AB3079" s="93">
        <f>AD3079/AC3073</f>
        <v>15.000000000000002</v>
      </c>
      <c r="AC3079" s="93">
        <f>AC3073/AA3079</f>
        <v>32.794319999999928</v>
      </c>
      <c r="AD3079" s="94">
        <f t="shared" ref="AD3079:AD3080" si="2376">AC3079*Z3079</f>
        <v>4919.1479999999892</v>
      </c>
      <c r="AE3079" s="190"/>
      <c r="AF3079" s="191"/>
      <c r="AG3079" s="191"/>
      <c r="AH3079" s="191"/>
      <c r="AI3079" s="186"/>
      <c r="AK3079" s="171"/>
    </row>
    <row r="3080" spans="1:41" s="102" customFormat="1" ht="19.899999999999999" customHeight="1" x14ac:dyDescent="0.25">
      <c r="A3080" s="45"/>
      <c r="B3080" s="59"/>
      <c r="C3080" s="137"/>
      <c r="D3080" s="59"/>
      <c r="E3080" s="116"/>
      <c r="F3080" s="120"/>
      <c r="G3080" s="120"/>
      <c r="H3080" s="120"/>
      <c r="I3080" s="60"/>
      <c r="J3080" s="116"/>
      <c r="K3080" s="213"/>
      <c r="L3080" s="120"/>
      <c r="M3080" s="120"/>
      <c r="N3080" s="167"/>
      <c r="O3080" s="120"/>
      <c r="P3080" s="120"/>
      <c r="Q3080" s="120"/>
      <c r="R3080" s="120"/>
      <c r="S3080" s="120"/>
      <c r="T3080" s="221"/>
      <c r="U3080" s="89"/>
      <c r="V3080" s="61"/>
      <c r="W3080" s="92" t="s">
        <v>1037</v>
      </c>
      <c r="X3080" s="93" t="s">
        <v>30</v>
      </c>
      <c r="Y3080" s="93" t="s">
        <v>1038</v>
      </c>
      <c r="Z3080" s="134">
        <f>VLOOKUP(W3080,Sheet2!$B:$D,3,FALSE)</f>
        <v>175</v>
      </c>
      <c r="AA3080" s="93">
        <v>300</v>
      </c>
      <c r="AB3080" s="93">
        <f>AD3080/AC3073</f>
        <v>0.58333333333333337</v>
      </c>
      <c r="AC3080" s="93">
        <f>AC3073/AA3080</f>
        <v>1.0931439999999975</v>
      </c>
      <c r="AD3080" s="94">
        <f t="shared" si="2376"/>
        <v>191.30019999999956</v>
      </c>
      <c r="AE3080" s="190"/>
      <c r="AF3080" s="191"/>
      <c r="AG3080" s="191"/>
      <c r="AH3080" s="191"/>
      <c r="AI3080" s="186"/>
      <c r="AK3080" s="171"/>
    </row>
    <row r="3081" spans="1:41" s="103" customFormat="1" ht="19.899999999999999" customHeight="1" x14ac:dyDescent="0.25">
      <c r="A3081" s="51"/>
      <c r="B3081" s="52"/>
      <c r="C3081" s="165"/>
      <c r="D3081" s="52"/>
      <c r="E3081" s="115"/>
      <c r="F3081" s="58"/>
      <c r="G3081" s="58"/>
      <c r="H3081" s="58"/>
      <c r="I3081" s="55"/>
      <c r="J3081" s="113">
        <f>J3062</f>
        <v>327.94319999999925</v>
      </c>
      <c r="K3081" s="212">
        <f>K3062</f>
        <v>327.94319999999925</v>
      </c>
      <c r="L3081" s="58"/>
      <c r="M3081" s="58">
        <f>K3081-L3081</f>
        <v>327.94319999999925</v>
      </c>
      <c r="N3081" s="166"/>
      <c r="O3081" s="58"/>
      <c r="P3081" s="58"/>
      <c r="Q3081" s="58"/>
      <c r="R3081" s="58"/>
      <c r="S3081" s="58"/>
      <c r="T3081" s="220"/>
      <c r="U3081" s="88"/>
      <c r="V3081" s="56"/>
      <c r="W3081" s="57" t="s">
        <v>1040</v>
      </c>
      <c r="X3081" s="53"/>
      <c r="Y3081" s="91" t="s">
        <v>68</v>
      </c>
      <c r="Z3081" s="136">
        <f>AD3081/AC3081</f>
        <v>5</v>
      </c>
      <c r="AA3081" s="58"/>
      <c r="AB3081" s="53">
        <f>AD3081/AC3081</f>
        <v>5</v>
      </c>
      <c r="AC3081" s="53">
        <f>M3081+$AE$10</f>
        <v>327.94319999999925</v>
      </c>
      <c r="AD3081" s="54">
        <f>SUM(AD3082)</f>
        <v>1639.7159999999963</v>
      </c>
      <c r="AE3081" s="184">
        <f>SUMIFS($AD$37:$AD$12971,$V$37:$V$12971,$V3081,$X$37:$X$12971,AE$13)</f>
        <v>0</v>
      </c>
      <c r="AF3081" s="185">
        <f>SUMIFS($AD$37:$AD$12971,$V$37:$V$12971,$V3081,$X$37:$X$12971,AF$13)</f>
        <v>0</v>
      </c>
      <c r="AG3081" s="185">
        <f>SUMIFS($AD$37:$AD$12971,$V$37:$V$12971,$V3081,$X$37:$X$12971,AG$13)</f>
        <v>0</v>
      </c>
      <c r="AH3081" s="187">
        <f>SUMIFS($AD$37:$AD$12971,$V$37:$V$12971,$V3081,$X$37:$X$12971,AH$13)</f>
        <v>0</v>
      </c>
      <c r="AI3081" s="161">
        <f t="shared" ref="AI3081" si="2377">SUM(AE3081:AH3081)</f>
        <v>0</v>
      </c>
      <c r="AK3081" s="172"/>
    </row>
    <row r="3082" spans="1:41" s="102" customFormat="1" ht="19.899999999999999" customHeight="1" x14ac:dyDescent="0.25">
      <c r="A3082" s="45"/>
      <c r="B3082" s="59"/>
      <c r="C3082" s="137"/>
      <c r="D3082" s="59"/>
      <c r="E3082" s="116"/>
      <c r="F3082" s="120"/>
      <c r="G3082" s="120"/>
      <c r="H3082" s="120"/>
      <c r="I3082" s="60"/>
      <c r="J3082" s="116"/>
      <c r="K3082" s="213"/>
      <c r="L3082" s="120"/>
      <c r="M3082" s="120"/>
      <c r="N3082" s="167"/>
      <c r="O3082" s="120"/>
      <c r="P3082" s="120"/>
      <c r="Q3082" s="120"/>
      <c r="R3082" s="120"/>
      <c r="S3082" s="120"/>
      <c r="T3082" s="221"/>
      <c r="U3082" s="89"/>
      <c r="V3082" s="61"/>
      <c r="W3082" s="92" t="s">
        <v>1039</v>
      </c>
      <c r="X3082" s="93" t="s">
        <v>32</v>
      </c>
      <c r="Y3082" s="93" t="s">
        <v>68</v>
      </c>
      <c r="Z3082" s="134">
        <f>VLOOKUP(W3082,Sheet2!$B:$D,3,FALSE)</f>
        <v>5</v>
      </c>
      <c r="AA3082" s="93">
        <v>1</v>
      </c>
      <c r="AB3082" s="93">
        <f>AD3082/AC3081</f>
        <v>5</v>
      </c>
      <c r="AC3082" s="93">
        <f>AC3081/AA3082</f>
        <v>327.94319999999925</v>
      </c>
      <c r="AD3082" s="94">
        <f t="shared" ref="AD3082" si="2378">AC3082*Z3082</f>
        <v>1639.7159999999963</v>
      </c>
      <c r="AE3082" s="190"/>
      <c r="AF3082" s="191"/>
      <c r="AG3082" s="191"/>
      <c r="AH3082" s="191"/>
      <c r="AI3082" s="186"/>
      <c r="AK3082" s="171"/>
    </row>
    <row r="3083" spans="1:41" ht="20.100000000000001" customHeight="1" x14ac:dyDescent="0.25">
      <c r="A3083" s="277" t="s">
        <v>491</v>
      </c>
      <c r="B3083" s="278"/>
      <c r="C3083" s="64" t="s">
        <v>1215</v>
      </c>
      <c r="D3083" s="46" t="s">
        <v>97</v>
      </c>
      <c r="E3083" s="114">
        <v>120.81709999999987</v>
      </c>
      <c r="F3083" s="44">
        <v>602</v>
      </c>
      <c r="G3083" s="44">
        <f t="shared" si="1977"/>
        <v>72731.894199999922</v>
      </c>
      <c r="H3083" s="44">
        <f t="shared" si="1978"/>
        <v>185.79736470588239</v>
      </c>
      <c r="I3083" s="43">
        <f t="shared" si="1979"/>
        <v>22447.498791407037</v>
      </c>
      <c r="J3083" s="112">
        <f t="shared" si="1980"/>
        <v>120.81709999999987</v>
      </c>
      <c r="K3083" s="211">
        <f t="shared" si="1981"/>
        <v>120.81709999999987</v>
      </c>
      <c r="L3083" s="44"/>
      <c r="M3083" s="44">
        <f t="shared" si="1982"/>
        <v>120.81709999999987</v>
      </c>
      <c r="N3083" s="173">
        <f t="shared" si="1983"/>
        <v>1</v>
      </c>
      <c r="O3083" s="44">
        <f t="shared" si="1984"/>
        <v>602</v>
      </c>
      <c r="P3083" s="44">
        <f t="shared" si="1985"/>
        <v>72731.894199999922</v>
      </c>
      <c r="Q3083" s="44">
        <f t="shared" si="1986"/>
        <v>185.79736470588239</v>
      </c>
      <c r="R3083" s="44">
        <f t="shared" si="1987"/>
        <v>22447.498791407037</v>
      </c>
      <c r="S3083" s="123"/>
      <c r="T3083" s="219">
        <f t="shared" si="1988"/>
        <v>22447.498791407037</v>
      </c>
      <c r="U3083" s="87"/>
      <c r="V3083" s="47"/>
      <c r="W3083" s="48"/>
      <c r="X3083" s="48"/>
      <c r="Y3083" s="48"/>
      <c r="Z3083" s="135"/>
      <c r="AA3083" s="49"/>
      <c r="AB3083" s="50">
        <f t="shared" si="1989"/>
        <v>185.79736470588239</v>
      </c>
      <c r="AC3083" s="42">
        <f t="shared" si="1990"/>
        <v>120.81709999999987</v>
      </c>
      <c r="AD3083" s="90">
        <f>AD3084+AD3094+AD3102</f>
        <v>22447.498791407037</v>
      </c>
      <c r="AE3083" s="188">
        <f t="shared" ref="AE3083:AH3083" si="2379">AE3084+AE3094+AE3102</f>
        <v>0</v>
      </c>
      <c r="AF3083" s="189">
        <f t="shared" si="2379"/>
        <v>0</v>
      </c>
      <c r="AG3083" s="189">
        <f t="shared" si="2379"/>
        <v>0</v>
      </c>
      <c r="AH3083" s="189">
        <f t="shared" si="2379"/>
        <v>0</v>
      </c>
      <c r="AI3083" s="161">
        <f t="shared" ref="AI3083" si="2380">SUM(AE3083:AH3083)</f>
        <v>0</v>
      </c>
      <c r="AK3083" s="169">
        <v>5</v>
      </c>
      <c r="AO3083" s="19" t="s">
        <v>63</v>
      </c>
    </row>
    <row r="3084" spans="1:41" s="103" customFormat="1" ht="19.899999999999999" customHeight="1" x14ac:dyDescent="0.25">
      <c r="A3084" s="51"/>
      <c r="B3084" s="52"/>
      <c r="C3084" s="165"/>
      <c r="D3084" s="52"/>
      <c r="E3084" s="115"/>
      <c r="F3084" s="58"/>
      <c r="G3084" s="58"/>
      <c r="H3084" s="58"/>
      <c r="I3084" s="55"/>
      <c r="J3084" s="113">
        <f>J3083</f>
        <v>120.81709999999987</v>
      </c>
      <c r="K3084" s="212">
        <f>K3083</f>
        <v>120.81709999999987</v>
      </c>
      <c r="L3084" s="58"/>
      <c r="M3084" s="58">
        <f>K3084-L3084</f>
        <v>120.81709999999987</v>
      </c>
      <c r="N3084" s="166"/>
      <c r="O3084" s="58"/>
      <c r="P3084" s="58"/>
      <c r="Q3084" s="58"/>
      <c r="R3084" s="58"/>
      <c r="S3084" s="58"/>
      <c r="T3084" s="220"/>
      <c r="U3084" s="88"/>
      <c r="V3084" s="56"/>
      <c r="W3084" s="57" t="s">
        <v>1223</v>
      </c>
      <c r="X3084" s="53"/>
      <c r="Y3084" s="91" t="s">
        <v>68</v>
      </c>
      <c r="Z3084" s="136">
        <f>AD3084/AC3084</f>
        <v>92.46403137254903</v>
      </c>
      <c r="AA3084" s="58"/>
      <c r="AB3084" s="53">
        <f>AD3084/AC3084</f>
        <v>92.46403137254903</v>
      </c>
      <c r="AC3084" s="53">
        <f>M3084+$AE$10</f>
        <v>120.81709999999987</v>
      </c>
      <c r="AD3084" s="54">
        <f>SUM(AD3085:AD3093)</f>
        <v>11171.236124740381</v>
      </c>
      <c r="AE3084" s="184">
        <f>SUMIFS($AD$37:$AD$12971,$V$37:$V$12971,$V3084,$X$37:$X$12971,AE$13)</f>
        <v>0</v>
      </c>
      <c r="AF3084" s="185">
        <f>SUMIFS($AD$37:$AD$12971,$V$37:$V$12971,$V3084,$X$37:$X$12971,AF$13)</f>
        <v>0</v>
      </c>
      <c r="AG3084" s="185">
        <f>SUMIFS($AD$37:$AD$12971,$V$37:$V$12971,$V3084,$X$37:$X$12971,AG$13)</f>
        <v>0</v>
      </c>
      <c r="AH3084" s="187">
        <f>SUMIFS($AD$37:$AD$12971,$V$37:$V$12971,$V3084,$X$37:$X$12971,AH$13)</f>
        <v>0</v>
      </c>
      <c r="AI3084" s="161">
        <f t="shared" ref="AI3084" si="2381">SUM(AE3084:AH3084)</f>
        <v>0</v>
      </c>
      <c r="AK3084" s="172"/>
    </row>
    <row r="3085" spans="1:41" s="102" customFormat="1" ht="19.899999999999999" customHeight="1" x14ac:dyDescent="0.25">
      <c r="A3085" s="45"/>
      <c r="B3085" s="59"/>
      <c r="C3085" s="137"/>
      <c r="D3085" s="59"/>
      <c r="E3085" s="116"/>
      <c r="F3085" s="120"/>
      <c r="G3085" s="120"/>
      <c r="H3085" s="120"/>
      <c r="I3085" s="60"/>
      <c r="J3085" s="116"/>
      <c r="K3085" s="213"/>
      <c r="L3085" s="120"/>
      <c r="M3085" s="120"/>
      <c r="N3085" s="167"/>
      <c r="O3085" s="120"/>
      <c r="P3085" s="120"/>
      <c r="Q3085" s="120"/>
      <c r="R3085" s="120"/>
      <c r="S3085" s="120"/>
      <c r="T3085" s="221"/>
      <c r="U3085" s="89"/>
      <c r="V3085" s="61"/>
      <c r="W3085" s="92" t="s">
        <v>131</v>
      </c>
      <c r="X3085" s="93" t="s">
        <v>29</v>
      </c>
      <c r="Y3085" s="93" t="s">
        <v>93</v>
      </c>
      <c r="Z3085" s="134">
        <f>VLOOKUP(W3085,Sheet2!$B:$D,3,FALSE)</f>
        <v>131.19999999999999</v>
      </c>
      <c r="AA3085" s="93">
        <f>80/(1*5)</f>
        <v>16</v>
      </c>
      <c r="AB3085" s="93">
        <f t="shared" ref="AB3085" si="2382">AD3085/AC3084</f>
        <v>8.1999999999999993</v>
      </c>
      <c r="AC3085" s="93">
        <f>AC3084/AA3085</f>
        <v>7.5510687499999918</v>
      </c>
      <c r="AD3085" s="94">
        <f t="shared" ref="AD3085:AD3086" si="2383">AC3085*Z3085</f>
        <v>990.70021999999881</v>
      </c>
      <c r="AE3085" s="190"/>
      <c r="AF3085" s="191"/>
      <c r="AG3085" s="191"/>
      <c r="AH3085" s="191"/>
      <c r="AI3085" s="186"/>
      <c r="AK3085" s="171"/>
    </row>
    <row r="3086" spans="1:41" s="102" customFormat="1" ht="19.899999999999999" customHeight="1" x14ac:dyDescent="0.25">
      <c r="A3086" s="45"/>
      <c r="B3086" s="59"/>
      <c r="C3086" s="137"/>
      <c r="D3086" s="59"/>
      <c r="E3086" s="116"/>
      <c r="F3086" s="120"/>
      <c r="G3086" s="120"/>
      <c r="H3086" s="120"/>
      <c r="I3086" s="60"/>
      <c r="J3086" s="116"/>
      <c r="K3086" s="213"/>
      <c r="L3086" s="120"/>
      <c r="M3086" s="120"/>
      <c r="N3086" s="167"/>
      <c r="O3086" s="120"/>
      <c r="P3086" s="120"/>
      <c r="Q3086" s="120"/>
      <c r="R3086" s="120"/>
      <c r="S3086" s="120"/>
      <c r="T3086" s="221"/>
      <c r="U3086" s="89"/>
      <c r="V3086" s="61"/>
      <c r="W3086" s="92" t="s">
        <v>65</v>
      </c>
      <c r="X3086" s="93" t="s">
        <v>30</v>
      </c>
      <c r="Y3086" s="93" t="s">
        <v>1011</v>
      </c>
      <c r="Z3086" s="134">
        <f>VLOOKUP(W3086,Sheet2!$B:$D,3,FALSE)</f>
        <v>1.76</v>
      </c>
      <c r="AA3086" s="93">
        <f>AA3085/32</f>
        <v>0.5</v>
      </c>
      <c r="AB3086" s="93">
        <f>AD3086/AC3084</f>
        <v>3.52</v>
      </c>
      <c r="AC3086" s="93">
        <f>AC3084/AA3086</f>
        <v>241.63419999999974</v>
      </c>
      <c r="AD3086" s="94">
        <f t="shared" si="2383"/>
        <v>425.27619199999953</v>
      </c>
      <c r="AE3086" s="190"/>
      <c r="AF3086" s="191"/>
      <c r="AG3086" s="191"/>
      <c r="AH3086" s="191"/>
      <c r="AI3086" s="186"/>
      <c r="AK3086" s="171"/>
    </row>
    <row r="3087" spans="1:41" s="102" customFormat="1" ht="19.899999999999999" customHeight="1" x14ac:dyDescent="0.25">
      <c r="A3087" s="45"/>
      <c r="B3087" s="59"/>
      <c r="C3087" s="137"/>
      <c r="D3087" s="59"/>
      <c r="E3087" s="116"/>
      <c r="F3087" s="120"/>
      <c r="G3087" s="120"/>
      <c r="H3087" s="120"/>
      <c r="I3087" s="60"/>
      <c r="J3087" s="116"/>
      <c r="K3087" s="213"/>
      <c r="L3087" s="120"/>
      <c r="M3087" s="120"/>
      <c r="N3087" s="167"/>
      <c r="O3087" s="120"/>
      <c r="P3087" s="120"/>
      <c r="Q3087" s="120"/>
      <c r="R3087" s="120"/>
      <c r="S3087" s="120"/>
      <c r="T3087" s="221"/>
      <c r="U3087" s="89"/>
      <c r="V3087" s="61"/>
      <c r="W3087" s="92" t="s">
        <v>161</v>
      </c>
      <c r="X3087" s="93" t="s">
        <v>29</v>
      </c>
      <c r="Y3087" s="93" t="s">
        <v>93</v>
      </c>
      <c r="Z3087" s="134">
        <f>VLOOKUP(W3087,Sheet2!$B:$D,3,FALSE)</f>
        <v>48</v>
      </c>
      <c r="AA3087" s="93">
        <f>(16*0.85*1.5)/(1*5)</f>
        <v>4.08</v>
      </c>
      <c r="AB3087" s="93">
        <f>AD3087/AC3084</f>
        <v>11.76470588235294</v>
      </c>
      <c r="AC3087" s="93">
        <f>AC3084/AA3087</f>
        <v>29.612034313725456</v>
      </c>
      <c r="AD3087" s="94">
        <f>AC3087*Z3087</f>
        <v>1421.3776470588218</v>
      </c>
      <c r="AE3087" s="190"/>
      <c r="AF3087" s="191"/>
      <c r="AG3087" s="191"/>
      <c r="AH3087" s="191"/>
      <c r="AI3087" s="186"/>
      <c r="AK3087" s="171"/>
    </row>
    <row r="3088" spans="1:41" s="102" customFormat="1" ht="19.899999999999999" customHeight="1" x14ac:dyDescent="0.25">
      <c r="A3088" s="45"/>
      <c r="B3088" s="59"/>
      <c r="C3088" s="137"/>
      <c r="D3088" s="59"/>
      <c r="E3088" s="116"/>
      <c r="F3088" s="120"/>
      <c r="G3088" s="120"/>
      <c r="H3088" s="120"/>
      <c r="I3088" s="60"/>
      <c r="J3088" s="116"/>
      <c r="K3088" s="213"/>
      <c r="L3088" s="120"/>
      <c r="M3088" s="120"/>
      <c r="N3088" s="167"/>
      <c r="O3088" s="120"/>
      <c r="P3088" s="120"/>
      <c r="Q3088" s="120"/>
      <c r="R3088" s="120"/>
      <c r="S3088" s="120"/>
      <c r="T3088" s="221"/>
      <c r="U3088" s="89"/>
      <c r="V3088" s="61"/>
      <c r="W3088" s="92" t="s">
        <v>65</v>
      </c>
      <c r="X3088" s="93" t="s">
        <v>30</v>
      </c>
      <c r="Y3088" s="93" t="s">
        <v>1011</v>
      </c>
      <c r="Z3088" s="134">
        <f>VLOOKUP(W3088,Sheet2!$B:$D,3,FALSE)</f>
        <v>1.76</v>
      </c>
      <c r="AA3088" s="93">
        <f>AA3087/10</f>
        <v>0.40800000000000003</v>
      </c>
      <c r="AB3088" s="93">
        <f>AD3088/AC3084</f>
        <v>4.3137254901960782</v>
      </c>
      <c r="AC3088" s="93">
        <f>AC3084/AA3088</f>
        <v>296.12034313725457</v>
      </c>
      <c r="AD3088" s="94">
        <f>AC3088*Z3088</f>
        <v>521.17180392156808</v>
      </c>
      <c r="AE3088" s="190"/>
      <c r="AF3088" s="191"/>
      <c r="AG3088" s="191"/>
      <c r="AH3088" s="191"/>
      <c r="AI3088" s="186"/>
      <c r="AK3088" s="171"/>
    </row>
    <row r="3089" spans="1:41" s="102" customFormat="1" ht="19.899999999999999" customHeight="1" x14ac:dyDescent="0.25">
      <c r="A3089" s="45"/>
      <c r="B3089" s="59"/>
      <c r="C3089" s="137"/>
      <c r="D3089" s="59"/>
      <c r="E3089" s="116"/>
      <c r="F3089" s="120"/>
      <c r="G3089" s="120"/>
      <c r="H3089" s="120"/>
      <c r="I3089" s="60"/>
      <c r="J3089" s="116"/>
      <c r="K3089" s="213"/>
      <c r="L3089" s="120"/>
      <c r="M3089" s="120"/>
      <c r="N3089" s="167"/>
      <c r="O3089" s="120"/>
      <c r="P3089" s="120"/>
      <c r="Q3089" s="120"/>
      <c r="R3089" s="120"/>
      <c r="S3089" s="120"/>
      <c r="T3089" s="221"/>
      <c r="U3089" s="89"/>
      <c r="V3089" s="61"/>
      <c r="W3089" s="92" t="s">
        <v>1030</v>
      </c>
      <c r="X3089" s="93" t="s">
        <v>29</v>
      </c>
      <c r="Y3089" s="93" t="s">
        <v>93</v>
      </c>
      <c r="Z3089" s="134">
        <f>VLOOKUP(W3089,Sheet2!$B:$D,3,FALSE)</f>
        <v>23</v>
      </c>
      <c r="AA3089" s="93">
        <v>50</v>
      </c>
      <c r="AB3089" s="93">
        <f>AD3089/AC3084</f>
        <v>0.46</v>
      </c>
      <c r="AC3089" s="93">
        <f>AC3084/AA3089</f>
        <v>2.4163419999999975</v>
      </c>
      <c r="AD3089" s="94">
        <f t="shared" ref="AD3089:AD3093" si="2384">AC3089*Z3089</f>
        <v>55.575865999999941</v>
      </c>
      <c r="AE3089" s="190"/>
      <c r="AF3089" s="191"/>
      <c r="AG3089" s="191"/>
      <c r="AH3089" s="191"/>
      <c r="AI3089" s="186"/>
      <c r="AK3089" s="171"/>
    </row>
    <row r="3090" spans="1:41" s="102" customFormat="1" ht="19.899999999999999" customHeight="1" x14ac:dyDescent="0.25">
      <c r="A3090" s="45"/>
      <c r="B3090" s="59"/>
      <c r="C3090" s="137"/>
      <c r="D3090" s="59"/>
      <c r="E3090" s="116"/>
      <c r="F3090" s="120"/>
      <c r="G3090" s="120"/>
      <c r="H3090" s="120"/>
      <c r="I3090" s="60"/>
      <c r="J3090" s="116"/>
      <c r="K3090" s="213"/>
      <c r="L3090" s="120"/>
      <c r="M3090" s="120"/>
      <c r="N3090" s="167"/>
      <c r="O3090" s="120"/>
      <c r="P3090" s="120"/>
      <c r="Q3090" s="120"/>
      <c r="R3090" s="120"/>
      <c r="S3090" s="120"/>
      <c r="T3090" s="221"/>
      <c r="U3090" s="89"/>
      <c r="V3090" s="61"/>
      <c r="W3090" s="92" t="s">
        <v>65</v>
      </c>
      <c r="X3090" s="93" t="s">
        <v>30</v>
      </c>
      <c r="Y3090" s="93" t="s">
        <v>1011</v>
      </c>
      <c r="Z3090" s="134">
        <f>VLOOKUP(W3090,Sheet2!$B:$D,3,FALSE)</f>
        <v>1.76</v>
      </c>
      <c r="AA3090" s="93">
        <f>AA3089/3</f>
        <v>16.666666666666668</v>
      </c>
      <c r="AB3090" s="93">
        <f>AD3090/AC3084</f>
        <v>0.1056</v>
      </c>
      <c r="AC3090" s="93">
        <f>AC3084/AA3090</f>
        <v>7.2490259999999918</v>
      </c>
      <c r="AD3090" s="94">
        <f t="shared" si="2384"/>
        <v>12.758285759999985</v>
      </c>
      <c r="AE3090" s="190"/>
      <c r="AF3090" s="191"/>
      <c r="AG3090" s="191"/>
      <c r="AH3090" s="191"/>
      <c r="AI3090" s="186"/>
      <c r="AK3090" s="171"/>
    </row>
    <row r="3091" spans="1:41" s="102" customFormat="1" ht="19.899999999999999" customHeight="1" x14ac:dyDescent="0.25">
      <c r="A3091" s="45"/>
      <c r="B3091" s="59"/>
      <c r="C3091" s="137"/>
      <c r="D3091" s="59"/>
      <c r="E3091" s="116"/>
      <c r="F3091" s="120"/>
      <c r="G3091" s="120"/>
      <c r="H3091" s="120"/>
      <c r="I3091" s="60"/>
      <c r="J3091" s="116"/>
      <c r="K3091" s="213"/>
      <c r="L3091" s="120"/>
      <c r="M3091" s="120"/>
      <c r="N3091" s="167"/>
      <c r="O3091" s="120"/>
      <c r="P3091" s="120"/>
      <c r="Q3091" s="120"/>
      <c r="R3091" s="120"/>
      <c r="S3091" s="120"/>
      <c r="T3091" s="221"/>
      <c r="U3091" s="89"/>
      <c r="V3091" s="61"/>
      <c r="W3091" s="92" t="s">
        <v>148</v>
      </c>
      <c r="X3091" s="93" t="s">
        <v>29</v>
      </c>
      <c r="Y3091" s="93" t="s">
        <v>93</v>
      </c>
      <c r="Z3091" s="134">
        <f>VLOOKUP(W3091,Sheet2!$B:$D,3,FALSE)</f>
        <v>48</v>
      </c>
      <c r="AA3091" s="93">
        <f>AA3085</f>
        <v>16</v>
      </c>
      <c r="AB3091" s="93">
        <f>AD3091/AC3084</f>
        <v>3</v>
      </c>
      <c r="AC3091" s="93">
        <f>AC3084/AA3091</f>
        <v>7.5510687499999918</v>
      </c>
      <c r="AD3091" s="94">
        <f t="shared" si="2384"/>
        <v>362.45129999999961</v>
      </c>
      <c r="AE3091" s="190"/>
      <c r="AF3091" s="191"/>
      <c r="AG3091" s="191"/>
      <c r="AH3091" s="191"/>
      <c r="AI3091" s="186"/>
      <c r="AK3091" s="171"/>
    </row>
    <row r="3092" spans="1:41" s="102" customFormat="1" ht="19.899999999999999" customHeight="1" x14ac:dyDescent="0.25">
      <c r="A3092" s="45"/>
      <c r="B3092" s="59"/>
      <c r="C3092" s="137"/>
      <c r="D3092" s="59"/>
      <c r="E3092" s="116"/>
      <c r="F3092" s="120"/>
      <c r="G3092" s="120"/>
      <c r="H3092" s="120"/>
      <c r="I3092" s="60"/>
      <c r="J3092" s="116"/>
      <c r="K3092" s="213"/>
      <c r="L3092" s="120"/>
      <c r="M3092" s="120"/>
      <c r="N3092" s="167"/>
      <c r="O3092" s="120"/>
      <c r="P3092" s="120"/>
      <c r="Q3092" s="120"/>
      <c r="R3092" s="120"/>
      <c r="S3092" s="120"/>
      <c r="T3092" s="221"/>
      <c r="U3092" s="89"/>
      <c r="V3092" s="61"/>
      <c r="W3092" s="92" t="s">
        <v>65</v>
      </c>
      <c r="X3092" s="93" t="s">
        <v>30</v>
      </c>
      <c r="Y3092" s="93" t="s">
        <v>1011</v>
      </c>
      <c r="Z3092" s="134">
        <f>VLOOKUP(W3092,Sheet2!$B:$D,3,FALSE)</f>
        <v>1.76</v>
      </c>
      <c r="AA3092" s="93">
        <f>AA3091/10</f>
        <v>1.6</v>
      </c>
      <c r="AB3092" s="93">
        <f>AD3092/AC3084</f>
        <v>1.1000000000000001</v>
      </c>
      <c r="AC3092" s="93">
        <f>AC3084/AA3092</f>
        <v>75.510687499999918</v>
      </c>
      <c r="AD3092" s="94">
        <f t="shared" si="2384"/>
        <v>132.89880999999986</v>
      </c>
      <c r="AE3092" s="190"/>
      <c r="AF3092" s="191"/>
      <c r="AG3092" s="191"/>
      <c r="AH3092" s="191"/>
      <c r="AI3092" s="186"/>
      <c r="AK3092" s="171"/>
    </row>
    <row r="3093" spans="1:41" s="102" customFormat="1" ht="19.899999999999999" customHeight="1" x14ac:dyDescent="0.25">
      <c r="A3093" s="45"/>
      <c r="B3093" s="59"/>
      <c r="C3093" s="137"/>
      <c r="D3093" s="59"/>
      <c r="E3093" s="116"/>
      <c r="F3093" s="120"/>
      <c r="G3093" s="120"/>
      <c r="H3093" s="120"/>
      <c r="I3093" s="60"/>
      <c r="J3093" s="116"/>
      <c r="K3093" s="213"/>
      <c r="L3093" s="120"/>
      <c r="M3093" s="120"/>
      <c r="N3093" s="167"/>
      <c r="O3093" s="120"/>
      <c r="P3093" s="120"/>
      <c r="Q3093" s="120"/>
      <c r="R3093" s="120"/>
      <c r="S3093" s="120"/>
      <c r="T3093" s="221"/>
      <c r="U3093" s="89"/>
      <c r="V3093" s="61"/>
      <c r="W3093" s="92" t="s">
        <v>1049</v>
      </c>
      <c r="X3093" s="93" t="s">
        <v>30</v>
      </c>
      <c r="Y3093" s="93" t="s">
        <v>68</v>
      </c>
      <c r="Z3093" s="134">
        <f>VLOOKUP(W3093,Sheet2!$B:$D,3,FALSE)</f>
        <v>60</v>
      </c>
      <c r="AA3093" s="93">
        <v>1</v>
      </c>
      <c r="AB3093" s="93">
        <f>AD3093/AC3084</f>
        <v>60.000000000000007</v>
      </c>
      <c r="AC3093" s="93">
        <f>AC3084/AA3093</f>
        <v>120.81709999999987</v>
      </c>
      <c r="AD3093" s="94">
        <f t="shared" si="2384"/>
        <v>7249.0259999999926</v>
      </c>
      <c r="AE3093" s="190"/>
      <c r="AF3093" s="191"/>
      <c r="AG3093" s="191"/>
      <c r="AH3093" s="191"/>
      <c r="AI3093" s="186"/>
      <c r="AK3093" s="171"/>
    </row>
    <row r="3094" spans="1:41" s="103" customFormat="1" ht="19.899999999999999" customHeight="1" x14ac:dyDescent="0.25">
      <c r="A3094" s="51"/>
      <c r="B3094" s="52"/>
      <c r="C3094" s="165"/>
      <c r="D3094" s="52"/>
      <c r="E3094" s="115"/>
      <c r="F3094" s="58"/>
      <c r="G3094" s="58"/>
      <c r="H3094" s="58"/>
      <c r="I3094" s="55"/>
      <c r="J3094" s="113">
        <f>J3083</f>
        <v>120.81709999999987</v>
      </c>
      <c r="K3094" s="212">
        <f>K3083</f>
        <v>120.81709999999987</v>
      </c>
      <c r="L3094" s="58"/>
      <c r="M3094" s="58">
        <f>K3094-L3094</f>
        <v>120.81709999999987</v>
      </c>
      <c r="N3094" s="166"/>
      <c r="O3094" s="58"/>
      <c r="P3094" s="58"/>
      <c r="Q3094" s="58"/>
      <c r="R3094" s="58"/>
      <c r="S3094" s="58"/>
      <c r="T3094" s="220"/>
      <c r="U3094" s="88"/>
      <c r="V3094" s="56"/>
      <c r="W3094" s="57" t="s">
        <v>1036</v>
      </c>
      <c r="X3094" s="53"/>
      <c r="Y3094" s="91" t="s">
        <v>68</v>
      </c>
      <c r="Z3094" s="136">
        <f>AD3094/AC3094</f>
        <v>88.333333333333329</v>
      </c>
      <c r="AA3094" s="58"/>
      <c r="AB3094" s="53">
        <f>AD3094/AC3094</f>
        <v>88.333333333333329</v>
      </c>
      <c r="AC3094" s="53">
        <f>M3094+$AE$10</f>
        <v>120.81709999999987</v>
      </c>
      <c r="AD3094" s="54">
        <f>SUM(AD3095:AD3101)</f>
        <v>10672.177166666654</v>
      </c>
      <c r="AE3094" s="184">
        <f>SUMIFS($AD$37:$AD$12971,$V$37:$V$12971,$V3094,$X$37:$X$12971,AE$13)</f>
        <v>0</v>
      </c>
      <c r="AF3094" s="185">
        <f>SUMIFS($AD$37:$AD$12971,$V$37:$V$12971,$V3094,$X$37:$X$12971,AF$13)</f>
        <v>0</v>
      </c>
      <c r="AG3094" s="185">
        <f>SUMIFS($AD$37:$AD$12971,$V$37:$V$12971,$V3094,$X$37:$X$12971,AG$13)</f>
        <v>0</v>
      </c>
      <c r="AH3094" s="187">
        <f>SUMIFS($AD$37:$AD$12971,$V$37:$V$12971,$V3094,$X$37:$X$12971,AH$13)</f>
        <v>0</v>
      </c>
      <c r="AI3094" s="161">
        <f t="shared" ref="AI3094" si="2385">SUM(AE3094:AH3094)</f>
        <v>0</v>
      </c>
      <c r="AK3094" s="172"/>
    </row>
    <row r="3095" spans="1:41" s="102" customFormat="1" ht="19.899999999999999" customHeight="1" x14ac:dyDescent="0.25">
      <c r="A3095" s="45"/>
      <c r="B3095" s="59"/>
      <c r="C3095" s="137"/>
      <c r="D3095" s="59"/>
      <c r="E3095" s="116"/>
      <c r="F3095" s="120"/>
      <c r="G3095" s="120"/>
      <c r="H3095" s="120"/>
      <c r="I3095" s="60"/>
      <c r="J3095" s="116"/>
      <c r="K3095" s="213"/>
      <c r="L3095" s="120"/>
      <c r="M3095" s="120"/>
      <c r="N3095" s="167"/>
      <c r="O3095" s="120"/>
      <c r="P3095" s="120"/>
      <c r="Q3095" s="120"/>
      <c r="R3095" s="120"/>
      <c r="S3095" s="120"/>
      <c r="T3095" s="221"/>
      <c r="U3095" s="89"/>
      <c r="V3095" s="61"/>
      <c r="W3095" s="92" t="s">
        <v>1220</v>
      </c>
      <c r="X3095" s="93" t="s">
        <v>30</v>
      </c>
      <c r="Y3095" s="93" t="s">
        <v>68</v>
      </c>
      <c r="Z3095" s="134">
        <f>VLOOKUP(W3095,Sheet2!$B:$D,3,FALSE)</f>
        <v>40</v>
      </c>
      <c r="AA3095" s="93">
        <v>1</v>
      </c>
      <c r="AB3095" s="93">
        <f>AD3095/AC3094</f>
        <v>40</v>
      </c>
      <c r="AC3095" s="93">
        <f>AC3094/AA3095</f>
        <v>120.81709999999987</v>
      </c>
      <c r="AD3095" s="94">
        <f t="shared" ref="AD3095" si="2386">AC3095*Z3095</f>
        <v>4832.6839999999947</v>
      </c>
      <c r="AE3095" s="190"/>
      <c r="AF3095" s="191"/>
      <c r="AG3095" s="191"/>
      <c r="AH3095" s="191"/>
      <c r="AI3095" s="186"/>
      <c r="AK3095" s="171"/>
    </row>
    <row r="3096" spans="1:41" s="102" customFormat="1" ht="19.899999999999999" customHeight="1" x14ac:dyDescent="0.25">
      <c r="A3096" s="45"/>
      <c r="B3096" s="59"/>
      <c r="C3096" s="137"/>
      <c r="D3096" s="59"/>
      <c r="E3096" s="116"/>
      <c r="F3096" s="120"/>
      <c r="G3096" s="120"/>
      <c r="H3096" s="120"/>
      <c r="I3096" s="60"/>
      <c r="J3096" s="116"/>
      <c r="K3096" s="213"/>
      <c r="L3096" s="120"/>
      <c r="M3096" s="120"/>
      <c r="N3096" s="167"/>
      <c r="O3096" s="120"/>
      <c r="P3096" s="120"/>
      <c r="Q3096" s="120"/>
      <c r="R3096" s="120"/>
      <c r="S3096" s="120"/>
      <c r="T3096" s="221"/>
      <c r="U3096" s="89"/>
      <c r="V3096" s="61"/>
      <c r="W3096" s="92" t="s">
        <v>1221</v>
      </c>
      <c r="X3096" s="93" t="s">
        <v>30</v>
      </c>
      <c r="Y3096" s="93" t="s">
        <v>68</v>
      </c>
      <c r="Z3096" s="134">
        <f>VLOOKUP(W3096,Sheet2!$B:$D,3,FALSE)</f>
        <v>4</v>
      </c>
      <c r="AA3096" s="93">
        <v>1</v>
      </c>
      <c r="AB3096" s="93">
        <f>AD3096/AC3094</f>
        <v>4</v>
      </c>
      <c r="AC3096" s="93">
        <f>AC3094/AA3096</f>
        <v>120.81709999999987</v>
      </c>
      <c r="AD3096" s="94">
        <f>AC3096*Z3096</f>
        <v>483.26839999999947</v>
      </c>
      <c r="AE3096" s="190"/>
      <c r="AF3096" s="191"/>
      <c r="AG3096" s="191"/>
      <c r="AH3096" s="191"/>
      <c r="AI3096" s="186"/>
      <c r="AK3096" s="171"/>
    </row>
    <row r="3097" spans="1:41" s="102" customFormat="1" ht="19.899999999999999" customHeight="1" x14ac:dyDescent="0.25">
      <c r="A3097" s="45"/>
      <c r="B3097" s="59"/>
      <c r="C3097" s="137"/>
      <c r="D3097" s="59"/>
      <c r="E3097" s="116"/>
      <c r="F3097" s="120"/>
      <c r="G3097" s="120"/>
      <c r="H3097" s="120"/>
      <c r="I3097" s="60"/>
      <c r="J3097" s="116"/>
      <c r="K3097" s="213"/>
      <c r="L3097" s="120"/>
      <c r="M3097" s="120"/>
      <c r="N3097" s="167"/>
      <c r="O3097" s="120"/>
      <c r="P3097" s="120"/>
      <c r="Q3097" s="120"/>
      <c r="R3097" s="120"/>
      <c r="S3097" s="120"/>
      <c r="T3097" s="221"/>
      <c r="U3097" s="89"/>
      <c r="V3097" s="61"/>
      <c r="W3097" s="92" t="s">
        <v>107</v>
      </c>
      <c r="X3097" s="93" t="s">
        <v>31</v>
      </c>
      <c r="Y3097" s="93" t="s">
        <v>93</v>
      </c>
      <c r="Z3097" s="134">
        <f>VLOOKUP(W3097,Sheet2!$B:$D,3,FALSE)</f>
        <v>17</v>
      </c>
      <c r="AA3097" s="93">
        <v>8</v>
      </c>
      <c r="AB3097" s="93">
        <f>AD3097/AC3094</f>
        <v>2.125</v>
      </c>
      <c r="AC3097" s="93">
        <f>AC3094/AA3097</f>
        <v>15.102137499999984</v>
      </c>
      <c r="AD3097" s="94">
        <f>AC3097*Z3097</f>
        <v>256.73633749999971</v>
      </c>
      <c r="AE3097" s="190"/>
      <c r="AF3097" s="191"/>
      <c r="AG3097" s="191"/>
      <c r="AH3097" s="191"/>
      <c r="AI3097" s="186"/>
      <c r="AK3097" s="171"/>
    </row>
    <row r="3098" spans="1:41" s="102" customFormat="1" ht="19.899999999999999" customHeight="1" x14ac:dyDescent="0.25">
      <c r="A3098" s="45"/>
      <c r="B3098" s="59"/>
      <c r="C3098" s="137"/>
      <c r="D3098" s="59"/>
      <c r="E3098" s="116"/>
      <c r="F3098" s="120"/>
      <c r="G3098" s="120"/>
      <c r="H3098" s="120"/>
      <c r="I3098" s="60"/>
      <c r="J3098" s="116"/>
      <c r="K3098" s="213"/>
      <c r="L3098" s="120"/>
      <c r="M3098" s="120"/>
      <c r="N3098" s="167"/>
      <c r="O3098" s="120"/>
      <c r="P3098" s="120"/>
      <c r="Q3098" s="120"/>
      <c r="R3098" s="120"/>
      <c r="S3098" s="120"/>
      <c r="T3098" s="221"/>
      <c r="U3098" s="89"/>
      <c r="V3098" s="61"/>
      <c r="W3098" s="92" t="s">
        <v>112</v>
      </c>
      <c r="X3098" s="93" t="s">
        <v>31</v>
      </c>
      <c r="Y3098" s="93" t="s">
        <v>93</v>
      </c>
      <c r="Z3098" s="134">
        <f>VLOOKUP(W3098,Sheet2!$B:$D,3,FALSE)</f>
        <v>13</v>
      </c>
      <c r="AA3098" s="93">
        <v>8</v>
      </c>
      <c r="AB3098" s="93">
        <f>AD3098/AC3094</f>
        <v>1.6249999999999998</v>
      </c>
      <c r="AC3098" s="93">
        <f>AC3094/AA3098</f>
        <v>15.102137499999984</v>
      </c>
      <c r="AD3098" s="94">
        <f>AC3098*Z3098</f>
        <v>196.32778749999977</v>
      </c>
      <c r="AE3098" s="190"/>
      <c r="AF3098" s="191"/>
      <c r="AG3098" s="191"/>
      <c r="AH3098" s="191"/>
      <c r="AI3098" s="186"/>
      <c r="AK3098" s="171"/>
    </row>
    <row r="3099" spans="1:41" s="102" customFormat="1" ht="19.899999999999999" customHeight="1" x14ac:dyDescent="0.25">
      <c r="A3099" s="45"/>
      <c r="B3099" s="59"/>
      <c r="C3099" s="137"/>
      <c r="D3099" s="59"/>
      <c r="E3099" s="116"/>
      <c r="F3099" s="120"/>
      <c r="G3099" s="120"/>
      <c r="H3099" s="120"/>
      <c r="I3099" s="60"/>
      <c r="J3099" s="116"/>
      <c r="K3099" s="213"/>
      <c r="L3099" s="120"/>
      <c r="M3099" s="120"/>
      <c r="N3099" s="167"/>
      <c r="O3099" s="120"/>
      <c r="P3099" s="120"/>
      <c r="Q3099" s="120"/>
      <c r="R3099" s="120"/>
      <c r="S3099" s="120"/>
      <c r="T3099" s="221"/>
      <c r="U3099" s="89"/>
      <c r="V3099" s="61"/>
      <c r="W3099" s="92" t="s">
        <v>1032</v>
      </c>
      <c r="X3099" s="93" t="s">
        <v>30</v>
      </c>
      <c r="Y3099" s="93" t="s">
        <v>66</v>
      </c>
      <c r="Z3099" s="134">
        <f>VLOOKUP(W3099,Sheet2!$B:$D,3,FALSE)</f>
        <v>250</v>
      </c>
      <c r="AA3099" s="93">
        <f>1/(1*1*0.1)</f>
        <v>10</v>
      </c>
      <c r="AB3099" s="93">
        <f>AD3099/AC3094</f>
        <v>25</v>
      </c>
      <c r="AC3099" s="93">
        <f>AC3094/AA3099</f>
        <v>12.081709999999987</v>
      </c>
      <c r="AD3099" s="94">
        <f>AC3099*Z3099</f>
        <v>3020.4274999999966</v>
      </c>
      <c r="AE3099" s="190"/>
      <c r="AF3099" s="191"/>
      <c r="AG3099" s="191"/>
      <c r="AH3099" s="191"/>
      <c r="AI3099" s="186"/>
      <c r="AK3099" s="171"/>
    </row>
    <row r="3100" spans="1:41" s="102" customFormat="1" ht="19.899999999999999" customHeight="1" x14ac:dyDescent="0.25">
      <c r="A3100" s="45"/>
      <c r="B3100" s="59"/>
      <c r="C3100" s="137"/>
      <c r="D3100" s="59"/>
      <c r="E3100" s="116"/>
      <c r="F3100" s="120"/>
      <c r="G3100" s="120"/>
      <c r="H3100" s="120"/>
      <c r="I3100" s="60"/>
      <c r="J3100" s="116"/>
      <c r="K3100" s="213"/>
      <c r="L3100" s="120"/>
      <c r="M3100" s="120"/>
      <c r="N3100" s="167"/>
      <c r="O3100" s="120"/>
      <c r="P3100" s="120"/>
      <c r="Q3100" s="120"/>
      <c r="R3100" s="120"/>
      <c r="S3100" s="120"/>
      <c r="T3100" s="221"/>
      <c r="U3100" s="89"/>
      <c r="V3100" s="61"/>
      <c r="W3100" s="92" t="s">
        <v>1035</v>
      </c>
      <c r="X3100" s="93" t="s">
        <v>32</v>
      </c>
      <c r="Y3100" s="93" t="s">
        <v>66</v>
      </c>
      <c r="Z3100" s="134">
        <f>VLOOKUP(W3100,Sheet2!$B:$D,3,FALSE)</f>
        <v>150</v>
      </c>
      <c r="AA3100" s="93">
        <f>AA3099</f>
        <v>10</v>
      </c>
      <c r="AB3100" s="93">
        <f>AD3100/AC3094</f>
        <v>15.000000000000002</v>
      </c>
      <c r="AC3100" s="93">
        <f>AC3094/AA3100</f>
        <v>12.081709999999987</v>
      </c>
      <c r="AD3100" s="94">
        <f t="shared" ref="AD3100:AD3101" si="2387">AC3100*Z3100</f>
        <v>1812.2564999999981</v>
      </c>
      <c r="AE3100" s="190"/>
      <c r="AF3100" s="191"/>
      <c r="AG3100" s="191"/>
      <c r="AH3100" s="191"/>
      <c r="AI3100" s="186"/>
      <c r="AK3100" s="171"/>
    </row>
    <row r="3101" spans="1:41" s="102" customFormat="1" ht="19.899999999999999" customHeight="1" x14ac:dyDescent="0.25">
      <c r="A3101" s="45"/>
      <c r="B3101" s="59"/>
      <c r="C3101" s="137"/>
      <c r="D3101" s="59"/>
      <c r="E3101" s="116"/>
      <c r="F3101" s="120"/>
      <c r="G3101" s="120"/>
      <c r="H3101" s="120"/>
      <c r="I3101" s="60"/>
      <c r="J3101" s="116"/>
      <c r="K3101" s="213"/>
      <c r="L3101" s="120"/>
      <c r="M3101" s="120"/>
      <c r="N3101" s="167"/>
      <c r="O3101" s="120"/>
      <c r="P3101" s="120"/>
      <c r="Q3101" s="120"/>
      <c r="R3101" s="120"/>
      <c r="S3101" s="120"/>
      <c r="T3101" s="221"/>
      <c r="U3101" s="89"/>
      <c r="V3101" s="61"/>
      <c r="W3101" s="92" t="s">
        <v>1037</v>
      </c>
      <c r="X3101" s="93" t="s">
        <v>30</v>
      </c>
      <c r="Y3101" s="93" t="s">
        <v>1038</v>
      </c>
      <c r="Z3101" s="134">
        <f>VLOOKUP(W3101,Sheet2!$B:$D,3,FALSE)</f>
        <v>175</v>
      </c>
      <c r="AA3101" s="93">
        <v>300</v>
      </c>
      <c r="AB3101" s="93">
        <f>AD3101/AC3094</f>
        <v>0.58333333333333326</v>
      </c>
      <c r="AC3101" s="93">
        <f>AC3094/AA3101</f>
        <v>0.4027236666666662</v>
      </c>
      <c r="AD3101" s="94">
        <f t="shared" si="2387"/>
        <v>70.47664166666658</v>
      </c>
      <c r="AE3101" s="190"/>
      <c r="AF3101" s="191"/>
      <c r="AG3101" s="191"/>
      <c r="AH3101" s="191"/>
      <c r="AI3101" s="186"/>
      <c r="AK3101" s="171"/>
    </row>
    <row r="3102" spans="1:41" s="103" customFormat="1" ht="19.899999999999999" customHeight="1" x14ac:dyDescent="0.25">
      <c r="A3102" s="51"/>
      <c r="B3102" s="52"/>
      <c r="C3102" s="165"/>
      <c r="D3102" s="52"/>
      <c r="E3102" s="115"/>
      <c r="F3102" s="58"/>
      <c r="G3102" s="58"/>
      <c r="H3102" s="58"/>
      <c r="I3102" s="55"/>
      <c r="J3102" s="113">
        <f>J3083</f>
        <v>120.81709999999987</v>
      </c>
      <c r="K3102" s="212">
        <f>K3083</f>
        <v>120.81709999999987</v>
      </c>
      <c r="L3102" s="58"/>
      <c r="M3102" s="58">
        <f>K3102-L3102</f>
        <v>120.81709999999987</v>
      </c>
      <c r="N3102" s="166"/>
      <c r="O3102" s="58"/>
      <c r="P3102" s="58"/>
      <c r="Q3102" s="58"/>
      <c r="R3102" s="58"/>
      <c r="S3102" s="58"/>
      <c r="T3102" s="220"/>
      <c r="U3102" s="88"/>
      <c r="V3102" s="56"/>
      <c r="W3102" s="57" t="s">
        <v>1040</v>
      </c>
      <c r="X3102" s="53"/>
      <c r="Y3102" s="91" t="s">
        <v>68</v>
      </c>
      <c r="Z3102" s="136">
        <f>AD3102/AC3102</f>
        <v>5</v>
      </c>
      <c r="AA3102" s="58"/>
      <c r="AB3102" s="53">
        <f>AD3102/AC3102</f>
        <v>5</v>
      </c>
      <c r="AC3102" s="53">
        <f>M3102+$AE$10</f>
        <v>120.81709999999987</v>
      </c>
      <c r="AD3102" s="54">
        <f>SUM(AD3103)</f>
        <v>604.08549999999934</v>
      </c>
      <c r="AE3102" s="184">
        <f>SUMIFS($AD$37:$AD$12971,$V$37:$V$12971,$V3102,$X$37:$X$12971,AE$13)</f>
        <v>0</v>
      </c>
      <c r="AF3102" s="185">
        <f>SUMIFS($AD$37:$AD$12971,$V$37:$V$12971,$V3102,$X$37:$X$12971,AF$13)</f>
        <v>0</v>
      </c>
      <c r="AG3102" s="185">
        <f>SUMIFS($AD$37:$AD$12971,$V$37:$V$12971,$V3102,$X$37:$X$12971,AG$13)</f>
        <v>0</v>
      </c>
      <c r="AH3102" s="187">
        <f>SUMIFS($AD$37:$AD$12971,$V$37:$V$12971,$V3102,$X$37:$X$12971,AH$13)</f>
        <v>0</v>
      </c>
      <c r="AI3102" s="161">
        <f t="shared" ref="AI3102" si="2388">SUM(AE3102:AH3102)</f>
        <v>0</v>
      </c>
      <c r="AK3102" s="172"/>
    </row>
    <row r="3103" spans="1:41" s="102" customFormat="1" ht="19.899999999999999" customHeight="1" x14ac:dyDescent="0.25">
      <c r="A3103" s="45"/>
      <c r="B3103" s="59"/>
      <c r="C3103" s="137"/>
      <c r="D3103" s="59"/>
      <c r="E3103" s="116"/>
      <c r="F3103" s="120"/>
      <c r="G3103" s="120"/>
      <c r="H3103" s="120"/>
      <c r="I3103" s="60"/>
      <c r="J3103" s="116"/>
      <c r="K3103" s="213"/>
      <c r="L3103" s="120"/>
      <c r="M3103" s="120"/>
      <c r="N3103" s="167"/>
      <c r="O3103" s="120"/>
      <c r="P3103" s="120"/>
      <c r="Q3103" s="120"/>
      <c r="R3103" s="120"/>
      <c r="S3103" s="120"/>
      <c r="T3103" s="221"/>
      <c r="U3103" s="89"/>
      <c r="V3103" s="61"/>
      <c r="W3103" s="92" t="s">
        <v>1039</v>
      </c>
      <c r="X3103" s="93" t="s">
        <v>32</v>
      </c>
      <c r="Y3103" s="93" t="s">
        <v>68</v>
      </c>
      <c r="Z3103" s="134">
        <f>VLOOKUP(W3103,Sheet2!$B:$D,3,FALSE)</f>
        <v>5</v>
      </c>
      <c r="AA3103" s="93">
        <v>1</v>
      </c>
      <c r="AB3103" s="93">
        <f>AD3103/AC3102</f>
        <v>5</v>
      </c>
      <c r="AC3103" s="93">
        <f>AC3102/AA3103</f>
        <v>120.81709999999987</v>
      </c>
      <c r="AD3103" s="94">
        <f t="shared" ref="AD3103" si="2389">AC3103*Z3103</f>
        <v>604.08549999999934</v>
      </c>
      <c r="AE3103" s="190"/>
      <c r="AF3103" s="191"/>
      <c r="AG3103" s="191"/>
      <c r="AH3103" s="191"/>
      <c r="AI3103" s="186"/>
      <c r="AK3103" s="171"/>
    </row>
    <row r="3104" spans="1:41" ht="20.100000000000001" customHeight="1" x14ac:dyDescent="0.25">
      <c r="A3104" s="277" t="s">
        <v>491</v>
      </c>
      <c r="B3104" s="278"/>
      <c r="C3104" s="64" t="s">
        <v>1216</v>
      </c>
      <c r="D3104" s="46" t="s">
        <v>97</v>
      </c>
      <c r="E3104" s="114">
        <v>156.40769999999998</v>
      </c>
      <c r="F3104" s="44">
        <v>631</v>
      </c>
      <c r="G3104" s="44">
        <f t="shared" si="1977"/>
        <v>98693.258699999991</v>
      </c>
      <c r="H3104" s="44">
        <f t="shared" si="1978"/>
        <v>188.98720784313724</v>
      </c>
      <c r="I3104" s="43">
        <f t="shared" si="1979"/>
        <v>29559.054508167053</v>
      </c>
      <c r="J3104" s="112">
        <f t="shared" si="1980"/>
        <v>156.40769999999998</v>
      </c>
      <c r="K3104" s="211">
        <f t="shared" si="1981"/>
        <v>156.40769999999998</v>
      </c>
      <c r="L3104" s="44"/>
      <c r="M3104" s="44">
        <f t="shared" si="1982"/>
        <v>156.40769999999998</v>
      </c>
      <c r="N3104" s="173">
        <f t="shared" si="1983"/>
        <v>1</v>
      </c>
      <c r="O3104" s="44">
        <f t="shared" si="1984"/>
        <v>631</v>
      </c>
      <c r="P3104" s="44">
        <f t="shared" si="1985"/>
        <v>98693.258699999991</v>
      </c>
      <c r="Q3104" s="44">
        <f t="shared" si="1986"/>
        <v>188.98720784313724</v>
      </c>
      <c r="R3104" s="44">
        <f t="shared" si="1987"/>
        <v>29559.054508167053</v>
      </c>
      <c r="S3104" s="123"/>
      <c r="T3104" s="219">
        <f t="shared" si="1988"/>
        <v>29559.054508167053</v>
      </c>
      <c r="U3104" s="87"/>
      <c r="V3104" s="47"/>
      <c r="W3104" s="48"/>
      <c r="X3104" s="48"/>
      <c r="Y3104" s="48"/>
      <c r="Z3104" s="135"/>
      <c r="AA3104" s="49"/>
      <c r="AB3104" s="50">
        <f t="shared" si="1989"/>
        <v>188.98720784313724</v>
      </c>
      <c r="AC3104" s="42">
        <f t="shared" si="1990"/>
        <v>156.40769999999998</v>
      </c>
      <c r="AD3104" s="90">
        <f>AD3105+AD3115+AD3123</f>
        <v>29559.054508167053</v>
      </c>
      <c r="AE3104" s="188">
        <f t="shared" ref="AE3104" si="2390">AE3105+AE3115+AE3123</f>
        <v>0</v>
      </c>
      <c r="AF3104" s="189">
        <f t="shared" ref="AF3104" si="2391">AF3105+AF3115+AF3123</f>
        <v>0</v>
      </c>
      <c r="AG3104" s="189">
        <f t="shared" ref="AG3104" si="2392">AG3105+AG3115+AG3123</f>
        <v>0</v>
      </c>
      <c r="AH3104" s="189">
        <f t="shared" ref="AH3104" si="2393">AH3105+AH3115+AH3123</f>
        <v>0</v>
      </c>
      <c r="AI3104" s="161">
        <f t="shared" ref="AI3104" si="2394">SUM(AE3104:AH3104)</f>
        <v>0</v>
      </c>
      <c r="AK3104" s="169">
        <v>5</v>
      </c>
      <c r="AO3104" s="19" t="s">
        <v>63</v>
      </c>
    </row>
    <row r="3105" spans="1:37" s="103" customFormat="1" ht="19.899999999999999" customHeight="1" x14ac:dyDescent="0.25">
      <c r="A3105" s="51"/>
      <c r="B3105" s="52"/>
      <c r="C3105" s="165"/>
      <c r="D3105" s="52"/>
      <c r="E3105" s="115"/>
      <c r="F3105" s="58"/>
      <c r="G3105" s="58"/>
      <c r="H3105" s="58"/>
      <c r="I3105" s="55"/>
      <c r="J3105" s="113">
        <f>J3104</f>
        <v>156.40769999999998</v>
      </c>
      <c r="K3105" s="212">
        <f>K3104</f>
        <v>156.40769999999998</v>
      </c>
      <c r="L3105" s="58"/>
      <c r="M3105" s="58">
        <f>K3105-L3105</f>
        <v>156.40769999999998</v>
      </c>
      <c r="N3105" s="166"/>
      <c r="O3105" s="58"/>
      <c r="P3105" s="58"/>
      <c r="Q3105" s="58"/>
      <c r="R3105" s="58"/>
      <c r="S3105" s="58"/>
      <c r="T3105" s="220"/>
      <c r="U3105" s="88"/>
      <c r="V3105" s="56"/>
      <c r="W3105" s="57" t="s">
        <v>1224</v>
      </c>
      <c r="X3105" s="53"/>
      <c r="Y3105" s="91" t="s">
        <v>68</v>
      </c>
      <c r="Z3105" s="136">
        <f>AD3105/AC3105</f>
        <v>95.653874509803927</v>
      </c>
      <c r="AA3105" s="58"/>
      <c r="AB3105" s="53">
        <f>AD3105/AC3105</f>
        <v>95.653874509803927</v>
      </c>
      <c r="AC3105" s="53">
        <f>M3105+$AE$10</f>
        <v>156.40769999999998</v>
      </c>
      <c r="AD3105" s="54">
        <f>SUM(AD3106:AD3114)</f>
        <v>14961.002508167057</v>
      </c>
      <c r="AE3105" s="184">
        <f>SUMIFS($AD$37:$AD$12971,$V$37:$V$12971,$V3105,$X$37:$X$12971,AE$13)</f>
        <v>0</v>
      </c>
      <c r="AF3105" s="185">
        <f>SUMIFS($AD$37:$AD$12971,$V$37:$V$12971,$V3105,$X$37:$X$12971,AF$13)</f>
        <v>0</v>
      </c>
      <c r="AG3105" s="185">
        <f>SUMIFS($AD$37:$AD$12971,$V$37:$V$12971,$V3105,$X$37:$X$12971,AG$13)</f>
        <v>0</v>
      </c>
      <c r="AH3105" s="187">
        <f>SUMIFS($AD$37:$AD$12971,$V$37:$V$12971,$V3105,$X$37:$X$12971,AH$13)</f>
        <v>0</v>
      </c>
      <c r="AI3105" s="161">
        <f t="shared" ref="AI3105" si="2395">SUM(AE3105:AH3105)</f>
        <v>0</v>
      </c>
      <c r="AK3105" s="172"/>
    </row>
    <row r="3106" spans="1:37" s="102" customFormat="1" ht="19.899999999999999" customHeight="1" x14ac:dyDescent="0.25">
      <c r="A3106" s="45"/>
      <c r="B3106" s="59"/>
      <c r="C3106" s="137"/>
      <c r="D3106" s="59"/>
      <c r="E3106" s="116"/>
      <c r="F3106" s="120"/>
      <c r="G3106" s="120"/>
      <c r="H3106" s="120"/>
      <c r="I3106" s="60"/>
      <c r="J3106" s="116"/>
      <c r="K3106" s="213"/>
      <c r="L3106" s="120"/>
      <c r="M3106" s="120"/>
      <c r="N3106" s="167"/>
      <c r="O3106" s="120"/>
      <c r="P3106" s="120"/>
      <c r="Q3106" s="120"/>
      <c r="R3106" s="120"/>
      <c r="S3106" s="120"/>
      <c r="T3106" s="221"/>
      <c r="U3106" s="89"/>
      <c r="V3106" s="61"/>
      <c r="W3106" s="92" t="s">
        <v>131</v>
      </c>
      <c r="X3106" s="93" t="s">
        <v>29</v>
      </c>
      <c r="Y3106" s="93" t="s">
        <v>93</v>
      </c>
      <c r="Z3106" s="134">
        <f>VLOOKUP(W3106,Sheet2!$B:$D,3,FALSE)</f>
        <v>131.19999999999999</v>
      </c>
      <c r="AA3106" s="93">
        <f>80/(1*5.5)</f>
        <v>14.545454545454545</v>
      </c>
      <c r="AB3106" s="93">
        <f t="shared" ref="AB3106" si="2396">AD3106/AC3105</f>
        <v>9.02</v>
      </c>
      <c r="AC3106" s="93">
        <f>AC3105/AA3106</f>
        <v>10.753029374999999</v>
      </c>
      <c r="AD3106" s="94">
        <f t="shared" ref="AD3106:AD3107" si="2397">AC3106*Z3106</f>
        <v>1410.7974539999998</v>
      </c>
      <c r="AE3106" s="190"/>
      <c r="AF3106" s="191"/>
      <c r="AG3106" s="191"/>
      <c r="AH3106" s="191"/>
      <c r="AI3106" s="186"/>
      <c r="AK3106" s="171"/>
    </row>
    <row r="3107" spans="1:37" s="102" customFormat="1" ht="19.899999999999999" customHeight="1" x14ac:dyDescent="0.25">
      <c r="A3107" s="45"/>
      <c r="B3107" s="59"/>
      <c r="C3107" s="137"/>
      <c r="D3107" s="59"/>
      <c r="E3107" s="116"/>
      <c r="F3107" s="120"/>
      <c r="G3107" s="120"/>
      <c r="H3107" s="120"/>
      <c r="I3107" s="60"/>
      <c r="J3107" s="116"/>
      <c r="K3107" s="213"/>
      <c r="L3107" s="120"/>
      <c r="M3107" s="120"/>
      <c r="N3107" s="167"/>
      <c r="O3107" s="120"/>
      <c r="P3107" s="120"/>
      <c r="Q3107" s="120"/>
      <c r="R3107" s="120"/>
      <c r="S3107" s="120"/>
      <c r="T3107" s="221"/>
      <c r="U3107" s="89"/>
      <c r="V3107" s="61"/>
      <c r="W3107" s="92" t="s">
        <v>65</v>
      </c>
      <c r="X3107" s="93" t="s">
        <v>30</v>
      </c>
      <c r="Y3107" s="93" t="s">
        <v>1011</v>
      </c>
      <c r="Z3107" s="134">
        <f>VLOOKUP(W3107,Sheet2!$B:$D,3,FALSE)</f>
        <v>1.76</v>
      </c>
      <c r="AA3107" s="93">
        <f>AA3106/32</f>
        <v>0.45454545454545453</v>
      </c>
      <c r="AB3107" s="93">
        <f>AD3107/AC3105</f>
        <v>3.8719999999999999</v>
      </c>
      <c r="AC3107" s="93">
        <f>AC3105/AA3107</f>
        <v>344.09693999999996</v>
      </c>
      <c r="AD3107" s="94">
        <f t="shared" si="2397"/>
        <v>605.61061439999992</v>
      </c>
      <c r="AE3107" s="190"/>
      <c r="AF3107" s="191"/>
      <c r="AG3107" s="191"/>
      <c r="AH3107" s="191"/>
      <c r="AI3107" s="186"/>
      <c r="AK3107" s="171"/>
    </row>
    <row r="3108" spans="1:37" s="102" customFormat="1" ht="19.899999999999999" customHeight="1" x14ac:dyDescent="0.25">
      <c r="A3108" s="45"/>
      <c r="B3108" s="59"/>
      <c r="C3108" s="137"/>
      <c r="D3108" s="59"/>
      <c r="E3108" s="116"/>
      <c r="F3108" s="120"/>
      <c r="G3108" s="120"/>
      <c r="H3108" s="120"/>
      <c r="I3108" s="60"/>
      <c r="J3108" s="116"/>
      <c r="K3108" s="213"/>
      <c r="L3108" s="120"/>
      <c r="M3108" s="120"/>
      <c r="N3108" s="167"/>
      <c r="O3108" s="120"/>
      <c r="P3108" s="120"/>
      <c r="Q3108" s="120"/>
      <c r="R3108" s="120"/>
      <c r="S3108" s="120"/>
      <c r="T3108" s="221"/>
      <c r="U3108" s="89"/>
      <c r="V3108" s="61"/>
      <c r="W3108" s="92" t="s">
        <v>161</v>
      </c>
      <c r="X3108" s="93" t="s">
        <v>29</v>
      </c>
      <c r="Y3108" s="93" t="s">
        <v>93</v>
      </c>
      <c r="Z3108" s="134">
        <f>VLOOKUP(W3108,Sheet2!$B:$D,3,FALSE)</f>
        <v>48</v>
      </c>
      <c r="AA3108" s="93">
        <f>(16*0.85*1.5)/(1*5.5)</f>
        <v>3.709090909090909</v>
      </c>
      <c r="AB3108" s="93">
        <f>AD3108/AC3105</f>
        <v>12.941176470588236</v>
      </c>
      <c r="AC3108" s="93">
        <f>AC3105/AA3108</f>
        <v>42.168742647058821</v>
      </c>
      <c r="AD3108" s="94">
        <f>AC3108*Z3108</f>
        <v>2024.0996470588234</v>
      </c>
      <c r="AE3108" s="190"/>
      <c r="AF3108" s="191"/>
      <c r="AG3108" s="191"/>
      <c r="AH3108" s="191"/>
      <c r="AI3108" s="186"/>
      <c r="AK3108" s="171"/>
    </row>
    <row r="3109" spans="1:37" s="102" customFormat="1" ht="19.899999999999999" customHeight="1" x14ac:dyDescent="0.25">
      <c r="A3109" s="45"/>
      <c r="B3109" s="59"/>
      <c r="C3109" s="137"/>
      <c r="D3109" s="59"/>
      <c r="E3109" s="116"/>
      <c r="F3109" s="120"/>
      <c r="G3109" s="120"/>
      <c r="H3109" s="120"/>
      <c r="I3109" s="60"/>
      <c r="J3109" s="116"/>
      <c r="K3109" s="213"/>
      <c r="L3109" s="120"/>
      <c r="M3109" s="120"/>
      <c r="N3109" s="167"/>
      <c r="O3109" s="120"/>
      <c r="P3109" s="120"/>
      <c r="Q3109" s="120"/>
      <c r="R3109" s="120"/>
      <c r="S3109" s="120"/>
      <c r="T3109" s="221"/>
      <c r="U3109" s="89"/>
      <c r="V3109" s="61"/>
      <c r="W3109" s="92" t="s">
        <v>65</v>
      </c>
      <c r="X3109" s="93" t="s">
        <v>30</v>
      </c>
      <c r="Y3109" s="93" t="s">
        <v>1011</v>
      </c>
      <c r="Z3109" s="134">
        <f>VLOOKUP(W3109,Sheet2!$B:$D,3,FALSE)</f>
        <v>1.76</v>
      </c>
      <c r="AA3109" s="93">
        <f>AA3108/10</f>
        <v>0.37090909090909091</v>
      </c>
      <c r="AB3109" s="93">
        <f>AD3109/AC3105</f>
        <v>4.7450980392156863</v>
      </c>
      <c r="AC3109" s="93">
        <f>AC3105/AA3109</f>
        <v>421.68742647058815</v>
      </c>
      <c r="AD3109" s="94">
        <f>AC3109*Z3109</f>
        <v>742.1698705882352</v>
      </c>
      <c r="AE3109" s="190"/>
      <c r="AF3109" s="191"/>
      <c r="AG3109" s="191"/>
      <c r="AH3109" s="191"/>
      <c r="AI3109" s="186"/>
      <c r="AK3109" s="171"/>
    </row>
    <row r="3110" spans="1:37" s="102" customFormat="1" ht="19.899999999999999" customHeight="1" x14ac:dyDescent="0.25">
      <c r="A3110" s="45"/>
      <c r="B3110" s="59"/>
      <c r="C3110" s="137"/>
      <c r="D3110" s="59"/>
      <c r="E3110" s="116"/>
      <c r="F3110" s="120"/>
      <c r="G3110" s="120"/>
      <c r="H3110" s="120"/>
      <c r="I3110" s="60"/>
      <c r="J3110" s="116"/>
      <c r="K3110" s="213"/>
      <c r="L3110" s="120"/>
      <c r="M3110" s="120"/>
      <c r="N3110" s="167"/>
      <c r="O3110" s="120"/>
      <c r="P3110" s="120"/>
      <c r="Q3110" s="120"/>
      <c r="R3110" s="120"/>
      <c r="S3110" s="120"/>
      <c r="T3110" s="221"/>
      <c r="U3110" s="89"/>
      <c r="V3110" s="61"/>
      <c r="W3110" s="92" t="s">
        <v>1030</v>
      </c>
      <c r="X3110" s="93" t="s">
        <v>29</v>
      </c>
      <c r="Y3110" s="93" t="s">
        <v>93</v>
      </c>
      <c r="Z3110" s="134">
        <f>VLOOKUP(W3110,Sheet2!$B:$D,3,FALSE)</f>
        <v>23</v>
      </c>
      <c r="AA3110" s="93">
        <v>50</v>
      </c>
      <c r="AB3110" s="93">
        <f>AD3110/AC3105</f>
        <v>0.45999999999999996</v>
      </c>
      <c r="AC3110" s="93">
        <f>AC3105/AA3110</f>
        <v>3.1281539999999994</v>
      </c>
      <c r="AD3110" s="94">
        <f t="shared" ref="AD3110:AD3114" si="2398">AC3110*Z3110</f>
        <v>71.947541999999984</v>
      </c>
      <c r="AE3110" s="190"/>
      <c r="AF3110" s="191"/>
      <c r="AG3110" s="191"/>
      <c r="AH3110" s="191"/>
      <c r="AI3110" s="186"/>
      <c r="AK3110" s="171"/>
    </row>
    <row r="3111" spans="1:37" s="102" customFormat="1" ht="19.899999999999999" customHeight="1" x14ac:dyDescent="0.25">
      <c r="A3111" s="45"/>
      <c r="B3111" s="59"/>
      <c r="C3111" s="137"/>
      <c r="D3111" s="59"/>
      <c r="E3111" s="116"/>
      <c r="F3111" s="120"/>
      <c r="G3111" s="120"/>
      <c r="H3111" s="120"/>
      <c r="I3111" s="60"/>
      <c r="J3111" s="116"/>
      <c r="K3111" s="213"/>
      <c r="L3111" s="120"/>
      <c r="M3111" s="120"/>
      <c r="N3111" s="167"/>
      <c r="O3111" s="120"/>
      <c r="P3111" s="120"/>
      <c r="Q3111" s="120"/>
      <c r="R3111" s="120"/>
      <c r="S3111" s="120"/>
      <c r="T3111" s="221"/>
      <c r="U3111" s="89"/>
      <c r="V3111" s="61"/>
      <c r="W3111" s="92" t="s">
        <v>65</v>
      </c>
      <c r="X3111" s="93" t="s">
        <v>30</v>
      </c>
      <c r="Y3111" s="93" t="s">
        <v>1011</v>
      </c>
      <c r="Z3111" s="134">
        <f>VLOOKUP(W3111,Sheet2!$B:$D,3,FALSE)</f>
        <v>1.76</v>
      </c>
      <c r="AA3111" s="93">
        <f>AA3110/3</f>
        <v>16.666666666666668</v>
      </c>
      <c r="AB3111" s="93">
        <f>AD3111/AC3105</f>
        <v>0.1056</v>
      </c>
      <c r="AC3111" s="93">
        <f>AC3105/AA3111</f>
        <v>9.3844619999999974</v>
      </c>
      <c r="AD3111" s="94">
        <f t="shared" si="2398"/>
        <v>16.516653119999997</v>
      </c>
      <c r="AE3111" s="190"/>
      <c r="AF3111" s="191"/>
      <c r="AG3111" s="191"/>
      <c r="AH3111" s="191"/>
      <c r="AI3111" s="186"/>
      <c r="AK3111" s="171"/>
    </row>
    <row r="3112" spans="1:37" s="102" customFormat="1" ht="19.899999999999999" customHeight="1" x14ac:dyDescent="0.25">
      <c r="A3112" s="45"/>
      <c r="B3112" s="59"/>
      <c r="C3112" s="137"/>
      <c r="D3112" s="59"/>
      <c r="E3112" s="116"/>
      <c r="F3112" s="120"/>
      <c r="G3112" s="120"/>
      <c r="H3112" s="120"/>
      <c r="I3112" s="60"/>
      <c r="J3112" s="116"/>
      <c r="K3112" s="213"/>
      <c r="L3112" s="120"/>
      <c r="M3112" s="120"/>
      <c r="N3112" s="167"/>
      <c r="O3112" s="120"/>
      <c r="P3112" s="120"/>
      <c r="Q3112" s="120"/>
      <c r="R3112" s="120"/>
      <c r="S3112" s="120"/>
      <c r="T3112" s="221"/>
      <c r="U3112" s="89"/>
      <c r="V3112" s="61"/>
      <c r="W3112" s="92" t="s">
        <v>148</v>
      </c>
      <c r="X3112" s="93" t="s">
        <v>29</v>
      </c>
      <c r="Y3112" s="93" t="s">
        <v>93</v>
      </c>
      <c r="Z3112" s="134">
        <f>VLOOKUP(W3112,Sheet2!$B:$D,3,FALSE)</f>
        <v>48</v>
      </c>
      <c r="AA3112" s="93">
        <f>AA3106</f>
        <v>14.545454545454545</v>
      </c>
      <c r="AB3112" s="93">
        <f>AD3112/AC3105</f>
        <v>3.3000000000000003</v>
      </c>
      <c r="AC3112" s="93">
        <f>AC3105/AA3112</f>
        <v>10.753029374999999</v>
      </c>
      <c r="AD3112" s="94">
        <f t="shared" si="2398"/>
        <v>516.14540999999997</v>
      </c>
      <c r="AE3112" s="190"/>
      <c r="AF3112" s="191"/>
      <c r="AG3112" s="191"/>
      <c r="AH3112" s="191"/>
      <c r="AI3112" s="186"/>
      <c r="AK3112" s="171"/>
    </row>
    <row r="3113" spans="1:37" s="102" customFormat="1" ht="19.899999999999999" customHeight="1" x14ac:dyDescent="0.25">
      <c r="A3113" s="45"/>
      <c r="B3113" s="59"/>
      <c r="C3113" s="137"/>
      <c r="D3113" s="59"/>
      <c r="E3113" s="116"/>
      <c r="F3113" s="120"/>
      <c r="G3113" s="120"/>
      <c r="H3113" s="120"/>
      <c r="I3113" s="60"/>
      <c r="J3113" s="116"/>
      <c r="K3113" s="213"/>
      <c r="L3113" s="120"/>
      <c r="M3113" s="120"/>
      <c r="N3113" s="167"/>
      <c r="O3113" s="120"/>
      <c r="P3113" s="120"/>
      <c r="Q3113" s="120"/>
      <c r="R3113" s="120"/>
      <c r="S3113" s="120"/>
      <c r="T3113" s="221"/>
      <c r="U3113" s="89"/>
      <c r="V3113" s="61"/>
      <c r="W3113" s="92" t="s">
        <v>65</v>
      </c>
      <c r="X3113" s="93" t="s">
        <v>30</v>
      </c>
      <c r="Y3113" s="93" t="s">
        <v>1011</v>
      </c>
      <c r="Z3113" s="134">
        <f>VLOOKUP(W3113,Sheet2!$B:$D,3,FALSE)</f>
        <v>1.76</v>
      </c>
      <c r="AA3113" s="93">
        <f>AA3112/10</f>
        <v>1.4545454545454546</v>
      </c>
      <c r="AB3113" s="93">
        <f>AD3113/AC3105</f>
        <v>1.21</v>
      </c>
      <c r="AC3113" s="93">
        <f>AC3105/AA3113</f>
        <v>107.53029374999998</v>
      </c>
      <c r="AD3113" s="94">
        <f t="shared" si="2398"/>
        <v>189.25331699999998</v>
      </c>
      <c r="AE3113" s="190"/>
      <c r="AF3113" s="191"/>
      <c r="AG3113" s="191"/>
      <c r="AH3113" s="191"/>
      <c r="AI3113" s="186"/>
      <c r="AK3113" s="171"/>
    </row>
    <row r="3114" spans="1:37" s="102" customFormat="1" ht="19.899999999999999" customHeight="1" x14ac:dyDescent="0.25">
      <c r="A3114" s="45"/>
      <c r="B3114" s="59"/>
      <c r="C3114" s="137"/>
      <c r="D3114" s="59"/>
      <c r="E3114" s="116"/>
      <c r="F3114" s="120"/>
      <c r="G3114" s="120"/>
      <c r="H3114" s="120"/>
      <c r="I3114" s="60"/>
      <c r="J3114" s="116"/>
      <c r="K3114" s="213"/>
      <c r="L3114" s="120"/>
      <c r="M3114" s="120"/>
      <c r="N3114" s="167"/>
      <c r="O3114" s="120"/>
      <c r="P3114" s="120"/>
      <c r="Q3114" s="120"/>
      <c r="R3114" s="120"/>
      <c r="S3114" s="120"/>
      <c r="T3114" s="221"/>
      <c r="U3114" s="89"/>
      <c r="V3114" s="61"/>
      <c r="W3114" s="92" t="s">
        <v>1049</v>
      </c>
      <c r="X3114" s="93" t="s">
        <v>30</v>
      </c>
      <c r="Y3114" s="93" t="s">
        <v>68</v>
      </c>
      <c r="Z3114" s="134">
        <f>VLOOKUP(W3114,Sheet2!$B:$D,3,FALSE)</f>
        <v>60</v>
      </c>
      <c r="AA3114" s="93">
        <v>1</v>
      </c>
      <c r="AB3114" s="93">
        <f>AD3114/AC3105</f>
        <v>60.000000000000007</v>
      </c>
      <c r="AC3114" s="93">
        <f>AC3105/AA3114</f>
        <v>156.40769999999998</v>
      </c>
      <c r="AD3114" s="94">
        <f t="shared" si="2398"/>
        <v>9384.4619999999995</v>
      </c>
      <c r="AE3114" s="190"/>
      <c r="AF3114" s="191"/>
      <c r="AG3114" s="191"/>
      <c r="AH3114" s="191"/>
      <c r="AI3114" s="186"/>
      <c r="AK3114" s="171"/>
    </row>
    <row r="3115" spans="1:37" s="103" customFormat="1" ht="19.899999999999999" customHeight="1" x14ac:dyDescent="0.25">
      <c r="A3115" s="51"/>
      <c r="B3115" s="52"/>
      <c r="C3115" s="165"/>
      <c r="D3115" s="52"/>
      <c r="E3115" s="115"/>
      <c r="F3115" s="58"/>
      <c r="G3115" s="58"/>
      <c r="H3115" s="58"/>
      <c r="I3115" s="55"/>
      <c r="J3115" s="113">
        <f>J3104</f>
        <v>156.40769999999998</v>
      </c>
      <c r="K3115" s="212">
        <f>K3104</f>
        <v>156.40769999999998</v>
      </c>
      <c r="L3115" s="58"/>
      <c r="M3115" s="58">
        <f>K3115-L3115</f>
        <v>156.40769999999998</v>
      </c>
      <c r="N3115" s="166"/>
      <c r="O3115" s="58"/>
      <c r="P3115" s="58"/>
      <c r="Q3115" s="58"/>
      <c r="R3115" s="58"/>
      <c r="S3115" s="58"/>
      <c r="T3115" s="220"/>
      <c r="U3115" s="88"/>
      <c r="V3115" s="56"/>
      <c r="W3115" s="57" t="s">
        <v>1036</v>
      </c>
      <c r="X3115" s="53"/>
      <c r="Y3115" s="91" t="s">
        <v>68</v>
      </c>
      <c r="Z3115" s="136">
        <f>AD3115/AC3115</f>
        <v>88.333333333333343</v>
      </c>
      <c r="AA3115" s="58"/>
      <c r="AB3115" s="53">
        <f>AD3115/AC3115</f>
        <v>88.333333333333343</v>
      </c>
      <c r="AC3115" s="53">
        <f>M3115+$AE$10</f>
        <v>156.40769999999998</v>
      </c>
      <c r="AD3115" s="54">
        <f>SUM(AD3116:AD3122)</f>
        <v>13816.013499999999</v>
      </c>
      <c r="AE3115" s="184">
        <f>SUMIFS($AD$37:$AD$12971,$V$37:$V$12971,$V3115,$X$37:$X$12971,AE$13)</f>
        <v>0</v>
      </c>
      <c r="AF3115" s="185">
        <f>SUMIFS($AD$37:$AD$12971,$V$37:$V$12971,$V3115,$X$37:$X$12971,AF$13)</f>
        <v>0</v>
      </c>
      <c r="AG3115" s="185">
        <f>SUMIFS($AD$37:$AD$12971,$V$37:$V$12971,$V3115,$X$37:$X$12971,AG$13)</f>
        <v>0</v>
      </c>
      <c r="AH3115" s="187">
        <f>SUMIFS($AD$37:$AD$12971,$V$37:$V$12971,$V3115,$X$37:$X$12971,AH$13)</f>
        <v>0</v>
      </c>
      <c r="AI3115" s="161">
        <f t="shared" ref="AI3115" si="2399">SUM(AE3115:AH3115)</f>
        <v>0</v>
      </c>
      <c r="AK3115" s="172"/>
    </row>
    <row r="3116" spans="1:37" s="102" customFormat="1" ht="19.899999999999999" customHeight="1" x14ac:dyDescent="0.25">
      <c r="A3116" s="45"/>
      <c r="B3116" s="59"/>
      <c r="C3116" s="137"/>
      <c r="D3116" s="59"/>
      <c r="E3116" s="116"/>
      <c r="F3116" s="120"/>
      <c r="G3116" s="120"/>
      <c r="H3116" s="120"/>
      <c r="I3116" s="60"/>
      <c r="J3116" s="116"/>
      <c r="K3116" s="213"/>
      <c r="L3116" s="120"/>
      <c r="M3116" s="120"/>
      <c r="N3116" s="167"/>
      <c r="O3116" s="120"/>
      <c r="P3116" s="120"/>
      <c r="Q3116" s="120"/>
      <c r="R3116" s="120"/>
      <c r="S3116" s="120"/>
      <c r="T3116" s="221"/>
      <c r="U3116" s="89"/>
      <c r="V3116" s="61"/>
      <c r="W3116" s="92" t="s">
        <v>1220</v>
      </c>
      <c r="X3116" s="93" t="s">
        <v>30</v>
      </c>
      <c r="Y3116" s="93" t="s">
        <v>68</v>
      </c>
      <c r="Z3116" s="134">
        <f>VLOOKUP(W3116,Sheet2!$B:$D,3,FALSE)</f>
        <v>40</v>
      </c>
      <c r="AA3116" s="93">
        <v>1</v>
      </c>
      <c r="AB3116" s="93">
        <f>AD3116/AC3115</f>
        <v>40</v>
      </c>
      <c r="AC3116" s="93">
        <f>AC3115/AA3116</f>
        <v>156.40769999999998</v>
      </c>
      <c r="AD3116" s="94">
        <f t="shared" ref="AD3116" si="2400">AC3116*Z3116</f>
        <v>6256.3079999999991</v>
      </c>
      <c r="AE3116" s="190"/>
      <c r="AF3116" s="191"/>
      <c r="AG3116" s="191"/>
      <c r="AH3116" s="191"/>
      <c r="AI3116" s="186"/>
      <c r="AK3116" s="171"/>
    </row>
    <row r="3117" spans="1:37" s="102" customFormat="1" ht="19.899999999999999" customHeight="1" x14ac:dyDescent="0.25">
      <c r="A3117" s="45"/>
      <c r="B3117" s="59"/>
      <c r="C3117" s="137"/>
      <c r="D3117" s="59"/>
      <c r="E3117" s="116"/>
      <c r="F3117" s="120"/>
      <c r="G3117" s="120"/>
      <c r="H3117" s="120"/>
      <c r="I3117" s="60"/>
      <c r="J3117" s="116"/>
      <c r="K3117" s="213"/>
      <c r="L3117" s="120"/>
      <c r="M3117" s="120"/>
      <c r="N3117" s="167"/>
      <c r="O3117" s="120"/>
      <c r="P3117" s="120"/>
      <c r="Q3117" s="120"/>
      <c r="R3117" s="120"/>
      <c r="S3117" s="120"/>
      <c r="T3117" s="221"/>
      <c r="U3117" s="89"/>
      <c r="V3117" s="61"/>
      <c r="W3117" s="92" t="s">
        <v>1221</v>
      </c>
      <c r="X3117" s="93" t="s">
        <v>30</v>
      </c>
      <c r="Y3117" s="93" t="s">
        <v>68</v>
      </c>
      <c r="Z3117" s="134">
        <f>VLOOKUP(W3117,Sheet2!$B:$D,3,FALSE)</f>
        <v>4</v>
      </c>
      <c r="AA3117" s="93">
        <v>1</v>
      </c>
      <c r="AB3117" s="93">
        <f>AD3117/AC3115</f>
        <v>4</v>
      </c>
      <c r="AC3117" s="93">
        <f>AC3115/AA3117</f>
        <v>156.40769999999998</v>
      </c>
      <c r="AD3117" s="94">
        <f>AC3117*Z3117</f>
        <v>625.63079999999991</v>
      </c>
      <c r="AE3117" s="190"/>
      <c r="AF3117" s="191"/>
      <c r="AG3117" s="191"/>
      <c r="AH3117" s="191"/>
      <c r="AI3117" s="186"/>
      <c r="AK3117" s="171"/>
    </row>
    <row r="3118" spans="1:37" s="102" customFormat="1" ht="19.899999999999999" customHeight="1" x14ac:dyDescent="0.25">
      <c r="A3118" s="45"/>
      <c r="B3118" s="59"/>
      <c r="C3118" s="137"/>
      <c r="D3118" s="59"/>
      <c r="E3118" s="116"/>
      <c r="F3118" s="120"/>
      <c r="G3118" s="120"/>
      <c r="H3118" s="120"/>
      <c r="I3118" s="60"/>
      <c r="J3118" s="116"/>
      <c r="K3118" s="213"/>
      <c r="L3118" s="120"/>
      <c r="M3118" s="120"/>
      <c r="N3118" s="167"/>
      <c r="O3118" s="120"/>
      <c r="P3118" s="120"/>
      <c r="Q3118" s="120"/>
      <c r="R3118" s="120"/>
      <c r="S3118" s="120"/>
      <c r="T3118" s="221"/>
      <c r="U3118" s="89"/>
      <c r="V3118" s="61"/>
      <c r="W3118" s="92" t="s">
        <v>107</v>
      </c>
      <c r="X3118" s="93" t="s">
        <v>31</v>
      </c>
      <c r="Y3118" s="93" t="s">
        <v>93</v>
      </c>
      <c r="Z3118" s="134">
        <f>VLOOKUP(W3118,Sheet2!$B:$D,3,FALSE)</f>
        <v>17</v>
      </c>
      <c r="AA3118" s="93">
        <v>8</v>
      </c>
      <c r="AB3118" s="93">
        <f>AD3118/AC3115</f>
        <v>2.125</v>
      </c>
      <c r="AC3118" s="93">
        <f>AC3115/AA3118</f>
        <v>19.550962499999997</v>
      </c>
      <c r="AD3118" s="94">
        <f>AC3118*Z3118</f>
        <v>332.36636249999992</v>
      </c>
      <c r="AE3118" s="190"/>
      <c r="AF3118" s="191"/>
      <c r="AG3118" s="191"/>
      <c r="AH3118" s="191"/>
      <c r="AI3118" s="186"/>
      <c r="AK3118" s="171"/>
    </row>
    <row r="3119" spans="1:37" s="102" customFormat="1" ht="19.899999999999999" customHeight="1" x14ac:dyDescent="0.25">
      <c r="A3119" s="45"/>
      <c r="B3119" s="59"/>
      <c r="C3119" s="137"/>
      <c r="D3119" s="59"/>
      <c r="E3119" s="116"/>
      <c r="F3119" s="120"/>
      <c r="G3119" s="120"/>
      <c r="H3119" s="120"/>
      <c r="I3119" s="60"/>
      <c r="J3119" s="116"/>
      <c r="K3119" s="213"/>
      <c r="L3119" s="120"/>
      <c r="M3119" s="120"/>
      <c r="N3119" s="167"/>
      <c r="O3119" s="120"/>
      <c r="P3119" s="120"/>
      <c r="Q3119" s="120"/>
      <c r="R3119" s="120"/>
      <c r="S3119" s="120"/>
      <c r="T3119" s="221"/>
      <c r="U3119" s="89"/>
      <c r="V3119" s="61"/>
      <c r="W3119" s="92" t="s">
        <v>112</v>
      </c>
      <c r="X3119" s="93" t="s">
        <v>31</v>
      </c>
      <c r="Y3119" s="93" t="s">
        <v>93</v>
      </c>
      <c r="Z3119" s="134">
        <f>VLOOKUP(W3119,Sheet2!$B:$D,3,FALSE)</f>
        <v>13</v>
      </c>
      <c r="AA3119" s="93">
        <v>8</v>
      </c>
      <c r="AB3119" s="93">
        <f>AD3119/AC3115</f>
        <v>1.625</v>
      </c>
      <c r="AC3119" s="93">
        <f>AC3115/AA3119</f>
        <v>19.550962499999997</v>
      </c>
      <c r="AD3119" s="94">
        <f>AC3119*Z3119</f>
        <v>254.16251249999996</v>
      </c>
      <c r="AE3119" s="190"/>
      <c r="AF3119" s="191"/>
      <c r="AG3119" s="191"/>
      <c r="AH3119" s="191"/>
      <c r="AI3119" s="186"/>
      <c r="AK3119" s="171"/>
    </row>
    <row r="3120" spans="1:37" s="102" customFormat="1" ht="19.899999999999999" customHeight="1" x14ac:dyDescent="0.25">
      <c r="A3120" s="45"/>
      <c r="B3120" s="59"/>
      <c r="C3120" s="137"/>
      <c r="D3120" s="59"/>
      <c r="E3120" s="116"/>
      <c r="F3120" s="120"/>
      <c r="G3120" s="120"/>
      <c r="H3120" s="120"/>
      <c r="I3120" s="60"/>
      <c r="J3120" s="116"/>
      <c r="K3120" s="213"/>
      <c r="L3120" s="120"/>
      <c r="M3120" s="120"/>
      <c r="N3120" s="167"/>
      <c r="O3120" s="120"/>
      <c r="P3120" s="120"/>
      <c r="Q3120" s="120"/>
      <c r="R3120" s="120"/>
      <c r="S3120" s="120"/>
      <c r="T3120" s="221"/>
      <c r="U3120" s="89"/>
      <c r="V3120" s="61"/>
      <c r="W3120" s="92" t="s">
        <v>1032</v>
      </c>
      <c r="X3120" s="93" t="s">
        <v>30</v>
      </c>
      <c r="Y3120" s="93" t="s">
        <v>66</v>
      </c>
      <c r="Z3120" s="134">
        <f>VLOOKUP(W3120,Sheet2!$B:$D,3,FALSE)</f>
        <v>250</v>
      </c>
      <c r="AA3120" s="93">
        <f>1/(1*1*0.1)</f>
        <v>10</v>
      </c>
      <c r="AB3120" s="93">
        <f>AD3120/AC3115</f>
        <v>25</v>
      </c>
      <c r="AC3120" s="93">
        <f>AC3115/AA3120</f>
        <v>15.640769999999998</v>
      </c>
      <c r="AD3120" s="94">
        <f>AC3120*Z3120</f>
        <v>3910.1924999999997</v>
      </c>
      <c r="AE3120" s="190"/>
      <c r="AF3120" s="191"/>
      <c r="AG3120" s="191"/>
      <c r="AH3120" s="191"/>
      <c r="AI3120" s="186"/>
      <c r="AK3120" s="171"/>
    </row>
    <row r="3121" spans="1:41" s="102" customFormat="1" ht="19.899999999999999" customHeight="1" x14ac:dyDescent="0.25">
      <c r="A3121" s="45"/>
      <c r="B3121" s="59"/>
      <c r="C3121" s="137"/>
      <c r="D3121" s="59"/>
      <c r="E3121" s="116"/>
      <c r="F3121" s="120"/>
      <c r="G3121" s="120"/>
      <c r="H3121" s="120"/>
      <c r="I3121" s="60"/>
      <c r="J3121" s="116"/>
      <c r="K3121" s="213"/>
      <c r="L3121" s="120"/>
      <c r="M3121" s="120"/>
      <c r="N3121" s="167"/>
      <c r="O3121" s="120"/>
      <c r="P3121" s="120"/>
      <c r="Q3121" s="120"/>
      <c r="R3121" s="120"/>
      <c r="S3121" s="120"/>
      <c r="T3121" s="221"/>
      <c r="U3121" s="89"/>
      <c r="V3121" s="61"/>
      <c r="W3121" s="92" t="s">
        <v>1035</v>
      </c>
      <c r="X3121" s="93" t="s">
        <v>32</v>
      </c>
      <c r="Y3121" s="93" t="s">
        <v>66</v>
      </c>
      <c r="Z3121" s="134">
        <f>VLOOKUP(W3121,Sheet2!$B:$D,3,FALSE)</f>
        <v>150</v>
      </c>
      <c r="AA3121" s="93">
        <f>AA3120</f>
        <v>10</v>
      </c>
      <c r="AB3121" s="93">
        <f>AD3121/AC3115</f>
        <v>15.000000000000002</v>
      </c>
      <c r="AC3121" s="93">
        <f>AC3115/AA3121</f>
        <v>15.640769999999998</v>
      </c>
      <c r="AD3121" s="94">
        <f t="shared" ref="AD3121:AD3122" si="2401">AC3121*Z3121</f>
        <v>2346.1154999999999</v>
      </c>
      <c r="AE3121" s="190"/>
      <c r="AF3121" s="191"/>
      <c r="AG3121" s="191"/>
      <c r="AH3121" s="191"/>
      <c r="AI3121" s="186"/>
      <c r="AK3121" s="171"/>
    </row>
    <row r="3122" spans="1:41" s="102" customFormat="1" ht="19.899999999999999" customHeight="1" x14ac:dyDescent="0.25">
      <c r="A3122" s="45"/>
      <c r="B3122" s="59"/>
      <c r="C3122" s="137"/>
      <c r="D3122" s="59"/>
      <c r="E3122" s="116"/>
      <c r="F3122" s="120"/>
      <c r="G3122" s="120"/>
      <c r="H3122" s="120"/>
      <c r="I3122" s="60"/>
      <c r="J3122" s="116"/>
      <c r="K3122" s="213"/>
      <c r="L3122" s="120"/>
      <c r="M3122" s="120"/>
      <c r="N3122" s="167"/>
      <c r="O3122" s="120"/>
      <c r="P3122" s="120"/>
      <c r="Q3122" s="120"/>
      <c r="R3122" s="120"/>
      <c r="S3122" s="120"/>
      <c r="T3122" s="221"/>
      <c r="U3122" s="89"/>
      <c r="V3122" s="61"/>
      <c r="W3122" s="92" t="s">
        <v>1037</v>
      </c>
      <c r="X3122" s="93" t="s">
        <v>30</v>
      </c>
      <c r="Y3122" s="93" t="s">
        <v>1038</v>
      </c>
      <c r="Z3122" s="134">
        <f>VLOOKUP(W3122,Sheet2!$B:$D,3,FALSE)</f>
        <v>175</v>
      </c>
      <c r="AA3122" s="93">
        <v>300</v>
      </c>
      <c r="AB3122" s="93">
        <f>AD3122/AC3115</f>
        <v>0.58333333333333337</v>
      </c>
      <c r="AC3122" s="93">
        <f>AC3115/AA3122</f>
        <v>0.52135899999999991</v>
      </c>
      <c r="AD3122" s="94">
        <f t="shared" si="2401"/>
        <v>91.237824999999987</v>
      </c>
      <c r="AE3122" s="190"/>
      <c r="AF3122" s="191"/>
      <c r="AG3122" s="191"/>
      <c r="AH3122" s="191"/>
      <c r="AI3122" s="186"/>
      <c r="AK3122" s="171"/>
    </row>
    <row r="3123" spans="1:41" s="103" customFormat="1" ht="19.899999999999999" customHeight="1" x14ac:dyDescent="0.25">
      <c r="A3123" s="51"/>
      <c r="B3123" s="52"/>
      <c r="C3123" s="165"/>
      <c r="D3123" s="52"/>
      <c r="E3123" s="115"/>
      <c r="F3123" s="58"/>
      <c r="G3123" s="58"/>
      <c r="H3123" s="58"/>
      <c r="I3123" s="55"/>
      <c r="J3123" s="113">
        <f>J3104</f>
        <v>156.40769999999998</v>
      </c>
      <c r="K3123" s="212">
        <f>K3104</f>
        <v>156.40769999999998</v>
      </c>
      <c r="L3123" s="58"/>
      <c r="M3123" s="58">
        <f>K3123-L3123</f>
        <v>156.40769999999998</v>
      </c>
      <c r="N3123" s="166"/>
      <c r="O3123" s="58"/>
      <c r="P3123" s="58"/>
      <c r="Q3123" s="58"/>
      <c r="R3123" s="58"/>
      <c r="S3123" s="58"/>
      <c r="T3123" s="220"/>
      <c r="U3123" s="88"/>
      <c r="V3123" s="56"/>
      <c r="W3123" s="57" t="s">
        <v>1040</v>
      </c>
      <c r="X3123" s="53"/>
      <c r="Y3123" s="91" t="s">
        <v>68</v>
      </c>
      <c r="Z3123" s="136">
        <f>AD3123/AC3123</f>
        <v>5</v>
      </c>
      <c r="AA3123" s="58"/>
      <c r="AB3123" s="53">
        <f>AD3123/AC3123</f>
        <v>5</v>
      </c>
      <c r="AC3123" s="53">
        <f>M3123+$AE$10</f>
        <v>156.40769999999998</v>
      </c>
      <c r="AD3123" s="54">
        <f>SUM(AD3124)</f>
        <v>782.03849999999989</v>
      </c>
      <c r="AE3123" s="184">
        <f>SUMIFS($AD$37:$AD$12971,$V$37:$V$12971,$V3123,$X$37:$X$12971,AE$13)</f>
        <v>0</v>
      </c>
      <c r="AF3123" s="185">
        <f>SUMIFS($AD$37:$AD$12971,$V$37:$V$12971,$V3123,$X$37:$X$12971,AF$13)</f>
        <v>0</v>
      </c>
      <c r="AG3123" s="185">
        <f>SUMIFS($AD$37:$AD$12971,$V$37:$V$12971,$V3123,$X$37:$X$12971,AG$13)</f>
        <v>0</v>
      </c>
      <c r="AH3123" s="187">
        <f>SUMIFS($AD$37:$AD$12971,$V$37:$V$12971,$V3123,$X$37:$X$12971,AH$13)</f>
        <v>0</v>
      </c>
      <c r="AI3123" s="161">
        <f t="shared" ref="AI3123" si="2402">SUM(AE3123:AH3123)</f>
        <v>0</v>
      </c>
      <c r="AK3123" s="172"/>
    </row>
    <row r="3124" spans="1:41" s="102" customFormat="1" ht="19.899999999999999" customHeight="1" x14ac:dyDescent="0.25">
      <c r="A3124" s="45"/>
      <c r="B3124" s="59"/>
      <c r="C3124" s="137"/>
      <c r="D3124" s="59"/>
      <c r="E3124" s="116"/>
      <c r="F3124" s="120"/>
      <c r="G3124" s="120"/>
      <c r="H3124" s="120"/>
      <c r="I3124" s="60"/>
      <c r="J3124" s="116"/>
      <c r="K3124" s="213"/>
      <c r="L3124" s="120"/>
      <c r="M3124" s="120"/>
      <c r="N3124" s="167"/>
      <c r="O3124" s="120"/>
      <c r="P3124" s="120"/>
      <c r="Q3124" s="120"/>
      <c r="R3124" s="120"/>
      <c r="S3124" s="120"/>
      <c r="T3124" s="221"/>
      <c r="U3124" s="89"/>
      <c r="V3124" s="61"/>
      <c r="W3124" s="92" t="s">
        <v>1039</v>
      </c>
      <c r="X3124" s="93" t="s">
        <v>32</v>
      </c>
      <c r="Y3124" s="93" t="s">
        <v>68</v>
      </c>
      <c r="Z3124" s="134">
        <f>VLOOKUP(W3124,Sheet2!$B:$D,3,FALSE)</f>
        <v>5</v>
      </c>
      <c r="AA3124" s="93">
        <v>1</v>
      </c>
      <c r="AB3124" s="93">
        <f>AD3124/AC3123</f>
        <v>5</v>
      </c>
      <c r="AC3124" s="93">
        <f>AC3123/AA3124</f>
        <v>156.40769999999998</v>
      </c>
      <c r="AD3124" s="94">
        <f t="shared" ref="AD3124" si="2403">AC3124*Z3124</f>
        <v>782.03849999999989</v>
      </c>
      <c r="AE3124" s="190"/>
      <c r="AF3124" s="191"/>
      <c r="AG3124" s="191"/>
      <c r="AH3124" s="191"/>
      <c r="AI3124" s="186"/>
      <c r="AK3124" s="171"/>
    </row>
    <row r="3125" spans="1:41" ht="20.100000000000001" customHeight="1" x14ac:dyDescent="0.25">
      <c r="A3125" s="277" t="s">
        <v>491</v>
      </c>
      <c r="B3125" s="278"/>
      <c r="C3125" s="64" t="s">
        <v>1217</v>
      </c>
      <c r="D3125" s="46" t="s">
        <v>97</v>
      </c>
      <c r="E3125" s="114">
        <v>25.537849999999963</v>
      </c>
      <c r="F3125" s="44">
        <v>659</v>
      </c>
      <c r="G3125" s="44">
        <f t="shared" si="1977"/>
        <v>16829.443149999977</v>
      </c>
      <c r="H3125" s="44">
        <f t="shared" si="1978"/>
        <v>192.17705098039215</v>
      </c>
      <c r="I3125" s="43">
        <f t="shared" si="1979"/>
        <v>4907.7887013796008</v>
      </c>
      <c r="J3125" s="112">
        <f t="shared" si="1980"/>
        <v>25.537849999999963</v>
      </c>
      <c r="K3125" s="211">
        <f t="shared" si="1981"/>
        <v>25.537849999999963</v>
      </c>
      <c r="L3125" s="44"/>
      <c r="M3125" s="44">
        <f t="shared" si="1982"/>
        <v>25.537849999999963</v>
      </c>
      <c r="N3125" s="173">
        <f t="shared" si="1983"/>
        <v>1</v>
      </c>
      <c r="O3125" s="44">
        <f t="shared" si="1984"/>
        <v>659</v>
      </c>
      <c r="P3125" s="44">
        <f t="shared" si="1985"/>
        <v>16829.443149999977</v>
      </c>
      <c r="Q3125" s="44">
        <f t="shared" si="1986"/>
        <v>192.17705098039215</v>
      </c>
      <c r="R3125" s="44">
        <f t="shared" si="1987"/>
        <v>4907.7887013796008</v>
      </c>
      <c r="S3125" s="123"/>
      <c r="T3125" s="219">
        <f t="shared" si="1988"/>
        <v>4907.7887013796008</v>
      </c>
      <c r="U3125" s="87"/>
      <c r="V3125" s="47"/>
      <c r="W3125" s="48"/>
      <c r="X3125" s="48"/>
      <c r="Y3125" s="48"/>
      <c r="Z3125" s="135"/>
      <c r="AA3125" s="49"/>
      <c r="AB3125" s="50">
        <f t="shared" si="1989"/>
        <v>192.17705098039215</v>
      </c>
      <c r="AC3125" s="42">
        <f t="shared" si="1990"/>
        <v>25.537849999999963</v>
      </c>
      <c r="AD3125" s="90">
        <f>AD3126+AD3136+AD3144</f>
        <v>4907.7887013796008</v>
      </c>
      <c r="AE3125" s="188">
        <f t="shared" ref="AE3125" si="2404">AE3126+AE3136+AE3144</f>
        <v>0</v>
      </c>
      <c r="AF3125" s="189">
        <f t="shared" ref="AF3125" si="2405">AF3126+AF3136+AF3144</f>
        <v>0</v>
      </c>
      <c r="AG3125" s="189">
        <f t="shared" ref="AG3125" si="2406">AG3126+AG3136+AG3144</f>
        <v>0</v>
      </c>
      <c r="AH3125" s="189">
        <f t="shared" ref="AH3125" si="2407">AH3126+AH3136+AH3144</f>
        <v>0</v>
      </c>
      <c r="AI3125" s="161">
        <f t="shared" ref="AI3125:AI3146" si="2408">SUM(AE3125:AH3125)</f>
        <v>0</v>
      </c>
      <c r="AK3125" s="169">
        <v>5</v>
      </c>
      <c r="AO3125" s="19" t="s">
        <v>63</v>
      </c>
    </row>
    <row r="3126" spans="1:41" s="103" customFormat="1" ht="19.899999999999999" customHeight="1" x14ac:dyDescent="0.25">
      <c r="A3126" s="51"/>
      <c r="B3126" s="52"/>
      <c r="C3126" s="165"/>
      <c r="D3126" s="52"/>
      <c r="E3126" s="115"/>
      <c r="F3126" s="58"/>
      <c r="G3126" s="58"/>
      <c r="H3126" s="58"/>
      <c r="I3126" s="55"/>
      <c r="J3126" s="113">
        <f>J3125</f>
        <v>25.537849999999963</v>
      </c>
      <c r="K3126" s="212">
        <f>K3125</f>
        <v>25.537849999999963</v>
      </c>
      <c r="L3126" s="58"/>
      <c r="M3126" s="58">
        <f>K3126-L3126</f>
        <v>25.537849999999963</v>
      </c>
      <c r="N3126" s="166"/>
      <c r="O3126" s="58"/>
      <c r="P3126" s="58"/>
      <c r="Q3126" s="58"/>
      <c r="R3126" s="58"/>
      <c r="S3126" s="58"/>
      <c r="T3126" s="220"/>
      <c r="U3126" s="88"/>
      <c r="V3126" s="56"/>
      <c r="W3126" s="57" t="s">
        <v>1225</v>
      </c>
      <c r="X3126" s="53"/>
      <c r="Y3126" s="91" t="s">
        <v>68</v>
      </c>
      <c r="Z3126" s="136">
        <f>AD3126/AC3126</f>
        <v>98.843717647058824</v>
      </c>
      <c r="AA3126" s="58"/>
      <c r="AB3126" s="53">
        <f>AD3126/AC3126</f>
        <v>98.843717647058824</v>
      </c>
      <c r="AC3126" s="53">
        <f>M3126+$AE$10</f>
        <v>25.537849999999963</v>
      </c>
      <c r="AD3126" s="54">
        <f>SUM(AD3127:AD3135)</f>
        <v>2524.2560347129374</v>
      </c>
      <c r="AE3126" s="184">
        <f>SUMIFS($AD$37:$AD$12971,$V$37:$V$12971,$V3126,$X$37:$X$12971,AE$13)</f>
        <v>0</v>
      </c>
      <c r="AF3126" s="185">
        <f>SUMIFS($AD$37:$AD$12971,$V$37:$V$12971,$V3126,$X$37:$X$12971,AF$13)</f>
        <v>0</v>
      </c>
      <c r="AG3126" s="185">
        <f>SUMIFS($AD$37:$AD$12971,$V$37:$V$12971,$V3126,$X$37:$X$12971,AG$13)</f>
        <v>0</v>
      </c>
      <c r="AH3126" s="187">
        <f>SUMIFS($AD$37:$AD$12971,$V$37:$V$12971,$V3126,$X$37:$X$12971,AH$13)</f>
        <v>0</v>
      </c>
      <c r="AI3126" s="161">
        <f t="shared" ref="AI3126" si="2409">SUM(AE3126:AH3126)</f>
        <v>0</v>
      </c>
      <c r="AK3126" s="172"/>
    </row>
    <row r="3127" spans="1:41" s="102" customFormat="1" ht="19.899999999999999" customHeight="1" x14ac:dyDescent="0.25">
      <c r="A3127" s="45"/>
      <c r="B3127" s="59"/>
      <c r="C3127" s="137"/>
      <c r="D3127" s="59"/>
      <c r="E3127" s="116"/>
      <c r="F3127" s="120"/>
      <c r="G3127" s="120"/>
      <c r="H3127" s="120"/>
      <c r="I3127" s="60"/>
      <c r="J3127" s="116"/>
      <c r="K3127" s="213"/>
      <c r="L3127" s="120"/>
      <c r="M3127" s="120"/>
      <c r="N3127" s="167"/>
      <c r="O3127" s="120"/>
      <c r="P3127" s="120"/>
      <c r="Q3127" s="120"/>
      <c r="R3127" s="120"/>
      <c r="S3127" s="120"/>
      <c r="T3127" s="221"/>
      <c r="U3127" s="89"/>
      <c r="V3127" s="61"/>
      <c r="W3127" s="92" t="s">
        <v>131</v>
      </c>
      <c r="X3127" s="93" t="s">
        <v>29</v>
      </c>
      <c r="Y3127" s="93" t="s">
        <v>93</v>
      </c>
      <c r="Z3127" s="134">
        <f>VLOOKUP(W3127,Sheet2!$B:$D,3,FALSE)</f>
        <v>131.19999999999999</v>
      </c>
      <c r="AA3127" s="93">
        <f>80/(1*6)</f>
        <v>13.333333333333334</v>
      </c>
      <c r="AB3127" s="93">
        <f t="shared" ref="AB3127" si="2410">AD3127/AC3126</f>
        <v>9.84</v>
      </c>
      <c r="AC3127" s="93">
        <f>AC3126/AA3127</f>
        <v>1.9153387499999972</v>
      </c>
      <c r="AD3127" s="94">
        <f t="shared" ref="AD3127:AD3128" si="2411">AC3127*Z3127</f>
        <v>251.29244399999962</v>
      </c>
      <c r="AE3127" s="190"/>
      <c r="AF3127" s="191"/>
      <c r="AG3127" s="191"/>
      <c r="AH3127" s="191"/>
      <c r="AI3127" s="186"/>
      <c r="AK3127" s="171"/>
    </row>
    <row r="3128" spans="1:41" s="102" customFormat="1" ht="19.899999999999999" customHeight="1" x14ac:dyDescent="0.25">
      <c r="A3128" s="45"/>
      <c r="B3128" s="59"/>
      <c r="C3128" s="137"/>
      <c r="D3128" s="59"/>
      <c r="E3128" s="116"/>
      <c r="F3128" s="120"/>
      <c r="G3128" s="120"/>
      <c r="H3128" s="120"/>
      <c r="I3128" s="60"/>
      <c r="J3128" s="116"/>
      <c r="K3128" s="213"/>
      <c r="L3128" s="120"/>
      <c r="M3128" s="120"/>
      <c r="N3128" s="167"/>
      <c r="O3128" s="120"/>
      <c r="P3128" s="120"/>
      <c r="Q3128" s="120"/>
      <c r="R3128" s="120"/>
      <c r="S3128" s="120"/>
      <c r="T3128" s="221"/>
      <c r="U3128" s="89"/>
      <c r="V3128" s="61"/>
      <c r="W3128" s="92" t="s">
        <v>65</v>
      </c>
      <c r="X3128" s="93" t="s">
        <v>30</v>
      </c>
      <c r="Y3128" s="93" t="s">
        <v>1011</v>
      </c>
      <c r="Z3128" s="134">
        <f>VLOOKUP(W3128,Sheet2!$B:$D,3,FALSE)</f>
        <v>1.76</v>
      </c>
      <c r="AA3128" s="93">
        <f>AA3127/32</f>
        <v>0.41666666666666669</v>
      </c>
      <c r="AB3128" s="93">
        <f>AD3128/AC3126</f>
        <v>4.2240000000000002</v>
      </c>
      <c r="AC3128" s="93">
        <f>AC3126/AA3128</f>
        <v>61.290839999999911</v>
      </c>
      <c r="AD3128" s="94">
        <f t="shared" si="2411"/>
        <v>107.87187839999984</v>
      </c>
      <c r="AE3128" s="190"/>
      <c r="AF3128" s="191"/>
      <c r="AG3128" s="191"/>
      <c r="AH3128" s="191"/>
      <c r="AI3128" s="186"/>
      <c r="AK3128" s="171"/>
    </row>
    <row r="3129" spans="1:41" s="102" customFormat="1" ht="19.899999999999999" customHeight="1" x14ac:dyDescent="0.25">
      <c r="A3129" s="45"/>
      <c r="B3129" s="59"/>
      <c r="C3129" s="137"/>
      <c r="D3129" s="59"/>
      <c r="E3129" s="116"/>
      <c r="F3129" s="120"/>
      <c r="G3129" s="120"/>
      <c r="H3129" s="120"/>
      <c r="I3129" s="60"/>
      <c r="J3129" s="116"/>
      <c r="K3129" s="213"/>
      <c r="L3129" s="120"/>
      <c r="M3129" s="120"/>
      <c r="N3129" s="167"/>
      <c r="O3129" s="120"/>
      <c r="P3129" s="120"/>
      <c r="Q3129" s="120"/>
      <c r="R3129" s="120"/>
      <c r="S3129" s="120"/>
      <c r="T3129" s="221"/>
      <c r="U3129" s="89"/>
      <c r="V3129" s="61"/>
      <c r="W3129" s="92" t="s">
        <v>161</v>
      </c>
      <c r="X3129" s="93" t="s">
        <v>29</v>
      </c>
      <c r="Y3129" s="93" t="s">
        <v>93</v>
      </c>
      <c r="Z3129" s="134">
        <f>VLOOKUP(W3129,Sheet2!$B:$D,3,FALSE)</f>
        <v>48</v>
      </c>
      <c r="AA3129" s="93">
        <f>(16*0.85*1.5)/(1*6)</f>
        <v>3.4</v>
      </c>
      <c r="AB3129" s="93">
        <f>AD3129/AC3126</f>
        <v>14.117647058823529</v>
      </c>
      <c r="AC3129" s="93">
        <f>AC3126/AA3129</f>
        <v>7.511132352941166</v>
      </c>
      <c r="AD3129" s="94">
        <f>AC3129*Z3129</f>
        <v>360.53435294117594</v>
      </c>
      <c r="AE3129" s="190"/>
      <c r="AF3129" s="191"/>
      <c r="AG3129" s="191"/>
      <c r="AH3129" s="191"/>
      <c r="AI3129" s="186"/>
      <c r="AK3129" s="171"/>
    </row>
    <row r="3130" spans="1:41" s="102" customFormat="1" ht="19.899999999999999" customHeight="1" x14ac:dyDescent="0.25">
      <c r="A3130" s="45"/>
      <c r="B3130" s="59"/>
      <c r="C3130" s="137"/>
      <c r="D3130" s="59"/>
      <c r="E3130" s="116"/>
      <c r="F3130" s="120"/>
      <c r="G3130" s="120"/>
      <c r="H3130" s="120"/>
      <c r="I3130" s="60"/>
      <c r="J3130" s="116"/>
      <c r="K3130" s="213"/>
      <c r="L3130" s="120"/>
      <c r="M3130" s="120"/>
      <c r="N3130" s="167"/>
      <c r="O3130" s="120"/>
      <c r="P3130" s="120"/>
      <c r="Q3130" s="120"/>
      <c r="R3130" s="120"/>
      <c r="S3130" s="120"/>
      <c r="T3130" s="221"/>
      <c r="U3130" s="89"/>
      <c r="V3130" s="61"/>
      <c r="W3130" s="92" t="s">
        <v>65</v>
      </c>
      <c r="X3130" s="93" t="s">
        <v>30</v>
      </c>
      <c r="Y3130" s="93" t="s">
        <v>1011</v>
      </c>
      <c r="Z3130" s="134">
        <f>VLOOKUP(W3130,Sheet2!$B:$D,3,FALSE)</f>
        <v>1.76</v>
      </c>
      <c r="AA3130" s="93">
        <f>AA3129/10</f>
        <v>0.33999999999999997</v>
      </c>
      <c r="AB3130" s="93">
        <f>AD3130/AC3126</f>
        <v>5.1764705882352944</v>
      </c>
      <c r="AC3130" s="93">
        <f>AC3126/AA3130</f>
        <v>75.111323529411663</v>
      </c>
      <c r="AD3130" s="94">
        <f>AC3130*Z3130</f>
        <v>132.19592941176452</v>
      </c>
      <c r="AE3130" s="190"/>
      <c r="AF3130" s="191"/>
      <c r="AG3130" s="191"/>
      <c r="AH3130" s="191"/>
      <c r="AI3130" s="186"/>
      <c r="AK3130" s="171"/>
    </row>
    <row r="3131" spans="1:41" s="102" customFormat="1" ht="19.899999999999999" customHeight="1" x14ac:dyDescent="0.25">
      <c r="A3131" s="45"/>
      <c r="B3131" s="59"/>
      <c r="C3131" s="137"/>
      <c r="D3131" s="59"/>
      <c r="E3131" s="116"/>
      <c r="F3131" s="120"/>
      <c r="G3131" s="120"/>
      <c r="H3131" s="120"/>
      <c r="I3131" s="60"/>
      <c r="J3131" s="116"/>
      <c r="K3131" s="213"/>
      <c r="L3131" s="120"/>
      <c r="M3131" s="120"/>
      <c r="N3131" s="167"/>
      <c r="O3131" s="120"/>
      <c r="P3131" s="120"/>
      <c r="Q3131" s="120"/>
      <c r="R3131" s="120"/>
      <c r="S3131" s="120"/>
      <c r="T3131" s="221"/>
      <c r="U3131" s="89"/>
      <c r="V3131" s="61"/>
      <c r="W3131" s="92" t="s">
        <v>1030</v>
      </c>
      <c r="X3131" s="93" t="s">
        <v>29</v>
      </c>
      <c r="Y3131" s="93" t="s">
        <v>93</v>
      </c>
      <c r="Z3131" s="134">
        <f>VLOOKUP(W3131,Sheet2!$B:$D,3,FALSE)</f>
        <v>23</v>
      </c>
      <c r="AA3131" s="93">
        <v>50</v>
      </c>
      <c r="AB3131" s="93">
        <f>AD3131/AC3126</f>
        <v>0.45999999999999996</v>
      </c>
      <c r="AC3131" s="93">
        <f>AC3126/AA3131</f>
        <v>0.51075699999999924</v>
      </c>
      <c r="AD3131" s="94">
        <f t="shared" ref="AD3131:AD3135" si="2412">AC3131*Z3131</f>
        <v>11.747410999999982</v>
      </c>
      <c r="AE3131" s="190"/>
      <c r="AF3131" s="191"/>
      <c r="AG3131" s="191"/>
      <c r="AH3131" s="191"/>
      <c r="AI3131" s="186"/>
      <c r="AK3131" s="171"/>
    </row>
    <row r="3132" spans="1:41" s="102" customFormat="1" ht="19.899999999999999" customHeight="1" x14ac:dyDescent="0.25">
      <c r="A3132" s="45"/>
      <c r="B3132" s="59"/>
      <c r="C3132" s="137"/>
      <c r="D3132" s="59"/>
      <c r="E3132" s="116"/>
      <c r="F3132" s="120"/>
      <c r="G3132" s="120"/>
      <c r="H3132" s="120"/>
      <c r="I3132" s="60"/>
      <c r="J3132" s="116"/>
      <c r="K3132" s="213"/>
      <c r="L3132" s="120"/>
      <c r="M3132" s="120"/>
      <c r="N3132" s="167"/>
      <c r="O3132" s="120"/>
      <c r="P3132" s="120"/>
      <c r="Q3132" s="120"/>
      <c r="R3132" s="120"/>
      <c r="S3132" s="120"/>
      <c r="T3132" s="221"/>
      <c r="U3132" s="89"/>
      <c r="V3132" s="61"/>
      <c r="W3132" s="92" t="s">
        <v>65</v>
      </c>
      <c r="X3132" s="93" t="s">
        <v>30</v>
      </c>
      <c r="Y3132" s="93" t="s">
        <v>1011</v>
      </c>
      <c r="Z3132" s="134">
        <f>VLOOKUP(W3132,Sheet2!$B:$D,3,FALSE)</f>
        <v>1.76</v>
      </c>
      <c r="AA3132" s="93">
        <f>AA3131/3</f>
        <v>16.666666666666668</v>
      </c>
      <c r="AB3132" s="93">
        <f>AD3132/AC3126</f>
        <v>0.10559999999999999</v>
      </c>
      <c r="AC3132" s="93">
        <f>AC3126/AA3132</f>
        <v>1.5322709999999977</v>
      </c>
      <c r="AD3132" s="94">
        <f t="shared" si="2412"/>
        <v>2.6967969599999959</v>
      </c>
      <c r="AE3132" s="190"/>
      <c r="AF3132" s="191"/>
      <c r="AG3132" s="191"/>
      <c r="AH3132" s="191"/>
      <c r="AI3132" s="186"/>
      <c r="AK3132" s="171"/>
    </row>
    <row r="3133" spans="1:41" s="102" customFormat="1" ht="19.899999999999999" customHeight="1" x14ac:dyDescent="0.25">
      <c r="A3133" s="45"/>
      <c r="B3133" s="59"/>
      <c r="C3133" s="137"/>
      <c r="D3133" s="59"/>
      <c r="E3133" s="116"/>
      <c r="F3133" s="120"/>
      <c r="G3133" s="120"/>
      <c r="H3133" s="120"/>
      <c r="I3133" s="60"/>
      <c r="J3133" s="116"/>
      <c r="K3133" s="213"/>
      <c r="L3133" s="120"/>
      <c r="M3133" s="120"/>
      <c r="N3133" s="167"/>
      <c r="O3133" s="120"/>
      <c r="P3133" s="120"/>
      <c r="Q3133" s="120"/>
      <c r="R3133" s="120"/>
      <c r="S3133" s="120"/>
      <c r="T3133" s="221"/>
      <c r="U3133" s="89"/>
      <c r="V3133" s="61"/>
      <c r="W3133" s="92" t="s">
        <v>148</v>
      </c>
      <c r="X3133" s="93" t="s">
        <v>29</v>
      </c>
      <c r="Y3133" s="93" t="s">
        <v>93</v>
      </c>
      <c r="Z3133" s="134">
        <f>VLOOKUP(W3133,Sheet2!$B:$D,3,FALSE)</f>
        <v>48</v>
      </c>
      <c r="AA3133" s="93">
        <f>AA3127</f>
        <v>13.333333333333334</v>
      </c>
      <c r="AB3133" s="93">
        <f>AD3133/AC3126</f>
        <v>3.5999999999999996</v>
      </c>
      <c r="AC3133" s="93">
        <f>AC3126/AA3133</f>
        <v>1.9153387499999972</v>
      </c>
      <c r="AD3133" s="94">
        <f t="shared" si="2412"/>
        <v>91.936259999999862</v>
      </c>
      <c r="AE3133" s="190"/>
      <c r="AF3133" s="191"/>
      <c r="AG3133" s="191"/>
      <c r="AH3133" s="191"/>
      <c r="AI3133" s="186"/>
      <c r="AK3133" s="171"/>
    </row>
    <row r="3134" spans="1:41" s="102" customFormat="1" ht="19.899999999999999" customHeight="1" x14ac:dyDescent="0.25">
      <c r="A3134" s="45"/>
      <c r="B3134" s="59"/>
      <c r="C3134" s="137"/>
      <c r="D3134" s="59"/>
      <c r="E3134" s="116"/>
      <c r="F3134" s="120"/>
      <c r="G3134" s="120"/>
      <c r="H3134" s="120"/>
      <c r="I3134" s="60"/>
      <c r="J3134" s="116"/>
      <c r="K3134" s="213"/>
      <c r="L3134" s="120"/>
      <c r="M3134" s="120"/>
      <c r="N3134" s="167"/>
      <c r="O3134" s="120"/>
      <c r="P3134" s="120"/>
      <c r="Q3134" s="120"/>
      <c r="R3134" s="120"/>
      <c r="S3134" s="120"/>
      <c r="T3134" s="221"/>
      <c r="U3134" s="89"/>
      <c r="V3134" s="61"/>
      <c r="W3134" s="92" t="s">
        <v>65</v>
      </c>
      <c r="X3134" s="93" t="s">
        <v>30</v>
      </c>
      <c r="Y3134" s="93" t="s">
        <v>1011</v>
      </c>
      <c r="Z3134" s="134">
        <f>VLOOKUP(W3134,Sheet2!$B:$D,3,FALSE)</f>
        <v>1.76</v>
      </c>
      <c r="AA3134" s="93">
        <f>AA3133/10</f>
        <v>1.3333333333333335</v>
      </c>
      <c r="AB3134" s="93">
        <f>AD3134/AC3126</f>
        <v>1.3199999999999998</v>
      </c>
      <c r="AC3134" s="93">
        <f>AC3126/AA3134</f>
        <v>19.153387499999969</v>
      </c>
      <c r="AD3134" s="94">
        <f t="shared" si="2412"/>
        <v>33.709961999999948</v>
      </c>
      <c r="AE3134" s="190"/>
      <c r="AF3134" s="191"/>
      <c r="AG3134" s="191"/>
      <c r="AH3134" s="191"/>
      <c r="AI3134" s="186"/>
      <c r="AK3134" s="171"/>
    </row>
    <row r="3135" spans="1:41" s="102" customFormat="1" ht="19.899999999999999" customHeight="1" x14ac:dyDescent="0.25">
      <c r="A3135" s="45"/>
      <c r="B3135" s="59"/>
      <c r="C3135" s="137"/>
      <c r="D3135" s="59"/>
      <c r="E3135" s="116"/>
      <c r="F3135" s="120"/>
      <c r="G3135" s="120"/>
      <c r="H3135" s="120"/>
      <c r="I3135" s="60"/>
      <c r="J3135" s="116"/>
      <c r="K3135" s="213"/>
      <c r="L3135" s="120"/>
      <c r="M3135" s="120"/>
      <c r="N3135" s="167"/>
      <c r="O3135" s="120"/>
      <c r="P3135" s="120"/>
      <c r="Q3135" s="120"/>
      <c r="R3135" s="120"/>
      <c r="S3135" s="120"/>
      <c r="T3135" s="221"/>
      <c r="U3135" s="89"/>
      <c r="V3135" s="61"/>
      <c r="W3135" s="92" t="s">
        <v>1049</v>
      </c>
      <c r="X3135" s="93" t="s">
        <v>30</v>
      </c>
      <c r="Y3135" s="93" t="s">
        <v>68</v>
      </c>
      <c r="Z3135" s="134">
        <f>VLOOKUP(W3135,Sheet2!$B:$D,3,FALSE)</f>
        <v>60</v>
      </c>
      <c r="AA3135" s="93">
        <v>1</v>
      </c>
      <c r="AB3135" s="93">
        <f>AD3135/AC3126</f>
        <v>60.000000000000007</v>
      </c>
      <c r="AC3135" s="93">
        <f>AC3126/AA3135</f>
        <v>25.537849999999963</v>
      </c>
      <c r="AD3135" s="94">
        <f t="shared" si="2412"/>
        <v>1532.2709999999979</v>
      </c>
      <c r="AE3135" s="190"/>
      <c r="AF3135" s="191"/>
      <c r="AG3135" s="191"/>
      <c r="AH3135" s="191"/>
      <c r="AI3135" s="186"/>
      <c r="AK3135" s="171"/>
    </row>
    <row r="3136" spans="1:41" s="103" customFormat="1" ht="19.899999999999999" customHeight="1" x14ac:dyDescent="0.25">
      <c r="A3136" s="51"/>
      <c r="B3136" s="52"/>
      <c r="C3136" s="165"/>
      <c r="D3136" s="52"/>
      <c r="E3136" s="115"/>
      <c r="F3136" s="58"/>
      <c r="G3136" s="58"/>
      <c r="H3136" s="58"/>
      <c r="I3136" s="55"/>
      <c r="J3136" s="113">
        <f>J3125</f>
        <v>25.537849999999963</v>
      </c>
      <c r="K3136" s="212">
        <f>K3125</f>
        <v>25.537849999999963</v>
      </c>
      <c r="L3136" s="58"/>
      <c r="M3136" s="58">
        <f>K3136-L3136</f>
        <v>25.537849999999963</v>
      </c>
      <c r="N3136" s="166"/>
      <c r="O3136" s="58"/>
      <c r="P3136" s="58"/>
      <c r="Q3136" s="58"/>
      <c r="R3136" s="58"/>
      <c r="S3136" s="58"/>
      <c r="T3136" s="220"/>
      <c r="U3136" s="88"/>
      <c r="V3136" s="56"/>
      <c r="W3136" s="57" t="s">
        <v>1036</v>
      </c>
      <c r="X3136" s="53"/>
      <c r="Y3136" s="91" t="s">
        <v>68</v>
      </c>
      <c r="Z3136" s="136">
        <f>AD3136/AC3136</f>
        <v>88.333333333333329</v>
      </c>
      <c r="AA3136" s="58"/>
      <c r="AB3136" s="53">
        <f>AD3136/AC3136</f>
        <v>88.333333333333329</v>
      </c>
      <c r="AC3136" s="53">
        <f>M3136+$AE$10</f>
        <v>25.537849999999963</v>
      </c>
      <c r="AD3136" s="54">
        <f>SUM(AD3137:AD3143)</f>
        <v>2255.8434166666634</v>
      </c>
      <c r="AE3136" s="184">
        <f>SUMIFS($AD$37:$AD$12971,$V$37:$V$12971,$V3136,$X$37:$X$12971,AE$13)</f>
        <v>0</v>
      </c>
      <c r="AF3136" s="185">
        <f>SUMIFS($AD$37:$AD$12971,$V$37:$V$12971,$V3136,$X$37:$X$12971,AF$13)</f>
        <v>0</v>
      </c>
      <c r="AG3136" s="185">
        <f>SUMIFS($AD$37:$AD$12971,$V$37:$V$12971,$V3136,$X$37:$X$12971,AG$13)</f>
        <v>0</v>
      </c>
      <c r="AH3136" s="187">
        <f>SUMIFS($AD$37:$AD$12971,$V$37:$V$12971,$V3136,$X$37:$X$12971,AH$13)</f>
        <v>0</v>
      </c>
      <c r="AI3136" s="161">
        <f t="shared" ref="AI3136" si="2413">SUM(AE3136:AH3136)</f>
        <v>0</v>
      </c>
      <c r="AK3136" s="172"/>
    </row>
    <row r="3137" spans="1:41" s="102" customFormat="1" ht="19.899999999999999" customHeight="1" x14ac:dyDescent="0.25">
      <c r="A3137" s="45"/>
      <c r="B3137" s="59"/>
      <c r="C3137" s="137"/>
      <c r="D3137" s="59"/>
      <c r="E3137" s="116"/>
      <c r="F3137" s="120"/>
      <c r="G3137" s="120"/>
      <c r="H3137" s="120"/>
      <c r="I3137" s="60"/>
      <c r="J3137" s="116"/>
      <c r="K3137" s="213"/>
      <c r="L3137" s="120"/>
      <c r="M3137" s="120"/>
      <c r="N3137" s="167"/>
      <c r="O3137" s="120"/>
      <c r="P3137" s="120"/>
      <c r="Q3137" s="120"/>
      <c r="R3137" s="120"/>
      <c r="S3137" s="120"/>
      <c r="T3137" s="221"/>
      <c r="U3137" s="89"/>
      <c r="V3137" s="61"/>
      <c r="W3137" s="92" t="s">
        <v>1220</v>
      </c>
      <c r="X3137" s="93" t="s">
        <v>30</v>
      </c>
      <c r="Y3137" s="93" t="s">
        <v>68</v>
      </c>
      <c r="Z3137" s="134">
        <f>VLOOKUP(W3137,Sheet2!$B:$D,3,FALSE)</f>
        <v>40</v>
      </c>
      <c r="AA3137" s="93">
        <v>1</v>
      </c>
      <c r="AB3137" s="93">
        <f>AD3137/AC3136</f>
        <v>40</v>
      </c>
      <c r="AC3137" s="93">
        <f>AC3136/AA3137</f>
        <v>25.537849999999963</v>
      </c>
      <c r="AD3137" s="94">
        <f t="shared" ref="AD3137" si="2414">AC3137*Z3137</f>
        <v>1021.5139999999985</v>
      </c>
      <c r="AE3137" s="190"/>
      <c r="AF3137" s="191"/>
      <c r="AG3137" s="191"/>
      <c r="AH3137" s="191"/>
      <c r="AI3137" s="186"/>
      <c r="AK3137" s="171"/>
    </row>
    <row r="3138" spans="1:41" s="102" customFormat="1" ht="19.899999999999999" customHeight="1" x14ac:dyDescent="0.25">
      <c r="A3138" s="45"/>
      <c r="B3138" s="59"/>
      <c r="C3138" s="137"/>
      <c r="D3138" s="59"/>
      <c r="E3138" s="116"/>
      <c r="F3138" s="120"/>
      <c r="G3138" s="120"/>
      <c r="H3138" s="120"/>
      <c r="I3138" s="60"/>
      <c r="J3138" s="116"/>
      <c r="K3138" s="213"/>
      <c r="L3138" s="120"/>
      <c r="M3138" s="120"/>
      <c r="N3138" s="167"/>
      <c r="O3138" s="120"/>
      <c r="P3138" s="120"/>
      <c r="Q3138" s="120"/>
      <c r="R3138" s="120"/>
      <c r="S3138" s="120"/>
      <c r="T3138" s="221"/>
      <c r="U3138" s="89"/>
      <c r="V3138" s="61"/>
      <c r="W3138" s="92" t="s">
        <v>1221</v>
      </c>
      <c r="X3138" s="93" t="s">
        <v>30</v>
      </c>
      <c r="Y3138" s="93" t="s">
        <v>68</v>
      </c>
      <c r="Z3138" s="134">
        <f>VLOOKUP(W3138,Sheet2!$B:$D,3,FALSE)</f>
        <v>4</v>
      </c>
      <c r="AA3138" s="93">
        <v>1</v>
      </c>
      <c r="AB3138" s="93">
        <f>AD3138/AC3136</f>
        <v>4</v>
      </c>
      <c r="AC3138" s="93">
        <f>AC3136/AA3138</f>
        <v>25.537849999999963</v>
      </c>
      <c r="AD3138" s="94">
        <f>AC3138*Z3138</f>
        <v>102.15139999999985</v>
      </c>
      <c r="AE3138" s="190"/>
      <c r="AF3138" s="191"/>
      <c r="AG3138" s="191"/>
      <c r="AH3138" s="191"/>
      <c r="AI3138" s="186"/>
      <c r="AK3138" s="171"/>
    </row>
    <row r="3139" spans="1:41" s="102" customFormat="1" ht="19.899999999999999" customHeight="1" x14ac:dyDescent="0.25">
      <c r="A3139" s="45"/>
      <c r="B3139" s="59"/>
      <c r="C3139" s="137"/>
      <c r="D3139" s="59"/>
      <c r="E3139" s="116"/>
      <c r="F3139" s="120"/>
      <c r="G3139" s="120"/>
      <c r="H3139" s="120"/>
      <c r="I3139" s="60"/>
      <c r="J3139" s="116"/>
      <c r="K3139" s="213"/>
      <c r="L3139" s="120"/>
      <c r="M3139" s="120"/>
      <c r="N3139" s="167"/>
      <c r="O3139" s="120"/>
      <c r="P3139" s="120"/>
      <c r="Q3139" s="120"/>
      <c r="R3139" s="120"/>
      <c r="S3139" s="120"/>
      <c r="T3139" s="221"/>
      <c r="U3139" s="89"/>
      <c r="V3139" s="61"/>
      <c r="W3139" s="92" t="s">
        <v>107</v>
      </c>
      <c r="X3139" s="93" t="s">
        <v>31</v>
      </c>
      <c r="Y3139" s="93" t="s">
        <v>93</v>
      </c>
      <c r="Z3139" s="134">
        <f>VLOOKUP(W3139,Sheet2!$B:$D,3,FALSE)</f>
        <v>17</v>
      </c>
      <c r="AA3139" s="93">
        <v>8</v>
      </c>
      <c r="AB3139" s="93">
        <f>AD3139/AC3136</f>
        <v>2.125</v>
      </c>
      <c r="AC3139" s="93">
        <f>AC3136/AA3139</f>
        <v>3.1922312499999954</v>
      </c>
      <c r="AD3139" s="94">
        <f>AC3139*Z3139</f>
        <v>54.267931249999918</v>
      </c>
      <c r="AE3139" s="190"/>
      <c r="AF3139" s="191"/>
      <c r="AG3139" s="191"/>
      <c r="AH3139" s="191"/>
      <c r="AI3139" s="186"/>
      <c r="AK3139" s="171"/>
    </row>
    <row r="3140" spans="1:41" s="102" customFormat="1" ht="19.899999999999999" customHeight="1" x14ac:dyDescent="0.25">
      <c r="A3140" s="45"/>
      <c r="B3140" s="59"/>
      <c r="C3140" s="137"/>
      <c r="D3140" s="59"/>
      <c r="E3140" s="116"/>
      <c r="F3140" s="120"/>
      <c r="G3140" s="120"/>
      <c r="H3140" s="120"/>
      <c r="I3140" s="60"/>
      <c r="J3140" s="116"/>
      <c r="K3140" s="213"/>
      <c r="L3140" s="120"/>
      <c r="M3140" s="120"/>
      <c r="N3140" s="167"/>
      <c r="O3140" s="120"/>
      <c r="P3140" s="120"/>
      <c r="Q3140" s="120"/>
      <c r="R3140" s="120"/>
      <c r="S3140" s="120"/>
      <c r="T3140" s="221"/>
      <c r="U3140" s="89"/>
      <c r="V3140" s="61"/>
      <c r="W3140" s="92" t="s">
        <v>112</v>
      </c>
      <c r="X3140" s="93" t="s">
        <v>31</v>
      </c>
      <c r="Y3140" s="93" t="s">
        <v>93</v>
      </c>
      <c r="Z3140" s="134">
        <f>VLOOKUP(W3140,Sheet2!$B:$D,3,FALSE)</f>
        <v>13</v>
      </c>
      <c r="AA3140" s="93">
        <v>8</v>
      </c>
      <c r="AB3140" s="93">
        <f>AD3140/AC3136</f>
        <v>1.6249999999999998</v>
      </c>
      <c r="AC3140" s="93">
        <f>AC3136/AA3140</f>
        <v>3.1922312499999954</v>
      </c>
      <c r="AD3140" s="94">
        <f>AC3140*Z3140</f>
        <v>41.499006249999937</v>
      </c>
      <c r="AE3140" s="190"/>
      <c r="AF3140" s="191"/>
      <c r="AG3140" s="191"/>
      <c r="AH3140" s="191"/>
      <c r="AI3140" s="186"/>
      <c r="AK3140" s="171"/>
    </row>
    <row r="3141" spans="1:41" s="102" customFormat="1" ht="19.899999999999999" customHeight="1" x14ac:dyDescent="0.25">
      <c r="A3141" s="45"/>
      <c r="B3141" s="59"/>
      <c r="C3141" s="137"/>
      <c r="D3141" s="59"/>
      <c r="E3141" s="116"/>
      <c r="F3141" s="120"/>
      <c r="G3141" s="120"/>
      <c r="H3141" s="120"/>
      <c r="I3141" s="60"/>
      <c r="J3141" s="116"/>
      <c r="K3141" s="213"/>
      <c r="L3141" s="120"/>
      <c r="M3141" s="120"/>
      <c r="N3141" s="167"/>
      <c r="O3141" s="120"/>
      <c r="P3141" s="120"/>
      <c r="Q3141" s="120"/>
      <c r="R3141" s="120"/>
      <c r="S3141" s="120"/>
      <c r="T3141" s="221"/>
      <c r="U3141" s="89"/>
      <c r="V3141" s="61"/>
      <c r="W3141" s="92" t="s">
        <v>1032</v>
      </c>
      <c r="X3141" s="93" t="s">
        <v>30</v>
      </c>
      <c r="Y3141" s="93" t="s">
        <v>66</v>
      </c>
      <c r="Z3141" s="134">
        <f>VLOOKUP(W3141,Sheet2!$B:$D,3,FALSE)</f>
        <v>250</v>
      </c>
      <c r="AA3141" s="93">
        <f>1/(1*1*0.1)</f>
        <v>10</v>
      </c>
      <c r="AB3141" s="93">
        <f>AD3141/AC3136</f>
        <v>25</v>
      </c>
      <c r="AC3141" s="93">
        <f>AC3136/AA3141</f>
        <v>2.5537849999999964</v>
      </c>
      <c r="AD3141" s="94">
        <f>AC3141*Z3141</f>
        <v>638.44624999999905</v>
      </c>
      <c r="AE3141" s="190"/>
      <c r="AF3141" s="191"/>
      <c r="AG3141" s="191"/>
      <c r="AH3141" s="191"/>
      <c r="AI3141" s="186"/>
      <c r="AK3141" s="171"/>
    </row>
    <row r="3142" spans="1:41" s="102" customFormat="1" ht="19.899999999999999" customHeight="1" x14ac:dyDescent="0.25">
      <c r="A3142" s="45"/>
      <c r="B3142" s="59"/>
      <c r="C3142" s="137"/>
      <c r="D3142" s="59"/>
      <c r="E3142" s="116"/>
      <c r="F3142" s="120"/>
      <c r="G3142" s="120"/>
      <c r="H3142" s="120"/>
      <c r="I3142" s="60"/>
      <c r="J3142" s="116"/>
      <c r="K3142" s="213"/>
      <c r="L3142" s="120"/>
      <c r="M3142" s="120"/>
      <c r="N3142" s="167"/>
      <c r="O3142" s="120"/>
      <c r="P3142" s="120"/>
      <c r="Q3142" s="120"/>
      <c r="R3142" s="120"/>
      <c r="S3142" s="120"/>
      <c r="T3142" s="221"/>
      <c r="U3142" s="89"/>
      <c r="V3142" s="61"/>
      <c r="W3142" s="92" t="s">
        <v>1035</v>
      </c>
      <c r="X3142" s="93" t="s">
        <v>32</v>
      </c>
      <c r="Y3142" s="93" t="s">
        <v>66</v>
      </c>
      <c r="Z3142" s="134">
        <f>VLOOKUP(W3142,Sheet2!$B:$D,3,FALSE)</f>
        <v>150</v>
      </c>
      <c r="AA3142" s="93">
        <f>AA3141</f>
        <v>10</v>
      </c>
      <c r="AB3142" s="93">
        <f>AD3142/AC3136</f>
        <v>15.000000000000002</v>
      </c>
      <c r="AC3142" s="93">
        <f>AC3136/AA3142</f>
        <v>2.5537849999999964</v>
      </c>
      <c r="AD3142" s="94">
        <f t="shared" ref="AD3142:AD3143" si="2415">AC3142*Z3142</f>
        <v>383.06774999999948</v>
      </c>
      <c r="AE3142" s="190"/>
      <c r="AF3142" s="191"/>
      <c r="AG3142" s="191"/>
      <c r="AH3142" s="191"/>
      <c r="AI3142" s="186"/>
      <c r="AK3142" s="171"/>
    </row>
    <row r="3143" spans="1:41" s="102" customFormat="1" ht="19.899999999999999" customHeight="1" x14ac:dyDescent="0.25">
      <c r="A3143" s="45"/>
      <c r="B3143" s="59"/>
      <c r="C3143" s="137"/>
      <c r="D3143" s="59"/>
      <c r="E3143" s="116"/>
      <c r="F3143" s="120"/>
      <c r="G3143" s="120"/>
      <c r="H3143" s="120"/>
      <c r="I3143" s="60"/>
      <c r="J3143" s="116"/>
      <c r="K3143" s="213"/>
      <c r="L3143" s="120"/>
      <c r="M3143" s="120"/>
      <c r="N3143" s="167"/>
      <c r="O3143" s="120"/>
      <c r="P3143" s="120"/>
      <c r="Q3143" s="120"/>
      <c r="R3143" s="120"/>
      <c r="S3143" s="120"/>
      <c r="T3143" s="221"/>
      <c r="U3143" s="89"/>
      <c r="V3143" s="61"/>
      <c r="W3143" s="92" t="s">
        <v>1037</v>
      </c>
      <c r="X3143" s="93" t="s">
        <v>30</v>
      </c>
      <c r="Y3143" s="93" t="s">
        <v>1038</v>
      </c>
      <c r="Z3143" s="134">
        <f>VLOOKUP(W3143,Sheet2!$B:$D,3,FALSE)</f>
        <v>175</v>
      </c>
      <c r="AA3143" s="93">
        <v>300</v>
      </c>
      <c r="AB3143" s="93">
        <f>AD3143/AC3136</f>
        <v>0.58333333333333326</v>
      </c>
      <c r="AC3143" s="93">
        <f>AC3136/AA3143</f>
        <v>8.5126166666666545E-2</v>
      </c>
      <c r="AD3143" s="94">
        <f t="shared" si="2415"/>
        <v>14.897079166666645</v>
      </c>
      <c r="AE3143" s="190"/>
      <c r="AF3143" s="191"/>
      <c r="AG3143" s="191"/>
      <c r="AH3143" s="191"/>
      <c r="AI3143" s="186"/>
      <c r="AK3143" s="171"/>
    </row>
    <row r="3144" spans="1:41" s="103" customFormat="1" ht="19.899999999999999" customHeight="1" x14ac:dyDescent="0.25">
      <c r="A3144" s="51"/>
      <c r="B3144" s="52"/>
      <c r="C3144" s="165"/>
      <c r="D3144" s="52"/>
      <c r="E3144" s="115"/>
      <c r="F3144" s="58"/>
      <c r="G3144" s="58"/>
      <c r="H3144" s="58"/>
      <c r="I3144" s="55"/>
      <c r="J3144" s="113">
        <f>J3125</f>
        <v>25.537849999999963</v>
      </c>
      <c r="K3144" s="212">
        <f>K3125</f>
        <v>25.537849999999963</v>
      </c>
      <c r="L3144" s="58"/>
      <c r="M3144" s="58">
        <f>K3144-L3144</f>
        <v>25.537849999999963</v>
      </c>
      <c r="N3144" s="166"/>
      <c r="O3144" s="58"/>
      <c r="P3144" s="58"/>
      <c r="Q3144" s="58"/>
      <c r="R3144" s="58"/>
      <c r="S3144" s="58"/>
      <c r="T3144" s="220"/>
      <c r="U3144" s="88"/>
      <c r="V3144" s="56"/>
      <c r="W3144" s="57" t="s">
        <v>1040</v>
      </c>
      <c r="X3144" s="53"/>
      <c r="Y3144" s="91" t="s">
        <v>68</v>
      </c>
      <c r="Z3144" s="136">
        <f>AD3144/AC3144</f>
        <v>5</v>
      </c>
      <c r="AA3144" s="58"/>
      <c r="AB3144" s="53">
        <f>AD3144/AC3144</f>
        <v>5</v>
      </c>
      <c r="AC3144" s="53">
        <f>M3144+$AE$10</f>
        <v>25.537849999999963</v>
      </c>
      <c r="AD3144" s="54">
        <f>SUM(AD3145)</f>
        <v>127.68924999999982</v>
      </c>
      <c r="AE3144" s="184">
        <f>SUMIFS($AD$37:$AD$12971,$V$37:$V$12971,$V3144,$X$37:$X$12971,AE$13)</f>
        <v>0</v>
      </c>
      <c r="AF3144" s="185">
        <f>SUMIFS($AD$37:$AD$12971,$V$37:$V$12971,$V3144,$X$37:$X$12971,AF$13)</f>
        <v>0</v>
      </c>
      <c r="AG3144" s="185">
        <f>SUMIFS($AD$37:$AD$12971,$V$37:$V$12971,$V3144,$X$37:$X$12971,AG$13)</f>
        <v>0</v>
      </c>
      <c r="AH3144" s="187">
        <f>SUMIFS($AD$37:$AD$12971,$V$37:$V$12971,$V3144,$X$37:$X$12971,AH$13)</f>
        <v>0</v>
      </c>
      <c r="AI3144" s="161">
        <f t="shared" ref="AI3144" si="2416">SUM(AE3144:AH3144)</f>
        <v>0</v>
      </c>
      <c r="AK3144" s="172"/>
    </row>
    <row r="3145" spans="1:41" s="102" customFormat="1" ht="19.899999999999999" customHeight="1" x14ac:dyDescent="0.25">
      <c r="A3145" s="45"/>
      <c r="B3145" s="59"/>
      <c r="C3145" s="137"/>
      <c r="D3145" s="59"/>
      <c r="E3145" s="116"/>
      <c r="F3145" s="120"/>
      <c r="G3145" s="120"/>
      <c r="H3145" s="120"/>
      <c r="I3145" s="60"/>
      <c r="J3145" s="116"/>
      <c r="K3145" s="213"/>
      <c r="L3145" s="120"/>
      <c r="M3145" s="120"/>
      <c r="N3145" s="167"/>
      <c r="O3145" s="120"/>
      <c r="P3145" s="120"/>
      <c r="Q3145" s="120"/>
      <c r="R3145" s="120"/>
      <c r="S3145" s="120"/>
      <c r="T3145" s="221"/>
      <c r="U3145" s="89"/>
      <c r="V3145" s="61"/>
      <c r="W3145" s="92" t="s">
        <v>1039</v>
      </c>
      <c r="X3145" s="93" t="s">
        <v>32</v>
      </c>
      <c r="Y3145" s="93" t="s">
        <v>68</v>
      </c>
      <c r="Z3145" s="134">
        <f>VLOOKUP(W3145,Sheet2!$B:$D,3,FALSE)</f>
        <v>5</v>
      </c>
      <c r="AA3145" s="93">
        <v>1</v>
      </c>
      <c r="AB3145" s="93">
        <f>AD3145/AC3144</f>
        <v>5</v>
      </c>
      <c r="AC3145" s="93">
        <f>AC3144/AA3145</f>
        <v>25.537849999999963</v>
      </c>
      <c r="AD3145" s="94">
        <f t="shared" ref="AD3145" si="2417">AC3145*Z3145</f>
        <v>127.68924999999982</v>
      </c>
      <c r="AE3145" s="190"/>
      <c r="AF3145" s="191"/>
      <c r="AG3145" s="191"/>
      <c r="AH3145" s="191"/>
      <c r="AI3145" s="186"/>
      <c r="AK3145" s="171"/>
    </row>
    <row r="3146" spans="1:41" ht="20.100000000000001" customHeight="1" x14ac:dyDescent="0.25">
      <c r="A3146" s="277" t="s">
        <v>491</v>
      </c>
      <c r="B3146" s="278"/>
      <c r="C3146" s="64" t="s">
        <v>1204</v>
      </c>
      <c r="D3146" s="46" t="s">
        <v>97</v>
      </c>
      <c r="E3146" s="114">
        <v>1.4824999999999982</v>
      </c>
      <c r="F3146" s="44">
        <v>195</v>
      </c>
      <c r="G3146" s="44">
        <f t="shared" si="1977"/>
        <v>289.08749999999964</v>
      </c>
      <c r="H3146" s="44">
        <f t="shared" si="1978"/>
        <v>3.7554431372549018</v>
      </c>
      <c r="I3146" s="43">
        <f t="shared" si="1979"/>
        <v>5.5674444509803847</v>
      </c>
      <c r="J3146" s="112">
        <f t="shared" si="1980"/>
        <v>1.4824999999999982</v>
      </c>
      <c r="K3146" s="211">
        <f t="shared" si="1981"/>
        <v>1.4824999999999982</v>
      </c>
      <c r="L3146" s="44"/>
      <c r="M3146" s="44">
        <f t="shared" si="1982"/>
        <v>1.4824999999999982</v>
      </c>
      <c r="N3146" s="173">
        <f t="shared" si="1983"/>
        <v>1</v>
      </c>
      <c r="O3146" s="44">
        <f t="shared" si="1984"/>
        <v>195</v>
      </c>
      <c r="P3146" s="44">
        <f t="shared" si="1985"/>
        <v>289.08749999999964</v>
      </c>
      <c r="Q3146" s="44">
        <f t="shared" si="1986"/>
        <v>3.7554431372549018</v>
      </c>
      <c r="R3146" s="44">
        <f t="shared" si="1987"/>
        <v>5.5674444509803847</v>
      </c>
      <c r="S3146" s="123"/>
      <c r="T3146" s="219">
        <f t="shared" si="1988"/>
        <v>5.5674444509803847</v>
      </c>
      <c r="U3146" s="87"/>
      <c r="V3146" s="47"/>
      <c r="W3146" s="48"/>
      <c r="X3146" s="48"/>
      <c r="Y3146" s="48"/>
      <c r="Z3146" s="135"/>
      <c r="AA3146" s="49"/>
      <c r="AB3146" s="50">
        <f t="shared" si="1989"/>
        <v>3.7554431372549018</v>
      </c>
      <c r="AC3146" s="42">
        <f t="shared" si="1990"/>
        <v>1.4824999999999982</v>
      </c>
      <c r="AD3146" s="90">
        <f>AD3147</f>
        <v>5.5674444509803847</v>
      </c>
      <c r="AE3146" s="188">
        <f t="shared" ref="AE3146:AH3146" si="2418">AE3147</f>
        <v>0</v>
      </c>
      <c r="AF3146" s="189">
        <f t="shared" si="2418"/>
        <v>0</v>
      </c>
      <c r="AG3146" s="189">
        <f t="shared" si="2418"/>
        <v>0</v>
      </c>
      <c r="AH3146" s="189">
        <f t="shared" si="2418"/>
        <v>0</v>
      </c>
      <c r="AI3146" s="161">
        <f t="shared" si="2408"/>
        <v>0</v>
      </c>
      <c r="AK3146" s="169">
        <v>5</v>
      </c>
      <c r="AO3146" s="19" t="s">
        <v>63</v>
      </c>
    </row>
    <row r="3147" spans="1:41" s="103" customFormat="1" ht="19.899999999999999" customHeight="1" x14ac:dyDescent="0.25">
      <c r="A3147" s="51"/>
      <c r="B3147" s="52"/>
      <c r="C3147" s="165"/>
      <c r="D3147" s="52"/>
      <c r="E3147" s="115"/>
      <c r="F3147" s="58"/>
      <c r="G3147" s="58"/>
      <c r="H3147" s="58"/>
      <c r="I3147" s="55"/>
      <c r="J3147" s="113">
        <f>J3146</f>
        <v>1.4824999999999982</v>
      </c>
      <c r="K3147" s="212">
        <f>K3146</f>
        <v>1.4824999999999982</v>
      </c>
      <c r="L3147" s="58"/>
      <c r="M3147" s="58">
        <f>K3147-L3147</f>
        <v>1.4824999999999982</v>
      </c>
      <c r="N3147" s="166"/>
      <c r="O3147" s="58"/>
      <c r="P3147" s="58"/>
      <c r="Q3147" s="58"/>
      <c r="R3147" s="58"/>
      <c r="S3147" s="58"/>
      <c r="T3147" s="220"/>
      <c r="U3147" s="88"/>
      <c r="V3147" s="56"/>
      <c r="W3147" s="57" t="s">
        <v>1226</v>
      </c>
      <c r="X3147" s="53"/>
      <c r="Y3147" s="91" t="s">
        <v>68</v>
      </c>
      <c r="Z3147" s="136">
        <f>AD3147/AC3147</f>
        <v>3.7554431372549018</v>
      </c>
      <c r="AA3147" s="58"/>
      <c r="AB3147" s="53">
        <f>AD3147/AC3147</f>
        <v>3.7554431372549018</v>
      </c>
      <c r="AC3147" s="53">
        <f>M3147+$AE$10</f>
        <v>1.4824999999999982</v>
      </c>
      <c r="AD3147" s="54">
        <f>SUM(AD3148:AD3155)</f>
        <v>5.5674444509803847</v>
      </c>
      <c r="AE3147" s="184">
        <f>SUMIFS($AD$37:$AD$12971,$V$37:$V$12971,$V3147,$X$37:$X$12971,AE$13)</f>
        <v>0</v>
      </c>
      <c r="AF3147" s="185">
        <f>SUMIFS($AD$37:$AD$12971,$V$37:$V$12971,$V3147,$X$37:$X$12971,AF$13)</f>
        <v>0</v>
      </c>
      <c r="AG3147" s="185">
        <f>SUMIFS($AD$37:$AD$12971,$V$37:$V$12971,$V3147,$X$37:$X$12971,AG$13)</f>
        <v>0</v>
      </c>
      <c r="AH3147" s="187">
        <f>SUMIFS($AD$37:$AD$12971,$V$37:$V$12971,$V3147,$X$37:$X$12971,AH$13)</f>
        <v>0</v>
      </c>
      <c r="AI3147" s="161">
        <f t="shared" ref="AI3147" si="2419">SUM(AE3147:AH3147)</f>
        <v>0</v>
      </c>
      <c r="AK3147" s="172"/>
    </row>
    <row r="3148" spans="1:41" s="102" customFormat="1" ht="19.899999999999999" customHeight="1" x14ac:dyDescent="0.25">
      <c r="A3148" s="45"/>
      <c r="B3148" s="59"/>
      <c r="C3148" s="137"/>
      <c r="D3148" s="59"/>
      <c r="E3148" s="116"/>
      <c r="F3148" s="120"/>
      <c r="G3148" s="120"/>
      <c r="H3148" s="120"/>
      <c r="I3148" s="60"/>
      <c r="J3148" s="116"/>
      <c r="K3148" s="213"/>
      <c r="L3148" s="120"/>
      <c r="M3148" s="120"/>
      <c r="N3148" s="167"/>
      <c r="O3148" s="120"/>
      <c r="P3148" s="120"/>
      <c r="Q3148" s="120"/>
      <c r="R3148" s="120"/>
      <c r="S3148" s="120"/>
      <c r="T3148" s="221"/>
      <c r="U3148" s="89"/>
      <c r="V3148" s="61"/>
      <c r="W3148" s="92" t="s">
        <v>131</v>
      </c>
      <c r="X3148" s="93" t="s">
        <v>29</v>
      </c>
      <c r="Y3148" s="93" t="s">
        <v>93</v>
      </c>
      <c r="Z3148" s="134">
        <f>VLOOKUP(W3148,Sheet2!$B:$D,3,FALSE)</f>
        <v>131.19999999999999</v>
      </c>
      <c r="AA3148" s="93">
        <f>80/(1*0.5)</f>
        <v>160</v>
      </c>
      <c r="AB3148" s="93">
        <f t="shared" ref="AB3148" si="2420">AD3148/AC3147</f>
        <v>0.82000000000000006</v>
      </c>
      <c r="AC3148" s="93">
        <f>AC3147/AA3148</f>
        <v>9.2656249999999891E-3</v>
      </c>
      <c r="AD3148" s="94">
        <f t="shared" ref="AD3148:AD3149" si="2421">AC3148*Z3148</f>
        <v>1.2156499999999986</v>
      </c>
      <c r="AE3148" s="190"/>
      <c r="AF3148" s="191"/>
      <c r="AG3148" s="191"/>
      <c r="AH3148" s="191"/>
      <c r="AI3148" s="186"/>
      <c r="AK3148" s="171"/>
    </row>
    <row r="3149" spans="1:41" s="102" customFormat="1" ht="19.899999999999999" customHeight="1" x14ac:dyDescent="0.25">
      <c r="A3149" s="45"/>
      <c r="B3149" s="59"/>
      <c r="C3149" s="137"/>
      <c r="D3149" s="59"/>
      <c r="E3149" s="116"/>
      <c r="F3149" s="120"/>
      <c r="G3149" s="120"/>
      <c r="H3149" s="120"/>
      <c r="I3149" s="60"/>
      <c r="J3149" s="116"/>
      <c r="K3149" s="213"/>
      <c r="L3149" s="120"/>
      <c r="M3149" s="120"/>
      <c r="N3149" s="167"/>
      <c r="O3149" s="120"/>
      <c r="P3149" s="120"/>
      <c r="Q3149" s="120"/>
      <c r="R3149" s="120"/>
      <c r="S3149" s="120"/>
      <c r="T3149" s="221"/>
      <c r="U3149" s="89"/>
      <c r="V3149" s="61"/>
      <c r="W3149" s="92" t="s">
        <v>65</v>
      </c>
      <c r="X3149" s="93" t="s">
        <v>30</v>
      </c>
      <c r="Y3149" s="93" t="s">
        <v>1011</v>
      </c>
      <c r="Z3149" s="134">
        <f>VLOOKUP(W3149,Sheet2!$B:$D,3,FALSE)</f>
        <v>1.76</v>
      </c>
      <c r="AA3149" s="93">
        <f>AA3148/32</f>
        <v>5</v>
      </c>
      <c r="AB3149" s="93">
        <f>AD3149/AC3147</f>
        <v>0.35200000000000004</v>
      </c>
      <c r="AC3149" s="93">
        <f>AC3147/AA3149</f>
        <v>0.29649999999999965</v>
      </c>
      <c r="AD3149" s="94">
        <f t="shared" si="2421"/>
        <v>0.52183999999999942</v>
      </c>
      <c r="AE3149" s="190"/>
      <c r="AF3149" s="191"/>
      <c r="AG3149" s="191"/>
      <c r="AH3149" s="191"/>
      <c r="AI3149" s="186"/>
      <c r="AK3149" s="171"/>
    </row>
    <row r="3150" spans="1:41" s="102" customFormat="1" ht="19.899999999999999" customHeight="1" x14ac:dyDescent="0.25">
      <c r="A3150" s="45"/>
      <c r="B3150" s="59"/>
      <c r="C3150" s="137"/>
      <c r="D3150" s="59"/>
      <c r="E3150" s="116"/>
      <c r="F3150" s="120"/>
      <c r="G3150" s="120"/>
      <c r="H3150" s="120"/>
      <c r="I3150" s="60"/>
      <c r="J3150" s="116"/>
      <c r="K3150" s="213"/>
      <c r="L3150" s="120"/>
      <c r="M3150" s="120"/>
      <c r="N3150" s="167"/>
      <c r="O3150" s="120"/>
      <c r="P3150" s="120"/>
      <c r="Q3150" s="120"/>
      <c r="R3150" s="120"/>
      <c r="S3150" s="120"/>
      <c r="T3150" s="221"/>
      <c r="U3150" s="89"/>
      <c r="V3150" s="61"/>
      <c r="W3150" s="92" t="s">
        <v>161</v>
      </c>
      <c r="X3150" s="93" t="s">
        <v>29</v>
      </c>
      <c r="Y3150" s="93" t="s">
        <v>93</v>
      </c>
      <c r="Z3150" s="134">
        <f>VLOOKUP(W3150,Sheet2!$B:$D,3,FALSE)</f>
        <v>48</v>
      </c>
      <c r="AA3150" s="93">
        <f>(16*0.85*1.5)/(1*0.5)</f>
        <v>40.799999999999997</v>
      </c>
      <c r="AB3150" s="93">
        <f>AD3150/AC3147</f>
        <v>1.1764705882352942</v>
      </c>
      <c r="AC3150" s="93">
        <f>AC3147/AA3150</f>
        <v>3.6335784313725444E-2</v>
      </c>
      <c r="AD3150" s="94">
        <f>AC3150*Z3150</f>
        <v>1.7441176470588213</v>
      </c>
      <c r="AE3150" s="190"/>
      <c r="AF3150" s="191"/>
      <c r="AG3150" s="191"/>
      <c r="AH3150" s="191"/>
      <c r="AI3150" s="186"/>
      <c r="AK3150" s="171"/>
    </row>
    <row r="3151" spans="1:41" s="102" customFormat="1" ht="19.899999999999999" customHeight="1" x14ac:dyDescent="0.25">
      <c r="A3151" s="45"/>
      <c r="B3151" s="59"/>
      <c r="C3151" s="137"/>
      <c r="D3151" s="59"/>
      <c r="E3151" s="116"/>
      <c r="F3151" s="120"/>
      <c r="G3151" s="120"/>
      <c r="H3151" s="120"/>
      <c r="I3151" s="60"/>
      <c r="J3151" s="116"/>
      <c r="K3151" s="213"/>
      <c r="L3151" s="120"/>
      <c r="M3151" s="120"/>
      <c r="N3151" s="167"/>
      <c r="O3151" s="120"/>
      <c r="P3151" s="120"/>
      <c r="Q3151" s="120"/>
      <c r="R3151" s="120"/>
      <c r="S3151" s="120"/>
      <c r="T3151" s="221"/>
      <c r="U3151" s="89"/>
      <c r="V3151" s="61"/>
      <c r="W3151" s="92" t="s">
        <v>65</v>
      </c>
      <c r="X3151" s="93" t="s">
        <v>30</v>
      </c>
      <c r="Y3151" s="93" t="s">
        <v>1011</v>
      </c>
      <c r="Z3151" s="134">
        <f>VLOOKUP(W3151,Sheet2!$B:$D,3,FALSE)</f>
        <v>1.76</v>
      </c>
      <c r="AA3151" s="93">
        <f>AA3150/10</f>
        <v>4.08</v>
      </c>
      <c r="AB3151" s="93">
        <f>AD3151/AC3147</f>
        <v>0.43137254901960786</v>
      </c>
      <c r="AC3151" s="93">
        <f>AC3147/AA3151</f>
        <v>0.36335784313725444</v>
      </c>
      <c r="AD3151" s="94">
        <f>AC3151*Z3151</f>
        <v>0.63950980392156787</v>
      </c>
      <c r="AE3151" s="190"/>
      <c r="AF3151" s="191"/>
      <c r="AG3151" s="191"/>
      <c r="AH3151" s="191"/>
      <c r="AI3151" s="186"/>
      <c r="AK3151" s="171"/>
    </row>
    <row r="3152" spans="1:41" s="102" customFormat="1" ht="19.899999999999999" customHeight="1" x14ac:dyDescent="0.25">
      <c r="A3152" s="45"/>
      <c r="B3152" s="59"/>
      <c r="C3152" s="137"/>
      <c r="D3152" s="59"/>
      <c r="E3152" s="116"/>
      <c r="F3152" s="120"/>
      <c r="G3152" s="120"/>
      <c r="H3152" s="120"/>
      <c r="I3152" s="60"/>
      <c r="J3152" s="116"/>
      <c r="K3152" s="213"/>
      <c r="L3152" s="120"/>
      <c r="M3152" s="120"/>
      <c r="N3152" s="167"/>
      <c r="O3152" s="120"/>
      <c r="P3152" s="120"/>
      <c r="Q3152" s="120"/>
      <c r="R3152" s="120"/>
      <c r="S3152" s="120"/>
      <c r="T3152" s="221"/>
      <c r="U3152" s="89"/>
      <c r="V3152" s="61"/>
      <c r="W3152" s="92" t="s">
        <v>1030</v>
      </c>
      <c r="X3152" s="93" t="s">
        <v>29</v>
      </c>
      <c r="Y3152" s="93" t="s">
        <v>93</v>
      </c>
      <c r="Z3152" s="134">
        <f>VLOOKUP(W3152,Sheet2!$B:$D,3,FALSE)</f>
        <v>23</v>
      </c>
      <c r="AA3152" s="93">
        <v>50</v>
      </c>
      <c r="AB3152" s="93">
        <f>AD3152/AC3147</f>
        <v>0.46</v>
      </c>
      <c r="AC3152" s="93">
        <f>AC3147/AA3152</f>
        <v>2.9649999999999965E-2</v>
      </c>
      <c r="AD3152" s="94">
        <f t="shared" ref="AD3152:AD3155" si="2422">AC3152*Z3152</f>
        <v>0.68194999999999917</v>
      </c>
      <c r="AE3152" s="190"/>
      <c r="AF3152" s="191"/>
      <c r="AG3152" s="191"/>
      <c r="AH3152" s="191"/>
      <c r="AI3152" s="186"/>
      <c r="AK3152" s="171"/>
    </row>
    <row r="3153" spans="1:41" s="102" customFormat="1" ht="19.899999999999999" customHeight="1" x14ac:dyDescent="0.25">
      <c r="A3153" s="45"/>
      <c r="B3153" s="59"/>
      <c r="C3153" s="137"/>
      <c r="D3153" s="59"/>
      <c r="E3153" s="116"/>
      <c r="F3153" s="120"/>
      <c r="G3153" s="120"/>
      <c r="H3153" s="120"/>
      <c r="I3153" s="60"/>
      <c r="J3153" s="116"/>
      <c r="K3153" s="213"/>
      <c r="L3153" s="120"/>
      <c r="M3153" s="120"/>
      <c r="N3153" s="167"/>
      <c r="O3153" s="120"/>
      <c r="P3153" s="120"/>
      <c r="Q3153" s="120"/>
      <c r="R3153" s="120"/>
      <c r="S3153" s="120"/>
      <c r="T3153" s="221"/>
      <c r="U3153" s="89"/>
      <c r="V3153" s="61"/>
      <c r="W3153" s="92" t="s">
        <v>65</v>
      </c>
      <c r="X3153" s="93" t="s">
        <v>30</v>
      </c>
      <c r="Y3153" s="93" t="s">
        <v>1011</v>
      </c>
      <c r="Z3153" s="134">
        <f>VLOOKUP(W3153,Sheet2!$B:$D,3,FALSE)</f>
        <v>1.76</v>
      </c>
      <c r="AA3153" s="93">
        <f>AA3152/3</f>
        <v>16.666666666666668</v>
      </c>
      <c r="AB3153" s="93">
        <f>AD3153/AC3147</f>
        <v>0.10559999999999999</v>
      </c>
      <c r="AC3153" s="93">
        <f>AC3147/AA3153</f>
        <v>8.8949999999999876E-2</v>
      </c>
      <c r="AD3153" s="94">
        <f t="shared" si="2422"/>
        <v>0.15655199999999977</v>
      </c>
      <c r="AE3153" s="190"/>
      <c r="AF3153" s="191"/>
      <c r="AG3153" s="191"/>
      <c r="AH3153" s="191"/>
      <c r="AI3153" s="186"/>
      <c r="AK3153" s="171"/>
    </row>
    <row r="3154" spans="1:41" s="102" customFormat="1" ht="19.899999999999999" customHeight="1" x14ac:dyDescent="0.25">
      <c r="A3154" s="45"/>
      <c r="B3154" s="59"/>
      <c r="C3154" s="137"/>
      <c r="D3154" s="59"/>
      <c r="E3154" s="116"/>
      <c r="F3154" s="120"/>
      <c r="G3154" s="120"/>
      <c r="H3154" s="120"/>
      <c r="I3154" s="60"/>
      <c r="J3154" s="116"/>
      <c r="K3154" s="213"/>
      <c r="L3154" s="120"/>
      <c r="M3154" s="120"/>
      <c r="N3154" s="167"/>
      <c r="O3154" s="120"/>
      <c r="P3154" s="120"/>
      <c r="Q3154" s="120"/>
      <c r="R3154" s="120"/>
      <c r="S3154" s="120"/>
      <c r="T3154" s="221"/>
      <c r="U3154" s="89"/>
      <c r="V3154" s="61"/>
      <c r="W3154" s="92" t="s">
        <v>148</v>
      </c>
      <c r="X3154" s="93" t="s">
        <v>29</v>
      </c>
      <c r="Y3154" s="93" t="s">
        <v>93</v>
      </c>
      <c r="Z3154" s="134">
        <f>VLOOKUP(W3154,Sheet2!$B:$D,3,FALSE)</f>
        <v>48</v>
      </c>
      <c r="AA3154" s="93">
        <f>AA3148</f>
        <v>160</v>
      </c>
      <c r="AB3154" s="93">
        <f>AD3154/AC3147</f>
        <v>0.30000000000000004</v>
      </c>
      <c r="AC3154" s="93">
        <f>AC3147/AA3154</f>
        <v>9.2656249999999891E-3</v>
      </c>
      <c r="AD3154" s="94">
        <f t="shared" si="2422"/>
        <v>0.44474999999999948</v>
      </c>
      <c r="AE3154" s="190"/>
      <c r="AF3154" s="191"/>
      <c r="AG3154" s="191"/>
      <c r="AH3154" s="191"/>
      <c r="AI3154" s="186"/>
      <c r="AK3154" s="171"/>
    </row>
    <row r="3155" spans="1:41" s="102" customFormat="1" ht="19.899999999999999" customHeight="1" x14ac:dyDescent="0.25">
      <c r="A3155" s="45"/>
      <c r="B3155" s="59"/>
      <c r="C3155" s="137"/>
      <c r="D3155" s="59"/>
      <c r="E3155" s="116"/>
      <c r="F3155" s="120"/>
      <c r="G3155" s="120"/>
      <c r="H3155" s="120"/>
      <c r="I3155" s="60"/>
      <c r="J3155" s="116"/>
      <c r="K3155" s="213"/>
      <c r="L3155" s="120"/>
      <c r="M3155" s="120"/>
      <c r="N3155" s="167"/>
      <c r="O3155" s="120"/>
      <c r="P3155" s="120"/>
      <c r="Q3155" s="120"/>
      <c r="R3155" s="120"/>
      <c r="S3155" s="120"/>
      <c r="T3155" s="221"/>
      <c r="U3155" s="89"/>
      <c r="V3155" s="61"/>
      <c r="W3155" s="92" t="s">
        <v>65</v>
      </c>
      <c r="X3155" s="93" t="s">
        <v>30</v>
      </c>
      <c r="Y3155" s="93" t="s">
        <v>1011</v>
      </c>
      <c r="Z3155" s="134">
        <f>VLOOKUP(W3155,Sheet2!$B:$D,3,FALSE)</f>
        <v>1.76</v>
      </c>
      <c r="AA3155" s="93">
        <f>AA3154/10</f>
        <v>16</v>
      </c>
      <c r="AB3155" s="93">
        <f>AD3155/AC3147</f>
        <v>0.11</v>
      </c>
      <c r="AC3155" s="93">
        <f>AC3147/AA3155</f>
        <v>9.2656249999999885E-2</v>
      </c>
      <c r="AD3155" s="94">
        <f t="shared" si="2422"/>
        <v>0.1630749999999998</v>
      </c>
      <c r="AE3155" s="190"/>
      <c r="AF3155" s="191"/>
      <c r="AG3155" s="191"/>
      <c r="AH3155" s="191"/>
      <c r="AI3155" s="186"/>
      <c r="AK3155" s="171"/>
    </row>
    <row r="3156" spans="1:41" ht="20.100000000000001" customHeight="1" x14ac:dyDescent="0.25">
      <c r="A3156" s="277" t="s">
        <v>491</v>
      </c>
      <c r="B3156" s="278"/>
      <c r="C3156" s="64" t="s">
        <v>1149</v>
      </c>
      <c r="D3156" s="46" t="s">
        <v>97</v>
      </c>
      <c r="E3156" s="114"/>
      <c r="F3156" s="44"/>
      <c r="G3156" s="44">
        <f t="shared" si="1977"/>
        <v>0</v>
      </c>
      <c r="H3156" s="44">
        <f t="shared" si="1978"/>
        <v>0</v>
      </c>
      <c r="I3156" s="43">
        <f t="shared" si="1979"/>
        <v>0</v>
      </c>
      <c r="J3156" s="112">
        <f t="shared" si="1980"/>
        <v>0</v>
      </c>
      <c r="K3156" s="211">
        <f t="shared" si="1981"/>
        <v>0</v>
      </c>
      <c r="L3156" s="44"/>
      <c r="M3156" s="44">
        <f t="shared" si="1982"/>
        <v>0</v>
      </c>
      <c r="N3156" s="173">
        <f t="shared" si="1983"/>
        <v>0</v>
      </c>
      <c r="O3156" s="44">
        <f t="shared" si="1984"/>
        <v>0</v>
      </c>
      <c r="P3156" s="44">
        <f t="shared" si="1985"/>
        <v>0</v>
      </c>
      <c r="Q3156" s="44">
        <f t="shared" si="1986"/>
        <v>0</v>
      </c>
      <c r="R3156" s="44">
        <f t="shared" si="1987"/>
        <v>0</v>
      </c>
      <c r="S3156" s="123"/>
      <c r="T3156" s="219">
        <f t="shared" si="1988"/>
        <v>0</v>
      </c>
      <c r="U3156" s="87"/>
      <c r="V3156" s="47"/>
      <c r="W3156" s="48"/>
      <c r="X3156" s="48"/>
      <c r="Y3156" s="48"/>
      <c r="Z3156" s="135"/>
      <c r="AA3156" s="49"/>
      <c r="AB3156" s="50">
        <f t="shared" si="1989"/>
        <v>0</v>
      </c>
      <c r="AC3156" s="42">
        <f t="shared" si="1990"/>
        <v>9.9999999999999998E-20</v>
      </c>
      <c r="AD3156" s="90"/>
      <c r="AE3156" s="188"/>
      <c r="AF3156" s="189"/>
      <c r="AG3156" s="189"/>
      <c r="AH3156" s="189"/>
      <c r="AI3156" s="161"/>
    </row>
    <row r="3157" spans="1:41" ht="20.100000000000001" customHeight="1" x14ac:dyDescent="0.25">
      <c r="A3157" s="277" t="s">
        <v>491</v>
      </c>
      <c r="B3157" s="278"/>
      <c r="C3157" s="64" t="s">
        <v>1218</v>
      </c>
      <c r="D3157" s="46" t="s">
        <v>97</v>
      </c>
      <c r="E3157" s="114"/>
      <c r="F3157" s="44"/>
      <c r="G3157" s="44">
        <f t="shared" si="1977"/>
        <v>0</v>
      </c>
      <c r="H3157" s="44">
        <f t="shared" si="1978"/>
        <v>0</v>
      </c>
      <c r="I3157" s="43">
        <f t="shared" si="1979"/>
        <v>0</v>
      </c>
      <c r="J3157" s="112">
        <f t="shared" si="1980"/>
        <v>0</v>
      </c>
      <c r="K3157" s="211">
        <f t="shared" si="1981"/>
        <v>0</v>
      </c>
      <c r="L3157" s="44"/>
      <c r="M3157" s="44">
        <f t="shared" si="1982"/>
        <v>0</v>
      </c>
      <c r="N3157" s="173">
        <f t="shared" si="1983"/>
        <v>0</v>
      </c>
      <c r="O3157" s="44">
        <f t="shared" si="1984"/>
        <v>0</v>
      </c>
      <c r="P3157" s="44">
        <f t="shared" si="1985"/>
        <v>0</v>
      </c>
      <c r="Q3157" s="44">
        <f t="shared" si="1986"/>
        <v>0</v>
      </c>
      <c r="R3157" s="44">
        <f t="shared" si="1987"/>
        <v>0</v>
      </c>
      <c r="S3157" s="123"/>
      <c r="T3157" s="219">
        <f t="shared" si="1988"/>
        <v>0</v>
      </c>
      <c r="U3157" s="87"/>
      <c r="V3157" s="47"/>
      <c r="W3157" s="48"/>
      <c r="X3157" s="48"/>
      <c r="Y3157" s="48"/>
      <c r="Z3157" s="135"/>
      <c r="AA3157" s="49"/>
      <c r="AB3157" s="50">
        <f t="shared" si="1989"/>
        <v>0</v>
      </c>
      <c r="AC3157" s="42">
        <f t="shared" si="1990"/>
        <v>9.9999999999999998E-20</v>
      </c>
      <c r="AD3157" s="90"/>
      <c r="AE3157" s="188"/>
      <c r="AF3157" s="189"/>
      <c r="AG3157" s="189"/>
      <c r="AH3157" s="189"/>
      <c r="AI3157" s="161"/>
    </row>
    <row r="3158" spans="1:41" ht="20.100000000000001" customHeight="1" x14ac:dyDescent="0.25">
      <c r="A3158" s="277" t="s">
        <v>491</v>
      </c>
      <c r="B3158" s="278"/>
      <c r="C3158" s="64" t="s">
        <v>1150</v>
      </c>
      <c r="D3158" s="46" t="s">
        <v>97</v>
      </c>
      <c r="E3158" s="114"/>
      <c r="F3158" s="44"/>
      <c r="G3158" s="44">
        <f t="shared" si="1977"/>
        <v>0</v>
      </c>
      <c r="H3158" s="44">
        <f t="shared" si="1978"/>
        <v>0</v>
      </c>
      <c r="I3158" s="43">
        <f t="shared" si="1979"/>
        <v>0</v>
      </c>
      <c r="J3158" s="112">
        <f t="shared" si="1980"/>
        <v>0</v>
      </c>
      <c r="K3158" s="211">
        <f t="shared" si="1981"/>
        <v>0</v>
      </c>
      <c r="L3158" s="44"/>
      <c r="M3158" s="44">
        <f t="shared" si="1982"/>
        <v>0</v>
      </c>
      <c r="N3158" s="173">
        <f t="shared" si="1983"/>
        <v>0</v>
      </c>
      <c r="O3158" s="44">
        <f t="shared" si="1984"/>
        <v>0</v>
      </c>
      <c r="P3158" s="44">
        <f t="shared" si="1985"/>
        <v>0</v>
      </c>
      <c r="Q3158" s="44">
        <f t="shared" si="1986"/>
        <v>0</v>
      </c>
      <c r="R3158" s="44">
        <f t="shared" si="1987"/>
        <v>0</v>
      </c>
      <c r="S3158" s="123"/>
      <c r="T3158" s="219">
        <f t="shared" si="1988"/>
        <v>0</v>
      </c>
      <c r="U3158" s="87"/>
      <c r="V3158" s="47"/>
      <c r="W3158" s="48"/>
      <c r="X3158" s="48"/>
      <c r="Y3158" s="48"/>
      <c r="Z3158" s="135"/>
      <c r="AA3158" s="49"/>
      <c r="AB3158" s="50">
        <f t="shared" si="1989"/>
        <v>0</v>
      </c>
      <c r="AC3158" s="42">
        <f t="shared" si="1990"/>
        <v>9.9999999999999998E-20</v>
      </c>
      <c r="AD3158" s="90"/>
      <c r="AE3158" s="188"/>
      <c r="AF3158" s="189"/>
      <c r="AG3158" s="189"/>
      <c r="AH3158" s="189"/>
      <c r="AI3158" s="161"/>
    </row>
    <row r="3159" spans="1:41" ht="20.100000000000001" customHeight="1" x14ac:dyDescent="0.25">
      <c r="A3159" s="277" t="s">
        <v>491</v>
      </c>
      <c r="B3159" s="278"/>
      <c r="C3159" s="64" t="s">
        <v>1151</v>
      </c>
      <c r="D3159" s="46" t="s">
        <v>97</v>
      </c>
      <c r="E3159" s="114"/>
      <c r="F3159" s="44"/>
      <c r="G3159" s="44">
        <f t="shared" si="1977"/>
        <v>0</v>
      </c>
      <c r="H3159" s="44">
        <f t="shared" si="1978"/>
        <v>0</v>
      </c>
      <c r="I3159" s="43">
        <f t="shared" si="1979"/>
        <v>0</v>
      </c>
      <c r="J3159" s="112">
        <f t="shared" si="1980"/>
        <v>0</v>
      </c>
      <c r="K3159" s="211">
        <f t="shared" si="1981"/>
        <v>0</v>
      </c>
      <c r="L3159" s="44"/>
      <c r="M3159" s="44">
        <f t="shared" si="1982"/>
        <v>0</v>
      </c>
      <c r="N3159" s="173">
        <f t="shared" si="1983"/>
        <v>0</v>
      </c>
      <c r="O3159" s="44">
        <f t="shared" si="1984"/>
        <v>0</v>
      </c>
      <c r="P3159" s="44">
        <f t="shared" si="1985"/>
        <v>0</v>
      </c>
      <c r="Q3159" s="44">
        <f t="shared" si="1986"/>
        <v>0</v>
      </c>
      <c r="R3159" s="44">
        <f t="shared" si="1987"/>
        <v>0</v>
      </c>
      <c r="S3159" s="123"/>
      <c r="T3159" s="219">
        <f t="shared" si="1988"/>
        <v>0</v>
      </c>
      <c r="U3159" s="87"/>
      <c r="V3159" s="47"/>
      <c r="W3159" s="48"/>
      <c r="X3159" s="48"/>
      <c r="Y3159" s="48"/>
      <c r="Z3159" s="135"/>
      <c r="AA3159" s="49"/>
      <c r="AB3159" s="50">
        <f t="shared" si="1989"/>
        <v>0</v>
      </c>
      <c r="AC3159" s="42">
        <f t="shared" si="1990"/>
        <v>9.9999999999999998E-20</v>
      </c>
      <c r="AD3159" s="90"/>
      <c r="AE3159" s="188"/>
      <c r="AF3159" s="189"/>
      <c r="AG3159" s="189"/>
      <c r="AH3159" s="189"/>
      <c r="AI3159" s="161"/>
    </row>
    <row r="3160" spans="1:41" ht="20.100000000000001" customHeight="1" x14ac:dyDescent="0.25">
      <c r="A3160" s="277" t="s">
        <v>491</v>
      </c>
      <c r="B3160" s="278"/>
      <c r="C3160" s="64" t="s">
        <v>1152</v>
      </c>
      <c r="D3160" s="46" t="s">
        <v>97</v>
      </c>
      <c r="E3160" s="114"/>
      <c r="F3160" s="44"/>
      <c r="G3160" s="44">
        <f t="shared" si="1977"/>
        <v>0</v>
      </c>
      <c r="H3160" s="44">
        <f t="shared" si="1978"/>
        <v>0</v>
      </c>
      <c r="I3160" s="43">
        <f t="shared" si="1979"/>
        <v>0</v>
      </c>
      <c r="J3160" s="112">
        <f t="shared" si="1980"/>
        <v>0</v>
      </c>
      <c r="K3160" s="211">
        <f t="shared" si="1981"/>
        <v>0</v>
      </c>
      <c r="L3160" s="44"/>
      <c r="M3160" s="44">
        <f t="shared" si="1982"/>
        <v>0</v>
      </c>
      <c r="N3160" s="173">
        <f t="shared" si="1983"/>
        <v>0</v>
      </c>
      <c r="O3160" s="44">
        <f t="shared" si="1984"/>
        <v>0</v>
      </c>
      <c r="P3160" s="44">
        <f t="shared" si="1985"/>
        <v>0</v>
      </c>
      <c r="Q3160" s="44">
        <f t="shared" si="1986"/>
        <v>0</v>
      </c>
      <c r="R3160" s="44">
        <f t="shared" si="1987"/>
        <v>0</v>
      </c>
      <c r="S3160" s="123"/>
      <c r="T3160" s="219">
        <f t="shared" si="1988"/>
        <v>0</v>
      </c>
      <c r="U3160" s="87"/>
      <c r="V3160" s="47"/>
      <c r="W3160" s="48"/>
      <c r="X3160" s="48"/>
      <c r="Y3160" s="48"/>
      <c r="Z3160" s="135"/>
      <c r="AA3160" s="49"/>
      <c r="AB3160" s="50">
        <f t="shared" si="1989"/>
        <v>0</v>
      </c>
      <c r="AC3160" s="42">
        <f t="shared" si="1990"/>
        <v>9.9999999999999998E-20</v>
      </c>
      <c r="AD3160" s="90"/>
      <c r="AE3160" s="188"/>
      <c r="AF3160" s="189"/>
      <c r="AG3160" s="189"/>
      <c r="AH3160" s="189"/>
      <c r="AI3160" s="161"/>
    </row>
    <row r="3161" spans="1:41" ht="20.100000000000001" customHeight="1" x14ac:dyDescent="0.25">
      <c r="A3161" s="277" t="s">
        <v>491</v>
      </c>
      <c r="B3161" s="278"/>
      <c r="C3161" s="64" t="s">
        <v>1153</v>
      </c>
      <c r="D3161" s="46" t="s">
        <v>97</v>
      </c>
      <c r="E3161" s="114"/>
      <c r="F3161" s="44"/>
      <c r="G3161" s="44">
        <f t="shared" si="1977"/>
        <v>0</v>
      </c>
      <c r="H3161" s="44">
        <f t="shared" si="1978"/>
        <v>0</v>
      </c>
      <c r="I3161" s="43">
        <f t="shared" si="1979"/>
        <v>0</v>
      </c>
      <c r="J3161" s="112">
        <f t="shared" si="1980"/>
        <v>0</v>
      </c>
      <c r="K3161" s="211">
        <f t="shared" si="1981"/>
        <v>0</v>
      </c>
      <c r="L3161" s="44"/>
      <c r="M3161" s="44">
        <f t="shared" si="1982"/>
        <v>0</v>
      </c>
      <c r="N3161" s="173">
        <f t="shared" si="1983"/>
        <v>0</v>
      </c>
      <c r="O3161" s="44">
        <f t="shared" si="1984"/>
        <v>0</v>
      </c>
      <c r="P3161" s="44">
        <f t="shared" si="1985"/>
        <v>0</v>
      </c>
      <c r="Q3161" s="44">
        <f t="shared" si="1986"/>
        <v>0</v>
      </c>
      <c r="R3161" s="44">
        <f t="shared" si="1987"/>
        <v>0</v>
      </c>
      <c r="S3161" s="123"/>
      <c r="T3161" s="219">
        <f t="shared" si="1988"/>
        <v>0</v>
      </c>
      <c r="U3161" s="87"/>
      <c r="V3161" s="47"/>
      <c r="W3161" s="48"/>
      <c r="X3161" s="48"/>
      <c r="Y3161" s="48"/>
      <c r="Z3161" s="135"/>
      <c r="AA3161" s="49"/>
      <c r="AB3161" s="50">
        <f t="shared" si="1989"/>
        <v>0</v>
      </c>
      <c r="AC3161" s="42">
        <f t="shared" si="1990"/>
        <v>9.9999999999999998E-20</v>
      </c>
      <c r="AD3161" s="90"/>
      <c r="AE3161" s="188"/>
      <c r="AF3161" s="189"/>
      <c r="AG3161" s="189"/>
      <c r="AH3161" s="189"/>
      <c r="AI3161" s="161"/>
    </row>
    <row r="3162" spans="1:41" ht="20.100000000000001" customHeight="1" x14ac:dyDescent="0.25">
      <c r="A3162" s="277" t="s">
        <v>491</v>
      </c>
      <c r="B3162" s="278"/>
      <c r="C3162" s="64" t="s">
        <v>1154</v>
      </c>
      <c r="D3162" s="46" t="s">
        <v>97</v>
      </c>
      <c r="E3162" s="114"/>
      <c r="F3162" s="44"/>
      <c r="G3162" s="44">
        <f t="shared" si="1977"/>
        <v>0</v>
      </c>
      <c r="H3162" s="44">
        <f t="shared" si="1978"/>
        <v>0</v>
      </c>
      <c r="I3162" s="43">
        <f t="shared" si="1979"/>
        <v>0</v>
      </c>
      <c r="J3162" s="112">
        <f t="shared" si="1980"/>
        <v>0</v>
      </c>
      <c r="K3162" s="211">
        <f t="shared" si="1981"/>
        <v>0</v>
      </c>
      <c r="L3162" s="44"/>
      <c r="M3162" s="44">
        <f t="shared" si="1982"/>
        <v>0</v>
      </c>
      <c r="N3162" s="173">
        <f t="shared" si="1983"/>
        <v>0</v>
      </c>
      <c r="O3162" s="44">
        <f t="shared" si="1984"/>
        <v>0</v>
      </c>
      <c r="P3162" s="44">
        <f t="shared" si="1985"/>
        <v>0</v>
      </c>
      <c r="Q3162" s="44">
        <f t="shared" si="1986"/>
        <v>0</v>
      </c>
      <c r="R3162" s="44">
        <f t="shared" si="1987"/>
        <v>0</v>
      </c>
      <c r="S3162" s="123"/>
      <c r="T3162" s="219">
        <f t="shared" si="1988"/>
        <v>0</v>
      </c>
      <c r="U3162" s="87"/>
      <c r="V3162" s="47"/>
      <c r="W3162" s="48"/>
      <c r="X3162" s="48"/>
      <c r="Y3162" s="48"/>
      <c r="Z3162" s="135"/>
      <c r="AA3162" s="49"/>
      <c r="AB3162" s="50">
        <f t="shared" si="1989"/>
        <v>0</v>
      </c>
      <c r="AC3162" s="42">
        <f t="shared" si="1990"/>
        <v>9.9999999999999998E-20</v>
      </c>
      <c r="AD3162" s="90"/>
      <c r="AE3162" s="188"/>
      <c r="AF3162" s="189"/>
      <c r="AG3162" s="189"/>
      <c r="AH3162" s="189"/>
      <c r="AI3162" s="161"/>
    </row>
    <row r="3163" spans="1:41" ht="20.100000000000001" customHeight="1" x14ac:dyDescent="0.25">
      <c r="A3163" s="277" t="s">
        <v>491</v>
      </c>
      <c r="B3163" s="278"/>
      <c r="C3163" s="64" t="s">
        <v>1155</v>
      </c>
      <c r="D3163" s="46" t="s">
        <v>97</v>
      </c>
      <c r="E3163" s="114"/>
      <c r="F3163" s="44"/>
      <c r="G3163" s="44">
        <f t="shared" si="1977"/>
        <v>0</v>
      </c>
      <c r="H3163" s="44">
        <f t="shared" si="1978"/>
        <v>0</v>
      </c>
      <c r="I3163" s="43">
        <f t="shared" si="1979"/>
        <v>0</v>
      </c>
      <c r="J3163" s="112">
        <f t="shared" si="1980"/>
        <v>0</v>
      </c>
      <c r="K3163" s="211">
        <f t="shared" si="1981"/>
        <v>0</v>
      </c>
      <c r="L3163" s="44"/>
      <c r="M3163" s="44">
        <f t="shared" si="1982"/>
        <v>0</v>
      </c>
      <c r="N3163" s="173">
        <f t="shared" si="1983"/>
        <v>0</v>
      </c>
      <c r="O3163" s="44">
        <f t="shared" si="1984"/>
        <v>0</v>
      </c>
      <c r="P3163" s="44">
        <f t="shared" si="1985"/>
        <v>0</v>
      </c>
      <c r="Q3163" s="44">
        <f t="shared" si="1986"/>
        <v>0</v>
      </c>
      <c r="R3163" s="44">
        <f t="shared" si="1987"/>
        <v>0</v>
      </c>
      <c r="S3163" s="123"/>
      <c r="T3163" s="219">
        <f t="shared" si="1988"/>
        <v>0</v>
      </c>
      <c r="U3163" s="87"/>
      <c r="V3163" s="47"/>
      <c r="W3163" s="48"/>
      <c r="X3163" s="48"/>
      <c r="Y3163" s="48"/>
      <c r="Z3163" s="135"/>
      <c r="AA3163" s="49"/>
      <c r="AB3163" s="50">
        <f t="shared" si="1989"/>
        <v>0</v>
      </c>
      <c r="AC3163" s="42">
        <f t="shared" si="1990"/>
        <v>9.9999999999999998E-20</v>
      </c>
      <c r="AD3163" s="90"/>
      <c r="AE3163" s="188"/>
      <c r="AF3163" s="189"/>
      <c r="AG3163" s="189"/>
      <c r="AH3163" s="189"/>
      <c r="AI3163" s="161"/>
    </row>
    <row r="3164" spans="1:41" ht="20.100000000000001" customHeight="1" x14ac:dyDescent="0.25">
      <c r="A3164" s="277" t="s">
        <v>491</v>
      </c>
      <c r="B3164" s="278"/>
      <c r="C3164" s="64" t="s">
        <v>1156</v>
      </c>
      <c r="D3164" s="46" t="s">
        <v>97</v>
      </c>
      <c r="E3164" s="114"/>
      <c r="F3164" s="44"/>
      <c r="G3164" s="44">
        <f t="shared" si="1977"/>
        <v>0</v>
      </c>
      <c r="H3164" s="44">
        <f t="shared" si="1978"/>
        <v>0</v>
      </c>
      <c r="I3164" s="43">
        <f t="shared" si="1979"/>
        <v>0</v>
      </c>
      <c r="J3164" s="112">
        <f t="shared" si="1980"/>
        <v>0</v>
      </c>
      <c r="K3164" s="211">
        <f t="shared" si="1981"/>
        <v>0</v>
      </c>
      <c r="L3164" s="44"/>
      <c r="M3164" s="44">
        <f t="shared" si="1982"/>
        <v>0</v>
      </c>
      <c r="N3164" s="173">
        <f t="shared" si="1983"/>
        <v>0</v>
      </c>
      <c r="O3164" s="44">
        <f t="shared" si="1984"/>
        <v>0</v>
      </c>
      <c r="P3164" s="44">
        <f t="shared" si="1985"/>
        <v>0</v>
      </c>
      <c r="Q3164" s="44">
        <f t="shared" si="1986"/>
        <v>0</v>
      </c>
      <c r="R3164" s="44">
        <f t="shared" si="1987"/>
        <v>0</v>
      </c>
      <c r="S3164" s="123"/>
      <c r="T3164" s="219">
        <f t="shared" si="1988"/>
        <v>0</v>
      </c>
      <c r="U3164" s="87"/>
      <c r="V3164" s="47"/>
      <c r="W3164" s="48"/>
      <c r="X3164" s="48"/>
      <c r="Y3164" s="48"/>
      <c r="Z3164" s="135"/>
      <c r="AA3164" s="49"/>
      <c r="AB3164" s="50">
        <f t="shared" si="1989"/>
        <v>0</v>
      </c>
      <c r="AC3164" s="42">
        <f t="shared" si="1990"/>
        <v>9.9999999999999998E-20</v>
      </c>
      <c r="AD3164" s="90"/>
      <c r="AE3164" s="188"/>
      <c r="AF3164" s="189"/>
      <c r="AG3164" s="189"/>
      <c r="AH3164" s="189"/>
      <c r="AI3164" s="161"/>
    </row>
    <row r="3165" spans="1:41" ht="20.100000000000001" customHeight="1" x14ac:dyDescent="0.25">
      <c r="A3165" s="277" t="s">
        <v>491</v>
      </c>
      <c r="B3165" s="278"/>
      <c r="C3165" s="64" t="s">
        <v>1157</v>
      </c>
      <c r="D3165" s="46" t="s">
        <v>97</v>
      </c>
      <c r="E3165" s="114">
        <v>11.819999999999993</v>
      </c>
      <c r="F3165" s="44">
        <v>280</v>
      </c>
      <c r="G3165" s="44">
        <f t="shared" si="1977"/>
        <v>3309.5999999999981</v>
      </c>
      <c r="H3165" s="44">
        <f t="shared" si="1978"/>
        <v>154.84414901960787</v>
      </c>
      <c r="I3165" s="43">
        <f t="shared" si="1979"/>
        <v>1830.257841411764</v>
      </c>
      <c r="J3165" s="112">
        <f t="shared" si="1980"/>
        <v>11.819999999999993</v>
      </c>
      <c r="K3165" s="211">
        <f t="shared" si="1981"/>
        <v>11.819999999999993</v>
      </c>
      <c r="L3165" s="44"/>
      <c r="M3165" s="44">
        <f t="shared" si="1982"/>
        <v>11.819999999999993</v>
      </c>
      <c r="N3165" s="173">
        <f t="shared" si="1983"/>
        <v>1</v>
      </c>
      <c r="O3165" s="44">
        <f t="shared" si="1984"/>
        <v>280</v>
      </c>
      <c r="P3165" s="44">
        <f t="shared" si="1985"/>
        <v>3309.5999999999981</v>
      </c>
      <c r="Q3165" s="44">
        <f t="shared" si="1986"/>
        <v>154.84414901960787</v>
      </c>
      <c r="R3165" s="44">
        <f t="shared" si="1987"/>
        <v>1830.257841411764</v>
      </c>
      <c r="S3165" s="123"/>
      <c r="T3165" s="219">
        <f t="shared" si="1988"/>
        <v>1830.257841411764</v>
      </c>
      <c r="U3165" s="87"/>
      <c r="V3165" s="47"/>
      <c r="W3165" s="48"/>
      <c r="X3165" s="48"/>
      <c r="Y3165" s="48"/>
      <c r="Z3165" s="135"/>
      <c r="AA3165" s="49"/>
      <c r="AB3165" s="50">
        <f t="shared" si="1989"/>
        <v>154.84414901960787</v>
      </c>
      <c r="AC3165" s="42">
        <f t="shared" si="1990"/>
        <v>11.819999999999993</v>
      </c>
      <c r="AD3165" s="90">
        <f>AD3166+AD3176+AD3184</f>
        <v>1830.2578414117638</v>
      </c>
      <c r="AE3165" s="188">
        <f t="shared" ref="AE3165:AH3165" si="2423">AE3166+AE3176+AE3184</f>
        <v>0</v>
      </c>
      <c r="AF3165" s="189">
        <f t="shared" si="2423"/>
        <v>0</v>
      </c>
      <c r="AG3165" s="189">
        <f t="shared" si="2423"/>
        <v>0</v>
      </c>
      <c r="AH3165" s="189">
        <f t="shared" si="2423"/>
        <v>0</v>
      </c>
      <c r="AI3165" s="161">
        <f t="shared" ref="AI3165" si="2424">SUM(AE3165:AH3165)</f>
        <v>0</v>
      </c>
      <c r="AK3165" s="169">
        <v>5</v>
      </c>
      <c r="AO3165" s="19" t="s">
        <v>63</v>
      </c>
    </row>
    <row r="3166" spans="1:41" s="103" customFormat="1" ht="19.899999999999999" customHeight="1" x14ac:dyDescent="0.25">
      <c r="A3166" s="51"/>
      <c r="B3166" s="52"/>
      <c r="C3166" s="165"/>
      <c r="D3166" s="52"/>
      <c r="E3166" s="115"/>
      <c r="F3166" s="58"/>
      <c r="G3166" s="58"/>
      <c r="H3166" s="58"/>
      <c r="I3166" s="55"/>
      <c r="J3166" s="113">
        <f>J3165</f>
        <v>11.819999999999993</v>
      </c>
      <c r="K3166" s="212">
        <f>K3165</f>
        <v>11.819999999999993</v>
      </c>
      <c r="L3166" s="58"/>
      <c r="M3166" s="58">
        <f>K3166-L3166</f>
        <v>11.819999999999993</v>
      </c>
      <c r="N3166" s="166"/>
      <c r="O3166" s="58"/>
      <c r="P3166" s="58"/>
      <c r="Q3166" s="58"/>
      <c r="R3166" s="58"/>
      <c r="S3166" s="58"/>
      <c r="T3166" s="220"/>
      <c r="U3166" s="88"/>
      <c r="V3166" s="56"/>
      <c r="W3166" s="57" t="s">
        <v>1050</v>
      </c>
      <c r="X3166" s="53"/>
      <c r="Y3166" s="91" t="s">
        <v>68</v>
      </c>
      <c r="Z3166" s="136">
        <f>AD3166/AC3166</f>
        <v>47.260815686274512</v>
      </c>
      <c r="AA3166" s="58"/>
      <c r="AB3166" s="53">
        <f>AD3166/AC3166</f>
        <v>47.260815686274512</v>
      </c>
      <c r="AC3166" s="53">
        <f>M3166+$AE$10</f>
        <v>11.819999999999993</v>
      </c>
      <c r="AD3166" s="54">
        <f>SUM(AD3167:AD3175)</f>
        <v>558.6228414117644</v>
      </c>
      <c r="AE3166" s="184">
        <f>SUMIFS($AD$37:$AD$12971,$V$37:$V$12971,$V3166,$X$37:$X$12971,AE$13)</f>
        <v>0</v>
      </c>
      <c r="AF3166" s="185">
        <f>SUMIFS($AD$37:$AD$12971,$V$37:$V$12971,$V3166,$X$37:$X$12971,AF$13)</f>
        <v>0</v>
      </c>
      <c r="AG3166" s="185">
        <f>SUMIFS($AD$37:$AD$12971,$V$37:$V$12971,$V3166,$X$37:$X$12971,AG$13)</f>
        <v>0</v>
      </c>
      <c r="AH3166" s="187">
        <f>SUMIFS($AD$37:$AD$12971,$V$37:$V$12971,$V3166,$X$37:$X$12971,AH$13)</f>
        <v>0</v>
      </c>
      <c r="AI3166" s="161">
        <f t="shared" ref="AI3166" si="2425">SUM(AE3166:AH3166)</f>
        <v>0</v>
      </c>
      <c r="AK3166" s="172"/>
    </row>
    <row r="3167" spans="1:41" s="102" customFormat="1" ht="19.899999999999999" customHeight="1" x14ac:dyDescent="0.25">
      <c r="A3167" s="45"/>
      <c r="B3167" s="59"/>
      <c r="C3167" s="137"/>
      <c r="D3167" s="59"/>
      <c r="E3167" s="116"/>
      <c r="F3167" s="120"/>
      <c r="G3167" s="120"/>
      <c r="H3167" s="120"/>
      <c r="I3167" s="60"/>
      <c r="J3167" s="116"/>
      <c r="K3167" s="213"/>
      <c r="L3167" s="120"/>
      <c r="M3167" s="120"/>
      <c r="N3167" s="167"/>
      <c r="O3167" s="120"/>
      <c r="P3167" s="120"/>
      <c r="Q3167" s="120"/>
      <c r="R3167" s="120"/>
      <c r="S3167" s="120"/>
      <c r="T3167" s="221"/>
      <c r="U3167" s="89"/>
      <c r="V3167" s="61"/>
      <c r="W3167" s="92" t="s">
        <v>129</v>
      </c>
      <c r="X3167" s="93" t="s">
        <v>29</v>
      </c>
      <c r="Y3167" s="93" t="s">
        <v>93</v>
      </c>
      <c r="Z3167" s="134">
        <f>VLOOKUP(W3167,Sheet2!$B:$D,3,FALSE)</f>
        <v>56</v>
      </c>
      <c r="AA3167" s="93">
        <f>100/(1*2.5)</f>
        <v>40</v>
      </c>
      <c r="AB3167" s="93">
        <f t="shared" ref="AB3167" si="2426">AD3167/AC3166</f>
        <v>1.4000000000000001</v>
      </c>
      <c r="AC3167" s="93">
        <f>AC3166/AA3167</f>
        <v>0.29549999999999982</v>
      </c>
      <c r="AD3167" s="94">
        <f t="shared" ref="AD3167:AD3168" si="2427">AC3167*Z3167</f>
        <v>16.547999999999991</v>
      </c>
      <c r="AE3167" s="190"/>
      <c r="AF3167" s="191"/>
      <c r="AG3167" s="191"/>
      <c r="AH3167" s="191"/>
      <c r="AI3167" s="186"/>
      <c r="AK3167" s="171"/>
    </row>
    <row r="3168" spans="1:41" s="102" customFormat="1" ht="19.899999999999999" customHeight="1" x14ac:dyDescent="0.25">
      <c r="A3168" s="45"/>
      <c r="B3168" s="59"/>
      <c r="C3168" s="137"/>
      <c r="D3168" s="59"/>
      <c r="E3168" s="116"/>
      <c r="F3168" s="120"/>
      <c r="G3168" s="120"/>
      <c r="H3168" s="120"/>
      <c r="I3168" s="60"/>
      <c r="J3168" s="116"/>
      <c r="K3168" s="213"/>
      <c r="L3168" s="120"/>
      <c r="M3168" s="120"/>
      <c r="N3168" s="167"/>
      <c r="O3168" s="120"/>
      <c r="P3168" s="120"/>
      <c r="Q3168" s="120"/>
      <c r="R3168" s="120"/>
      <c r="S3168" s="120"/>
      <c r="T3168" s="221"/>
      <c r="U3168" s="89"/>
      <c r="V3168" s="61"/>
      <c r="W3168" s="92" t="s">
        <v>65</v>
      </c>
      <c r="X3168" s="93" t="s">
        <v>30</v>
      </c>
      <c r="Y3168" s="93" t="s">
        <v>1011</v>
      </c>
      <c r="Z3168" s="134">
        <f>VLOOKUP(W3168,Sheet2!$B:$D,3,FALSE)</f>
        <v>1.76</v>
      </c>
      <c r="AA3168" s="93">
        <f>AA3167/14</f>
        <v>2.8571428571428572</v>
      </c>
      <c r="AB3168" s="93">
        <f>AD3168/AC3166</f>
        <v>0.61599999999999999</v>
      </c>
      <c r="AC3168" s="93">
        <f>AC3166/AA3168</f>
        <v>4.1369999999999978</v>
      </c>
      <c r="AD3168" s="94">
        <f t="shared" si="2427"/>
        <v>7.281119999999996</v>
      </c>
      <c r="AE3168" s="190"/>
      <c r="AF3168" s="191"/>
      <c r="AG3168" s="191"/>
      <c r="AH3168" s="191"/>
      <c r="AI3168" s="186"/>
      <c r="AK3168" s="171"/>
    </row>
    <row r="3169" spans="1:37" s="102" customFormat="1" ht="19.899999999999999" customHeight="1" x14ac:dyDescent="0.25">
      <c r="A3169" s="45"/>
      <c r="B3169" s="59"/>
      <c r="C3169" s="137"/>
      <c r="D3169" s="59"/>
      <c r="E3169" s="116"/>
      <c r="F3169" s="120"/>
      <c r="G3169" s="120"/>
      <c r="H3169" s="120"/>
      <c r="I3169" s="60"/>
      <c r="J3169" s="116"/>
      <c r="K3169" s="213"/>
      <c r="L3169" s="120"/>
      <c r="M3169" s="120"/>
      <c r="N3169" s="167"/>
      <c r="O3169" s="120"/>
      <c r="P3169" s="120"/>
      <c r="Q3169" s="120"/>
      <c r="R3169" s="120"/>
      <c r="S3169" s="120"/>
      <c r="T3169" s="221"/>
      <c r="U3169" s="89"/>
      <c r="V3169" s="61"/>
      <c r="W3169" s="92" t="s">
        <v>161</v>
      </c>
      <c r="X3169" s="93" t="s">
        <v>29</v>
      </c>
      <c r="Y3169" s="93" t="s">
        <v>93</v>
      </c>
      <c r="Z3169" s="134">
        <f>VLOOKUP(W3169,Sheet2!$B:$D,3,FALSE)</f>
        <v>48</v>
      </c>
      <c r="AA3169" s="93">
        <f>(16*0.85*1.5)/(1*2.5)</f>
        <v>8.16</v>
      </c>
      <c r="AB3169" s="93">
        <f>AD3169/AC3166</f>
        <v>5.8823529411764701</v>
      </c>
      <c r="AC3169" s="93">
        <f>AC3166/AA3169</f>
        <v>1.448529411764705</v>
      </c>
      <c r="AD3169" s="94">
        <f>AC3169*Z3169</f>
        <v>69.529411764705841</v>
      </c>
      <c r="AE3169" s="190"/>
      <c r="AF3169" s="191"/>
      <c r="AG3169" s="191"/>
      <c r="AH3169" s="191"/>
      <c r="AI3169" s="186"/>
      <c r="AK3169" s="171"/>
    </row>
    <row r="3170" spans="1:37" s="102" customFormat="1" ht="19.899999999999999" customHeight="1" x14ac:dyDescent="0.25">
      <c r="A3170" s="45"/>
      <c r="B3170" s="59"/>
      <c r="C3170" s="137"/>
      <c r="D3170" s="59"/>
      <c r="E3170" s="116"/>
      <c r="F3170" s="120"/>
      <c r="G3170" s="120"/>
      <c r="H3170" s="120"/>
      <c r="I3170" s="60"/>
      <c r="J3170" s="116"/>
      <c r="K3170" s="213"/>
      <c r="L3170" s="120"/>
      <c r="M3170" s="120"/>
      <c r="N3170" s="167"/>
      <c r="O3170" s="120"/>
      <c r="P3170" s="120"/>
      <c r="Q3170" s="120"/>
      <c r="R3170" s="120"/>
      <c r="S3170" s="120"/>
      <c r="T3170" s="221"/>
      <c r="U3170" s="89"/>
      <c r="V3170" s="61"/>
      <c r="W3170" s="92" t="s">
        <v>65</v>
      </c>
      <c r="X3170" s="93" t="s">
        <v>30</v>
      </c>
      <c r="Y3170" s="93" t="s">
        <v>1011</v>
      </c>
      <c r="Z3170" s="134">
        <f>VLOOKUP(W3170,Sheet2!$B:$D,3,FALSE)</f>
        <v>1.76</v>
      </c>
      <c r="AA3170" s="93">
        <f>AA3169/10</f>
        <v>0.81600000000000006</v>
      </c>
      <c r="AB3170" s="93">
        <f>AD3170/AC3166</f>
        <v>2.1568627450980391</v>
      </c>
      <c r="AC3170" s="93">
        <f>AC3166/AA3170</f>
        <v>14.485294117647049</v>
      </c>
      <c r="AD3170" s="94">
        <f>AC3170*Z3170</f>
        <v>25.494117647058808</v>
      </c>
      <c r="AE3170" s="190"/>
      <c r="AF3170" s="191"/>
      <c r="AG3170" s="191"/>
      <c r="AH3170" s="191"/>
      <c r="AI3170" s="186"/>
      <c r="AK3170" s="171"/>
    </row>
    <row r="3171" spans="1:37" s="102" customFormat="1" ht="19.899999999999999" customHeight="1" x14ac:dyDescent="0.25">
      <c r="A3171" s="45"/>
      <c r="B3171" s="59"/>
      <c r="C3171" s="137"/>
      <c r="D3171" s="59"/>
      <c r="E3171" s="116"/>
      <c r="F3171" s="120"/>
      <c r="G3171" s="120"/>
      <c r="H3171" s="120"/>
      <c r="I3171" s="60"/>
      <c r="J3171" s="116"/>
      <c r="K3171" s="213"/>
      <c r="L3171" s="120"/>
      <c r="M3171" s="120"/>
      <c r="N3171" s="167"/>
      <c r="O3171" s="120"/>
      <c r="P3171" s="120"/>
      <c r="Q3171" s="120"/>
      <c r="R3171" s="120"/>
      <c r="S3171" s="120"/>
      <c r="T3171" s="221"/>
      <c r="U3171" s="89"/>
      <c r="V3171" s="61"/>
      <c r="W3171" s="92" t="s">
        <v>1030</v>
      </c>
      <c r="X3171" s="93" t="s">
        <v>29</v>
      </c>
      <c r="Y3171" s="93" t="s">
        <v>93</v>
      </c>
      <c r="Z3171" s="134">
        <f>VLOOKUP(W3171,Sheet2!$B:$D,3,FALSE)</f>
        <v>23</v>
      </c>
      <c r="AA3171" s="93">
        <v>50</v>
      </c>
      <c r="AB3171" s="93">
        <f>AD3171/AC3166</f>
        <v>0.46</v>
      </c>
      <c r="AC3171" s="93">
        <f>AC3166/AA3171</f>
        <v>0.23639999999999986</v>
      </c>
      <c r="AD3171" s="94">
        <f t="shared" ref="AD3171:AD3175" si="2428">AC3171*Z3171</f>
        <v>5.4371999999999971</v>
      </c>
      <c r="AE3171" s="190"/>
      <c r="AF3171" s="191"/>
      <c r="AG3171" s="191"/>
      <c r="AH3171" s="191"/>
      <c r="AI3171" s="186"/>
      <c r="AK3171" s="171"/>
    </row>
    <row r="3172" spans="1:37" s="102" customFormat="1" ht="19.899999999999999" customHeight="1" x14ac:dyDescent="0.25">
      <c r="A3172" s="45"/>
      <c r="B3172" s="59"/>
      <c r="C3172" s="137"/>
      <c r="D3172" s="59"/>
      <c r="E3172" s="116"/>
      <c r="F3172" s="120"/>
      <c r="G3172" s="120"/>
      <c r="H3172" s="120"/>
      <c r="I3172" s="60"/>
      <c r="J3172" s="116"/>
      <c r="K3172" s="213"/>
      <c r="L3172" s="120"/>
      <c r="M3172" s="120"/>
      <c r="N3172" s="167"/>
      <c r="O3172" s="120"/>
      <c r="P3172" s="120"/>
      <c r="Q3172" s="120"/>
      <c r="R3172" s="120"/>
      <c r="S3172" s="120"/>
      <c r="T3172" s="221"/>
      <c r="U3172" s="89"/>
      <c r="V3172" s="61"/>
      <c r="W3172" s="92" t="s">
        <v>65</v>
      </c>
      <c r="X3172" s="93" t="s">
        <v>30</v>
      </c>
      <c r="Y3172" s="93" t="s">
        <v>1011</v>
      </c>
      <c r="Z3172" s="134">
        <f>VLOOKUP(W3172,Sheet2!$B:$D,3,FALSE)</f>
        <v>1.76</v>
      </c>
      <c r="AA3172" s="93">
        <f>AA3171/3</f>
        <v>16.666666666666668</v>
      </c>
      <c r="AB3172" s="93">
        <f>AD3172/AC3166</f>
        <v>0.10559999999999999</v>
      </c>
      <c r="AC3172" s="93">
        <f>AC3166/AA3172</f>
        <v>0.7091999999999995</v>
      </c>
      <c r="AD3172" s="94">
        <f t="shared" si="2428"/>
        <v>1.2481919999999991</v>
      </c>
      <c r="AE3172" s="190"/>
      <c r="AF3172" s="191"/>
      <c r="AG3172" s="191"/>
      <c r="AH3172" s="191"/>
      <c r="AI3172" s="186"/>
      <c r="AK3172" s="171"/>
    </row>
    <row r="3173" spans="1:37" s="102" customFormat="1" ht="19.899999999999999" customHeight="1" x14ac:dyDescent="0.25">
      <c r="A3173" s="45"/>
      <c r="B3173" s="59"/>
      <c r="C3173" s="137"/>
      <c r="D3173" s="59"/>
      <c r="E3173" s="116"/>
      <c r="F3173" s="120"/>
      <c r="G3173" s="120"/>
      <c r="H3173" s="120"/>
      <c r="I3173" s="60"/>
      <c r="J3173" s="116"/>
      <c r="K3173" s="213"/>
      <c r="L3173" s="120"/>
      <c r="M3173" s="120"/>
      <c r="N3173" s="167"/>
      <c r="O3173" s="120"/>
      <c r="P3173" s="120"/>
      <c r="Q3173" s="120"/>
      <c r="R3173" s="120"/>
      <c r="S3173" s="120"/>
      <c r="T3173" s="221"/>
      <c r="U3173" s="89"/>
      <c r="V3173" s="61"/>
      <c r="W3173" s="92" t="s">
        <v>148</v>
      </c>
      <c r="X3173" s="93" t="s">
        <v>29</v>
      </c>
      <c r="Y3173" s="93" t="s">
        <v>93</v>
      </c>
      <c r="Z3173" s="134">
        <f>VLOOKUP(W3173,Sheet2!$B:$D,3,FALSE)</f>
        <v>48</v>
      </c>
      <c r="AA3173" s="93">
        <f>AA3167</f>
        <v>40</v>
      </c>
      <c r="AB3173" s="93">
        <f>AD3173/AC3166</f>
        <v>1.2</v>
      </c>
      <c r="AC3173" s="93">
        <f>AC3166/AA3173</f>
        <v>0.29549999999999982</v>
      </c>
      <c r="AD3173" s="94">
        <f t="shared" si="2428"/>
        <v>14.18399999999999</v>
      </c>
      <c r="AE3173" s="190"/>
      <c r="AF3173" s="191"/>
      <c r="AG3173" s="191"/>
      <c r="AH3173" s="191"/>
      <c r="AI3173" s="186"/>
      <c r="AK3173" s="171"/>
    </row>
    <row r="3174" spans="1:37" s="102" customFormat="1" ht="19.899999999999999" customHeight="1" x14ac:dyDescent="0.25">
      <c r="A3174" s="45"/>
      <c r="B3174" s="59"/>
      <c r="C3174" s="137"/>
      <c r="D3174" s="59"/>
      <c r="E3174" s="116"/>
      <c r="F3174" s="120"/>
      <c r="G3174" s="120"/>
      <c r="H3174" s="120"/>
      <c r="I3174" s="60"/>
      <c r="J3174" s="116"/>
      <c r="K3174" s="213"/>
      <c r="L3174" s="120"/>
      <c r="M3174" s="120"/>
      <c r="N3174" s="167"/>
      <c r="O3174" s="120"/>
      <c r="P3174" s="120"/>
      <c r="Q3174" s="120"/>
      <c r="R3174" s="120"/>
      <c r="S3174" s="120"/>
      <c r="T3174" s="221"/>
      <c r="U3174" s="89"/>
      <c r="V3174" s="61"/>
      <c r="W3174" s="92" t="s">
        <v>65</v>
      </c>
      <c r="X3174" s="93" t="s">
        <v>30</v>
      </c>
      <c r="Y3174" s="93" t="s">
        <v>1011</v>
      </c>
      <c r="Z3174" s="134">
        <f>VLOOKUP(W3174,Sheet2!$B:$D,3,FALSE)</f>
        <v>1.76</v>
      </c>
      <c r="AA3174" s="93">
        <f>AA3173/10</f>
        <v>4</v>
      </c>
      <c r="AB3174" s="93">
        <f>AD3174/AC3166</f>
        <v>0.44000000000000006</v>
      </c>
      <c r="AC3174" s="93">
        <f>AC3166/AA3174</f>
        <v>2.9549999999999983</v>
      </c>
      <c r="AD3174" s="94">
        <f t="shared" si="2428"/>
        <v>5.2007999999999974</v>
      </c>
      <c r="AE3174" s="190"/>
      <c r="AF3174" s="191"/>
      <c r="AG3174" s="191"/>
      <c r="AH3174" s="191"/>
      <c r="AI3174" s="186"/>
      <c r="AK3174" s="171"/>
    </row>
    <row r="3175" spans="1:37" s="102" customFormat="1" ht="19.899999999999999" customHeight="1" x14ac:dyDescent="0.25">
      <c r="A3175" s="45"/>
      <c r="B3175" s="59"/>
      <c r="C3175" s="137"/>
      <c r="D3175" s="59"/>
      <c r="E3175" s="116"/>
      <c r="F3175" s="120"/>
      <c r="G3175" s="120"/>
      <c r="H3175" s="120"/>
      <c r="I3175" s="60"/>
      <c r="J3175" s="116"/>
      <c r="K3175" s="213"/>
      <c r="L3175" s="120"/>
      <c r="M3175" s="120"/>
      <c r="N3175" s="167"/>
      <c r="O3175" s="120"/>
      <c r="P3175" s="120"/>
      <c r="Q3175" s="120"/>
      <c r="R3175" s="120"/>
      <c r="S3175" s="120"/>
      <c r="T3175" s="221"/>
      <c r="U3175" s="89"/>
      <c r="V3175" s="61"/>
      <c r="W3175" s="92" t="s">
        <v>1048</v>
      </c>
      <c r="X3175" s="93" t="s">
        <v>30</v>
      </c>
      <c r="Y3175" s="93" t="s">
        <v>68</v>
      </c>
      <c r="Z3175" s="134">
        <f>VLOOKUP(W3175,Sheet2!$B:$D,3,FALSE)</f>
        <v>35</v>
      </c>
      <c r="AA3175" s="93">
        <v>1</v>
      </c>
      <c r="AB3175" s="93">
        <f>AD3175/AC3166</f>
        <v>35</v>
      </c>
      <c r="AC3175" s="93">
        <f>AC3166/AA3175</f>
        <v>11.819999999999993</v>
      </c>
      <c r="AD3175" s="94">
        <f t="shared" si="2428"/>
        <v>413.69999999999976</v>
      </c>
      <c r="AE3175" s="190"/>
      <c r="AF3175" s="191"/>
      <c r="AG3175" s="191"/>
      <c r="AH3175" s="191"/>
      <c r="AI3175" s="186"/>
      <c r="AK3175" s="171"/>
    </row>
    <row r="3176" spans="1:37" s="103" customFormat="1" ht="19.899999999999999" customHeight="1" x14ac:dyDescent="0.25">
      <c r="A3176" s="51"/>
      <c r="B3176" s="52"/>
      <c r="C3176" s="165"/>
      <c r="D3176" s="52"/>
      <c r="E3176" s="115"/>
      <c r="F3176" s="58"/>
      <c r="G3176" s="58"/>
      <c r="H3176" s="58"/>
      <c r="I3176" s="55"/>
      <c r="J3176" s="113">
        <f>J3165</f>
        <v>11.819999999999993</v>
      </c>
      <c r="K3176" s="212">
        <f>K3165</f>
        <v>11.819999999999993</v>
      </c>
      <c r="L3176" s="58"/>
      <c r="M3176" s="58">
        <f>K3176-L3176</f>
        <v>11.819999999999993</v>
      </c>
      <c r="N3176" s="166"/>
      <c r="O3176" s="58"/>
      <c r="P3176" s="58"/>
      <c r="Q3176" s="58"/>
      <c r="R3176" s="58"/>
      <c r="S3176" s="58"/>
      <c r="T3176" s="220"/>
      <c r="U3176" s="88"/>
      <c r="V3176" s="56"/>
      <c r="W3176" s="57" t="s">
        <v>1036</v>
      </c>
      <c r="X3176" s="53"/>
      <c r="Y3176" s="91" t="s">
        <v>68</v>
      </c>
      <c r="Z3176" s="136">
        <f>AD3176/AC3176</f>
        <v>102.58333333333334</v>
      </c>
      <c r="AA3176" s="58"/>
      <c r="AB3176" s="53">
        <f>AD3176/AC3176</f>
        <v>102.58333333333334</v>
      </c>
      <c r="AC3176" s="53">
        <f>M3176+$AE$10</f>
        <v>11.819999999999993</v>
      </c>
      <c r="AD3176" s="54">
        <f>SUM(AD3177:AD3183)</f>
        <v>1212.5349999999994</v>
      </c>
      <c r="AE3176" s="184">
        <f>SUMIFS($AD$37:$AD$12971,$V$37:$V$12971,$V3176,$X$37:$X$12971,AE$13)</f>
        <v>0</v>
      </c>
      <c r="AF3176" s="185">
        <f>SUMIFS($AD$37:$AD$12971,$V$37:$V$12971,$V3176,$X$37:$X$12971,AF$13)</f>
        <v>0</v>
      </c>
      <c r="AG3176" s="185">
        <f>SUMIFS($AD$37:$AD$12971,$V$37:$V$12971,$V3176,$X$37:$X$12971,AG$13)</f>
        <v>0</v>
      </c>
      <c r="AH3176" s="187">
        <f>SUMIFS($AD$37:$AD$12971,$V$37:$V$12971,$V3176,$X$37:$X$12971,AH$13)</f>
        <v>0</v>
      </c>
      <c r="AI3176" s="161">
        <f t="shared" ref="AI3176" si="2429">SUM(AE3176:AH3176)</f>
        <v>0</v>
      </c>
      <c r="AK3176" s="172"/>
    </row>
    <row r="3177" spans="1:37" s="102" customFormat="1" ht="19.899999999999999" customHeight="1" x14ac:dyDescent="0.25">
      <c r="A3177" s="45"/>
      <c r="B3177" s="59"/>
      <c r="C3177" s="137"/>
      <c r="D3177" s="59"/>
      <c r="E3177" s="116"/>
      <c r="F3177" s="120"/>
      <c r="G3177" s="120"/>
      <c r="H3177" s="120"/>
      <c r="I3177" s="60"/>
      <c r="J3177" s="116"/>
      <c r="K3177" s="213"/>
      <c r="L3177" s="120"/>
      <c r="M3177" s="120"/>
      <c r="N3177" s="167"/>
      <c r="O3177" s="120"/>
      <c r="P3177" s="120"/>
      <c r="Q3177" s="120"/>
      <c r="R3177" s="120"/>
      <c r="S3177" s="120"/>
      <c r="T3177" s="221"/>
      <c r="U3177" s="89"/>
      <c r="V3177" s="61"/>
      <c r="W3177" s="92" t="s">
        <v>1045</v>
      </c>
      <c r="X3177" s="93" t="s">
        <v>30</v>
      </c>
      <c r="Y3177" s="93" t="s">
        <v>68</v>
      </c>
      <c r="Z3177" s="134">
        <f>VLOOKUP(W3177,Sheet2!$B:$D,3,FALSE)</f>
        <v>52</v>
      </c>
      <c r="AA3177" s="93">
        <v>1</v>
      </c>
      <c r="AB3177" s="93">
        <f>AD3177/AC3176</f>
        <v>52</v>
      </c>
      <c r="AC3177" s="93">
        <f>AC3176/AA3177</f>
        <v>11.819999999999993</v>
      </c>
      <c r="AD3177" s="94">
        <f t="shared" ref="AD3177" si="2430">AC3177*Z3177</f>
        <v>614.63999999999965</v>
      </c>
      <c r="AE3177" s="190"/>
      <c r="AF3177" s="191"/>
      <c r="AG3177" s="191"/>
      <c r="AH3177" s="191"/>
      <c r="AI3177" s="186"/>
      <c r="AK3177" s="171"/>
    </row>
    <row r="3178" spans="1:37" s="102" customFormat="1" ht="19.899999999999999" customHeight="1" x14ac:dyDescent="0.25">
      <c r="A3178" s="45"/>
      <c r="B3178" s="59"/>
      <c r="C3178" s="137"/>
      <c r="D3178" s="59"/>
      <c r="E3178" s="116"/>
      <c r="F3178" s="120"/>
      <c r="G3178" s="120"/>
      <c r="H3178" s="120"/>
      <c r="I3178" s="60"/>
      <c r="J3178" s="116"/>
      <c r="K3178" s="213"/>
      <c r="L3178" s="120"/>
      <c r="M3178" s="120"/>
      <c r="N3178" s="167"/>
      <c r="O3178" s="120"/>
      <c r="P3178" s="120"/>
      <c r="Q3178" s="120"/>
      <c r="R3178" s="120"/>
      <c r="S3178" s="120"/>
      <c r="T3178" s="221"/>
      <c r="U3178" s="89"/>
      <c r="V3178" s="61"/>
      <c r="W3178" s="92" t="s">
        <v>1043</v>
      </c>
      <c r="X3178" s="93" t="s">
        <v>30</v>
      </c>
      <c r="Y3178" s="93" t="s">
        <v>68</v>
      </c>
      <c r="Z3178" s="134">
        <f>VLOOKUP(W3178,Sheet2!$B:$D,3,FALSE)</f>
        <v>5</v>
      </c>
      <c r="AA3178" s="93">
        <v>1</v>
      </c>
      <c r="AB3178" s="93">
        <f>AD3178/AC3176</f>
        <v>5</v>
      </c>
      <c r="AC3178" s="93">
        <f>AC3176/AA3178</f>
        <v>11.819999999999993</v>
      </c>
      <c r="AD3178" s="94">
        <f>AC3178*Z3178</f>
        <v>59.099999999999966</v>
      </c>
      <c r="AE3178" s="190"/>
      <c r="AF3178" s="191"/>
      <c r="AG3178" s="191"/>
      <c r="AH3178" s="191"/>
      <c r="AI3178" s="186"/>
      <c r="AK3178" s="171"/>
    </row>
    <row r="3179" spans="1:37" s="102" customFormat="1" ht="19.899999999999999" customHeight="1" x14ac:dyDescent="0.25">
      <c r="A3179" s="45"/>
      <c r="B3179" s="59"/>
      <c r="C3179" s="137"/>
      <c r="D3179" s="59"/>
      <c r="E3179" s="116"/>
      <c r="F3179" s="120"/>
      <c r="G3179" s="120"/>
      <c r="H3179" s="120"/>
      <c r="I3179" s="60"/>
      <c r="J3179" s="116"/>
      <c r="K3179" s="213"/>
      <c r="L3179" s="120"/>
      <c r="M3179" s="120"/>
      <c r="N3179" s="167"/>
      <c r="O3179" s="120"/>
      <c r="P3179" s="120"/>
      <c r="Q3179" s="120"/>
      <c r="R3179" s="120"/>
      <c r="S3179" s="120"/>
      <c r="T3179" s="221"/>
      <c r="U3179" s="89"/>
      <c r="V3179" s="61"/>
      <c r="W3179" s="92" t="s">
        <v>107</v>
      </c>
      <c r="X3179" s="93" t="s">
        <v>31</v>
      </c>
      <c r="Y3179" s="93" t="s">
        <v>93</v>
      </c>
      <c r="Z3179" s="134">
        <f>VLOOKUP(W3179,Sheet2!$B:$D,3,FALSE)</f>
        <v>17</v>
      </c>
      <c r="AA3179" s="93">
        <v>6</v>
      </c>
      <c r="AB3179" s="93">
        <f>AD3179/AC3176</f>
        <v>2.8333333333333335</v>
      </c>
      <c r="AC3179" s="93">
        <f>AC3176/AA3179</f>
        <v>1.9699999999999989</v>
      </c>
      <c r="AD3179" s="94">
        <f>AC3179*Z3179</f>
        <v>33.489999999999981</v>
      </c>
      <c r="AE3179" s="190"/>
      <c r="AF3179" s="191"/>
      <c r="AG3179" s="191"/>
      <c r="AH3179" s="191"/>
      <c r="AI3179" s="186"/>
      <c r="AK3179" s="171"/>
    </row>
    <row r="3180" spans="1:37" s="102" customFormat="1" ht="19.899999999999999" customHeight="1" x14ac:dyDescent="0.25">
      <c r="A3180" s="45"/>
      <c r="B3180" s="59"/>
      <c r="C3180" s="137"/>
      <c r="D3180" s="59"/>
      <c r="E3180" s="116"/>
      <c r="F3180" s="120"/>
      <c r="G3180" s="120"/>
      <c r="H3180" s="120"/>
      <c r="I3180" s="60"/>
      <c r="J3180" s="116"/>
      <c r="K3180" s="213"/>
      <c r="L3180" s="120"/>
      <c r="M3180" s="120"/>
      <c r="N3180" s="167"/>
      <c r="O3180" s="120"/>
      <c r="P3180" s="120"/>
      <c r="Q3180" s="120"/>
      <c r="R3180" s="120"/>
      <c r="S3180" s="120"/>
      <c r="T3180" s="221"/>
      <c r="U3180" s="89"/>
      <c r="V3180" s="61"/>
      <c r="W3180" s="92" t="s">
        <v>112</v>
      </c>
      <c r="X3180" s="93" t="s">
        <v>31</v>
      </c>
      <c r="Y3180" s="93" t="s">
        <v>93</v>
      </c>
      <c r="Z3180" s="134">
        <f>VLOOKUP(W3180,Sheet2!$B:$D,3,FALSE)</f>
        <v>13</v>
      </c>
      <c r="AA3180" s="93">
        <v>6</v>
      </c>
      <c r="AB3180" s="93">
        <f>AD3180/AC3176</f>
        <v>2.1666666666666665</v>
      </c>
      <c r="AC3180" s="93">
        <f>AC3176/AA3180</f>
        <v>1.9699999999999989</v>
      </c>
      <c r="AD3180" s="94">
        <f>AC3180*Z3180</f>
        <v>25.609999999999985</v>
      </c>
      <c r="AE3180" s="190"/>
      <c r="AF3180" s="191"/>
      <c r="AG3180" s="191"/>
      <c r="AH3180" s="191"/>
      <c r="AI3180" s="186"/>
      <c r="AK3180" s="171"/>
    </row>
    <row r="3181" spans="1:37" s="102" customFormat="1" ht="19.899999999999999" customHeight="1" x14ac:dyDescent="0.25">
      <c r="A3181" s="45"/>
      <c r="B3181" s="59"/>
      <c r="C3181" s="137"/>
      <c r="D3181" s="59"/>
      <c r="E3181" s="116"/>
      <c r="F3181" s="120"/>
      <c r="G3181" s="120"/>
      <c r="H3181" s="120"/>
      <c r="I3181" s="60"/>
      <c r="J3181" s="116"/>
      <c r="K3181" s="213"/>
      <c r="L3181" s="120"/>
      <c r="M3181" s="120"/>
      <c r="N3181" s="167"/>
      <c r="O3181" s="120"/>
      <c r="P3181" s="120"/>
      <c r="Q3181" s="120"/>
      <c r="R3181" s="120"/>
      <c r="S3181" s="120"/>
      <c r="T3181" s="221"/>
      <c r="U3181" s="89"/>
      <c r="V3181" s="61"/>
      <c r="W3181" s="92" t="s">
        <v>1032</v>
      </c>
      <c r="X3181" s="93" t="s">
        <v>30</v>
      </c>
      <c r="Y3181" s="93" t="s">
        <v>66</v>
      </c>
      <c r="Z3181" s="134">
        <f>VLOOKUP(W3181,Sheet2!$B:$D,3,FALSE)</f>
        <v>250</v>
      </c>
      <c r="AA3181" s="93">
        <f>1/(1*1*0.1)</f>
        <v>10</v>
      </c>
      <c r="AB3181" s="93">
        <f>AD3181/AC3176</f>
        <v>25</v>
      </c>
      <c r="AC3181" s="93">
        <f>AC3176/AA3181</f>
        <v>1.1819999999999993</v>
      </c>
      <c r="AD3181" s="94">
        <f>AC3181*Z3181</f>
        <v>295.49999999999983</v>
      </c>
      <c r="AE3181" s="190"/>
      <c r="AF3181" s="191"/>
      <c r="AG3181" s="191"/>
      <c r="AH3181" s="191"/>
      <c r="AI3181" s="186"/>
      <c r="AK3181" s="171"/>
    </row>
    <row r="3182" spans="1:37" s="102" customFormat="1" ht="19.899999999999999" customHeight="1" x14ac:dyDescent="0.25">
      <c r="A3182" s="45"/>
      <c r="B3182" s="59"/>
      <c r="C3182" s="137"/>
      <c r="D3182" s="59"/>
      <c r="E3182" s="116"/>
      <c r="F3182" s="120"/>
      <c r="G3182" s="120"/>
      <c r="H3182" s="120"/>
      <c r="I3182" s="60"/>
      <c r="J3182" s="116"/>
      <c r="K3182" s="213"/>
      <c r="L3182" s="120"/>
      <c r="M3182" s="120"/>
      <c r="N3182" s="167"/>
      <c r="O3182" s="120"/>
      <c r="P3182" s="120"/>
      <c r="Q3182" s="120"/>
      <c r="R3182" s="120"/>
      <c r="S3182" s="120"/>
      <c r="T3182" s="221"/>
      <c r="U3182" s="89"/>
      <c r="V3182" s="61"/>
      <c r="W3182" s="92" t="s">
        <v>1035</v>
      </c>
      <c r="X3182" s="93" t="s">
        <v>32</v>
      </c>
      <c r="Y3182" s="93" t="s">
        <v>66</v>
      </c>
      <c r="Z3182" s="134">
        <f>VLOOKUP(W3182,Sheet2!$B:$D,3,FALSE)</f>
        <v>150</v>
      </c>
      <c r="AA3182" s="93">
        <f>AA3181</f>
        <v>10</v>
      </c>
      <c r="AB3182" s="93">
        <f>AD3182/AC3176</f>
        <v>15</v>
      </c>
      <c r="AC3182" s="93">
        <f>AC3176/AA3182</f>
        <v>1.1819999999999993</v>
      </c>
      <c r="AD3182" s="94">
        <f t="shared" ref="AD3182:AD3183" si="2431">AC3182*Z3182</f>
        <v>177.2999999999999</v>
      </c>
      <c r="AE3182" s="190"/>
      <c r="AF3182" s="191"/>
      <c r="AG3182" s="191"/>
      <c r="AH3182" s="191"/>
      <c r="AI3182" s="186"/>
      <c r="AK3182" s="171"/>
    </row>
    <row r="3183" spans="1:37" s="102" customFormat="1" ht="19.899999999999999" customHeight="1" x14ac:dyDescent="0.25">
      <c r="A3183" s="45"/>
      <c r="B3183" s="59"/>
      <c r="C3183" s="137"/>
      <c r="D3183" s="59"/>
      <c r="E3183" s="116"/>
      <c r="F3183" s="120"/>
      <c r="G3183" s="120"/>
      <c r="H3183" s="120"/>
      <c r="I3183" s="60"/>
      <c r="J3183" s="116"/>
      <c r="K3183" s="213"/>
      <c r="L3183" s="120"/>
      <c r="M3183" s="120"/>
      <c r="N3183" s="167"/>
      <c r="O3183" s="120"/>
      <c r="P3183" s="120"/>
      <c r="Q3183" s="120"/>
      <c r="R3183" s="120"/>
      <c r="S3183" s="120"/>
      <c r="T3183" s="221"/>
      <c r="U3183" s="89"/>
      <c r="V3183" s="61"/>
      <c r="W3183" s="92" t="s">
        <v>1037</v>
      </c>
      <c r="X3183" s="93" t="s">
        <v>30</v>
      </c>
      <c r="Y3183" s="93" t="s">
        <v>1038</v>
      </c>
      <c r="Z3183" s="134">
        <f>VLOOKUP(W3183,Sheet2!$B:$D,3,FALSE)</f>
        <v>175</v>
      </c>
      <c r="AA3183" s="93">
        <v>300</v>
      </c>
      <c r="AB3183" s="93">
        <f>AD3183/AC3176</f>
        <v>0.58333333333333337</v>
      </c>
      <c r="AC3183" s="93">
        <f>AC3176/AA3183</f>
        <v>3.9399999999999977E-2</v>
      </c>
      <c r="AD3183" s="94">
        <f t="shared" si="2431"/>
        <v>6.894999999999996</v>
      </c>
      <c r="AE3183" s="190"/>
      <c r="AF3183" s="191"/>
      <c r="AG3183" s="191"/>
      <c r="AH3183" s="191"/>
      <c r="AI3183" s="186"/>
      <c r="AK3183" s="171"/>
    </row>
    <row r="3184" spans="1:37" s="103" customFormat="1" ht="19.899999999999999" customHeight="1" x14ac:dyDescent="0.25">
      <c r="A3184" s="51"/>
      <c r="B3184" s="52"/>
      <c r="C3184" s="165"/>
      <c r="D3184" s="52"/>
      <c r="E3184" s="115"/>
      <c r="F3184" s="58"/>
      <c r="G3184" s="58"/>
      <c r="H3184" s="58"/>
      <c r="I3184" s="55"/>
      <c r="J3184" s="113">
        <f>J3165</f>
        <v>11.819999999999993</v>
      </c>
      <c r="K3184" s="212">
        <f>K3165</f>
        <v>11.819999999999993</v>
      </c>
      <c r="L3184" s="58"/>
      <c r="M3184" s="58">
        <f>K3184-L3184</f>
        <v>11.819999999999993</v>
      </c>
      <c r="N3184" s="166"/>
      <c r="O3184" s="58"/>
      <c r="P3184" s="58"/>
      <c r="Q3184" s="58"/>
      <c r="R3184" s="58"/>
      <c r="S3184" s="58"/>
      <c r="T3184" s="220"/>
      <c r="U3184" s="88"/>
      <c r="V3184" s="56"/>
      <c r="W3184" s="57" t="s">
        <v>1040</v>
      </c>
      <c r="X3184" s="53"/>
      <c r="Y3184" s="91" t="s">
        <v>68</v>
      </c>
      <c r="Z3184" s="136">
        <f>AD3184/AC3184</f>
        <v>5</v>
      </c>
      <c r="AA3184" s="58"/>
      <c r="AB3184" s="53">
        <f>AD3184/AC3184</f>
        <v>5</v>
      </c>
      <c r="AC3184" s="53">
        <f>M3184+$AE$10</f>
        <v>11.819999999999993</v>
      </c>
      <c r="AD3184" s="54">
        <f>SUM(AD3185)</f>
        <v>59.099999999999966</v>
      </c>
      <c r="AE3184" s="184">
        <f>SUMIFS($AD$37:$AD$12971,$V$37:$V$12971,$V3184,$X$37:$X$12971,AE$13)</f>
        <v>0</v>
      </c>
      <c r="AF3184" s="185">
        <f>SUMIFS($AD$37:$AD$12971,$V$37:$V$12971,$V3184,$X$37:$X$12971,AF$13)</f>
        <v>0</v>
      </c>
      <c r="AG3184" s="185">
        <f>SUMIFS($AD$37:$AD$12971,$V$37:$V$12971,$V3184,$X$37:$X$12971,AG$13)</f>
        <v>0</v>
      </c>
      <c r="AH3184" s="187">
        <f>SUMIFS($AD$37:$AD$12971,$V$37:$V$12971,$V3184,$X$37:$X$12971,AH$13)</f>
        <v>0</v>
      </c>
      <c r="AI3184" s="161">
        <f t="shared" ref="AI3184" si="2432">SUM(AE3184:AH3184)</f>
        <v>0</v>
      </c>
      <c r="AK3184" s="172"/>
    </row>
    <row r="3185" spans="1:41" s="102" customFormat="1" ht="19.899999999999999" customHeight="1" x14ac:dyDescent="0.25">
      <c r="A3185" s="45"/>
      <c r="B3185" s="59"/>
      <c r="C3185" s="137"/>
      <c r="D3185" s="59"/>
      <c r="E3185" s="116"/>
      <c r="F3185" s="120"/>
      <c r="G3185" s="120"/>
      <c r="H3185" s="120"/>
      <c r="I3185" s="60"/>
      <c r="J3185" s="116"/>
      <c r="K3185" s="213"/>
      <c r="L3185" s="120"/>
      <c r="M3185" s="120"/>
      <c r="N3185" s="167"/>
      <c r="O3185" s="120"/>
      <c r="P3185" s="120"/>
      <c r="Q3185" s="120"/>
      <c r="R3185" s="120"/>
      <c r="S3185" s="120"/>
      <c r="T3185" s="221"/>
      <c r="U3185" s="89"/>
      <c r="V3185" s="61"/>
      <c r="W3185" s="92" t="s">
        <v>1039</v>
      </c>
      <c r="X3185" s="93" t="s">
        <v>32</v>
      </c>
      <c r="Y3185" s="93" t="s">
        <v>68</v>
      </c>
      <c r="Z3185" s="134">
        <f>VLOOKUP(W3185,Sheet2!$B:$D,3,FALSE)</f>
        <v>5</v>
      </c>
      <c r="AA3185" s="93">
        <v>1</v>
      </c>
      <c r="AB3185" s="93">
        <f>AD3185/AC3184</f>
        <v>5</v>
      </c>
      <c r="AC3185" s="93">
        <f>AC3184/AA3185</f>
        <v>11.819999999999993</v>
      </c>
      <c r="AD3185" s="94">
        <f t="shared" ref="AD3185" si="2433">AC3185*Z3185</f>
        <v>59.099999999999966</v>
      </c>
      <c r="AE3185" s="190"/>
      <c r="AF3185" s="191"/>
      <c r="AG3185" s="191"/>
      <c r="AH3185" s="191"/>
      <c r="AI3185" s="186"/>
      <c r="AK3185" s="171"/>
    </row>
    <row r="3186" spans="1:41" ht="20.100000000000001" customHeight="1" x14ac:dyDescent="0.25">
      <c r="A3186" s="277" t="s">
        <v>491</v>
      </c>
      <c r="B3186" s="278"/>
      <c r="C3186" s="64" t="s">
        <v>1158</v>
      </c>
      <c r="D3186" s="46" t="s">
        <v>97</v>
      </c>
      <c r="E3186" s="114">
        <v>2.9399999999999977</v>
      </c>
      <c r="F3186" s="44">
        <v>345</v>
      </c>
      <c r="G3186" s="44">
        <f t="shared" ref="G3186:G4731" si="2434">F3186*E3186</f>
        <v>1014.2999999999993</v>
      </c>
      <c r="H3186" s="44">
        <f t="shared" ref="H3186:H4731" si="2435">AB3186</f>
        <v>182.18319215686276</v>
      </c>
      <c r="I3186" s="43">
        <f t="shared" ref="I3186:I4731" si="2436">H3186*E3186</f>
        <v>535.6185849411761</v>
      </c>
      <c r="J3186" s="112">
        <f t="shared" ref="J3186:J4731" si="2437">E3186</f>
        <v>2.9399999999999977</v>
      </c>
      <c r="K3186" s="211">
        <f t="shared" ref="K3186:K4731" si="2438">J3186</f>
        <v>2.9399999999999977</v>
      </c>
      <c r="L3186" s="44"/>
      <c r="M3186" s="44">
        <f t="shared" si="1982"/>
        <v>2.9399999999999977</v>
      </c>
      <c r="N3186" s="173">
        <f t="shared" ref="N3186:N4731" si="2439">IFERROR(M3186/K3186,0)</f>
        <v>1</v>
      </c>
      <c r="O3186" s="44">
        <f t="shared" ref="O3186:O4731" si="2440">F3186</f>
        <v>345</v>
      </c>
      <c r="P3186" s="44">
        <f t="shared" ref="P3186:P4731" si="2441">K3186*O3186</f>
        <v>1014.2999999999993</v>
      </c>
      <c r="Q3186" s="44">
        <f t="shared" ref="Q3186:Q4731" si="2442">AB3186</f>
        <v>182.18319215686276</v>
      </c>
      <c r="R3186" s="44">
        <f t="shared" si="1987"/>
        <v>535.6185849411761</v>
      </c>
      <c r="S3186" s="123"/>
      <c r="T3186" s="219">
        <f t="shared" si="1988"/>
        <v>535.6185849411761</v>
      </c>
      <c r="U3186" s="87"/>
      <c r="V3186" s="47"/>
      <c r="W3186" s="48"/>
      <c r="X3186" s="48"/>
      <c r="Y3186" s="48"/>
      <c r="Z3186" s="135"/>
      <c r="AA3186" s="49"/>
      <c r="AB3186" s="50">
        <f t="shared" ref="AB3186:AB4731" si="2443">AD3186/AC3186</f>
        <v>182.18319215686276</v>
      </c>
      <c r="AC3186" s="42">
        <f t="shared" si="1990"/>
        <v>2.9399999999999977</v>
      </c>
      <c r="AD3186" s="90">
        <f>AD3187+AD3197+AD3205</f>
        <v>535.6185849411761</v>
      </c>
      <c r="AE3186" s="188">
        <f t="shared" ref="AE3186" si="2444">AE3187+AE3197+AE3205</f>
        <v>0</v>
      </c>
      <c r="AF3186" s="189">
        <f t="shared" ref="AF3186" si="2445">AF3187+AF3197+AF3205</f>
        <v>0</v>
      </c>
      <c r="AG3186" s="189">
        <f t="shared" ref="AG3186" si="2446">AG3187+AG3197+AG3205</f>
        <v>0</v>
      </c>
      <c r="AH3186" s="189">
        <f t="shared" ref="AH3186" si="2447">AH3187+AH3197+AH3205</f>
        <v>0</v>
      </c>
      <c r="AI3186" s="161">
        <f t="shared" ref="AI3186" si="2448">SUM(AE3186:AH3186)</f>
        <v>0</v>
      </c>
      <c r="AK3186" s="169">
        <v>5</v>
      </c>
      <c r="AO3186" s="19" t="s">
        <v>63</v>
      </c>
    </row>
    <row r="3187" spans="1:41" s="103" customFormat="1" ht="19.899999999999999" customHeight="1" x14ac:dyDescent="0.25">
      <c r="A3187" s="51"/>
      <c r="B3187" s="52"/>
      <c r="C3187" s="165"/>
      <c r="D3187" s="52"/>
      <c r="E3187" s="115"/>
      <c r="F3187" s="58"/>
      <c r="G3187" s="58"/>
      <c r="H3187" s="58"/>
      <c r="I3187" s="55"/>
      <c r="J3187" s="113">
        <f>J3186</f>
        <v>2.9399999999999977</v>
      </c>
      <c r="K3187" s="212">
        <f>K3186</f>
        <v>2.9399999999999977</v>
      </c>
      <c r="L3187" s="58"/>
      <c r="M3187" s="58">
        <f>K3187-L3187</f>
        <v>2.9399999999999977</v>
      </c>
      <c r="N3187" s="166"/>
      <c r="O3187" s="58"/>
      <c r="P3187" s="58"/>
      <c r="Q3187" s="58"/>
      <c r="R3187" s="58"/>
      <c r="S3187" s="58"/>
      <c r="T3187" s="220"/>
      <c r="U3187" s="88"/>
      <c r="V3187" s="56"/>
      <c r="W3187" s="57" t="s">
        <v>1051</v>
      </c>
      <c r="X3187" s="53"/>
      <c r="Y3187" s="91" t="s">
        <v>68</v>
      </c>
      <c r="Z3187" s="136">
        <f>AD3187/AC3187</f>
        <v>74.599858823529416</v>
      </c>
      <c r="AA3187" s="58"/>
      <c r="AB3187" s="53">
        <f>AD3187/AC3187</f>
        <v>74.599858823529416</v>
      </c>
      <c r="AC3187" s="53">
        <f>M3187+$AE$10</f>
        <v>2.9399999999999977</v>
      </c>
      <c r="AD3187" s="54">
        <f>SUM(AD3188:AD3196)</f>
        <v>219.32358494117631</v>
      </c>
      <c r="AE3187" s="184">
        <f>SUMIFS($AD$37:$AD$12971,$V$37:$V$12971,$V3187,$X$37:$X$12971,AE$13)</f>
        <v>0</v>
      </c>
      <c r="AF3187" s="185">
        <f>SUMIFS($AD$37:$AD$12971,$V$37:$V$12971,$V3187,$X$37:$X$12971,AF$13)</f>
        <v>0</v>
      </c>
      <c r="AG3187" s="185">
        <f>SUMIFS($AD$37:$AD$12971,$V$37:$V$12971,$V3187,$X$37:$X$12971,AG$13)</f>
        <v>0</v>
      </c>
      <c r="AH3187" s="187">
        <f>SUMIFS($AD$37:$AD$12971,$V$37:$V$12971,$V3187,$X$37:$X$12971,AH$13)</f>
        <v>0</v>
      </c>
      <c r="AI3187" s="161">
        <f t="shared" ref="AI3187" si="2449">SUM(AE3187:AH3187)</f>
        <v>0</v>
      </c>
      <c r="AK3187" s="172"/>
    </row>
    <row r="3188" spans="1:41" s="102" customFormat="1" ht="19.899999999999999" customHeight="1" x14ac:dyDescent="0.25">
      <c r="A3188" s="45"/>
      <c r="B3188" s="59"/>
      <c r="C3188" s="137"/>
      <c r="D3188" s="59"/>
      <c r="E3188" s="116"/>
      <c r="F3188" s="120"/>
      <c r="G3188" s="120"/>
      <c r="H3188" s="120"/>
      <c r="I3188" s="60"/>
      <c r="J3188" s="116"/>
      <c r="K3188" s="213"/>
      <c r="L3188" s="120"/>
      <c r="M3188" s="120"/>
      <c r="N3188" s="167"/>
      <c r="O3188" s="120"/>
      <c r="P3188" s="120"/>
      <c r="Q3188" s="120"/>
      <c r="R3188" s="120"/>
      <c r="S3188" s="120"/>
      <c r="T3188" s="221"/>
      <c r="U3188" s="89"/>
      <c r="V3188" s="61"/>
      <c r="W3188" s="92" t="s">
        <v>129</v>
      </c>
      <c r="X3188" s="93" t="s">
        <v>29</v>
      </c>
      <c r="Y3188" s="93" t="s">
        <v>93</v>
      </c>
      <c r="Z3188" s="134">
        <f>VLOOKUP(W3188,Sheet2!$B:$D,3,FALSE)</f>
        <v>56</v>
      </c>
      <c r="AA3188" s="93">
        <f>100/(1*3)</f>
        <v>33.333333333333336</v>
      </c>
      <c r="AB3188" s="93">
        <f t="shared" ref="AB3188" si="2450">AD3188/AC3187</f>
        <v>1.68</v>
      </c>
      <c r="AC3188" s="93">
        <f>AC3187/AA3188</f>
        <v>8.8199999999999931E-2</v>
      </c>
      <c r="AD3188" s="94">
        <f t="shared" ref="AD3188:AD3189" si="2451">AC3188*Z3188</f>
        <v>4.939199999999996</v>
      </c>
      <c r="AE3188" s="190"/>
      <c r="AF3188" s="191"/>
      <c r="AG3188" s="191"/>
      <c r="AH3188" s="191"/>
      <c r="AI3188" s="186"/>
      <c r="AK3188" s="171"/>
    </row>
    <row r="3189" spans="1:41" s="102" customFormat="1" ht="19.899999999999999" customHeight="1" x14ac:dyDescent="0.25">
      <c r="A3189" s="45"/>
      <c r="B3189" s="59"/>
      <c r="C3189" s="137"/>
      <c r="D3189" s="59"/>
      <c r="E3189" s="116"/>
      <c r="F3189" s="120"/>
      <c r="G3189" s="120"/>
      <c r="H3189" s="120"/>
      <c r="I3189" s="60"/>
      <c r="J3189" s="116"/>
      <c r="K3189" s="213"/>
      <c r="L3189" s="120"/>
      <c r="M3189" s="120"/>
      <c r="N3189" s="167"/>
      <c r="O3189" s="120"/>
      <c r="P3189" s="120"/>
      <c r="Q3189" s="120"/>
      <c r="R3189" s="120"/>
      <c r="S3189" s="120"/>
      <c r="T3189" s="221"/>
      <c r="U3189" s="89"/>
      <c r="V3189" s="61"/>
      <c r="W3189" s="92" t="s">
        <v>65</v>
      </c>
      <c r="X3189" s="93" t="s">
        <v>30</v>
      </c>
      <c r="Y3189" s="93" t="s">
        <v>1011</v>
      </c>
      <c r="Z3189" s="134">
        <f>VLOOKUP(W3189,Sheet2!$B:$D,3,FALSE)</f>
        <v>1.76</v>
      </c>
      <c r="AA3189" s="93">
        <f>AA3188/14</f>
        <v>2.3809523809523809</v>
      </c>
      <c r="AB3189" s="93">
        <f>AD3189/AC3187</f>
        <v>0.73919999999999997</v>
      </c>
      <c r="AC3189" s="93">
        <f>AC3187/AA3189</f>
        <v>1.234799999999999</v>
      </c>
      <c r="AD3189" s="94">
        <f t="shared" si="2451"/>
        <v>2.1732479999999983</v>
      </c>
      <c r="AE3189" s="190"/>
      <c r="AF3189" s="191"/>
      <c r="AG3189" s="191"/>
      <c r="AH3189" s="191"/>
      <c r="AI3189" s="186"/>
      <c r="AK3189" s="171"/>
    </row>
    <row r="3190" spans="1:41" s="102" customFormat="1" ht="19.899999999999999" customHeight="1" x14ac:dyDescent="0.25">
      <c r="A3190" s="45"/>
      <c r="B3190" s="59"/>
      <c r="C3190" s="137"/>
      <c r="D3190" s="59"/>
      <c r="E3190" s="116"/>
      <c r="F3190" s="120"/>
      <c r="G3190" s="120"/>
      <c r="H3190" s="120"/>
      <c r="I3190" s="60"/>
      <c r="J3190" s="116"/>
      <c r="K3190" s="213"/>
      <c r="L3190" s="120"/>
      <c r="M3190" s="120"/>
      <c r="N3190" s="167"/>
      <c r="O3190" s="120"/>
      <c r="P3190" s="120"/>
      <c r="Q3190" s="120"/>
      <c r="R3190" s="120"/>
      <c r="S3190" s="120"/>
      <c r="T3190" s="221"/>
      <c r="U3190" s="89"/>
      <c r="V3190" s="61"/>
      <c r="W3190" s="92" t="s">
        <v>161</v>
      </c>
      <c r="X3190" s="93" t="s">
        <v>29</v>
      </c>
      <c r="Y3190" s="93" t="s">
        <v>93</v>
      </c>
      <c r="Z3190" s="134">
        <f>VLOOKUP(W3190,Sheet2!$B:$D,3,FALSE)</f>
        <v>48</v>
      </c>
      <c r="AA3190" s="93">
        <f>(16*0.85*1.5)/(1*3)</f>
        <v>6.8</v>
      </c>
      <c r="AB3190" s="93">
        <f>AD3190/AC3187</f>
        <v>7.0588235294117645</v>
      </c>
      <c r="AC3190" s="93">
        <f>AC3187/AA3190</f>
        <v>0.43235294117647027</v>
      </c>
      <c r="AD3190" s="94">
        <f>AC3190*Z3190</f>
        <v>20.752941176470571</v>
      </c>
      <c r="AE3190" s="190"/>
      <c r="AF3190" s="191"/>
      <c r="AG3190" s="191"/>
      <c r="AH3190" s="191"/>
      <c r="AI3190" s="186"/>
      <c r="AK3190" s="171"/>
    </row>
    <row r="3191" spans="1:41" s="102" customFormat="1" ht="19.899999999999999" customHeight="1" x14ac:dyDescent="0.25">
      <c r="A3191" s="45"/>
      <c r="B3191" s="59"/>
      <c r="C3191" s="137"/>
      <c r="D3191" s="59"/>
      <c r="E3191" s="116"/>
      <c r="F3191" s="120"/>
      <c r="G3191" s="120"/>
      <c r="H3191" s="120"/>
      <c r="I3191" s="60"/>
      <c r="J3191" s="116"/>
      <c r="K3191" s="213"/>
      <c r="L3191" s="120"/>
      <c r="M3191" s="120"/>
      <c r="N3191" s="167"/>
      <c r="O3191" s="120"/>
      <c r="P3191" s="120"/>
      <c r="Q3191" s="120"/>
      <c r="R3191" s="120"/>
      <c r="S3191" s="120"/>
      <c r="T3191" s="221"/>
      <c r="U3191" s="89"/>
      <c r="V3191" s="61"/>
      <c r="W3191" s="92" t="s">
        <v>65</v>
      </c>
      <c r="X3191" s="93" t="s">
        <v>30</v>
      </c>
      <c r="Y3191" s="93" t="s">
        <v>1011</v>
      </c>
      <c r="Z3191" s="134">
        <f>VLOOKUP(W3191,Sheet2!$B:$D,3,FALSE)</f>
        <v>1.76</v>
      </c>
      <c r="AA3191" s="93">
        <f>AA3190/10</f>
        <v>0.67999999999999994</v>
      </c>
      <c r="AB3191" s="93">
        <f>AD3191/AC3187</f>
        <v>2.5882352941176472</v>
      </c>
      <c r="AC3191" s="93">
        <f>AC3187/AA3191</f>
        <v>4.323529411764703</v>
      </c>
      <c r="AD3191" s="94">
        <f>AC3191*Z3191</f>
        <v>7.609411764705877</v>
      </c>
      <c r="AE3191" s="190"/>
      <c r="AF3191" s="191"/>
      <c r="AG3191" s="191"/>
      <c r="AH3191" s="191"/>
      <c r="AI3191" s="186"/>
      <c r="AK3191" s="171"/>
    </row>
    <row r="3192" spans="1:41" s="102" customFormat="1" ht="19.899999999999999" customHeight="1" x14ac:dyDescent="0.25">
      <c r="A3192" s="45"/>
      <c r="B3192" s="59"/>
      <c r="C3192" s="137"/>
      <c r="D3192" s="59"/>
      <c r="E3192" s="116"/>
      <c r="F3192" s="120"/>
      <c r="G3192" s="120"/>
      <c r="H3192" s="120"/>
      <c r="I3192" s="60"/>
      <c r="J3192" s="116"/>
      <c r="K3192" s="213"/>
      <c r="L3192" s="120"/>
      <c r="M3192" s="120"/>
      <c r="N3192" s="167"/>
      <c r="O3192" s="120"/>
      <c r="P3192" s="120"/>
      <c r="Q3192" s="120"/>
      <c r="R3192" s="120"/>
      <c r="S3192" s="120"/>
      <c r="T3192" s="221"/>
      <c r="U3192" s="89"/>
      <c r="V3192" s="61"/>
      <c r="W3192" s="92" t="s">
        <v>1030</v>
      </c>
      <c r="X3192" s="93" t="s">
        <v>29</v>
      </c>
      <c r="Y3192" s="93" t="s">
        <v>93</v>
      </c>
      <c r="Z3192" s="134">
        <f>VLOOKUP(W3192,Sheet2!$B:$D,3,FALSE)</f>
        <v>23</v>
      </c>
      <c r="AA3192" s="93">
        <v>50</v>
      </c>
      <c r="AB3192" s="93">
        <f>AD3192/AC3187</f>
        <v>0.46</v>
      </c>
      <c r="AC3192" s="93">
        <f>AC3187/AA3192</f>
        <v>5.8799999999999956E-2</v>
      </c>
      <c r="AD3192" s="94">
        <f t="shared" ref="AD3192:AD3196" si="2452">AC3192*Z3192</f>
        <v>1.3523999999999989</v>
      </c>
      <c r="AE3192" s="190"/>
      <c r="AF3192" s="191"/>
      <c r="AG3192" s="191"/>
      <c r="AH3192" s="191"/>
      <c r="AI3192" s="186"/>
      <c r="AK3192" s="171"/>
    </row>
    <row r="3193" spans="1:41" s="102" customFormat="1" ht="19.899999999999999" customHeight="1" x14ac:dyDescent="0.25">
      <c r="A3193" s="45"/>
      <c r="B3193" s="59"/>
      <c r="C3193" s="137"/>
      <c r="D3193" s="59"/>
      <c r="E3193" s="116"/>
      <c r="F3193" s="120"/>
      <c r="G3193" s="120"/>
      <c r="H3193" s="120"/>
      <c r="I3193" s="60"/>
      <c r="J3193" s="116"/>
      <c r="K3193" s="213"/>
      <c r="L3193" s="120"/>
      <c r="M3193" s="120"/>
      <c r="N3193" s="167"/>
      <c r="O3193" s="120"/>
      <c r="P3193" s="120"/>
      <c r="Q3193" s="120"/>
      <c r="R3193" s="120"/>
      <c r="S3193" s="120"/>
      <c r="T3193" s="221"/>
      <c r="U3193" s="89"/>
      <c r="V3193" s="61"/>
      <c r="W3193" s="92" t="s">
        <v>65</v>
      </c>
      <c r="X3193" s="93" t="s">
        <v>30</v>
      </c>
      <c r="Y3193" s="93" t="s">
        <v>1011</v>
      </c>
      <c r="Z3193" s="134">
        <f>VLOOKUP(W3193,Sheet2!$B:$D,3,FALSE)</f>
        <v>1.76</v>
      </c>
      <c r="AA3193" s="93">
        <f>AA3192/3</f>
        <v>16.666666666666668</v>
      </c>
      <c r="AB3193" s="93">
        <f>AD3193/AC3187</f>
        <v>0.1056</v>
      </c>
      <c r="AC3193" s="93">
        <f>AC3187/AA3193</f>
        <v>0.17639999999999986</v>
      </c>
      <c r="AD3193" s="94">
        <f t="shared" si="2452"/>
        <v>0.31046399999999974</v>
      </c>
      <c r="AE3193" s="190"/>
      <c r="AF3193" s="191"/>
      <c r="AG3193" s="191"/>
      <c r="AH3193" s="191"/>
      <c r="AI3193" s="186"/>
      <c r="AK3193" s="171"/>
    </row>
    <row r="3194" spans="1:41" s="102" customFormat="1" ht="19.899999999999999" customHeight="1" x14ac:dyDescent="0.25">
      <c r="A3194" s="45"/>
      <c r="B3194" s="59"/>
      <c r="C3194" s="137"/>
      <c r="D3194" s="59"/>
      <c r="E3194" s="116"/>
      <c r="F3194" s="120"/>
      <c r="G3194" s="120"/>
      <c r="H3194" s="120"/>
      <c r="I3194" s="60"/>
      <c r="J3194" s="116"/>
      <c r="K3194" s="213"/>
      <c r="L3194" s="120"/>
      <c r="M3194" s="120"/>
      <c r="N3194" s="167"/>
      <c r="O3194" s="120"/>
      <c r="P3194" s="120"/>
      <c r="Q3194" s="120"/>
      <c r="R3194" s="120"/>
      <c r="S3194" s="120"/>
      <c r="T3194" s="221"/>
      <c r="U3194" s="89"/>
      <c r="V3194" s="61"/>
      <c r="W3194" s="92" t="s">
        <v>148</v>
      </c>
      <c r="X3194" s="93" t="s">
        <v>29</v>
      </c>
      <c r="Y3194" s="93" t="s">
        <v>93</v>
      </c>
      <c r="Z3194" s="134">
        <f>VLOOKUP(W3194,Sheet2!$B:$D,3,FALSE)</f>
        <v>48</v>
      </c>
      <c r="AA3194" s="93">
        <f>AA3188</f>
        <v>33.333333333333336</v>
      </c>
      <c r="AB3194" s="93">
        <f>AD3194/AC3187</f>
        <v>1.44</v>
      </c>
      <c r="AC3194" s="93">
        <f>AC3187/AA3194</f>
        <v>8.8199999999999931E-2</v>
      </c>
      <c r="AD3194" s="94">
        <f t="shared" si="2452"/>
        <v>4.2335999999999965</v>
      </c>
      <c r="AE3194" s="190"/>
      <c r="AF3194" s="191"/>
      <c r="AG3194" s="191"/>
      <c r="AH3194" s="191"/>
      <c r="AI3194" s="186"/>
      <c r="AK3194" s="171"/>
    </row>
    <row r="3195" spans="1:41" s="102" customFormat="1" ht="19.899999999999999" customHeight="1" x14ac:dyDescent="0.25">
      <c r="A3195" s="45"/>
      <c r="B3195" s="59"/>
      <c r="C3195" s="137"/>
      <c r="D3195" s="59"/>
      <c r="E3195" s="116"/>
      <c r="F3195" s="120"/>
      <c r="G3195" s="120"/>
      <c r="H3195" s="120"/>
      <c r="I3195" s="60"/>
      <c r="J3195" s="116"/>
      <c r="K3195" s="213"/>
      <c r="L3195" s="120"/>
      <c r="M3195" s="120"/>
      <c r="N3195" s="167"/>
      <c r="O3195" s="120"/>
      <c r="P3195" s="120"/>
      <c r="Q3195" s="120"/>
      <c r="R3195" s="120"/>
      <c r="S3195" s="120"/>
      <c r="T3195" s="221"/>
      <c r="U3195" s="89"/>
      <c r="V3195" s="61"/>
      <c r="W3195" s="92" t="s">
        <v>65</v>
      </c>
      <c r="X3195" s="93" t="s">
        <v>30</v>
      </c>
      <c r="Y3195" s="93" t="s">
        <v>1011</v>
      </c>
      <c r="Z3195" s="134">
        <f>VLOOKUP(W3195,Sheet2!$B:$D,3,FALSE)</f>
        <v>1.76</v>
      </c>
      <c r="AA3195" s="93">
        <f>AA3194/10</f>
        <v>3.3333333333333335</v>
      </c>
      <c r="AB3195" s="93">
        <f>AD3195/AC3187</f>
        <v>0.52799999999999991</v>
      </c>
      <c r="AC3195" s="93">
        <f>AC3187/AA3195</f>
        <v>0.88199999999999923</v>
      </c>
      <c r="AD3195" s="94">
        <f t="shared" si="2452"/>
        <v>1.5523199999999986</v>
      </c>
      <c r="AE3195" s="190"/>
      <c r="AF3195" s="191"/>
      <c r="AG3195" s="191"/>
      <c r="AH3195" s="191"/>
      <c r="AI3195" s="186"/>
      <c r="AK3195" s="171"/>
    </row>
    <row r="3196" spans="1:41" s="102" customFormat="1" ht="19.899999999999999" customHeight="1" x14ac:dyDescent="0.25">
      <c r="A3196" s="45"/>
      <c r="B3196" s="59"/>
      <c r="C3196" s="137"/>
      <c r="D3196" s="59"/>
      <c r="E3196" s="116"/>
      <c r="F3196" s="120"/>
      <c r="G3196" s="120"/>
      <c r="H3196" s="120"/>
      <c r="I3196" s="60"/>
      <c r="J3196" s="116"/>
      <c r="K3196" s="213"/>
      <c r="L3196" s="120"/>
      <c r="M3196" s="120"/>
      <c r="N3196" s="167"/>
      <c r="O3196" s="120"/>
      <c r="P3196" s="120"/>
      <c r="Q3196" s="120"/>
      <c r="R3196" s="120"/>
      <c r="S3196" s="120"/>
      <c r="T3196" s="221"/>
      <c r="U3196" s="89"/>
      <c r="V3196" s="61"/>
      <c r="W3196" s="92" t="s">
        <v>1049</v>
      </c>
      <c r="X3196" s="93" t="s">
        <v>30</v>
      </c>
      <c r="Y3196" s="93" t="s">
        <v>68</v>
      </c>
      <c r="Z3196" s="134">
        <f>VLOOKUP(W3196,Sheet2!$B:$D,3,FALSE)</f>
        <v>60</v>
      </c>
      <c r="AA3196" s="93">
        <v>1</v>
      </c>
      <c r="AB3196" s="93">
        <f>AD3196/AC3187</f>
        <v>60</v>
      </c>
      <c r="AC3196" s="93">
        <f>AC3187/AA3196</f>
        <v>2.9399999999999977</v>
      </c>
      <c r="AD3196" s="94">
        <f t="shared" si="2452"/>
        <v>176.39999999999986</v>
      </c>
      <c r="AE3196" s="190"/>
      <c r="AF3196" s="191"/>
      <c r="AG3196" s="191"/>
      <c r="AH3196" s="191"/>
      <c r="AI3196" s="186"/>
      <c r="AK3196" s="171"/>
    </row>
    <row r="3197" spans="1:41" s="103" customFormat="1" ht="19.899999999999999" customHeight="1" x14ac:dyDescent="0.25">
      <c r="A3197" s="51"/>
      <c r="B3197" s="52"/>
      <c r="C3197" s="165"/>
      <c r="D3197" s="52"/>
      <c r="E3197" s="115"/>
      <c r="F3197" s="58"/>
      <c r="G3197" s="58"/>
      <c r="H3197" s="58"/>
      <c r="I3197" s="55"/>
      <c r="J3197" s="113">
        <f>J3186</f>
        <v>2.9399999999999977</v>
      </c>
      <c r="K3197" s="212">
        <f>K3186</f>
        <v>2.9399999999999977</v>
      </c>
      <c r="L3197" s="58"/>
      <c r="M3197" s="58">
        <f>K3197-L3197</f>
        <v>2.9399999999999977</v>
      </c>
      <c r="N3197" s="166"/>
      <c r="O3197" s="58"/>
      <c r="P3197" s="58"/>
      <c r="Q3197" s="58"/>
      <c r="R3197" s="58"/>
      <c r="S3197" s="58"/>
      <c r="T3197" s="220"/>
      <c r="U3197" s="88"/>
      <c r="V3197" s="56"/>
      <c r="W3197" s="57" t="s">
        <v>1036</v>
      </c>
      <c r="X3197" s="53"/>
      <c r="Y3197" s="91" t="s">
        <v>68</v>
      </c>
      <c r="Z3197" s="136">
        <f>AD3197/AC3197</f>
        <v>102.58333333333333</v>
      </c>
      <c r="AA3197" s="58"/>
      <c r="AB3197" s="53">
        <f>AD3197/AC3197</f>
        <v>102.58333333333333</v>
      </c>
      <c r="AC3197" s="53">
        <f>M3197+$AE$10</f>
        <v>2.9399999999999977</v>
      </c>
      <c r="AD3197" s="54">
        <f>SUM(AD3198:AD3204)</f>
        <v>301.59499999999974</v>
      </c>
      <c r="AE3197" s="184">
        <f>SUMIFS($AD$37:$AD$12971,$V$37:$V$12971,$V3197,$X$37:$X$12971,AE$13)</f>
        <v>0</v>
      </c>
      <c r="AF3197" s="185">
        <f>SUMIFS($AD$37:$AD$12971,$V$37:$V$12971,$V3197,$X$37:$X$12971,AF$13)</f>
        <v>0</v>
      </c>
      <c r="AG3197" s="185">
        <f>SUMIFS($AD$37:$AD$12971,$V$37:$V$12971,$V3197,$X$37:$X$12971,AG$13)</f>
        <v>0</v>
      </c>
      <c r="AH3197" s="187">
        <f>SUMIFS($AD$37:$AD$12971,$V$37:$V$12971,$V3197,$X$37:$X$12971,AH$13)</f>
        <v>0</v>
      </c>
      <c r="AI3197" s="161">
        <f t="shared" ref="AI3197" si="2453">SUM(AE3197:AH3197)</f>
        <v>0</v>
      </c>
      <c r="AK3197" s="172"/>
    </row>
    <row r="3198" spans="1:41" s="102" customFormat="1" ht="19.899999999999999" customHeight="1" x14ac:dyDescent="0.25">
      <c r="A3198" s="45"/>
      <c r="B3198" s="59"/>
      <c r="C3198" s="137"/>
      <c r="D3198" s="59"/>
      <c r="E3198" s="116"/>
      <c r="F3198" s="120"/>
      <c r="G3198" s="120"/>
      <c r="H3198" s="120"/>
      <c r="I3198" s="60"/>
      <c r="J3198" s="116"/>
      <c r="K3198" s="213"/>
      <c r="L3198" s="120"/>
      <c r="M3198" s="120"/>
      <c r="N3198" s="167"/>
      <c r="O3198" s="120"/>
      <c r="P3198" s="120"/>
      <c r="Q3198" s="120"/>
      <c r="R3198" s="120"/>
      <c r="S3198" s="120"/>
      <c r="T3198" s="221"/>
      <c r="U3198" s="89"/>
      <c r="V3198" s="61"/>
      <c r="W3198" s="92" t="s">
        <v>1045</v>
      </c>
      <c r="X3198" s="93" t="s">
        <v>30</v>
      </c>
      <c r="Y3198" s="93" t="s">
        <v>68</v>
      </c>
      <c r="Z3198" s="134">
        <f>VLOOKUP(W3198,Sheet2!$B:$D,3,FALSE)</f>
        <v>52</v>
      </c>
      <c r="AA3198" s="93">
        <v>1</v>
      </c>
      <c r="AB3198" s="93">
        <f>AD3198/AC3197</f>
        <v>52</v>
      </c>
      <c r="AC3198" s="93">
        <f>AC3197/AA3198</f>
        <v>2.9399999999999977</v>
      </c>
      <c r="AD3198" s="94">
        <f t="shared" ref="AD3198" si="2454">AC3198*Z3198</f>
        <v>152.87999999999988</v>
      </c>
      <c r="AE3198" s="190"/>
      <c r="AF3198" s="191"/>
      <c r="AG3198" s="191"/>
      <c r="AH3198" s="191"/>
      <c r="AI3198" s="186"/>
      <c r="AK3198" s="171"/>
    </row>
    <row r="3199" spans="1:41" s="102" customFormat="1" ht="19.899999999999999" customHeight="1" x14ac:dyDescent="0.25">
      <c r="A3199" s="45"/>
      <c r="B3199" s="59"/>
      <c r="C3199" s="137"/>
      <c r="D3199" s="59"/>
      <c r="E3199" s="116"/>
      <c r="F3199" s="120"/>
      <c r="G3199" s="120"/>
      <c r="H3199" s="120"/>
      <c r="I3199" s="60"/>
      <c r="J3199" s="116"/>
      <c r="K3199" s="213"/>
      <c r="L3199" s="120"/>
      <c r="M3199" s="120"/>
      <c r="N3199" s="167"/>
      <c r="O3199" s="120"/>
      <c r="P3199" s="120"/>
      <c r="Q3199" s="120"/>
      <c r="R3199" s="120"/>
      <c r="S3199" s="120"/>
      <c r="T3199" s="221"/>
      <c r="U3199" s="89"/>
      <c r="V3199" s="61"/>
      <c r="W3199" s="92" t="s">
        <v>1043</v>
      </c>
      <c r="X3199" s="93" t="s">
        <v>30</v>
      </c>
      <c r="Y3199" s="93" t="s">
        <v>68</v>
      </c>
      <c r="Z3199" s="134">
        <f>VLOOKUP(W3199,Sheet2!$B:$D,3,FALSE)</f>
        <v>5</v>
      </c>
      <c r="AA3199" s="93">
        <v>1</v>
      </c>
      <c r="AB3199" s="93">
        <f>AD3199/AC3197</f>
        <v>5</v>
      </c>
      <c r="AC3199" s="93">
        <f>AC3197/AA3199</f>
        <v>2.9399999999999977</v>
      </c>
      <c r="AD3199" s="94">
        <f>AC3199*Z3199</f>
        <v>14.699999999999989</v>
      </c>
      <c r="AE3199" s="190"/>
      <c r="AF3199" s="191"/>
      <c r="AG3199" s="191"/>
      <c r="AH3199" s="191"/>
      <c r="AI3199" s="186"/>
      <c r="AK3199" s="171"/>
    </row>
    <row r="3200" spans="1:41" s="102" customFormat="1" ht="19.899999999999999" customHeight="1" x14ac:dyDescent="0.25">
      <c r="A3200" s="45"/>
      <c r="B3200" s="59"/>
      <c r="C3200" s="137"/>
      <c r="D3200" s="59"/>
      <c r="E3200" s="116"/>
      <c r="F3200" s="120"/>
      <c r="G3200" s="120"/>
      <c r="H3200" s="120"/>
      <c r="I3200" s="60"/>
      <c r="J3200" s="116"/>
      <c r="K3200" s="213"/>
      <c r="L3200" s="120"/>
      <c r="M3200" s="120"/>
      <c r="N3200" s="167"/>
      <c r="O3200" s="120"/>
      <c r="P3200" s="120"/>
      <c r="Q3200" s="120"/>
      <c r="R3200" s="120"/>
      <c r="S3200" s="120"/>
      <c r="T3200" s="221"/>
      <c r="U3200" s="89"/>
      <c r="V3200" s="61"/>
      <c r="W3200" s="92" t="s">
        <v>107</v>
      </c>
      <c r="X3200" s="93" t="s">
        <v>31</v>
      </c>
      <c r="Y3200" s="93" t="s">
        <v>93</v>
      </c>
      <c r="Z3200" s="134">
        <f>VLOOKUP(W3200,Sheet2!$B:$D,3,FALSE)</f>
        <v>17</v>
      </c>
      <c r="AA3200" s="93">
        <v>6</v>
      </c>
      <c r="AB3200" s="93">
        <f>AD3200/AC3197</f>
        <v>2.833333333333333</v>
      </c>
      <c r="AC3200" s="93">
        <f>AC3197/AA3200</f>
        <v>0.4899999999999996</v>
      </c>
      <c r="AD3200" s="94">
        <f>AC3200*Z3200</f>
        <v>8.329999999999993</v>
      </c>
      <c r="AE3200" s="190"/>
      <c r="AF3200" s="191"/>
      <c r="AG3200" s="191"/>
      <c r="AH3200" s="191"/>
      <c r="AI3200" s="186"/>
      <c r="AK3200" s="171"/>
    </row>
    <row r="3201" spans="1:41" s="102" customFormat="1" ht="19.899999999999999" customHeight="1" x14ac:dyDescent="0.25">
      <c r="A3201" s="45"/>
      <c r="B3201" s="59"/>
      <c r="C3201" s="137"/>
      <c r="D3201" s="59"/>
      <c r="E3201" s="116"/>
      <c r="F3201" s="120"/>
      <c r="G3201" s="120"/>
      <c r="H3201" s="120"/>
      <c r="I3201" s="60"/>
      <c r="J3201" s="116"/>
      <c r="K3201" s="213"/>
      <c r="L3201" s="120"/>
      <c r="M3201" s="120"/>
      <c r="N3201" s="167"/>
      <c r="O3201" s="120"/>
      <c r="P3201" s="120"/>
      <c r="Q3201" s="120"/>
      <c r="R3201" s="120"/>
      <c r="S3201" s="120"/>
      <c r="T3201" s="221"/>
      <c r="U3201" s="89"/>
      <c r="V3201" s="61"/>
      <c r="W3201" s="92" t="s">
        <v>112</v>
      </c>
      <c r="X3201" s="93" t="s">
        <v>31</v>
      </c>
      <c r="Y3201" s="93" t="s">
        <v>93</v>
      </c>
      <c r="Z3201" s="134">
        <f>VLOOKUP(W3201,Sheet2!$B:$D,3,FALSE)</f>
        <v>13</v>
      </c>
      <c r="AA3201" s="93">
        <v>6</v>
      </c>
      <c r="AB3201" s="93">
        <f>AD3201/AC3197</f>
        <v>2.1666666666666665</v>
      </c>
      <c r="AC3201" s="93">
        <f>AC3197/AA3201</f>
        <v>0.4899999999999996</v>
      </c>
      <c r="AD3201" s="94">
        <f>AC3201*Z3201</f>
        <v>6.3699999999999948</v>
      </c>
      <c r="AE3201" s="190"/>
      <c r="AF3201" s="191"/>
      <c r="AG3201" s="191"/>
      <c r="AH3201" s="191"/>
      <c r="AI3201" s="186"/>
      <c r="AK3201" s="171"/>
    </row>
    <row r="3202" spans="1:41" s="102" customFormat="1" ht="19.899999999999999" customHeight="1" x14ac:dyDescent="0.25">
      <c r="A3202" s="45"/>
      <c r="B3202" s="59"/>
      <c r="C3202" s="137"/>
      <c r="D3202" s="59"/>
      <c r="E3202" s="116"/>
      <c r="F3202" s="120"/>
      <c r="G3202" s="120"/>
      <c r="H3202" s="120"/>
      <c r="I3202" s="60"/>
      <c r="J3202" s="116"/>
      <c r="K3202" s="213"/>
      <c r="L3202" s="120"/>
      <c r="M3202" s="120"/>
      <c r="N3202" s="167"/>
      <c r="O3202" s="120"/>
      <c r="P3202" s="120"/>
      <c r="Q3202" s="120"/>
      <c r="R3202" s="120"/>
      <c r="S3202" s="120"/>
      <c r="T3202" s="221"/>
      <c r="U3202" s="89"/>
      <c r="V3202" s="61"/>
      <c r="W3202" s="92" t="s">
        <v>1032</v>
      </c>
      <c r="X3202" s="93" t="s">
        <v>30</v>
      </c>
      <c r="Y3202" s="93" t="s">
        <v>66</v>
      </c>
      <c r="Z3202" s="134">
        <f>VLOOKUP(W3202,Sheet2!$B:$D,3,FALSE)</f>
        <v>250</v>
      </c>
      <c r="AA3202" s="93">
        <f>1/(1*1*0.1)</f>
        <v>10</v>
      </c>
      <c r="AB3202" s="93">
        <f>AD3202/AC3197</f>
        <v>25</v>
      </c>
      <c r="AC3202" s="93">
        <f>AC3197/AA3202</f>
        <v>0.29399999999999976</v>
      </c>
      <c r="AD3202" s="94">
        <f>AC3202*Z3202</f>
        <v>73.499999999999943</v>
      </c>
      <c r="AE3202" s="190"/>
      <c r="AF3202" s="191"/>
      <c r="AG3202" s="191"/>
      <c r="AH3202" s="191"/>
      <c r="AI3202" s="186"/>
      <c r="AK3202" s="171"/>
    </row>
    <row r="3203" spans="1:41" s="102" customFormat="1" ht="19.899999999999999" customHeight="1" x14ac:dyDescent="0.25">
      <c r="A3203" s="45"/>
      <c r="B3203" s="59"/>
      <c r="C3203" s="137"/>
      <c r="D3203" s="59"/>
      <c r="E3203" s="116"/>
      <c r="F3203" s="120"/>
      <c r="G3203" s="120"/>
      <c r="H3203" s="120"/>
      <c r="I3203" s="60"/>
      <c r="J3203" s="116"/>
      <c r="K3203" s="213"/>
      <c r="L3203" s="120"/>
      <c r="M3203" s="120"/>
      <c r="N3203" s="167"/>
      <c r="O3203" s="120"/>
      <c r="P3203" s="120"/>
      <c r="Q3203" s="120"/>
      <c r="R3203" s="120"/>
      <c r="S3203" s="120"/>
      <c r="T3203" s="221"/>
      <c r="U3203" s="89"/>
      <c r="V3203" s="61"/>
      <c r="W3203" s="92" t="s">
        <v>1035</v>
      </c>
      <c r="X3203" s="93" t="s">
        <v>32</v>
      </c>
      <c r="Y3203" s="93" t="s">
        <v>66</v>
      </c>
      <c r="Z3203" s="134">
        <f>VLOOKUP(W3203,Sheet2!$B:$D,3,FALSE)</f>
        <v>150</v>
      </c>
      <c r="AA3203" s="93">
        <f>AA3202</f>
        <v>10</v>
      </c>
      <c r="AB3203" s="93">
        <f>AD3203/AC3197</f>
        <v>15</v>
      </c>
      <c r="AC3203" s="93">
        <f>AC3197/AA3203</f>
        <v>0.29399999999999976</v>
      </c>
      <c r="AD3203" s="94">
        <f t="shared" ref="AD3203:AD3204" si="2455">AC3203*Z3203</f>
        <v>44.099999999999966</v>
      </c>
      <c r="AE3203" s="190"/>
      <c r="AF3203" s="191"/>
      <c r="AG3203" s="191"/>
      <c r="AH3203" s="191"/>
      <c r="AI3203" s="186"/>
      <c r="AK3203" s="171"/>
    </row>
    <row r="3204" spans="1:41" s="102" customFormat="1" ht="19.899999999999999" customHeight="1" x14ac:dyDescent="0.25">
      <c r="A3204" s="45"/>
      <c r="B3204" s="59"/>
      <c r="C3204" s="137"/>
      <c r="D3204" s="59"/>
      <c r="E3204" s="116"/>
      <c r="F3204" s="120"/>
      <c r="G3204" s="120"/>
      <c r="H3204" s="120"/>
      <c r="I3204" s="60"/>
      <c r="J3204" s="116"/>
      <c r="K3204" s="213"/>
      <c r="L3204" s="120"/>
      <c r="M3204" s="120"/>
      <c r="N3204" s="167"/>
      <c r="O3204" s="120"/>
      <c r="P3204" s="120"/>
      <c r="Q3204" s="120"/>
      <c r="R3204" s="120"/>
      <c r="S3204" s="120"/>
      <c r="T3204" s="221"/>
      <c r="U3204" s="89"/>
      <c r="V3204" s="61"/>
      <c r="W3204" s="92" t="s">
        <v>1037</v>
      </c>
      <c r="X3204" s="93" t="s">
        <v>30</v>
      </c>
      <c r="Y3204" s="93" t="s">
        <v>1038</v>
      </c>
      <c r="Z3204" s="134">
        <f>VLOOKUP(W3204,Sheet2!$B:$D,3,FALSE)</f>
        <v>175</v>
      </c>
      <c r="AA3204" s="93">
        <v>300</v>
      </c>
      <c r="AB3204" s="93">
        <f>AD3204/AC3197</f>
        <v>0.58333333333333337</v>
      </c>
      <c r="AC3204" s="93">
        <f>AC3197/AA3204</f>
        <v>9.7999999999999927E-3</v>
      </c>
      <c r="AD3204" s="94">
        <f t="shared" si="2455"/>
        <v>1.7149999999999987</v>
      </c>
      <c r="AE3204" s="190"/>
      <c r="AF3204" s="191"/>
      <c r="AG3204" s="191"/>
      <c r="AH3204" s="191"/>
      <c r="AI3204" s="186"/>
      <c r="AK3204" s="171"/>
    </row>
    <row r="3205" spans="1:41" s="103" customFormat="1" ht="19.899999999999999" customHeight="1" x14ac:dyDescent="0.25">
      <c r="A3205" s="51"/>
      <c r="B3205" s="52"/>
      <c r="C3205" s="165"/>
      <c r="D3205" s="52"/>
      <c r="E3205" s="115"/>
      <c r="F3205" s="58"/>
      <c r="G3205" s="58"/>
      <c r="H3205" s="58"/>
      <c r="I3205" s="55"/>
      <c r="J3205" s="113">
        <f>J3186</f>
        <v>2.9399999999999977</v>
      </c>
      <c r="K3205" s="212">
        <f>K3186</f>
        <v>2.9399999999999977</v>
      </c>
      <c r="L3205" s="58"/>
      <c r="M3205" s="58">
        <f>K3205-L3205</f>
        <v>2.9399999999999977</v>
      </c>
      <c r="N3205" s="166"/>
      <c r="O3205" s="58"/>
      <c r="P3205" s="58"/>
      <c r="Q3205" s="58"/>
      <c r="R3205" s="58"/>
      <c r="S3205" s="58"/>
      <c r="T3205" s="220"/>
      <c r="U3205" s="88"/>
      <c r="V3205" s="56"/>
      <c r="W3205" s="57" t="s">
        <v>1040</v>
      </c>
      <c r="X3205" s="53"/>
      <c r="Y3205" s="91" t="s">
        <v>68</v>
      </c>
      <c r="Z3205" s="136">
        <f>AD3205/AC3205</f>
        <v>5</v>
      </c>
      <c r="AA3205" s="58"/>
      <c r="AB3205" s="53">
        <f>AD3205/AC3205</f>
        <v>5</v>
      </c>
      <c r="AC3205" s="53">
        <f>M3205+$AE$10</f>
        <v>2.9399999999999977</v>
      </c>
      <c r="AD3205" s="54">
        <f>SUM(AD3206)</f>
        <v>14.699999999999989</v>
      </c>
      <c r="AE3205" s="184">
        <f>SUMIFS($AD$37:$AD$12971,$V$37:$V$12971,$V3205,$X$37:$X$12971,AE$13)</f>
        <v>0</v>
      </c>
      <c r="AF3205" s="185">
        <f>SUMIFS($AD$37:$AD$12971,$V$37:$V$12971,$V3205,$X$37:$X$12971,AF$13)</f>
        <v>0</v>
      </c>
      <c r="AG3205" s="185">
        <f>SUMIFS($AD$37:$AD$12971,$V$37:$V$12971,$V3205,$X$37:$X$12971,AG$13)</f>
        <v>0</v>
      </c>
      <c r="AH3205" s="187">
        <f>SUMIFS($AD$37:$AD$12971,$V$37:$V$12971,$V3205,$X$37:$X$12971,AH$13)</f>
        <v>0</v>
      </c>
      <c r="AI3205" s="161">
        <f t="shared" ref="AI3205" si="2456">SUM(AE3205:AH3205)</f>
        <v>0</v>
      </c>
      <c r="AK3205" s="172"/>
    </row>
    <row r="3206" spans="1:41" s="102" customFormat="1" ht="19.899999999999999" customHeight="1" x14ac:dyDescent="0.25">
      <c r="A3206" s="45"/>
      <c r="B3206" s="59"/>
      <c r="C3206" s="137"/>
      <c r="D3206" s="59"/>
      <c r="E3206" s="116"/>
      <c r="F3206" s="120"/>
      <c r="G3206" s="120"/>
      <c r="H3206" s="120"/>
      <c r="I3206" s="60"/>
      <c r="J3206" s="116"/>
      <c r="K3206" s="213"/>
      <c r="L3206" s="120"/>
      <c r="M3206" s="120"/>
      <c r="N3206" s="167"/>
      <c r="O3206" s="120"/>
      <c r="P3206" s="120"/>
      <c r="Q3206" s="120"/>
      <c r="R3206" s="120"/>
      <c r="S3206" s="120"/>
      <c r="T3206" s="221"/>
      <c r="U3206" s="89"/>
      <c r="V3206" s="61"/>
      <c r="W3206" s="92" t="s">
        <v>1039</v>
      </c>
      <c r="X3206" s="93" t="s">
        <v>32</v>
      </c>
      <c r="Y3206" s="93" t="s">
        <v>68</v>
      </c>
      <c r="Z3206" s="134">
        <f>VLOOKUP(W3206,Sheet2!$B:$D,3,FALSE)</f>
        <v>5</v>
      </c>
      <c r="AA3206" s="93">
        <v>1</v>
      </c>
      <c r="AB3206" s="93">
        <f>AD3206/AC3205</f>
        <v>5</v>
      </c>
      <c r="AC3206" s="93">
        <f>AC3205/AA3206</f>
        <v>2.9399999999999977</v>
      </c>
      <c r="AD3206" s="94">
        <f t="shared" ref="AD3206" si="2457">AC3206*Z3206</f>
        <v>14.699999999999989</v>
      </c>
      <c r="AE3206" s="190"/>
      <c r="AF3206" s="191"/>
      <c r="AG3206" s="191"/>
      <c r="AH3206" s="191"/>
      <c r="AI3206" s="186"/>
      <c r="AK3206" s="171"/>
    </row>
    <row r="3207" spans="1:41" ht="20.100000000000001" customHeight="1" x14ac:dyDescent="0.25">
      <c r="A3207" s="277" t="s">
        <v>491</v>
      </c>
      <c r="B3207" s="278"/>
      <c r="C3207" s="64" t="s">
        <v>1159</v>
      </c>
      <c r="D3207" s="46" t="s">
        <v>97</v>
      </c>
      <c r="E3207" s="114">
        <v>65.201799999999992</v>
      </c>
      <c r="F3207" s="44">
        <v>392</v>
      </c>
      <c r="G3207" s="44">
        <f t="shared" si="2434"/>
        <v>25559.105599999995</v>
      </c>
      <c r="H3207" s="44">
        <f t="shared" si="2435"/>
        <v>184.52223529411768</v>
      </c>
      <c r="I3207" s="43">
        <f t="shared" si="2436"/>
        <v>12031.1818812</v>
      </c>
      <c r="J3207" s="112">
        <f t="shared" si="2437"/>
        <v>65.201799999999992</v>
      </c>
      <c r="K3207" s="211">
        <f t="shared" si="2438"/>
        <v>65.201799999999992</v>
      </c>
      <c r="L3207" s="44"/>
      <c r="M3207" s="44">
        <f t="shared" ref="M3207:M4761" si="2458">K3207-L3207</f>
        <v>65.201799999999992</v>
      </c>
      <c r="N3207" s="173">
        <f t="shared" si="2439"/>
        <v>1</v>
      </c>
      <c r="O3207" s="44">
        <f t="shared" si="2440"/>
        <v>392</v>
      </c>
      <c r="P3207" s="44">
        <f t="shared" si="2441"/>
        <v>25559.105599999995</v>
      </c>
      <c r="Q3207" s="44">
        <f t="shared" si="2442"/>
        <v>184.52223529411768</v>
      </c>
      <c r="R3207" s="44">
        <f t="shared" ref="R3207:R4761" si="2459">M3207*Q3207</f>
        <v>12031.1818812</v>
      </c>
      <c r="S3207" s="123"/>
      <c r="T3207" s="219">
        <f t="shared" ref="T3207:T4761" si="2460">S3207+R3207</f>
        <v>12031.1818812</v>
      </c>
      <c r="U3207" s="87"/>
      <c r="V3207" s="47"/>
      <c r="W3207" s="48"/>
      <c r="X3207" s="48"/>
      <c r="Y3207" s="48"/>
      <c r="Z3207" s="135"/>
      <c r="AA3207" s="49"/>
      <c r="AB3207" s="50">
        <f t="shared" si="2443"/>
        <v>184.52223529411768</v>
      </c>
      <c r="AC3207" s="42">
        <f t="shared" ref="AC3207:AC4761" si="2461">M3207+$AE$10</f>
        <v>65.201799999999992</v>
      </c>
      <c r="AD3207" s="90">
        <f>AD3208+AD3218+AD3226</f>
        <v>12031.1818812</v>
      </c>
      <c r="AE3207" s="188">
        <f t="shared" ref="AE3207" si="2462">AE3208+AE3218+AE3226</f>
        <v>0</v>
      </c>
      <c r="AF3207" s="189">
        <f t="shared" ref="AF3207" si="2463">AF3208+AF3218+AF3226</f>
        <v>0</v>
      </c>
      <c r="AG3207" s="189">
        <f t="shared" ref="AG3207" si="2464">AG3208+AG3218+AG3226</f>
        <v>0</v>
      </c>
      <c r="AH3207" s="189">
        <f t="shared" ref="AH3207" si="2465">AH3208+AH3218+AH3226</f>
        <v>0</v>
      </c>
      <c r="AI3207" s="161">
        <f t="shared" ref="AI3207" si="2466">SUM(AE3207:AH3207)</f>
        <v>0</v>
      </c>
      <c r="AK3207" s="169">
        <v>5</v>
      </c>
      <c r="AO3207" s="19" t="s">
        <v>63</v>
      </c>
    </row>
    <row r="3208" spans="1:41" s="103" customFormat="1" ht="19.899999999999999" customHeight="1" x14ac:dyDescent="0.25">
      <c r="A3208" s="51"/>
      <c r="B3208" s="52"/>
      <c r="C3208" s="165"/>
      <c r="D3208" s="52"/>
      <c r="E3208" s="115"/>
      <c r="F3208" s="58"/>
      <c r="G3208" s="58"/>
      <c r="H3208" s="58"/>
      <c r="I3208" s="55"/>
      <c r="J3208" s="113">
        <f>J3207</f>
        <v>65.201799999999992</v>
      </c>
      <c r="K3208" s="212">
        <f>K3207</f>
        <v>65.201799999999992</v>
      </c>
      <c r="L3208" s="58"/>
      <c r="M3208" s="58">
        <f>K3208-L3208</f>
        <v>65.201799999999992</v>
      </c>
      <c r="N3208" s="166"/>
      <c r="O3208" s="58"/>
      <c r="P3208" s="58"/>
      <c r="Q3208" s="58"/>
      <c r="R3208" s="58"/>
      <c r="S3208" s="58"/>
      <c r="T3208" s="220"/>
      <c r="U3208" s="88"/>
      <c r="V3208" s="56"/>
      <c r="W3208" s="57" t="s">
        <v>1052</v>
      </c>
      <c r="X3208" s="53"/>
      <c r="Y3208" s="91" t="s">
        <v>68</v>
      </c>
      <c r="Z3208" s="136">
        <f>AD3208/AC3208</f>
        <v>76.938901960784307</v>
      </c>
      <c r="AA3208" s="58"/>
      <c r="AB3208" s="53">
        <f>AD3208/AC3208</f>
        <v>76.938901960784307</v>
      </c>
      <c r="AC3208" s="53">
        <f>M3208+$AE$10</f>
        <v>65.201799999999992</v>
      </c>
      <c r="AD3208" s="54">
        <f>SUM(AD3209:AD3217)</f>
        <v>5016.5548978666657</v>
      </c>
      <c r="AE3208" s="184">
        <f>SUMIFS($AD$37:$AD$12971,$V$37:$V$12971,$V3208,$X$37:$X$12971,AE$13)</f>
        <v>0</v>
      </c>
      <c r="AF3208" s="185">
        <f>SUMIFS($AD$37:$AD$12971,$V$37:$V$12971,$V3208,$X$37:$X$12971,AF$13)</f>
        <v>0</v>
      </c>
      <c r="AG3208" s="185">
        <f>SUMIFS($AD$37:$AD$12971,$V$37:$V$12971,$V3208,$X$37:$X$12971,AG$13)</f>
        <v>0</v>
      </c>
      <c r="AH3208" s="187">
        <f>SUMIFS($AD$37:$AD$12971,$V$37:$V$12971,$V3208,$X$37:$X$12971,AH$13)</f>
        <v>0</v>
      </c>
      <c r="AI3208" s="161">
        <f t="shared" ref="AI3208" si="2467">SUM(AE3208:AH3208)</f>
        <v>0</v>
      </c>
      <c r="AK3208" s="172"/>
    </row>
    <row r="3209" spans="1:41" s="102" customFormat="1" ht="19.899999999999999" customHeight="1" x14ac:dyDescent="0.25">
      <c r="A3209" s="45"/>
      <c r="B3209" s="59"/>
      <c r="C3209" s="137"/>
      <c r="D3209" s="59"/>
      <c r="E3209" s="116"/>
      <c r="F3209" s="120"/>
      <c r="G3209" s="120"/>
      <c r="H3209" s="120"/>
      <c r="I3209" s="60"/>
      <c r="J3209" s="116"/>
      <c r="K3209" s="213"/>
      <c r="L3209" s="120"/>
      <c r="M3209" s="120"/>
      <c r="N3209" s="167"/>
      <c r="O3209" s="120"/>
      <c r="P3209" s="120"/>
      <c r="Q3209" s="120"/>
      <c r="R3209" s="120"/>
      <c r="S3209" s="120"/>
      <c r="T3209" s="221"/>
      <c r="U3209" s="89"/>
      <c r="V3209" s="61"/>
      <c r="W3209" s="92" t="s">
        <v>129</v>
      </c>
      <c r="X3209" s="93" t="s">
        <v>29</v>
      </c>
      <c r="Y3209" s="93" t="s">
        <v>93</v>
      </c>
      <c r="Z3209" s="134">
        <f>VLOOKUP(W3209,Sheet2!$B:$D,3,FALSE)</f>
        <v>56</v>
      </c>
      <c r="AA3209" s="93">
        <f>100/(1*3.5)</f>
        <v>28.571428571428573</v>
      </c>
      <c r="AB3209" s="93">
        <f t="shared" ref="AB3209" si="2468">AD3209/AC3208</f>
        <v>1.96</v>
      </c>
      <c r="AC3209" s="93">
        <f>AC3208/AA3209</f>
        <v>2.2820629999999995</v>
      </c>
      <c r="AD3209" s="94">
        <f t="shared" ref="AD3209:AD3210" si="2469">AC3209*Z3209</f>
        <v>127.79552799999998</v>
      </c>
      <c r="AE3209" s="190"/>
      <c r="AF3209" s="191"/>
      <c r="AG3209" s="191"/>
      <c r="AH3209" s="191"/>
      <c r="AI3209" s="186"/>
      <c r="AK3209" s="171"/>
    </row>
    <row r="3210" spans="1:41" s="102" customFormat="1" ht="19.899999999999999" customHeight="1" x14ac:dyDescent="0.25">
      <c r="A3210" s="45"/>
      <c r="B3210" s="59"/>
      <c r="C3210" s="137"/>
      <c r="D3210" s="59"/>
      <c r="E3210" s="116"/>
      <c r="F3210" s="120"/>
      <c r="G3210" s="120"/>
      <c r="H3210" s="120"/>
      <c r="I3210" s="60"/>
      <c r="J3210" s="116"/>
      <c r="K3210" s="213"/>
      <c r="L3210" s="120"/>
      <c r="M3210" s="120"/>
      <c r="N3210" s="167"/>
      <c r="O3210" s="120"/>
      <c r="P3210" s="120"/>
      <c r="Q3210" s="120"/>
      <c r="R3210" s="120"/>
      <c r="S3210" s="120"/>
      <c r="T3210" s="221"/>
      <c r="U3210" s="89"/>
      <c r="V3210" s="61"/>
      <c r="W3210" s="92" t="s">
        <v>65</v>
      </c>
      <c r="X3210" s="93" t="s">
        <v>30</v>
      </c>
      <c r="Y3210" s="93" t="s">
        <v>1011</v>
      </c>
      <c r="Z3210" s="134">
        <f>VLOOKUP(W3210,Sheet2!$B:$D,3,FALSE)</f>
        <v>1.76</v>
      </c>
      <c r="AA3210" s="93">
        <f>AA3209/14</f>
        <v>2.0408163265306123</v>
      </c>
      <c r="AB3210" s="93">
        <f>AD3210/AC3208</f>
        <v>0.86239999999999994</v>
      </c>
      <c r="AC3210" s="93">
        <f>AC3208/AA3210</f>
        <v>31.948881999999994</v>
      </c>
      <c r="AD3210" s="94">
        <f t="shared" si="2469"/>
        <v>56.230032319999992</v>
      </c>
      <c r="AE3210" s="190"/>
      <c r="AF3210" s="191"/>
      <c r="AG3210" s="191"/>
      <c r="AH3210" s="191"/>
      <c r="AI3210" s="186"/>
      <c r="AK3210" s="171"/>
    </row>
    <row r="3211" spans="1:41" s="102" customFormat="1" ht="19.899999999999999" customHeight="1" x14ac:dyDescent="0.25">
      <c r="A3211" s="45"/>
      <c r="B3211" s="59"/>
      <c r="C3211" s="137"/>
      <c r="D3211" s="59"/>
      <c r="E3211" s="116"/>
      <c r="F3211" s="120"/>
      <c r="G3211" s="120"/>
      <c r="H3211" s="120"/>
      <c r="I3211" s="60"/>
      <c r="J3211" s="116"/>
      <c r="K3211" s="213"/>
      <c r="L3211" s="120"/>
      <c r="M3211" s="120"/>
      <c r="N3211" s="167"/>
      <c r="O3211" s="120"/>
      <c r="P3211" s="120"/>
      <c r="Q3211" s="120"/>
      <c r="R3211" s="120"/>
      <c r="S3211" s="120"/>
      <c r="T3211" s="221"/>
      <c r="U3211" s="89"/>
      <c r="V3211" s="61"/>
      <c r="W3211" s="92" t="s">
        <v>161</v>
      </c>
      <c r="X3211" s="93" t="s">
        <v>29</v>
      </c>
      <c r="Y3211" s="93" t="s">
        <v>93</v>
      </c>
      <c r="Z3211" s="134">
        <f>VLOOKUP(W3211,Sheet2!$B:$D,3,FALSE)</f>
        <v>48</v>
      </c>
      <c r="AA3211" s="93">
        <f>(16*0.85*1.5)/(1*3.5)</f>
        <v>5.8285714285714283</v>
      </c>
      <c r="AB3211" s="93">
        <f>AD3211/AC3208</f>
        <v>8.2352941176470598</v>
      </c>
      <c r="AC3211" s="93">
        <f>AC3208/AA3211</f>
        <v>11.186583333333333</v>
      </c>
      <c r="AD3211" s="94">
        <f>AC3211*Z3211</f>
        <v>536.95600000000002</v>
      </c>
      <c r="AE3211" s="190"/>
      <c r="AF3211" s="191"/>
      <c r="AG3211" s="191"/>
      <c r="AH3211" s="191"/>
      <c r="AI3211" s="186"/>
      <c r="AK3211" s="171"/>
    </row>
    <row r="3212" spans="1:41" s="102" customFormat="1" ht="19.899999999999999" customHeight="1" x14ac:dyDescent="0.25">
      <c r="A3212" s="45"/>
      <c r="B3212" s="59"/>
      <c r="C3212" s="137"/>
      <c r="D3212" s="59"/>
      <c r="E3212" s="116"/>
      <c r="F3212" s="120"/>
      <c r="G3212" s="120"/>
      <c r="H3212" s="120"/>
      <c r="I3212" s="60"/>
      <c r="J3212" s="116"/>
      <c r="K3212" s="213"/>
      <c r="L3212" s="120"/>
      <c r="M3212" s="120"/>
      <c r="N3212" s="167"/>
      <c r="O3212" s="120"/>
      <c r="P3212" s="120"/>
      <c r="Q3212" s="120"/>
      <c r="R3212" s="120"/>
      <c r="S3212" s="120"/>
      <c r="T3212" s="221"/>
      <c r="U3212" s="89"/>
      <c r="V3212" s="61"/>
      <c r="W3212" s="92" t="s">
        <v>65</v>
      </c>
      <c r="X3212" s="93" t="s">
        <v>30</v>
      </c>
      <c r="Y3212" s="93" t="s">
        <v>1011</v>
      </c>
      <c r="Z3212" s="134">
        <f>VLOOKUP(W3212,Sheet2!$B:$D,3,FALSE)</f>
        <v>1.76</v>
      </c>
      <c r="AA3212" s="93">
        <f>AA3211/10</f>
        <v>0.58285714285714285</v>
      </c>
      <c r="AB3212" s="93">
        <f>AD3212/AC3208</f>
        <v>3.0196078431372544</v>
      </c>
      <c r="AC3212" s="93">
        <f>AC3208/AA3212</f>
        <v>111.86583333333331</v>
      </c>
      <c r="AD3212" s="94">
        <f>AC3212*Z3212</f>
        <v>196.88386666666662</v>
      </c>
      <c r="AE3212" s="190"/>
      <c r="AF3212" s="191"/>
      <c r="AG3212" s="191"/>
      <c r="AH3212" s="191"/>
      <c r="AI3212" s="186"/>
      <c r="AK3212" s="171"/>
    </row>
    <row r="3213" spans="1:41" s="102" customFormat="1" ht="19.899999999999999" customHeight="1" x14ac:dyDescent="0.25">
      <c r="A3213" s="45"/>
      <c r="B3213" s="59"/>
      <c r="C3213" s="137"/>
      <c r="D3213" s="59"/>
      <c r="E3213" s="116"/>
      <c r="F3213" s="120"/>
      <c r="G3213" s="120"/>
      <c r="H3213" s="120"/>
      <c r="I3213" s="60"/>
      <c r="J3213" s="116"/>
      <c r="K3213" s="213"/>
      <c r="L3213" s="120"/>
      <c r="M3213" s="120"/>
      <c r="N3213" s="167"/>
      <c r="O3213" s="120"/>
      <c r="P3213" s="120"/>
      <c r="Q3213" s="120"/>
      <c r="R3213" s="120"/>
      <c r="S3213" s="120"/>
      <c r="T3213" s="221"/>
      <c r="U3213" s="89"/>
      <c r="V3213" s="61"/>
      <c r="W3213" s="92" t="s">
        <v>1030</v>
      </c>
      <c r="X3213" s="93" t="s">
        <v>29</v>
      </c>
      <c r="Y3213" s="93" t="s">
        <v>93</v>
      </c>
      <c r="Z3213" s="134">
        <f>VLOOKUP(W3213,Sheet2!$B:$D,3,FALSE)</f>
        <v>23</v>
      </c>
      <c r="AA3213" s="93">
        <v>50</v>
      </c>
      <c r="AB3213" s="93">
        <f>AD3213/AC3208</f>
        <v>0.46</v>
      </c>
      <c r="AC3213" s="93">
        <f>AC3208/AA3213</f>
        <v>1.3040359999999998</v>
      </c>
      <c r="AD3213" s="94">
        <f t="shared" ref="AD3213:AD3217" si="2470">AC3213*Z3213</f>
        <v>29.992827999999996</v>
      </c>
      <c r="AE3213" s="190"/>
      <c r="AF3213" s="191"/>
      <c r="AG3213" s="191"/>
      <c r="AH3213" s="191"/>
      <c r="AI3213" s="186"/>
      <c r="AK3213" s="171"/>
    </row>
    <row r="3214" spans="1:41" s="102" customFormat="1" ht="19.899999999999999" customHeight="1" x14ac:dyDescent="0.25">
      <c r="A3214" s="45"/>
      <c r="B3214" s="59"/>
      <c r="C3214" s="137"/>
      <c r="D3214" s="59"/>
      <c r="E3214" s="116"/>
      <c r="F3214" s="120"/>
      <c r="G3214" s="120"/>
      <c r="H3214" s="120"/>
      <c r="I3214" s="60"/>
      <c r="J3214" s="116"/>
      <c r="K3214" s="213"/>
      <c r="L3214" s="120"/>
      <c r="M3214" s="120"/>
      <c r="N3214" s="167"/>
      <c r="O3214" s="120"/>
      <c r="P3214" s="120"/>
      <c r="Q3214" s="120"/>
      <c r="R3214" s="120"/>
      <c r="S3214" s="120"/>
      <c r="T3214" s="221"/>
      <c r="U3214" s="89"/>
      <c r="V3214" s="61"/>
      <c r="W3214" s="92" t="s">
        <v>65</v>
      </c>
      <c r="X3214" s="93" t="s">
        <v>30</v>
      </c>
      <c r="Y3214" s="93" t="s">
        <v>1011</v>
      </c>
      <c r="Z3214" s="134">
        <f>VLOOKUP(W3214,Sheet2!$B:$D,3,FALSE)</f>
        <v>1.76</v>
      </c>
      <c r="AA3214" s="93">
        <f>AA3213/3</f>
        <v>16.666666666666668</v>
      </c>
      <c r="AB3214" s="93">
        <f>AD3214/AC3208</f>
        <v>0.10559999999999999</v>
      </c>
      <c r="AC3214" s="93">
        <f>AC3208/AA3214</f>
        <v>3.912107999999999</v>
      </c>
      <c r="AD3214" s="94">
        <f t="shared" si="2470"/>
        <v>6.8853100799999982</v>
      </c>
      <c r="AE3214" s="190"/>
      <c r="AF3214" s="191"/>
      <c r="AG3214" s="191"/>
      <c r="AH3214" s="191"/>
      <c r="AI3214" s="186"/>
      <c r="AK3214" s="171"/>
    </row>
    <row r="3215" spans="1:41" s="102" customFormat="1" ht="19.899999999999999" customHeight="1" x14ac:dyDescent="0.25">
      <c r="A3215" s="45"/>
      <c r="B3215" s="59"/>
      <c r="C3215" s="137"/>
      <c r="D3215" s="59"/>
      <c r="E3215" s="116"/>
      <c r="F3215" s="120"/>
      <c r="G3215" s="120"/>
      <c r="H3215" s="120"/>
      <c r="I3215" s="60"/>
      <c r="J3215" s="116"/>
      <c r="K3215" s="213"/>
      <c r="L3215" s="120"/>
      <c r="M3215" s="120"/>
      <c r="N3215" s="167"/>
      <c r="O3215" s="120"/>
      <c r="P3215" s="120"/>
      <c r="Q3215" s="120"/>
      <c r="R3215" s="120"/>
      <c r="S3215" s="120"/>
      <c r="T3215" s="221"/>
      <c r="U3215" s="89"/>
      <c r="V3215" s="61"/>
      <c r="W3215" s="92" t="s">
        <v>148</v>
      </c>
      <c r="X3215" s="93" t="s">
        <v>29</v>
      </c>
      <c r="Y3215" s="93" t="s">
        <v>93</v>
      </c>
      <c r="Z3215" s="134">
        <f>VLOOKUP(W3215,Sheet2!$B:$D,3,FALSE)</f>
        <v>48</v>
      </c>
      <c r="AA3215" s="93">
        <f>AA3209</f>
        <v>28.571428571428573</v>
      </c>
      <c r="AB3215" s="93">
        <f>AD3215/AC3208</f>
        <v>1.68</v>
      </c>
      <c r="AC3215" s="93">
        <f>AC3208/AA3215</f>
        <v>2.2820629999999995</v>
      </c>
      <c r="AD3215" s="94">
        <f t="shared" si="2470"/>
        <v>109.53902399999998</v>
      </c>
      <c r="AE3215" s="190"/>
      <c r="AF3215" s="191"/>
      <c r="AG3215" s="191"/>
      <c r="AH3215" s="191"/>
      <c r="AI3215" s="186"/>
      <c r="AK3215" s="171"/>
    </row>
    <row r="3216" spans="1:41" s="102" customFormat="1" ht="19.899999999999999" customHeight="1" x14ac:dyDescent="0.25">
      <c r="A3216" s="45"/>
      <c r="B3216" s="59"/>
      <c r="C3216" s="137"/>
      <c r="D3216" s="59"/>
      <c r="E3216" s="116"/>
      <c r="F3216" s="120"/>
      <c r="G3216" s="120"/>
      <c r="H3216" s="120"/>
      <c r="I3216" s="60"/>
      <c r="J3216" s="116"/>
      <c r="K3216" s="213"/>
      <c r="L3216" s="120"/>
      <c r="M3216" s="120"/>
      <c r="N3216" s="167"/>
      <c r="O3216" s="120"/>
      <c r="P3216" s="120"/>
      <c r="Q3216" s="120"/>
      <c r="R3216" s="120"/>
      <c r="S3216" s="120"/>
      <c r="T3216" s="221"/>
      <c r="U3216" s="89"/>
      <c r="V3216" s="61"/>
      <c r="W3216" s="92" t="s">
        <v>65</v>
      </c>
      <c r="X3216" s="93" t="s">
        <v>30</v>
      </c>
      <c r="Y3216" s="93" t="s">
        <v>1011</v>
      </c>
      <c r="Z3216" s="134">
        <f>VLOOKUP(W3216,Sheet2!$B:$D,3,FALSE)</f>
        <v>1.76</v>
      </c>
      <c r="AA3216" s="93">
        <f>AA3215/10</f>
        <v>2.8571428571428572</v>
      </c>
      <c r="AB3216" s="93">
        <f>AD3216/AC3208</f>
        <v>0.61599999999999999</v>
      </c>
      <c r="AC3216" s="93">
        <f>AC3208/AA3216</f>
        <v>22.820629999999998</v>
      </c>
      <c r="AD3216" s="94">
        <f t="shared" si="2470"/>
        <v>40.164308799999993</v>
      </c>
      <c r="AE3216" s="190"/>
      <c r="AF3216" s="191"/>
      <c r="AG3216" s="191"/>
      <c r="AH3216" s="191"/>
      <c r="AI3216" s="186"/>
      <c r="AK3216" s="171"/>
    </row>
    <row r="3217" spans="1:41" s="102" customFormat="1" ht="19.899999999999999" customHeight="1" x14ac:dyDescent="0.25">
      <c r="A3217" s="45"/>
      <c r="B3217" s="59"/>
      <c r="C3217" s="137"/>
      <c r="D3217" s="59"/>
      <c r="E3217" s="116"/>
      <c r="F3217" s="120"/>
      <c r="G3217" s="120"/>
      <c r="H3217" s="120"/>
      <c r="I3217" s="60"/>
      <c r="J3217" s="116"/>
      <c r="K3217" s="213"/>
      <c r="L3217" s="120"/>
      <c r="M3217" s="120"/>
      <c r="N3217" s="167"/>
      <c r="O3217" s="120"/>
      <c r="P3217" s="120"/>
      <c r="Q3217" s="120"/>
      <c r="R3217" s="120"/>
      <c r="S3217" s="120"/>
      <c r="T3217" s="221"/>
      <c r="U3217" s="89"/>
      <c r="V3217" s="61"/>
      <c r="W3217" s="92" t="s">
        <v>1049</v>
      </c>
      <c r="X3217" s="93" t="s">
        <v>30</v>
      </c>
      <c r="Y3217" s="93" t="s">
        <v>68</v>
      </c>
      <c r="Z3217" s="134">
        <f>VLOOKUP(W3217,Sheet2!$B:$D,3,FALSE)</f>
        <v>60</v>
      </c>
      <c r="AA3217" s="93">
        <v>1</v>
      </c>
      <c r="AB3217" s="93">
        <f>AD3217/AC3208</f>
        <v>60</v>
      </c>
      <c r="AC3217" s="93">
        <f>AC3208/AA3217</f>
        <v>65.201799999999992</v>
      </c>
      <c r="AD3217" s="94">
        <f t="shared" si="2470"/>
        <v>3912.1079999999993</v>
      </c>
      <c r="AE3217" s="190"/>
      <c r="AF3217" s="191"/>
      <c r="AG3217" s="191"/>
      <c r="AH3217" s="191"/>
      <c r="AI3217" s="186"/>
      <c r="AK3217" s="171"/>
    </row>
    <row r="3218" spans="1:41" s="103" customFormat="1" ht="19.899999999999999" customHeight="1" x14ac:dyDescent="0.25">
      <c r="A3218" s="51"/>
      <c r="B3218" s="52"/>
      <c r="C3218" s="165"/>
      <c r="D3218" s="52"/>
      <c r="E3218" s="115"/>
      <c r="F3218" s="58"/>
      <c r="G3218" s="58"/>
      <c r="H3218" s="58"/>
      <c r="I3218" s="55"/>
      <c r="J3218" s="113">
        <f>J3207</f>
        <v>65.201799999999992</v>
      </c>
      <c r="K3218" s="212">
        <f>K3207</f>
        <v>65.201799999999992</v>
      </c>
      <c r="L3218" s="58"/>
      <c r="M3218" s="58">
        <f>K3218-L3218</f>
        <v>65.201799999999992</v>
      </c>
      <c r="N3218" s="166"/>
      <c r="O3218" s="58"/>
      <c r="P3218" s="58"/>
      <c r="Q3218" s="58"/>
      <c r="R3218" s="58"/>
      <c r="S3218" s="58"/>
      <c r="T3218" s="220"/>
      <c r="U3218" s="88"/>
      <c r="V3218" s="56"/>
      <c r="W3218" s="57" t="s">
        <v>1036</v>
      </c>
      <c r="X3218" s="53"/>
      <c r="Y3218" s="91" t="s">
        <v>68</v>
      </c>
      <c r="Z3218" s="136">
        <f>AD3218/AC3218</f>
        <v>102.58333333333334</v>
      </c>
      <c r="AA3218" s="58"/>
      <c r="AB3218" s="53">
        <f>AD3218/AC3218</f>
        <v>102.58333333333334</v>
      </c>
      <c r="AC3218" s="53">
        <f>M3218+$AE$10</f>
        <v>65.201799999999992</v>
      </c>
      <c r="AD3218" s="54">
        <f>SUM(AD3219:AD3225)</f>
        <v>6688.6179833333335</v>
      </c>
      <c r="AE3218" s="184">
        <f>SUMIFS($AD$37:$AD$12971,$V$37:$V$12971,$V3218,$X$37:$X$12971,AE$13)</f>
        <v>0</v>
      </c>
      <c r="AF3218" s="185">
        <f>SUMIFS($AD$37:$AD$12971,$V$37:$V$12971,$V3218,$X$37:$X$12971,AF$13)</f>
        <v>0</v>
      </c>
      <c r="AG3218" s="185">
        <f>SUMIFS($AD$37:$AD$12971,$V$37:$V$12971,$V3218,$X$37:$X$12971,AG$13)</f>
        <v>0</v>
      </c>
      <c r="AH3218" s="187">
        <f>SUMIFS($AD$37:$AD$12971,$V$37:$V$12971,$V3218,$X$37:$X$12971,AH$13)</f>
        <v>0</v>
      </c>
      <c r="AI3218" s="161">
        <f t="shared" ref="AI3218" si="2471">SUM(AE3218:AH3218)</f>
        <v>0</v>
      </c>
      <c r="AK3218" s="172"/>
    </row>
    <row r="3219" spans="1:41" s="102" customFormat="1" ht="19.899999999999999" customHeight="1" x14ac:dyDescent="0.25">
      <c r="A3219" s="45"/>
      <c r="B3219" s="59"/>
      <c r="C3219" s="137"/>
      <c r="D3219" s="59"/>
      <c r="E3219" s="116"/>
      <c r="F3219" s="120"/>
      <c r="G3219" s="120"/>
      <c r="H3219" s="120"/>
      <c r="I3219" s="60"/>
      <c r="J3219" s="116"/>
      <c r="K3219" s="213"/>
      <c r="L3219" s="120"/>
      <c r="M3219" s="120"/>
      <c r="N3219" s="167"/>
      <c r="O3219" s="120"/>
      <c r="P3219" s="120"/>
      <c r="Q3219" s="120"/>
      <c r="R3219" s="120"/>
      <c r="S3219" s="120"/>
      <c r="T3219" s="221"/>
      <c r="U3219" s="89"/>
      <c r="V3219" s="61"/>
      <c r="W3219" s="92" t="s">
        <v>1045</v>
      </c>
      <c r="X3219" s="93" t="s">
        <v>30</v>
      </c>
      <c r="Y3219" s="93" t="s">
        <v>68</v>
      </c>
      <c r="Z3219" s="134">
        <f>VLOOKUP(W3219,Sheet2!$B:$D,3,FALSE)</f>
        <v>52</v>
      </c>
      <c r="AA3219" s="93">
        <v>1</v>
      </c>
      <c r="AB3219" s="93">
        <f>AD3219/AC3218</f>
        <v>52</v>
      </c>
      <c r="AC3219" s="93">
        <f>AC3218/AA3219</f>
        <v>65.201799999999992</v>
      </c>
      <c r="AD3219" s="94">
        <f t="shared" ref="AD3219" si="2472">AC3219*Z3219</f>
        <v>3390.4935999999998</v>
      </c>
      <c r="AE3219" s="190"/>
      <c r="AF3219" s="191"/>
      <c r="AG3219" s="191"/>
      <c r="AH3219" s="191"/>
      <c r="AI3219" s="186"/>
      <c r="AK3219" s="171"/>
    </row>
    <row r="3220" spans="1:41" s="102" customFormat="1" ht="19.899999999999999" customHeight="1" x14ac:dyDescent="0.25">
      <c r="A3220" s="45"/>
      <c r="B3220" s="59"/>
      <c r="C3220" s="137"/>
      <c r="D3220" s="59"/>
      <c r="E3220" s="116"/>
      <c r="F3220" s="120"/>
      <c r="G3220" s="120"/>
      <c r="H3220" s="120"/>
      <c r="I3220" s="60"/>
      <c r="J3220" s="116"/>
      <c r="K3220" s="213"/>
      <c r="L3220" s="120"/>
      <c r="M3220" s="120"/>
      <c r="N3220" s="167"/>
      <c r="O3220" s="120"/>
      <c r="P3220" s="120"/>
      <c r="Q3220" s="120"/>
      <c r="R3220" s="120"/>
      <c r="S3220" s="120"/>
      <c r="T3220" s="221"/>
      <c r="U3220" s="89"/>
      <c r="V3220" s="61"/>
      <c r="W3220" s="92" t="s">
        <v>1043</v>
      </c>
      <c r="X3220" s="93" t="s">
        <v>30</v>
      </c>
      <c r="Y3220" s="93" t="s">
        <v>68</v>
      </c>
      <c r="Z3220" s="134">
        <f>VLOOKUP(W3220,Sheet2!$B:$D,3,FALSE)</f>
        <v>5</v>
      </c>
      <c r="AA3220" s="93">
        <v>1</v>
      </c>
      <c r="AB3220" s="93">
        <f>AD3220/AC3218</f>
        <v>5</v>
      </c>
      <c r="AC3220" s="93">
        <f>AC3218/AA3220</f>
        <v>65.201799999999992</v>
      </c>
      <c r="AD3220" s="94">
        <f>AC3220*Z3220</f>
        <v>326.00899999999996</v>
      </c>
      <c r="AE3220" s="190"/>
      <c r="AF3220" s="191"/>
      <c r="AG3220" s="191"/>
      <c r="AH3220" s="191"/>
      <c r="AI3220" s="186"/>
      <c r="AK3220" s="171"/>
    </row>
    <row r="3221" spans="1:41" s="102" customFormat="1" ht="19.899999999999999" customHeight="1" x14ac:dyDescent="0.25">
      <c r="A3221" s="45"/>
      <c r="B3221" s="59"/>
      <c r="C3221" s="137"/>
      <c r="D3221" s="59"/>
      <c r="E3221" s="116"/>
      <c r="F3221" s="120"/>
      <c r="G3221" s="120"/>
      <c r="H3221" s="120"/>
      <c r="I3221" s="60"/>
      <c r="J3221" s="116"/>
      <c r="K3221" s="213"/>
      <c r="L3221" s="120"/>
      <c r="M3221" s="120"/>
      <c r="N3221" s="167"/>
      <c r="O3221" s="120"/>
      <c r="P3221" s="120"/>
      <c r="Q3221" s="120"/>
      <c r="R3221" s="120"/>
      <c r="S3221" s="120"/>
      <c r="T3221" s="221"/>
      <c r="U3221" s="89"/>
      <c r="V3221" s="61"/>
      <c r="W3221" s="92" t="s">
        <v>107</v>
      </c>
      <c r="X3221" s="93" t="s">
        <v>31</v>
      </c>
      <c r="Y3221" s="93" t="s">
        <v>93</v>
      </c>
      <c r="Z3221" s="134">
        <f>VLOOKUP(W3221,Sheet2!$B:$D,3,FALSE)</f>
        <v>17</v>
      </c>
      <c r="AA3221" s="93">
        <v>6</v>
      </c>
      <c r="AB3221" s="93">
        <f>AD3221/AC3218</f>
        <v>2.833333333333333</v>
      </c>
      <c r="AC3221" s="93">
        <f>AC3218/AA3221</f>
        <v>10.866966666666665</v>
      </c>
      <c r="AD3221" s="94">
        <f>AC3221*Z3221</f>
        <v>184.73843333333329</v>
      </c>
      <c r="AE3221" s="190"/>
      <c r="AF3221" s="191"/>
      <c r="AG3221" s="191"/>
      <c r="AH3221" s="191"/>
      <c r="AI3221" s="186"/>
      <c r="AK3221" s="171"/>
    </row>
    <row r="3222" spans="1:41" s="102" customFormat="1" ht="19.899999999999999" customHeight="1" x14ac:dyDescent="0.25">
      <c r="A3222" s="45"/>
      <c r="B3222" s="59"/>
      <c r="C3222" s="137"/>
      <c r="D3222" s="59"/>
      <c r="E3222" s="116"/>
      <c r="F3222" s="120"/>
      <c r="G3222" s="120"/>
      <c r="H3222" s="120"/>
      <c r="I3222" s="60"/>
      <c r="J3222" s="116"/>
      <c r="K3222" s="213"/>
      <c r="L3222" s="120"/>
      <c r="M3222" s="120"/>
      <c r="N3222" s="167"/>
      <c r="O3222" s="120"/>
      <c r="P3222" s="120"/>
      <c r="Q3222" s="120"/>
      <c r="R3222" s="120"/>
      <c r="S3222" s="120"/>
      <c r="T3222" s="221"/>
      <c r="U3222" s="89"/>
      <c r="V3222" s="61"/>
      <c r="W3222" s="92" t="s">
        <v>112</v>
      </c>
      <c r="X3222" s="93" t="s">
        <v>31</v>
      </c>
      <c r="Y3222" s="93" t="s">
        <v>93</v>
      </c>
      <c r="Z3222" s="134">
        <f>VLOOKUP(W3222,Sheet2!$B:$D,3,FALSE)</f>
        <v>13</v>
      </c>
      <c r="AA3222" s="93">
        <v>6</v>
      </c>
      <c r="AB3222" s="93">
        <f>AD3222/AC3218</f>
        <v>2.1666666666666665</v>
      </c>
      <c r="AC3222" s="93">
        <f>AC3218/AA3222</f>
        <v>10.866966666666665</v>
      </c>
      <c r="AD3222" s="94">
        <f>AC3222*Z3222</f>
        <v>141.27056666666664</v>
      </c>
      <c r="AE3222" s="190"/>
      <c r="AF3222" s="191"/>
      <c r="AG3222" s="191"/>
      <c r="AH3222" s="191"/>
      <c r="AI3222" s="186"/>
      <c r="AK3222" s="171"/>
    </row>
    <row r="3223" spans="1:41" s="102" customFormat="1" ht="19.899999999999999" customHeight="1" x14ac:dyDescent="0.25">
      <c r="A3223" s="45"/>
      <c r="B3223" s="59"/>
      <c r="C3223" s="137"/>
      <c r="D3223" s="59"/>
      <c r="E3223" s="116"/>
      <c r="F3223" s="120"/>
      <c r="G3223" s="120"/>
      <c r="H3223" s="120"/>
      <c r="I3223" s="60"/>
      <c r="J3223" s="116"/>
      <c r="K3223" s="213"/>
      <c r="L3223" s="120"/>
      <c r="M3223" s="120"/>
      <c r="N3223" s="167"/>
      <c r="O3223" s="120"/>
      <c r="P3223" s="120"/>
      <c r="Q3223" s="120"/>
      <c r="R3223" s="120"/>
      <c r="S3223" s="120"/>
      <c r="T3223" s="221"/>
      <c r="U3223" s="89"/>
      <c r="V3223" s="61"/>
      <c r="W3223" s="92" t="s">
        <v>1032</v>
      </c>
      <c r="X3223" s="93" t="s">
        <v>30</v>
      </c>
      <c r="Y3223" s="93" t="s">
        <v>66</v>
      </c>
      <c r="Z3223" s="134">
        <f>VLOOKUP(W3223,Sheet2!$B:$D,3,FALSE)</f>
        <v>250</v>
      </c>
      <c r="AA3223" s="93">
        <f>1/(1*1*0.1)</f>
        <v>10</v>
      </c>
      <c r="AB3223" s="93">
        <f>AD3223/AC3218</f>
        <v>25</v>
      </c>
      <c r="AC3223" s="93">
        <f>AC3218/AA3223</f>
        <v>6.520179999999999</v>
      </c>
      <c r="AD3223" s="94">
        <f>AC3223*Z3223</f>
        <v>1630.0449999999998</v>
      </c>
      <c r="AE3223" s="190"/>
      <c r="AF3223" s="191"/>
      <c r="AG3223" s="191"/>
      <c r="AH3223" s="191"/>
      <c r="AI3223" s="186"/>
      <c r="AK3223" s="171"/>
    </row>
    <row r="3224" spans="1:41" s="102" customFormat="1" ht="19.899999999999999" customHeight="1" x14ac:dyDescent="0.25">
      <c r="A3224" s="45"/>
      <c r="B3224" s="59"/>
      <c r="C3224" s="137"/>
      <c r="D3224" s="59"/>
      <c r="E3224" s="116"/>
      <c r="F3224" s="120"/>
      <c r="G3224" s="120"/>
      <c r="H3224" s="120"/>
      <c r="I3224" s="60"/>
      <c r="J3224" s="116"/>
      <c r="K3224" s="213"/>
      <c r="L3224" s="120"/>
      <c r="M3224" s="120"/>
      <c r="N3224" s="167"/>
      <c r="O3224" s="120"/>
      <c r="P3224" s="120"/>
      <c r="Q3224" s="120"/>
      <c r="R3224" s="120"/>
      <c r="S3224" s="120"/>
      <c r="T3224" s="221"/>
      <c r="U3224" s="89"/>
      <c r="V3224" s="61"/>
      <c r="W3224" s="92" t="s">
        <v>1035</v>
      </c>
      <c r="X3224" s="93" t="s">
        <v>32</v>
      </c>
      <c r="Y3224" s="93" t="s">
        <v>66</v>
      </c>
      <c r="Z3224" s="134">
        <f>VLOOKUP(W3224,Sheet2!$B:$D,3,FALSE)</f>
        <v>150</v>
      </c>
      <c r="AA3224" s="93">
        <f>AA3223</f>
        <v>10</v>
      </c>
      <c r="AB3224" s="93">
        <f>AD3224/AC3218</f>
        <v>15</v>
      </c>
      <c r="AC3224" s="93">
        <f>AC3218/AA3224</f>
        <v>6.520179999999999</v>
      </c>
      <c r="AD3224" s="94">
        <f t="shared" ref="AD3224:AD3225" si="2473">AC3224*Z3224</f>
        <v>978.02699999999982</v>
      </c>
      <c r="AE3224" s="190"/>
      <c r="AF3224" s="191"/>
      <c r="AG3224" s="191"/>
      <c r="AH3224" s="191"/>
      <c r="AI3224" s="186"/>
      <c r="AK3224" s="171"/>
    </row>
    <row r="3225" spans="1:41" s="102" customFormat="1" ht="19.899999999999999" customHeight="1" x14ac:dyDescent="0.25">
      <c r="A3225" s="45"/>
      <c r="B3225" s="59"/>
      <c r="C3225" s="137"/>
      <c r="D3225" s="59"/>
      <c r="E3225" s="116"/>
      <c r="F3225" s="120"/>
      <c r="G3225" s="120"/>
      <c r="H3225" s="120"/>
      <c r="I3225" s="60"/>
      <c r="J3225" s="116"/>
      <c r="K3225" s="213"/>
      <c r="L3225" s="120"/>
      <c r="M3225" s="120"/>
      <c r="N3225" s="167"/>
      <c r="O3225" s="120"/>
      <c r="P3225" s="120"/>
      <c r="Q3225" s="120"/>
      <c r="R3225" s="120"/>
      <c r="S3225" s="120"/>
      <c r="T3225" s="221"/>
      <c r="U3225" s="89"/>
      <c r="V3225" s="61"/>
      <c r="W3225" s="92" t="s">
        <v>1037</v>
      </c>
      <c r="X3225" s="93" t="s">
        <v>30</v>
      </c>
      <c r="Y3225" s="93" t="s">
        <v>1038</v>
      </c>
      <c r="Z3225" s="134">
        <f>VLOOKUP(W3225,Sheet2!$B:$D,3,FALSE)</f>
        <v>175</v>
      </c>
      <c r="AA3225" s="93">
        <v>300</v>
      </c>
      <c r="AB3225" s="93">
        <f>AD3225/AC3218</f>
        <v>0.58333333333333337</v>
      </c>
      <c r="AC3225" s="93">
        <f>AC3218/AA3225</f>
        <v>0.2173393333333333</v>
      </c>
      <c r="AD3225" s="94">
        <f t="shared" si="2473"/>
        <v>38.034383333333331</v>
      </c>
      <c r="AE3225" s="190"/>
      <c r="AF3225" s="191"/>
      <c r="AG3225" s="191"/>
      <c r="AH3225" s="191"/>
      <c r="AI3225" s="186"/>
      <c r="AK3225" s="171"/>
    </row>
    <row r="3226" spans="1:41" s="103" customFormat="1" ht="19.899999999999999" customHeight="1" x14ac:dyDescent="0.25">
      <c r="A3226" s="51"/>
      <c r="B3226" s="52"/>
      <c r="C3226" s="165"/>
      <c r="D3226" s="52"/>
      <c r="E3226" s="115"/>
      <c r="F3226" s="58"/>
      <c r="G3226" s="58"/>
      <c r="H3226" s="58"/>
      <c r="I3226" s="55"/>
      <c r="J3226" s="113">
        <f>J3207</f>
        <v>65.201799999999992</v>
      </c>
      <c r="K3226" s="212">
        <f>K3207</f>
        <v>65.201799999999992</v>
      </c>
      <c r="L3226" s="58"/>
      <c r="M3226" s="58">
        <f>K3226-L3226</f>
        <v>65.201799999999992</v>
      </c>
      <c r="N3226" s="166"/>
      <c r="O3226" s="58"/>
      <c r="P3226" s="58"/>
      <c r="Q3226" s="58"/>
      <c r="R3226" s="58"/>
      <c r="S3226" s="58"/>
      <c r="T3226" s="220"/>
      <c r="U3226" s="88"/>
      <c r="V3226" s="56"/>
      <c r="W3226" s="57" t="s">
        <v>1040</v>
      </c>
      <c r="X3226" s="53"/>
      <c r="Y3226" s="91" t="s">
        <v>68</v>
      </c>
      <c r="Z3226" s="136">
        <f>AD3226/AC3226</f>
        <v>5</v>
      </c>
      <c r="AA3226" s="58"/>
      <c r="AB3226" s="53">
        <f>AD3226/AC3226</f>
        <v>5</v>
      </c>
      <c r="AC3226" s="53">
        <f>M3226+$AE$10</f>
        <v>65.201799999999992</v>
      </c>
      <c r="AD3226" s="54">
        <f>SUM(AD3227)</f>
        <v>326.00899999999996</v>
      </c>
      <c r="AE3226" s="184">
        <f>SUMIFS($AD$37:$AD$12971,$V$37:$V$12971,$V3226,$X$37:$X$12971,AE$13)</f>
        <v>0</v>
      </c>
      <c r="AF3226" s="185">
        <f>SUMIFS($AD$37:$AD$12971,$V$37:$V$12971,$V3226,$X$37:$X$12971,AF$13)</f>
        <v>0</v>
      </c>
      <c r="AG3226" s="185">
        <f>SUMIFS($AD$37:$AD$12971,$V$37:$V$12971,$V3226,$X$37:$X$12971,AG$13)</f>
        <v>0</v>
      </c>
      <c r="AH3226" s="187">
        <f>SUMIFS($AD$37:$AD$12971,$V$37:$V$12971,$V3226,$X$37:$X$12971,AH$13)</f>
        <v>0</v>
      </c>
      <c r="AI3226" s="161">
        <f t="shared" ref="AI3226" si="2474">SUM(AE3226:AH3226)</f>
        <v>0</v>
      </c>
      <c r="AK3226" s="172"/>
    </row>
    <row r="3227" spans="1:41" s="102" customFormat="1" ht="19.899999999999999" customHeight="1" x14ac:dyDescent="0.25">
      <c r="A3227" s="45"/>
      <c r="B3227" s="59"/>
      <c r="C3227" s="137"/>
      <c r="D3227" s="59"/>
      <c r="E3227" s="116"/>
      <c r="F3227" s="120"/>
      <c r="G3227" s="120"/>
      <c r="H3227" s="120"/>
      <c r="I3227" s="60"/>
      <c r="J3227" s="116"/>
      <c r="K3227" s="213"/>
      <c r="L3227" s="120"/>
      <c r="M3227" s="120"/>
      <c r="N3227" s="167"/>
      <c r="O3227" s="120"/>
      <c r="P3227" s="120"/>
      <c r="Q3227" s="120"/>
      <c r="R3227" s="120"/>
      <c r="S3227" s="120"/>
      <c r="T3227" s="221"/>
      <c r="U3227" s="89"/>
      <c r="V3227" s="61"/>
      <c r="W3227" s="92" t="s">
        <v>1039</v>
      </c>
      <c r="X3227" s="93" t="s">
        <v>32</v>
      </c>
      <c r="Y3227" s="93" t="s">
        <v>68</v>
      </c>
      <c r="Z3227" s="134">
        <f>VLOOKUP(W3227,Sheet2!$B:$D,3,FALSE)</f>
        <v>5</v>
      </c>
      <c r="AA3227" s="93">
        <v>1</v>
      </c>
      <c r="AB3227" s="93">
        <f>AD3227/AC3226</f>
        <v>5</v>
      </c>
      <c r="AC3227" s="93">
        <f>AC3226/AA3227</f>
        <v>65.201799999999992</v>
      </c>
      <c r="AD3227" s="94">
        <f t="shared" ref="AD3227" si="2475">AC3227*Z3227</f>
        <v>326.00899999999996</v>
      </c>
      <c r="AE3227" s="190"/>
      <c r="AF3227" s="191"/>
      <c r="AG3227" s="191"/>
      <c r="AH3227" s="191"/>
      <c r="AI3227" s="186"/>
      <c r="AK3227" s="171"/>
    </row>
    <row r="3228" spans="1:41" ht="20.100000000000001" customHeight="1" x14ac:dyDescent="0.25">
      <c r="A3228" s="277" t="s">
        <v>491</v>
      </c>
      <c r="B3228" s="278"/>
      <c r="C3228" s="64" t="s">
        <v>1160</v>
      </c>
      <c r="D3228" s="46" t="s">
        <v>97</v>
      </c>
      <c r="E3228" s="114">
        <v>65.810099999999693</v>
      </c>
      <c r="F3228" s="44">
        <v>541</v>
      </c>
      <c r="G3228" s="44">
        <f t="shared" si="2434"/>
        <v>35603.264099999833</v>
      </c>
      <c r="H3228" s="44">
        <f t="shared" si="2435"/>
        <v>186.86127843137251</v>
      </c>
      <c r="I3228" s="43">
        <f t="shared" si="2436"/>
        <v>12297.359419696411</v>
      </c>
      <c r="J3228" s="112">
        <f t="shared" si="2437"/>
        <v>65.810099999999693</v>
      </c>
      <c r="K3228" s="211">
        <f t="shared" si="2438"/>
        <v>65.810099999999693</v>
      </c>
      <c r="L3228" s="44"/>
      <c r="M3228" s="44">
        <f t="shared" si="2458"/>
        <v>65.810099999999693</v>
      </c>
      <c r="N3228" s="173">
        <f t="shared" si="2439"/>
        <v>1</v>
      </c>
      <c r="O3228" s="44">
        <f t="shared" si="2440"/>
        <v>541</v>
      </c>
      <c r="P3228" s="44">
        <f t="shared" si="2441"/>
        <v>35603.264099999833</v>
      </c>
      <c r="Q3228" s="44">
        <f t="shared" si="2442"/>
        <v>186.86127843137251</v>
      </c>
      <c r="R3228" s="44">
        <f t="shared" si="2459"/>
        <v>12297.359419696411</v>
      </c>
      <c r="S3228" s="123"/>
      <c r="T3228" s="219">
        <f t="shared" si="2460"/>
        <v>12297.359419696411</v>
      </c>
      <c r="U3228" s="87"/>
      <c r="V3228" s="47"/>
      <c r="W3228" s="48"/>
      <c r="X3228" s="48"/>
      <c r="Y3228" s="48"/>
      <c r="Z3228" s="135"/>
      <c r="AA3228" s="49"/>
      <c r="AB3228" s="50">
        <f t="shared" si="2443"/>
        <v>186.86127843137251</v>
      </c>
      <c r="AC3228" s="42">
        <f t="shared" si="2461"/>
        <v>65.810099999999693</v>
      </c>
      <c r="AD3228" s="90">
        <f>AD3229+AD3239+AD3247</f>
        <v>12297.359419696411</v>
      </c>
      <c r="AE3228" s="188">
        <f t="shared" ref="AE3228" si="2476">AE3229+AE3239+AE3247</f>
        <v>0</v>
      </c>
      <c r="AF3228" s="189">
        <f t="shared" ref="AF3228" si="2477">AF3229+AF3239+AF3247</f>
        <v>0</v>
      </c>
      <c r="AG3228" s="189">
        <f t="shared" ref="AG3228" si="2478">AG3229+AG3239+AG3247</f>
        <v>0</v>
      </c>
      <c r="AH3228" s="189">
        <f t="shared" ref="AH3228" si="2479">AH3229+AH3239+AH3247</f>
        <v>0</v>
      </c>
      <c r="AI3228" s="161">
        <f t="shared" ref="AI3228" si="2480">SUM(AE3228:AH3228)</f>
        <v>0</v>
      </c>
      <c r="AK3228" s="169">
        <v>5</v>
      </c>
      <c r="AO3228" s="19" t="s">
        <v>63</v>
      </c>
    </row>
    <row r="3229" spans="1:41" s="103" customFormat="1" ht="19.899999999999999" customHeight="1" x14ac:dyDescent="0.25">
      <c r="A3229" s="51"/>
      <c r="B3229" s="52"/>
      <c r="C3229" s="165"/>
      <c r="D3229" s="52"/>
      <c r="E3229" s="115"/>
      <c r="F3229" s="58"/>
      <c r="G3229" s="58"/>
      <c r="H3229" s="58"/>
      <c r="I3229" s="55"/>
      <c r="J3229" s="113">
        <f>J3228</f>
        <v>65.810099999999693</v>
      </c>
      <c r="K3229" s="212">
        <f>K3228</f>
        <v>65.810099999999693</v>
      </c>
      <c r="L3229" s="58"/>
      <c r="M3229" s="58">
        <f>K3229-L3229</f>
        <v>65.810099999999693</v>
      </c>
      <c r="N3229" s="166"/>
      <c r="O3229" s="58"/>
      <c r="P3229" s="58"/>
      <c r="Q3229" s="58"/>
      <c r="R3229" s="58"/>
      <c r="S3229" s="58"/>
      <c r="T3229" s="220"/>
      <c r="U3229" s="88"/>
      <c r="V3229" s="56"/>
      <c r="W3229" s="57" t="s">
        <v>1053</v>
      </c>
      <c r="X3229" s="53"/>
      <c r="Y3229" s="91" t="s">
        <v>68</v>
      </c>
      <c r="Z3229" s="136">
        <f>AD3229/AC3229</f>
        <v>79.277945098039211</v>
      </c>
      <c r="AA3229" s="58"/>
      <c r="AB3229" s="53">
        <f>AD3229/AC3229</f>
        <v>79.277945098039211</v>
      </c>
      <c r="AC3229" s="53">
        <f>M3229+$AE$10</f>
        <v>65.810099999999693</v>
      </c>
      <c r="AD3229" s="54">
        <f>SUM(AD3230:AD3238)</f>
        <v>5217.2894946964461</v>
      </c>
      <c r="AE3229" s="184">
        <f>SUMIFS($AD$37:$AD$12971,$V$37:$V$12971,$V3229,$X$37:$X$12971,AE$13)</f>
        <v>0</v>
      </c>
      <c r="AF3229" s="185">
        <f>SUMIFS($AD$37:$AD$12971,$V$37:$V$12971,$V3229,$X$37:$X$12971,AF$13)</f>
        <v>0</v>
      </c>
      <c r="AG3229" s="185">
        <f>SUMIFS($AD$37:$AD$12971,$V$37:$V$12971,$V3229,$X$37:$X$12971,AG$13)</f>
        <v>0</v>
      </c>
      <c r="AH3229" s="187">
        <f>SUMIFS($AD$37:$AD$12971,$V$37:$V$12971,$V3229,$X$37:$X$12971,AH$13)</f>
        <v>0</v>
      </c>
      <c r="AI3229" s="161">
        <f t="shared" ref="AI3229" si="2481">SUM(AE3229:AH3229)</f>
        <v>0</v>
      </c>
      <c r="AK3229" s="172"/>
    </row>
    <row r="3230" spans="1:41" s="102" customFormat="1" ht="19.899999999999999" customHeight="1" x14ac:dyDescent="0.25">
      <c r="A3230" s="45"/>
      <c r="B3230" s="59"/>
      <c r="C3230" s="137"/>
      <c r="D3230" s="59"/>
      <c r="E3230" s="116"/>
      <c r="F3230" s="120"/>
      <c r="G3230" s="120"/>
      <c r="H3230" s="120"/>
      <c r="I3230" s="60"/>
      <c r="J3230" s="116"/>
      <c r="K3230" s="213"/>
      <c r="L3230" s="120"/>
      <c r="M3230" s="120"/>
      <c r="N3230" s="167"/>
      <c r="O3230" s="120"/>
      <c r="P3230" s="120"/>
      <c r="Q3230" s="120"/>
      <c r="R3230" s="120"/>
      <c r="S3230" s="120"/>
      <c r="T3230" s="221"/>
      <c r="U3230" s="89"/>
      <c r="V3230" s="61"/>
      <c r="W3230" s="92" t="s">
        <v>129</v>
      </c>
      <c r="X3230" s="93" t="s">
        <v>29</v>
      </c>
      <c r="Y3230" s="93" t="s">
        <v>93</v>
      </c>
      <c r="Z3230" s="134">
        <f>VLOOKUP(W3230,Sheet2!$B:$D,3,FALSE)</f>
        <v>56</v>
      </c>
      <c r="AA3230" s="93">
        <f>100/(1*4)</f>
        <v>25</v>
      </c>
      <c r="AB3230" s="93">
        <f t="shared" ref="AB3230" si="2482">AD3230/AC3229</f>
        <v>2.2400000000000002</v>
      </c>
      <c r="AC3230" s="93">
        <f>AC3229/AA3230</f>
        <v>2.6324039999999878</v>
      </c>
      <c r="AD3230" s="94">
        <f t="shared" ref="AD3230:AD3231" si="2483">AC3230*Z3230</f>
        <v>147.41462399999932</v>
      </c>
      <c r="AE3230" s="190"/>
      <c r="AF3230" s="191"/>
      <c r="AG3230" s="191"/>
      <c r="AH3230" s="191"/>
      <c r="AI3230" s="186"/>
      <c r="AK3230" s="171"/>
    </row>
    <row r="3231" spans="1:41" s="102" customFormat="1" ht="19.899999999999999" customHeight="1" x14ac:dyDescent="0.25">
      <c r="A3231" s="45"/>
      <c r="B3231" s="59"/>
      <c r="C3231" s="137"/>
      <c r="D3231" s="59"/>
      <c r="E3231" s="116"/>
      <c r="F3231" s="120"/>
      <c r="G3231" s="120"/>
      <c r="H3231" s="120"/>
      <c r="I3231" s="60"/>
      <c r="J3231" s="116"/>
      <c r="K3231" s="213"/>
      <c r="L3231" s="120"/>
      <c r="M3231" s="120"/>
      <c r="N3231" s="167"/>
      <c r="O3231" s="120"/>
      <c r="P3231" s="120"/>
      <c r="Q3231" s="120"/>
      <c r="R3231" s="120"/>
      <c r="S3231" s="120"/>
      <c r="T3231" s="221"/>
      <c r="U3231" s="89"/>
      <c r="V3231" s="61"/>
      <c r="W3231" s="92" t="s">
        <v>65</v>
      </c>
      <c r="X3231" s="93" t="s">
        <v>30</v>
      </c>
      <c r="Y3231" s="93" t="s">
        <v>1011</v>
      </c>
      <c r="Z3231" s="134">
        <f>VLOOKUP(W3231,Sheet2!$B:$D,3,FALSE)</f>
        <v>1.76</v>
      </c>
      <c r="AA3231" s="93">
        <f>AA3230/14</f>
        <v>1.7857142857142858</v>
      </c>
      <c r="AB3231" s="93">
        <f>AD3231/AC3229</f>
        <v>0.98559999999999981</v>
      </c>
      <c r="AC3231" s="93">
        <f>AC3229/AA3231</f>
        <v>36.853655999999823</v>
      </c>
      <c r="AD3231" s="94">
        <f t="shared" si="2483"/>
        <v>64.862434559999684</v>
      </c>
      <c r="AE3231" s="190"/>
      <c r="AF3231" s="191"/>
      <c r="AG3231" s="191"/>
      <c r="AH3231" s="191"/>
      <c r="AI3231" s="186"/>
      <c r="AK3231" s="171"/>
    </row>
    <row r="3232" spans="1:41" s="102" customFormat="1" ht="19.899999999999999" customHeight="1" x14ac:dyDescent="0.25">
      <c r="A3232" s="45"/>
      <c r="B3232" s="59"/>
      <c r="C3232" s="137"/>
      <c r="D3232" s="59"/>
      <c r="E3232" s="116"/>
      <c r="F3232" s="120"/>
      <c r="G3232" s="120"/>
      <c r="H3232" s="120"/>
      <c r="I3232" s="60"/>
      <c r="J3232" s="116"/>
      <c r="K3232" s="213"/>
      <c r="L3232" s="120"/>
      <c r="M3232" s="120"/>
      <c r="N3232" s="167"/>
      <c r="O3232" s="120"/>
      <c r="P3232" s="120"/>
      <c r="Q3232" s="120"/>
      <c r="R3232" s="120"/>
      <c r="S3232" s="120"/>
      <c r="T3232" s="221"/>
      <c r="U3232" s="89"/>
      <c r="V3232" s="61"/>
      <c r="W3232" s="92" t="s">
        <v>161</v>
      </c>
      <c r="X3232" s="93" t="s">
        <v>29</v>
      </c>
      <c r="Y3232" s="93" t="s">
        <v>93</v>
      </c>
      <c r="Z3232" s="134">
        <f>VLOOKUP(W3232,Sheet2!$B:$D,3,FALSE)</f>
        <v>48</v>
      </c>
      <c r="AA3232" s="93">
        <f>(16*0.85*1.5)/(1*4)</f>
        <v>5.0999999999999996</v>
      </c>
      <c r="AB3232" s="93">
        <f>AD3232/AC3229</f>
        <v>9.411764705882355</v>
      </c>
      <c r="AC3232" s="93">
        <f>AC3229/AA3232</f>
        <v>12.903941176470529</v>
      </c>
      <c r="AD3232" s="94">
        <f>AC3232*Z3232</f>
        <v>619.38917647058543</v>
      </c>
      <c r="AE3232" s="190"/>
      <c r="AF3232" s="191"/>
      <c r="AG3232" s="191"/>
      <c r="AH3232" s="191"/>
      <c r="AI3232" s="186"/>
      <c r="AK3232" s="171"/>
    </row>
    <row r="3233" spans="1:37" s="102" customFormat="1" ht="19.899999999999999" customHeight="1" x14ac:dyDescent="0.25">
      <c r="A3233" s="45"/>
      <c r="B3233" s="59"/>
      <c r="C3233" s="137"/>
      <c r="D3233" s="59"/>
      <c r="E3233" s="116"/>
      <c r="F3233" s="120"/>
      <c r="G3233" s="120"/>
      <c r="H3233" s="120"/>
      <c r="I3233" s="60"/>
      <c r="J3233" s="116"/>
      <c r="K3233" s="213"/>
      <c r="L3233" s="120"/>
      <c r="M3233" s="120"/>
      <c r="N3233" s="167"/>
      <c r="O3233" s="120"/>
      <c r="P3233" s="120"/>
      <c r="Q3233" s="120"/>
      <c r="R3233" s="120"/>
      <c r="S3233" s="120"/>
      <c r="T3233" s="221"/>
      <c r="U3233" s="89"/>
      <c r="V3233" s="61"/>
      <c r="W3233" s="92" t="s">
        <v>65</v>
      </c>
      <c r="X3233" s="93" t="s">
        <v>30</v>
      </c>
      <c r="Y3233" s="93" t="s">
        <v>1011</v>
      </c>
      <c r="Z3233" s="134">
        <f>VLOOKUP(W3233,Sheet2!$B:$D,3,FALSE)</f>
        <v>1.76</v>
      </c>
      <c r="AA3233" s="93">
        <f>AA3232/10</f>
        <v>0.51</v>
      </c>
      <c r="AB3233" s="93">
        <f>AD3233/AC3229</f>
        <v>3.4509803921568629</v>
      </c>
      <c r="AC3233" s="93">
        <f>AC3229/AA3233</f>
        <v>129.03941176470528</v>
      </c>
      <c r="AD3233" s="94">
        <f>AC3233*Z3233</f>
        <v>227.10936470588129</v>
      </c>
      <c r="AE3233" s="190"/>
      <c r="AF3233" s="191"/>
      <c r="AG3233" s="191"/>
      <c r="AH3233" s="191"/>
      <c r="AI3233" s="186"/>
      <c r="AK3233" s="171"/>
    </row>
    <row r="3234" spans="1:37" s="102" customFormat="1" ht="19.899999999999999" customHeight="1" x14ac:dyDescent="0.25">
      <c r="A3234" s="45"/>
      <c r="B3234" s="59"/>
      <c r="C3234" s="137"/>
      <c r="D3234" s="59"/>
      <c r="E3234" s="116"/>
      <c r="F3234" s="120"/>
      <c r="G3234" s="120"/>
      <c r="H3234" s="120"/>
      <c r="I3234" s="60"/>
      <c r="J3234" s="116"/>
      <c r="K3234" s="213"/>
      <c r="L3234" s="120"/>
      <c r="M3234" s="120"/>
      <c r="N3234" s="167"/>
      <c r="O3234" s="120"/>
      <c r="P3234" s="120"/>
      <c r="Q3234" s="120"/>
      <c r="R3234" s="120"/>
      <c r="S3234" s="120"/>
      <c r="T3234" s="221"/>
      <c r="U3234" s="89"/>
      <c r="V3234" s="61"/>
      <c r="W3234" s="92" t="s">
        <v>1030</v>
      </c>
      <c r="X3234" s="93" t="s">
        <v>29</v>
      </c>
      <c r="Y3234" s="93" t="s">
        <v>93</v>
      </c>
      <c r="Z3234" s="134">
        <f>VLOOKUP(W3234,Sheet2!$B:$D,3,FALSE)</f>
        <v>23</v>
      </c>
      <c r="AA3234" s="93">
        <v>50</v>
      </c>
      <c r="AB3234" s="93">
        <f>AD3234/AC3229</f>
        <v>0.46</v>
      </c>
      <c r="AC3234" s="93">
        <f>AC3229/AA3234</f>
        <v>1.3162019999999939</v>
      </c>
      <c r="AD3234" s="94">
        <f t="shared" ref="AD3234:AD3238" si="2484">AC3234*Z3234</f>
        <v>30.27264599999986</v>
      </c>
      <c r="AE3234" s="190"/>
      <c r="AF3234" s="191"/>
      <c r="AG3234" s="191"/>
      <c r="AH3234" s="191"/>
      <c r="AI3234" s="186"/>
      <c r="AK3234" s="171"/>
    </row>
    <row r="3235" spans="1:37" s="102" customFormat="1" ht="19.899999999999999" customHeight="1" x14ac:dyDescent="0.25">
      <c r="A3235" s="45"/>
      <c r="B3235" s="59"/>
      <c r="C3235" s="137"/>
      <c r="D3235" s="59"/>
      <c r="E3235" s="116"/>
      <c r="F3235" s="120"/>
      <c r="G3235" s="120"/>
      <c r="H3235" s="120"/>
      <c r="I3235" s="60"/>
      <c r="J3235" s="116"/>
      <c r="K3235" s="213"/>
      <c r="L3235" s="120"/>
      <c r="M3235" s="120"/>
      <c r="N3235" s="167"/>
      <c r="O3235" s="120"/>
      <c r="P3235" s="120"/>
      <c r="Q3235" s="120"/>
      <c r="R3235" s="120"/>
      <c r="S3235" s="120"/>
      <c r="T3235" s="221"/>
      <c r="U3235" s="89"/>
      <c r="V3235" s="61"/>
      <c r="W3235" s="92" t="s">
        <v>65</v>
      </c>
      <c r="X3235" s="93" t="s">
        <v>30</v>
      </c>
      <c r="Y3235" s="93" t="s">
        <v>1011</v>
      </c>
      <c r="Z3235" s="134">
        <f>VLOOKUP(W3235,Sheet2!$B:$D,3,FALSE)</f>
        <v>1.76</v>
      </c>
      <c r="AA3235" s="93">
        <f>AA3234/3</f>
        <v>16.666666666666668</v>
      </c>
      <c r="AB3235" s="93">
        <f>AD3235/AC3229</f>
        <v>0.10559999999999999</v>
      </c>
      <c r="AC3235" s="93">
        <f>AC3229/AA3235</f>
        <v>3.9486059999999812</v>
      </c>
      <c r="AD3235" s="94">
        <f t="shared" si="2484"/>
        <v>6.9495465599999671</v>
      </c>
      <c r="AE3235" s="190"/>
      <c r="AF3235" s="191"/>
      <c r="AG3235" s="191"/>
      <c r="AH3235" s="191"/>
      <c r="AI3235" s="186"/>
      <c r="AK3235" s="171"/>
    </row>
    <row r="3236" spans="1:37" s="102" customFormat="1" ht="19.899999999999999" customHeight="1" x14ac:dyDescent="0.25">
      <c r="A3236" s="45"/>
      <c r="B3236" s="59"/>
      <c r="C3236" s="137"/>
      <c r="D3236" s="59"/>
      <c r="E3236" s="116"/>
      <c r="F3236" s="120"/>
      <c r="G3236" s="120"/>
      <c r="H3236" s="120"/>
      <c r="I3236" s="60"/>
      <c r="J3236" s="116"/>
      <c r="K3236" s="213"/>
      <c r="L3236" s="120"/>
      <c r="M3236" s="120"/>
      <c r="N3236" s="167"/>
      <c r="O3236" s="120"/>
      <c r="P3236" s="120"/>
      <c r="Q3236" s="120"/>
      <c r="R3236" s="120"/>
      <c r="S3236" s="120"/>
      <c r="T3236" s="221"/>
      <c r="U3236" s="89"/>
      <c r="V3236" s="61"/>
      <c r="W3236" s="92" t="s">
        <v>148</v>
      </c>
      <c r="X3236" s="93" t="s">
        <v>29</v>
      </c>
      <c r="Y3236" s="93" t="s">
        <v>93</v>
      </c>
      <c r="Z3236" s="134">
        <f>VLOOKUP(W3236,Sheet2!$B:$D,3,FALSE)</f>
        <v>48</v>
      </c>
      <c r="AA3236" s="93">
        <f>AA3230</f>
        <v>25</v>
      </c>
      <c r="AB3236" s="93">
        <f>AD3236/AC3229</f>
        <v>1.92</v>
      </c>
      <c r="AC3236" s="93">
        <f>AC3229/AA3236</f>
        <v>2.6324039999999878</v>
      </c>
      <c r="AD3236" s="94">
        <f t="shared" si="2484"/>
        <v>126.35539199999941</v>
      </c>
      <c r="AE3236" s="190"/>
      <c r="AF3236" s="191"/>
      <c r="AG3236" s="191"/>
      <c r="AH3236" s="191"/>
      <c r="AI3236" s="186"/>
      <c r="AK3236" s="171"/>
    </row>
    <row r="3237" spans="1:37" s="102" customFormat="1" ht="19.899999999999999" customHeight="1" x14ac:dyDescent="0.25">
      <c r="A3237" s="45"/>
      <c r="B3237" s="59"/>
      <c r="C3237" s="137"/>
      <c r="D3237" s="59"/>
      <c r="E3237" s="116"/>
      <c r="F3237" s="120"/>
      <c r="G3237" s="120"/>
      <c r="H3237" s="120"/>
      <c r="I3237" s="60"/>
      <c r="J3237" s="116"/>
      <c r="K3237" s="213"/>
      <c r="L3237" s="120"/>
      <c r="M3237" s="120"/>
      <c r="N3237" s="167"/>
      <c r="O3237" s="120"/>
      <c r="P3237" s="120"/>
      <c r="Q3237" s="120"/>
      <c r="R3237" s="120"/>
      <c r="S3237" s="120"/>
      <c r="T3237" s="221"/>
      <c r="U3237" s="89"/>
      <c r="V3237" s="61"/>
      <c r="W3237" s="92" t="s">
        <v>65</v>
      </c>
      <c r="X3237" s="93" t="s">
        <v>30</v>
      </c>
      <c r="Y3237" s="93" t="s">
        <v>1011</v>
      </c>
      <c r="Z3237" s="134">
        <f>VLOOKUP(W3237,Sheet2!$B:$D,3,FALSE)</f>
        <v>1.76</v>
      </c>
      <c r="AA3237" s="93">
        <f>AA3236/10</f>
        <v>2.5</v>
      </c>
      <c r="AB3237" s="93">
        <f>AD3237/AC3229</f>
        <v>0.70399999999999996</v>
      </c>
      <c r="AC3237" s="93">
        <f>AC3229/AA3237</f>
        <v>26.324039999999876</v>
      </c>
      <c r="AD3237" s="94">
        <f t="shared" si="2484"/>
        <v>46.330310399999782</v>
      </c>
      <c r="AE3237" s="190"/>
      <c r="AF3237" s="191"/>
      <c r="AG3237" s="191"/>
      <c r="AH3237" s="191"/>
      <c r="AI3237" s="186"/>
      <c r="AK3237" s="171"/>
    </row>
    <row r="3238" spans="1:37" s="102" customFormat="1" ht="19.899999999999999" customHeight="1" x14ac:dyDescent="0.25">
      <c r="A3238" s="45"/>
      <c r="B3238" s="59"/>
      <c r="C3238" s="137"/>
      <c r="D3238" s="59"/>
      <c r="E3238" s="116"/>
      <c r="F3238" s="120"/>
      <c r="G3238" s="120"/>
      <c r="H3238" s="120"/>
      <c r="I3238" s="60"/>
      <c r="J3238" s="116"/>
      <c r="K3238" s="213"/>
      <c r="L3238" s="120"/>
      <c r="M3238" s="120"/>
      <c r="N3238" s="167"/>
      <c r="O3238" s="120"/>
      <c r="P3238" s="120"/>
      <c r="Q3238" s="120"/>
      <c r="R3238" s="120"/>
      <c r="S3238" s="120"/>
      <c r="T3238" s="221"/>
      <c r="U3238" s="89"/>
      <c r="V3238" s="61"/>
      <c r="W3238" s="92" t="s">
        <v>1049</v>
      </c>
      <c r="X3238" s="93" t="s">
        <v>30</v>
      </c>
      <c r="Y3238" s="93" t="s">
        <v>68</v>
      </c>
      <c r="Z3238" s="134">
        <f>VLOOKUP(W3238,Sheet2!$B:$D,3,FALSE)</f>
        <v>60</v>
      </c>
      <c r="AA3238" s="93">
        <v>1</v>
      </c>
      <c r="AB3238" s="93">
        <f>AD3238/AC3229</f>
        <v>60</v>
      </c>
      <c r="AC3238" s="93">
        <f>AC3229/AA3238</f>
        <v>65.810099999999693</v>
      </c>
      <c r="AD3238" s="94">
        <f t="shared" si="2484"/>
        <v>3948.6059999999816</v>
      </c>
      <c r="AE3238" s="190"/>
      <c r="AF3238" s="191"/>
      <c r="AG3238" s="191"/>
      <c r="AH3238" s="191"/>
      <c r="AI3238" s="186"/>
      <c r="AK3238" s="171"/>
    </row>
    <row r="3239" spans="1:37" s="103" customFormat="1" ht="19.899999999999999" customHeight="1" x14ac:dyDescent="0.25">
      <c r="A3239" s="51"/>
      <c r="B3239" s="52"/>
      <c r="C3239" s="165"/>
      <c r="D3239" s="52"/>
      <c r="E3239" s="115"/>
      <c r="F3239" s="58"/>
      <c r="G3239" s="58"/>
      <c r="H3239" s="58"/>
      <c r="I3239" s="55"/>
      <c r="J3239" s="113">
        <f>J3228</f>
        <v>65.810099999999693</v>
      </c>
      <c r="K3239" s="212">
        <f>K3228</f>
        <v>65.810099999999693</v>
      </c>
      <c r="L3239" s="58"/>
      <c r="M3239" s="58">
        <f>K3239-L3239</f>
        <v>65.810099999999693</v>
      </c>
      <c r="N3239" s="166"/>
      <c r="O3239" s="58"/>
      <c r="P3239" s="58"/>
      <c r="Q3239" s="58"/>
      <c r="R3239" s="58"/>
      <c r="S3239" s="58"/>
      <c r="T3239" s="220"/>
      <c r="U3239" s="88"/>
      <c r="V3239" s="56"/>
      <c r="W3239" s="57" t="s">
        <v>1036</v>
      </c>
      <c r="X3239" s="53"/>
      <c r="Y3239" s="91" t="s">
        <v>68</v>
      </c>
      <c r="Z3239" s="136">
        <f>AD3239/AC3239</f>
        <v>102.58333333333333</v>
      </c>
      <c r="AA3239" s="58"/>
      <c r="AB3239" s="53">
        <f>AD3239/AC3239</f>
        <v>102.58333333333333</v>
      </c>
      <c r="AC3239" s="53">
        <f>M3239+$AE$10</f>
        <v>65.810099999999693</v>
      </c>
      <c r="AD3239" s="54">
        <f>SUM(AD3240:AD3246)</f>
        <v>6751.0194249999686</v>
      </c>
      <c r="AE3239" s="184">
        <f>SUMIFS($AD$37:$AD$12971,$V$37:$V$12971,$V3239,$X$37:$X$12971,AE$13)</f>
        <v>0</v>
      </c>
      <c r="AF3239" s="185">
        <f>SUMIFS($AD$37:$AD$12971,$V$37:$V$12971,$V3239,$X$37:$X$12971,AF$13)</f>
        <v>0</v>
      </c>
      <c r="AG3239" s="185">
        <f>SUMIFS($AD$37:$AD$12971,$V$37:$V$12971,$V3239,$X$37:$X$12971,AG$13)</f>
        <v>0</v>
      </c>
      <c r="AH3239" s="187">
        <f>SUMIFS($AD$37:$AD$12971,$V$37:$V$12971,$V3239,$X$37:$X$12971,AH$13)</f>
        <v>0</v>
      </c>
      <c r="AI3239" s="161">
        <f t="shared" ref="AI3239" si="2485">SUM(AE3239:AH3239)</f>
        <v>0</v>
      </c>
      <c r="AK3239" s="172"/>
    </row>
    <row r="3240" spans="1:37" s="102" customFormat="1" ht="19.899999999999999" customHeight="1" x14ac:dyDescent="0.25">
      <c r="A3240" s="45"/>
      <c r="B3240" s="59"/>
      <c r="C3240" s="137"/>
      <c r="D3240" s="59"/>
      <c r="E3240" s="116"/>
      <c r="F3240" s="120"/>
      <c r="G3240" s="120"/>
      <c r="H3240" s="120"/>
      <c r="I3240" s="60"/>
      <c r="J3240" s="116"/>
      <c r="K3240" s="213"/>
      <c r="L3240" s="120"/>
      <c r="M3240" s="120"/>
      <c r="N3240" s="167"/>
      <c r="O3240" s="120"/>
      <c r="P3240" s="120"/>
      <c r="Q3240" s="120"/>
      <c r="R3240" s="120"/>
      <c r="S3240" s="120"/>
      <c r="T3240" s="221"/>
      <c r="U3240" s="89"/>
      <c r="V3240" s="61"/>
      <c r="W3240" s="92" t="s">
        <v>1045</v>
      </c>
      <c r="X3240" s="93" t="s">
        <v>30</v>
      </c>
      <c r="Y3240" s="93" t="s">
        <v>68</v>
      </c>
      <c r="Z3240" s="134">
        <f>VLOOKUP(W3240,Sheet2!$B:$D,3,FALSE)</f>
        <v>52</v>
      </c>
      <c r="AA3240" s="93">
        <v>1</v>
      </c>
      <c r="AB3240" s="93">
        <f>AD3240/AC3239</f>
        <v>52</v>
      </c>
      <c r="AC3240" s="93">
        <f>AC3239/AA3240</f>
        <v>65.810099999999693</v>
      </c>
      <c r="AD3240" s="94">
        <f t="shared" ref="AD3240" si="2486">AC3240*Z3240</f>
        <v>3422.125199999984</v>
      </c>
      <c r="AE3240" s="190"/>
      <c r="AF3240" s="191"/>
      <c r="AG3240" s="191"/>
      <c r="AH3240" s="191"/>
      <c r="AI3240" s="186"/>
      <c r="AK3240" s="171"/>
    </row>
    <row r="3241" spans="1:37" s="102" customFormat="1" ht="19.899999999999999" customHeight="1" x14ac:dyDescent="0.25">
      <c r="A3241" s="45"/>
      <c r="B3241" s="59"/>
      <c r="C3241" s="137"/>
      <c r="D3241" s="59"/>
      <c r="E3241" s="116"/>
      <c r="F3241" s="120"/>
      <c r="G3241" s="120"/>
      <c r="H3241" s="120"/>
      <c r="I3241" s="60"/>
      <c r="J3241" s="116"/>
      <c r="K3241" s="213"/>
      <c r="L3241" s="120"/>
      <c r="M3241" s="120"/>
      <c r="N3241" s="167"/>
      <c r="O3241" s="120"/>
      <c r="P3241" s="120"/>
      <c r="Q3241" s="120"/>
      <c r="R3241" s="120"/>
      <c r="S3241" s="120"/>
      <c r="T3241" s="221"/>
      <c r="U3241" s="89"/>
      <c r="V3241" s="61"/>
      <c r="W3241" s="92" t="s">
        <v>1043</v>
      </c>
      <c r="X3241" s="93" t="s">
        <v>30</v>
      </c>
      <c r="Y3241" s="93" t="s">
        <v>68</v>
      </c>
      <c r="Z3241" s="134">
        <f>VLOOKUP(W3241,Sheet2!$B:$D,3,FALSE)</f>
        <v>5</v>
      </c>
      <c r="AA3241" s="93">
        <v>1</v>
      </c>
      <c r="AB3241" s="93">
        <f>AD3241/AC3239</f>
        <v>5</v>
      </c>
      <c r="AC3241" s="93">
        <f>AC3239/AA3241</f>
        <v>65.810099999999693</v>
      </c>
      <c r="AD3241" s="94">
        <f>AC3241*Z3241</f>
        <v>329.05049999999846</v>
      </c>
      <c r="AE3241" s="190"/>
      <c r="AF3241" s="191"/>
      <c r="AG3241" s="191"/>
      <c r="AH3241" s="191"/>
      <c r="AI3241" s="186"/>
      <c r="AK3241" s="171"/>
    </row>
    <row r="3242" spans="1:37" s="102" customFormat="1" ht="19.899999999999999" customHeight="1" x14ac:dyDescent="0.25">
      <c r="A3242" s="45"/>
      <c r="B3242" s="59"/>
      <c r="C3242" s="137"/>
      <c r="D3242" s="59"/>
      <c r="E3242" s="116"/>
      <c r="F3242" s="120"/>
      <c r="G3242" s="120"/>
      <c r="H3242" s="120"/>
      <c r="I3242" s="60"/>
      <c r="J3242" s="116"/>
      <c r="K3242" s="213"/>
      <c r="L3242" s="120"/>
      <c r="M3242" s="120"/>
      <c r="N3242" s="167"/>
      <c r="O3242" s="120"/>
      <c r="P3242" s="120"/>
      <c r="Q3242" s="120"/>
      <c r="R3242" s="120"/>
      <c r="S3242" s="120"/>
      <c r="T3242" s="221"/>
      <c r="U3242" s="89"/>
      <c r="V3242" s="61"/>
      <c r="W3242" s="92" t="s">
        <v>107</v>
      </c>
      <c r="X3242" s="93" t="s">
        <v>31</v>
      </c>
      <c r="Y3242" s="93" t="s">
        <v>93</v>
      </c>
      <c r="Z3242" s="134">
        <f>VLOOKUP(W3242,Sheet2!$B:$D,3,FALSE)</f>
        <v>17</v>
      </c>
      <c r="AA3242" s="93">
        <v>6</v>
      </c>
      <c r="AB3242" s="93">
        <f>AD3242/AC3239</f>
        <v>2.8333333333333335</v>
      </c>
      <c r="AC3242" s="93">
        <f>AC3239/AA3242</f>
        <v>10.968349999999949</v>
      </c>
      <c r="AD3242" s="94">
        <f>AC3242*Z3242</f>
        <v>186.46194999999915</v>
      </c>
      <c r="AE3242" s="190"/>
      <c r="AF3242" s="191"/>
      <c r="AG3242" s="191"/>
      <c r="AH3242" s="191"/>
      <c r="AI3242" s="186"/>
      <c r="AK3242" s="171"/>
    </row>
    <row r="3243" spans="1:37" s="102" customFormat="1" ht="19.899999999999999" customHeight="1" x14ac:dyDescent="0.25">
      <c r="A3243" s="45"/>
      <c r="B3243" s="59"/>
      <c r="C3243" s="137"/>
      <c r="D3243" s="59"/>
      <c r="E3243" s="116"/>
      <c r="F3243" s="120"/>
      <c r="G3243" s="120"/>
      <c r="H3243" s="120"/>
      <c r="I3243" s="60"/>
      <c r="J3243" s="116"/>
      <c r="K3243" s="213"/>
      <c r="L3243" s="120"/>
      <c r="M3243" s="120"/>
      <c r="N3243" s="167"/>
      <c r="O3243" s="120"/>
      <c r="P3243" s="120"/>
      <c r="Q3243" s="120"/>
      <c r="R3243" s="120"/>
      <c r="S3243" s="120"/>
      <c r="T3243" s="221"/>
      <c r="U3243" s="89"/>
      <c r="V3243" s="61"/>
      <c r="W3243" s="92" t="s">
        <v>112</v>
      </c>
      <c r="X3243" s="93" t="s">
        <v>31</v>
      </c>
      <c r="Y3243" s="93" t="s">
        <v>93</v>
      </c>
      <c r="Z3243" s="134">
        <f>VLOOKUP(W3243,Sheet2!$B:$D,3,FALSE)</f>
        <v>13</v>
      </c>
      <c r="AA3243" s="93">
        <v>6</v>
      </c>
      <c r="AB3243" s="93">
        <f>AD3243/AC3239</f>
        <v>2.166666666666667</v>
      </c>
      <c r="AC3243" s="93">
        <f>AC3239/AA3243</f>
        <v>10.968349999999949</v>
      </c>
      <c r="AD3243" s="94">
        <f>AC3243*Z3243</f>
        <v>142.58854999999934</v>
      </c>
      <c r="AE3243" s="190"/>
      <c r="AF3243" s="191"/>
      <c r="AG3243" s="191"/>
      <c r="AH3243" s="191"/>
      <c r="AI3243" s="186"/>
      <c r="AK3243" s="171"/>
    </row>
    <row r="3244" spans="1:37" s="102" customFormat="1" ht="19.899999999999999" customHeight="1" x14ac:dyDescent="0.25">
      <c r="A3244" s="45"/>
      <c r="B3244" s="59"/>
      <c r="C3244" s="137"/>
      <c r="D3244" s="59"/>
      <c r="E3244" s="116"/>
      <c r="F3244" s="120"/>
      <c r="G3244" s="120"/>
      <c r="H3244" s="120"/>
      <c r="I3244" s="60"/>
      <c r="J3244" s="116"/>
      <c r="K3244" s="213"/>
      <c r="L3244" s="120"/>
      <c r="M3244" s="120"/>
      <c r="N3244" s="167"/>
      <c r="O3244" s="120"/>
      <c r="P3244" s="120"/>
      <c r="Q3244" s="120"/>
      <c r="R3244" s="120"/>
      <c r="S3244" s="120"/>
      <c r="T3244" s="221"/>
      <c r="U3244" s="89"/>
      <c r="V3244" s="61"/>
      <c r="W3244" s="92" t="s">
        <v>1032</v>
      </c>
      <c r="X3244" s="93" t="s">
        <v>30</v>
      </c>
      <c r="Y3244" s="93" t="s">
        <v>66</v>
      </c>
      <c r="Z3244" s="134">
        <f>VLOOKUP(W3244,Sheet2!$B:$D,3,FALSE)</f>
        <v>250</v>
      </c>
      <c r="AA3244" s="93">
        <f>1/(1*1*0.1)</f>
        <v>10</v>
      </c>
      <c r="AB3244" s="93">
        <f>AD3244/AC3239</f>
        <v>25</v>
      </c>
      <c r="AC3244" s="93">
        <f>AC3239/AA3244</f>
        <v>6.5810099999999689</v>
      </c>
      <c r="AD3244" s="94">
        <f>AC3244*Z3244</f>
        <v>1645.2524999999923</v>
      </c>
      <c r="AE3244" s="190"/>
      <c r="AF3244" s="191"/>
      <c r="AG3244" s="191"/>
      <c r="AH3244" s="191"/>
      <c r="AI3244" s="186"/>
      <c r="AK3244" s="171"/>
    </row>
    <row r="3245" spans="1:37" s="102" customFormat="1" ht="19.899999999999999" customHeight="1" x14ac:dyDescent="0.25">
      <c r="A3245" s="45"/>
      <c r="B3245" s="59"/>
      <c r="C3245" s="137"/>
      <c r="D3245" s="59"/>
      <c r="E3245" s="116"/>
      <c r="F3245" s="120"/>
      <c r="G3245" s="120"/>
      <c r="H3245" s="120"/>
      <c r="I3245" s="60"/>
      <c r="J3245" s="116"/>
      <c r="K3245" s="213"/>
      <c r="L3245" s="120"/>
      <c r="M3245" s="120"/>
      <c r="N3245" s="167"/>
      <c r="O3245" s="120"/>
      <c r="P3245" s="120"/>
      <c r="Q3245" s="120"/>
      <c r="R3245" s="120"/>
      <c r="S3245" s="120"/>
      <c r="T3245" s="221"/>
      <c r="U3245" s="89"/>
      <c r="V3245" s="61"/>
      <c r="W3245" s="92" t="s">
        <v>1035</v>
      </c>
      <c r="X3245" s="93" t="s">
        <v>32</v>
      </c>
      <c r="Y3245" s="93" t="s">
        <v>66</v>
      </c>
      <c r="Z3245" s="134">
        <f>VLOOKUP(W3245,Sheet2!$B:$D,3,FALSE)</f>
        <v>150</v>
      </c>
      <c r="AA3245" s="93">
        <f>AA3244</f>
        <v>10</v>
      </c>
      <c r="AB3245" s="93">
        <f>AD3245/AC3239</f>
        <v>15</v>
      </c>
      <c r="AC3245" s="93">
        <f>AC3239/AA3245</f>
        <v>6.5810099999999689</v>
      </c>
      <c r="AD3245" s="94">
        <f t="shared" ref="AD3245:AD3246" si="2487">AC3245*Z3245</f>
        <v>987.15149999999539</v>
      </c>
      <c r="AE3245" s="190"/>
      <c r="AF3245" s="191"/>
      <c r="AG3245" s="191"/>
      <c r="AH3245" s="191"/>
      <c r="AI3245" s="186"/>
      <c r="AK3245" s="171"/>
    </row>
    <row r="3246" spans="1:37" s="102" customFormat="1" ht="19.899999999999999" customHeight="1" x14ac:dyDescent="0.25">
      <c r="A3246" s="45"/>
      <c r="B3246" s="59"/>
      <c r="C3246" s="137"/>
      <c r="D3246" s="59"/>
      <c r="E3246" s="116"/>
      <c r="F3246" s="120"/>
      <c r="G3246" s="120"/>
      <c r="H3246" s="120"/>
      <c r="I3246" s="60"/>
      <c r="J3246" s="116"/>
      <c r="K3246" s="213"/>
      <c r="L3246" s="120"/>
      <c r="M3246" s="120"/>
      <c r="N3246" s="167"/>
      <c r="O3246" s="120"/>
      <c r="P3246" s="120"/>
      <c r="Q3246" s="120"/>
      <c r="R3246" s="120"/>
      <c r="S3246" s="120"/>
      <c r="T3246" s="221"/>
      <c r="U3246" s="89"/>
      <c r="V3246" s="61"/>
      <c r="W3246" s="92" t="s">
        <v>1037</v>
      </c>
      <c r="X3246" s="93" t="s">
        <v>30</v>
      </c>
      <c r="Y3246" s="93" t="s">
        <v>1038</v>
      </c>
      <c r="Z3246" s="134">
        <f>VLOOKUP(W3246,Sheet2!$B:$D,3,FALSE)</f>
        <v>175</v>
      </c>
      <c r="AA3246" s="93">
        <v>300</v>
      </c>
      <c r="AB3246" s="93">
        <f>AD3246/AC3239</f>
        <v>0.58333333333333326</v>
      </c>
      <c r="AC3246" s="93">
        <f>AC3239/AA3246</f>
        <v>0.21936699999999898</v>
      </c>
      <c r="AD3246" s="94">
        <f t="shared" si="2487"/>
        <v>38.389224999999819</v>
      </c>
      <c r="AE3246" s="190"/>
      <c r="AF3246" s="191"/>
      <c r="AG3246" s="191"/>
      <c r="AH3246" s="191"/>
      <c r="AI3246" s="186"/>
      <c r="AK3246" s="171"/>
    </row>
    <row r="3247" spans="1:37" s="103" customFormat="1" ht="19.899999999999999" customHeight="1" x14ac:dyDescent="0.25">
      <c r="A3247" s="51"/>
      <c r="B3247" s="52"/>
      <c r="C3247" s="165"/>
      <c r="D3247" s="52"/>
      <c r="E3247" s="115"/>
      <c r="F3247" s="58"/>
      <c r="G3247" s="58"/>
      <c r="H3247" s="58"/>
      <c r="I3247" s="55"/>
      <c r="J3247" s="113">
        <f>J3228</f>
        <v>65.810099999999693</v>
      </c>
      <c r="K3247" s="212">
        <f>K3228</f>
        <v>65.810099999999693</v>
      </c>
      <c r="L3247" s="58"/>
      <c r="M3247" s="58">
        <f>K3247-L3247</f>
        <v>65.810099999999693</v>
      </c>
      <c r="N3247" s="166"/>
      <c r="O3247" s="58"/>
      <c r="P3247" s="58"/>
      <c r="Q3247" s="58"/>
      <c r="R3247" s="58"/>
      <c r="S3247" s="58"/>
      <c r="T3247" s="220"/>
      <c r="U3247" s="88"/>
      <c r="V3247" s="56"/>
      <c r="W3247" s="57" t="s">
        <v>1040</v>
      </c>
      <c r="X3247" s="53"/>
      <c r="Y3247" s="91" t="s">
        <v>68</v>
      </c>
      <c r="Z3247" s="136">
        <f>AD3247/AC3247</f>
        <v>5</v>
      </c>
      <c r="AA3247" s="58"/>
      <c r="AB3247" s="53">
        <f>AD3247/AC3247</f>
        <v>5</v>
      </c>
      <c r="AC3247" s="53">
        <f>M3247+$AE$10</f>
        <v>65.810099999999693</v>
      </c>
      <c r="AD3247" s="54">
        <f>SUM(AD3248)</f>
        <v>329.05049999999846</v>
      </c>
      <c r="AE3247" s="184">
        <f>SUMIFS($AD$37:$AD$12971,$V$37:$V$12971,$V3247,$X$37:$X$12971,AE$13)</f>
        <v>0</v>
      </c>
      <c r="AF3247" s="185">
        <f>SUMIFS($AD$37:$AD$12971,$V$37:$V$12971,$V3247,$X$37:$X$12971,AF$13)</f>
        <v>0</v>
      </c>
      <c r="AG3247" s="185">
        <f>SUMIFS($AD$37:$AD$12971,$V$37:$V$12971,$V3247,$X$37:$X$12971,AG$13)</f>
        <v>0</v>
      </c>
      <c r="AH3247" s="187">
        <f>SUMIFS($AD$37:$AD$12971,$V$37:$V$12971,$V3247,$X$37:$X$12971,AH$13)</f>
        <v>0</v>
      </c>
      <c r="AI3247" s="161">
        <f t="shared" ref="AI3247" si="2488">SUM(AE3247:AH3247)</f>
        <v>0</v>
      </c>
      <c r="AK3247" s="172"/>
    </row>
    <row r="3248" spans="1:37" s="102" customFormat="1" ht="19.899999999999999" customHeight="1" x14ac:dyDescent="0.25">
      <c r="A3248" s="45"/>
      <c r="B3248" s="59"/>
      <c r="C3248" s="137"/>
      <c r="D3248" s="59"/>
      <c r="E3248" s="116"/>
      <c r="F3248" s="120"/>
      <c r="G3248" s="120"/>
      <c r="H3248" s="120"/>
      <c r="I3248" s="60"/>
      <c r="J3248" s="116"/>
      <c r="K3248" s="213"/>
      <c r="L3248" s="120"/>
      <c r="M3248" s="120"/>
      <c r="N3248" s="167"/>
      <c r="O3248" s="120"/>
      <c r="P3248" s="120"/>
      <c r="Q3248" s="120"/>
      <c r="R3248" s="120"/>
      <c r="S3248" s="120"/>
      <c r="T3248" s="221"/>
      <c r="U3248" s="89"/>
      <c r="V3248" s="61"/>
      <c r="W3248" s="92" t="s">
        <v>1039</v>
      </c>
      <c r="X3248" s="93" t="s">
        <v>32</v>
      </c>
      <c r="Y3248" s="93" t="s">
        <v>68</v>
      </c>
      <c r="Z3248" s="134">
        <f>VLOOKUP(W3248,Sheet2!$B:$D,3,FALSE)</f>
        <v>5</v>
      </c>
      <c r="AA3248" s="93">
        <v>1</v>
      </c>
      <c r="AB3248" s="93">
        <f>AD3248/AC3247</f>
        <v>5</v>
      </c>
      <c r="AC3248" s="93">
        <f>AC3247/AA3248</f>
        <v>65.810099999999693</v>
      </c>
      <c r="AD3248" s="94">
        <f t="shared" ref="AD3248" si="2489">AC3248*Z3248</f>
        <v>329.05049999999846</v>
      </c>
      <c r="AE3248" s="190"/>
      <c r="AF3248" s="191"/>
      <c r="AG3248" s="191"/>
      <c r="AH3248" s="191"/>
      <c r="AI3248" s="186"/>
      <c r="AK3248" s="171"/>
    </row>
    <row r="3249" spans="1:41" ht="20.100000000000001" customHeight="1" x14ac:dyDescent="0.25">
      <c r="A3249" s="277" t="s">
        <v>491</v>
      </c>
      <c r="B3249" s="278"/>
      <c r="C3249" s="64" t="s">
        <v>1161</v>
      </c>
      <c r="D3249" s="46" t="s">
        <v>97</v>
      </c>
      <c r="E3249" s="114">
        <v>78.500549999999862</v>
      </c>
      <c r="F3249" s="44">
        <v>563</v>
      </c>
      <c r="G3249" s="44">
        <f t="shared" si="2434"/>
        <v>44195.809649999923</v>
      </c>
      <c r="H3249" s="44">
        <f t="shared" si="2435"/>
        <v>189.20032156862743</v>
      </c>
      <c r="I3249" s="43">
        <f t="shared" si="2436"/>
        <v>14852.329303314091</v>
      </c>
      <c r="J3249" s="112">
        <f t="shared" si="2437"/>
        <v>78.500549999999862</v>
      </c>
      <c r="K3249" s="211">
        <f t="shared" si="2438"/>
        <v>78.500549999999862</v>
      </c>
      <c r="L3249" s="44"/>
      <c r="M3249" s="44">
        <f t="shared" si="2458"/>
        <v>78.500549999999862</v>
      </c>
      <c r="N3249" s="173">
        <f t="shared" si="2439"/>
        <v>1</v>
      </c>
      <c r="O3249" s="44">
        <f t="shared" si="2440"/>
        <v>563</v>
      </c>
      <c r="P3249" s="44">
        <f t="shared" si="2441"/>
        <v>44195.809649999923</v>
      </c>
      <c r="Q3249" s="44">
        <f t="shared" si="2442"/>
        <v>189.20032156862743</v>
      </c>
      <c r="R3249" s="44">
        <f t="shared" si="2459"/>
        <v>14852.329303314091</v>
      </c>
      <c r="S3249" s="123"/>
      <c r="T3249" s="219">
        <f t="shared" si="2460"/>
        <v>14852.329303314091</v>
      </c>
      <c r="U3249" s="87"/>
      <c r="V3249" s="47"/>
      <c r="W3249" s="48"/>
      <c r="X3249" s="48"/>
      <c r="Y3249" s="48"/>
      <c r="Z3249" s="135"/>
      <c r="AA3249" s="49"/>
      <c r="AB3249" s="50">
        <f t="shared" si="2443"/>
        <v>189.20032156862743</v>
      </c>
      <c r="AC3249" s="42">
        <f t="shared" si="2461"/>
        <v>78.500549999999862</v>
      </c>
      <c r="AD3249" s="90">
        <f>AD3250+AD3260+AD3268</f>
        <v>14852.329303314091</v>
      </c>
      <c r="AE3249" s="188">
        <f t="shared" ref="AE3249" si="2490">AE3250+AE3260+AE3268</f>
        <v>0</v>
      </c>
      <c r="AF3249" s="189">
        <f t="shared" ref="AF3249" si="2491">AF3250+AF3260+AF3268</f>
        <v>0</v>
      </c>
      <c r="AG3249" s="189">
        <f t="shared" ref="AG3249" si="2492">AG3250+AG3260+AG3268</f>
        <v>0</v>
      </c>
      <c r="AH3249" s="189">
        <f t="shared" ref="AH3249" si="2493">AH3250+AH3260+AH3268</f>
        <v>0</v>
      </c>
      <c r="AI3249" s="161">
        <f t="shared" ref="AI3249:AI3291" si="2494">SUM(AE3249:AH3249)</f>
        <v>0</v>
      </c>
      <c r="AK3249" s="169">
        <v>5</v>
      </c>
      <c r="AO3249" s="19" t="s">
        <v>63</v>
      </c>
    </row>
    <row r="3250" spans="1:41" s="103" customFormat="1" ht="19.899999999999999" customHeight="1" x14ac:dyDescent="0.25">
      <c r="A3250" s="51"/>
      <c r="B3250" s="52"/>
      <c r="C3250" s="165"/>
      <c r="D3250" s="52"/>
      <c r="E3250" s="115"/>
      <c r="F3250" s="58"/>
      <c r="G3250" s="58"/>
      <c r="H3250" s="58"/>
      <c r="I3250" s="55"/>
      <c r="J3250" s="113">
        <f>J3249</f>
        <v>78.500549999999862</v>
      </c>
      <c r="K3250" s="212">
        <f>K3249</f>
        <v>78.500549999999862</v>
      </c>
      <c r="L3250" s="58"/>
      <c r="M3250" s="58">
        <f>K3250-L3250</f>
        <v>78.500549999999862</v>
      </c>
      <c r="N3250" s="166"/>
      <c r="O3250" s="58"/>
      <c r="P3250" s="58"/>
      <c r="Q3250" s="58"/>
      <c r="R3250" s="58"/>
      <c r="S3250" s="58"/>
      <c r="T3250" s="220"/>
      <c r="U3250" s="88"/>
      <c r="V3250" s="56"/>
      <c r="W3250" s="57" t="s">
        <v>1222</v>
      </c>
      <c r="X3250" s="53"/>
      <c r="Y3250" s="91" t="s">
        <v>68</v>
      </c>
      <c r="Z3250" s="136">
        <f>AD3250/AC3250</f>
        <v>81.61698823529413</v>
      </c>
      <c r="AA3250" s="58"/>
      <c r="AB3250" s="53">
        <f>AD3250/AC3250</f>
        <v>81.61698823529413</v>
      </c>
      <c r="AC3250" s="53">
        <f>M3250+$AE$10</f>
        <v>78.500549999999862</v>
      </c>
      <c r="AD3250" s="54">
        <f>SUM(AD3251:AD3259)</f>
        <v>6406.978465814107</v>
      </c>
      <c r="AE3250" s="184">
        <f>SUMIFS($AD$37:$AD$12971,$V$37:$V$12971,$V3250,$X$37:$X$12971,AE$13)</f>
        <v>0</v>
      </c>
      <c r="AF3250" s="185">
        <f>SUMIFS($AD$37:$AD$12971,$V$37:$V$12971,$V3250,$X$37:$X$12971,AF$13)</f>
        <v>0</v>
      </c>
      <c r="AG3250" s="185">
        <f>SUMIFS($AD$37:$AD$12971,$V$37:$V$12971,$V3250,$X$37:$X$12971,AG$13)</f>
        <v>0</v>
      </c>
      <c r="AH3250" s="187">
        <f>SUMIFS($AD$37:$AD$12971,$V$37:$V$12971,$V3250,$X$37:$X$12971,AH$13)</f>
        <v>0</v>
      </c>
      <c r="AI3250" s="161">
        <f t="shared" ref="AI3250" si="2495">SUM(AE3250:AH3250)</f>
        <v>0</v>
      </c>
      <c r="AK3250" s="172"/>
    </row>
    <row r="3251" spans="1:41" s="102" customFormat="1" ht="19.899999999999999" customHeight="1" x14ac:dyDescent="0.25">
      <c r="A3251" s="45"/>
      <c r="B3251" s="59"/>
      <c r="C3251" s="137"/>
      <c r="D3251" s="59"/>
      <c r="E3251" s="116"/>
      <c r="F3251" s="120"/>
      <c r="G3251" s="120"/>
      <c r="H3251" s="120"/>
      <c r="I3251" s="60"/>
      <c r="J3251" s="116"/>
      <c r="K3251" s="213"/>
      <c r="L3251" s="120"/>
      <c r="M3251" s="120"/>
      <c r="N3251" s="167"/>
      <c r="O3251" s="120"/>
      <c r="P3251" s="120"/>
      <c r="Q3251" s="120"/>
      <c r="R3251" s="120"/>
      <c r="S3251" s="120"/>
      <c r="T3251" s="221"/>
      <c r="U3251" s="89"/>
      <c r="V3251" s="61"/>
      <c r="W3251" s="92" t="s">
        <v>129</v>
      </c>
      <c r="X3251" s="93" t="s">
        <v>29</v>
      </c>
      <c r="Y3251" s="93" t="s">
        <v>93</v>
      </c>
      <c r="Z3251" s="134">
        <f>VLOOKUP(W3251,Sheet2!$B:$D,3,FALSE)</f>
        <v>56</v>
      </c>
      <c r="AA3251" s="93">
        <f>100/(1*4.5)</f>
        <v>22.222222222222221</v>
      </c>
      <c r="AB3251" s="93">
        <f t="shared" ref="AB3251" si="2496">AD3251/AC3250</f>
        <v>2.5200000000000005</v>
      </c>
      <c r="AC3251" s="93">
        <f>AC3250/AA3251</f>
        <v>3.5325247499999941</v>
      </c>
      <c r="AD3251" s="94">
        <f t="shared" ref="AD3251:AD3252" si="2497">AC3251*Z3251</f>
        <v>197.82138599999968</v>
      </c>
      <c r="AE3251" s="190"/>
      <c r="AF3251" s="191"/>
      <c r="AG3251" s="191"/>
      <c r="AH3251" s="191"/>
      <c r="AI3251" s="186"/>
      <c r="AK3251" s="171"/>
    </row>
    <row r="3252" spans="1:41" s="102" customFormat="1" ht="19.899999999999999" customHeight="1" x14ac:dyDescent="0.25">
      <c r="A3252" s="45"/>
      <c r="B3252" s="59"/>
      <c r="C3252" s="137"/>
      <c r="D3252" s="59"/>
      <c r="E3252" s="116"/>
      <c r="F3252" s="120"/>
      <c r="G3252" s="120"/>
      <c r="H3252" s="120"/>
      <c r="I3252" s="60"/>
      <c r="J3252" s="116"/>
      <c r="K3252" s="213"/>
      <c r="L3252" s="120"/>
      <c r="M3252" s="120"/>
      <c r="N3252" s="167"/>
      <c r="O3252" s="120"/>
      <c r="P3252" s="120"/>
      <c r="Q3252" s="120"/>
      <c r="R3252" s="120"/>
      <c r="S3252" s="120"/>
      <c r="T3252" s="221"/>
      <c r="U3252" s="89"/>
      <c r="V3252" s="61"/>
      <c r="W3252" s="92" t="s">
        <v>65</v>
      </c>
      <c r="X3252" s="93" t="s">
        <v>30</v>
      </c>
      <c r="Y3252" s="93" t="s">
        <v>1011</v>
      </c>
      <c r="Z3252" s="134">
        <f>VLOOKUP(W3252,Sheet2!$B:$D,3,FALSE)</f>
        <v>1.76</v>
      </c>
      <c r="AA3252" s="93">
        <f>AA3251/14</f>
        <v>1.5873015873015872</v>
      </c>
      <c r="AB3252" s="93">
        <f>AD3252/AC3250</f>
        <v>1.1088000000000002</v>
      </c>
      <c r="AC3252" s="93">
        <f>AC3250/AA3252</f>
        <v>49.455346499999919</v>
      </c>
      <c r="AD3252" s="94">
        <f t="shared" si="2497"/>
        <v>87.041409839999858</v>
      </c>
      <c r="AE3252" s="190"/>
      <c r="AF3252" s="191"/>
      <c r="AG3252" s="191"/>
      <c r="AH3252" s="191"/>
      <c r="AI3252" s="186"/>
      <c r="AK3252" s="171"/>
    </row>
    <row r="3253" spans="1:41" s="102" customFormat="1" ht="19.899999999999999" customHeight="1" x14ac:dyDescent="0.25">
      <c r="A3253" s="45"/>
      <c r="B3253" s="59"/>
      <c r="C3253" s="137"/>
      <c r="D3253" s="59"/>
      <c r="E3253" s="116"/>
      <c r="F3253" s="120"/>
      <c r="G3253" s="120"/>
      <c r="H3253" s="120"/>
      <c r="I3253" s="60"/>
      <c r="J3253" s="116"/>
      <c r="K3253" s="213"/>
      <c r="L3253" s="120"/>
      <c r="M3253" s="120"/>
      <c r="N3253" s="167"/>
      <c r="O3253" s="120"/>
      <c r="P3253" s="120"/>
      <c r="Q3253" s="120"/>
      <c r="R3253" s="120"/>
      <c r="S3253" s="120"/>
      <c r="T3253" s="221"/>
      <c r="U3253" s="89"/>
      <c r="V3253" s="61"/>
      <c r="W3253" s="92" t="s">
        <v>161</v>
      </c>
      <c r="X3253" s="93" t="s">
        <v>29</v>
      </c>
      <c r="Y3253" s="93" t="s">
        <v>93</v>
      </c>
      <c r="Z3253" s="134">
        <f>VLOOKUP(W3253,Sheet2!$B:$D,3,FALSE)</f>
        <v>48</v>
      </c>
      <c r="AA3253" s="93">
        <f>(16*0.85*1.5)/(1*4.5)</f>
        <v>4.5333333333333332</v>
      </c>
      <c r="AB3253" s="93">
        <f>AD3253/AC3250</f>
        <v>10.588235294117647</v>
      </c>
      <c r="AC3253" s="93">
        <f>AC3250/AA3253</f>
        <v>17.316297794117617</v>
      </c>
      <c r="AD3253" s="94">
        <f>AC3253*Z3253</f>
        <v>831.1822941176456</v>
      </c>
      <c r="AE3253" s="190"/>
      <c r="AF3253" s="191"/>
      <c r="AG3253" s="191"/>
      <c r="AH3253" s="191"/>
      <c r="AI3253" s="186"/>
      <c r="AK3253" s="171"/>
    </row>
    <row r="3254" spans="1:41" s="102" customFormat="1" ht="19.899999999999999" customHeight="1" x14ac:dyDescent="0.25">
      <c r="A3254" s="45"/>
      <c r="B3254" s="59"/>
      <c r="C3254" s="137"/>
      <c r="D3254" s="59"/>
      <c r="E3254" s="116"/>
      <c r="F3254" s="120"/>
      <c r="G3254" s="120"/>
      <c r="H3254" s="120"/>
      <c r="I3254" s="60"/>
      <c r="J3254" s="116"/>
      <c r="K3254" s="213"/>
      <c r="L3254" s="120"/>
      <c r="M3254" s="120"/>
      <c r="N3254" s="167"/>
      <c r="O3254" s="120"/>
      <c r="P3254" s="120"/>
      <c r="Q3254" s="120"/>
      <c r="R3254" s="120"/>
      <c r="S3254" s="120"/>
      <c r="T3254" s="221"/>
      <c r="U3254" s="89"/>
      <c r="V3254" s="61"/>
      <c r="W3254" s="92" t="s">
        <v>65</v>
      </c>
      <c r="X3254" s="93" t="s">
        <v>30</v>
      </c>
      <c r="Y3254" s="93" t="s">
        <v>1011</v>
      </c>
      <c r="Z3254" s="134">
        <f>VLOOKUP(W3254,Sheet2!$B:$D,3,FALSE)</f>
        <v>1.76</v>
      </c>
      <c r="AA3254" s="93">
        <f>AA3253/10</f>
        <v>0.45333333333333331</v>
      </c>
      <c r="AB3254" s="93">
        <f>AD3254/AC3250</f>
        <v>3.8823529411764706</v>
      </c>
      <c r="AC3254" s="93">
        <f>AC3250/AA3254</f>
        <v>173.16297794117617</v>
      </c>
      <c r="AD3254" s="94">
        <f>AC3254*Z3254</f>
        <v>304.76684117647005</v>
      </c>
      <c r="AE3254" s="190"/>
      <c r="AF3254" s="191"/>
      <c r="AG3254" s="191"/>
      <c r="AH3254" s="191"/>
      <c r="AI3254" s="186"/>
      <c r="AK3254" s="171"/>
    </row>
    <row r="3255" spans="1:41" s="102" customFormat="1" ht="19.899999999999999" customHeight="1" x14ac:dyDescent="0.25">
      <c r="A3255" s="45"/>
      <c r="B3255" s="59"/>
      <c r="C3255" s="137"/>
      <c r="D3255" s="59"/>
      <c r="E3255" s="116"/>
      <c r="F3255" s="120"/>
      <c r="G3255" s="120"/>
      <c r="H3255" s="120"/>
      <c r="I3255" s="60"/>
      <c r="J3255" s="116"/>
      <c r="K3255" s="213"/>
      <c r="L3255" s="120"/>
      <c r="M3255" s="120"/>
      <c r="N3255" s="167"/>
      <c r="O3255" s="120"/>
      <c r="P3255" s="120"/>
      <c r="Q3255" s="120"/>
      <c r="R3255" s="120"/>
      <c r="S3255" s="120"/>
      <c r="T3255" s="221"/>
      <c r="U3255" s="89"/>
      <c r="V3255" s="61"/>
      <c r="W3255" s="92" t="s">
        <v>1030</v>
      </c>
      <c r="X3255" s="93" t="s">
        <v>29</v>
      </c>
      <c r="Y3255" s="93" t="s">
        <v>93</v>
      </c>
      <c r="Z3255" s="134">
        <f>VLOOKUP(W3255,Sheet2!$B:$D,3,FALSE)</f>
        <v>23</v>
      </c>
      <c r="AA3255" s="93">
        <v>50</v>
      </c>
      <c r="AB3255" s="93">
        <f>AD3255/AC3250</f>
        <v>0.46</v>
      </c>
      <c r="AC3255" s="93">
        <f>AC3250/AA3255</f>
        <v>1.5700109999999972</v>
      </c>
      <c r="AD3255" s="94">
        <f t="shared" ref="AD3255:AD3259" si="2498">AC3255*Z3255</f>
        <v>36.110252999999936</v>
      </c>
      <c r="AE3255" s="190"/>
      <c r="AF3255" s="191"/>
      <c r="AG3255" s="191"/>
      <c r="AH3255" s="191"/>
      <c r="AI3255" s="186"/>
      <c r="AK3255" s="171"/>
    </row>
    <row r="3256" spans="1:41" s="102" customFormat="1" ht="19.899999999999999" customHeight="1" x14ac:dyDescent="0.25">
      <c r="A3256" s="45"/>
      <c r="B3256" s="59"/>
      <c r="C3256" s="137"/>
      <c r="D3256" s="59"/>
      <c r="E3256" s="116"/>
      <c r="F3256" s="120"/>
      <c r="G3256" s="120"/>
      <c r="H3256" s="120"/>
      <c r="I3256" s="60"/>
      <c r="J3256" s="116"/>
      <c r="K3256" s="213"/>
      <c r="L3256" s="120"/>
      <c r="M3256" s="120"/>
      <c r="N3256" s="167"/>
      <c r="O3256" s="120"/>
      <c r="P3256" s="120"/>
      <c r="Q3256" s="120"/>
      <c r="R3256" s="120"/>
      <c r="S3256" s="120"/>
      <c r="T3256" s="221"/>
      <c r="U3256" s="89"/>
      <c r="V3256" s="61"/>
      <c r="W3256" s="92" t="s">
        <v>65</v>
      </c>
      <c r="X3256" s="93" t="s">
        <v>30</v>
      </c>
      <c r="Y3256" s="93" t="s">
        <v>1011</v>
      </c>
      <c r="Z3256" s="134">
        <f>VLOOKUP(W3256,Sheet2!$B:$D,3,FALSE)</f>
        <v>1.76</v>
      </c>
      <c r="AA3256" s="93">
        <f>AA3255/3</f>
        <v>16.666666666666668</v>
      </c>
      <c r="AB3256" s="93">
        <f>AD3256/AC3250</f>
        <v>0.10559999999999999</v>
      </c>
      <c r="AC3256" s="93">
        <f>AC3250/AA3256</f>
        <v>4.7100329999999913</v>
      </c>
      <c r="AD3256" s="94">
        <f t="shared" si="2498"/>
        <v>8.2896580799999846</v>
      </c>
      <c r="AE3256" s="190"/>
      <c r="AF3256" s="191"/>
      <c r="AG3256" s="191"/>
      <c r="AH3256" s="191"/>
      <c r="AI3256" s="186"/>
      <c r="AK3256" s="171"/>
    </row>
    <row r="3257" spans="1:41" s="102" customFormat="1" ht="19.899999999999999" customHeight="1" x14ac:dyDescent="0.25">
      <c r="A3257" s="45"/>
      <c r="B3257" s="59"/>
      <c r="C3257" s="137"/>
      <c r="D3257" s="59"/>
      <c r="E3257" s="116"/>
      <c r="F3257" s="120"/>
      <c r="G3257" s="120"/>
      <c r="H3257" s="120"/>
      <c r="I3257" s="60"/>
      <c r="J3257" s="116"/>
      <c r="K3257" s="213"/>
      <c r="L3257" s="120"/>
      <c r="M3257" s="120"/>
      <c r="N3257" s="167"/>
      <c r="O3257" s="120"/>
      <c r="P3257" s="120"/>
      <c r="Q3257" s="120"/>
      <c r="R3257" s="120"/>
      <c r="S3257" s="120"/>
      <c r="T3257" s="221"/>
      <c r="U3257" s="89"/>
      <c r="V3257" s="61"/>
      <c r="W3257" s="92" t="s">
        <v>148</v>
      </c>
      <c r="X3257" s="93" t="s">
        <v>29</v>
      </c>
      <c r="Y3257" s="93" t="s">
        <v>93</v>
      </c>
      <c r="Z3257" s="134">
        <f>VLOOKUP(W3257,Sheet2!$B:$D,3,FALSE)</f>
        <v>48</v>
      </c>
      <c r="AA3257" s="93">
        <f>AA3251</f>
        <v>22.222222222222221</v>
      </c>
      <c r="AB3257" s="93">
        <f>AD3257/AC3250</f>
        <v>2.1600000000000006</v>
      </c>
      <c r="AC3257" s="93">
        <f>AC3250/AA3257</f>
        <v>3.5325247499999941</v>
      </c>
      <c r="AD3257" s="94">
        <f t="shared" si="2498"/>
        <v>169.56118799999973</v>
      </c>
      <c r="AE3257" s="190"/>
      <c r="AF3257" s="191"/>
      <c r="AG3257" s="191"/>
      <c r="AH3257" s="191"/>
      <c r="AI3257" s="186"/>
      <c r="AK3257" s="171"/>
    </row>
    <row r="3258" spans="1:41" s="102" customFormat="1" ht="19.899999999999999" customHeight="1" x14ac:dyDescent="0.25">
      <c r="A3258" s="45"/>
      <c r="B3258" s="59"/>
      <c r="C3258" s="137"/>
      <c r="D3258" s="59"/>
      <c r="E3258" s="116"/>
      <c r="F3258" s="120"/>
      <c r="G3258" s="120"/>
      <c r="H3258" s="120"/>
      <c r="I3258" s="60"/>
      <c r="J3258" s="116"/>
      <c r="K3258" s="213"/>
      <c r="L3258" s="120"/>
      <c r="M3258" s="120"/>
      <c r="N3258" s="167"/>
      <c r="O3258" s="120"/>
      <c r="P3258" s="120"/>
      <c r="Q3258" s="120"/>
      <c r="R3258" s="120"/>
      <c r="S3258" s="120"/>
      <c r="T3258" s="221"/>
      <c r="U3258" s="89"/>
      <c r="V3258" s="61"/>
      <c r="W3258" s="92" t="s">
        <v>65</v>
      </c>
      <c r="X3258" s="93" t="s">
        <v>30</v>
      </c>
      <c r="Y3258" s="93" t="s">
        <v>1011</v>
      </c>
      <c r="Z3258" s="134">
        <f>VLOOKUP(W3258,Sheet2!$B:$D,3,FALSE)</f>
        <v>1.76</v>
      </c>
      <c r="AA3258" s="93">
        <f>AA3257/10</f>
        <v>2.2222222222222223</v>
      </c>
      <c r="AB3258" s="93">
        <f>AD3258/AC3250</f>
        <v>0.79200000000000004</v>
      </c>
      <c r="AC3258" s="93">
        <f>AC3250/AA3258</f>
        <v>35.325247499999939</v>
      </c>
      <c r="AD3258" s="94">
        <f t="shared" si="2498"/>
        <v>62.172435599999893</v>
      </c>
      <c r="AE3258" s="190"/>
      <c r="AF3258" s="191"/>
      <c r="AG3258" s="191"/>
      <c r="AH3258" s="191"/>
      <c r="AI3258" s="186"/>
      <c r="AK3258" s="171"/>
    </row>
    <row r="3259" spans="1:41" s="102" customFormat="1" ht="19.899999999999999" customHeight="1" x14ac:dyDescent="0.25">
      <c r="A3259" s="45"/>
      <c r="B3259" s="59"/>
      <c r="C3259" s="137"/>
      <c r="D3259" s="59"/>
      <c r="E3259" s="116"/>
      <c r="F3259" s="120"/>
      <c r="G3259" s="120"/>
      <c r="H3259" s="120"/>
      <c r="I3259" s="60"/>
      <c r="J3259" s="116"/>
      <c r="K3259" s="213"/>
      <c r="L3259" s="120"/>
      <c r="M3259" s="120"/>
      <c r="N3259" s="167"/>
      <c r="O3259" s="120"/>
      <c r="P3259" s="120"/>
      <c r="Q3259" s="120"/>
      <c r="R3259" s="120"/>
      <c r="S3259" s="120"/>
      <c r="T3259" s="221"/>
      <c r="U3259" s="89"/>
      <c r="V3259" s="61"/>
      <c r="W3259" s="92" t="s">
        <v>1049</v>
      </c>
      <c r="X3259" s="93" t="s">
        <v>30</v>
      </c>
      <c r="Y3259" s="93" t="s">
        <v>68</v>
      </c>
      <c r="Z3259" s="134">
        <f>VLOOKUP(W3259,Sheet2!$B:$D,3,FALSE)</f>
        <v>60</v>
      </c>
      <c r="AA3259" s="93">
        <v>1</v>
      </c>
      <c r="AB3259" s="93">
        <f>AD3259/AC3250</f>
        <v>60.000000000000007</v>
      </c>
      <c r="AC3259" s="93">
        <f>AC3250/AA3259</f>
        <v>78.500549999999862</v>
      </c>
      <c r="AD3259" s="94">
        <f t="shared" si="2498"/>
        <v>4710.0329999999922</v>
      </c>
      <c r="AE3259" s="190"/>
      <c r="AF3259" s="191"/>
      <c r="AG3259" s="191"/>
      <c r="AH3259" s="191"/>
      <c r="AI3259" s="186"/>
      <c r="AK3259" s="171"/>
    </row>
    <row r="3260" spans="1:41" s="103" customFormat="1" ht="19.899999999999999" customHeight="1" x14ac:dyDescent="0.25">
      <c r="A3260" s="51"/>
      <c r="B3260" s="52"/>
      <c r="C3260" s="165"/>
      <c r="D3260" s="52"/>
      <c r="E3260" s="115"/>
      <c r="F3260" s="58"/>
      <c r="G3260" s="58"/>
      <c r="H3260" s="58"/>
      <c r="I3260" s="55"/>
      <c r="J3260" s="113">
        <f>J3249</f>
        <v>78.500549999999862</v>
      </c>
      <c r="K3260" s="212">
        <f>K3249</f>
        <v>78.500549999999862</v>
      </c>
      <c r="L3260" s="58"/>
      <c r="M3260" s="58">
        <f>K3260-L3260</f>
        <v>78.500549999999862</v>
      </c>
      <c r="N3260" s="166"/>
      <c r="O3260" s="58"/>
      <c r="P3260" s="58"/>
      <c r="Q3260" s="58"/>
      <c r="R3260" s="58"/>
      <c r="S3260" s="58"/>
      <c r="T3260" s="220"/>
      <c r="U3260" s="88"/>
      <c r="V3260" s="56"/>
      <c r="W3260" s="57" t="s">
        <v>1036</v>
      </c>
      <c r="X3260" s="53"/>
      <c r="Y3260" s="91" t="s">
        <v>68</v>
      </c>
      <c r="Z3260" s="136">
        <f>AD3260/AC3260</f>
        <v>102.58333333333333</v>
      </c>
      <c r="AA3260" s="58"/>
      <c r="AB3260" s="53">
        <f>AD3260/AC3260</f>
        <v>102.58333333333333</v>
      </c>
      <c r="AC3260" s="53">
        <f>M3260+$AE$10</f>
        <v>78.500549999999862</v>
      </c>
      <c r="AD3260" s="54">
        <f>SUM(AD3261:AD3267)</f>
        <v>8052.848087499985</v>
      </c>
      <c r="AE3260" s="184">
        <f>SUMIFS($AD$37:$AD$12971,$V$37:$V$12971,$V3260,$X$37:$X$12971,AE$13)</f>
        <v>0</v>
      </c>
      <c r="AF3260" s="185">
        <f>SUMIFS($AD$37:$AD$12971,$V$37:$V$12971,$V3260,$X$37:$X$12971,AF$13)</f>
        <v>0</v>
      </c>
      <c r="AG3260" s="185">
        <f>SUMIFS($AD$37:$AD$12971,$V$37:$V$12971,$V3260,$X$37:$X$12971,AG$13)</f>
        <v>0</v>
      </c>
      <c r="AH3260" s="187">
        <f>SUMIFS($AD$37:$AD$12971,$V$37:$V$12971,$V3260,$X$37:$X$12971,AH$13)</f>
        <v>0</v>
      </c>
      <c r="AI3260" s="161">
        <f t="shared" ref="AI3260" si="2499">SUM(AE3260:AH3260)</f>
        <v>0</v>
      </c>
      <c r="AK3260" s="172"/>
    </row>
    <row r="3261" spans="1:41" s="102" customFormat="1" ht="19.899999999999999" customHeight="1" x14ac:dyDescent="0.25">
      <c r="A3261" s="45"/>
      <c r="B3261" s="59"/>
      <c r="C3261" s="137"/>
      <c r="D3261" s="59"/>
      <c r="E3261" s="116"/>
      <c r="F3261" s="120"/>
      <c r="G3261" s="120"/>
      <c r="H3261" s="120"/>
      <c r="I3261" s="60"/>
      <c r="J3261" s="116"/>
      <c r="K3261" s="213"/>
      <c r="L3261" s="120"/>
      <c r="M3261" s="120"/>
      <c r="N3261" s="167"/>
      <c r="O3261" s="120"/>
      <c r="P3261" s="120"/>
      <c r="Q3261" s="120"/>
      <c r="R3261" s="120"/>
      <c r="S3261" s="120"/>
      <c r="T3261" s="221"/>
      <c r="U3261" s="89"/>
      <c r="V3261" s="61"/>
      <c r="W3261" s="92" t="s">
        <v>1045</v>
      </c>
      <c r="X3261" s="93" t="s">
        <v>30</v>
      </c>
      <c r="Y3261" s="93" t="s">
        <v>68</v>
      </c>
      <c r="Z3261" s="134">
        <f>VLOOKUP(W3261,Sheet2!$B:$D,3,FALSE)</f>
        <v>52</v>
      </c>
      <c r="AA3261" s="93">
        <v>1</v>
      </c>
      <c r="AB3261" s="93">
        <f>AD3261/AC3260</f>
        <v>52</v>
      </c>
      <c r="AC3261" s="93">
        <f>AC3260/AA3261</f>
        <v>78.500549999999862</v>
      </c>
      <c r="AD3261" s="94">
        <f t="shared" ref="AD3261" si="2500">AC3261*Z3261</f>
        <v>4082.0285999999928</v>
      </c>
      <c r="AE3261" s="190"/>
      <c r="AF3261" s="191"/>
      <c r="AG3261" s="191"/>
      <c r="AH3261" s="191"/>
      <c r="AI3261" s="186"/>
      <c r="AK3261" s="171"/>
    </row>
    <row r="3262" spans="1:41" s="102" customFormat="1" ht="19.899999999999999" customHeight="1" x14ac:dyDescent="0.25">
      <c r="A3262" s="45"/>
      <c r="B3262" s="59"/>
      <c r="C3262" s="137"/>
      <c r="D3262" s="59"/>
      <c r="E3262" s="116"/>
      <c r="F3262" s="120"/>
      <c r="G3262" s="120"/>
      <c r="H3262" s="120"/>
      <c r="I3262" s="60"/>
      <c r="J3262" s="116"/>
      <c r="K3262" s="213"/>
      <c r="L3262" s="120"/>
      <c r="M3262" s="120"/>
      <c r="N3262" s="167"/>
      <c r="O3262" s="120"/>
      <c r="P3262" s="120"/>
      <c r="Q3262" s="120"/>
      <c r="R3262" s="120"/>
      <c r="S3262" s="120"/>
      <c r="T3262" s="221"/>
      <c r="U3262" s="89"/>
      <c r="V3262" s="61"/>
      <c r="W3262" s="92" t="s">
        <v>1043</v>
      </c>
      <c r="X3262" s="93" t="s">
        <v>30</v>
      </c>
      <c r="Y3262" s="93" t="s">
        <v>68</v>
      </c>
      <c r="Z3262" s="134">
        <f>VLOOKUP(W3262,Sheet2!$B:$D,3,FALSE)</f>
        <v>5</v>
      </c>
      <c r="AA3262" s="93">
        <v>1</v>
      </c>
      <c r="AB3262" s="93">
        <f>AD3262/AC3260</f>
        <v>5</v>
      </c>
      <c r="AC3262" s="93">
        <f>AC3260/AA3262</f>
        <v>78.500549999999862</v>
      </c>
      <c r="AD3262" s="94">
        <f>AC3262*Z3262</f>
        <v>392.50274999999931</v>
      </c>
      <c r="AE3262" s="190"/>
      <c r="AF3262" s="191"/>
      <c r="AG3262" s="191"/>
      <c r="AH3262" s="191"/>
      <c r="AI3262" s="186"/>
      <c r="AK3262" s="171"/>
    </row>
    <row r="3263" spans="1:41" s="102" customFormat="1" ht="19.899999999999999" customHeight="1" x14ac:dyDescent="0.25">
      <c r="A3263" s="45"/>
      <c r="B3263" s="59"/>
      <c r="C3263" s="137"/>
      <c r="D3263" s="59"/>
      <c r="E3263" s="116"/>
      <c r="F3263" s="120"/>
      <c r="G3263" s="120"/>
      <c r="H3263" s="120"/>
      <c r="I3263" s="60"/>
      <c r="J3263" s="116"/>
      <c r="K3263" s="213"/>
      <c r="L3263" s="120"/>
      <c r="M3263" s="120"/>
      <c r="N3263" s="167"/>
      <c r="O3263" s="120"/>
      <c r="P3263" s="120"/>
      <c r="Q3263" s="120"/>
      <c r="R3263" s="120"/>
      <c r="S3263" s="120"/>
      <c r="T3263" s="221"/>
      <c r="U3263" s="89"/>
      <c r="V3263" s="61"/>
      <c r="W3263" s="92" t="s">
        <v>107</v>
      </c>
      <c r="X3263" s="93" t="s">
        <v>31</v>
      </c>
      <c r="Y3263" s="93" t="s">
        <v>93</v>
      </c>
      <c r="Z3263" s="134">
        <f>VLOOKUP(W3263,Sheet2!$B:$D,3,FALSE)</f>
        <v>17</v>
      </c>
      <c r="AA3263" s="93">
        <v>6</v>
      </c>
      <c r="AB3263" s="93">
        <f>AD3263/AC3260</f>
        <v>2.8333333333333335</v>
      </c>
      <c r="AC3263" s="93">
        <f>AC3260/AA3263</f>
        <v>13.083424999999977</v>
      </c>
      <c r="AD3263" s="94">
        <f>AC3263*Z3263</f>
        <v>222.41822499999961</v>
      </c>
      <c r="AE3263" s="190"/>
      <c r="AF3263" s="191"/>
      <c r="AG3263" s="191"/>
      <c r="AH3263" s="191"/>
      <c r="AI3263" s="186"/>
      <c r="AK3263" s="171"/>
    </row>
    <row r="3264" spans="1:41" s="102" customFormat="1" ht="19.899999999999999" customHeight="1" x14ac:dyDescent="0.25">
      <c r="A3264" s="45"/>
      <c r="B3264" s="59"/>
      <c r="C3264" s="137"/>
      <c r="D3264" s="59"/>
      <c r="E3264" s="116"/>
      <c r="F3264" s="120"/>
      <c r="G3264" s="120"/>
      <c r="H3264" s="120"/>
      <c r="I3264" s="60"/>
      <c r="J3264" s="116"/>
      <c r="K3264" s="213"/>
      <c r="L3264" s="120"/>
      <c r="M3264" s="120"/>
      <c r="N3264" s="167"/>
      <c r="O3264" s="120"/>
      <c r="P3264" s="120"/>
      <c r="Q3264" s="120"/>
      <c r="R3264" s="120"/>
      <c r="S3264" s="120"/>
      <c r="T3264" s="221"/>
      <c r="U3264" s="89"/>
      <c r="V3264" s="61"/>
      <c r="W3264" s="92" t="s">
        <v>112</v>
      </c>
      <c r="X3264" s="93" t="s">
        <v>31</v>
      </c>
      <c r="Y3264" s="93" t="s">
        <v>93</v>
      </c>
      <c r="Z3264" s="134">
        <f>VLOOKUP(W3264,Sheet2!$B:$D,3,FALSE)</f>
        <v>13</v>
      </c>
      <c r="AA3264" s="93">
        <v>6</v>
      </c>
      <c r="AB3264" s="93">
        <f>AD3264/AC3260</f>
        <v>2.1666666666666665</v>
      </c>
      <c r="AC3264" s="93">
        <f>AC3260/AA3264</f>
        <v>13.083424999999977</v>
      </c>
      <c r="AD3264" s="94">
        <f>AC3264*Z3264</f>
        <v>170.0845249999997</v>
      </c>
      <c r="AE3264" s="190"/>
      <c r="AF3264" s="191"/>
      <c r="AG3264" s="191"/>
      <c r="AH3264" s="191"/>
      <c r="AI3264" s="186"/>
      <c r="AK3264" s="171"/>
    </row>
    <row r="3265" spans="1:41" s="102" customFormat="1" ht="19.899999999999999" customHeight="1" x14ac:dyDescent="0.25">
      <c r="A3265" s="45"/>
      <c r="B3265" s="59"/>
      <c r="C3265" s="137"/>
      <c r="D3265" s="59"/>
      <c r="E3265" s="116"/>
      <c r="F3265" s="120"/>
      <c r="G3265" s="120"/>
      <c r="H3265" s="120"/>
      <c r="I3265" s="60"/>
      <c r="J3265" s="116"/>
      <c r="K3265" s="213"/>
      <c r="L3265" s="120"/>
      <c r="M3265" s="120"/>
      <c r="N3265" s="167"/>
      <c r="O3265" s="120"/>
      <c r="P3265" s="120"/>
      <c r="Q3265" s="120"/>
      <c r="R3265" s="120"/>
      <c r="S3265" s="120"/>
      <c r="T3265" s="221"/>
      <c r="U3265" s="89"/>
      <c r="V3265" s="61"/>
      <c r="W3265" s="92" t="s">
        <v>1032</v>
      </c>
      <c r="X3265" s="93" t="s">
        <v>30</v>
      </c>
      <c r="Y3265" s="93" t="s">
        <v>66</v>
      </c>
      <c r="Z3265" s="134">
        <f>VLOOKUP(W3265,Sheet2!$B:$D,3,FALSE)</f>
        <v>250</v>
      </c>
      <c r="AA3265" s="93">
        <f>1/(1*1*0.1)</f>
        <v>10</v>
      </c>
      <c r="AB3265" s="93">
        <f>AD3265/AC3260</f>
        <v>25</v>
      </c>
      <c r="AC3265" s="93">
        <f>AC3260/AA3265</f>
        <v>7.850054999999986</v>
      </c>
      <c r="AD3265" s="94">
        <f>AC3265*Z3265</f>
        <v>1962.5137499999964</v>
      </c>
      <c r="AE3265" s="190"/>
      <c r="AF3265" s="191"/>
      <c r="AG3265" s="191"/>
      <c r="AH3265" s="191"/>
      <c r="AI3265" s="186"/>
      <c r="AK3265" s="171"/>
    </row>
    <row r="3266" spans="1:41" s="102" customFormat="1" ht="19.899999999999999" customHeight="1" x14ac:dyDescent="0.25">
      <c r="A3266" s="45"/>
      <c r="B3266" s="59"/>
      <c r="C3266" s="137"/>
      <c r="D3266" s="59"/>
      <c r="E3266" s="116"/>
      <c r="F3266" s="120"/>
      <c r="G3266" s="120"/>
      <c r="H3266" s="120"/>
      <c r="I3266" s="60"/>
      <c r="J3266" s="116"/>
      <c r="K3266" s="213"/>
      <c r="L3266" s="120"/>
      <c r="M3266" s="120"/>
      <c r="N3266" s="167"/>
      <c r="O3266" s="120"/>
      <c r="P3266" s="120"/>
      <c r="Q3266" s="120"/>
      <c r="R3266" s="120"/>
      <c r="S3266" s="120"/>
      <c r="T3266" s="221"/>
      <c r="U3266" s="89"/>
      <c r="V3266" s="61"/>
      <c r="W3266" s="92" t="s">
        <v>1035</v>
      </c>
      <c r="X3266" s="93" t="s">
        <v>32</v>
      </c>
      <c r="Y3266" s="93" t="s">
        <v>66</v>
      </c>
      <c r="Z3266" s="134">
        <f>VLOOKUP(W3266,Sheet2!$B:$D,3,FALSE)</f>
        <v>150</v>
      </c>
      <c r="AA3266" s="93">
        <f>AA3265</f>
        <v>10</v>
      </c>
      <c r="AB3266" s="93">
        <f>AD3266/AC3260</f>
        <v>14.999999999999998</v>
      </c>
      <c r="AC3266" s="93">
        <f>AC3260/AA3266</f>
        <v>7.850054999999986</v>
      </c>
      <c r="AD3266" s="94">
        <f t="shared" ref="AD3266:AD3267" si="2501">AC3266*Z3266</f>
        <v>1177.5082499999978</v>
      </c>
      <c r="AE3266" s="190"/>
      <c r="AF3266" s="191"/>
      <c r="AG3266" s="191"/>
      <c r="AH3266" s="191"/>
      <c r="AI3266" s="186"/>
      <c r="AK3266" s="171"/>
    </row>
    <row r="3267" spans="1:41" s="102" customFormat="1" ht="19.899999999999999" customHeight="1" x14ac:dyDescent="0.25">
      <c r="A3267" s="45"/>
      <c r="B3267" s="59"/>
      <c r="C3267" s="137"/>
      <c r="D3267" s="59"/>
      <c r="E3267" s="116"/>
      <c r="F3267" s="120"/>
      <c r="G3267" s="120"/>
      <c r="H3267" s="120"/>
      <c r="I3267" s="60"/>
      <c r="J3267" s="116"/>
      <c r="K3267" s="213"/>
      <c r="L3267" s="120"/>
      <c r="M3267" s="120"/>
      <c r="N3267" s="167"/>
      <c r="O3267" s="120"/>
      <c r="P3267" s="120"/>
      <c r="Q3267" s="120"/>
      <c r="R3267" s="120"/>
      <c r="S3267" s="120"/>
      <c r="T3267" s="221"/>
      <c r="U3267" s="89"/>
      <c r="V3267" s="61"/>
      <c r="W3267" s="92" t="s">
        <v>1037</v>
      </c>
      <c r="X3267" s="93" t="s">
        <v>30</v>
      </c>
      <c r="Y3267" s="93" t="s">
        <v>1038</v>
      </c>
      <c r="Z3267" s="134">
        <f>VLOOKUP(W3267,Sheet2!$B:$D,3,FALSE)</f>
        <v>175</v>
      </c>
      <c r="AA3267" s="93">
        <v>300</v>
      </c>
      <c r="AB3267" s="93">
        <f>AD3267/AC3260</f>
        <v>0.58333333333333337</v>
      </c>
      <c r="AC3267" s="93">
        <f>AC3260/AA3267</f>
        <v>0.26166849999999953</v>
      </c>
      <c r="AD3267" s="94">
        <f t="shared" si="2501"/>
        <v>45.791987499999919</v>
      </c>
      <c r="AE3267" s="190"/>
      <c r="AF3267" s="191"/>
      <c r="AG3267" s="191"/>
      <c r="AH3267" s="191"/>
      <c r="AI3267" s="186"/>
      <c r="AK3267" s="171"/>
    </row>
    <row r="3268" spans="1:41" s="103" customFormat="1" ht="19.899999999999999" customHeight="1" x14ac:dyDescent="0.25">
      <c r="A3268" s="51"/>
      <c r="B3268" s="52"/>
      <c r="C3268" s="165"/>
      <c r="D3268" s="52"/>
      <c r="E3268" s="115"/>
      <c r="F3268" s="58"/>
      <c r="G3268" s="58"/>
      <c r="H3268" s="58"/>
      <c r="I3268" s="55"/>
      <c r="J3268" s="113">
        <f>J3249</f>
        <v>78.500549999999862</v>
      </c>
      <c r="K3268" s="212">
        <f>K3249</f>
        <v>78.500549999999862</v>
      </c>
      <c r="L3268" s="58"/>
      <c r="M3268" s="58">
        <f>K3268-L3268</f>
        <v>78.500549999999862</v>
      </c>
      <c r="N3268" s="166"/>
      <c r="O3268" s="58"/>
      <c r="P3268" s="58"/>
      <c r="Q3268" s="58"/>
      <c r="R3268" s="58"/>
      <c r="S3268" s="58"/>
      <c r="T3268" s="220"/>
      <c r="U3268" s="88"/>
      <c r="V3268" s="56"/>
      <c r="W3268" s="57" t="s">
        <v>1040</v>
      </c>
      <c r="X3268" s="53"/>
      <c r="Y3268" s="91" t="s">
        <v>68</v>
      </c>
      <c r="Z3268" s="136">
        <f>AD3268/AC3268</f>
        <v>5</v>
      </c>
      <c r="AA3268" s="58"/>
      <c r="AB3268" s="53">
        <f>AD3268/AC3268</f>
        <v>5</v>
      </c>
      <c r="AC3268" s="53">
        <f>M3268+$AE$10</f>
        <v>78.500549999999862</v>
      </c>
      <c r="AD3268" s="54">
        <f>SUM(AD3269)</f>
        <v>392.50274999999931</v>
      </c>
      <c r="AE3268" s="184">
        <f>SUMIFS($AD$37:$AD$12971,$V$37:$V$12971,$V3268,$X$37:$X$12971,AE$13)</f>
        <v>0</v>
      </c>
      <c r="AF3268" s="185">
        <f>SUMIFS($AD$37:$AD$12971,$V$37:$V$12971,$V3268,$X$37:$X$12971,AF$13)</f>
        <v>0</v>
      </c>
      <c r="AG3268" s="185">
        <f>SUMIFS($AD$37:$AD$12971,$V$37:$V$12971,$V3268,$X$37:$X$12971,AG$13)</f>
        <v>0</v>
      </c>
      <c r="AH3268" s="187">
        <f>SUMIFS($AD$37:$AD$12971,$V$37:$V$12971,$V3268,$X$37:$X$12971,AH$13)</f>
        <v>0</v>
      </c>
      <c r="AI3268" s="161">
        <f t="shared" ref="AI3268" si="2502">SUM(AE3268:AH3268)</f>
        <v>0</v>
      </c>
      <c r="AK3268" s="172"/>
    </row>
    <row r="3269" spans="1:41" s="102" customFormat="1" ht="19.899999999999999" customHeight="1" x14ac:dyDescent="0.25">
      <c r="A3269" s="45"/>
      <c r="B3269" s="59"/>
      <c r="C3269" s="137"/>
      <c r="D3269" s="59"/>
      <c r="E3269" s="116"/>
      <c r="F3269" s="120"/>
      <c r="G3269" s="120"/>
      <c r="H3269" s="120"/>
      <c r="I3269" s="60"/>
      <c r="J3269" s="116"/>
      <c r="K3269" s="213"/>
      <c r="L3269" s="120"/>
      <c r="M3269" s="120"/>
      <c r="N3269" s="167"/>
      <c r="O3269" s="120"/>
      <c r="P3269" s="120"/>
      <c r="Q3269" s="120"/>
      <c r="R3269" s="120"/>
      <c r="S3269" s="120"/>
      <c r="T3269" s="221"/>
      <c r="U3269" s="89"/>
      <c r="V3269" s="61"/>
      <c r="W3269" s="92" t="s">
        <v>1039</v>
      </c>
      <c r="X3269" s="93" t="s">
        <v>32</v>
      </c>
      <c r="Y3269" s="93" t="s">
        <v>68</v>
      </c>
      <c r="Z3269" s="134">
        <f>VLOOKUP(W3269,Sheet2!$B:$D,3,FALSE)</f>
        <v>5</v>
      </c>
      <c r="AA3269" s="93">
        <v>1</v>
      </c>
      <c r="AB3269" s="93">
        <f>AD3269/AC3268</f>
        <v>5</v>
      </c>
      <c r="AC3269" s="93">
        <f>AC3268/AA3269</f>
        <v>78.500549999999862</v>
      </c>
      <c r="AD3269" s="94">
        <f t="shared" ref="AD3269" si="2503">AC3269*Z3269</f>
        <v>392.50274999999931</v>
      </c>
      <c r="AE3269" s="190"/>
      <c r="AF3269" s="191"/>
      <c r="AG3269" s="191"/>
      <c r="AH3269" s="191"/>
      <c r="AI3269" s="186"/>
      <c r="AK3269" s="171"/>
    </row>
    <row r="3270" spans="1:41" ht="20.100000000000001" customHeight="1" x14ac:dyDescent="0.25">
      <c r="A3270" s="277" t="s">
        <v>491</v>
      </c>
      <c r="B3270" s="278"/>
      <c r="C3270" s="64" t="s">
        <v>1162</v>
      </c>
      <c r="D3270" s="46" t="s">
        <v>97</v>
      </c>
      <c r="E3270" s="114">
        <v>181.13374999999974</v>
      </c>
      <c r="F3270" s="44">
        <v>588</v>
      </c>
      <c r="G3270" s="44">
        <f t="shared" si="2434"/>
        <v>106506.64499999984</v>
      </c>
      <c r="H3270" s="44">
        <f t="shared" si="2435"/>
        <v>200.04736470588233</v>
      </c>
      <c r="I3270" s="43">
        <f t="shared" si="2436"/>
        <v>36235.32934679406</v>
      </c>
      <c r="J3270" s="112">
        <f t="shared" si="2437"/>
        <v>181.13374999999974</v>
      </c>
      <c r="K3270" s="211">
        <f t="shared" si="2438"/>
        <v>181.13374999999974</v>
      </c>
      <c r="L3270" s="44"/>
      <c r="M3270" s="44">
        <f t="shared" si="2458"/>
        <v>181.13374999999974</v>
      </c>
      <c r="N3270" s="173">
        <f t="shared" si="2439"/>
        <v>1</v>
      </c>
      <c r="O3270" s="44">
        <f t="shared" si="2440"/>
        <v>588</v>
      </c>
      <c r="P3270" s="44">
        <f t="shared" si="2441"/>
        <v>106506.64499999984</v>
      </c>
      <c r="Q3270" s="44">
        <f t="shared" si="2442"/>
        <v>200.04736470588233</v>
      </c>
      <c r="R3270" s="44">
        <f t="shared" si="2459"/>
        <v>36235.32934679406</v>
      </c>
      <c r="S3270" s="123"/>
      <c r="T3270" s="219">
        <f t="shared" si="2460"/>
        <v>36235.32934679406</v>
      </c>
      <c r="U3270" s="87"/>
      <c r="V3270" s="47"/>
      <c r="W3270" s="48"/>
      <c r="X3270" s="48"/>
      <c r="Y3270" s="48"/>
      <c r="Z3270" s="135"/>
      <c r="AA3270" s="49"/>
      <c r="AB3270" s="50">
        <f t="shared" si="2443"/>
        <v>200.04736470588233</v>
      </c>
      <c r="AC3270" s="42">
        <f t="shared" si="2461"/>
        <v>181.13374999999974</v>
      </c>
      <c r="AD3270" s="90">
        <f>AD3271+AD3281+AD3289</f>
        <v>36235.32934679406</v>
      </c>
      <c r="AE3270" s="188">
        <f t="shared" ref="AE3270" si="2504">AE3271+AE3281+AE3289</f>
        <v>0</v>
      </c>
      <c r="AF3270" s="189">
        <f t="shared" ref="AF3270" si="2505">AF3271+AF3281+AF3289</f>
        <v>0</v>
      </c>
      <c r="AG3270" s="189">
        <f t="shared" ref="AG3270" si="2506">AG3271+AG3281+AG3289</f>
        <v>0</v>
      </c>
      <c r="AH3270" s="189">
        <f t="shared" ref="AH3270" si="2507">AH3271+AH3281+AH3289</f>
        <v>0</v>
      </c>
      <c r="AI3270" s="161">
        <f t="shared" si="2494"/>
        <v>0</v>
      </c>
      <c r="AK3270" s="169">
        <v>5</v>
      </c>
      <c r="AO3270" s="19" t="s">
        <v>63</v>
      </c>
    </row>
    <row r="3271" spans="1:41" s="103" customFormat="1" ht="19.899999999999999" customHeight="1" x14ac:dyDescent="0.25">
      <c r="A3271" s="51"/>
      <c r="B3271" s="52"/>
      <c r="C3271" s="165"/>
      <c r="D3271" s="52"/>
      <c r="E3271" s="115"/>
      <c r="F3271" s="58"/>
      <c r="G3271" s="58"/>
      <c r="H3271" s="58"/>
      <c r="I3271" s="55"/>
      <c r="J3271" s="113">
        <f>J3270</f>
        <v>181.13374999999974</v>
      </c>
      <c r="K3271" s="212">
        <f>K3270</f>
        <v>181.13374999999974</v>
      </c>
      <c r="L3271" s="58"/>
      <c r="M3271" s="58">
        <f>K3271-L3271</f>
        <v>181.13374999999974</v>
      </c>
      <c r="N3271" s="166"/>
      <c r="O3271" s="58"/>
      <c r="P3271" s="58"/>
      <c r="Q3271" s="58"/>
      <c r="R3271" s="58"/>
      <c r="S3271" s="58"/>
      <c r="T3271" s="220"/>
      <c r="U3271" s="88"/>
      <c r="V3271" s="56"/>
      <c r="W3271" s="57" t="s">
        <v>1223</v>
      </c>
      <c r="X3271" s="53"/>
      <c r="Y3271" s="91" t="s">
        <v>68</v>
      </c>
      <c r="Z3271" s="136">
        <f>AD3271/AC3271</f>
        <v>92.464031372549002</v>
      </c>
      <c r="AA3271" s="58"/>
      <c r="AB3271" s="53">
        <f>AD3271/AC3271</f>
        <v>92.464031372549002</v>
      </c>
      <c r="AC3271" s="53">
        <f>M3271+$AE$10</f>
        <v>181.13374999999974</v>
      </c>
      <c r="AD3271" s="54">
        <f>SUM(AD3272:AD3280)</f>
        <v>16748.356742627424</v>
      </c>
      <c r="AE3271" s="184">
        <f>SUMIFS($AD$37:$AD$12971,$V$37:$V$12971,$V3271,$X$37:$X$12971,AE$13)</f>
        <v>0</v>
      </c>
      <c r="AF3271" s="185">
        <f>SUMIFS($AD$37:$AD$12971,$V$37:$V$12971,$V3271,$X$37:$X$12971,AF$13)</f>
        <v>0</v>
      </c>
      <c r="AG3271" s="185">
        <f>SUMIFS($AD$37:$AD$12971,$V$37:$V$12971,$V3271,$X$37:$X$12971,AG$13)</f>
        <v>0</v>
      </c>
      <c r="AH3271" s="187">
        <f>SUMIFS($AD$37:$AD$12971,$V$37:$V$12971,$V3271,$X$37:$X$12971,AH$13)</f>
        <v>0</v>
      </c>
      <c r="AI3271" s="161">
        <f t="shared" ref="AI3271" si="2508">SUM(AE3271:AH3271)</f>
        <v>0</v>
      </c>
      <c r="AK3271" s="172"/>
    </row>
    <row r="3272" spans="1:41" s="102" customFormat="1" ht="19.899999999999999" customHeight="1" x14ac:dyDescent="0.25">
      <c r="A3272" s="45"/>
      <c r="B3272" s="59"/>
      <c r="C3272" s="137"/>
      <c r="D3272" s="59"/>
      <c r="E3272" s="116"/>
      <c r="F3272" s="120"/>
      <c r="G3272" s="120"/>
      <c r="H3272" s="120"/>
      <c r="I3272" s="60"/>
      <c r="J3272" s="116"/>
      <c r="K3272" s="213"/>
      <c r="L3272" s="120"/>
      <c r="M3272" s="120"/>
      <c r="N3272" s="167"/>
      <c r="O3272" s="120"/>
      <c r="P3272" s="120"/>
      <c r="Q3272" s="120"/>
      <c r="R3272" s="120"/>
      <c r="S3272" s="120"/>
      <c r="T3272" s="221"/>
      <c r="U3272" s="89"/>
      <c r="V3272" s="61"/>
      <c r="W3272" s="92" t="s">
        <v>131</v>
      </c>
      <c r="X3272" s="93" t="s">
        <v>29</v>
      </c>
      <c r="Y3272" s="93" t="s">
        <v>93</v>
      </c>
      <c r="Z3272" s="134">
        <f>VLOOKUP(W3272,Sheet2!$B:$D,3,FALSE)</f>
        <v>131.19999999999999</v>
      </c>
      <c r="AA3272" s="93">
        <f>80/(1*5)</f>
        <v>16</v>
      </c>
      <c r="AB3272" s="93">
        <f t="shared" ref="AB3272" si="2509">AD3272/AC3271</f>
        <v>8.1999999999999993</v>
      </c>
      <c r="AC3272" s="93">
        <f>AC3271/AA3272</f>
        <v>11.320859374999984</v>
      </c>
      <c r="AD3272" s="94">
        <f t="shared" ref="AD3272:AD3273" si="2510">AC3272*Z3272</f>
        <v>1485.2967499999977</v>
      </c>
      <c r="AE3272" s="190"/>
      <c r="AF3272" s="191"/>
      <c r="AG3272" s="191"/>
      <c r="AH3272" s="191"/>
      <c r="AI3272" s="186"/>
      <c r="AK3272" s="171"/>
    </row>
    <row r="3273" spans="1:41" s="102" customFormat="1" ht="19.899999999999999" customHeight="1" x14ac:dyDescent="0.25">
      <c r="A3273" s="45"/>
      <c r="B3273" s="59"/>
      <c r="C3273" s="137"/>
      <c r="D3273" s="59"/>
      <c r="E3273" s="116"/>
      <c r="F3273" s="120"/>
      <c r="G3273" s="120"/>
      <c r="H3273" s="120"/>
      <c r="I3273" s="60"/>
      <c r="J3273" s="116"/>
      <c r="K3273" s="213"/>
      <c r="L3273" s="120"/>
      <c r="M3273" s="120"/>
      <c r="N3273" s="167"/>
      <c r="O3273" s="120"/>
      <c r="P3273" s="120"/>
      <c r="Q3273" s="120"/>
      <c r="R3273" s="120"/>
      <c r="S3273" s="120"/>
      <c r="T3273" s="221"/>
      <c r="U3273" s="89"/>
      <c r="V3273" s="61"/>
      <c r="W3273" s="92" t="s">
        <v>65</v>
      </c>
      <c r="X3273" s="93" t="s">
        <v>30</v>
      </c>
      <c r="Y3273" s="93" t="s">
        <v>1011</v>
      </c>
      <c r="Z3273" s="134">
        <f>VLOOKUP(W3273,Sheet2!$B:$D,3,FALSE)</f>
        <v>1.76</v>
      </c>
      <c r="AA3273" s="93">
        <f>AA3272/32</f>
        <v>0.5</v>
      </c>
      <c r="AB3273" s="93">
        <f>AD3273/AC3271</f>
        <v>3.52</v>
      </c>
      <c r="AC3273" s="93">
        <f>AC3271/AA3273</f>
        <v>362.26749999999947</v>
      </c>
      <c r="AD3273" s="94">
        <f t="shared" si="2510"/>
        <v>637.59079999999904</v>
      </c>
      <c r="AE3273" s="190"/>
      <c r="AF3273" s="191"/>
      <c r="AG3273" s="191"/>
      <c r="AH3273" s="191"/>
      <c r="AI3273" s="186"/>
      <c r="AK3273" s="171"/>
    </row>
    <row r="3274" spans="1:41" s="102" customFormat="1" ht="19.899999999999999" customHeight="1" x14ac:dyDescent="0.25">
      <c r="A3274" s="45"/>
      <c r="B3274" s="59"/>
      <c r="C3274" s="137"/>
      <c r="D3274" s="59"/>
      <c r="E3274" s="116"/>
      <c r="F3274" s="120"/>
      <c r="G3274" s="120"/>
      <c r="H3274" s="120"/>
      <c r="I3274" s="60"/>
      <c r="J3274" s="116"/>
      <c r="K3274" s="213"/>
      <c r="L3274" s="120"/>
      <c r="M3274" s="120"/>
      <c r="N3274" s="167"/>
      <c r="O3274" s="120"/>
      <c r="P3274" s="120"/>
      <c r="Q3274" s="120"/>
      <c r="R3274" s="120"/>
      <c r="S3274" s="120"/>
      <c r="T3274" s="221"/>
      <c r="U3274" s="89"/>
      <c r="V3274" s="61"/>
      <c r="W3274" s="92" t="s">
        <v>161</v>
      </c>
      <c r="X3274" s="93" t="s">
        <v>29</v>
      </c>
      <c r="Y3274" s="93" t="s">
        <v>93</v>
      </c>
      <c r="Z3274" s="134">
        <f>VLOOKUP(W3274,Sheet2!$B:$D,3,FALSE)</f>
        <v>48</v>
      </c>
      <c r="AA3274" s="93">
        <f>(16*0.85*1.5)/(1*5)</f>
        <v>4.08</v>
      </c>
      <c r="AB3274" s="93">
        <f>AD3274/AC3271</f>
        <v>11.76470588235294</v>
      </c>
      <c r="AC3274" s="93">
        <f>AC3271/AA3274</f>
        <v>44.395526960784245</v>
      </c>
      <c r="AD3274" s="94">
        <f>AC3274*Z3274</f>
        <v>2130.9852941176437</v>
      </c>
      <c r="AE3274" s="190"/>
      <c r="AF3274" s="191"/>
      <c r="AG3274" s="191"/>
      <c r="AH3274" s="191"/>
      <c r="AI3274" s="186"/>
      <c r="AK3274" s="171"/>
    </row>
    <row r="3275" spans="1:41" s="102" customFormat="1" ht="19.899999999999999" customHeight="1" x14ac:dyDescent="0.25">
      <c r="A3275" s="45"/>
      <c r="B3275" s="59"/>
      <c r="C3275" s="137"/>
      <c r="D3275" s="59"/>
      <c r="E3275" s="116"/>
      <c r="F3275" s="120"/>
      <c r="G3275" s="120"/>
      <c r="H3275" s="120"/>
      <c r="I3275" s="60"/>
      <c r="J3275" s="116"/>
      <c r="K3275" s="213"/>
      <c r="L3275" s="120"/>
      <c r="M3275" s="120"/>
      <c r="N3275" s="167"/>
      <c r="O3275" s="120"/>
      <c r="P3275" s="120"/>
      <c r="Q3275" s="120"/>
      <c r="R3275" s="120"/>
      <c r="S3275" s="120"/>
      <c r="T3275" s="221"/>
      <c r="U3275" s="89"/>
      <c r="V3275" s="61"/>
      <c r="W3275" s="92" t="s">
        <v>65</v>
      </c>
      <c r="X3275" s="93" t="s">
        <v>30</v>
      </c>
      <c r="Y3275" s="93" t="s">
        <v>1011</v>
      </c>
      <c r="Z3275" s="134">
        <f>VLOOKUP(W3275,Sheet2!$B:$D,3,FALSE)</f>
        <v>1.76</v>
      </c>
      <c r="AA3275" s="93">
        <f>AA3274/10</f>
        <v>0.40800000000000003</v>
      </c>
      <c r="AB3275" s="93">
        <f>AD3275/AC3271</f>
        <v>4.3137254901960782</v>
      </c>
      <c r="AC3275" s="93">
        <f>AC3271/AA3275</f>
        <v>443.95526960784247</v>
      </c>
      <c r="AD3275" s="94">
        <f>AC3275*Z3275</f>
        <v>781.3612745098028</v>
      </c>
      <c r="AE3275" s="190"/>
      <c r="AF3275" s="191"/>
      <c r="AG3275" s="191"/>
      <c r="AH3275" s="191"/>
      <c r="AI3275" s="186"/>
      <c r="AK3275" s="171"/>
    </row>
    <row r="3276" spans="1:41" s="102" customFormat="1" ht="19.899999999999999" customHeight="1" x14ac:dyDescent="0.25">
      <c r="A3276" s="45"/>
      <c r="B3276" s="59"/>
      <c r="C3276" s="137"/>
      <c r="D3276" s="59"/>
      <c r="E3276" s="116"/>
      <c r="F3276" s="120"/>
      <c r="G3276" s="120"/>
      <c r="H3276" s="120"/>
      <c r="I3276" s="60"/>
      <c r="J3276" s="116"/>
      <c r="K3276" s="213"/>
      <c r="L3276" s="120"/>
      <c r="M3276" s="120"/>
      <c r="N3276" s="167"/>
      <c r="O3276" s="120"/>
      <c r="P3276" s="120"/>
      <c r="Q3276" s="120"/>
      <c r="R3276" s="120"/>
      <c r="S3276" s="120"/>
      <c r="T3276" s="221"/>
      <c r="U3276" s="89"/>
      <c r="V3276" s="61"/>
      <c r="W3276" s="92" t="s">
        <v>1030</v>
      </c>
      <c r="X3276" s="93" t="s">
        <v>29</v>
      </c>
      <c r="Y3276" s="93" t="s">
        <v>93</v>
      </c>
      <c r="Z3276" s="134">
        <f>VLOOKUP(W3276,Sheet2!$B:$D,3,FALSE)</f>
        <v>23</v>
      </c>
      <c r="AA3276" s="93">
        <v>50</v>
      </c>
      <c r="AB3276" s="93">
        <f>AD3276/AC3271</f>
        <v>0.46</v>
      </c>
      <c r="AC3276" s="93">
        <f>AC3271/AA3276</f>
        <v>3.6226749999999948</v>
      </c>
      <c r="AD3276" s="94">
        <f t="shared" ref="AD3276:AD3280" si="2511">AC3276*Z3276</f>
        <v>83.32152499999988</v>
      </c>
      <c r="AE3276" s="190"/>
      <c r="AF3276" s="191"/>
      <c r="AG3276" s="191"/>
      <c r="AH3276" s="191"/>
      <c r="AI3276" s="186"/>
      <c r="AK3276" s="171"/>
    </row>
    <row r="3277" spans="1:41" s="102" customFormat="1" ht="19.899999999999999" customHeight="1" x14ac:dyDescent="0.25">
      <c r="A3277" s="45"/>
      <c r="B3277" s="59"/>
      <c r="C3277" s="137"/>
      <c r="D3277" s="59"/>
      <c r="E3277" s="116"/>
      <c r="F3277" s="120"/>
      <c r="G3277" s="120"/>
      <c r="H3277" s="120"/>
      <c r="I3277" s="60"/>
      <c r="J3277" s="116"/>
      <c r="K3277" s="213"/>
      <c r="L3277" s="120"/>
      <c r="M3277" s="120"/>
      <c r="N3277" s="167"/>
      <c r="O3277" s="120"/>
      <c r="P3277" s="120"/>
      <c r="Q3277" s="120"/>
      <c r="R3277" s="120"/>
      <c r="S3277" s="120"/>
      <c r="T3277" s="221"/>
      <c r="U3277" s="89"/>
      <c r="V3277" s="61"/>
      <c r="W3277" s="92" t="s">
        <v>65</v>
      </c>
      <c r="X3277" s="93" t="s">
        <v>30</v>
      </c>
      <c r="Y3277" s="93" t="s">
        <v>1011</v>
      </c>
      <c r="Z3277" s="134">
        <f>VLOOKUP(W3277,Sheet2!$B:$D,3,FALSE)</f>
        <v>1.76</v>
      </c>
      <c r="AA3277" s="93">
        <f>AA3276/3</f>
        <v>16.666666666666668</v>
      </c>
      <c r="AB3277" s="93">
        <f>AD3277/AC3271</f>
        <v>0.1056</v>
      </c>
      <c r="AC3277" s="93">
        <f>AC3271/AA3277</f>
        <v>10.868024999999983</v>
      </c>
      <c r="AD3277" s="94">
        <f t="shared" si="2511"/>
        <v>19.127723999999972</v>
      </c>
      <c r="AE3277" s="190"/>
      <c r="AF3277" s="191"/>
      <c r="AG3277" s="191"/>
      <c r="AH3277" s="191"/>
      <c r="AI3277" s="186"/>
      <c r="AK3277" s="171"/>
    </row>
    <row r="3278" spans="1:41" s="102" customFormat="1" ht="19.899999999999999" customHeight="1" x14ac:dyDescent="0.25">
      <c r="A3278" s="45"/>
      <c r="B3278" s="59"/>
      <c r="C3278" s="137"/>
      <c r="D3278" s="59"/>
      <c r="E3278" s="116"/>
      <c r="F3278" s="120"/>
      <c r="G3278" s="120"/>
      <c r="H3278" s="120"/>
      <c r="I3278" s="60"/>
      <c r="J3278" s="116"/>
      <c r="K3278" s="213"/>
      <c r="L3278" s="120"/>
      <c r="M3278" s="120"/>
      <c r="N3278" s="167"/>
      <c r="O3278" s="120"/>
      <c r="P3278" s="120"/>
      <c r="Q3278" s="120"/>
      <c r="R3278" s="120"/>
      <c r="S3278" s="120"/>
      <c r="T3278" s="221"/>
      <c r="U3278" s="89"/>
      <c r="V3278" s="61"/>
      <c r="W3278" s="92" t="s">
        <v>148</v>
      </c>
      <c r="X3278" s="93" t="s">
        <v>29</v>
      </c>
      <c r="Y3278" s="93" t="s">
        <v>93</v>
      </c>
      <c r="Z3278" s="134">
        <f>VLOOKUP(W3278,Sheet2!$B:$D,3,FALSE)</f>
        <v>48</v>
      </c>
      <c r="AA3278" s="93">
        <f>AA3272</f>
        <v>16</v>
      </c>
      <c r="AB3278" s="93">
        <f>AD3278/AC3271</f>
        <v>3</v>
      </c>
      <c r="AC3278" s="93">
        <f>AC3271/AA3278</f>
        <v>11.320859374999984</v>
      </c>
      <c r="AD3278" s="94">
        <f t="shared" si="2511"/>
        <v>543.40124999999921</v>
      </c>
      <c r="AE3278" s="190"/>
      <c r="AF3278" s="191"/>
      <c r="AG3278" s="191"/>
      <c r="AH3278" s="191"/>
      <c r="AI3278" s="186"/>
      <c r="AK3278" s="171"/>
    </row>
    <row r="3279" spans="1:41" s="102" customFormat="1" ht="19.899999999999999" customHeight="1" x14ac:dyDescent="0.25">
      <c r="A3279" s="45"/>
      <c r="B3279" s="59"/>
      <c r="C3279" s="137"/>
      <c r="D3279" s="59"/>
      <c r="E3279" s="116"/>
      <c r="F3279" s="120"/>
      <c r="G3279" s="120"/>
      <c r="H3279" s="120"/>
      <c r="I3279" s="60"/>
      <c r="J3279" s="116"/>
      <c r="K3279" s="213"/>
      <c r="L3279" s="120"/>
      <c r="M3279" s="120"/>
      <c r="N3279" s="167"/>
      <c r="O3279" s="120"/>
      <c r="P3279" s="120"/>
      <c r="Q3279" s="120"/>
      <c r="R3279" s="120"/>
      <c r="S3279" s="120"/>
      <c r="T3279" s="221"/>
      <c r="U3279" s="89"/>
      <c r="V3279" s="61"/>
      <c r="W3279" s="92" t="s">
        <v>65</v>
      </c>
      <c r="X3279" s="93" t="s">
        <v>30</v>
      </c>
      <c r="Y3279" s="93" t="s">
        <v>1011</v>
      </c>
      <c r="Z3279" s="134">
        <f>VLOOKUP(W3279,Sheet2!$B:$D,3,FALSE)</f>
        <v>1.76</v>
      </c>
      <c r="AA3279" s="93">
        <f>AA3278/10</f>
        <v>1.6</v>
      </c>
      <c r="AB3279" s="93">
        <f>AD3279/AC3271</f>
        <v>1.0999999999999999</v>
      </c>
      <c r="AC3279" s="93">
        <f>AC3271/AA3279</f>
        <v>113.20859374999984</v>
      </c>
      <c r="AD3279" s="94">
        <f t="shared" si="2511"/>
        <v>199.2471249999997</v>
      </c>
      <c r="AE3279" s="190"/>
      <c r="AF3279" s="191"/>
      <c r="AG3279" s="191"/>
      <c r="AH3279" s="191"/>
      <c r="AI3279" s="186"/>
      <c r="AK3279" s="171"/>
    </row>
    <row r="3280" spans="1:41" s="102" customFormat="1" ht="19.899999999999999" customHeight="1" x14ac:dyDescent="0.25">
      <c r="A3280" s="45"/>
      <c r="B3280" s="59"/>
      <c r="C3280" s="137"/>
      <c r="D3280" s="59"/>
      <c r="E3280" s="116"/>
      <c r="F3280" s="120"/>
      <c r="G3280" s="120"/>
      <c r="H3280" s="120"/>
      <c r="I3280" s="60"/>
      <c r="J3280" s="116"/>
      <c r="K3280" s="213"/>
      <c r="L3280" s="120"/>
      <c r="M3280" s="120"/>
      <c r="N3280" s="167"/>
      <c r="O3280" s="120"/>
      <c r="P3280" s="120"/>
      <c r="Q3280" s="120"/>
      <c r="R3280" s="120"/>
      <c r="S3280" s="120"/>
      <c r="T3280" s="221"/>
      <c r="U3280" s="89"/>
      <c r="V3280" s="61"/>
      <c r="W3280" s="92" t="s">
        <v>1049</v>
      </c>
      <c r="X3280" s="93" t="s">
        <v>30</v>
      </c>
      <c r="Y3280" s="93" t="s">
        <v>68</v>
      </c>
      <c r="Z3280" s="134">
        <f>VLOOKUP(W3280,Sheet2!$B:$D,3,FALSE)</f>
        <v>60</v>
      </c>
      <c r="AA3280" s="93">
        <v>1</v>
      </c>
      <c r="AB3280" s="93">
        <f>AD3280/AC3271</f>
        <v>59.999999999999993</v>
      </c>
      <c r="AC3280" s="93">
        <f>AC3271/AA3280</f>
        <v>181.13374999999974</v>
      </c>
      <c r="AD3280" s="94">
        <f t="shared" si="2511"/>
        <v>10868.024999999983</v>
      </c>
      <c r="AE3280" s="190"/>
      <c r="AF3280" s="191"/>
      <c r="AG3280" s="191"/>
      <c r="AH3280" s="191"/>
      <c r="AI3280" s="186"/>
      <c r="AK3280" s="171"/>
    </row>
    <row r="3281" spans="1:41" s="103" customFormat="1" ht="19.899999999999999" customHeight="1" x14ac:dyDescent="0.25">
      <c r="A3281" s="51"/>
      <c r="B3281" s="52"/>
      <c r="C3281" s="165"/>
      <c r="D3281" s="52"/>
      <c r="E3281" s="115"/>
      <c r="F3281" s="58"/>
      <c r="G3281" s="58"/>
      <c r="H3281" s="58"/>
      <c r="I3281" s="55"/>
      <c r="J3281" s="113">
        <f>J3270</f>
        <v>181.13374999999974</v>
      </c>
      <c r="K3281" s="212">
        <f>K3270</f>
        <v>181.13374999999974</v>
      </c>
      <c r="L3281" s="58"/>
      <c r="M3281" s="58">
        <f>K3281-L3281</f>
        <v>181.13374999999974</v>
      </c>
      <c r="N3281" s="166"/>
      <c r="O3281" s="58"/>
      <c r="P3281" s="58"/>
      <c r="Q3281" s="58"/>
      <c r="R3281" s="58"/>
      <c r="S3281" s="58"/>
      <c r="T3281" s="220"/>
      <c r="U3281" s="88"/>
      <c r="V3281" s="56"/>
      <c r="W3281" s="57" t="s">
        <v>1036</v>
      </c>
      <c r="X3281" s="53"/>
      <c r="Y3281" s="91" t="s">
        <v>68</v>
      </c>
      <c r="Z3281" s="136">
        <f>AD3281/AC3281</f>
        <v>102.58333333333333</v>
      </c>
      <c r="AA3281" s="58"/>
      <c r="AB3281" s="53">
        <f>AD3281/AC3281</f>
        <v>102.58333333333333</v>
      </c>
      <c r="AC3281" s="53">
        <f>M3281+$AE$10</f>
        <v>181.13374999999974</v>
      </c>
      <c r="AD3281" s="54">
        <f>SUM(AD3282:AD3288)</f>
        <v>18581.303854166639</v>
      </c>
      <c r="AE3281" s="184">
        <f>SUMIFS($AD$37:$AD$12971,$V$37:$V$12971,$V3281,$X$37:$X$12971,AE$13)</f>
        <v>0</v>
      </c>
      <c r="AF3281" s="185">
        <f>SUMIFS($AD$37:$AD$12971,$V$37:$V$12971,$V3281,$X$37:$X$12971,AF$13)</f>
        <v>0</v>
      </c>
      <c r="AG3281" s="185">
        <f>SUMIFS($AD$37:$AD$12971,$V$37:$V$12971,$V3281,$X$37:$X$12971,AG$13)</f>
        <v>0</v>
      </c>
      <c r="AH3281" s="187">
        <f>SUMIFS($AD$37:$AD$12971,$V$37:$V$12971,$V3281,$X$37:$X$12971,AH$13)</f>
        <v>0</v>
      </c>
      <c r="AI3281" s="161">
        <f t="shared" ref="AI3281" si="2512">SUM(AE3281:AH3281)</f>
        <v>0</v>
      </c>
      <c r="AK3281" s="172"/>
    </row>
    <row r="3282" spans="1:41" s="102" customFormat="1" ht="19.899999999999999" customHeight="1" x14ac:dyDescent="0.25">
      <c r="A3282" s="45"/>
      <c r="B3282" s="59"/>
      <c r="C3282" s="137"/>
      <c r="D3282" s="59"/>
      <c r="E3282" s="116"/>
      <c r="F3282" s="120"/>
      <c r="G3282" s="120"/>
      <c r="H3282" s="120"/>
      <c r="I3282" s="60"/>
      <c r="J3282" s="116"/>
      <c r="K3282" s="213"/>
      <c r="L3282" s="120"/>
      <c r="M3282" s="120"/>
      <c r="N3282" s="167"/>
      <c r="O3282" s="120"/>
      <c r="P3282" s="120"/>
      <c r="Q3282" s="120"/>
      <c r="R3282" s="120"/>
      <c r="S3282" s="120"/>
      <c r="T3282" s="221"/>
      <c r="U3282" s="89"/>
      <c r="V3282" s="61"/>
      <c r="W3282" s="92" t="s">
        <v>1045</v>
      </c>
      <c r="X3282" s="93" t="s">
        <v>30</v>
      </c>
      <c r="Y3282" s="93" t="s">
        <v>68</v>
      </c>
      <c r="Z3282" s="134">
        <f>VLOOKUP(W3282,Sheet2!$B:$D,3,FALSE)</f>
        <v>52</v>
      </c>
      <c r="AA3282" s="93">
        <v>1</v>
      </c>
      <c r="AB3282" s="93">
        <f>AD3282/AC3281</f>
        <v>52.000000000000007</v>
      </c>
      <c r="AC3282" s="93">
        <f>AC3281/AA3282</f>
        <v>181.13374999999974</v>
      </c>
      <c r="AD3282" s="94">
        <f t="shared" ref="AD3282" si="2513">AC3282*Z3282</f>
        <v>9418.9549999999872</v>
      </c>
      <c r="AE3282" s="190"/>
      <c r="AF3282" s="191"/>
      <c r="AG3282" s="191"/>
      <c r="AH3282" s="191"/>
      <c r="AI3282" s="186"/>
      <c r="AK3282" s="171"/>
    </row>
    <row r="3283" spans="1:41" s="102" customFormat="1" ht="19.899999999999999" customHeight="1" x14ac:dyDescent="0.25">
      <c r="A3283" s="45"/>
      <c r="B3283" s="59"/>
      <c r="C3283" s="137"/>
      <c r="D3283" s="59"/>
      <c r="E3283" s="116"/>
      <c r="F3283" s="120"/>
      <c r="G3283" s="120"/>
      <c r="H3283" s="120"/>
      <c r="I3283" s="60"/>
      <c r="J3283" s="116"/>
      <c r="K3283" s="213"/>
      <c r="L3283" s="120"/>
      <c r="M3283" s="120"/>
      <c r="N3283" s="167"/>
      <c r="O3283" s="120"/>
      <c r="P3283" s="120"/>
      <c r="Q3283" s="120"/>
      <c r="R3283" s="120"/>
      <c r="S3283" s="120"/>
      <c r="T3283" s="221"/>
      <c r="U3283" s="89"/>
      <c r="V3283" s="61"/>
      <c r="W3283" s="92" t="s">
        <v>1043</v>
      </c>
      <c r="X3283" s="93" t="s">
        <v>30</v>
      </c>
      <c r="Y3283" s="93" t="s">
        <v>68</v>
      </c>
      <c r="Z3283" s="134">
        <f>VLOOKUP(W3283,Sheet2!$B:$D,3,FALSE)</f>
        <v>5</v>
      </c>
      <c r="AA3283" s="93">
        <v>1</v>
      </c>
      <c r="AB3283" s="93">
        <f>AD3283/AC3281</f>
        <v>5</v>
      </c>
      <c r="AC3283" s="93">
        <f>AC3281/AA3283</f>
        <v>181.13374999999974</v>
      </c>
      <c r="AD3283" s="94">
        <f>AC3283*Z3283</f>
        <v>905.66874999999868</v>
      </c>
      <c r="AE3283" s="190"/>
      <c r="AF3283" s="191"/>
      <c r="AG3283" s="191"/>
      <c r="AH3283" s="191"/>
      <c r="AI3283" s="186"/>
      <c r="AK3283" s="171"/>
    </row>
    <row r="3284" spans="1:41" s="102" customFormat="1" ht="19.899999999999999" customHeight="1" x14ac:dyDescent="0.25">
      <c r="A3284" s="45"/>
      <c r="B3284" s="59"/>
      <c r="C3284" s="137"/>
      <c r="D3284" s="59"/>
      <c r="E3284" s="116"/>
      <c r="F3284" s="120"/>
      <c r="G3284" s="120"/>
      <c r="H3284" s="120"/>
      <c r="I3284" s="60"/>
      <c r="J3284" s="116"/>
      <c r="K3284" s="213"/>
      <c r="L3284" s="120"/>
      <c r="M3284" s="120"/>
      <c r="N3284" s="167"/>
      <c r="O3284" s="120"/>
      <c r="P3284" s="120"/>
      <c r="Q3284" s="120"/>
      <c r="R3284" s="120"/>
      <c r="S3284" s="120"/>
      <c r="T3284" s="221"/>
      <c r="U3284" s="89"/>
      <c r="V3284" s="61"/>
      <c r="W3284" s="92" t="s">
        <v>107</v>
      </c>
      <c r="X3284" s="93" t="s">
        <v>31</v>
      </c>
      <c r="Y3284" s="93" t="s">
        <v>93</v>
      </c>
      <c r="Z3284" s="134">
        <f>VLOOKUP(W3284,Sheet2!$B:$D,3,FALSE)</f>
        <v>17</v>
      </c>
      <c r="AA3284" s="93">
        <v>6</v>
      </c>
      <c r="AB3284" s="93">
        <f>AD3284/AC3281</f>
        <v>2.8333333333333335</v>
      </c>
      <c r="AC3284" s="93">
        <f>AC3281/AA3284</f>
        <v>30.188958333333289</v>
      </c>
      <c r="AD3284" s="94">
        <f>AC3284*Z3284</f>
        <v>513.21229166666592</v>
      </c>
      <c r="AE3284" s="190"/>
      <c r="AF3284" s="191"/>
      <c r="AG3284" s="191"/>
      <c r="AH3284" s="191"/>
      <c r="AI3284" s="186"/>
      <c r="AK3284" s="171"/>
    </row>
    <row r="3285" spans="1:41" s="102" customFormat="1" ht="19.899999999999999" customHeight="1" x14ac:dyDescent="0.25">
      <c r="A3285" s="45"/>
      <c r="B3285" s="59"/>
      <c r="C3285" s="137"/>
      <c r="D3285" s="59"/>
      <c r="E3285" s="116"/>
      <c r="F3285" s="120"/>
      <c r="G3285" s="120"/>
      <c r="H3285" s="120"/>
      <c r="I3285" s="60"/>
      <c r="J3285" s="116"/>
      <c r="K3285" s="213"/>
      <c r="L3285" s="120"/>
      <c r="M3285" s="120"/>
      <c r="N3285" s="167"/>
      <c r="O3285" s="120"/>
      <c r="P3285" s="120"/>
      <c r="Q3285" s="120"/>
      <c r="R3285" s="120"/>
      <c r="S3285" s="120"/>
      <c r="T3285" s="221"/>
      <c r="U3285" s="89"/>
      <c r="V3285" s="61"/>
      <c r="W3285" s="92" t="s">
        <v>112</v>
      </c>
      <c r="X3285" s="93" t="s">
        <v>31</v>
      </c>
      <c r="Y3285" s="93" t="s">
        <v>93</v>
      </c>
      <c r="Z3285" s="134">
        <f>VLOOKUP(W3285,Sheet2!$B:$D,3,FALSE)</f>
        <v>13</v>
      </c>
      <c r="AA3285" s="93">
        <v>6</v>
      </c>
      <c r="AB3285" s="93">
        <f>AD3285/AC3281</f>
        <v>2.1666666666666665</v>
      </c>
      <c r="AC3285" s="93">
        <f>AC3281/AA3285</f>
        <v>30.188958333333289</v>
      </c>
      <c r="AD3285" s="94">
        <f>AC3285*Z3285</f>
        <v>392.45645833333276</v>
      </c>
      <c r="AE3285" s="190"/>
      <c r="AF3285" s="191"/>
      <c r="AG3285" s="191"/>
      <c r="AH3285" s="191"/>
      <c r="AI3285" s="186"/>
      <c r="AK3285" s="171"/>
    </row>
    <row r="3286" spans="1:41" s="102" customFormat="1" ht="19.899999999999999" customHeight="1" x14ac:dyDescent="0.25">
      <c r="A3286" s="45"/>
      <c r="B3286" s="59"/>
      <c r="C3286" s="137"/>
      <c r="D3286" s="59"/>
      <c r="E3286" s="116"/>
      <c r="F3286" s="120"/>
      <c r="G3286" s="120"/>
      <c r="H3286" s="120"/>
      <c r="I3286" s="60"/>
      <c r="J3286" s="116"/>
      <c r="K3286" s="213"/>
      <c r="L3286" s="120"/>
      <c r="M3286" s="120"/>
      <c r="N3286" s="167"/>
      <c r="O3286" s="120"/>
      <c r="P3286" s="120"/>
      <c r="Q3286" s="120"/>
      <c r="R3286" s="120"/>
      <c r="S3286" s="120"/>
      <c r="T3286" s="221"/>
      <c r="U3286" s="89"/>
      <c r="V3286" s="61"/>
      <c r="W3286" s="92" t="s">
        <v>1032</v>
      </c>
      <c r="X3286" s="93" t="s">
        <v>30</v>
      </c>
      <c r="Y3286" s="93" t="s">
        <v>66</v>
      </c>
      <c r="Z3286" s="134">
        <f>VLOOKUP(W3286,Sheet2!$B:$D,3,FALSE)</f>
        <v>250</v>
      </c>
      <c r="AA3286" s="93">
        <f>1/(1*1*0.1)</f>
        <v>10</v>
      </c>
      <c r="AB3286" s="93">
        <f>AD3286/AC3281</f>
        <v>25</v>
      </c>
      <c r="AC3286" s="93">
        <f>AC3281/AA3286</f>
        <v>18.113374999999973</v>
      </c>
      <c r="AD3286" s="94">
        <f>AC3286*Z3286</f>
        <v>4528.3437499999936</v>
      </c>
      <c r="AE3286" s="190"/>
      <c r="AF3286" s="191"/>
      <c r="AG3286" s="191"/>
      <c r="AH3286" s="191"/>
      <c r="AI3286" s="186"/>
      <c r="AK3286" s="171"/>
    </row>
    <row r="3287" spans="1:41" s="102" customFormat="1" ht="19.899999999999999" customHeight="1" x14ac:dyDescent="0.25">
      <c r="A3287" s="45"/>
      <c r="B3287" s="59"/>
      <c r="C3287" s="137"/>
      <c r="D3287" s="59"/>
      <c r="E3287" s="116"/>
      <c r="F3287" s="120"/>
      <c r="G3287" s="120"/>
      <c r="H3287" s="120"/>
      <c r="I3287" s="60"/>
      <c r="J3287" s="116"/>
      <c r="K3287" s="213"/>
      <c r="L3287" s="120"/>
      <c r="M3287" s="120"/>
      <c r="N3287" s="167"/>
      <c r="O3287" s="120"/>
      <c r="P3287" s="120"/>
      <c r="Q3287" s="120"/>
      <c r="R3287" s="120"/>
      <c r="S3287" s="120"/>
      <c r="T3287" s="221"/>
      <c r="U3287" s="89"/>
      <c r="V3287" s="61"/>
      <c r="W3287" s="92" t="s">
        <v>1035</v>
      </c>
      <c r="X3287" s="93" t="s">
        <v>32</v>
      </c>
      <c r="Y3287" s="93" t="s">
        <v>66</v>
      </c>
      <c r="Z3287" s="134">
        <f>VLOOKUP(W3287,Sheet2!$B:$D,3,FALSE)</f>
        <v>150</v>
      </c>
      <c r="AA3287" s="93">
        <f>AA3286</f>
        <v>10</v>
      </c>
      <c r="AB3287" s="93">
        <f>AD3287/AC3281</f>
        <v>14.999999999999998</v>
      </c>
      <c r="AC3287" s="93">
        <f>AC3281/AA3287</f>
        <v>18.113374999999973</v>
      </c>
      <c r="AD3287" s="94">
        <f t="shared" ref="AD3287:AD3288" si="2514">AC3287*Z3287</f>
        <v>2717.0062499999958</v>
      </c>
      <c r="AE3287" s="190"/>
      <c r="AF3287" s="191"/>
      <c r="AG3287" s="191"/>
      <c r="AH3287" s="191"/>
      <c r="AI3287" s="186"/>
      <c r="AK3287" s="171"/>
    </row>
    <row r="3288" spans="1:41" s="102" customFormat="1" ht="19.899999999999999" customHeight="1" x14ac:dyDescent="0.25">
      <c r="A3288" s="45"/>
      <c r="B3288" s="59"/>
      <c r="C3288" s="137"/>
      <c r="D3288" s="59"/>
      <c r="E3288" s="116"/>
      <c r="F3288" s="120"/>
      <c r="G3288" s="120"/>
      <c r="H3288" s="120"/>
      <c r="I3288" s="60"/>
      <c r="J3288" s="116"/>
      <c r="K3288" s="213"/>
      <c r="L3288" s="120"/>
      <c r="M3288" s="120"/>
      <c r="N3288" s="167"/>
      <c r="O3288" s="120"/>
      <c r="P3288" s="120"/>
      <c r="Q3288" s="120"/>
      <c r="R3288" s="120"/>
      <c r="S3288" s="120"/>
      <c r="T3288" s="221"/>
      <c r="U3288" s="89"/>
      <c r="V3288" s="61"/>
      <c r="W3288" s="92" t="s">
        <v>1037</v>
      </c>
      <c r="X3288" s="93" t="s">
        <v>30</v>
      </c>
      <c r="Y3288" s="93" t="s">
        <v>1038</v>
      </c>
      <c r="Z3288" s="134">
        <f>VLOOKUP(W3288,Sheet2!$B:$D,3,FALSE)</f>
        <v>175</v>
      </c>
      <c r="AA3288" s="93">
        <v>300</v>
      </c>
      <c r="AB3288" s="93">
        <f>AD3288/AC3281</f>
        <v>0.58333333333333337</v>
      </c>
      <c r="AC3288" s="93">
        <f>AC3281/AA3288</f>
        <v>0.60377916666666576</v>
      </c>
      <c r="AD3288" s="94">
        <f t="shared" si="2514"/>
        <v>105.66135416666651</v>
      </c>
      <c r="AE3288" s="190"/>
      <c r="AF3288" s="191"/>
      <c r="AG3288" s="191"/>
      <c r="AH3288" s="191"/>
      <c r="AI3288" s="186"/>
      <c r="AK3288" s="171"/>
    </row>
    <row r="3289" spans="1:41" s="103" customFormat="1" ht="19.899999999999999" customHeight="1" x14ac:dyDescent="0.25">
      <c r="A3289" s="51"/>
      <c r="B3289" s="52"/>
      <c r="C3289" s="165"/>
      <c r="D3289" s="52"/>
      <c r="E3289" s="115"/>
      <c r="F3289" s="58"/>
      <c r="G3289" s="58"/>
      <c r="H3289" s="58"/>
      <c r="I3289" s="55"/>
      <c r="J3289" s="113">
        <f>J3270</f>
        <v>181.13374999999974</v>
      </c>
      <c r="K3289" s="212">
        <f>K3270</f>
        <v>181.13374999999974</v>
      </c>
      <c r="L3289" s="58"/>
      <c r="M3289" s="58">
        <f>K3289-L3289</f>
        <v>181.13374999999974</v>
      </c>
      <c r="N3289" s="166"/>
      <c r="O3289" s="58"/>
      <c r="P3289" s="58"/>
      <c r="Q3289" s="58"/>
      <c r="R3289" s="58"/>
      <c r="S3289" s="58"/>
      <c r="T3289" s="220"/>
      <c r="U3289" s="88"/>
      <c r="V3289" s="56"/>
      <c r="W3289" s="57" t="s">
        <v>1040</v>
      </c>
      <c r="X3289" s="53"/>
      <c r="Y3289" s="91" t="s">
        <v>68</v>
      </c>
      <c r="Z3289" s="136">
        <f>AD3289/AC3289</f>
        <v>5</v>
      </c>
      <c r="AA3289" s="58"/>
      <c r="AB3289" s="53">
        <f>AD3289/AC3289</f>
        <v>5</v>
      </c>
      <c r="AC3289" s="53">
        <f>M3289+$AE$10</f>
        <v>181.13374999999974</v>
      </c>
      <c r="AD3289" s="54">
        <f>SUM(AD3290)</f>
        <v>905.66874999999868</v>
      </c>
      <c r="AE3289" s="184">
        <f>SUMIFS($AD$37:$AD$12971,$V$37:$V$12971,$V3289,$X$37:$X$12971,AE$13)</f>
        <v>0</v>
      </c>
      <c r="AF3289" s="185">
        <f>SUMIFS($AD$37:$AD$12971,$V$37:$V$12971,$V3289,$X$37:$X$12971,AF$13)</f>
        <v>0</v>
      </c>
      <c r="AG3289" s="185">
        <f>SUMIFS($AD$37:$AD$12971,$V$37:$V$12971,$V3289,$X$37:$X$12971,AG$13)</f>
        <v>0</v>
      </c>
      <c r="AH3289" s="187">
        <f>SUMIFS($AD$37:$AD$12971,$V$37:$V$12971,$V3289,$X$37:$X$12971,AH$13)</f>
        <v>0</v>
      </c>
      <c r="AI3289" s="161">
        <f t="shared" ref="AI3289" si="2515">SUM(AE3289:AH3289)</f>
        <v>0</v>
      </c>
      <c r="AK3289" s="172"/>
    </row>
    <row r="3290" spans="1:41" s="102" customFormat="1" ht="19.899999999999999" customHeight="1" x14ac:dyDescent="0.25">
      <c r="A3290" s="45"/>
      <c r="B3290" s="59"/>
      <c r="C3290" s="137"/>
      <c r="D3290" s="59"/>
      <c r="E3290" s="116"/>
      <c r="F3290" s="120"/>
      <c r="G3290" s="120"/>
      <c r="H3290" s="120"/>
      <c r="I3290" s="60"/>
      <c r="J3290" s="116"/>
      <c r="K3290" s="213"/>
      <c r="L3290" s="120"/>
      <c r="M3290" s="120"/>
      <c r="N3290" s="167"/>
      <c r="O3290" s="120"/>
      <c r="P3290" s="120"/>
      <c r="Q3290" s="120"/>
      <c r="R3290" s="120"/>
      <c r="S3290" s="120"/>
      <c r="T3290" s="221"/>
      <c r="U3290" s="89"/>
      <c r="V3290" s="61"/>
      <c r="W3290" s="92" t="s">
        <v>1039</v>
      </c>
      <c r="X3290" s="93" t="s">
        <v>32</v>
      </c>
      <c r="Y3290" s="93" t="s">
        <v>68</v>
      </c>
      <c r="Z3290" s="134">
        <f>VLOOKUP(W3290,Sheet2!$B:$D,3,FALSE)</f>
        <v>5</v>
      </c>
      <c r="AA3290" s="93">
        <v>1</v>
      </c>
      <c r="AB3290" s="93">
        <f>AD3290/AC3289</f>
        <v>5</v>
      </c>
      <c r="AC3290" s="93">
        <f>AC3289/AA3290</f>
        <v>181.13374999999974</v>
      </c>
      <c r="AD3290" s="94">
        <f t="shared" ref="AD3290" si="2516">AC3290*Z3290</f>
        <v>905.66874999999868</v>
      </c>
      <c r="AE3290" s="190"/>
      <c r="AF3290" s="191"/>
      <c r="AG3290" s="191"/>
      <c r="AH3290" s="191"/>
      <c r="AI3290" s="186"/>
      <c r="AK3290" s="171"/>
    </row>
    <row r="3291" spans="1:41" ht="20.100000000000001" customHeight="1" x14ac:dyDescent="0.25">
      <c r="A3291" s="277" t="s">
        <v>491</v>
      </c>
      <c r="B3291" s="278"/>
      <c r="C3291" s="64" t="s">
        <v>1163</v>
      </c>
      <c r="D3291" s="46" t="s">
        <v>97</v>
      </c>
      <c r="E3291" s="114">
        <v>19.577449999999999</v>
      </c>
      <c r="F3291" s="44">
        <v>622</v>
      </c>
      <c r="G3291" s="44">
        <f t="shared" si="2434"/>
        <v>12177.1739</v>
      </c>
      <c r="H3291" s="44">
        <f t="shared" si="2435"/>
        <v>203.23720784313721</v>
      </c>
      <c r="I3291" s="43">
        <f t="shared" si="2436"/>
        <v>3978.8662746886266</v>
      </c>
      <c r="J3291" s="112">
        <f t="shared" si="2437"/>
        <v>19.577449999999999</v>
      </c>
      <c r="K3291" s="211">
        <f t="shared" si="2438"/>
        <v>19.577449999999999</v>
      </c>
      <c r="L3291" s="44"/>
      <c r="M3291" s="44">
        <f t="shared" si="2458"/>
        <v>19.577449999999999</v>
      </c>
      <c r="N3291" s="173">
        <f t="shared" si="2439"/>
        <v>1</v>
      </c>
      <c r="O3291" s="44">
        <f t="shared" si="2440"/>
        <v>622</v>
      </c>
      <c r="P3291" s="44">
        <f t="shared" si="2441"/>
        <v>12177.1739</v>
      </c>
      <c r="Q3291" s="44">
        <f t="shared" si="2442"/>
        <v>203.23720784313721</v>
      </c>
      <c r="R3291" s="44">
        <f t="shared" si="2459"/>
        <v>3978.8662746886266</v>
      </c>
      <c r="S3291" s="123"/>
      <c r="T3291" s="219">
        <f t="shared" si="2460"/>
        <v>3978.8662746886266</v>
      </c>
      <c r="U3291" s="87"/>
      <c r="V3291" s="47"/>
      <c r="W3291" s="48"/>
      <c r="X3291" s="48"/>
      <c r="Y3291" s="48"/>
      <c r="Z3291" s="135"/>
      <c r="AA3291" s="49"/>
      <c r="AB3291" s="50">
        <f t="shared" si="2443"/>
        <v>203.23720784313721</v>
      </c>
      <c r="AC3291" s="42">
        <f t="shared" si="2461"/>
        <v>19.577449999999999</v>
      </c>
      <c r="AD3291" s="90">
        <f>AD3292+AD3302+AD3310</f>
        <v>3978.8662746886266</v>
      </c>
      <c r="AE3291" s="188">
        <f t="shared" ref="AE3291" si="2517">AE3292+AE3302+AE3310</f>
        <v>0</v>
      </c>
      <c r="AF3291" s="189">
        <f t="shared" ref="AF3291" si="2518">AF3292+AF3302+AF3310</f>
        <v>0</v>
      </c>
      <c r="AG3291" s="189">
        <f t="shared" ref="AG3291" si="2519">AG3292+AG3302+AG3310</f>
        <v>0</v>
      </c>
      <c r="AH3291" s="189">
        <f t="shared" ref="AH3291" si="2520">AH3292+AH3302+AH3310</f>
        <v>0</v>
      </c>
      <c r="AI3291" s="161">
        <f t="shared" si="2494"/>
        <v>0</v>
      </c>
      <c r="AK3291" s="169">
        <v>5</v>
      </c>
      <c r="AO3291" s="19" t="s">
        <v>63</v>
      </c>
    </row>
    <row r="3292" spans="1:41" s="103" customFormat="1" ht="19.899999999999999" customHeight="1" x14ac:dyDescent="0.25">
      <c r="A3292" s="51"/>
      <c r="B3292" s="52"/>
      <c r="C3292" s="165"/>
      <c r="D3292" s="52"/>
      <c r="E3292" s="115"/>
      <c r="F3292" s="58"/>
      <c r="G3292" s="58"/>
      <c r="H3292" s="58"/>
      <c r="I3292" s="55"/>
      <c r="J3292" s="113">
        <f>J3291</f>
        <v>19.577449999999999</v>
      </c>
      <c r="K3292" s="212">
        <f>K3291</f>
        <v>19.577449999999999</v>
      </c>
      <c r="L3292" s="58"/>
      <c r="M3292" s="58">
        <f>K3292-L3292</f>
        <v>19.577449999999999</v>
      </c>
      <c r="N3292" s="166"/>
      <c r="O3292" s="58"/>
      <c r="P3292" s="58"/>
      <c r="Q3292" s="58"/>
      <c r="R3292" s="58"/>
      <c r="S3292" s="58"/>
      <c r="T3292" s="220"/>
      <c r="U3292" s="88"/>
      <c r="V3292" s="56"/>
      <c r="W3292" s="57" t="s">
        <v>1224</v>
      </c>
      <c r="X3292" s="53"/>
      <c r="Y3292" s="91" t="s">
        <v>68</v>
      </c>
      <c r="Z3292" s="136">
        <f>AD3292/AC3292</f>
        <v>95.653874509803913</v>
      </c>
      <c r="AA3292" s="58"/>
      <c r="AB3292" s="53">
        <f>AD3292/AC3292</f>
        <v>95.653874509803913</v>
      </c>
      <c r="AC3292" s="53">
        <f>M3292+$AE$10</f>
        <v>19.577449999999999</v>
      </c>
      <c r="AD3292" s="54">
        <f>SUM(AD3293:AD3301)</f>
        <v>1872.6589455219605</v>
      </c>
      <c r="AE3292" s="184">
        <f>SUMIFS($AD$37:$AD$12971,$V$37:$V$12971,$V3292,$X$37:$X$12971,AE$13)</f>
        <v>0</v>
      </c>
      <c r="AF3292" s="185">
        <f>SUMIFS($AD$37:$AD$12971,$V$37:$V$12971,$V3292,$X$37:$X$12971,AF$13)</f>
        <v>0</v>
      </c>
      <c r="AG3292" s="185">
        <f>SUMIFS($AD$37:$AD$12971,$V$37:$V$12971,$V3292,$X$37:$X$12971,AG$13)</f>
        <v>0</v>
      </c>
      <c r="AH3292" s="187">
        <f>SUMIFS($AD$37:$AD$12971,$V$37:$V$12971,$V3292,$X$37:$X$12971,AH$13)</f>
        <v>0</v>
      </c>
      <c r="AI3292" s="161">
        <f t="shared" ref="AI3292" si="2521">SUM(AE3292:AH3292)</f>
        <v>0</v>
      </c>
      <c r="AK3292" s="172"/>
    </row>
    <row r="3293" spans="1:41" s="102" customFormat="1" ht="19.899999999999999" customHeight="1" x14ac:dyDescent="0.25">
      <c r="A3293" s="45"/>
      <c r="B3293" s="59"/>
      <c r="C3293" s="137"/>
      <c r="D3293" s="59"/>
      <c r="E3293" s="116"/>
      <c r="F3293" s="120"/>
      <c r="G3293" s="120"/>
      <c r="H3293" s="120"/>
      <c r="I3293" s="60"/>
      <c r="J3293" s="116"/>
      <c r="K3293" s="213"/>
      <c r="L3293" s="120"/>
      <c r="M3293" s="120"/>
      <c r="N3293" s="167"/>
      <c r="O3293" s="120"/>
      <c r="P3293" s="120"/>
      <c r="Q3293" s="120"/>
      <c r="R3293" s="120"/>
      <c r="S3293" s="120"/>
      <c r="T3293" s="221"/>
      <c r="U3293" s="89"/>
      <c r="V3293" s="61"/>
      <c r="W3293" s="92" t="s">
        <v>131</v>
      </c>
      <c r="X3293" s="93" t="s">
        <v>29</v>
      </c>
      <c r="Y3293" s="93" t="s">
        <v>93</v>
      </c>
      <c r="Z3293" s="134">
        <f>VLOOKUP(W3293,Sheet2!$B:$D,3,FALSE)</f>
        <v>131.19999999999999</v>
      </c>
      <c r="AA3293" s="93">
        <f>80/(1*5.5)</f>
        <v>14.545454545454545</v>
      </c>
      <c r="AB3293" s="93">
        <f t="shared" ref="AB3293" si="2522">AD3293/AC3292</f>
        <v>9.0199999999999978</v>
      </c>
      <c r="AC3293" s="93">
        <f>AC3292/AA3293</f>
        <v>1.3459496874999999</v>
      </c>
      <c r="AD3293" s="94">
        <f t="shared" ref="AD3293:AD3294" si="2523">AC3293*Z3293</f>
        <v>176.58859899999996</v>
      </c>
      <c r="AE3293" s="190"/>
      <c r="AF3293" s="191"/>
      <c r="AG3293" s="191"/>
      <c r="AH3293" s="191"/>
      <c r="AI3293" s="186"/>
      <c r="AK3293" s="171"/>
    </row>
    <row r="3294" spans="1:41" s="102" customFormat="1" ht="19.899999999999999" customHeight="1" x14ac:dyDescent="0.25">
      <c r="A3294" s="45"/>
      <c r="B3294" s="59"/>
      <c r="C3294" s="137"/>
      <c r="D3294" s="59"/>
      <c r="E3294" s="116"/>
      <c r="F3294" s="120"/>
      <c r="G3294" s="120"/>
      <c r="H3294" s="120"/>
      <c r="I3294" s="60"/>
      <c r="J3294" s="116"/>
      <c r="K3294" s="213"/>
      <c r="L3294" s="120"/>
      <c r="M3294" s="120"/>
      <c r="N3294" s="167"/>
      <c r="O3294" s="120"/>
      <c r="P3294" s="120"/>
      <c r="Q3294" s="120"/>
      <c r="R3294" s="120"/>
      <c r="S3294" s="120"/>
      <c r="T3294" s="221"/>
      <c r="U3294" s="89"/>
      <c r="V3294" s="61"/>
      <c r="W3294" s="92" t="s">
        <v>65</v>
      </c>
      <c r="X3294" s="93" t="s">
        <v>30</v>
      </c>
      <c r="Y3294" s="93" t="s">
        <v>1011</v>
      </c>
      <c r="Z3294" s="134">
        <f>VLOOKUP(W3294,Sheet2!$B:$D,3,FALSE)</f>
        <v>1.76</v>
      </c>
      <c r="AA3294" s="93">
        <f>AA3293/32</f>
        <v>0.45454545454545453</v>
      </c>
      <c r="AB3294" s="93">
        <f>AD3294/AC3292</f>
        <v>3.8719999999999999</v>
      </c>
      <c r="AC3294" s="93">
        <f>AC3292/AA3294</f>
        <v>43.070389999999996</v>
      </c>
      <c r="AD3294" s="94">
        <f t="shared" si="2523"/>
        <v>75.803886399999996</v>
      </c>
      <c r="AE3294" s="190"/>
      <c r="AF3294" s="191"/>
      <c r="AG3294" s="191"/>
      <c r="AH3294" s="191"/>
      <c r="AI3294" s="186"/>
      <c r="AK3294" s="171"/>
    </row>
    <row r="3295" spans="1:41" s="102" customFormat="1" ht="19.899999999999999" customHeight="1" x14ac:dyDescent="0.25">
      <c r="A3295" s="45"/>
      <c r="B3295" s="59"/>
      <c r="C3295" s="137"/>
      <c r="D3295" s="59"/>
      <c r="E3295" s="116"/>
      <c r="F3295" s="120"/>
      <c r="G3295" s="120"/>
      <c r="H3295" s="120"/>
      <c r="I3295" s="60"/>
      <c r="J3295" s="116"/>
      <c r="K3295" s="213"/>
      <c r="L3295" s="120"/>
      <c r="M3295" s="120"/>
      <c r="N3295" s="167"/>
      <c r="O3295" s="120"/>
      <c r="P3295" s="120"/>
      <c r="Q3295" s="120"/>
      <c r="R3295" s="120"/>
      <c r="S3295" s="120"/>
      <c r="T3295" s="221"/>
      <c r="U3295" s="89"/>
      <c r="V3295" s="61"/>
      <c r="W3295" s="92" t="s">
        <v>161</v>
      </c>
      <c r="X3295" s="93" t="s">
        <v>29</v>
      </c>
      <c r="Y3295" s="93" t="s">
        <v>93</v>
      </c>
      <c r="Z3295" s="134">
        <f>VLOOKUP(W3295,Sheet2!$B:$D,3,FALSE)</f>
        <v>48</v>
      </c>
      <c r="AA3295" s="93">
        <f>(16*0.85*1.5)/(1*5.5)</f>
        <v>3.709090909090909</v>
      </c>
      <c r="AB3295" s="93">
        <f>AD3295/AC3292</f>
        <v>12.941176470588234</v>
      </c>
      <c r="AC3295" s="93">
        <f>AC3292/AA3295</f>
        <v>5.2782340686274507</v>
      </c>
      <c r="AD3295" s="94">
        <f>AC3295*Z3295</f>
        <v>253.35523529411762</v>
      </c>
      <c r="AE3295" s="190"/>
      <c r="AF3295" s="191"/>
      <c r="AG3295" s="191"/>
      <c r="AH3295" s="191"/>
      <c r="AI3295" s="186"/>
      <c r="AK3295" s="171"/>
    </row>
    <row r="3296" spans="1:41" s="102" customFormat="1" ht="19.899999999999999" customHeight="1" x14ac:dyDescent="0.25">
      <c r="A3296" s="45"/>
      <c r="B3296" s="59"/>
      <c r="C3296" s="137"/>
      <c r="D3296" s="59"/>
      <c r="E3296" s="116"/>
      <c r="F3296" s="120"/>
      <c r="G3296" s="120"/>
      <c r="H3296" s="120"/>
      <c r="I3296" s="60"/>
      <c r="J3296" s="116"/>
      <c r="K3296" s="213"/>
      <c r="L3296" s="120"/>
      <c r="M3296" s="120"/>
      <c r="N3296" s="167"/>
      <c r="O3296" s="120"/>
      <c r="P3296" s="120"/>
      <c r="Q3296" s="120"/>
      <c r="R3296" s="120"/>
      <c r="S3296" s="120"/>
      <c r="T3296" s="221"/>
      <c r="U3296" s="89"/>
      <c r="V3296" s="61"/>
      <c r="W3296" s="92" t="s">
        <v>65</v>
      </c>
      <c r="X3296" s="93" t="s">
        <v>30</v>
      </c>
      <c r="Y3296" s="93" t="s">
        <v>1011</v>
      </c>
      <c r="Z3296" s="134">
        <f>VLOOKUP(W3296,Sheet2!$B:$D,3,FALSE)</f>
        <v>1.76</v>
      </c>
      <c r="AA3296" s="93">
        <f>AA3295/10</f>
        <v>0.37090909090909091</v>
      </c>
      <c r="AB3296" s="93">
        <f>AD3296/AC3292</f>
        <v>4.7450980392156863</v>
      </c>
      <c r="AC3296" s="93">
        <f>AC3292/AA3296</f>
        <v>52.782340686274509</v>
      </c>
      <c r="AD3296" s="94">
        <f>AC3296*Z3296</f>
        <v>92.896919607843131</v>
      </c>
      <c r="AE3296" s="190"/>
      <c r="AF3296" s="191"/>
      <c r="AG3296" s="191"/>
      <c r="AH3296" s="191"/>
      <c r="AI3296" s="186"/>
      <c r="AK3296" s="171"/>
    </row>
    <row r="3297" spans="1:41" s="102" customFormat="1" ht="19.899999999999999" customHeight="1" x14ac:dyDescent="0.25">
      <c r="A3297" s="45"/>
      <c r="B3297" s="59"/>
      <c r="C3297" s="137"/>
      <c r="D3297" s="59"/>
      <c r="E3297" s="116"/>
      <c r="F3297" s="120"/>
      <c r="G3297" s="120"/>
      <c r="H3297" s="120"/>
      <c r="I3297" s="60"/>
      <c r="J3297" s="116"/>
      <c r="K3297" s="213"/>
      <c r="L3297" s="120"/>
      <c r="M3297" s="120"/>
      <c r="N3297" s="167"/>
      <c r="O3297" s="120"/>
      <c r="P3297" s="120"/>
      <c r="Q3297" s="120"/>
      <c r="R3297" s="120"/>
      <c r="S3297" s="120"/>
      <c r="T3297" s="221"/>
      <c r="U3297" s="89"/>
      <c r="V3297" s="61"/>
      <c r="W3297" s="92" t="s">
        <v>1030</v>
      </c>
      <c r="X3297" s="93" t="s">
        <v>29</v>
      </c>
      <c r="Y3297" s="93" t="s">
        <v>93</v>
      </c>
      <c r="Z3297" s="134">
        <f>VLOOKUP(W3297,Sheet2!$B:$D,3,FALSE)</f>
        <v>23</v>
      </c>
      <c r="AA3297" s="93">
        <v>50</v>
      </c>
      <c r="AB3297" s="93">
        <f>AD3297/AC3292</f>
        <v>0.45999999999999996</v>
      </c>
      <c r="AC3297" s="93">
        <f>AC3292/AA3297</f>
        <v>0.39154899999999998</v>
      </c>
      <c r="AD3297" s="94">
        <f t="shared" ref="AD3297:AD3301" si="2524">AC3297*Z3297</f>
        <v>9.0056269999999987</v>
      </c>
      <c r="AE3297" s="190"/>
      <c r="AF3297" s="191"/>
      <c r="AG3297" s="191"/>
      <c r="AH3297" s="191"/>
      <c r="AI3297" s="186"/>
      <c r="AK3297" s="171"/>
    </row>
    <row r="3298" spans="1:41" s="102" customFormat="1" ht="19.899999999999999" customHeight="1" x14ac:dyDescent="0.25">
      <c r="A3298" s="45"/>
      <c r="B3298" s="59"/>
      <c r="C3298" s="137"/>
      <c r="D3298" s="59"/>
      <c r="E3298" s="116"/>
      <c r="F3298" s="120"/>
      <c r="G3298" s="120"/>
      <c r="H3298" s="120"/>
      <c r="I3298" s="60"/>
      <c r="J3298" s="116"/>
      <c r="K3298" s="213"/>
      <c r="L3298" s="120"/>
      <c r="M3298" s="120"/>
      <c r="N3298" s="167"/>
      <c r="O3298" s="120"/>
      <c r="P3298" s="120"/>
      <c r="Q3298" s="120"/>
      <c r="R3298" s="120"/>
      <c r="S3298" s="120"/>
      <c r="T3298" s="221"/>
      <c r="U3298" s="89"/>
      <c r="V3298" s="61"/>
      <c r="W3298" s="92" t="s">
        <v>65</v>
      </c>
      <c r="X3298" s="93" t="s">
        <v>30</v>
      </c>
      <c r="Y3298" s="93" t="s">
        <v>1011</v>
      </c>
      <c r="Z3298" s="134">
        <f>VLOOKUP(W3298,Sheet2!$B:$D,3,FALSE)</f>
        <v>1.76</v>
      </c>
      <c r="AA3298" s="93">
        <f>AA3297/3</f>
        <v>16.666666666666668</v>
      </c>
      <c r="AB3298" s="93">
        <f>AD3298/AC3292</f>
        <v>0.1056</v>
      </c>
      <c r="AC3298" s="93">
        <f>AC3292/AA3298</f>
        <v>1.1746469999999998</v>
      </c>
      <c r="AD3298" s="94">
        <f t="shared" si="2524"/>
        <v>2.0673787199999998</v>
      </c>
      <c r="AE3298" s="190"/>
      <c r="AF3298" s="191"/>
      <c r="AG3298" s="191"/>
      <c r="AH3298" s="191"/>
      <c r="AI3298" s="186"/>
      <c r="AK3298" s="171"/>
    </row>
    <row r="3299" spans="1:41" s="102" customFormat="1" ht="19.899999999999999" customHeight="1" x14ac:dyDescent="0.25">
      <c r="A3299" s="45"/>
      <c r="B3299" s="59"/>
      <c r="C3299" s="137"/>
      <c r="D3299" s="59"/>
      <c r="E3299" s="116"/>
      <c r="F3299" s="120"/>
      <c r="G3299" s="120"/>
      <c r="H3299" s="120"/>
      <c r="I3299" s="60"/>
      <c r="J3299" s="116"/>
      <c r="K3299" s="213"/>
      <c r="L3299" s="120"/>
      <c r="M3299" s="120"/>
      <c r="N3299" s="167"/>
      <c r="O3299" s="120"/>
      <c r="P3299" s="120"/>
      <c r="Q3299" s="120"/>
      <c r="R3299" s="120"/>
      <c r="S3299" s="120"/>
      <c r="T3299" s="221"/>
      <c r="U3299" s="89"/>
      <c r="V3299" s="61"/>
      <c r="W3299" s="92" t="s">
        <v>148</v>
      </c>
      <c r="X3299" s="93" t="s">
        <v>29</v>
      </c>
      <c r="Y3299" s="93" t="s">
        <v>93</v>
      </c>
      <c r="Z3299" s="134">
        <f>VLOOKUP(W3299,Sheet2!$B:$D,3,FALSE)</f>
        <v>48</v>
      </c>
      <c r="AA3299" s="93">
        <f>AA3293</f>
        <v>14.545454545454545</v>
      </c>
      <c r="AB3299" s="93">
        <f>AD3299/AC3292</f>
        <v>3.3</v>
      </c>
      <c r="AC3299" s="93">
        <f>AC3292/AA3299</f>
        <v>1.3459496874999999</v>
      </c>
      <c r="AD3299" s="94">
        <f t="shared" si="2524"/>
        <v>64.605584999999991</v>
      </c>
      <c r="AE3299" s="190"/>
      <c r="AF3299" s="191"/>
      <c r="AG3299" s="191"/>
      <c r="AH3299" s="191"/>
      <c r="AI3299" s="186"/>
      <c r="AK3299" s="171"/>
    </row>
    <row r="3300" spans="1:41" s="102" customFormat="1" ht="19.899999999999999" customHeight="1" x14ac:dyDescent="0.25">
      <c r="A3300" s="45"/>
      <c r="B3300" s="59"/>
      <c r="C3300" s="137"/>
      <c r="D3300" s="59"/>
      <c r="E3300" s="116"/>
      <c r="F3300" s="120"/>
      <c r="G3300" s="120"/>
      <c r="H3300" s="120"/>
      <c r="I3300" s="60"/>
      <c r="J3300" s="116"/>
      <c r="K3300" s="213"/>
      <c r="L3300" s="120"/>
      <c r="M3300" s="120"/>
      <c r="N3300" s="167"/>
      <c r="O3300" s="120"/>
      <c r="P3300" s="120"/>
      <c r="Q3300" s="120"/>
      <c r="R3300" s="120"/>
      <c r="S3300" s="120"/>
      <c r="T3300" s="221"/>
      <c r="U3300" s="89"/>
      <c r="V3300" s="61"/>
      <c r="W3300" s="92" t="s">
        <v>65</v>
      </c>
      <c r="X3300" s="93" t="s">
        <v>30</v>
      </c>
      <c r="Y3300" s="93" t="s">
        <v>1011</v>
      </c>
      <c r="Z3300" s="134">
        <f>VLOOKUP(W3300,Sheet2!$B:$D,3,FALSE)</f>
        <v>1.76</v>
      </c>
      <c r="AA3300" s="93">
        <f>AA3299/10</f>
        <v>1.4545454545454546</v>
      </c>
      <c r="AB3300" s="93">
        <f>AD3300/AC3292</f>
        <v>1.21</v>
      </c>
      <c r="AC3300" s="93">
        <f>AC3292/AA3300</f>
        <v>13.459496874999999</v>
      </c>
      <c r="AD3300" s="94">
        <f t="shared" si="2524"/>
        <v>23.6887145</v>
      </c>
      <c r="AE3300" s="190"/>
      <c r="AF3300" s="191"/>
      <c r="AG3300" s="191"/>
      <c r="AH3300" s="191"/>
      <c r="AI3300" s="186"/>
      <c r="AK3300" s="171"/>
    </row>
    <row r="3301" spans="1:41" s="102" customFormat="1" ht="19.899999999999999" customHeight="1" x14ac:dyDescent="0.25">
      <c r="A3301" s="45"/>
      <c r="B3301" s="59"/>
      <c r="C3301" s="137"/>
      <c r="D3301" s="59"/>
      <c r="E3301" s="116"/>
      <c r="F3301" s="120"/>
      <c r="G3301" s="120"/>
      <c r="H3301" s="120"/>
      <c r="I3301" s="60"/>
      <c r="J3301" s="116"/>
      <c r="K3301" s="213"/>
      <c r="L3301" s="120"/>
      <c r="M3301" s="120"/>
      <c r="N3301" s="167"/>
      <c r="O3301" s="120"/>
      <c r="P3301" s="120"/>
      <c r="Q3301" s="120"/>
      <c r="R3301" s="120"/>
      <c r="S3301" s="120"/>
      <c r="T3301" s="221"/>
      <c r="U3301" s="89"/>
      <c r="V3301" s="61"/>
      <c r="W3301" s="92" t="s">
        <v>1049</v>
      </c>
      <c r="X3301" s="93" t="s">
        <v>30</v>
      </c>
      <c r="Y3301" s="93" t="s">
        <v>68</v>
      </c>
      <c r="Z3301" s="134">
        <f>VLOOKUP(W3301,Sheet2!$B:$D,3,FALSE)</f>
        <v>60</v>
      </c>
      <c r="AA3301" s="93">
        <v>1</v>
      </c>
      <c r="AB3301" s="93">
        <f>AD3301/AC3292</f>
        <v>60</v>
      </c>
      <c r="AC3301" s="93">
        <f>AC3292/AA3301</f>
        <v>19.577449999999999</v>
      </c>
      <c r="AD3301" s="94">
        <f t="shared" si="2524"/>
        <v>1174.6469999999999</v>
      </c>
      <c r="AE3301" s="190"/>
      <c r="AF3301" s="191"/>
      <c r="AG3301" s="191"/>
      <c r="AH3301" s="191"/>
      <c r="AI3301" s="186"/>
      <c r="AK3301" s="171"/>
    </row>
    <row r="3302" spans="1:41" s="103" customFormat="1" ht="19.899999999999999" customHeight="1" x14ac:dyDescent="0.25">
      <c r="A3302" s="51"/>
      <c r="B3302" s="52"/>
      <c r="C3302" s="165"/>
      <c r="D3302" s="52"/>
      <c r="E3302" s="115"/>
      <c r="F3302" s="58"/>
      <c r="G3302" s="58"/>
      <c r="H3302" s="58"/>
      <c r="I3302" s="55"/>
      <c r="J3302" s="113">
        <f>J3291</f>
        <v>19.577449999999999</v>
      </c>
      <c r="K3302" s="212">
        <f>K3291</f>
        <v>19.577449999999999</v>
      </c>
      <c r="L3302" s="58"/>
      <c r="M3302" s="58">
        <f>K3302-L3302</f>
        <v>19.577449999999999</v>
      </c>
      <c r="N3302" s="166"/>
      <c r="O3302" s="58"/>
      <c r="P3302" s="58"/>
      <c r="Q3302" s="58"/>
      <c r="R3302" s="58"/>
      <c r="S3302" s="58"/>
      <c r="T3302" s="220"/>
      <c r="U3302" s="88"/>
      <c r="V3302" s="56"/>
      <c r="W3302" s="57" t="s">
        <v>1036</v>
      </c>
      <c r="X3302" s="53"/>
      <c r="Y3302" s="91" t="s">
        <v>68</v>
      </c>
      <c r="Z3302" s="136">
        <f>AD3302/AC3302</f>
        <v>102.58333333333333</v>
      </c>
      <c r="AA3302" s="58"/>
      <c r="AB3302" s="53">
        <f>AD3302/AC3302</f>
        <v>102.58333333333333</v>
      </c>
      <c r="AC3302" s="53">
        <f>M3302+$AE$10</f>
        <v>19.577449999999999</v>
      </c>
      <c r="AD3302" s="54">
        <f>SUM(AD3303:AD3309)</f>
        <v>2008.3200791666666</v>
      </c>
      <c r="AE3302" s="184">
        <f>SUMIFS($AD$37:$AD$12971,$V$37:$V$12971,$V3302,$X$37:$X$12971,AE$13)</f>
        <v>0</v>
      </c>
      <c r="AF3302" s="185">
        <f>SUMIFS($AD$37:$AD$12971,$V$37:$V$12971,$V3302,$X$37:$X$12971,AF$13)</f>
        <v>0</v>
      </c>
      <c r="AG3302" s="185">
        <f>SUMIFS($AD$37:$AD$12971,$V$37:$V$12971,$V3302,$X$37:$X$12971,AG$13)</f>
        <v>0</v>
      </c>
      <c r="AH3302" s="187">
        <f>SUMIFS($AD$37:$AD$12971,$V$37:$V$12971,$V3302,$X$37:$X$12971,AH$13)</f>
        <v>0</v>
      </c>
      <c r="AI3302" s="161">
        <f t="shared" ref="AI3302" si="2525">SUM(AE3302:AH3302)</f>
        <v>0</v>
      </c>
      <c r="AK3302" s="172"/>
    </row>
    <row r="3303" spans="1:41" s="102" customFormat="1" ht="19.899999999999999" customHeight="1" x14ac:dyDescent="0.25">
      <c r="A3303" s="45"/>
      <c r="B3303" s="59"/>
      <c r="C3303" s="137"/>
      <c r="D3303" s="59"/>
      <c r="E3303" s="116"/>
      <c r="F3303" s="120"/>
      <c r="G3303" s="120"/>
      <c r="H3303" s="120"/>
      <c r="I3303" s="60"/>
      <c r="J3303" s="116"/>
      <c r="K3303" s="213"/>
      <c r="L3303" s="120"/>
      <c r="M3303" s="120"/>
      <c r="N3303" s="167"/>
      <c r="O3303" s="120"/>
      <c r="P3303" s="120"/>
      <c r="Q3303" s="120"/>
      <c r="R3303" s="120"/>
      <c r="S3303" s="120"/>
      <c r="T3303" s="221"/>
      <c r="U3303" s="89"/>
      <c r="V3303" s="61"/>
      <c r="W3303" s="92" t="s">
        <v>1045</v>
      </c>
      <c r="X3303" s="93" t="s">
        <v>30</v>
      </c>
      <c r="Y3303" s="93" t="s">
        <v>68</v>
      </c>
      <c r="Z3303" s="134">
        <f>VLOOKUP(W3303,Sheet2!$B:$D,3,FALSE)</f>
        <v>52</v>
      </c>
      <c r="AA3303" s="93">
        <v>1</v>
      </c>
      <c r="AB3303" s="93">
        <f>AD3303/AC3302</f>
        <v>52</v>
      </c>
      <c r="AC3303" s="93">
        <f>AC3302/AA3303</f>
        <v>19.577449999999999</v>
      </c>
      <c r="AD3303" s="94">
        <f t="shared" ref="AD3303" si="2526">AC3303*Z3303</f>
        <v>1018.0273999999999</v>
      </c>
      <c r="AE3303" s="190"/>
      <c r="AF3303" s="191"/>
      <c r="AG3303" s="191"/>
      <c r="AH3303" s="191"/>
      <c r="AI3303" s="186"/>
      <c r="AK3303" s="171"/>
    </row>
    <row r="3304" spans="1:41" s="102" customFormat="1" ht="19.899999999999999" customHeight="1" x14ac:dyDescent="0.25">
      <c r="A3304" s="45"/>
      <c r="B3304" s="59"/>
      <c r="C3304" s="137"/>
      <c r="D3304" s="59"/>
      <c r="E3304" s="116"/>
      <c r="F3304" s="120"/>
      <c r="G3304" s="120"/>
      <c r="H3304" s="120"/>
      <c r="I3304" s="60"/>
      <c r="J3304" s="116"/>
      <c r="K3304" s="213"/>
      <c r="L3304" s="120"/>
      <c r="M3304" s="120"/>
      <c r="N3304" s="167"/>
      <c r="O3304" s="120"/>
      <c r="P3304" s="120"/>
      <c r="Q3304" s="120"/>
      <c r="R3304" s="120"/>
      <c r="S3304" s="120"/>
      <c r="T3304" s="221"/>
      <c r="U3304" s="89"/>
      <c r="V3304" s="61"/>
      <c r="W3304" s="92" t="s">
        <v>1043</v>
      </c>
      <c r="X3304" s="93" t="s">
        <v>30</v>
      </c>
      <c r="Y3304" s="93" t="s">
        <v>68</v>
      </c>
      <c r="Z3304" s="134">
        <f>VLOOKUP(W3304,Sheet2!$B:$D,3,FALSE)</f>
        <v>5</v>
      </c>
      <c r="AA3304" s="93">
        <v>1</v>
      </c>
      <c r="AB3304" s="93">
        <f>AD3304/AC3302</f>
        <v>5</v>
      </c>
      <c r="AC3304" s="93">
        <f>AC3302/AA3304</f>
        <v>19.577449999999999</v>
      </c>
      <c r="AD3304" s="94">
        <f>AC3304*Z3304</f>
        <v>97.887249999999995</v>
      </c>
      <c r="AE3304" s="190"/>
      <c r="AF3304" s="191"/>
      <c r="AG3304" s="191"/>
      <c r="AH3304" s="191"/>
      <c r="AI3304" s="186"/>
      <c r="AK3304" s="171"/>
    </row>
    <row r="3305" spans="1:41" s="102" customFormat="1" ht="19.899999999999999" customHeight="1" x14ac:dyDescent="0.25">
      <c r="A3305" s="45"/>
      <c r="B3305" s="59"/>
      <c r="C3305" s="137"/>
      <c r="D3305" s="59"/>
      <c r="E3305" s="116"/>
      <c r="F3305" s="120"/>
      <c r="G3305" s="120"/>
      <c r="H3305" s="120"/>
      <c r="I3305" s="60"/>
      <c r="J3305" s="116"/>
      <c r="K3305" s="213"/>
      <c r="L3305" s="120"/>
      <c r="M3305" s="120"/>
      <c r="N3305" s="167"/>
      <c r="O3305" s="120"/>
      <c r="P3305" s="120"/>
      <c r="Q3305" s="120"/>
      <c r="R3305" s="120"/>
      <c r="S3305" s="120"/>
      <c r="T3305" s="221"/>
      <c r="U3305" s="89"/>
      <c r="V3305" s="61"/>
      <c r="W3305" s="92" t="s">
        <v>107</v>
      </c>
      <c r="X3305" s="93" t="s">
        <v>31</v>
      </c>
      <c r="Y3305" s="93" t="s">
        <v>93</v>
      </c>
      <c r="Z3305" s="134">
        <f>VLOOKUP(W3305,Sheet2!$B:$D,3,FALSE)</f>
        <v>17</v>
      </c>
      <c r="AA3305" s="93">
        <v>6</v>
      </c>
      <c r="AB3305" s="93">
        <f>AD3305/AC3302</f>
        <v>2.8333333333333335</v>
      </c>
      <c r="AC3305" s="93">
        <f>AC3302/AA3305</f>
        <v>3.2629083333333333</v>
      </c>
      <c r="AD3305" s="94">
        <f>AC3305*Z3305</f>
        <v>55.469441666666668</v>
      </c>
      <c r="AE3305" s="190"/>
      <c r="AF3305" s="191"/>
      <c r="AG3305" s="191"/>
      <c r="AH3305" s="191"/>
      <c r="AI3305" s="186"/>
      <c r="AK3305" s="171"/>
    </row>
    <row r="3306" spans="1:41" s="102" customFormat="1" ht="19.899999999999999" customHeight="1" x14ac:dyDescent="0.25">
      <c r="A3306" s="45"/>
      <c r="B3306" s="59"/>
      <c r="C3306" s="137"/>
      <c r="D3306" s="59"/>
      <c r="E3306" s="116"/>
      <c r="F3306" s="120"/>
      <c r="G3306" s="120"/>
      <c r="H3306" s="120"/>
      <c r="I3306" s="60"/>
      <c r="J3306" s="116"/>
      <c r="K3306" s="213"/>
      <c r="L3306" s="120"/>
      <c r="M3306" s="120"/>
      <c r="N3306" s="167"/>
      <c r="O3306" s="120"/>
      <c r="P3306" s="120"/>
      <c r="Q3306" s="120"/>
      <c r="R3306" s="120"/>
      <c r="S3306" s="120"/>
      <c r="T3306" s="221"/>
      <c r="U3306" s="89"/>
      <c r="V3306" s="61"/>
      <c r="W3306" s="92" t="s">
        <v>112</v>
      </c>
      <c r="X3306" s="93" t="s">
        <v>31</v>
      </c>
      <c r="Y3306" s="93" t="s">
        <v>93</v>
      </c>
      <c r="Z3306" s="134">
        <f>VLOOKUP(W3306,Sheet2!$B:$D,3,FALSE)</f>
        <v>13</v>
      </c>
      <c r="AA3306" s="93">
        <v>6</v>
      </c>
      <c r="AB3306" s="93">
        <f>AD3306/AC3302</f>
        <v>2.166666666666667</v>
      </c>
      <c r="AC3306" s="93">
        <f>AC3302/AA3306</f>
        <v>3.2629083333333333</v>
      </c>
      <c r="AD3306" s="94">
        <f>AC3306*Z3306</f>
        <v>42.417808333333333</v>
      </c>
      <c r="AE3306" s="190"/>
      <c r="AF3306" s="191"/>
      <c r="AG3306" s="191"/>
      <c r="AH3306" s="191"/>
      <c r="AI3306" s="186"/>
      <c r="AK3306" s="171"/>
    </row>
    <row r="3307" spans="1:41" s="102" customFormat="1" ht="19.899999999999999" customHeight="1" x14ac:dyDescent="0.25">
      <c r="A3307" s="45"/>
      <c r="B3307" s="59"/>
      <c r="C3307" s="137"/>
      <c r="D3307" s="59"/>
      <c r="E3307" s="116"/>
      <c r="F3307" s="120"/>
      <c r="G3307" s="120"/>
      <c r="H3307" s="120"/>
      <c r="I3307" s="60"/>
      <c r="J3307" s="116"/>
      <c r="K3307" s="213"/>
      <c r="L3307" s="120"/>
      <c r="M3307" s="120"/>
      <c r="N3307" s="167"/>
      <c r="O3307" s="120"/>
      <c r="P3307" s="120"/>
      <c r="Q3307" s="120"/>
      <c r="R3307" s="120"/>
      <c r="S3307" s="120"/>
      <c r="T3307" s="221"/>
      <c r="U3307" s="89"/>
      <c r="V3307" s="61"/>
      <c r="W3307" s="92" t="s">
        <v>1032</v>
      </c>
      <c r="X3307" s="93" t="s">
        <v>30</v>
      </c>
      <c r="Y3307" s="93" t="s">
        <v>66</v>
      </c>
      <c r="Z3307" s="134">
        <f>VLOOKUP(W3307,Sheet2!$B:$D,3,FALSE)</f>
        <v>250</v>
      </c>
      <c r="AA3307" s="93">
        <f>1/(1*1*0.1)</f>
        <v>10</v>
      </c>
      <c r="AB3307" s="93">
        <f>AD3307/AC3302</f>
        <v>25</v>
      </c>
      <c r="AC3307" s="93">
        <f>AC3302/AA3307</f>
        <v>1.9577449999999998</v>
      </c>
      <c r="AD3307" s="94">
        <f>AC3307*Z3307</f>
        <v>489.43624999999997</v>
      </c>
      <c r="AE3307" s="190"/>
      <c r="AF3307" s="191"/>
      <c r="AG3307" s="191"/>
      <c r="AH3307" s="191"/>
      <c r="AI3307" s="186"/>
      <c r="AK3307" s="171"/>
    </row>
    <row r="3308" spans="1:41" s="102" customFormat="1" ht="19.899999999999999" customHeight="1" x14ac:dyDescent="0.25">
      <c r="A3308" s="45"/>
      <c r="B3308" s="59"/>
      <c r="C3308" s="137"/>
      <c r="D3308" s="59"/>
      <c r="E3308" s="116"/>
      <c r="F3308" s="120"/>
      <c r="G3308" s="120"/>
      <c r="H3308" s="120"/>
      <c r="I3308" s="60"/>
      <c r="J3308" s="116"/>
      <c r="K3308" s="213"/>
      <c r="L3308" s="120"/>
      <c r="M3308" s="120"/>
      <c r="N3308" s="167"/>
      <c r="O3308" s="120"/>
      <c r="P3308" s="120"/>
      <c r="Q3308" s="120"/>
      <c r="R3308" s="120"/>
      <c r="S3308" s="120"/>
      <c r="T3308" s="221"/>
      <c r="U3308" s="89"/>
      <c r="V3308" s="61"/>
      <c r="W3308" s="92" t="s">
        <v>1035</v>
      </c>
      <c r="X3308" s="93" t="s">
        <v>32</v>
      </c>
      <c r="Y3308" s="93" t="s">
        <v>66</v>
      </c>
      <c r="Z3308" s="134">
        <f>VLOOKUP(W3308,Sheet2!$B:$D,3,FALSE)</f>
        <v>150</v>
      </c>
      <c r="AA3308" s="93">
        <f>AA3307</f>
        <v>10</v>
      </c>
      <c r="AB3308" s="93">
        <f>AD3308/AC3302</f>
        <v>15</v>
      </c>
      <c r="AC3308" s="93">
        <f>AC3302/AA3308</f>
        <v>1.9577449999999998</v>
      </c>
      <c r="AD3308" s="94">
        <f t="shared" ref="AD3308:AD3309" si="2527">AC3308*Z3308</f>
        <v>293.66174999999998</v>
      </c>
      <c r="AE3308" s="190"/>
      <c r="AF3308" s="191"/>
      <c r="AG3308" s="191"/>
      <c r="AH3308" s="191"/>
      <c r="AI3308" s="186"/>
      <c r="AK3308" s="171"/>
    </row>
    <row r="3309" spans="1:41" s="102" customFormat="1" ht="19.899999999999999" customHeight="1" x14ac:dyDescent="0.25">
      <c r="A3309" s="45"/>
      <c r="B3309" s="59"/>
      <c r="C3309" s="137"/>
      <c r="D3309" s="59"/>
      <c r="E3309" s="116"/>
      <c r="F3309" s="120"/>
      <c r="G3309" s="120"/>
      <c r="H3309" s="120"/>
      <c r="I3309" s="60"/>
      <c r="J3309" s="116"/>
      <c r="K3309" s="213"/>
      <c r="L3309" s="120"/>
      <c r="M3309" s="120"/>
      <c r="N3309" s="167"/>
      <c r="O3309" s="120"/>
      <c r="P3309" s="120"/>
      <c r="Q3309" s="120"/>
      <c r="R3309" s="120"/>
      <c r="S3309" s="120"/>
      <c r="T3309" s="221"/>
      <c r="U3309" s="89"/>
      <c r="V3309" s="61"/>
      <c r="W3309" s="92" t="s">
        <v>1037</v>
      </c>
      <c r="X3309" s="93" t="s">
        <v>30</v>
      </c>
      <c r="Y3309" s="93" t="s">
        <v>1038</v>
      </c>
      <c r="Z3309" s="134">
        <f>VLOOKUP(W3309,Sheet2!$B:$D,3,FALSE)</f>
        <v>175</v>
      </c>
      <c r="AA3309" s="93">
        <v>300</v>
      </c>
      <c r="AB3309" s="93">
        <f>AD3309/AC3302</f>
        <v>0.58333333333333326</v>
      </c>
      <c r="AC3309" s="93">
        <f>AC3302/AA3309</f>
        <v>6.5258166666666659E-2</v>
      </c>
      <c r="AD3309" s="94">
        <f t="shared" si="2527"/>
        <v>11.420179166666665</v>
      </c>
      <c r="AE3309" s="190"/>
      <c r="AF3309" s="191"/>
      <c r="AG3309" s="191"/>
      <c r="AH3309" s="191"/>
      <c r="AI3309" s="186"/>
      <c r="AK3309" s="171"/>
    </row>
    <row r="3310" spans="1:41" s="103" customFormat="1" ht="19.899999999999999" customHeight="1" x14ac:dyDescent="0.25">
      <c r="A3310" s="51"/>
      <c r="B3310" s="52"/>
      <c r="C3310" s="165"/>
      <c r="D3310" s="52"/>
      <c r="E3310" s="115"/>
      <c r="F3310" s="58"/>
      <c r="G3310" s="58"/>
      <c r="H3310" s="58"/>
      <c r="I3310" s="55"/>
      <c r="J3310" s="113">
        <f>J3291</f>
        <v>19.577449999999999</v>
      </c>
      <c r="K3310" s="212">
        <f>K3291</f>
        <v>19.577449999999999</v>
      </c>
      <c r="L3310" s="58"/>
      <c r="M3310" s="58">
        <f>K3310-L3310</f>
        <v>19.577449999999999</v>
      </c>
      <c r="N3310" s="166"/>
      <c r="O3310" s="58"/>
      <c r="P3310" s="58"/>
      <c r="Q3310" s="58"/>
      <c r="R3310" s="58"/>
      <c r="S3310" s="58"/>
      <c r="T3310" s="220"/>
      <c r="U3310" s="88"/>
      <c r="V3310" s="56"/>
      <c r="W3310" s="57" t="s">
        <v>1040</v>
      </c>
      <c r="X3310" s="53"/>
      <c r="Y3310" s="91" t="s">
        <v>68</v>
      </c>
      <c r="Z3310" s="136">
        <f>AD3310/AC3310</f>
        <v>5</v>
      </c>
      <c r="AA3310" s="58"/>
      <c r="AB3310" s="53">
        <f>AD3310/AC3310</f>
        <v>5</v>
      </c>
      <c r="AC3310" s="53">
        <f>M3310+$AE$10</f>
        <v>19.577449999999999</v>
      </c>
      <c r="AD3310" s="54">
        <f>SUM(AD3311)</f>
        <v>97.887249999999995</v>
      </c>
      <c r="AE3310" s="184">
        <f>SUMIFS($AD$37:$AD$12971,$V$37:$V$12971,$V3310,$X$37:$X$12971,AE$13)</f>
        <v>0</v>
      </c>
      <c r="AF3310" s="185">
        <f>SUMIFS($AD$37:$AD$12971,$V$37:$V$12971,$V3310,$X$37:$X$12971,AF$13)</f>
        <v>0</v>
      </c>
      <c r="AG3310" s="185">
        <f>SUMIFS($AD$37:$AD$12971,$V$37:$V$12971,$V3310,$X$37:$X$12971,AG$13)</f>
        <v>0</v>
      </c>
      <c r="AH3310" s="187">
        <f>SUMIFS($AD$37:$AD$12971,$V$37:$V$12971,$V3310,$X$37:$X$12971,AH$13)</f>
        <v>0</v>
      </c>
      <c r="AI3310" s="161">
        <f t="shared" ref="AI3310" si="2528">SUM(AE3310:AH3310)</f>
        <v>0</v>
      </c>
      <c r="AK3310" s="172"/>
    </row>
    <row r="3311" spans="1:41" s="102" customFormat="1" ht="19.899999999999999" customHeight="1" x14ac:dyDescent="0.25">
      <c r="A3311" s="45"/>
      <c r="B3311" s="59"/>
      <c r="C3311" s="137"/>
      <c r="D3311" s="59"/>
      <c r="E3311" s="116"/>
      <c r="F3311" s="120"/>
      <c r="G3311" s="120"/>
      <c r="H3311" s="120"/>
      <c r="I3311" s="60"/>
      <c r="J3311" s="116"/>
      <c r="K3311" s="213"/>
      <c r="L3311" s="120"/>
      <c r="M3311" s="120"/>
      <c r="N3311" s="167"/>
      <c r="O3311" s="120"/>
      <c r="P3311" s="120"/>
      <c r="Q3311" s="120"/>
      <c r="R3311" s="120"/>
      <c r="S3311" s="120"/>
      <c r="T3311" s="221"/>
      <c r="U3311" s="89"/>
      <c r="V3311" s="61"/>
      <c r="W3311" s="92" t="s">
        <v>1039</v>
      </c>
      <c r="X3311" s="93" t="s">
        <v>32</v>
      </c>
      <c r="Y3311" s="93" t="s">
        <v>68</v>
      </c>
      <c r="Z3311" s="134">
        <f>VLOOKUP(W3311,Sheet2!$B:$D,3,FALSE)</f>
        <v>5</v>
      </c>
      <c r="AA3311" s="93">
        <v>1</v>
      </c>
      <c r="AB3311" s="93">
        <f>AD3311/AC3310</f>
        <v>5</v>
      </c>
      <c r="AC3311" s="93">
        <f>AC3310/AA3311</f>
        <v>19.577449999999999</v>
      </c>
      <c r="AD3311" s="94">
        <f t="shared" ref="AD3311" si="2529">AC3311*Z3311</f>
        <v>97.887249999999995</v>
      </c>
      <c r="AE3311" s="190"/>
      <c r="AF3311" s="191"/>
      <c r="AG3311" s="191"/>
      <c r="AH3311" s="191"/>
      <c r="AI3311" s="186"/>
      <c r="AK3311" s="171"/>
    </row>
    <row r="3312" spans="1:41" ht="20.100000000000001" customHeight="1" x14ac:dyDescent="0.25">
      <c r="A3312" s="277" t="s">
        <v>491</v>
      </c>
      <c r="B3312" s="278"/>
      <c r="C3312" s="64" t="s">
        <v>1164</v>
      </c>
      <c r="D3312" s="46" t="s">
        <v>97</v>
      </c>
      <c r="E3312" s="114">
        <v>43.340000000000032</v>
      </c>
      <c r="F3312" s="44">
        <v>657</v>
      </c>
      <c r="G3312" s="44">
        <f t="shared" si="2434"/>
        <v>28474.380000000019</v>
      </c>
      <c r="H3312" s="44">
        <f t="shared" si="2435"/>
        <v>206.42705098039215</v>
      </c>
      <c r="I3312" s="43">
        <f t="shared" si="2436"/>
        <v>8946.5483894902027</v>
      </c>
      <c r="J3312" s="112">
        <f t="shared" si="2437"/>
        <v>43.340000000000032</v>
      </c>
      <c r="K3312" s="211">
        <f t="shared" si="2438"/>
        <v>43.340000000000032</v>
      </c>
      <c r="L3312" s="44"/>
      <c r="M3312" s="44">
        <f t="shared" si="2458"/>
        <v>43.340000000000032</v>
      </c>
      <c r="N3312" s="173">
        <f t="shared" si="2439"/>
        <v>1</v>
      </c>
      <c r="O3312" s="44">
        <f t="shared" si="2440"/>
        <v>657</v>
      </c>
      <c r="P3312" s="44">
        <f t="shared" si="2441"/>
        <v>28474.380000000019</v>
      </c>
      <c r="Q3312" s="44">
        <f t="shared" si="2442"/>
        <v>206.42705098039215</v>
      </c>
      <c r="R3312" s="44">
        <f t="shared" si="2459"/>
        <v>8946.5483894902027</v>
      </c>
      <c r="S3312" s="123"/>
      <c r="T3312" s="219">
        <f t="shared" si="2460"/>
        <v>8946.5483894902027</v>
      </c>
      <c r="U3312" s="87"/>
      <c r="V3312" s="47"/>
      <c r="W3312" s="48"/>
      <c r="X3312" s="48"/>
      <c r="Y3312" s="48"/>
      <c r="Z3312" s="135"/>
      <c r="AA3312" s="49"/>
      <c r="AB3312" s="50">
        <f t="shared" si="2443"/>
        <v>206.42705098039215</v>
      </c>
      <c r="AC3312" s="42">
        <f t="shared" si="2461"/>
        <v>43.340000000000032</v>
      </c>
      <c r="AD3312" s="90">
        <f>AD3313+AD3323+AD3331</f>
        <v>8946.5483894902027</v>
      </c>
      <c r="AE3312" s="188">
        <f t="shared" ref="AE3312" si="2530">AE3313+AE3323+AE3331</f>
        <v>0</v>
      </c>
      <c r="AF3312" s="189">
        <f t="shared" ref="AF3312" si="2531">AF3313+AF3323+AF3331</f>
        <v>0</v>
      </c>
      <c r="AG3312" s="189">
        <f t="shared" ref="AG3312" si="2532">AG3313+AG3323+AG3331</f>
        <v>0</v>
      </c>
      <c r="AH3312" s="189">
        <f t="shared" ref="AH3312" si="2533">AH3313+AH3323+AH3331</f>
        <v>0</v>
      </c>
      <c r="AI3312" s="161">
        <f t="shared" ref="AI3312" si="2534">SUM(AE3312:AH3312)</f>
        <v>0</v>
      </c>
      <c r="AK3312" s="169">
        <v>5</v>
      </c>
      <c r="AO3312" s="19" t="s">
        <v>63</v>
      </c>
    </row>
    <row r="3313" spans="1:37" s="103" customFormat="1" ht="19.899999999999999" customHeight="1" x14ac:dyDescent="0.25">
      <c r="A3313" s="51"/>
      <c r="B3313" s="52"/>
      <c r="C3313" s="165"/>
      <c r="D3313" s="52"/>
      <c r="E3313" s="115"/>
      <c r="F3313" s="58"/>
      <c r="G3313" s="58"/>
      <c r="H3313" s="58"/>
      <c r="I3313" s="55"/>
      <c r="J3313" s="113">
        <f>J3312</f>
        <v>43.340000000000032</v>
      </c>
      <c r="K3313" s="212">
        <f>K3312</f>
        <v>43.340000000000032</v>
      </c>
      <c r="L3313" s="58"/>
      <c r="M3313" s="58">
        <f>K3313-L3313</f>
        <v>43.340000000000032</v>
      </c>
      <c r="N3313" s="166"/>
      <c r="O3313" s="58"/>
      <c r="P3313" s="58"/>
      <c r="Q3313" s="58"/>
      <c r="R3313" s="58"/>
      <c r="S3313" s="58"/>
      <c r="T3313" s="220"/>
      <c r="U3313" s="88"/>
      <c r="V3313" s="56"/>
      <c r="W3313" s="57" t="s">
        <v>1225</v>
      </c>
      <c r="X3313" s="53"/>
      <c r="Y3313" s="91" t="s">
        <v>68</v>
      </c>
      <c r="Z3313" s="136">
        <f>AD3313/AC3313</f>
        <v>98.84371764705881</v>
      </c>
      <c r="AA3313" s="58"/>
      <c r="AB3313" s="53">
        <f>AD3313/AC3313</f>
        <v>98.84371764705881</v>
      </c>
      <c r="AC3313" s="53">
        <f>M3313+$AE$10</f>
        <v>43.340000000000032</v>
      </c>
      <c r="AD3313" s="54">
        <f>SUM(AD3314:AD3322)</f>
        <v>4283.8867228235322</v>
      </c>
      <c r="AE3313" s="184">
        <f>SUMIFS($AD$37:$AD$12971,$V$37:$V$12971,$V3313,$X$37:$X$12971,AE$13)</f>
        <v>0</v>
      </c>
      <c r="AF3313" s="185">
        <f>SUMIFS($AD$37:$AD$12971,$V$37:$V$12971,$V3313,$X$37:$X$12971,AF$13)</f>
        <v>0</v>
      </c>
      <c r="AG3313" s="185">
        <f>SUMIFS($AD$37:$AD$12971,$V$37:$V$12971,$V3313,$X$37:$X$12971,AG$13)</f>
        <v>0</v>
      </c>
      <c r="AH3313" s="187">
        <f>SUMIFS($AD$37:$AD$12971,$V$37:$V$12971,$V3313,$X$37:$X$12971,AH$13)</f>
        <v>0</v>
      </c>
      <c r="AI3313" s="161">
        <f t="shared" ref="AI3313" si="2535">SUM(AE3313:AH3313)</f>
        <v>0</v>
      </c>
      <c r="AK3313" s="172"/>
    </row>
    <row r="3314" spans="1:37" s="102" customFormat="1" ht="19.899999999999999" customHeight="1" x14ac:dyDescent="0.25">
      <c r="A3314" s="45"/>
      <c r="B3314" s="59"/>
      <c r="C3314" s="137"/>
      <c r="D3314" s="59"/>
      <c r="E3314" s="116"/>
      <c r="F3314" s="120"/>
      <c r="G3314" s="120"/>
      <c r="H3314" s="120"/>
      <c r="I3314" s="60"/>
      <c r="J3314" s="116"/>
      <c r="K3314" s="213"/>
      <c r="L3314" s="120"/>
      <c r="M3314" s="120"/>
      <c r="N3314" s="167"/>
      <c r="O3314" s="120"/>
      <c r="P3314" s="120"/>
      <c r="Q3314" s="120"/>
      <c r="R3314" s="120"/>
      <c r="S3314" s="120"/>
      <c r="T3314" s="221"/>
      <c r="U3314" s="89"/>
      <c r="V3314" s="61"/>
      <c r="W3314" s="92" t="s">
        <v>131</v>
      </c>
      <c r="X3314" s="93" t="s">
        <v>29</v>
      </c>
      <c r="Y3314" s="93" t="s">
        <v>93</v>
      </c>
      <c r="Z3314" s="134">
        <f>VLOOKUP(W3314,Sheet2!$B:$D,3,FALSE)</f>
        <v>131.19999999999999</v>
      </c>
      <c r="AA3314" s="93">
        <f>80/(1*6)</f>
        <v>13.333333333333334</v>
      </c>
      <c r="AB3314" s="93">
        <f t="shared" ref="AB3314" si="2536">AD3314/AC3313</f>
        <v>9.84</v>
      </c>
      <c r="AC3314" s="93">
        <f>AC3313/AA3314</f>
        <v>3.2505000000000024</v>
      </c>
      <c r="AD3314" s="94">
        <f t="shared" ref="AD3314:AD3315" si="2537">AC3314*Z3314</f>
        <v>426.46560000000028</v>
      </c>
      <c r="AE3314" s="190"/>
      <c r="AF3314" s="191"/>
      <c r="AG3314" s="191"/>
      <c r="AH3314" s="191"/>
      <c r="AI3314" s="186"/>
      <c r="AK3314" s="171"/>
    </row>
    <row r="3315" spans="1:37" s="102" customFormat="1" ht="19.899999999999999" customHeight="1" x14ac:dyDescent="0.25">
      <c r="A3315" s="45"/>
      <c r="B3315" s="59"/>
      <c r="C3315" s="137"/>
      <c r="D3315" s="59"/>
      <c r="E3315" s="116"/>
      <c r="F3315" s="120"/>
      <c r="G3315" s="120"/>
      <c r="H3315" s="120"/>
      <c r="I3315" s="60"/>
      <c r="J3315" s="116"/>
      <c r="K3315" s="213"/>
      <c r="L3315" s="120"/>
      <c r="M3315" s="120"/>
      <c r="N3315" s="167"/>
      <c r="O3315" s="120"/>
      <c r="P3315" s="120"/>
      <c r="Q3315" s="120"/>
      <c r="R3315" s="120"/>
      <c r="S3315" s="120"/>
      <c r="T3315" s="221"/>
      <c r="U3315" s="89"/>
      <c r="V3315" s="61"/>
      <c r="W3315" s="92" t="s">
        <v>65</v>
      </c>
      <c r="X3315" s="93" t="s">
        <v>30</v>
      </c>
      <c r="Y3315" s="93" t="s">
        <v>1011</v>
      </c>
      <c r="Z3315" s="134">
        <f>VLOOKUP(W3315,Sheet2!$B:$D,3,FALSE)</f>
        <v>1.76</v>
      </c>
      <c r="AA3315" s="93">
        <f>AA3314/32</f>
        <v>0.41666666666666669</v>
      </c>
      <c r="AB3315" s="93">
        <f>AD3315/AC3313</f>
        <v>4.2240000000000002</v>
      </c>
      <c r="AC3315" s="93">
        <f>AC3313/AA3315</f>
        <v>104.01600000000008</v>
      </c>
      <c r="AD3315" s="94">
        <f t="shared" si="2537"/>
        <v>183.06816000000015</v>
      </c>
      <c r="AE3315" s="190"/>
      <c r="AF3315" s="191"/>
      <c r="AG3315" s="191"/>
      <c r="AH3315" s="191"/>
      <c r="AI3315" s="186"/>
      <c r="AK3315" s="171"/>
    </row>
    <row r="3316" spans="1:37" s="102" customFormat="1" ht="19.899999999999999" customHeight="1" x14ac:dyDescent="0.25">
      <c r="A3316" s="45"/>
      <c r="B3316" s="59"/>
      <c r="C3316" s="137"/>
      <c r="D3316" s="59"/>
      <c r="E3316" s="116"/>
      <c r="F3316" s="120"/>
      <c r="G3316" s="120"/>
      <c r="H3316" s="120"/>
      <c r="I3316" s="60"/>
      <c r="J3316" s="116"/>
      <c r="K3316" s="213"/>
      <c r="L3316" s="120"/>
      <c r="M3316" s="120"/>
      <c r="N3316" s="167"/>
      <c r="O3316" s="120"/>
      <c r="P3316" s="120"/>
      <c r="Q3316" s="120"/>
      <c r="R3316" s="120"/>
      <c r="S3316" s="120"/>
      <c r="T3316" s="221"/>
      <c r="U3316" s="89"/>
      <c r="V3316" s="61"/>
      <c r="W3316" s="92" t="s">
        <v>161</v>
      </c>
      <c r="X3316" s="93" t="s">
        <v>29</v>
      </c>
      <c r="Y3316" s="93" t="s">
        <v>93</v>
      </c>
      <c r="Z3316" s="134">
        <f>VLOOKUP(W3316,Sheet2!$B:$D,3,FALSE)</f>
        <v>48</v>
      </c>
      <c r="AA3316" s="93">
        <f>(16*0.85*1.5)/(1*6)</f>
        <v>3.4</v>
      </c>
      <c r="AB3316" s="93">
        <f>AD3316/AC3313</f>
        <v>14.117647058823529</v>
      </c>
      <c r="AC3316" s="93">
        <f>AC3313/AA3316</f>
        <v>12.747058823529422</v>
      </c>
      <c r="AD3316" s="94">
        <f>AC3316*Z3316</f>
        <v>611.85882352941223</v>
      </c>
      <c r="AE3316" s="190"/>
      <c r="AF3316" s="191"/>
      <c r="AG3316" s="191"/>
      <c r="AH3316" s="191"/>
      <c r="AI3316" s="186"/>
      <c r="AK3316" s="171"/>
    </row>
    <row r="3317" spans="1:37" s="102" customFormat="1" ht="19.899999999999999" customHeight="1" x14ac:dyDescent="0.25">
      <c r="A3317" s="45"/>
      <c r="B3317" s="59"/>
      <c r="C3317" s="137"/>
      <c r="D3317" s="59"/>
      <c r="E3317" s="116"/>
      <c r="F3317" s="120"/>
      <c r="G3317" s="120"/>
      <c r="H3317" s="120"/>
      <c r="I3317" s="60"/>
      <c r="J3317" s="116"/>
      <c r="K3317" s="213"/>
      <c r="L3317" s="120"/>
      <c r="M3317" s="120"/>
      <c r="N3317" s="167"/>
      <c r="O3317" s="120"/>
      <c r="P3317" s="120"/>
      <c r="Q3317" s="120"/>
      <c r="R3317" s="120"/>
      <c r="S3317" s="120"/>
      <c r="T3317" s="221"/>
      <c r="U3317" s="89"/>
      <c r="V3317" s="61"/>
      <c r="W3317" s="92" t="s">
        <v>65</v>
      </c>
      <c r="X3317" s="93" t="s">
        <v>30</v>
      </c>
      <c r="Y3317" s="93" t="s">
        <v>1011</v>
      </c>
      <c r="Z3317" s="134">
        <f>VLOOKUP(W3317,Sheet2!$B:$D,3,FALSE)</f>
        <v>1.76</v>
      </c>
      <c r="AA3317" s="93">
        <f>AA3316/10</f>
        <v>0.33999999999999997</v>
      </c>
      <c r="AB3317" s="93">
        <f>AD3317/AC3313</f>
        <v>5.1764705882352944</v>
      </c>
      <c r="AC3317" s="93">
        <f>AC3313/AA3317</f>
        <v>127.47058823529423</v>
      </c>
      <c r="AD3317" s="94">
        <f>AC3317*Z3317</f>
        <v>224.34823529411784</v>
      </c>
      <c r="AE3317" s="190"/>
      <c r="AF3317" s="191"/>
      <c r="AG3317" s="191"/>
      <c r="AH3317" s="191"/>
      <c r="AI3317" s="186"/>
      <c r="AK3317" s="171"/>
    </row>
    <row r="3318" spans="1:37" s="102" customFormat="1" ht="19.899999999999999" customHeight="1" x14ac:dyDescent="0.25">
      <c r="A3318" s="45"/>
      <c r="B3318" s="59"/>
      <c r="C3318" s="137"/>
      <c r="D3318" s="59"/>
      <c r="E3318" s="116"/>
      <c r="F3318" s="120"/>
      <c r="G3318" s="120"/>
      <c r="H3318" s="120"/>
      <c r="I3318" s="60"/>
      <c r="J3318" s="116"/>
      <c r="K3318" s="213"/>
      <c r="L3318" s="120"/>
      <c r="M3318" s="120"/>
      <c r="N3318" s="167"/>
      <c r="O3318" s="120"/>
      <c r="P3318" s="120"/>
      <c r="Q3318" s="120"/>
      <c r="R3318" s="120"/>
      <c r="S3318" s="120"/>
      <c r="T3318" s="221"/>
      <c r="U3318" s="89"/>
      <c r="V3318" s="61"/>
      <c r="W3318" s="92" t="s">
        <v>1030</v>
      </c>
      <c r="X3318" s="93" t="s">
        <v>29</v>
      </c>
      <c r="Y3318" s="93" t="s">
        <v>93</v>
      </c>
      <c r="Z3318" s="134">
        <f>VLOOKUP(W3318,Sheet2!$B:$D,3,FALSE)</f>
        <v>23</v>
      </c>
      <c r="AA3318" s="93">
        <v>50</v>
      </c>
      <c r="AB3318" s="93">
        <f>AD3318/AC3313</f>
        <v>0.46000000000000008</v>
      </c>
      <c r="AC3318" s="93">
        <f>AC3313/AA3318</f>
        <v>0.86680000000000068</v>
      </c>
      <c r="AD3318" s="94">
        <f t="shared" ref="AD3318:AD3322" si="2538">AC3318*Z3318</f>
        <v>19.936400000000017</v>
      </c>
      <c r="AE3318" s="190"/>
      <c r="AF3318" s="191"/>
      <c r="AG3318" s="191"/>
      <c r="AH3318" s="191"/>
      <c r="AI3318" s="186"/>
      <c r="AK3318" s="171"/>
    </row>
    <row r="3319" spans="1:37" s="102" customFormat="1" ht="19.899999999999999" customHeight="1" x14ac:dyDescent="0.25">
      <c r="A3319" s="45"/>
      <c r="B3319" s="59"/>
      <c r="C3319" s="137"/>
      <c r="D3319" s="59"/>
      <c r="E3319" s="116"/>
      <c r="F3319" s="120"/>
      <c r="G3319" s="120"/>
      <c r="H3319" s="120"/>
      <c r="I3319" s="60"/>
      <c r="J3319" s="116"/>
      <c r="K3319" s="213"/>
      <c r="L3319" s="120"/>
      <c r="M3319" s="120"/>
      <c r="N3319" s="167"/>
      <c r="O3319" s="120"/>
      <c r="P3319" s="120"/>
      <c r="Q3319" s="120"/>
      <c r="R3319" s="120"/>
      <c r="S3319" s="120"/>
      <c r="T3319" s="221"/>
      <c r="U3319" s="89"/>
      <c r="V3319" s="61"/>
      <c r="W3319" s="92" t="s">
        <v>65</v>
      </c>
      <c r="X3319" s="93" t="s">
        <v>30</v>
      </c>
      <c r="Y3319" s="93" t="s">
        <v>1011</v>
      </c>
      <c r="Z3319" s="134">
        <f>VLOOKUP(W3319,Sheet2!$B:$D,3,FALSE)</f>
        <v>1.76</v>
      </c>
      <c r="AA3319" s="93">
        <f>AA3318/3</f>
        <v>16.666666666666668</v>
      </c>
      <c r="AB3319" s="93">
        <f>AD3319/AC3313</f>
        <v>0.10559999999999999</v>
      </c>
      <c r="AC3319" s="93">
        <f>AC3313/AA3319</f>
        <v>2.6004000000000018</v>
      </c>
      <c r="AD3319" s="94">
        <f t="shared" si="2538"/>
        <v>4.576704000000003</v>
      </c>
      <c r="AE3319" s="190"/>
      <c r="AF3319" s="191"/>
      <c r="AG3319" s="191"/>
      <c r="AH3319" s="191"/>
      <c r="AI3319" s="186"/>
      <c r="AK3319" s="171"/>
    </row>
    <row r="3320" spans="1:37" s="102" customFormat="1" ht="19.899999999999999" customHeight="1" x14ac:dyDescent="0.25">
      <c r="A3320" s="45"/>
      <c r="B3320" s="59"/>
      <c r="C3320" s="137"/>
      <c r="D3320" s="59"/>
      <c r="E3320" s="116"/>
      <c r="F3320" s="120"/>
      <c r="G3320" s="120"/>
      <c r="H3320" s="120"/>
      <c r="I3320" s="60"/>
      <c r="J3320" s="116"/>
      <c r="K3320" s="213"/>
      <c r="L3320" s="120"/>
      <c r="M3320" s="120"/>
      <c r="N3320" s="167"/>
      <c r="O3320" s="120"/>
      <c r="P3320" s="120"/>
      <c r="Q3320" s="120"/>
      <c r="R3320" s="120"/>
      <c r="S3320" s="120"/>
      <c r="T3320" s="221"/>
      <c r="U3320" s="89"/>
      <c r="V3320" s="61"/>
      <c r="W3320" s="92" t="s">
        <v>148</v>
      </c>
      <c r="X3320" s="93" t="s">
        <v>29</v>
      </c>
      <c r="Y3320" s="93" t="s">
        <v>93</v>
      </c>
      <c r="Z3320" s="134">
        <f>VLOOKUP(W3320,Sheet2!$B:$D,3,FALSE)</f>
        <v>48</v>
      </c>
      <c r="AA3320" s="93">
        <f>AA3314</f>
        <v>13.333333333333334</v>
      </c>
      <c r="AB3320" s="93">
        <f>AD3320/AC3313</f>
        <v>3.6</v>
      </c>
      <c r="AC3320" s="93">
        <f>AC3313/AA3320</f>
        <v>3.2505000000000024</v>
      </c>
      <c r="AD3320" s="94">
        <f t="shared" si="2538"/>
        <v>156.02400000000011</v>
      </c>
      <c r="AE3320" s="190"/>
      <c r="AF3320" s="191"/>
      <c r="AG3320" s="191"/>
      <c r="AH3320" s="191"/>
      <c r="AI3320" s="186"/>
      <c r="AK3320" s="171"/>
    </row>
    <row r="3321" spans="1:37" s="102" customFormat="1" ht="19.899999999999999" customHeight="1" x14ac:dyDescent="0.25">
      <c r="A3321" s="45"/>
      <c r="B3321" s="59"/>
      <c r="C3321" s="137"/>
      <c r="D3321" s="59"/>
      <c r="E3321" s="116"/>
      <c r="F3321" s="120"/>
      <c r="G3321" s="120"/>
      <c r="H3321" s="120"/>
      <c r="I3321" s="60"/>
      <c r="J3321" s="116"/>
      <c r="K3321" s="213"/>
      <c r="L3321" s="120"/>
      <c r="M3321" s="120"/>
      <c r="N3321" s="167"/>
      <c r="O3321" s="120"/>
      <c r="P3321" s="120"/>
      <c r="Q3321" s="120"/>
      <c r="R3321" s="120"/>
      <c r="S3321" s="120"/>
      <c r="T3321" s="221"/>
      <c r="U3321" s="89"/>
      <c r="V3321" s="61"/>
      <c r="W3321" s="92" t="s">
        <v>65</v>
      </c>
      <c r="X3321" s="93" t="s">
        <v>30</v>
      </c>
      <c r="Y3321" s="93" t="s">
        <v>1011</v>
      </c>
      <c r="Z3321" s="134">
        <f>VLOOKUP(W3321,Sheet2!$B:$D,3,FALSE)</f>
        <v>1.76</v>
      </c>
      <c r="AA3321" s="93">
        <f>AA3320/10</f>
        <v>1.3333333333333335</v>
      </c>
      <c r="AB3321" s="93">
        <f>AD3321/AC3313</f>
        <v>1.3199999999999998</v>
      </c>
      <c r="AC3321" s="93">
        <f>AC3313/AA3321</f>
        <v>32.505000000000017</v>
      </c>
      <c r="AD3321" s="94">
        <f t="shared" si="2538"/>
        <v>57.208800000000032</v>
      </c>
      <c r="AE3321" s="190"/>
      <c r="AF3321" s="191"/>
      <c r="AG3321" s="191"/>
      <c r="AH3321" s="191"/>
      <c r="AI3321" s="186"/>
      <c r="AK3321" s="171"/>
    </row>
    <row r="3322" spans="1:37" s="102" customFormat="1" ht="19.899999999999999" customHeight="1" x14ac:dyDescent="0.25">
      <c r="A3322" s="45"/>
      <c r="B3322" s="59"/>
      <c r="C3322" s="137"/>
      <c r="D3322" s="59"/>
      <c r="E3322" s="116"/>
      <c r="F3322" s="120"/>
      <c r="G3322" s="120"/>
      <c r="H3322" s="120"/>
      <c r="I3322" s="60"/>
      <c r="J3322" s="116"/>
      <c r="K3322" s="213"/>
      <c r="L3322" s="120"/>
      <c r="M3322" s="120"/>
      <c r="N3322" s="167"/>
      <c r="O3322" s="120"/>
      <c r="P3322" s="120"/>
      <c r="Q3322" s="120"/>
      <c r="R3322" s="120"/>
      <c r="S3322" s="120"/>
      <c r="T3322" s="221"/>
      <c r="U3322" s="89"/>
      <c r="V3322" s="61"/>
      <c r="W3322" s="92" t="s">
        <v>1049</v>
      </c>
      <c r="X3322" s="93" t="s">
        <v>30</v>
      </c>
      <c r="Y3322" s="93" t="s">
        <v>68</v>
      </c>
      <c r="Z3322" s="134">
        <f>VLOOKUP(W3322,Sheet2!$B:$D,3,FALSE)</f>
        <v>60</v>
      </c>
      <c r="AA3322" s="93">
        <v>1</v>
      </c>
      <c r="AB3322" s="93">
        <f>AD3322/AC3313</f>
        <v>60</v>
      </c>
      <c r="AC3322" s="93">
        <f>AC3313/AA3322</f>
        <v>43.340000000000032</v>
      </c>
      <c r="AD3322" s="94">
        <f t="shared" si="2538"/>
        <v>2600.4000000000019</v>
      </c>
      <c r="AE3322" s="190"/>
      <c r="AF3322" s="191"/>
      <c r="AG3322" s="191"/>
      <c r="AH3322" s="191"/>
      <c r="AI3322" s="186"/>
      <c r="AK3322" s="171"/>
    </row>
    <row r="3323" spans="1:37" s="103" customFormat="1" ht="19.899999999999999" customHeight="1" x14ac:dyDescent="0.25">
      <c r="A3323" s="51"/>
      <c r="B3323" s="52"/>
      <c r="C3323" s="165"/>
      <c r="D3323" s="52"/>
      <c r="E3323" s="115"/>
      <c r="F3323" s="58"/>
      <c r="G3323" s="58"/>
      <c r="H3323" s="58"/>
      <c r="I3323" s="55"/>
      <c r="J3323" s="113">
        <f>J3312</f>
        <v>43.340000000000032</v>
      </c>
      <c r="K3323" s="212">
        <f>K3312</f>
        <v>43.340000000000032</v>
      </c>
      <c r="L3323" s="58"/>
      <c r="M3323" s="58">
        <f>K3323-L3323</f>
        <v>43.340000000000032</v>
      </c>
      <c r="N3323" s="166"/>
      <c r="O3323" s="58"/>
      <c r="P3323" s="58"/>
      <c r="Q3323" s="58"/>
      <c r="R3323" s="58"/>
      <c r="S3323" s="58"/>
      <c r="T3323" s="220"/>
      <c r="U3323" s="88"/>
      <c r="V3323" s="56"/>
      <c r="W3323" s="57" t="s">
        <v>1036</v>
      </c>
      <c r="X3323" s="53"/>
      <c r="Y3323" s="91" t="s">
        <v>68</v>
      </c>
      <c r="Z3323" s="136">
        <f>AD3323/AC3323</f>
        <v>102.58333333333333</v>
      </c>
      <c r="AA3323" s="58"/>
      <c r="AB3323" s="53">
        <f>AD3323/AC3323</f>
        <v>102.58333333333333</v>
      </c>
      <c r="AC3323" s="53">
        <f>M3323+$AE$10</f>
        <v>43.340000000000032</v>
      </c>
      <c r="AD3323" s="54">
        <f>SUM(AD3324:AD3330)</f>
        <v>4445.9616666666698</v>
      </c>
      <c r="AE3323" s="184">
        <f>SUMIFS($AD$37:$AD$12971,$V$37:$V$12971,$V3323,$X$37:$X$12971,AE$13)</f>
        <v>0</v>
      </c>
      <c r="AF3323" s="185">
        <f>SUMIFS($AD$37:$AD$12971,$V$37:$V$12971,$V3323,$X$37:$X$12971,AF$13)</f>
        <v>0</v>
      </c>
      <c r="AG3323" s="185">
        <f>SUMIFS($AD$37:$AD$12971,$V$37:$V$12971,$V3323,$X$37:$X$12971,AG$13)</f>
        <v>0</v>
      </c>
      <c r="AH3323" s="187">
        <f>SUMIFS($AD$37:$AD$12971,$V$37:$V$12971,$V3323,$X$37:$X$12971,AH$13)</f>
        <v>0</v>
      </c>
      <c r="AI3323" s="161">
        <f t="shared" ref="AI3323" si="2539">SUM(AE3323:AH3323)</f>
        <v>0</v>
      </c>
      <c r="AK3323" s="172"/>
    </row>
    <row r="3324" spans="1:37" s="102" customFormat="1" ht="19.899999999999999" customHeight="1" x14ac:dyDescent="0.25">
      <c r="A3324" s="45"/>
      <c r="B3324" s="59"/>
      <c r="C3324" s="137"/>
      <c r="D3324" s="59"/>
      <c r="E3324" s="116"/>
      <c r="F3324" s="120"/>
      <c r="G3324" s="120"/>
      <c r="H3324" s="120"/>
      <c r="I3324" s="60"/>
      <c r="J3324" s="116"/>
      <c r="K3324" s="213"/>
      <c r="L3324" s="120"/>
      <c r="M3324" s="120"/>
      <c r="N3324" s="167"/>
      <c r="O3324" s="120"/>
      <c r="P3324" s="120"/>
      <c r="Q3324" s="120"/>
      <c r="R3324" s="120"/>
      <c r="S3324" s="120"/>
      <c r="T3324" s="221"/>
      <c r="U3324" s="89"/>
      <c r="V3324" s="61"/>
      <c r="W3324" s="92" t="s">
        <v>1045</v>
      </c>
      <c r="X3324" s="93" t="s">
        <v>30</v>
      </c>
      <c r="Y3324" s="93" t="s">
        <v>68</v>
      </c>
      <c r="Z3324" s="134">
        <f>VLOOKUP(W3324,Sheet2!$B:$D,3,FALSE)</f>
        <v>52</v>
      </c>
      <c r="AA3324" s="93">
        <v>1</v>
      </c>
      <c r="AB3324" s="93">
        <f>AD3324/AC3323</f>
        <v>52</v>
      </c>
      <c r="AC3324" s="93">
        <f>AC3323/AA3324</f>
        <v>43.340000000000032</v>
      </c>
      <c r="AD3324" s="94">
        <f t="shared" ref="AD3324" si="2540">AC3324*Z3324</f>
        <v>2253.6800000000017</v>
      </c>
      <c r="AE3324" s="190"/>
      <c r="AF3324" s="191"/>
      <c r="AG3324" s="191"/>
      <c r="AH3324" s="191"/>
      <c r="AI3324" s="186"/>
      <c r="AK3324" s="171"/>
    </row>
    <row r="3325" spans="1:37" s="102" customFormat="1" ht="19.899999999999999" customHeight="1" x14ac:dyDescent="0.25">
      <c r="A3325" s="45"/>
      <c r="B3325" s="59"/>
      <c r="C3325" s="137"/>
      <c r="D3325" s="59"/>
      <c r="E3325" s="116"/>
      <c r="F3325" s="120"/>
      <c r="G3325" s="120"/>
      <c r="H3325" s="120"/>
      <c r="I3325" s="60"/>
      <c r="J3325" s="116"/>
      <c r="K3325" s="213"/>
      <c r="L3325" s="120"/>
      <c r="M3325" s="120"/>
      <c r="N3325" s="167"/>
      <c r="O3325" s="120"/>
      <c r="P3325" s="120"/>
      <c r="Q3325" s="120"/>
      <c r="R3325" s="120"/>
      <c r="S3325" s="120"/>
      <c r="T3325" s="221"/>
      <c r="U3325" s="89"/>
      <c r="V3325" s="61"/>
      <c r="W3325" s="92" t="s">
        <v>1043</v>
      </c>
      <c r="X3325" s="93" t="s">
        <v>30</v>
      </c>
      <c r="Y3325" s="93" t="s">
        <v>68</v>
      </c>
      <c r="Z3325" s="134">
        <f>VLOOKUP(W3325,Sheet2!$B:$D,3,FALSE)</f>
        <v>5</v>
      </c>
      <c r="AA3325" s="93">
        <v>1</v>
      </c>
      <c r="AB3325" s="93">
        <f>AD3325/AC3323</f>
        <v>5</v>
      </c>
      <c r="AC3325" s="93">
        <f>AC3323/AA3325</f>
        <v>43.340000000000032</v>
      </c>
      <c r="AD3325" s="94">
        <f>AC3325*Z3325</f>
        <v>216.70000000000016</v>
      </c>
      <c r="AE3325" s="190"/>
      <c r="AF3325" s="191"/>
      <c r="AG3325" s="191"/>
      <c r="AH3325" s="191"/>
      <c r="AI3325" s="186"/>
      <c r="AK3325" s="171"/>
    </row>
    <row r="3326" spans="1:37" s="102" customFormat="1" ht="19.899999999999999" customHeight="1" x14ac:dyDescent="0.25">
      <c r="A3326" s="45"/>
      <c r="B3326" s="59"/>
      <c r="C3326" s="137"/>
      <c r="D3326" s="59"/>
      <c r="E3326" s="116"/>
      <c r="F3326" s="120"/>
      <c r="G3326" s="120"/>
      <c r="H3326" s="120"/>
      <c r="I3326" s="60"/>
      <c r="J3326" s="116"/>
      <c r="K3326" s="213"/>
      <c r="L3326" s="120"/>
      <c r="M3326" s="120"/>
      <c r="N3326" s="167"/>
      <c r="O3326" s="120"/>
      <c r="P3326" s="120"/>
      <c r="Q3326" s="120"/>
      <c r="R3326" s="120"/>
      <c r="S3326" s="120"/>
      <c r="T3326" s="221"/>
      <c r="U3326" s="89"/>
      <c r="V3326" s="61"/>
      <c r="W3326" s="92" t="s">
        <v>107</v>
      </c>
      <c r="X3326" s="93" t="s">
        <v>31</v>
      </c>
      <c r="Y3326" s="93" t="s">
        <v>93</v>
      </c>
      <c r="Z3326" s="134">
        <f>VLOOKUP(W3326,Sheet2!$B:$D,3,FALSE)</f>
        <v>17</v>
      </c>
      <c r="AA3326" s="93">
        <v>6</v>
      </c>
      <c r="AB3326" s="93">
        <f>AD3326/AC3323</f>
        <v>2.8333333333333335</v>
      </c>
      <c r="AC3326" s="93">
        <f>AC3323/AA3326</f>
        <v>7.2233333333333389</v>
      </c>
      <c r="AD3326" s="94">
        <f>AC3326*Z3326</f>
        <v>122.79666666666677</v>
      </c>
      <c r="AE3326" s="190"/>
      <c r="AF3326" s="191"/>
      <c r="AG3326" s="191"/>
      <c r="AH3326" s="191"/>
      <c r="AI3326" s="186"/>
      <c r="AK3326" s="171"/>
    </row>
    <row r="3327" spans="1:37" s="102" customFormat="1" ht="19.899999999999999" customHeight="1" x14ac:dyDescent="0.25">
      <c r="A3327" s="45"/>
      <c r="B3327" s="59"/>
      <c r="C3327" s="137"/>
      <c r="D3327" s="59"/>
      <c r="E3327" s="116"/>
      <c r="F3327" s="120"/>
      <c r="G3327" s="120"/>
      <c r="H3327" s="120"/>
      <c r="I3327" s="60"/>
      <c r="J3327" s="116"/>
      <c r="K3327" s="213"/>
      <c r="L3327" s="120"/>
      <c r="M3327" s="120"/>
      <c r="N3327" s="167"/>
      <c r="O3327" s="120"/>
      <c r="P3327" s="120"/>
      <c r="Q3327" s="120"/>
      <c r="R3327" s="120"/>
      <c r="S3327" s="120"/>
      <c r="T3327" s="221"/>
      <c r="U3327" s="89"/>
      <c r="V3327" s="61"/>
      <c r="W3327" s="92" t="s">
        <v>112</v>
      </c>
      <c r="X3327" s="93" t="s">
        <v>31</v>
      </c>
      <c r="Y3327" s="93" t="s">
        <v>93</v>
      </c>
      <c r="Z3327" s="134">
        <f>VLOOKUP(W3327,Sheet2!$B:$D,3,FALSE)</f>
        <v>13</v>
      </c>
      <c r="AA3327" s="93">
        <v>6</v>
      </c>
      <c r="AB3327" s="93">
        <f>AD3327/AC3323</f>
        <v>2.166666666666667</v>
      </c>
      <c r="AC3327" s="93">
        <f>AC3323/AA3327</f>
        <v>7.2233333333333389</v>
      </c>
      <c r="AD3327" s="94">
        <f>AC3327*Z3327</f>
        <v>93.903333333333407</v>
      </c>
      <c r="AE3327" s="190"/>
      <c r="AF3327" s="191"/>
      <c r="AG3327" s="191"/>
      <c r="AH3327" s="191"/>
      <c r="AI3327" s="186"/>
      <c r="AK3327" s="171"/>
    </row>
    <row r="3328" spans="1:37" s="102" customFormat="1" ht="19.899999999999999" customHeight="1" x14ac:dyDescent="0.25">
      <c r="A3328" s="45"/>
      <c r="B3328" s="59"/>
      <c r="C3328" s="137"/>
      <c r="D3328" s="59"/>
      <c r="E3328" s="116"/>
      <c r="F3328" s="120"/>
      <c r="G3328" s="120"/>
      <c r="H3328" s="120"/>
      <c r="I3328" s="60"/>
      <c r="J3328" s="116"/>
      <c r="K3328" s="213"/>
      <c r="L3328" s="120"/>
      <c r="M3328" s="120"/>
      <c r="N3328" s="167"/>
      <c r="O3328" s="120"/>
      <c r="P3328" s="120"/>
      <c r="Q3328" s="120"/>
      <c r="R3328" s="120"/>
      <c r="S3328" s="120"/>
      <c r="T3328" s="221"/>
      <c r="U3328" s="89"/>
      <c r="V3328" s="61"/>
      <c r="W3328" s="92" t="s">
        <v>1032</v>
      </c>
      <c r="X3328" s="93" t="s">
        <v>30</v>
      </c>
      <c r="Y3328" s="93" t="s">
        <v>66</v>
      </c>
      <c r="Z3328" s="134">
        <f>VLOOKUP(W3328,Sheet2!$B:$D,3,FALSE)</f>
        <v>250</v>
      </c>
      <c r="AA3328" s="93">
        <f>1/(1*1*0.1)</f>
        <v>10</v>
      </c>
      <c r="AB3328" s="93">
        <f>AD3328/AC3323</f>
        <v>25.000000000000004</v>
      </c>
      <c r="AC3328" s="93">
        <f>AC3323/AA3328</f>
        <v>4.3340000000000032</v>
      </c>
      <c r="AD3328" s="94">
        <f>AC3328*Z3328</f>
        <v>1083.5000000000009</v>
      </c>
      <c r="AE3328" s="190"/>
      <c r="AF3328" s="191"/>
      <c r="AG3328" s="191"/>
      <c r="AH3328" s="191"/>
      <c r="AI3328" s="186"/>
      <c r="AK3328" s="171"/>
    </row>
    <row r="3329" spans="1:41" s="102" customFormat="1" ht="19.899999999999999" customHeight="1" x14ac:dyDescent="0.25">
      <c r="A3329" s="45"/>
      <c r="B3329" s="59"/>
      <c r="C3329" s="137"/>
      <c r="D3329" s="59"/>
      <c r="E3329" s="116"/>
      <c r="F3329" s="120"/>
      <c r="G3329" s="120"/>
      <c r="H3329" s="120"/>
      <c r="I3329" s="60"/>
      <c r="J3329" s="116"/>
      <c r="K3329" s="213"/>
      <c r="L3329" s="120"/>
      <c r="M3329" s="120"/>
      <c r="N3329" s="167"/>
      <c r="O3329" s="120"/>
      <c r="P3329" s="120"/>
      <c r="Q3329" s="120"/>
      <c r="R3329" s="120"/>
      <c r="S3329" s="120"/>
      <c r="T3329" s="221"/>
      <c r="U3329" s="89"/>
      <c r="V3329" s="61"/>
      <c r="W3329" s="92" t="s">
        <v>1035</v>
      </c>
      <c r="X3329" s="93" t="s">
        <v>32</v>
      </c>
      <c r="Y3329" s="93" t="s">
        <v>66</v>
      </c>
      <c r="Z3329" s="134">
        <f>VLOOKUP(W3329,Sheet2!$B:$D,3,FALSE)</f>
        <v>150</v>
      </c>
      <c r="AA3329" s="93">
        <f>AA3328</f>
        <v>10</v>
      </c>
      <c r="AB3329" s="93">
        <f>AD3329/AC3323</f>
        <v>15</v>
      </c>
      <c r="AC3329" s="93">
        <f>AC3323/AA3329</f>
        <v>4.3340000000000032</v>
      </c>
      <c r="AD3329" s="94">
        <f t="shared" ref="AD3329:AD3330" si="2541">AC3329*Z3329</f>
        <v>650.10000000000048</v>
      </c>
      <c r="AE3329" s="190"/>
      <c r="AF3329" s="191"/>
      <c r="AG3329" s="191"/>
      <c r="AH3329" s="191"/>
      <c r="AI3329" s="186"/>
      <c r="AK3329" s="171"/>
    </row>
    <row r="3330" spans="1:41" s="102" customFormat="1" ht="19.899999999999999" customHeight="1" x14ac:dyDescent="0.25">
      <c r="A3330" s="45"/>
      <c r="B3330" s="59"/>
      <c r="C3330" s="137"/>
      <c r="D3330" s="59"/>
      <c r="E3330" s="116"/>
      <c r="F3330" s="120"/>
      <c r="G3330" s="120"/>
      <c r="H3330" s="120"/>
      <c r="I3330" s="60"/>
      <c r="J3330" s="116"/>
      <c r="K3330" s="213"/>
      <c r="L3330" s="120"/>
      <c r="M3330" s="120"/>
      <c r="N3330" s="167"/>
      <c r="O3330" s="120"/>
      <c r="P3330" s="120"/>
      <c r="Q3330" s="120"/>
      <c r="R3330" s="120"/>
      <c r="S3330" s="120"/>
      <c r="T3330" s="221"/>
      <c r="U3330" s="89"/>
      <c r="V3330" s="61"/>
      <c r="W3330" s="92" t="s">
        <v>1037</v>
      </c>
      <c r="X3330" s="93" t="s">
        <v>30</v>
      </c>
      <c r="Y3330" s="93" t="s">
        <v>1038</v>
      </c>
      <c r="Z3330" s="134">
        <f>VLOOKUP(W3330,Sheet2!$B:$D,3,FALSE)</f>
        <v>175</v>
      </c>
      <c r="AA3330" s="93">
        <v>300</v>
      </c>
      <c r="AB3330" s="93">
        <f>AD3330/AC3323</f>
        <v>0.58333333333333326</v>
      </c>
      <c r="AC3330" s="93">
        <f>AC3323/AA3330</f>
        <v>0.14446666666666677</v>
      </c>
      <c r="AD3330" s="94">
        <f t="shared" si="2541"/>
        <v>25.281666666666684</v>
      </c>
      <c r="AE3330" s="190"/>
      <c r="AF3330" s="191"/>
      <c r="AG3330" s="191"/>
      <c r="AH3330" s="191"/>
      <c r="AI3330" s="186"/>
      <c r="AK3330" s="171"/>
    </row>
    <row r="3331" spans="1:41" s="103" customFormat="1" ht="19.899999999999999" customHeight="1" x14ac:dyDescent="0.25">
      <c r="A3331" s="51"/>
      <c r="B3331" s="52"/>
      <c r="C3331" s="165"/>
      <c r="D3331" s="52"/>
      <c r="E3331" s="115"/>
      <c r="F3331" s="58"/>
      <c r="G3331" s="58"/>
      <c r="H3331" s="58"/>
      <c r="I3331" s="55"/>
      <c r="J3331" s="113">
        <f>J3312</f>
        <v>43.340000000000032</v>
      </c>
      <c r="K3331" s="212">
        <f>K3312</f>
        <v>43.340000000000032</v>
      </c>
      <c r="L3331" s="58"/>
      <c r="M3331" s="58">
        <f>K3331-L3331</f>
        <v>43.340000000000032</v>
      </c>
      <c r="N3331" s="166"/>
      <c r="O3331" s="58"/>
      <c r="P3331" s="58"/>
      <c r="Q3331" s="58"/>
      <c r="R3331" s="58"/>
      <c r="S3331" s="58"/>
      <c r="T3331" s="220"/>
      <c r="U3331" s="88"/>
      <c r="V3331" s="56"/>
      <c r="W3331" s="57" t="s">
        <v>1040</v>
      </c>
      <c r="X3331" s="53"/>
      <c r="Y3331" s="91" t="s">
        <v>68</v>
      </c>
      <c r="Z3331" s="136">
        <f>AD3331/AC3331</f>
        <v>5</v>
      </c>
      <c r="AA3331" s="58"/>
      <c r="AB3331" s="53">
        <f>AD3331/AC3331</f>
        <v>5</v>
      </c>
      <c r="AC3331" s="53">
        <f>M3331+$AE$10</f>
        <v>43.340000000000032</v>
      </c>
      <c r="AD3331" s="54">
        <f>SUM(AD3332)</f>
        <v>216.70000000000016</v>
      </c>
      <c r="AE3331" s="184">
        <f>SUMIFS($AD$37:$AD$12971,$V$37:$V$12971,$V3331,$X$37:$X$12971,AE$13)</f>
        <v>0</v>
      </c>
      <c r="AF3331" s="185">
        <f>SUMIFS($AD$37:$AD$12971,$V$37:$V$12971,$V3331,$X$37:$X$12971,AF$13)</f>
        <v>0</v>
      </c>
      <c r="AG3331" s="185">
        <f>SUMIFS($AD$37:$AD$12971,$V$37:$V$12971,$V3331,$X$37:$X$12971,AG$13)</f>
        <v>0</v>
      </c>
      <c r="AH3331" s="187">
        <f>SUMIFS($AD$37:$AD$12971,$V$37:$V$12971,$V3331,$X$37:$X$12971,AH$13)</f>
        <v>0</v>
      </c>
      <c r="AI3331" s="161">
        <f t="shared" ref="AI3331" si="2542">SUM(AE3331:AH3331)</f>
        <v>0</v>
      </c>
      <c r="AK3331" s="172"/>
    </row>
    <row r="3332" spans="1:41" s="102" customFormat="1" ht="19.899999999999999" customHeight="1" x14ac:dyDescent="0.25">
      <c r="A3332" s="45"/>
      <c r="B3332" s="59"/>
      <c r="C3332" s="137"/>
      <c r="D3332" s="59"/>
      <c r="E3332" s="116"/>
      <c r="F3332" s="120"/>
      <c r="G3332" s="120"/>
      <c r="H3332" s="120"/>
      <c r="I3332" s="60"/>
      <c r="J3332" s="116"/>
      <c r="K3332" s="213"/>
      <c r="L3332" s="120"/>
      <c r="M3332" s="120"/>
      <c r="N3332" s="167"/>
      <c r="O3332" s="120"/>
      <c r="P3332" s="120"/>
      <c r="Q3332" s="120"/>
      <c r="R3332" s="120"/>
      <c r="S3332" s="120"/>
      <c r="T3332" s="221"/>
      <c r="U3332" s="89"/>
      <c r="V3332" s="61"/>
      <c r="W3332" s="92" t="s">
        <v>1039</v>
      </c>
      <c r="X3332" s="93" t="s">
        <v>32</v>
      </c>
      <c r="Y3332" s="93" t="s">
        <v>68</v>
      </c>
      <c r="Z3332" s="134">
        <f>VLOOKUP(W3332,Sheet2!$B:$D,3,FALSE)</f>
        <v>5</v>
      </c>
      <c r="AA3332" s="93">
        <v>1</v>
      </c>
      <c r="AB3332" s="93">
        <f>AD3332/AC3331</f>
        <v>5</v>
      </c>
      <c r="AC3332" s="93">
        <f>AC3331/AA3332</f>
        <v>43.340000000000032</v>
      </c>
      <c r="AD3332" s="94">
        <f t="shared" ref="AD3332" si="2543">AC3332*Z3332</f>
        <v>216.70000000000016</v>
      </c>
      <c r="AE3332" s="190"/>
      <c r="AF3332" s="191"/>
      <c r="AG3332" s="191"/>
      <c r="AH3332" s="191"/>
      <c r="AI3332" s="186"/>
      <c r="AK3332" s="171"/>
    </row>
    <row r="3333" spans="1:41" ht="20.100000000000001" customHeight="1" x14ac:dyDescent="0.25">
      <c r="A3333" s="277" t="s">
        <v>491</v>
      </c>
      <c r="B3333" s="278"/>
      <c r="C3333" s="64" t="s">
        <v>1165</v>
      </c>
      <c r="D3333" s="46" t="s">
        <v>97</v>
      </c>
      <c r="E3333" s="114">
        <v>59.754750000000058</v>
      </c>
      <c r="F3333" s="44">
        <v>701</v>
      </c>
      <c r="G3333" s="44">
        <f t="shared" si="2434"/>
        <v>41888.079750000041</v>
      </c>
      <c r="H3333" s="44">
        <f t="shared" si="2435"/>
        <v>209.61689411764704</v>
      </c>
      <c r="I3333" s="43">
        <f t="shared" si="2436"/>
        <v>12525.605103776481</v>
      </c>
      <c r="J3333" s="112">
        <f t="shared" si="2437"/>
        <v>59.754750000000058</v>
      </c>
      <c r="K3333" s="211">
        <f t="shared" si="2438"/>
        <v>59.754750000000058</v>
      </c>
      <c r="L3333" s="44"/>
      <c r="M3333" s="44">
        <f t="shared" si="2458"/>
        <v>59.754750000000058</v>
      </c>
      <c r="N3333" s="173">
        <f t="shared" si="2439"/>
        <v>1</v>
      </c>
      <c r="O3333" s="44">
        <f t="shared" si="2440"/>
        <v>701</v>
      </c>
      <c r="P3333" s="44">
        <f t="shared" si="2441"/>
        <v>41888.079750000041</v>
      </c>
      <c r="Q3333" s="44">
        <f t="shared" si="2442"/>
        <v>209.61689411764704</v>
      </c>
      <c r="R3333" s="44">
        <f t="shared" si="2459"/>
        <v>12525.605103776481</v>
      </c>
      <c r="S3333" s="123"/>
      <c r="T3333" s="219">
        <f t="shared" si="2460"/>
        <v>12525.605103776481</v>
      </c>
      <c r="U3333" s="87"/>
      <c r="V3333" s="47"/>
      <c r="W3333" s="48"/>
      <c r="X3333" s="48"/>
      <c r="Y3333" s="48"/>
      <c r="Z3333" s="135"/>
      <c r="AA3333" s="49"/>
      <c r="AB3333" s="50">
        <f t="shared" si="2443"/>
        <v>209.61689411764704</v>
      </c>
      <c r="AC3333" s="42">
        <f t="shared" si="2461"/>
        <v>59.754750000000058</v>
      </c>
      <c r="AD3333" s="90">
        <f>AD3334+AD3344+AD3352</f>
        <v>12525.605103776481</v>
      </c>
      <c r="AE3333" s="188">
        <f t="shared" ref="AE3333" si="2544">AE3334+AE3344+AE3352</f>
        <v>0</v>
      </c>
      <c r="AF3333" s="189">
        <f t="shared" ref="AF3333" si="2545">AF3334+AF3344+AF3352</f>
        <v>0</v>
      </c>
      <c r="AG3333" s="189">
        <f t="shared" ref="AG3333" si="2546">AG3334+AG3344+AG3352</f>
        <v>0</v>
      </c>
      <c r="AH3333" s="189">
        <f t="shared" ref="AH3333" si="2547">AH3334+AH3344+AH3352</f>
        <v>0</v>
      </c>
      <c r="AI3333" s="161">
        <f t="shared" ref="AI3333" si="2548">SUM(AE3333:AH3333)</f>
        <v>0</v>
      </c>
      <c r="AK3333" s="169">
        <v>5</v>
      </c>
      <c r="AO3333" s="19" t="s">
        <v>63</v>
      </c>
    </row>
    <row r="3334" spans="1:41" s="103" customFormat="1" ht="19.899999999999999" customHeight="1" x14ac:dyDescent="0.25">
      <c r="A3334" s="51"/>
      <c r="B3334" s="52"/>
      <c r="C3334" s="165"/>
      <c r="D3334" s="52"/>
      <c r="E3334" s="115"/>
      <c r="F3334" s="58"/>
      <c r="G3334" s="58"/>
      <c r="H3334" s="58"/>
      <c r="I3334" s="55"/>
      <c r="J3334" s="113">
        <f>J3333</f>
        <v>59.754750000000058</v>
      </c>
      <c r="K3334" s="212">
        <f>K3333</f>
        <v>59.754750000000058</v>
      </c>
      <c r="L3334" s="58"/>
      <c r="M3334" s="58">
        <f>K3334-L3334</f>
        <v>59.754750000000058</v>
      </c>
      <c r="N3334" s="166"/>
      <c r="O3334" s="58"/>
      <c r="P3334" s="58"/>
      <c r="Q3334" s="58"/>
      <c r="R3334" s="58"/>
      <c r="S3334" s="58"/>
      <c r="T3334" s="220"/>
      <c r="U3334" s="88"/>
      <c r="V3334" s="56"/>
      <c r="W3334" s="57" t="s">
        <v>1227</v>
      </c>
      <c r="X3334" s="53"/>
      <c r="Y3334" s="91" t="s">
        <v>68</v>
      </c>
      <c r="Z3334" s="136">
        <f>AD3334/AC3334</f>
        <v>102.03356078431372</v>
      </c>
      <c r="AA3334" s="58"/>
      <c r="AB3334" s="53">
        <f>AD3334/AC3334</f>
        <v>102.03356078431372</v>
      </c>
      <c r="AC3334" s="53">
        <f>M3334+$AE$10</f>
        <v>59.754750000000058</v>
      </c>
      <c r="AD3334" s="54">
        <f>SUM(AD3335:AD3343)</f>
        <v>6096.9899162764759</v>
      </c>
      <c r="AE3334" s="184">
        <f>SUMIFS($AD$37:$AD$12971,$V$37:$V$12971,$V3334,$X$37:$X$12971,AE$13)</f>
        <v>0</v>
      </c>
      <c r="AF3334" s="185">
        <f>SUMIFS($AD$37:$AD$12971,$V$37:$V$12971,$V3334,$X$37:$X$12971,AF$13)</f>
        <v>0</v>
      </c>
      <c r="AG3334" s="185">
        <f>SUMIFS($AD$37:$AD$12971,$V$37:$V$12971,$V3334,$X$37:$X$12971,AG$13)</f>
        <v>0</v>
      </c>
      <c r="AH3334" s="187">
        <f>SUMIFS($AD$37:$AD$12971,$V$37:$V$12971,$V3334,$X$37:$X$12971,AH$13)</f>
        <v>0</v>
      </c>
      <c r="AI3334" s="161">
        <f t="shared" ref="AI3334" si="2549">SUM(AE3334:AH3334)</f>
        <v>0</v>
      </c>
      <c r="AK3334" s="172"/>
    </row>
    <row r="3335" spans="1:41" s="102" customFormat="1" ht="19.899999999999999" customHeight="1" x14ac:dyDescent="0.25">
      <c r="A3335" s="45"/>
      <c r="B3335" s="59"/>
      <c r="C3335" s="137"/>
      <c r="D3335" s="59"/>
      <c r="E3335" s="116"/>
      <c r="F3335" s="120"/>
      <c r="G3335" s="120"/>
      <c r="H3335" s="120"/>
      <c r="I3335" s="60"/>
      <c r="J3335" s="116"/>
      <c r="K3335" s="213"/>
      <c r="L3335" s="120"/>
      <c r="M3335" s="120"/>
      <c r="N3335" s="167"/>
      <c r="O3335" s="120"/>
      <c r="P3335" s="120"/>
      <c r="Q3335" s="120"/>
      <c r="R3335" s="120"/>
      <c r="S3335" s="120"/>
      <c r="T3335" s="221"/>
      <c r="U3335" s="89"/>
      <c r="V3335" s="61"/>
      <c r="W3335" s="92" t="s">
        <v>131</v>
      </c>
      <c r="X3335" s="93" t="s">
        <v>29</v>
      </c>
      <c r="Y3335" s="93" t="s">
        <v>93</v>
      </c>
      <c r="Z3335" s="134">
        <f>VLOOKUP(W3335,Sheet2!$B:$D,3,FALSE)</f>
        <v>131.19999999999999</v>
      </c>
      <c r="AA3335" s="93">
        <f>80/(1*6.5)</f>
        <v>12.307692307692308</v>
      </c>
      <c r="AB3335" s="93">
        <f t="shared" ref="AB3335" si="2550">AD3335/AC3334</f>
        <v>10.659999999999997</v>
      </c>
      <c r="AC3335" s="93">
        <f>AC3334/AA3335</f>
        <v>4.8550734375000042</v>
      </c>
      <c r="AD3335" s="94">
        <f t="shared" ref="AD3335:AD3336" si="2551">AC3335*Z3335</f>
        <v>636.98563500000046</v>
      </c>
      <c r="AE3335" s="190"/>
      <c r="AF3335" s="191"/>
      <c r="AG3335" s="191"/>
      <c r="AH3335" s="191"/>
      <c r="AI3335" s="186"/>
      <c r="AK3335" s="171"/>
    </row>
    <row r="3336" spans="1:41" s="102" customFormat="1" ht="19.899999999999999" customHeight="1" x14ac:dyDescent="0.25">
      <c r="A3336" s="45"/>
      <c r="B3336" s="59"/>
      <c r="C3336" s="137"/>
      <c r="D3336" s="59"/>
      <c r="E3336" s="116"/>
      <c r="F3336" s="120"/>
      <c r="G3336" s="120"/>
      <c r="H3336" s="120"/>
      <c r="I3336" s="60"/>
      <c r="J3336" s="116"/>
      <c r="K3336" s="213"/>
      <c r="L3336" s="120"/>
      <c r="M3336" s="120"/>
      <c r="N3336" s="167"/>
      <c r="O3336" s="120"/>
      <c r="P3336" s="120"/>
      <c r="Q3336" s="120"/>
      <c r="R3336" s="120"/>
      <c r="S3336" s="120"/>
      <c r="T3336" s="221"/>
      <c r="U3336" s="89"/>
      <c r="V3336" s="61"/>
      <c r="W3336" s="92" t="s">
        <v>65</v>
      </c>
      <c r="X3336" s="93" t="s">
        <v>30</v>
      </c>
      <c r="Y3336" s="93" t="s">
        <v>1011</v>
      </c>
      <c r="Z3336" s="134">
        <f>VLOOKUP(W3336,Sheet2!$B:$D,3,FALSE)</f>
        <v>1.76</v>
      </c>
      <c r="AA3336" s="93">
        <f>AA3335/32</f>
        <v>0.38461538461538464</v>
      </c>
      <c r="AB3336" s="93">
        <f>AD3336/AC3334</f>
        <v>4.5759999999999996</v>
      </c>
      <c r="AC3336" s="93">
        <f>AC3334/AA3336</f>
        <v>155.36235000000013</v>
      </c>
      <c r="AD3336" s="94">
        <f t="shared" si="2551"/>
        <v>273.43773600000026</v>
      </c>
      <c r="AE3336" s="190"/>
      <c r="AF3336" s="191"/>
      <c r="AG3336" s="191"/>
      <c r="AH3336" s="191"/>
      <c r="AI3336" s="186"/>
      <c r="AK3336" s="171"/>
    </row>
    <row r="3337" spans="1:41" s="102" customFormat="1" ht="19.899999999999999" customHeight="1" x14ac:dyDescent="0.25">
      <c r="A3337" s="45"/>
      <c r="B3337" s="59"/>
      <c r="C3337" s="137"/>
      <c r="D3337" s="59"/>
      <c r="E3337" s="116"/>
      <c r="F3337" s="120"/>
      <c r="G3337" s="120"/>
      <c r="H3337" s="120"/>
      <c r="I3337" s="60"/>
      <c r="J3337" s="116"/>
      <c r="K3337" s="213"/>
      <c r="L3337" s="120"/>
      <c r="M3337" s="120"/>
      <c r="N3337" s="167"/>
      <c r="O3337" s="120"/>
      <c r="P3337" s="120"/>
      <c r="Q3337" s="120"/>
      <c r="R3337" s="120"/>
      <c r="S3337" s="120"/>
      <c r="T3337" s="221"/>
      <c r="U3337" s="89"/>
      <c r="V3337" s="61"/>
      <c r="W3337" s="92" t="s">
        <v>161</v>
      </c>
      <c r="X3337" s="93" t="s">
        <v>29</v>
      </c>
      <c r="Y3337" s="93" t="s">
        <v>93</v>
      </c>
      <c r="Z3337" s="134">
        <f>VLOOKUP(W3337,Sheet2!$B:$D,3,FALSE)</f>
        <v>48</v>
      </c>
      <c r="AA3337" s="93">
        <f>(16*0.85*1.5)/(1*6.5)</f>
        <v>3.1384615384615384</v>
      </c>
      <c r="AB3337" s="93">
        <f>AD3337/AC3334</f>
        <v>15.294117647058824</v>
      </c>
      <c r="AC3337" s="93">
        <f>AC3334/AA3337</f>
        <v>19.039503676470606</v>
      </c>
      <c r="AD3337" s="94">
        <f>AC3337*Z3337</f>
        <v>913.89617647058913</v>
      </c>
      <c r="AE3337" s="190"/>
      <c r="AF3337" s="191"/>
      <c r="AG3337" s="191"/>
      <c r="AH3337" s="191"/>
      <c r="AI3337" s="186"/>
      <c r="AK3337" s="171"/>
    </row>
    <row r="3338" spans="1:41" s="102" customFormat="1" ht="19.899999999999999" customHeight="1" x14ac:dyDescent="0.25">
      <c r="A3338" s="45"/>
      <c r="B3338" s="59"/>
      <c r="C3338" s="137"/>
      <c r="D3338" s="59"/>
      <c r="E3338" s="116"/>
      <c r="F3338" s="120"/>
      <c r="G3338" s="120"/>
      <c r="H3338" s="120"/>
      <c r="I3338" s="60"/>
      <c r="J3338" s="116"/>
      <c r="K3338" s="213"/>
      <c r="L3338" s="120"/>
      <c r="M3338" s="120"/>
      <c r="N3338" s="167"/>
      <c r="O3338" s="120"/>
      <c r="P3338" s="120"/>
      <c r="Q3338" s="120"/>
      <c r="R3338" s="120"/>
      <c r="S3338" s="120"/>
      <c r="T3338" s="221"/>
      <c r="U3338" s="89"/>
      <c r="V3338" s="61"/>
      <c r="W3338" s="92" t="s">
        <v>65</v>
      </c>
      <c r="X3338" s="93" t="s">
        <v>30</v>
      </c>
      <c r="Y3338" s="93" t="s">
        <v>1011</v>
      </c>
      <c r="Z3338" s="134">
        <f>VLOOKUP(W3338,Sheet2!$B:$D,3,FALSE)</f>
        <v>1.76</v>
      </c>
      <c r="AA3338" s="93">
        <f>AA3337/10</f>
        <v>0.31384615384615383</v>
      </c>
      <c r="AB3338" s="93">
        <f>AD3338/AC3334</f>
        <v>5.6078431372549025</v>
      </c>
      <c r="AC3338" s="93">
        <f>AC3334/AA3338</f>
        <v>190.39503676470608</v>
      </c>
      <c r="AD3338" s="94">
        <f>AC3338*Z3338</f>
        <v>335.0952647058827</v>
      </c>
      <c r="AE3338" s="190"/>
      <c r="AF3338" s="191"/>
      <c r="AG3338" s="191"/>
      <c r="AH3338" s="191"/>
      <c r="AI3338" s="186"/>
      <c r="AK3338" s="171"/>
    </row>
    <row r="3339" spans="1:41" s="102" customFormat="1" ht="19.899999999999999" customHeight="1" x14ac:dyDescent="0.25">
      <c r="A3339" s="45"/>
      <c r="B3339" s="59"/>
      <c r="C3339" s="137"/>
      <c r="D3339" s="59"/>
      <c r="E3339" s="116"/>
      <c r="F3339" s="120"/>
      <c r="G3339" s="120"/>
      <c r="H3339" s="120"/>
      <c r="I3339" s="60"/>
      <c r="J3339" s="116"/>
      <c r="K3339" s="213"/>
      <c r="L3339" s="120"/>
      <c r="M3339" s="120"/>
      <c r="N3339" s="167"/>
      <c r="O3339" s="120"/>
      <c r="P3339" s="120"/>
      <c r="Q3339" s="120"/>
      <c r="R3339" s="120"/>
      <c r="S3339" s="120"/>
      <c r="T3339" s="221"/>
      <c r="U3339" s="89"/>
      <c r="V3339" s="61"/>
      <c r="W3339" s="92" t="s">
        <v>1030</v>
      </c>
      <c r="X3339" s="93" t="s">
        <v>29</v>
      </c>
      <c r="Y3339" s="93" t="s">
        <v>93</v>
      </c>
      <c r="Z3339" s="134">
        <f>VLOOKUP(W3339,Sheet2!$B:$D,3,FALSE)</f>
        <v>23</v>
      </c>
      <c r="AA3339" s="93">
        <v>50</v>
      </c>
      <c r="AB3339" s="93">
        <f>AD3339/AC3334</f>
        <v>0.45999999999999996</v>
      </c>
      <c r="AC3339" s="93">
        <f>AC3334/AA3339</f>
        <v>1.1950950000000011</v>
      </c>
      <c r="AD3339" s="94">
        <f t="shared" ref="AD3339:AD3343" si="2552">AC3339*Z3339</f>
        <v>27.487185000000025</v>
      </c>
      <c r="AE3339" s="190"/>
      <c r="AF3339" s="191"/>
      <c r="AG3339" s="191"/>
      <c r="AH3339" s="191"/>
      <c r="AI3339" s="186"/>
      <c r="AK3339" s="171"/>
    </row>
    <row r="3340" spans="1:41" s="102" customFormat="1" ht="19.899999999999999" customHeight="1" x14ac:dyDescent="0.25">
      <c r="A3340" s="45"/>
      <c r="B3340" s="59"/>
      <c r="C3340" s="137"/>
      <c r="D3340" s="59"/>
      <c r="E3340" s="116"/>
      <c r="F3340" s="120"/>
      <c r="G3340" s="120"/>
      <c r="H3340" s="120"/>
      <c r="I3340" s="60"/>
      <c r="J3340" s="116"/>
      <c r="K3340" s="213"/>
      <c r="L3340" s="120"/>
      <c r="M3340" s="120"/>
      <c r="N3340" s="167"/>
      <c r="O3340" s="120"/>
      <c r="P3340" s="120"/>
      <c r="Q3340" s="120"/>
      <c r="R3340" s="120"/>
      <c r="S3340" s="120"/>
      <c r="T3340" s="221"/>
      <c r="U3340" s="89"/>
      <c r="V3340" s="61"/>
      <c r="W3340" s="92" t="s">
        <v>65</v>
      </c>
      <c r="X3340" s="93" t="s">
        <v>30</v>
      </c>
      <c r="Y3340" s="93" t="s">
        <v>1011</v>
      </c>
      <c r="Z3340" s="134">
        <f>VLOOKUP(W3340,Sheet2!$B:$D,3,FALSE)</f>
        <v>1.76</v>
      </c>
      <c r="AA3340" s="93">
        <f>AA3339/3</f>
        <v>16.666666666666668</v>
      </c>
      <c r="AB3340" s="93">
        <f>AD3340/AC3334</f>
        <v>0.10559999999999999</v>
      </c>
      <c r="AC3340" s="93">
        <f>AC3334/AA3340</f>
        <v>3.5852850000000034</v>
      </c>
      <c r="AD3340" s="94">
        <f t="shared" si="2552"/>
        <v>6.3101016000000056</v>
      </c>
      <c r="AE3340" s="190"/>
      <c r="AF3340" s="191"/>
      <c r="AG3340" s="191"/>
      <c r="AH3340" s="191"/>
      <c r="AI3340" s="186"/>
      <c r="AK3340" s="171"/>
    </row>
    <row r="3341" spans="1:41" s="102" customFormat="1" ht="19.899999999999999" customHeight="1" x14ac:dyDescent="0.25">
      <c r="A3341" s="45"/>
      <c r="B3341" s="59"/>
      <c r="C3341" s="137"/>
      <c r="D3341" s="59"/>
      <c r="E3341" s="116"/>
      <c r="F3341" s="120"/>
      <c r="G3341" s="120"/>
      <c r="H3341" s="120"/>
      <c r="I3341" s="60"/>
      <c r="J3341" s="116"/>
      <c r="K3341" s="213"/>
      <c r="L3341" s="120"/>
      <c r="M3341" s="120"/>
      <c r="N3341" s="167"/>
      <c r="O3341" s="120"/>
      <c r="P3341" s="120"/>
      <c r="Q3341" s="120"/>
      <c r="R3341" s="120"/>
      <c r="S3341" s="120"/>
      <c r="T3341" s="221"/>
      <c r="U3341" s="89"/>
      <c r="V3341" s="61"/>
      <c r="W3341" s="92" t="s">
        <v>148</v>
      </c>
      <c r="X3341" s="93" t="s">
        <v>29</v>
      </c>
      <c r="Y3341" s="93" t="s">
        <v>93</v>
      </c>
      <c r="Z3341" s="134">
        <f>VLOOKUP(W3341,Sheet2!$B:$D,3,FALSE)</f>
        <v>48</v>
      </c>
      <c r="AA3341" s="93">
        <f>AA3335</f>
        <v>12.307692307692308</v>
      </c>
      <c r="AB3341" s="93">
        <f>AD3341/AC3334</f>
        <v>3.9</v>
      </c>
      <c r="AC3341" s="93">
        <f>AC3334/AA3341</f>
        <v>4.8550734375000042</v>
      </c>
      <c r="AD3341" s="94">
        <f t="shared" si="2552"/>
        <v>233.04352500000022</v>
      </c>
      <c r="AE3341" s="190"/>
      <c r="AF3341" s="191"/>
      <c r="AG3341" s="191"/>
      <c r="AH3341" s="191"/>
      <c r="AI3341" s="186"/>
      <c r="AK3341" s="171"/>
    </row>
    <row r="3342" spans="1:41" s="102" customFormat="1" ht="19.899999999999999" customHeight="1" x14ac:dyDescent="0.25">
      <c r="A3342" s="45"/>
      <c r="B3342" s="59"/>
      <c r="C3342" s="137"/>
      <c r="D3342" s="59"/>
      <c r="E3342" s="116"/>
      <c r="F3342" s="120"/>
      <c r="G3342" s="120"/>
      <c r="H3342" s="120"/>
      <c r="I3342" s="60"/>
      <c r="J3342" s="116"/>
      <c r="K3342" s="213"/>
      <c r="L3342" s="120"/>
      <c r="M3342" s="120"/>
      <c r="N3342" s="167"/>
      <c r="O3342" s="120"/>
      <c r="P3342" s="120"/>
      <c r="Q3342" s="120"/>
      <c r="R3342" s="120"/>
      <c r="S3342" s="120"/>
      <c r="T3342" s="221"/>
      <c r="U3342" s="89"/>
      <c r="V3342" s="61"/>
      <c r="W3342" s="92" t="s">
        <v>65</v>
      </c>
      <c r="X3342" s="93" t="s">
        <v>30</v>
      </c>
      <c r="Y3342" s="93" t="s">
        <v>1011</v>
      </c>
      <c r="Z3342" s="134">
        <f>VLOOKUP(W3342,Sheet2!$B:$D,3,FALSE)</f>
        <v>1.76</v>
      </c>
      <c r="AA3342" s="93">
        <f>AA3341/10</f>
        <v>1.2307692307692308</v>
      </c>
      <c r="AB3342" s="93">
        <f>AD3342/AC3334</f>
        <v>1.43</v>
      </c>
      <c r="AC3342" s="93">
        <f>AC3334/AA3342</f>
        <v>48.550734375000047</v>
      </c>
      <c r="AD3342" s="94">
        <f t="shared" si="2552"/>
        <v>85.449292500000084</v>
      </c>
      <c r="AE3342" s="190"/>
      <c r="AF3342" s="191"/>
      <c r="AG3342" s="191"/>
      <c r="AH3342" s="191"/>
      <c r="AI3342" s="186"/>
      <c r="AK3342" s="171"/>
    </row>
    <row r="3343" spans="1:41" s="102" customFormat="1" ht="19.899999999999999" customHeight="1" x14ac:dyDescent="0.25">
      <c r="A3343" s="45"/>
      <c r="B3343" s="59"/>
      <c r="C3343" s="137"/>
      <c r="D3343" s="59"/>
      <c r="E3343" s="116"/>
      <c r="F3343" s="120"/>
      <c r="G3343" s="120"/>
      <c r="H3343" s="120"/>
      <c r="I3343" s="60"/>
      <c r="J3343" s="116"/>
      <c r="K3343" s="213"/>
      <c r="L3343" s="120"/>
      <c r="M3343" s="120"/>
      <c r="N3343" s="167"/>
      <c r="O3343" s="120"/>
      <c r="P3343" s="120"/>
      <c r="Q3343" s="120"/>
      <c r="R3343" s="120"/>
      <c r="S3343" s="120"/>
      <c r="T3343" s="221"/>
      <c r="U3343" s="89"/>
      <c r="V3343" s="61"/>
      <c r="W3343" s="92" t="s">
        <v>1049</v>
      </c>
      <c r="X3343" s="93" t="s">
        <v>30</v>
      </c>
      <c r="Y3343" s="93" t="s">
        <v>68</v>
      </c>
      <c r="Z3343" s="134">
        <f>VLOOKUP(W3343,Sheet2!$B:$D,3,FALSE)</f>
        <v>60</v>
      </c>
      <c r="AA3343" s="93">
        <v>1</v>
      </c>
      <c r="AB3343" s="93">
        <f>AD3343/AC3334</f>
        <v>60</v>
      </c>
      <c r="AC3343" s="93">
        <f>AC3334/AA3343</f>
        <v>59.754750000000058</v>
      </c>
      <c r="AD3343" s="94">
        <f t="shared" si="2552"/>
        <v>3585.2850000000035</v>
      </c>
      <c r="AE3343" s="190"/>
      <c r="AF3343" s="191"/>
      <c r="AG3343" s="191"/>
      <c r="AH3343" s="191"/>
      <c r="AI3343" s="186"/>
      <c r="AK3343" s="171"/>
    </row>
    <row r="3344" spans="1:41" s="103" customFormat="1" ht="19.899999999999999" customHeight="1" x14ac:dyDescent="0.25">
      <c r="A3344" s="51"/>
      <c r="B3344" s="52"/>
      <c r="C3344" s="165"/>
      <c r="D3344" s="52"/>
      <c r="E3344" s="115"/>
      <c r="F3344" s="58"/>
      <c r="G3344" s="58"/>
      <c r="H3344" s="58"/>
      <c r="I3344" s="55"/>
      <c r="J3344" s="113">
        <f>J3333</f>
        <v>59.754750000000058</v>
      </c>
      <c r="K3344" s="212">
        <f>K3333</f>
        <v>59.754750000000058</v>
      </c>
      <c r="L3344" s="58"/>
      <c r="M3344" s="58">
        <f>K3344-L3344</f>
        <v>59.754750000000058</v>
      </c>
      <c r="N3344" s="166"/>
      <c r="O3344" s="58"/>
      <c r="P3344" s="58"/>
      <c r="Q3344" s="58"/>
      <c r="R3344" s="58"/>
      <c r="S3344" s="58"/>
      <c r="T3344" s="220"/>
      <c r="U3344" s="88"/>
      <c r="V3344" s="56"/>
      <c r="W3344" s="57" t="s">
        <v>1036</v>
      </c>
      <c r="X3344" s="53"/>
      <c r="Y3344" s="91" t="s">
        <v>68</v>
      </c>
      <c r="Z3344" s="136">
        <f>AD3344/AC3344</f>
        <v>102.58333333333333</v>
      </c>
      <c r="AA3344" s="58"/>
      <c r="AB3344" s="53">
        <f>AD3344/AC3344</f>
        <v>102.58333333333333</v>
      </c>
      <c r="AC3344" s="53">
        <f>M3344+$AE$10</f>
        <v>59.754750000000058</v>
      </c>
      <c r="AD3344" s="54">
        <f>SUM(AD3345:AD3351)</f>
        <v>6129.8414375000057</v>
      </c>
      <c r="AE3344" s="184">
        <f>SUMIFS($AD$37:$AD$12971,$V$37:$V$12971,$V3344,$X$37:$X$12971,AE$13)</f>
        <v>0</v>
      </c>
      <c r="AF3344" s="185">
        <f>SUMIFS($AD$37:$AD$12971,$V$37:$V$12971,$V3344,$X$37:$X$12971,AF$13)</f>
        <v>0</v>
      </c>
      <c r="AG3344" s="185">
        <f>SUMIFS($AD$37:$AD$12971,$V$37:$V$12971,$V3344,$X$37:$X$12971,AG$13)</f>
        <v>0</v>
      </c>
      <c r="AH3344" s="187">
        <f>SUMIFS($AD$37:$AD$12971,$V$37:$V$12971,$V3344,$X$37:$X$12971,AH$13)</f>
        <v>0</v>
      </c>
      <c r="AI3344" s="161">
        <f t="shared" ref="AI3344" si="2553">SUM(AE3344:AH3344)</f>
        <v>0</v>
      </c>
      <c r="AK3344" s="172"/>
    </row>
    <row r="3345" spans="1:41" s="102" customFormat="1" ht="19.899999999999999" customHeight="1" x14ac:dyDescent="0.25">
      <c r="A3345" s="45"/>
      <c r="B3345" s="59"/>
      <c r="C3345" s="137"/>
      <c r="D3345" s="59"/>
      <c r="E3345" s="116"/>
      <c r="F3345" s="120"/>
      <c r="G3345" s="120"/>
      <c r="H3345" s="120"/>
      <c r="I3345" s="60"/>
      <c r="J3345" s="116"/>
      <c r="K3345" s="213"/>
      <c r="L3345" s="120"/>
      <c r="M3345" s="120"/>
      <c r="N3345" s="167"/>
      <c r="O3345" s="120"/>
      <c r="P3345" s="120"/>
      <c r="Q3345" s="120"/>
      <c r="R3345" s="120"/>
      <c r="S3345" s="120"/>
      <c r="T3345" s="221"/>
      <c r="U3345" s="89"/>
      <c r="V3345" s="61"/>
      <c r="W3345" s="92" t="s">
        <v>1045</v>
      </c>
      <c r="X3345" s="93" t="s">
        <v>30</v>
      </c>
      <c r="Y3345" s="93" t="s">
        <v>68</v>
      </c>
      <c r="Z3345" s="134">
        <f>VLOOKUP(W3345,Sheet2!$B:$D,3,FALSE)</f>
        <v>52</v>
      </c>
      <c r="AA3345" s="93">
        <v>1</v>
      </c>
      <c r="AB3345" s="93">
        <f>AD3345/AC3344</f>
        <v>52</v>
      </c>
      <c r="AC3345" s="93">
        <f>AC3344/AA3345</f>
        <v>59.754750000000058</v>
      </c>
      <c r="AD3345" s="94">
        <f t="shared" ref="AD3345" si="2554">AC3345*Z3345</f>
        <v>3107.247000000003</v>
      </c>
      <c r="AE3345" s="190"/>
      <c r="AF3345" s="191"/>
      <c r="AG3345" s="191"/>
      <c r="AH3345" s="191"/>
      <c r="AI3345" s="186"/>
      <c r="AK3345" s="171"/>
    </row>
    <row r="3346" spans="1:41" s="102" customFormat="1" ht="19.899999999999999" customHeight="1" x14ac:dyDescent="0.25">
      <c r="A3346" s="45"/>
      <c r="B3346" s="59"/>
      <c r="C3346" s="137"/>
      <c r="D3346" s="59"/>
      <c r="E3346" s="116"/>
      <c r="F3346" s="120"/>
      <c r="G3346" s="120"/>
      <c r="H3346" s="120"/>
      <c r="I3346" s="60"/>
      <c r="J3346" s="116"/>
      <c r="K3346" s="213"/>
      <c r="L3346" s="120"/>
      <c r="M3346" s="120"/>
      <c r="N3346" s="167"/>
      <c r="O3346" s="120"/>
      <c r="P3346" s="120"/>
      <c r="Q3346" s="120"/>
      <c r="R3346" s="120"/>
      <c r="S3346" s="120"/>
      <c r="T3346" s="221"/>
      <c r="U3346" s="89"/>
      <c r="V3346" s="61"/>
      <c r="W3346" s="92" t="s">
        <v>1043</v>
      </c>
      <c r="X3346" s="93" t="s">
        <v>30</v>
      </c>
      <c r="Y3346" s="93" t="s">
        <v>68</v>
      </c>
      <c r="Z3346" s="134">
        <f>VLOOKUP(W3346,Sheet2!$B:$D,3,FALSE)</f>
        <v>5</v>
      </c>
      <c r="AA3346" s="93">
        <v>1</v>
      </c>
      <c r="AB3346" s="93">
        <f>AD3346/AC3344</f>
        <v>5</v>
      </c>
      <c r="AC3346" s="93">
        <f>AC3344/AA3346</f>
        <v>59.754750000000058</v>
      </c>
      <c r="AD3346" s="94">
        <f>AC3346*Z3346</f>
        <v>298.77375000000029</v>
      </c>
      <c r="AE3346" s="190"/>
      <c r="AF3346" s="191"/>
      <c r="AG3346" s="191"/>
      <c r="AH3346" s="191"/>
      <c r="AI3346" s="186"/>
      <c r="AK3346" s="171"/>
    </row>
    <row r="3347" spans="1:41" s="102" customFormat="1" ht="19.899999999999999" customHeight="1" x14ac:dyDescent="0.25">
      <c r="A3347" s="45"/>
      <c r="B3347" s="59"/>
      <c r="C3347" s="137"/>
      <c r="D3347" s="59"/>
      <c r="E3347" s="116"/>
      <c r="F3347" s="120"/>
      <c r="G3347" s="120"/>
      <c r="H3347" s="120"/>
      <c r="I3347" s="60"/>
      <c r="J3347" s="116"/>
      <c r="K3347" s="213"/>
      <c r="L3347" s="120"/>
      <c r="M3347" s="120"/>
      <c r="N3347" s="167"/>
      <c r="O3347" s="120"/>
      <c r="P3347" s="120"/>
      <c r="Q3347" s="120"/>
      <c r="R3347" s="120"/>
      <c r="S3347" s="120"/>
      <c r="T3347" s="221"/>
      <c r="U3347" s="89"/>
      <c r="V3347" s="61"/>
      <c r="W3347" s="92" t="s">
        <v>107</v>
      </c>
      <c r="X3347" s="93" t="s">
        <v>31</v>
      </c>
      <c r="Y3347" s="93" t="s">
        <v>93</v>
      </c>
      <c r="Z3347" s="134">
        <f>VLOOKUP(W3347,Sheet2!$B:$D,3,FALSE)</f>
        <v>17</v>
      </c>
      <c r="AA3347" s="93">
        <v>6</v>
      </c>
      <c r="AB3347" s="93">
        <f>AD3347/AC3344</f>
        <v>2.833333333333333</v>
      </c>
      <c r="AC3347" s="93">
        <f>AC3344/AA3347</f>
        <v>9.9591250000000091</v>
      </c>
      <c r="AD3347" s="94">
        <f>AC3347*Z3347</f>
        <v>169.30512500000015</v>
      </c>
      <c r="AE3347" s="190"/>
      <c r="AF3347" s="191"/>
      <c r="AG3347" s="191"/>
      <c r="AH3347" s="191"/>
      <c r="AI3347" s="186"/>
      <c r="AK3347" s="171"/>
    </row>
    <row r="3348" spans="1:41" s="102" customFormat="1" ht="19.899999999999999" customHeight="1" x14ac:dyDescent="0.25">
      <c r="A3348" s="45"/>
      <c r="B3348" s="59"/>
      <c r="C3348" s="137"/>
      <c r="D3348" s="59"/>
      <c r="E3348" s="116"/>
      <c r="F3348" s="120"/>
      <c r="G3348" s="120"/>
      <c r="H3348" s="120"/>
      <c r="I3348" s="60"/>
      <c r="J3348" s="116"/>
      <c r="K3348" s="213"/>
      <c r="L3348" s="120"/>
      <c r="M3348" s="120"/>
      <c r="N3348" s="167"/>
      <c r="O3348" s="120"/>
      <c r="P3348" s="120"/>
      <c r="Q3348" s="120"/>
      <c r="R3348" s="120"/>
      <c r="S3348" s="120"/>
      <c r="T3348" s="221"/>
      <c r="U3348" s="89"/>
      <c r="V3348" s="61"/>
      <c r="W3348" s="92" t="s">
        <v>112</v>
      </c>
      <c r="X3348" s="93" t="s">
        <v>31</v>
      </c>
      <c r="Y3348" s="93" t="s">
        <v>93</v>
      </c>
      <c r="Z3348" s="134">
        <f>VLOOKUP(W3348,Sheet2!$B:$D,3,FALSE)</f>
        <v>13</v>
      </c>
      <c r="AA3348" s="93">
        <v>6</v>
      </c>
      <c r="AB3348" s="93">
        <f>AD3348/AC3344</f>
        <v>2.1666666666666665</v>
      </c>
      <c r="AC3348" s="93">
        <f>AC3344/AA3348</f>
        <v>9.9591250000000091</v>
      </c>
      <c r="AD3348" s="94">
        <f>AC3348*Z3348</f>
        <v>129.46862500000012</v>
      </c>
      <c r="AE3348" s="190"/>
      <c r="AF3348" s="191"/>
      <c r="AG3348" s="191"/>
      <c r="AH3348" s="191"/>
      <c r="AI3348" s="186"/>
      <c r="AK3348" s="171"/>
    </row>
    <row r="3349" spans="1:41" s="102" customFormat="1" ht="19.899999999999999" customHeight="1" x14ac:dyDescent="0.25">
      <c r="A3349" s="45"/>
      <c r="B3349" s="59"/>
      <c r="C3349" s="137"/>
      <c r="D3349" s="59"/>
      <c r="E3349" s="116"/>
      <c r="F3349" s="120"/>
      <c r="G3349" s="120"/>
      <c r="H3349" s="120"/>
      <c r="I3349" s="60"/>
      <c r="J3349" s="116"/>
      <c r="K3349" s="213"/>
      <c r="L3349" s="120"/>
      <c r="M3349" s="120"/>
      <c r="N3349" s="167"/>
      <c r="O3349" s="120"/>
      <c r="P3349" s="120"/>
      <c r="Q3349" s="120"/>
      <c r="R3349" s="120"/>
      <c r="S3349" s="120"/>
      <c r="T3349" s="221"/>
      <c r="U3349" s="89"/>
      <c r="V3349" s="61"/>
      <c r="W3349" s="92" t="s">
        <v>1032</v>
      </c>
      <c r="X3349" s="93" t="s">
        <v>30</v>
      </c>
      <c r="Y3349" s="93" t="s">
        <v>66</v>
      </c>
      <c r="Z3349" s="134">
        <f>VLOOKUP(W3349,Sheet2!$B:$D,3,FALSE)</f>
        <v>250</v>
      </c>
      <c r="AA3349" s="93">
        <f>1/(1*1*0.1)</f>
        <v>10</v>
      </c>
      <c r="AB3349" s="93">
        <f>AD3349/AC3344</f>
        <v>25</v>
      </c>
      <c r="AC3349" s="93">
        <f>AC3344/AA3349</f>
        <v>5.9754750000000056</v>
      </c>
      <c r="AD3349" s="94">
        <f>AC3349*Z3349</f>
        <v>1493.8687500000015</v>
      </c>
      <c r="AE3349" s="190"/>
      <c r="AF3349" s="191"/>
      <c r="AG3349" s="191"/>
      <c r="AH3349" s="191"/>
      <c r="AI3349" s="186"/>
      <c r="AK3349" s="171"/>
    </row>
    <row r="3350" spans="1:41" s="102" customFormat="1" ht="19.899999999999999" customHeight="1" x14ac:dyDescent="0.25">
      <c r="A3350" s="45"/>
      <c r="B3350" s="59"/>
      <c r="C3350" s="137"/>
      <c r="D3350" s="59"/>
      <c r="E3350" s="116"/>
      <c r="F3350" s="120"/>
      <c r="G3350" s="120"/>
      <c r="H3350" s="120"/>
      <c r="I3350" s="60"/>
      <c r="J3350" s="116"/>
      <c r="K3350" s="213"/>
      <c r="L3350" s="120"/>
      <c r="M3350" s="120"/>
      <c r="N3350" s="167"/>
      <c r="O3350" s="120"/>
      <c r="P3350" s="120"/>
      <c r="Q3350" s="120"/>
      <c r="R3350" s="120"/>
      <c r="S3350" s="120"/>
      <c r="T3350" s="221"/>
      <c r="U3350" s="89"/>
      <c r="V3350" s="61"/>
      <c r="W3350" s="92" t="s">
        <v>1035</v>
      </c>
      <c r="X3350" s="93" t="s">
        <v>32</v>
      </c>
      <c r="Y3350" s="93" t="s">
        <v>66</v>
      </c>
      <c r="Z3350" s="134">
        <f>VLOOKUP(W3350,Sheet2!$B:$D,3,FALSE)</f>
        <v>150</v>
      </c>
      <c r="AA3350" s="93">
        <f>AA3349</f>
        <v>10</v>
      </c>
      <c r="AB3350" s="93">
        <f>AD3350/AC3344</f>
        <v>15</v>
      </c>
      <c r="AC3350" s="93">
        <f>AC3344/AA3350</f>
        <v>5.9754750000000056</v>
      </c>
      <c r="AD3350" s="94">
        <f t="shared" ref="AD3350:AD3351" si="2555">AC3350*Z3350</f>
        <v>896.32125000000087</v>
      </c>
      <c r="AE3350" s="190"/>
      <c r="AF3350" s="191"/>
      <c r="AG3350" s="191"/>
      <c r="AH3350" s="191"/>
      <c r="AI3350" s="186"/>
      <c r="AK3350" s="171"/>
    </row>
    <row r="3351" spans="1:41" s="102" customFormat="1" ht="19.899999999999999" customHeight="1" x14ac:dyDescent="0.25">
      <c r="A3351" s="45"/>
      <c r="B3351" s="59"/>
      <c r="C3351" s="137"/>
      <c r="D3351" s="59"/>
      <c r="E3351" s="116"/>
      <c r="F3351" s="120"/>
      <c r="G3351" s="120"/>
      <c r="H3351" s="120"/>
      <c r="I3351" s="60"/>
      <c r="J3351" s="116"/>
      <c r="K3351" s="213"/>
      <c r="L3351" s="120"/>
      <c r="M3351" s="120"/>
      <c r="N3351" s="167"/>
      <c r="O3351" s="120"/>
      <c r="P3351" s="120"/>
      <c r="Q3351" s="120"/>
      <c r="R3351" s="120"/>
      <c r="S3351" s="120"/>
      <c r="T3351" s="221"/>
      <c r="U3351" s="89"/>
      <c r="V3351" s="61"/>
      <c r="W3351" s="92" t="s">
        <v>1037</v>
      </c>
      <c r="X3351" s="93" t="s">
        <v>30</v>
      </c>
      <c r="Y3351" s="93" t="s">
        <v>1038</v>
      </c>
      <c r="Z3351" s="134">
        <f>VLOOKUP(W3351,Sheet2!$B:$D,3,FALSE)</f>
        <v>175</v>
      </c>
      <c r="AA3351" s="93">
        <v>300</v>
      </c>
      <c r="AB3351" s="93">
        <f>AD3351/AC3344</f>
        <v>0.58333333333333337</v>
      </c>
      <c r="AC3351" s="93">
        <f>AC3344/AA3351</f>
        <v>0.19918250000000021</v>
      </c>
      <c r="AD3351" s="94">
        <f t="shared" si="2555"/>
        <v>34.856937500000036</v>
      </c>
      <c r="AE3351" s="190"/>
      <c r="AF3351" s="191"/>
      <c r="AG3351" s="191"/>
      <c r="AH3351" s="191"/>
      <c r="AI3351" s="186"/>
      <c r="AK3351" s="171"/>
    </row>
    <row r="3352" spans="1:41" s="103" customFormat="1" ht="19.899999999999999" customHeight="1" x14ac:dyDescent="0.25">
      <c r="A3352" s="51"/>
      <c r="B3352" s="52"/>
      <c r="C3352" s="165"/>
      <c r="D3352" s="52"/>
      <c r="E3352" s="115"/>
      <c r="F3352" s="58"/>
      <c r="G3352" s="58"/>
      <c r="H3352" s="58"/>
      <c r="I3352" s="55"/>
      <c r="J3352" s="113">
        <f>J3333</f>
        <v>59.754750000000058</v>
      </c>
      <c r="K3352" s="212">
        <f>K3333</f>
        <v>59.754750000000058</v>
      </c>
      <c r="L3352" s="58"/>
      <c r="M3352" s="58">
        <f>K3352-L3352</f>
        <v>59.754750000000058</v>
      </c>
      <c r="N3352" s="166"/>
      <c r="O3352" s="58"/>
      <c r="P3352" s="58"/>
      <c r="Q3352" s="58"/>
      <c r="R3352" s="58"/>
      <c r="S3352" s="58"/>
      <c r="T3352" s="220"/>
      <c r="U3352" s="88"/>
      <c r="V3352" s="56"/>
      <c r="W3352" s="57" t="s">
        <v>1040</v>
      </c>
      <c r="X3352" s="53"/>
      <c r="Y3352" s="91" t="s">
        <v>68</v>
      </c>
      <c r="Z3352" s="136">
        <f>AD3352/AC3352</f>
        <v>5</v>
      </c>
      <c r="AA3352" s="58"/>
      <c r="AB3352" s="53">
        <f>AD3352/AC3352</f>
        <v>5</v>
      </c>
      <c r="AC3352" s="53">
        <f>M3352+$AE$10</f>
        <v>59.754750000000058</v>
      </c>
      <c r="AD3352" s="54">
        <f>SUM(AD3353)</f>
        <v>298.77375000000029</v>
      </c>
      <c r="AE3352" s="184">
        <f>SUMIFS($AD$37:$AD$12971,$V$37:$V$12971,$V3352,$X$37:$X$12971,AE$13)</f>
        <v>0</v>
      </c>
      <c r="AF3352" s="185">
        <f>SUMIFS($AD$37:$AD$12971,$V$37:$V$12971,$V3352,$X$37:$X$12971,AF$13)</f>
        <v>0</v>
      </c>
      <c r="AG3352" s="185">
        <f>SUMIFS($AD$37:$AD$12971,$V$37:$V$12971,$V3352,$X$37:$X$12971,AG$13)</f>
        <v>0</v>
      </c>
      <c r="AH3352" s="187">
        <f>SUMIFS($AD$37:$AD$12971,$V$37:$V$12971,$V3352,$X$37:$X$12971,AH$13)</f>
        <v>0</v>
      </c>
      <c r="AI3352" s="161">
        <f t="shared" ref="AI3352" si="2556">SUM(AE3352:AH3352)</f>
        <v>0</v>
      </c>
      <c r="AK3352" s="172"/>
    </row>
    <row r="3353" spans="1:41" s="102" customFormat="1" ht="19.899999999999999" customHeight="1" x14ac:dyDescent="0.25">
      <c r="A3353" s="45"/>
      <c r="B3353" s="59"/>
      <c r="C3353" s="137"/>
      <c r="D3353" s="59"/>
      <c r="E3353" s="116"/>
      <c r="F3353" s="120"/>
      <c r="G3353" s="120"/>
      <c r="H3353" s="120"/>
      <c r="I3353" s="60"/>
      <c r="J3353" s="116"/>
      <c r="K3353" s="213"/>
      <c r="L3353" s="120"/>
      <c r="M3353" s="120"/>
      <c r="N3353" s="167"/>
      <c r="O3353" s="120"/>
      <c r="P3353" s="120"/>
      <c r="Q3353" s="120"/>
      <c r="R3353" s="120"/>
      <c r="S3353" s="120"/>
      <c r="T3353" s="221"/>
      <c r="U3353" s="89"/>
      <c r="V3353" s="61"/>
      <c r="W3353" s="92" t="s">
        <v>1039</v>
      </c>
      <c r="X3353" s="93" t="s">
        <v>32</v>
      </c>
      <c r="Y3353" s="93" t="s">
        <v>68</v>
      </c>
      <c r="Z3353" s="134">
        <f>VLOOKUP(W3353,Sheet2!$B:$D,3,FALSE)</f>
        <v>5</v>
      </c>
      <c r="AA3353" s="93">
        <v>1</v>
      </c>
      <c r="AB3353" s="93">
        <f>AD3353/AC3352</f>
        <v>5</v>
      </c>
      <c r="AC3353" s="93">
        <f>AC3352/AA3353</f>
        <v>59.754750000000058</v>
      </c>
      <c r="AD3353" s="94">
        <f t="shared" ref="AD3353" si="2557">AC3353*Z3353</f>
        <v>298.77375000000029</v>
      </c>
      <c r="AE3353" s="190"/>
      <c r="AF3353" s="191"/>
      <c r="AG3353" s="191"/>
      <c r="AH3353" s="191"/>
      <c r="AI3353" s="186"/>
      <c r="AK3353" s="171"/>
    </row>
    <row r="3354" spans="1:41" ht="20.100000000000001" customHeight="1" x14ac:dyDescent="0.25">
      <c r="A3354" s="277" t="s">
        <v>491</v>
      </c>
      <c r="B3354" s="278"/>
      <c r="C3354" s="64" t="s">
        <v>1166</v>
      </c>
      <c r="D3354" s="46" t="s">
        <v>97</v>
      </c>
      <c r="E3354" s="114">
        <v>2.4875999999999934</v>
      </c>
      <c r="F3354" s="44">
        <v>821</v>
      </c>
      <c r="G3354" s="44">
        <f t="shared" si="2434"/>
        <v>2042.3195999999946</v>
      </c>
      <c r="H3354" s="44">
        <f t="shared" si="2435"/>
        <v>212.80673725490195</v>
      </c>
      <c r="I3354" s="43">
        <f t="shared" si="2436"/>
        <v>529.37803959529265</v>
      </c>
      <c r="J3354" s="112">
        <f t="shared" si="2437"/>
        <v>2.4875999999999934</v>
      </c>
      <c r="K3354" s="211">
        <f t="shared" si="2438"/>
        <v>2.4875999999999934</v>
      </c>
      <c r="L3354" s="44"/>
      <c r="M3354" s="44">
        <f t="shared" si="2458"/>
        <v>2.4875999999999934</v>
      </c>
      <c r="N3354" s="173">
        <f t="shared" si="2439"/>
        <v>1</v>
      </c>
      <c r="O3354" s="44">
        <f t="shared" si="2440"/>
        <v>821</v>
      </c>
      <c r="P3354" s="44">
        <f t="shared" si="2441"/>
        <v>2042.3195999999946</v>
      </c>
      <c r="Q3354" s="44">
        <f t="shared" si="2442"/>
        <v>212.80673725490195</v>
      </c>
      <c r="R3354" s="44">
        <f t="shared" si="2459"/>
        <v>529.37803959529265</v>
      </c>
      <c r="S3354" s="123"/>
      <c r="T3354" s="219">
        <f t="shared" si="2460"/>
        <v>529.37803959529265</v>
      </c>
      <c r="U3354" s="87"/>
      <c r="V3354" s="47"/>
      <c r="W3354" s="48"/>
      <c r="X3354" s="48"/>
      <c r="Y3354" s="48"/>
      <c r="Z3354" s="135"/>
      <c r="AA3354" s="49"/>
      <c r="AB3354" s="50">
        <f t="shared" si="2443"/>
        <v>212.80673725490195</v>
      </c>
      <c r="AC3354" s="42">
        <f t="shared" si="2461"/>
        <v>2.4875999999999934</v>
      </c>
      <c r="AD3354" s="90">
        <f>AD3355+AD3365+AD3373</f>
        <v>529.37803959529265</v>
      </c>
      <c r="AE3354" s="188">
        <f t="shared" ref="AE3354" si="2558">AE3355+AE3365+AE3373</f>
        <v>0</v>
      </c>
      <c r="AF3354" s="189">
        <f t="shared" ref="AF3354" si="2559">AF3355+AF3365+AF3373</f>
        <v>0</v>
      </c>
      <c r="AG3354" s="189">
        <f t="shared" ref="AG3354" si="2560">AG3355+AG3365+AG3373</f>
        <v>0</v>
      </c>
      <c r="AH3354" s="189">
        <f t="shared" ref="AH3354" si="2561">AH3355+AH3365+AH3373</f>
        <v>0</v>
      </c>
      <c r="AI3354" s="161">
        <f t="shared" ref="AI3354:AI3375" si="2562">SUM(AE3354:AH3354)</f>
        <v>0</v>
      </c>
      <c r="AK3354" s="169">
        <v>5</v>
      </c>
      <c r="AO3354" s="19" t="s">
        <v>63</v>
      </c>
    </row>
    <row r="3355" spans="1:41" s="103" customFormat="1" ht="19.899999999999999" customHeight="1" x14ac:dyDescent="0.25">
      <c r="A3355" s="51"/>
      <c r="B3355" s="52"/>
      <c r="C3355" s="165"/>
      <c r="D3355" s="52"/>
      <c r="E3355" s="115"/>
      <c r="F3355" s="58"/>
      <c r="G3355" s="58"/>
      <c r="H3355" s="58"/>
      <c r="I3355" s="55"/>
      <c r="J3355" s="113">
        <f>J3354</f>
        <v>2.4875999999999934</v>
      </c>
      <c r="K3355" s="212">
        <f>K3354</f>
        <v>2.4875999999999934</v>
      </c>
      <c r="L3355" s="58"/>
      <c r="M3355" s="58">
        <f>K3355-L3355</f>
        <v>2.4875999999999934</v>
      </c>
      <c r="N3355" s="166"/>
      <c r="O3355" s="58"/>
      <c r="P3355" s="58"/>
      <c r="Q3355" s="58"/>
      <c r="R3355" s="58"/>
      <c r="S3355" s="58"/>
      <c r="T3355" s="220"/>
      <c r="U3355" s="88"/>
      <c r="V3355" s="56"/>
      <c r="W3355" s="57" t="s">
        <v>1228</v>
      </c>
      <c r="X3355" s="53"/>
      <c r="Y3355" s="91" t="s">
        <v>68</v>
      </c>
      <c r="Z3355" s="136">
        <f>AD3355/AC3355</f>
        <v>105.22340392156862</v>
      </c>
      <c r="AA3355" s="58"/>
      <c r="AB3355" s="53">
        <f>AD3355/AC3355</f>
        <v>105.22340392156862</v>
      </c>
      <c r="AC3355" s="53">
        <f>M3355+$AE$10</f>
        <v>2.4875999999999934</v>
      </c>
      <c r="AD3355" s="54">
        <f>SUM(AD3356:AD3364)</f>
        <v>261.75373959529338</v>
      </c>
      <c r="AE3355" s="184">
        <f>SUMIFS($AD$37:$AD$12971,$V$37:$V$12971,$V3355,$X$37:$X$12971,AE$13)</f>
        <v>0</v>
      </c>
      <c r="AF3355" s="185">
        <f>SUMIFS($AD$37:$AD$12971,$V$37:$V$12971,$V3355,$X$37:$X$12971,AF$13)</f>
        <v>0</v>
      </c>
      <c r="AG3355" s="185">
        <f>SUMIFS($AD$37:$AD$12971,$V$37:$V$12971,$V3355,$X$37:$X$12971,AG$13)</f>
        <v>0</v>
      </c>
      <c r="AH3355" s="187">
        <f>SUMIFS($AD$37:$AD$12971,$V$37:$V$12971,$V3355,$X$37:$X$12971,AH$13)</f>
        <v>0</v>
      </c>
      <c r="AI3355" s="161">
        <f t="shared" ref="AI3355" si="2563">SUM(AE3355:AH3355)</f>
        <v>0</v>
      </c>
      <c r="AK3355" s="172"/>
    </row>
    <row r="3356" spans="1:41" s="102" customFormat="1" ht="19.899999999999999" customHeight="1" x14ac:dyDescent="0.25">
      <c r="A3356" s="45"/>
      <c r="B3356" s="59"/>
      <c r="C3356" s="137"/>
      <c r="D3356" s="59"/>
      <c r="E3356" s="116"/>
      <c r="F3356" s="120"/>
      <c r="G3356" s="120"/>
      <c r="H3356" s="120"/>
      <c r="I3356" s="60"/>
      <c r="J3356" s="116"/>
      <c r="K3356" s="213"/>
      <c r="L3356" s="120"/>
      <c r="M3356" s="120"/>
      <c r="N3356" s="167"/>
      <c r="O3356" s="120"/>
      <c r="P3356" s="120"/>
      <c r="Q3356" s="120"/>
      <c r="R3356" s="120"/>
      <c r="S3356" s="120"/>
      <c r="T3356" s="221"/>
      <c r="U3356" s="89"/>
      <c r="V3356" s="61"/>
      <c r="W3356" s="92" t="s">
        <v>131</v>
      </c>
      <c r="X3356" s="93" t="s">
        <v>29</v>
      </c>
      <c r="Y3356" s="93" t="s">
        <v>93</v>
      </c>
      <c r="Z3356" s="134">
        <f>VLOOKUP(W3356,Sheet2!$B:$D,3,FALSE)</f>
        <v>131.19999999999999</v>
      </c>
      <c r="AA3356" s="93">
        <f>80/(1*7)</f>
        <v>11.428571428571429</v>
      </c>
      <c r="AB3356" s="93">
        <f t="shared" ref="AB3356" si="2564">AD3356/AC3355</f>
        <v>11.479999999999999</v>
      </c>
      <c r="AC3356" s="93">
        <f>AC3355/AA3356</f>
        <v>0.21766499999999941</v>
      </c>
      <c r="AD3356" s="94">
        <f t="shared" ref="AD3356:AD3357" si="2565">AC3356*Z3356</f>
        <v>28.557647999999922</v>
      </c>
      <c r="AE3356" s="190"/>
      <c r="AF3356" s="191"/>
      <c r="AG3356" s="191"/>
      <c r="AH3356" s="191"/>
      <c r="AI3356" s="186"/>
      <c r="AK3356" s="171"/>
    </row>
    <row r="3357" spans="1:41" s="102" customFormat="1" ht="19.899999999999999" customHeight="1" x14ac:dyDescent="0.25">
      <c r="A3357" s="45"/>
      <c r="B3357" s="59"/>
      <c r="C3357" s="137"/>
      <c r="D3357" s="59"/>
      <c r="E3357" s="116"/>
      <c r="F3357" s="120"/>
      <c r="G3357" s="120"/>
      <c r="H3357" s="120"/>
      <c r="I3357" s="60"/>
      <c r="J3357" s="116"/>
      <c r="K3357" s="213"/>
      <c r="L3357" s="120"/>
      <c r="M3357" s="120"/>
      <c r="N3357" s="167"/>
      <c r="O3357" s="120"/>
      <c r="P3357" s="120"/>
      <c r="Q3357" s="120"/>
      <c r="R3357" s="120"/>
      <c r="S3357" s="120"/>
      <c r="T3357" s="221"/>
      <c r="U3357" s="89"/>
      <c r="V3357" s="61"/>
      <c r="W3357" s="92" t="s">
        <v>65</v>
      </c>
      <c r="X3357" s="93" t="s">
        <v>30</v>
      </c>
      <c r="Y3357" s="93" t="s">
        <v>1011</v>
      </c>
      <c r="Z3357" s="134">
        <f>VLOOKUP(W3357,Sheet2!$B:$D,3,FALSE)</f>
        <v>1.76</v>
      </c>
      <c r="AA3357" s="93">
        <f>AA3356/32</f>
        <v>0.35714285714285715</v>
      </c>
      <c r="AB3357" s="93">
        <f>AD3357/AC3355</f>
        <v>4.9279999999999999</v>
      </c>
      <c r="AC3357" s="93">
        <f>AC3355/AA3357</f>
        <v>6.9652799999999813</v>
      </c>
      <c r="AD3357" s="94">
        <f t="shared" si="2565"/>
        <v>12.258892799999968</v>
      </c>
      <c r="AE3357" s="190"/>
      <c r="AF3357" s="191"/>
      <c r="AG3357" s="191"/>
      <c r="AH3357" s="191"/>
      <c r="AI3357" s="186"/>
      <c r="AK3357" s="171"/>
    </row>
    <row r="3358" spans="1:41" s="102" customFormat="1" ht="19.899999999999999" customHeight="1" x14ac:dyDescent="0.25">
      <c r="A3358" s="45"/>
      <c r="B3358" s="59"/>
      <c r="C3358" s="137"/>
      <c r="D3358" s="59"/>
      <c r="E3358" s="116"/>
      <c r="F3358" s="120"/>
      <c r="G3358" s="120"/>
      <c r="H3358" s="120"/>
      <c r="I3358" s="60"/>
      <c r="J3358" s="116"/>
      <c r="K3358" s="213"/>
      <c r="L3358" s="120"/>
      <c r="M3358" s="120"/>
      <c r="N3358" s="167"/>
      <c r="O3358" s="120"/>
      <c r="P3358" s="120"/>
      <c r="Q3358" s="120"/>
      <c r="R3358" s="120"/>
      <c r="S3358" s="120"/>
      <c r="T3358" s="221"/>
      <c r="U3358" s="89"/>
      <c r="V3358" s="61"/>
      <c r="W3358" s="92" t="s">
        <v>161</v>
      </c>
      <c r="X3358" s="93" t="s">
        <v>29</v>
      </c>
      <c r="Y3358" s="93" t="s">
        <v>93</v>
      </c>
      <c r="Z3358" s="134">
        <f>VLOOKUP(W3358,Sheet2!$B:$D,3,FALSE)</f>
        <v>48</v>
      </c>
      <c r="AA3358" s="93">
        <f>(16*0.85*1.5)/(1*7)</f>
        <v>2.9142857142857141</v>
      </c>
      <c r="AB3358" s="93">
        <f>AD3358/AC3355</f>
        <v>16.47058823529412</v>
      </c>
      <c r="AC3358" s="93">
        <f>AC3355/AA3358</f>
        <v>0.85358823529411543</v>
      </c>
      <c r="AD3358" s="94">
        <f>AC3358*Z3358</f>
        <v>40.972235294117539</v>
      </c>
      <c r="AE3358" s="190"/>
      <c r="AF3358" s="191"/>
      <c r="AG3358" s="191"/>
      <c r="AH3358" s="191"/>
      <c r="AI3358" s="186"/>
      <c r="AK3358" s="171"/>
    </row>
    <row r="3359" spans="1:41" s="102" customFormat="1" ht="19.899999999999999" customHeight="1" x14ac:dyDescent="0.25">
      <c r="A3359" s="45"/>
      <c r="B3359" s="59"/>
      <c r="C3359" s="137"/>
      <c r="D3359" s="59"/>
      <c r="E3359" s="116"/>
      <c r="F3359" s="120"/>
      <c r="G3359" s="120"/>
      <c r="H3359" s="120"/>
      <c r="I3359" s="60"/>
      <c r="J3359" s="116"/>
      <c r="K3359" s="213"/>
      <c r="L3359" s="120"/>
      <c r="M3359" s="120"/>
      <c r="N3359" s="167"/>
      <c r="O3359" s="120"/>
      <c r="P3359" s="120"/>
      <c r="Q3359" s="120"/>
      <c r="R3359" s="120"/>
      <c r="S3359" s="120"/>
      <c r="T3359" s="221"/>
      <c r="U3359" s="89"/>
      <c r="V3359" s="61"/>
      <c r="W3359" s="92" t="s">
        <v>65</v>
      </c>
      <c r="X3359" s="93" t="s">
        <v>30</v>
      </c>
      <c r="Y3359" s="93" t="s">
        <v>1011</v>
      </c>
      <c r="Z3359" s="134">
        <f>VLOOKUP(W3359,Sheet2!$B:$D,3,FALSE)</f>
        <v>1.76</v>
      </c>
      <c r="AA3359" s="93">
        <f>AA3358/10</f>
        <v>0.29142857142857143</v>
      </c>
      <c r="AB3359" s="93">
        <f>AD3359/AC3355</f>
        <v>6.0392156862745106</v>
      </c>
      <c r="AC3359" s="93">
        <f>AC3355/AA3359</f>
        <v>8.5358823529411545</v>
      </c>
      <c r="AD3359" s="94">
        <f>AC3359*Z3359</f>
        <v>15.023152941176432</v>
      </c>
      <c r="AE3359" s="190"/>
      <c r="AF3359" s="191"/>
      <c r="AG3359" s="191"/>
      <c r="AH3359" s="191"/>
      <c r="AI3359" s="186"/>
      <c r="AK3359" s="171"/>
    </row>
    <row r="3360" spans="1:41" s="102" customFormat="1" ht="19.899999999999999" customHeight="1" x14ac:dyDescent="0.25">
      <c r="A3360" s="45"/>
      <c r="B3360" s="59"/>
      <c r="C3360" s="137"/>
      <c r="D3360" s="59"/>
      <c r="E3360" s="116"/>
      <c r="F3360" s="120"/>
      <c r="G3360" s="120"/>
      <c r="H3360" s="120"/>
      <c r="I3360" s="60"/>
      <c r="J3360" s="116"/>
      <c r="K3360" s="213"/>
      <c r="L3360" s="120"/>
      <c r="M3360" s="120"/>
      <c r="N3360" s="167"/>
      <c r="O3360" s="120"/>
      <c r="P3360" s="120"/>
      <c r="Q3360" s="120"/>
      <c r="R3360" s="120"/>
      <c r="S3360" s="120"/>
      <c r="T3360" s="221"/>
      <c r="U3360" s="89"/>
      <c r="V3360" s="61"/>
      <c r="W3360" s="92" t="s">
        <v>1030</v>
      </c>
      <c r="X3360" s="93" t="s">
        <v>29</v>
      </c>
      <c r="Y3360" s="93" t="s">
        <v>93</v>
      </c>
      <c r="Z3360" s="134">
        <f>VLOOKUP(W3360,Sheet2!$B:$D,3,FALSE)</f>
        <v>23</v>
      </c>
      <c r="AA3360" s="93">
        <v>50</v>
      </c>
      <c r="AB3360" s="93">
        <f>AD3360/AC3355</f>
        <v>0.45999999999999996</v>
      </c>
      <c r="AC3360" s="93">
        <f>AC3355/AA3360</f>
        <v>4.9751999999999866E-2</v>
      </c>
      <c r="AD3360" s="94">
        <f t="shared" ref="AD3360:AD3364" si="2566">AC3360*Z3360</f>
        <v>1.1442959999999969</v>
      </c>
      <c r="AE3360" s="190"/>
      <c r="AF3360" s="191"/>
      <c r="AG3360" s="191"/>
      <c r="AH3360" s="191"/>
      <c r="AI3360" s="186"/>
      <c r="AK3360" s="171"/>
    </row>
    <row r="3361" spans="1:41" s="102" customFormat="1" ht="19.899999999999999" customHeight="1" x14ac:dyDescent="0.25">
      <c r="A3361" s="45"/>
      <c r="B3361" s="59"/>
      <c r="C3361" s="137"/>
      <c r="D3361" s="59"/>
      <c r="E3361" s="116"/>
      <c r="F3361" s="120"/>
      <c r="G3361" s="120"/>
      <c r="H3361" s="120"/>
      <c r="I3361" s="60"/>
      <c r="J3361" s="116"/>
      <c r="K3361" s="213"/>
      <c r="L3361" s="120"/>
      <c r="M3361" s="120"/>
      <c r="N3361" s="167"/>
      <c r="O3361" s="120"/>
      <c r="P3361" s="120"/>
      <c r="Q3361" s="120"/>
      <c r="R3361" s="120"/>
      <c r="S3361" s="120"/>
      <c r="T3361" s="221"/>
      <c r="U3361" s="89"/>
      <c r="V3361" s="61"/>
      <c r="W3361" s="92" t="s">
        <v>65</v>
      </c>
      <c r="X3361" s="93" t="s">
        <v>30</v>
      </c>
      <c r="Y3361" s="93" t="s">
        <v>1011</v>
      </c>
      <c r="Z3361" s="134">
        <f>VLOOKUP(W3361,Sheet2!$B:$D,3,FALSE)</f>
        <v>1.76</v>
      </c>
      <c r="AA3361" s="93">
        <f>AA3360/3</f>
        <v>16.666666666666668</v>
      </c>
      <c r="AB3361" s="93">
        <f>AD3361/AC3355</f>
        <v>0.1056</v>
      </c>
      <c r="AC3361" s="93">
        <f>AC3355/AA3361</f>
        <v>0.14925599999999958</v>
      </c>
      <c r="AD3361" s="94">
        <f t="shared" si="2566"/>
        <v>0.2626905599999993</v>
      </c>
      <c r="AE3361" s="190"/>
      <c r="AF3361" s="191"/>
      <c r="AG3361" s="191"/>
      <c r="AH3361" s="191"/>
      <c r="AI3361" s="186"/>
      <c r="AK3361" s="171"/>
    </row>
    <row r="3362" spans="1:41" s="102" customFormat="1" ht="19.899999999999999" customHeight="1" x14ac:dyDescent="0.25">
      <c r="A3362" s="45"/>
      <c r="B3362" s="59"/>
      <c r="C3362" s="137"/>
      <c r="D3362" s="59"/>
      <c r="E3362" s="116"/>
      <c r="F3362" s="120"/>
      <c r="G3362" s="120"/>
      <c r="H3362" s="120"/>
      <c r="I3362" s="60"/>
      <c r="J3362" s="116"/>
      <c r="K3362" s="213"/>
      <c r="L3362" s="120"/>
      <c r="M3362" s="120"/>
      <c r="N3362" s="167"/>
      <c r="O3362" s="120"/>
      <c r="P3362" s="120"/>
      <c r="Q3362" s="120"/>
      <c r="R3362" s="120"/>
      <c r="S3362" s="120"/>
      <c r="T3362" s="221"/>
      <c r="U3362" s="89"/>
      <c r="V3362" s="61"/>
      <c r="W3362" s="92" t="s">
        <v>148</v>
      </c>
      <c r="X3362" s="93" t="s">
        <v>29</v>
      </c>
      <c r="Y3362" s="93" t="s">
        <v>93</v>
      </c>
      <c r="Z3362" s="134">
        <f>VLOOKUP(W3362,Sheet2!$B:$D,3,FALSE)</f>
        <v>48</v>
      </c>
      <c r="AA3362" s="93">
        <f>AA3356</f>
        <v>11.428571428571429</v>
      </c>
      <c r="AB3362" s="93">
        <f>AD3362/AC3355</f>
        <v>4.1999999999999993</v>
      </c>
      <c r="AC3362" s="93">
        <f>AC3355/AA3362</f>
        <v>0.21766499999999941</v>
      </c>
      <c r="AD3362" s="94">
        <f t="shared" si="2566"/>
        <v>10.447919999999971</v>
      </c>
      <c r="AE3362" s="190"/>
      <c r="AF3362" s="191"/>
      <c r="AG3362" s="191"/>
      <c r="AH3362" s="191"/>
      <c r="AI3362" s="186"/>
      <c r="AK3362" s="171"/>
    </row>
    <row r="3363" spans="1:41" s="102" customFormat="1" ht="19.899999999999999" customHeight="1" x14ac:dyDescent="0.25">
      <c r="A3363" s="45"/>
      <c r="B3363" s="59"/>
      <c r="C3363" s="137"/>
      <c r="D3363" s="59"/>
      <c r="E3363" s="116"/>
      <c r="F3363" s="120"/>
      <c r="G3363" s="120"/>
      <c r="H3363" s="120"/>
      <c r="I3363" s="60"/>
      <c r="J3363" s="116"/>
      <c r="K3363" s="213"/>
      <c r="L3363" s="120"/>
      <c r="M3363" s="120"/>
      <c r="N3363" s="167"/>
      <c r="O3363" s="120"/>
      <c r="P3363" s="120"/>
      <c r="Q3363" s="120"/>
      <c r="R3363" s="120"/>
      <c r="S3363" s="120"/>
      <c r="T3363" s="221"/>
      <c r="U3363" s="89"/>
      <c r="V3363" s="61"/>
      <c r="W3363" s="92" t="s">
        <v>65</v>
      </c>
      <c r="X3363" s="93" t="s">
        <v>30</v>
      </c>
      <c r="Y3363" s="93" t="s">
        <v>1011</v>
      </c>
      <c r="Z3363" s="134">
        <f>VLOOKUP(W3363,Sheet2!$B:$D,3,FALSE)</f>
        <v>1.76</v>
      </c>
      <c r="AA3363" s="93">
        <f>AA3362/10</f>
        <v>1.1428571428571428</v>
      </c>
      <c r="AB3363" s="93">
        <f>AD3363/AC3355</f>
        <v>1.54</v>
      </c>
      <c r="AC3363" s="93">
        <f>AC3355/AA3363</f>
        <v>2.1766499999999942</v>
      </c>
      <c r="AD3363" s="94">
        <f t="shared" si="2566"/>
        <v>3.8309039999999897</v>
      </c>
      <c r="AE3363" s="190"/>
      <c r="AF3363" s="191"/>
      <c r="AG3363" s="191"/>
      <c r="AH3363" s="191"/>
      <c r="AI3363" s="186"/>
      <c r="AK3363" s="171"/>
    </row>
    <row r="3364" spans="1:41" s="102" customFormat="1" ht="19.899999999999999" customHeight="1" x14ac:dyDescent="0.25">
      <c r="A3364" s="45"/>
      <c r="B3364" s="59"/>
      <c r="C3364" s="137"/>
      <c r="D3364" s="59"/>
      <c r="E3364" s="116"/>
      <c r="F3364" s="120"/>
      <c r="G3364" s="120"/>
      <c r="H3364" s="120"/>
      <c r="I3364" s="60"/>
      <c r="J3364" s="116"/>
      <c r="K3364" s="213"/>
      <c r="L3364" s="120"/>
      <c r="M3364" s="120"/>
      <c r="N3364" s="167"/>
      <c r="O3364" s="120"/>
      <c r="P3364" s="120"/>
      <c r="Q3364" s="120"/>
      <c r="R3364" s="120"/>
      <c r="S3364" s="120"/>
      <c r="T3364" s="221"/>
      <c r="U3364" s="89"/>
      <c r="V3364" s="61"/>
      <c r="W3364" s="92" t="s">
        <v>1049</v>
      </c>
      <c r="X3364" s="93" t="s">
        <v>30</v>
      </c>
      <c r="Y3364" s="93" t="s">
        <v>68</v>
      </c>
      <c r="Z3364" s="134">
        <f>VLOOKUP(W3364,Sheet2!$B:$D,3,FALSE)</f>
        <v>60</v>
      </c>
      <c r="AA3364" s="93">
        <v>1</v>
      </c>
      <c r="AB3364" s="93">
        <f>AD3364/AC3355</f>
        <v>60</v>
      </c>
      <c r="AC3364" s="93">
        <f>AC3355/AA3364</f>
        <v>2.4875999999999934</v>
      </c>
      <c r="AD3364" s="94">
        <f t="shared" si="2566"/>
        <v>149.2559999999996</v>
      </c>
      <c r="AE3364" s="190"/>
      <c r="AF3364" s="191"/>
      <c r="AG3364" s="191"/>
      <c r="AH3364" s="191"/>
      <c r="AI3364" s="186"/>
      <c r="AK3364" s="171"/>
    </row>
    <row r="3365" spans="1:41" s="103" customFormat="1" ht="19.899999999999999" customHeight="1" x14ac:dyDescent="0.25">
      <c r="A3365" s="51"/>
      <c r="B3365" s="52"/>
      <c r="C3365" s="165"/>
      <c r="D3365" s="52"/>
      <c r="E3365" s="115"/>
      <c r="F3365" s="58"/>
      <c r="G3365" s="58"/>
      <c r="H3365" s="58"/>
      <c r="I3365" s="55"/>
      <c r="J3365" s="113">
        <f>J3354</f>
        <v>2.4875999999999934</v>
      </c>
      <c r="K3365" s="212">
        <f>K3354</f>
        <v>2.4875999999999934</v>
      </c>
      <c r="L3365" s="58"/>
      <c r="M3365" s="58">
        <f>K3365-L3365</f>
        <v>2.4875999999999934</v>
      </c>
      <c r="N3365" s="166"/>
      <c r="O3365" s="58"/>
      <c r="P3365" s="58"/>
      <c r="Q3365" s="58"/>
      <c r="R3365" s="58"/>
      <c r="S3365" s="58"/>
      <c r="T3365" s="220"/>
      <c r="U3365" s="88"/>
      <c r="V3365" s="56"/>
      <c r="W3365" s="57" t="s">
        <v>1036</v>
      </c>
      <c r="X3365" s="53"/>
      <c r="Y3365" s="91" t="s">
        <v>68</v>
      </c>
      <c r="Z3365" s="136">
        <f>AD3365/AC3365</f>
        <v>102.58333333333333</v>
      </c>
      <c r="AA3365" s="58"/>
      <c r="AB3365" s="53">
        <f>AD3365/AC3365</f>
        <v>102.58333333333333</v>
      </c>
      <c r="AC3365" s="53">
        <f>M3365+$AE$10</f>
        <v>2.4875999999999934</v>
      </c>
      <c r="AD3365" s="54">
        <f>SUM(AD3366:AD3372)</f>
        <v>255.18629999999931</v>
      </c>
      <c r="AE3365" s="184">
        <f>SUMIFS($AD$37:$AD$12971,$V$37:$V$12971,$V3365,$X$37:$X$12971,AE$13)</f>
        <v>0</v>
      </c>
      <c r="AF3365" s="185">
        <f>SUMIFS($AD$37:$AD$12971,$V$37:$V$12971,$V3365,$X$37:$X$12971,AF$13)</f>
        <v>0</v>
      </c>
      <c r="AG3365" s="185">
        <f>SUMIFS($AD$37:$AD$12971,$V$37:$V$12971,$V3365,$X$37:$X$12971,AG$13)</f>
        <v>0</v>
      </c>
      <c r="AH3365" s="187">
        <f>SUMIFS($AD$37:$AD$12971,$V$37:$V$12971,$V3365,$X$37:$X$12971,AH$13)</f>
        <v>0</v>
      </c>
      <c r="AI3365" s="161">
        <f t="shared" ref="AI3365" si="2567">SUM(AE3365:AH3365)</f>
        <v>0</v>
      </c>
      <c r="AK3365" s="172"/>
    </row>
    <row r="3366" spans="1:41" s="102" customFormat="1" ht="19.899999999999999" customHeight="1" x14ac:dyDescent="0.25">
      <c r="A3366" s="45"/>
      <c r="B3366" s="59"/>
      <c r="C3366" s="137"/>
      <c r="D3366" s="59"/>
      <c r="E3366" s="116"/>
      <c r="F3366" s="120"/>
      <c r="G3366" s="120"/>
      <c r="H3366" s="120"/>
      <c r="I3366" s="60"/>
      <c r="J3366" s="116"/>
      <c r="K3366" s="213"/>
      <c r="L3366" s="120"/>
      <c r="M3366" s="120"/>
      <c r="N3366" s="167"/>
      <c r="O3366" s="120"/>
      <c r="P3366" s="120"/>
      <c r="Q3366" s="120"/>
      <c r="R3366" s="120"/>
      <c r="S3366" s="120"/>
      <c r="T3366" s="221"/>
      <c r="U3366" s="89"/>
      <c r="V3366" s="61"/>
      <c r="W3366" s="92" t="s">
        <v>1045</v>
      </c>
      <c r="X3366" s="93" t="s">
        <v>30</v>
      </c>
      <c r="Y3366" s="93" t="s">
        <v>68</v>
      </c>
      <c r="Z3366" s="134">
        <f>VLOOKUP(W3366,Sheet2!$B:$D,3,FALSE)</f>
        <v>52</v>
      </c>
      <c r="AA3366" s="93">
        <v>1</v>
      </c>
      <c r="AB3366" s="93">
        <f>AD3366/AC3365</f>
        <v>52</v>
      </c>
      <c r="AC3366" s="93">
        <f>AC3365/AA3366</f>
        <v>2.4875999999999934</v>
      </c>
      <c r="AD3366" s="94">
        <f t="shared" ref="AD3366" si="2568">AC3366*Z3366</f>
        <v>129.35519999999966</v>
      </c>
      <c r="AE3366" s="190"/>
      <c r="AF3366" s="191"/>
      <c r="AG3366" s="191"/>
      <c r="AH3366" s="191"/>
      <c r="AI3366" s="186"/>
      <c r="AK3366" s="171"/>
    </row>
    <row r="3367" spans="1:41" s="102" customFormat="1" ht="19.899999999999999" customHeight="1" x14ac:dyDescent="0.25">
      <c r="A3367" s="45"/>
      <c r="B3367" s="59"/>
      <c r="C3367" s="137"/>
      <c r="D3367" s="59"/>
      <c r="E3367" s="116"/>
      <c r="F3367" s="120"/>
      <c r="G3367" s="120"/>
      <c r="H3367" s="120"/>
      <c r="I3367" s="60"/>
      <c r="J3367" s="116"/>
      <c r="K3367" s="213"/>
      <c r="L3367" s="120"/>
      <c r="M3367" s="120"/>
      <c r="N3367" s="167"/>
      <c r="O3367" s="120"/>
      <c r="P3367" s="120"/>
      <c r="Q3367" s="120"/>
      <c r="R3367" s="120"/>
      <c r="S3367" s="120"/>
      <c r="T3367" s="221"/>
      <c r="U3367" s="89"/>
      <c r="V3367" s="61"/>
      <c r="W3367" s="92" t="s">
        <v>1043</v>
      </c>
      <c r="X3367" s="93" t="s">
        <v>30</v>
      </c>
      <c r="Y3367" s="93" t="s">
        <v>68</v>
      </c>
      <c r="Z3367" s="134">
        <f>VLOOKUP(W3367,Sheet2!$B:$D,3,FALSE)</f>
        <v>5</v>
      </c>
      <c r="AA3367" s="93">
        <v>1</v>
      </c>
      <c r="AB3367" s="93">
        <f>AD3367/AC3365</f>
        <v>5</v>
      </c>
      <c r="AC3367" s="93">
        <f>AC3365/AA3367</f>
        <v>2.4875999999999934</v>
      </c>
      <c r="AD3367" s="94">
        <f>AC3367*Z3367</f>
        <v>12.437999999999967</v>
      </c>
      <c r="AE3367" s="190"/>
      <c r="AF3367" s="191"/>
      <c r="AG3367" s="191"/>
      <c r="AH3367" s="191"/>
      <c r="AI3367" s="186"/>
      <c r="AK3367" s="171"/>
    </row>
    <row r="3368" spans="1:41" s="102" customFormat="1" ht="19.899999999999999" customHeight="1" x14ac:dyDescent="0.25">
      <c r="A3368" s="45"/>
      <c r="B3368" s="59"/>
      <c r="C3368" s="137"/>
      <c r="D3368" s="59"/>
      <c r="E3368" s="116"/>
      <c r="F3368" s="120"/>
      <c r="G3368" s="120"/>
      <c r="H3368" s="120"/>
      <c r="I3368" s="60"/>
      <c r="J3368" s="116"/>
      <c r="K3368" s="213"/>
      <c r="L3368" s="120"/>
      <c r="M3368" s="120"/>
      <c r="N3368" s="167"/>
      <c r="O3368" s="120"/>
      <c r="P3368" s="120"/>
      <c r="Q3368" s="120"/>
      <c r="R3368" s="120"/>
      <c r="S3368" s="120"/>
      <c r="T3368" s="221"/>
      <c r="U3368" s="89"/>
      <c r="V3368" s="61"/>
      <c r="W3368" s="92" t="s">
        <v>107</v>
      </c>
      <c r="X3368" s="93" t="s">
        <v>31</v>
      </c>
      <c r="Y3368" s="93" t="s">
        <v>93</v>
      </c>
      <c r="Z3368" s="134">
        <f>VLOOKUP(W3368,Sheet2!$B:$D,3,FALSE)</f>
        <v>17</v>
      </c>
      <c r="AA3368" s="93">
        <v>6</v>
      </c>
      <c r="AB3368" s="93">
        <f>AD3368/AC3365</f>
        <v>2.8333333333333335</v>
      </c>
      <c r="AC3368" s="93">
        <f>AC3365/AA3368</f>
        <v>0.41459999999999891</v>
      </c>
      <c r="AD3368" s="94">
        <f>AC3368*Z3368</f>
        <v>7.0481999999999818</v>
      </c>
      <c r="AE3368" s="190"/>
      <c r="AF3368" s="191"/>
      <c r="AG3368" s="191"/>
      <c r="AH3368" s="191"/>
      <c r="AI3368" s="186"/>
      <c r="AK3368" s="171"/>
    </row>
    <row r="3369" spans="1:41" s="102" customFormat="1" ht="19.899999999999999" customHeight="1" x14ac:dyDescent="0.25">
      <c r="A3369" s="45"/>
      <c r="B3369" s="59"/>
      <c r="C3369" s="137"/>
      <c r="D3369" s="59"/>
      <c r="E3369" s="116"/>
      <c r="F3369" s="120"/>
      <c r="G3369" s="120"/>
      <c r="H3369" s="120"/>
      <c r="I3369" s="60"/>
      <c r="J3369" s="116"/>
      <c r="K3369" s="213"/>
      <c r="L3369" s="120"/>
      <c r="M3369" s="120"/>
      <c r="N3369" s="167"/>
      <c r="O3369" s="120"/>
      <c r="P3369" s="120"/>
      <c r="Q3369" s="120"/>
      <c r="R3369" s="120"/>
      <c r="S3369" s="120"/>
      <c r="T3369" s="221"/>
      <c r="U3369" s="89"/>
      <c r="V3369" s="61"/>
      <c r="W3369" s="92" t="s">
        <v>112</v>
      </c>
      <c r="X3369" s="93" t="s">
        <v>31</v>
      </c>
      <c r="Y3369" s="93" t="s">
        <v>93</v>
      </c>
      <c r="Z3369" s="134">
        <f>VLOOKUP(W3369,Sheet2!$B:$D,3,FALSE)</f>
        <v>13</v>
      </c>
      <c r="AA3369" s="93">
        <v>6</v>
      </c>
      <c r="AB3369" s="93">
        <f>AD3369/AC3365</f>
        <v>2.166666666666667</v>
      </c>
      <c r="AC3369" s="93">
        <f>AC3365/AA3369</f>
        <v>0.41459999999999891</v>
      </c>
      <c r="AD3369" s="94">
        <f>AC3369*Z3369</f>
        <v>5.3897999999999859</v>
      </c>
      <c r="AE3369" s="190"/>
      <c r="AF3369" s="191"/>
      <c r="AG3369" s="191"/>
      <c r="AH3369" s="191"/>
      <c r="AI3369" s="186"/>
      <c r="AK3369" s="171"/>
    </row>
    <row r="3370" spans="1:41" s="102" customFormat="1" ht="19.899999999999999" customHeight="1" x14ac:dyDescent="0.25">
      <c r="A3370" s="45"/>
      <c r="B3370" s="59"/>
      <c r="C3370" s="137"/>
      <c r="D3370" s="59"/>
      <c r="E3370" s="116"/>
      <c r="F3370" s="120"/>
      <c r="G3370" s="120"/>
      <c r="H3370" s="120"/>
      <c r="I3370" s="60"/>
      <c r="J3370" s="116"/>
      <c r="K3370" s="213"/>
      <c r="L3370" s="120"/>
      <c r="M3370" s="120"/>
      <c r="N3370" s="167"/>
      <c r="O3370" s="120"/>
      <c r="P3370" s="120"/>
      <c r="Q3370" s="120"/>
      <c r="R3370" s="120"/>
      <c r="S3370" s="120"/>
      <c r="T3370" s="221"/>
      <c r="U3370" s="89"/>
      <c r="V3370" s="61"/>
      <c r="W3370" s="92" t="s">
        <v>1032</v>
      </c>
      <c r="X3370" s="93" t="s">
        <v>30</v>
      </c>
      <c r="Y3370" s="93" t="s">
        <v>66</v>
      </c>
      <c r="Z3370" s="134">
        <f>VLOOKUP(W3370,Sheet2!$B:$D,3,FALSE)</f>
        <v>250</v>
      </c>
      <c r="AA3370" s="93">
        <f>1/(1*1*0.1)</f>
        <v>10</v>
      </c>
      <c r="AB3370" s="93">
        <f>AD3370/AC3365</f>
        <v>25</v>
      </c>
      <c r="AC3370" s="93">
        <f>AC3365/AA3370</f>
        <v>0.24875999999999934</v>
      </c>
      <c r="AD3370" s="94">
        <f>AC3370*Z3370</f>
        <v>62.189999999999834</v>
      </c>
      <c r="AE3370" s="190"/>
      <c r="AF3370" s="191"/>
      <c r="AG3370" s="191"/>
      <c r="AH3370" s="191"/>
      <c r="AI3370" s="186"/>
      <c r="AK3370" s="171"/>
    </row>
    <row r="3371" spans="1:41" s="102" customFormat="1" ht="19.899999999999999" customHeight="1" x14ac:dyDescent="0.25">
      <c r="A3371" s="45"/>
      <c r="B3371" s="59"/>
      <c r="C3371" s="137"/>
      <c r="D3371" s="59"/>
      <c r="E3371" s="116"/>
      <c r="F3371" s="120"/>
      <c r="G3371" s="120"/>
      <c r="H3371" s="120"/>
      <c r="I3371" s="60"/>
      <c r="J3371" s="116"/>
      <c r="K3371" s="213"/>
      <c r="L3371" s="120"/>
      <c r="M3371" s="120"/>
      <c r="N3371" s="167"/>
      <c r="O3371" s="120"/>
      <c r="P3371" s="120"/>
      <c r="Q3371" s="120"/>
      <c r="R3371" s="120"/>
      <c r="S3371" s="120"/>
      <c r="T3371" s="221"/>
      <c r="U3371" s="89"/>
      <c r="V3371" s="61"/>
      <c r="W3371" s="92" t="s">
        <v>1035</v>
      </c>
      <c r="X3371" s="93" t="s">
        <v>32</v>
      </c>
      <c r="Y3371" s="93" t="s">
        <v>66</v>
      </c>
      <c r="Z3371" s="134">
        <f>VLOOKUP(W3371,Sheet2!$B:$D,3,FALSE)</f>
        <v>150</v>
      </c>
      <c r="AA3371" s="93">
        <f>AA3370</f>
        <v>10</v>
      </c>
      <c r="AB3371" s="93">
        <f>AD3371/AC3365</f>
        <v>15</v>
      </c>
      <c r="AC3371" s="93">
        <f>AC3365/AA3371</f>
        <v>0.24875999999999934</v>
      </c>
      <c r="AD3371" s="94">
        <f t="shared" ref="AD3371:AD3372" si="2569">AC3371*Z3371</f>
        <v>37.313999999999901</v>
      </c>
      <c r="AE3371" s="190"/>
      <c r="AF3371" s="191"/>
      <c r="AG3371" s="191"/>
      <c r="AH3371" s="191"/>
      <c r="AI3371" s="186"/>
      <c r="AK3371" s="171"/>
    </row>
    <row r="3372" spans="1:41" s="102" customFormat="1" ht="19.899999999999999" customHeight="1" x14ac:dyDescent="0.25">
      <c r="A3372" s="45"/>
      <c r="B3372" s="59"/>
      <c r="C3372" s="137"/>
      <c r="D3372" s="59"/>
      <c r="E3372" s="116"/>
      <c r="F3372" s="120"/>
      <c r="G3372" s="120"/>
      <c r="H3372" s="120"/>
      <c r="I3372" s="60"/>
      <c r="J3372" s="116"/>
      <c r="K3372" s="213"/>
      <c r="L3372" s="120"/>
      <c r="M3372" s="120"/>
      <c r="N3372" s="167"/>
      <c r="O3372" s="120"/>
      <c r="P3372" s="120"/>
      <c r="Q3372" s="120"/>
      <c r="R3372" s="120"/>
      <c r="S3372" s="120"/>
      <c r="T3372" s="221"/>
      <c r="U3372" s="89"/>
      <c r="V3372" s="61"/>
      <c r="W3372" s="92" t="s">
        <v>1037</v>
      </c>
      <c r="X3372" s="93" t="s">
        <v>30</v>
      </c>
      <c r="Y3372" s="93" t="s">
        <v>1038</v>
      </c>
      <c r="Z3372" s="134">
        <f>VLOOKUP(W3372,Sheet2!$B:$D,3,FALSE)</f>
        <v>175</v>
      </c>
      <c r="AA3372" s="93">
        <v>300</v>
      </c>
      <c r="AB3372" s="93">
        <f>AD3372/AC3365</f>
        <v>0.58333333333333337</v>
      </c>
      <c r="AC3372" s="93">
        <f>AC3365/AA3372</f>
        <v>8.2919999999999782E-3</v>
      </c>
      <c r="AD3372" s="94">
        <f t="shared" si="2569"/>
        <v>1.4510999999999963</v>
      </c>
      <c r="AE3372" s="190"/>
      <c r="AF3372" s="191"/>
      <c r="AG3372" s="191"/>
      <c r="AH3372" s="191"/>
      <c r="AI3372" s="186"/>
      <c r="AK3372" s="171"/>
    </row>
    <row r="3373" spans="1:41" s="103" customFormat="1" ht="19.899999999999999" customHeight="1" x14ac:dyDescent="0.25">
      <c r="A3373" s="51"/>
      <c r="B3373" s="52"/>
      <c r="C3373" s="165"/>
      <c r="D3373" s="52"/>
      <c r="E3373" s="115"/>
      <c r="F3373" s="58"/>
      <c r="G3373" s="58"/>
      <c r="H3373" s="58"/>
      <c r="I3373" s="55"/>
      <c r="J3373" s="113">
        <f>J3354</f>
        <v>2.4875999999999934</v>
      </c>
      <c r="K3373" s="212">
        <f>K3354</f>
        <v>2.4875999999999934</v>
      </c>
      <c r="L3373" s="58"/>
      <c r="M3373" s="58">
        <f>K3373-L3373</f>
        <v>2.4875999999999934</v>
      </c>
      <c r="N3373" s="166"/>
      <c r="O3373" s="58"/>
      <c r="P3373" s="58"/>
      <c r="Q3373" s="58"/>
      <c r="R3373" s="58"/>
      <c r="S3373" s="58"/>
      <c r="T3373" s="220"/>
      <c r="U3373" s="88"/>
      <c r="V3373" s="56"/>
      <c r="W3373" s="57" t="s">
        <v>1040</v>
      </c>
      <c r="X3373" s="53"/>
      <c r="Y3373" s="91" t="s">
        <v>68</v>
      </c>
      <c r="Z3373" s="136">
        <f>AD3373/AC3373</f>
        <v>5</v>
      </c>
      <c r="AA3373" s="58"/>
      <c r="AB3373" s="53">
        <f>AD3373/AC3373</f>
        <v>5</v>
      </c>
      <c r="AC3373" s="53">
        <f>M3373+$AE$10</f>
        <v>2.4875999999999934</v>
      </c>
      <c r="AD3373" s="54">
        <f>SUM(AD3374)</f>
        <v>12.437999999999967</v>
      </c>
      <c r="AE3373" s="184">
        <f>SUMIFS($AD$37:$AD$12971,$V$37:$V$12971,$V3373,$X$37:$X$12971,AE$13)</f>
        <v>0</v>
      </c>
      <c r="AF3373" s="185">
        <f>SUMIFS($AD$37:$AD$12971,$V$37:$V$12971,$V3373,$X$37:$X$12971,AF$13)</f>
        <v>0</v>
      </c>
      <c r="AG3373" s="185">
        <f>SUMIFS($AD$37:$AD$12971,$V$37:$V$12971,$V3373,$X$37:$X$12971,AG$13)</f>
        <v>0</v>
      </c>
      <c r="AH3373" s="187">
        <f>SUMIFS($AD$37:$AD$12971,$V$37:$V$12971,$V3373,$X$37:$X$12971,AH$13)</f>
        <v>0</v>
      </c>
      <c r="AI3373" s="161">
        <f t="shared" ref="AI3373" si="2570">SUM(AE3373:AH3373)</f>
        <v>0</v>
      </c>
      <c r="AK3373" s="172"/>
    </row>
    <row r="3374" spans="1:41" s="102" customFormat="1" ht="19.899999999999999" customHeight="1" x14ac:dyDescent="0.25">
      <c r="A3374" s="45"/>
      <c r="B3374" s="59"/>
      <c r="C3374" s="137"/>
      <c r="D3374" s="59"/>
      <c r="E3374" s="116"/>
      <c r="F3374" s="120"/>
      <c r="G3374" s="120"/>
      <c r="H3374" s="120"/>
      <c r="I3374" s="60"/>
      <c r="J3374" s="116"/>
      <c r="K3374" s="213"/>
      <c r="L3374" s="120"/>
      <c r="M3374" s="120"/>
      <c r="N3374" s="167"/>
      <c r="O3374" s="120"/>
      <c r="P3374" s="120"/>
      <c r="Q3374" s="120"/>
      <c r="R3374" s="120"/>
      <c r="S3374" s="120"/>
      <c r="T3374" s="221"/>
      <c r="U3374" s="89"/>
      <c r="V3374" s="61"/>
      <c r="W3374" s="92" t="s">
        <v>1039</v>
      </c>
      <c r="X3374" s="93" t="s">
        <v>32</v>
      </c>
      <c r="Y3374" s="93" t="s">
        <v>68</v>
      </c>
      <c r="Z3374" s="134">
        <f>VLOOKUP(W3374,Sheet2!$B:$D,3,FALSE)</f>
        <v>5</v>
      </c>
      <c r="AA3374" s="93">
        <v>1</v>
      </c>
      <c r="AB3374" s="93">
        <f>AD3374/AC3373</f>
        <v>5</v>
      </c>
      <c r="AC3374" s="93">
        <f>AC3373/AA3374</f>
        <v>2.4875999999999934</v>
      </c>
      <c r="AD3374" s="94">
        <f t="shared" ref="AD3374" si="2571">AC3374*Z3374</f>
        <v>12.437999999999967</v>
      </c>
      <c r="AE3374" s="190"/>
      <c r="AF3374" s="191"/>
      <c r="AG3374" s="191"/>
      <c r="AH3374" s="191"/>
      <c r="AI3374" s="186"/>
      <c r="AK3374" s="171"/>
    </row>
    <row r="3375" spans="1:41" ht="20.100000000000001" customHeight="1" x14ac:dyDescent="0.25">
      <c r="A3375" s="277" t="s">
        <v>491</v>
      </c>
      <c r="B3375" s="278"/>
      <c r="C3375" s="64" t="s">
        <v>1167</v>
      </c>
      <c r="D3375" s="46" t="s">
        <v>97</v>
      </c>
      <c r="E3375" s="114">
        <v>3.9249999999999972</v>
      </c>
      <c r="F3375" s="44">
        <v>320</v>
      </c>
      <c r="G3375" s="44">
        <f t="shared" si="2434"/>
        <v>1255.9999999999991</v>
      </c>
      <c r="H3375" s="44">
        <f t="shared" si="2435"/>
        <v>202.84414901960784</v>
      </c>
      <c r="I3375" s="43">
        <f t="shared" si="2436"/>
        <v>796.1632849019602</v>
      </c>
      <c r="J3375" s="112">
        <f t="shared" si="2437"/>
        <v>3.9249999999999972</v>
      </c>
      <c r="K3375" s="211">
        <f t="shared" si="2438"/>
        <v>3.9249999999999972</v>
      </c>
      <c r="L3375" s="44"/>
      <c r="M3375" s="44">
        <f t="shared" si="2458"/>
        <v>3.9249999999999972</v>
      </c>
      <c r="N3375" s="173">
        <f t="shared" si="2439"/>
        <v>1</v>
      </c>
      <c r="O3375" s="44">
        <f t="shared" si="2440"/>
        <v>320</v>
      </c>
      <c r="P3375" s="44">
        <f t="shared" si="2441"/>
        <v>1255.9999999999991</v>
      </c>
      <c r="Q3375" s="44">
        <f t="shared" si="2442"/>
        <v>202.84414901960784</v>
      </c>
      <c r="R3375" s="44">
        <f t="shared" si="2459"/>
        <v>796.1632849019602</v>
      </c>
      <c r="S3375" s="123"/>
      <c r="T3375" s="219">
        <f t="shared" si="2460"/>
        <v>796.1632849019602</v>
      </c>
      <c r="U3375" s="87"/>
      <c r="V3375" s="47"/>
      <c r="W3375" s="48"/>
      <c r="X3375" s="48"/>
      <c r="Y3375" s="48"/>
      <c r="Z3375" s="135"/>
      <c r="AA3375" s="49"/>
      <c r="AB3375" s="50">
        <f t="shared" si="2443"/>
        <v>202.84414901960784</v>
      </c>
      <c r="AC3375" s="42">
        <f t="shared" si="2461"/>
        <v>3.9249999999999972</v>
      </c>
      <c r="AD3375" s="90">
        <f>AD3376+AD3386+AD3394</f>
        <v>796.1632849019602</v>
      </c>
      <c r="AE3375" s="188">
        <f t="shared" ref="AE3375" si="2572">AE3376+AE3386+AE3394</f>
        <v>0</v>
      </c>
      <c r="AF3375" s="189">
        <f t="shared" ref="AF3375" si="2573">AF3376+AF3386+AF3394</f>
        <v>0</v>
      </c>
      <c r="AG3375" s="189">
        <f t="shared" ref="AG3375" si="2574">AG3376+AG3386+AG3394</f>
        <v>0</v>
      </c>
      <c r="AH3375" s="189">
        <f t="shared" ref="AH3375" si="2575">AH3376+AH3386+AH3394</f>
        <v>0</v>
      </c>
      <c r="AI3375" s="161">
        <f t="shared" si="2562"/>
        <v>0</v>
      </c>
      <c r="AK3375" s="169">
        <v>5</v>
      </c>
      <c r="AO3375" s="19" t="s">
        <v>63</v>
      </c>
    </row>
    <row r="3376" spans="1:41" s="103" customFormat="1" ht="19.899999999999999" customHeight="1" x14ac:dyDescent="0.25">
      <c r="A3376" s="51"/>
      <c r="B3376" s="52"/>
      <c r="C3376" s="165"/>
      <c r="D3376" s="52"/>
      <c r="E3376" s="115"/>
      <c r="F3376" s="58"/>
      <c r="G3376" s="58"/>
      <c r="H3376" s="58"/>
      <c r="I3376" s="55"/>
      <c r="J3376" s="113">
        <f>J3375</f>
        <v>3.9249999999999972</v>
      </c>
      <c r="K3376" s="212">
        <f>K3375</f>
        <v>3.9249999999999972</v>
      </c>
      <c r="L3376" s="58"/>
      <c r="M3376" s="58">
        <f>K3376-L3376</f>
        <v>3.9249999999999972</v>
      </c>
      <c r="N3376" s="166"/>
      <c r="O3376" s="58"/>
      <c r="P3376" s="58"/>
      <c r="Q3376" s="58"/>
      <c r="R3376" s="58"/>
      <c r="S3376" s="58"/>
      <c r="T3376" s="220"/>
      <c r="U3376" s="88"/>
      <c r="V3376" s="56"/>
      <c r="W3376" s="57" t="s">
        <v>1050</v>
      </c>
      <c r="X3376" s="53"/>
      <c r="Y3376" s="91" t="s">
        <v>68</v>
      </c>
      <c r="Z3376" s="136">
        <f>AD3376/AC3376</f>
        <v>47.260815686274505</v>
      </c>
      <c r="AA3376" s="58"/>
      <c r="AB3376" s="53">
        <f>AD3376/AC3376</f>
        <v>47.260815686274505</v>
      </c>
      <c r="AC3376" s="53">
        <f>M3376+$AE$10</f>
        <v>3.9249999999999972</v>
      </c>
      <c r="AD3376" s="54">
        <f>SUM(AD3377:AD3385)</f>
        <v>185.4987015686273</v>
      </c>
      <c r="AE3376" s="184">
        <f>SUMIFS($AD$37:$AD$12971,$V$37:$V$12971,$V3376,$X$37:$X$12971,AE$13)</f>
        <v>0</v>
      </c>
      <c r="AF3376" s="185">
        <f>SUMIFS($AD$37:$AD$12971,$V$37:$V$12971,$V3376,$X$37:$X$12971,AF$13)</f>
        <v>0</v>
      </c>
      <c r="AG3376" s="185">
        <f>SUMIFS($AD$37:$AD$12971,$V$37:$V$12971,$V3376,$X$37:$X$12971,AG$13)</f>
        <v>0</v>
      </c>
      <c r="AH3376" s="187">
        <f>SUMIFS($AD$37:$AD$12971,$V$37:$V$12971,$V3376,$X$37:$X$12971,AH$13)</f>
        <v>0</v>
      </c>
      <c r="AI3376" s="161">
        <f t="shared" ref="AI3376" si="2576">SUM(AE3376:AH3376)</f>
        <v>0</v>
      </c>
      <c r="AK3376" s="172"/>
    </row>
    <row r="3377" spans="1:37" s="102" customFormat="1" ht="19.899999999999999" customHeight="1" x14ac:dyDescent="0.25">
      <c r="A3377" s="45"/>
      <c r="B3377" s="59"/>
      <c r="C3377" s="137"/>
      <c r="D3377" s="59"/>
      <c r="E3377" s="116"/>
      <c r="F3377" s="120"/>
      <c r="G3377" s="120"/>
      <c r="H3377" s="120"/>
      <c r="I3377" s="60"/>
      <c r="J3377" s="116"/>
      <c r="K3377" s="213"/>
      <c r="L3377" s="120"/>
      <c r="M3377" s="120"/>
      <c r="N3377" s="167"/>
      <c r="O3377" s="120"/>
      <c r="P3377" s="120"/>
      <c r="Q3377" s="120"/>
      <c r="R3377" s="120"/>
      <c r="S3377" s="120"/>
      <c r="T3377" s="221"/>
      <c r="U3377" s="89"/>
      <c r="V3377" s="61"/>
      <c r="W3377" s="92" t="s">
        <v>129</v>
      </c>
      <c r="X3377" s="93" t="s">
        <v>29</v>
      </c>
      <c r="Y3377" s="93" t="s">
        <v>93</v>
      </c>
      <c r="Z3377" s="134">
        <f>VLOOKUP(W3377,Sheet2!$B:$D,3,FALSE)</f>
        <v>56</v>
      </c>
      <c r="AA3377" s="93">
        <f>100/(1*2.5)</f>
        <v>40</v>
      </c>
      <c r="AB3377" s="93">
        <f t="shared" ref="AB3377" si="2577">AD3377/AC3376</f>
        <v>1.4000000000000001</v>
      </c>
      <c r="AC3377" s="93">
        <f>AC3376/AA3377</f>
        <v>9.8124999999999934E-2</v>
      </c>
      <c r="AD3377" s="94">
        <f t="shared" ref="AD3377:AD3378" si="2578">AC3377*Z3377</f>
        <v>5.4949999999999966</v>
      </c>
      <c r="AE3377" s="190"/>
      <c r="AF3377" s="191"/>
      <c r="AG3377" s="191"/>
      <c r="AH3377" s="191"/>
      <c r="AI3377" s="186"/>
      <c r="AK3377" s="171"/>
    </row>
    <row r="3378" spans="1:37" s="102" customFormat="1" ht="19.899999999999999" customHeight="1" x14ac:dyDescent="0.25">
      <c r="A3378" s="45"/>
      <c r="B3378" s="59"/>
      <c r="C3378" s="137"/>
      <c r="D3378" s="59"/>
      <c r="E3378" s="116"/>
      <c r="F3378" s="120"/>
      <c r="G3378" s="120"/>
      <c r="H3378" s="120"/>
      <c r="I3378" s="60"/>
      <c r="J3378" s="116"/>
      <c r="K3378" s="213"/>
      <c r="L3378" s="120"/>
      <c r="M3378" s="120"/>
      <c r="N3378" s="167"/>
      <c r="O3378" s="120"/>
      <c r="P3378" s="120"/>
      <c r="Q3378" s="120"/>
      <c r="R3378" s="120"/>
      <c r="S3378" s="120"/>
      <c r="T3378" s="221"/>
      <c r="U3378" s="89"/>
      <c r="V3378" s="61"/>
      <c r="W3378" s="92" t="s">
        <v>65</v>
      </c>
      <c r="X3378" s="93" t="s">
        <v>30</v>
      </c>
      <c r="Y3378" s="93" t="s">
        <v>1011</v>
      </c>
      <c r="Z3378" s="134">
        <f>VLOOKUP(W3378,Sheet2!$B:$D,3,FALSE)</f>
        <v>1.76</v>
      </c>
      <c r="AA3378" s="93">
        <f>AA3377/14</f>
        <v>2.8571428571428572</v>
      </c>
      <c r="AB3378" s="93">
        <f>AD3378/AC3376</f>
        <v>0.61599999999999988</v>
      </c>
      <c r="AC3378" s="93">
        <f>AC3376/AA3378</f>
        <v>1.3737499999999989</v>
      </c>
      <c r="AD3378" s="94">
        <f t="shared" si="2578"/>
        <v>2.417799999999998</v>
      </c>
      <c r="AE3378" s="190"/>
      <c r="AF3378" s="191"/>
      <c r="AG3378" s="191"/>
      <c r="AH3378" s="191"/>
      <c r="AI3378" s="186"/>
      <c r="AK3378" s="171"/>
    </row>
    <row r="3379" spans="1:37" s="102" customFormat="1" ht="19.899999999999999" customHeight="1" x14ac:dyDescent="0.25">
      <c r="A3379" s="45"/>
      <c r="B3379" s="59"/>
      <c r="C3379" s="137"/>
      <c r="D3379" s="59"/>
      <c r="E3379" s="116"/>
      <c r="F3379" s="120"/>
      <c r="G3379" s="120"/>
      <c r="H3379" s="120"/>
      <c r="I3379" s="60"/>
      <c r="J3379" s="116"/>
      <c r="K3379" s="213"/>
      <c r="L3379" s="120"/>
      <c r="M3379" s="120"/>
      <c r="N3379" s="167"/>
      <c r="O3379" s="120"/>
      <c r="P3379" s="120"/>
      <c r="Q3379" s="120"/>
      <c r="R3379" s="120"/>
      <c r="S3379" s="120"/>
      <c r="T3379" s="221"/>
      <c r="U3379" s="89"/>
      <c r="V3379" s="61"/>
      <c r="W3379" s="92" t="s">
        <v>161</v>
      </c>
      <c r="X3379" s="93" t="s">
        <v>29</v>
      </c>
      <c r="Y3379" s="93" t="s">
        <v>93</v>
      </c>
      <c r="Z3379" s="134">
        <f>VLOOKUP(W3379,Sheet2!$B:$D,3,FALSE)</f>
        <v>48</v>
      </c>
      <c r="AA3379" s="93">
        <f>(16*0.85*1.5)/(1*2.5)</f>
        <v>8.16</v>
      </c>
      <c r="AB3379" s="93">
        <f>AD3379/AC3376</f>
        <v>5.882352941176471</v>
      </c>
      <c r="AC3379" s="93">
        <f>AC3376/AA3379</f>
        <v>0.48100490196078394</v>
      </c>
      <c r="AD3379" s="94">
        <f>AC3379*Z3379</f>
        <v>23.088235294117631</v>
      </c>
      <c r="AE3379" s="190"/>
      <c r="AF3379" s="191"/>
      <c r="AG3379" s="191"/>
      <c r="AH3379" s="191"/>
      <c r="AI3379" s="186"/>
      <c r="AK3379" s="171"/>
    </row>
    <row r="3380" spans="1:37" s="102" customFormat="1" ht="19.899999999999999" customHeight="1" x14ac:dyDescent="0.25">
      <c r="A3380" s="45"/>
      <c r="B3380" s="59"/>
      <c r="C3380" s="137"/>
      <c r="D3380" s="59"/>
      <c r="E3380" s="116"/>
      <c r="F3380" s="120"/>
      <c r="G3380" s="120"/>
      <c r="H3380" s="120"/>
      <c r="I3380" s="60"/>
      <c r="J3380" s="116"/>
      <c r="K3380" s="213"/>
      <c r="L3380" s="120"/>
      <c r="M3380" s="120"/>
      <c r="N3380" s="167"/>
      <c r="O3380" s="120"/>
      <c r="P3380" s="120"/>
      <c r="Q3380" s="120"/>
      <c r="R3380" s="120"/>
      <c r="S3380" s="120"/>
      <c r="T3380" s="221"/>
      <c r="U3380" s="89"/>
      <c r="V3380" s="61"/>
      <c r="W3380" s="92" t="s">
        <v>65</v>
      </c>
      <c r="X3380" s="93" t="s">
        <v>30</v>
      </c>
      <c r="Y3380" s="93" t="s">
        <v>1011</v>
      </c>
      <c r="Z3380" s="134">
        <f>VLOOKUP(W3380,Sheet2!$B:$D,3,FALSE)</f>
        <v>1.76</v>
      </c>
      <c r="AA3380" s="93">
        <f>AA3379/10</f>
        <v>0.81600000000000006</v>
      </c>
      <c r="AB3380" s="93">
        <f>AD3380/AC3376</f>
        <v>2.1568627450980391</v>
      </c>
      <c r="AC3380" s="93">
        <f>AC3376/AA3380</f>
        <v>4.8100490196078391</v>
      </c>
      <c r="AD3380" s="94">
        <f>AC3380*Z3380</f>
        <v>8.4656862745097978</v>
      </c>
      <c r="AE3380" s="190"/>
      <c r="AF3380" s="191"/>
      <c r="AG3380" s="191"/>
      <c r="AH3380" s="191"/>
      <c r="AI3380" s="186"/>
      <c r="AK3380" s="171"/>
    </row>
    <row r="3381" spans="1:37" s="102" customFormat="1" ht="19.899999999999999" customHeight="1" x14ac:dyDescent="0.25">
      <c r="A3381" s="45"/>
      <c r="B3381" s="59"/>
      <c r="C3381" s="137"/>
      <c r="D3381" s="59"/>
      <c r="E3381" s="116"/>
      <c r="F3381" s="120"/>
      <c r="G3381" s="120"/>
      <c r="H3381" s="120"/>
      <c r="I3381" s="60"/>
      <c r="J3381" s="116"/>
      <c r="K3381" s="213"/>
      <c r="L3381" s="120"/>
      <c r="M3381" s="120"/>
      <c r="N3381" s="167"/>
      <c r="O3381" s="120"/>
      <c r="P3381" s="120"/>
      <c r="Q3381" s="120"/>
      <c r="R3381" s="120"/>
      <c r="S3381" s="120"/>
      <c r="T3381" s="221"/>
      <c r="U3381" s="89"/>
      <c r="V3381" s="61"/>
      <c r="W3381" s="92" t="s">
        <v>1030</v>
      </c>
      <c r="X3381" s="93" t="s">
        <v>29</v>
      </c>
      <c r="Y3381" s="93" t="s">
        <v>93</v>
      </c>
      <c r="Z3381" s="134">
        <f>VLOOKUP(W3381,Sheet2!$B:$D,3,FALSE)</f>
        <v>23</v>
      </c>
      <c r="AA3381" s="93">
        <v>50</v>
      </c>
      <c r="AB3381" s="93">
        <f>AD3381/AC3376</f>
        <v>0.46</v>
      </c>
      <c r="AC3381" s="93">
        <f>AC3376/AA3381</f>
        <v>7.8499999999999945E-2</v>
      </c>
      <c r="AD3381" s="94">
        <f t="shared" ref="AD3381:AD3385" si="2579">AC3381*Z3381</f>
        <v>1.8054999999999988</v>
      </c>
      <c r="AE3381" s="190"/>
      <c r="AF3381" s="191"/>
      <c r="AG3381" s="191"/>
      <c r="AH3381" s="191"/>
      <c r="AI3381" s="186"/>
      <c r="AK3381" s="171"/>
    </row>
    <row r="3382" spans="1:37" s="102" customFormat="1" ht="19.899999999999999" customHeight="1" x14ac:dyDescent="0.25">
      <c r="A3382" s="45"/>
      <c r="B3382" s="59"/>
      <c r="C3382" s="137"/>
      <c r="D3382" s="59"/>
      <c r="E3382" s="116"/>
      <c r="F3382" s="120"/>
      <c r="G3382" s="120"/>
      <c r="H3382" s="120"/>
      <c r="I3382" s="60"/>
      <c r="J3382" s="116"/>
      <c r="K3382" s="213"/>
      <c r="L3382" s="120"/>
      <c r="M3382" s="120"/>
      <c r="N3382" s="167"/>
      <c r="O3382" s="120"/>
      <c r="P3382" s="120"/>
      <c r="Q3382" s="120"/>
      <c r="R3382" s="120"/>
      <c r="S3382" s="120"/>
      <c r="T3382" s="221"/>
      <c r="U3382" s="89"/>
      <c r="V3382" s="61"/>
      <c r="W3382" s="92" t="s">
        <v>65</v>
      </c>
      <c r="X3382" s="93" t="s">
        <v>30</v>
      </c>
      <c r="Y3382" s="93" t="s">
        <v>1011</v>
      </c>
      <c r="Z3382" s="134">
        <f>VLOOKUP(W3382,Sheet2!$B:$D,3,FALSE)</f>
        <v>1.76</v>
      </c>
      <c r="AA3382" s="93">
        <f>AA3381/3</f>
        <v>16.666666666666668</v>
      </c>
      <c r="AB3382" s="93">
        <f>AD3382/AC3376</f>
        <v>0.1056</v>
      </c>
      <c r="AC3382" s="93">
        <f>AC3376/AA3382</f>
        <v>0.23549999999999982</v>
      </c>
      <c r="AD3382" s="94">
        <f t="shared" si="2579"/>
        <v>0.41447999999999968</v>
      </c>
      <c r="AE3382" s="190"/>
      <c r="AF3382" s="191"/>
      <c r="AG3382" s="191"/>
      <c r="AH3382" s="191"/>
      <c r="AI3382" s="186"/>
      <c r="AK3382" s="171"/>
    </row>
    <row r="3383" spans="1:37" s="102" customFormat="1" ht="19.899999999999999" customHeight="1" x14ac:dyDescent="0.25">
      <c r="A3383" s="45"/>
      <c r="B3383" s="59"/>
      <c r="C3383" s="137"/>
      <c r="D3383" s="59"/>
      <c r="E3383" s="116"/>
      <c r="F3383" s="120"/>
      <c r="G3383" s="120"/>
      <c r="H3383" s="120"/>
      <c r="I3383" s="60"/>
      <c r="J3383" s="116"/>
      <c r="K3383" s="213"/>
      <c r="L3383" s="120"/>
      <c r="M3383" s="120"/>
      <c r="N3383" s="167"/>
      <c r="O3383" s="120"/>
      <c r="P3383" s="120"/>
      <c r="Q3383" s="120"/>
      <c r="R3383" s="120"/>
      <c r="S3383" s="120"/>
      <c r="T3383" s="221"/>
      <c r="U3383" s="89"/>
      <c r="V3383" s="61"/>
      <c r="W3383" s="92" t="s">
        <v>148</v>
      </c>
      <c r="X3383" s="93" t="s">
        <v>29</v>
      </c>
      <c r="Y3383" s="93" t="s">
        <v>93</v>
      </c>
      <c r="Z3383" s="134">
        <f>VLOOKUP(W3383,Sheet2!$B:$D,3,FALSE)</f>
        <v>48</v>
      </c>
      <c r="AA3383" s="93">
        <f>AA3377</f>
        <v>40</v>
      </c>
      <c r="AB3383" s="93">
        <f>AD3383/AC3376</f>
        <v>1.2000000000000002</v>
      </c>
      <c r="AC3383" s="93">
        <f>AC3376/AA3383</f>
        <v>9.8124999999999934E-2</v>
      </c>
      <c r="AD3383" s="94">
        <f t="shared" si="2579"/>
        <v>4.7099999999999973</v>
      </c>
      <c r="AE3383" s="190"/>
      <c r="AF3383" s="191"/>
      <c r="AG3383" s="191"/>
      <c r="AH3383" s="191"/>
      <c r="AI3383" s="186"/>
      <c r="AK3383" s="171"/>
    </row>
    <row r="3384" spans="1:37" s="102" customFormat="1" ht="19.899999999999999" customHeight="1" x14ac:dyDescent="0.25">
      <c r="A3384" s="45"/>
      <c r="B3384" s="59"/>
      <c r="C3384" s="137"/>
      <c r="D3384" s="59"/>
      <c r="E3384" s="116"/>
      <c r="F3384" s="120"/>
      <c r="G3384" s="120"/>
      <c r="H3384" s="120"/>
      <c r="I3384" s="60"/>
      <c r="J3384" s="116"/>
      <c r="K3384" s="213"/>
      <c r="L3384" s="120"/>
      <c r="M3384" s="120"/>
      <c r="N3384" s="167"/>
      <c r="O3384" s="120"/>
      <c r="P3384" s="120"/>
      <c r="Q3384" s="120"/>
      <c r="R3384" s="120"/>
      <c r="S3384" s="120"/>
      <c r="T3384" s="221"/>
      <c r="U3384" s="89"/>
      <c r="V3384" s="61"/>
      <c r="W3384" s="92" t="s">
        <v>65</v>
      </c>
      <c r="X3384" s="93" t="s">
        <v>30</v>
      </c>
      <c r="Y3384" s="93" t="s">
        <v>1011</v>
      </c>
      <c r="Z3384" s="134">
        <f>VLOOKUP(W3384,Sheet2!$B:$D,3,FALSE)</f>
        <v>1.76</v>
      </c>
      <c r="AA3384" s="93">
        <f>AA3383/10</f>
        <v>4</v>
      </c>
      <c r="AB3384" s="93">
        <f>AD3384/AC3376</f>
        <v>0.44</v>
      </c>
      <c r="AC3384" s="93">
        <f>AC3376/AA3384</f>
        <v>0.98124999999999929</v>
      </c>
      <c r="AD3384" s="94">
        <f t="shared" si="2579"/>
        <v>1.7269999999999988</v>
      </c>
      <c r="AE3384" s="190"/>
      <c r="AF3384" s="191"/>
      <c r="AG3384" s="191"/>
      <c r="AH3384" s="191"/>
      <c r="AI3384" s="186"/>
      <c r="AK3384" s="171"/>
    </row>
    <row r="3385" spans="1:37" s="102" customFormat="1" ht="19.899999999999999" customHeight="1" x14ac:dyDescent="0.25">
      <c r="A3385" s="45"/>
      <c r="B3385" s="59"/>
      <c r="C3385" s="137"/>
      <c r="D3385" s="59"/>
      <c r="E3385" s="116"/>
      <c r="F3385" s="120"/>
      <c r="G3385" s="120"/>
      <c r="H3385" s="120"/>
      <c r="I3385" s="60"/>
      <c r="J3385" s="116"/>
      <c r="K3385" s="213"/>
      <c r="L3385" s="120"/>
      <c r="M3385" s="120"/>
      <c r="N3385" s="167"/>
      <c r="O3385" s="120"/>
      <c r="P3385" s="120"/>
      <c r="Q3385" s="120"/>
      <c r="R3385" s="120"/>
      <c r="S3385" s="120"/>
      <c r="T3385" s="221"/>
      <c r="U3385" s="89"/>
      <c r="V3385" s="61"/>
      <c r="W3385" s="92" t="s">
        <v>1048</v>
      </c>
      <c r="X3385" s="93" t="s">
        <v>30</v>
      </c>
      <c r="Y3385" s="93" t="s">
        <v>68</v>
      </c>
      <c r="Z3385" s="134">
        <f>VLOOKUP(W3385,Sheet2!$B:$D,3,FALSE)</f>
        <v>35</v>
      </c>
      <c r="AA3385" s="93">
        <v>1</v>
      </c>
      <c r="AB3385" s="93">
        <f>AD3385/AC3376</f>
        <v>34.999999999999993</v>
      </c>
      <c r="AC3385" s="93">
        <f>AC3376/AA3385</f>
        <v>3.9249999999999972</v>
      </c>
      <c r="AD3385" s="94">
        <f t="shared" si="2579"/>
        <v>137.37499999999989</v>
      </c>
      <c r="AE3385" s="190"/>
      <c r="AF3385" s="191"/>
      <c r="AG3385" s="191"/>
      <c r="AH3385" s="191"/>
      <c r="AI3385" s="186"/>
      <c r="AK3385" s="171"/>
    </row>
    <row r="3386" spans="1:37" s="103" customFormat="1" ht="19.899999999999999" customHeight="1" x14ac:dyDescent="0.25">
      <c r="A3386" s="51"/>
      <c r="B3386" s="52"/>
      <c r="C3386" s="165"/>
      <c r="D3386" s="52"/>
      <c r="E3386" s="115"/>
      <c r="F3386" s="58"/>
      <c r="G3386" s="58"/>
      <c r="H3386" s="58"/>
      <c r="I3386" s="55"/>
      <c r="J3386" s="113">
        <f>J3375</f>
        <v>3.9249999999999972</v>
      </c>
      <c r="K3386" s="212">
        <f>K3375</f>
        <v>3.9249999999999972</v>
      </c>
      <c r="L3386" s="58"/>
      <c r="M3386" s="58">
        <f>K3386-L3386</f>
        <v>3.9249999999999972</v>
      </c>
      <c r="N3386" s="166"/>
      <c r="O3386" s="58"/>
      <c r="P3386" s="58"/>
      <c r="Q3386" s="58"/>
      <c r="R3386" s="58"/>
      <c r="S3386" s="58"/>
      <c r="T3386" s="220"/>
      <c r="U3386" s="88"/>
      <c r="V3386" s="56"/>
      <c r="W3386" s="57" t="s">
        <v>1036</v>
      </c>
      <c r="X3386" s="53"/>
      <c r="Y3386" s="91" t="s">
        <v>68</v>
      </c>
      <c r="Z3386" s="136">
        <f>AD3386/AC3386</f>
        <v>150.58333333333331</v>
      </c>
      <c r="AA3386" s="58"/>
      <c r="AB3386" s="53">
        <f>AD3386/AC3386</f>
        <v>150.58333333333331</v>
      </c>
      <c r="AC3386" s="53">
        <f>M3386+$AE$10</f>
        <v>3.9249999999999972</v>
      </c>
      <c r="AD3386" s="54">
        <f>SUM(AD3387:AD3393)</f>
        <v>591.03958333333287</v>
      </c>
      <c r="AE3386" s="184">
        <f>SUMIFS($AD$37:$AD$12971,$V$37:$V$12971,$V3386,$X$37:$X$12971,AE$13)</f>
        <v>0</v>
      </c>
      <c r="AF3386" s="185">
        <f>SUMIFS($AD$37:$AD$12971,$V$37:$V$12971,$V3386,$X$37:$X$12971,AF$13)</f>
        <v>0</v>
      </c>
      <c r="AG3386" s="185">
        <f>SUMIFS($AD$37:$AD$12971,$V$37:$V$12971,$V3386,$X$37:$X$12971,AG$13)</f>
        <v>0</v>
      </c>
      <c r="AH3386" s="187">
        <f>SUMIFS($AD$37:$AD$12971,$V$37:$V$12971,$V3386,$X$37:$X$12971,AH$13)</f>
        <v>0</v>
      </c>
      <c r="AI3386" s="161">
        <f t="shared" ref="AI3386" si="2580">SUM(AE3386:AH3386)</f>
        <v>0</v>
      </c>
      <c r="AK3386" s="172"/>
    </row>
    <row r="3387" spans="1:37" s="102" customFormat="1" ht="19.899999999999999" customHeight="1" x14ac:dyDescent="0.25">
      <c r="A3387" s="45"/>
      <c r="B3387" s="59"/>
      <c r="C3387" s="137"/>
      <c r="D3387" s="59"/>
      <c r="E3387" s="116"/>
      <c r="F3387" s="120"/>
      <c r="G3387" s="120"/>
      <c r="H3387" s="120"/>
      <c r="I3387" s="60"/>
      <c r="J3387" s="116"/>
      <c r="K3387" s="213"/>
      <c r="L3387" s="120"/>
      <c r="M3387" s="120"/>
      <c r="N3387" s="167"/>
      <c r="O3387" s="120"/>
      <c r="P3387" s="120"/>
      <c r="Q3387" s="120"/>
      <c r="R3387" s="120"/>
      <c r="S3387" s="120"/>
      <c r="T3387" s="221"/>
      <c r="U3387" s="89"/>
      <c r="V3387" s="61"/>
      <c r="W3387" s="92" t="s">
        <v>1229</v>
      </c>
      <c r="X3387" s="93" t="s">
        <v>30</v>
      </c>
      <c r="Y3387" s="93" t="s">
        <v>68</v>
      </c>
      <c r="Z3387" s="134">
        <f>VLOOKUP(W3387,Sheet2!$B:$D,3,FALSE)</f>
        <v>95</v>
      </c>
      <c r="AA3387" s="93">
        <v>1</v>
      </c>
      <c r="AB3387" s="93">
        <f>AD3387/AC3386</f>
        <v>95</v>
      </c>
      <c r="AC3387" s="93">
        <f>AC3386/AA3387</f>
        <v>3.9249999999999972</v>
      </c>
      <c r="AD3387" s="94">
        <f t="shared" ref="AD3387" si="2581">AC3387*Z3387</f>
        <v>372.87499999999972</v>
      </c>
      <c r="AE3387" s="190"/>
      <c r="AF3387" s="191"/>
      <c r="AG3387" s="191"/>
      <c r="AH3387" s="191"/>
      <c r="AI3387" s="186"/>
      <c r="AK3387" s="171"/>
    </row>
    <row r="3388" spans="1:37" s="102" customFormat="1" ht="19.899999999999999" customHeight="1" x14ac:dyDescent="0.25">
      <c r="A3388" s="45"/>
      <c r="B3388" s="59"/>
      <c r="C3388" s="137"/>
      <c r="D3388" s="59"/>
      <c r="E3388" s="116"/>
      <c r="F3388" s="120"/>
      <c r="G3388" s="120"/>
      <c r="H3388" s="120"/>
      <c r="I3388" s="60"/>
      <c r="J3388" s="116"/>
      <c r="K3388" s="213"/>
      <c r="L3388" s="120"/>
      <c r="M3388" s="120"/>
      <c r="N3388" s="167"/>
      <c r="O3388" s="120"/>
      <c r="P3388" s="120"/>
      <c r="Q3388" s="120"/>
      <c r="R3388" s="120"/>
      <c r="S3388" s="120"/>
      <c r="T3388" s="221"/>
      <c r="U3388" s="89"/>
      <c r="V3388" s="61"/>
      <c r="W3388" s="92" t="s">
        <v>1230</v>
      </c>
      <c r="X3388" s="93" t="s">
        <v>30</v>
      </c>
      <c r="Y3388" s="93" t="s">
        <v>68</v>
      </c>
      <c r="Z3388" s="134">
        <f>VLOOKUP(W3388,Sheet2!$B:$D,3,FALSE)</f>
        <v>10</v>
      </c>
      <c r="AA3388" s="93">
        <v>1</v>
      </c>
      <c r="AB3388" s="93">
        <f>AD3388/AC3386</f>
        <v>10</v>
      </c>
      <c r="AC3388" s="93">
        <f>AC3386/AA3388</f>
        <v>3.9249999999999972</v>
      </c>
      <c r="AD3388" s="94">
        <f>AC3388*Z3388</f>
        <v>39.249999999999972</v>
      </c>
      <c r="AE3388" s="190"/>
      <c r="AF3388" s="191"/>
      <c r="AG3388" s="191"/>
      <c r="AH3388" s="191"/>
      <c r="AI3388" s="186"/>
      <c r="AK3388" s="171"/>
    </row>
    <row r="3389" spans="1:37" s="102" customFormat="1" ht="19.899999999999999" customHeight="1" x14ac:dyDescent="0.25">
      <c r="A3389" s="45"/>
      <c r="B3389" s="59"/>
      <c r="C3389" s="137"/>
      <c r="D3389" s="59"/>
      <c r="E3389" s="116"/>
      <c r="F3389" s="120"/>
      <c r="G3389" s="120"/>
      <c r="H3389" s="120"/>
      <c r="I3389" s="60"/>
      <c r="J3389" s="116"/>
      <c r="K3389" s="213"/>
      <c r="L3389" s="120"/>
      <c r="M3389" s="120"/>
      <c r="N3389" s="167"/>
      <c r="O3389" s="120"/>
      <c r="P3389" s="120"/>
      <c r="Q3389" s="120"/>
      <c r="R3389" s="120"/>
      <c r="S3389" s="120"/>
      <c r="T3389" s="221"/>
      <c r="U3389" s="89"/>
      <c r="V3389" s="61"/>
      <c r="W3389" s="92" t="s">
        <v>107</v>
      </c>
      <c r="X3389" s="93" t="s">
        <v>31</v>
      </c>
      <c r="Y3389" s="93" t="s">
        <v>93</v>
      </c>
      <c r="Z3389" s="134">
        <f>VLOOKUP(W3389,Sheet2!$B:$D,3,FALSE)</f>
        <v>17</v>
      </c>
      <c r="AA3389" s="93">
        <v>6</v>
      </c>
      <c r="AB3389" s="93">
        <f>AD3389/AC3386</f>
        <v>2.8333333333333335</v>
      </c>
      <c r="AC3389" s="93">
        <f>AC3386/AA3389</f>
        <v>0.65416666666666623</v>
      </c>
      <c r="AD3389" s="94">
        <f>AC3389*Z3389</f>
        <v>11.120833333333326</v>
      </c>
      <c r="AE3389" s="190"/>
      <c r="AF3389" s="191"/>
      <c r="AG3389" s="191"/>
      <c r="AH3389" s="191"/>
      <c r="AI3389" s="186"/>
      <c r="AK3389" s="171"/>
    </row>
    <row r="3390" spans="1:37" s="102" customFormat="1" ht="19.899999999999999" customHeight="1" x14ac:dyDescent="0.25">
      <c r="A3390" s="45"/>
      <c r="B3390" s="59"/>
      <c r="C3390" s="137"/>
      <c r="D3390" s="59"/>
      <c r="E3390" s="116"/>
      <c r="F3390" s="120"/>
      <c r="G3390" s="120"/>
      <c r="H3390" s="120"/>
      <c r="I3390" s="60"/>
      <c r="J3390" s="116"/>
      <c r="K3390" s="213"/>
      <c r="L3390" s="120"/>
      <c r="M3390" s="120"/>
      <c r="N3390" s="167"/>
      <c r="O3390" s="120"/>
      <c r="P3390" s="120"/>
      <c r="Q3390" s="120"/>
      <c r="R3390" s="120"/>
      <c r="S3390" s="120"/>
      <c r="T3390" s="221"/>
      <c r="U3390" s="89"/>
      <c r="V3390" s="61"/>
      <c r="W3390" s="92" t="s">
        <v>112</v>
      </c>
      <c r="X3390" s="93" t="s">
        <v>31</v>
      </c>
      <c r="Y3390" s="93" t="s">
        <v>93</v>
      </c>
      <c r="Z3390" s="134">
        <f>VLOOKUP(W3390,Sheet2!$B:$D,3,FALSE)</f>
        <v>13</v>
      </c>
      <c r="AA3390" s="93">
        <v>6</v>
      </c>
      <c r="AB3390" s="93">
        <f>AD3390/AC3386</f>
        <v>2.166666666666667</v>
      </c>
      <c r="AC3390" s="93">
        <f>AC3386/AA3390</f>
        <v>0.65416666666666623</v>
      </c>
      <c r="AD3390" s="94">
        <f>AC3390*Z3390</f>
        <v>8.5041666666666611</v>
      </c>
      <c r="AE3390" s="190"/>
      <c r="AF3390" s="191"/>
      <c r="AG3390" s="191"/>
      <c r="AH3390" s="191"/>
      <c r="AI3390" s="186"/>
      <c r="AK3390" s="171"/>
    </row>
    <row r="3391" spans="1:37" s="102" customFormat="1" ht="19.899999999999999" customHeight="1" x14ac:dyDescent="0.25">
      <c r="A3391" s="45"/>
      <c r="B3391" s="59"/>
      <c r="C3391" s="137"/>
      <c r="D3391" s="59"/>
      <c r="E3391" s="116"/>
      <c r="F3391" s="120"/>
      <c r="G3391" s="120"/>
      <c r="H3391" s="120"/>
      <c r="I3391" s="60"/>
      <c r="J3391" s="116"/>
      <c r="K3391" s="213"/>
      <c r="L3391" s="120"/>
      <c r="M3391" s="120"/>
      <c r="N3391" s="167"/>
      <c r="O3391" s="120"/>
      <c r="P3391" s="120"/>
      <c r="Q3391" s="120"/>
      <c r="R3391" s="120"/>
      <c r="S3391" s="120"/>
      <c r="T3391" s="221"/>
      <c r="U3391" s="89"/>
      <c r="V3391" s="61"/>
      <c r="W3391" s="92" t="s">
        <v>1032</v>
      </c>
      <c r="X3391" s="93" t="s">
        <v>30</v>
      </c>
      <c r="Y3391" s="93" t="s">
        <v>66</v>
      </c>
      <c r="Z3391" s="134">
        <f>VLOOKUP(W3391,Sheet2!$B:$D,3,FALSE)</f>
        <v>250</v>
      </c>
      <c r="AA3391" s="93">
        <f>1/(1*1*0.1)</f>
        <v>10</v>
      </c>
      <c r="AB3391" s="93">
        <f>AD3391/AC3386</f>
        <v>25</v>
      </c>
      <c r="AC3391" s="93">
        <f>AC3386/AA3391</f>
        <v>0.39249999999999974</v>
      </c>
      <c r="AD3391" s="94">
        <f>AC3391*Z3391</f>
        <v>98.124999999999929</v>
      </c>
      <c r="AE3391" s="190"/>
      <c r="AF3391" s="191"/>
      <c r="AG3391" s="191"/>
      <c r="AH3391" s="191"/>
      <c r="AI3391" s="186"/>
      <c r="AK3391" s="171"/>
    </row>
    <row r="3392" spans="1:37" s="102" customFormat="1" ht="19.899999999999999" customHeight="1" x14ac:dyDescent="0.25">
      <c r="A3392" s="45"/>
      <c r="B3392" s="59"/>
      <c r="C3392" s="137"/>
      <c r="D3392" s="59"/>
      <c r="E3392" s="116"/>
      <c r="F3392" s="120"/>
      <c r="G3392" s="120"/>
      <c r="H3392" s="120"/>
      <c r="I3392" s="60"/>
      <c r="J3392" s="116"/>
      <c r="K3392" s="213"/>
      <c r="L3392" s="120"/>
      <c r="M3392" s="120"/>
      <c r="N3392" s="167"/>
      <c r="O3392" s="120"/>
      <c r="P3392" s="120"/>
      <c r="Q3392" s="120"/>
      <c r="R3392" s="120"/>
      <c r="S3392" s="120"/>
      <c r="T3392" s="221"/>
      <c r="U3392" s="89"/>
      <c r="V3392" s="61"/>
      <c r="W3392" s="92" t="s">
        <v>1035</v>
      </c>
      <c r="X3392" s="93" t="s">
        <v>32</v>
      </c>
      <c r="Y3392" s="93" t="s">
        <v>66</v>
      </c>
      <c r="Z3392" s="134">
        <f>VLOOKUP(W3392,Sheet2!$B:$D,3,FALSE)</f>
        <v>150</v>
      </c>
      <c r="AA3392" s="93">
        <f>AA3391</f>
        <v>10</v>
      </c>
      <c r="AB3392" s="93">
        <f>AD3392/AC3386</f>
        <v>15</v>
      </c>
      <c r="AC3392" s="93">
        <f>AC3386/AA3392</f>
        <v>0.39249999999999974</v>
      </c>
      <c r="AD3392" s="94">
        <f t="shared" ref="AD3392:AD3393" si="2582">AC3392*Z3392</f>
        <v>58.874999999999957</v>
      </c>
      <c r="AE3392" s="190"/>
      <c r="AF3392" s="191"/>
      <c r="AG3392" s="191"/>
      <c r="AH3392" s="191"/>
      <c r="AI3392" s="186"/>
      <c r="AK3392" s="171"/>
    </row>
    <row r="3393" spans="1:41" s="102" customFormat="1" ht="19.899999999999999" customHeight="1" x14ac:dyDescent="0.25">
      <c r="A3393" s="45"/>
      <c r="B3393" s="59"/>
      <c r="C3393" s="137"/>
      <c r="D3393" s="59"/>
      <c r="E3393" s="116"/>
      <c r="F3393" s="120"/>
      <c r="G3393" s="120"/>
      <c r="H3393" s="120"/>
      <c r="I3393" s="60"/>
      <c r="J3393" s="116"/>
      <c r="K3393" s="213"/>
      <c r="L3393" s="120"/>
      <c r="M3393" s="120"/>
      <c r="N3393" s="167"/>
      <c r="O3393" s="120"/>
      <c r="P3393" s="120"/>
      <c r="Q3393" s="120"/>
      <c r="R3393" s="120"/>
      <c r="S3393" s="120"/>
      <c r="T3393" s="221"/>
      <c r="U3393" s="89"/>
      <c r="V3393" s="61"/>
      <c r="W3393" s="92" t="s">
        <v>1037</v>
      </c>
      <c r="X3393" s="93" t="s">
        <v>30</v>
      </c>
      <c r="Y3393" s="93" t="s">
        <v>1038</v>
      </c>
      <c r="Z3393" s="134">
        <f>VLOOKUP(W3393,Sheet2!$B:$D,3,FALSE)</f>
        <v>175</v>
      </c>
      <c r="AA3393" s="93">
        <v>300</v>
      </c>
      <c r="AB3393" s="93">
        <f>AD3393/AC3386</f>
        <v>0.58333333333333326</v>
      </c>
      <c r="AC3393" s="93">
        <f>AC3386/AA3393</f>
        <v>1.3083333333333324E-2</v>
      </c>
      <c r="AD3393" s="94">
        <f t="shared" si="2582"/>
        <v>2.2895833333333315</v>
      </c>
      <c r="AE3393" s="190"/>
      <c r="AF3393" s="191"/>
      <c r="AG3393" s="191"/>
      <c r="AH3393" s="191"/>
      <c r="AI3393" s="186"/>
      <c r="AK3393" s="171"/>
    </row>
    <row r="3394" spans="1:41" s="103" customFormat="1" ht="19.899999999999999" customHeight="1" x14ac:dyDescent="0.25">
      <c r="A3394" s="51"/>
      <c r="B3394" s="52"/>
      <c r="C3394" s="165"/>
      <c r="D3394" s="52"/>
      <c r="E3394" s="115"/>
      <c r="F3394" s="58"/>
      <c r="G3394" s="58"/>
      <c r="H3394" s="58"/>
      <c r="I3394" s="55"/>
      <c r="J3394" s="113">
        <f>J3375</f>
        <v>3.9249999999999972</v>
      </c>
      <c r="K3394" s="212">
        <f>K3375</f>
        <v>3.9249999999999972</v>
      </c>
      <c r="L3394" s="58"/>
      <c r="M3394" s="58">
        <f>K3394-L3394</f>
        <v>3.9249999999999972</v>
      </c>
      <c r="N3394" s="166"/>
      <c r="O3394" s="58"/>
      <c r="P3394" s="58"/>
      <c r="Q3394" s="58"/>
      <c r="R3394" s="58"/>
      <c r="S3394" s="58"/>
      <c r="T3394" s="220"/>
      <c r="U3394" s="88"/>
      <c r="V3394" s="56"/>
      <c r="W3394" s="57" t="s">
        <v>1040</v>
      </c>
      <c r="X3394" s="53"/>
      <c r="Y3394" s="91" t="s">
        <v>68</v>
      </c>
      <c r="Z3394" s="136">
        <f>AD3394/AC3394</f>
        <v>5</v>
      </c>
      <c r="AA3394" s="58"/>
      <c r="AB3394" s="53">
        <f>AD3394/AC3394</f>
        <v>5</v>
      </c>
      <c r="AC3394" s="53">
        <f>M3394+$AE$10</f>
        <v>3.9249999999999972</v>
      </c>
      <c r="AD3394" s="54">
        <f>SUM(AD3395)</f>
        <v>19.624999999999986</v>
      </c>
      <c r="AE3394" s="184">
        <f>SUMIFS($AD$37:$AD$12971,$V$37:$V$12971,$V3394,$X$37:$X$12971,AE$13)</f>
        <v>0</v>
      </c>
      <c r="AF3394" s="185">
        <f>SUMIFS($AD$37:$AD$12971,$V$37:$V$12971,$V3394,$X$37:$X$12971,AF$13)</f>
        <v>0</v>
      </c>
      <c r="AG3394" s="185">
        <f>SUMIFS($AD$37:$AD$12971,$V$37:$V$12971,$V3394,$X$37:$X$12971,AG$13)</f>
        <v>0</v>
      </c>
      <c r="AH3394" s="187">
        <f>SUMIFS($AD$37:$AD$12971,$V$37:$V$12971,$V3394,$X$37:$X$12971,AH$13)</f>
        <v>0</v>
      </c>
      <c r="AI3394" s="161">
        <f t="shared" ref="AI3394" si="2583">SUM(AE3394:AH3394)</f>
        <v>0</v>
      </c>
      <c r="AK3394" s="172"/>
    </row>
    <row r="3395" spans="1:41" s="102" customFormat="1" ht="19.899999999999999" customHeight="1" x14ac:dyDescent="0.25">
      <c r="A3395" s="45"/>
      <c r="B3395" s="59"/>
      <c r="C3395" s="137"/>
      <c r="D3395" s="59"/>
      <c r="E3395" s="116"/>
      <c r="F3395" s="120"/>
      <c r="G3395" s="120"/>
      <c r="H3395" s="120"/>
      <c r="I3395" s="60"/>
      <c r="J3395" s="116"/>
      <c r="K3395" s="213"/>
      <c r="L3395" s="120"/>
      <c r="M3395" s="120"/>
      <c r="N3395" s="167"/>
      <c r="O3395" s="120"/>
      <c r="P3395" s="120"/>
      <c r="Q3395" s="120"/>
      <c r="R3395" s="120"/>
      <c r="S3395" s="120"/>
      <c r="T3395" s="221"/>
      <c r="U3395" s="89"/>
      <c r="V3395" s="61"/>
      <c r="W3395" s="92" t="s">
        <v>1039</v>
      </c>
      <c r="X3395" s="93" t="s">
        <v>32</v>
      </c>
      <c r="Y3395" s="93" t="s">
        <v>68</v>
      </c>
      <c r="Z3395" s="134">
        <f>VLOOKUP(W3395,Sheet2!$B:$D,3,FALSE)</f>
        <v>5</v>
      </c>
      <c r="AA3395" s="93">
        <v>1</v>
      </c>
      <c r="AB3395" s="93">
        <f>AD3395/AC3394</f>
        <v>5</v>
      </c>
      <c r="AC3395" s="93">
        <f>AC3394/AA3395</f>
        <v>3.9249999999999972</v>
      </c>
      <c r="AD3395" s="94">
        <f t="shared" ref="AD3395" si="2584">AC3395*Z3395</f>
        <v>19.624999999999986</v>
      </c>
      <c r="AE3395" s="190"/>
      <c r="AF3395" s="191"/>
      <c r="AG3395" s="191"/>
      <c r="AH3395" s="191"/>
      <c r="AI3395" s="186"/>
      <c r="AK3395" s="171"/>
    </row>
    <row r="3396" spans="1:41" ht="20.100000000000001" customHeight="1" x14ac:dyDescent="0.25">
      <c r="A3396" s="277" t="s">
        <v>491</v>
      </c>
      <c r="B3396" s="278"/>
      <c r="C3396" s="64" t="s">
        <v>1168</v>
      </c>
      <c r="D3396" s="46" t="s">
        <v>97</v>
      </c>
      <c r="E3396" s="114">
        <v>3.5971499999999992</v>
      </c>
      <c r="F3396" s="44">
        <v>466</v>
      </c>
      <c r="G3396" s="44">
        <f t="shared" si="2434"/>
        <v>1676.2718999999997</v>
      </c>
      <c r="H3396" s="44">
        <f t="shared" si="2435"/>
        <v>230.18319215686276</v>
      </c>
      <c r="I3396" s="43">
        <f t="shared" si="2436"/>
        <v>828.00346966705865</v>
      </c>
      <c r="J3396" s="112">
        <f t="shared" si="2437"/>
        <v>3.5971499999999992</v>
      </c>
      <c r="K3396" s="211">
        <f t="shared" si="2438"/>
        <v>3.5971499999999992</v>
      </c>
      <c r="L3396" s="44"/>
      <c r="M3396" s="44">
        <f t="shared" si="2458"/>
        <v>3.5971499999999992</v>
      </c>
      <c r="N3396" s="173">
        <f t="shared" si="2439"/>
        <v>1</v>
      </c>
      <c r="O3396" s="44">
        <f t="shared" si="2440"/>
        <v>466</v>
      </c>
      <c r="P3396" s="44">
        <f t="shared" si="2441"/>
        <v>1676.2718999999997</v>
      </c>
      <c r="Q3396" s="44">
        <f t="shared" si="2442"/>
        <v>230.18319215686276</v>
      </c>
      <c r="R3396" s="44">
        <f t="shared" si="2459"/>
        <v>828.00346966705865</v>
      </c>
      <c r="S3396" s="123"/>
      <c r="T3396" s="219">
        <f t="shared" si="2460"/>
        <v>828.00346966705865</v>
      </c>
      <c r="U3396" s="87"/>
      <c r="V3396" s="47"/>
      <c r="W3396" s="48"/>
      <c r="X3396" s="48"/>
      <c r="Y3396" s="48"/>
      <c r="Z3396" s="135"/>
      <c r="AA3396" s="49"/>
      <c r="AB3396" s="50">
        <f t="shared" si="2443"/>
        <v>230.18319215686276</v>
      </c>
      <c r="AC3396" s="42">
        <f t="shared" si="2461"/>
        <v>3.5971499999999992</v>
      </c>
      <c r="AD3396" s="90">
        <f>AD3397+AD3407+AD3415</f>
        <v>828.00346966705865</v>
      </c>
      <c r="AE3396" s="188">
        <f t="shared" ref="AE3396" si="2585">AE3397+AE3407+AE3415</f>
        <v>0</v>
      </c>
      <c r="AF3396" s="189">
        <f t="shared" ref="AF3396" si="2586">AF3397+AF3407+AF3415</f>
        <v>0</v>
      </c>
      <c r="AG3396" s="189">
        <f t="shared" ref="AG3396" si="2587">AG3397+AG3407+AG3415</f>
        <v>0</v>
      </c>
      <c r="AH3396" s="189">
        <f t="shared" ref="AH3396" si="2588">AH3397+AH3407+AH3415</f>
        <v>0</v>
      </c>
      <c r="AI3396" s="161">
        <f t="shared" ref="AI3396" si="2589">SUM(AE3396:AH3396)</f>
        <v>0</v>
      </c>
      <c r="AK3396" s="169">
        <v>5</v>
      </c>
      <c r="AO3396" s="19" t="s">
        <v>63</v>
      </c>
    </row>
    <row r="3397" spans="1:41" s="103" customFormat="1" ht="19.899999999999999" customHeight="1" x14ac:dyDescent="0.25">
      <c r="A3397" s="51"/>
      <c r="B3397" s="52"/>
      <c r="C3397" s="165"/>
      <c r="D3397" s="52"/>
      <c r="E3397" s="115"/>
      <c r="F3397" s="58"/>
      <c r="G3397" s="58"/>
      <c r="H3397" s="58"/>
      <c r="I3397" s="55"/>
      <c r="J3397" s="113">
        <f>J3396</f>
        <v>3.5971499999999992</v>
      </c>
      <c r="K3397" s="212">
        <f>K3396</f>
        <v>3.5971499999999992</v>
      </c>
      <c r="L3397" s="58"/>
      <c r="M3397" s="58">
        <f>K3397-L3397</f>
        <v>3.5971499999999992</v>
      </c>
      <c r="N3397" s="166"/>
      <c r="O3397" s="58"/>
      <c r="P3397" s="58"/>
      <c r="Q3397" s="58"/>
      <c r="R3397" s="58"/>
      <c r="S3397" s="58"/>
      <c r="T3397" s="220"/>
      <c r="U3397" s="88"/>
      <c r="V3397" s="56"/>
      <c r="W3397" s="57" t="s">
        <v>1051</v>
      </c>
      <c r="X3397" s="53"/>
      <c r="Y3397" s="91" t="s">
        <v>68</v>
      </c>
      <c r="Z3397" s="136">
        <f>AD3397/AC3397</f>
        <v>74.599858823529416</v>
      </c>
      <c r="AA3397" s="58"/>
      <c r="AB3397" s="53">
        <f>AD3397/AC3397</f>
        <v>74.599858823529416</v>
      </c>
      <c r="AC3397" s="53">
        <f>M3397+$AE$10</f>
        <v>3.5971499999999992</v>
      </c>
      <c r="AD3397" s="54">
        <f>SUM(AD3398:AD3406)</f>
        <v>268.34688216705877</v>
      </c>
      <c r="AE3397" s="184">
        <f>SUMIFS($AD$37:$AD$12971,$V$37:$V$12971,$V3397,$X$37:$X$12971,AE$13)</f>
        <v>0</v>
      </c>
      <c r="AF3397" s="185">
        <f>SUMIFS($AD$37:$AD$12971,$V$37:$V$12971,$V3397,$X$37:$X$12971,AF$13)</f>
        <v>0</v>
      </c>
      <c r="AG3397" s="185">
        <f>SUMIFS($AD$37:$AD$12971,$V$37:$V$12971,$V3397,$X$37:$X$12971,AG$13)</f>
        <v>0</v>
      </c>
      <c r="AH3397" s="187">
        <f>SUMIFS($AD$37:$AD$12971,$V$37:$V$12971,$V3397,$X$37:$X$12971,AH$13)</f>
        <v>0</v>
      </c>
      <c r="AI3397" s="161">
        <f t="shared" ref="AI3397" si="2590">SUM(AE3397:AH3397)</f>
        <v>0</v>
      </c>
      <c r="AK3397" s="172"/>
    </row>
    <row r="3398" spans="1:41" s="102" customFormat="1" ht="19.899999999999999" customHeight="1" x14ac:dyDescent="0.25">
      <c r="A3398" s="45"/>
      <c r="B3398" s="59"/>
      <c r="C3398" s="137"/>
      <c r="D3398" s="59"/>
      <c r="E3398" s="116"/>
      <c r="F3398" s="120"/>
      <c r="G3398" s="120"/>
      <c r="H3398" s="120"/>
      <c r="I3398" s="60"/>
      <c r="J3398" s="116"/>
      <c r="K3398" s="213"/>
      <c r="L3398" s="120"/>
      <c r="M3398" s="120"/>
      <c r="N3398" s="167"/>
      <c r="O3398" s="120"/>
      <c r="P3398" s="120"/>
      <c r="Q3398" s="120"/>
      <c r="R3398" s="120"/>
      <c r="S3398" s="120"/>
      <c r="T3398" s="221"/>
      <c r="U3398" s="89"/>
      <c r="V3398" s="61"/>
      <c r="W3398" s="92" t="s">
        <v>129</v>
      </c>
      <c r="X3398" s="93" t="s">
        <v>29</v>
      </c>
      <c r="Y3398" s="93" t="s">
        <v>93</v>
      </c>
      <c r="Z3398" s="134">
        <f>VLOOKUP(W3398,Sheet2!$B:$D,3,FALSE)</f>
        <v>56</v>
      </c>
      <c r="AA3398" s="93">
        <f>100/(1*3)</f>
        <v>33.333333333333336</v>
      </c>
      <c r="AB3398" s="93">
        <f t="shared" ref="AB3398" si="2591">AD3398/AC3397</f>
        <v>1.68</v>
      </c>
      <c r="AC3398" s="93">
        <f>AC3397/AA3398</f>
        <v>0.10791449999999997</v>
      </c>
      <c r="AD3398" s="94">
        <f t="shared" ref="AD3398:AD3399" si="2592">AC3398*Z3398</f>
        <v>6.0432119999999987</v>
      </c>
      <c r="AE3398" s="190"/>
      <c r="AF3398" s="191"/>
      <c r="AG3398" s="191"/>
      <c r="AH3398" s="191"/>
      <c r="AI3398" s="186"/>
      <c r="AK3398" s="171"/>
    </row>
    <row r="3399" spans="1:41" s="102" customFormat="1" ht="19.899999999999999" customHeight="1" x14ac:dyDescent="0.25">
      <c r="A3399" s="45"/>
      <c r="B3399" s="59"/>
      <c r="C3399" s="137"/>
      <c r="D3399" s="59"/>
      <c r="E3399" s="116"/>
      <c r="F3399" s="120"/>
      <c r="G3399" s="120"/>
      <c r="H3399" s="120"/>
      <c r="I3399" s="60"/>
      <c r="J3399" s="116"/>
      <c r="K3399" s="213"/>
      <c r="L3399" s="120"/>
      <c r="M3399" s="120"/>
      <c r="N3399" s="167"/>
      <c r="O3399" s="120"/>
      <c r="P3399" s="120"/>
      <c r="Q3399" s="120"/>
      <c r="R3399" s="120"/>
      <c r="S3399" s="120"/>
      <c r="T3399" s="221"/>
      <c r="U3399" s="89"/>
      <c r="V3399" s="61"/>
      <c r="W3399" s="92" t="s">
        <v>65</v>
      </c>
      <c r="X3399" s="93" t="s">
        <v>30</v>
      </c>
      <c r="Y3399" s="93" t="s">
        <v>1011</v>
      </c>
      <c r="Z3399" s="134">
        <f>VLOOKUP(W3399,Sheet2!$B:$D,3,FALSE)</f>
        <v>1.76</v>
      </c>
      <c r="AA3399" s="93">
        <f>AA3398/14</f>
        <v>2.3809523809523809</v>
      </c>
      <c r="AB3399" s="93">
        <f>AD3399/AC3397</f>
        <v>0.73919999999999997</v>
      </c>
      <c r="AC3399" s="93">
        <f>AC3397/AA3399</f>
        <v>1.5108029999999997</v>
      </c>
      <c r="AD3399" s="94">
        <f t="shared" si="2592"/>
        <v>2.6590132799999995</v>
      </c>
      <c r="AE3399" s="190"/>
      <c r="AF3399" s="191"/>
      <c r="AG3399" s="191"/>
      <c r="AH3399" s="191"/>
      <c r="AI3399" s="186"/>
      <c r="AK3399" s="171"/>
    </row>
    <row r="3400" spans="1:41" s="102" customFormat="1" ht="19.899999999999999" customHeight="1" x14ac:dyDescent="0.25">
      <c r="A3400" s="45"/>
      <c r="B3400" s="59"/>
      <c r="C3400" s="137"/>
      <c r="D3400" s="59"/>
      <c r="E3400" s="116"/>
      <c r="F3400" s="120"/>
      <c r="G3400" s="120"/>
      <c r="H3400" s="120"/>
      <c r="I3400" s="60"/>
      <c r="J3400" s="116"/>
      <c r="K3400" s="213"/>
      <c r="L3400" s="120"/>
      <c r="M3400" s="120"/>
      <c r="N3400" s="167"/>
      <c r="O3400" s="120"/>
      <c r="P3400" s="120"/>
      <c r="Q3400" s="120"/>
      <c r="R3400" s="120"/>
      <c r="S3400" s="120"/>
      <c r="T3400" s="221"/>
      <c r="U3400" s="89"/>
      <c r="V3400" s="61"/>
      <c r="W3400" s="92" t="s">
        <v>161</v>
      </c>
      <c r="X3400" s="93" t="s">
        <v>29</v>
      </c>
      <c r="Y3400" s="93" t="s">
        <v>93</v>
      </c>
      <c r="Z3400" s="134">
        <f>VLOOKUP(W3400,Sheet2!$B:$D,3,FALSE)</f>
        <v>48</v>
      </c>
      <c r="AA3400" s="93">
        <f>(16*0.85*1.5)/(1*3)</f>
        <v>6.8</v>
      </c>
      <c r="AB3400" s="93">
        <f>AD3400/AC3397</f>
        <v>7.0588235294117645</v>
      </c>
      <c r="AC3400" s="93">
        <f>AC3397/AA3400</f>
        <v>0.52899264705882343</v>
      </c>
      <c r="AD3400" s="94">
        <f>AC3400*Z3400</f>
        <v>25.391647058823523</v>
      </c>
      <c r="AE3400" s="190"/>
      <c r="AF3400" s="191"/>
      <c r="AG3400" s="191"/>
      <c r="AH3400" s="191"/>
      <c r="AI3400" s="186"/>
      <c r="AK3400" s="171"/>
    </row>
    <row r="3401" spans="1:41" s="102" customFormat="1" ht="19.899999999999999" customHeight="1" x14ac:dyDescent="0.25">
      <c r="A3401" s="45"/>
      <c r="B3401" s="59"/>
      <c r="C3401" s="137"/>
      <c r="D3401" s="59"/>
      <c r="E3401" s="116"/>
      <c r="F3401" s="120"/>
      <c r="G3401" s="120"/>
      <c r="H3401" s="120"/>
      <c r="I3401" s="60"/>
      <c r="J3401" s="116"/>
      <c r="K3401" s="213"/>
      <c r="L3401" s="120"/>
      <c r="M3401" s="120"/>
      <c r="N3401" s="167"/>
      <c r="O3401" s="120"/>
      <c r="P3401" s="120"/>
      <c r="Q3401" s="120"/>
      <c r="R3401" s="120"/>
      <c r="S3401" s="120"/>
      <c r="T3401" s="221"/>
      <c r="U3401" s="89"/>
      <c r="V3401" s="61"/>
      <c r="W3401" s="92" t="s">
        <v>65</v>
      </c>
      <c r="X3401" s="93" t="s">
        <v>30</v>
      </c>
      <c r="Y3401" s="93" t="s">
        <v>1011</v>
      </c>
      <c r="Z3401" s="134">
        <f>VLOOKUP(W3401,Sheet2!$B:$D,3,FALSE)</f>
        <v>1.76</v>
      </c>
      <c r="AA3401" s="93">
        <f>AA3400/10</f>
        <v>0.67999999999999994</v>
      </c>
      <c r="AB3401" s="93">
        <f>AD3401/AC3397</f>
        <v>2.5882352941176472</v>
      </c>
      <c r="AC3401" s="93">
        <f>AC3397/AA3401</f>
        <v>5.2899264705882345</v>
      </c>
      <c r="AD3401" s="94">
        <f>AC3401*Z3401</f>
        <v>9.3102705882352925</v>
      </c>
      <c r="AE3401" s="190"/>
      <c r="AF3401" s="191"/>
      <c r="AG3401" s="191"/>
      <c r="AH3401" s="191"/>
      <c r="AI3401" s="186"/>
      <c r="AK3401" s="171"/>
    </row>
    <row r="3402" spans="1:41" s="102" customFormat="1" ht="19.899999999999999" customHeight="1" x14ac:dyDescent="0.25">
      <c r="A3402" s="45"/>
      <c r="B3402" s="59"/>
      <c r="C3402" s="137"/>
      <c r="D3402" s="59"/>
      <c r="E3402" s="116"/>
      <c r="F3402" s="120"/>
      <c r="G3402" s="120"/>
      <c r="H3402" s="120"/>
      <c r="I3402" s="60"/>
      <c r="J3402" s="116"/>
      <c r="K3402" s="213"/>
      <c r="L3402" s="120"/>
      <c r="M3402" s="120"/>
      <c r="N3402" s="167"/>
      <c r="O3402" s="120"/>
      <c r="P3402" s="120"/>
      <c r="Q3402" s="120"/>
      <c r="R3402" s="120"/>
      <c r="S3402" s="120"/>
      <c r="T3402" s="221"/>
      <c r="U3402" s="89"/>
      <c r="V3402" s="61"/>
      <c r="W3402" s="92" t="s">
        <v>1030</v>
      </c>
      <c r="X3402" s="93" t="s">
        <v>29</v>
      </c>
      <c r="Y3402" s="93" t="s">
        <v>93</v>
      </c>
      <c r="Z3402" s="134">
        <f>VLOOKUP(W3402,Sheet2!$B:$D,3,FALSE)</f>
        <v>23</v>
      </c>
      <c r="AA3402" s="93">
        <v>50</v>
      </c>
      <c r="AB3402" s="93">
        <f>AD3402/AC3397</f>
        <v>0.45999999999999996</v>
      </c>
      <c r="AC3402" s="93">
        <f>AC3397/AA3402</f>
        <v>7.1942999999999979E-2</v>
      </c>
      <c r="AD3402" s="94">
        <f t="shared" ref="AD3402:AD3406" si="2593">AC3402*Z3402</f>
        <v>1.6546889999999994</v>
      </c>
      <c r="AE3402" s="190"/>
      <c r="AF3402" s="191"/>
      <c r="AG3402" s="191"/>
      <c r="AH3402" s="191"/>
      <c r="AI3402" s="186"/>
      <c r="AK3402" s="171"/>
    </row>
    <row r="3403" spans="1:41" s="102" customFormat="1" ht="19.899999999999999" customHeight="1" x14ac:dyDescent="0.25">
      <c r="A3403" s="45"/>
      <c r="B3403" s="59"/>
      <c r="C3403" s="137"/>
      <c r="D3403" s="59"/>
      <c r="E3403" s="116"/>
      <c r="F3403" s="120"/>
      <c r="G3403" s="120"/>
      <c r="H3403" s="120"/>
      <c r="I3403" s="60"/>
      <c r="J3403" s="116"/>
      <c r="K3403" s="213"/>
      <c r="L3403" s="120"/>
      <c r="M3403" s="120"/>
      <c r="N3403" s="167"/>
      <c r="O3403" s="120"/>
      <c r="P3403" s="120"/>
      <c r="Q3403" s="120"/>
      <c r="R3403" s="120"/>
      <c r="S3403" s="120"/>
      <c r="T3403" s="221"/>
      <c r="U3403" s="89"/>
      <c r="V3403" s="61"/>
      <c r="W3403" s="92" t="s">
        <v>65</v>
      </c>
      <c r="X3403" s="93" t="s">
        <v>30</v>
      </c>
      <c r="Y3403" s="93" t="s">
        <v>1011</v>
      </c>
      <c r="Z3403" s="134">
        <f>VLOOKUP(W3403,Sheet2!$B:$D,3,FALSE)</f>
        <v>1.76</v>
      </c>
      <c r="AA3403" s="93">
        <f>AA3402/3</f>
        <v>16.666666666666668</v>
      </c>
      <c r="AB3403" s="93">
        <f>AD3403/AC3397</f>
        <v>0.10559999999999999</v>
      </c>
      <c r="AC3403" s="93">
        <f>AC3397/AA3403</f>
        <v>0.21582899999999994</v>
      </c>
      <c r="AD3403" s="94">
        <f t="shared" si="2593"/>
        <v>0.37985903999999987</v>
      </c>
      <c r="AE3403" s="190"/>
      <c r="AF3403" s="191"/>
      <c r="AG3403" s="191"/>
      <c r="AH3403" s="191"/>
      <c r="AI3403" s="186"/>
      <c r="AK3403" s="171"/>
    </row>
    <row r="3404" spans="1:41" s="102" customFormat="1" ht="19.899999999999999" customHeight="1" x14ac:dyDescent="0.25">
      <c r="A3404" s="45"/>
      <c r="B3404" s="59"/>
      <c r="C3404" s="137"/>
      <c r="D3404" s="59"/>
      <c r="E3404" s="116"/>
      <c r="F3404" s="120"/>
      <c r="G3404" s="120"/>
      <c r="H3404" s="120"/>
      <c r="I3404" s="60"/>
      <c r="J3404" s="116"/>
      <c r="K3404" s="213"/>
      <c r="L3404" s="120"/>
      <c r="M3404" s="120"/>
      <c r="N3404" s="167"/>
      <c r="O3404" s="120"/>
      <c r="P3404" s="120"/>
      <c r="Q3404" s="120"/>
      <c r="R3404" s="120"/>
      <c r="S3404" s="120"/>
      <c r="T3404" s="221"/>
      <c r="U3404" s="89"/>
      <c r="V3404" s="61"/>
      <c r="W3404" s="92" t="s">
        <v>148</v>
      </c>
      <c r="X3404" s="93" t="s">
        <v>29</v>
      </c>
      <c r="Y3404" s="93" t="s">
        <v>93</v>
      </c>
      <c r="Z3404" s="134">
        <f>VLOOKUP(W3404,Sheet2!$B:$D,3,FALSE)</f>
        <v>48</v>
      </c>
      <c r="AA3404" s="93">
        <f>AA3398</f>
        <v>33.333333333333336</v>
      </c>
      <c r="AB3404" s="93">
        <f>AD3404/AC3397</f>
        <v>1.44</v>
      </c>
      <c r="AC3404" s="93">
        <f>AC3397/AA3404</f>
        <v>0.10791449999999997</v>
      </c>
      <c r="AD3404" s="94">
        <f t="shared" si="2593"/>
        <v>5.1798959999999985</v>
      </c>
      <c r="AE3404" s="190"/>
      <c r="AF3404" s="191"/>
      <c r="AG3404" s="191"/>
      <c r="AH3404" s="191"/>
      <c r="AI3404" s="186"/>
      <c r="AK3404" s="171"/>
    </row>
    <row r="3405" spans="1:41" s="102" customFormat="1" ht="19.899999999999999" customHeight="1" x14ac:dyDescent="0.25">
      <c r="A3405" s="45"/>
      <c r="B3405" s="59"/>
      <c r="C3405" s="137"/>
      <c r="D3405" s="59"/>
      <c r="E3405" s="116"/>
      <c r="F3405" s="120"/>
      <c r="G3405" s="120"/>
      <c r="H3405" s="120"/>
      <c r="I3405" s="60"/>
      <c r="J3405" s="116"/>
      <c r="K3405" s="213"/>
      <c r="L3405" s="120"/>
      <c r="M3405" s="120"/>
      <c r="N3405" s="167"/>
      <c r="O3405" s="120"/>
      <c r="P3405" s="120"/>
      <c r="Q3405" s="120"/>
      <c r="R3405" s="120"/>
      <c r="S3405" s="120"/>
      <c r="T3405" s="221"/>
      <c r="U3405" s="89"/>
      <c r="V3405" s="61"/>
      <c r="W3405" s="92" t="s">
        <v>65</v>
      </c>
      <c r="X3405" s="93" t="s">
        <v>30</v>
      </c>
      <c r="Y3405" s="93" t="s">
        <v>1011</v>
      </c>
      <c r="Z3405" s="134">
        <f>VLOOKUP(W3405,Sheet2!$B:$D,3,FALSE)</f>
        <v>1.76</v>
      </c>
      <c r="AA3405" s="93">
        <f>AA3404/10</f>
        <v>3.3333333333333335</v>
      </c>
      <c r="AB3405" s="93">
        <f>AD3405/AC3397</f>
        <v>0.52800000000000002</v>
      </c>
      <c r="AC3405" s="93">
        <f>AC3397/AA3405</f>
        <v>1.0791449999999998</v>
      </c>
      <c r="AD3405" s="94">
        <f t="shared" si="2593"/>
        <v>1.8992951999999996</v>
      </c>
      <c r="AE3405" s="190"/>
      <c r="AF3405" s="191"/>
      <c r="AG3405" s="191"/>
      <c r="AH3405" s="191"/>
      <c r="AI3405" s="186"/>
      <c r="AK3405" s="171"/>
    </row>
    <row r="3406" spans="1:41" s="102" customFormat="1" ht="19.899999999999999" customHeight="1" x14ac:dyDescent="0.25">
      <c r="A3406" s="45"/>
      <c r="B3406" s="59"/>
      <c r="C3406" s="137"/>
      <c r="D3406" s="59"/>
      <c r="E3406" s="116"/>
      <c r="F3406" s="120"/>
      <c r="G3406" s="120"/>
      <c r="H3406" s="120"/>
      <c r="I3406" s="60"/>
      <c r="J3406" s="116"/>
      <c r="K3406" s="213"/>
      <c r="L3406" s="120"/>
      <c r="M3406" s="120"/>
      <c r="N3406" s="167"/>
      <c r="O3406" s="120"/>
      <c r="P3406" s="120"/>
      <c r="Q3406" s="120"/>
      <c r="R3406" s="120"/>
      <c r="S3406" s="120"/>
      <c r="T3406" s="221"/>
      <c r="U3406" s="89"/>
      <c r="V3406" s="61"/>
      <c r="W3406" s="92" t="s">
        <v>1049</v>
      </c>
      <c r="X3406" s="93" t="s">
        <v>30</v>
      </c>
      <c r="Y3406" s="93" t="s">
        <v>68</v>
      </c>
      <c r="Z3406" s="134">
        <f>VLOOKUP(W3406,Sheet2!$B:$D,3,FALSE)</f>
        <v>60</v>
      </c>
      <c r="AA3406" s="93">
        <v>1</v>
      </c>
      <c r="AB3406" s="93">
        <f>AD3406/AC3397</f>
        <v>60</v>
      </c>
      <c r="AC3406" s="93">
        <f>AC3397/AA3406</f>
        <v>3.5971499999999992</v>
      </c>
      <c r="AD3406" s="94">
        <f t="shared" si="2593"/>
        <v>215.82899999999995</v>
      </c>
      <c r="AE3406" s="190"/>
      <c r="AF3406" s="191"/>
      <c r="AG3406" s="191"/>
      <c r="AH3406" s="191"/>
      <c r="AI3406" s="186"/>
      <c r="AK3406" s="171"/>
    </row>
    <row r="3407" spans="1:41" s="103" customFormat="1" ht="19.899999999999999" customHeight="1" x14ac:dyDescent="0.25">
      <c r="A3407" s="51"/>
      <c r="B3407" s="52"/>
      <c r="C3407" s="165"/>
      <c r="D3407" s="52"/>
      <c r="E3407" s="115"/>
      <c r="F3407" s="58"/>
      <c r="G3407" s="58"/>
      <c r="H3407" s="58"/>
      <c r="I3407" s="55"/>
      <c r="J3407" s="113">
        <f>J3396</f>
        <v>3.5971499999999992</v>
      </c>
      <c r="K3407" s="212">
        <f>K3396</f>
        <v>3.5971499999999992</v>
      </c>
      <c r="L3407" s="58"/>
      <c r="M3407" s="58">
        <f>K3407-L3407</f>
        <v>3.5971499999999992</v>
      </c>
      <c r="N3407" s="166"/>
      <c r="O3407" s="58"/>
      <c r="P3407" s="58"/>
      <c r="Q3407" s="58"/>
      <c r="R3407" s="58"/>
      <c r="S3407" s="58"/>
      <c r="T3407" s="220"/>
      <c r="U3407" s="88"/>
      <c r="V3407" s="56"/>
      <c r="W3407" s="57" t="s">
        <v>1036</v>
      </c>
      <c r="X3407" s="53"/>
      <c r="Y3407" s="91" t="s">
        <v>68</v>
      </c>
      <c r="Z3407" s="136">
        <f>AD3407/AC3407</f>
        <v>150.58333333333331</v>
      </c>
      <c r="AA3407" s="58"/>
      <c r="AB3407" s="53">
        <f>AD3407/AC3407</f>
        <v>150.58333333333331</v>
      </c>
      <c r="AC3407" s="53">
        <f>M3407+$AE$10</f>
        <v>3.5971499999999992</v>
      </c>
      <c r="AD3407" s="54">
        <f>SUM(AD3408:AD3414)</f>
        <v>541.67083749999983</v>
      </c>
      <c r="AE3407" s="184">
        <f>SUMIFS($AD$37:$AD$12971,$V$37:$V$12971,$V3407,$X$37:$X$12971,AE$13)</f>
        <v>0</v>
      </c>
      <c r="AF3407" s="185">
        <f>SUMIFS($AD$37:$AD$12971,$V$37:$V$12971,$V3407,$X$37:$X$12971,AF$13)</f>
        <v>0</v>
      </c>
      <c r="AG3407" s="185">
        <f>SUMIFS($AD$37:$AD$12971,$V$37:$V$12971,$V3407,$X$37:$X$12971,AG$13)</f>
        <v>0</v>
      </c>
      <c r="AH3407" s="187">
        <f>SUMIFS($AD$37:$AD$12971,$V$37:$V$12971,$V3407,$X$37:$X$12971,AH$13)</f>
        <v>0</v>
      </c>
      <c r="AI3407" s="161">
        <f t="shared" ref="AI3407" si="2594">SUM(AE3407:AH3407)</f>
        <v>0</v>
      </c>
      <c r="AK3407" s="172"/>
    </row>
    <row r="3408" spans="1:41" s="102" customFormat="1" ht="19.899999999999999" customHeight="1" x14ac:dyDescent="0.25">
      <c r="A3408" s="45"/>
      <c r="B3408" s="59"/>
      <c r="C3408" s="137"/>
      <c r="D3408" s="59"/>
      <c r="E3408" s="116"/>
      <c r="F3408" s="120"/>
      <c r="G3408" s="120"/>
      <c r="H3408" s="120"/>
      <c r="I3408" s="60"/>
      <c r="J3408" s="116"/>
      <c r="K3408" s="213"/>
      <c r="L3408" s="120"/>
      <c r="M3408" s="120"/>
      <c r="N3408" s="167"/>
      <c r="O3408" s="120"/>
      <c r="P3408" s="120"/>
      <c r="Q3408" s="120"/>
      <c r="R3408" s="120"/>
      <c r="S3408" s="120"/>
      <c r="T3408" s="221"/>
      <c r="U3408" s="89"/>
      <c r="V3408" s="61"/>
      <c r="W3408" s="92" t="s">
        <v>1229</v>
      </c>
      <c r="X3408" s="93" t="s">
        <v>30</v>
      </c>
      <c r="Y3408" s="93" t="s">
        <v>68</v>
      </c>
      <c r="Z3408" s="134">
        <f>VLOOKUP(W3408,Sheet2!$B:$D,3,FALSE)</f>
        <v>95</v>
      </c>
      <c r="AA3408" s="93">
        <v>1</v>
      </c>
      <c r="AB3408" s="93">
        <f>AD3408/AC3407</f>
        <v>95</v>
      </c>
      <c r="AC3408" s="93">
        <f>AC3407/AA3408</f>
        <v>3.5971499999999992</v>
      </c>
      <c r="AD3408" s="94">
        <f t="shared" ref="AD3408" si="2595">AC3408*Z3408</f>
        <v>341.72924999999992</v>
      </c>
      <c r="AE3408" s="190"/>
      <c r="AF3408" s="191"/>
      <c r="AG3408" s="191"/>
      <c r="AH3408" s="191"/>
      <c r="AI3408" s="186"/>
      <c r="AK3408" s="171"/>
    </row>
    <row r="3409" spans="1:41" s="102" customFormat="1" ht="19.899999999999999" customHeight="1" x14ac:dyDescent="0.25">
      <c r="A3409" s="45"/>
      <c r="B3409" s="59"/>
      <c r="C3409" s="137"/>
      <c r="D3409" s="59"/>
      <c r="E3409" s="116"/>
      <c r="F3409" s="120"/>
      <c r="G3409" s="120"/>
      <c r="H3409" s="120"/>
      <c r="I3409" s="60"/>
      <c r="J3409" s="116"/>
      <c r="K3409" s="213"/>
      <c r="L3409" s="120"/>
      <c r="M3409" s="120"/>
      <c r="N3409" s="167"/>
      <c r="O3409" s="120"/>
      <c r="P3409" s="120"/>
      <c r="Q3409" s="120"/>
      <c r="R3409" s="120"/>
      <c r="S3409" s="120"/>
      <c r="T3409" s="221"/>
      <c r="U3409" s="89"/>
      <c r="V3409" s="61"/>
      <c r="W3409" s="92" t="s">
        <v>1230</v>
      </c>
      <c r="X3409" s="93" t="s">
        <v>30</v>
      </c>
      <c r="Y3409" s="93" t="s">
        <v>68</v>
      </c>
      <c r="Z3409" s="134">
        <f>VLOOKUP(W3409,Sheet2!$B:$D,3,FALSE)</f>
        <v>10</v>
      </c>
      <c r="AA3409" s="93">
        <v>1</v>
      </c>
      <c r="AB3409" s="93">
        <f>AD3409/AC3407</f>
        <v>10</v>
      </c>
      <c r="AC3409" s="93">
        <f>AC3407/AA3409</f>
        <v>3.5971499999999992</v>
      </c>
      <c r="AD3409" s="94">
        <f>AC3409*Z3409</f>
        <v>35.971499999999992</v>
      </c>
      <c r="AE3409" s="190"/>
      <c r="AF3409" s="191"/>
      <c r="AG3409" s="191"/>
      <c r="AH3409" s="191"/>
      <c r="AI3409" s="186"/>
      <c r="AK3409" s="171"/>
    </row>
    <row r="3410" spans="1:41" s="102" customFormat="1" ht="19.899999999999999" customHeight="1" x14ac:dyDescent="0.25">
      <c r="A3410" s="45"/>
      <c r="B3410" s="59"/>
      <c r="C3410" s="137"/>
      <c r="D3410" s="59"/>
      <c r="E3410" s="116"/>
      <c r="F3410" s="120"/>
      <c r="G3410" s="120"/>
      <c r="H3410" s="120"/>
      <c r="I3410" s="60"/>
      <c r="J3410" s="116"/>
      <c r="K3410" s="213"/>
      <c r="L3410" s="120"/>
      <c r="M3410" s="120"/>
      <c r="N3410" s="167"/>
      <c r="O3410" s="120"/>
      <c r="P3410" s="120"/>
      <c r="Q3410" s="120"/>
      <c r="R3410" s="120"/>
      <c r="S3410" s="120"/>
      <c r="T3410" s="221"/>
      <c r="U3410" s="89"/>
      <c r="V3410" s="61"/>
      <c r="W3410" s="92" t="s">
        <v>107</v>
      </c>
      <c r="X3410" s="93" t="s">
        <v>31</v>
      </c>
      <c r="Y3410" s="93" t="s">
        <v>93</v>
      </c>
      <c r="Z3410" s="134">
        <f>VLOOKUP(W3410,Sheet2!$B:$D,3,FALSE)</f>
        <v>17</v>
      </c>
      <c r="AA3410" s="93">
        <v>6</v>
      </c>
      <c r="AB3410" s="93">
        <f>AD3410/AC3407</f>
        <v>2.8333333333333335</v>
      </c>
      <c r="AC3410" s="93">
        <f>AC3407/AA3410</f>
        <v>0.59952499999999986</v>
      </c>
      <c r="AD3410" s="94">
        <f>AC3410*Z3410</f>
        <v>10.191924999999998</v>
      </c>
      <c r="AE3410" s="190"/>
      <c r="AF3410" s="191"/>
      <c r="AG3410" s="191"/>
      <c r="AH3410" s="191"/>
      <c r="AI3410" s="186"/>
      <c r="AK3410" s="171"/>
    </row>
    <row r="3411" spans="1:41" s="102" customFormat="1" ht="19.899999999999999" customHeight="1" x14ac:dyDescent="0.25">
      <c r="A3411" s="45"/>
      <c r="B3411" s="59"/>
      <c r="C3411" s="137"/>
      <c r="D3411" s="59"/>
      <c r="E3411" s="116"/>
      <c r="F3411" s="120"/>
      <c r="G3411" s="120"/>
      <c r="H3411" s="120"/>
      <c r="I3411" s="60"/>
      <c r="J3411" s="116"/>
      <c r="K3411" s="213"/>
      <c r="L3411" s="120"/>
      <c r="M3411" s="120"/>
      <c r="N3411" s="167"/>
      <c r="O3411" s="120"/>
      <c r="P3411" s="120"/>
      <c r="Q3411" s="120"/>
      <c r="R3411" s="120"/>
      <c r="S3411" s="120"/>
      <c r="T3411" s="221"/>
      <c r="U3411" s="89"/>
      <c r="V3411" s="61"/>
      <c r="W3411" s="92" t="s">
        <v>112</v>
      </c>
      <c r="X3411" s="93" t="s">
        <v>31</v>
      </c>
      <c r="Y3411" s="93" t="s">
        <v>93</v>
      </c>
      <c r="Z3411" s="134">
        <f>VLOOKUP(W3411,Sheet2!$B:$D,3,FALSE)</f>
        <v>13</v>
      </c>
      <c r="AA3411" s="93">
        <v>6</v>
      </c>
      <c r="AB3411" s="93">
        <f>AD3411/AC3407</f>
        <v>2.1666666666666665</v>
      </c>
      <c r="AC3411" s="93">
        <f>AC3407/AA3411</f>
        <v>0.59952499999999986</v>
      </c>
      <c r="AD3411" s="94">
        <f>AC3411*Z3411</f>
        <v>7.7938249999999982</v>
      </c>
      <c r="AE3411" s="190"/>
      <c r="AF3411" s="191"/>
      <c r="AG3411" s="191"/>
      <c r="AH3411" s="191"/>
      <c r="AI3411" s="186"/>
      <c r="AK3411" s="171"/>
    </row>
    <row r="3412" spans="1:41" s="102" customFormat="1" ht="19.899999999999999" customHeight="1" x14ac:dyDescent="0.25">
      <c r="A3412" s="45"/>
      <c r="B3412" s="59"/>
      <c r="C3412" s="137"/>
      <c r="D3412" s="59"/>
      <c r="E3412" s="116"/>
      <c r="F3412" s="120"/>
      <c r="G3412" s="120"/>
      <c r="H3412" s="120"/>
      <c r="I3412" s="60"/>
      <c r="J3412" s="116"/>
      <c r="K3412" s="213"/>
      <c r="L3412" s="120"/>
      <c r="M3412" s="120"/>
      <c r="N3412" s="167"/>
      <c r="O3412" s="120"/>
      <c r="P3412" s="120"/>
      <c r="Q3412" s="120"/>
      <c r="R3412" s="120"/>
      <c r="S3412" s="120"/>
      <c r="T3412" s="221"/>
      <c r="U3412" s="89"/>
      <c r="V3412" s="61"/>
      <c r="W3412" s="92" t="s">
        <v>1032</v>
      </c>
      <c r="X3412" s="93" t="s">
        <v>30</v>
      </c>
      <c r="Y3412" s="93" t="s">
        <v>66</v>
      </c>
      <c r="Z3412" s="134">
        <f>VLOOKUP(W3412,Sheet2!$B:$D,3,FALSE)</f>
        <v>250</v>
      </c>
      <c r="AA3412" s="93">
        <f>1/(1*1*0.1)</f>
        <v>10</v>
      </c>
      <c r="AB3412" s="93">
        <f>AD3412/AC3407</f>
        <v>25</v>
      </c>
      <c r="AC3412" s="93">
        <f>AC3407/AA3412</f>
        <v>0.3597149999999999</v>
      </c>
      <c r="AD3412" s="94">
        <f>AC3412*Z3412</f>
        <v>89.92874999999998</v>
      </c>
      <c r="AE3412" s="190"/>
      <c r="AF3412" s="191"/>
      <c r="AG3412" s="191"/>
      <c r="AH3412" s="191"/>
      <c r="AI3412" s="186"/>
      <c r="AK3412" s="171"/>
    </row>
    <row r="3413" spans="1:41" s="102" customFormat="1" ht="19.899999999999999" customHeight="1" x14ac:dyDescent="0.25">
      <c r="A3413" s="45"/>
      <c r="B3413" s="59"/>
      <c r="C3413" s="137"/>
      <c r="D3413" s="59"/>
      <c r="E3413" s="116"/>
      <c r="F3413" s="120"/>
      <c r="G3413" s="120"/>
      <c r="H3413" s="120"/>
      <c r="I3413" s="60"/>
      <c r="J3413" s="116"/>
      <c r="K3413" s="213"/>
      <c r="L3413" s="120"/>
      <c r="M3413" s="120"/>
      <c r="N3413" s="167"/>
      <c r="O3413" s="120"/>
      <c r="P3413" s="120"/>
      <c r="Q3413" s="120"/>
      <c r="R3413" s="120"/>
      <c r="S3413" s="120"/>
      <c r="T3413" s="221"/>
      <c r="U3413" s="89"/>
      <c r="V3413" s="61"/>
      <c r="W3413" s="92" t="s">
        <v>1035</v>
      </c>
      <c r="X3413" s="93" t="s">
        <v>32</v>
      </c>
      <c r="Y3413" s="93" t="s">
        <v>66</v>
      </c>
      <c r="Z3413" s="134">
        <f>VLOOKUP(W3413,Sheet2!$B:$D,3,FALSE)</f>
        <v>150</v>
      </c>
      <c r="AA3413" s="93">
        <f>AA3412</f>
        <v>10</v>
      </c>
      <c r="AB3413" s="93">
        <f>AD3413/AC3407</f>
        <v>15</v>
      </c>
      <c r="AC3413" s="93">
        <f>AC3407/AA3413</f>
        <v>0.3597149999999999</v>
      </c>
      <c r="AD3413" s="94">
        <f t="shared" ref="AD3413:AD3414" si="2596">AC3413*Z3413</f>
        <v>53.957249999999988</v>
      </c>
      <c r="AE3413" s="190"/>
      <c r="AF3413" s="191"/>
      <c r="AG3413" s="191"/>
      <c r="AH3413" s="191"/>
      <c r="AI3413" s="186"/>
      <c r="AK3413" s="171"/>
    </row>
    <row r="3414" spans="1:41" s="102" customFormat="1" ht="19.899999999999999" customHeight="1" x14ac:dyDescent="0.25">
      <c r="A3414" s="45"/>
      <c r="B3414" s="59"/>
      <c r="C3414" s="137"/>
      <c r="D3414" s="59"/>
      <c r="E3414" s="116"/>
      <c r="F3414" s="120"/>
      <c r="G3414" s="120"/>
      <c r="H3414" s="120"/>
      <c r="I3414" s="60"/>
      <c r="J3414" s="116"/>
      <c r="K3414" s="213"/>
      <c r="L3414" s="120"/>
      <c r="M3414" s="120"/>
      <c r="N3414" s="167"/>
      <c r="O3414" s="120"/>
      <c r="P3414" s="120"/>
      <c r="Q3414" s="120"/>
      <c r="R3414" s="120"/>
      <c r="S3414" s="120"/>
      <c r="T3414" s="221"/>
      <c r="U3414" s="89"/>
      <c r="V3414" s="61"/>
      <c r="W3414" s="92" t="s">
        <v>1037</v>
      </c>
      <c r="X3414" s="93" t="s">
        <v>30</v>
      </c>
      <c r="Y3414" s="93" t="s">
        <v>1038</v>
      </c>
      <c r="Z3414" s="134">
        <f>VLOOKUP(W3414,Sheet2!$B:$D,3,FALSE)</f>
        <v>175</v>
      </c>
      <c r="AA3414" s="93">
        <v>300</v>
      </c>
      <c r="AB3414" s="93">
        <f>AD3414/AC3407</f>
        <v>0.58333333333333337</v>
      </c>
      <c r="AC3414" s="93">
        <f>AC3407/AA3414</f>
        <v>1.1990499999999998E-2</v>
      </c>
      <c r="AD3414" s="94">
        <f t="shared" si="2596"/>
        <v>2.0983374999999995</v>
      </c>
      <c r="AE3414" s="190"/>
      <c r="AF3414" s="191"/>
      <c r="AG3414" s="191"/>
      <c r="AH3414" s="191"/>
      <c r="AI3414" s="186"/>
      <c r="AK3414" s="171"/>
    </row>
    <row r="3415" spans="1:41" s="103" customFormat="1" ht="19.899999999999999" customHeight="1" x14ac:dyDescent="0.25">
      <c r="A3415" s="51"/>
      <c r="B3415" s="52"/>
      <c r="C3415" s="165"/>
      <c r="D3415" s="52"/>
      <c r="E3415" s="115"/>
      <c r="F3415" s="58"/>
      <c r="G3415" s="58"/>
      <c r="H3415" s="58"/>
      <c r="I3415" s="55"/>
      <c r="J3415" s="113">
        <f>J3396</f>
        <v>3.5971499999999992</v>
      </c>
      <c r="K3415" s="212">
        <f>K3396</f>
        <v>3.5971499999999992</v>
      </c>
      <c r="L3415" s="58"/>
      <c r="M3415" s="58">
        <f>K3415-L3415</f>
        <v>3.5971499999999992</v>
      </c>
      <c r="N3415" s="166"/>
      <c r="O3415" s="58"/>
      <c r="P3415" s="58"/>
      <c r="Q3415" s="58"/>
      <c r="R3415" s="58"/>
      <c r="S3415" s="58"/>
      <c r="T3415" s="220"/>
      <c r="U3415" s="88"/>
      <c r="V3415" s="56"/>
      <c r="W3415" s="57" t="s">
        <v>1040</v>
      </c>
      <c r="X3415" s="53"/>
      <c r="Y3415" s="91" t="s">
        <v>68</v>
      </c>
      <c r="Z3415" s="136">
        <f>AD3415/AC3415</f>
        <v>5</v>
      </c>
      <c r="AA3415" s="58"/>
      <c r="AB3415" s="53">
        <f>AD3415/AC3415</f>
        <v>5</v>
      </c>
      <c r="AC3415" s="53">
        <f>M3415+$AE$10</f>
        <v>3.5971499999999992</v>
      </c>
      <c r="AD3415" s="54">
        <f>SUM(AD3416)</f>
        <v>17.985749999999996</v>
      </c>
      <c r="AE3415" s="184">
        <f>SUMIFS($AD$37:$AD$12971,$V$37:$V$12971,$V3415,$X$37:$X$12971,AE$13)</f>
        <v>0</v>
      </c>
      <c r="AF3415" s="185">
        <f>SUMIFS($AD$37:$AD$12971,$V$37:$V$12971,$V3415,$X$37:$X$12971,AF$13)</f>
        <v>0</v>
      </c>
      <c r="AG3415" s="185">
        <f>SUMIFS($AD$37:$AD$12971,$V$37:$V$12971,$V3415,$X$37:$X$12971,AG$13)</f>
        <v>0</v>
      </c>
      <c r="AH3415" s="187">
        <f>SUMIFS($AD$37:$AD$12971,$V$37:$V$12971,$V3415,$X$37:$X$12971,AH$13)</f>
        <v>0</v>
      </c>
      <c r="AI3415" s="161">
        <f t="shared" ref="AI3415" si="2597">SUM(AE3415:AH3415)</f>
        <v>0</v>
      </c>
      <c r="AK3415" s="172"/>
    </row>
    <row r="3416" spans="1:41" s="102" customFormat="1" ht="19.899999999999999" customHeight="1" x14ac:dyDescent="0.25">
      <c r="A3416" s="45"/>
      <c r="B3416" s="59"/>
      <c r="C3416" s="137"/>
      <c r="D3416" s="59"/>
      <c r="E3416" s="116"/>
      <c r="F3416" s="120"/>
      <c r="G3416" s="120"/>
      <c r="H3416" s="120"/>
      <c r="I3416" s="60"/>
      <c r="J3416" s="116"/>
      <c r="K3416" s="213"/>
      <c r="L3416" s="120"/>
      <c r="M3416" s="120"/>
      <c r="N3416" s="167"/>
      <c r="O3416" s="120"/>
      <c r="P3416" s="120"/>
      <c r="Q3416" s="120"/>
      <c r="R3416" s="120"/>
      <c r="S3416" s="120"/>
      <c r="T3416" s="221"/>
      <c r="U3416" s="89"/>
      <c r="V3416" s="61"/>
      <c r="W3416" s="92" t="s">
        <v>1039</v>
      </c>
      <c r="X3416" s="93" t="s">
        <v>32</v>
      </c>
      <c r="Y3416" s="93" t="s">
        <v>68</v>
      </c>
      <c r="Z3416" s="134">
        <f>VLOOKUP(W3416,Sheet2!$B:$D,3,FALSE)</f>
        <v>5</v>
      </c>
      <c r="AA3416" s="93">
        <v>1</v>
      </c>
      <c r="AB3416" s="93">
        <f>AD3416/AC3415</f>
        <v>5</v>
      </c>
      <c r="AC3416" s="93">
        <f>AC3415/AA3416</f>
        <v>3.5971499999999992</v>
      </c>
      <c r="AD3416" s="94">
        <f t="shared" ref="AD3416" si="2598">AC3416*Z3416</f>
        <v>17.985749999999996</v>
      </c>
      <c r="AE3416" s="190"/>
      <c r="AF3416" s="191"/>
      <c r="AG3416" s="191"/>
      <c r="AH3416" s="191"/>
      <c r="AI3416" s="186"/>
      <c r="AK3416" s="171"/>
    </row>
    <row r="3417" spans="1:41" ht="20.100000000000001" customHeight="1" x14ac:dyDescent="0.25">
      <c r="A3417" s="277" t="s">
        <v>491</v>
      </c>
      <c r="B3417" s="278"/>
      <c r="C3417" s="64" t="s">
        <v>1169</v>
      </c>
      <c r="D3417" s="46" t="s">
        <v>97</v>
      </c>
      <c r="E3417" s="114">
        <v>49.281200000000013</v>
      </c>
      <c r="F3417" s="44">
        <v>487</v>
      </c>
      <c r="G3417" s="44">
        <f t="shared" si="2434"/>
        <v>23999.944400000008</v>
      </c>
      <c r="H3417" s="44">
        <f t="shared" si="2435"/>
        <v>232.52223529411762</v>
      </c>
      <c r="I3417" s="43">
        <f t="shared" si="2436"/>
        <v>11458.974781976473</v>
      </c>
      <c r="J3417" s="112">
        <f t="shared" si="2437"/>
        <v>49.281200000000013</v>
      </c>
      <c r="K3417" s="211">
        <f t="shared" si="2438"/>
        <v>49.281200000000013</v>
      </c>
      <c r="L3417" s="44"/>
      <c r="M3417" s="44">
        <f t="shared" si="2458"/>
        <v>49.281200000000013</v>
      </c>
      <c r="N3417" s="173">
        <f t="shared" si="2439"/>
        <v>1</v>
      </c>
      <c r="O3417" s="44">
        <f t="shared" si="2440"/>
        <v>487</v>
      </c>
      <c r="P3417" s="44">
        <f t="shared" si="2441"/>
        <v>23999.944400000008</v>
      </c>
      <c r="Q3417" s="44">
        <f t="shared" si="2442"/>
        <v>232.52223529411762</v>
      </c>
      <c r="R3417" s="44">
        <f t="shared" si="2459"/>
        <v>11458.974781976473</v>
      </c>
      <c r="S3417" s="123"/>
      <c r="T3417" s="219">
        <f t="shared" si="2460"/>
        <v>11458.974781976473</v>
      </c>
      <c r="U3417" s="87"/>
      <c r="V3417" s="47"/>
      <c r="W3417" s="48"/>
      <c r="X3417" s="48"/>
      <c r="Y3417" s="48"/>
      <c r="Z3417" s="135"/>
      <c r="AA3417" s="49"/>
      <c r="AB3417" s="50">
        <f t="shared" si="2443"/>
        <v>232.52223529411762</v>
      </c>
      <c r="AC3417" s="42">
        <f t="shared" si="2461"/>
        <v>49.281200000000013</v>
      </c>
      <c r="AD3417" s="90">
        <f>AD3418+AD3428+AD3436</f>
        <v>11458.974781976473</v>
      </c>
      <c r="AE3417" s="188">
        <f t="shared" ref="AE3417" si="2599">AE3418+AE3428+AE3436</f>
        <v>0</v>
      </c>
      <c r="AF3417" s="189">
        <f t="shared" ref="AF3417" si="2600">AF3418+AF3428+AF3436</f>
        <v>0</v>
      </c>
      <c r="AG3417" s="189">
        <f t="shared" ref="AG3417" si="2601">AG3418+AG3428+AG3436</f>
        <v>0</v>
      </c>
      <c r="AH3417" s="189">
        <f t="shared" ref="AH3417" si="2602">AH3418+AH3428+AH3436</f>
        <v>0</v>
      </c>
      <c r="AI3417" s="161">
        <f t="shared" ref="AI3417" si="2603">SUM(AE3417:AH3417)</f>
        <v>0</v>
      </c>
      <c r="AK3417" s="169">
        <v>5</v>
      </c>
      <c r="AO3417" s="19" t="s">
        <v>63</v>
      </c>
    </row>
    <row r="3418" spans="1:41" s="103" customFormat="1" ht="19.899999999999999" customHeight="1" x14ac:dyDescent="0.25">
      <c r="A3418" s="51"/>
      <c r="B3418" s="52"/>
      <c r="C3418" s="165"/>
      <c r="D3418" s="52"/>
      <c r="E3418" s="115"/>
      <c r="F3418" s="58"/>
      <c r="G3418" s="58"/>
      <c r="H3418" s="58"/>
      <c r="I3418" s="55"/>
      <c r="J3418" s="113">
        <f>J3417</f>
        <v>49.281200000000013</v>
      </c>
      <c r="K3418" s="212">
        <f>K3417</f>
        <v>49.281200000000013</v>
      </c>
      <c r="L3418" s="58"/>
      <c r="M3418" s="58">
        <f>K3418-L3418</f>
        <v>49.281200000000013</v>
      </c>
      <c r="N3418" s="166"/>
      <c r="O3418" s="58"/>
      <c r="P3418" s="58"/>
      <c r="Q3418" s="58"/>
      <c r="R3418" s="58"/>
      <c r="S3418" s="58"/>
      <c r="T3418" s="220"/>
      <c r="U3418" s="88"/>
      <c r="V3418" s="56"/>
      <c r="W3418" s="57" t="s">
        <v>1052</v>
      </c>
      <c r="X3418" s="53"/>
      <c r="Y3418" s="91" t="s">
        <v>68</v>
      </c>
      <c r="Z3418" s="136">
        <f>AD3418/AC3418</f>
        <v>76.938901960784307</v>
      </c>
      <c r="AA3418" s="58"/>
      <c r="AB3418" s="53">
        <f>AD3418/AC3418</f>
        <v>76.938901960784307</v>
      </c>
      <c r="AC3418" s="53">
        <f>M3418+$AE$10</f>
        <v>49.281200000000013</v>
      </c>
      <c r="AD3418" s="54">
        <f>SUM(AD3419:AD3427)</f>
        <v>3791.6414153098049</v>
      </c>
      <c r="AE3418" s="184">
        <f>SUMIFS($AD$37:$AD$12971,$V$37:$V$12971,$V3418,$X$37:$X$12971,AE$13)</f>
        <v>0</v>
      </c>
      <c r="AF3418" s="185">
        <f>SUMIFS($AD$37:$AD$12971,$V$37:$V$12971,$V3418,$X$37:$X$12971,AF$13)</f>
        <v>0</v>
      </c>
      <c r="AG3418" s="185">
        <f>SUMIFS($AD$37:$AD$12971,$V$37:$V$12971,$V3418,$X$37:$X$12971,AG$13)</f>
        <v>0</v>
      </c>
      <c r="AH3418" s="187">
        <f>SUMIFS($AD$37:$AD$12971,$V$37:$V$12971,$V3418,$X$37:$X$12971,AH$13)</f>
        <v>0</v>
      </c>
      <c r="AI3418" s="161">
        <f t="shared" ref="AI3418" si="2604">SUM(AE3418:AH3418)</f>
        <v>0</v>
      </c>
      <c r="AK3418" s="172"/>
    </row>
    <row r="3419" spans="1:41" s="102" customFormat="1" ht="19.899999999999999" customHeight="1" x14ac:dyDescent="0.25">
      <c r="A3419" s="45"/>
      <c r="B3419" s="59"/>
      <c r="C3419" s="137"/>
      <c r="D3419" s="59"/>
      <c r="E3419" s="116"/>
      <c r="F3419" s="120"/>
      <c r="G3419" s="120"/>
      <c r="H3419" s="120"/>
      <c r="I3419" s="60"/>
      <c r="J3419" s="116"/>
      <c r="K3419" s="213"/>
      <c r="L3419" s="120"/>
      <c r="M3419" s="120"/>
      <c r="N3419" s="167"/>
      <c r="O3419" s="120"/>
      <c r="P3419" s="120"/>
      <c r="Q3419" s="120"/>
      <c r="R3419" s="120"/>
      <c r="S3419" s="120"/>
      <c r="T3419" s="221"/>
      <c r="U3419" s="89"/>
      <c r="V3419" s="61"/>
      <c r="W3419" s="92" t="s">
        <v>129</v>
      </c>
      <c r="X3419" s="93" t="s">
        <v>29</v>
      </c>
      <c r="Y3419" s="93" t="s">
        <v>93</v>
      </c>
      <c r="Z3419" s="134">
        <f>VLOOKUP(W3419,Sheet2!$B:$D,3,FALSE)</f>
        <v>56</v>
      </c>
      <c r="AA3419" s="93">
        <f>100/(1*3.5)</f>
        <v>28.571428571428573</v>
      </c>
      <c r="AB3419" s="93">
        <f t="shared" ref="AB3419" si="2605">AD3419/AC3418</f>
        <v>1.96</v>
      </c>
      <c r="AC3419" s="93">
        <f>AC3418/AA3419</f>
        <v>1.7248420000000004</v>
      </c>
      <c r="AD3419" s="94">
        <f t="shared" ref="AD3419:AD3420" si="2606">AC3419*Z3419</f>
        <v>96.591152000000022</v>
      </c>
      <c r="AE3419" s="190"/>
      <c r="AF3419" s="191"/>
      <c r="AG3419" s="191"/>
      <c r="AH3419" s="191"/>
      <c r="AI3419" s="186"/>
      <c r="AK3419" s="171"/>
    </row>
    <row r="3420" spans="1:41" s="102" customFormat="1" ht="19.899999999999999" customHeight="1" x14ac:dyDescent="0.25">
      <c r="A3420" s="45"/>
      <c r="B3420" s="59"/>
      <c r="C3420" s="137"/>
      <c r="D3420" s="59"/>
      <c r="E3420" s="116"/>
      <c r="F3420" s="120"/>
      <c r="G3420" s="120"/>
      <c r="H3420" s="120"/>
      <c r="I3420" s="60"/>
      <c r="J3420" s="116"/>
      <c r="K3420" s="213"/>
      <c r="L3420" s="120"/>
      <c r="M3420" s="120"/>
      <c r="N3420" s="167"/>
      <c r="O3420" s="120"/>
      <c r="P3420" s="120"/>
      <c r="Q3420" s="120"/>
      <c r="R3420" s="120"/>
      <c r="S3420" s="120"/>
      <c r="T3420" s="221"/>
      <c r="U3420" s="89"/>
      <c r="V3420" s="61"/>
      <c r="W3420" s="92" t="s">
        <v>65</v>
      </c>
      <c r="X3420" s="93" t="s">
        <v>30</v>
      </c>
      <c r="Y3420" s="93" t="s">
        <v>1011</v>
      </c>
      <c r="Z3420" s="134">
        <f>VLOOKUP(W3420,Sheet2!$B:$D,3,FALSE)</f>
        <v>1.76</v>
      </c>
      <c r="AA3420" s="93">
        <f>AA3419/14</f>
        <v>2.0408163265306123</v>
      </c>
      <c r="AB3420" s="93">
        <f>AD3420/AC3418</f>
        <v>0.86240000000000006</v>
      </c>
      <c r="AC3420" s="93">
        <f>AC3418/AA3420</f>
        <v>24.147788000000006</v>
      </c>
      <c r="AD3420" s="94">
        <f t="shared" si="2606"/>
        <v>42.500106880000011</v>
      </c>
      <c r="AE3420" s="190"/>
      <c r="AF3420" s="191"/>
      <c r="AG3420" s="191"/>
      <c r="AH3420" s="191"/>
      <c r="AI3420" s="186"/>
      <c r="AK3420" s="171"/>
    </row>
    <row r="3421" spans="1:41" s="102" customFormat="1" ht="19.899999999999999" customHeight="1" x14ac:dyDescent="0.25">
      <c r="A3421" s="45"/>
      <c r="B3421" s="59"/>
      <c r="C3421" s="137"/>
      <c r="D3421" s="59"/>
      <c r="E3421" s="116"/>
      <c r="F3421" s="120"/>
      <c r="G3421" s="120"/>
      <c r="H3421" s="120"/>
      <c r="I3421" s="60"/>
      <c r="J3421" s="116"/>
      <c r="K3421" s="213"/>
      <c r="L3421" s="120"/>
      <c r="M3421" s="120"/>
      <c r="N3421" s="167"/>
      <c r="O3421" s="120"/>
      <c r="P3421" s="120"/>
      <c r="Q3421" s="120"/>
      <c r="R3421" s="120"/>
      <c r="S3421" s="120"/>
      <c r="T3421" s="221"/>
      <c r="U3421" s="89"/>
      <c r="V3421" s="61"/>
      <c r="W3421" s="92" t="s">
        <v>161</v>
      </c>
      <c r="X3421" s="93" t="s">
        <v>29</v>
      </c>
      <c r="Y3421" s="93" t="s">
        <v>93</v>
      </c>
      <c r="Z3421" s="134">
        <f>VLOOKUP(W3421,Sheet2!$B:$D,3,FALSE)</f>
        <v>48</v>
      </c>
      <c r="AA3421" s="93">
        <f>(16*0.85*1.5)/(1*3.5)</f>
        <v>5.8285714285714283</v>
      </c>
      <c r="AB3421" s="93">
        <f>AD3421/AC3418</f>
        <v>8.2352941176470598</v>
      </c>
      <c r="AC3421" s="93">
        <f>AC3418/AA3421</f>
        <v>8.4551078431372577</v>
      </c>
      <c r="AD3421" s="94">
        <f>AC3421*Z3421</f>
        <v>405.8451764705884</v>
      </c>
      <c r="AE3421" s="190"/>
      <c r="AF3421" s="191"/>
      <c r="AG3421" s="191"/>
      <c r="AH3421" s="191"/>
      <c r="AI3421" s="186"/>
      <c r="AK3421" s="171"/>
    </row>
    <row r="3422" spans="1:41" s="102" customFormat="1" ht="19.899999999999999" customHeight="1" x14ac:dyDescent="0.25">
      <c r="A3422" s="45"/>
      <c r="B3422" s="59"/>
      <c r="C3422" s="137"/>
      <c r="D3422" s="59"/>
      <c r="E3422" s="116"/>
      <c r="F3422" s="120"/>
      <c r="G3422" s="120"/>
      <c r="H3422" s="120"/>
      <c r="I3422" s="60"/>
      <c r="J3422" s="116"/>
      <c r="K3422" s="213"/>
      <c r="L3422" s="120"/>
      <c r="M3422" s="120"/>
      <c r="N3422" s="167"/>
      <c r="O3422" s="120"/>
      <c r="P3422" s="120"/>
      <c r="Q3422" s="120"/>
      <c r="R3422" s="120"/>
      <c r="S3422" s="120"/>
      <c r="T3422" s="221"/>
      <c r="U3422" s="89"/>
      <c r="V3422" s="61"/>
      <c r="W3422" s="92" t="s">
        <v>65</v>
      </c>
      <c r="X3422" s="93" t="s">
        <v>30</v>
      </c>
      <c r="Y3422" s="93" t="s">
        <v>1011</v>
      </c>
      <c r="Z3422" s="134">
        <f>VLOOKUP(W3422,Sheet2!$B:$D,3,FALSE)</f>
        <v>1.76</v>
      </c>
      <c r="AA3422" s="93">
        <f>AA3421/10</f>
        <v>0.58285714285714285</v>
      </c>
      <c r="AB3422" s="93">
        <f>AD3422/AC3418</f>
        <v>3.0196078431372553</v>
      </c>
      <c r="AC3422" s="93">
        <f>AC3418/AA3422</f>
        <v>84.551078431372574</v>
      </c>
      <c r="AD3422" s="94">
        <f>AC3422*Z3422</f>
        <v>148.80989803921574</v>
      </c>
      <c r="AE3422" s="190"/>
      <c r="AF3422" s="191"/>
      <c r="AG3422" s="191"/>
      <c r="AH3422" s="191"/>
      <c r="AI3422" s="186"/>
      <c r="AK3422" s="171"/>
    </row>
    <row r="3423" spans="1:41" s="102" customFormat="1" ht="19.899999999999999" customHeight="1" x14ac:dyDescent="0.25">
      <c r="A3423" s="45"/>
      <c r="B3423" s="59"/>
      <c r="C3423" s="137"/>
      <c r="D3423" s="59"/>
      <c r="E3423" s="116"/>
      <c r="F3423" s="120"/>
      <c r="G3423" s="120"/>
      <c r="H3423" s="120"/>
      <c r="I3423" s="60"/>
      <c r="J3423" s="116"/>
      <c r="K3423" s="213"/>
      <c r="L3423" s="120"/>
      <c r="M3423" s="120"/>
      <c r="N3423" s="167"/>
      <c r="O3423" s="120"/>
      <c r="P3423" s="120"/>
      <c r="Q3423" s="120"/>
      <c r="R3423" s="120"/>
      <c r="S3423" s="120"/>
      <c r="T3423" s="221"/>
      <c r="U3423" s="89"/>
      <c r="V3423" s="61"/>
      <c r="W3423" s="92" t="s">
        <v>1030</v>
      </c>
      <c r="X3423" s="93" t="s">
        <v>29</v>
      </c>
      <c r="Y3423" s="93" t="s">
        <v>93</v>
      </c>
      <c r="Z3423" s="134">
        <f>VLOOKUP(W3423,Sheet2!$B:$D,3,FALSE)</f>
        <v>23</v>
      </c>
      <c r="AA3423" s="93">
        <v>50</v>
      </c>
      <c r="AB3423" s="93">
        <f>AD3423/AC3418</f>
        <v>0.46</v>
      </c>
      <c r="AC3423" s="93">
        <f>AC3418/AA3423</f>
        <v>0.98562400000000028</v>
      </c>
      <c r="AD3423" s="94">
        <f t="shared" ref="AD3423:AD3427" si="2607">AC3423*Z3423</f>
        <v>22.669352000000007</v>
      </c>
      <c r="AE3423" s="190"/>
      <c r="AF3423" s="191"/>
      <c r="AG3423" s="191"/>
      <c r="AH3423" s="191"/>
      <c r="AI3423" s="186"/>
      <c r="AK3423" s="171"/>
    </row>
    <row r="3424" spans="1:41" s="102" customFormat="1" ht="19.899999999999999" customHeight="1" x14ac:dyDescent="0.25">
      <c r="A3424" s="45"/>
      <c r="B3424" s="59"/>
      <c r="C3424" s="137"/>
      <c r="D3424" s="59"/>
      <c r="E3424" s="116"/>
      <c r="F3424" s="120"/>
      <c r="G3424" s="120"/>
      <c r="H3424" s="120"/>
      <c r="I3424" s="60"/>
      <c r="J3424" s="116"/>
      <c r="K3424" s="213"/>
      <c r="L3424" s="120"/>
      <c r="M3424" s="120"/>
      <c r="N3424" s="167"/>
      <c r="O3424" s="120"/>
      <c r="P3424" s="120"/>
      <c r="Q3424" s="120"/>
      <c r="R3424" s="120"/>
      <c r="S3424" s="120"/>
      <c r="T3424" s="221"/>
      <c r="U3424" s="89"/>
      <c r="V3424" s="61"/>
      <c r="W3424" s="92" t="s">
        <v>65</v>
      </c>
      <c r="X3424" s="93" t="s">
        <v>30</v>
      </c>
      <c r="Y3424" s="93" t="s">
        <v>1011</v>
      </c>
      <c r="Z3424" s="134">
        <f>VLOOKUP(W3424,Sheet2!$B:$D,3,FALSE)</f>
        <v>1.76</v>
      </c>
      <c r="AA3424" s="93">
        <f>AA3423/3</f>
        <v>16.666666666666668</v>
      </c>
      <c r="AB3424" s="93">
        <f>AD3424/AC3418</f>
        <v>0.1056</v>
      </c>
      <c r="AC3424" s="93">
        <f>AC3418/AA3424</f>
        <v>2.9568720000000006</v>
      </c>
      <c r="AD3424" s="94">
        <f t="shared" si="2607"/>
        <v>5.2040947200000014</v>
      </c>
      <c r="AE3424" s="190"/>
      <c r="AF3424" s="191"/>
      <c r="AG3424" s="191"/>
      <c r="AH3424" s="191"/>
      <c r="AI3424" s="186"/>
      <c r="AK3424" s="171"/>
    </row>
    <row r="3425" spans="1:41" s="102" customFormat="1" ht="19.899999999999999" customHeight="1" x14ac:dyDescent="0.25">
      <c r="A3425" s="45"/>
      <c r="B3425" s="59"/>
      <c r="C3425" s="137"/>
      <c r="D3425" s="59"/>
      <c r="E3425" s="116"/>
      <c r="F3425" s="120"/>
      <c r="G3425" s="120"/>
      <c r="H3425" s="120"/>
      <c r="I3425" s="60"/>
      <c r="J3425" s="116"/>
      <c r="K3425" s="213"/>
      <c r="L3425" s="120"/>
      <c r="M3425" s="120"/>
      <c r="N3425" s="167"/>
      <c r="O3425" s="120"/>
      <c r="P3425" s="120"/>
      <c r="Q3425" s="120"/>
      <c r="R3425" s="120"/>
      <c r="S3425" s="120"/>
      <c r="T3425" s="221"/>
      <c r="U3425" s="89"/>
      <c r="V3425" s="61"/>
      <c r="W3425" s="92" t="s">
        <v>148</v>
      </c>
      <c r="X3425" s="93" t="s">
        <v>29</v>
      </c>
      <c r="Y3425" s="93" t="s">
        <v>93</v>
      </c>
      <c r="Z3425" s="134">
        <f>VLOOKUP(W3425,Sheet2!$B:$D,3,FALSE)</f>
        <v>48</v>
      </c>
      <c r="AA3425" s="93">
        <f>AA3419</f>
        <v>28.571428571428573</v>
      </c>
      <c r="AB3425" s="93">
        <f>AD3425/AC3418</f>
        <v>1.68</v>
      </c>
      <c r="AC3425" s="93">
        <f>AC3418/AA3425</f>
        <v>1.7248420000000004</v>
      </c>
      <c r="AD3425" s="94">
        <f t="shared" si="2607"/>
        <v>82.792416000000017</v>
      </c>
      <c r="AE3425" s="190"/>
      <c r="AF3425" s="191"/>
      <c r="AG3425" s="191"/>
      <c r="AH3425" s="191"/>
      <c r="AI3425" s="186"/>
      <c r="AK3425" s="171"/>
    </row>
    <row r="3426" spans="1:41" s="102" customFormat="1" ht="19.899999999999999" customHeight="1" x14ac:dyDescent="0.25">
      <c r="A3426" s="45"/>
      <c r="B3426" s="59"/>
      <c r="C3426" s="137"/>
      <c r="D3426" s="59"/>
      <c r="E3426" s="116"/>
      <c r="F3426" s="120"/>
      <c r="G3426" s="120"/>
      <c r="H3426" s="120"/>
      <c r="I3426" s="60"/>
      <c r="J3426" s="116"/>
      <c r="K3426" s="213"/>
      <c r="L3426" s="120"/>
      <c r="M3426" s="120"/>
      <c r="N3426" s="167"/>
      <c r="O3426" s="120"/>
      <c r="P3426" s="120"/>
      <c r="Q3426" s="120"/>
      <c r="R3426" s="120"/>
      <c r="S3426" s="120"/>
      <c r="T3426" s="221"/>
      <c r="U3426" s="89"/>
      <c r="V3426" s="61"/>
      <c r="W3426" s="92" t="s">
        <v>65</v>
      </c>
      <c r="X3426" s="93" t="s">
        <v>30</v>
      </c>
      <c r="Y3426" s="93" t="s">
        <v>1011</v>
      </c>
      <c r="Z3426" s="134">
        <f>VLOOKUP(W3426,Sheet2!$B:$D,3,FALSE)</f>
        <v>1.76</v>
      </c>
      <c r="AA3426" s="93">
        <f>AA3425/10</f>
        <v>2.8571428571428572</v>
      </c>
      <c r="AB3426" s="93">
        <f>AD3426/AC3418</f>
        <v>0.61599999999999999</v>
      </c>
      <c r="AC3426" s="93">
        <f>AC3418/AA3426</f>
        <v>17.248420000000003</v>
      </c>
      <c r="AD3426" s="94">
        <f t="shared" si="2607"/>
        <v>30.357219200000007</v>
      </c>
      <c r="AE3426" s="190"/>
      <c r="AF3426" s="191"/>
      <c r="AG3426" s="191"/>
      <c r="AH3426" s="191"/>
      <c r="AI3426" s="186"/>
      <c r="AK3426" s="171"/>
    </row>
    <row r="3427" spans="1:41" s="102" customFormat="1" ht="19.899999999999999" customHeight="1" x14ac:dyDescent="0.25">
      <c r="A3427" s="45"/>
      <c r="B3427" s="59"/>
      <c r="C3427" s="137"/>
      <c r="D3427" s="59"/>
      <c r="E3427" s="116"/>
      <c r="F3427" s="120"/>
      <c r="G3427" s="120"/>
      <c r="H3427" s="120"/>
      <c r="I3427" s="60"/>
      <c r="J3427" s="116"/>
      <c r="K3427" s="213"/>
      <c r="L3427" s="120"/>
      <c r="M3427" s="120"/>
      <c r="N3427" s="167"/>
      <c r="O3427" s="120"/>
      <c r="P3427" s="120"/>
      <c r="Q3427" s="120"/>
      <c r="R3427" s="120"/>
      <c r="S3427" s="120"/>
      <c r="T3427" s="221"/>
      <c r="U3427" s="89"/>
      <c r="V3427" s="61"/>
      <c r="W3427" s="92" t="s">
        <v>1049</v>
      </c>
      <c r="X3427" s="93" t="s">
        <v>30</v>
      </c>
      <c r="Y3427" s="93" t="s">
        <v>68</v>
      </c>
      <c r="Z3427" s="134">
        <f>VLOOKUP(W3427,Sheet2!$B:$D,3,FALSE)</f>
        <v>60</v>
      </c>
      <c r="AA3427" s="93">
        <v>1</v>
      </c>
      <c r="AB3427" s="93">
        <f>AD3427/AC3418</f>
        <v>60</v>
      </c>
      <c r="AC3427" s="93">
        <f>AC3418/AA3427</f>
        <v>49.281200000000013</v>
      </c>
      <c r="AD3427" s="94">
        <f t="shared" si="2607"/>
        <v>2956.8720000000008</v>
      </c>
      <c r="AE3427" s="190"/>
      <c r="AF3427" s="191"/>
      <c r="AG3427" s="191"/>
      <c r="AH3427" s="191"/>
      <c r="AI3427" s="186"/>
      <c r="AK3427" s="171"/>
    </row>
    <row r="3428" spans="1:41" s="103" customFormat="1" ht="19.899999999999999" customHeight="1" x14ac:dyDescent="0.25">
      <c r="A3428" s="51"/>
      <c r="B3428" s="52"/>
      <c r="C3428" s="165"/>
      <c r="D3428" s="52"/>
      <c r="E3428" s="115"/>
      <c r="F3428" s="58"/>
      <c r="G3428" s="58"/>
      <c r="H3428" s="58"/>
      <c r="I3428" s="55"/>
      <c r="J3428" s="113">
        <f>J3417</f>
        <v>49.281200000000013</v>
      </c>
      <c r="K3428" s="212">
        <f>K3417</f>
        <v>49.281200000000013</v>
      </c>
      <c r="L3428" s="58"/>
      <c r="M3428" s="58">
        <f>K3428-L3428</f>
        <v>49.281200000000013</v>
      </c>
      <c r="N3428" s="166"/>
      <c r="O3428" s="58"/>
      <c r="P3428" s="58"/>
      <c r="Q3428" s="58"/>
      <c r="R3428" s="58"/>
      <c r="S3428" s="58"/>
      <c r="T3428" s="220"/>
      <c r="U3428" s="88"/>
      <c r="V3428" s="56"/>
      <c r="W3428" s="57" t="s">
        <v>1036</v>
      </c>
      <c r="X3428" s="53"/>
      <c r="Y3428" s="91" t="s">
        <v>68</v>
      </c>
      <c r="Z3428" s="136">
        <f>AD3428/AC3428</f>
        <v>150.58333333333331</v>
      </c>
      <c r="AA3428" s="58"/>
      <c r="AB3428" s="53">
        <f>AD3428/AC3428</f>
        <v>150.58333333333331</v>
      </c>
      <c r="AC3428" s="53">
        <f>M3428+$AE$10</f>
        <v>49.281200000000013</v>
      </c>
      <c r="AD3428" s="54">
        <f>SUM(AD3429:AD3435)</f>
        <v>7420.9273666666677</v>
      </c>
      <c r="AE3428" s="184">
        <f>SUMIFS($AD$37:$AD$12971,$V$37:$V$12971,$V3428,$X$37:$X$12971,AE$13)</f>
        <v>0</v>
      </c>
      <c r="AF3428" s="185">
        <f>SUMIFS($AD$37:$AD$12971,$V$37:$V$12971,$V3428,$X$37:$X$12971,AF$13)</f>
        <v>0</v>
      </c>
      <c r="AG3428" s="185">
        <f>SUMIFS($AD$37:$AD$12971,$V$37:$V$12971,$V3428,$X$37:$X$12971,AG$13)</f>
        <v>0</v>
      </c>
      <c r="AH3428" s="187">
        <f>SUMIFS($AD$37:$AD$12971,$V$37:$V$12971,$V3428,$X$37:$X$12971,AH$13)</f>
        <v>0</v>
      </c>
      <c r="AI3428" s="161">
        <f t="shared" ref="AI3428" si="2608">SUM(AE3428:AH3428)</f>
        <v>0</v>
      </c>
      <c r="AK3428" s="172"/>
    </row>
    <row r="3429" spans="1:41" s="102" customFormat="1" ht="19.899999999999999" customHeight="1" x14ac:dyDescent="0.25">
      <c r="A3429" s="45"/>
      <c r="B3429" s="59"/>
      <c r="C3429" s="137"/>
      <c r="D3429" s="59"/>
      <c r="E3429" s="116"/>
      <c r="F3429" s="120"/>
      <c r="G3429" s="120"/>
      <c r="H3429" s="120"/>
      <c r="I3429" s="60"/>
      <c r="J3429" s="116"/>
      <c r="K3429" s="213"/>
      <c r="L3429" s="120"/>
      <c r="M3429" s="120"/>
      <c r="N3429" s="167"/>
      <c r="O3429" s="120"/>
      <c r="P3429" s="120"/>
      <c r="Q3429" s="120"/>
      <c r="R3429" s="120"/>
      <c r="S3429" s="120"/>
      <c r="T3429" s="221"/>
      <c r="U3429" s="89"/>
      <c r="V3429" s="61"/>
      <c r="W3429" s="92" t="s">
        <v>1229</v>
      </c>
      <c r="X3429" s="93" t="s">
        <v>30</v>
      </c>
      <c r="Y3429" s="93" t="s">
        <v>68</v>
      </c>
      <c r="Z3429" s="134">
        <f>VLOOKUP(W3429,Sheet2!$B:$D,3,FALSE)</f>
        <v>95</v>
      </c>
      <c r="AA3429" s="93">
        <v>1</v>
      </c>
      <c r="AB3429" s="93">
        <f>AD3429/AC3428</f>
        <v>95</v>
      </c>
      <c r="AC3429" s="93">
        <f>AC3428/AA3429</f>
        <v>49.281200000000013</v>
      </c>
      <c r="AD3429" s="94">
        <f t="shared" ref="AD3429" si="2609">AC3429*Z3429</f>
        <v>4681.7140000000009</v>
      </c>
      <c r="AE3429" s="190"/>
      <c r="AF3429" s="191"/>
      <c r="AG3429" s="191"/>
      <c r="AH3429" s="191"/>
      <c r="AI3429" s="186"/>
      <c r="AK3429" s="171"/>
    </row>
    <row r="3430" spans="1:41" s="102" customFormat="1" ht="19.899999999999999" customHeight="1" x14ac:dyDescent="0.25">
      <c r="A3430" s="45"/>
      <c r="B3430" s="59"/>
      <c r="C3430" s="137"/>
      <c r="D3430" s="59"/>
      <c r="E3430" s="116"/>
      <c r="F3430" s="120"/>
      <c r="G3430" s="120"/>
      <c r="H3430" s="120"/>
      <c r="I3430" s="60"/>
      <c r="J3430" s="116"/>
      <c r="K3430" s="213"/>
      <c r="L3430" s="120"/>
      <c r="M3430" s="120"/>
      <c r="N3430" s="167"/>
      <c r="O3430" s="120"/>
      <c r="P3430" s="120"/>
      <c r="Q3430" s="120"/>
      <c r="R3430" s="120"/>
      <c r="S3430" s="120"/>
      <c r="T3430" s="221"/>
      <c r="U3430" s="89"/>
      <c r="V3430" s="61"/>
      <c r="W3430" s="92" t="s">
        <v>1230</v>
      </c>
      <c r="X3430" s="93" t="s">
        <v>30</v>
      </c>
      <c r="Y3430" s="93" t="s">
        <v>68</v>
      </c>
      <c r="Z3430" s="134">
        <f>VLOOKUP(W3430,Sheet2!$B:$D,3,FALSE)</f>
        <v>10</v>
      </c>
      <c r="AA3430" s="93">
        <v>1</v>
      </c>
      <c r="AB3430" s="93">
        <f>AD3430/AC3428</f>
        <v>10</v>
      </c>
      <c r="AC3430" s="93">
        <f>AC3428/AA3430</f>
        <v>49.281200000000013</v>
      </c>
      <c r="AD3430" s="94">
        <f>AC3430*Z3430</f>
        <v>492.81200000000013</v>
      </c>
      <c r="AE3430" s="190"/>
      <c r="AF3430" s="191"/>
      <c r="AG3430" s="191"/>
      <c r="AH3430" s="191"/>
      <c r="AI3430" s="186"/>
      <c r="AK3430" s="171"/>
    </row>
    <row r="3431" spans="1:41" s="102" customFormat="1" ht="19.899999999999999" customHeight="1" x14ac:dyDescent="0.25">
      <c r="A3431" s="45"/>
      <c r="B3431" s="59"/>
      <c r="C3431" s="137"/>
      <c r="D3431" s="59"/>
      <c r="E3431" s="116"/>
      <c r="F3431" s="120"/>
      <c r="G3431" s="120"/>
      <c r="H3431" s="120"/>
      <c r="I3431" s="60"/>
      <c r="J3431" s="116"/>
      <c r="K3431" s="213"/>
      <c r="L3431" s="120"/>
      <c r="M3431" s="120"/>
      <c r="N3431" s="167"/>
      <c r="O3431" s="120"/>
      <c r="P3431" s="120"/>
      <c r="Q3431" s="120"/>
      <c r="R3431" s="120"/>
      <c r="S3431" s="120"/>
      <c r="T3431" s="221"/>
      <c r="U3431" s="89"/>
      <c r="V3431" s="61"/>
      <c r="W3431" s="92" t="s">
        <v>107</v>
      </c>
      <c r="X3431" s="93" t="s">
        <v>31</v>
      </c>
      <c r="Y3431" s="93" t="s">
        <v>93</v>
      </c>
      <c r="Z3431" s="134">
        <f>VLOOKUP(W3431,Sheet2!$B:$D,3,FALSE)</f>
        <v>17</v>
      </c>
      <c r="AA3431" s="93">
        <v>6</v>
      </c>
      <c r="AB3431" s="93">
        <f>AD3431/AC3428</f>
        <v>2.8333333333333339</v>
      </c>
      <c r="AC3431" s="93">
        <f>AC3428/AA3431</f>
        <v>8.213533333333336</v>
      </c>
      <c r="AD3431" s="94">
        <f>AC3431*Z3431</f>
        <v>139.63006666666672</v>
      </c>
      <c r="AE3431" s="190"/>
      <c r="AF3431" s="191"/>
      <c r="AG3431" s="191"/>
      <c r="AH3431" s="191"/>
      <c r="AI3431" s="186"/>
      <c r="AK3431" s="171"/>
    </row>
    <row r="3432" spans="1:41" s="102" customFormat="1" ht="19.899999999999999" customHeight="1" x14ac:dyDescent="0.25">
      <c r="A3432" s="45"/>
      <c r="B3432" s="59"/>
      <c r="C3432" s="137"/>
      <c r="D3432" s="59"/>
      <c r="E3432" s="116"/>
      <c r="F3432" s="120"/>
      <c r="G3432" s="120"/>
      <c r="H3432" s="120"/>
      <c r="I3432" s="60"/>
      <c r="J3432" s="116"/>
      <c r="K3432" s="213"/>
      <c r="L3432" s="120"/>
      <c r="M3432" s="120"/>
      <c r="N3432" s="167"/>
      <c r="O3432" s="120"/>
      <c r="P3432" s="120"/>
      <c r="Q3432" s="120"/>
      <c r="R3432" s="120"/>
      <c r="S3432" s="120"/>
      <c r="T3432" s="221"/>
      <c r="U3432" s="89"/>
      <c r="V3432" s="61"/>
      <c r="W3432" s="92" t="s">
        <v>112</v>
      </c>
      <c r="X3432" s="93" t="s">
        <v>31</v>
      </c>
      <c r="Y3432" s="93" t="s">
        <v>93</v>
      </c>
      <c r="Z3432" s="134">
        <f>VLOOKUP(W3432,Sheet2!$B:$D,3,FALSE)</f>
        <v>13</v>
      </c>
      <c r="AA3432" s="93">
        <v>6</v>
      </c>
      <c r="AB3432" s="93">
        <f>AD3432/AC3428</f>
        <v>2.166666666666667</v>
      </c>
      <c r="AC3432" s="93">
        <f>AC3428/AA3432</f>
        <v>8.213533333333336</v>
      </c>
      <c r="AD3432" s="94">
        <f>AC3432*Z3432</f>
        <v>106.77593333333337</v>
      </c>
      <c r="AE3432" s="190"/>
      <c r="AF3432" s="191"/>
      <c r="AG3432" s="191"/>
      <c r="AH3432" s="191"/>
      <c r="AI3432" s="186"/>
      <c r="AK3432" s="171"/>
    </row>
    <row r="3433" spans="1:41" s="102" customFormat="1" ht="19.899999999999999" customHeight="1" x14ac:dyDescent="0.25">
      <c r="A3433" s="45"/>
      <c r="B3433" s="59"/>
      <c r="C3433" s="137"/>
      <c r="D3433" s="59"/>
      <c r="E3433" s="116"/>
      <c r="F3433" s="120"/>
      <c r="G3433" s="120"/>
      <c r="H3433" s="120"/>
      <c r="I3433" s="60"/>
      <c r="J3433" s="116"/>
      <c r="K3433" s="213"/>
      <c r="L3433" s="120"/>
      <c r="M3433" s="120"/>
      <c r="N3433" s="167"/>
      <c r="O3433" s="120"/>
      <c r="P3433" s="120"/>
      <c r="Q3433" s="120"/>
      <c r="R3433" s="120"/>
      <c r="S3433" s="120"/>
      <c r="T3433" s="221"/>
      <c r="U3433" s="89"/>
      <c r="V3433" s="61"/>
      <c r="W3433" s="92" t="s">
        <v>1032</v>
      </c>
      <c r="X3433" s="93" t="s">
        <v>30</v>
      </c>
      <c r="Y3433" s="93" t="s">
        <v>66</v>
      </c>
      <c r="Z3433" s="134">
        <f>VLOOKUP(W3433,Sheet2!$B:$D,3,FALSE)</f>
        <v>250</v>
      </c>
      <c r="AA3433" s="93">
        <f>1/(1*1*0.1)</f>
        <v>10</v>
      </c>
      <c r="AB3433" s="93">
        <f>AD3433/AC3428</f>
        <v>25.000000000000004</v>
      </c>
      <c r="AC3433" s="93">
        <f>AC3428/AA3433</f>
        <v>4.9281200000000016</v>
      </c>
      <c r="AD3433" s="94">
        <f>AC3433*Z3433</f>
        <v>1232.0300000000004</v>
      </c>
      <c r="AE3433" s="190"/>
      <c r="AF3433" s="191"/>
      <c r="AG3433" s="191"/>
      <c r="AH3433" s="191"/>
      <c r="AI3433" s="186"/>
      <c r="AK3433" s="171"/>
    </row>
    <row r="3434" spans="1:41" s="102" customFormat="1" ht="19.899999999999999" customHeight="1" x14ac:dyDescent="0.25">
      <c r="A3434" s="45"/>
      <c r="B3434" s="59"/>
      <c r="C3434" s="137"/>
      <c r="D3434" s="59"/>
      <c r="E3434" s="116"/>
      <c r="F3434" s="120"/>
      <c r="G3434" s="120"/>
      <c r="H3434" s="120"/>
      <c r="I3434" s="60"/>
      <c r="J3434" s="116"/>
      <c r="K3434" s="213"/>
      <c r="L3434" s="120"/>
      <c r="M3434" s="120"/>
      <c r="N3434" s="167"/>
      <c r="O3434" s="120"/>
      <c r="P3434" s="120"/>
      <c r="Q3434" s="120"/>
      <c r="R3434" s="120"/>
      <c r="S3434" s="120"/>
      <c r="T3434" s="221"/>
      <c r="U3434" s="89"/>
      <c r="V3434" s="61"/>
      <c r="W3434" s="92" t="s">
        <v>1035</v>
      </c>
      <c r="X3434" s="93" t="s">
        <v>32</v>
      </c>
      <c r="Y3434" s="93" t="s">
        <v>66</v>
      </c>
      <c r="Z3434" s="134">
        <f>VLOOKUP(W3434,Sheet2!$B:$D,3,FALSE)</f>
        <v>150</v>
      </c>
      <c r="AA3434" s="93">
        <f>AA3433</f>
        <v>10</v>
      </c>
      <c r="AB3434" s="93">
        <f>AD3434/AC3428</f>
        <v>15</v>
      </c>
      <c r="AC3434" s="93">
        <f>AC3428/AA3434</f>
        <v>4.9281200000000016</v>
      </c>
      <c r="AD3434" s="94">
        <f t="shared" ref="AD3434:AD3435" si="2610">AC3434*Z3434</f>
        <v>739.21800000000019</v>
      </c>
      <c r="AE3434" s="190"/>
      <c r="AF3434" s="191"/>
      <c r="AG3434" s="191"/>
      <c r="AH3434" s="191"/>
      <c r="AI3434" s="186"/>
      <c r="AK3434" s="171"/>
    </row>
    <row r="3435" spans="1:41" s="102" customFormat="1" ht="19.899999999999999" customHeight="1" x14ac:dyDescent="0.25">
      <c r="A3435" s="45"/>
      <c r="B3435" s="59"/>
      <c r="C3435" s="137"/>
      <c r="D3435" s="59"/>
      <c r="E3435" s="116"/>
      <c r="F3435" s="120"/>
      <c r="G3435" s="120"/>
      <c r="H3435" s="120"/>
      <c r="I3435" s="60"/>
      <c r="J3435" s="116"/>
      <c r="K3435" s="213"/>
      <c r="L3435" s="120"/>
      <c r="M3435" s="120"/>
      <c r="N3435" s="167"/>
      <c r="O3435" s="120"/>
      <c r="P3435" s="120"/>
      <c r="Q3435" s="120"/>
      <c r="R3435" s="120"/>
      <c r="S3435" s="120"/>
      <c r="T3435" s="221"/>
      <c r="U3435" s="89"/>
      <c r="V3435" s="61"/>
      <c r="W3435" s="92" t="s">
        <v>1037</v>
      </c>
      <c r="X3435" s="93" t="s">
        <v>30</v>
      </c>
      <c r="Y3435" s="93" t="s">
        <v>1038</v>
      </c>
      <c r="Z3435" s="134">
        <f>VLOOKUP(W3435,Sheet2!$B:$D,3,FALSE)</f>
        <v>175</v>
      </c>
      <c r="AA3435" s="93">
        <v>300</v>
      </c>
      <c r="AB3435" s="93">
        <f>AD3435/AC3428</f>
        <v>0.58333333333333326</v>
      </c>
      <c r="AC3435" s="93">
        <f>AC3428/AA3435</f>
        <v>0.1642706666666667</v>
      </c>
      <c r="AD3435" s="94">
        <f t="shared" si="2610"/>
        <v>28.747366666666672</v>
      </c>
      <c r="AE3435" s="190"/>
      <c r="AF3435" s="191"/>
      <c r="AG3435" s="191"/>
      <c r="AH3435" s="191"/>
      <c r="AI3435" s="186"/>
      <c r="AK3435" s="171"/>
    </row>
    <row r="3436" spans="1:41" s="103" customFormat="1" ht="19.899999999999999" customHeight="1" x14ac:dyDescent="0.25">
      <c r="A3436" s="51"/>
      <c r="B3436" s="52"/>
      <c r="C3436" s="165"/>
      <c r="D3436" s="52"/>
      <c r="E3436" s="115"/>
      <c r="F3436" s="58"/>
      <c r="G3436" s="58"/>
      <c r="H3436" s="58"/>
      <c r="I3436" s="55"/>
      <c r="J3436" s="113">
        <f>J3417</f>
        <v>49.281200000000013</v>
      </c>
      <c r="K3436" s="212">
        <f>K3417</f>
        <v>49.281200000000013</v>
      </c>
      <c r="L3436" s="58"/>
      <c r="M3436" s="58">
        <f>K3436-L3436</f>
        <v>49.281200000000013</v>
      </c>
      <c r="N3436" s="166"/>
      <c r="O3436" s="58"/>
      <c r="P3436" s="58"/>
      <c r="Q3436" s="58"/>
      <c r="R3436" s="58"/>
      <c r="S3436" s="58"/>
      <c r="T3436" s="220"/>
      <c r="U3436" s="88"/>
      <c r="V3436" s="56"/>
      <c r="W3436" s="57" t="s">
        <v>1040</v>
      </c>
      <c r="X3436" s="53"/>
      <c r="Y3436" s="91" t="s">
        <v>68</v>
      </c>
      <c r="Z3436" s="136">
        <f>AD3436/AC3436</f>
        <v>5</v>
      </c>
      <c r="AA3436" s="58"/>
      <c r="AB3436" s="53">
        <f>AD3436/AC3436</f>
        <v>5</v>
      </c>
      <c r="AC3436" s="53">
        <f>M3436+$AE$10</f>
        <v>49.281200000000013</v>
      </c>
      <c r="AD3436" s="54">
        <f>SUM(AD3437)</f>
        <v>246.40600000000006</v>
      </c>
      <c r="AE3436" s="184">
        <f>SUMIFS($AD$37:$AD$12971,$V$37:$V$12971,$V3436,$X$37:$X$12971,AE$13)</f>
        <v>0</v>
      </c>
      <c r="AF3436" s="185">
        <f>SUMIFS($AD$37:$AD$12971,$V$37:$V$12971,$V3436,$X$37:$X$12971,AF$13)</f>
        <v>0</v>
      </c>
      <c r="AG3436" s="185">
        <f>SUMIFS($AD$37:$AD$12971,$V$37:$V$12971,$V3436,$X$37:$X$12971,AG$13)</f>
        <v>0</v>
      </c>
      <c r="AH3436" s="187">
        <f>SUMIFS($AD$37:$AD$12971,$V$37:$V$12971,$V3436,$X$37:$X$12971,AH$13)</f>
        <v>0</v>
      </c>
      <c r="AI3436" s="161">
        <f t="shared" ref="AI3436" si="2611">SUM(AE3436:AH3436)</f>
        <v>0</v>
      </c>
      <c r="AK3436" s="172"/>
    </row>
    <row r="3437" spans="1:41" s="102" customFormat="1" ht="19.899999999999999" customHeight="1" x14ac:dyDescent="0.25">
      <c r="A3437" s="45"/>
      <c r="B3437" s="59"/>
      <c r="C3437" s="137"/>
      <c r="D3437" s="59"/>
      <c r="E3437" s="116"/>
      <c r="F3437" s="120"/>
      <c r="G3437" s="120"/>
      <c r="H3437" s="120"/>
      <c r="I3437" s="60"/>
      <c r="J3437" s="116"/>
      <c r="K3437" s="213"/>
      <c r="L3437" s="120"/>
      <c r="M3437" s="120"/>
      <c r="N3437" s="167"/>
      <c r="O3437" s="120"/>
      <c r="P3437" s="120"/>
      <c r="Q3437" s="120"/>
      <c r="R3437" s="120"/>
      <c r="S3437" s="120"/>
      <c r="T3437" s="221"/>
      <c r="U3437" s="89"/>
      <c r="V3437" s="61"/>
      <c r="W3437" s="92" t="s">
        <v>1039</v>
      </c>
      <c r="X3437" s="93" t="s">
        <v>32</v>
      </c>
      <c r="Y3437" s="93" t="s">
        <v>68</v>
      </c>
      <c r="Z3437" s="134">
        <f>VLOOKUP(W3437,Sheet2!$B:$D,3,FALSE)</f>
        <v>5</v>
      </c>
      <c r="AA3437" s="93">
        <v>1</v>
      </c>
      <c r="AB3437" s="93">
        <f>AD3437/AC3436</f>
        <v>5</v>
      </c>
      <c r="AC3437" s="93">
        <f>AC3436/AA3437</f>
        <v>49.281200000000013</v>
      </c>
      <c r="AD3437" s="94">
        <f t="shared" ref="AD3437" si="2612">AC3437*Z3437</f>
        <v>246.40600000000006</v>
      </c>
      <c r="AE3437" s="190"/>
      <c r="AF3437" s="191"/>
      <c r="AG3437" s="191"/>
      <c r="AH3437" s="191"/>
      <c r="AI3437" s="186"/>
      <c r="AK3437" s="171"/>
    </row>
    <row r="3438" spans="1:41" ht="20.100000000000001" customHeight="1" x14ac:dyDescent="0.25">
      <c r="A3438" s="277" t="s">
        <v>491</v>
      </c>
      <c r="B3438" s="278"/>
      <c r="C3438" s="64" t="s">
        <v>1170</v>
      </c>
      <c r="D3438" s="46" t="s">
        <v>97</v>
      </c>
      <c r="E3438" s="114">
        <v>22.549849999999992</v>
      </c>
      <c r="F3438" s="44">
        <v>635</v>
      </c>
      <c r="G3438" s="44">
        <f t="shared" si="2434"/>
        <v>14319.154749999994</v>
      </c>
      <c r="H3438" s="44">
        <f t="shared" si="2435"/>
        <v>234.86127843137254</v>
      </c>
      <c r="I3438" s="43">
        <f t="shared" si="2436"/>
        <v>5296.0865994356845</v>
      </c>
      <c r="J3438" s="112">
        <f t="shared" si="2437"/>
        <v>22.549849999999992</v>
      </c>
      <c r="K3438" s="211">
        <f t="shared" si="2438"/>
        <v>22.549849999999992</v>
      </c>
      <c r="L3438" s="44"/>
      <c r="M3438" s="44">
        <f t="shared" si="2458"/>
        <v>22.549849999999992</v>
      </c>
      <c r="N3438" s="173">
        <f t="shared" si="2439"/>
        <v>1</v>
      </c>
      <c r="O3438" s="44">
        <f t="shared" si="2440"/>
        <v>635</v>
      </c>
      <c r="P3438" s="44">
        <f t="shared" si="2441"/>
        <v>14319.154749999994</v>
      </c>
      <c r="Q3438" s="44">
        <f t="shared" si="2442"/>
        <v>234.86127843137254</v>
      </c>
      <c r="R3438" s="44">
        <f t="shared" si="2459"/>
        <v>5296.0865994356845</v>
      </c>
      <c r="S3438" s="123"/>
      <c r="T3438" s="219">
        <f t="shared" si="2460"/>
        <v>5296.0865994356845</v>
      </c>
      <c r="U3438" s="87"/>
      <c r="V3438" s="47"/>
      <c r="W3438" s="48"/>
      <c r="X3438" s="48"/>
      <c r="Y3438" s="48"/>
      <c r="Z3438" s="135"/>
      <c r="AA3438" s="49"/>
      <c r="AB3438" s="50">
        <f t="shared" si="2443"/>
        <v>234.86127843137254</v>
      </c>
      <c r="AC3438" s="42">
        <f t="shared" si="2461"/>
        <v>22.549849999999992</v>
      </c>
      <c r="AD3438" s="90">
        <f>AD3439+AD3449+AD3457</f>
        <v>5296.0865994356845</v>
      </c>
      <c r="AE3438" s="188">
        <f t="shared" ref="AE3438" si="2613">AE3439+AE3449+AE3457</f>
        <v>0</v>
      </c>
      <c r="AF3438" s="189">
        <f t="shared" ref="AF3438" si="2614">AF3439+AF3449+AF3457</f>
        <v>0</v>
      </c>
      <c r="AG3438" s="189">
        <f t="shared" ref="AG3438" si="2615">AG3439+AG3449+AG3457</f>
        <v>0</v>
      </c>
      <c r="AH3438" s="189">
        <f t="shared" ref="AH3438" si="2616">AH3439+AH3449+AH3457</f>
        <v>0</v>
      </c>
      <c r="AI3438" s="161">
        <f t="shared" ref="AI3438" si="2617">SUM(AE3438:AH3438)</f>
        <v>0</v>
      </c>
      <c r="AK3438" s="169">
        <v>5</v>
      </c>
      <c r="AO3438" s="19" t="s">
        <v>63</v>
      </c>
    </row>
    <row r="3439" spans="1:41" s="103" customFormat="1" ht="19.899999999999999" customHeight="1" x14ac:dyDescent="0.25">
      <c r="A3439" s="51"/>
      <c r="B3439" s="52"/>
      <c r="C3439" s="165"/>
      <c r="D3439" s="52"/>
      <c r="E3439" s="115"/>
      <c r="F3439" s="58"/>
      <c r="G3439" s="58"/>
      <c r="H3439" s="58"/>
      <c r="I3439" s="55"/>
      <c r="J3439" s="113">
        <f>J3438</f>
        <v>22.549849999999992</v>
      </c>
      <c r="K3439" s="212">
        <f>K3438</f>
        <v>22.549849999999992</v>
      </c>
      <c r="L3439" s="58"/>
      <c r="M3439" s="58">
        <f>K3439-L3439</f>
        <v>22.549849999999992</v>
      </c>
      <c r="N3439" s="166"/>
      <c r="O3439" s="58"/>
      <c r="P3439" s="58"/>
      <c r="Q3439" s="58"/>
      <c r="R3439" s="58"/>
      <c r="S3439" s="58"/>
      <c r="T3439" s="220"/>
      <c r="U3439" s="88"/>
      <c r="V3439" s="56"/>
      <c r="W3439" s="57" t="s">
        <v>1053</v>
      </c>
      <c r="X3439" s="53"/>
      <c r="Y3439" s="91" t="s">
        <v>68</v>
      </c>
      <c r="Z3439" s="136">
        <f>AD3439/AC3439</f>
        <v>79.277945098039211</v>
      </c>
      <c r="AA3439" s="58"/>
      <c r="AB3439" s="53">
        <f>AD3439/AC3439</f>
        <v>79.277945098039211</v>
      </c>
      <c r="AC3439" s="53">
        <f>M3439+$AE$10</f>
        <v>22.549849999999992</v>
      </c>
      <c r="AD3439" s="54">
        <f>SUM(AD3440:AD3448)</f>
        <v>1787.705770269019</v>
      </c>
      <c r="AE3439" s="184">
        <f>SUMIFS($AD$37:$AD$12971,$V$37:$V$12971,$V3439,$X$37:$X$12971,AE$13)</f>
        <v>0</v>
      </c>
      <c r="AF3439" s="185">
        <f>SUMIFS($AD$37:$AD$12971,$V$37:$V$12971,$V3439,$X$37:$X$12971,AF$13)</f>
        <v>0</v>
      </c>
      <c r="AG3439" s="185">
        <f>SUMIFS($AD$37:$AD$12971,$V$37:$V$12971,$V3439,$X$37:$X$12971,AG$13)</f>
        <v>0</v>
      </c>
      <c r="AH3439" s="187">
        <f>SUMIFS($AD$37:$AD$12971,$V$37:$V$12971,$V3439,$X$37:$X$12971,AH$13)</f>
        <v>0</v>
      </c>
      <c r="AI3439" s="161">
        <f t="shared" ref="AI3439" si="2618">SUM(AE3439:AH3439)</f>
        <v>0</v>
      </c>
      <c r="AK3439" s="172"/>
    </row>
    <row r="3440" spans="1:41" s="102" customFormat="1" ht="19.899999999999999" customHeight="1" x14ac:dyDescent="0.25">
      <c r="A3440" s="45"/>
      <c r="B3440" s="59"/>
      <c r="C3440" s="137"/>
      <c r="D3440" s="59"/>
      <c r="E3440" s="116"/>
      <c r="F3440" s="120"/>
      <c r="G3440" s="120"/>
      <c r="H3440" s="120"/>
      <c r="I3440" s="60"/>
      <c r="J3440" s="116"/>
      <c r="K3440" s="213"/>
      <c r="L3440" s="120"/>
      <c r="M3440" s="120"/>
      <c r="N3440" s="167"/>
      <c r="O3440" s="120"/>
      <c r="P3440" s="120"/>
      <c r="Q3440" s="120"/>
      <c r="R3440" s="120"/>
      <c r="S3440" s="120"/>
      <c r="T3440" s="221"/>
      <c r="U3440" s="89"/>
      <c r="V3440" s="61"/>
      <c r="W3440" s="92" t="s">
        <v>129</v>
      </c>
      <c r="X3440" s="93" t="s">
        <v>29</v>
      </c>
      <c r="Y3440" s="93" t="s">
        <v>93</v>
      </c>
      <c r="Z3440" s="134">
        <f>VLOOKUP(W3440,Sheet2!$B:$D,3,FALSE)</f>
        <v>56</v>
      </c>
      <c r="AA3440" s="93">
        <f>100/(1*4)</f>
        <v>25</v>
      </c>
      <c r="AB3440" s="93">
        <f t="shared" ref="AB3440" si="2619">AD3440/AC3439</f>
        <v>2.2399999999999998</v>
      </c>
      <c r="AC3440" s="93">
        <f>AC3439/AA3440</f>
        <v>0.90199399999999974</v>
      </c>
      <c r="AD3440" s="94">
        <f t="shared" ref="AD3440:AD3441" si="2620">AC3440*Z3440</f>
        <v>50.511663999999982</v>
      </c>
      <c r="AE3440" s="190"/>
      <c r="AF3440" s="191"/>
      <c r="AG3440" s="191"/>
      <c r="AH3440" s="191"/>
      <c r="AI3440" s="186"/>
      <c r="AK3440" s="171"/>
    </row>
    <row r="3441" spans="1:37" s="102" customFormat="1" ht="19.899999999999999" customHeight="1" x14ac:dyDescent="0.25">
      <c r="A3441" s="45"/>
      <c r="B3441" s="59"/>
      <c r="C3441" s="137"/>
      <c r="D3441" s="59"/>
      <c r="E3441" s="116"/>
      <c r="F3441" s="120"/>
      <c r="G3441" s="120"/>
      <c r="H3441" s="120"/>
      <c r="I3441" s="60"/>
      <c r="J3441" s="116"/>
      <c r="K3441" s="213"/>
      <c r="L3441" s="120"/>
      <c r="M3441" s="120"/>
      <c r="N3441" s="167"/>
      <c r="O3441" s="120"/>
      <c r="P3441" s="120"/>
      <c r="Q3441" s="120"/>
      <c r="R3441" s="120"/>
      <c r="S3441" s="120"/>
      <c r="T3441" s="221"/>
      <c r="U3441" s="89"/>
      <c r="V3441" s="61"/>
      <c r="W3441" s="92" t="s">
        <v>65</v>
      </c>
      <c r="X3441" s="93" t="s">
        <v>30</v>
      </c>
      <c r="Y3441" s="93" t="s">
        <v>1011</v>
      </c>
      <c r="Z3441" s="134">
        <f>VLOOKUP(W3441,Sheet2!$B:$D,3,FALSE)</f>
        <v>1.76</v>
      </c>
      <c r="AA3441" s="93">
        <f>AA3440/14</f>
        <v>1.7857142857142858</v>
      </c>
      <c r="AB3441" s="93">
        <f>AD3441/AC3439</f>
        <v>0.98559999999999992</v>
      </c>
      <c r="AC3441" s="93">
        <f>AC3439/AA3441</f>
        <v>12.627915999999995</v>
      </c>
      <c r="AD3441" s="94">
        <f t="shared" si="2620"/>
        <v>22.22513215999999</v>
      </c>
      <c r="AE3441" s="190"/>
      <c r="AF3441" s="191"/>
      <c r="AG3441" s="191"/>
      <c r="AH3441" s="191"/>
      <c r="AI3441" s="186"/>
      <c r="AK3441" s="171"/>
    </row>
    <row r="3442" spans="1:37" s="102" customFormat="1" ht="19.899999999999999" customHeight="1" x14ac:dyDescent="0.25">
      <c r="A3442" s="45"/>
      <c r="B3442" s="59"/>
      <c r="C3442" s="137"/>
      <c r="D3442" s="59"/>
      <c r="E3442" s="116"/>
      <c r="F3442" s="120"/>
      <c r="G3442" s="120"/>
      <c r="H3442" s="120"/>
      <c r="I3442" s="60"/>
      <c r="J3442" s="116"/>
      <c r="K3442" s="213"/>
      <c r="L3442" s="120"/>
      <c r="M3442" s="120"/>
      <c r="N3442" s="167"/>
      <c r="O3442" s="120"/>
      <c r="P3442" s="120"/>
      <c r="Q3442" s="120"/>
      <c r="R3442" s="120"/>
      <c r="S3442" s="120"/>
      <c r="T3442" s="221"/>
      <c r="U3442" s="89"/>
      <c r="V3442" s="61"/>
      <c r="W3442" s="92" t="s">
        <v>161</v>
      </c>
      <c r="X3442" s="93" t="s">
        <v>29</v>
      </c>
      <c r="Y3442" s="93" t="s">
        <v>93</v>
      </c>
      <c r="Z3442" s="134">
        <f>VLOOKUP(W3442,Sheet2!$B:$D,3,FALSE)</f>
        <v>48</v>
      </c>
      <c r="AA3442" s="93">
        <f>(16*0.85*1.5)/(1*4)</f>
        <v>5.0999999999999996</v>
      </c>
      <c r="AB3442" s="93">
        <f>AD3442/AC3439</f>
        <v>9.4117647058823533</v>
      </c>
      <c r="AC3442" s="93">
        <f>AC3439/AA3442</f>
        <v>4.4215392156862734</v>
      </c>
      <c r="AD3442" s="94">
        <f>AC3442*Z3442</f>
        <v>212.23388235294112</v>
      </c>
      <c r="AE3442" s="190"/>
      <c r="AF3442" s="191"/>
      <c r="AG3442" s="191"/>
      <c r="AH3442" s="191"/>
      <c r="AI3442" s="186"/>
      <c r="AK3442" s="171"/>
    </row>
    <row r="3443" spans="1:37" s="102" customFormat="1" ht="19.899999999999999" customHeight="1" x14ac:dyDescent="0.25">
      <c r="A3443" s="45"/>
      <c r="B3443" s="59"/>
      <c r="C3443" s="137"/>
      <c r="D3443" s="59"/>
      <c r="E3443" s="116"/>
      <c r="F3443" s="120"/>
      <c r="G3443" s="120"/>
      <c r="H3443" s="120"/>
      <c r="I3443" s="60"/>
      <c r="J3443" s="116"/>
      <c r="K3443" s="213"/>
      <c r="L3443" s="120"/>
      <c r="M3443" s="120"/>
      <c r="N3443" s="167"/>
      <c r="O3443" s="120"/>
      <c r="P3443" s="120"/>
      <c r="Q3443" s="120"/>
      <c r="R3443" s="120"/>
      <c r="S3443" s="120"/>
      <c r="T3443" s="221"/>
      <c r="U3443" s="89"/>
      <c r="V3443" s="61"/>
      <c r="W3443" s="92" t="s">
        <v>65</v>
      </c>
      <c r="X3443" s="93" t="s">
        <v>30</v>
      </c>
      <c r="Y3443" s="93" t="s">
        <v>1011</v>
      </c>
      <c r="Z3443" s="134">
        <f>VLOOKUP(W3443,Sheet2!$B:$D,3,FALSE)</f>
        <v>1.76</v>
      </c>
      <c r="AA3443" s="93">
        <f>AA3442/10</f>
        <v>0.51</v>
      </c>
      <c r="AB3443" s="93">
        <f>AD3443/AC3439</f>
        <v>3.4509803921568629</v>
      </c>
      <c r="AC3443" s="93">
        <f>AC3439/AA3443</f>
        <v>44.215392156862727</v>
      </c>
      <c r="AD3443" s="94">
        <f>AC3443*Z3443</f>
        <v>77.819090196078406</v>
      </c>
      <c r="AE3443" s="190"/>
      <c r="AF3443" s="191"/>
      <c r="AG3443" s="191"/>
      <c r="AH3443" s="191"/>
      <c r="AI3443" s="186"/>
      <c r="AK3443" s="171"/>
    </row>
    <row r="3444" spans="1:37" s="102" customFormat="1" ht="19.899999999999999" customHeight="1" x14ac:dyDescent="0.25">
      <c r="A3444" s="45"/>
      <c r="B3444" s="59"/>
      <c r="C3444" s="137"/>
      <c r="D3444" s="59"/>
      <c r="E3444" s="116"/>
      <c r="F3444" s="120"/>
      <c r="G3444" s="120"/>
      <c r="H3444" s="120"/>
      <c r="I3444" s="60"/>
      <c r="J3444" s="116"/>
      <c r="K3444" s="213"/>
      <c r="L3444" s="120"/>
      <c r="M3444" s="120"/>
      <c r="N3444" s="167"/>
      <c r="O3444" s="120"/>
      <c r="P3444" s="120"/>
      <c r="Q3444" s="120"/>
      <c r="R3444" s="120"/>
      <c r="S3444" s="120"/>
      <c r="T3444" s="221"/>
      <c r="U3444" s="89"/>
      <c r="V3444" s="61"/>
      <c r="W3444" s="92" t="s">
        <v>1030</v>
      </c>
      <c r="X3444" s="93" t="s">
        <v>29</v>
      </c>
      <c r="Y3444" s="93" t="s">
        <v>93</v>
      </c>
      <c r="Z3444" s="134">
        <f>VLOOKUP(W3444,Sheet2!$B:$D,3,FALSE)</f>
        <v>23</v>
      </c>
      <c r="AA3444" s="93">
        <v>50</v>
      </c>
      <c r="AB3444" s="93">
        <f>AD3444/AC3439</f>
        <v>0.46000000000000008</v>
      </c>
      <c r="AC3444" s="93">
        <f>AC3439/AA3444</f>
        <v>0.45099699999999987</v>
      </c>
      <c r="AD3444" s="94">
        <f t="shared" ref="AD3444:AD3448" si="2621">AC3444*Z3444</f>
        <v>10.372930999999998</v>
      </c>
      <c r="AE3444" s="190"/>
      <c r="AF3444" s="191"/>
      <c r="AG3444" s="191"/>
      <c r="AH3444" s="191"/>
      <c r="AI3444" s="186"/>
      <c r="AK3444" s="171"/>
    </row>
    <row r="3445" spans="1:37" s="102" customFormat="1" ht="19.899999999999999" customHeight="1" x14ac:dyDescent="0.25">
      <c r="A3445" s="45"/>
      <c r="B3445" s="59"/>
      <c r="C3445" s="137"/>
      <c r="D3445" s="59"/>
      <c r="E3445" s="116"/>
      <c r="F3445" s="120"/>
      <c r="G3445" s="120"/>
      <c r="H3445" s="120"/>
      <c r="I3445" s="60"/>
      <c r="J3445" s="116"/>
      <c r="K3445" s="213"/>
      <c r="L3445" s="120"/>
      <c r="M3445" s="120"/>
      <c r="N3445" s="167"/>
      <c r="O3445" s="120"/>
      <c r="P3445" s="120"/>
      <c r="Q3445" s="120"/>
      <c r="R3445" s="120"/>
      <c r="S3445" s="120"/>
      <c r="T3445" s="221"/>
      <c r="U3445" s="89"/>
      <c r="V3445" s="61"/>
      <c r="W3445" s="92" t="s">
        <v>65</v>
      </c>
      <c r="X3445" s="93" t="s">
        <v>30</v>
      </c>
      <c r="Y3445" s="93" t="s">
        <v>1011</v>
      </c>
      <c r="Z3445" s="134">
        <f>VLOOKUP(W3445,Sheet2!$B:$D,3,FALSE)</f>
        <v>1.76</v>
      </c>
      <c r="AA3445" s="93">
        <f>AA3444/3</f>
        <v>16.666666666666668</v>
      </c>
      <c r="AB3445" s="93">
        <f>AD3445/AC3439</f>
        <v>0.10559999999999999</v>
      </c>
      <c r="AC3445" s="93">
        <f>AC3439/AA3445</f>
        <v>1.3529909999999994</v>
      </c>
      <c r="AD3445" s="94">
        <f t="shared" si="2621"/>
        <v>2.3812641599999989</v>
      </c>
      <c r="AE3445" s="190"/>
      <c r="AF3445" s="191"/>
      <c r="AG3445" s="191"/>
      <c r="AH3445" s="191"/>
      <c r="AI3445" s="186"/>
      <c r="AK3445" s="171"/>
    </row>
    <row r="3446" spans="1:37" s="102" customFormat="1" ht="19.899999999999999" customHeight="1" x14ac:dyDescent="0.25">
      <c r="A3446" s="45"/>
      <c r="B3446" s="59"/>
      <c r="C3446" s="137"/>
      <c r="D3446" s="59"/>
      <c r="E3446" s="116"/>
      <c r="F3446" s="120"/>
      <c r="G3446" s="120"/>
      <c r="H3446" s="120"/>
      <c r="I3446" s="60"/>
      <c r="J3446" s="116"/>
      <c r="K3446" s="213"/>
      <c r="L3446" s="120"/>
      <c r="M3446" s="120"/>
      <c r="N3446" s="167"/>
      <c r="O3446" s="120"/>
      <c r="P3446" s="120"/>
      <c r="Q3446" s="120"/>
      <c r="R3446" s="120"/>
      <c r="S3446" s="120"/>
      <c r="T3446" s="221"/>
      <c r="U3446" s="89"/>
      <c r="V3446" s="61"/>
      <c r="W3446" s="92" t="s">
        <v>148</v>
      </c>
      <c r="X3446" s="93" t="s">
        <v>29</v>
      </c>
      <c r="Y3446" s="93" t="s">
        <v>93</v>
      </c>
      <c r="Z3446" s="134">
        <f>VLOOKUP(W3446,Sheet2!$B:$D,3,FALSE)</f>
        <v>48</v>
      </c>
      <c r="AA3446" s="93">
        <f>AA3440</f>
        <v>25</v>
      </c>
      <c r="AB3446" s="93">
        <f>AD3446/AC3439</f>
        <v>1.9200000000000002</v>
      </c>
      <c r="AC3446" s="93">
        <f>AC3439/AA3446</f>
        <v>0.90199399999999974</v>
      </c>
      <c r="AD3446" s="94">
        <f t="shared" si="2621"/>
        <v>43.295711999999988</v>
      </c>
      <c r="AE3446" s="190"/>
      <c r="AF3446" s="191"/>
      <c r="AG3446" s="191"/>
      <c r="AH3446" s="191"/>
      <c r="AI3446" s="186"/>
      <c r="AK3446" s="171"/>
    </row>
    <row r="3447" spans="1:37" s="102" customFormat="1" ht="19.899999999999999" customHeight="1" x14ac:dyDescent="0.25">
      <c r="A3447" s="45"/>
      <c r="B3447" s="59"/>
      <c r="C3447" s="137"/>
      <c r="D3447" s="59"/>
      <c r="E3447" s="116"/>
      <c r="F3447" s="120"/>
      <c r="G3447" s="120"/>
      <c r="H3447" s="120"/>
      <c r="I3447" s="60"/>
      <c r="J3447" s="116"/>
      <c r="K3447" s="213"/>
      <c r="L3447" s="120"/>
      <c r="M3447" s="120"/>
      <c r="N3447" s="167"/>
      <c r="O3447" s="120"/>
      <c r="P3447" s="120"/>
      <c r="Q3447" s="120"/>
      <c r="R3447" s="120"/>
      <c r="S3447" s="120"/>
      <c r="T3447" s="221"/>
      <c r="U3447" s="89"/>
      <c r="V3447" s="61"/>
      <c r="W3447" s="92" t="s">
        <v>65</v>
      </c>
      <c r="X3447" s="93" t="s">
        <v>30</v>
      </c>
      <c r="Y3447" s="93" t="s">
        <v>1011</v>
      </c>
      <c r="Z3447" s="134">
        <f>VLOOKUP(W3447,Sheet2!$B:$D,3,FALSE)</f>
        <v>1.76</v>
      </c>
      <c r="AA3447" s="93">
        <f>AA3446/10</f>
        <v>2.5</v>
      </c>
      <c r="AB3447" s="93">
        <f>AD3447/AC3439</f>
        <v>0.70399999999999996</v>
      </c>
      <c r="AC3447" s="93">
        <f>AC3439/AA3447</f>
        <v>9.0199399999999965</v>
      </c>
      <c r="AD3447" s="94">
        <f t="shared" si="2621"/>
        <v>15.875094399999995</v>
      </c>
      <c r="AE3447" s="190"/>
      <c r="AF3447" s="191"/>
      <c r="AG3447" s="191"/>
      <c r="AH3447" s="191"/>
      <c r="AI3447" s="186"/>
      <c r="AK3447" s="171"/>
    </row>
    <row r="3448" spans="1:37" s="102" customFormat="1" ht="19.899999999999999" customHeight="1" x14ac:dyDescent="0.25">
      <c r="A3448" s="45"/>
      <c r="B3448" s="59"/>
      <c r="C3448" s="137"/>
      <c r="D3448" s="59"/>
      <c r="E3448" s="116"/>
      <c r="F3448" s="120"/>
      <c r="G3448" s="120"/>
      <c r="H3448" s="120"/>
      <c r="I3448" s="60"/>
      <c r="J3448" s="116"/>
      <c r="K3448" s="213"/>
      <c r="L3448" s="120"/>
      <c r="M3448" s="120"/>
      <c r="N3448" s="167"/>
      <c r="O3448" s="120"/>
      <c r="P3448" s="120"/>
      <c r="Q3448" s="120"/>
      <c r="R3448" s="120"/>
      <c r="S3448" s="120"/>
      <c r="T3448" s="221"/>
      <c r="U3448" s="89"/>
      <c r="V3448" s="61"/>
      <c r="W3448" s="92" t="s">
        <v>1049</v>
      </c>
      <c r="X3448" s="93" t="s">
        <v>30</v>
      </c>
      <c r="Y3448" s="93" t="s">
        <v>68</v>
      </c>
      <c r="Z3448" s="134">
        <f>VLOOKUP(W3448,Sheet2!$B:$D,3,FALSE)</f>
        <v>60</v>
      </c>
      <c r="AA3448" s="93">
        <v>1</v>
      </c>
      <c r="AB3448" s="93">
        <f>AD3448/AC3439</f>
        <v>60</v>
      </c>
      <c r="AC3448" s="93">
        <f>AC3439/AA3448</f>
        <v>22.549849999999992</v>
      </c>
      <c r="AD3448" s="94">
        <f t="shared" si="2621"/>
        <v>1352.9909999999995</v>
      </c>
      <c r="AE3448" s="190"/>
      <c r="AF3448" s="191"/>
      <c r="AG3448" s="191"/>
      <c r="AH3448" s="191"/>
      <c r="AI3448" s="186"/>
      <c r="AK3448" s="171"/>
    </row>
    <row r="3449" spans="1:37" s="103" customFormat="1" ht="19.899999999999999" customHeight="1" x14ac:dyDescent="0.25">
      <c r="A3449" s="51"/>
      <c r="B3449" s="52"/>
      <c r="C3449" s="165"/>
      <c r="D3449" s="52"/>
      <c r="E3449" s="115"/>
      <c r="F3449" s="58"/>
      <c r="G3449" s="58"/>
      <c r="H3449" s="58"/>
      <c r="I3449" s="55"/>
      <c r="J3449" s="113">
        <f>J3438</f>
        <v>22.549849999999992</v>
      </c>
      <c r="K3449" s="212">
        <f>K3438</f>
        <v>22.549849999999992</v>
      </c>
      <c r="L3449" s="58"/>
      <c r="M3449" s="58">
        <f>K3449-L3449</f>
        <v>22.549849999999992</v>
      </c>
      <c r="N3449" s="166"/>
      <c r="O3449" s="58"/>
      <c r="P3449" s="58"/>
      <c r="Q3449" s="58"/>
      <c r="R3449" s="58"/>
      <c r="S3449" s="58"/>
      <c r="T3449" s="220"/>
      <c r="U3449" s="88"/>
      <c r="V3449" s="56"/>
      <c r="W3449" s="57" t="s">
        <v>1036</v>
      </c>
      <c r="X3449" s="53"/>
      <c r="Y3449" s="91" t="s">
        <v>68</v>
      </c>
      <c r="Z3449" s="136">
        <f>AD3449/AC3449</f>
        <v>150.58333333333334</v>
      </c>
      <c r="AA3449" s="58"/>
      <c r="AB3449" s="53">
        <f>AD3449/AC3449</f>
        <v>150.58333333333334</v>
      </c>
      <c r="AC3449" s="53">
        <f>M3449+$AE$10</f>
        <v>22.549849999999992</v>
      </c>
      <c r="AD3449" s="54">
        <f>SUM(AD3450:AD3456)</f>
        <v>3395.6315791666657</v>
      </c>
      <c r="AE3449" s="184">
        <f>SUMIFS($AD$37:$AD$12971,$V$37:$V$12971,$V3449,$X$37:$X$12971,AE$13)</f>
        <v>0</v>
      </c>
      <c r="AF3449" s="185">
        <f>SUMIFS($AD$37:$AD$12971,$V$37:$V$12971,$V3449,$X$37:$X$12971,AF$13)</f>
        <v>0</v>
      </c>
      <c r="AG3449" s="185">
        <f>SUMIFS($AD$37:$AD$12971,$V$37:$V$12971,$V3449,$X$37:$X$12971,AG$13)</f>
        <v>0</v>
      </c>
      <c r="AH3449" s="187">
        <f>SUMIFS($AD$37:$AD$12971,$V$37:$V$12971,$V3449,$X$37:$X$12971,AH$13)</f>
        <v>0</v>
      </c>
      <c r="AI3449" s="161">
        <f t="shared" ref="AI3449" si="2622">SUM(AE3449:AH3449)</f>
        <v>0</v>
      </c>
      <c r="AK3449" s="172"/>
    </row>
    <row r="3450" spans="1:37" s="102" customFormat="1" ht="19.899999999999999" customHeight="1" x14ac:dyDescent="0.25">
      <c r="A3450" s="45"/>
      <c r="B3450" s="59"/>
      <c r="C3450" s="137"/>
      <c r="D3450" s="59"/>
      <c r="E3450" s="116"/>
      <c r="F3450" s="120"/>
      <c r="G3450" s="120"/>
      <c r="H3450" s="120"/>
      <c r="I3450" s="60"/>
      <c r="J3450" s="116"/>
      <c r="K3450" s="213"/>
      <c r="L3450" s="120"/>
      <c r="M3450" s="120"/>
      <c r="N3450" s="167"/>
      <c r="O3450" s="120"/>
      <c r="P3450" s="120"/>
      <c r="Q3450" s="120"/>
      <c r="R3450" s="120"/>
      <c r="S3450" s="120"/>
      <c r="T3450" s="221"/>
      <c r="U3450" s="89"/>
      <c r="V3450" s="61"/>
      <c r="W3450" s="92" t="s">
        <v>1229</v>
      </c>
      <c r="X3450" s="93" t="s">
        <v>30</v>
      </c>
      <c r="Y3450" s="93" t="s">
        <v>68</v>
      </c>
      <c r="Z3450" s="134">
        <f>VLOOKUP(W3450,Sheet2!$B:$D,3,FALSE)</f>
        <v>95</v>
      </c>
      <c r="AA3450" s="93">
        <v>1</v>
      </c>
      <c r="AB3450" s="93">
        <f>AD3450/AC3449</f>
        <v>95</v>
      </c>
      <c r="AC3450" s="93">
        <f>AC3449/AA3450</f>
        <v>22.549849999999992</v>
      </c>
      <c r="AD3450" s="94">
        <f t="shared" ref="AD3450" si="2623">AC3450*Z3450</f>
        <v>2142.2357499999994</v>
      </c>
      <c r="AE3450" s="190"/>
      <c r="AF3450" s="191"/>
      <c r="AG3450" s="191"/>
      <c r="AH3450" s="191"/>
      <c r="AI3450" s="186"/>
      <c r="AK3450" s="171"/>
    </row>
    <row r="3451" spans="1:37" s="102" customFormat="1" ht="19.899999999999999" customHeight="1" x14ac:dyDescent="0.25">
      <c r="A3451" s="45"/>
      <c r="B3451" s="59"/>
      <c r="C3451" s="137"/>
      <c r="D3451" s="59"/>
      <c r="E3451" s="116"/>
      <c r="F3451" s="120"/>
      <c r="G3451" s="120"/>
      <c r="H3451" s="120"/>
      <c r="I3451" s="60"/>
      <c r="J3451" s="116"/>
      <c r="K3451" s="213"/>
      <c r="L3451" s="120"/>
      <c r="M3451" s="120"/>
      <c r="N3451" s="167"/>
      <c r="O3451" s="120"/>
      <c r="P3451" s="120"/>
      <c r="Q3451" s="120"/>
      <c r="R3451" s="120"/>
      <c r="S3451" s="120"/>
      <c r="T3451" s="221"/>
      <c r="U3451" s="89"/>
      <c r="V3451" s="61"/>
      <c r="W3451" s="92" t="s">
        <v>1230</v>
      </c>
      <c r="X3451" s="93" t="s">
        <v>30</v>
      </c>
      <c r="Y3451" s="93" t="s">
        <v>68</v>
      </c>
      <c r="Z3451" s="134">
        <f>VLOOKUP(W3451,Sheet2!$B:$D,3,FALSE)</f>
        <v>10</v>
      </c>
      <c r="AA3451" s="93">
        <v>1</v>
      </c>
      <c r="AB3451" s="93">
        <f>AD3451/AC3449</f>
        <v>10</v>
      </c>
      <c r="AC3451" s="93">
        <f>AC3449/AA3451</f>
        <v>22.549849999999992</v>
      </c>
      <c r="AD3451" s="94">
        <f>AC3451*Z3451</f>
        <v>225.49849999999992</v>
      </c>
      <c r="AE3451" s="190"/>
      <c r="AF3451" s="191"/>
      <c r="AG3451" s="191"/>
      <c r="AH3451" s="191"/>
      <c r="AI3451" s="186"/>
      <c r="AK3451" s="171"/>
    </row>
    <row r="3452" spans="1:37" s="102" customFormat="1" ht="19.899999999999999" customHeight="1" x14ac:dyDescent="0.25">
      <c r="A3452" s="45"/>
      <c r="B3452" s="59"/>
      <c r="C3452" s="137"/>
      <c r="D3452" s="59"/>
      <c r="E3452" s="116"/>
      <c r="F3452" s="120"/>
      <c r="G3452" s="120"/>
      <c r="H3452" s="120"/>
      <c r="I3452" s="60"/>
      <c r="J3452" s="116"/>
      <c r="K3452" s="213"/>
      <c r="L3452" s="120"/>
      <c r="M3452" s="120"/>
      <c r="N3452" s="167"/>
      <c r="O3452" s="120"/>
      <c r="P3452" s="120"/>
      <c r="Q3452" s="120"/>
      <c r="R3452" s="120"/>
      <c r="S3452" s="120"/>
      <c r="T3452" s="221"/>
      <c r="U3452" s="89"/>
      <c r="V3452" s="61"/>
      <c r="W3452" s="92" t="s">
        <v>107</v>
      </c>
      <c r="X3452" s="93" t="s">
        <v>31</v>
      </c>
      <c r="Y3452" s="93" t="s">
        <v>93</v>
      </c>
      <c r="Z3452" s="134">
        <f>VLOOKUP(W3452,Sheet2!$B:$D,3,FALSE)</f>
        <v>17</v>
      </c>
      <c r="AA3452" s="93">
        <v>6</v>
      </c>
      <c r="AB3452" s="93">
        <f>AD3452/AC3449</f>
        <v>2.8333333333333335</v>
      </c>
      <c r="AC3452" s="93">
        <f>AC3449/AA3452</f>
        <v>3.758308333333332</v>
      </c>
      <c r="AD3452" s="94">
        <f>AC3452*Z3452</f>
        <v>63.891241666666645</v>
      </c>
      <c r="AE3452" s="190"/>
      <c r="AF3452" s="191"/>
      <c r="AG3452" s="191"/>
      <c r="AH3452" s="191"/>
      <c r="AI3452" s="186"/>
      <c r="AK3452" s="171"/>
    </row>
    <row r="3453" spans="1:37" s="102" customFormat="1" ht="19.899999999999999" customHeight="1" x14ac:dyDescent="0.25">
      <c r="A3453" s="45"/>
      <c r="B3453" s="59"/>
      <c r="C3453" s="137"/>
      <c r="D3453" s="59"/>
      <c r="E3453" s="116"/>
      <c r="F3453" s="120"/>
      <c r="G3453" s="120"/>
      <c r="H3453" s="120"/>
      <c r="I3453" s="60"/>
      <c r="J3453" s="116"/>
      <c r="K3453" s="213"/>
      <c r="L3453" s="120"/>
      <c r="M3453" s="120"/>
      <c r="N3453" s="167"/>
      <c r="O3453" s="120"/>
      <c r="P3453" s="120"/>
      <c r="Q3453" s="120"/>
      <c r="R3453" s="120"/>
      <c r="S3453" s="120"/>
      <c r="T3453" s="221"/>
      <c r="U3453" s="89"/>
      <c r="V3453" s="61"/>
      <c r="W3453" s="92" t="s">
        <v>112</v>
      </c>
      <c r="X3453" s="93" t="s">
        <v>31</v>
      </c>
      <c r="Y3453" s="93" t="s">
        <v>93</v>
      </c>
      <c r="Z3453" s="134">
        <f>VLOOKUP(W3453,Sheet2!$B:$D,3,FALSE)</f>
        <v>13</v>
      </c>
      <c r="AA3453" s="93">
        <v>6</v>
      </c>
      <c r="AB3453" s="93">
        <f>AD3453/AC3449</f>
        <v>2.1666666666666665</v>
      </c>
      <c r="AC3453" s="93">
        <f>AC3449/AA3453</f>
        <v>3.758308333333332</v>
      </c>
      <c r="AD3453" s="94">
        <f>AC3453*Z3453</f>
        <v>48.858008333333316</v>
      </c>
      <c r="AE3453" s="190"/>
      <c r="AF3453" s="191"/>
      <c r="AG3453" s="191"/>
      <c r="AH3453" s="191"/>
      <c r="AI3453" s="186"/>
      <c r="AK3453" s="171"/>
    </row>
    <row r="3454" spans="1:37" s="102" customFormat="1" ht="19.899999999999999" customHeight="1" x14ac:dyDescent="0.25">
      <c r="A3454" s="45"/>
      <c r="B3454" s="59"/>
      <c r="C3454" s="137"/>
      <c r="D3454" s="59"/>
      <c r="E3454" s="116"/>
      <c r="F3454" s="120"/>
      <c r="G3454" s="120"/>
      <c r="H3454" s="120"/>
      <c r="I3454" s="60"/>
      <c r="J3454" s="116"/>
      <c r="K3454" s="213"/>
      <c r="L3454" s="120"/>
      <c r="M3454" s="120"/>
      <c r="N3454" s="167"/>
      <c r="O3454" s="120"/>
      <c r="P3454" s="120"/>
      <c r="Q3454" s="120"/>
      <c r="R3454" s="120"/>
      <c r="S3454" s="120"/>
      <c r="T3454" s="221"/>
      <c r="U3454" s="89"/>
      <c r="V3454" s="61"/>
      <c r="W3454" s="92" t="s">
        <v>1032</v>
      </c>
      <c r="X3454" s="93" t="s">
        <v>30</v>
      </c>
      <c r="Y3454" s="93" t="s">
        <v>66</v>
      </c>
      <c r="Z3454" s="134">
        <f>VLOOKUP(W3454,Sheet2!$B:$D,3,FALSE)</f>
        <v>250</v>
      </c>
      <c r="AA3454" s="93">
        <f>1/(1*1*0.1)</f>
        <v>10</v>
      </c>
      <c r="AB3454" s="93">
        <f>AD3454/AC3449</f>
        <v>25</v>
      </c>
      <c r="AC3454" s="93">
        <f>AC3449/AA3454</f>
        <v>2.2549849999999991</v>
      </c>
      <c r="AD3454" s="94">
        <f>AC3454*Z3454</f>
        <v>563.7462499999998</v>
      </c>
      <c r="AE3454" s="190"/>
      <c r="AF3454" s="191"/>
      <c r="AG3454" s="191"/>
      <c r="AH3454" s="191"/>
      <c r="AI3454" s="186"/>
      <c r="AK3454" s="171"/>
    </row>
    <row r="3455" spans="1:37" s="102" customFormat="1" ht="19.899999999999999" customHeight="1" x14ac:dyDescent="0.25">
      <c r="A3455" s="45"/>
      <c r="B3455" s="59"/>
      <c r="C3455" s="137"/>
      <c r="D3455" s="59"/>
      <c r="E3455" s="116"/>
      <c r="F3455" s="120"/>
      <c r="G3455" s="120"/>
      <c r="H3455" s="120"/>
      <c r="I3455" s="60"/>
      <c r="J3455" s="116"/>
      <c r="K3455" s="213"/>
      <c r="L3455" s="120"/>
      <c r="M3455" s="120"/>
      <c r="N3455" s="167"/>
      <c r="O3455" s="120"/>
      <c r="P3455" s="120"/>
      <c r="Q3455" s="120"/>
      <c r="R3455" s="120"/>
      <c r="S3455" s="120"/>
      <c r="T3455" s="221"/>
      <c r="U3455" s="89"/>
      <c r="V3455" s="61"/>
      <c r="W3455" s="92" t="s">
        <v>1035</v>
      </c>
      <c r="X3455" s="93" t="s">
        <v>32</v>
      </c>
      <c r="Y3455" s="93" t="s">
        <v>66</v>
      </c>
      <c r="Z3455" s="134">
        <f>VLOOKUP(W3455,Sheet2!$B:$D,3,FALSE)</f>
        <v>150</v>
      </c>
      <c r="AA3455" s="93">
        <f>AA3454</f>
        <v>10</v>
      </c>
      <c r="AB3455" s="93">
        <f>AD3455/AC3449</f>
        <v>15</v>
      </c>
      <c r="AC3455" s="93">
        <f>AC3449/AA3455</f>
        <v>2.2549849999999991</v>
      </c>
      <c r="AD3455" s="94">
        <f t="shared" ref="AD3455:AD3456" si="2624">AC3455*Z3455</f>
        <v>338.24774999999988</v>
      </c>
      <c r="AE3455" s="190"/>
      <c r="AF3455" s="191"/>
      <c r="AG3455" s="191"/>
      <c r="AH3455" s="191"/>
      <c r="AI3455" s="186"/>
      <c r="AK3455" s="171"/>
    </row>
    <row r="3456" spans="1:37" s="102" customFormat="1" ht="19.899999999999999" customHeight="1" x14ac:dyDescent="0.25">
      <c r="A3456" s="45"/>
      <c r="B3456" s="59"/>
      <c r="C3456" s="137"/>
      <c r="D3456" s="59"/>
      <c r="E3456" s="116"/>
      <c r="F3456" s="120"/>
      <c r="G3456" s="120"/>
      <c r="H3456" s="120"/>
      <c r="I3456" s="60"/>
      <c r="J3456" s="116"/>
      <c r="K3456" s="213"/>
      <c r="L3456" s="120"/>
      <c r="M3456" s="120"/>
      <c r="N3456" s="167"/>
      <c r="O3456" s="120"/>
      <c r="P3456" s="120"/>
      <c r="Q3456" s="120"/>
      <c r="R3456" s="120"/>
      <c r="S3456" s="120"/>
      <c r="T3456" s="221"/>
      <c r="U3456" s="89"/>
      <c r="V3456" s="61"/>
      <c r="W3456" s="92" t="s">
        <v>1037</v>
      </c>
      <c r="X3456" s="93" t="s">
        <v>30</v>
      </c>
      <c r="Y3456" s="93" t="s">
        <v>1038</v>
      </c>
      <c r="Z3456" s="134">
        <f>VLOOKUP(W3456,Sheet2!$B:$D,3,FALSE)</f>
        <v>175</v>
      </c>
      <c r="AA3456" s="93">
        <v>300</v>
      </c>
      <c r="AB3456" s="93">
        <f>AD3456/AC3449</f>
        <v>0.58333333333333337</v>
      </c>
      <c r="AC3456" s="93">
        <f>AC3449/AA3456</f>
        <v>7.5166166666666645E-2</v>
      </c>
      <c r="AD3456" s="94">
        <f t="shared" si="2624"/>
        <v>13.154079166666662</v>
      </c>
      <c r="AE3456" s="190"/>
      <c r="AF3456" s="191"/>
      <c r="AG3456" s="191"/>
      <c r="AH3456" s="191"/>
      <c r="AI3456" s="186"/>
      <c r="AK3456" s="171"/>
    </row>
    <row r="3457" spans="1:41" s="103" customFormat="1" ht="19.899999999999999" customHeight="1" x14ac:dyDescent="0.25">
      <c r="A3457" s="51"/>
      <c r="B3457" s="52"/>
      <c r="C3457" s="165"/>
      <c r="D3457" s="52"/>
      <c r="E3457" s="115"/>
      <c r="F3457" s="58"/>
      <c r="G3457" s="58"/>
      <c r="H3457" s="58"/>
      <c r="I3457" s="55"/>
      <c r="J3457" s="113">
        <f>J3438</f>
        <v>22.549849999999992</v>
      </c>
      <c r="K3457" s="212">
        <f>K3438</f>
        <v>22.549849999999992</v>
      </c>
      <c r="L3457" s="58"/>
      <c r="M3457" s="58">
        <f>K3457-L3457</f>
        <v>22.549849999999992</v>
      </c>
      <c r="N3457" s="166"/>
      <c r="O3457" s="58"/>
      <c r="P3457" s="58"/>
      <c r="Q3457" s="58"/>
      <c r="R3457" s="58"/>
      <c r="S3457" s="58"/>
      <c r="T3457" s="220"/>
      <c r="U3457" s="88"/>
      <c r="V3457" s="56"/>
      <c r="W3457" s="57" t="s">
        <v>1040</v>
      </c>
      <c r="X3457" s="53"/>
      <c r="Y3457" s="91" t="s">
        <v>68</v>
      </c>
      <c r="Z3457" s="136">
        <f>AD3457/AC3457</f>
        <v>5</v>
      </c>
      <c r="AA3457" s="58"/>
      <c r="AB3457" s="53">
        <f>AD3457/AC3457</f>
        <v>5</v>
      </c>
      <c r="AC3457" s="53">
        <f>M3457+$AE$10</f>
        <v>22.549849999999992</v>
      </c>
      <c r="AD3457" s="54">
        <f>SUM(AD3458)</f>
        <v>112.74924999999996</v>
      </c>
      <c r="AE3457" s="184">
        <f>SUMIFS($AD$37:$AD$12971,$V$37:$V$12971,$V3457,$X$37:$X$12971,AE$13)</f>
        <v>0</v>
      </c>
      <c r="AF3457" s="185">
        <f>SUMIFS($AD$37:$AD$12971,$V$37:$V$12971,$V3457,$X$37:$X$12971,AF$13)</f>
        <v>0</v>
      </c>
      <c r="AG3457" s="185">
        <f>SUMIFS($AD$37:$AD$12971,$V$37:$V$12971,$V3457,$X$37:$X$12971,AG$13)</f>
        <v>0</v>
      </c>
      <c r="AH3457" s="187">
        <f>SUMIFS($AD$37:$AD$12971,$V$37:$V$12971,$V3457,$X$37:$X$12971,AH$13)</f>
        <v>0</v>
      </c>
      <c r="AI3457" s="161">
        <f t="shared" ref="AI3457" si="2625">SUM(AE3457:AH3457)</f>
        <v>0</v>
      </c>
      <c r="AK3457" s="172"/>
    </row>
    <row r="3458" spans="1:41" s="102" customFormat="1" ht="19.899999999999999" customHeight="1" x14ac:dyDescent="0.25">
      <c r="A3458" s="45"/>
      <c r="B3458" s="59"/>
      <c r="C3458" s="137"/>
      <c r="D3458" s="59"/>
      <c r="E3458" s="116"/>
      <c r="F3458" s="120"/>
      <c r="G3458" s="120"/>
      <c r="H3458" s="120"/>
      <c r="I3458" s="60"/>
      <c r="J3458" s="116"/>
      <c r="K3458" s="213"/>
      <c r="L3458" s="120"/>
      <c r="M3458" s="120"/>
      <c r="N3458" s="167"/>
      <c r="O3458" s="120"/>
      <c r="P3458" s="120"/>
      <c r="Q3458" s="120"/>
      <c r="R3458" s="120"/>
      <c r="S3458" s="120"/>
      <c r="T3458" s="221"/>
      <c r="U3458" s="89"/>
      <c r="V3458" s="61"/>
      <c r="W3458" s="92" t="s">
        <v>1039</v>
      </c>
      <c r="X3458" s="93" t="s">
        <v>32</v>
      </c>
      <c r="Y3458" s="93" t="s">
        <v>68</v>
      </c>
      <c r="Z3458" s="134">
        <f>VLOOKUP(W3458,Sheet2!$B:$D,3,FALSE)</f>
        <v>5</v>
      </c>
      <c r="AA3458" s="93">
        <v>1</v>
      </c>
      <c r="AB3458" s="93">
        <f>AD3458/AC3457</f>
        <v>5</v>
      </c>
      <c r="AC3458" s="93">
        <f>AC3457/AA3458</f>
        <v>22.549849999999992</v>
      </c>
      <c r="AD3458" s="94">
        <f t="shared" ref="AD3458" si="2626">AC3458*Z3458</f>
        <v>112.74924999999996</v>
      </c>
      <c r="AE3458" s="190"/>
      <c r="AF3458" s="191"/>
      <c r="AG3458" s="191"/>
      <c r="AH3458" s="191"/>
      <c r="AI3458" s="186"/>
      <c r="AK3458" s="171"/>
    </row>
    <row r="3459" spans="1:41" ht="20.100000000000001" customHeight="1" x14ac:dyDescent="0.25">
      <c r="A3459" s="277" t="s">
        <v>491</v>
      </c>
      <c r="B3459" s="278"/>
      <c r="C3459" s="64" t="s">
        <v>1171</v>
      </c>
      <c r="D3459" s="46" t="s">
        <v>97</v>
      </c>
      <c r="E3459" s="114"/>
      <c r="F3459" s="44"/>
      <c r="G3459" s="44">
        <f t="shared" si="2434"/>
        <v>0</v>
      </c>
      <c r="H3459" s="44">
        <f t="shared" si="2435"/>
        <v>0</v>
      </c>
      <c r="I3459" s="43">
        <f t="shared" si="2436"/>
        <v>0</v>
      </c>
      <c r="J3459" s="112">
        <f t="shared" si="2437"/>
        <v>0</v>
      </c>
      <c r="K3459" s="211">
        <f t="shared" si="2438"/>
        <v>0</v>
      </c>
      <c r="L3459" s="44"/>
      <c r="M3459" s="44">
        <f t="shared" si="2458"/>
        <v>0</v>
      </c>
      <c r="N3459" s="173">
        <f t="shared" si="2439"/>
        <v>0</v>
      </c>
      <c r="O3459" s="44">
        <f t="shared" si="2440"/>
        <v>0</v>
      </c>
      <c r="P3459" s="44">
        <f t="shared" si="2441"/>
        <v>0</v>
      </c>
      <c r="Q3459" s="44">
        <f t="shared" si="2442"/>
        <v>0</v>
      </c>
      <c r="R3459" s="44">
        <f t="shared" si="2459"/>
        <v>0</v>
      </c>
      <c r="S3459" s="123"/>
      <c r="T3459" s="219">
        <f t="shared" si="2460"/>
        <v>0</v>
      </c>
      <c r="U3459" s="87"/>
      <c r="V3459" s="47"/>
      <c r="W3459" s="48"/>
      <c r="X3459" s="48"/>
      <c r="Y3459" s="48"/>
      <c r="Z3459" s="135"/>
      <c r="AA3459" s="49"/>
      <c r="AB3459" s="50">
        <f t="shared" si="2443"/>
        <v>0</v>
      </c>
      <c r="AC3459" s="42">
        <f t="shared" si="2461"/>
        <v>9.9999999999999998E-20</v>
      </c>
      <c r="AD3459" s="90"/>
      <c r="AE3459" s="188"/>
      <c r="AF3459" s="189"/>
      <c r="AG3459" s="189"/>
      <c r="AH3459" s="189"/>
      <c r="AI3459" s="161"/>
    </row>
    <row r="3460" spans="1:41" ht="20.100000000000001" customHeight="1" x14ac:dyDescent="0.25">
      <c r="A3460" s="277" t="s">
        <v>491</v>
      </c>
      <c r="B3460" s="278"/>
      <c r="C3460" s="64" t="s">
        <v>1172</v>
      </c>
      <c r="D3460" s="46" t="s">
        <v>97</v>
      </c>
      <c r="E3460" s="114">
        <v>55.702600000000018</v>
      </c>
      <c r="F3460" s="44">
        <v>698</v>
      </c>
      <c r="G3460" s="44">
        <f t="shared" si="2434"/>
        <v>38880.414800000013</v>
      </c>
      <c r="H3460" s="44">
        <f t="shared" si="2435"/>
        <v>248.04736470588236</v>
      </c>
      <c r="I3460" s="43">
        <f t="shared" si="2436"/>
        <v>13816.883137265888</v>
      </c>
      <c r="J3460" s="112">
        <f t="shared" si="2437"/>
        <v>55.702600000000018</v>
      </c>
      <c r="K3460" s="211">
        <f t="shared" si="2438"/>
        <v>55.702600000000018</v>
      </c>
      <c r="L3460" s="44"/>
      <c r="M3460" s="44">
        <f t="shared" si="2458"/>
        <v>55.702600000000018</v>
      </c>
      <c r="N3460" s="173">
        <f t="shared" si="2439"/>
        <v>1</v>
      </c>
      <c r="O3460" s="44">
        <f t="shared" si="2440"/>
        <v>698</v>
      </c>
      <c r="P3460" s="44">
        <f t="shared" si="2441"/>
        <v>38880.414800000013</v>
      </c>
      <c r="Q3460" s="44">
        <f t="shared" si="2442"/>
        <v>248.04736470588236</v>
      </c>
      <c r="R3460" s="44">
        <f t="shared" si="2459"/>
        <v>13816.883137265888</v>
      </c>
      <c r="S3460" s="123"/>
      <c r="T3460" s="219">
        <f t="shared" si="2460"/>
        <v>13816.883137265888</v>
      </c>
      <c r="U3460" s="87"/>
      <c r="V3460" s="47"/>
      <c r="W3460" s="48"/>
      <c r="X3460" s="48"/>
      <c r="Y3460" s="48"/>
      <c r="Z3460" s="135"/>
      <c r="AA3460" s="49"/>
      <c r="AB3460" s="50">
        <f t="shared" si="2443"/>
        <v>248.04736470588236</v>
      </c>
      <c r="AC3460" s="42">
        <f t="shared" si="2461"/>
        <v>55.702600000000018</v>
      </c>
      <c r="AD3460" s="90">
        <f>AD3461+AD3471+AD3479</f>
        <v>13816.883137265888</v>
      </c>
      <c r="AE3460" s="188">
        <f t="shared" ref="AE3460:AH3460" si="2627">AE3461+AE3471+AE3479</f>
        <v>0</v>
      </c>
      <c r="AF3460" s="189">
        <f t="shared" si="2627"/>
        <v>0</v>
      </c>
      <c r="AG3460" s="189">
        <f t="shared" si="2627"/>
        <v>0</v>
      </c>
      <c r="AH3460" s="189">
        <f t="shared" si="2627"/>
        <v>0</v>
      </c>
      <c r="AI3460" s="161">
        <f t="shared" ref="AI3460" si="2628">SUM(AE3460:AH3460)</f>
        <v>0</v>
      </c>
      <c r="AK3460" s="169">
        <v>5</v>
      </c>
      <c r="AO3460" s="19" t="s">
        <v>63</v>
      </c>
    </row>
    <row r="3461" spans="1:41" s="103" customFormat="1" ht="19.899999999999999" customHeight="1" x14ac:dyDescent="0.25">
      <c r="A3461" s="51"/>
      <c r="B3461" s="52"/>
      <c r="C3461" s="165"/>
      <c r="D3461" s="52"/>
      <c r="E3461" s="115"/>
      <c r="F3461" s="58"/>
      <c r="G3461" s="58"/>
      <c r="H3461" s="58"/>
      <c r="I3461" s="55"/>
      <c r="J3461" s="113">
        <f>J3460</f>
        <v>55.702600000000018</v>
      </c>
      <c r="K3461" s="212">
        <f>K3460</f>
        <v>55.702600000000018</v>
      </c>
      <c r="L3461" s="58"/>
      <c r="M3461" s="58">
        <f>K3461-L3461</f>
        <v>55.702600000000018</v>
      </c>
      <c r="N3461" s="166"/>
      <c r="O3461" s="58"/>
      <c r="P3461" s="58"/>
      <c r="Q3461" s="58"/>
      <c r="R3461" s="58"/>
      <c r="S3461" s="58"/>
      <c r="T3461" s="220"/>
      <c r="U3461" s="88"/>
      <c r="V3461" s="56"/>
      <c r="W3461" s="57" t="s">
        <v>1223</v>
      </c>
      <c r="X3461" s="53"/>
      <c r="Y3461" s="91" t="s">
        <v>68</v>
      </c>
      <c r="Z3461" s="136">
        <f>AD3461/AC3461</f>
        <v>92.464031372549002</v>
      </c>
      <c r="AA3461" s="58"/>
      <c r="AB3461" s="53">
        <f>AD3461/AC3461</f>
        <v>92.464031372549002</v>
      </c>
      <c r="AC3461" s="53">
        <f>M3461+$AE$10</f>
        <v>55.702600000000018</v>
      </c>
      <c r="AD3461" s="54">
        <f>SUM(AD3462:AD3470)</f>
        <v>5150.48695393255</v>
      </c>
      <c r="AE3461" s="184">
        <f>SUMIFS($AD$37:$AD$12971,$V$37:$V$12971,$V3461,$X$37:$X$12971,AE$13)</f>
        <v>0</v>
      </c>
      <c r="AF3461" s="185">
        <f>SUMIFS($AD$37:$AD$12971,$V$37:$V$12971,$V3461,$X$37:$X$12971,AF$13)</f>
        <v>0</v>
      </c>
      <c r="AG3461" s="185">
        <f>SUMIFS($AD$37:$AD$12971,$V$37:$V$12971,$V3461,$X$37:$X$12971,AG$13)</f>
        <v>0</v>
      </c>
      <c r="AH3461" s="187">
        <f>SUMIFS($AD$37:$AD$12971,$V$37:$V$12971,$V3461,$X$37:$X$12971,AH$13)</f>
        <v>0</v>
      </c>
      <c r="AI3461" s="161">
        <f t="shared" ref="AI3461" si="2629">SUM(AE3461:AH3461)</f>
        <v>0</v>
      </c>
      <c r="AK3461" s="172"/>
    </row>
    <row r="3462" spans="1:41" s="102" customFormat="1" ht="19.899999999999999" customHeight="1" x14ac:dyDescent="0.25">
      <c r="A3462" s="45"/>
      <c r="B3462" s="59"/>
      <c r="C3462" s="137"/>
      <c r="D3462" s="59"/>
      <c r="E3462" s="116"/>
      <c r="F3462" s="120"/>
      <c r="G3462" s="120"/>
      <c r="H3462" s="120"/>
      <c r="I3462" s="60"/>
      <c r="J3462" s="116"/>
      <c r="K3462" s="213"/>
      <c r="L3462" s="120"/>
      <c r="M3462" s="120"/>
      <c r="N3462" s="167"/>
      <c r="O3462" s="120"/>
      <c r="P3462" s="120"/>
      <c r="Q3462" s="120"/>
      <c r="R3462" s="120"/>
      <c r="S3462" s="120"/>
      <c r="T3462" s="221"/>
      <c r="U3462" s="89"/>
      <c r="V3462" s="61"/>
      <c r="W3462" s="92" t="s">
        <v>131</v>
      </c>
      <c r="X3462" s="93" t="s">
        <v>29</v>
      </c>
      <c r="Y3462" s="93" t="s">
        <v>93</v>
      </c>
      <c r="Z3462" s="134">
        <f>VLOOKUP(W3462,Sheet2!$B:$D,3,FALSE)</f>
        <v>131.19999999999999</v>
      </c>
      <c r="AA3462" s="93">
        <f>80/(1*5)</f>
        <v>16</v>
      </c>
      <c r="AB3462" s="93">
        <f t="shared" ref="AB3462" si="2630">AD3462/AC3461</f>
        <v>8.1999999999999993</v>
      </c>
      <c r="AC3462" s="93">
        <f>AC3461/AA3462</f>
        <v>3.4814125000000011</v>
      </c>
      <c r="AD3462" s="94">
        <f t="shared" ref="AD3462:AD3463" si="2631">AC3462*Z3462</f>
        <v>456.76132000000013</v>
      </c>
      <c r="AE3462" s="190"/>
      <c r="AF3462" s="191"/>
      <c r="AG3462" s="191"/>
      <c r="AH3462" s="191"/>
      <c r="AI3462" s="186"/>
      <c r="AK3462" s="171"/>
    </row>
    <row r="3463" spans="1:41" s="102" customFormat="1" ht="19.899999999999999" customHeight="1" x14ac:dyDescent="0.25">
      <c r="A3463" s="45"/>
      <c r="B3463" s="59"/>
      <c r="C3463" s="137"/>
      <c r="D3463" s="59"/>
      <c r="E3463" s="116"/>
      <c r="F3463" s="120"/>
      <c r="G3463" s="120"/>
      <c r="H3463" s="120"/>
      <c r="I3463" s="60"/>
      <c r="J3463" s="116"/>
      <c r="K3463" s="213"/>
      <c r="L3463" s="120"/>
      <c r="M3463" s="120"/>
      <c r="N3463" s="167"/>
      <c r="O3463" s="120"/>
      <c r="P3463" s="120"/>
      <c r="Q3463" s="120"/>
      <c r="R3463" s="120"/>
      <c r="S3463" s="120"/>
      <c r="T3463" s="221"/>
      <c r="U3463" s="89"/>
      <c r="V3463" s="61"/>
      <c r="W3463" s="92" t="s">
        <v>65</v>
      </c>
      <c r="X3463" s="93" t="s">
        <v>30</v>
      </c>
      <c r="Y3463" s="93" t="s">
        <v>1011</v>
      </c>
      <c r="Z3463" s="134">
        <f>VLOOKUP(W3463,Sheet2!$B:$D,3,FALSE)</f>
        <v>1.76</v>
      </c>
      <c r="AA3463" s="93">
        <f>AA3462/32</f>
        <v>0.5</v>
      </c>
      <c r="AB3463" s="93">
        <f>AD3463/AC3461</f>
        <v>3.5200000000000005</v>
      </c>
      <c r="AC3463" s="93">
        <f>AC3461/AA3463</f>
        <v>111.40520000000004</v>
      </c>
      <c r="AD3463" s="94">
        <f t="shared" si="2631"/>
        <v>196.07315200000008</v>
      </c>
      <c r="AE3463" s="190"/>
      <c r="AF3463" s="191"/>
      <c r="AG3463" s="191"/>
      <c r="AH3463" s="191"/>
      <c r="AI3463" s="186"/>
      <c r="AK3463" s="171"/>
    </row>
    <row r="3464" spans="1:41" s="102" customFormat="1" ht="19.899999999999999" customHeight="1" x14ac:dyDescent="0.25">
      <c r="A3464" s="45"/>
      <c r="B3464" s="59"/>
      <c r="C3464" s="137"/>
      <c r="D3464" s="59"/>
      <c r="E3464" s="116"/>
      <c r="F3464" s="120"/>
      <c r="G3464" s="120"/>
      <c r="H3464" s="120"/>
      <c r="I3464" s="60"/>
      <c r="J3464" s="116"/>
      <c r="K3464" s="213"/>
      <c r="L3464" s="120"/>
      <c r="M3464" s="120"/>
      <c r="N3464" s="167"/>
      <c r="O3464" s="120"/>
      <c r="P3464" s="120"/>
      <c r="Q3464" s="120"/>
      <c r="R3464" s="120"/>
      <c r="S3464" s="120"/>
      <c r="T3464" s="221"/>
      <c r="U3464" s="89"/>
      <c r="V3464" s="61"/>
      <c r="W3464" s="92" t="s">
        <v>161</v>
      </c>
      <c r="X3464" s="93" t="s">
        <v>29</v>
      </c>
      <c r="Y3464" s="93" t="s">
        <v>93</v>
      </c>
      <c r="Z3464" s="134">
        <f>VLOOKUP(W3464,Sheet2!$B:$D,3,FALSE)</f>
        <v>48</v>
      </c>
      <c r="AA3464" s="93">
        <f>(16*0.85*1.5)/(1*5)</f>
        <v>4.08</v>
      </c>
      <c r="AB3464" s="93">
        <f>AD3464/AC3461</f>
        <v>11.76470588235294</v>
      </c>
      <c r="AC3464" s="93">
        <f>AC3461/AA3464</f>
        <v>13.65259803921569</v>
      </c>
      <c r="AD3464" s="94">
        <f>AC3464*Z3464</f>
        <v>655.3247058823531</v>
      </c>
      <c r="AE3464" s="190"/>
      <c r="AF3464" s="191"/>
      <c r="AG3464" s="191"/>
      <c r="AH3464" s="191"/>
      <c r="AI3464" s="186"/>
      <c r="AK3464" s="171"/>
    </row>
    <row r="3465" spans="1:41" s="102" customFormat="1" ht="19.899999999999999" customHeight="1" x14ac:dyDescent="0.25">
      <c r="A3465" s="45"/>
      <c r="B3465" s="59"/>
      <c r="C3465" s="137"/>
      <c r="D3465" s="59"/>
      <c r="E3465" s="116"/>
      <c r="F3465" s="120"/>
      <c r="G3465" s="120"/>
      <c r="H3465" s="120"/>
      <c r="I3465" s="60"/>
      <c r="J3465" s="116"/>
      <c r="K3465" s="213"/>
      <c r="L3465" s="120"/>
      <c r="M3465" s="120"/>
      <c r="N3465" s="167"/>
      <c r="O3465" s="120"/>
      <c r="P3465" s="120"/>
      <c r="Q3465" s="120"/>
      <c r="R3465" s="120"/>
      <c r="S3465" s="120"/>
      <c r="T3465" s="221"/>
      <c r="U3465" s="89"/>
      <c r="V3465" s="61"/>
      <c r="W3465" s="92" t="s">
        <v>65</v>
      </c>
      <c r="X3465" s="93" t="s">
        <v>30</v>
      </c>
      <c r="Y3465" s="93" t="s">
        <v>1011</v>
      </c>
      <c r="Z3465" s="134">
        <f>VLOOKUP(W3465,Sheet2!$B:$D,3,FALSE)</f>
        <v>1.76</v>
      </c>
      <c r="AA3465" s="93">
        <f>AA3464/10</f>
        <v>0.40800000000000003</v>
      </c>
      <c r="AB3465" s="93">
        <f>AD3465/AC3461</f>
        <v>4.3137254901960782</v>
      </c>
      <c r="AC3465" s="93">
        <f>AC3461/AA3465</f>
        <v>136.5259803921569</v>
      </c>
      <c r="AD3465" s="94">
        <f>AC3465*Z3465</f>
        <v>240.28572549019614</v>
      </c>
      <c r="AE3465" s="190"/>
      <c r="AF3465" s="191"/>
      <c r="AG3465" s="191"/>
      <c r="AH3465" s="191"/>
      <c r="AI3465" s="186"/>
      <c r="AK3465" s="171"/>
    </row>
    <row r="3466" spans="1:41" s="102" customFormat="1" ht="19.899999999999999" customHeight="1" x14ac:dyDescent="0.25">
      <c r="A3466" s="45"/>
      <c r="B3466" s="59"/>
      <c r="C3466" s="137"/>
      <c r="D3466" s="59"/>
      <c r="E3466" s="116"/>
      <c r="F3466" s="120"/>
      <c r="G3466" s="120"/>
      <c r="H3466" s="120"/>
      <c r="I3466" s="60"/>
      <c r="J3466" s="116"/>
      <c r="K3466" s="213"/>
      <c r="L3466" s="120"/>
      <c r="M3466" s="120"/>
      <c r="N3466" s="167"/>
      <c r="O3466" s="120"/>
      <c r="P3466" s="120"/>
      <c r="Q3466" s="120"/>
      <c r="R3466" s="120"/>
      <c r="S3466" s="120"/>
      <c r="T3466" s="221"/>
      <c r="U3466" s="89"/>
      <c r="V3466" s="61"/>
      <c r="W3466" s="92" t="s">
        <v>1030</v>
      </c>
      <c r="X3466" s="93" t="s">
        <v>29</v>
      </c>
      <c r="Y3466" s="93" t="s">
        <v>93</v>
      </c>
      <c r="Z3466" s="134">
        <f>VLOOKUP(W3466,Sheet2!$B:$D,3,FALSE)</f>
        <v>23</v>
      </c>
      <c r="AA3466" s="93">
        <v>50</v>
      </c>
      <c r="AB3466" s="93">
        <f>AD3466/AC3461</f>
        <v>0.45999999999999996</v>
      </c>
      <c r="AC3466" s="93">
        <f>AC3461/AA3466</f>
        <v>1.1140520000000003</v>
      </c>
      <c r="AD3466" s="94">
        <f t="shared" ref="AD3466:AD3470" si="2632">AC3466*Z3466</f>
        <v>25.623196000000007</v>
      </c>
      <c r="AE3466" s="190"/>
      <c r="AF3466" s="191"/>
      <c r="AG3466" s="191"/>
      <c r="AH3466" s="191"/>
      <c r="AI3466" s="186"/>
      <c r="AK3466" s="171"/>
    </row>
    <row r="3467" spans="1:41" s="102" customFormat="1" ht="19.899999999999999" customHeight="1" x14ac:dyDescent="0.25">
      <c r="A3467" s="45"/>
      <c r="B3467" s="59"/>
      <c r="C3467" s="137"/>
      <c r="D3467" s="59"/>
      <c r="E3467" s="116"/>
      <c r="F3467" s="120"/>
      <c r="G3467" s="120"/>
      <c r="H3467" s="120"/>
      <c r="I3467" s="60"/>
      <c r="J3467" s="116"/>
      <c r="K3467" s="213"/>
      <c r="L3467" s="120"/>
      <c r="M3467" s="120"/>
      <c r="N3467" s="167"/>
      <c r="O3467" s="120"/>
      <c r="P3467" s="120"/>
      <c r="Q3467" s="120"/>
      <c r="R3467" s="120"/>
      <c r="S3467" s="120"/>
      <c r="T3467" s="221"/>
      <c r="U3467" s="89"/>
      <c r="V3467" s="61"/>
      <c r="W3467" s="92" t="s">
        <v>65</v>
      </c>
      <c r="X3467" s="93" t="s">
        <v>30</v>
      </c>
      <c r="Y3467" s="93" t="s">
        <v>1011</v>
      </c>
      <c r="Z3467" s="134">
        <f>VLOOKUP(W3467,Sheet2!$B:$D,3,FALSE)</f>
        <v>1.76</v>
      </c>
      <c r="AA3467" s="93">
        <f>AA3466/3</f>
        <v>16.666666666666668</v>
      </c>
      <c r="AB3467" s="93">
        <f>AD3467/AC3461</f>
        <v>0.1056</v>
      </c>
      <c r="AC3467" s="93">
        <f>AC3461/AA3467</f>
        <v>3.342156000000001</v>
      </c>
      <c r="AD3467" s="94">
        <f t="shared" si="2632"/>
        <v>5.8821945600000021</v>
      </c>
      <c r="AE3467" s="190"/>
      <c r="AF3467" s="191"/>
      <c r="AG3467" s="191"/>
      <c r="AH3467" s="191"/>
      <c r="AI3467" s="186"/>
      <c r="AK3467" s="171"/>
    </row>
    <row r="3468" spans="1:41" s="102" customFormat="1" ht="19.899999999999999" customHeight="1" x14ac:dyDescent="0.25">
      <c r="A3468" s="45"/>
      <c r="B3468" s="59"/>
      <c r="C3468" s="137"/>
      <c r="D3468" s="59"/>
      <c r="E3468" s="116"/>
      <c r="F3468" s="120"/>
      <c r="G3468" s="120"/>
      <c r="H3468" s="120"/>
      <c r="I3468" s="60"/>
      <c r="J3468" s="116"/>
      <c r="K3468" s="213"/>
      <c r="L3468" s="120"/>
      <c r="M3468" s="120"/>
      <c r="N3468" s="167"/>
      <c r="O3468" s="120"/>
      <c r="P3468" s="120"/>
      <c r="Q3468" s="120"/>
      <c r="R3468" s="120"/>
      <c r="S3468" s="120"/>
      <c r="T3468" s="221"/>
      <c r="U3468" s="89"/>
      <c r="V3468" s="61"/>
      <c r="W3468" s="92" t="s">
        <v>148</v>
      </c>
      <c r="X3468" s="93" t="s">
        <v>29</v>
      </c>
      <c r="Y3468" s="93" t="s">
        <v>93</v>
      </c>
      <c r="Z3468" s="134">
        <f>VLOOKUP(W3468,Sheet2!$B:$D,3,FALSE)</f>
        <v>48</v>
      </c>
      <c r="AA3468" s="93">
        <f>AA3462</f>
        <v>16</v>
      </c>
      <c r="AB3468" s="93">
        <f>AD3468/AC3461</f>
        <v>3</v>
      </c>
      <c r="AC3468" s="93">
        <f>AC3461/AA3468</f>
        <v>3.4814125000000011</v>
      </c>
      <c r="AD3468" s="94">
        <f t="shared" si="2632"/>
        <v>167.10780000000005</v>
      </c>
      <c r="AE3468" s="190"/>
      <c r="AF3468" s="191"/>
      <c r="AG3468" s="191"/>
      <c r="AH3468" s="191"/>
      <c r="AI3468" s="186"/>
      <c r="AK3468" s="171"/>
    </row>
    <row r="3469" spans="1:41" s="102" customFormat="1" ht="19.899999999999999" customHeight="1" x14ac:dyDescent="0.25">
      <c r="A3469" s="45"/>
      <c r="B3469" s="59"/>
      <c r="C3469" s="137"/>
      <c r="D3469" s="59"/>
      <c r="E3469" s="116"/>
      <c r="F3469" s="120"/>
      <c r="G3469" s="120"/>
      <c r="H3469" s="120"/>
      <c r="I3469" s="60"/>
      <c r="J3469" s="116"/>
      <c r="K3469" s="213"/>
      <c r="L3469" s="120"/>
      <c r="M3469" s="120"/>
      <c r="N3469" s="167"/>
      <c r="O3469" s="120"/>
      <c r="P3469" s="120"/>
      <c r="Q3469" s="120"/>
      <c r="R3469" s="120"/>
      <c r="S3469" s="120"/>
      <c r="T3469" s="221"/>
      <c r="U3469" s="89"/>
      <c r="V3469" s="61"/>
      <c r="W3469" s="92" t="s">
        <v>65</v>
      </c>
      <c r="X3469" s="93" t="s">
        <v>30</v>
      </c>
      <c r="Y3469" s="93" t="s">
        <v>1011</v>
      </c>
      <c r="Z3469" s="134">
        <f>VLOOKUP(W3469,Sheet2!$B:$D,3,FALSE)</f>
        <v>1.76</v>
      </c>
      <c r="AA3469" s="93">
        <f>AA3468/10</f>
        <v>1.6</v>
      </c>
      <c r="AB3469" s="93">
        <f>AD3469/AC3461</f>
        <v>1.1000000000000001</v>
      </c>
      <c r="AC3469" s="93">
        <f>AC3461/AA3469</f>
        <v>34.814125000000011</v>
      </c>
      <c r="AD3469" s="94">
        <f t="shared" si="2632"/>
        <v>61.272860000000023</v>
      </c>
      <c r="AE3469" s="190"/>
      <c r="AF3469" s="191"/>
      <c r="AG3469" s="191"/>
      <c r="AH3469" s="191"/>
      <c r="AI3469" s="186"/>
      <c r="AK3469" s="171"/>
    </row>
    <row r="3470" spans="1:41" s="102" customFormat="1" ht="19.899999999999999" customHeight="1" x14ac:dyDescent="0.25">
      <c r="A3470" s="45"/>
      <c r="B3470" s="59"/>
      <c r="C3470" s="137"/>
      <c r="D3470" s="59"/>
      <c r="E3470" s="116"/>
      <c r="F3470" s="120"/>
      <c r="G3470" s="120"/>
      <c r="H3470" s="120"/>
      <c r="I3470" s="60"/>
      <c r="J3470" s="116"/>
      <c r="K3470" s="213"/>
      <c r="L3470" s="120"/>
      <c r="M3470" s="120"/>
      <c r="N3470" s="167"/>
      <c r="O3470" s="120"/>
      <c r="P3470" s="120"/>
      <c r="Q3470" s="120"/>
      <c r="R3470" s="120"/>
      <c r="S3470" s="120"/>
      <c r="T3470" s="221"/>
      <c r="U3470" s="89"/>
      <c r="V3470" s="61"/>
      <c r="W3470" s="92" t="s">
        <v>1049</v>
      </c>
      <c r="X3470" s="93" t="s">
        <v>30</v>
      </c>
      <c r="Y3470" s="93" t="s">
        <v>68</v>
      </c>
      <c r="Z3470" s="134">
        <f>VLOOKUP(W3470,Sheet2!$B:$D,3,FALSE)</f>
        <v>60</v>
      </c>
      <c r="AA3470" s="93">
        <v>1</v>
      </c>
      <c r="AB3470" s="93">
        <f>AD3470/AC3461</f>
        <v>59.999999999999993</v>
      </c>
      <c r="AC3470" s="93">
        <f>AC3461/AA3470</f>
        <v>55.702600000000018</v>
      </c>
      <c r="AD3470" s="94">
        <f t="shared" si="2632"/>
        <v>3342.1560000000009</v>
      </c>
      <c r="AE3470" s="190"/>
      <c r="AF3470" s="191"/>
      <c r="AG3470" s="191"/>
      <c r="AH3470" s="191"/>
      <c r="AI3470" s="186"/>
      <c r="AK3470" s="171"/>
    </row>
    <row r="3471" spans="1:41" s="103" customFormat="1" ht="19.899999999999999" customHeight="1" x14ac:dyDescent="0.25">
      <c r="A3471" s="51"/>
      <c r="B3471" s="52"/>
      <c r="C3471" s="165"/>
      <c r="D3471" s="52"/>
      <c r="E3471" s="115"/>
      <c r="F3471" s="58"/>
      <c r="G3471" s="58"/>
      <c r="H3471" s="58"/>
      <c r="I3471" s="55"/>
      <c r="J3471" s="113">
        <f>J3460</f>
        <v>55.702600000000018</v>
      </c>
      <c r="K3471" s="212">
        <f>K3460</f>
        <v>55.702600000000018</v>
      </c>
      <c r="L3471" s="58"/>
      <c r="M3471" s="58">
        <f>K3471-L3471</f>
        <v>55.702600000000018</v>
      </c>
      <c r="N3471" s="166"/>
      <c r="O3471" s="58"/>
      <c r="P3471" s="58"/>
      <c r="Q3471" s="58"/>
      <c r="R3471" s="58"/>
      <c r="S3471" s="58"/>
      <c r="T3471" s="220"/>
      <c r="U3471" s="88"/>
      <c r="V3471" s="56"/>
      <c r="W3471" s="57" t="s">
        <v>1036</v>
      </c>
      <c r="X3471" s="53"/>
      <c r="Y3471" s="91" t="s">
        <v>68</v>
      </c>
      <c r="Z3471" s="136">
        <f>AD3471/AC3471</f>
        <v>150.58333333333334</v>
      </c>
      <c r="AA3471" s="58"/>
      <c r="AB3471" s="53">
        <f>AD3471/AC3471</f>
        <v>150.58333333333334</v>
      </c>
      <c r="AC3471" s="53">
        <f>M3471+$AE$10</f>
        <v>55.702600000000018</v>
      </c>
      <c r="AD3471" s="54">
        <f>SUM(AD3472:AD3478)</f>
        <v>8387.883183333337</v>
      </c>
      <c r="AE3471" s="184">
        <f>SUMIFS($AD$37:$AD$12971,$V$37:$V$12971,$V3471,$X$37:$X$12971,AE$13)</f>
        <v>0</v>
      </c>
      <c r="AF3471" s="185">
        <f>SUMIFS($AD$37:$AD$12971,$V$37:$V$12971,$V3471,$X$37:$X$12971,AF$13)</f>
        <v>0</v>
      </c>
      <c r="AG3471" s="185">
        <f>SUMIFS($AD$37:$AD$12971,$V$37:$V$12971,$V3471,$X$37:$X$12971,AG$13)</f>
        <v>0</v>
      </c>
      <c r="AH3471" s="187">
        <f>SUMIFS($AD$37:$AD$12971,$V$37:$V$12971,$V3471,$X$37:$X$12971,AH$13)</f>
        <v>0</v>
      </c>
      <c r="AI3471" s="161">
        <f t="shared" ref="AI3471" si="2633">SUM(AE3471:AH3471)</f>
        <v>0</v>
      </c>
      <c r="AK3471" s="172"/>
    </row>
    <row r="3472" spans="1:41" s="102" customFormat="1" ht="19.899999999999999" customHeight="1" x14ac:dyDescent="0.25">
      <c r="A3472" s="45"/>
      <c r="B3472" s="59"/>
      <c r="C3472" s="137"/>
      <c r="D3472" s="59"/>
      <c r="E3472" s="116"/>
      <c r="F3472" s="120"/>
      <c r="G3472" s="120"/>
      <c r="H3472" s="120"/>
      <c r="I3472" s="60"/>
      <c r="J3472" s="116"/>
      <c r="K3472" s="213"/>
      <c r="L3472" s="120"/>
      <c r="M3472" s="120"/>
      <c r="N3472" s="167"/>
      <c r="O3472" s="120"/>
      <c r="P3472" s="120"/>
      <c r="Q3472" s="120"/>
      <c r="R3472" s="120"/>
      <c r="S3472" s="120"/>
      <c r="T3472" s="221"/>
      <c r="U3472" s="89"/>
      <c r="V3472" s="61"/>
      <c r="W3472" s="92" t="s">
        <v>1229</v>
      </c>
      <c r="X3472" s="93" t="s">
        <v>30</v>
      </c>
      <c r="Y3472" s="93" t="s">
        <v>68</v>
      </c>
      <c r="Z3472" s="134">
        <f>VLOOKUP(W3472,Sheet2!$B:$D,3,FALSE)</f>
        <v>95</v>
      </c>
      <c r="AA3472" s="93">
        <v>1</v>
      </c>
      <c r="AB3472" s="93">
        <f>AD3472/AC3471</f>
        <v>95.000000000000014</v>
      </c>
      <c r="AC3472" s="93">
        <f>AC3471/AA3472</f>
        <v>55.702600000000018</v>
      </c>
      <c r="AD3472" s="94">
        <f t="shared" ref="AD3472" si="2634">AC3472*Z3472</f>
        <v>5291.7470000000021</v>
      </c>
      <c r="AE3472" s="190"/>
      <c r="AF3472" s="191"/>
      <c r="AG3472" s="191"/>
      <c r="AH3472" s="191"/>
      <c r="AI3472" s="186"/>
      <c r="AK3472" s="171"/>
    </row>
    <row r="3473" spans="1:41" s="102" customFormat="1" ht="19.899999999999999" customHeight="1" x14ac:dyDescent="0.25">
      <c r="A3473" s="45"/>
      <c r="B3473" s="59"/>
      <c r="C3473" s="137"/>
      <c r="D3473" s="59"/>
      <c r="E3473" s="116"/>
      <c r="F3473" s="120"/>
      <c r="G3473" s="120"/>
      <c r="H3473" s="120"/>
      <c r="I3473" s="60"/>
      <c r="J3473" s="116"/>
      <c r="K3473" s="213"/>
      <c r="L3473" s="120"/>
      <c r="M3473" s="120"/>
      <c r="N3473" s="167"/>
      <c r="O3473" s="120"/>
      <c r="P3473" s="120"/>
      <c r="Q3473" s="120"/>
      <c r="R3473" s="120"/>
      <c r="S3473" s="120"/>
      <c r="T3473" s="221"/>
      <c r="U3473" s="89"/>
      <c r="V3473" s="61"/>
      <c r="W3473" s="92" t="s">
        <v>1230</v>
      </c>
      <c r="X3473" s="93" t="s">
        <v>30</v>
      </c>
      <c r="Y3473" s="93" t="s">
        <v>68</v>
      </c>
      <c r="Z3473" s="134">
        <f>VLOOKUP(W3473,Sheet2!$B:$D,3,FALSE)</f>
        <v>10</v>
      </c>
      <c r="AA3473" s="93">
        <v>1</v>
      </c>
      <c r="AB3473" s="93">
        <f>AD3473/AC3471</f>
        <v>10</v>
      </c>
      <c r="AC3473" s="93">
        <f>AC3471/AA3473</f>
        <v>55.702600000000018</v>
      </c>
      <c r="AD3473" s="94">
        <f>AC3473*Z3473</f>
        <v>557.02600000000018</v>
      </c>
      <c r="AE3473" s="190"/>
      <c r="AF3473" s="191"/>
      <c r="AG3473" s="191"/>
      <c r="AH3473" s="191"/>
      <c r="AI3473" s="186"/>
      <c r="AK3473" s="171"/>
    </row>
    <row r="3474" spans="1:41" s="102" customFormat="1" ht="19.899999999999999" customHeight="1" x14ac:dyDescent="0.25">
      <c r="A3474" s="45"/>
      <c r="B3474" s="59"/>
      <c r="C3474" s="137"/>
      <c r="D3474" s="59"/>
      <c r="E3474" s="116"/>
      <c r="F3474" s="120"/>
      <c r="G3474" s="120"/>
      <c r="H3474" s="120"/>
      <c r="I3474" s="60"/>
      <c r="J3474" s="116"/>
      <c r="K3474" s="213"/>
      <c r="L3474" s="120"/>
      <c r="M3474" s="120"/>
      <c r="N3474" s="167"/>
      <c r="O3474" s="120"/>
      <c r="P3474" s="120"/>
      <c r="Q3474" s="120"/>
      <c r="R3474" s="120"/>
      <c r="S3474" s="120"/>
      <c r="T3474" s="221"/>
      <c r="U3474" s="89"/>
      <c r="V3474" s="61"/>
      <c r="W3474" s="92" t="s">
        <v>107</v>
      </c>
      <c r="X3474" s="93" t="s">
        <v>31</v>
      </c>
      <c r="Y3474" s="93" t="s">
        <v>93</v>
      </c>
      <c r="Z3474" s="134">
        <f>VLOOKUP(W3474,Sheet2!$B:$D,3,FALSE)</f>
        <v>17</v>
      </c>
      <c r="AA3474" s="93">
        <v>6</v>
      </c>
      <c r="AB3474" s="93">
        <f>AD3474/AC3471</f>
        <v>2.8333333333333335</v>
      </c>
      <c r="AC3474" s="93">
        <f>AC3471/AA3474</f>
        <v>9.2837666666666703</v>
      </c>
      <c r="AD3474" s="94">
        <f>AC3474*Z3474</f>
        <v>157.8240333333334</v>
      </c>
      <c r="AE3474" s="190"/>
      <c r="AF3474" s="191"/>
      <c r="AG3474" s="191"/>
      <c r="AH3474" s="191"/>
      <c r="AI3474" s="186"/>
      <c r="AK3474" s="171"/>
    </row>
    <row r="3475" spans="1:41" s="102" customFormat="1" ht="19.899999999999999" customHeight="1" x14ac:dyDescent="0.25">
      <c r="A3475" s="45"/>
      <c r="B3475" s="59"/>
      <c r="C3475" s="137"/>
      <c r="D3475" s="59"/>
      <c r="E3475" s="116"/>
      <c r="F3475" s="120"/>
      <c r="G3475" s="120"/>
      <c r="H3475" s="120"/>
      <c r="I3475" s="60"/>
      <c r="J3475" s="116"/>
      <c r="K3475" s="213"/>
      <c r="L3475" s="120"/>
      <c r="M3475" s="120"/>
      <c r="N3475" s="167"/>
      <c r="O3475" s="120"/>
      <c r="P3475" s="120"/>
      <c r="Q3475" s="120"/>
      <c r="R3475" s="120"/>
      <c r="S3475" s="120"/>
      <c r="T3475" s="221"/>
      <c r="U3475" s="89"/>
      <c r="V3475" s="61"/>
      <c r="W3475" s="92" t="s">
        <v>112</v>
      </c>
      <c r="X3475" s="93" t="s">
        <v>31</v>
      </c>
      <c r="Y3475" s="93" t="s">
        <v>93</v>
      </c>
      <c r="Z3475" s="134">
        <f>VLOOKUP(W3475,Sheet2!$B:$D,3,FALSE)</f>
        <v>13</v>
      </c>
      <c r="AA3475" s="93">
        <v>6</v>
      </c>
      <c r="AB3475" s="93">
        <f>AD3475/AC3471</f>
        <v>2.166666666666667</v>
      </c>
      <c r="AC3475" s="93">
        <f>AC3471/AA3475</f>
        <v>9.2837666666666703</v>
      </c>
      <c r="AD3475" s="94">
        <f>AC3475*Z3475</f>
        <v>120.68896666666672</v>
      </c>
      <c r="AE3475" s="190"/>
      <c r="AF3475" s="191"/>
      <c r="AG3475" s="191"/>
      <c r="AH3475" s="191"/>
      <c r="AI3475" s="186"/>
      <c r="AK3475" s="171"/>
    </row>
    <row r="3476" spans="1:41" s="102" customFormat="1" ht="19.899999999999999" customHeight="1" x14ac:dyDescent="0.25">
      <c r="A3476" s="45"/>
      <c r="B3476" s="59"/>
      <c r="C3476" s="137"/>
      <c r="D3476" s="59"/>
      <c r="E3476" s="116"/>
      <c r="F3476" s="120"/>
      <c r="G3476" s="120"/>
      <c r="H3476" s="120"/>
      <c r="I3476" s="60"/>
      <c r="J3476" s="116"/>
      <c r="K3476" s="213"/>
      <c r="L3476" s="120"/>
      <c r="M3476" s="120"/>
      <c r="N3476" s="167"/>
      <c r="O3476" s="120"/>
      <c r="P3476" s="120"/>
      <c r="Q3476" s="120"/>
      <c r="R3476" s="120"/>
      <c r="S3476" s="120"/>
      <c r="T3476" s="221"/>
      <c r="U3476" s="89"/>
      <c r="V3476" s="61"/>
      <c r="W3476" s="92" t="s">
        <v>1032</v>
      </c>
      <c r="X3476" s="93" t="s">
        <v>30</v>
      </c>
      <c r="Y3476" s="93" t="s">
        <v>66</v>
      </c>
      <c r="Z3476" s="134">
        <f>VLOOKUP(W3476,Sheet2!$B:$D,3,FALSE)</f>
        <v>250</v>
      </c>
      <c r="AA3476" s="93">
        <f>1/(1*1*0.1)</f>
        <v>10</v>
      </c>
      <c r="AB3476" s="93">
        <f>AD3476/AC3471</f>
        <v>25</v>
      </c>
      <c r="AC3476" s="93">
        <f>AC3471/AA3476</f>
        <v>5.570260000000002</v>
      </c>
      <c r="AD3476" s="94">
        <f>AC3476*Z3476</f>
        <v>1392.5650000000005</v>
      </c>
      <c r="AE3476" s="190"/>
      <c r="AF3476" s="191"/>
      <c r="AG3476" s="191"/>
      <c r="AH3476" s="191"/>
      <c r="AI3476" s="186"/>
      <c r="AK3476" s="171"/>
    </row>
    <row r="3477" spans="1:41" s="102" customFormat="1" ht="19.899999999999999" customHeight="1" x14ac:dyDescent="0.25">
      <c r="A3477" s="45"/>
      <c r="B3477" s="59"/>
      <c r="C3477" s="137"/>
      <c r="D3477" s="59"/>
      <c r="E3477" s="116"/>
      <c r="F3477" s="120"/>
      <c r="G3477" s="120"/>
      <c r="H3477" s="120"/>
      <c r="I3477" s="60"/>
      <c r="J3477" s="116"/>
      <c r="K3477" s="213"/>
      <c r="L3477" s="120"/>
      <c r="M3477" s="120"/>
      <c r="N3477" s="167"/>
      <c r="O3477" s="120"/>
      <c r="P3477" s="120"/>
      <c r="Q3477" s="120"/>
      <c r="R3477" s="120"/>
      <c r="S3477" s="120"/>
      <c r="T3477" s="221"/>
      <c r="U3477" s="89"/>
      <c r="V3477" s="61"/>
      <c r="W3477" s="92" t="s">
        <v>1035</v>
      </c>
      <c r="X3477" s="93" t="s">
        <v>32</v>
      </c>
      <c r="Y3477" s="93" t="s">
        <v>66</v>
      </c>
      <c r="Z3477" s="134">
        <f>VLOOKUP(W3477,Sheet2!$B:$D,3,FALSE)</f>
        <v>150</v>
      </c>
      <c r="AA3477" s="93">
        <f>AA3476</f>
        <v>10</v>
      </c>
      <c r="AB3477" s="93">
        <f>AD3477/AC3471</f>
        <v>15.000000000000002</v>
      </c>
      <c r="AC3477" s="93">
        <f>AC3471/AA3477</f>
        <v>5.570260000000002</v>
      </c>
      <c r="AD3477" s="94">
        <f t="shared" ref="AD3477:AD3478" si="2635">AC3477*Z3477</f>
        <v>835.53900000000033</v>
      </c>
      <c r="AE3477" s="190"/>
      <c r="AF3477" s="191"/>
      <c r="AG3477" s="191"/>
      <c r="AH3477" s="191"/>
      <c r="AI3477" s="186"/>
      <c r="AK3477" s="171"/>
    </row>
    <row r="3478" spans="1:41" s="102" customFormat="1" ht="19.899999999999999" customHeight="1" x14ac:dyDescent="0.25">
      <c r="A3478" s="45"/>
      <c r="B3478" s="59"/>
      <c r="C3478" s="137"/>
      <c r="D3478" s="59"/>
      <c r="E3478" s="116"/>
      <c r="F3478" s="120"/>
      <c r="G3478" s="120"/>
      <c r="H3478" s="120"/>
      <c r="I3478" s="60"/>
      <c r="J3478" s="116"/>
      <c r="K3478" s="213"/>
      <c r="L3478" s="120"/>
      <c r="M3478" s="120"/>
      <c r="N3478" s="167"/>
      <c r="O3478" s="120"/>
      <c r="P3478" s="120"/>
      <c r="Q3478" s="120"/>
      <c r="R3478" s="120"/>
      <c r="S3478" s="120"/>
      <c r="T3478" s="221"/>
      <c r="U3478" s="89"/>
      <c r="V3478" s="61"/>
      <c r="W3478" s="92" t="s">
        <v>1037</v>
      </c>
      <c r="X3478" s="93" t="s">
        <v>30</v>
      </c>
      <c r="Y3478" s="93" t="s">
        <v>1038</v>
      </c>
      <c r="Z3478" s="134">
        <f>VLOOKUP(W3478,Sheet2!$B:$D,3,FALSE)</f>
        <v>175</v>
      </c>
      <c r="AA3478" s="93">
        <v>300</v>
      </c>
      <c r="AB3478" s="93">
        <f>AD3478/AC3471</f>
        <v>0.58333333333333326</v>
      </c>
      <c r="AC3478" s="93">
        <f>AC3471/AA3478</f>
        <v>0.18567533333333339</v>
      </c>
      <c r="AD3478" s="94">
        <f t="shared" si="2635"/>
        <v>32.493183333333342</v>
      </c>
      <c r="AE3478" s="190"/>
      <c r="AF3478" s="191"/>
      <c r="AG3478" s="191"/>
      <c r="AH3478" s="191"/>
      <c r="AI3478" s="186"/>
      <c r="AK3478" s="171"/>
    </row>
    <row r="3479" spans="1:41" s="103" customFormat="1" ht="19.899999999999999" customHeight="1" x14ac:dyDescent="0.25">
      <c r="A3479" s="51"/>
      <c r="B3479" s="52"/>
      <c r="C3479" s="165"/>
      <c r="D3479" s="52"/>
      <c r="E3479" s="115"/>
      <c r="F3479" s="58"/>
      <c r="G3479" s="58"/>
      <c r="H3479" s="58"/>
      <c r="I3479" s="55"/>
      <c r="J3479" s="113">
        <f>J3460</f>
        <v>55.702600000000018</v>
      </c>
      <c r="K3479" s="212">
        <f>K3460</f>
        <v>55.702600000000018</v>
      </c>
      <c r="L3479" s="58"/>
      <c r="M3479" s="58">
        <f>K3479-L3479</f>
        <v>55.702600000000018</v>
      </c>
      <c r="N3479" s="166"/>
      <c r="O3479" s="58"/>
      <c r="P3479" s="58"/>
      <c r="Q3479" s="58"/>
      <c r="R3479" s="58"/>
      <c r="S3479" s="58"/>
      <c r="T3479" s="220"/>
      <c r="U3479" s="88"/>
      <c r="V3479" s="56"/>
      <c r="W3479" s="57" t="s">
        <v>1040</v>
      </c>
      <c r="X3479" s="53"/>
      <c r="Y3479" s="91" t="s">
        <v>68</v>
      </c>
      <c r="Z3479" s="136">
        <f>AD3479/AC3479</f>
        <v>5</v>
      </c>
      <c r="AA3479" s="58"/>
      <c r="AB3479" s="53">
        <f>AD3479/AC3479</f>
        <v>5</v>
      </c>
      <c r="AC3479" s="53">
        <f>M3479+$AE$10</f>
        <v>55.702600000000018</v>
      </c>
      <c r="AD3479" s="54">
        <f>SUM(AD3480)</f>
        <v>278.51300000000009</v>
      </c>
      <c r="AE3479" s="184">
        <f>SUMIFS($AD$37:$AD$12971,$V$37:$V$12971,$V3479,$X$37:$X$12971,AE$13)</f>
        <v>0</v>
      </c>
      <c r="AF3479" s="185">
        <f>SUMIFS($AD$37:$AD$12971,$V$37:$V$12971,$V3479,$X$37:$X$12971,AF$13)</f>
        <v>0</v>
      </c>
      <c r="AG3479" s="185">
        <f>SUMIFS($AD$37:$AD$12971,$V$37:$V$12971,$V3479,$X$37:$X$12971,AG$13)</f>
        <v>0</v>
      </c>
      <c r="AH3479" s="187">
        <f>SUMIFS($AD$37:$AD$12971,$V$37:$V$12971,$V3479,$X$37:$X$12971,AH$13)</f>
        <v>0</v>
      </c>
      <c r="AI3479" s="161">
        <f t="shared" ref="AI3479" si="2636">SUM(AE3479:AH3479)</f>
        <v>0</v>
      </c>
      <c r="AK3479" s="172"/>
    </row>
    <row r="3480" spans="1:41" s="102" customFormat="1" ht="19.899999999999999" customHeight="1" x14ac:dyDescent="0.25">
      <c r="A3480" s="45"/>
      <c r="B3480" s="59"/>
      <c r="C3480" s="137"/>
      <c r="D3480" s="59"/>
      <c r="E3480" s="116"/>
      <c r="F3480" s="120"/>
      <c r="G3480" s="120"/>
      <c r="H3480" s="120"/>
      <c r="I3480" s="60"/>
      <c r="J3480" s="116"/>
      <c r="K3480" s="213"/>
      <c r="L3480" s="120"/>
      <c r="M3480" s="120"/>
      <c r="N3480" s="167"/>
      <c r="O3480" s="120"/>
      <c r="P3480" s="120"/>
      <c r="Q3480" s="120"/>
      <c r="R3480" s="120"/>
      <c r="S3480" s="120"/>
      <c r="T3480" s="221"/>
      <c r="U3480" s="89"/>
      <c r="V3480" s="61"/>
      <c r="W3480" s="92" t="s">
        <v>1039</v>
      </c>
      <c r="X3480" s="93" t="s">
        <v>32</v>
      </c>
      <c r="Y3480" s="93" t="s">
        <v>68</v>
      </c>
      <c r="Z3480" s="134">
        <f>VLOOKUP(W3480,Sheet2!$B:$D,3,FALSE)</f>
        <v>5</v>
      </c>
      <c r="AA3480" s="93">
        <v>1</v>
      </c>
      <c r="AB3480" s="93">
        <f>AD3480/AC3479</f>
        <v>5</v>
      </c>
      <c r="AC3480" s="93">
        <f>AC3479/AA3480</f>
        <v>55.702600000000018</v>
      </c>
      <c r="AD3480" s="94">
        <f t="shared" ref="AD3480" si="2637">AC3480*Z3480</f>
        <v>278.51300000000009</v>
      </c>
      <c r="AE3480" s="190"/>
      <c r="AF3480" s="191"/>
      <c r="AG3480" s="191"/>
      <c r="AH3480" s="191"/>
      <c r="AI3480" s="186"/>
      <c r="AK3480" s="171"/>
    </row>
    <row r="3481" spans="1:41" ht="20.100000000000001" customHeight="1" x14ac:dyDescent="0.25">
      <c r="A3481" s="277" t="s">
        <v>491</v>
      </c>
      <c r="B3481" s="278"/>
      <c r="C3481" s="64" t="s">
        <v>1174</v>
      </c>
      <c r="D3481" s="46" t="s">
        <v>97</v>
      </c>
      <c r="E3481" s="114">
        <v>90.384000000000015</v>
      </c>
      <c r="F3481" s="44">
        <v>720</v>
      </c>
      <c r="G3481" s="44">
        <f t="shared" si="2434"/>
        <v>65076.48000000001</v>
      </c>
      <c r="H3481" s="44">
        <f t="shared" si="2435"/>
        <v>251.23720784313727</v>
      </c>
      <c r="I3481" s="43">
        <f t="shared" si="2436"/>
        <v>22707.823793694122</v>
      </c>
      <c r="J3481" s="112">
        <f t="shared" si="2437"/>
        <v>90.384000000000015</v>
      </c>
      <c r="K3481" s="211">
        <f t="shared" si="2438"/>
        <v>90.384000000000015</v>
      </c>
      <c r="L3481" s="44"/>
      <c r="M3481" s="44">
        <f t="shared" si="2458"/>
        <v>90.384000000000015</v>
      </c>
      <c r="N3481" s="173">
        <f t="shared" si="2439"/>
        <v>1</v>
      </c>
      <c r="O3481" s="44">
        <f t="shared" si="2440"/>
        <v>720</v>
      </c>
      <c r="P3481" s="44">
        <f t="shared" si="2441"/>
        <v>65076.48000000001</v>
      </c>
      <c r="Q3481" s="44">
        <f t="shared" si="2442"/>
        <v>251.23720784313727</v>
      </c>
      <c r="R3481" s="44">
        <f t="shared" si="2459"/>
        <v>22707.823793694122</v>
      </c>
      <c r="S3481" s="123"/>
      <c r="T3481" s="219">
        <f t="shared" si="2460"/>
        <v>22707.823793694122</v>
      </c>
      <c r="U3481" s="87"/>
      <c r="V3481" s="47"/>
      <c r="W3481" s="48"/>
      <c r="X3481" s="48"/>
      <c r="Y3481" s="48"/>
      <c r="Z3481" s="135"/>
      <c r="AA3481" s="49"/>
      <c r="AB3481" s="50">
        <f t="shared" si="2443"/>
        <v>251.23720784313727</v>
      </c>
      <c r="AC3481" s="42">
        <f t="shared" si="2461"/>
        <v>90.384000000000015</v>
      </c>
      <c r="AD3481" s="90">
        <f>AD3482+AD3492+AD3500</f>
        <v>22707.823793694122</v>
      </c>
      <c r="AE3481" s="188">
        <f t="shared" ref="AE3481" si="2638">AE3482+AE3492+AE3500</f>
        <v>0</v>
      </c>
      <c r="AF3481" s="189">
        <f t="shared" ref="AF3481" si="2639">AF3482+AF3492+AF3500</f>
        <v>0</v>
      </c>
      <c r="AG3481" s="189">
        <f t="shared" ref="AG3481" si="2640">AG3482+AG3492+AG3500</f>
        <v>0</v>
      </c>
      <c r="AH3481" s="189">
        <f t="shared" ref="AH3481" si="2641">AH3482+AH3492+AH3500</f>
        <v>0</v>
      </c>
      <c r="AI3481" s="161">
        <f t="shared" ref="AI3481" si="2642">SUM(AE3481:AH3481)</f>
        <v>0</v>
      </c>
      <c r="AK3481" s="169">
        <v>5</v>
      </c>
      <c r="AO3481" s="19" t="s">
        <v>63</v>
      </c>
    </row>
    <row r="3482" spans="1:41" s="103" customFormat="1" ht="19.899999999999999" customHeight="1" x14ac:dyDescent="0.25">
      <c r="A3482" s="51"/>
      <c r="B3482" s="52"/>
      <c r="C3482" s="165"/>
      <c r="D3482" s="52"/>
      <c r="E3482" s="115"/>
      <c r="F3482" s="58"/>
      <c r="G3482" s="58"/>
      <c r="H3482" s="58"/>
      <c r="I3482" s="55"/>
      <c r="J3482" s="113">
        <f>J3481</f>
        <v>90.384000000000015</v>
      </c>
      <c r="K3482" s="212">
        <f>K3481</f>
        <v>90.384000000000015</v>
      </c>
      <c r="L3482" s="58"/>
      <c r="M3482" s="58">
        <f>K3482-L3482</f>
        <v>90.384000000000015</v>
      </c>
      <c r="N3482" s="166"/>
      <c r="O3482" s="58"/>
      <c r="P3482" s="58"/>
      <c r="Q3482" s="58"/>
      <c r="R3482" s="58"/>
      <c r="S3482" s="58"/>
      <c r="T3482" s="220"/>
      <c r="U3482" s="88"/>
      <c r="V3482" s="56"/>
      <c r="W3482" s="57" t="s">
        <v>1224</v>
      </c>
      <c r="X3482" s="53"/>
      <c r="Y3482" s="91" t="s">
        <v>68</v>
      </c>
      <c r="Z3482" s="136">
        <f>AD3482/AC3482</f>
        <v>95.653874509803927</v>
      </c>
      <c r="AA3482" s="58"/>
      <c r="AB3482" s="53">
        <f>AD3482/AC3482</f>
        <v>95.653874509803927</v>
      </c>
      <c r="AC3482" s="53">
        <f>M3482+$AE$10</f>
        <v>90.384000000000015</v>
      </c>
      <c r="AD3482" s="54">
        <f>SUM(AD3483:AD3491)</f>
        <v>8645.5797936941199</v>
      </c>
      <c r="AE3482" s="184">
        <f>SUMIFS($AD$37:$AD$12971,$V$37:$V$12971,$V3482,$X$37:$X$12971,AE$13)</f>
        <v>0</v>
      </c>
      <c r="AF3482" s="185">
        <f>SUMIFS($AD$37:$AD$12971,$V$37:$V$12971,$V3482,$X$37:$X$12971,AF$13)</f>
        <v>0</v>
      </c>
      <c r="AG3482" s="185">
        <f>SUMIFS($AD$37:$AD$12971,$V$37:$V$12971,$V3482,$X$37:$X$12971,AG$13)</f>
        <v>0</v>
      </c>
      <c r="AH3482" s="187">
        <f>SUMIFS($AD$37:$AD$12971,$V$37:$V$12971,$V3482,$X$37:$X$12971,AH$13)</f>
        <v>0</v>
      </c>
      <c r="AI3482" s="161">
        <f t="shared" ref="AI3482" si="2643">SUM(AE3482:AH3482)</f>
        <v>0</v>
      </c>
      <c r="AK3482" s="172"/>
    </row>
    <row r="3483" spans="1:41" s="102" customFormat="1" ht="19.899999999999999" customHeight="1" x14ac:dyDescent="0.25">
      <c r="A3483" s="45"/>
      <c r="B3483" s="59"/>
      <c r="C3483" s="137"/>
      <c r="D3483" s="59"/>
      <c r="E3483" s="116"/>
      <c r="F3483" s="120"/>
      <c r="G3483" s="120"/>
      <c r="H3483" s="120"/>
      <c r="I3483" s="60"/>
      <c r="J3483" s="116"/>
      <c r="K3483" s="213"/>
      <c r="L3483" s="120"/>
      <c r="M3483" s="120"/>
      <c r="N3483" s="167"/>
      <c r="O3483" s="120"/>
      <c r="P3483" s="120"/>
      <c r="Q3483" s="120"/>
      <c r="R3483" s="120"/>
      <c r="S3483" s="120"/>
      <c r="T3483" s="221"/>
      <c r="U3483" s="89"/>
      <c r="V3483" s="61"/>
      <c r="W3483" s="92" t="s">
        <v>131</v>
      </c>
      <c r="X3483" s="93" t="s">
        <v>29</v>
      </c>
      <c r="Y3483" s="93" t="s">
        <v>93</v>
      </c>
      <c r="Z3483" s="134">
        <f>VLOOKUP(W3483,Sheet2!$B:$D,3,FALSE)</f>
        <v>131.19999999999999</v>
      </c>
      <c r="AA3483" s="93">
        <f>80/(1*5.5)</f>
        <v>14.545454545454545</v>
      </c>
      <c r="AB3483" s="93">
        <f t="shared" ref="AB3483" si="2644">AD3483/AC3482</f>
        <v>9.02</v>
      </c>
      <c r="AC3483" s="93">
        <f>AC3482/AA3483</f>
        <v>6.2139000000000015</v>
      </c>
      <c r="AD3483" s="94">
        <f t="shared" ref="AD3483:AD3484" si="2645">AC3483*Z3483</f>
        <v>815.26368000000014</v>
      </c>
      <c r="AE3483" s="190"/>
      <c r="AF3483" s="191"/>
      <c r="AG3483" s="191"/>
      <c r="AH3483" s="191"/>
      <c r="AI3483" s="186"/>
      <c r="AK3483" s="171"/>
    </row>
    <row r="3484" spans="1:41" s="102" customFormat="1" ht="19.899999999999999" customHeight="1" x14ac:dyDescent="0.25">
      <c r="A3484" s="45"/>
      <c r="B3484" s="59"/>
      <c r="C3484" s="137"/>
      <c r="D3484" s="59"/>
      <c r="E3484" s="116"/>
      <c r="F3484" s="120"/>
      <c r="G3484" s="120"/>
      <c r="H3484" s="120"/>
      <c r="I3484" s="60"/>
      <c r="J3484" s="116"/>
      <c r="K3484" s="213"/>
      <c r="L3484" s="120"/>
      <c r="M3484" s="120"/>
      <c r="N3484" s="167"/>
      <c r="O3484" s="120"/>
      <c r="P3484" s="120"/>
      <c r="Q3484" s="120"/>
      <c r="R3484" s="120"/>
      <c r="S3484" s="120"/>
      <c r="T3484" s="221"/>
      <c r="U3484" s="89"/>
      <c r="V3484" s="61"/>
      <c r="W3484" s="92" t="s">
        <v>65</v>
      </c>
      <c r="X3484" s="93" t="s">
        <v>30</v>
      </c>
      <c r="Y3484" s="93" t="s">
        <v>1011</v>
      </c>
      <c r="Z3484" s="134">
        <f>VLOOKUP(W3484,Sheet2!$B:$D,3,FALSE)</f>
        <v>1.76</v>
      </c>
      <c r="AA3484" s="93">
        <f>AA3483/32</f>
        <v>0.45454545454545453</v>
      </c>
      <c r="AB3484" s="93">
        <f>AD3484/AC3482</f>
        <v>3.8720000000000003</v>
      </c>
      <c r="AC3484" s="93">
        <f>AC3482/AA3484</f>
        <v>198.84480000000005</v>
      </c>
      <c r="AD3484" s="94">
        <f t="shared" si="2645"/>
        <v>349.96684800000008</v>
      </c>
      <c r="AE3484" s="190"/>
      <c r="AF3484" s="191"/>
      <c r="AG3484" s="191"/>
      <c r="AH3484" s="191"/>
      <c r="AI3484" s="186"/>
      <c r="AK3484" s="171"/>
    </row>
    <row r="3485" spans="1:41" s="102" customFormat="1" ht="19.899999999999999" customHeight="1" x14ac:dyDescent="0.25">
      <c r="A3485" s="45"/>
      <c r="B3485" s="59"/>
      <c r="C3485" s="137"/>
      <c r="D3485" s="59"/>
      <c r="E3485" s="116"/>
      <c r="F3485" s="120"/>
      <c r="G3485" s="120"/>
      <c r="H3485" s="120"/>
      <c r="I3485" s="60"/>
      <c r="J3485" s="116"/>
      <c r="K3485" s="213"/>
      <c r="L3485" s="120"/>
      <c r="M3485" s="120"/>
      <c r="N3485" s="167"/>
      <c r="O3485" s="120"/>
      <c r="P3485" s="120"/>
      <c r="Q3485" s="120"/>
      <c r="R3485" s="120"/>
      <c r="S3485" s="120"/>
      <c r="T3485" s="221"/>
      <c r="U3485" s="89"/>
      <c r="V3485" s="61"/>
      <c r="W3485" s="92" t="s">
        <v>161</v>
      </c>
      <c r="X3485" s="93" t="s">
        <v>29</v>
      </c>
      <c r="Y3485" s="93" t="s">
        <v>93</v>
      </c>
      <c r="Z3485" s="134">
        <f>VLOOKUP(W3485,Sheet2!$B:$D,3,FALSE)</f>
        <v>48</v>
      </c>
      <c r="AA3485" s="93">
        <f>(16*0.85*1.5)/(1*5.5)</f>
        <v>3.709090909090909</v>
      </c>
      <c r="AB3485" s="93">
        <f>AD3485/AC3482</f>
        <v>12.941176470588237</v>
      </c>
      <c r="AC3485" s="93">
        <f>AC3482/AA3485</f>
        <v>24.368235294117653</v>
      </c>
      <c r="AD3485" s="94">
        <f>AC3485*Z3485</f>
        <v>1169.6752941176474</v>
      </c>
      <c r="AE3485" s="190"/>
      <c r="AF3485" s="191"/>
      <c r="AG3485" s="191"/>
      <c r="AH3485" s="191"/>
      <c r="AI3485" s="186"/>
      <c r="AK3485" s="171"/>
    </row>
    <row r="3486" spans="1:41" s="102" customFormat="1" ht="19.899999999999999" customHeight="1" x14ac:dyDescent="0.25">
      <c r="A3486" s="45"/>
      <c r="B3486" s="59"/>
      <c r="C3486" s="137"/>
      <c r="D3486" s="59"/>
      <c r="E3486" s="116"/>
      <c r="F3486" s="120"/>
      <c r="G3486" s="120"/>
      <c r="H3486" s="120"/>
      <c r="I3486" s="60"/>
      <c r="J3486" s="116"/>
      <c r="K3486" s="213"/>
      <c r="L3486" s="120"/>
      <c r="M3486" s="120"/>
      <c r="N3486" s="167"/>
      <c r="O3486" s="120"/>
      <c r="P3486" s="120"/>
      <c r="Q3486" s="120"/>
      <c r="R3486" s="120"/>
      <c r="S3486" s="120"/>
      <c r="T3486" s="221"/>
      <c r="U3486" s="89"/>
      <c r="V3486" s="61"/>
      <c r="W3486" s="92" t="s">
        <v>65</v>
      </c>
      <c r="X3486" s="93" t="s">
        <v>30</v>
      </c>
      <c r="Y3486" s="93" t="s">
        <v>1011</v>
      </c>
      <c r="Z3486" s="134">
        <f>VLOOKUP(W3486,Sheet2!$B:$D,3,FALSE)</f>
        <v>1.76</v>
      </c>
      <c r="AA3486" s="93">
        <f>AA3485/10</f>
        <v>0.37090909090909091</v>
      </c>
      <c r="AB3486" s="93">
        <f>AD3486/AC3482</f>
        <v>4.7450980392156863</v>
      </c>
      <c r="AC3486" s="93">
        <f>AC3482/AA3486</f>
        <v>243.6823529411765</v>
      </c>
      <c r="AD3486" s="94">
        <f>AC3486*Z3486</f>
        <v>428.88094117647063</v>
      </c>
      <c r="AE3486" s="190"/>
      <c r="AF3486" s="191"/>
      <c r="AG3486" s="191"/>
      <c r="AH3486" s="191"/>
      <c r="AI3486" s="186"/>
      <c r="AK3486" s="171"/>
    </row>
    <row r="3487" spans="1:41" s="102" customFormat="1" ht="19.899999999999999" customHeight="1" x14ac:dyDescent="0.25">
      <c r="A3487" s="45"/>
      <c r="B3487" s="59"/>
      <c r="C3487" s="137"/>
      <c r="D3487" s="59"/>
      <c r="E3487" s="116"/>
      <c r="F3487" s="120"/>
      <c r="G3487" s="120"/>
      <c r="H3487" s="120"/>
      <c r="I3487" s="60"/>
      <c r="J3487" s="116"/>
      <c r="K3487" s="213"/>
      <c r="L3487" s="120"/>
      <c r="M3487" s="120"/>
      <c r="N3487" s="167"/>
      <c r="O3487" s="120"/>
      <c r="P3487" s="120"/>
      <c r="Q3487" s="120"/>
      <c r="R3487" s="120"/>
      <c r="S3487" s="120"/>
      <c r="T3487" s="221"/>
      <c r="U3487" s="89"/>
      <c r="V3487" s="61"/>
      <c r="W3487" s="92" t="s">
        <v>1030</v>
      </c>
      <c r="X3487" s="93" t="s">
        <v>29</v>
      </c>
      <c r="Y3487" s="93" t="s">
        <v>93</v>
      </c>
      <c r="Z3487" s="134">
        <f>VLOOKUP(W3487,Sheet2!$B:$D,3,FALSE)</f>
        <v>23</v>
      </c>
      <c r="AA3487" s="93">
        <v>50</v>
      </c>
      <c r="AB3487" s="93">
        <f>AD3487/AC3482</f>
        <v>0.46000000000000008</v>
      </c>
      <c r="AC3487" s="93">
        <f>AC3482/AA3487</f>
        <v>1.8076800000000004</v>
      </c>
      <c r="AD3487" s="94">
        <f t="shared" ref="AD3487:AD3491" si="2646">AC3487*Z3487</f>
        <v>41.576640000000012</v>
      </c>
      <c r="AE3487" s="190"/>
      <c r="AF3487" s="191"/>
      <c r="AG3487" s="191"/>
      <c r="AH3487" s="191"/>
      <c r="AI3487" s="186"/>
      <c r="AK3487" s="171"/>
    </row>
    <row r="3488" spans="1:41" s="102" customFormat="1" ht="19.899999999999999" customHeight="1" x14ac:dyDescent="0.25">
      <c r="A3488" s="45"/>
      <c r="B3488" s="59"/>
      <c r="C3488" s="137"/>
      <c r="D3488" s="59"/>
      <c r="E3488" s="116"/>
      <c r="F3488" s="120"/>
      <c r="G3488" s="120"/>
      <c r="H3488" s="120"/>
      <c r="I3488" s="60"/>
      <c r="J3488" s="116"/>
      <c r="K3488" s="213"/>
      <c r="L3488" s="120"/>
      <c r="M3488" s="120"/>
      <c r="N3488" s="167"/>
      <c r="O3488" s="120"/>
      <c r="P3488" s="120"/>
      <c r="Q3488" s="120"/>
      <c r="R3488" s="120"/>
      <c r="S3488" s="120"/>
      <c r="T3488" s="221"/>
      <c r="U3488" s="89"/>
      <c r="V3488" s="61"/>
      <c r="W3488" s="92" t="s">
        <v>65</v>
      </c>
      <c r="X3488" s="93" t="s">
        <v>30</v>
      </c>
      <c r="Y3488" s="93" t="s">
        <v>1011</v>
      </c>
      <c r="Z3488" s="134">
        <f>VLOOKUP(W3488,Sheet2!$B:$D,3,FALSE)</f>
        <v>1.76</v>
      </c>
      <c r="AA3488" s="93">
        <f>AA3487/3</f>
        <v>16.666666666666668</v>
      </c>
      <c r="AB3488" s="93">
        <f>AD3488/AC3482</f>
        <v>0.10559999999999999</v>
      </c>
      <c r="AC3488" s="93">
        <f>AC3482/AA3488</f>
        <v>5.4230400000000003</v>
      </c>
      <c r="AD3488" s="94">
        <f t="shared" si="2646"/>
        <v>9.5445504000000003</v>
      </c>
      <c r="AE3488" s="190"/>
      <c r="AF3488" s="191"/>
      <c r="AG3488" s="191"/>
      <c r="AH3488" s="191"/>
      <c r="AI3488" s="186"/>
      <c r="AK3488" s="171"/>
    </row>
    <row r="3489" spans="1:41" s="102" customFormat="1" ht="19.899999999999999" customHeight="1" x14ac:dyDescent="0.25">
      <c r="A3489" s="45"/>
      <c r="B3489" s="59"/>
      <c r="C3489" s="137"/>
      <c r="D3489" s="59"/>
      <c r="E3489" s="116"/>
      <c r="F3489" s="120"/>
      <c r="G3489" s="120"/>
      <c r="H3489" s="120"/>
      <c r="I3489" s="60"/>
      <c r="J3489" s="116"/>
      <c r="K3489" s="213"/>
      <c r="L3489" s="120"/>
      <c r="M3489" s="120"/>
      <c r="N3489" s="167"/>
      <c r="O3489" s="120"/>
      <c r="P3489" s="120"/>
      <c r="Q3489" s="120"/>
      <c r="R3489" s="120"/>
      <c r="S3489" s="120"/>
      <c r="T3489" s="221"/>
      <c r="U3489" s="89"/>
      <c r="V3489" s="61"/>
      <c r="W3489" s="92" t="s">
        <v>148</v>
      </c>
      <c r="X3489" s="93" t="s">
        <v>29</v>
      </c>
      <c r="Y3489" s="93" t="s">
        <v>93</v>
      </c>
      <c r="Z3489" s="134">
        <f>VLOOKUP(W3489,Sheet2!$B:$D,3,FALSE)</f>
        <v>48</v>
      </c>
      <c r="AA3489" s="93">
        <f>AA3483</f>
        <v>14.545454545454545</v>
      </c>
      <c r="AB3489" s="93">
        <f>AD3489/AC3482</f>
        <v>3.3000000000000003</v>
      </c>
      <c r="AC3489" s="93">
        <f>AC3482/AA3489</f>
        <v>6.2139000000000015</v>
      </c>
      <c r="AD3489" s="94">
        <f t="shared" si="2646"/>
        <v>298.26720000000006</v>
      </c>
      <c r="AE3489" s="190"/>
      <c r="AF3489" s="191"/>
      <c r="AG3489" s="191"/>
      <c r="AH3489" s="191"/>
      <c r="AI3489" s="186"/>
      <c r="AK3489" s="171"/>
    </row>
    <row r="3490" spans="1:41" s="102" customFormat="1" ht="19.899999999999999" customHeight="1" x14ac:dyDescent="0.25">
      <c r="A3490" s="45"/>
      <c r="B3490" s="59"/>
      <c r="C3490" s="137"/>
      <c r="D3490" s="59"/>
      <c r="E3490" s="116"/>
      <c r="F3490" s="120"/>
      <c r="G3490" s="120"/>
      <c r="H3490" s="120"/>
      <c r="I3490" s="60"/>
      <c r="J3490" s="116"/>
      <c r="K3490" s="213"/>
      <c r="L3490" s="120"/>
      <c r="M3490" s="120"/>
      <c r="N3490" s="167"/>
      <c r="O3490" s="120"/>
      <c r="P3490" s="120"/>
      <c r="Q3490" s="120"/>
      <c r="R3490" s="120"/>
      <c r="S3490" s="120"/>
      <c r="T3490" s="221"/>
      <c r="U3490" s="89"/>
      <c r="V3490" s="61"/>
      <c r="W3490" s="92" t="s">
        <v>65</v>
      </c>
      <c r="X3490" s="93" t="s">
        <v>30</v>
      </c>
      <c r="Y3490" s="93" t="s">
        <v>1011</v>
      </c>
      <c r="Z3490" s="134">
        <f>VLOOKUP(W3490,Sheet2!$B:$D,3,FALSE)</f>
        <v>1.76</v>
      </c>
      <c r="AA3490" s="93">
        <f>AA3489/10</f>
        <v>1.4545454545454546</v>
      </c>
      <c r="AB3490" s="93">
        <f>AD3490/AC3482</f>
        <v>1.21</v>
      </c>
      <c r="AC3490" s="93">
        <f>AC3482/AA3490</f>
        <v>62.13900000000001</v>
      </c>
      <c r="AD3490" s="94">
        <f t="shared" si="2646"/>
        <v>109.36464000000002</v>
      </c>
      <c r="AE3490" s="190"/>
      <c r="AF3490" s="191"/>
      <c r="AG3490" s="191"/>
      <c r="AH3490" s="191"/>
      <c r="AI3490" s="186"/>
      <c r="AK3490" s="171"/>
    </row>
    <row r="3491" spans="1:41" s="102" customFormat="1" ht="19.899999999999999" customHeight="1" x14ac:dyDescent="0.25">
      <c r="A3491" s="45"/>
      <c r="B3491" s="59"/>
      <c r="C3491" s="137"/>
      <c r="D3491" s="59"/>
      <c r="E3491" s="116"/>
      <c r="F3491" s="120"/>
      <c r="G3491" s="120"/>
      <c r="H3491" s="120"/>
      <c r="I3491" s="60"/>
      <c r="J3491" s="116"/>
      <c r="K3491" s="213"/>
      <c r="L3491" s="120"/>
      <c r="M3491" s="120"/>
      <c r="N3491" s="167"/>
      <c r="O3491" s="120"/>
      <c r="P3491" s="120"/>
      <c r="Q3491" s="120"/>
      <c r="R3491" s="120"/>
      <c r="S3491" s="120"/>
      <c r="T3491" s="221"/>
      <c r="U3491" s="89"/>
      <c r="V3491" s="61"/>
      <c r="W3491" s="92" t="s">
        <v>1049</v>
      </c>
      <c r="X3491" s="93" t="s">
        <v>30</v>
      </c>
      <c r="Y3491" s="93" t="s">
        <v>68</v>
      </c>
      <c r="Z3491" s="134">
        <f>VLOOKUP(W3491,Sheet2!$B:$D,3,FALSE)</f>
        <v>60</v>
      </c>
      <c r="AA3491" s="93">
        <v>1</v>
      </c>
      <c r="AB3491" s="93">
        <f>AD3491/AC3482</f>
        <v>60</v>
      </c>
      <c r="AC3491" s="93">
        <f>AC3482/AA3491</f>
        <v>90.384000000000015</v>
      </c>
      <c r="AD3491" s="94">
        <f t="shared" si="2646"/>
        <v>5423.0400000000009</v>
      </c>
      <c r="AE3491" s="190"/>
      <c r="AF3491" s="191"/>
      <c r="AG3491" s="191"/>
      <c r="AH3491" s="191"/>
      <c r="AI3491" s="186"/>
      <c r="AK3491" s="171"/>
    </row>
    <row r="3492" spans="1:41" s="103" customFormat="1" ht="19.899999999999999" customHeight="1" x14ac:dyDescent="0.25">
      <c r="A3492" s="51"/>
      <c r="B3492" s="52"/>
      <c r="C3492" s="165"/>
      <c r="D3492" s="52"/>
      <c r="E3492" s="115"/>
      <c r="F3492" s="58"/>
      <c r="G3492" s="58"/>
      <c r="H3492" s="58"/>
      <c r="I3492" s="55"/>
      <c r="J3492" s="113">
        <f>J3481</f>
        <v>90.384000000000015</v>
      </c>
      <c r="K3492" s="212">
        <f>K3481</f>
        <v>90.384000000000015</v>
      </c>
      <c r="L3492" s="58"/>
      <c r="M3492" s="58">
        <f>K3492-L3492</f>
        <v>90.384000000000015</v>
      </c>
      <c r="N3492" s="166"/>
      <c r="O3492" s="58"/>
      <c r="P3492" s="58"/>
      <c r="Q3492" s="58"/>
      <c r="R3492" s="58"/>
      <c r="S3492" s="58"/>
      <c r="T3492" s="220"/>
      <c r="U3492" s="88"/>
      <c r="V3492" s="56"/>
      <c r="W3492" s="57" t="s">
        <v>1036</v>
      </c>
      <c r="X3492" s="53"/>
      <c r="Y3492" s="91" t="s">
        <v>68</v>
      </c>
      <c r="Z3492" s="136">
        <f>AD3492/AC3492</f>
        <v>150.58333333333334</v>
      </c>
      <c r="AA3492" s="58"/>
      <c r="AB3492" s="53">
        <f>AD3492/AC3492</f>
        <v>150.58333333333334</v>
      </c>
      <c r="AC3492" s="53">
        <f>M3492+$AE$10</f>
        <v>90.384000000000015</v>
      </c>
      <c r="AD3492" s="54">
        <f>SUM(AD3493:AD3499)</f>
        <v>13610.324000000002</v>
      </c>
      <c r="AE3492" s="184">
        <f>SUMIFS($AD$37:$AD$12971,$V$37:$V$12971,$V3492,$X$37:$X$12971,AE$13)</f>
        <v>0</v>
      </c>
      <c r="AF3492" s="185">
        <f>SUMIFS($AD$37:$AD$12971,$V$37:$V$12971,$V3492,$X$37:$X$12971,AF$13)</f>
        <v>0</v>
      </c>
      <c r="AG3492" s="185">
        <f>SUMIFS($AD$37:$AD$12971,$V$37:$V$12971,$V3492,$X$37:$X$12971,AG$13)</f>
        <v>0</v>
      </c>
      <c r="AH3492" s="187">
        <f>SUMIFS($AD$37:$AD$12971,$V$37:$V$12971,$V3492,$X$37:$X$12971,AH$13)</f>
        <v>0</v>
      </c>
      <c r="AI3492" s="161">
        <f t="shared" ref="AI3492" si="2647">SUM(AE3492:AH3492)</f>
        <v>0</v>
      </c>
      <c r="AK3492" s="172"/>
    </row>
    <row r="3493" spans="1:41" s="102" customFormat="1" ht="19.899999999999999" customHeight="1" x14ac:dyDescent="0.25">
      <c r="A3493" s="45"/>
      <c r="B3493" s="59"/>
      <c r="C3493" s="137"/>
      <c r="D3493" s="59"/>
      <c r="E3493" s="116"/>
      <c r="F3493" s="120"/>
      <c r="G3493" s="120"/>
      <c r="H3493" s="120"/>
      <c r="I3493" s="60"/>
      <c r="J3493" s="116"/>
      <c r="K3493" s="213"/>
      <c r="L3493" s="120"/>
      <c r="M3493" s="120"/>
      <c r="N3493" s="167"/>
      <c r="O3493" s="120"/>
      <c r="P3493" s="120"/>
      <c r="Q3493" s="120"/>
      <c r="R3493" s="120"/>
      <c r="S3493" s="120"/>
      <c r="T3493" s="221"/>
      <c r="U3493" s="89"/>
      <c r="V3493" s="61"/>
      <c r="W3493" s="92" t="s">
        <v>1229</v>
      </c>
      <c r="X3493" s="93" t="s">
        <v>30</v>
      </c>
      <c r="Y3493" s="93" t="s">
        <v>68</v>
      </c>
      <c r="Z3493" s="134">
        <f>VLOOKUP(W3493,Sheet2!$B:$D,3,FALSE)</f>
        <v>95</v>
      </c>
      <c r="AA3493" s="93">
        <v>1</v>
      </c>
      <c r="AB3493" s="93">
        <f>AD3493/AC3492</f>
        <v>95</v>
      </c>
      <c r="AC3493" s="93">
        <f>AC3492/AA3493</f>
        <v>90.384000000000015</v>
      </c>
      <c r="AD3493" s="94">
        <f t="shared" ref="AD3493" si="2648">AC3493*Z3493</f>
        <v>8586.4800000000014</v>
      </c>
      <c r="AE3493" s="190"/>
      <c r="AF3493" s="191"/>
      <c r="AG3493" s="191"/>
      <c r="AH3493" s="191"/>
      <c r="AI3493" s="186"/>
      <c r="AK3493" s="171"/>
    </row>
    <row r="3494" spans="1:41" s="102" customFormat="1" ht="19.899999999999999" customHeight="1" x14ac:dyDescent="0.25">
      <c r="A3494" s="45"/>
      <c r="B3494" s="59"/>
      <c r="C3494" s="137"/>
      <c r="D3494" s="59"/>
      <c r="E3494" s="116"/>
      <c r="F3494" s="120"/>
      <c r="G3494" s="120"/>
      <c r="H3494" s="120"/>
      <c r="I3494" s="60"/>
      <c r="J3494" s="116"/>
      <c r="K3494" s="213"/>
      <c r="L3494" s="120"/>
      <c r="M3494" s="120"/>
      <c r="N3494" s="167"/>
      <c r="O3494" s="120"/>
      <c r="P3494" s="120"/>
      <c r="Q3494" s="120"/>
      <c r="R3494" s="120"/>
      <c r="S3494" s="120"/>
      <c r="T3494" s="221"/>
      <c r="U3494" s="89"/>
      <c r="V3494" s="61"/>
      <c r="W3494" s="92" t="s">
        <v>1230</v>
      </c>
      <c r="X3494" s="93" t="s">
        <v>30</v>
      </c>
      <c r="Y3494" s="93" t="s">
        <v>68</v>
      </c>
      <c r="Z3494" s="134">
        <f>VLOOKUP(W3494,Sheet2!$B:$D,3,FALSE)</f>
        <v>10</v>
      </c>
      <c r="AA3494" s="93">
        <v>1</v>
      </c>
      <c r="AB3494" s="93">
        <f>AD3494/AC3492</f>
        <v>10</v>
      </c>
      <c r="AC3494" s="93">
        <f>AC3492/AA3494</f>
        <v>90.384000000000015</v>
      </c>
      <c r="AD3494" s="94">
        <f>AC3494*Z3494</f>
        <v>903.84000000000015</v>
      </c>
      <c r="AE3494" s="190"/>
      <c r="AF3494" s="191"/>
      <c r="AG3494" s="191"/>
      <c r="AH3494" s="191"/>
      <c r="AI3494" s="186"/>
      <c r="AK3494" s="171"/>
    </row>
    <row r="3495" spans="1:41" s="102" customFormat="1" ht="19.899999999999999" customHeight="1" x14ac:dyDescent="0.25">
      <c r="A3495" s="45"/>
      <c r="B3495" s="59"/>
      <c r="C3495" s="137"/>
      <c r="D3495" s="59"/>
      <c r="E3495" s="116"/>
      <c r="F3495" s="120"/>
      <c r="G3495" s="120"/>
      <c r="H3495" s="120"/>
      <c r="I3495" s="60"/>
      <c r="J3495" s="116"/>
      <c r="K3495" s="213"/>
      <c r="L3495" s="120"/>
      <c r="M3495" s="120"/>
      <c r="N3495" s="167"/>
      <c r="O3495" s="120"/>
      <c r="P3495" s="120"/>
      <c r="Q3495" s="120"/>
      <c r="R3495" s="120"/>
      <c r="S3495" s="120"/>
      <c r="T3495" s="221"/>
      <c r="U3495" s="89"/>
      <c r="V3495" s="61"/>
      <c r="W3495" s="92" t="s">
        <v>107</v>
      </c>
      <c r="X3495" s="93" t="s">
        <v>31</v>
      </c>
      <c r="Y3495" s="93" t="s">
        <v>93</v>
      </c>
      <c r="Z3495" s="134">
        <f>VLOOKUP(W3495,Sheet2!$B:$D,3,FALSE)</f>
        <v>17</v>
      </c>
      <c r="AA3495" s="93">
        <v>6</v>
      </c>
      <c r="AB3495" s="93">
        <f>AD3495/AC3492</f>
        <v>2.833333333333333</v>
      </c>
      <c r="AC3495" s="93">
        <f>AC3492/AA3495</f>
        <v>15.064000000000002</v>
      </c>
      <c r="AD3495" s="94">
        <f>AC3495*Z3495</f>
        <v>256.08800000000002</v>
      </c>
      <c r="AE3495" s="190"/>
      <c r="AF3495" s="191"/>
      <c r="AG3495" s="191"/>
      <c r="AH3495" s="191"/>
      <c r="AI3495" s="186"/>
      <c r="AK3495" s="171"/>
    </row>
    <row r="3496" spans="1:41" s="102" customFormat="1" ht="19.899999999999999" customHeight="1" x14ac:dyDescent="0.25">
      <c r="A3496" s="45"/>
      <c r="B3496" s="59"/>
      <c r="C3496" s="137"/>
      <c r="D3496" s="59"/>
      <c r="E3496" s="116"/>
      <c r="F3496" s="120"/>
      <c r="G3496" s="120"/>
      <c r="H3496" s="120"/>
      <c r="I3496" s="60"/>
      <c r="J3496" s="116"/>
      <c r="K3496" s="213"/>
      <c r="L3496" s="120"/>
      <c r="M3496" s="120"/>
      <c r="N3496" s="167"/>
      <c r="O3496" s="120"/>
      <c r="P3496" s="120"/>
      <c r="Q3496" s="120"/>
      <c r="R3496" s="120"/>
      <c r="S3496" s="120"/>
      <c r="T3496" s="221"/>
      <c r="U3496" s="89"/>
      <c r="V3496" s="61"/>
      <c r="W3496" s="92" t="s">
        <v>112</v>
      </c>
      <c r="X3496" s="93" t="s">
        <v>31</v>
      </c>
      <c r="Y3496" s="93" t="s">
        <v>93</v>
      </c>
      <c r="Z3496" s="134">
        <f>VLOOKUP(W3496,Sheet2!$B:$D,3,FALSE)</f>
        <v>13</v>
      </c>
      <c r="AA3496" s="93">
        <v>6</v>
      </c>
      <c r="AB3496" s="93">
        <f>AD3496/AC3492</f>
        <v>2.1666666666666665</v>
      </c>
      <c r="AC3496" s="93">
        <f>AC3492/AA3496</f>
        <v>15.064000000000002</v>
      </c>
      <c r="AD3496" s="94">
        <f>AC3496*Z3496</f>
        <v>195.83200000000002</v>
      </c>
      <c r="AE3496" s="190"/>
      <c r="AF3496" s="191"/>
      <c r="AG3496" s="191"/>
      <c r="AH3496" s="191"/>
      <c r="AI3496" s="186"/>
      <c r="AK3496" s="171"/>
    </row>
    <row r="3497" spans="1:41" s="102" customFormat="1" ht="19.899999999999999" customHeight="1" x14ac:dyDescent="0.25">
      <c r="A3497" s="45"/>
      <c r="B3497" s="59"/>
      <c r="C3497" s="137"/>
      <c r="D3497" s="59"/>
      <c r="E3497" s="116"/>
      <c r="F3497" s="120"/>
      <c r="G3497" s="120"/>
      <c r="H3497" s="120"/>
      <c r="I3497" s="60"/>
      <c r="J3497" s="116"/>
      <c r="K3497" s="213"/>
      <c r="L3497" s="120"/>
      <c r="M3497" s="120"/>
      <c r="N3497" s="167"/>
      <c r="O3497" s="120"/>
      <c r="P3497" s="120"/>
      <c r="Q3497" s="120"/>
      <c r="R3497" s="120"/>
      <c r="S3497" s="120"/>
      <c r="T3497" s="221"/>
      <c r="U3497" s="89"/>
      <c r="V3497" s="61"/>
      <c r="W3497" s="92" t="s">
        <v>1032</v>
      </c>
      <c r="X3497" s="93" t="s">
        <v>30</v>
      </c>
      <c r="Y3497" s="93" t="s">
        <v>66</v>
      </c>
      <c r="Z3497" s="134">
        <f>VLOOKUP(W3497,Sheet2!$B:$D,3,FALSE)</f>
        <v>250</v>
      </c>
      <c r="AA3497" s="93">
        <f>1/(1*1*0.1)</f>
        <v>10</v>
      </c>
      <c r="AB3497" s="93">
        <f>AD3497/AC3492</f>
        <v>25</v>
      </c>
      <c r="AC3497" s="93">
        <f>AC3492/AA3497</f>
        <v>9.0384000000000011</v>
      </c>
      <c r="AD3497" s="94">
        <f>AC3497*Z3497</f>
        <v>2259.6000000000004</v>
      </c>
      <c r="AE3497" s="190"/>
      <c r="AF3497" s="191"/>
      <c r="AG3497" s="191"/>
      <c r="AH3497" s="191"/>
      <c r="AI3497" s="186"/>
      <c r="AK3497" s="171"/>
    </row>
    <row r="3498" spans="1:41" s="102" customFormat="1" ht="19.899999999999999" customHeight="1" x14ac:dyDescent="0.25">
      <c r="A3498" s="45"/>
      <c r="B3498" s="59"/>
      <c r="C3498" s="137"/>
      <c r="D3498" s="59"/>
      <c r="E3498" s="116"/>
      <c r="F3498" s="120"/>
      <c r="G3498" s="120"/>
      <c r="H3498" s="120"/>
      <c r="I3498" s="60"/>
      <c r="J3498" s="116"/>
      <c r="K3498" s="213"/>
      <c r="L3498" s="120"/>
      <c r="M3498" s="120"/>
      <c r="N3498" s="167"/>
      <c r="O3498" s="120"/>
      <c r="P3498" s="120"/>
      <c r="Q3498" s="120"/>
      <c r="R3498" s="120"/>
      <c r="S3498" s="120"/>
      <c r="T3498" s="221"/>
      <c r="U3498" s="89"/>
      <c r="V3498" s="61"/>
      <c r="W3498" s="92" t="s">
        <v>1035</v>
      </c>
      <c r="X3498" s="93" t="s">
        <v>32</v>
      </c>
      <c r="Y3498" s="93" t="s">
        <v>66</v>
      </c>
      <c r="Z3498" s="134">
        <f>VLOOKUP(W3498,Sheet2!$B:$D,3,FALSE)</f>
        <v>150</v>
      </c>
      <c r="AA3498" s="93">
        <f>AA3497</f>
        <v>10</v>
      </c>
      <c r="AB3498" s="93">
        <f>AD3498/AC3492</f>
        <v>15</v>
      </c>
      <c r="AC3498" s="93">
        <f>AC3492/AA3498</f>
        <v>9.0384000000000011</v>
      </c>
      <c r="AD3498" s="94">
        <f t="shared" ref="AD3498:AD3499" si="2649">AC3498*Z3498</f>
        <v>1355.7600000000002</v>
      </c>
      <c r="AE3498" s="190"/>
      <c r="AF3498" s="191"/>
      <c r="AG3498" s="191"/>
      <c r="AH3498" s="191"/>
      <c r="AI3498" s="186"/>
      <c r="AK3498" s="171"/>
    </row>
    <row r="3499" spans="1:41" s="102" customFormat="1" ht="19.899999999999999" customHeight="1" x14ac:dyDescent="0.25">
      <c r="A3499" s="45"/>
      <c r="B3499" s="59"/>
      <c r="C3499" s="137"/>
      <c r="D3499" s="59"/>
      <c r="E3499" s="116"/>
      <c r="F3499" s="120"/>
      <c r="G3499" s="120"/>
      <c r="H3499" s="120"/>
      <c r="I3499" s="60"/>
      <c r="J3499" s="116"/>
      <c r="K3499" s="213"/>
      <c r="L3499" s="120"/>
      <c r="M3499" s="120"/>
      <c r="N3499" s="167"/>
      <c r="O3499" s="120"/>
      <c r="P3499" s="120"/>
      <c r="Q3499" s="120"/>
      <c r="R3499" s="120"/>
      <c r="S3499" s="120"/>
      <c r="T3499" s="221"/>
      <c r="U3499" s="89"/>
      <c r="V3499" s="61"/>
      <c r="W3499" s="92" t="s">
        <v>1037</v>
      </c>
      <c r="X3499" s="93" t="s">
        <v>30</v>
      </c>
      <c r="Y3499" s="93" t="s">
        <v>1038</v>
      </c>
      <c r="Z3499" s="134">
        <f>VLOOKUP(W3499,Sheet2!$B:$D,3,FALSE)</f>
        <v>175</v>
      </c>
      <c r="AA3499" s="93">
        <v>300</v>
      </c>
      <c r="AB3499" s="93">
        <f>AD3499/AC3492</f>
        <v>0.58333333333333337</v>
      </c>
      <c r="AC3499" s="93">
        <f>AC3492/AA3499</f>
        <v>0.30128000000000005</v>
      </c>
      <c r="AD3499" s="94">
        <f t="shared" si="2649"/>
        <v>52.724000000000011</v>
      </c>
      <c r="AE3499" s="190"/>
      <c r="AF3499" s="191"/>
      <c r="AG3499" s="191"/>
      <c r="AH3499" s="191"/>
      <c r="AI3499" s="186"/>
      <c r="AK3499" s="171"/>
    </row>
    <row r="3500" spans="1:41" s="103" customFormat="1" ht="19.899999999999999" customHeight="1" x14ac:dyDescent="0.25">
      <c r="A3500" s="51"/>
      <c r="B3500" s="52"/>
      <c r="C3500" s="165"/>
      <c r="D3500" s="52"/>
      <c r="E3500" s="115"/>
      <c r="F3500" s="58"/>
      <c r="G3500" s="58"/>
      <c r="H3500" s="58"/>
      <c r="I3500" s="55"/>
      <c r="J3500" s="113">
        <f>J3481</f>
        <v>90.384000000000015</v>
      </c>
      <c r="K3500" s="212">
        <f>K3481</f>
        <v>90.384000000000015</v>
      </c>
      <c r="L3500" s="58"/>
      <c r="M3500" s="58">
        <f>K3500-L3500</f>
        <v>90.384000000000015</v>
      </c>
      <c r="N3500" s="166"/>
      <c r="O3500" s="58"/>
      <c r="P3500" s="58"/>
      <c r="Q3500" s="58"/>
      <c r="R3500" s="58"/>
      <c r="S3500" s="58"/>
      <c r="T3500" s="220"/>
      <c r="U3500" s="88"/>
      <c r="V3500" s="56"/>
      <c r="W3500" s="57" t="s">
        <v>1040</v>
      </c>
      <c r="X3500" s="53"/>
      <c r="Y3500" s="91" t="s">
        <v>68</v>
      </c>
      <c r="Z3500" s="136">
        <f>AD3500/AC3500</f>
        <v>5</v>
      </c>
      <c r="AA3500" s="58"/>
      <c r="AB3500" s="53">
        <f>AD3500/AC3500</f>
        <v>5</v>
      </c>
      <c r="AC3500" s="53">
        <f>M3500+$AE$10</f>
        <v>90.384000000000015</v>
      </c>
      <c r="AD3500" s="54">
        <f>SUM(AD3501)</f>
        <v>451.92000000000007</v>
      </c>
      <c r="AE3500" s="184">
        <f>SUMIFS($AD$37:$AD$12971,$V$37:$V$12971,$V3500,$X$37:$X$12971,AE$13)</f>
        <v>0</v>
      </c>
      <c r="AF3500" s="185">
        <f>SUMIFS($AD$37:$AD$12971,$V$37:$V$12971,$V3500,$X$37:$X$12971,AF$13)</f>
        <v>0</v>
      </c>
      <c r="AG3500" s="185">
        <f>SUMIFS($AD$37:$AD$12971,$V$37:$V$12971,$V3500,$X$37:$X$12971,AG$13)</f>
        <v>0</v>
      </c>
      <c r="AH3500" s="187">
        <f>SUMIFS($AD$37:$AD$12971,$V$37:$V$12971,$V3500,$X$37:$X$12971,AH$13)</f>
        <v>0</v>
      </c>
      <c r="AI3500" s="161">
        <f t="shared" ref="AI3500" si="2650">SUM(AE3500:AH3500)</f>
        <v>0</v>
      </c>
      <c r="AK3500" s="172"/>
    </row>
    <row r="3501" spans="1:41" s="102" customFormat="1" ht="19.899999999999999" customHeight="1" x14ac:dyDescent="0.25">
      <c r="A3501" s="45"/>
      <c r="B3501" s="59"/>
      <c r="C3501" s="137"/>
      <c r="D3501" s="59"/>
      <c r="E3501" s="116"/>
      <c r="F3501" s="120"/>
      <c r="G3501" s="120"/>
      <c r="H3501" s="120"/>
      <c r="I3501" s="60"/>
      <c r="J3501" s="116"/>
      <c r="K3501" s="213"/>
      <c r="L3501" s="120"/>
      <c r="M3501" s="120"/>
      <c r="N3501" s="167"/>
      <c r="O3501" s="120"/>
      <c r="P3501" s="120"/>
      <c r="Q3501" s="120"/>
      <c r="R3501" s="120"/>
      <c r="S3501" s="120"/>
      <c r="T3501" s="221"/>
      <c r="U3501" s="89"/>
      <c r="V3501" s="61"/>
      <c r="W3501" s="92" t="s">
        <v>1039</v>
      </c>
      <c r="X3501" s="93" t="s">
        <v>32</v>
      </c>
      <c r="Y3501" s="93" t="s">
        <v>68</v>
      </c>
      <c r="Z3501" s="134">
        <f>VLOOKUP(W3501,Sheet2!$B:$D,3,FALSE)</f>
        <v>5</v>
      </c>
      <c r="AA3501" s="93">
        <v>1</v>
      </c>
      <c r="AB3501" s="93">
        <f>AD3501/AC3500</f>
        <v>5</v>
      </c>
      <c r="AC3501" s="93">
        <f>AC3500/AA3501</f>
        <v>90.384000000000015</v>
      </c>
      <c r="AD3501" s="94">
        <f t="shared" ref="AD3501" si="2651">AC3501*Z3501</f>
        <v>451.92000000000007</v>
      </c>
      <c r="AE3501" s="190"/>
      <c r="AF3501" s="191"/>
      <c r="AG3501" s="191"/>
      <c r="AH3501" s="191"/>
      <c r="AI3501" s="186"/>
      <c r="AK3501" s="171"/>
    </row>
    <row r="3502" spans="1:41" ht="20.100000000000001" customHeight="1" x14ac:dyDescent="0.25">
      <c r="A3502" s="277" t="s">
        <v>491</v>
      </c>
      <c r="B3502" s="278"/>
      <c r="C3502" s="64" t="s">
        <v>1173</v>
      </c>
      <c r="D3502" s="46" t="s">
        <v>97</v>
      </c>
      <c r="E3502" s="114">
        <v>6.2372500000000031</v>
      </c>
      <c r="F3502" s="44">
        <v>768</v>
      </c>
      <c r="G3502" s="44">
        <f t="shared" si="2434"/>
        <v>4790.2080000000024</v>
      </c>
      <c r="H3502" s="44">
        <f t="shared" si="2435"/>
        <v>254.42705098039215</v>
      </c>
      <c r="I3502" s="43">
        <f t="shared" si="2436"/>
        <v>1586.9251237274518</v>
      </c>
      <c r="J3502" s="112">
        <f t="shared" si="2437"/>
        <v>6.2372500000000031</v>
      </c>
      <c r="K3502" s="211">
        <f t="shared" si="2438"/>
        <v>6.2372500000000031</v>
      </c>
      <c r="L3502" s="44"/>
      <c r="M3502" s="44">
        <f t="shared" si="2458"/>
        <v>6.2372500000000031</v>
      </c>
      <c r="N3502" s="173">
        <f t="shared" si="2439"/>
        <v>1</v>
      </c>
      <c r="O3502" s="44">
        <f t="shared" si="2440"/>
        <v>768</v>
      </c>
      <c r="P3502" s="44">
        <f t="shared" si="2441"/>
        <v>4790.2080000000024</v>
      </c>
      <c r="Q3502" s="44">
        <f t="shared" si="2442"/>
        <v>254.42705098039215</v>
      </c>
      <c r="R3502" s="44">
        <f t="shared" si="2459"/>
        <v>1586.9251237274518</v>
      </c>
      <c r="S3502" s="123"/>
      <c r="T3502" s="219">
        <f t="shared" si="2460"/>
        <v>1586.9251237274518</v>
      </c>
      <c r="U3502" s="87"/>
      <c r="V3502" s="47"/>
      <c r="W3502" s="48"/>
      <c r="X3502" s="48"/>
      <c r="Y3502" s="48"/>
      <c r="Z3502" s="135"/>
      <c r="AA3502" s="49"/>
      <c r="AB3502" s="50">
        <f t="shared" si="2443"/>
        <v>254.42705098039215</v>
      </c>
      <c r="AC3502" s="42">
        <f t="shared" si="2461"/>
        <v>6.2372500000000031</v>
      </c>
      <c r="AD3502" s="90">
        <f>AD3503+AD3513+AD3521</f>
        <v>1586.9251237274518</v>
      </c>
      <c r="AE3502" s="188">
        <f t="shared" ref="AE3502" si="2652">AE3503+AE3513+AE3521</f>
        <v>0</v>
      </c>
      <c r="AF3502" s="189">
        <f t="shared" ref="AF3502" si="2653">AF3503+AF3513+AF3521</f>
        <v>0</v>
      </c>
      <c r="AG3502" s="189">
        <f t="shared" ref="AG3502" si="2654">AG3503+AG3513+AG3521</f>
        <v>0</v>
      </c>
      <c r="AH3502" s="189">
        <f t="shared" ref="AH3502" si="2655">AH3503+AH3513+AH3521</f>
        <v>0</v>
      </c>
      <c r="AI3502" s="161">
        <f t="shared" ref="AI3502" si="2656">SUM(AE3502:AH3502)</f>
        <v>0</v>
      </c>
      <c r="AK3502" s="169">
        <v>5</v>
      </c>
      <c r="AO3502" s="19" t="s">
        <v>63</v>
      </c>
    </row>
    <row r="3503" spans="1:41" s="103" customFormat="1" ht="19.899999999999999" customHeight="1" x14ac:dyDescent="0.25">
      <c r="A3503" s="51"/>
      <c r="B3503" s="52"/>
      <c r="C3503" s="165"/>
      <c r="D3503" s="52"/>
      <c r="E3503" s="115"/>
      <c r="F3503" s="58"/>
      <c r="G3503" s="58"/>
      <c r="H3503" s="58"/>
      <c r="I3503" s="55"/>
      <c r="J3503" s="113">
        <f>J3502</f>
        <v>6.2372500000000031</v>
      </c>
      <c r="K3503" s="212">
        <f>K3502</f>
        <v>6.2372500000000031</v>
      </c>
      <c r="L3503" s="58"/>
      <c r="M3503" s="58">
        <f>K3503-L3503</f>
        <v>6.2372500000000031</v>
      </c>
      <c r="N3503" s="166"/>
      <c r="O3503" s="58"/>
      <c r="P3503" s="58"/>
      <c r="Q3503" s="58"/>
      <c r="R3503" s="58"/>
      <c r="S3503" s="58"/>
      <c r="T3503" s="220"/>
      <c r="U3503" s="88"/>
      <c r="V3503" s="56"/>
      <c r="W3503" s="57" t="s">
        <v>1225</v>
      </c>
      <c r="X3503" s="53"/>
      <c r="Y3503" s="91" t="s">
        <v>68</v>
      </c>
      <c r="Z3503" s="136">
        <f>AD3503/AC3503</f>
        <v>98.843717647058824</v>
      </c>
      <c r="AA3503" s="58"/>
      <c r="AB3503" s="53">
        <f>AD3503/AC3503</f>
        <v>98.843717647058824</v>
      </c>
      <c r="AC3503" s="53">
        <f>M3503+$AE$10</f>
        <v>6.2372500000000031</v>
      </c>
      <c r="AD3503" s="54">
        <f>SUM(AD3504:AD3512)</f>
        <v>616.51297789411797</v>
      </c>
      <c r="AE3503" s="184">
        <f>SUMIFS($AD$37:$AD$12971,$V$37:$V$12971,$V3503,$X$37:$X$12971,AE$13)</f>
        <v>0</v>
      </c>
      <c r="AF3503" s="185">
        <f>SUMIFS($AD$37:$AD$12971,$V$37:$V$12971,$V3503,$X$37:$X$12971,AF$13)</f>
        <v>0</v>
      </c>
      <c r="AG3503" s="185">
        <f>SUMIFS($AD$37:$AD$12971,$V$37:$V$12971,$V3503,$X$37:$X$12971,AG$13)</f>
        <v>0</v>
      </c>
      <c r="AH3503" s="187">
        <f>SUMIFS($AD$37:$AD$12971,$V$37:$V$12971,$V3503,$X$37:$X$12971,AH$13)</f>
        <v>0</v>
      </c>
      <c r="AI3503" s="161">
        <f t="shared" ref="AI3503" si="2657">SUM(AE3503:AH3503)</f>
        <v>0</v>
      </c>
      <c r="AK3503" s="172"/>
    </row>
    <row r="3504" spans="1:41" s="102" customFormat="1" ht="19.899999999999999" customHeight="1" x14ac:dyDescent="0.25">
      <c r="A3504" s="45"/>
      <c r="B3504" s="59"/>
      <c r="C3504" s="137"/>
      <c r="D3504" s="59"/>
      <c r="E3504" s="116"/>
      <c r="F3504" s="120"/>
      <c r="G3504" s="120"/>
      <c r="H3504" s="120"/>
      <c r="I3504" s="60"/>
      <c r="J3504" s="116"/>
      <c r="K3504" s="213"/>
      <c r="L3504" s="120"/>
      <c r="M3504" s="120"/>
      <c r="N3504" s="167"/>
      <c r="O3504" s="120"/>
      <c r="P3504" s="120"/>
      <c r="Q3504" s="120"/>
      <c r="R3504" s="120"/>
      <c r="S3504" s="120"/>
      <c r="T3504" s="221"/>
      <c r="U3504" s="89"/>
      <c r="V3504" s="61"/>
      <c r="W3504" s="92" t="s">
        <v>131</v>
      </c>
      <c r="X3504" s="93" t="s">
        <v>29</v>
      </c>
      <c r="Y3504" s="93" t="s">
        <v>93</v>
      </c>
      <c r="Z3504" s="134">
        <f>VLOOKUP(W3504,Sheet2!$B:$D,3,FALSE)</f>
        <v>131.19999999999999</v>
      </c>
      <c r="AA3504" s="93">
        <f>80/(1*6)</f>
        <v>13.333333333333334</v>
      </c>
      <c r="AB3504" s="93">
        <f t="shared" ref="AB3504" si="2658">AD3504/AC3503</f>
        <v>9.84</v>
      </c>
      <c r="AC3504" s="93">
        <f>AC3503/AA3504</f>
        <v>0.46779375000000023</v>
      </c>
      <c r="AD3504" s="94">
        <f t="shared" ref="AD3504:AD3505" si="2659">AC3504*Z3504</f>
        <v>61.374540000000025</v>
      </c>
      <c r="AE3504" s="190"/>
      <c r="AF3504" s="191"/>
      <c r="AG3504" s="191"/>
      <c r="AH3504" s="191"/>
      <c r="AI3504" s="186"/>
      <c r="AK3504" s="171"/>
    </row>
    <row r="3505" spans="1:37" s="102" customFormat="1" ht="19.899999999999999" customHeight="1" x14ac:dyDescent="0.25">
      <c r="A3505" s="45"/>
      <c r="B3505" s="59"/>
      <c r="C3505" s="137"/>
      <c r="D3505" s="59"/>
      <c r="E3505" s="116"/>
      <c r="F3505" s="120"/>
      <c r="G3505" s="120"/>
      <c r="H3505" s="120"/>
      <c r="I3505" s="60"/>
      <c r="J3505" s="116"/>
      <c r="K3505" s="213"/>
      <c r="L3505" s="120"/>
      <c r="M3505" s="120"/>
      <c r="N3505" s="167"/>
      <c r="O3505" s="120"/>
      <c r="P3505" s="120"/>
      <c r="Q3505" s="120"/>
      <c r="R3505" s="120"/>
      <c r="S3505" s="120"/>
      <c r="T3505" s="221"/>
      <c r="U3505" s="89"/>
      <c r="V3505" s="61"/>
      <c r="W3505" s="92" t="s">
        <v>65</v>
      </c>
      <c r="X3505" s="93" t="s">
        <v>30</v>
      </c>
      <c r="Y3505" s="93" t="s">
        <v>1011</v>
      </c>
      <c r="Z3505" s="134">
        <f>VLOOKUP(W3505,Sheet2!$B:$D,3,FALSE)</f>
        <v>1.76</v>
      </c>
      <c r="AA3505" s="93">
        <f>AA3504/32</f>
        <v>0.41666666666666669</v>
      </c>
      <c r="AB3505" s="93">
        <f>AD3505/AC3503</f>
        <v>4.2240000000000002</v>
      </c>
      <c r="AC3505" s="93">
        <f>AC3503/AA3505</f>
        <v>14.969400000000007</v>
      </c>
      <c r="AD3505" s="94">
        <f t="shared" si="2659"/>
        <v>26.346144000000013</v>
      </c>
      <c r="AE3505" s="190"/>
      <c r="AF3505" s="191"/>
      <c r="AG3505" s="191"/>
      <c r="AH3505" s="191"/>
      <c r="AI3505" s="186"/>
      <c r="AK3505" s="171"/>
    </row>
    <row r="3506" spans="1:37" s="102" customFormat="1" ht="19.899999999999999" customHeight="1" x14ac:dyDescent="0.25">
      <c r="A3506" s="45"/>
      <c r="B3506" s="59"/>
      <c r="C3506" s="137"/>
      <c r="D3506" s="59"/>
      <c r="E3506" s="116"/>
      <c r="F3506" s="120"/>
      <c r="G3506" s="120"/>
      <c r="H3506" s="120"/>
      <c r="I3506" s="60"/>
      <c r="J3506" s="116"/>
      <c r="K3506" s="213"/>
      <c r="L3506" s="120"/>
      <c r="M3506" s="120"/>
      <c r="N3506" s="167"/>
      <c r="O3506" s="120"/>
      <c r="P3506" s="120"/>
      <c r="Q3506" s="120"/>
      <c r="R3506" s="120"/>
      <c r="S3506" s="120"/>
      <c r="T3506" s="221"/>
      <c r="U3506" s="89"/>
      <c r="V3506" s="61"/>
      <c r="W3506" s="92" t="s">
        <v>161</v>
      </c>
      <c r="X3506" s="93" t="s">
        <v>29</v>
      </c>
      <c r="Y3506" s="93" t="s">
        <v>93</v>
      </c>
      <c r="Z3506" s="134">
        <f>VLOOKUP(W3506,Sheet2!$B:$D,3,FALSE)</f>
        <v>48</v>
      </c>
      <c r="AA3506" s="93">
        <f>(16*0.85*1.5)/(1*6)</f>
        <v>3.4</v>
      </c>
      <c r="AB3506" s="93">
        <f>AD3506/AC3503</f>
        <v>14.117647058823527</v>
      </c>
      <c r="AC3506" s="93">
        <f>AC3503/AA3506</f>
        <v>1.8344852941176479</v>
      </c>
      <c r="AD3506" s="94">
        <f>AC3506*Z3506</f>
        <v>88.055294117647094</v>
      </c>
      <c r="AE3506" s="190"/>
      <c r="AF3506" s="191"/>
      <c r="AG3506" s="191"/>
      <c r="AH3506" s="191"/>
      <c r="AI3506" s="186"/>
      <c r="AK3506" s="171"/>
    </row>
    <row r="3507" spans="1:37" s="102" customFormat="1" ht="19.899999999999999" customHeight="1" x14ac:dyDescent="0.25">
      <c r="A3507" s="45"/>
      <c r="B3507" s="59"/>
      <c r="C3507" s="137"/>
      <c r="D3507" s="59"/>
      <c r="E3507" s="116"/>
      <c r="F3507" s="120"/>
      <c r="G3507" s="120"/>
      <c r="H3507" s="120"/>
      <c r="I3507" s="60"/>
      <c r="J3507" s="116"/>
      <c r="K3507" s="213"/>
      <c r="L3507" s="120"/>
      <c r="M3507" s="120"/>
      <c r="N3507" s="167"/>
      <c r="O3507" s="120"/>
      <c r="P3507" s="120"/>
      <c r="Q3507" s="120"/>
      <c r="R3507" s="120"/>
      <c r="S3507" s="120"/>
      <c r="T3507" s="221"/>
      <c r="U3507" s="89"/>
      <c r="V3507" s="61"/>
      <c r="W3507" s="92" t="s">
        <v>65</v>
      </c>
      <c r="X3507" s="93" t="s">
        <v>30</v>
      </c>
      <c r="Y3507" s="93" t="s">
        <v>1011</v>
      </c>
      <c r="Z3507" s="134">
        <f>VLOOKUP(W3507,Sheet2!$B:$D,3,FALSE)</f>
        <v>1.76</v>
      </c>
      <c r="AA3507" s="93">
        <f>AA3506/10</f>
        <v>0.33999999999999997</v>
      </c>
      <c r="AB3507" s="93">
        <f>AD3507/AC3503</f>
        <v>5.1764705882352944</v>
      </c>
      <c r="AC3507" s="93">
        <f>AC3503/AA3507</f>
        <v>18.34485294117648</v>
      </c>
      <c r="AD3507" s="94">
        <f>AC3507*Z3507</f>
        <v>32.286941176470606</v>
      </c>
      <c r="AE3507" s="190"/>
      <c r="AF3507" s="191"/>
      <c r="AG3507" s="191"/>
      <c r="AH3507" s="191"/>
      <c r="AI3507" s="186"/>
      <c r="AK3507" s="171"/>
    </row>
    <row r="3508" spans="1:37" s="102" customFormat="1" ht="19.899999999999999" customHeight="1" x14ac:dyDescent="0.25">
      <c r="A3508" s="45"/>
      <c r="B3508" s="59"/>
      <c r="C3508" s="137"/>
      <c r="D3508" s="59"/>
      <c r="E3508" s="116"/>
      <c r="F3508" s="120"/>
      <c r="G3508" s="120"/>
      <c r="H3508" s="120"/>
      <c r="I3508" s="60"/>
      <c r="J3508" s="116"/>
      <c r="K3508" s="213"/>
      <c r="L3508" s="120"/>
      <c r="M3508" s="120"/>
      <c r="N3508" s="167"/>
      <c r="O3508" s="120"/>
      <c r="P3508" s="120"/>
      <c r="Q3508" s="120"/>
      <c r="R3508" s="120"/>
      <c r="S3508" s="120"/>
      <c r="T3508" s="221"/>
      <c r="U3508" s="89"/>
      <c r="V3508" s="61"/>
      <c r="W3508" s="92" t="s">
        <v>1030</v>
      </c>
      <c r="X3508" s="93" t="s">
        <v>29</v>
      </c>
      <c r="Y3508" s="93" t="s">
        <v>93</v>
      </c>
      <c r="Z3508" s="134">
        <f>VLOOKUP(W3508,Sheet2!$B:$D,3,FALSE)</f>
        <v>23</v>
      </c>
      <c r="AA3508" s="93">
        <v>50</v>
      </c>
      <c r="AB3508" s="93">
        <f>AD3508/AC3503</f>
        <v>0.45999999999999996</v>
      </c>
      <c r="AC3508" s="93">
        <f>AC3503/AA3508</f>
        <v>0.12474500000000006</v>
      </c>
      <c r="AD3508" s="94">
        <f t="shared" ref="AD3508:AD3512" si="2660">AC3508*Z3508</f>
        <v>2.8691350000000013</v>
      </c>
      <c r="AE3508" s="190"/>
      <c r="AF3508" s="191"/>
      <c r="AG3508" s="191"/>
      <c r="AH3508" s="191"/>
      <c r="AI3508" s="186"/>
      <c r="AK3508" s="171"/>
    </row>
    <row r="3509" spans="1:37" s="102" customFormat="1" ht="19.899999999999999" customHeight="1" x14ac:dyDescent="0.25">
      <c r="A3509" s="45"/>
      <c r="B3509" s="59"/>
      <c r="C3509" s="137"/>
      <c r="D3509" s="59"/>
      <c r="E3509" s="116"/>
      <c r="F3509" s="120"/>
      <c r="G3509" s="120"/>
      <c r="H3509" s="120"/>
      <c r="I3509" s="60"/>
      <c r="J3509" s="116"/>
      <c r="K3509" s="213"/>
      <c r="L3509" s="120"/>
      <c r="M3509" s="120"/>
      <c r="N3509" s="167"/>
      <c r="O3509" s="120"/>
      <c r="P3509" s="120"/>
      <c r="Q3509" s="120"/>
      <c r="R3509" s="120"/>
      <c r="S3509" s="120"/>
      <c r="T3509" s="221"/>
      <c r="U3509" s="89"/>
      <c r="V3509" s="61"/>
      <c r="W3509" s="92" t="s">
        <v>65</v>
      </c>
      <c r="X3509" s="93" t="s">
        <v>30</v>
      </c>
      <c r="Y3509" s="93" t="s">
        <v>1011</v>
      </c>
      <c r="Z3509" s="134">
        <f>VLOOKUP(W3509,Sheet2!$B:$D,3,FALSE)</f>
        <v>1.76</v>
      </c>
      <c r="AA3509" s="93">
        <f>AA3508/3</f>
        <v>16.666666666666668</v>
      </c>
      <c r="AB3509" s="93">
        <f>AD3509/AC3503</f>
        <v>0.1056</v>
      </c>
      <c r="AC3509" s="93">
        <f>AC3503/AA3509</f>
        <v>0.37423500000000015</v>
      </c>
      <c r="AD3509" s="94">
        <f t="shared" si="2660"/>
        <v>0.65865360000000028</v>
      </c>
      <c r="AE3509" s="190"/>
      <c r="AF3509" s="191"/>
      <c r="AG3509" s="191"/>
      <c r="AH3509" s="191"/>
      <c r="AI3509" s="186"/>
      <c r="AK3509" s="171"/>
    </row>
    <row r="3510" spans="1:37" s="102" customFormat="1" ht="19.899999999999999" customHeight="1" x14ac:dyDescent="0.25">
      <c r="A3510" s="45"/>
      <c r="B3510" s="59"/>
      <c r="C3510" s="137"/>
      <c r="D3510" s="59"/>
      <c r="E3510" s="116"/>
      <c r="F3510" s="120"/>
      <c r="G3510" s="120"/>
      <c r="H3510" s="120"/>
      <c r="I3510" s="60"/>
      <c r="J3510" s="116"/>
      <c r="K3510" s="213"/>
      <c r="L3510" s="120"/>
      <c r="M3510" s="120"/>
      <c r="N3510" s="167"/>
      <c r="O3510" s="120"/>
      <c r="P3510" s="120"/>
      <c r="Q3510" s="120"/>
      <c r="R3510" s="120"/>
      <c r="S3510" s="120"/>
      <c r="T3510" s="221"/>
      <c r="U3510" s="89"/>
      <c r="V3510" s="61"/>
      <c r="W3510" s="92" t="s">
        <v>148</v>
      </c>
      <c r="X3510" s="93" t="s">
        <v>29</v>
      </c>
      <c r="Y3510" s="93" t="s">
        <v>93</v>
      </c>
      <c r="Z3510" s="134">
        <f>VLOOKUP(W3510,Sheet2!$B:$D,3,FALSE)</f>
        <v>48</v>
      </c>
      <c r="AA3510" s="93">
        <f>AA3504</f>
        <v>13.333333333333334</v>
      </c>
      <c r="AB3510" s="93">
        <f>AD3510/AC3503</f>
        <v>3.6</v>
      </c>
      <c r="AC3510" s="93">
        <f>AC3503/AA3510</f>
        <v>0.46779375000000023</v>
      </c>
      <c r="AD3510" s="94">
        <f t="shared" si="2660"/>
        <v>22.454100000000011</v>
      </c>
      <c r="AE3510" s="190"/>
      <c r="AF3510" s="191"/>
      <c r="AG3510" s="191"/>
      <c r="AH3510" s="191"/>
      <c r="AI3510" s="186"/>
      <c r="AK3510" s="171"/>
    </row>
    <row r="3511" spans="1:37" s="102" customFormat="1" ht="19.899999999999999" customHeight="1" x14ac:dyDescent="0.25">
      <c r="A3511" s="45"/>
      <c r="B3511" s="59"/>
      <c r="C3511" s="137"/>
      <c r="D3511" s="59"/>
      <c r="E3511" s="116"/>
      <c r="F3511" s="120"/>
      <c r="G3511" s="120"/>
      <c r="H3511" s="120"/>
      <c r="I3511" s="60"/>
      <c r="J3511" s="116"/>
      <c r="K3511" s="213"/>
      <c r="L3511" s="120"/>
      <c r="M3511" s="120"/>
      <c r="N3511" s="167"/>
      <c r="O3511" s="120"/>
      <c r="P3511" s="120"/>
      <c r="Q3511" s="120"/>
      <c r="R3511" s="120"/>
      <c r="S3511" s="120"/>
      <c r="T3511" s="221"/>
      <c r="U3511" s="89"/>
      <c r="V3511" s="61"/>
      <c r="W3511" s="92" t="s">
        <v>65</v>
      </c>
      <c r="X3511" s="93" t="s">
        <v>30</v>
      </c>
      <c r="Y3511" s="93" t="s">
        <v>1011</v>
      </c>
      <c r="Z3511" s="134">
        <f>VLOOKUP(W3511,Sheet2!$B:$D,3,FALSE)</f>
        <v>1.76</v>
      </c>
      <c r="AA3511" s="93">
        <f>AA3510/10</f>
        <v>1.3333333333333335</v>
      </c>
      <c r="AB3511" s="93">
        <f>AD3511/AC3503</f>
        <v>1.3199999999999998</v>
      </c>
      <c r="AC3511" s="93">
        <f>AC3503/AA3511</f>
        <v>4.6779375000000014</v>
      </c>
      <c r="AD3511" s="94">
        <f t="shared" si="2660"/>
        <v>8.233170000000003</v>
      </c>
      <c r="AE3511" s="190"/>
      <c r="AF3511" s="191"/>
      <c r="AG3511" s="191"/>
      <c r="AH3511" s="191"/>
      <c r="AI3511" s="186"/>
      <c r="AK3511" s="171"/>
    </row>
    <row r="3512" spans="1:37" s="102" customFormat="1" ht="19.899999999999999" customHeight="1" x14ac:dyDescent="0.25">
      <c r="A3512" s="45"/>
      <c r="B3512" s="59"/>
      <c r="C3512" s="137"/>
      <c r="D3512" s="59"/>
      <c r="E3512" s="116"/>
      <c r="F3512" s="120"/>
      <c r="G3512" s="120"/>
      <c r="H3512" s="120"/>
      <c r="I3512" s="60"/>
      <c r="J3512" s="116"/>
      <c r="K3512" s="213"/>
      <c r="L3512" s="120"/>
      <c r="M3512" s="120"/>
      <c r="N3512" s="167"/>
      <c r="O3512" s="120"/>
      <c r="P3512" s="120"/>
      <c r="Q3512" s="120"/>
      <c r="R3512" s="120"/>
      <c r="S3512" s="120"/>
      <c r="T3512" s="221"/>
      <c r="U3512" s="89"/>
      <c r="V3512" s="61"/>
      <c r="W3512" s="92" t="s">
        <v>1049</v>
      </c>
      <c r="X3512" s="93" t="s">
        <v>30</v>
      </c>
      <c r="Y3512" s="93" t="s">
        <v>68</v>
      </c>
      <c r="Z3512" s="134">
        <f>VLOOKUP(W3512,Sheet2!$B:$D,3,FALSE)</f>
        <v>60</v>
      </c>
      <c r="AA3512" s="93">
        <v>1</v>
      </c>
      <c r="AB3512" s="93">
        <f>AD3512/AC3503</f>
        <v>60</v>
      </c>
      <c r="AC3512" s="93">
        <f>AC3503/AA3512</f>
        <v>6.2372500000000031</v>
      </c>
      <c r="AD3512" s="94">
        <f t="shared" si="2660"/>
        <v>374.23500000000018</v>
      </c>
      <c r="AE3512" s="190"/>
      <c r="AF3512" s="191"/>
      <c r="AG3512" s="191"/>
      <c r="AH3512" s="191"/>
      <c r="AI3512" s="186"/>
      <c r="AK3512" s="171"/>
    </row>
    <row r="3513" spans="1:37" s="103" customFormat="1" ht="19.899999999999999" customHeight="1" x14ac:dyDescent="0.25">
      <c r="A3513" s="51"/>
      <c r="B3513" s="52"/>
      <c r="C3513" s="165"/>
      <c r="D3513" s="52"/>
      <c r="E3513" s="115"/>
      <c r="F3513" s="58"/>
      <c r="G3513" s="58"/>
      <c r="H3513" s="58"/>
      <c r="I3513" s="55"/>
      <c r="J3513" s="113">
        <f>J3502</f>
        <v>6.2372500000000031</v>
      </c>
      <c r="K3513" s="212">
        <f>K3502</f>
        <v>6.2372500000000031</v>
      </c>
      <c r="L3513" s="58"/>
      <c r="M3513" s="58">
        <f>K3513-L3513</f>
        <v>6.2372500000000031</v>
      </c>
      <c r="N3513" s="166"/>
      <c r="O3513" s="58"/>
      <c r="P3513" s="58"/>
      <c r="Q3513" s="58"/>
      <c r="R3513" s="58"/>
      <c r="S3513" s="58"/>
      <c r="T3513" s="220"/>
      <c r="U3513" s="88"/>
      <c r="V3513" s="56"/>
      <c r="W3513" s="57" t="s">
        <v>1036</v>
      </c>
      <c r="X3513" s="53"/>
      <c r="Y3513" s="91" t="s">
        <v>68</v>
      </c>
      <c r="Z3513" s="136">
        <f>AD3513/AC3513</f>
        <v>150.58333333333334</v>
      </c>
      <c r="AA3513" s="58"/>
      <c r="AB3513" s="53">
        <f>AD3513/AC3513</f>
        <v>150.58333333333334</v>
      </c>
      <c r="AC3513" s="53">
        <f>M3513+$AE$10</f>
        <v>6.2372500000000031</v>
      </c>
      <c r="AD3513" s="54">
        <f>SUM(AD3514:AD3520)</f>
        <v>939.22589583333388</v>
      </c>
      <c r="AE3513" s="184">
        <f>SUMIFS($AD$37:$AD$12971,$V$37:$V$12971,$V3513,$X$37:$X$12971,AE$13)</f>
        <v>0</v>
      </c>
      <c r="AF3513" s="185">
        <f>SUMIFS($AD$37:$AD$12971,$V$37:$V$12971,$V3513,$X$37:$X$12971,AF$13)</f>
        <v>0</v>
      </c>
      <c r="AG3513" s="185">
        <f>SUMIFS($AD$37:$AD$12971,$V$37:$V$12971,$V3513,$X$37:$X$12971,AG$13)</f>
        <v>0</v>
      </c>
      <c r="AH3513" s="187">
        <f>SUMIFS($AD$37:$AD$12971,$V$37:$V$12971,$V3513,$X$37:$X$12971,AH$13)</f>
        <v>0</v>
      </c>
      <c r="AI3513" s="161">
        <f t="shared" ref="AI3513" si="2661">SUM(AE3513:AH3513)</f>
        <v>0</v>
      </c>
      <c r="AK3513" s="172"/>
    </row>
    <row r="3514" spans="1:37" s="102" customFormat="1" ht="19.899999999999999" customHeight="1" x14ac:dyDescent="0.25">
      <c r="A3514" s="45"/>
      <c r="B3514" s="59"/>
      <c r="C3514" s="137"/>
      <c r="D3514" s="59"/>
      <c r="E3514" s="116"/>
      <c r="F3514" s="120"/>
      <c r="G3514" s="120"/>
      <c r="H3514" s="120"/>
      <c r="I3514" s="60"/>
      <c r="J3514" s="116"/>
      <c r="K3514" s="213"/>
      <c r="L3514" s="120"/>
      <c r="M3514" s="120"/>
      <c r="N3514" s="167"/>
      <c r="O3514" s="120"/>
      <c r="P3514" s="120"/>
      <c r="Q3514" s="120"/>
      <c r="R3514" s="120"/>
      <c r="S3514" s="120"/>
      <c r="T3514" s="221"/>
      <c r="U3514" s="89"/>
      <c r="V3514" s="61"/>
      <c r="W3514" s="92" t="s">
        <v>1229</v>
      </c>
      <c r="X3514" s="93" t="s">
        <v>30</v>
      </c>
      <c r="Y3514" s="93" t="s">
        <v>68</v>
      </c>
      <c r="Z3514" s="134">
        <f>VLOOKUP(W3514,Sheet2!$B:$D,3,FALSE)</f>
        <v>95</v>
      </c>
      <c r="AA3514" s="93">
        <v>1</v>
      </c>
      <c r="AB3514" s="93">
        <f>AD3514/AC3513</f>
        <v>95</v>
      </c>
      <c r="AC3514" s="93">
        <f>AC3513/AA3514</f>
        <v>6.2372500000000031</v>
      </c>
      <c r="AD3514" s="94">
        <f t="shared" ref="AD3514" si="2662">AC3514*Z3514</f>
        <v>592.53875000000028</v>
      </c>
      <c r="AE3514" s="190"/>
      <c r="AF3514" s="191"/>
      <c r="AG3514" s="191"/>
      <c r="AH3514" s="191"/>
      <c r="AI3514" s="186"/>
      <c r="AK3514" s="171"/>
    </row>
    <row r="3515" spans="1:37" s="102" customFormat="1" ht="19.899999999999999" customHeight="1" x14ac:dyDescent="0.25">
      <c r="A3515" s="45"/>
      <c r="B3515" s="59"/>
      <c r="C3515" s="137"/>
      <c r="D3515" s="59"/>
      <c r="E3515" s="116"/>
      <c r="F3515" s="120"/>
      <c r="G3515" s="120"/>
      <c r="H3515" s="120"/>
      <c r="I3515" s="60"/>
      <c r="J3515" s="116"/>
      <c r="K3515" s="213"/>
      <c r="L3515" s="120"/>
      <c r="M3515" s="120"/>
      <c r="N3515" s="167"/>
      <c r="O3515" s="120"/>
      <c r="P3515" s="120"/>
      <c r="Q3515" s="120"/>
      <c r="R3515" s="120"/>
      <c r="S3515" s="120"/>
      <c r="T3515" s="221"/>
      <c r="U3515" s="89"/>
      <c r="V3515" s="61"/>
      <c r="W3515" s="92" t="s">
        <v>1230</v>
      </c>
      <c r="X3515" s="93" t="s">
        <v>30</v>
      </c>
      <c r="Y3515" s="93" t="s">
        <v>68</v>
      </c>
      <c r="Z3515" s="134">
        <f>VLOOKUP(W3515,Sheet2!$B:$D,3,FALSE)</f>
        <v>10</v>
      </c>
      <c r="AA3515" s="93">
        <v>1</v>
      </c>
      <c r="AB3515" s="93">
        <f>AD3515/AC3513</f>
        <v>10</v>
      </c>
      <c r="AC3515" s="93">
        <f>AC3513/AA3515</f>
        <v>6.2372500000000031</v>
      </c>
      <c r="AD3515" s="94">
        <f>AC3515*Z3515</f>
        <v>62.372500000000031</v>
      </c>
      <c r="AE3515" s="190"/>
      <c r="AF3515" s="191"/>
      <c r="AG3515" s="191"/>
      <c r="AH3515" s="191"/>
      <c r="AI3515" s="186"/>
      <c r="AK3515" s="171"/>
    </row>
    <row r="3516" spans="1:37" s="102" customFormat="1" ht="19.899999999999999" customHeight="1" x14ac:dyDescent="0.25">
      <c r="A3516" s="45"/>
      <c r="B3516" s="59"/>
      <c r="C3516" s="137"/>
      <c r="D3516" s="59"/>
      <c r="E3516" s="116"/>
      <c r="F3516" s="120"/>
      <c r="G3516" s="120"/>
      <c r="H3516" s="120"/>
      <c r="I3516" s="60"/>
      <c r="J3516" s="116"/>
      <c r="K3516" s="213"/>
      <c r="L3516" s="120"/>
      <c r="M3516" s="120"/>
      <c r="N3516" s="167"/>
      <c r="O3516" s="120"/>
      <c r="P3516" s="120"/>
      <c r="Q3516" s="120"/>
      <c r="R3516" s="120"/>
      <c r="S3516" s="120"/>
      <c r="T3516" s="221"/>
      <c r="U3516" s="89"/>
      <c r="V3516" s="61"/>
      <c r="W3516" s="92" t="s">
        <v>107</v>
      </c>
      <c r="X3516" s="93" t="s">
        <v>31</v>
      </c>
      <c r="Y3516" s="93" t="s">
        <v>93</v>
      </c>
      <c r="Z3516" s="134">
        <f>VLOOKUP(W3516,Sheet2!$B:$D,3,FALSE)</f>
        <v>17</v>
      </c>
      <c r="AA3516" s="93">
        <v>6</v>
      </c>
      <c r="AB3516" s="93">
        <f>AD3516/AC3513</f>
        <v>2.8333333333333339</v>
      </c>
      <c r="AC3516" s="93">
        <f>AC3513/AA3516</f>
        <v>1.0395416666666673</v>
      </c>
      <c r="AD3516" s="94">
        <f>AC3516*Z3516</f>
        <v>17.672208333333344</v>
      </c>
      <c r="AE3516" s="190"/>
      <c r="AF3516" s="191"/>
      <c r="AG3516" s="191"/>
      <c r="AH3516" s="191"/>
      <c r="AI3516" s="186"/>
      <c r="AK3516" s="171"/>
    </row>
    <row r="3517" spans="1:37" s="102" customFormat="1" ht="19.899999999999999" customHeight="1" x14ac:dyDescent="0.25">
      <c r="A3517" s="45"/>
      <c r="B3517" s="59"/>
      <c r="C3517" s="137"/>
      <c r="D3517" s="59"/>
      <c r="E3517" s="116"/>
      <c r="F3517" s="120"/>
      <c r="G3517" s="120"/>
      <c r="H3517" s="120"/>
      <c r="I3517" s="60"/>
      <c r="J3517" s="116"/>
      <c r="K3517" s="213"/>
      <c r="L3517" s="120"/>
      <c r="M3517" s="120"/>
      <c r="N3517" s="167"/>
      <c r="O3517" s="120"/>
      <c r="P3517" s="120"/>
      <c r="Q3517" s="120"/>
      <c r="R3517" s="120"/>
      <c r="S3517" s="120"/>
      <c r="T3517" s="221"/>
      <c r="U3517" s="89"/>
      <c r="V3517" s="61"/>
      <c r="W3517" s="92" t="s">
        <v>112</v>
      </c>
      <c r="X3517" s="93" t="s">
        <v>31</v>
      </c>
      <c r="Y3517" s="93" t="s">
        <v>93</v>
      </c>
      <c r="Z3517" s="134">
        <f>VLOOKUP(W3517,Sheet2!$B:$D,3,FALSE)</f>
        <v>13</v>
      </c>
      <c r="AA3517" s="93">
        <v>6</v>
      </c>
      <c r="AB3517" s="93">
        <f>AD3517/AC3513</f>
        <v>2.166666666666667</v>
      </c>
      <c r="AC3517" s="93">
        <f>AC3513/AA3517</f>
        <v>1.0395416666666673</v>
      </c>
      <c r="AD3517" s="94">
        <f>AC3517*Z3517</f>
        <v>13.514041666666675</v>
      </c>
      <c r="AE3517" s="190"/>
      <c r="AF3517" s="191"/>
      <c r="AG3517" s="191"/>
      <c r="AH3517" s="191"/>
      <c r="AI3517" s="186"/>
      <c r="AK3517" s="171"/>
    </row>
    <row r="3518" spans="1:37" s="102" customFormat="1" ht="19.899999999999999" customHeight="1" x14ac:dyDescent="0.25">
      <c r="A3518" s="45"/>
      <c r="B3518" s="59"/>
      <c r="C3518" s="137"/>
      <c r="D3518" s="59"/>
      <c r="E3518" s="116"/>
      <c r="F3518" s="120"/>
      <c r="G3518" s="120"/>
      <c r="H3518" s="120"/>
      <c r="I3518" s="60"/>
      <c r="J3518" s="116"/>
      <c r="K3518" s="213"/>
      <c r="L3518" s="120"/>
      <c r="M3518" s="120"/>
      <c r="N3518" s="167"/>
      <c r="O3518" s="120"/>
      <c r="P3518" s="120"/>
      <c r="Q3518" s="120"/>
      <c r="R3518" s="120"/>
      <c r="S3518" s="120"/>
      <c r="T3518" s="221"/>
      <c r="U3518" s="89"/>
      <c r="V3518" s="61"/>
      <c r="W3518" s="92" t="s">
        <v>1032</v>
      </c>
      <c r="X3518" s="93" t="s">
        <v>30</v>
      </c>
      <c r="Y3518" s="93" t="s">
        <v>66</v>
      </c>
      <c r="Z3518" s="134">
        <f>VLOOKUP(W3518,Sheet2!$B:$D,3,FALSE)</f>
        <v>250</v>
      </c>
      <c r="AA3518" s="93">
        <f>1/(1*1*0.1)</f>
        <v>10</v>
      </c>
      <c r="AB3518" s="93">
        <f>AD3518/AC3513</f>
        <v>25.000000000000004</v>
      </c>
      <c r="AC3518" s="93">
        <f>AC3513/AA3518</f>
        <v>0.62372500000000031</v>
      </c>
      <c r="AD3518" s="94">
        <f>AC3518*Z3518</f>
        <v>155.93125000000009</v>
      </c>
      <c r="AE3518" s="190"/>
      <c r="AF3518" s="191"/>
      <c r="AG3518" s="191"/>
      <c r="AH3518" s="191"/>
      <c r="AI3518" s="186"/>
      <c r="AK3518" s="171"/>
    </row>
    <row r="3519" spans="1:37" s="102" customFormat="1" ht="19.899999999999999" customHeight="1" x14ac:dyDescent="0.25">
      <c r="A3519" s="45"/>
      <c r="B3519" s="59"/>
      <c r="C3519" s="137"/>
      <c r="D3519" s="59"/>
      <c r="E3519" s="116"/>
      <c r="F3519" s="120"/>
      <c r="G3519" s="120"/>
      <c r="H3519" s="120"/>
      <c r="I3519" s="60"/>
      <c r="J3519" s="116"/>
      <c r="K3519" s="213"/>
      <c r="L3519" s="120"/>
      <c r="M3519" s="120"/>
      <c r="N3519" s="167"/>
      <c r="O3519" s="120"/>
      <c r="P3519" s="120"/>
      <c r="Q3519" s="120"/>
      <c r="R3519" s="120"/>
      <c r="S3519" s="120"/>
      <c r="T3519" s="221"/>
      <c r="U3519" s="89"/>
      <c r="V3519" s="61"/>
      <c r="W3519" s="92" t="s">
        <v>1035</v>
      </c>
      <c r="X3519" s="93" t="s">
        <v>32</v>
      </c>
      <c r="Y3519" s="93" t="s">
        <v>66</v>
      </c>
      <c r="Z3519" s="134">
        <f>VLOOKUP(W3519,Sheet2!$B:$D,3,FALSE)</f>
        <v>150</v>
      </c>
      <c r="AA3519" s="93">
        <f>AA3518</f>
        <v>10</v>
      </c>
      <c r="AB3519" s="93">
        <f>AD3519/AC3513</f>
        <v>15</v>
      </c>
      <c r="AC3519" s="93">
        <f>AC3513/AA3519</f>
        <v>0.62372500000000031</v>
      </c>
      <c r="AD3519" s="94">
        <f t="shared" ref="AD3519:AD3520" si="2663">AC3519*Z3519</f>
        <v>93.558750000000046</v>
      </c>
      <c r="AE3519" s="190"/>
      <c r="AF3519" s="191"/>
      <c r="AG3519" s="191"/>
      <c r="AH3519" s="191"/>
      <c r="AI3519" s="186"/>
      <c r="AK3519" s="171"/>
    </row>
    <row r="3520" spans="1:37" s="102" customFormat="1" ht="19.899999999999999" customHeight="1" x14ac:dyDescent="0.25">
      <c r="A3520" s="45"/>
      <c r="B3520" s="59"/>
      <c r="C3520" s="137"/>
      <c r="D3520" s="59"/>
      <c r="E3520" s="116"/>
      <c r="F3520" s="120"/>
      <c r="G3520" s="120"/>
      <c r="H3520" s="120"/>
      <c r="I3520" s="60"/>
      <c r="J3520" s="116"/>
      <c r="K3520" s="213"/>
      <c r="L3520" s="120"/>
      <c r="M3520" s="120"/>
      <c r="N3520" s="167"/>
      <c r="O3520" s="120"/>
      <c r="P3520" s="120"/>
      <c r="Q3520" s="120"/>
      <c r="R3520" s="120"/>
      <c r="S3520" s="120"/>
      <c r="T3520" s="221"/>
      <c r="U3520" s="89"/>
      <c r="V3520" s="61"/>
      <c r="W3520" s="92" t="s">
        <v>1037</v>
      </c>
      <c r="X3520" s="93" t="s">
        <v>30</v>
      </c>
      <c r="Y3520" s="93" t="s">
        <v>1038</v>
      </c>
      <c r="Z3520" s="134">
        <f>VLOOKUP(W3520,Sheet2!$B:$D,3,FALSE)</f>
        <v>175</v>
      </c>
      <c r="AA3520" s="93">
        <v>300</v>
      </c>
      <c r="AB3520" s="93">
        <f>AD3520/AC3513</f>
        <v>0.58333333333333337</v>
      </c>
      <c r="AC3520" s="93">
        <f>AC3513/AA3520</f>
        <v>2.0790833333333345E-2</v>
      </c>
      <c r="AD3520" s="94">
        <f t="shared" si="2663"/>
        <v>3.6383958333333353</v>
      </c>
      <c r="AE3520" s="190"/>
      <c r="AF3520" s="191"/>
      <c r="AG3520" s="191"/>
      <c r="AH3520" s="191"/>
      <c r="AI3520" s="186"/>
      <c r="AK3520" s="171"/>
    </row>
    <row r="3521" spans="1:41" s="103" customFormat="1" ht="19.899999999999999" customHeight="1" x14ac:dyDescent="0.25">
      <c r="A3521" s="51"/>
      <c r="B3521" s="52"/>
      <c r="C3521" s="165"/>
      <c r="D3521" s="52"/>
      <c r="E3521" s="115"/>
      <c r="F3521" s="58"/>
      <c r="G3521" s="58"/>
      <c r="H3521" s="58"/>
      <c r="I3521" s="55"/>
      <c r="J3521" s="113">
        <f>J3502</f>
        <v>6.2372500000000031</v>
      </c>
      <c r="K3521" s="212">
        <f>K3502</f>
        <v>6.2372500000000031</v>
      </c>
      <c r="L3521" s="58"/>
      <c r="M3521" s="58">
        <f>K3521-L3521</f>
        <v>6.2372500000000031</v>
      </c>
      <c r="N3521" s="166"/>
      <c r="O3521" s="58"/>
      <c r="P3521" s="58"/>
      <c r="Q3521" s="58"/>
      <c r="R3521" s="58"/>
      <c r="S3521" s="58"/>
      <c r="T3521" s="220"/>
      <c r="U3521" s="88"/>
      <c r="V3521" s="56"/>
      <c r="W3521" s="57" t="s">
        <v>1040</v>
      </c>
      <c r="X3521" s="53"/>
      <c r="Y3521" s="91" t="s">
        <v>68</v>
      </c>
      <c r="Z3521" s="136">
        <f>AD3521/AC3521</f>
        <v>5</v>
      </c>
      <c r="AA3521" s="58"/>
      <c r="AB3521" s="53">
        <f>AD3521/AC3521</f>
        <v>5</v>
      </c>
      <c r="AC3521" s="53">
        <f>M3521+$AE$10</f>
        <v>6.2372500000000031</v>
      </c>
      <c r="AD3521" s="54">
        <f>SUM(AD3522)</f>
        <v>31.186250000000015</v>
      </c>
      <c r="AE3521" s="184">
        <f>SUMIFS($AD$37:$AD$12971,$V$37:$V$12971,$V3521,$X$37:$X$12971,AE$13)</f>
        <v>0</v>
      </c>
      <c r="AF3521" s="185">
        <f>SUMIFS($AD$37:$AD$12971,$V$37:$V$12971,$V3521,$X$37:$X$12971,AF$13)</f>
        <v>0</v>
      </c>
      <c r="AG3521" s="185">
        <f>SUMIFS($AD$37:$AD$12971,$V$37:$V$12971,$V3521,$X$37:$X$12971,AG$13)</f>
        <v>0</v>
      </c>
      <c r="AH3521" s="187">
        <f>SUMIFS($AD$37:$AD$12971,$V$37:$V$12971,$V3521,$X$37:$X$12971,AH$13)</f>
        <v>0</v>
      </c>
      <c r="AI3521" s="161">
        <f t="shared" ref="AI3521" si="2664">SUM(AE3521:AH3521)</f>
        <v>0</v>
      </c>
      <c r="AK3521" s="172"/>
    </row>
    <row r="3522" spans="1:41" s="102" customFormat="1" ht="19.899999999999999" customHeight="1" x14ac:dyDescent="0.25">
      <c r="A3522" s="45"/>
      <c r="B3522" s="59"/>
      <c r="C3522" s="137"/>
      <c r="D3522" s="59"/>
      <c r="E3522" s="116"/>
      <c r="F3522" s="120"/>
      <c r="G3522" s="120"/>
      <c r="H3522" s="120"/>
      <c r="I3522" s="60"/>
      <c r="J3522" s="116"/>
      <c r="K3522" s="213"/>
      <c r="L3522" s="120"/>
      <c r="M3522" s="120"/>
      <c r="N3522" s="167"/>
      <c r="O3522" s="120"/>
      <c r="P3522" s="120"/>
      <c r="Q3522" s="120"/>
      <c r="R3522" s="120"/>
      <c r="S3522" s="120"/>
      <c r="T3522" s="221"/>
      <c r="U3522" s="89"/>
      <c r="V3522" s="61"/>
      <c r="W3522" s="92" t="s">
        <v>1039</v>
      </c>
      <c r="X3522" s="93" t="s">
        <v>32</v>
      </c>
      <c r="Y3522" s="93" t="s">
        <v>68</v>
      </c>
      <c r="Z3522" s="134">
        <f>VLOOKUP(W3522,Sheet2!$B:$D,3,FALSE)</f>
        <v>5</v>
      </c>
      <c r="AA3522" s="93">
        <v>1</v>
      </c>
      <c r="AB3522" s="93">
        <f>AD3522/AC3521</f>
        <v>5</v>
      </c>
      <c r="AC3522" s="93">
        <f>AC3521/AA3522</f>
        <v>6.2372500000000031</v>
      </c>
      <c r="AD3522" s="94">
        <f t="shared" ref="AD3522" si="2665">AC3522*Z3522</f>
        <v>31.186250000000015</v>
      </c>
      <c r="AE3522" s="190"/>
      <c r="AF3522" s="191"/>
      <c r="AG3522" s="191"/>
      <c r="AH3522" s="191"/>
      <c r="AI3522" s="186"/>
      <c r="AK3522" s="171"/>
    </row>
    <row r="3523" spans="1:41" s="306" customFormat="1" ht="180" x14ac:dyDescent="0.25">
      <c r="A3523" s="287" t="s">
        <v>491</v>
      </c>
      <c r="B3523" s="288"/>
      <c r="C3523" s="286" t="s">
        <v>1231</v>
      </c>
      <c r="D3523" s="289"/>
      <c r="E3523" s="290"/>
      <c r="F3523" s="291"/>
      <c r="G3523" s="291"/>
      <c r="H3523" s="291"/>
      <c r="I3523" s="292"/>
      <c r="J3523" s="290"/>
      <c r="K3523" s="293"/>
      <c r="L3523" s="291"/>
      <c r="M3523" s="291"/>
      <c r="N3523" s="294"/>
      <c r="O3523" s="291"/>
      <c r="P3523" s="291"/>
      <c r="Q3523" s="291"/>
      <c r="R3523" s="291"/>
      <c r="S3523" s="291"/>
      <c r="T3523" s="295"/>
      <c r="U3523" s="296"/>
      <c r="V3523" s="297"/>
      <c r="W3523" s="298"/>
      <c r="X3523" s="299"/>
      <c r="Y3523" s="300"/>
      <c r="Z3523" s="301"/>
      <c r="AA3523" s="300"/>
      <c r="AB3523" s="300"/>
      <c r="AC3523" s="300"/>
      <c r="AD3523" s="302"/>
      <c r="AE3523" s="303"/>
      <c r="AF3523" s="304"/>
      <c r="AG3523" s="304"/>
      <c r="AH3523" s="304"/>
      <c r="AI3523" s="305"/>
      <c r="AK3523" s="307"/>
    </row>
    <row r="3524" spans="1:41" ht="20.100000000000001" customHeight="1" x14ac:dyDescent="0.25">
      <c r="A3524" s="277" t="s">
        <v>491</v>
      </c>
      <c r="B3524" s="278"/>
      <c r="C3524" s="308" t="s">
        <v>1175</v>
      </c>
      <c r="D3524" s="46"/>
      <c r="E3524" s="114"/>
      <c r="F3524" s="44"/>
      <c r="G3524" s="44">
        <f t="shared" si="2434"/>
        <v>0</v>
      </c>
      <c r="H3524" s="44">
        <f t="shared" si="2435"/>
        <v>0</v>
      </c>
      <c r="I3524" s="43">
        <f t="shared" si="2436"/>
        <v>0</v>
      </c>
      <c r="J3524" s="112">
        <f t="shared" si="2437"/>
        <v>0</v>
      </c>
      <c r="K3524" s="211">
        <f t="shared" si="2438"/>
        <v>0</v>
      </c>
      <c r="L3524" s="44"/>
      <c r="M3524" s="44">
        <f t="shared" si="2458"/>
        <v>0</v>
      </c>
      <c r="N3524" s="173">
        <f t="shared" si="2439"/>
        <v>0</v>
      </c>
      <c r="O3524" s="44">
        <f t="shared" si="2440"/>
        <v>0</v>
      </c>
      <c r="P3524" s="44">
        <f t="shared" si="2441"/>
        <v>0</v>
      </c>
      <c r="Q3524" s="44">
        <f t="shared" si="2442"/>
        <v>0</v>
      </c>
      <c r="R3524" s="44">
        <f t="shared" si="2459"/>
        <v>0</v>
      </c>
      <c r="S3524" s="123"/>
      <c r="T3524" s="219">
        <f t="shared" si="2460"/>
        <v>0</v>
      </c>
      <c r="U3524" s="87"/>
      <c r="V3524" s="47"/>
      <c r="W3524" s="48"/>
      <c r="X3524" s="48"/>
      <c r="Y3524" s="48"/>
      <c r="Z3524" s="135"/>
      <c r="AA3524" s="49"/>
      <c r="AB3524" s="50">
        <f t="shared" si="2443"/>
        <v>0</v>
      </c>
      <c r="AC3524" s="42">
        <f t="shared" si="2461"/>
        <v>9.9999999999999998E-20</v>
      </c>
      <c r="AD3524" s="90"/>
      <c r="AE3524" s="188"/>
      <c r="AF3524" s="189"/>
      <c r="AG3524" s="189"/>
      <c r="AH3524" s="189"/>
      <c r="AI3524" s="161"/>
    </row>
    <row r="3525" spans="1:41" ht="20.100000000000001" customHeight="1" x14ac:dyDescent="0.25">
      <c r="A3525" s="277" t="s">
        <v>491</v>
      </c>
      <c r="B3525" s="278"/>
      <c r="C3525" s="64" t="s">
        <v>492</v>
      </c>
      <c r="D3525" s="46" t="s">
        <v>97</v>
      </c>
      <c r="E3525" s="114">
        <v>8.3510000000000009</v>
      </c>
      <c r="F3525" s="44">
        <v>334</v>
      </c>
      <c r="G3525" s="44">
        <f t="shared" si="2434"/>
        <v>2789.2340000000004</v>
      </c>
      <c r="H3525" s="44">
        <f t="shared" si="2435"/>
        <v>274.37634039215692</v>
      </c>
      <c r="I3525" s="43">
        <f t="shared" si="2436"/>
        <v>2291.3168186149028</v>
      </c>
      <c r="J3525" s="112">
        <f t="shared" si="2437"/>
        <v>8.3510000000000009</v>
      </c>
      <c r="K3525" s="211">
        <f t="shared" si="2438"/>
        <v>8.3510000000000009</v>
      </c>
      <c r="L3525" s="44"/>
      <c r="M3525" s="44">
        <f t="shared" si="2458"/>
        <v>8.3510000000000009</v>
      </c>
      <c r="N3525" s="173">
        <f t="shared" si="2439"/>
        <v>1</v>
      </c>
      <c r="O3525" s="44">
        <f t="shared" si="2440"/>
        <v>334</v>
      </c>
      <c r="P3525" s="44">
        <f t="shared" si="2441"/>
        <v>2789.2340000000004</v>
      </c>
      <c r="Q3525" s="44">
        <f t="shared" si="2442"/>
        <v>274.37634039215692</v>
      </c>
      <c r="R3525" s="44">
        <f t="shared" si="2459"/>
        <v>2291.3168186149028</v>
      </c>
      <c r="S3525" s="123"/>
      <c r="T3525" s="219">
        <f t="shared" si="2460"/>
        <v>2291.3168186149028</v>
      </c>
      <c r="U3525" s="87"/>
      <c r="V3525" s="47"/>
      <c r="W3525" s="48"/>
      <c r="X3525" s="48"/>
      <c r="Y3525" s="48"/>
      <c r="Z3525" s="135"/>
      <c r="AA3525" s="49"/>
      <c r="AB3525" s="50">
        <f t="shared" si="2443"/>
        <v>274.37634039215692</v>
      </c>
      <c r="AC3525" s="42">
        <f t="shared" si="2461"/>
        <v>8.3510000000000009</v>
      </c>
      <c r="AD3525" s="90">
        <f>AD3526+AD3535+AD3542</f>
        <v>2291.3168186149028</v>
      </c>
      <c r="AE3525" s="188">
        <f t="shared" ref="AE3525:AH3525" si="2666">AE3526+AE3535+AE3542</f>
        <v>0</v>
      </c>
      <c r="AF3525" s="189">
        <f t="shared" si="2666"/>
        <v>0</v>
      </c>
      <c r="AG3525" s="189">
        <f t="shared" si="2666"/>
        <v>0</v>
      </c>
      <c r="AH3525" s="189">
        <f t="shared" si="2666"/>
        <v>0</v>
      </c>
      <c r="AI3525" s="161">
        <f t="shared" ref="AI3525" si="2667">SUM(AE3525:AH3525)</f>
        <v>0</v>
      </c>
      <c r="AK3525" s="169">
        <v>5</v>
      </c>
      <c r="AO3525" s="19" t="s">
        <v>63</v>
      </c>
    </row>
    <row r="3526" spans="1:41" s="103" customFormat="1" ht="19.899999999999999" customHeight="1" x14ac:dyDescent="0.25">
      <c r="A3526" s="51"/>
      <c r="B3526" s="52"/>
      <c r="C3526" s="165"/>
      <c r="D3526" s="52"/>
      <c r="E3526" s="115"/>
      <c r="F3526" s="58"/>
      <c r="G3526" s="58"/>
      <c r="H3526" s="58"/>
      <c r="I3526" s="55"/>
      <c r="J3526" s="113">
        <f>J3525</f>
        <v>8.3510000000000009</v>
      </c>
      <c r="K3526" s="212">
        <f>K3525</f>
        <v>8.3510000000000009</v>
      </c>
      <c r="L3526" s="58"/>
      <c r="M3526" s="58">
        <f>K3526-L3526</f>
        <v>8.3510000000000009</v>
      </c>
      <c r="N3526" s="166"/>
      <c r="O3526" s="58"/>
      <c r="P3526" s="58"/>
      <c r="Q3526" s="58"/>
      <c r="R3526" s="58"/>
      <c r="S3526" s="58"/>
      <c r="T3526" s="220"/>
      <c r="U3526" s="88"/>
      <c r="V3526" s="56"/>
      <c r="W3526" s="57" t="s">
        <v>1100</v>
      </c>
      <c r="X3526" s="53"/>
      <c r="Y3526" s="91" t="s">
        <v>68</v>
      </c>
      <c r="Z3526" s="136">
        <f>AD3526/AC3526</f>
        <v>11.793007058823529</v>
      </c>
      <c r="AA3526" s="58"/>
      <c r="AB3526" s="53">
        <f>AD3526/AC3526</f>
        <v>11.793007058823529</v>
      </c>
      <c r="AC3526" s="53">
        <f>M3526+$AE$10</f>
        <v>8.3510000000000009</v>
      </c>
      <c r="AD3526" s="54">
        <f>SUM(AD3527:AD3534)</f>
        <v>98.483401948235297</v>
      </c>
      <c r="AE3526" s="184">
        <f>SUMIFS($AD$37:$AD$12971,$V$37:$V$12971,$V3526,$X$37:$X$12971,AE$13)</f>
        <v>0</v>
      </c>
      <c r="AF3526" s="185">
        <f>SUMIFS($AD$37:$AD$12971,$V$37:$V$12971,$V3526,$X$37:$X$12971,AF$13)</f>
        <v>0</v>
      </c>
      <c r="AG3526" s="185">
        <f>SUMIFS($AD$37:$AD$12971,$V$37:$V$12971,$V3526,$X$37:$X$12971,AG$13)</f>
        <v>0</v>
      </c>
      <c r="AH3526" s="187">
        <f>SUMIFS($AD$37:$AD$12971,$V$37:$V$12971,$V3526,$X$37:$X$12971,AH$13)</f>
        <v>0</v>
      </c>
      <c r="AI3526" s="161">
        <f t="shared" ref="AI3526" si="2668">SUM(AE3526:AH3526)</f>
        <v>0</v>
      </c>
      <c r="AK3526" s="172"/>
    </row>
    <row r="3527" spans="1:41" s="102" customFormat="1" ht="19.899999999999999" customHeight="1" x14ac:dyDescent="0.25">
      <c r="A3527" s="45"/>
      <c r="B3527" s="59"/>
      <c r="C3527" s="137"/>
      <c r="D3527" s="59"/>
      <c r="E3527" s="116"/>
      <c r="F3527" s="120"/>
      <c r="G3527" s="120"/>
      <c r="H3527" s="120"/>
      <c r="I3527" s="60"/>
      <c r="J3527" s="116"/>
      <c r="K3527" s="213"/>
      <c r="L3527" s="120"/>
      <c r="M3527" s="120"/>
      <c r="N3527" s="167"/>
      <c r="O3527" s="120"/>
      <c r="P3527" s="120"/>
      <c r="Q3527" s="120"/>
      <c r="R3527" s="120"/>
      <c r="S3527" s="120"/>
      <c r="T3527" s="221"/>
      <c r="U3527" s="89"/>
      <c r="V3527" s="61"/>
      <c r="W3527" s="92" t="s">
        <v>129</v>
      </c>
      <c r="X3527" s="93" t="s">
        <v>29</v>
      </c>
      <c r="Y3527" s="93" t="s">
        <v>93</v>
      </c>
      <c r="Z3527" s="134">
        <f>VLOOKUP(W3527,Sheet2!$B:$D,3,FALSE)</f>
        <v>56</v>
      </c>
      <c r="AA3527" s="93">
        <f>100/(1.2*2)</f>
        <v>41.666666666666671</v>
      </c>
      <c r="AB3527" s="93">
        <f t="shared" ref="AB3527" si="2669">AD3527/AC3526</f>
        <v>1.3439999999999999</v>
      </c>
      <c r="AC3527" s="93">
        <f>AC3526/AA3527</f>
        <v>0.20042399999999999</v>
      </c>
      <c r="AD3527" s="94">
        <f t="shared" ref="AD3527:AD3528" si="2670">AC3527*Z3527</f>
        <v>11.223744</v>
      </c>
      <c r="AE3527" s="190"/>
      <c r="AF3527" s="191"/>
      <c r="AG3527" s="191"/>
      <c r="AH3527" s="191"/>
      <c r="AI3527" s="186"/>
      <c r="AK3527" s="171"/>
    </row>
    <row r="3528" spans="1:41" s="102" customFormat="1" ht="19.899999999999999" customHeight="1" x14ac:dyDescent="0.25">
      <c r="A3528" s="45"/>
      <c r="B3528" s="59"/>
      <c r="C3528" s="137"/>
      <c r="D3528" s="59"/>
      <c r="E3528" s="116"/>
      <c r="F3528" s="120"/>
      <c r="G3528" s="120"/>
      <c r="H3528" s="120"/>
      <c r="I3528" s="60"/>
      <c r="J3528" s="116"/>
      <c r="K3528" s="213"/>
      <c r="L3528" s="120"/>
      <c r="M3528" s="120"/>
      <c r="N3528" s="167"/>
      <c r="O3528" s="120"/>
      <c r="P3528" s="120"/>
      <c r="Q3528" s="120"/>
      <c r="R3528" s="120"/>
      <c r="S3528" s="120"/>
      <c r="T3528" s="221"/>
      <c r="U3528" s="89"/>
      <c r="V3528" s="61"/>
      <c r="W3528" s="92" t="s">
        <v>65</v>
      </c>
      <c r="X3528" s="93" t="s">
        <v>30</v>
      </c>
      <c r="Y3528" s="93" t="s">
        <v>1011</v>
      </c>
      <c r="Z3528" s="134">
        <f>VLOOKUP(W3528,Sheet2!$B:$D,3,FALSE)</f>
        <v>1.76</v>
      </c>
      <c r="AA3528" s="93">
        <f>AA3527/14</f>
        <v>2.9761904761904767</v>
      </c>
      <c r="AB3528" s="93">
        <f>AD3528/AC3526</f>
        <v>0.59135999999999989</v>
      </c>
      <c r="AC3528" s="93">
        <f>AC3526/AA3528</f>
        <v>2.805936</v>
      </c>
      <c r="AD3528" s="94">
        <f t="shared" si="2670"/>
        <v>4.9384473599999996</v>
      </c>
      <c r="AE3528" s="190"/>
      <c r="AF3528" s="191"/>
      <c r="AG3528" s="191"/>
      <c r="AH3528" s="191"/>
      <c r="AI3528" s="186"/>
      <c r="AK3528" s="171"/>
    </row>
    <row r="3529" spans="1:41" s="102" customFormat="1" ht="19.899999999999999" customHeight="1" x14ac:dyDescent="0.25">
      <c r="A3529" s="45"/>
      <c r="B3529" s="59"/>
      <c r="C3529" s="137"/>
      <c r="D3529" s="59"/>
      <c r="E3529" s="116"/>
      <c r="F3529" s="120"/>
      <c r="G3529" s="120"/>
      <c r="H3529" s="120"/>
      <c r="I3529" s="60"/>
      <c r="J3529" s="116"/>
      <c r="K3529" s="213"/>
      <c r="L3529" s="120"/>
      <c r="M3529" s="120"/>
      <c r="N3529" s="167"/>
      <c r="O3529" s="120"/>
      <c r="P3529" s="120"/>
      <c r="Q3529" s="120"/>
      <c r="R3529" s="120"/>
      <c r="S3529" s="120"/>
      <c r="T3529" s="221"/>
      <c r="U3529" s="89"/>
      <c r="V3529" s="61"/>
      <c r="W3529" s="92" t="s">
        <v>161</v>
      </c>
      <c r="X3529" s="93" t="s">
        <v>29</v>
      </c>
      <c r="Y3529" s="93" t="s">
        <v>93</v>
      </c>
      <c r="Z3529" s="134">
        <f>VLOOKUP(W3529,Sheet2!$B:$D,3,FALSE)</f>
        <v>48</v>
      </c>
      <c r="AA3529" s="93">
        <f>(16*0.85*1.5)/(1.2*2)</f>
        <v>8.5</v>
      </c>
      <c r="AB3529" s="93">
        <f>AD3529/AC3526</f>
        <v>5.6470588235294112</v>
      </c>
      <c r="AC3529" s="93">
        <f>AC3526/AA3529</f>
        <v>0.98247058823529421</v>
      </c>
      <c r="AD3529" s="94">
        <f>AC3529*Z3529</f>
        <v>47.158588235294118</v>
      </c>
      <c r="AE3529" s="190"/>
      <c r="AF3529" s="191"/>
      <c r="AG3529" s="191"/>
      <c r="AH3529" s="191"/>
      <c r="AI3529" s="186"/>
      <c r="AK3529" s="171"/>
    </row>
    <row r="3530" spans="1:41" s="102" customFormat="1" ht="19.899999999999999" customHeight="1" x14ac:dyDescent="0.25">
      <c r="A3530" s="45"/>
      <c r="B3530" s="59"/>
      <c r="C3530" s="137"/>
      <c r="D3530" s="59"/>
      <c r="E3530" s="116"/>
      <c r="F3530" s="120"/>
      <c r="G3530" s="120"/>
      <c r="H3530" s="120"/>
      <c r="I3530" s="60"/>
      <c r="J3530" s="116"/>
      <c r="K3530" s="213"/>
      <c r="L3530" s="120"/>
      <c r="M3530" s="120"/>
      <c r="N3530" s="167"/>
      <c r="O3530" s="120"/>
      <c r="P3530" s="120"/>
      <c r="Q3530" s="120"/>
      <c r="R3530" s="120"/>
      <c r="S3530" s="120"/>
      <c r="T3530" s="221"/>
      <c r="U3530" s="89"/>
      <c r="V3530" s="61"/>
      <c r="W3530" s="92" t="s">
        <v>65</v>
      </c>
      <c r="X3530" s="93" t="s">
        <v>30</v>
      </c>
      <c r="Y3530" s="93" t="s">
        <v>1011</v>
      </c>
      <c r="Z3530" s="134">
        <f>VLOOKUP(W3530,Sheet2!$B:$D,3,FALSE)</f>
        <v>1.76</v>
      </c>
      <c r="AA3530" s="93">
        <f>AA3529/10</f>
        <v>0.85</v>
      </c>
      <c r="AB3530" s="93">
        <f>AD3530/AC3526</f>
        <v>2.0705882352941178</v>
      </c>
      <c r="AC3530" s="93">
        <f>AC3526/AA3530</f>
        <v>9.8247058823529425</v>
      </c>
      <c r="AD3530" s="94">
        <f>AC3530*Z3530</f>
        <v>17.291482352941181</v>
      </c>
      <c r="AE3530" s="190"/>
      <c r="AF3530" s="191"/>
      <c r="AG3530" s="191"/>
      <c r="AH3530" s="191"/>
      <c r="AI3530" s="186"/>
      <c r="AK3530" s="171"/>
    </row>
    <row r="3531" spans="1:41" s="102" customFormat="1" ht="19.899999999999999" customHeight="1" x14ac:dyDescent="0.25">
      <c r="A3531" s="45"/>
      <c r="B3531" s="59"/>
      <c r="C3531" s="137"/>
      <c r="D3531" s="59"/>
      <c r="E3531" s="116"/>
      <c r="F3531" s="120"/>
      <c r="G3531" s="120"/>
      <c r="H3531" s="120"/>
      <c r="I3531" s="60"/>
      <c r="J3531" s="116"/>
      <c r="K3531" s="213"/>
      <c r="L3531" s="120"/>
      <c r="M3531" s="120"/>
      <c r="N3531" s="167"/>
      <c r="O3531" s="120"/>
      <c r="P3531" s="120"/>
      <c r="Q3531" s="120"/>
      <c r="R3531" s="120"/>
      <c r="S3531" s="120"/>
      <c r="T3531" s="221"/>
      <c r="U3531" s="89"/>
      <c r="V3531" s="61"/>
      <c r="W3531" s="92" t="s">
        <v>1030</v>
      </c>
      <c r="X3531" s="93" t="s">
        <v>29</v>
      </c>
      <c r="Y3531" s="93" t="s">
        <v>93</v>
      </c>
      <c r="Z3531" s="134">
        <f>VLOOKUP(W3531,Sheet2!$B:$D,3,FALSE)</f>
        <v>23</v>
      </c>
      <c r="AA3531" s="93">
        <v>50</v>
      </c>
      <c r="AB3531" s="93">
        <f>AD3531/AC3526</f>
        <v>0.46</v>
      </c>
      <c r="AC3531" s="93">
        <f>AC3526/AA3531</f>
        <v>0.16702000000000003</v>
      </c>
      <c r="AD3531" s="94">
        <f t="shared" ref="AD3531:AD3534" si="2671">AC3531*Z3531</f>
        <v>3.8414600000000005</v>
      </c>
      <c r="AE3531" s="190"/>
      <c r="AF3531" s="191"/>
      <c r="AG3531" s="191"/>
      <c r="AH3531" s="191"/>
      <c r="AI3531" s="186"/>
      <c r="AK3531" s="171"/>
    </row>
    <row r="3532" spans="1:41" s="102" customFormat="1" ht="19.899999999999999" customHeight="1" x14ac:dyDescent="0.25">
      <c r="A3532" s="45"/>
      <c r="B3532" s="59"/>
      <c r="C3532" s="137"/>
      <c r="D3532" s="59"/>
      <c r="E3532" s="116"/>
      <c r="F3532" s="120"/>
      <c r="G3532" s="120"/>
      <c r="H3532" s="120"/>
      <c r="I3532" s="60"/>
      <c r="J3532" s="116"/>
      <c r="K3532" s="213"/>
      <c r="L3532" s="120"/>
      <c r="M3532" s="120"/>
      <c r="N3532" s="167"/>
      <c r="O3532" s="120"/>
      <c r="P3532" s="120"/>
      <c r="Q3532" s="120"/>
      <c r="R3532" s="120"/>
      <c r="S3532" s="120"/>
      <c r="T3532" s="221"/>
      <c r="U3532" s="89"/>
      <c r="V3532" s="61"/>
      <c r="W3532" s="92" t="s">
        <v>65</v>
      </c>
      <c r="X3532" s="93" t="s">
        <v>30</v>
      </c>
      <c r="Y3532" s="93" t="s">
        <v>1011</v>
      </c>
      <c r="Z3532" s="134">
        <f>VLOOKUP(W3532,Sheet2!$B:$D,3,FALSE)</f>
        <v>1.76</v>
      </c>
      <c r="AA3532" s="93">
        <f>AA3531/3</f>
        <v>16.666666666666668</v>
      </c>
      <c r="AB3532" s="93">
        <f>AD3532/AC3526</f>
        <v>0.1056</v>
      </c>
      <c r="AC3532" s="93">
        <f>AC3526/AA3532</f>
        <v>0.50106000000000006</v>
      </c>
      <c r="AD3532" s="94">
        <f t="shared" si="2671"/>
        <v>0.88186560000000014</v>
      </c>
      <c r="AE3532" s="190"/>
      <c r="AF3532" s="191"/>
      <c r="AG3532" s="191"/>
      <c r="AH3532" s="191"/>
      <c r="AI3532" s="186"/>
      <c r="AK3532" s="171"/>
    </row>
    <row r="3533" spans="1:41" s="102" customFormat="1" ht="19.899999999999999" customHeight="1" x14ac:dyDescent="0.25">
      <c r="A3533" s="45"/>
      <c r="B3533" s="59"/>
      <c r="C3533" s="137"/>
      <c r="D3533" s="59"/>
      <c r="E3533" s="116"/>
      <c r="F3533" s="120"/>
      <c r="G3533" s="120"/>
      <c r="H3533" s="120"/>
      <c r="I3533" s="60"/>
      <c r="J3533" s="116"/>
      <c r="K3533" s="213"/>
      <c r="L3533" s="120"/>
      <c r="M3533" s="120"/>
      <c r="N3533" s="167"/>
      <c r="O3533" s="120"/>
      <c r="P3533" s="120"/>
      <c r="Q3533" s="120"/>
      <c r="R3533" s="120"/>
      <c r="S3533" s="120"/>
      <c r="T3533" s="221"/>
      <c r="U3533" s="89"/>
      <c r="V3533" s="61"/>
      <c r="W3533" s="92" t="s">
        <v>148</v>
      </c>
      <c r="X3533" s="93" t="s">
        <v>29</v>
      </c>
      <c r="Y3533" s="93" t="s">
        <v>93</v>
      </c>
      <c r="Z3533" s="134">
        <f>VLOOKUP(W3533,Sheet2!$B:$D,3,FALSE)</f>
        <v>48</v>
      </c>
      <c r="AA3533" s="93">
        <f>AA3527</f>
        <v>41.666666666666671</v>
      </c>
      <c r="AB3533" s="93">
        <f>AD3533/AC3526</f>
        <v>1.1519999999999999</v>
      </c>
      <c r="AC3533" s="93">
        <f>AC3526/AA3533</f>
        <v>0.20042399999999999</v>
      </c>
      <c r="AD3533" s="94">
        <f t="shared" si="2671"/>
        <v>9.6203520000000005</v>
      </c>
      <c r="AE3533" s="190"/>
      <c r="AF3533" s="191"/>
      <c r="AG3533" s="191"/>
      <c r="AH3533" s="191"/>
      <c r="AI3533" s="186"/>
      <c r="AK3533" s="171"/>
    </row>
    <row r="3534" spans="1:41" s="102" customFormat="1" ht="19.899999999999999" customHeight="1" x14ac:dyDescent="0.25">
      <c r="A3534" s="45"/>
      <c r="B3534" s="59"/>
      <c r="C3534" s="137"/>
      <c r="D3534" s="59"/>
      <c r="E3534" s="116"/>
      <c r="F3534" s="120"/>
      <c r="G3534" s="120"/>
      <c r="H3534" s="120"/>
      <c r="I3534" s="60"/>
      <c r="J3534" s="116"/>
      <c r="K3534" s="213"/>
      <c r="L3534" s="120"/>
      <c r="M3534" s="120"/>
      <c r="N3534" s="167"/>
      <c r="O3534" s="120"/>
      <c r="P3534" s="120"/>
      <c r="Q3534" s="120"/>
      <c r="R3534" s="120"/>
      <c r="S3534" s="120"/>
      <c r="T3534" s="221"/>
      <c r="U3534" s="89"/>
      <c r="V3534" s="61"/>
      <c r="W3534" s="92" t="s">
        <v>65</v>
      </c>
      <c r="X3534" s="93" t="s">
        <v>30</v>
      </c>
      <c r="Y3534" s="93" t="s">
        <v>1011</v>
      </c>
      <c r="Z3534" s="134">
        <f>VLOOKUP(W3534,Sheet2!$B:$D,3,FALSE)</f>
        <v>1.76</v>
      </c>
      <c r="AA3534" s="93">
        <f>AA3533/10</f>
        <v>4.166666666666667</v>
      </c>
      <c r="AB3534" s="93">
        <f>AD3534/AC3526</f>
        <v>0.4224</v>
      </c>
      <c r="AC3534" s="93">
        <f>AC3526/AA3534</f>
        <v>2.0042400000000002</v>
      </c>
      <c r="AD3534" s="94">
        <f t="shared" si="2671"/>
        <v>3.5274624000000006</v>
      </c>
      <c r="AE3534" s="190"/>
      <c r="AF3534" s="191"/>
      <c r="AG3534" s="191"/>
      <c r="AH3534" s="191"/>
      <c r="AI3534" s="186"/>
      <c r="AK3534" s="171"/>
    </row>
    <row r="3535" spans="1:41" s="103" customFormat="1" ht="19.899999999999999" customHeight="1" x14ac:dyDescent="0.25">
      <c r="A3535" s="51"/>
      <c r="B3535" s="52"/>
      <c r="C3535" s="165"/>
      <c r="D3535" s="52"/>
      <c r="E3535" s="115"/>
      <c r="F3535" s="58"/>
      <c r="G3535" s="58"/>
      <c r="H3535" s="58"/>
      <c r="I3535" s="55"/>
      <c r="J3535" s="113">
        <f>J3525</f>
        <v>8.3510000000000009</v>
      </c>
      <c r="K3535" s="212">
        <f>K3525</f>
        <v>8.3510000000000009</v>
      </c>
      <c r="L3535" s="58"/>
      <c r="M3535" s="58">
        <f>K3535-L3535</f>
        <v>8.3510000000000009</v>
      </c>
      <c r="N3535" s="166"/>
      <c r="O3535" s="58"/>
      <c r="P3535" s="58"/>
      <c r="Q3535" s="58"/>
      <c r="R3535" s="58"/>
      <c r="S3535" s="58"/>
      <c r="T3535" s="220"/>
      <c r="U3535" s="88"/>
      <c r="V3535" s="56"/>
      <c r="W3535" s="57" t="s">
        <v>1036</v>
      </c>
      <c r="X3535" s="53"/>
      <c r="Y3535" s="91" t="s">
        <v>68</v>
      </c>
      <c r="Z3535" s="136">
        <f>AD3535/AC3535</f>
        <v>257.58333333333337</v>
      </c>
      <c r="AA3535" s="58"/>
      <c r="AB3535" s="53">
        <f>AD3535/AC3535</f>
        <v>257.58333333333337</v>
      </c>
      <c r="AC3535" s="53">
        <f>M3535+$AE$10</f>
        <v>8.3510000000000009</v>
      </c>
      <c r="AD3535" s="54">
        <f>SUM(AD3536:AD3541)</f>
        <v>2151.0784166666672</v>
      </c>
      <c r="AE3535" s="184">
        <f>SUMIFS($AD$37:$AD$12971,$V$37:$V$12971,$V3535,$X$37:$X$12971,AE$13)</f>
        <v>0</v>
      </c>
      <c r="AF3535" s="185">
        <f>SUMIFS($AD$37:$AD$12971,$V$37:$V$12971,$V3535,$X$37:$X$12971,AF$13)</f>
        <v>0</v>
      </c>
      <c r="AG3535" s="185">
        <f>SUMIFS($AD$37:$AD$12971,$V$37:$V$12971,$V3535,$X$37:$X$12971,AG$13)</f>
        <v>0</v>
      </c>
      <c r="AH3535" s="187">
        <f>SUMIFS($AD$37:$AD$12971,$V$37:$V$12971,$V3535,$X$37:$X$12971,AH$13)</f>
        <v>0</v>
      </c>
      <c r="AI3535" s="161">
        <f t="shared" ref="AI3535" si="2672">SUM(AE3535:AH3535)</f>
        <v>0</v>
      </c>
      <c r="AK3535" s="172"/>
    </row>
    <row r="3536" spans="1:41" s="102" customFormat="1" ht="19.899999999999999" customHeight="1" x14ac:dyDescent="0.25">
      <c r="A3536" s="45"/>
      <c r="B3536" s="59"/>
      <c r="C3536" s="137"/>
      <c r="D3536" s="59"/>
      <c r="E3536" s="116"/>
      <c r="F3536" s="120"/>
      <c r="G3536" s="120"/>
      <c r="H3536" s="120"/>
      <c r="I3536" s="60"/>
      <c r="J3536" s="116"/>
      <c r="K3536" s="213"/>
      <c r="L3536" s="120"/>
      <c r="M3536" s="120"/>
      <c r="N3536" s="167"/>
      <c r="O3536" s="120"/>
      <c r="P3536" s="120"/>
      <c r="Q3536" s="120"/>
      <c r="R3536" s="120"/>
      <c r="S3536" s="120"/>
      <c r="T3536" s="221"/>
      <c r="U3536" s="89"/>
      <c r="V3536" s="61"/>
      <c r="W3536" s="92" t="s">
        <v>1055</v>
      </c>
      <c r="X3536" s="93" t="s">
        <v>30</v>
      </c>
      <c r="Y3536" s="93" t="s">
        <v>68</v>
      </c>
      <c r="Z3536" s="134">
        <f>VLOOKUP(W3536,Sheet2!$B:$D,3,FALSE)</f>
        <v>144</v>
      </c>
      <c r="AA3536" s="93">
        <v>1</v>
      </c>
      <c r="AB3536" s="93">
        <f>AD3536/AC3535</f>
        <v>144</v>
      </c>
      <c r="AC3536" s="93">
        <f>AC3535/AA3536</f>
        <v>8.3510000000000009</v>
      </c>
      <c r="AD3536" s="94">
        <f t="shared" ref="AD3536" si="2673">AC3536*Z3536</f>
        <v>1202.5440000000001</v>
      </c>
      <c r="AE3536" s="190"/>
      <c r="AF3536" s="191"/>
      <c r="AG3536" s="191"/>
      <c r="AH3536" s="191"/>
      <c r="AI3536" s="186"/>
      <c r="AK3536" s="171"/>
    </row>
    <row r="3537" spans="1:41" s="102" customFormat="1" ht="19.899999999999999" customHeight="1" x14ac:dyDescent="0.25">
      <c r="A3537" s="45"/>
      <c r="B3537" s="59"/>
      <c r="C3537" s="137"/>
      <c r="D3537" s="59"/>
      <c r="E3537" s="116"/>
      <c r="F3537" s="120"/>
      <c r="G3537" s="120"/>
      <c r="H3537" s="120"/>
      <c r="I3537" s="60"/>
      <c r="J3537" s="116"/>
      <c r="K3537" s="213"/>
      <c r="L3537" s="120"/>
      <c r="M3537" s="120"/>
      <c r="N3537" s="167"/>
      <c r="O3537" s="120"/>
      <c r="P3537" s="120"/>
      <c r="Q3537" s="120"/>
      <c r="R3537" s="120"/>
      <c r="S3537" s="120"/>
      <c r="T3537" s="221"/>
      <c r="U3537" s="89"/>
      <c r="V3537" s="61"/>
      <c r="W3537" s="92" t="s">
        <v>1062</v>
      </c>
      <c r="X3537" s="93" t="s">
        <v>30</v>
      </c>
      <c r="Y3537" s="93" t="s">
        <v>68</v>
      </c>
      <c r="Z3537" s="134">
        <f>VLOOKUP(W3537,Sheet2!$B:$D,3,FALSE)</f>
        <v>15</v>
      </c>
      <c r="AA3537" s="93">
        <v>1</v>
      </c>
      <c r="AB3537" s="93">
        <f>AD3537/AC3535</f>
        <v>15</v>
      </c>
      <c r="AC3537" s="93">
        <f>AC3535/AA3537</f>
        <v>8.3510000000000009</v>
      </c>
      <c r="AD3537" s="94">
        <f>AC3537*Z3537</f>
        <v>125.26500000000001</v>
      </c>
      <c r="AE3537" s="190"/>
      <c r="AF3537" s="191"/>
      <c r="AG3537" s="191"/>
      <c r="AH3537" s="191"/>
      <c r="AI3537" s="186"/>
      <c r="AK3537" s="171"/>
    </row>
    <row r="3538" spans="1:41" s="102" customFormat="1" ht="19.899999999999999" customHeight="1" x14ac:dyDescent="0.25">
      <c r="A3538" s="45"/>
      <c r="B3538" s="59"/>
      <c r="C3538" s="137"/>
      <c r="D3538" s="59"/>
      <c r="E3538" s="116"/>
      <c r="F3538" s="120"/>
      <c r="G3538" s="120"/>
      <c r="H3538" s="120"/>
      <c r="I3538" s="60"/>
      <c r="J3538" s="116"/>
      <c r="K3538" s="213"/>
      <c r="L3538" s="120"/>
      <c r="M3538" s="120"/>
      <c r="N3538" s="167"/>
      <c r="O3538" s="120"/>
      <c r="P3538" s="120"/>
      <c r="Q3538" s="120"/>
      <c r="R3538" s="120"/>
      <c r="S3538" s="120"/>
      <c r="T3538" s="221"/>
      <c r="U3538" s="89"/>
      <c r="V3538" s="61"/>
      <c r="W3538" s="92" t="s">
        <v>1070</v>
      </c>
      <c r="X3538" s="93" t="s">
        <v>32</v>
      </c>
      <c r="Y3538" s="93" t="s">
        <v>68</v>
      </c>
      <c r="Z3538" s="134">
        <f>VLOOKUP(W3538,Sheet2!$B:$D,3,FALSE)</f>
        <v>50</v>
      </c>
      <c r="AA3538" s="93">
        <v>1</v>
      </c>
      <c r="AB3538" s="93">
        <f>AD3538/AC3535</f>
        <v>50</v>
      </c>
      <c r="AC3538" s="93">
        <f>AC3535/AA3538</f>
        <v>8.3510000000000009</v>
      </c>
      <c r="AD3538" s="94">
        <f>AC3538*Z3538</f>
        <v>417.55000000000007</v>
      </c>
      <c r="AE3538" s="190"/>
      <c r="AF3538" s="191"/>
      <c r="AG3538" s="191"/>
      <c r="AH3538" s="191"/>
      <c r="AI3538" s="186"/>
      <c r="AK3538" s="171"/>
    </row>
    <row r="3539" spans="1:41" s="102" customFormat="1" ht="19.899999999999999" customHeight="1" x14ac:dyDescent="0.25">
      <c r="A3539" s="45"/>
      <c r="B3539" s="59"/>
      <c r="C3539" s="137"/>
      <c r="D3539" s="59"/>
      <c r="E3539" s="116"/>
      <c r="F3539" s="120"/>
      <c r="G3539" s="120"/>
      <c r="H3539" s="120"/>
      <c r="I3539" s="60"/>
      <c r="J3539" s="116"/>
      <c r="K3539" s="213"/>
      <c r="L3539" s="120"/>
      <c r="M3539" s="120"/>
      <c r="N3539" s="167"/>
      <c r="O3539" s="120"/>
      <c r="P3539" s="120"/>
      <c r="Q3539" s="120"/>
      <c r="R3539" s="120"/>
      <c r="S3539" s="120"/>
      <c r="T3539" s="221"/>
      <c r="U3539" s="89"/>
      <c r="V3539" s="61"/>
      <c r="W3539" s="92" t="s">
        <v>1032</v>
      </c>
      <c r="X3539" s="93" t="s">
        <v>30</v>
      </c>
      <c r="Y3539" s="93" t="s">
        <v>66</v>
      </c>
      <c r="Z3539" s="134">
        <f>VLOOKUP(W3539,Sheet2!$B:$D,3,FALSE)</f>
        <v>250</v>
      </c>
      <c r="AA3539" s="93">
        <f>1/(1.2*0.1)</f>
        <v>8.3333333333333339</v>
      </c>
      <c r="AB3539" s="93">
        <f>AD3539/AC3535</f>
        <v>30</v>
      </c>
      <c r="AC3539" s="93">
        <f>AC3535/AA3539</f>
        <v>1.0021200000000001</v>
      </c>
      <c r="AD3539" s="94">
        <f>AC3539*Z3539</f>
        <v>250.53000000000003</v>
      </c>
      <c r="AE3539" s="190"/>
      <c r="AF3539" s="191"/>
      <c r="AG3539" s="191"/>
      <c r="AH3539" s="191"/>
      <c r="AI3539" s="186"/>
      <c r="AK3539" s="171"/>
    </row>
    <row r="3540" spans="1:41" s="102" customFormat="1" ht="19.899999999999999" customHeight="1" x14ac:dyDescent="0.25">
      <c r="A3540" s="45"/>
      <c r="B3540" s="59"/>
      <c r="C3540" s="137"/>
      <c r="D3540" s="59"/>
      <c r="E3540" s="116"/>
      <c r="F3540" s="120"/>
      <c r="G3540" s="120"/>
      <c r="H3540" s="120"/>
      <c r="I3540" s="60"/>
      <c r="J3540" s="116"/>
      <c r="K3540" s="213"/>
      <c r="L3540" s="120"/>
      <c r="M3540" s="120"/>
      <c r="N3540" s="167"/>
      <c r="O3540" s="120"/>
      <c r="P3540" s="120"/>
      <c r="Q3540" s="120"/>
      <c r="R3540" s="120"/>
      <c r="S3540" s="120"/>
      <c r="T3540" s="221"/>
      <c r="U3540" s="89"/>
      <c r="V3540" s="61"/>
      <c r="W3540" s="92" t="s">
        <v>1035</v>
      </c>
      <c r="X3540" s="93" t="s">
        <v>32</v>
      </c>
      <c r="Y3540" s="93" t="s">
        <v>66</v>
      </c>
      <c r="Z3540" s="134">
        <f>VLOOKUP(W3540,Sheet2!$B:$D,3,FALSE)</f>
        <v>150</v>
      </c>
      <c r="AA3540" s="93">
        <f>AA3539</f>
        <v>8.3333333333333339</v>
      </c>
      <c r="AB3540" s="93">
        <f>AD3540/AC3535</f>
        <v>18</v>
      </c>
      <c r="AC3540" s="93">
        <f>AC3535/AA3540</f>
        <v>1.0021200000000001</v>
      </c>
      <c r="AD3540" s="94">
        <f t="shared" ref="AD3540:AD3541" si="2674">AC3540*Z3540</f>
        <v>150.31800000000001</v>
      </c>
      <c r="AE3540" s="190"/>
      <c r="AF3540" s="191"/>
      <c r="AG3540" s="191"/>
      <c r="AH3540" s="191"/>
      <c r="AI3540" s="186"/>
      <c r="AK3540" s="171"/>
    </row>
    <row r="3541" spans="1:41" s="102" customFormat="1" ht="19.899999999999999" customHeight="1" x14ac:dyDescent="0.25">
      <c r="A3541" s="45"/>
      <c r="B3541" s="59"/>
      <c r="C3541" s="137"/>
      <c r="D3541" s="59"/>
      <c r="E3541" s="116"/>
      <c r="F3541" s="120"/>
      <c r="G3541" s="120"/>
      <c r="H3541" s="120"/>
      <c r="I3541" s="60"/>
      <c r="J3541" s="116"/>
      <c r="K3541" s="213"/>
      <c r="L3541" s="120"/>
      <c r="M3541" s="120"/>
      <c r="N3541" s="167"/>
      <c r="O3541" s="120"/>
      <c r="P3541" s="120"/>
      <c r="Q3541" s="120"/>
      <c r="R3541" s="120"/>
      <c r="S3541" s="120"/>
      <c r="T3541" s="221"/>
      <c r="U3541" s="89"/>
      <c r="V3541" s="61"/>
      <c r="W3541" s="92" t="s">
        <v>1037</v>
      </c>
      <c r="X3541" s="93" t="s">
        <v>30</v>
      </c>
      <c r="Y3541" s="93" t="s">
        <v>1038</v>
      </c>
      <c r="Z3541" s="134">
        <f>VLOOKUP(W3541,Sheet2!$B:$D,3,FALSE)</f>
        <v>175</v>
      </c>
      <c r="AA3541" s="93">
        <v>300</v>
      </c>
      <c r="AB3541" s="93">
        <f>AD3541/AC3535</f>
        <v>0.58333333333333326</v>
      </c>
      <c r="AC3541" s="93">
        <f>AC3535/AA3541</f>
        <v>2.7836666666666669E-2</v>
      </c>
      <c r="AD3541" s="94">
        <f t="shared" si="2674"/>
        <v>4.8714166666666667</v>
      </c>
      <c r="AE3541" s="190"/>
      <c r="AF3541" s="191"/>
      <c r="AG3541" s="191"/>
      <c r="AH3541" s="191"/>
      <c r="AI3541" s="186"/>
      <c r="AK3541" s="171"/>
    </row>
    <row r="3542" spans="1:41" s="103" customFormat="1" ht="19.899999999999999" customHeight="1" x14ac:dyDescent="0.25">
      <c r="A3542" s="51"/>
      <c r="B3542" s="52"/>
      <c r="C3542" s="165"/>
      <c r="D3542" s="52"/>
      <c r="E3542" s="115"/>
      <c r="F3542" s="58"/>
      <c r="G3542" s="58"/>
      <c r="H3542" s="58"/>
      <c r="I3542" s="55"/>
      <c r="J3542" s="113">
        <f>J3525</f>
        <v>8.3510000000000009</v>
      </c>
      <c r="K3542" s="212">
        <f>K3525</f>
        <v>8.3510000000000009</v>
      </c>
      <c r="L3542" s="58"/>
      <c r="M3542" s="58">
        <f>K3542-L3542</f>
        <v>8.3510000000000009</v>
      </c>
      <c r="N3542" s="166"/>
      <c r="O3542" s="58"/>
      <c r="P3542" s="58"/>
      <c r="Q3542" s="58"/>
      <c r="R3542" s="58"/>
      <c r="S3542" s="58"/>
      <c r="T3542" s="220"/>
      <c r="U3542" s="88"/>
      <c r="V3542" s="56"/>
      <c r="W3542" s="57" t="s">
        <v>1040</v>
      </c>
      <c r="X3542" s="53"/>
      <c r="Y3542" s="91" t="s">
        <v>68</v>
      </c>
      <c r="Z3542" s="136">
        <f>AD3542/AC3542</f>
        <v>5</v>
      </c>
      <c r="AA3542" s="58"/>
      <c r="AB3542" s="53">
        <f>AD3542/AC3542</f>
        <v>5</v>
      </c>
      <c r="AC3542" s="53">
        <f>M3542+$AE$10</f>
        <v>8.3510000000000009</v>
      </c>
      <c r="AD3542" s="54">
        <f>SUM(AD3543)</f>
        <v>41.755000000000003</v>
      </c>
      <c r="AE3542" s="184">
        <f>SUMIFS($AD$37:$AD$12971,$V$37:$V$12971,$V3542,$X$37:$X$12971,AE$13)</f>
        <v>0</v>
      </c>
      <c r="AF3542" s="185">
        <f>SUMIFS($AD$37:$AD$12971,$V$37:$V$12971,$V3542,$X$37:$X$12971,AF$13)</f>
        <v>0</v>
      </c>
      <c r="AG3542" s="185">
        <f>SUMIFS($AD$37:$AD$12971,$V$37:$V$12971,$V3542,$X$37:$X$12971,AG$13)</f>
        <v>0</v>
      </c>
      <c r="AH3542" s="187">
        <f>SUMIFS($AD$37:$AD$12971,$V$37:$V$12971,$V3542,$X$37:$X$12971,AH$13)</f>
        <v>0</v>
      </c>
      <c r="AI3542" s="161">
        <f t="shared" ref="AI3542" si="2675">SUM(AE3542:AH3542)</f>
        <v>0</v>
      </c>
      <c r="AK3542" s="172"/>
    </row>
    <row r="3543" spans="1:41" s="102" customFormat="1" ht="19.899999999999999" customHeight="1" x14ac:dyDescent="0.25">
      <c r="A3543" s="45"/>
      <c r="B3543" s="59"/>
      <c r="C3543" s="137"/>
      <c r="D3543" s="59"/>
      <c r="E3543" s="116"/>
      <c r="F3543" s="120"/>
      <c r="G3543" s="120"/>
      <c r="H3543" s="120"/>
      <c r="I3543" s="60"/>
      <c r="J3543" s="116"/>
      <c r="K3543" s="213"/>
      <c r="L3543" s="120"/>
      <c r="M3543" s="120"/>
      <c r="N3543" s="167"/>
      <c r="O3543" s="120"/>
      <c r="P3543" s="120"/>
      <c r="Q3543" s="120"/>
      <c r="R3543" s="120"/>
      <c r="S3543" s="120"/>
      <c r="T3543" s="221"/>
      <c r="U3543" s="89"/>
      <c r="V3543" s="61"/>
      <c r="W3543" s="92" t="s">
        <v>1039</v>
      </c>
      <c r="X3543" s="93" t="s">
        <v>32</v>
      </c>
      <c r="Y3543" s="93" t="s">
        <v>68</v>
      </c>
      <c r="Z3543" s="134">
        <f>VLOOKUP(W3543,Sheet2!$B:$D,3,FALSE)</f>
        <v>5</v>
      </c>
      <c r="AA3543" s="93">
        <v>1</v>
      </c>
      <c r="AB3543" s="93">
        <f>AD3543/AC3542</f>
        <v>5</v>
      </c>
      <c r="AC3543" s="93">
        <f>AC3542/AA3543</f>
        <v>8.3510000000000009</v>
      </c>
      <c r="AD3543" s="94">
        <f t="shared" ref="AD3543" si="2676">AC3543*Z3543</f>
        <v>41.755000000000003</v>
      </c>
      <c r="AE3543" s="190"/>
      <c r="AF3543" s="191"/>
      <c r="AG3543" s="191"/>
      <c r="AH3543" s="191"/>
      <c r="AI3543" s="186"/>
      <c r="AK3543" s="171"/>
    </row>
    <row r="3544" spans="1:41" ht="20.100000000000001" customHeight="1" x14ac:dyDescent="0.25">
      <c r="A3544" s="277" t="s">
        <v>491</v>
      </c>
      <c r="B3544" s="278"/>
      <c r="C3544" s="64" t="s">
        <v>493</v>
      </c>
      <c r="D3544" s="46" t="s">
        <v>97</v>
      </c>
      <c r="E3544" s="114">
        <v>33.657399999999996</v>
      </c>
      <c r="F3544" s="44">
        <v>502</v>
      </c>
      <c r="G3544" s="44">
        <f t="shared" si="2434"/>
        <v>16896.014799999997</v>
      </c>
      <c r="H3544" s="44">
        <f t="shared" si="2435"/>
        <v>342.79689568627452</v>
      </c>
      <c r="I3544" s="43">
        <f t="shared" si="2436"/>
        <v>11537.652236871214</v>
      </c>
      <c r="J3544" s="112">
        <f t="shared" si="2437"/>
        <v>33.657399999999996</v>
      </c>
      <c r="K3544" s="211">
        <f t="shared" si="2438"/>
        <v>33.657399999999996</v>
      </c>
      <c r="L3544" s="44"/>
      <c r="M3544" s="44">
        <f t="shared" si="2458"/>
        <v>33.657399999999996</v>
      </c>
      <c r="N3544" s="173">
        <f t="shared" si="2439"/>
        <v>1</v>
      </c>
      <c r="O3544" s="44">
        <f t="shared" si="2440"/>
        <v>502</v>
      </c>
      <c r="P3544" s="44">
        <f t="shared" si="2441"/>
        <v>16896.014799999997</v>
      </c>
      <c r="Q3544" s="44">
        <f t="shared" si="2442"/>
        <v>342.79689568627452</v>
      </c>
      <c r="R3544" s="44">
        <f t="shared" si="2459"/>
        <v>11537.652236871214</v>
      </c>
      <c r="S3544" s="123"/>
      <c r="T3544" s="219">
        <f t="shared" si="2460"/>
        <v>11537.652236871214</v>
      </c>
      <c r="U3544" s="87"/>
      <c r="V3544" s="47"/>
      <c r="W3544" s="48"/>
      <c r="X3544" s="48"/>
      <c r="Y3544" s="48"/>
      <c r="Z3544" s="135"/>
      <c r="AA3544" s="49"/>
      <c r="AB3544" s="50">
        <f t="shared" si="2443"/>
        <v>342.79689568627452</v>
      </c>
      <c r="AC3544" s="42">
        <f t="shared" si="2461"/>
        <v>33.657399999999996</v>
      </c>
      <c r="AD3544" s="90">
        <f>AD3545+AD3555+AD3562</f>
        <v>11537.652236871214</v>
      </c>
      <c r="AE3544" s="188">
        <f t="shared" ref="AE3544:AH3544" si="2677">AE3545+AE3555+AE3562</f>
        <v>0</v>
      </c>
      <c r="AF3544" s="189">
        <f t="shared" si="2677"/>
        <v>0</v>
      </c>
      <c r="AG3544" s="189">
        <f t="shared" si="2677"/>
        <v>0</v>
      </c>
      <c r="AH3544" s="189">
        <f t="shared" si="2677"/>
        <v>0</v>
      </c>
      <c r="AI3544" s="161">
        <f t="shared" ref="AI3544" si="2678">SUM(AE3544:AH3544)</f>
        <v>0</v>
      </c>
      <c r="AK3544" s="169">
        <v>5</v>
      </c>
      <c r="AO3544" s="19" t="s">
        <v>63</v>
      </c>
    </row>
    <row r="3545" spans="1:41" s="103" customFormat="1" ht="19.899999999999999" customHeight="1" x14ac:dyDescent="0.25">
      <c r="A3545" s="51"/>
      <c r="B3545" s="52"/>
      <c r="C3545" s="165"/>
      <c r="D3545" s="52"/>
      <c r="E3545" s="115"/>
      <c r="F3545" s="58"/>
      <c r="G3545" s="58"/>
      <c r="H3545" s="58"/>
      <c r="I3545" s="55"/>
      <c r="J3545" s="113">
        <f>J3544</f>
        <v>33.657399999999996</v>
      </c>
      <c r="K3545" s="212">
        <f>K3544</f>
        <v>33.657399999999996</v>
      </c>
      <c r="L3545" s="58"/>
      <c r="M3545" s="58">
        <f>K3545-L3545</f>
        <v>33.657399999999996</v>
      </c>
      <c r="N3545" s="166"/>
      <c r="O3545" s="58"/>
      <c r="P3545" s="58"/>
      <c r="Q3545" s="58"/>
      <c r="R3545" s="58"/>
      <c r="S3545" s="58"/>
      <c r="T3545" s="220"/>
      <c r="U3545" s="88"/>
      <c r="V3545" s="56"/>
      <c r="W3545" s="57" t="s">
        <v>1098</v>
      </c>
      <c r="X3545" s="53"/>
      <c r="Y3545" s="91" t="s">
        <v>68</v>
      </c>
      <c r="Z3545" s="136">
        <f>AD3545/AC3545</f>
        <v>80.213562352941167</v>
      </c>
      <c r="AA3545" s="58"/>
      <c r="AB3545" s="53">
        <f>AD3545/AC3545</f>
        <v>80.213562352941167</v>
      </c>
      <c r="AC3545" s="53">
        <f>M3545+$AE$10</f>
        <v>33.657399999999996</v>
      </c>
      <c r="AD3545" s="54">
        <f>SUM(AD3546:AD3554)</f>
        <v>2699.7799535378817</v>
      </c>
      <c r="AE3545" s="184">
        <f>SUMIFS($AD$37:$AD$12971,$V$37:$V$12971,$V3545,$X$37:$X$12971,AE$13)</f>
        <v>0</v>
      </c>
      <c r="AF3545" s="185">
        <f>SUMIFS($AD$37:$AD$12971,$V$37:$V$12971,$V3545,$X$37:$X$12971,AF$13)</f>
        <v>0</v>
      </c>
      <c r="AG3545" s="185">
        <f>SUMIFS($AD$37:$AD$12971,$V$37:$V$12971,$V3545,$X$37:$X$12971,AG$13)</f>
        <v>0</v>
      </c>
      <c r="AH3545" s="187">
        <f>SUMIFS($AD$37:$AD$12971,$V$37:$V$12971,$V3545,$X$37:$X$12971,AH$13)</f>
        <v>0</v>
      </c>
      <c r="AI3545" s="161">
        <f t="shared" ref="AI3545" si="2679">SUM(AE3545:AH3545)</f>
        <v>0</v>
      </c>
      <c r="AK3545" s="172"/>
    </row>
    <row r="3546" spans="1:41" s="102" customFormat="1" ht="19.899999999999999" customHeight="1" x14ac:dyDescent="0.25">
      <c r="A3546" s="45"/>
      <c r="B3546" s="59"/>
      <c r="C3546" s="137"/>
      <c r="D3546" s="59"/>
      <c r="E3546" s="116"/>
      <c r="F3546" s="120"/>
      <c r="G3546" s="120"/>
      <c r="H3546" s="120"/>
      <c r="I3546" s="60"/>
      <c r="J3546" s="116"/>
      <c r="K3546" s="213"/>
      <c r="L3546" s="120"/>
      <c r="M3546" s="120"/>
      <c r="N3546" s="167"/>
      <c r="O3546" s="120"/>
      <c r="P3546" s="120"/>
      <c r="Q3546" s="120"/>
      <c r="R3546" s="120"/>
      <c r="S3546" s="120"/>
      <c r="T3546" s="221"/>
      <c r="U3546" s="89"/>
      <c r="V3546" s="61"/>
      <c r="W3546" s="92" t="s">
        <v>129</v>
      </c>
      <c r="X3546" s="93" t="s">
        <v>29</v>
      </c>
      <c r="Y3546" s="93" t="s">
        <v>93</v>
      </c>
      <c r="Z3546" s="134">
        <f>VLOOKUP(W3546,Sheet2!$B:$D,3,FALSE)</f>
        <v>56</v>
      </c>
      <c r="AA3546" s="93">
        <f>100/(1.2*3.5)</f>
        <v>23.80952380952381</v>
      </c>
      <c r="AB3546" s="93">
        <f t="shared" ref="AB3546" si="2680">AD3546/AC3545</f>
        <v>2.3519999999999999</v>
      </c>
      <c r="AC3546" s="93">
        <f>AC3545/AA3546</f>
        <v>1.4136107999999998</v>
      </c>
      <c r="AD3546" s="94">
        <f t="shared" ref="AD3546:AD3547" si="2681">AC3546*Z3546</f>
        <v>79.162204799999984</v>
      </c>
      <c r="AE3546" s="190"/>
      <c r="AF3546" s="191"/>
      <c r="AG3546" s="191"/>
      <c r="AH3546" s="191"/>
      <c r="AI3546" s="186"/>
      <c r="AK3546" s="171"/>
    </row>
    <row r="3547" spans="1:41" s="102" customFormat="1" ht="19.899999999999999" customHeight="1" x14ac:dyDescent="0.25">
      <c r="A3547" s="45"/>
      <c r="B3547" s="59"/>
      <c r="C3547" s="137"/>
      <c r="D3547" s="59"/>
      <c r="E3547" s="116"/>
      <c r="F3547" s="120"/>
      <c r="G3547" s="120"/>
      <c r="H3547" s="120"/>
      <c r="I3547" s="60"/>
      <c r="J3547" s="116"/>
      <c r="K3547" s="213"/>
      <c r="L3547" s="120"/>
      <c r="M3547" s="120"/>
      <c r="N3547" s="167"/>
      <c r="O3547" s="120"/>
      <c r="P3547" s="120"/>
      <c r="Q3547" s="120"/>
      <c r="R3547" s="120"/>
      <c r="S3547" s="120"/>
      <c r="T3547" s="221"/>
      <c r="U3547" s="89"/>
      <c r="V3547" s="61"/>
      <c r="W3547" s="92" t="s">
        <v>65</v>
      </c>
      <c r="X3547" s="93" t="s">
        <v>30</v>
      </c>
      <c r="Y3547" s="93" t="s">
        <v>1011</v>
      </c>
      <c r="Z3547" s="134">
        <f>VLOOKUP(W3547,Sheet2!$B:$D,3,FALSE)</f>
        <v>1.76</v>
      </c>
      <c r="AA3547" s="93">
        <f>AA3546/14</f>
        <v>1.7006802721088436</v>
      </c>
      <c r="AB3547" s="93">
        <f>AD3547/AC3545</f>
        <v>1.03488</v>
      </c>
      <c r="AC3547" s="93">
        <f>AC3545/AA3547</f>
        <v>19.790551199999996</v>
      </c>
      <c r="AD3547" s="94">
        <f t="shared" si="2681"/>
        <v>34.831370111999995</v>
      </c>
      <c r="AE3547" s="190"/>
      <c r="AF3547" s="191"/>
      <c r="AG3547" s="191"/>
      <c r="AH3547" s="191"/>
      <c r="AI3547" s="186"/>
      <c r="AK3547" s="171"/>
    </row>
    <row r="3548" spans="1:41" s="102" customFormat="1" ht="19.899999999999999" customHeight="1" x14ac:dyDescent="0.25">
      <c r="A3548" s="45"/>
      <c r="B3548" s="59"/>
      <c r="C3548" s="137"/>
      <c r="D3548" s="59"/>
      <c r="E3548" s="116"/>
      <c r="F3548" s="120"/>
      <c r="G3548" s="120"/>
      <c r="H3548" s="120"/>
      <c r="I3548" s="60"/>
      <c r="J3548" s="116"/>
      <c r="K3548" s="213"/>
      <c r="L3548" s="120"/>
      <c r="M3548" s="120"/>
      <c r="N3548" s="167"/>
      <c r="O3548" s="120"/>
      <c r="P3548" s="120"/>
      <c r="Q3548" s="120"/>
      <c r="R3548" s="120"/>
      <c r="S3548" s="120"/>
      <c r="T3548" s="221"/>
      <c r="U3548" s="89"/>
      <c r="V3548" s="61"/>
      <c r="W3548" s="92" t="s">
        <v>161</v>
      </c>
      <c r="X3548" s="93" t="s">
        <v>29</v>
      </c>
      <c r="Y3548" s="93" t="s">
        <v>93</v>
      </c>
      <c r="Z3548" s="134">
        <f>VLOOKUP(W3548,Sheet2!$B:$D,3,FALSE)</f>
        <v>48</v>
      </c>
      <c r="AA3548" s="93">
        <f>(16*0.85*1.5)/(1.2*3.5)</f>
        <v>4.8571428571428568</v>
      </c>
      <c r="AB3548" s="93">
        <f>AD3548/AC3545</f>
        <v>9.882352941176471</v>
      </c>
      <c r="AC3548" s="93">
        <f>AC3545/AA3548</f>
        <v>6.9294647058823529</v>
      </c>
      <c r="AD3548" s="94">
        <f>AC3548*Z3548</f>
        <v>332.61430588235294</v>
      </c>
      <c r="AE3548" s="190"/>
      <c r="AF3548" s="191"/>
      <c r="AG3548" s="191"/>
      <c r="AH3548" s="191"/>
      <c r="AI3548" s="186"/>
      <c r="AK3548" s="171"/>
    </row>
    <row r="3549" spans="1:41" s="102" customFormat="1" ht="19.899999999999999" customHeight="1" x14ac:dyDescent="0.25">
      <c r="A3549" s="45"/>
      <c r="B3549" s="59"/>
      <c r="C3549" s="137"/>
      <c r="D3549" s="59"/>
      <c r="E3549" s="116"/>
      <c r="F3549" s="120"/>
      <c r="G3549" s="120"/>
      <c r="H3549" s="120"/>
      <c r="I3549" s="60"/>
      <c r="J3549" s="116"/>
      <c r="K3549" s="213"/>
      <c r="L3549" s="120"/>
      <c r="M3549" s="120"/>
      <c r="N3549" s="167"/>
      <c r="O3549" s="120"/>
      <c r="P3549" s="120"/>
      <c r="Q3549" s="120"/>
      <c r="R3549" s="120"/>
      <c r="S3549" s="120"/>
      <c r="T3549" s="221"/>
      <c r="U3549" s="89"/>
      <c r="V3549" s="61"/>
      <c r="W3549" s="92" t="s">
        <v>65</v>
      </c>
      <c r="X3549" s="93" t="s">
        <v>30</v>
      </c>
      <c r="Y3549" s="93" t="s">
        <v>1011</v>
      </c>
      <c r="Z3549" s="134">
        <f>VLOOKUP(W3549,Sheet2!$B:$D,3,FALSE)</f>
        <v>1.76</v>
      </c>
      <c r="AA3549" s="93">
        <f>AA3548/10</f>
        <v>0.48571428571428565</v>
      </c>
      <c r="AB3549" s="93">
        <f>AD3549/AC3545</f>
        <v>3.6235294117647063</v>
      </c>
      <c r="AC3549" s="93">
        <f>AC3545/AA3549</f>
        <v>69.294647058823529</v>
      </c>
      <c r="AD3549" s="94">
        <f>AC3549*Z3549</f>
        <v>121.95857882352941</v>
      </c>
      <c r="AE3549" s="190"/>
      <c r="AF3549" s="191"/>
      <c r="AG3549" s="191"/>
      <c r="AH3549" s="191"/>
      <c r="AI3549" s="186"/>
      <c r="AK3549" s="171"/>
    </row>
    <row r="3550" spans="1:41" s="102" customFormat="1" ht="19.899999999999999" customHeight="1" x14ac:dyDescent="0.25">
      <c r="A3550" s="45"/>
      <c r="B3550" s="59"/>
      <c r="C3550" s="137"/>
      <c r="D3550" s="59"/>
      <c r="E3550" s="116"/>
      <c r="F3550" s="120"/>
      <c r="G3550" s="120"/>
      <c r="H3550" s="120"/>
      <c r="I3550" s="60"/>
      <c r="J3550" s="116"/>
      <c r="K3550" s="213"/>
      <c r="L3550" s="120"/>
      <c r="M3550" s="120"/>
      <c r="N3550" s="167"/>
      <c r="O3550" s="120"/>
      <c r="P3550" s="120"/>
      <c r="Q3550" s="120"/>
      <c r="R3550" s="120"/>
      <c r="S3550" s="120"/>
      <c r="T3550" s="221"/>
      <c r="U3550" s="89"/>
      <c r="V3550" s="61"/>
      <c r="W3550" s="92" t="s">
        <v>1030</v>
      </c>
      <c r="X3550" s="93" t="s">
        <v>29</v>
      </c>
      <c r="Y3550" s="93" t="s">
        <v>93</v>
      </c>
      <c r="Z3550" s="134">
        <f>VLOOKUP(W3550,Sheet2!$B:$D,3,FALSE)</f>
        <v>23</v>
      </c>
      <c r="AA3550" s="93">
        <v>50</v>
      </c>
      <c r="AB3550" s="93">
        <f>AD3550/AC3545</f>
        <v>0.45999999999999996</v>
      </c>
      <c r="AC3550" s="93">
        <f>AC3545/AA3550</f>
        <v>0.67314799999999986</v>
      </c>
      <c r="AD3550" s="94">
        <f t="shared" ref="AD3550:AD3554" si="2682">AC3550*Z3550</f>
        <v>15.482403999999997</v>
      </c>
      <c r="AE3550" s="190"/>
      <c r="AF3550" s="191"/>
      <c r="AG3550" s="191"/>
      <c r="AH3550" s="191"/>
      <c r="AI3550" s="186"/>
      <c r="AK3550" s="171"/>
    </row>
    <row r="3551" spans="1:41" s="102" customFormat="1" ht="19.899999999999999" customHeight="1" x14ac:dyDescent="0.25">
      <c r="A3551" s="45"/>
      <c r="B3551" s="59"/>
      <c r="C3551" s="137"/>
      <c r="D3551" s="59"/>
      <c r="E3551" s="116"/>
      <c r="F3551" s="120"/>
      <c r="G3551" s="120"/>
      <c r="H3551" s="120"/>
      <c r="I3551" s="60"/>
      <c r="J3551" s="116"/>
      <c r="K3551" s="213"/>
      <c r="L3551" s="120"/>
      <c r="M3551" s="120"/>
      <c r="N3551" s="167"/>
      <c r="O3551" s="120"/>
      <c r="P3551" s="120"/>
      <c r="Q3551" s="120"/>
      <c r="R3551" s="120"/>
      <c r="S3551" s="120"/>
      <c r="T3551" s="221"/>
      <c r="U3551" s="89"/>
      <c r="V3551" s="61"/>
      <c r="W3551" s="92" t="s">
        <v>65</v>
      </c>
      <c r="X3551" s="93" t="s">
        <v>30</v>
      </c>
      <c r="Y3551" s="93" t="s">
        <v>1011</v>
      </c>
      <c r="Z3551" s="134">
        <f>VLOOKUP(W3551,Sheet2!$B:$D,3,FALSE)</f>
        <v>1.76</v>
      </c>
      <c r="AA3551" s="93">
        <f>AA3550/3</f>
        <v>16.666666666666668</v>
      </c>
      <c r="AB3551" s="93">
        <f>AD3551/AC3545</f>
        <v>0.10559999999999999</v>
      </c>
      <c r="AC3551" s="93">
        <f>AC3545/AA3551</f>
        <v>2.0194439999999996</v>
      </c>
      <c r="AD3551" s="94">
        <f t="shared" si="2682"/>
        <v>3.5542214399999992</v>
      </c>
      <c r="AE3551" s="190"/>
      <c r="AF3551" s="191"/>
      <c r="AG3551" s="191"/>
      <c r="AH3551" s="191"/>
      <c r="AI3551" s="186"/>
      <c r="AK3551" s="171"/>
    </row>
    <row r="3552" spans="1:41" s="102" customFormat="1" ht="19.899999999999999" customHeight="1" x14ac:dyDescent="0.25">
      <c r="A3552" s="45"/>
      <c r="B3552" s="59"/>
      <c r="C3552" s="137"/>
      <c r="D3552" s="59"/>
      <c r="E3552" s="116"/>
      <c r="F3552" s="120"/>
      <c r="G3552" s="120"/>
      <c r="H3552" s="120"/>
      <c r="I3552" s="60"/>
      <c r="J3552" s="116"/>
      <c r="K3552" s="213"/>
      <c r="L3552" s="120"/>
      <c r="M3552" s="120"/>
      <c r="N3552" s="167"/>
      <c r="O3552" s="120"/>
      <c r="P3552" s="120"/>
      <c r="Q3552" s="120"/>
      <c r="R3552" s="120"/>
      <c r="S3552" s="120"/>
      <c r="T3552" s="221"/>
      <c r="U3552" s="89"/>
      <c r="V3552" s="61"/>
      <c r="W3552" s="92" t="s">
        <v>148</v>
      </c>
      <c r="X3552" s="93" t="s">
        <v>29</v>
      </c>
      <c r="Y3552" s="93" t="s">
        <v>93</v>
      </c>
      <c r="Z3552" s="134">
        <f>VLOOKUP(W3552,Sheet2!$B:$D,3,FALSE)</f>
        <v>48</v>
      </c>
      <c r="AA3552" s="93">
        <f>AA3546</f>
        <v>23.80952380952381</v>
      </c>
      <c r="AB3552" s="93">
        <f>AD3552/AC3545</f>
        <v>2.016</v>
      </c>
      <c r="AC3552" s="93">
        <f>AC3545/AA3552</f>
        <v>1.4136107999999998</v>
      </c>
      <c r="AD3552" s="94">
        <f t="shared" si="2682"/>
        <v>67.853318399999992</v>
      </c>
      <c r="AE3552" s="190"/>
      <c r="AF3552" s="191"/>
      <c r="AG3552" s="191"/>
      <c r="AH3552" s="191"/>
      <c r="AI3552" s="186"/>
      <c r="AK3552" s="171"/>
    </row>
    <row r="3553" spans="1:41" s="102" customFormat="1" ht="19.899999999999999" customHeight="1" x14ac:dyDescent="0.25">
      <c r="A3553" s="45"/>
      <c r="B3553" s="59"/>
      <c r="C3553" s="137"/>
      <c r="D3553" s="59"/>
      <c r="E3553" s="116"/>
      <c r="F3553" s="120"/>
      <c r="G3553" s="120"/>
      <c r="H3553" s="120"/>
      <c r="I3553" s="60"/>
      <c r="J3553" s="116"/>
      <c r="K3553" s="213"/>
      <c r="L3553" s="120"/>
      <c r="M3553" s="120"/>
      <c r="N3553" s="167"/>
      <c r="O3553" s="120"/>
      <c r="P3553" s="120"/>
      <c r="Q3553" s="120"/>
      <c r="R3553" s="120"/>
      <c r="S3553" s="120"/>
      <c r="T3553" s="221"/>
      <c r="U3553" s="89"/>
      <c r="V3553" s="61"/>
      <c r="W3553" s="92" t="s">
        <v>65</v>
      </c>
      <c r="X3553" s="93" t="s">
        <v>30</v>
      </c>
      <c r="Y3553" s="93" t="s">
        <v>1011</v>
      </c>
      <c r="Z3553" s="134">
        <f>VLOOKUP(W3553,Sheet2!$B:$D,3,FALSE)</f>
        <v>1.76</v>
      </c>
      <c r="AA3553" s="93">
        <f>AA3552/10</f>
        <v>2.3809523809523809</v>
      </c>
      <c r="AB3553" s="93">
        <f>AD3553/AC3545</f>
        <v>0.73920000000000008</v>
      </c>
      <c r="AC3553" s="93">
        <f>AC3545/AA3553</f>
        <v>14.136107999999998</v>
      </c>
      <c r="AD3553" s="94">
        <f t="shared" si="2682"/>
        <v>24.879550079999998</v>
      </c>
      <c r="AE3553" s="190"/>
      <c r="AF3553" s="191"/>
      <c r="AG3553" s="191"/>
      <c r="AH3553" s="191"/>
      <c r="AI3553" s="186"/>
      <c r="AK3553" s="171"/>
    </row>
    <row r="3554" spans="1:41" s="102" customFormat="1" ht="19.899999999999999" customHeight="1" x14ac:dyDescent="0.25">
      <c r="A3554" s="45"/>
      <c r="B3554" s="59"/>
      <c r="C3554" s="137"/>
      <c r="D3554" s="59"/>
      <c r="E3554" s="116"/>
      <c r="F3554" s="120"/>
      <c r="G3554" s="120"/>
      <c r="H3554" s="120"/>
      <c r="I3554" s="60"/>
      <c r="J3554" s="116"/>
      <c r="K3554" s="213"/>
      <c r="L3554" s="120"/>
      <c r="M3554" s="120"/>
      <c r="N3554" s="167"/>
      <c r="O3554" s="120"/>
      <c r="P3554" s="120"/>
      <c r="Q3554" s="120"/>
      <c r="R3554" s="120"/>
      <c r="S3554" s="120"/>
      <c r="T3554" s="221"/>
      <c r="U3554" s="89"/>
      <c r="V3554" s="61"/>
      <c r="W3554" s="92" t="s">
        <v>1049</v>
      </c>
      <c r="X3554" s="93" t="s">
        <v>30</v>
      </c>
      <c r="Y3554" s="93" t="s">
        <v>68</v>
      </c>
      <c r="Z3554" s="134">
        <f>VLOOKUP(W3554,Sheet2!$B:$D,3,FALSE)</f>
        <v>60</v>
      </c>
      <c r="AA3554" s="93">
        <v>1</v>
      </c>
      <c r="AB3554" s="93">
        <f>AD3554/AC3545</f>
        <v>60</v>
      </c>
      <c r="AC3554" s="93">
        <f>AC3545/AA3554</f>
        <v>33.657399999999996</v>
      </c>
      <c r="AD3554" s="94">
        <f t="shared" si="2682"/>
        <v>2019.4439999999997</v>
      </c>
      <c r="AE3554" s="190"/>
      <c r="AF3554" s="191"/>
      <c r="AG3554" s="191"/>
      <c r="AH3554" s="191"/>
      <c r="AI3554" s="186"/>
      <c r="AK3554" s="171"/>
    </row>
    <row r="3555" spans="1:41" s="103" customFormat="1" ht="19.899999999999999" customHeight="1" x14ac:dyDescent="0.25">
      <c r="A3555" s="51"/>
      <c r="B3555" s="52"/>
      <c r="C3555" s="165"/>
      <c r="D3555" s="52"/>
      <c r="E3555" s="115"/>
      <c r="F3555" s="58"/>
      <c r="G3555" s="58"/>
      <c r="H3555" s="58"/>
      <c r="I3555" s="55"/>
      <c r="J3555" s="113">
        <f>J3544</f>
        <v>33.657399999999996</v>
      </c>
      <c r="K3555" s="212">
        <f>K3544</f>
        <v>33.657399999999996</v>
      </c>
      <c r="L3555" s="58"/>
      <c r="M3555" s="58">
        <f>K3555-L3555</f>
        <v>33.657399999999996</v>
      </c>
      <c r="N3555" s="166"/>
      <c r="O3555" s="58"/>
      <c r="P3555" s="58"/>
      <c r="Q3555" s="58"/>
      <c r="R3555" s="58"/>
      <c r="S3555" s="58"/>
      <c r="T3555" s="220"/>
      <c r="U3555" s="88"/>
      <c r="V3555" s="56"/>
      <c r="W3555" s="57" t="s">
        <v>1036</v>
      </c>
      <c r="X3555" s="53"/>
      <c r="Y3555" s="91" t="s">
        <v>68</v>
      </c>
      <c r="Z3555" s="136">
        <f>AD3555/AC3555</f>
        <v>257.58333333333331</v>
      </c>
      <c r="AA3555" s="58"/>
      <c r="AB3555" s="53">
        <f>AD3555/AC3555</f>
        <v>257.58333333333331</v>
      </c>
      <c r="AC3555" s="53">
        <f>M3555+$AE$10</f>
        <v>33.657399999999996</v>
      </c>
      <c r="AD3555" s="54">
        <f>SUM(AD3556:AD3561)</f>
        <v>8669.585283333332</v>
      </c>
      <c r="AE3555" s="184">
        <f>SUMIFS($AD$37:$AD$12971,$V$37:$V$12971,$V3555,$X$37:$X$12971,AE$13)</f>
        <v>0</v>
      </c>
      <c r="AF3555" s="185">
        <f>SUMIFS($AD$37:$AD$12971,$V$37:$V$12971,$V3555,$X$37:$X$12971,AF$13)</f>
        <v>0</v>
      </c>
      <c r="AG3555" s="185">
        <f>SUMIFS($AD$37:$AD$12971,$V$37:$V$12971,$V3555,$X$37:$X$12971,AG$13)</f>
        <v>0</v>
      </c>
      <c r="AH3555" s="187">
        <f>SUMIFS($AD$37:$AD$12971,$V$37:$V$12971,$V3555,$X$37:$X$12971,AH$13)</f>
        <v>0</v>
      </c>
      <c r="AI3555" s="161">
        <f t="shared" ref="AI3555" si="2683">SUM(AE3555:AH3555)</f>
        <v>0</v>
      </c>
      <c r="AK3555" s="172"/>
    </row>
    <row r="3556" spans="1:41" s="102" customFormat="1" ht="19.899999999999999" customHeight="1" x14ac:dyDescent="0.25">
      <c r="A3556" s="45"/>
      <c r="B3556" s="59"/>
      <c r="C3556" s="137"/>
      <c r="D3556" s="59"/>
      <c r="E3556" s="116"/>
      <c r="F3556" s="120"/>
      <c r="G3556" s="120"/>
      <c r="H3556" s="120"/>
      <c r="I3556" s="60"/>
      <c r="J3556" s="116"/>
      <c r="K3556" s="213"/>
      <c r="L3556" s="120"/>
      <c r="M3556" s="120"/>
      <c r="N3556" s="167"/>
      <c r="O3556" s="120"/>
      <c r="P3556" s="120"/>
      <c r="Q3556" s="120"/>
      <c r="R3556" s="120"/>
      <c r="S3556" s="120"/>
      <c r="T3556" s="221"/>
      <c r="U3556" s="89"/>
      <c r="V3556" s="61"/>
      <c r="W3556" s="92" t="s">
        <v>1055</v>
      </c>
      <c r="X3556" s="93" t="s">
        <v>30</v>
      </c>
      <c r="Y3556" s="93" t="s">
        <v>68</v>
      </c>
      <c r="Z3556" s="134">
        <f>VLOOKUP(W3556,Sheet2!$B:$D,3,FALSE)</f>
        <v>144</v>
      </c>
      <c r="AA3556" s="93">
        <v>1</v>
      </c>
      <c r="AB3556" s="93">
        <f>AD3556/AC3555</f>
        <v>144</v>
      </c>
      <c r="AC3556" s="93">
        <f>AC3555/AA3556</f>
        <v>33.657399999999996</v>
      </c>
      <c r="AD3556" s="94">
        <f t="shared" ref="AD3556" si="2684">AC3556*Z3556</f>
        <v>4846.6655999999994</v>
      </c>
      <c r="AE3556" s="190"/>
      <c r="AF3556" s="191"/>
      <c r="AG3556" s="191"/>
      <c r="AH3556" s="191"/>
      <c r="AI3556" s="186"/>
      <c r="AK3556" s="171"/>
    </row>
    <row r="3557" spans="1:41" s="102" customFormat="1" ht="19.899999999999999" customHeight="1" x14ac:dyDescent="0.25">
      <c r="A3557" s="45"/>
      <c r="B3557" s="59"/>
      <c r="C3557" s="137"/>
      <c r="D3557" s="59"/>
      <c r="E3557" s="116"/>
      <c r="F3557" s="120"/>
      <c r="G3557" s="120"/>
      <c r="H3557" s="120"/>
      <c r="I3557" s="60"/>
      <c r="J3557" s="116"/>
      <c r="K3557" s="213"/>
      <c r="L3557" s="120"/>
      <c r="M3557" s="120"/>
      <c r="N3557" s="167"/>
      <c r="O3557" s="120"/>
      <c r="P3557" s="120"/>
      <c r="Q3557" s="120"/>
      <c r="R3557" s="120"/>
      <c r="S3557" s="120"/>
      <c r="T3557" s="221"/>
      <c r="U3557" s="89"/>
      <c r="V3557" s="61"/>
      <c r="W3557" s="92" t="s">
        <v>1062</v>
      </c>
      <c r="X3557" s="93" t="s">
        <v>30</v>
      </c>
      <c r="Y3557" s="93" t="s">
        <v>68</v>
      </c>
      <c r="Z3557" s="134">
        <f>VLOOKUP(W3557,Sheet2!$B:$D,3,FALSE)</f>
        <v>15</v>
      </c>
      <c r="AA3557" s="93">
        <v>1</v>
      </c>
      <c r="AB3557" s="93">
        <f>AD3557/AC3555</f>
        <v>15</v>
      </c>
      <c r="AC3557" s="93">
        <f>AC3555/AA3557</f>
        <v>33.657399999999996</v>
      </c>
      <c r="AD3557" s="94">
        <f>AC3557*Z3557</f>
        <v>504.86099999999993</v>
      </c>
      <c r="AE3557" s="190"/>
      <c r="AF3557" s="191"/>
      <c r="AG3557" s="191"/>
      <c r="AH3557" s="191"/>
      <c r="AI3557" s="186"/>
      <c r="AK3557" s="171"/>
    </row>
    <row r="3558" spans="1:41" s="102" customFormat="1" ht="19.899999999999999" customHeight="1" x14ac:dyDescent="0.25">
      <c r="A3558" s="45"/>
      <c r="B3558" s="59"/>
      <c r="C3558" s="137"/>
      <c r="D3558" s="59"/>
      <c r="E3558" s="116"/>
      <c r="F3558" s="120"/>
      <c r="G3558" s="120"/>
      <c r="H3558" s="120"/>
      <c r="I3558" s="60"/>
      <c r="J3558" s="116"/>
      <c r="K3558" s="213"/>
      <c r="L3558" s="120"/>
      <c r="M3558" s="120"/>
      <c r="N3558" s="167"/>
      <c r="O3558" s="120"/>
      <c r="P3558" s="120"/>
      <c r="Q3558" s="120"/>
      <c r="R3558" s="120"/>
      <c r="S3558" s="120"/>
      <c r="T3558" s="221"/>
      <c r="U3558" s="89"/>
      <c r="V3558" s="61"/>
      <c r="W3558" s="92" t="s">
        <v>1070</v>
      </c>
      <c r="X3558" s="93" t="s">
        <v>32</v>
      </c>
      <c r="Y3558" s="93" t="s">
        <v>68</v>
      </c>
      <c r="Z3558" s="134">
        <f>VLOOKUP(W3558,Sheet2!$B:$D,3,FALSE)</f>
        <v>50</v>
      </c>
      <c r="AA3558" s="93">
        <v>1</v>
      </c>
      <c r="AB3558" s="93">
        <f>AD3558/AC3555</f>
        <v>50</v>
      </c>
      <c r="AC3558" s="93">
        <f>AC3555/AA3558</f>
        <v>33.657399999999996</v>
      </c>
      <c r="AD3558" s="94">
        <f>AC3558*Z3558</f>
        <v>1682.87</v>
      </c>
      <c r="AE3558" s="190"/>
      <c r="AF3558" s="191"/>
      <c r="AG3558" s="191"/>
      <c r="AH3558" s="191"/>
      <c r="AI3558" s="186"/>
      <c r="AK3558" s="171"/>
    </row>
    <row r="3559" spans="1:41" s="102" customFormat="1" ht="19.899999999999999" customHeight="1" x14ac:dyDescent="0.25">
      <c r="A3559" s="45"/>
      <c r="B3559" s="59"/>
      <c r="C3559" s="137"/>
      <c r="D3559" s="59"/>
      <c r="E3559" s="116"/>
      <c r="F3559" s="120"/>
      <c r="G3559" s="120"/>
      <c r="H3559" s="120"/>
      <c r="I3559" s="60"/>
      <c r="J3559" s="116"/>
      <c r="K3559" s="213"/>
      <c r="L3559" s="120"/>
      <c r="M3559" s="120"/>
      <c r="N3559" s="167"/>
      <c r="O3559" s="120"/>
      <c r="P3559" s="120"/>
      <c r="Q3559" s="120"/>
      <c r="R3559" s="120"/>
      <c r="S3559" s="120"/>
      <c r="T3559" s="221"/>
      <c r="U3559" s="89"/>
      <c r="V3559" s="61"/>
      <c r="W3559" s="92" t="s">
        <v>1032</v>
      </c>
      <c r="X3559" s="93" t="s">
        <v>30</v>
      </c>
      <c r="Y3559" s="93" t="s">
        <v>66</v>
      </c>
      <c r="Z3559" s="134">
        <f>VLOOKUP(W3559,Sheet2!$B:$D,3,FALSE)</f>
        <v>250</v>
      </c>
      <c r="AA3559" s="93">
        <f>1/(1.2*0.1)</f>
        <v>8.3333333333333339</v>
      </c>
      <c r="AB3559" s="93">
        <f>AD3559/AC3555</f>
        <v>29.999999999999996</v>
      </c>
      <c r="AC3559" s="93">
        <f>AC3555/AA3559</f>
        <v>4.0388879999999991</v>
      </c>
      <c r="AD3559" s="94">
        <f>AC3559*Z3559</f>
        <v>1009.7219999999998</v>
      </c>
      <c r="AE3559" s="190"/>
      <c r="AF3559" s="191"/>
      <c r="AG3559" s="191"/>
      <c r="AH3559" s="191"/>
      <c r="AI3559" s="186"/>
      <c r="AK3559" s="171"/>
    </row>
    <row r="3560" spans="1:41" s="102" customFormat="1" ht="19.899999999999999" customHeight="1" x14ac:dyDescent="0.25">
      <c r="A3560" s="45"/>
      <c r="B3560" s="59"/>
      <c r="C3560" s="137"/>
      <c r="D3560" s="59"/>
      <c r="E3560" s="116"/>
      <c r="F3560" s="120"/>
      <c r="G3560" s="120"/>
      <c r="H3560" s="120"/>
      <c r="I3560" s="60"/>
      <c r="J3560" s="116"/>
      <c r="K3560" s="213"/>
      <c r="L3560" s="120"/>
      <c r="M3560" s="120"/>
      <c r="N3560" s="167"/>
      <c r="O3560" s="120"/>
      <c r="P3560" s="120"/>
      <c r="Q3560" s="120"/>
      <c r="R3560" s="120"/>
      <c r="S3560" s="120"/>
      <c r="T3560" s="221"/>
      <c r="U3560" s="89"/>
      <c r="V3560" s="61"/>
      <c r="W3560" s="92" t="s">
        <v>1035</v>
      </c>
      <c r="X3560" s="93" t="s">
        <v>32</v>
      </c>
      <c r="Y3560" s="93" t="s">
        <v>66</v>
      </c>
      <c r="Z3560" s="134">
        <f>VLOOKUP(W3560,Sheet2!$B:$D,3,FALSE)</f>
        <v>150</v>
      </c>
      <c r="AA3560" s="93">
        <f>AA3559</f>
        <v>8.3333333333333339</v>
      </c>
      <c r="AB3560" s="93">
        <f>AD3560/AC3555</f>
        <v>18</v>
      </c>
      <c r="AC3560" s="93">
        <f>AC3555/AA3560</f>
        <v>4.0388879999999991</v>
      </c>
      <c r="AD3560" s="94">
        <f t="shared" ref="AD3560:AD3561" si="2685">AC3560*Z3560</f>
        <v>605.83319999999992</v>
      </c>
      <c r="AE3560" s="190"/>
      <c r="AF3560" s="191"/>
      <c r="AG3560" s="191"/>
      <c r="AH3560" s="191"/>
      <c r="AI3560" s="186"/>
      <c r="AK3560" s="171"/>
    </row>
    <row r="3561" spans="1:41" s="102" customFormat="1" ht="19.899999999999999" customHeight="1" x14ac:dyDescent="0.25">
      <c r="A3561" s="45"/>
      <c r="B3561" s="59"/>
      <c r="C3561" s="137"/>
      <c r="D3561" s="59"/>
      <c r="E3561" s="116"/>
      <c r="F3561" s="120"/>
      <c r="G3561" s="120"/>
      <c r="H3561" s="120"/>
      <c r="I3561" s="60"/>
      <c r="J3561" s="116"/>
      <c r="K3561" s="213"/>
      <c r="L3561" s="120"/>
      <c r="M3561" s="120"/>
      <c r="N3561" s="167"/>
      <c r="O3561" s="120"/>
      <c r="P3561" s="120"/>
      <c r="Q3561" s="120"/>
      <c r="R3561" s="120"/>
      <c r="S3561" s="120"/>
      <c r="T3561" s="221"/>
      <c r="U3561" s="89"/>
      <c r="V3561" s="61"/>
      <c r="W3561" s="92" t="s">
        <v>1037</v>
      </c>
      <c r="X3561" s="93" t="s">
        <v>30</v>
      </c>
      <c r="Y3561" s="93" t="s">
        <v>1038</v>
      </c>
      <c r="Z3561" s="134">
        <f>VLOOKUP(W3561,Sheet2!$B:$D,3,FALSE)</f>
        <v>175</v>
      </c>
      <c r="AA3561" s="93">
        <v>300</v>
      </c>
      <c r="AB3561" s="93">
        <f>AD3561/AC3555</f>
        <v>0.58333333333333337</v>
      </c>
      <c r="AC3561" s="93">
        <f>AC3555/AA3561</f>
        <v>0.11219133333333332</v>
      </c>
      <c r="AD3561" s="94">
        <f t="shared" si="2685"/>
        <v>19.633483333333331</v>
      </c>
      <c r="AE3561" s="190"/>
      <c r="AF3561" s="191"/>
      <c r="AG3561" s="191"/>
      <c r="AH3561" s="191"/>
      <c r="AI3561" s="186"/>
      <c r="AK3561" s="171"/>
    </row>
    <row r="3562" spans="1:41" s="103" customFormat="1" ht="19.899999999999999" customHeight="1" x14ac:dyDescent="0.25">
      <c r="A3562" s="51"/>
      <c r="B3562" s="52"/>
      <c r="C3562" s="165"/>
      <c r="D3562" s="52"/>
      <c r="E3562" s="115"/>
      <c r="F3562" s="58"/>
      <c r="G3562" s="58"/>
      <c r="H3562" s="58"/>
      <c r="I3562" s="55"/>
      <c r="J3562" s="113">
        <f>J3544</f>
        <v>33.657399999999996</v>
      </c>
      <c r="K3562" s="212">
        <f>K3544</f>
        <v>33.657399999999996</v>
      </c>
      <c r="L3562" s="58"/>
      <c r="M3562" s="58">
        <f>K3562-L3562</f>
        <v>33.657399999999996</v>
      </c>
      <c r="N3562" s="166"/>
      <c r="O3562" s="58"/>
      <c r="P3562" s="58"/>
      <c r="Q3562" s="58"/>
      <c r="R3562" s="58"/>
      <c r="S3562" s="58"/>
      <c r="T3562" s="220"/>
      <c r="U3562" s="88"/>
      <c r="V3562" s="56"/>
      <c r="W3562" s="57" t="s">
        <v>1040</v>
      </c>
      <c r="X3562" s="53"/>
      <c r="Y3562" s="91" t="s">
        <v>68</v>
      </c>
      <c r="Z3562" s="136">
        <f>AD3562/AC3562</f>
        <v>5</v>
      </c>
      <c r="AA3562" s="58"/>
      <c r="AB3562" s="53">
        <f>AD3562/AC3562</f>
        <v>5</v>
      </c>
      <c r="AC3562" s="53">
        <f>M3562+$AE$10</f>
        <v>33.657399999999996</v>
      </c>
      <c r="AD3562" s="54">
        <f>SUM(AD3563)</f>
        <v>168.28699999999998</v>
      </c>
      <c r="AE3562" s="184">
        <f>SUMIFS($AD$37:$AD$12971,$V$37:$V$12971,$V3562,$X$37:$X$12971,AE$13)</f>
        <v>0</v>
      </c>
      <c r="AF3562" s="185">
        <f>SUMIFS($AD$37:$AD$12971,$V$37:$V$12971,$V3562,$X$37:$X$12971,AF$13)</f>
        <v>0</v>
      </c>
      <c r="AG3562" s="185">
        <f>SUMIFS($AD$37:$AD$12971,$V$37:$V$12971,$V3562,$X$37:$X$12971,AG$13)</f>
        <v>0</v>
      </c>
      <c r="AH3562" s="187">
        <f>SUMIFS($AD$37:$AD$12971,$V$37:$V$12971,$V3562,$X$37:$X$12971,AH$13)</f>
        <v>0</v>
      </c>
      <c r="AI3562" s="161">
        <f t="shared" ref="AI3562" si="2686">SUM(AE3562:AH3562)</f>
        <v>0</v>
      </c>
      <c r="AK3562" s="172"/>
    </row>
    <row r="3563" spans="1:41" s="102" customFormat="1" ht="19.899999999999999" customHeight="1" x14ac:dyDescent="0.25">
      <c r="A3563" s="45"/>
      <c r="B3563" s="59"/>
      <c r="C3563" s="137"/>
      <c r="D3563" s="59"/>
      <c r="E3563" s="116"/>
      <c r="F3563" s="120"/>
      <c r="G3563" s="120"/>
      <c r="H3563" s="120"/>
      <c r="I3563" s="60"/>
      <c r="J3563" s="116"/>
      <c r="K3563" s="213"/>
      <c r="L3563" s="120"/>
      <c r="M3563" s="120"/>
      <c r="N3563" s="167"/>
      <c r="O3563" s="120"/>
      <c r="P3563" s="120"/>
      <c r="Q3563" s="120"/>
      <c r="R3563" s="120"/>
      <c r="S3563" s="120"/>
      <c r="T3563" s="221"/>
      <c r="U3563" s="89"/>
      <c r="V3563" s="61"/>
      <c r="W3563" s="92" t="s">
        <v>1039</v>
      </c>
      <c r="X3563" s="93" t="s">
        <v>32</v>
      </c>
      <c r="Y3563" s="93" t="s">
        <v>68</v>
      </c>
      <c r="Z3563" s="134">
        <f>VLOOKUP(W3563,Sheet2!$B:$D,3,FALSE)</f>
        <v>5</v>
      </c>
      <c r="AA3563" s="93">
        <v>1</v>
      </c>
      <c r="AB3563" s="93">
        <f>AD3563/AC3562</f>
        <v>5</v>
      </c>
      <c r="AC3563" s="93">
        <f>AC3562/AA3563</f>
        <v>33.657399999999996</v>
      </c>
      <c r="AD3563" s="94">
        <f t="shared" ref="AD3563" si="2687">AC3563*Z3563</f>
        <v>168.28699999999998</v>
      </c>
      <c r="AE3563" s="190"/>
      <c r="AF3563" s="191"/>
      <c r="AG3563" s="191"/>
      <c r="AH3563" s="191"/>
      <c r="AI3563" s="186"/>
      <c r="AK3563" s="171"/>
    </row>
    <row r="3564" spans="1:41" ht="20.100000000000001" customHeight="1" x14ac:dyDescent="0.25">
      <c r="A3564" s="277" t="s">
        <v>491</v>
      </c>
      <c r="B3564" s="278"/>
      <c r="C3564" s="64" t="s">
        <v>494</v>
      </c>
      <c r="D3564" s="46" t="s">
        <v>97</v>
      </c>
      <c r="E3564" s="114">
        <v>34.884099999999989</v>
      </c>
      <c r="F3564" s="44">
        <v>590</v>
      </c>
      <c r="G3564" s="44">
        <f t="shared" si="2434"/>
        <v>20581.618999999995</v>
      </c>
      <c r="H3564" s="44">
        <f t="shared" si="2435"/>
        <v>345.60374745098034</v>
      </c>
      <c r="I3564" s="43">
        <f t="shared" si="2436"/>
        <v>12056.07568645474</v>
      </c>
      <c r="J3564" s="112">
        <f t="shared" si="2437"/>
        <v>34.884099999999989</v>
      </c>
      <c r="K3564" s="211">
        <f t="shared" si="2438"/>
        <v>34.884099999999989</v>
      </c>
      <c r="L3564" s="44"/>
      <c r="M3564" s="44">
        <f t="shared" si="2458"/>
        <v>34.884099999999989</v>
      </c>
      <c r="N3564" s="173">
        <f t="shared" si="2439"/>
        <v>1</v>
      </c>
      <c r="O3564" s="44">
        <f t="shared" si="2440"/>
        <v>590</v>
      </c>
      <c r="P3564" s="44">
        <f t="shared" si="2441"/>
        <v>20581.618999999995</v>
      </c>
      <c r="Q3564" s="44">
        <f t="shared" si="2442"/>
        <v>345.60374745098034</v>
      </c>
      <c r="R3564" s="44">
        <f t="shared" si="2459"/>
        <v>12056.07568645474</v>
      </c>
      <c r="S3564" s="123"/>
      <c r="T3564" s="219">
        <f t="shared" si="2460"/>
        <v>12056.07568645474</v>
      </c>
      <c r="U3564" s="87"/>
      <c r="V3564" s="47"/>
      <c r="W3564" s="48"/>
      <c r="X3564" s="48"/>
      <c r="Y3564" s="48"/>
      <c r="Z3564" s="135"/>
      <c r="AA3564" s="49"/>
      <c r="AB3564" s="50">
        <f t="shared" si="2443"/>
        <v>345.60374745098034</v>
      </c>
      <c r="AC3564" s="42">
        <f t="shared" si="2461"/>
        <v>34.884099999999989</v>
      </c>
      <c r="AD3564" s="90">
        <f>AD3565+AD3575+AD3582</f>
        <v>12056.07568645474</v>
      </c>
      <c r="AE3564" s="188">
        <f t="shared" ref="AE3564" si="2688">AE3565+AE3575+AE3582</f>
        <v>0</v>
      </c>
      <c r="AF3564" s="189">
        <f t="shared" ref="AF3564" si="2689">AF3565+AF3575+AF3582</f>
        <v>0</v>
      </c>
      <c r="AG3564" s="189">
        <f t="shared" ref="AG3564" si="2690">AG3565+AG3575+AG3582</f>
        <v>0</v>
      </c>
      <c r="AH3564" s="189">
        <f t="shared" ref="AH3564" si="2691">AH3565+AH3575+AH3582</f>
        <v>0</v>
      </c>
      <c r="AI3564" s="161">
        <f t="shared" ref="AI3564" si="2692">SUM(AE3564:AH3564)</f>
        <v>0</v>
      </c>
      <c r="AK3564" s="169">
        <v>5</v>
      </c>
      <c r="AO3564" s="19" t="s">
        <v>63</v>
      </c>
    </row>
    <row r="3565" spans="1:41" s="103" customFormat="1" ht="19.899999999999999" customHeight="1" x14ac:dyDescent="0.25">
      <c r="A3565" s="51"/>
      <c r="B3565" s="52"/>
      <c r="C3565" s="165"/>
      <c r="D3565" s="52"/>
      <c r="E3565" s="115"/>
      <c r="F3565" s="58"/>
      <c r="G3565" s="58"/>
      <c r="H3565" s="58"/>
      <c r="I3565" s="55"/>
      <c r="J3565" s="113">
        <f>J3564</f>
        <v>34.884099999999989</v>
      </c>
      <c r="K3565" s="212">
        <f>K3564</f>
        <v>34.884099999999989</v>
      </c>
      <c r="L3565" s="58"/>
      <c r="M3565" s="58">
        <f>K3565-L3565</f>
        <v>34.884099999999989</v>
      </c>
      <c r="N3565" s="166"/>
      <c r="O3565" s="58"/>
      <c r="P3565" s="58"/>
      <c r="Q3565" s="58"/>
      <c r="R3565" s="58"/>
      <c r="S3565" s="58"/>
      <c r="T3565" s="220"/>
      <c r="U3565" s="88"/>
      <c r="V3565" s="56"/>
      <c r="W3565" s="57" t="s">
        <v>1097</v>
      </c>
      <c r="X3565" s="53"/>
      <c r="Y3565" s="91" t="s">
        <v>68</v>
      </c>
      <c r="Z3565" s="136">
        <f>AD3565/AC3565</f>
        <v>83.020414117647064</v>
      </c>
      <c r="AA3565" s="58"/>
      <c r="AB3565" s="53">
        <f>AD3565/AC3565</f>
        <v>83.020414117647064</v>
      </c>
      <c r="AC3565" s="53">
        <f>M3565+$AE$10</f>
        <v>34.884099999999989</v>
      </c>
      <c r="AD3565" s="54">
        <f>SUM(AD3566:AD3574)</f>
        <v>2896.0924281214111</v>
      </c>
      <c r="AE3565" s="184">
        <f>SUMIFS($AD$37:$AD$12971,$V$37:$V$12971,$V3565,$X$37:$X$12971,AE$13)</f>
        <v>0</v>
      </c>
      <c r="AF3565" s="185">
        <f>SUMIFS($AD$37:$AD$12971,$V$37:$V$12971,$V3565,$X$37:$X$12971,AF$13)</f>
        <v>0</v>
      </c>
      <c r="AG3565" s="185">
        <f>SUMIFS($AD$37:$AD$12971,$V$37:$V$12971,$V3565,$X$37:$X$12971,AG$13)</f>
        <v>0</v>
      </c>
      <c r="AH3565" s="187">
        <f>SUMIFS($AD$37:$AD$12971,$V$37:$V$12971,$V3565,$X$37:$X$12971,AH$13)</f>
        <v>0</v>
      </c>
      <c r="AI3565" s="161">
        <f t="shared" ref="AI3565" si="2693">SUM(AE3565:AH3565)</f>
        <v>0</v>
      </c>
      <c r="AK3565" s="172"/>
    </row>
    <row r="3566" spans="1:41" s="102" customFormat="1" ht="19.899999999999999" customHeight="1" x14ac:dyDescent="0.25">
      <c r="A3566" s="45"/>
      <c r="B3566" s="59"/>
      <c r="C3566" s="137"/>
      <c r="D3566" s="59"/>
      <c r="E3566" s="116"/>
      <c r="F3566" s="120"/>
      <c r="G3566" s="120"/>
      <c r="H3566" s="120"/>
      <c r="I3566" s="60"/>
      <c r="J3566" s="116"/>
      <c r="K3566" s="213"/>
      <c r="L3566" s="120"/>
      <c r="M3566" s="120"/>
      <c r="N3566" s="167"/>
      <c r="O3566" s="120"/>
      <c r="P3566" s="120"/>
      <c r="Q3566" s="120"/>
      <c r="R3566" s="120"/>
      <c r="S3566" s="120"/>
      <c r="T3566" s="221"/>
      <c r="U3566" s="89"/>
      <c r="V3566" s="61"/>
      <c r="W3566" s="92" t="s">
        <v>129</v>
      </c>
      <c r="X3566" s="93" t="s">
        <v>29</v>
      </c>
      <c r="Y3566" s="93" t="s">
        <v>93</v>
      </c>
      <c r="Z3566" s="134">
        <f>VLOOKUP(W3566,Sheet2!$B:$D,3,FALSE)</f>
        <v>56</v>
      </c>
      <c r="AA3566" s="93">
        <f>100/(1.2*4)</f>
        <v>20.833333333333336</v>
      </c>
      <c r="AB3566" s="93">
        <f t="shared" ref="AB3566" si="2694">AD3566/AC3565</f>
        <v>2.6880000000000002</v>
      </c>
      <c r="AC3566" s="93">
        <f>AC3565/AA3566</f>
        <v>1.6744367999999994</v>
      </c>
      <c r="AD3566" s="94">
        <f t="shared" ref="AD3566:AD3567" si="2695">AC3566*Z3566</f>
        <v>93.768460799999971</v>
      </c>
      <c r="AE3566" s="190"/>
      <c r="AF3566" s="191"/>
      <c r="AG3566" s="191"/>
      <c r="AH3566" s="191"/>
      <c r="AI3566" s="186"/>
      <c r="AK3566" s="171"/>
    </row>
    <row r="3567" spans="1:41" s="102" customFormat="1" ht="19.899999999999999" customHeight="1" x14ac:dyDescent="0.25">
      <c r="A3567" s="45"/>
      <c r="B3567" s="59"/>
      <c r="C3567" s="137"/>
      <c r="D3567" s="59"/>
      <c r="E3567" s="116"/>
      <c r="F3567" s="120"/>
      <c r="G3567" s="120"/>
      <c r="H3567" s="120"/>
      <c r="I3567" s="60"/>
      <c r="J3567" s="116"/>
      <c r="K3567" s="213"/>
      <c r="L3567" s="120"/>
      <c r="M3567" s="120"/>
      <c r="N3567" s="167"/>
      <c r="O3567" s="120"/>
      <c r="P3567" s="120"/>
      <c r="Q3567" s="120"/>
      <c r="R3567" s="120"/>
      <c r="S3567" s="120"/>
      <c r="T3567" s="221"/>
      <c r="U3567" s="89"/>
      <c r="V3567" s="61"/>
      <c r="W3567" s="92" t="s">
        <v>65</v>
      </c>
      <c r="X3567" s="93" t="s">
        <v>30</v>
      </c>
      <c r="Y3567" s="93" t="s">
        <v>1011</v>
      </c>
      <c r="Z3567" s="134">
        <f>VLOOKUP(W3567,Sheet2!$B:$D,3,FALSE)</f>
        <v>1.76</v>
      </c>
      <c r="AA3567" s="93">
        <f>AA3566/14</f>
        <v>1.4880952380952384</v>
      </c>
      <c r="AB3567" s="93">
        <f>AD3567/AC3565</f>
        <v>1.18272</v>
      </c>
      <c r="AC3567" s="93">
        <f>AC3565/AA3567</f>
        <v>23.442115199999989</v>
      </c>
      <c r="AD3567" s="94">
        <f t="shared" si="2695"/>
        <v>41.258122751999984</v>
      </c>
      <c r="AE3567" s="190"/>
      <c r="AF3567" s="191"/>
      <c r="AG3567" s="191"/>
      <c r="AH3567" s="191"/>
      <c r="AI3567" s="186"/>
      <c r="AK3567" s="171"/>
    </row>
    <row r="3568" spans="1:41" s="102" customFormat="1" ht="19.899999999999999" customHeight="1" x14ac:dyDescent="0.25">
      <c r="A3568" s="45"/>
      <c r="B3568" s="59"/>
      <c r="C3568" s="137"/>
      <c r="D3568" s="59"/>
      <c r="E3568" s="116"/>
      <c r="F3568" s="120"/>
      <c r="G3568" s="120"/>
      <c r="H3568" s="120"/>
      <c r="I3568" s="60"/>
      <c r="J3568" s="116"/>
      <c r="K3568" s="213"/>
      <c r="L3568" s="120"/>
      <c r="M3568" s="120"/>
      <c r="N3568" s="167"/>
      <c r="O3568" s="120"/>
      <c r="P3568" s="120"/>
      <c r="Q3568" s="120"/>
      <c r="R3568" s="120"/>
      <c r="S3568" s="120"/>
      <c r="T3568" s="221"/>
      <c r="U3568" s="89"/>
      <c r="V3568" s="61"/>
      <c r="W3568" s="92" t="s">
        <v>161</v>
      </c>
      <c r="X3568" s="93" t="s">
        <v>29</v>
      </c>
      <c r="Y3568" s="93" t="s">
        <v>93</v>
      </c>
      <c r="Z3568" s="134">
        <f>VLOOKUP(W3568,Sheet2!$B:$D,3,FALSE)</f>
        <v>48</v>
      </c>
      <c r="AA3568" s="93">
        <f>(16*0.85*1.5)/(1.2*4)</f>
        <v>4.25</v>
      </c>
      <c r="AB3568" s="93">
        <f>AD3568/AC3565</f>
        <v>11.294117647058822</v>
      </c>
      <c r="AC3568" s="93">
        <f>AC3565/AA3568</f>
        <v>8.2080235294117614</v>
      </c>
      <c r="AD3568" s="94">
        <f>AC3568*Z3568</f>
        <v>393.98512941176455</v>
      </c>
      <c r="AE3568" s="190"/>
      <c r="AF3568" s="191"/>
      <c r="AG3568" s="191"/>
      <c r="AH3568" s="191"/>
      <c r="AI3568" s="186"/>
      <c r="AK3568" s="171"/>
    </row>
    <row r="3569" spans="1:41" s="102" customFormat="1" ht="19.899999999999999" customHeight="1" x14ac:dyDescent="0.25">
      <c r="A3569" s="45"/>
      <c r="B3569" s="59"/>
      <c r="C3569" s="137"/>
      <c r="D3569" s="59"/>
      <c r="E3569" s="116"/>
      <c r="F3569" s="120"/>
      <c r="G3569" s="120"/>
      <c r="H3569" s="120"/>
      <c r="I3569" s="60"/>
      <c r="J3569" s="116"/>
      <c r="K3569" s="213"/>
      <c r="L3569" s="120"/>
      <c r="M3569" s="120"/>
      <c r="N3569" s="167"/>
      <c r="O3569" s="120"/>
      <c r="P3569" s="120"/>
      <c r="Q3569" s="120"/>
      <c r="R3569" s="120"/>
      <c r="S3569" s="120"/>
      <c r="T3569" s="221"/>
      <c r="U3569" s="89"/>
      <c r="V3569" s="61"/>
      <c r="W3569" s="92" t="s">
        <v>65</v>
      </c>
      <c r="X3569" s="93" t="s">
        <v>30</v>
      </c>
      <c r="Y3569" s="93" t="s">
        <v>1011</v>
      </c>
      <c r="Z3569" s="134">
        <f>VLOOKUP(W3569,Sheet2!$B:$D,3,FALSE)</f>
        <v>1.76</v>
      </c>
      <c r="AA3569" s="93">
        <f>AA3568/10</f>
        <v>0.42499999999999999</v>
      </c>
      <c r="AB3569" s="93">
        <f>AD3569/AC3565</f>
        <v>4.1411764705882357</v>
      </c>
      <c r="AC3569" s="93">
        <f>AC3565/AA3569</f>
        <v>82.080235294117628</v>
      </c>
      <c r="AD3569" s="94">
        <f>AC3569*Z3569</f>
        <v>144.46121411764702</v>
      </c>
      <c r="AE3569" s="190"/>
      <c r="AF3569" s="191"/>
      <c r="AG3569" s="191"/>
      <c r="AH3569" s="191"/>
      <c r="AI3569" s="186"/>
      <c r="AK3569" s="171"/>
    </row>
    <row r="3570" spans="1:41" s="102" customFormat="1" ht="19.899999999999999" customHeight="1" x14ac:dyDescent="0.25">
      <c r="A3570" s="45"/>
      <c r="B3570" s="59"/>
      <c r="C3570" s="137"/>
      <c r="D3570" s="59"/>
      <c r="E3570" s="116"/>
      <c r="F3570" s="120"/>
      <c r="G3570" s="120"/>
      <c r="H3570" s="120"/>
      <c r="I3570" s="60"/>
      <c r="J3570" s="116"/>
      <c r="K3570" s="213"/>
      <c r="L3570" s="120"/>
      <c r="M3570" s="120"/>
      <c r="N3570" s="167"/>
      <c r="O3570" s="120"/>
      <c r="P3570" s="120"/>
      <c r="Q3570" s="120"/>
      <c r="R3570" s="120"/>
      <c r="S3570" s="120"/>
      <c r="T3570" s="221"/>
      <c r="U3570" s="89"/>
      <c r="V3570" s="61"/>
      <c r="W3570" s="92" t="s">
        <v>1030</v>
      </c>
      <c r="X3570" s="93" t="s">
        <v>29</v>
      </c>
      <c r="Y3570" s="93" t="s">
        <v>93</v>
      </c>
      <c r="Z3570" s="134">
        <f>VLOOKUP(W3570,Sheet2!$B:$D,3,FALSE)</f>
        <v>23</v>
      </c>
      <c r="AA3570" s="93">
        <v>50</v>
      </c>
      <c r="AB3570" s="93">
        <f>AD3570/AC3565</f>
        <v>0.45999999999999996</v>
      </c>
      <c r="AC3570" s="93">
        <f>AC3565/AA3570</f>
        <v>0.6976819999999998</v>
      </c>
      <c r="AD3570" s="94">
        <f t="shared" ref="AD3570:AD3574" si="2696">AC3570*Z3570</f>
        <v>16.046685999999994</v>
      </c>
      <c r="AE3570" s="190"/>
      <c r="AF3570" s="191"/>
      <c r="AG3570" s="191"/>
      <c r="AH3570" s="191"/>
      <c r="AI3570" s="186"/>
      <c r="AK3570" s="171"/>
    </row>
    <row r="3571" spans="1:41" s="102" customFormat="1" ht="19.899999999999999" customHeight="1" x14ac:dyDescent="0.25">
      <c r="A3571" s="45"/>
      <c r="B3571" s="59"/>
      <c r="C3571" s="137"/>
      <c r="D3571" s="59"/>
      <c r="E3571" s="116"/>
      <c r="F3571" s="120"/>
      <c r="G3571" s="120"/>
      <c r="H3571" s="120"/>
      <c r="I3571" s="60"/>
      <c r="J3571" s="116"/>
      <c r="K3571" s="213"/>
      <c r="L3571" s="120"/>
      <c r="M3571" s="120"/>
      <c r="N3571" s="167"/>
      <c r="O3571" s="120"/>
      <c r="P3571" s="120"/>
      <c r="Q3571" s="120"/>
      <c r="R3571" s="120"/>
      <c r="S3571" s="120"/>
      <c r="T3571" s="221"/>
      <c r="U3571" s="89"/>
      <c r="V3571" s="61"/>
      <c r="W3571" s="92" t="s">
        <v>65</v>
      </c>
      <c r="X3571" s="93" t="s">
        <v>30</v>
      </c>
      <c r="Y3571" s="93" t="s">
        <v>1011</v>
      </c>
      <c r="Z3571" s="134">
        <f>VLOOKUP(W3571,Sheet2!$B:$D,3,FALSE)</f>
        <v>1.76</v>
      </c>
      <c r="AA3571" s="93">
        <f>AA3570/3</f>
        <v>16.666666666666668</v>
      </c>
      <c r="AB3571" s="93">
        <f>AD3571/AC3565</f>
        <v>0.1056</v>
      </c>
      <c r="AC3571" s="93">
        <f>AC3565/AA3571</f>
        <v>2.0930459999999993</v>
      </c>
      <c r="AD3571" s="94">
        <f t="shared" si="2696"/>
        <v>3.683760959999999</v>
      </c>
      <c r="AE3571" s="190"/>
      <c r="AF3571" s="191"/>
      <c r="AG3571" s="191"/>
      <c r="AH3571" s="191"/>
      <c r="AI3571" s="186"/>
      <c r="AK3571" s="171"/>
    </row>
    <row r="3572" spans="1:41" s="102" customFormat="1" ht="19.899999999999999" customHeight="1" x14ac:dyDescent="0.25">
      <c r="A3572" s="45"/>
      <c r="B3572" s="59"/>
      <c r="C3572" s="137"/>
      <c r="D3572" s="59"/>
      <c r="E3572" s="116"/>
      <c r="F3572" s="120"/>
      <c r="G3572" s="120"/>
      <c r="H3572" s="120"/>
      <c r="I3572" s="60"/>
      <c r="J3572" s="116"/>
      <c r="K3572" s="213"/>
      <c r="L3572" s="120"/>
      <c r="M3572" s="120"/>
      <c r="N3572" s="167"/>
      <c r="O3572" s="120"/>
      <c r="P3572" s="120"/>
      <c r="Q3572" s="120"/>
      <c r="R3572" s="120"/>
      <c r="S3572" s="120"/>
      <c r="T3572" s="221"/>
      <c r="U3572" s="89"/>
      <c r="V3572" s="61"/>
      <c r="W3572" s="92" t="s">
        <v>148</v>
      </c>
      <c r="X3572" s="93" t="s">
        <v>29</v>
      </c>
      <c r="Y3572" s="93" t="s">
        <v>93</v>
      </c>
      <c r="Z3572" s="134">
        <f>VLOOKUP(W3572,Sheet2!$B:$D,3,FALSE)</f>
        <v>48</v>
      </c>
      <c r="AA3572" s="93">
        <f>AA3566</f>
        <v>20.833333333333336</v>
      </c>
      <c r="AB3572" s="93">
        <f>AD3572/AC3565</f>
        <v>2.3039999999999998</v>
      </c>
      <c r="AC3572" s="93">
        <f>AC3565/AA3572</f>
        <v>1.6744367999999994</v>
      </c>
      <c r="AD3572" s="94">
        <f t="shared" si="2696"/>
        <v>80.372966399999967</v>
      </c>
      <c r="AE3572" s="190"/>
      <c r="AF3572" s="191"/>
      <c r="AG3572" s="191"/>
      <c r="AH3572" s="191"/>
      <c r="AI3572" s="186"/>
      <c r="AK3572" s="171"/>
    </row>
    <row r="3573" spans="1:41" s="102" customFormat="1" ht="19.899999999999999" customHeight="1" x14ac:dyDescent="0.25">
      <c r="A3573" s="45"/>
      <c r="B3573" s="59"/>
      <c r="C3573" s="137"/>
      <c r="D3573" s="59"/>
      <c r="E3573" s="116"/>
      <c r="F3573" s="120"/>
      <c r="G3573" s="120"/>
      <c r="H3573" s="120"/>
      <c r="I3573" s="60"/>
      <c r="J3573" s="116"/>
      <c r="K3573" s="213"/>
      <c r="L3573" s="120"/>
      <c r="M3573" s="120"/>
      <c r="N3573" s="167"/>
      <c r="O3573" s="120"/>
      <c r="P3573" s="120"/>
      <c r="Q3573" s="120"/>
      <c r="R3573" s="120"/>
      <c r="S3573" s="120"/>
      <c r="T3573" s="221"/>
      <c r="U3573" s="89"/>
      <c r="V3573" s="61"/>
      <c r="W3573" s="92" t="s">
        <v>65</v>
      </c>
      <c r="X3573" s="93" t="s">
        <v>30</v>
      </c>
      <c r="Y3573" s="93" t="s">
        <v>1011</v>
      </c>
      <c r="Z3573" s="134">
        <f>VLOOKUP(W3573,Sheet2!$B:$D,3,FALSE)</f>
        <v>1.76</v>
      </c>
      <c r="AA3573" s="93">
        <f>AA3572/10</f>
        <v>2.0833333333333335</v>
      </c>
      <c r="AB3573" s="93">
        <f>AD3573/AC3565</f>
        <v>0.8448</v>
      </c>
      <c r="AC3573" s="93">
        <f>AC3565/AA3573</f>
        <v>16.744367999999994</v>
      </c>
      <c r="AD3573" s="94">
        <f t="shared" si="2696"/>
        <v>29.470087679999992</v>
      </c>
      <c r="AE3573" s="190"/>
      <c r="AF3573" s="191"/>
      <c r="AG3573" s="191"/>
      <c r="AH3573" s="191"/>
      <c r="AI3573" s="186"/>
      <c r="AK3573" s="171"/>
    </row>
    <row r="3574" spans="1:41" s="102" customFormat="1" ht="19.899999999999999" customHeight="1" x14ac:dyDescent="0.25">
      <c r="A3574" s="45"/>
      <c r="B3574" s="59"/>
      <c r="C3574" s="137"/>
      <c r="D3574" s="59"/>
      <c r="E3574" s="116"/>
      <c r="F3574" s="120"/>
      <c r="G3574" s="120"/>
      <c r="H3574" s="120"/>
      <c r="I3574" s="60"/>
      <c r="J3574" s="116"/>
      <c r="K3574" s="213"/>
      <c r="L3574" s="120"/>
      <c r="M3574" s="120"/>
      <c r="N3574" s="167"/>
      <c r="O3574" s="120"/>
      <c r="P3574" s="120"/>
      <c r="Q3574" s="120"/>
      <c r="R3574" s="120"/>
      <c r="S3574" s="120"/>
      <c r="T3574" s="221"/>
      <c r="U3574" s="89"/>
      <c r="V3574" s="61"/>
      <c r="W3574" s="92" t="s">
        <v>1049</v>
      </c>
      <c r="X3574" s="93" t="s">
        <v>30</v>
      </c>
      <c r="Y3574" s="93" t="s">
        <v>68</v>
      </c>
      <c r="Z3574" s="134">
        <f>VLOOKUP(W3574,Sheet2!$B:$D,3,FALSE)</f>
        <v>60</v>
      </c>
      <c r="AA3574" s="93">
        <v>1</v>
      </c>
      <c r="AB3574" s="93">
        <f>AD3574/AC3565</f>
        <v>60</v>
      </c>
      <c r="AC3574" s="93">
        <f>AC3565/AA3574</f>
        <v>34.884099999999989</v>
      </c>
      <c r="AD3574" s="94">
        <f t="shared" si="2696"/>
        <v>2093.0459999999994</v>
      </c>
      <c r="AE3574" s="190"/>
      <c r="AF3574" s="191"/>
      <c r="AG3574" s="191"/>
      <c r="AH3574" s="191"/>
      <c r="AI3574" s="186"/>
      <c r="AK3574" s="171"/>
    </row>
    <row r="3575" spans="1:41" s="103" customFormat="1" ht="19.899999999999999" customHeight="1" x14ac:dyDescent="0.25">
      <c r="A3575" s="51"/>
      <c r="B3575" s="52"/>
      <c r="C3575" s="165"/>
      <c r="D3575" s="52"/>
      <c r="E3575" s="115"/>
      <c r="F3575" s="58"/>
      <c r="G3575" s="58"/>
      <c r="H3575" s="58"/>
      <c r="I3575" s="55"/>
      <c r="J3575" s="113">
        <f>J3564</f>
        <v>34.884099999999989</v>
      </c>
      <c r="K3575" s="212">
        <f>K3564</f>
        <v>34.884099999999989</v>
      </c>
      <c r="L3575" s="58"/>
      <c r="M3575" s="58">
        <f>K3575-L3575</f>
        <v>34.884099999999989</v>
      </c>
      <c r="N3575" s="166"/>
      <c r="O3575" s="58"/>
      <c r="P3575" s="58"/>
      <c r="Q3575" s="58"/>
      <c r="R3575" s="58"/>
      <c r="S3575" s="58"/>
      <c r="T3575" s="220"/>
      <c r="U3575" s="88"/>
      <c r="V3575" s="56"/>
      <c r="W3575" s="57" t="s">
        <v>1036</v>
      </c>
      <c r="X3575" s="53"/>
      <c r="Y3575" s="91" t="s">
        <v>68</v>
      </c>
      <c r="Z3575" s="136">
        <f>AD3575/AC3575</f>
        <v>257.58333333333331</v>
      </c>
      <c r="AA3575" s="58"/>
      <c r="AB3575" s="53">
        <f>AD3575/AC3575</f>
        <v>257.58333333333331</v>
      </c>
      <c r="AC3575" s="53">
        <f>M3575+$AE$10</f>
        <v>34.884099999999989</v>
      </c>
      <c r="AD3575" s="54">
        <f>SUM(AD3576:AD3581)</f>
        <v>8985.5627583333298</v>
      </c>
      <c r="AE3575" s="184">
        <f>SUMIFS($AD$37:$AD$12971,$V$37:$V$12971,$V3575,$X$37:$X$12971,AE$13)</f>
        <v>0</v>
      </c>
      <c r="AF3575" s="185">
        <f>SUMIFS($AD$37:$AD$12971,$V$37:$V$12971,$V3575,$X$37:$X$12971,AF$13)</f>
        <v>0</v>
      </c>
      <c r="AG3575" s="185">
        <f>SUMIFS($AD$37:$AD$12971,$V$37:$V$12971,$V3575,$X$37:$X$12971,AG$13)</f>
        <v>0</v>
      </c>
      <c r="AH3575" s="187">
        <f>SUMIFS($AD$37:$AD$12971,$V$37:$V$12971,$V3575,$X$37:$X$12971,AH$13)</f>
        <v>0</v>
      </c>
      <c r="AI3575" s="161">
        <f t="shared" ref="AI3575" si="2697">SUM(AE3575:AH3575)</f>
        <v>0</v>
      </c>
      <c r="AK3575" s="172"/>
    </row>
    <row r="3576" spans="1:41" s="102" customFormat="1" ht="19.899999999999999" customHeight="1" x14ac:dyDescent="0.25">
      <c r="A3576" s="45"/>
      <c r="B3576" s="59"/>
      <c r="C3576" s="137"/>
      <c r="D3576" s="59"/>
      <c r="E3576" s="116"/>
      <c r="F3576" s="120"/>
      <c r="G3576" s="120"/>
      <c r="H3576" s="120"/>
      <c r="I3576" s="60"/>
      <c r="J3576" s="116"/>
      <c r="K3576" s="213"/>
      <c r="L3576" s="120"/>
      <c r="M3576" s="120"/>
      <c r="N3576" s="167"/>
      <c r="O3576" s="120"/>
      <c r="P3576" s="120"/>
      <c r="Q3576" s="120"/>
      <c r="R3576" s="120"/>
      <c r="S3576" s="120"/>
      <c r="T3576" s="221"/>
      <c r="U3576" s="89"/>
      <c r="V3576" s="61"/>
      <c r="W3576" s="92" t="s">
        <v>1055</v>
      </c>
      <c r="X3576" s="93" t="s">
        <v>30</v>
      </c>
      <c r="Y3576" s="93" t="s">
        <v>68</v>
      </c>
      <c r="Z3576" s="134">
        <f>VLOOKUP(W3576,Sheet2!$B:$D,3,FALSE)</f>
        <v>144</v>
      </c>
      <c r="AA3576" s="93">
        <v>1</v>
      </c>
      <c r="AB3576" s="93">
        <f>AD3576/AC3575</f>
        <v>144</v>
      </c>
      <c r="AC3576" s="93">
        <f>AC3575/AA3576</f>
        <v>34.884099999999989</v>
      </c>
      <c r="AD3576" s="94">
        <f t="shared" ref="AD3576" si="2698">AC3576*Z3576</f>
        <v>5023.3103999999985</v>
      </c>
      <c r="AE3576" s="190"/>
      <c r="AF3576" s="191"/>
      <c r="AG3576" s="191"/>
      <c r="AH3576" s="191"/>
      <c r="AI3576" s="186"/>
      <c r="AK3576" s="171"/>
    </row>
    <row r="3577" spans="1:41" s="102" customFormat="1" ht="19.899999999999999" customHeight="1" x14ac:dyDescent="0.25">
      <c r="A3577" s="45"/>
      <c r="B3577" s="59"/>
      <c r="C3577" s="137"/>
      <c r="D3577" s="59"/>
      <c r="E3577" s="116"/>
      <c r="F3577" s="120"/>
      <c r="G3577" s="120"/>
      <c r="H3577" s="120"/>
      <c r="I3577" s="60"/>
      <c r="J3577" s="116"/>
      <c r="K3577" s="213"/>
      <c r="L3577" s="120"/>
      <c r="M3577" s="120"/>
      <c r="N3577" s="167"/>
      <c r="O3577" s="120"/>
      <c r="P3577" s="120"/>
      <c r="Q3577" s="120"/>
      <c r="R3577" s="120"/>
      <c r="S3577" s="120"/>
      <c r="T3577" s="221"/>
      <c r="U3577" s="89"/>
      <c r="V3577" s="61"/>
      <c r="W3577" s="92" t="s">
        <v>1062</v>
      </c>
      <c r="X3577" s="93" t="s">
        <v>30</v>
      </c>
      <c r="Y3577" s="93" t="s">
        <v>68</v>
      </c>
      <c r="Z3577" s="134">
        <f>VLOOKUP(W3577,Sheet2!$B:$D,3,FALSE)</f>
        <v>15</v>
      </c>
      <c r="AA3577" s="93">
        <v>1</v>
      </c>
      <c r="AB3577" s="93">
        <f>AD3577/AC3575</f>
        <v>15</v>
      </c>
      <c r="AC3577" s="93">
        <f>AC3575/AA3577</f>
        <v>34.884099999999989</v>
      </c>
      <c r="AD3577" s="94">
        <f>AC3577*Z3577</f>
        <v>523.26149999999984</v>
      </c>
      <c r="AE3577" s="190"/>
      <c r="AF3577" s="191"/>
      <c r="AG3577" s="191"/>
      <c r="AH3577" s="191"/>
      <c r="AI3577" s="186"/>
      <c r="AK3577" s="171"/>
    </row>
    <row r="3578" spans="1:41" s="102" customFormat="1" ht="19.899999999999999" customHeight="1" x14ac:dyDescent="0.25">
      <c r="A3578" s="45"/>
      <c r="B3578" s="59"/>
      <c r="C3578" s="137"/>
      <c r="D3578" s="59"/>
      <c r="E3578" s="116"/>
      <c r="F3578" s="120"/>
      <c r="G3578" s="120"/>
      <c r="H3578" s="120"/>
      <c r="I3578" s="60"/>
      <c r="J3578" s="116"/>
      <c r="K3578" s="213"/>
      <c r="L3578" s="120"/>
      <c r="M3578" s="120"/>
      <c r="N3578" s="167"/>
      <c r="O3578" s="120"/>
      <c r="P3578" s="120"/>
      <c r="Q3578" s="120"/>
      <c r="R3578" s="120"/>
      <c r="S3578" s="120"/>
      <c r="T3578" s="221"/>
      <c r="U3578" s="89"/>
      <c r="V3578" s="61"/>
      <c r="W3578" s="92" t="s">
        <v>1070</v>
      </c>
      <c r="X3578" s="93" t="s">
        <v>32</v>
      </c>
      <c r="Y3578" s="93" t="s">
        <v>68</v>
      </c>
      <c r="Z3578" s="134">
        <f>VLOOKUP(W3578,Sheet2!$B:$D,3,FALSE)</f>
        <v>50</v>
      </c>
      <c r="AA3578" s="93">
        <v>1</v>
      </c>
      <c r="AB3578" s="93">
        <f>AD3578/AC3575</f>
        <v>50</v>
      </c>
      <c r="AC3578" s="93">
        <f>AC3575/AA3578</f>
        <v>34.884099999999989</v>
      </c>
      <c r="AD3578" s="94">
        <f>AC3578*Z3578</f>
        <v>1744.2049999999995</v>
      </c>
      <c r="AE3578" s="190"/>
      <c r="AF3578" s="191"/>
      <c r="AG3578" s="191"/>
      <c r="AH3578" s="191"/>
      <c r="AI3578" s="186"/>
      <c r="AK3578" s="171"/>
    </row>
    <row r="3579" spans="1:41" s="102" customFormat="1" ht="19.899999999999999" customHeight="1" x14ac:dyDescent="0.25">
      <c r="A3579" s="45"/>
      <c r="B3579" s="59"/>
      <c r="C3579" s="137"/>
      <c r="D3579" s="59"/>
      <c r="E3579" s="116"/>
      <c r="F3579" s="120"/>
      <c r="G3579" s="120"/>
      <c r="H3579" s="120"/>
      <c r="I3579" s="60"/>
      <c r="J3579" s="116"/>
      <c r="K3579" s="213"/>
      <c r="L3579" s="120"/>
      <c r="M3579" s="120"/>
      <c r="N3579" s="167"/>
      <c r="O3579" s="120"/>
      <c r="P3579" s="120"/>
      <c r="Q3579" s="120"/>
      <c r="R3579" s="120"/>
      <c r="S3579" s="120"/>
      <c r="T3579" s="221"/>
      <c r="U3579" s="89"/>
      <c r="V3579" s="61"/>
      <c r="W3579" s="92" t="s">
        <v>1032</v>
      </c>
      <c r="X3579" s="93" t="s">
        <v>30</v>
      </c>
      <c r="Y3579" s="93" t="s">
        <v>66</v>
      </c>
      <c r="Z3579" s="134">
        <f>VLOOKUP(W3579,Sheet2!$B:$D,3,FALSE)</f>
        <v>250</v>
      </c>
      <c r="AA3579" s="93">
        <f>1/(1.2*0.1)</f>
        <v>8.3333333333333339</v>
      </c>
      <c r="AB3579" s="93">
        <f>AD3579/AC3575</f>
        <v>30</v>
      </c>
      <c r="AC3579" s="93">
        <f>AC3575/AA3579</f>
        <v>4.1860919999999986</v>
      </c>
      <c r="AD3579" s="94">
        <f>AC3579*Z3579</f>
        <v>1046.5229999999997</v>
      </c>
      <c r="AE3579" s="190"/>
      <c r="AF3579" s="191"/>
      <c r="AG3579" s="191"/>
      <c r="AH3579" s="191"/>
      <c r="AI3579" s="186"/>
      <c r="AK3579" s="171"/>
    </row>
    <row r="3580" spans="1:41" s="102" customFormat="1" ht="19.899999999999999" customHeight="1" x14ac:dyDescent="0.25">
      <c r="A3580" s="45"/>
      <c r="B3580" s="59"/>
      <c r="C3580" s="137"/>
      <c r="D3580" s="59"/>
      <c r="E3580" s="116"/>
      <c r="F3580" s="120"/>
      <c r="G3580" s="120"/>
      <c r="H3580" s="120"/>
      <c r="I3580" s="60"/>
      <c r="J3580" s="116"/>
      <c r="K3580" s="213"/>
      <c r="L3580" s="120"/>
      <c r="M3580" s="120"/>
      <c r="N3580" s="167"/>
      <c r="O3580" s="120"/>
      <c r="P3580" s="120"/>
      <c r="Q3580" s="120"/>
      <c r="R3580" s="120"/>
      <c r="S3580" s="120"/>
      <c r="T3580" s="221"/>
      <c r="U3580" s="89"/>
      <c r="V3580" s="61"/>
      <c r="W3580" s="92" t="s">
        <v>1035</v>
      </c>
      <c r="X3580" s="93" t="s">
        <v>32</v>
      </c>
      <c r="Y3580" s="93" t="s">
        <v>66</v>
      </c>
      <c r="Z3580" s="134">
        <f>VLOOKUP(W3580,Sheet2!$B:$D,3,FALSE)</f>
        <v>150</v>
      </c>
      <c r="AA3580" s="93">
        <f>AA3579</f>
        <v>8.3333333333333339</v>
      </c>
      <c r="AB3580" s="93">
        <f>AD3580/AC3575</f>
        <v>18</v>
      </c>
      <c r="AC3580" s="93">
        <f>AC3575/AA3580</f>
        <v>4.1860919999999986</v>
      </c>
      <c r="AD3580" s="94">
        <f t="shared" ref="AD3580:AD3581" si="2699">AC3580*Z3580</f>
        <v>627.91379999999981</v>
      </c>
      <c r="AE3580" s="190"/>
      <c r="AF3580" s="191"/>
      <c r="AG3580" s="191"/>
      <c r="AH3580" s="191"/>
      <c r="AI3580" s="186"/>
      <c r="AK3580" s="171"/>
    </row>
    <row r="3581" spans="1:41" s="102" customFormat="1" ht="19.899999999999999" customHeight="1" x14ac:dyDescent="0.25">
      <c r="A3581" s="45"/>
      <c r="B3581" s="59"/>
      <c r="C3581" s="137"/>
      <c r="D3581" s="59"/>
      <c r="E3581" s="116"/>
      <c r="F3581" s="120"/>
      <c r="G3581" s="120"/>
      <c r="H3581" s="120"/>
      <c r="I3581" s="60"/>
      <c r="J3581" s="116"/>
      <c r="K3581" s="213"/>
      <c r="L3581" s="120"/>
      <c r="M3581" s="120"/>
      <c r="N3581" s="167"/>
      <c r="O3581" s="120"/>
      <c r="P3581" s="120"/>
      <c r="Q3581" s="120"/>
      <c r="R3581" s="120"/>
      <c r="S3581" s="120"/>
      <c r="T3581" s="221"/>
      <c r="U3581" s="89"/>
      <c r="V3581" s="61"/>
      <c r="W3581" s="92" t="s">
        <v>1037</v>
      </c>
      <c r="X3581" s="93" t="s">
        <v>30</v>
      </c>
      <c r="Y3581" s="93" t="s">
        <v>1038</v>
      </c>
      <c r="Z3581" s="134">
        <f>VLOOKUP(W3581,Sheet2!$B:$D,3,FALSE)</f>
        <v>175</v>
      </c>
      <c r="AA3581" s="93">
        <v>300</v>
      </c>
      <c r="AB3581" s="93">
        <f>AD3581/AC3575</f>
        <v>0.58333333333333337</v>
      </c>
      <c r="AC3581" s="93">
        <f>AC3575/AA3581</f>
        <v>0.11628033333333331</v>
      </c>
      <c r="AD3581" s="94">
        <f t="shared" si="2699"/>
        <v>20.349058333333328</v>
      </c>
      <c r="AE3581" s="190"/>
      <c r="AF3581" s="191"/>
      <c r="AG3581" s="191"/>
      <c r="AH3581" s="191"/>
      <c r="AI3581" s="186"/>
      <c r="AK3581" s="171"/>
    </row>
    <row r="3582" spans="1:41" s="103" customFormat="1" ht="19.899999999999999" customHeight="1" x14ac:dyDescent="0.25">
      <c r="A3582" s="51"/>
      <c r="B3582" s="52"/>
      <c r="C3582" s="165"/>
      <c r="D3582" s="52"/>
      <c r="E3582" s="115"/>
      <c r="F3582" s="58"/>
      <c r="G3582" s="58"/>
      <c r="H3582" s="58"/>
      <c r="I3582" s="55"/>
      <c r="J3582" s="113">
        <f>J3564</f>
        <v>34.884099999999989</v>
      </c>
      <c r="K3582" s="212">
        <f>K3564</f>
        <v>34.884099999999989</v>
      </c>
      <c r="L3582" s="58"/>
      <c r="M3582" s="58">
        <f>K3582-L3582</f>
        <v>34.884099999999989</v>
      </c>
      <c r="N3582" s="166"/>
      <c r="O3582" s="58"/>
      <c r="P3582" s="58"/>
      <c r="Q3582" s="58"/>
      <c r="R3582" s="58"/>
      <c r="S3582" s="58"/>
      <c r="T3582" s="220"/>
      <c r="U3582" s="88"/>
      <c r="V3582" s="56"/>
      <c r="W3582" s="57" t="s">
        <v>1040</v>
      </c>
      <c r="X3582" s="53"/>
      <c r="Y3582" s="91" t="s">
        <v>68</v>
      </c>
      <c r="Z3582" s="136">
        <f>AD3582/AC3582</f>
        <v>5</v>
      </c>
      <c r="AA3582" s="58"/>
      <c r="AB3582" s="53">
        <f>AD3582/AC3582</f>
        <v>5</v>
      </c>
      <c r="AC3582" s="53">
        <f>M3582+$AE$10</f>
        <v>34.884099999999989</v>
      </c>
      <c r="AD3582" s="54">
        <f>SUM(AD3583)</f>
        <v>174.42049999999995</v>
      </c>
      <c r="AE3582" s="184">
        <f>SUMIFS($AD$37:$AD$12971,$V$37:$V$12971,$V3582,$X$37:$X$12971,AE$13)</f>
        <v>0</v>
      </c>
      <c r="AF3582" s="185">
        <f>SUMIFS($AD$37:$AD$12971,$V$37:$V$12971,$V3582,$X$37:$X$12971,AF$13)</f>
        <v>0</v>
      </c>
      <c r="AG3582" s="185">
        <f>SUMIFS($AD$37:$AD$12971,$V$37:$V$12971,$V3582,$X$37:$X$12971,AG$13)</f>
        <v>0</v>
      </c>
      <c r="AH3582" s="187">
        <f>SUMIFS($AD$37:$AD$12971,$V$37:$V$12971,$V3582,$X$37:$X$12971,AH$13)</f>
        <v>0</v>
      </c>
      <c r="AI3582" s="161">
        <f t="shared" ref="AI3582" si="2700">SUM(AE3582:AH3582)</f>
        <v>0</v>
      </c>
      <c r="AK3582" s="172"/>
    </row>
    <row r="3583" spans="1:41" s="102" customFormat="1" ht="19.899999999999999" customHeight="1" x14ac:dyDescent="0.25">
      <c r="A3583" s="45"/>
      <c r="B3583" s="59"/>
      <c r="C3583" s="137"/>
      <c r="D3583" s="59"/>
      <c r="E3583" s="116"/>
      <c r="F3583" s="120"/>
      <c r="G3583" s="120"/>
      <c r="H3583" s="120"/>
      <c r="I3583" s="60"/>
      <c r="J3583" s="116"/>
      <c r="K3583" s="213"/>
      <c r="L3583" s="120"/>
      <c r="M3583" s="120"/>
      <c r="N3583" s="167"/>
      <c r="O3583" s="120"/>
      <c r="P3583" s="120"/>
      <c r="Q3583" s="120"/>
      <c r="R3583" s="120"/>
      <c r="S3583" s="120"/>
      <c r="T3583" s="221"/>
      <c r="U3583" s="89"/>
      <c r="V3583" s="61"/>
      <c r="W3583" s="92" t="s">
        <v>1039</v>
      </c>
      <c r="X3583" s="93" t="s">
        <v>32</v>
      </c>
      <c r="Y3583" s="93" t="s">
        <v>68</v>
      </c>
      <c r="Z3583" s="134">
        <f>VLOOKUP(W3583,Sheet2!$B:$D,3,FALSE)</f>
        <v>5</v>
      </c>
      <c r="AA3583" s="93">
        <v>1</v>
      </c>
      <c r="AB3583" s="93">
        <f>AD3583/AC3582</f>
        <v>5</v>
      </c>
      <c r="AC3583" s="93">
        <f>AC3582/AA3583</f>
        <v>34.884099999999989</v>
      </c>
      <c r="AD3583" s="94">
        <f t="shared" ref="AD3583" si="2701">AC3583*Z3583</f>
        <v>174.42049999999995</v>
      </c>
      <c r="AE3583" s="190"/>
      <c r="AF3583" s="191"/>
      <c r="AG3583" s="191"/>
      <c r="AH3583" s="191"/>
      <c r="AI3583" s="186"/>
      <c r="AK3583" s="171"/>
    </row>
    <row r="3584" spans="1:41" ht="20.100000000000001" customHeight="1" x14ac:dyDescent="0.25">
      <c r="A3584" s="277" t="s">
        <v>491</v>
      </c>
      <c r="B3584" s="278"/>
      <c r="C3584" s="64" t="s">
        <v>495</v>
      </c>
      <c r="D3584" s="46" t="s">
        <v>97</v>
      </c>
      <c r="E3584" s="114">
        <v>96.932000000000016</v>
      </c>
      <c r="F3584" s="44">
        <v>618</v>
      </c>
      <c r="G3584" s="44">
        <f t="shared" si="2434"/>
        <v>59903.97600000001</v>
      </c>
      <c r="H3584" s="44">
        <f t="shared" si="2435"/>
        <v>348.41059921568626</v>
      </c>
      <c r="I3584" s="43">
        <f t="shared" si="2436"/>
        <v>33772.136203174909</v>
      </c>
      <c r="J3584" s="112">
        <f t="shared" si="2437"/>
        <v>96.932000000000016</v>
      </c>
      <c r="K3584" s="211">
        <f t="shared" si="2438"/>
        <v>96.932000000000016</v>
      </c>
      <c r="L3584" s="44"/>
      <c r="M3584" s="44">
        <f t="shared" si="2458"/>
        <v>96.932000000000016</v>
      </c>
      <c r="N3584" s="173">
        <f t="shared" si="2439"/>
        <v>1</v>
      </c>
      <c r="O3584" s="44">
        <f t="shared" si="2440"/>
        <v>618</v>
      </c>
      <c r="P3584" s="44">
        <f t="shared" si="2441"/>
        <v>59903.97600000001</v>
      </c>
      <c r="Q3584" s="44">
        <f t="shared" si="2442"/>
        <v>348.41059921568626</v>
      </c>
      <c r="R3584" s="44">
        <f t="shared" si="2459"/>
        <v>33772.136203174909</v>
      </c>
      <c r="S3584" s="123"/>
      <c r="T3584" s="219">
        <f t="shared" si="2460"/>
        <v>33772.136203174909</v>
      </c>
      <c r="U3584" s="87"/>
      <c r="V3584" s="47"/>
      <c r="W3584" s="48"/>
      <c r="X3584" s="48"/>
      <c r="Y3584" s="48"/>
      <c r="Z3584" s="135"/>
      <c r="AA3584" s="49"/>
      <c r="AB3584" s="50">
        <f t="shared" si="2443"/>
        <v>348.41059921568626</v>
      </c>
      <c r="AC3584" s="42">
        <f t="shared" si="2461"/>
        <v>96.932000000000016</v>
      </c>
      <c r="AD3584" s="90">
        <f>AD3585+AD3595+AD3602</f>
        <v>33772.136203174909</v>
      </c>
      <c r="AE3584" s="188">
        <f t="shared" ref="AE3584" si="2702">AE3585+AE3595+AE3602</f>
        <v>0</v>
      </c>
      <c r="AF3584" s="189">
        <f t="shared" ref="AF3584" si="2703">AF3585+AF3595+AF3602</f>
        <v>0</v>
      </c>
      <c r="AG3584" s="189">
        <f t="shared" ref="AG3584" si="2704">AG3585+AG3595+AG3602</f>
        <v>0</v>
      </c>
      <c r="AH3584" s="189">
        <f t="shared" ref="AH3584" si="2705">AH3585+AH3595+AH3602</f>
        <v>0</v>
      </c>
      <c r="AI3584" s="161">
        <f t="shared" ref="AI3584:AI3604" si="2706">SUM(AE3584:AH3584)</f>
        <v>0</v>
      </c>
      <c r="AK3584" s="169">
        <v>5</v>
      </c>
      <c r="AO3584" s="19" t="s">
        <v>63</v>
      </c>
    </row>
    <row r="3585" spans="1:37" s="103" customFormat="1" ht="19.899999999999999" customHeight="1" x14ac:dyDescent="0.25">
      <c r="A3585" s="51"/>
      <c r="B3585" s="52"/>
      <c r="C3585" s="165"/>
      <c r="D3585" s="52"/>
      <c r="E3585" s="115"/>
      <c r="F3585" s="58"/>
      <c r="G3585" s="58"/>
      <c r="H3585" s="58"/>
      <c r="I3585" s="55"/>
      <c r="J3585" s="113">
        <f>J3584</f>
        <v>96.932000000000016</v>
      </c>
      <c r="K3585" s="212">
        <f>K3584</f>
        <v>96.932000000000016</v>
      </c>
      <c r="L3585" s="58"/>
      <c r="M3585" s="58">
        <f>K3585-L3585</f>
        <v>96.932000000000016</v>
      </c>
      <c r="N3585" s="166"/>
      <c r="O3585" s="58"/>
      <c r="P3585" s="58"/>
      <c r="Q3585" s="58"/>
      <c r="R3585" s="58"/>
      <c r="S3585" s="58"/>
      <c r="T3585" s="220"/>
      <c r="U3585" s="88"/>
      <c r="V3585" s="56"/>
      <c r="W3585" s="57" t="s">
        <v>1232</v>
      </c>
      <c r="X3585" s="53"/>
      <c r="Y3585" s="91" t="s">
        <v>68</v>
      </c>
      <c r="Z3585" s="136">
        <f>AD3585/AC3585</f>
        <v>85.827265882352947</v>
      </c>
      <c r="AA3585" s="58"/>
      <c r="AB3585" s="53">
        <f>AD3585/AC3585</f>
        <v>85.827265882352947</v>
      </c>
      <c r="AC3585" s="53">
        <f>M3585+$AE$10</f>
        <v>96.932000000000016</v>
      </c>
      <c r="AD3585" s="54">
        <f>SUM(AD3586:AD3594)</f>
        <v>8319.4085365082374</v>
      </c>
      <c r="AE3585" s="184">
        <f>SUMIFS($AD$37:$AD$12971,$V$37:$V$12971,$V3585,$X$37:$X$12971,AE$13)</f>
        <v>0</v>
      </c>
      <c r="AF3585" s="185">
        <f>SUMIFS($AD$37:$AD$12971,$V$37:$V$12971,$V3585,$X$37:$X$12971,AF$13)</f>
        <v>0</v>
      </c>
      <c r="AG3585" s="185">
        <f>SUMIFS($AD$37:$AD$12971,$V$37:$V$12971,$V3585,$X$37:$X$12971,AG$13)</f>
        <v>0</v>
      </c>
      <c r="AH3585" s="187">
        <f>SUMIFS($AD$37:$AD$12971,$V$37:$V$12971,$V3585,$X$37:$X$12971,AH$13)</f>
        <v>0</v>
      </c>
      <c r="AI3585" s="161">
        <f t="shared" ref="AI3585" si="2707">SUM(AE3585:AH3585)</f>
        <v>0</v>
      </c>
      <c r="AK3585" s="172"/>
    </row>
    <row r="3586" spans="1:37" s="102" customFormat="1" ht="19.899999999999999" customHeight="1" x14ac:dyDescent="0.25">
      <c r="A3586" s="45"/>
      <c r="B3586" s="59"/>
      <c r="C3586" s="137"/>
      <c r="D3586" s="59"/>
      <c r="E3586" s="116"/>
      <c r="F3586" s="120"/>
      <c r="G3586" s="120"/>
      <c r="H3586" s="120"/>
      <c r="I3586" s="60"/>
      <c r="J3586" s="116"/>
      <c r="K3586" s="213"/>
      <c r="L3586" s="120"/>
      <c r="M3586" s="120"/>
      <c r="N3586" s="167"/>
      <c r="O3586" s="120"/>
      <c r="P3586" s="120"/>
      <c r="Q3586" s="120"/>
      <c r="R3586" s="120"/>
      <c r="S3586" s="120"/>
      <c r="T3586" s="221"/>
      <c r="U3586" s="89"/>
      <c r="V3586" s="61"/>
      <c r="W3586" s="92" t="s">
        <v>129</v>
      </c>
      <c r="X3586" s="93" t="s">
        <v>29</v>
      </c>
      <c r="Y3586" s="93" t="s">
        <v>93</v>
      </c>
      <c r="Z3586" s="134">
        <f>VLOOKUP(W3586,Sheet2!$B:$D,3,FALSE)</f>
        <v>56</v>
      </c>
      <c r="AA3586" s="93">
        <f>100/(1.2*4.5)</f>
        <v>18.518518518518519</v>
      </c>
      <c r="AB3586" s="93">
        <f t="shared" ref="AB3586" si="2708">AD3586/AC3585</f>
        <v>3.024</v>
      </c>
      <c r="AC3586" s="93">
        <f>AC3585/AA3586</f>
        <v>5.2343280000000005</v>
      </c>
      <c r="AD3586" s="94">
        <f t="shared" ref="AD3586:AD3587" si="2709">AC3586*Z3586</f>
        <v>293.12236800000005</v>
      </c>
      <c r="AE3586" s="190"/>
      <c r="AF3586" s="191"/>
      <c r="AG3586" s="191"/>
      <c r="AH3586" s="191"/>
      <c r="AI3586" s="186"/>
      <c r="AK3586" s="171"/>
    </row>
    <row r="3587" spans="1:37" s="102" customFormat="1" ht="19.899999999999999" customHeight="1" x14ac:dyDescent="0.25">
      <c r="A3587" s="45"/>
      <c r="B3587" s="59"/>
      <c r="C3587" s="137"/>
      <c r="D3587" s="59"/>
      <c r="E3587" s="116"/>
      <c r="F3587" s="120"/>
      <c r="G3587" s="120"/>
      <c r="H3587" s="120"/>
      <c r="I3587" s="60"/>
      <c r="J3587" s="116"/>
      <c r="K3587" s="213"/>
      <c r="L3587" s="120"/>
      <c r="M3587" s="120"/>
      <c r="N3587" s="167"/>
      <c r="O3587" s="120"/>
      <c r="P3587" s="120"/>
      <c r="Q3587" s="120"/>
      <c r="R3587" s="120"/>
      <c r="S3587" s="120"/>
      <c r="T3587" s="221"/>
      <c r="U3587" s="89"/>
      <c r="V3587" s="61"/>
      <c r="W3587" s="92" t="s">
        <v>65</v>
      </c>
      <c r="X3587" s="93" t="s">
        <v>30</v>
      </c>
      <c r="Y3587" s="93" t="s">
        <v>1011</v>
      </c>
      <c r="Z3587" s="134">
        <f>VLOOKUP(W3587,Sheet2!$B:$D,3,FALSE)</f>
        <v>1.76</v>
      </c>
      <c r="AA3587" s="93">
        <f>AA3586/14</f>
        <v>1.3227513227513228</v>
      </c>
      <c r="AB3587" s="93">
        <f>AD3587/AC3585</f>
        <v>1.33056</v>
      </c>
      <c r="AC3587" s="93">
        <f>AC3585/AA3587</f>
        <v>73.280592000000013</v>
      </c>
      <c r="AD3587" s="94">
        <f t="shared" si="2709"/>
        <v>128.97384192000001</v>
      </c>
      <c r="AE3587" s="190"/>
      <c r="AF3587" s="191"/>
      <c r="AG3587" s="191"/>
      <c r="AH3587" s="191"/>
      <c r="AI3587" s="186"/>
      <c r="AK3587" s="171"/>
    </row>
    <row r="3588" spans="1:37" s="102" customFormat="1" ht="19.899999999999999" customHeight="1" x14ac:dyDescent="0.25">
      <c r="A3588" s="45"/>
      <c r="B3588" s="59"/>
      <c r="C3588" s="137"/>
      <c r="D3588" s="59"/>
      <c r="E3588" s="116"/>
      <c r="F3588" s="120"/>
      <c r="G3588" s="120"/>
      <c r="H3588" s="120"/>
      <c r="I3588" s="60"/>
      <c r="J3588" s="116"/>
      <c r="K3588" s="213"/>
      <c r="L3588" s="120"/>
      <c r="M3588" s="120"/>
      <c r="N3588" s="167"/>
      <c r="O3588" s="120"/>
      <c r="P3588" s="120"/>
      <c r="Q3588" s="120"/>
      <c r="R3588" s="120"/>
      <c r="S3588" s="120"/>
      <c r="T3588" s="221"/>
      <c r="U3588" s="89"/>
      <c r="V3588" s="61"/>
      <c r="W3588" s="92" t="s">
        <v>161</v>
      </c>
      <c r="X3588" s="93" t="s">
        <v>29</v>
      </c>
      <c r="Y3588" s="93" t="s">
        <v>93</v>
      </c>
      <c r="Z3588" s="134">
        <f>VLOOKUP(W3588,Sheet2!$B:$D,3,FALSE)</f>
        <v>48</v>
      </c>
      <c r="AA3588" s="93">
        <f>(16*0.85*1.5)/(1.2*4.5)</f>
        <v>3.7777777777777777</v>
      </c>
      <c r="AB3588" s="93">
        <f>AD3588/AC3585</f>
        <v>12.705882352941176</v>
      </c>
      <c r="AC3588" s="93">
        <f>AC3585/AA3588</f>
        <v>25.6584705882353</v>
      </c>
      <c r="AD3588" s="94">
        <f>AC3588*Z3588</f>
        <v>1231.6065882352943</v>
      </c>
      <c r="AE3588" s="190"/>
      <c r="AF3588" s="191"/>
      <c r="AG3588" s="191"/>
      <c r="AH3588" s="191"/>
      <c r="AI3588" s="186"/>
      <c r="AK3588" s="171"/>
    </row>
    <row r="3589" spans="1:37" s="102" customFormat="1" ht="19.899999999999999" customHeight="1" x14ac:dyDescent="0.25">
      <c r="A3589" s="45"/>
      <c r="B3589" s="59"/>
      <c r="C3589" s="137"/>
      <c r="D3589" s="59"/>
      <c r="E3589" s="116"/>
      <c r="F3589" s="120"/>
      <c r="G3589" s="120"/>
      <c r="H3589" s="120"/>
      <c r="I3589" s="60"/>
      <c r="J3589" s="116"/>
      <c r="K3589" s="213"/>
      <c r="L3589" s="120"/>
      <c r="M3589" s="120"/>
      <c r="N3589" s="167"/>
      <c r="O3589" s="120"/>
      <c r="P3589" s="120"/>
      <c r="Q3589" s="120"/>
      <c r="R3589" s="120"/>
      <c r="S3589" s="120"/>
      <c r="T3589" s="221"/>
      <c r="U3589" s="89"/>
      <c r="V3589" s="61"/>
      <c r="W3589" s="92" t="s">
        <v>65</v>
      </c>
      <c r="X3589" s="93" t="s">
        <v>30</v>
      </c>
      <c r="Y3589" s="93" t="s">
        <v>1011</v>
      </c>
      <c r="Z3589" s="134">
        <f>VLOOKUP(W3589,Sheet2!$B:$D,3,FALSE)</f>
        <v>1.76</v>
      </c>
      <c r="AA3589" s="93">
        <f>AA3588/10</f>
        <v>0.37777777777777777</v>
      </c>
      <c r="AB3589" s="93">
        <f>AD3589/AC3585</f>
        <v>4.658823529411765</v>
      </c>
      <c r="AC3589" s="93">
        <f>AC3585/AA3589</f>
        <v>256.58470588235298</v>
      </c>
      <c r="AD3589" s="94">
        <f>AC3589*Z3589</f>
        <v>451.58908235294126</v>
      </c>
      <c r="AE3589" s="190"/>
      <c r="AF3589" s="191"/>
      <c r="AG3589" s="191"/>
      <c r="AH3589" s="191"/>
      <c r="AI3589" s="186"/>
      <c r="AK3589" s="171"/>
    </row>
    <row r="3590" spans="1:37" s="102" customFormat="1" ht="19.899999999999999" customHeight="1" x14ac:dyDescent="0.25">
      <c r="A3590" s="45"/>
      <c r="B3590" s="59"/>
      <c r="C3590" s="137"/>
      <c r="D3590" s="59"/>
      <c r="E3590" s="116"/>
      <c r="F3590" s="120"/>
      <c r="G3590" s="120"/>
      <c r="H3590" s="120"/>
      <c r="I3590" s="60"/>
      <c r="J3590" s="116"/>
      <c r="K3590" s="213"/>
      <c r="L3590" s="120"/>
      <c r="M3590" s="120"/>
      <c r="N3590" s="167"/>
      <c r="O3590" s="120"/>
      <c r="P3590" s="120"/>
      <c r="Q3590" s="120"/>
      <c r="R3590" s="120"/>
      <c r="S3590" s="120"/>
      <c r="T3590" s="221"/>
      <c r="U3590" s="89"/>
      <c r="V3590" s="61"/>
      <c r="W3590" s="92" t="s">
        <v>1030</v>
      </c>
      <c r="X3590" s="93" t="s">
        <v>29</v>
      </c>
      <c r="Y3590" s="93" t="s">
        <v>93</v>
      </c>
      <c r="Z3590" s="134">
        <f>VLOOKUP(W3590,Sheet2!$B:$D,3,FALSE)</f>
        <v>23</v>
      </c>
      <c r="AA3590" s="93">
        <v>50</v>
      </c>
      <c r="AB3590" s="93">
        <f>AD3590/AC3585</f>
        <v>0.46</v>
      </c>
      <c r="AC3590" s="93">
        <f>AC3585/AA3590</f>
        <v>1.9386400000000004</v>
      </c>
      <c r="AD3590" s="94">
        <f t="shared" ref="AD3590:AD3594" si="2710">AC3590*Z3590</f>
        <v>44.588720000000009</v>
      </c>
      <c r="AE3590" s="190"/>
      <c r="AF3590" s="191"/>
      <c r="AG3590" s="191"/>
      <c r="AH3590" s="191"/>
      <c r="AI3590" s="186"/>
      <c r="AK3590" s="171"/>
    </row>
    <row r="3591" spans="1:37" s="102" customFormat="1" ht="19.899999999999999" customHeight="1" x14ac:dyDescent="0.25">
      <c r="A3591" s="45"/>
      <c r="B3591" s="59"/>
      <c r="C3591" s="137"/>
      <c r="D3591" s="59"/>
      <c r="E3591" s="116"/>
      <c r="F3591" s="120"/>
      <c r="G3591" s="120"/>
      <c r="H3591" s="120"/>
      <c r="I3591" s="60"/>
      <c r="J3591" s="116"/>
      <c r="K3591" s="213"/>
      <c r="L3591" s="120"/>
      <c r="M3591" s="120"/>
      <c r="N3591" s="167"/>
      <c r="O3591" s="120"/>
      <c r="P3591" s="120"/>
      <c r="Q3591" s="120"/>
      <c r="R3591" s="120"/>
      <c r="S3591" s="120"/>
      <c r="T3591" s="221"/>
      <c r="U3591" s="89"/>
      <c r="V3591" s="61"/>
      <c r="W3591" s="92" t="s">
        <v>65</v>
      </c>
      <c r="X3591" s="93" t="s">
        <v>30</v>
      </c>
      <c r="Y3591" s="93" t="s">
        <v>1011</v>
      </c>
      <c r="Z3591" s="134">
        <f>VLOOKUP(W3591,Sheet2!$B:$D,3,FALSE)</f>
        <v>1.76</v>
      </c>
      <c r="AA3591" s="93">
        <f>AA3590/3</f>
        <v>16.666666666666668</v>
      </c>
      <c r="AB3591" s="93">
        <f>AD3591/AC3585</f>
        <v>0.1056</v>
      </c>
      <c r="AC3591" s="93">
        <f>AC3585/AA3591</f>
        <v>5.8159200000000002</v>
      </c>
      <c r="AD3591" s="94">
        <f t="shared" si="2710"/>
        <v>10.236019200000001</v>
      </c>
      <c r="AE3591" s="190"/>
      <c r="AF3591" s="191"/>
      <c r="AG3591" s="191"/>
      <c r="AH3591" s="191"/>
      <c r="AI3591" s="186"/>
      <c r="AK3591" s="171"/>
    </row>
    <row r="3592" spans="1:37" s="102" customFormat="1" ht="19.899999999999999" customHeight="1" x14ac:dyDescent="0.25">
      <c r="A3592" s="45"/>
      <c r="B3592" s="59"/>
      <c r="C3592" s="137"/>
      <c r="D3592" s="59"/>
      <c r="E3592" s="116"/>
      <c r="F3592" s="120"/>
      <c r="G3592" s="120"/>
      <c r="H3592" s="120"/>
      <c r="I3592" s="60"/>
      <c r="J3592" s="116"/>
      <c r="K3592" s="213"/>
      <c r="L3592" s="120"/>
      <c r="M3592" s="120"/>
      <c r="N3592" s="167"/>
      <c r="O3592" s="120"/>
      <c r="P3592" s="120"/>
      <c r="Q3592" s="120"/>
      <c r="R3592" s="120"/>
      <c r="S3592" s="120"/>
      <c r="T3592" s="221"/>
      <c r="U3592" s="89"/>
      <c r="V3592" s="61"/>
      <c r="W3592" s="92" t="s">
        <v>148</v>
      </c>
      <c r="X3592" s="93" t="s">
        <v>29</v>
      </c>
      <c r="Y3592" s="93" t="s">
        <v>93</v>
      </c>
      <c r="Z3592" s="134">
        <f>VLOOKUP(W3592,Sheet2!$B:$D,3,FALSE)</f>
        <v>48</v>
      </c>
      <c r="AA3592" s="93">
        <f>AA3586</f>
        <v>18.518518518518519</v>
      </c>
      <c r="AB3592" s="93">
        <f>AD3592/AC3585</f>
        <v>2.5919999999999996</v>
      </c>
      <c r="AC3592" s="93">
        <f>AC3585/AA3592</f>
        <v>5.2343280000000005</v>
      </c>
      <c r="AD3592" s="94">
        <f t="shared" si="2710"/>
        <v>251.24774400000001</v>
      </c>
      <c r="AE3592" s="190"/>
      <c r="AF3592" s="191"/>
      <c r="AG3592" s="191"/>
      <c r="AH3592" s="191"/>
      <c r="AI3592" s="186"/>
      <c r="AK3592" s="171"/>
    </row>
    <row r="3593" spans="1:37" s="102" customFormat="1" ht="19.899999999999999" customHeight="1" x14ac:dyDescent="0.25">
      <c r="A3593" s="45"/>
      <c r="B3593" s="59"/>
      <c r="C3593" s="137"/>
      <c r="D3593" s="59"/>
      <c r="E3593" s="116"/>
      <c r="F3593" s="120"/>
      <c r="G3593" s="120"/>
      <c r="H3593" s="120"/>
      <c r="I3593" s="60"/>
      <c r="J3593" s="116"/>
      <c r="K3593" s="213"/>
      <c r="L3593" s="120"/>
      <c r="M3593" s="120"/>
      <c r="N3593" s="167"/>
      <c r="O3593" s="120"/>
      <c r="P3593" s="120"/>
      <c r="Q3593" s="120"/>
      <c r="R3593" s="120"/>
      <c r="S3593" s="120"/>
      <c r="T3593" s="221"/>
      <c r="U3593" s="89"/>
      <c r="V3593" s="61"/>
      <c r="W3593" s="92" t="s">
        <v>65</v>
      </c>
      <c r="X3593" s="93" t="s">
        <v>30</v>
      </c>
      <c r="Y3593" s="93" t="s">
        <v>1011</v>
      </c>
      <c r="Z3593" s="134">
        <f>VLOOKUP(W3593,Sheet2!$B:$D,3,FALSE)</f>
        <v>1.76</v>
      </c>
      <c r="AA3593" s="93">
        <f>AA3592/10</f>
        <v>1.8518518518518519</v>
      </c>
      <c r="AB3593" s="93">
        <f>AD3593/AC3585</f>
        <v>0.95039999999999991</v>
      </c>
      <c r="AC3593" s="93">
        <f>AC3585/AA3593</f>
        <v>52.343280000000007</v>
      </c>
      <c r="AD3593" s="94">
        <f t="shared" si="2710"/>
        <v>92.124172800000011</v>
      </c>
      <c r="AE3593" s="190"/>
      <c r="AF3593" s="191"/>
      <c r="AG3593" s="191"/>
      <c r="AH3593" s="191"/>
      <c r="AI3593" s="186"/>
      <c r="AK3593" s="171"/>
    </row>
    <row r="3594" spans="1:37" s="102" customFormat="1" ht="19.899999999999999" customHeight="1" x14ac:dyDescent="0.25">
      <c r="A3594" s="45"/>
      <c r="B3594" s="59"/>
      <c r="C3594" s="137"/>
      <c r="D3594" s="59"/>
      <c r="E3594" s="116"/>
      <c r="F3594" s="120"/>
      <c r="G3594" s="120"/>
      <c r="H3594" s="120"/>
      <c r="I3594" s="60"/>
      <c r="J3594" s="116"/>
      <c r="K3594" s="213"/>
      <c r="L3594" s="120"/>
      <c r="M3594" s="120"/>
      <c r="N3594" s="167"/>
      <c r="O3594" s="120"/>
      <c r="P3594" s="120"/>
      <c r="Q3594" s="120"/>
      <c r="R3594" s="120"/>
      <c r="S3594" s="120"/>
      <c r="T3594" s="221"/>
      <c r="U3594" s="89"/>
      <c r="V3594" s="61"/>
      <c r="W3594" s="92" t="s">
        <v>1049</v>
      </c>
      <c r="X3594" s="93" t="s">
        <v>30</v>
      </c>
      <c r="Y3594" s="93" t="s">
        <v>68</v>
      </c>
      <c r="Z3594" s="134">
        <f>VLOOKUP(W3594,Sheet2!$B:$D,3,FALSE)</f>
        <v>60</v>
      </c>
      <c r="AA3594" s="93">
        <v>1</v>
      </c>
      <c r="AB3594" s="93">
        <f>AD3594/AC3585</f>
        <v>60</v>
      </c>
      <c r="AC3594" s="93">
        <f>AC3585/AA3594</f>
        <v>96.932000000000016</v>
      </c>
      <c r="AD3594" s="94">
        <f t="shared" si="2710"/>
        <v>5815.920000000001</v>
      </c>
      <c r="AE3594" s="190"/>
      <c r="AF3594" s="191"/>
      <c r="AG3594" s="191"/>
      <c r="AH3594" s="191"/>
      <c r="AI3594" s="186"/>
      <c r="AK3594" s="171"/>
    </row>
    <row r="3595" spans="1:37" s="103" customFormat="1" ht="19.899999999999999" customHeight="1" x14ac:dyDescent="0.25">
      <c r="A3595" s="51"/>
      <c r="B3595" s="52"/>
      <c r="C3595" s="165"/>
      <c r="D3595" s="52"/>
      <c r="E3595" s="115"/>
      <c r="F3595" s="58"/>
      <c r="G3595" s="58"/>
      <c r="H3595" s="58"/>
      <c r="I3595" s="55"/>
      <c r="J3595" s="113">
        <f>J3584</f>
        <v>96.932000000000016</v>
      </c>
      <c r="K3595" s="212">
        <f>K3584</f>
        <v>96.932000000000016</v>
      </c>
      <c r="L3595" s="58"/>
      <c r="M3595" s="58">
        <f>K3595-L3595</f>
        <v>96.932000000000016</v>
      </c>
      <c r="N3595" s="166"/>
      <c r="O3595" s="58"/>
      <c r="P3595" s="58"/>
      <c r="Q3595" s="58"/>
      <c r="R3595" s="58"/>
      <c r="S3595" s="58"/>
      <c r="T3595" s="220"/>
      <c r="U3595" s="88"/>
      <c r="V3595" s="56"/>
      <c r="W3595" s="57" t="s">
        <v>1036</v>
      </c>
      <c r="X3595" s="53"/>
      <c r="Y3595" s="91" t="s">
        <v>68</v>
      </c>
      <c r="Z3595" s="136">
        <f>AD3595/AC3595</f>
        <v>257.58333333333331</v>
      </c>
      <c r="AA3595" s="58"/>
      <c r="AB3595" s="53">
        <f>AD3595/AC3595</f>
        <v>257.58333333333331</v>
      </c>
      <c r="AC3595" s="53">
        <f>M3595+$AE$10</f>
        <v>96.932000000000016</v>
      </c>
      <c r="AD3595" s="54">
        <f>SUM(AD3596:AD3601)</f>
        <v>24968.06766666667</v>
      </c>
      <c r="AE3595" s="184">
        <f>SUMIFS($AD$37:$AD$12971,$V$37:$V$12971,$V3595,$X$37:$X$12971,AE$13)</f>
        <v>0</v>
      </c>
      <c r="AF3595" s="185">
        <f>SUMIFS($AD$37:$AD$12971,$V$37:$V$12971,$V3595,$X$37:$X$12971,AF$13)</f>
        <v>0</v>
      </c>
      <c r="AG3595" s="185">
        <f>SUMIFS($AD$37:$AD$12971,$V$37:$V$12971,$V3595,$X$37:$X$12971,AG$13)</f>
        <v>0</v>
      </c>
      <c r="AH3595" s="187">
        <f>SUMIFS($AD$37:$AD$12971,$V$37:$V$12971,$V3595,$X$37:$X$12971,AH$13)</f>
        <v>0</v>
      </c>
      <c r="AI3595" s="161">
        <f t="shared" ref="AI3595" si="2711">SUM(AE3595:AH3595)</f>
        <v>0</v>
      </c>
      <c r="AK3595" s="172"/>
    </row>
    <row r="3596" spans="1:37" s="102" customFormat="1" ht="19.899999999999999" customHeight="1" x14ac:dyDescent="0.25">
      <c r="A3596" s="45"/>
      <c r="B3596" s="59"/>
      <c r="C3596" s="137"/>
      <c r="D3596" s="59"/>
      <c r="E3596" s="116"/>
      <c r="F3596" s="120"/>
      <c r="G3596" s="120"/>
      <c r="H3596" s="120"/>
      <c r="I3596" s="60"/>
      <c r="J3596" s="116"/>
      <c r="K3596" s="213"/>
      <c r="L3596" s="120"/>
      <c r="M3596" s="120"/>
      <c r="N3596" s="167"/>
      <c r="O3596" s="120"/>
      <c r="P3596" s="120"/>
      <c r="Q3596" s="120"/>
      <c r="R3596" s="120"/>
      <c r="S3596" s="120"/>
      <c r="T3596" s="221"/>
      <c r="U3596" s="89"/>
      <c r="V3596" s="61"/>
      <c r="W3596" s="92" t="s">
        <v>1055</v>
      </c>
      <c r="X3596" s="93" t="s">
        <v>30</v>
      </c>
      <c r="Y3596" s="93" t="s">
        <v>68</v>
      </c>
      <c r="Z3596" s="134">
        <f>VLOOKUP(W3596,Sheet2!$B:$D,3,FALSE)</f>
        <v>144</v>
      </c>
      <c r="AA3596" s="93">
        <v>1</v>
      </c>
      <c r="AB3596" s="93">
        <f>AD3596/AC3595</f>
        <v>144</v>
      </c>
      <c r="AC3596" s="93">
        <f>AC3595/AA3596</f>
        <v>96.932000000000016</v>
      </c>
      <c r="AD3596" s="94">
        <f t="shared" ref="AD3596" si="2712">AC3596*Z3596</f>
        <v>13958.208000000002</v>
      </c>
      <c r="AE3596" s="190"/>
      <c r="AF3596" s="191"/>
      <c r="AG3596" s="191"/>
      <c r="AH3596" s="191"/>
      <c r="AI3596" s="186"/>
      <c r="AK3596" s="171"/>
    </row>
    <row r="3597" spans="1:37" s="102" customFormat="1" ht="19.899999999999999" customHeight="1" x14ac:dyDescent="0.25">
      <c r="A3597" s="45"/>
      <c r="B3597" s="59"/>
      <c r="C3597" s="137"/>
      <c r="D3597" s="59"/>
      <c r="E3597" s="116"/>
      <c r="F3597" s="120"/>
      <c r="G3597" s="120"/>
      <c r="H3597" s="120"/>
      <c r="I3597" s="60"/>
      <c r="J3597" s="116"/>
      <c r="K3597" s="213"/>
      <c r="L3597" s="120"/>
      <c r="M3597" s="120"/>
      <c r="N3597" s="167"/>
      <c r="O3597" s="120"/>
      <c r="P3597" s="120"/>
      <c r="Q3597" s="120"/>
      <c r="R3597" s="120"/>
      <c r="S3597" s="120"/>
      <c r="T3597" s="221"/>
      <c r="U3597" s="89"/>
      <c r="V3597" s="61"/>
      <c r="W3597" s="92" t="s">
        <v>1062</v>
      </c>
      <c r="X3597" s="93" t="s">
        <v>30</v>
      </c>
      <c r="Y3597" s="93" t="s">
        <v>68</v>
      </c>
      <c r="Z3597" s="134">
        <f>VLOOKUP(W3597,Sheet2!$B:$D,3,FALSE)</f>
        <v>15</v>
      </c>
      <c r="AA3597" s="93">
        <v>1</v>
      </c>
      <c r="AB3597" s="93">
        <f>AD3597/AC3595</f>
        <v>15</v>
      </c>
      <c r="AC3597" s="93">
        <f>AC3595/AA3597</f>
        <v>96.932000000000016</v>
      </c>
      <c r="AD3597" s="94">
        <f>AC3597*Z3597</f>
        <v>1453.9800000000002</v>
      </c>
      <c r="AE3597" s="190"/>
      <c r="AF3597" s="191"/>
      <c r="AG3597" s="191"/>
      <c r="AH3597" s="191"/>
      <c r="AI3597" s="186"/>
      <c r="AK3597" s="171"/>
    </row>
    <row r="3598" spans="1:37" s="102" customFormat="1" ht="19.899999999999999" customHeight="1" x14ac:dyDescent="0.25">
      <c r="A3598" s="45"/>
      <c r="B3598" s="59"/>
      <c r="C3598" s="137"/>
      <c r="D3598" s="59"/>
      <c r="E3598" s="116"/>
      <c r="F3598" s="120"/>
      <c r="G3598" s="120"/>
      <c r="H3598" s="120"/>
      <c r="I3598" s="60"/>
      <c r="J3598" s="116"/>
      <c r="K3598" s="213"/>
      <c r="L3598" s="120"/>
      <c r="M3598" s="120"/>
      <c r="N3598" s="167"/>
      <c r="O3598" s="120"/>
      <c r="P3598" s="120"/>
      <c r="Q3598" s="120"/>
      <c r="R3598" s="120"/>
      <c r="S3598" s="120"/>
      <c r="T3598" s="221"/>
      <c r="U3598" s="89"/>
      <c r="V3598" s="61"/>
      <c r="W3598" s="92" t="s">
        <v>1070</v>
      </c>
      <c r="X3598" s="93" t="s">
        <v>32</v>
      </c>
      <c r="Y3598" s="93" t="s">
        <v>68</v>
      </c>
      <c r="Z3598" s="134">
        <f>VLOOKUP(W3598,Sheet2!$B:$D,3,FALSE)</f>
        <v>50</v>
      </c>
      <c r="AA3598" s="93">
        <v>1</v>
      </c>
      <c r="AB3598" s="93">
        <f>AD3598/AC3595</f>
        <v>49.999999999999993</v>
      </c>
      <c r="AC3598" s="93">
        <f>AC3595/AA3598</f>
        <v>96.932000000000016</v>
      </c>
      <c r="AD3598" s="94">
        <f>AC3598*Z3598</f>
        <v>4846.6000000000004</v>
      </c>
      <c r="AE3598" s="190"/>
      <c r="AF3598" s="191"/>
      <c r="AG3598" s="191"/>
      <c r="AH3598" s="191"/>
      <c r="AI3598" s="186"/>
      <c r="AK3598" s="171"/>
    </row>
    <row r="3599" spans="1:37" s="102" customFormat="1" ht="19.899999999999999" customHeight="1" x14ac:dyDescent="0.25">
      <c r="A3599" s="45"/>
      <c r="B3599" s="59"/>
      <c r="C3599" s="137"/>
      <c r="D3599" s="59"/>
      <c r="E3599" s="116"/>
      <c r="F3599" s="120"/>
      <c r="G3599" s="120"/>
      <c r="H3599" s="120"/>
      <c r="I3599" s="60"/>
      <c r="J3599" s="116"/>
      <c r="K3599" s="213"/>
      <c r="L3599" s="120"/>
      <c r="M3599" s="120"/>
      <c r="N3599" s="167"/>
      <c r="O3599" s="120"/>
      <c r="P3599" s="120"/>
      <c r="Q3599" s="120"/>
      <c r="R3599" s="120"/>
      <c r="S3599" s="120"/>
      <c r="T3599" s="221"/>
      <c r="U3599" s="89"/>
      <c r="V3599" s="61"/>
      <c r="W3599" s="92" t="s">
        <v>1032</v>
      </c>
      <c r="X3599" s="93" t="s">
        <v>30</v>
      </c>
      <c r="Y3599" s="93" t="s">
        <v>66</v>
      </c>
      <c r="Z3599" s="134">
        <f>VLOOKUP(W3599,Sheet2!$B:$D,3,FALSE)</f>
        <v>250</v>
      </c>
      <c r="AA3599" s="93">
        <f>1/(1.2*0.1)</f>
        <v>8.3333333333333339</v>
      </c>
      <c r="AB3599" s="93">
        <f>AD3599/AC3595</f>
        <v>29.999999999999996</v>
      </c>
      <c r="AC3599" s="93">
        <f>AC3595/AA3599</f>
        <v>11.63184</v>
      </c>
      <c r="AD3599" s="94">
        <f>AC3599*Z3599</f>
        <v>2907.96</v>
      </c>
      <c r="AE3599" s="190"/>
      <c r="AF3599" s="191"/>
      <c r="AG3599" s="191"/>
      <c r="AH3599" s="191"/>
      <c r="AI3599" s="186"/>
      <c r="AK3599" s="171"/>
    </row>
    <row r="3600" spans="1:37" s="102" customFormat="1" ht="19.899999999999999" customHeight="1" x14ac:dyDescent="0.25">
      <c r="A3600" s="45"/>
      <c r="B3600" s="59"/>
      <c r="C3600" s="137"/>
      <c r="D3600" s="59"/>
      <c r="E3600" s="116"/>
      <c r="F3600" s="120"/>
      <c r="G3600" s="120"/>
      <c r="H3600" s="120"/>
      <c r="I3600" s="60"/>
      <c r="J3600" s="116"/>
      <c r="K3600" s="213"/>
      <c r="L3600" s="120"/>
      <c r="M3600" s="120"/>
      <c r="N3600" s="167"/>
      <c r="O3600" s="120"/>
      <c r="P3600" s="120"/>
      <c r="Q3600" s="120"/>
      <c r="R3600" s="120"/>
      <c r="S3600" s="120"/>
      <c r="T3600" s="221"/>
      <c r="U3600" s="89"/>
      <c r="V3600" s="61"/>
      <c r="W3600" s="92" t="s">
        <v>1035</v>
      </c>
      <c r="X3600" s="93" t="s">
        <v>32</v>
      </c>
      <c r="Y3600" s="93" t="s">
        <v>66</v>
      </c>
      <c r="Z3600" s="134">
        <f>VLOOKUP(W3600,Sheet2!$B:$D,3,FALSE)</f>
        <v>150</v>
      </c>
      <c r="AA3600" s="93">
        <f>AA3599</f>
        <v>8.3333333333333339</v>
      </c>
      <c r="AB3600" s="93">
        <f>AD3600/AC3595</f>
        <v>17.999999999999996</v>
      </c>
      <c r="AC3600" s="93">
        <f>AC3595/AA3600</f>
        <v>11.63184</v>
      </c>
      <c r="AD3600" s="94">
        <f t="shared" ref="AD3600:AD3601" si="2713">AC3600*Z3600</f>
        <v>1744.7760000000001</v>
      </c>
      <c r="AE3600" s="190"/>
      <c r="AF3600" s="191"/>
      <c r="AG3600" s="191"/>
      <c r="AH3600" s="191"/>
      <c r="AI3600" s="186"/>
      <c r="AK3600" s="171"/>
    </row>
    <row r="3601" spans="1:41" s="102" customFormat="1" ht="19.899999999999999" customHeight="1" x14ac:dyDescent="0.25">
      <c r="A3601" s="45"/>
      <c r="B3601" s="59"/>
      <c r="C3601" s="137"/>
      <c r="D3601" s="59"/>
      <c r="E3601" s="116"/>
      <c r="F3601" s="120"/>
      <c r="G3601" s="120"/>
      <c r="H3601" s="120"/>
      <c r="I3601" s="60"/>
      <c r="J3601" s="116"/>
      <c r="K3601" s="213"/>
      <c r="L3601" s="120"/>
      <c r="M3601" s="120"/>
      <c r="N3601" s="167"/>
      <c r="O3601" s="120"/>
      <c r="P3601" s="120"/>
      <c r="Q3601" s="120"/>
      <c r="R3601" s="120"/>
      <c r="S3601" s="120"/>
      <c r="T3601" s="221"/>
      <c r="U3601" s="89"/>
      <c r="V3601" s="61"/>
      <c r="W3601" s="92" t="s">
        <v>1037</v>
      </c>
      <c r="X3601" s="93" t="s">
        <v>30</v>
      </c>
      <c r="Y3601" s="93" t="s">
        <v>1038</v>
      </c>
      <c r="Z3601" s="134">
        <f>VLOOKUP(W3601,Sheet2!$B:$D,3,FALSE)</f>
        <v>175</v>
      </c>
      <c r="AA3601" s="93">
        <v>300</v>
      </c>
      <c r="AB3601" s="93">
        <f>AD3601/AC3595</f>
        <v>0.58333333333333326</v>
      </c>
      <c r="AC3601" s="93">
        <f>AC3595/AA3601</f>
        <v>0.32310666666666671</v>
      </c>
      <c r="AD3601" s="94">
        <f t="shared" si="2713"/>
        <v>56.543666666666674</v>
      </c>
      <c r="AE3601" s="190"/>
      <c r="AF3601" s="191"/>
      <c r="AG3601" s="191"/>
      <c r="AH3601" s="191"/>
      <c r="AI3601" s="186"/>
      <c r="AK3601" s="171"/>
    </row>
    <row r="3602" spans="1:41" s="103" customFormat="1" ht="19.899999999999999" customHeight="1" x14ac:dyDescent="0.25">
      <c r="A3602" s="51"/>
      <c r="B3602" s="52"/>
      <c r="C3602" s="165"/>
      <c r="D3602" s="52"/>
      <c r="E3602" s="115"/>
      <c r="F3602" s="58"/>
      <c r="G3602" s="58"/>
      <c r="H3602" s="58"/>
      <c r="I3602" s="55"/>
      <c r="J3602" s="113">
        <f>J3584</f>
        <v>96.932000000000016</v>
      </c>
      <c r="K3602" s="212">
        <f>K3584</f>
        <v>96.932000000000016</v>
      </c>
      <c r="L3602" s="58"/>
      <c r="M3602" s="58">
        <f>K3602-L3602</f>
        <v>96.932000000000016</v>
      </c>
      <c r="N3602" s="166"/>
      <c r="O3602" s="58"/>
      <c r="P3602" s="58"/>
      <c r="Q3602" s="58"/>
      <c r="R3602" s="58"/>
      <c r="S3602" s="58"/>
      <c r="T3602" s="220"/>
      <c r="U3602" s="88"/>
      <c r="V3602" s="56"/>
      <c r="W3602" s="57" t="s">
        <v>1040</v>
      </c>
      <c r="X3602" s="53"/>
      <c r="Y3602" s="91" t="s">
        <v>68</v>
      </c>
      <c r="Z3602" s="136">
        <f>AD3602/AC3602</f>
        <v>5</v>
      </c>
      <c r="AA3602" s="58"/>
      <c r="AB3602" s="53">
        <f>AD3602/AC3602</f>
        <v>5</v>
      </c>
      <c r="AC3602" s="53">
        <f>M3602+$AE$10</f>
        <v>96.932000000000016</v>
      </c>
      <c r="AD3602" s="54">
        <f>SUM(AD3603)</f>
        <v>484.66000000000008</v>
      </c>
      <c r="AE3602" s="184">
        <f>SUMIFS($AD$37:$AD$12971,$V$37:$V$12971,$V3602,$X$37:$X$12971,AE$13)</f>
        <v>0</v>
      </c>
      <c r="AF3602" s="185">
        <f>SUMIFS($AD$37:$AD$12971,$V$37:$V$12971,$V3602,$X$37:$X$12971,AF$13)</f>
        <v>0</v>
      </c>
      <c r="AG3602" s="185">
        <f>SUMIFS($AD$37:$AD$12971,$V$37:$V$12971,$V3602,$X$37:$X$12971,AG$13)</f>
        <v>0</v>
      </c>
      <c r="AH3602" s="187">
        <f>SUMIFS($AD$37:$AD$12971,$V$37:$V$12971,$V3602,$X$37:$X$12971,AH$13)</f>
        <v>0</v>
      </c>
      <c r="AI3602" s="161">
        <f t="shared" ref="AI3602" si="2714">SUM(AE3602:AH3602)</f>
        <v>0</v>
      </c>
      <c r="AK3602" s="172"/>
    </row>
    <row r="3603" spans="1:41" s="102" customFormat="1" ht="19.899999999999999" customHeight="1" x14ac:dyDescent="0.25">
      <c r="A3603" s="45"/>
      <c r="B3603" s="59"/>
      <c r="C3603" s="137"/>
      <c r="D3603" s="59"/>
      <c r="E3603" s="116"/>
      <c r="F3603" s="120"/>
      <c r="G3603" s="120"/>
      <c r="H3603" s="120"/>
      <c r="I3603" s="60"/>
      <c r="J3603" s="116"/>
      <c r="K3603" s="213"/>
      <c r="L3603" s="120"/>
      <c r="M3603" s="120"/>
      <c r="N3603" s="167"/>
      <c r="O3603" s="120"/>
      <c r="P3603" s="120"/>
      <c r="Q3603" s="120"/>
      <c r="R3603" s="120"/>
      <c r="S3603" s="120"/>
      <c r="T3603" s="221"/>
      <c r="U3603" s="89"/>
      <c r="V3603" s="61"/>
      <c r="W3603" s="92" t="s">
        <v>1039</v>
      </c>
      <c r="X3603" s="93" t="s">
        <v>32</v>
      </c>
      <c r="Y3603" s="93" t="s">
        <v>68</v>
      </c>
      <c r="Z3603" s="134">
        <f>VLOOKUP(W3603,Sheet2!$B:$D,3,FALSE)</f>
        <v>5</v>
      </c>
      <c r="AA3603" s="93">
        <v>1</v>
      </c>
      <c r="AB3603" s="93">
        <f>AD3603/AC3602</f>
        <v>5</v>
      </c>
      <c r="AC3603" s="93">
        <f>AC3602/AA3603</f>
        <v>96.932000000000016</v>
      </c>
      <c r="AD3603" s="94">
        <f t="shared" ref="AD3603" si="2715">AC3603*Z3603</f>
        <v>484.66000000000008</v>
      </c>
      <c r="AE3603" s="190"/>
      <c r="AF3603" s="191"/>
      <c r="AG3603" s="191"/>
      <c r="AH3603" s="191"/>
      <c r="AI3603" s="186"/>
      <c r="AK3603" s="171"/>
    </row>
    <row r="3604" spans="1:41" ht="20.100000000000001" customHeight="1" x14ac:dyDescent="0.25">
      <c r="A3604" s="277" t="s">
        <v>491</v>
      </c>
      <c r="B3604" s="278"/>
      <c r="C3604" s="64" t="s">
        <v>496</v>
      </c>
      <c r="D3604" s="46" t="s">
        <v>97</v>
      </c>
      <c r="E3604" s="114">
        <v>42.640350000000012</v>
      </c>
      <c r="F3604" s="44">
        <v>705</v>
      </c>
      <c r="G3604" s="44">
        <f t="shared" si="2434"/>
        <v>30061.44675000001</v>
      </c>
      <c r="H3604" s="44">
        <f t="shared" si="2435"/>
        <v>361.42705098039215</v>
      </c>
      <c r="I3604" s="43">
        <f t="shared" si="2436"/>
        <v>15411.375953271769</v>
      </c>
      <c r="J3604" s="112">
        <f t="shared" si="2437"/>
        <v>42.640350000000012</v>
      </c>
      <c r="K3604" s="211">
        <f t="shared" si="2438"/>
        <v>42.640350000000012</v>
      </c>
      <c r="L3604" s="44"/>
      <c r="M3604" s="44">
        <f t="shared" si="2458"/>
        <v>42.640350000000012</v>
      </c>
      <c r="N3604" s="173">
        <f t="shared" si="2439"/>
        <v>1</v>
      </c>
      <c r="O3604" s="44">
        <f t="shared" si="2440"/>
        <v>705</v>
      </c>
      <c r="P3604" s="44">
        <f t="shared" si="2441"/>
        <v>30061.44675000001</v>
      </c>
      <c r="Q3604" s="44">
        <f t="shared" si="2442"/>
        <v>361.42705098039215</v>
      </c>
      <c r="R3604" s="44">
        <f t="shared" si="2459"/>
        <v>15411.375953271769</v>
      </c>
      <c r="S3604" s="123"/>
      <c r="T3604" s="219">
        <f t="shared" si="2460"/>
        <v>15411.375953271769</v>
      </c>
      <c r="U3604" s="87"/>
      <c r="V3604" s="47"/>
      <c r="W3604" s="48"/>
      <c r="X3604" s="48"/>
      <c r="Y3604" s="48"/>
      <c r="Z3604" s="135"/>
      <c r="AA3604" s="49"/>
      <c r="AB3604" s="50">
        <f t="shared" si="2443"/>
        <v>361.42705098039215</v>
      </c>
      <c r="AC3604" s="42">
        <f t="shared" si="2461"/>
        <v>42.640350000000012</v>
      </c>
      <c r="AD3604" s="90">
        <f>AD3605+AD3615+AD3622</f>
        <v>15411.375953271769</v>
      </c>
      <c r="AE3604" s="188">
        <f t="shared" ref="AE3604" si="2716">AE3605+AE3615+AE3622</f>
        <v>0</v>
      </c>
      <c r="AF3604" s="189">
        <f t="shared" ref="AF3604" si="2717">AF3605+AF3615+AF3622</f>
        <v>0</v>
      </c>
      <c r="AG3604" s="189">
        <f t="shared" ref="AG3604" si="2718">AG3605+AG3615+AG3622</f>
        <v>0</v>
      </c>
      <c r="AH3604" s="189">
        <f t="shared" ref="AH3604" si="2719">AH3605+AH3615+AH3622</f>
        <v>0</v>
      </c>
      <c r="AI3604" s="161">
        <f t="shared" si="2706"/>
        <v>0</v>
      </c>
      <c r="AK3604" s="169">
        <v>5</v>
      </c>
      <c r="AO3604" s="19" t="s">
        <v>63</v>
      </c>
    </row>
    <row r="3605" spans="1:41" s="103" customFormat="1" ht="19.899999999999999" customHeight="1" x14ac:dyDescent="0.25">
      <c r="A3605" s="51"/>
      <c r="B3605" s="52"/>
      <c r="C3605" s="165"/>
      <c r="D3605" s="52"/>
      <c r="E3605" s="115"/>
      <c r="F3605" s="58"/>
      <c r="G3605" s="58"/>
      <c r="H3605" s="58"/>
      <c r="I3605" s="55"/>
      <c r="J3605" s="113">
        <f>J3604</f>
        <v>42.640350000000012</v>
      </c>
      <c r="K3605" s="212">
        <f>K3604</f>
        <v>42.640350000000012</v>
      </c>
      <c r="L3605" s="58"/>
      <c r="M3605" s="58">
        <f>K3605-L3605</f>
        <v>42.640350000000012</v>
      </c>
      <c r="N3605" s="166"/>
      <c r="O3605" s="58"/>
      <c r="P3605" s="58"/>
      <c r="Q3605" s="58"/>
      <c r="R3605" s="58"/>
      <c r="S3605" s="58"/>
      <c r="T3605" s="220"/>
      <c r="U3605" s="88"/>
      <c r="V3605" s="56"/>
      <c r="W3605" s="57" t="s">
        <v>1233</v>
      </c>
      <c r="X3605" s="53"/>
      <c r="Y3605" s="91" t="s">
        <v>68</v>
      </c>
      <c r="Z3605" s="136">
        <f>AD3605/AC3605</f>
        <v>98.843717647058824</v>
      </c>
      <c r="AA3605" s="58"/>
      <c r="AB3605" s="53">
        <f>AD3605/AC3605</f>
        <v>98.843717647058824</v>
      </c>
      <c r="AC3605" s="53">
        <f>M3605+$AE$10</f>
        <v>42.640350000000012</v>
      </c>
      <c r="AD3605" s="54">
        <f>SUM(AD3606:AD3614)</f>
        <v>4214.730715771766</v>
      </c>
      <c r="AE3605" s="184">
        <f>SUMIFS($AD$37:$AD$12971,$V$37:$V$12971,$V3605,$X$37:$X$12971,AE$13)</f>
        <v>0</v>
      </c>
      <c r="AF3605" s="185">
        <f>SUMIFS($AD$37:$AD$12971,$V$37:$V$12971,$V3605,$X$37:$X$12971,AF$13)</f>
        <v>0</v>
      </c>
      <c r="AG3605" s="185">
        <f>SUMIFS($AD$37:$AD$12971,$V$37:$V$12971,$V3605,$X$37:$X$12971,AG$13)</f>
        <v>0</v>
      </c>
      <c r="AH3605" s="187">
        <f>SUMIFS($AD$37:$AD$12971,$V$37:$V$12971,$V3605,$X$37:$X$12971,AH$13)</f>
        <v>0</v>
      </c>
      <c r="AI3605" s="161">
        <f t="shared" ref="AI3605" si="2720">SUM(AE3605:AH3605)</f>
        <v>0</v>
      </c>
      <c r="AK3605" s="172"/>
    </row>
    <row r="3606" spans="1:41" s="102" customFormat="1" ht="19.899999999999999" customHeight="1" x14ac:dyDescent="0.25">
      <c r="A3606" s="45"/>
      <c r="B3606" s="59"/>
      <c r="C3606" s="137"/>
      <c r="D3606" s="59"/>
      <c r="E3606" s="116"/>
      <c r="F3606" s="120"/>
      <c r="G3606" s="120"/>
      <c r="H3606" s="120"/>
      <c r="I3606" s="60"/>
      <c r="J3606" s="116"/>
      <c r="K3606" s="213"/>
      <c r="L3606" s="120"/>
      <c r="M3606" s="120"/>
      <c r="N3606" s="167"/>
      <c r="O3606" s="120"/>
      <c r="P3606" s="120"/>
      <c r="Q3606" s="120"/>
      <c r="R3606" s="120"/>
      <c r="S3606" s="120"/>
      <c r="T3606" s="221"/>
      <c r="U3606" s="89"/>
      <c r="V3606" s="61"/>
      <c r="W3606" s="92" t="s">
        <v>131</v>
      </c>
      <c r="X3606" s="93" t="s">
        <v>29</v>
      </c>
      <c r="Y3606" s="93" t="s">
        <v>93</v>
      </c>
      <c r="Z3606" s="134">
        <f>VLOOKUP(W3606,Sheet2!$B:$D,3,FALSE)</f>
        <v>131.19999999999999</v>
      </c>
      <c r="AA3606" s="93">
        <f>80/(1.2*5)</f>
        <v>13.333333333333334</v>
      </c>
      <c r="AB3606" s="93">
        <f t="shared" ref="AB3606" si="2721">AD3606/AC3605</f>
        <v>9.84</v>
      </c>
      <c r="AC3606" s="93">
        <f>AC3605/AA3606</f>
        <v>3.1980262500000007</v>
      </c>
      <c r="AD3606" s="94">
        <f t="shared" ref="AD3606:AD3607" si="2722">AC3606*Z3606</f>
        <v>419.58104400000008</v>
      </c>
      <c r="AE3606" s="190"/>
      <c r="AF3606" s="191"/>
      <c r="AG3606" s="191"/>
      <c r="AH3606" s="191"/>
      <c r="AI3606" s="186"/>
      <c r="AK3606" s="171"/>
    </row>
    <row r="3607" spans="1:41" s="102" customFormat="1" ht="19.899999999999999" customHeight="1" x14ac:dyDescent="0.25">
      <c r="A3607" s="45"/>
      <c r="B3607" s="59"/>
      <c r="C3607" s="137"/>
      <c r="D3607" s="59"/>
      <c r="E3607" s="116"/>
      <c r="F3607" s="120"/>
      <c r="G3607" s="120"/>
      <c r="H3607" s="120"/>
      <c r="I3607" s="60"/>
      <c r="J3607" s="116"/>
      <c r="K3607" s="213"/>
      <c r="L3607" s="120"/>
      <c r="M3607" s="120"/>
      <c r="N3607" s="167"/>
      <c r="O3607" s="120"/>
      <c r="P3607" s="120"/>
      <c r="Q3607" s="120"/>
      <c r="R3607" s="120"/>
      <c r="S3607" s="120"/>
      <c r="T3607" s="221"/>
      <c r="U3607" s="89"/>
      <c r="V3607" s="61"/>
      <c r="W3607" s="92" t="s">
        <v>65</v>
      </c>
      <c r="X3607" s="93" t="s">
        <v>30</v>
      </c>
      <c r="Y3607" s="93" t="s">
        <v>1011</v>
      </c>
      <c r="Z3607" s="134">
        <f>VLOOKUP(W3607,Sheet2!$B:$D,3,FALSE)</f>
        <v>1.76</v>
      </c>
      <c r="AA3607" s="93">
        <f>AA3606/32</f>
        <v>0.41666666666666669</v>
      </c>
      <c r="AB3607" s="93">
        <f>AD3607/AC3605</f>
        <v>4.2240000000000002</v>
      </c>
      <c r="AC3607" s="93">
        <f>AC3605/AA3607</f>
        <v>102.33684000000002</v>
      </c>
      <c r="AD3607" s="94">
        <f t="shared" si="2722"/>
        <v>180.11283840000004</v>
      </c>
      <c r="AE3607" s="190"/>
      <c r="AF3607" s="191"/>
      <c r="AG3607" s="191"/>
      <c r="AH3607" s="191"/>
      <c r="AI3607" s="186"/>
      <c r="AK3607" s="171"/>
    </row>
    <row r="3608" spans="1:41" s="102" customFormat="1" ht="19.899999999999999" customHeight="1" x14ac:dyDescent="0.25">
      <c r="A3608" s="45"/>
      <c r="B3608" s="59"/>
      <c r="C3608" s="137"/>
      <c r="D3608" s="59"/>
      <c r="E3608" s="116"/>
      <c r="F3608" s="120"/>
      <c r="G3608" s="120"/>
      <c r="H3608" s="120"/>
      <c r="I3608" s="60"/>
      <c r="J3608" s="116"/>
      <c r="K3608" s="213"/>
      <c r="L3608" s="120"/>
      <c r="M3608" s="120"/>
      <c r="N3608" s="167"/>
      <c r="O3608" s="120"/>
      <c r="P3608" s="120"/>
      <c r="Q3608" s="120"/>
      <c r="R3608" s="120"/>
      <c r="S3608" s="120"/>
      <c r="T3608" s="221"/>
      <c r="U3608" s="89"/>
      <c r="V3608" s="61"/>
      <c r="W3608" s="92" t="s">
        <v>161</v>
      </c>
      <c r="X3608" s="93" t="s">
        <v>29</v>
      </c>
      <c r="Y3608" s="93" t="s">
        <v>93</v>
      </c>
      <c r="Z3608" s="134">
        <f>VLOOKUP(W3608,Sheet2!$B:$D,3,FALSE)</f>
        <v>48</v>
      </c>
      <c r="AA3608" s="93">
        <f>(16*0.85*1.5)/(1.2*5)</f>
        <v>3.4</v>
      </c>
      <c r="AB3608" s="93">
        <f>AD3608/AC3605</f>
        <v>14.117647058823531</v>
      </c>
      <c r="AC3608" s="93">
        <f>AC3605/AA3608</f>
        <v>12.541279411764711</v>
      </c>
      <c r="AD3608" s="94">
        <f>AC3608*Z3608</f>
        <v>601.98141176470608</v>
      </c>
      <c r="AE3608" s="190"/>
      <c r="AF3608" s="191"/>
      <c r="AG3608" s="191"/>
      <c r="AH3608" s="191"/>
      <c r="AI3608" s="186"/>
      <c r="AK3608" s="171"/>
    </row>
    <row r="3609" spans="1:41" s="102" customFormat="1" ht="19.899999999999999" customHeight="1" x14ac:dyDescent="0.25">
      <c r="A3609" s="45"/>
      <c r="B3609" s="59"/>
      <c r="C3609" s="137"/>
      <c r="D3609" s="59"/>
      <c r="E3609" s="116"/>
      <c r="F3609" s="120"/>
      <c r="G3609" s="120"/>
      <c r="H3609" s="120"/>
      <c r="I3609" s="60"/>
      <c r="J3609" s="116"/>
      <c r="K3609" s="213"/>
      <c r="L3609" s="120"/>
      <c r="M3609" s="120"/>
      <c r="N3609" s="167"/>
      <c r="O3609" s="120"/>
      <c r="P3609" s="120"/>
      <c r="Q3609" s="120"/>
      <c r="R3609" s="120"/>
      <c r="S3609" s="120"/>
      <c r="T3609" s="221"/>
      <c r="U3609" s="89"/>
      <c r="V3609" s="61"/>
      <c r="W3609" s="92" t="s">
        <v>65</v>
      </c>
      <c r="X3609" s="93" t="s">
        <v>30</v>
      </c>
      <c r="Y3609" s="93" t="s">
        <v>1011</v>
      </c>
      <c r="Z3609" s="134">
        <f>VLOOKUP(W3609,Sheet2!$B:$D,3,FALSE)</f>
        <v>1.76</v>
      </c>
      <c r="AA3609" s="93">
        <f>AA3608/10</f>
        <v>0.33999999999999997</v>
      </c>
      <c r="AB3609" s="93">
        <f>AD3609/AC3605</f>
        <v>5.1764705882352953</v>
      </c>
      <c r="AC3609" s="93">
        <f>AC3605/AA3609</f>
        <v>125.41279411764711</v>
      </c>
      <c r="AD3609" s="94">
        <f>AC3609*Z3609</f>
        <v>220.72651764705893</v>
      </c>
      <c r="AE3609" s="190"/>
      <c r="AF3609" s="191"/>
      <c r="AG3609" s="191"/>
      <c r="AH3609" s="191"/>
      <c r="AI3609" s="186"/>
      <c r="AK3609" s="171"/>
    </row>
    <row r="3610" spans="1:41" s="102" customFormat="1" ht="19.899999999999999" customHeight="1" x14ac:dyDescent="0.25">
      <c r="A3610" s="45"/>
      <c r="B3610" s="59"/>
      <c r="C3610" s="137"/>
      <c r="D3610" s="59"/>
      <c r="E3610" s="116"/>
      <c r="F3610" s="120"/>
      <c r="G3610" s="120"/>
      <c r="H3610" s="120"/>
      <c r="I3610" s="60"/>
      <c r="J3610" s="116"/>
      <c r="K3610" s="213"/>
      <c r="L3610" s="120"/>
      <c r="M3610" s="120"/>
      <c r="N3610" s="167"/>
      <c r="O3610" s="120"/>
      <c r="P3610" s="120"/>
      <c r="Q3610" s="120"/>
      <c r="R3610" s="120"/>
      <c r="S3610" s="120"/>
      <c r="T3610" s="221"/>
      <c r="U3610" s="89"/>
      <c r="V3610" s="61"/>
      <c r="W3610" s="92" t="s">
        <v>1030</v>
      </c>
      <c r="X3610" s="93" t="s">
        <v>29</v>
      </c>
      <c r="Y3610" s="93" t="s">
        <v>93</v>
      </c>
      <c r="Z3610" s="134">
        <f>VLOOKUP(W3610,Sheet2!$B:$D,3,FALSE)</f>
        <v>23</v>
      </c>
      <c r="AA3610" s="93">
        <v>50</v>
      </c>
      <c r="AB3610" s="93">
        <f>AD3610/AC3605</f>
        <v>0.46</v>
      </c>
      <c r="AC3610" s="93">
        <f>AC3605/AA3610</f>
        <v>0.8528070000000002</v>
      </c>
      <c r="AD3610" s="94">
        <f t="shared" ref="AD3610:AD3614" si="2723">AC3610*Z3610</f>
        <v>19.614561000000005</v>
      </c>
      <c r="AE3610" s="190"/>
      <c r="AF3610" s="191"/>
      <c r="AG3610" s="191"/>
      <c r="AH3610" s="191"/>
      <c r="AI3610" s="186"/>
      <c r="AK3610" s="171"/>
    </row>
    <row r="3611" spans="1:41" s="102" customFormat="1" ht="19.899999999999999" customHeight="1" x14ac:dyDescent="0.25">
      <c r="A3611" s="45"/>
      <c r="B3611" s="59"/>
      <c r="C3611" s="137"/>
      <c r="D3611" s="59"/>
      <c r="E3611" s="116"/>
      <c r="F3611" s="120"/>
      <c r="G3611" s="120"/>
      <c r="H3611" s="120"/>
      <c r="I3611" s="60"/>
      <c r="J3611" s="116"/>
      <c r="K3611" s="213"/>
      <c r="L3611" s="120"/>
      <c r="M3611" s="120"/>
      <c r="N3611" s="167"/>
      <c r="O3611" s="120"/>
      <c r="P3611" s="120"/>
      <c r="Q3611" s="120"/>
      <c r="R3611" s="120"/>
      <c r="S3611" s="120"/>
      <c r="T3611" s="221"/>
      <c r="U3611" s="89"/>
      <c r="V3611" s="61"/>
      <c r="W3611" s="92" t="s">
        <v>65</v>
      </c>
      <c r="X3611" s="93" t="s">
        <v>30</v>
      </c>
      <c r="Y3611" s="93" t="s">
        <v>1011</v>
      </c>
      <c r="Z3611" s="134">
        <f>VLOOKUP(W3611,Sheet2!$B:$D,3,FALSE)</f>
        <v>1.76</v>
      </c>
      <c r="AA3611" s="93">
        <f>AA3610/3</f>
        <v>16.666666666666668</v>
      </c>
      <c r="AB3611" s="93">
        <f>AD3611/AC3605</f>
        <v>0.1056</v>
      </c>
      <c r="AC3611" s="93">
        <f>AC3605/AA3611</f>
        <v>2.5584210000000005</v>
      </c>
      <c r="AD3611" s="94">
        <f t="shared" si="2723"/>
        <v>4.5028209600000011</v>
      </c>
      <c r="AE3611" s="190"/>
      <c r="AF3611" s="191"/>
      <c r="AG3611" s="191"/>
      <c r="AH3611" s="191"/>
      <c r="AI3611" s="186"/>
      <c r="AK3611" s="171"/>
    </row>
    <row r="3612" spans="1:41" s="102" customFormat="1" ht="19.899999999999999" customHeight="1" x14ac:dyDescent="0.25">
      <c r="A3612" s="45"/>
      <c r="B3612" s="59"/>
      <c r="C3612" s="137"/>
      <c r="D3612" s="59"/>
      <c r="E3612" s="116"/>
      <c r="F3612" s="120"/>
      <c r="G3612" s="120"/>
      <c r="H3612" s="120"/>
      <c r="I3612" s="60"/>
      <c r="J3612" s="116"/>
      <c r="K3612" s="213"/>
      <c r="L3612" s="120"/>
      <c r="M3612" s="120"/>
      <c r="N3612" s="167"/>
      <c r="O3612" s="120"/>
      <c r="P3612" s="120"/>
      <c r="Q3612" s="120"/>
      <c r="R3612" s="120"/>
      <c r="S3612" s="120"/>
      <c r="T3612" s="221"/>
      <c r="U3612" s="89"/>
      <c r="V3612" s="61"/>
      <c r="W3612" s="92" t="s">
        <v>148</v>
      </c>
      <c r="X3612" s="93" t="s">
        <v>29</v>
      </c>
      <c r="Y3612" s="93" t="s">
        <v>93</v>
      </c>
      <c r="Z3612" s="134">
        <f>VLOOKUP(W3612,Sheet2!$B:$D,3,FALSE)</f>
        <v>48</v>
      </c>
      <c r="AA3612" s="93">
        <f>AA3606</f>
        <v>13.333333333333334</v>
      </c>
      <c r="AB3612" s="93">
        <f>AD3612/AC3605</f>
        <v>3.5999999999999996</v>
      </c>
      <c r="AC3612" s="93">
        <f>AC3605/AA3612</f>
        <v>3.1980262500000007</v>
      </c>
      <c r="AD3612" s="94">
        <f t="shared" si="2723"/>
        <v>153.50526000000002</v>
      </c>
      <c r="AE3612" s="190"/>
      <c r="AF3612" s="191"/>
      <c r="AG3612" s="191"/>
      <c r="AH3612" s="191"/>
      <c r="AI3612" s="186"/>
      <c r="AK3612" s="171"/>
    </row>
    <row r="3613" spans="1:41" s="102" customFormat="1" ht="19.899999999999999" customHeight="1" x14ac:dyDescent="0.25">
      <c r="A3613" s="45"/>
      <c r="B3613" s="59"/>
      <c r="C3613" s="137"/>
      <c r="D3613" s="59"/>
      <c r="E3613" s="116"/>
      <c r="F3613" s="120"/>
      <c r="G3613" s="120"/>
      <c r="H3613" s="120"/>
      <c r="I3613" s="60"/>
      <c r="J3613" s="116"/>
      <c r="K3613" s="213"/>
      <c r="L3613" s="120"/>
      <c r="M3613" s="120"/>
      <c r="N3613" s="167"/>
      <c r="O3613" s="120"/>
      <c r="P3613" s="120"/>
      <c r="Q3613" s="120"/>
      <c r="R3613" s="120"/>
      <c r="S3613" s="120"/>
      <c r="T3613" s="221"/>
      <c r="U3613" s="89"/>
      <c r="V3613" s="61"/>
      <c r="W3613" s="92" t="s">
        <v>65</v>
      </c>
      <c r="X3613" s="93" t="s">
        <v>30</v>
      </c>
      <c r="Y3613" s="93" t="s">
        <v>1011</v>
      </c>
      <c r="Z3613" s="134">
        <f>VLOOKUP(W3613,Sheet2!$B:$D,3,FALSE)</f>
        <v>1.76</v>
      </c>
      <c r="AA3613" s="93">
        <f>AA3612/10</f>
        <v>1.3333333333333335</v>
      </c>
      <c r="AB3613" s="93">
        <f>AD3613/AC3605</f>
        <v>1.3199999999999998</v>
      </c>
      <c r="AC3613" s="93">
        <f>AC3605/AA3613</f>
        <v>31.980262500000006</v>
      </c>
      <c r="AD3613" s="94">
        <f t="shared" si="2723"/>
        <v>56.28526200000001</v>
      </c>
      <c r="AE3613" s="190"/>
      <c r="AF3613" s="191"/>
      <c r="AG3613" s="191"/>
      <c r="AH3613" s="191"/>
      <c r="AI3613" s="186"/>
      <c r="AK3613" s="171"/>
    </row>
    <row r="3614" spans="1:41" s="102" customFormat="1" ht="19.899999999999999" customHeight="1" x14ac:dyDescent="0.25">
      <c r="A3614" s="45"/>
      <c r="B3614" s="59"/>
      <c r="C3614" s="137"/>
      <c r="D3614" s="59"/>
      <c r="E3614" s="116"/>
      <c r="F3614" s="120"/>
      <c r="G3614" s="120"/>
      <c r="H3614" s="120"/>
      <c r="I3614" s="60"/>
      <c r="J3614" s="116"/>
      <c r="K3614" s="213"/>
      <c r="L3614" s="120"/>
      <c r="M3614" s="120"/>
      <c r="N3614" s="167"/>
      <c r="O3614" s="120"/>
      <c r="P3614" s="120"/>
      <c r="Q3614" s="120"/>
      <c r="R3614" s="120"/>
      <c r="S3614" s="120"/>
      <c r="T3614" s="221"/>
      <c r="U3614" s="89"/>
      <c r="V3614" s="61"/>
      <c r="W3614" s="92" t="s">
        <v>1049</v>
      </c>
      <c r="X3614" s="93" t="s">
        <v>30</v>
      </c>
      <c r="Y3614" s="93" t="s">
        <v>68</v>
      </c>
      <c r="Z3614" s="134">
        <f>VLOOKUP(W3614,Sheet2!$B:$D,3,FALSE)</f>
        <v>60</v>
      </c>
      <c r="AA3614" s="93">
        <v>1</v>
      </c>
      <c r="AB3614" s="93">
        <f>AD3614/AC3605</f>
        <v>60</v>
      </c>
      <c r="AC3614" s="93">
        <f>AC3605/AA3614</f>
        <v>42.640350000000012</v>
      </c>
      <c r="AD3614" s="94">
        <f t="shared" si="2723"/>
        <v>2558.4210000000007</v>
      </c>
      <c r="AE3614" s="190"/>
      <c r="AF3614" s="191"/>
      <c r="AG3614" s="191"/>
      <c r="AH3614" s="191"/>
      <c r="AI3614" s="186"/>
      <c r="AK3614" s="171"/>
    </row>
    <row r="3615" spans="1:41" s="103" customFormat="1" ht="19.899999999999999" customHeight="1" x14ac:dyDescent="0.25">
      <c r="A3615" s="51"/>
      <c r="B3615" s="52"/>
      <c r="C3615" s="165"/>
      <c r="D3615" s="52"/>
      <c r="E3615" s="115"/>
      <c r="F3615" s="58"/>
      <c r="G3615" s="58"/>
      <c r="H3615" s="58"/>
      <c r="I3615" s="55"/>
      <c r="J3615" s="113">
        <f>J3604</f>
        <v>42.640350000000012</v>
      </c>
      <c r="K3615" s="212">
        <f>K3604</f>
        <v>42.640350000000012</v>
      </c>
      <c r="L3615" s="58"/>
      <c r="M3615" s="58">
        <f>K3615-L3615</f>
        <v>42.640350000000012</v>
      </c>
      <c r="N3615" s="166"/>
      <c r="O3615" s="58"/>
      <c r="P3615" s="58"/>
      <c r="Q3615" s="58"/>
      <c r="R3615" s="58"/>
      <c r="S3615" s="58"/>
      <c r="T3615" s="220"/>
      <c r="U3615" s="88"/>
      <c r="V3615" s="56"/>
      <c r="W3615" s="57" t="s">
        <v>1036</v>
      </c>
      <c r="X3615" s="53"/>
      <c r="Y3615" s="91" t="s">
        <v>68</v>
      </c>
      <c r="Z3615" s="136">
        <f>AD3615/AC3615</f>
        <v>257.58333333333331</v>
      </c>
      <c r="AA3615" s="58"/>
      <c r="AB3615" s="53">
        <f>AD3615/AC3615</f>
        <v>257.58333333333331</v>
      </c>
      <c r="AC3615" s="53">
        <f>M3615+$AE$10</f>
        <v>42.640350000000012</v>
      </c>
      <c r="AD3615" s="54">
        <f>SUM(AD3616:AD3621)</f>
        <v>10983.443487500002</v>
      </c>
      <c r="AE3615" s="184">
        <f>SUMIFS($AD$37:$AD$12971,$V$37:$V$12971,$V3615,$X$37:$X$12971,AE$13)</f>
        <v>0</v>
      </c>
      <c r="AF3615" s="185">
        <f>SUMIFS($AD$37:$AD$12971,$V$37:$V$12971,$V3615,$X$37:$X$12971,AF$13)</f>
        <v>0</v>
      </c>
      <c r="AG3615" s="185">
        <f>SUMIFS($AD$37:$AD$12971,$V$37:$V$12971,$V3615,$X$37:$X$12971,AG$13)</f>
        <v>0</v>
      </c>
      <c r="AH3615" s="187">
        <f>SUMIFS($AD$37:$AD$12971,$V$37:$V$12971,$V3615,$X$37:$X$12971,AH$13)</f>
        <v>0</v>
      </c>
      <c r="AI3615" s="161">
        <f t="shared" ref="AI3615" si="2724">SUM(AE3615:AH3615)</f>
        <v>0</v>
      </c>
      <c r="AK3615" s="172"/>
    </row>
    <row r="3616" spans="1:41" s="102" customFormat="1" ht="19.899999999999999" customHeight="1" x14ac:dyDescent="0.25">
      <c r="A3616" s="45"/>
      <c r="B3616" s="59"/>
      <c r="C3616" s="137"/>
      <c r="D3616" s="59"/>
      <c r="E3616" s="116"/>
      <c r="F3616" s="120"/>
      <c r="G3616" s="120"/>
      <c r="H3616" s="120"/>
      <c r="I3616" s="60"/>
      <c r="J3616" s="116"/>
      <c r="K3616" s="213"/>
      <c r="L3616" s="120"/>
      <c r="M3616" s="120"/>
      <c r="N3616" s="167"/>
      <c r="O3616" s="120"/>
      <c r="P3616" s="120"/>
      <c r="Q3616" s="120"/>
      <c r="R3616" s="120"/>
      <c r="S3616" s="120"/>
      <c r="T3616" s="221"/>
      <c r="U3616" s="89"/>
      <c r="V3616" s="61"/>
      <c r="W3616" s="92" t="s">
        <v>1055</v>
      </c>
      <c r="X3616" s="93" t="s">
        <v>30</v>
      </c>
      <c r="Y3616" s="93" t="s">
        <v>68</v>
      </c>
      <c r="Z3616" s="134">
        <f>VLOOKUP(W3616,Sheet2!$B:$D,3,FALSE)</f>
        <v>144</v>
      </c>
      <c r="AA3616" s="93">
        <v>1</v>
      </c>
      <c r="AB3616" s="93">
        <f>AD3616/AC3615</f>
        <v>144</v>
      </c>
      <c r="AC3616" s="93">
        <f>AC3615/AA3616</f>
        <v>42.640350000000012</v>
      </c>
      <c r="AD3616" s="94">
        <f t="shared" ref="AD3616" si="2725">AC3616*Z3616</f>
        <v>6140.2104000000018</v>
      </c>
      <c r="AE3616" s="190"/>
      <c r="AF3616" s="191"/>
      <c r="AG3616" s="191"/>
      <c r="AH3616" s="191"/>
      <c r="AI3616" s="186"/>
      <c r="AK3616" s="171"/>
    </row>
    <row r="3617" spans="1:41" s="102" customFormat="1" ht="19.899999999999999" customHeight="1" x14ac:dyDescent="0.25">
      <c r="A3617" s="45"/>
      <c r="B3617" s="59"/>
      <c r="C3617" s="137"/>
      <c r="D3617" s="59"/>
      <c r="E3617" s="116"/>
      <c r="F3617" s="120"/>
      <c r="G3617" s="120"/>
      <c r="H3617" s="120"/>
      <c r="I3617" s="60"/>
      <c r="J3617" s="116"/>
      <c r="K3617" s="213"/>
      <c r="L3617" s="120"/>
      <c r="M3617" s="120"/>
      <c r="N3617" s="167"/>
      <c r="O3617" s="120"/>
      <c r="P3617" s="120"/>
      <c r="Q3617" s="120"/>
      <c r="R3617" s="120"/>
      <c r="S3617" s="120"/>
      <c r="T3617" s="221"/>
      <c r="U3617" s="89"/>
      <c r="V3617" s="61"/>
      <c r="W3617" s="92" t="s">
        <v>1062</v>
      </c>
      <c r="X3617" s="93" t="s">
        <v>30</v>
      </c>
      <c r="Y3617" s="93" t="s">
        <v>68</v>
      </c>
      <c r="Z3617" s="134">
        <f>VLOOKUP(W3617,Sheet2!$B:$D,3,FALSE)</f>
        <v>15</v>
      </c>
      <c r="AA3617" s="93">
        <v>1</v>
      </c>
      <c r="AB3617" s="93">
        <f>AD3617/AC3615</f>
        <v>15</v>
      </c>
      <c r="AC3617" s="93">
        <f>AC3615/AA3617</f>
        <v>42.640350000000012</v>
      </c>
      <c r="AD3617" s="94">
        <f>AC3617*Z3617</f>
        <v>639.60525000000018</v>
      </c>
      <c r="AE3617" s="190"/>
      <c r="AF3617" s="191"/>
      <c r="AG3617" s="191"/>
      <c r="AH3617" s="191"/>
      <c r="AI3617" s="186"/>
      <c r="AK3617" s="171"/>
    </row>
    <row r="3618" spans="1:41" s="102" customFormat="1" ht="19.899999999999999" customHeight="1" x14ac:dyDescent="0.25">
      <c r="A3618" s="45"/>
      <c r="B3618" s="59"/>
      <c r="C3618" s="137"/>
      <c r="D3618" s="59"/>
      <c r="E3618" s="116"/>
      <c r="F3618" s="120"/>
      <c r="G3618" s="120"/>
      <c r="H3618" s="120"/>
      <c r="I3618" s="60"/>
      <c r="J3618" s="116"/>
      <c r="K3618" s="213"/>
      <c r="L3618" s="120"/>
      <c r="M3618" s="120"/>
      <c r="N3618" s="167"/>
      <c r="O3618" s="120"/>
      <c r="P3618" s="120"/>
      <c r="Q3618" s="120"/>
      <c r="R3618" s="120"/>
      <c r="S3618" s="120"/>
      <c r="T3618" s="221"/>
      <c r="U3618" s="89"/>
      <c r="V3618" s="61"/>
      <c r="W3618" s="92" t="s">
        <v>1070</v>
      </c>
      <c r="X3618" s="93" t="s">
        <v>32</v>
      </c>
      <c r="Y3618" s="93" t="s">
        <v>68</v>
      </c>
      <c r="Z3618" s="134">
        <f>VLOOKUP(W3618,Sheet2!$B:$D,3,FALSE)</f>
        <v>50</v>
      </c>
      <c r="AA3618" s="93">
        <v>1</v>
      </c>
      <c r="AB3618" s="93">
        <f>AD3618/AC3615</f>
        <v>50.000000000000007</v>
      </c>
      <c r="AC3618" s="93">
        <f>AC3615/AA3618</f>
        <v>42.640350000000012</v>
      </c>
      <c r="AD3618" s="94">
        <f>AC3618*Z3618</f>
        <v>2132.0175000000008</v>
      </c>
      <c r="AE3618" s="190"/>
      <c r="AF3618" s="191"/>
      <c r="AG3618" s="191"/>
      <c r="AH3618" s="191"/>
      <c r="AI3618" s="186"/>
      <c r="AK3618" s="171"/>
    </row>
    <row r="3619" spans="1:41" s="102" customFormat="1" ht="19.899999999999999" customHeight="1" x14ac:dyDescent="0.25">
      <c r="A3619" s="45"/>
      <c r="B3619" s="59"/>
      <c r="C3619" s="137"/>
      <c r="D3619" s="59"/>
      <c r="E3619" s="116"/>
      <c r="F3619" s="120"/>
      <c r="G3619" s="120"/>
      <c r="H3619" s="120"/>
      <c r="I3619" s="60"/>
      <c r="J3619" s="116"/>
      <c r="K3619" s="213"/>
      <c r="L3619" s="120"/>
      <c r="M3619" s="120"/>
      <c r="N3619" s="167"/>
      <c r="O3619" s="120"/>
      <c r="P3619" s="120"/>
      <c r="Q3619" s="120"/>
      <c r="R3619" s="120"/>
      <c r="S3619" s="120"/>
      <c r="T3619" s="221"/>
      <c r="U3619" s="89"/>
      <c r="V3619" s="61"/>
      <c r="W3619" s="92" t="s">
        <v>1032</v>
      </c>
      <c r="X3619" s="93" t="s">
        <v>30</v>
      </c>
      <c r="Y3619" s="93" t="s">
        <v>66</v>
      </c>
      <c r="Z3619" s="134">
        <f>VLOOKUP(W3619,Sheet2!$B:$D,3,FALSE)</f>
        <v>250</v>
      </c>
      <c r="AA3619" s="93">
        <f>1/(1.2*0.1)</f>
        <v>8.3333333333333339</v>
      </c>
      <c r="AB3619" s="93">
        <f>AD3619/AC3615</f>
        <v>29.999999999999993</v>
      </c>
      <c r="AC3619" s="93">
        <f>AC3615/AA3619</f>
        <v>5.116842000000001</v>
      </c>
      <c r="AD3619" s="94">
        <f>AC3619*Z3619</f>
        <v>1279.2105000000001</v>
      </c>
      <c r="AE3619" s="190"/>
      <c r="AF3619" s="191"/>
      <c r="AG3619" s="191"/>
      <c r="AH3619" s="191"/>
      <c r="AI3619" s="186"/>
      <c r="AK3619" s="171"/>
    </row>
    <row r="3620" spans="1:41" s="102" customFormat="1" ht="19.899999999999999" customHeight="1" x14ac:dyDescent="0.25">
      <c r="A3620" s="45"/>
      <c r="B3620" s="59"/>
      <c r="C3620" s="137"/>
      <c r="D3620" s="59"/>
      <c r="E3620" s="116"/>
      <c r="F3620" s="120"/>
      <c r="G3620" s="120"/>
      <c r="H3620" s="120"/>
      <c r="I3620" s="60"/>
      <c r="J3620" s="116"/>
      <c r="K3620" s="213"/>
      <c r="L3620" s="120"/>
      <c r="M3620" s="120"/>
      <c r="N3620" s="167"/>
      <c r="O3620" s="120"/>
      <c r="P3620" s="120"/>
      <c r="Q3620" s="120"/>
      <c r="R3620" s="120"/>
      <c r="S3620" s="120"/>
      <c r="T3620" s="221"/>
      <c r="U3620" s="89"/>
      <c r="V3620" s="61"/>
      <c r="W3620" s="92" t="s">
        <v>1035</v>
      </c>
      <c r="X3620" s="93" t="s">
        <v>32</v>
      </c>
      <c r="Y3620" s="93" t="s">
        <v>66</v>
      </c>
      <c r="Z3620" s="134">
        <f>VLOOKUP(W3620,Sheet2!$B:$D,3,FALSE)</f>
        <v>150</v>
      </c>
      <c r="AA3620" s="93">
        <f>AA3619</f>
        <v>8.3333333333333339</v>
      </c>
      <c r="AB3620" s="93">
        <f>AD3620/AC3615</f>
        <v>17.999999999999996</v>
      </c>
      <c r="AC3620" s="93">
        <f>AC3615/AA3620</f>
        <v>5.116842000000001</v>
      </c>
      <c r="AD3620" s="94">
        <f t="shared" ref="AD3620:AD3621" si="2726">AC3620*Z3620</f>
        <v>767.52630000000011</v>
      </c>
      <c r="AE3620" s="190"/>
      <c r="AF3620" s="191"/>
      <c r="AG3620" s="191"/>
      <c r="AH3620" s="191"/>
      <c r="AI3620" s="186"/>
      <c r="AK3620" s="171"/>
    </row>
    <row r="3621" spans="1:41" s="102" customFormat="1" ht="19.899999999999999" customHeight="1" x14ac:dyDescent="0.25">
      <c r="A3621" s="45"/>
      <c r="B3621" s="59"/>
      <c r="C3621" s="137"/>
      <c r="D3621" s="59"/>
      <c r="E3621" s="116"/>
      <c r="F3621" s="120"/>
      <c r="G3621" s="120"/>
      <c r="H3621" s="120"/>
      <c r="I3621" s="60"/>
      <c r="J3621" s="116"/>
      <c r="K3621" s="213"/>
      <c r="L3621" s="120"/>
      <c r="M3621" s="120"/>
      <c r="N3621" s="167"/>
      <c r="O3621" s="120"/>
      <c r="P3621" s="120"/>
      <c r="Q3621" s="120"/>
      <c r="R3621" s="120"/>
      <c r="S3621" s="120"/>
      <c r="T3621" s="221"/>
      <c r="U3621" s="89"/>
      <c r="V3621" s="61"/>
      <c r="W3621" s="92" t="s">
        <v>1037</v>
      </c>
      <c r="X3621" s="93" t="s">
        <v>30</v>
      </c>
      <c r="Y3621" s="93" t="s">
        <v>1038</v>
      </c>
      <c r="Z3621" s="134">
        <f>VLOOKUP(W3621,Sheet2!$B:$D,3,FALSE)</f>
        <v>175</v>
      </c>
      <c r="AA3621" s="93">
        <v>300</v>
      </c>
      <c r="AB3621" s="93">
        <f>AD3621/AC3615</f>
        <v>0.58333333333333337</v>
      </c>
      <c r="AC3621" s="93">
        <f>AC3615/AA3621</f>
        <v>0.14213450000000005</v>
      </c>
      <c r="AD3621" s="94">
        <f t="shared" si="2726"/>
        <v>24.873537500000008</v>
      </c>
      <c r="AE3621" s="190"/>
      <c r="AF3621" s="191"/>
      <c r="AG3621" s="191"/>
      <c r="AH3621" s="191"/>
      <c r="AI3621" s="186"/>
      <c r="AK3621" s="171"/>
    </row>
    <row r="3622" spans="1:41" s="103" customFormat="1" ht="19.899999999999999" customHeight="1" x14ac:dyDescent="0.25">
      <c r="A3622" s="51"/>
      <c r="B3622" s="52"/>
      <c r="C3622" s="165"/>
      <c r="D3622" s="52"/>
      <c r="E3622" s="115"/>
      <c r="F3622" s="58"/>
      <c r="G3622" s="58"/>
      <c r="H3622" s="58"/>
      <c r="I3622" s="55"/>
      <c r="J3622" s="113">
        <f>J3604</f>
        <v>42.640350000000012</v>
      </c>
      <c r="K3622" s="212">
        <f>K3604</f>
        <v>42.640350000000012</v>
      </c>
      <c r="L3622" s="58"/>
      <c r="M3622" s="58">
        <f>K3622-L3622</f>
        <v>42.640350000000012</v>
      </c>
      <c r="N3622" s="166"/>
      <c r="O3622" s="58"/>
      <c r="P3622" s="58"/>
      <c r="Q3622" s="58"/>
      <c r="R3622" s="58"/>
      <c r="S3622" s="58"/>
      <c r="T3622" s="220"/>
      <c r="U3622" s="88"/>
      <c r="V3622" s="56"/>
      <c r="W3622" s="57" t="s">
        <v>1040</v>
      </c>
      <c r="X3622" s="53"/>
      <c r="Y3622" s="91" t="s">
        <v>68</v>
      </c>
      <c r="Z3622" s="136">
        <f>AD3622/AC3622</f>
        <v>5</v>
      </c>
      <c r="AA3622" s="58"/>
      <c r="AB3622" s="53">
        <f>AD3622/AC3622</f>
        <v>5</v>
      </c>
      <c r="AC3622" s="53">
        <f>M3622+$AE$10</f>
        <v>42.640350000000012</v>
      </c>
      <c r="AD3622" s="54">
        <f>SUM(AD3623)</f>
        <v>213.20175000000006</v>
      </c>
      <c r="AE3622" s="184">
        <f>SUMIFS($AD$37:$AD$12971,$V$37:$V$12971,$V3622,$X$37:$X$12971,AE$13)</f>
        <v>0</v>
      </c>
      <c r="AF3622" s="185">
        <f>SUMIFS($AD$37:$AD$12971,$V$37:$V$12971,$V3622,$X$37:$X$12971,AF$13)</f>
        <v>0</v>
      </c>
      <c r="AG3622" s="185">
        <f>SUMIFS($AD$37:$AD$12971,$V$37:$V$12971,$V3622,$X$37:$X$12971,AG$13)</f>
        <v>0</v>
      </c>
      <c r="AH3622" s="187">
        <f>SUMIFS($AD$37:$AD$12971,$V$37:$V$12971,$V3622,$X$37:$X$12971,AH$13)</f>
        <v>0</v>
      </c>
      <c r="AI3622" s="161">
        <f t="shared" ref="AI3622" si="2727">SUM(AE3622:AH3622)</f>
        <v>0</v>
      </c>
      <c r="AK3622" s="172"/>
    </row>
    <row r="3623" spans="1:41" s="102" customFormat="1" ht="19.899999999999999" customHeight="1" x14ac:dyDescent="0.25">
      <c r="A3623" s="45"/>
      <c r="B3623" s="59"/>
      <c r="C3623" s="137"/>
      <c r="D3623" s="59"/>
      <c r="E3623" s="116"/>
      <c r="F3623" s="120"/>
      <c r="G3623" s="120"/>
      <c r="H3623" s="120"/>
      <c r="I3623" s="60"/>
      <c r="J3623" s="116"/>
      <c r="K3623" s="213"/>
      <c r="L3623" s="120"/>
      <c r="M3623" s="120"/>
      <c r="N3623" s="167"/>
      <c r="O3623" s="120"/>
      <c r="P3623" s="120"/>
      <c r="Q3623" s="120"/>
      <c r="R3623" s="120"/>
      <c r="S3623" s="120"/>
      <c r="T3623" s="221"/>
      <c r="U3623" s="89"/>
      <c r="V3623" s="61"/>
      <c r="W3623" s="92" t="s">
        <v>1039</v>
      </c>
      <c r="X3623" s="93" t="s">
        <v>32</v>
      </c>
      <c r="Y3623" s="93" t="s">
        <v>68</v>
      </c>
      <c r="Z3623" s="134">
        <f>VLOOKUP(W3623,Sheet2!$B:$D,3,FALSE)</f>
        <v>5</v>
      </c>
      <c r="AA3623" s="93">
        <v>1</v>
      </c>
      <c r="AB3623" s="93">
        <f>AD3623/AC3622</f>
        <v>5</v>
      </c>
      <c r="AC3623" s="93">
        <f>AC3622/AA3623</f>
        <v>42.640350000000012</v>
      </c>
      <c r="AD3623" s="94">
        <f t="shared" ref="AD3623" si="2728">AC3623*Z3623</f>
        <v>213.20175000000006</v>
      </c>
      <c r="AE3623" s="190"/>
      <c r="AF3623" s="191"/>
      <c r="AG3623" s="191"/>
      <c r="AH3623" s="191"/>
      <c r="AI3623" s="186"/>
      <c r="AK3623" s="171"/>
    </row>
    <row r="3624" spans="1:41" ht="20.100000000000001" customHeight="1" x14ac:dyDescent="0.25">
      <c r="A3624" s="277" t="s">
        <v>491</v>
      </c>
      <c r="B3624" s="278"/>
      <c r="C3624" s="64" t="s">
        <v>497</v>
      </c>
      <c r="D3624" s="46" t="s">
        <v>97</v>
      </c>
      <c r="E3624" s="114">
        <v>8.1025999999999954</v>
      </c>
      <c r="F3624" s="44">
        <v>734</v>
      </c>
      <c r="G3624" s="44">
        <f t="shared" si="2434"/>
        <v>5947.3083999999963</v>
      </c>
      <c r="H3624" s="44">
        <f t="shared" si="2435"/>
        <v>365.25486274509802</v>
      </c>
      <c r="I3624" s="43">
        <f t="shared" si="2436"/>
        <v>2959.5140508784298</v>
      </c>
      <c r="J3624" s="112">
        <f t="shared" si="2437"/>
        <v>8.1025999999999954</v>
      </c>
      <c r="K3624" s="211">
        <f t="shared" si="2438"/>
        <v>8.1025999999999954</v>
      </c>
      <c r="L3624" s="44"/>
      <c r="M3624" s="44">
        <f t="shared" si="2458"/>
        <v>8.1025999999999954</v>
      </c>
      <c r="N3624" s="173">
        <f t="shared" si="2439"/>
        <v>1</v>
      </c>
      <c r="O3624" s="44">
        <f t="shared" si="2440"/>
        <v>734</v>
      </c>
      <c r="P3624" s="44">
        <f t="shared" si="2441"/>
        <v>5947.3083999999963</v>
      </c>
      <c r="Q3624" s="44">
        <f t="shared" si="2442"/>
        <v>365.25486274509802</v>
      </c>
      <c r="R3624" s="44">
        <f t="shared" si="2459"/>
        <v>2959.5140508784298</v>
      </c>
      <c r="S3624" s="123"/>
      <c r="T3624" s="219">
        <f t="shared" si="2460"/>
        <v>2959.5140508784298</v>
      </c>
      <c r="U3624" s="87"/>
      <c r="V3624" s="47"/>
      <c r="W3624" s="48"/>
      <c r="X3624" s="48"/>
      <c r="Y3624" s="48"/>
      <c r="Z3624" s="135"/>
      <c r="AA3624" s="49"/>
      <c r="AB3624" s="50">
        <f t="shared" si="2443"/>
        <v>365.25486274509802</v>
      </c>
      <c r="AC3624" s="42">
        <f t="shared" si="2461"/>
        <v>8.1025999999999954</v>
      </c>
      <c r="AD3624" s="90">
        <f>AD3625+AD3635+AD3642</f>
        <v>2959.5140508784298</v>
      </c>
      <c r="AE3624" s="188">
        <f t="shared" ref="AE3624" si="2729">AE3625+AE3635+AE3642</f>
        <v>0</v>
      </c>
      <c r="AF3624" s="189">
        <f t="shared" ref="AF3624" si="2730">AF3625+AF3635+AF3642</f>
        <v>0</v>
      </c>
      <c r="AG3624" s="189">
        <f t="shared" ref="AG3624" si="2731">AG3625+AG3635+AG3642</f>
        <v>0</v>
      </c>
      <c r="AH3624" s="189">
        <f t="shared" ref="AH3624" si="2732">AH3625+AH3635+AH3642</f>
        <v>0</v>
      </c>
      <c r="AI3624" s="161">
        <f t="shared" ref="AI3624" si="2733">SUM(AE3624:AH3624)</f>
        <v>0</v>
      </c>
      <c r="AK3624" s="169">
        <v>5</v>
      </c>
      <c r="AO3624" s="19" t="s">
        <v>63</v>
      </c>
    </row>
    <row r="3625" spans="1:41" s="103" customFormat="1" ht="19.899999999999999" customHeight="1" x14ac:dyDescent="0.25">
      <c r="A3625" s="51"/>
      <c r="B3625" s="52"/>
      <c r="C3625" s="165"/>
      <c r="D3625" s="52"/>
      <c r="E3625" s="115"/>
      <c r="F3625" s="58"/>
      <c r="G3625" s="58"/>
      <c r="H3625" s="58"/>
      <c r="I3625" s="55"/>
      <c r="J3625" s="113">
        <f>J3624</f>
        <v>8.1025999999999954</v>
      </c>
      <c r="K3625" s="212">
        <f>K3624</f>
        <v>8.1025999999999954</v>
      </c>
      <c r="L3625" s="58"/>
      <c r="M3625" s="58">
        <f>K3625-L3625</f>
        <v>8.1025999999999954</v>
      </c>
      <c r="N3625" s="166"/>
      <c r="O3625" s="58"/>
      <c r="P3625" s="58"/>
      <c r="Q3625" s="58"/>
      <c r="R3625" s="58"/>
      <c r="S3625" s="58"/>
      <c r="T3625" s="220"/>
      <c r="U3625" s="88"/>
      <c r="V3625" s="56"/>
      <c r="W3625" s="57" t="s">
        <v>1234</v>
      </c>
      <c r="X3625" s="53"/>
      <c r="Y3625" s="91" t="s">
        <v>68</v>
      </c>
      <c r="Z3625" s="136">
        <f>AD3625/AC3625</f>
        <v>102.67152941176469</v>
      </c>
      <c r="AA3625" s="58"/>
      <c r="AB3625" s="53">
        <f>AD3625/AC3625</f>
        <v>102.67152941176469</v>
      </c>
      <c r="AC3625" s="53">
        <f>M3625+$AE$10</f>
        <v>8.1025999999999954</v>
      </c>
      <c r="AD3625" s="54">
        <f>SUM(AD3626:AD3634)</f>
        <v>831.90633421176415</v>
      </c>
      <c r="AE3625" s="184">
        <f>SUMIFS($AD$37:$AD$12971,$V$37:$V$12971,$V3625,$X$37:$X$12971,AE$13)</f>
        <v>0</v>
      </c>
      <c r="AF3625" s="185">
        <f>SUMIFS($AD$37:$AD$12971,$V$37:$V$12971,$V3625,$X$37:$X$12971,AF$13)</f>
        <v>0</v>
      </c>
      <c r="AG3625" s="185">
        <f>SUMIFS($AD$37:$AD$12971,$V$37:$V$12971,$V3625,$X$37:$X$12971,AG$13)</f>
        <v>0</v>
      </c>
      <c r="AH3625" s="187">
        <f>SUMIFS($AD$37:$AD$12971,$V$37:$V$12971,$V3625,$X$37:$X$12971,AH$13)</f>
        <v>0</v>
      </c>
      <c r="AI3625" s="161">
        <f t="shared" ref="AI3625" si="2734">SUM(AE3625:AH3625)</f>
        <v>0</v>
      </c>
      <c r="AK3625" s="172"/>
    </row>
    <row r="3626" spans="1:41" s="102" customFormat="1" ht="19.899999999999999" customHeight="1" x14ac:dyDescent="0.25">
      <c r="A3626" s="45"/>
      <c r="B3626" s="59"/>
      <c r="C3626" s="137"/>
      <c r="D3626" s="59"/>
      <c r="E3626" s="116"/>
      <c r="F3626" s="120"/>
      <c r="G3626" s="120"/>
      <c r="H3626" s="120"/>
      <c r="I3626" s="60"/>
      <c r="J3626" s="116"/>
      <c r="K3626" s="213"/>
      <c r="L3626" s="120"/>
      <c r="M3626" s="120"/>
      <c r="N3626" s="167"/>
      <c r="O3626" s="120"/>
      <c r="P3626" s="120"/>
      <c r="Q3626" s="120"/>
      <c r="R3626" s="120"/>
      <c r="S3626" s="120"/>
      <c r="T3626" s="221"/>
      <c r="U3626" s="89"/>
      <c r="V3626" s="61"/>
      <c r="W3626" s="92" t="s">
        <v>131</v>
      </c>
      <c r="X3626" s="93" t="s">
        <v>29</v>
      </c>
      <c r="Y3626" s="93" t="s">
        <v>93</v>
      </c>
      <c r="Z3626" s="134">
        <f>VLOOKUP(W3626,Sheet2!$B:$D,3,FALSE)</f>
        <v>131.19999999999999</v>
      </c>
      <c r="AA3626" s="93">
        <f>80/(1.2*5.5)</f>
        <v>12.121212121212121</v>
      </c>
      <c r="AB3626" s="93">
        <f t="shared" ref="AB3626" si="2735">AD3626/AC3625</f>
        <v>10.824</v>
      </c>
      <c r="AC3626" s="93">
        <f>AC3625/AA3626</f>
        <v>0.66846449999999957</v>
      </c>
      <c r="AD3626" s="94">
        <f t="shared" ref="AD3626:AD3627" si="2736">AC3626*Z3626</f>
        <v>87.702542399999942</v>
      </c>
      <c r="AE3626" s="190"/>
      <c r="AF3626" s="191"/>
      <c r="AG3626" s="191"/>
      <c r="AH3626" s="191"/>
      <c r="AI3626" s="186"/>
      <c r="AK3626" s="171"/>
    </row>
    <row r="3627" spans="1:41" s="102" customFormat="1" ht="19.899999999999999" customHeight="1" x14ac:dyDescent="0.25">
      <c r="A3627" s="45"/>
      <c r="B3627" s="59"/>
      <c r="C3627" s="137"/>
      <c r="D3627" s="59"/>
      <c r="E3627" s="116"/>
      <c r="F3627" s="120"/>
      <c r="G3627" s="120"/>
      <c r="H3627" s="120"/>
      <c r="I3627" s="60"/>
      <c r="J3627" s="116"/>
      <c r="K3627" s="213"/>
      <c r="L3627" s="120"/>
      <c r="M3627" s="120"/>
      <c r="N3627" s="167"/>
      <c r="O3627" s="120"/>
      <c r="P3627" s="120"/>
      <c r="Q3627" s="120"/>
      <c r="R3627" s="120"/>
      <c r="S3627" s="120"/>
      <c r="T3627" s="221"/>
      <c r="U3627" s="89"/>
      <c r="V3627" s="61"/>
      <c r="W3627" s="92" t="s">
        <v>65</v>
      </c>
      <c r="X3627" s="93" t="s">
        <v>30</v>
      </c>
      <c r="Y3627" s="93" t="s">
        <v>1011</v>
      </c>
      <c r="Z3627" s="134">
        <f>VLOOKUP(W3627,Sheet2!$B:$D,3,FALSE)</f>
        <v>1.76</v>
      </c>
      <c r="AA3627" s="93">
        <f>AA3626/32</f>
        <v>0.37878787878787878</v>
      </c>
      <c r="AB3627" s="93">
        <f>AD3627/AC3625</f>
        <v>4.6463999999999999</v>
      </c>
      <c r="AC3627" s="93">
        <f>AC3625/AA3627</f>
        <v>21.390863999999986</v>
      </c>
      <c r="AD3627" s="94">
        <f t="shared" si="2736"/>
        <v>37.647920639999974</v>
      </c>
      <c r="AE3627" s="190"/>
      <c r="AF3627" s="191"/>
      <c r="AG3627" s="191"/>
      <c r="AH3627" s="191"/>
      <c r="AI3627" s="186"/>
      <c r="AK3627" s="171"/>
    </row>
    <row r="3628" spans="1:41" s="102" customFormat="1" ht="19.899999999999999" customHeight="1" x14ac:dyDescent="0.25">
      <c r="A3628" s="45"/>
      <c r="B3628" s="59"/>
      <c r="C3628" s="137"/>
      <c r="D3628" s="59"/>
      <c r="E3628" s="116"/>
      <c r="F3628" s="120"/>
      <c r="G3628" s="120"/>
      <c r="H3628" s="120"/>
      <c r="I3628" s="60"/>
      <c r="J3628" s="116"/>
      <c r="K3628" s="213"/>
      <c r="L3628" s="120"/>
      <c r="M3628" s="120"/>
      <c r="N3628" s="167"/>
      <c r="O3628" s="120"/>
      <c r="P3628" s="120"/>
      <c r="Q3628" s="120"/>
      <c r="R3628" s="120"/>
      <c r="S3628" s="120"/>
      <c r="T3628" s="221"/>
      <c r="U3628" s="89"/>
      <c r="V3628" s="61"/>
      <c r="W3628" s="92" t="s">
        <v>161</v>
      </c>
      <c r="X3628" s="93" t="s">
        <v>29</v>
      </c>
      <c r="Y3628" s="93" t="s">
        <v>93</v>
      </c>
      <c r="Z3628" s="134">
        <f>VLOOKUP(W3628,Sheet2!$B:$D,3,FALSE)</f>
        <v>48</v>
      </c>
      <c r="AA3628" s="93">
        <f>(16*0.85*1.5)/(1.2*5.5)</f>
        <v>3.0909090909090908</v>
      </c>
      <c r="AB3628" s="93">
        <f>AD3628/AC3625</f>
        <v>15.529411764705882</v>
      </c>
      <c r="AC3628" s="93">
        <f>AC3625/AA3628</f>
        <v>2.6214294117647046</v>
      </c>
      <c r="AD3628" s="94">
        <f>AC3628*Z3628</f>
        <v>125.82861176470581</v>
      </c>
      <c r="AE3628" s="190"/>
      <c r="AF3628" s="191"/>
      <c r="AG3628" s="191"/>
      <c r="AH3628" s="191"/>
      <c r="AI3628" s="186"/>
      <c r="AK3628" s="171"/>
    </row>
    <row r="3629" spans="1:41" s="102" customFormat="1" ht="19.899999999999999" customHeight="1" x14ac:dyDescent="0.25">
      <c r="A3629" s="45"/>
      <c r="B3629" s="59"/>
      <c r="C3629" s="137"/>
      <c r="D3629" s="59"/>
      <c r="E3629" s="116"/>
      <c r="F3629" s="120"/>
      <c r="G3629" s="120"/>
      <c r="H3629" s="120"/>
      <c r="I3629" s="60"/>
      <c r="J3629" s="116"/>
      <c r="K3629" s="213"/>
      <c r="L3629" s="120"/>
      <c r="M3629" s="120"/>
      <c r="N3629" s="167"/>
      <c r="O3629" s="120"/>
      <c r="P3629" s="120"/>
      <c r="Q3629" s="120"/>
      <c r="R3629" s="120"/>
      <c r="S3629" s="120"/>
      <c r="T3629" s="221"/>
      <c r="U3629" s="89"/>
      <c r="V3629" s="61"/>
      <c r="W3629" s="92" t="s">
        <v>65</v>
      </c>
      <c r="X3629" s="93" t="s">
        <v>30</v>
      </c>
      <c r="Y3629" s="93" t="s">
        <v>1011</v>
      </c>
      <c r="Z3629" s="134">
        <f>VLOOKUP(W3629,Sheet2!$B:$D,3,FALSE)</f>
        <v>1.76</v>
      </c>
      <c r="AA3629" s="93">
        <f>AA3628/10</f>
        <v>0.30909090909090908</v>
      </c>
      <c r="AB3629" s="93">
        <f>AD3629/AC3625</f>
        <v>5.6941176470588228</v>
      </c>
      <c r="AC3629" s="93">
        <f>AC3625/AA3629</f>
        <v>26.214294117647043</v>
      </c>
      <c r="AD3629" s="94">
        <f>AC3629*Z3629</f>
        <v>46.137157647058793</v>
      </c>
      <c r="AE3629" s="190"/>
      <c r="AF3629" s="191"/>
      <c r="AG3629" s="191"/>
      <c r="AH3629" s="191"/>
      <c r="AI3629" s="186"/>
      <c r="AK3629" s="171"/>
    </row>
    <row r="3630" spans="1:41" s="102" customFormat="1" ht="19.899999999999999" customHeight="1" x14ac:dyDescent="0.25">
      <c r="A3630" s="45"/>
      <c r="B3630" s="59"/>
      <c r="C3630" s="137"/>
      <c r="D3630" s="59"/>
      <c r="E3630" s="116"/>
      <c r="F3630" s="120"/>
      <c r="G3630" s="120"/>
      <c r="H3630" s="120"/>
      <c r="I3630" s="60"/>
      <c r="J3630" s="116"/>
      <c r="K3630" s="213"/>
      <c r="L3630" s="120"/>
      <c r="M3630" s="120"/>
      <c r="N3630" s="167"/>
      <c r="O3630" s="120"/>
      <c r="P3630" s="120"/>
      <c r="Q3630" s="120"/>
      <c r="R3630" s="120"/>
      <c r="S3630" s="120"/>
      <c r="T3630" s="221"/>
      <c r="U3630" s="89"/>
      <c r="V3630" s="61"/>
      <c r="W3630" s="92" t="s">
        <v>1030</v>
      </c>
      <c r="X3630" s="93" t="s">
        <v>29</v>
      </c>
      <c r="Y3630" s="93" t="s">
        <v>93</v>
      </c>
      <c r="Z3630" s="134">
        <f>VLOOKUP(W3630,Sheet2!$B:$D,3,FALSE)</f>
        <v>23</v>
      </c>
      <c r="AA3630" s="93">
        <v>50</v>
      </c>
      <c r="AB3630" s="93">
        <f>AD3630/AC3625</f>
        <v>0.46</v>
      </c>
      <c r="AC3630" s="93">
        <f>AC3625/AA3630</f>
        <v>0.16205199999999992</v>
      </c>
      <c r="AD3630" s="94">
        <f t="shared" ref="AD3630:AD3634" si="2737">AC3630*Z3630</f>
        <v>3.727195999999998</v>
      </c>
      <c r="AE3630" s="190"/>
      <c r="AF3630" s="191"/>
      <c r="AG3630" s="191"/>
      <c r="AH3630" s="191"/>
      <c r="AI3630" s="186"/>
      <c r="AK3630" s="171"/>
    </row>
    <row r="3631" spans="1:41" s="102" customFormat="1" ht="19.899999999999999" customHeight="1" x14ac:dyDescent="0.25">
      <c r="A3631" s="45"/>
      <c r="B3631" s="59"/>
      <c r="C3631" s="137"/>
      <c r="D3631" s="59"/>
      <c r="E3631" s="116"/>
      <c r="F3631" s="120"/>
      <c r="G3631" s="120"/>
      <c r="H3631" s="120"/>
      <c r="I3631" s="60"/>
      <c r="J3631" s="116"/>
      <c r="K3631" s="213"/>
      <c r="L3631" s="120"/>
      <c r="M3631" s="120"/>
      <c r="N3631" s="167"/>
      <c r="O3631" s="120"/>
      <c r="P3631" s="120"/>
      <c r="Q3631" s="120"/>
      <c r="R3631" s="120"/>
      <c r="S3631" s="120"/>
      <c r="T3631" s="221"/>
      <c r="U3631" s="89"/>
      <c r="V3631" s="61"/>
      <c r="W3631" s="92" t="s">
        <v>65</v>
      </c>
      <c r="X3631" s="93" t="s">
        <v>30</v>
      </c>
      <c r="Y3631" s="93" t="s">
        <v>1011</v>
      </c>
      <c r="Z3631" s="134">
        <f>VLOOKUP(W3631,Sheet2!$B:$D,3,FALSE)</f>
        <v>1.76</v>
      </c>
      <c r="AA3631" s="93">
        <f>AA3630/3</f>
        <v>16.666666666666668</v>
      </c>
      <c r="AB3631" s="93">
        <f>AD3631/AC3625</f>
        <v>0.1056</v>
      </c>
      <c r="AC3631" s="93">
        <f>AC3625/AA3631</f>
        <v>0.4861559999999997</v>
      </c>
      <c r="AD3631" s="94">
        <f t="shared" si="2737"/>
        <v>0.85563455999999949</v>
      </c>
      <c r="AE3631" s="190"/>
      <c r="AF3631" s="191"/>
      <c r="AG3631" s="191"/>
      <c r="AH3631" s="191"/>
      <c r="AI3631" s="186"/>
      <c r="AK3631" s="171"/>
    </row>
    <row r="3632" spans="1:41" s="102" customFormat="1" ht="19.899999999999999" customHeight="1" x14ac:dyDescent="0.25">
      <c r="A3632" s="45"/>
      <c r="B3632" s="59"/>
      <c r="C3632" s="137"/>
      <c r="D3632" s="59"/>
      <c r="E3632" s="116"/>
      <c r="F3632" s="120"/>
      <c r="G3632" s="120"/>
      <c r="H3632" s="120"/>
      <c r="I3632" s="60"/>
      <c r="J3632" s="116"/>
      <c r="K3632" s="213"/>
      <c r="L3632" s="120"/>
      <c r="M3632" s="120"/>
      <c r="N3632" s="167"/>
      <c r="O3632" s="120"/>
      <c r="P3632" s="120"/>
      <c r="Q3632" s="120"/>
      <c r="R3632" s="120"/>
      <c r="S3632" s="120"/>
      <c r="T3632" s="221"/>
      <c r="U3632" s="89"/>
      <c r="V3632" s="61"/>
      <c r="W3632" s="92" t="s">
        <v>148</v>
      </c>
      <c r="X3632" s="93" t="s">
        <v>29</v>
      </c>
      <c r="Y3632" s="93" t="s">
        <v>93</v>
      </c>
      <c r="Z3632" s="134">
        <f>VLOOKUP(W3632,Sheet2!$B:$D,3,FALSE)</f>
        <v>48</v>
      </c>
      <c r="AA3632" s="93">
        <f>AA3626</f>
        <v>12.121212121212121</v>
      </c>
      <c r="AB3632" s="93">
        <f>AD3632/AC3625</f>
        <v>3.9599999999999995</v>
      </c>
      <c r="AC3632" s="93">
        <f>AC3625/AA3632</f>
        <v>0.66846449999999957</v>
      </c>
      <c r="AD3632" s="94">
        <f t="shared" si="2737"/>
        <v>32.086295999999976</v>
      </c>
      <c r="AE3632" s="190"/>
      <c r="AF3632" s="191"/>
      <c r="AG3632" s="191"/>
      <c r="AH3632" s="191"/>
      <c r="AI3632" s="186"/>
      <c r="AK3632" s="171"/>
    </row>
    <row r="3633" spans="1:41" s="102" customFormat="1" ht="19.899999999999999" customHeight="1" x14ac:dyDescent="0.25">
      <c r="A3633" s="45"/>
      <c r="B3633" s="59"/>
      <c r="C3633" s="137"/>
      <c r="D3633" s="59"/>
      <c r="E3633" s="116"/>
      <c r="F3633" s="120"/>
      <c r="G3633" s="120"/>
      <c r="H3633" s="120"/>
      <c r="I3633" s="60"/>
      <c r="J3633" s="116"/>
      <c r="K3633" s="213"/>
      <c r="L3633" s="120"/>
      <c r="M3633" s="120"/>
      <c r="N3633" s="167"/>
      <c r="O3633" s="120"/>
      <c r="P3633" s="120"/>
      <c r="Q3633" s="120"/>
      <c r="R3633" s="120"/>
      <c r="S3633" s="120"/>
      <c r="T3633" s="221"/>
      <c r="U3633" s="89"/>
      <c r="V3633" s="61"/>
      <c r="W3633" s="92" t="s">
        <v>65</v>
      </c>
      <c r="X3633" s="93" t="s">
        <v>30</v>
      </c>
      <c r="Y3633" s="93" t="s">
        <v>1011</v>
      </c>
      <c r="Z3633" s="134">
        <f>VLOOKUP(W3633,Sheet2!$B:$D,3,FALSE)</f>
        <v>1.76</v>
      </c>
      <c r="AA3633" s="93">
        <f>AA3632/10</f>
        <v>1.2121212121212122</v>
      </c>
      <c r="AB3633" s="93">
        <f>AD3633/AC3625</f>
        <v>1.452</v>
      </c>
      <c r="AC3633" s="93">
        <f>AC3625/AA3633</f>
        <v>6.6846449999999962</v>
      </c>
      <c r="AD3633" s="94">
        <f t="shared" si="2737"/>
        <v>11.764975199999993</v>
      </c>
      <c r="AE3633" s="190"/>
      <c r="AF3633" s="191"/>
      <c r="AG3633" s="191"/>
      <c r="AH3633" s="191"/>
      <c r="AI3633" s="186"/>
      <c r="AK3633" s="171"/>
    </row>
    <row r="3634" spans="1:41" s="102" customFormat="1" ht="19.899999999999999" customHeight="1" x14ac:dyDescent="0.25">
      <c r="A3634" s="45"/>
      <c r="B3634" s="59"/>
      <c r="C3634" s="137"/>
      <c r="D3634" s="59"/>
      <c r="E3634" s="116"/>
      <c r="F3634" s="120"/>
      <c r="G3634" s="120"/>
      <c r="H3634" s="120"/>
      <c r="I3634" s="60"/>
      <c r="J3634" s="116"/>
      <c r="K3634" s="213"/>
      <c r="L3634" s="120"/>
      <c r="M3634" s="120"/>
      <c r="N3634" s="167"/>
      <c r="O3634" s="120"/>
      <c r="P3634" s="120"/>
      <c r="Q3634" s="120"/>
      <c r="R3634" s="120"/>
      <c r="S3634" s="120"/>
      <c r="T3634" s="221"/>
      <c r="U3634" s="89"/>
      <c r="V3634" s="61"/>
      <c r="W3634" s="92" t="s">
        <v>1049</v>
      </c>
      <c r="X3634" s="93" t="s">
        <v>30</v>
      </c>
      <c r="Y3634" s="93" t="s">
        <v>68</v>
      </c>
      <c r="Z3634" s="134">
        <f>VLOOKUP(W3634,Sheet2!$B:$D,3,FALSE)</f>
        <v>60</v>
      </c>
      <c r="AA3634" s="93">
        <v>1</v>
      </c>
      <c r="AB3634" s="93">
        <f>AD3634/AC3625</f>
        <v>60</v>
      </c>
      <c r="AC3634" s="93">
        <f>AC3625/AA3634</f>
        <v>8.1025999999999954</v>
      </c>
      <c r="AD3634" s="94">
        <f t="shared" si="2737"/>
        <v>486.15599999999972</v>
      </c>
      <c r="AE3634" s="190"/>
      <c r="AF3634" s="191"/>
      <c r="AG3634" s="191"/>
      <c r="AH3634" s="191"/>
      <c r="AI3634" s="186"/>
      <c r="AK3634" s="171"/>
    </row>
    <row r="3635" spans="1:41" s="103" customFormat="1" ht="19.899999999999999" customHeight="1" x14ac:dyDescent="0.25">
      <c r="A3635" s="51"/>
      <c r="B3635" s="52"/>
      <c r="C3635" s="165"/>
      <c r="D3635" s="52"/>
      <c r="E3635" s="115"/>
      <c r="F3635" s="58"/>
      <c r="G3635" s="58"/>
      <c r="H3635" s="58"/>
      <c r="I3635" s="55"/>
      <c r="J3635" s="113">
        <f>J3624</f>
        <v>8.1025999999999954</v>
      </c>
      <c r="K3635" s="212">
        <f>K3624</f>
        <v>8.1025999999999954</v>
      </c>
      <c r="L3635" s="58"/>
      <c r="M3635" s="58">
        <f>K3635-L3635</f>
        <v>8.1025999999999954</v>
      </c>
      <c r="N3635" s="166"/>
      <c r="O3635" s="58"/>
      <c r="P3635" s="58"/>
      <c r="Q3635" s="58"/>
      <c r="R3635" s="58"/>
      <c r="S3635" s="58"/>
      <c r="T3635" s="220"/>
      <c r="U3635" s="88"/>
      <c r="V3635" s="56"/>
      <c r="W3635" s="57" t="s">
        <v>1036</v>
      </c>
      <c r="X3635" s="53"/>
      <c r="Y3635" s="91" t="s">
        <v>68</v>
      </c>
      <c r="Z3635" s="136">
        <f>AD3635/AC3635</f>
        <v>257.58333333333337</v>
      </c>
      <c r="AA3635" s="58"/>
      <c r="AB3635" s="53">
        <f>AD3635/AC3635</f>
        <v>257.58333333333337</v>
      </c>
      <c r="AC3635" s="53">
        <f>M3635+$AE$10</f>
        <v>8.1025999999999954</v>
      </c>
      <c r="AD3635" s="54">
        <f>SUM(AD3636:AD3641)</f>
        <v>2087.0947166666656</v>
      </c>
      <c r="AE3635" s="184">
        <f>SUMIFS($AD$37:$AD$12971,$V$37:$V$12971,$V3635,$X$37:$X$12971,AE$13)</f>
        <v>0</v>
      </c>
      <c r="AF3635" s="185">
        <f>SUMIFS($AD$37:$AD$12971,$V$37:$V$12971,$V3635,$X$37:$X$12971,AF$13)</f>
        <v>0</v>
      </c>
      <c r="AG3635" s="185">
        <f>SUMIFS($AD$37:$AD$12971,$V$37:$V$12971,$V3635,$X$37:$X$12971,AG$13)</f>
        <v>0</v>
      </c>
      <c r="AH3635" s="187">
        <f>SUMIFS($AD$37:$AD$12971,$V$37:$V$12971,$V3635,$X$37:$X$12971,AH$13)</f>
        <v>0</v>
      </c>
      <c r="AI3635" s="161">
        <f t="shared" ref="AI3635" si="2738">SUM(AE3635:AH3635)</f>
        <v>0</v>
      </c>
      <c r="AK3635" s="172"/>
    </row>
    <row r="3636" spans="1:41" s="102" customFormat="1" ht="19.899999999999999" customHeight="1" x14ac:dyDescent="0.25">
      <c r="A3636" s="45"/>
      <c r="B3636" s="59"/>
      <c r="C3636" s="137"/>
      <c r="D3636" s="59"/>
      <c r="E3636" s="116"/>
      <c r="F3636" s="120"/>
      <c r="G3636" s="120"/>
      <c r="H3636" s="120"/>
      <c r="I3636" s="60"/>
      <c r="J3636" s="116"/>
      <c r="K3636" s="213"/>
      <c r="L3636" s="120"/>
      <c r="M3636" s="120"/>
      <c r="N3636" s="167"/>
      <c r="O3636" s="120"/>
      <c r="P3636" s="120"/>
      <c r="Q3636" s="120"/>
      <c r="R3636" s="120"/>
      <c r="S3636" s="120"/>
      <c r="T3636" s="221"/>
      <c r="U3636" s="89"/>
      <c r="V3636" s="61"/>
      <c r="W3636" s="92" t="s">
        <v>1055</v>
      </c>
      <c r="X3636" s="93" t="s">
        <v>30</v>
      </c>
      <c r="Y3636" s="93" t="s">
        <v>68</v>
      </c>
      <c r="Z3636" s="134">
        <f>VLOOKUP(W3636,Sheet2!$B:$D,3,FALSE)</f>
        <v>144</v>
      </c>
      <c r="AA3636" s="93">
        <v>1</v>
      </c>
      <c r="AB3636" s="93">
        <f>AD3636/AC3635</f>
        <v>144</v>
      </c>
      <c r="AC3636" s="93">
        <f>AC3635/AA3636</f>
        <v>8.1025999999999954</v>
      </c>
      <c r="AD3636" s="94">
        <f t="shared" ref="AD3636" si="2739">AC3636*Z3636</f>
        <v>1166.7743999999993</v>
      </c>
      <c r="AE3636" s="190"/>
      <c r="AF3636" s="191"/>
      <c r="AG3636" s="191"/>
      <c r="AH3636" s="191"/>
      <c r="AI3636" s="186"/>
      <c r="AK3636" s="171"/>
    </row>
    <row r="3637" spans="1:41" s="102" customFormat="1" ht="19.899999999999999" customHeight="1" x14ac:dyDescent="0.25">
      <c r="A3637" s="45"/>
      <c r="B3637" s="59"/>
      <c r="C3637" s="137"/>
      <c r="D3637" s="59"/>
      <c r="E3637" s="116"/>
      <c r="F3637" s="120"/>
      <c r="G3637" s="120"/>
      <c r="H3637" s="120"/>
      <c r="I3637" s="60"/>
      <c r="J3637" s="116"/>
      <c r="K3637" s="213"/>
      <c r="L3637" s="120"/>
      <c r="M3637" s="120"/>
      <c r="N3637" s="167"/>
      <c r="O3637" s="120"/>
      <c r="P3637" s="120"/>
      <c r="Q3637" s="120"/>
      <c r="R3637" s="120"/>
      <c r="S3637" s="120"/>
      <c r="T3637" s="221"/>
      <c r="U3637" s="89"/>
      <c r="V3637" s="61"/>
      <c r="W3637" s="92" t="s">
        <v>1062</v>
      </c>
      <c r="X3637" s="93" t="s">
        <v>30</v>
      </c>
      <c r="Y3637" s="93" t="s">
        <v>68</v>
      </c>
      <c r="Z3637" s="134">
        <f>VLOOKUP(W3637,Sheet2!$B:$D,3,FALSE)</f>
        <v>15</v>
      </c>
      <c r="AA3637" s="93">
        <v>1</v>
      </c>
      <c r="AB3637" s="93">
        <f>AD3637/AC3635</f>
        <v>15</v>
      </c>
      <c r="AC3637" s="93">
        <f>AC3635/AA3637</f>
        <v>8.1025999999999954</v>
      </c>
      <c r="AD3637" s="94">
        <f>AC3637*Z3637</f>
        <v>121.53899999999993</v>
      </c>
      <c r="AE3637" s="190"/>
      <c r="AF3637" s="191"/>
      <c r="AG3637" s="191"/>
      <c r="AH3637" s="191"/>
      <c r="AI3637" s="186"/>
      <c r="AK3637" s="171"/>
    </row>
    <row r="3638" spans="1:41" s="102" customFormat="1" ht="19.899999999999999" customHeight="1" x14ac:dyDescent="0.25">
      <c r="A3638" s="45"/>
      <c r="B3638" s="59"/>
      <c r="C3638" s="137"/>
      <c r="D3638" s="59"/>
      <c r="E3638" s="116"/>
      <c r="F3638" s="120"/>
      <c r="G3638" s="120"/>
      <c r="H3638" s="120"/>
      <c r="I3638" s="60"/>
      <c r="J3638" s="116"/>
      <c r="K3638" s="213"/>
      <c r="L3638" s="120"/>
      <c r="M3638" s="120"/>
      <c r="N3638" s="167"/>
      <c r="O3638" s="120"/>
      <c r="P3638" s="120"/>
      <c r="Q3638" s="120"/>
      <c r="R3638" s="120"/>
      <c r="S3638" s="120"/>
      <c r="T3638" s="221"/>
      <c r="U3638" s="89"/>
      <c r="V3638" s="61"/>
      <c r="W3638" s="92" t="s">
        <v>1070</v>
      </c>
      <c r="X3638" s="93" t="s">
        <v>32</v>
      </c>
      <c r="Y3638" s="93" t="s">
        <v>68</v>
      </c>
      <c r="Z3638" s="134">
        <f>VLOOKUP(W3638,Sheet2!$B:$D,3,FALSE)</f>
        <v>50</v>
      </c>
      <c r="AA3638" s="93">
        <v>1</v>
      </c>
      <c r="AB3638" s="93">
        <f>AD3638/AC3635</f>
        <v>50</v>
      </c>
      <c r="AC3638" s="93">
        <f>AC3635/AA3638</f>
        <v>8.1025999999999954</v>
      </c>
      <c r="AD3638" s="94">
        <f>AC3638*Z3638</f>
        <v>405.12999999999977</v>
      </c>
      <c r="AE3638" s="190"/>
      <c r="AF3638" s="191"/>
      <c r="AG3638" s="191"/>
      <c r="AH3638" s="191"/>
      <c r="AI3638" s="186"/>
      <c r="AK3638" s="171"/>
    </row>
    <row r="3639" spans="1:41" s="102" customFormat="1" ht="19.899999999999999" customHeight="1" x14ac:dyDescent="0.25">
      <c r="A3639" s="45"/>
      <c r="B3639" s="59"/>
      <c r="C3639" s="137"/>
      <c r="D3639" s="59"/>
      <c r="E3639" s="116"/>
      <c r="F3639" s="120"/>
      <c r="G3639" s="120"/>
      <c r="H3639" s="120"/>
      <c r="I3639" s="60"/>
      <c r="J3639" s="116"/>
      <c r="K3639" s="213"/>
      <c r="L3639" s="120"/>
      <c r="M3639" s="120"/>
      <c r="N3639" s="167"/>
      <c r="O3639" s="120"/>
      <c r="P3639" s="120"/>
      <c r="Q3639" s="120"/>
      <c r="R3639" s="120"/>
      <c r="S3639" s="120"/>
      <c r="T3639" s="221"/>
      <c r="U3639" s="89"/>
      <c r="V3639" s="61"/>
      <c r="W3639" s="92" t="s">
        <v>1032</v>
      </c>
      <c r="X3639" s="93" t="s">
        <v>30</v>
      </c>
      <c r="Y3639" s="93" t="s">
        <v>66</v>
      </c>
      <c r="Z3639" s="134">
        <f>VLOOKUP(W3639,Sheet2!$B:$D,3,FALSE)</f>
        <v>250</v>
      </c>
      <c r="AA3639" s="93">
        <f>1/(1.2*0.1)</f>
        <v>8.3333333333333339</v>
      </c>
      <c r="AB3639" s="93">
        <f>AD3639/AC3635</f>
        <v>30</v>
      </c>
      <c r="AC3639" s="93">
        <f>AC3635/AA3639</f>
        <v>0.9723119999999994</v>
      </c>
      <c r="AD3639" s="94">
        <f>AC3639*Z3639</f>
        <v>243.07799999999986</v>
      </c>
      <c r="AE3639" s="190"/>
      <c r="AF3639" s="191"/>
      <c r="AG3639" s="191"/>
      <c r="AH3639" s="191"/>
      <c r="AI3639" s="186"/>
      <c r="AK3639" s="171"/>
    </row>
    <row r="3640" spans="1:41" s="102" customFormat="1" ht="19.899999999999999" customHeight="1" x14ac:dyDescent="0.25">
      <c r="A3640" s="45"/>
      <c r="B3640" s="59"/>
      <c r="C3640" s="137"/>
      <c r="D3640" s="59"/>
      <c r="E3640" s="116"/>
      <c r="F3640" s="120"/>
      <c r="G3640" s="120"/>
      <c r="H3640" s="120"/>
      <c r="I3640" s="60"/>
      <c r="J3640" s="116"/>
      <c r="K3640" s="213"/>
      <c r="L3640" s="120"/>
      <c r="M3640" s="120"/>
      <c r="N3640" s="167"/>
      <c r="O3640" s="120"/>
      <c r="P3640" s="120"/>
      <c r="Q3640" s="120"/>
      <c r="R3640" s="120"/>
      <c r="S3640" s="120"/>
      <c r="T3640" s="221"/>
      <c r="U3640" s="89"/>
      <c r="V3640" s="61"/>
      <c r="W3640" s="92" t="s">
        <v>1035</v>
      </c>
      <c r="X3640" s="93" t="s">
        <v>32</v>
      </c>
      <c r="Y3640" s="93" t="s">
        <v>66</v>
      </c>
      <c r="Z3640" s="134">
        <f>VLOOKUP(W3640,Sheet2!$B:$D,3,FALSE)</f>
        <v>150</v>
      </c>
      <c r="AA3640" s="93">
        <f>AA3639</f>
        <v>8.3333333333333339</v>
      </c>
      <c r="AB3640" s="93">
        <f>AD3640/AC3635</f>
        <v>18</v>
      </c>
      <c r="AC3640" s="93">
        <f>AC3635/AA3640</f>
        <v>0.9723119999999994</v>
      </c>
      <c r="AD3640" s="94">
        <f t="shared" ref="AD3640:AD3641" si="2740">AC3640*Z3640</f>
        <v>145.84679999999992</v>
      </c>
      <c r="AE3640" s="190"/>
      <c r="AF3640" s="191"/>
      <c r="AG3640" s="191"/>
      <c r="AH3640" s="191"/>
      <c r="AI3640" s="186"/>
      <c r="AK3640" s="171"/>
    </row>
    <row r="3641" spans="1:41" s="102" customFormat="1" ht="19.899999999999999" customHeight="1" x14ac:dyDescent="0.25">
      <c r="A3641" s="45"/>
      <c r="B3641" s="59"/>
      <c r="C3641" s="137"/>
      <c r="D3641" s="59"/>
      <c r="E3641" s="116"/>
      <c r="F3641" s="120"/>
      <c r="G3641" s="120"/>
      <c r="H3641" s="120"/>
      <c r="I3641" s="60"/>
      <c r="J3641" s="116"/>
      <c r="K3641" s="213"/>
      <c r="L3641" s="120"/>
      <c r="M3641" s="120"/>
      <c r="N3641" s="167"/>
      <c r="O3641" s="120"/>
      <c r="P3641" s="120"/>
      <c r="Q3641" s="120"/>
      <c r="R3641" s="120"/>
      <c r="S3641" s="120"/>
      <c r="T3641" s="221"/>
      <c r="U3641" s="89"/>
      <c r="V3641" s="61"/>
      <c r="W3641" s="92" t="s">
        <v>1037</v>
      </c>
      <c r="X3641" s="93" t="s">
        <v>30</v>
      </c>
      <c r="Y3641" s="93" t="s">
        <v>1038</v>
      </c>
      <c r="Z3641" s="134">
        <f>VLOOKUP(W3641,Sheet2!$B:$D,3,FALSE)</f>
        <v>175</v>
      </c>
      <c r="AA3641" s="93">
        <v>300</v>
      </c>
      <c r="AB3641" s="93">
        <f>AD3641/AC3635</f>
        <v>0.58333333333333326</v>
      </c>
      <c r="AC3641" s="93">
        <f>AC3635/AA3641</f>
        <v>2.700866666666665E-2</v>
      </c>
      <c r="AD3641" s="94">
        <f t="shared" si="2740"/>
        <v>4.7265166666666634</v>
      </c>
      <c r="AE3641" s="190"/>
      <c r="AF3641" s="191"/>
      <c r="AG3641" s="191"/>
      <c r="AH3641" s="191"/>
      <c r="AI3641" s="186"/>
      <c r="AK3641" s="171"/>
    </row>
    <row r="3642" spans="1:41" s="103" customFormat="1" ht="19.899999999999999" customHeight="1" x14ac:dyDescent="0.25">
      <c r="A3642" s="51"/>
      <c r="B3642" s="52"/>
      <c r="C3642" s="165"/>
      <c r="D3642" s="52"/>
      <c r="E3642" s="115"/>
      <c r="F3642" s="58"/>
      <c r="G3642" s="58"/>
      <c r="H3642" s="58"/>
      <c r="I3642" s="55"/>
      <c r="J3642" s="113">
        <f>J3624</f>
        <v>8.1025999999999954</v>
      </c>
      <c r="K3642" s="212">
        <f>K3624</f>
        <v>8.1025999999999954</v>
      </c>
      <c r="L3642" s="58"/>
      <c r="M3642" s="58">
        <f>K3642-L3642</f>
        <v>8.1025999999999954</v>
      </c>
      <c r="N3642" s="166"/>
      <c r="O3642" s="58"/>
      <c r="P3642" s="58"/>
      <c r="Q3642" s="58"/>
      <c r="R3642" s="58"/>
      <c r="S3642" s="58"/>
      <c r="T3642" s="220"/>
      <c r="U3642" s="88"/>
      <c r="V3642" s="56"/>
      <c r="W3642" s="57" t="s">
        <v>1040</v>
      </c>
      <c r="X3642" s="53"/>
      <c r="Y3642" s="91" t="s">
        <v>68</v>
      </c>
      <c r="Z3642" s="136">
        <f>AD3642/AC3642</f>
        <v>5</v>
      </c>
      <c r="AA3642" s="58"/>
      <c r="AB3642" s="53">
        <f>AD3642/AC3642</f>
        <v>5</v>
      </c>
      <c r="AC3642" s="53">
        <f>M3642+$AE$10</f>
        <v>8.1025999999999954</v>
      </c>
      <c r="AD3642" s="54">
        <f>SUM(AD3643)</f>
        <v>40.512999999999977</v>
      </c>
      <c r="AE3642" s="184">
        <f>SUMIFS($AD$37:$AD$12971,$V$37:$V$12971,$V3642,$X$37:$X$12971,AE$13)</f>
        <v>0</v>
      </c>
      <c r="AF3642" s="185">
        <f>SUMIFS($AD$37:$AD$12971,$V$37:$V$12971,$V3642,$X$37:$X$12971,AF$13)</f>
        <v>0</v>
      </c>
      <c r="AG3642" s="185">
        <f>SUMIFS($AD$37:$AD$12971,$V$37:$V$12971,$V3642,$X$37:$X$12971,AG$13)</f>
        <v>0</v>
      </c>
      <c r="AH3642" s="187">
        <f>SUMIFS($AD$37:$AD$12971,$V$37:$V$12971,$V3642,$X$37:$X$12971,AH$13)</f>
        <v>0</v>
      </c>
      <c r="AI3642" s="161">
        <f t="shared" ref="AI3642" si="2741">SUM(AE3642:AH3642)</f>
        <v>0</v>
      </c>
      <c r="AK3642" s="172"/>
    </row>
    <row r="3643" spans="1:41" s="102" customFormat="1" ht="19.899999999999999" customHeight="1" x14ac:dyDescent="0.25">
      <c r="A3643" s="45"/>
      <c r="B3643" s="59"/>
      <c r="C3643" s="137"/>
      <c r="D3643" s="59"/>
      <c r="E3643" s="116"/>
      <c r="F3643" s="120"/>
      <c r="G3643" s="120"/>
      <c r="H3643" s="120"/>
      <c r="I3643" s="60"/>
      <c r="J3643" s="116"/>
      <c r="K3643" s="213"/>
      <c r="L3643" s="120"/>
      <c r="M3643" s="120"/>
      <c r="N3643" s="167"/>
      <c r="O3643" s="120"/>
      <c r="P3643" s="120"/>
      <c r="Q3643" s="120"/>
      <c r="R3643" s="120"/>
      <c r="S3643" s="120"/>
      <c r="T3643" s="221"/>
      <c r="U3643" s="89"/>
      <c r="V3643" s="61"/>
      <c r="W3643" s="92" t="s">
        <v>1039</v>
      </c>
      <c r="X3643" s="93" t="s">
        <v>32</v>
      </c>
      <c r="Y3643" s="93" t="s">
        <v>68</v>
      </c>
      <c r="Z3643" s="134">
        <f>VLOOKUP(W3643,Sheet2!$B:$D,3,FALSE)</f>
        <v>5</v>
      </c>
      <c r="AA3643" s="93">
        <v>1</v>
      </c>
      <c r="AB3643" s="93">
        <f>AD3643/AC3642</f>
        <v>5</v>
      </c>
      <c r="AC3643" s="93">
        <f>AC3642/AA3643</f>
        <v>8.1025999999999954</v>
      </c>
      <c r="AD3643" s="94">
        <f t="shared" ref="AD3643" si="2742">AC3643*Z3643</f>
        <v>40.512999999999977</v>
      </c>
      <c r="AE3643" s="190"/>
      <c r="AF3643" s="191"/>
      <c r="AG3643" s="191"/>
      <c r="AH3643" s="191"/>
      <c r="AI3643" s="186"/>
      <c r="AK3643" s="171"/>
    </row>
    <row r="3644" spans="1:41" ht="20.100000000000001" customHeight="1" x14ac:dyDescent="0.25">
      <c r="A3644" s="277" t="s">
        <v>491</v>
      </c>
      <c r="B3644" s="278"/>
      <c r="C3644" s="64" t="s">
        <v>498</v>
      </c>
      <c r="D3644" s="46" t="s">
        <v>97</v>
      </c>
      <c r="E3644" s="114"/>
      <c r="F3644" s="44"/>
      <c r="G3644" s="44">
        <f t="shared" si="2434"/>
        <v>0</v>
      </c>
      <c r="H3644" s="44">
        <f t="shared" si="2435"/>
        <v>0</v>
      </c>
      <c r="I3644" s="43">
        <f t="shared" si="2436"/>
        <v>0</v>
      </c>
      <c r="J3644" s="112">
        <f t="shared" si="2437"/>
        <v>0</v>
      </c>
      <c r="K3644" s="211">
        <f t="shared" si="2438"/>
        <v>0</v>
      </c>
      <c r="L3644" s="44"/>
      <c r="M3644" s="44">
        <f t="shared" si="2458"/>
        <v>0</v>
      </c>
      <c r="N3644" s="173">
        <f t="shared" si="2439"/>
        <v>0</v>
      </c>
      <c r="O3644" s="44">
        <f t="shared" si="2440"/>
        <v>0</v>
      </c>
      <c r="P3644" s="44">
        <f t="shared" si="2441"/>
        <v>0</v>
      </c>
      <c r="Q3644" s="44">
        <f t="shared" si="2442"/>
        <v>0</v>
      </c>
      <c r="R3644" s="44">
        <f t="shared" si="2459"/>
        <v>0</v>
      </c>
      <c r="S3644" s="123"/>
      <c r="T3644" s="219">
        <f t="shared" si="2460"/>
        <v>0</v>
      </c>
      <c r="U3644" s="87"/>
      <c r="V3644" s="47"/>
      <c r="W3644" s="48"/>
      <c r="X3644" s="48"/>
      <c r="Y3644" s="48"/>
      <c r="Z3644" s="135"/>
      <c r="AA3644" s="49"/>
      <c r="AB3644" s="50">
        <f t="shared" si="2443"/>
        <v>0</v>
      </c>
      <c r="AC3644" s="42">
        <f t="shared" si="2461"/>
        <v>9.9999999999999998E-20</v>
      </c>
      <c r="AD3644" s="90"/>
      <c r="AE3644" s="188"/>
      <c r="AF3644" s="189"/>
      <c r="AG3644" s="189"/>
      <c r="AH3644" s="189"/>
      <c r="AI3644" s="161"/>
    </row>
    <row r="3645" spans="1:41" ht="20.100000000000001" customHeight="1" x14ac:dyDescent="0.25">
      <c r="A3645" s="277" t="s">
        <v>491</v>
      </c>
      <c r="B3645" s="278"/>
      <c r="C3645" s="64" t="s">
        <v>499</v>
      </c>
      <c r="D3645" s="46" t="s">
        <v>97</v>
      </c>
      <c r="E3645" s="114"/>
      <c r="F3645" s="44"/>
      <c r="G3645" s="44">
        <f t="shared" si="2434"/>
        <v>0</v>
      </c>
      <c r="H3645" s="44">
        <f t="shared" si="2435"/>
        <v>0</v>
      </c>
      <c r="I3645" s="43">
        <f t="shared" si="2436"/>
        <v>0</v>
      </c>
      <c r="J3645" s="112">
        <f t="shared" si="2437"/>
        <v>0</v>
      </c>
      <c r="K3645" s="211">
        <f t="shared" si="2438"/>
        <v>0</v>
      </c>
      <c r="L3645" s="44"/>
      <c r="M3645" s="44">
        <f t="shared" si="2458"/>
        <v>0</v>
      </c>
      <c r="N3645" s="173">
        <f t="shared" si="2439"/>
        <v>0</v>
      </c>
      <c r="O3645" s="44">
        <f t="shared" si="2440"/>
        <v>0</v>
      </c>
      <c r="P3645" s="44">
        <f t="shared" si="2441"/>
        <v>0</v>
      </c>
      <c r="Q3645" s="44">
        <f t="shared" si="2442"/>
        <v>0</v>
      </c>
      <c r="R3645" s="44">
        <f t="shared" si="2459"/>
        <v>0</v>
      </c>
      <c r="S3645" s="123"/>
      <c r="T3645" s="219">
        <f t="shared" si="2460"/>
        <v>0</v>
      </c>
      <c r="U3645" s="87"/>
      <c r="V3645" s="47"/>
      <c r="W3645" s="48"/>
      <c r="X3645" s="48"/>
      <c r="Y3645" s="48"/>
      <c r="Z3645" s="135"/>
      <c r="AA3645" s="49"/>
      <c r="AB3645" s="50">
        <f t="shared" si="2443"/>
        <v>0</v>
      </c>
      <c r="AC3645" s="42">
        <f t="shared" si="2461"/>
        <v>9.9999999999999998E-20</v>
      </c>
      <c r="AD3645" s="90"/>
      <c r="AE3645" s="188"/>
      <c r="AF3645" s="189"/>
      <c r="AG3645" s="189"/>
      <c r="AH3645" s="189"/>
      <c r="AI3645" s="161"/>
    </row>
    <row r="3646" spans="1:41" ht="20.100000000000001" customHeight="1" x14ac:dyDescent="0.25">
      <c r="A3646" s="277" t="s">
        <v>491</v>
      </c>
      <c r="B3646" s="278"/>
      <c r="C3646" s="64" t="s">
        <v>500</v>
      </c>
      <c r="D3646" s="46" t="s">
        <v>97</v>
      </c>
      <c r="E3646" s="114">
        <v>24.283799999999999</v>
      </c>
      <c r="F3646" s="44">
        <v>809</v>
      </c>
      <c r="G3646" s="44">
        <f t="shared" si="2434"/>
        <v>19645.5942</v>
      </c>
      <c r="H3646" s="44">
        <f t="shared" si="2435"/>
        <v>376.73829803921564</v>
      </c>
      <c r="I3646" s="43">
        <f t="shared" si="2436"/>
        <v>9148.6374819247048</v>
      </c>
      <c r="J3646" s="112">
        <f t="shared" si="2437"/>
        <v>24.283799999999999</v>
      </c>
      <c r="K3646" s="211">
        <f t="shared" si="2438"/>
        <v>24.283799999999999</v>
      </c>
      <c r="L3646" s="44"/>
      <c r="M3646" s="44">
        <f t="shared" si="2458"/>
        <v>24.283799999999999</v>
      </c>
      <c r="N3646" s="173">
        <f t="shared" si="2439"/>
        <v>1</v>
      </c>
      <c r="O3646" s="44">
        <f t="shared" si="2440"/>
        <v>809</v>
      </c>
      <c r="P3646" s="44">
        <f t="shared" si="2441"/>
        <v>19645.5942</v>
      </c>
      <c r="Q3646" s="44">
        <f t="shared" si="2442"/>
        <v>376.73829803921564</v>
      </c>
      <c r="R3646" s="44">
        <f t="shared" si="2459"/>
        <v>9148.6374819247048</v>
      </c>
      <c r="S3646" s="123"/>
      <c r="T3646" s="219">
        <f t="shared" si="2460"/>
        <v>9148.6374819247048</v>
      </c>
      <c r="U3646" s="87"/>
      <c r="V3646" s="47"/>
      <c r="W3646" s="48"/>
      <c r="X3646" s="48"/>
      <c r="Y3646" s="48"/>
      <c r="Z3646" s="135"/>
      <c r="AA3646" s="49"/>
      <c r="AB3646" s="50">
        <f t="shared" si="2443"/>
        <v>376.73829803921564</v>
      </c>
      <c r="AC3646" s="42">
        <f t="shared" si="2461"/>
        <v>24.283799999999999</v>
      </c>
      <c r="AD3646" s="90">
        <f>AD3647+AD3657+AD3664</f>
        <v>9148.6374819247048</v>
      </c>
      <c r="AE3646" s="188">
        <f t="shared" ref="AE3646" si="2743">AE3647+AE3657+AE3664</f>
        <v>0</v>
      </c>
      <c r="AF3646" s="189">
        <f t="shared" ref="AF3646" si="2744">AF3647+AF3657+AF3664</f>
        <v>0</v>
      </c>
      <c r="AG3646" s="189">
        <f t="shared" ref="AG3646" si="2745">AG3647+AG3657+AG3664</f>
        <v>0</v>
      </c>
      <c r="AH3646" s="189">
        <f t="shared" ref="AH3646" si="2746">AH3647+AH3657+AH3664</f>
        <v>0</v>
      </c>
      <c r="AI3646" s="161">
        <f t="shared" ref="AI3646" si="2747">SUM(AE3646:AH3646)</f>
        <v>0</v>
      </c>
      <c r="AK3646" s="169">
        <v>5</v>
      </c>
      <c r="AO3646" s="19" t="s">
        <v>63</v>
      </c>
    </row>
    <row r="3647" spans="1:41" s="103" customFormat="1" ht="19.899999999999999" customHeight="1" x14ac:dyDescent="0.25">
      <c r="A3647" s="51"/>
      <c r="B3647" s="52"/>
      <c r="C3647" s="165"/>
      <c r="D3647" s="52"/>
      <c r="E3647" s="115"/>
      <c r="F3647" s="58"/>
      <c r="G3647" s="58"/>
      <c r="H3647" s="58"/>
      <c r="I3647" s="55"/>
      <c r="J3647" s="113">
        <f>J3646</f>
        <v>24.283799999999999</v>
      </c>
      <c r="K3647" s="212">
        <f>K3646</f>
        <v>24.283799999999999</v>
      </c>
      <c r="L3647" s="58"/>
      <c r="M3647" s="58">
        <f>K3647-L3647</f>
        <v>24.283799999999999</v>
      </c>
      <c r="N3647" s="166"/>
      <c r="O3647" s="58"/>
      <c r="P3647" s="58"/>
      <c r="Q3647" s="58"/>
      <c r="R3647" s="58"/>
      <c r="S3647" s="58"/>
      <c r="T3647" s="220"/>
      <c r="U3647" s="88"/>
      <c r="V3647" s="56"/>
      <c r="W3647" s="57" t="s">
        <v>1235</v>
      </c>
      <c r="X3647" s="53"/>
      <c r="Y3647" s="91" t="s">
        <v>68</v>
      </c>
      <c r="Z3647" s="136">
        <f>AD3647/AC3647</f>
        <v>114.15496470588236</v>
      </c>
      <c r="AA3647" s="58"/>
      <c r="AB3647" s="53">
        <f>AD3647/AC3647</f>
        <v>114.15496470588236</v>
      </c>
      <c r="AC3647" s="53">
        <f>M3647+$AE$10</f>
        <v>24.283799999999999</v>
      </c>
      <c r="AD3647" s="54">
        <f>SUM(AD3648:AD3656)</f>
        <v>2772.1163319247062</v>
      </c>
      <c r="AE3647" s="184">
        <f>SUMIFS($AD$37:$AD$12971,$V$37:$V$12971,$V3647,$X$37:$X$12971,AE$13)</f>
        <v>0</v>
      </c>
      <c r="AF3647" s="185">
        <f>SUMIFS($AD$37:$AD$12971,$V$37:$V$12971,$V3647,$X$37:$X$12971,AF$13)</f>
        <v>0</v>
      </c>
      <c r="AG3647" s="185">
        <f>SUMIFS($AD$37:$AD$12971,$V$37:$V$12971,$V3647,$X$37:$X$12971,AG$13)</f>
        <v>0</v>
      </c>
      <c r="AH3647" s="187">
        <f>SUMIFS($AD$37:$AD$12971,$V$37:$V$12971,$V3647,$X$37:$X$12971,AH$13)</f>
        <v>0</v>
      </c>
      <c r="AI3647" s="161">
        <f t="shared" ref="AI3647" si="2748">SUM(AE3647:AH3647)</f>
        <v>0</v>
      </c>
      <c r="AK3647" s="172"/>
    </row>
    <row r="3648" spans="1:41" s="102" customFormat="1" ht="19.899999999999999" customHeight="1" x14ac:dyDescent="0.25">
      <c r="A3648" s="45"/>
      <c r="B3648" s="59"/>
      <c r="C3648" s="137"/>
      <c r="D3648" s="59"/>
      <c r="E3648" s="116"/>
      <c r="F3648" s="120"/>
      <c r="G3648" s="120"/>
      <c r="H3648" s="120"/>
      <c r="I3648" s="60"/>
      <c r="J3648" s="116"/>
      <c r="K3648" s="213"/>
      <c r="L3648" s="120"/>
      <c r="M3648" s="120"/>
      <c r="N3648" s="167"/>
      <c r="O3648" s="120"/>
      <c r="P3648" s="120"/>
      <c r="Q3648" s="120"/>
      <c r="R3648" s="120"/>
      <c r="S3648" s="120"/>
      <c r="T3648" s="221"/>
      <c r="U3648" s="89"/>
      <c r="V3648" s="61"/>
      <c r="W3648" s="92" t="s">
        <v>131</v>
      </c>
      <c r="X3648" s="93" t="s">
        <v>29</v>
      </c>
      <c r="Y3648" s="93" t="s">
        <v>93</v>
      </c>
      <c r="Z3648" s="134">
        <f>VLOOKUP(W3648,Sheet2!$B:$D,3,FALSE)</f>
        <v>131.19999999999999</v>
      </c>
      <c r="AA3648" s="93">
        <f>80/(1.2*7)</f>
        <v>9.5238095238095237</v>
      </c>
      <c r="AB3648" s="93">
        <f t="shared" ref="AB3648" si="2749">AD3648/AC3647</f>
        <v>13.776</v>
      </c>
      <c r="AC3648" s="93">
        <f>AC3647/AA3648</f>
        <v>2.5497990000000001</v>
      </c>
      <c r="AD3648" s="94">
        <f t="shared" ref="AD3648:AD3649" si="2750">AC3648*Z3648</f>
        <v>334.53362879999997</v>
      </c>
      <c r="AE3648" s="190"/>
      <c r="AF3648" s="191"/>
      <c r="AG3648" s="191"/>
      <c r="AH3648" s="191"/>
      <c r="AI3648" s="186"/>
      <c r="AK3648" s="171"/>
    </row>
    <row r="3649" spans="1:37" s="102" customFormat="1" ht="19.899999999999999" customHeight="1" x14ac:dyDescent="0.25">
      <c r="A3649" s="45"/>
      <c r="B3649" s="59"/>
      <c r="C3649" s="137"/>
      <c r="D3649" s="59"/>
      <c r="E3649" s="116"/>
      <c r="F3649" s="120"/>
      <c r="G3649" s="120"/>
      <c r="H3649" s="120"/>
      <c r="I3649" s="60"/>
      <c r="J3649" s="116"/>
      <c r="K3649" s="213"/>
      <c r="L3649" s="120"/>
      <c r="M3649" s="120"/>
      <c r="N3649" s="167"/>
      <c r="O3649" s="120"/>
      <c r="P3649" s="120"/>
      <c r="Q3649" s="120"/>
      <c r="R3649" s="120"/>
      <c r="S3649" s="120"/>
      <c r="T3649" s="221"/>
      <c r="U3649" s="89"/>
      <c r="V3649" s="61"/>
      <c r="W3649" s="92" t="s">
        <v>65</v>
      </c>
      <c r="X3649" s="93" t="s">
        <v>30</v>
      </c>
      <c r="Y3649" s="93" t="s">
        <v>1011</v>
      </c>
      <c r="Z3649" s="134">
        <f>VLOOKUP(W3649,Sheet2!$B:$D,3,FALSE)</f>
        <v>1.76</v>
      </c>
      <c r="AA3649" s="93">
        <f>AA3648/32</f>
        <v>0.29761904761904762</v>
      </c>
      <c r="AB3649" s="93">
        <f>AD3649/AC3647</f>
        <v>5.9136000000000006</v>
      </c>
      <c r="AC3649" s="93">
        <f>AC3647/AA3649</f>
        <v>81.593568000000005</v>
      </c>
      <c r="AD3649" s="94">
        <f t="shared" si="2750"/>
        <v>143.60467968</v>
      </c>
      <c r="AE3649" s="190"/>
      <c r="AF3649" s="191"/>
      <c r="AG3649" s="191"/>
      <c r="AH3649" s="191"/>
      <c r="AI3649" s="186"/>
      <c r="AK3649" s="171"/>
    </row>
    <row r="3650" spans="1:37" s="102" customFormat="1" ht="19.899999999999999" customHeight="1" x14ac:dyDescent="0.25">
      <c r="A3650" s="45"/>
      <c r="B3650" s="59"/>
      <c r="C3650" s="137"/>
      <c r="D3650" s="59"/>
      <c r="E3650" s="116"/>
      <c r="F3650" s="120"/>
      <c r="G3650" s="120"/>
      <c r="H3650" s="120"/>
      <c r="I3650" s="60"/>
      <c r="J3650" s="116"/>
      <c r="K3650" s="213"/>
      <c r="L3650" s="120"/>
      <c r="M3650" s="120"/>
      <c r="N3650" s="167"/>
      <c r="O3650" s="120"/>
      <c r="P3650" s="120"/>
      <c r="Q3650" s="120"/>
      <c r="R3650" s="120"/>
      <c r="S3650" s="120"/>
      <c r="T3650" s="221"/>
      <c r="U3650" s="89"/>
      <c r="V3650" s="61"/>
      <c r="W3650" s="92" t="s">
        <v>161</v>
      </c>
      <c r="X3650" s="93" t="s">
        <v>29</v>
      </c>
      <c r="Y3650" s="93" t="s">
        <v>93</v>
      </c>
      <c r="Z3650" s="134">
        <f>VLOOKUP(W3650,Sheet2!$B:$D,3,FALSE)</f>
        <v>48</v>
      </c>
      <c r="AA3650" s="93">
        <f>(16*0.85*1.5)/(1.2*7)</f>
        <v>2.4285714285714284</v>
      </c>
      <c r="AB3650" s="93">
        <f>AD3650/AC3647</f>
        <v>19.764705882352942</v>
      </c>
      <c r="AC3650" s="93">
        <f>AC3647/AA3650</f>
        <v>9.9992117647058834</v>
      </c>
      <c r="AD3650" s="94">
        <f>AC3650*Z3650</f>
        <v>479.9621647058824</v>
      </c>
      <c r="AE3650" s="190"/>
      <c r="AF3650" s="191"/>
      <c r="AG3650" s="191"/>
      <c r="AH3650" s="191"/>
      <c r="AI3650" s="186"/>
      <c r="AK3650" s="171"/>
    </row>
    <row r="3651" spans="1:37" s="102" customFormat="1" ht="19.899999999999999" customHeight="1" x14ac:dyDescent="0.25">
      <c r="A3651" s="45"/>
      <c r="B3651" s="59"/>
      <c r="C3651" s="137"/>
      <c r="D3651" s="59"/>
      <c r="E3651" s="116"/>
      <c r="F3651" s="120"/>
      <c r="G3651" s="120"/>
      <c r="H3651" s="120"/>
      <c r="I3651" s="60"/>
      <c r="J3651" s="116"/>
      <c r="K3651" s="213"/>
      <c r="L3651" s="120"/>
      <c r="M3651" s="120"/>
      <c r="N3651" s="167"/>
      <c r="O3651" s="120"/>
      <c r="P3651" s="120"/>
      <c r="Q3651" s="120"/>
      <c r="R3651" s="120"/>
      <c r="S3651" s="120"/>
      <c r="T3651" s="221"/>
      <c r="U3651" s="89"/>
      <c r="V3651" s="61"/>
      <c r="W3651" s="92" t="s">
        <v>65</v>
      </c>
      <c r="X3651" s="93" t="s">
        <v>30</v>
      </c>
      <c r="Y3651" s="93" t="s">
        <v>1011</v>
      </c>
      <c r="Z3651" s="134">
        <f>VLOOKUP(W3651,Sheet2!$B:$D,3,FALSE)</f>
        <v>1.76</v>
      </c>
      <c r="AA3651" s="93">
        <f>AA3650/10</f>
        <v>0.24285714285714283</v>
      </c>
      <c r="AB3651" s="93">
        <f>AD3651/AC3647</f>
        <v>7.2470588235294127</v>
      </c>
      <c r="AC3651" s="93">
        <f>AC3647/AA3651</f>
        <v>99.992117647058834</v>
      </c>
      <c r="AD3651" s="94">
        <f>AC3651*Z3651</f>
        <v>175.98612705882354</v>
      </c>
      <c r="AE3651" s="190"/>
      <c r="AF3651" s="191"/>
      <c r="AG3651" s="191"/>
      <c r="AH3651" s="191"/>
      <c r="AI3651" s="186"/>
      <c r="AK3651" s="171"/>
    </row>
    <row r="3652" spans="1:37" s="102" customFormat="1" ht="19.899999999999999" customHeight="1" x14ac:dyDescent="0.25">
      <c r="A3652" s="45"/>
      <c r="B3652" s="59"/>
      <c r="C3652" s="137"/>
      <c r="D3652" s="59"/>
      <c r="E3652" s="116"/>
      <c r="F3652" s="120"/>
      <c r="G3652" s="120"/>
      <c r="H3652" s="120"/>
      <c r="I3652" s="60"/>
      <c r="J3652" s="116"/>
      <c r="K3652" s="213"/>
      <c r="L3652" s="120"/>
      <c r="M3652" s="120"/>
      <c r="N3652" s="167"/>
      <c r="O3652" s="120"/>
      <c r="P3652" s="120"/>
      <c r="Q3652" s="120"/>
      <c r="R3652" s="120"/>
      <c r="S3652" s="120"/>
      <c r="T3652" s="221"/>
      <c r="U3652" s="89"/>
      <c r="V3652" s="61"/>
      <c r="W3652" s="92" t="s">
        <v>1030</v>
      </c>
      <c r="X3652" s="93" t="s">
        <v>29</v>
      </c>
      <c r="Y3652" s="93" t="s">
        <v>93</v>
      </c>
      <c r="Z3652" s="134">
        <f>VLOOKUP(W3652,Sheet2!$B:$D,3,FALSE)</f>
        <v>23</v>
      </c>
      <c r="AA3652" s="93">
        <v>50</v>
      </c>
      <c r="AB3652" s="93">
        <f>AD3652/AC3647</f>
        <v>0.46</v>
      </c>
      <c r="AC3652" s="93">
        <f>AC3647/AA3652</f>
        <v>0.485676</v>
      </c>
      <c r="AD3652" s="94">
        <f t="shared" ref="AD3652:AD3656" si="2751">AC3652*Z3652</f>
        <v>11.170548</v>
      </c>
      <c r="AE3652" s="190"/>
      <c r="AF3652" s="191"/>
      <c r="AG3652" s="191"/>
      <c r="AH3652" s="191"/>
      <c r="AI3652" s="186"/>
      <c r="AK3652" s="171"/>
    </row>
    <row r="3653" spans="1:37" s="102" customFormat="1" ht="19.899999999999999" customHeight="1" x14ac:dyDescent="0.25">
      <c r="A3653" s="45"/>
      <c r="B3653" s="59"/>
      <c r="C3653" s="137"/>
      <c r="D3653" s="59"/>
      <c r="E3653" s="116"/>
      <c r="F3653" s="120"/>
      <c r="G3653" s="120"/>
      <c r="H3653" s="120"/>
      <c r="I3653" s="60"/>
      <c r="J3653" s="116"/>
      <c r="K3653" s="213"/>
      <c r="L3653" s="120"/>
      <c r="M3653" s="120"/>
      <c r="N3653" s="167"/>
      <c r="O3653" s="120"/>
      <c r="P3653" s="120"/>
      <c r="Q3653" s="120"/>
      <c r="R3653" s="120"/>
      <c r="S3653" s="120"/>
      <c r="T3653" s="221"/>
      <c r="U3653" s="89"/>
      <c r="V3653" s="61"/>
      <c r="W3653" s="92" t="s">
        <v>65</v>
      </c>
      <c r="X3653" s="93" t="s">
        <v>30</v>
      </c>
      <c r="Y3653" s="93" t="s">
        <v>1011</v>
      </c>
      <c r="Z3653" s="134">
        <f>VLOOKUP(W3653,Sheet2!$B:$D,3,FALSE)</f>
        <v>1.76</v>
      </c>
      <c r="AA3653" s="93">
        <f>AA3652/3</f>
        <v>16.666666666666668</v>
      </c>
      <c r="AB3653" s="93">
        <f>AD3653/AC3647</f>
        <v>0.10559999999999999</v>
      </c>
      <c r="AC3653" s="93">
        <f>AC3647/AA3653</f>
        <v>1.4570279999999998</v>
      </c>
      <c r="AD3653" s="94">
        <f t="shared" si="2751"/>
        <v>2.5643692799999998</v>
      </c>
      <c r="AE3653" s="190"/>
      <c r="AF3653" s="191"/>
      <c r="AG3653" s="191"/>
      <c r="AH3653" s="191"/>
      <c r="AI3653" s="186"/>
      <c r="AK3653" s="171"/>
    </row>
    <row r="3654" spans="1:37" s="102" customFormat="1" ht="19.899999999999999" customHeight="1" x14ac:dyDescent="0.25">
      <c r="A3654" s="45"/>
      <c r="B3654" s="59"/>
      <c r="C3654" s="137"/>
      <c r="D3654" s="59"/>
      <c r="E3654" s="116"/>
      <c r="F3654" s="120"/>
      <c r="G3654" s="120"/>
      <c r="H3654" s="120"/>
      <c r="I3654" s="60"/>
      <c r="J3654" s="116"/>
      <c r="K3654" s="213"/>
      <c r="L3654" s="120"/>
      <c r="M3654" s="120"/>
      <c r="N3654" s="167"/>
      <c r="O3654" s="120"/>
      <c r="P3654" s="120"/>
      <c r="Q3654" s="120"/>
      <c r="R3654" s="120"/>
      <c r="S3654" s="120"/>
      <c r="T3654" s="221"/>
      <c r="U3654" s="89"/>
      <c r="V3654" s="61"/>
      <c r="W3654" s="92" t="s">
        <v>148</v>
      </c>
      <c r="X3654" s="93" t="s">
        <v>29</v>
      </c>
      <c r="Y3654" s="93" t="s">
        <v>93</v>
      </c>
      <c r="Z3654" s="134">
        <f>VLOOKUP(W3654,Sheet2!$B:$D,3,FALSE)</f>
        <v>48</v>
      </c>
      <c r="AA3654" s="93">
        <f>AA3648</f>
        <v>9.5238095238095237</v>
      </c>
      <c r="AB3654" s="93">
        <f>AD3654/AC3647</f>
        <v>5.04</v>
      </c>
      <c r="AC3654" s="93">
        <f>AC3647/AA3654</f>
        <v>2.5497990000000001</v>
      </c>
      <c r="AD3654" s="94">
        <f t="shared" si="2751"/>
        <v>122.39035200000001</v>
      </c>
      <c r="AE3654" s="190"/>
      <c r="AF3654" s="191"/>
      <c r="AG3654" s="191"/>
      <c r="AH3654" s="191"/>
      <c r="AI3654" s="186"/>
      <c r="AK3654" s="171"/>
    </row>
    <row r="3655" spans="1:37" s="102" customFormat="1" ht="19.899999999999999" customHeight="1" x14ac:dyDescent="0.25">
      <c r="A3655" s="45"/>
      <c r="B3655" s="59"/>
      <c r="C3655" s="137"/>
      <c r="D3655" s="59"/>
      <c r="E3655" s="116"/>
      <c r="F3655" s="120"/>
      <c r="G3655" s="120"/>
      <c r="H3655" s="120"/>
      <c r="I3655" s="60"/>
      <c r="J3655" s="116"/>
      <c r="K3655" s="213"/>
      <c r="L3655" s="120"/>
      <c r="M3655" s="120"/>
      <c r="N3655" s="167"/>
      <c r="O3655" s="120"/>
      <c r="P3655" s="120"/>
      <c r="Q3655" s="120"/>
      <c r="R3655" s="120"/>
      <c r="S3655" s="120"/>
      <c r="T3655" s="221"/>
      <c r="U3655" s="89"/>
      <c r="V3655" s="61"/>
      <c r="W3655" s="92" t="s">
        <v>65</v>
      </c>
      <c r="X3655" s="93" t="s">
        <v>30</v>
      </c>
      <c r="Y3655" s="93" t="s">
        <v>1011</v>
      </c>
      <c r="Z3655" s="134">
        <f>VLOOKUP(W3655,Sheet2!$B:$D,3,FALSE)</f>
        <v>1.76</v>
      </c>
      <c r="AA3655" s="93">
        <f>AA3654/10</f>
        <v>0.95238095238095233</v>
      </c>
      <c r="AB3655" s="93">
        <f>AD3655/AC3647</f>
        <v>1.8480000000000001</v>
      </c>
      <c r="AC3655" s="93">
        <f>AC3647/AA3655</f>
        <v>25.497990000000001</v>
      </c>
      <c r="AD3655" s="94">
        <f t="shared" si="2751"/>
        <v>44.876462400000001</v>
      </c>
      <c r="AE3655" s="190"/>
      <c r="AF3655" s="191"/>
      <c r="AG3655" s="191"/>
      <c r="AH3655" s="191"/>
      <c r="AI3655" s="186"/>
      <c r="AK3655" s="171"/>
    </row>
    <row r="3656" spans="1:37" s="102" customFormat="1" ht="19.899999999999999" customHeight="1" x14ac:dyDescent="0.25">
      <c r="A3656" s="45"/>
      <c r="B3656" s="59"/>
      <c r="C3656" s="137"/>
      <c r="D3656" s="59"/>
      <c r="E3656" s="116"/>
      <c r="F3656" s="120"/>
      <c r="G3656" s="120"/>
      <c r="H3656" s="120"/>
      <c r="I3656" s="60"/>
      <c r="J3656" s="116"/>
      <c r="K3656" s="213"/>
      <c r="L3656" s="120"/>
      <c r="M3656" s="120"/>
      <c r="N3656" s="167"/>
      <c r="O3656" s="120"/>
      <c r="P3656" s="120"/>
      <c r="Q3656" s="120"/>
      <c r="R3656" s="120"/>
      <c r="S3656" s="120"/>
      <c r="T3656" s="221"/>
      <c r="U3656" s="89"/>
      <c r="V3656" s="61"/>
      <c r="W3656" s="92" t="s">
        <v>1049</v>
      </c>
      <c r="X3656" s="93" t="s">
        <v>30</v>
      </c>
      <c r="Y3656" s="93" t="s">
        <v>68</v>
      </c>
      <c r="Z3656" s="134">
        <f>VLOOKUP(W3656,Sheet2!$B:$D,3,FALSE)</f>
        <v>60</v>
      </c>
      <c r="AA3656" s="93">
        <v>1</v>
      </c>
      <c r="AB3656" s="93">
        <f>AD3656/AC3647</f>
        <v>60</v>
      </c>
      <c r="AC3656" s="93">
        <f>AC3647/AA3656</f>
        <v>24.283799999999999</v>
      </c>
      <c r="AD3656" s="94">
        <f t="shared" si="2751"/>
        <v>1457.028</v>
      </c>
      <c r="AE3656" s="190"/>
      <c r="AF3656" s="191"/>
      <c r="AG3656" s="191"/>
      <c r="AH3656" s="191"/>
      <c r="AI3656" s="186"/>
      <c r="AK3656" s="171"/>
    </row>
    <row r="3657" spans="1:37" s="103" customFormat="1" ht="19.899999999999999" customHeight="1" x14ac:dyDescent="0.25">
      <c r="A3657" s="51"/>
      <c r="B3657" s="52"/>
      <c r="C3657" s="165"/>
      <c r="D3657" s="52"/>
      <c r="E3657" s="115"/>
      <c r="F3657" s="58"/>
      <c r="G3657" s="58"/>
      <c r="H3657" s="58"/>
      <c r="I3657" s="55"/>
      <c r="J3657" s="113">
        <f>J3646</f>
        <v>24.283799999999999</v>
      </c>
      <c r="K3657" s="212">
        <f>K3646</f>
        <v>24.283799999999999</v>
      </c>
      <c r="L3657" s="58"/>
      <c r="M3657" s="58">
        <f>K3657-L3657</f>
        <v>24.283799999999999</v>
      </c>
      <c r="N3657" s="166"/>
      <c r="O3657" s="58"/>
      <c r="P3657" s="58"/>
      <c r="Q3657" s="58"/>
      <c r="R3657" s="58"/>
      <c r="S3657" s="58"/>
      <c r="T3657" s="220"/>
      <c r="U3657" s="88"/>
      <c r="V3657" s="56"/>
      <c r="W3657" s="57" t="s">
        <v>1036</v>
      </c>
      <c r="X3657" s="53"/>
      <c r="Y3657" s="91" t="s">
        <v>68</v>
      </c>
      <c r="Z3657" s="136">
        <f>AD3657/AC3657</f>
        <v>257.58333333333331</v>
      </c>
      <c r="AA3657" s="58"/>
      <c r="AB3657" s="53">
        <f>AD3657/AC3657</f>
        <v>257.58333333333331</v>
      </c>
      <c r="AC3657" s="53">
        <f>M3657+$AE$10</f>
        <v>24.283799999999999</v>
      </c>
      <c r="AD3657" s="54">
        <f>SUM(AD3658:AD3663)</f>
        <v>6255.1021499999997</v>
      </c>
      <c r="AE3657" s="184">
        <f>SUMIFS($AD$37:$AD$12971,$V$37:$V$12971,$V3657,$X$37:$X$12971,AE$13)</f>
        <v>0</v>
      </c>
      <c r="AF3657" s="185">
        <f>SUMIFS($AD$37:$AD$12971,$V$37:$V$12971,$V3657,$X$37:$X$12971,AF$13)</f>
        <v>0</v>
      </c>
      <c r="AG3657" s="185">
        <f>SUMIFS($AD$37:$AD$12971,$V$37:$V$12971,$V3657,$X$37:$X$12971,AG$13)</f>
        <v>0</v>
      </c>
      <c r="AH3657" s="187">
        <f>SUMIFS($AD$37:$AD$12971,$V$37:$V$12971,$V3657,$X$37:$X$12971,AH$13)</f>
        <v>0</v>
      </c>
      <c r="AI3657" s="161">
        <f t="shared" ref="AI3657" si="2752">SUM(AE3657:AH3657)</f>
        <v>0</v>
      </c>
      <c r="AK3657" s="172"/>
    </row>
    <row r="3658" spans="1:37" s="102" customFormat="1" ht="19.899999999999999" customHeight="1" x14ac:dyDescent="0.25">
      <c r="A3658" s="45"/>
      <c r="B3658" s="59"/>
      <c r="C3658" s="137"/>
      <c r="D3658" s="59"/>
      <c r="E3658" s="116"/>
      <c r="F3658" s="120"/>
      <c r="G3658" s="120"/>
      <c r="H3658" s="120"/>
      <c r="I3658" s="60"/>
      <c r="J3658" s="116"/>
      <c r="K3658" s="213"/>
      <c r="L3658" s="120"/>
      <c r="M3658" s="120"/>
      <c r="N3658" s="167"/>
      <c r="O3658" s="120"/>
      <c r="P3658" s="120"/>
      <c r="Q3658" s="120"/>
      <c r="R3658" s="120"/>
      <c r="S3658" s="120"/>
      <c r="T3658" s="221"/>
      <c r="U3658" s="89"/>
      <c r="V3658" s="61"/>
      <c r="W3658" s="92" t="s">
        <v>1055</v>
      </c>
      <c r="X3658" s="93" t="s">
        <v>30</v>
      </c>
      <c r="Y3658" s="93" t="s">
        <v>68</v>
      </c>
      <c r="Z3658" s="134">
        <f>VLOOKUP(W3658,Sheet2!$B:$D,3,FALSE)</f>
        <v>144</v>
      </c>
      <c r="AA3658" s="93">
        <v>1</v>
      </c>
      <c r="AB3658" s="93">
        <f>AD3658/AC3657</f>
        <v>144</v>
      </c>
      <c r="AC3658" s="93">
        <f>AC3657/AA3658</f>
        <v>24.283799999999999</v>
      </c>
      <c r="AD3658" s="94">
        <f t="shared" ref="AD3658" si="2753">AC3658*Z3658</f>
        <v>3496.8671999999997</v>
      </c>
      <c r="AE3658" s="190"/>
      <c r="AF3658" s="191"/>
      <c r="AG3658" s="191"/>
      <c r="AH3658" s="191"/>
      <c r="AI3658" s="186"/>
      <c r="AK3658" s="171"/>
    </row>
    <row r="3659" spans="1:37" s="102" customFormat="1" ht="19.899999999999999" customHeight="1" x14ac:dyDescent="0.25">
      <c r="A3659" s="45"/>
      <c r="B3659" s="59"/>
      <c r="C3659" s="137"/>
      <c r="D3659" s="59"/>
      <c r="E3659" s="116"/>
      <c r="F3659" s="120"/>
      <c r="G3659" s="120"/>
      <c r="H3659" s="120"/>
      <c r="I3659" s="60"/>
      <c r="J3659" s="116"/>
      <c r="K3659" s="213"/>
      <c r="L3659" s="120"/>
      <c r="M3659" s="120"/>
      <c r="N3659" s="167"/>
      <c r="O3659" s="120"/>
      <c r="P3659" s="120"/>
      <c r="Q3659" s="120"/>
      <c r="R3659" s="120"/>
      <c r="S3659" s="120"/>
      <c r="T3659" s="221"/>
      <c r="U3659" s="89"/>
      <c r="V3659" s="61"/>
      <c r="W3659" s="92" t="s">
        <v>1062</v>
      </c>
      <c r="X3659" s="93" t="s">
        <v>30</v>
      </c>
      <c r="Y3659" s="93" t="s">
        <v>68</v>
      </c>
      <c r="Z3659" s="134">
        <f>VLOOKUP(W3659,Sheet2!$B:$D,3,FALSE)</f>
        <v>15</v>
      </c>
      <c r="AA3659" s="93">
        <v>1</v>
      </c>
      <c r="AB3659" s="93">
        <f>AD3659/AC3657</f>
        <v>15</v>
      </c>
      <c r="AC3659" s="93">
        <f>AC3657/AA3659</f>
        <v>24.283799999999999</v>
      </c>
      <c r="AD3659" s="94">
        <f>AC3659*Z3659</f>
        <v>364.25700000000001</v>
      </c>
      <c r="AE3659" s="190"/>
      <c r="AF3659" s="191"/>
      <c r="AG3659" s="191"/>
      <c r="AH3659" s="191"/>
      <c r="AI3659" s="186"/>
      <c r="AK3659" s="171"/>
    </row>
    <row r="3660" spans="1:37" s="102" customFormat="1" ht="19.899999999999999" customHeight="1" x14ac:dyDescent="0.25">
      <c r="A3660" s="45"/>
      <c r="B3660" s="59"/>
      <c r="C3660" s="137"/>
      <c r="D3660" s="59"/>
      <c r="E3660" s="116"/>
      <c r="F3660" s="120"/>
      <c r="G3660" s="120"/>
      <c r="H3660" s="120"/>
      <c r="I3660" s="60"/>
      <c r="J3660" s="116"/>
      <c r="K3660" s="213"/>
      <c r="L3660" s="120"/>
      <c r="M3660" s="120"/>
      <c r="N3660" s="167"/>
      <c r="O3660" s="120"/>
      <c r="P3660" s="120"/>
      <c r="Q3660" s="120"/>
      <c r="R3660" s="120"/>
      <c r="S3660" s="120"/>
      <c r="T3660" s="221"/>
      <c r="U3660" s="89"/>
      <c r="V3660" s="61"/>
      <c r="W3660" s="92" t="s">
        <v>1070</v>
      </c>
      <c r="X3660" s="93" t="s">
        <v>32</v>
      </c>
      <c r="Y3660" s="93" t="s">
        <v>68</v>
      </c>
      <c r="Z3660" s="134">
        <f>VLOOKUP(W3660,Sheet2!$B:$D,3,FALSE)</f>
        <v>50</v>
      </c>
      <c r="AA3660" s="93">
        <v>1</v>
      </c>
      <c r="AB3660" s="93">
        <f>AD3660/AC3657</f>
        <v>50</v>
      </c>
      <c r="AC3660" s="93">
        <f>AC3657/AA3660</f>
        <v>24.283799999999999</v>
      </c>
      <c r="AD3660" s="94">
        <f>AC3660*Z3660</f>
        <v>1214.19</v>
      </c>
      <c r="AE3660" s="190"/>
      <c r="AF3660" s="191"/>
      <c r="AG3660" s="191"/>
      <c r="AH3660" s="191"/>
      <c r="AI3660" s="186"/>
      <c r="AK3660" s="171"/>
    </row>
    <row r="3661" spans="1:37" s="102" customFormat="1" ht="19.899999999999999" customHeight="1" x14ac:dyDescent="0.25">
      <c r="A3661" s="45"/>
      <c r="B3661" s="59"/>
      <c r="C3661" s="137"/>
      <c r="D3661" s="59"/>
      <c r="E3661" s="116"/>
      <c r="F3661" s="120"/>
      <c r="G3661" s="120"/>
      <c r="H3661" s="120"/>
      <c r="I3661" s="60"/>
      <c r="J3661" s="116"/>
      <c r="K3661" s="213"/>
      <c r="L3661" s="120"/>
      <c r="M3661" s="120"/>
      <c r="N3661" s="167"/>
      <c r="O3661" s="120"/>
      <c r="P3661" s="120"/>
      <c r="Q3661" s="120"/>
      <c r="R3661" s="120"/>
      <c r="S3661" s="120"/>
      <c r="T3661" s="221"/>
      <c r="U3661" s="89"/>
      <c r="V3661" s="61"/>
      <c r="W3661" s="92" t="s">
        <v>1032</v>
      </c>
      <c r="X3661" s="93" t="s">
        <v>30</v>
      </c>
      <c r="Y3661" s="93" t="s">
        <v>66</v>
      </c>
      <c r="Z3661" s="134">
        <f>VLOOKUP(W3661,Sheet2!$B:$D,3,FALSE)</f>
        <v>250</v>
      </c>
      <c r="AA3661" s="93">
        <f>1/(1.2*0.1)</f>
        <v>8.3333333333333339</v>
      </c>
      <c r="AB3661" s="93">
        <f>AD3661/AC3657</f>
        <v>29.999999999999996</v>
      </c>
      <c r="AC3661" s="93">
        <f>AC3657/AA3661</f>
        <v>2.9140559999999995</v>
      </c>
      <c r="AD3661" s="94">
        <f>AC3661*Z3661</f>
        <v>728.5139999999999</v>
      </c>
      <c r="AE3661" s="190"/>
      <c r="AF3661" s="191"/>
      <c r="AG3661" s="191"/>
      <c r="AH3661" s="191"/>
      <c r="AI3661" s="186"/>
      <c r="AK3661" s="171"/>
    </row>
    <row r="3662" spans="1:37" s="102" customFormat="1" ht="19.899999999999999" customHeight="1" x14ac:dyDescent="0.25">
      <c r="A3662" s="45"/>
      <c r="B3662" s="59"/>
      <c r="C3662" s="137"/>
      <c r="D3662" s="59"/>
      <c r="E3662" s="116"/>
      <c r="F3662" s="120"/>
      <c r="G3662" s="120"/>
      <c r="H3662" s="120"/>
      <c r="I3662" s="60"/>
      <c r="J3662" s="116"/>
      <c r="K3662" s="213"/>
      <c r="L3662" s="120"/>
      <c r="M3662" s="120"/>
      <c r="N3662" s="167"/>
      <c r="O3662" s="120"/>
      <c r="P3662" s="120"/>
      <c r="Q3662" s="120"/>
      <c r="R3662" s="120"/>
      <c r="S3662" s="120"/>
      <c r="T3662" s="221"/>
      <c r="U3662" s="89"/>
      <c r="V3662" s="61"/>
      <c r="W3662" s="92" t="s">
        <v>1035</v>
      </c>
      <c r="X3662" s="93" t="s">
        <v>32</v>
      </c>
      <c r="Y3662" s="93" t="s">
        <v>66</v>
      </c>
      <c r="Z3662" s="134">
        <f>VLOOKUP(W3662,Sheet2!$B:$D,3,FALSE)</f>
        <v>150</v>
      </c>
      <c r="AA3662" s="93">
        <f>AA3661</f>
        <v>8.3333333333333339</v>
      </c>
      <c r="AB3662" s="93">
        <f>AD3662/AC3657</f>
        <v>17.999999999999996</v>
      </c>
      <c r="AC3662" s="93">
        <f>AC3657/AA3662</f>
        <v>2.9140559999999995</v>
      </c>
      <c r="AD3662" s="94">
        <f t="shared" ref="AD3662:AD3663" si="2754">AC3662*Z3662</f>
        <v>437.1083999999999</v>
      </c>
      <c r="AE3662" s="190"/>
      <c r="AF3662" s="191"/>
      <c r="AG3662" s="191"/>
      <c r="AH3662" s="191"/>
      <c r="AI3662" s="186"/>
      <c r="AK3662" s="171"/>
    </row>
    <row r="3663" spans="1:37" s="102" customFormat="1" ht="19.899999999999999" customHeight="1" x14ac:dyDescent="0.25">
      <c r="A3663" s="45"/>
      <c r="B3663" s="59"/>
      <c r="C3663" s="137"/>
      <c r="D3663" s="59"/>
      <c r="E3663" s="116"/>
      <c r="F3663" s="120"/>
      <c r="G3663" s="120"/>
      <c r="H3663" s="120"/>
      <c r="I3663" s="60"/>
      <c r="J3663" s="116"/>
      <c r="K3663" s="213"/>
      <c r="L3663" s="120"/>
      <c r="M3663" s="120"/>
      <c r="N3663" s="167"/>
      <c r="O3663" s="120"/>
      <c r="P3663" s="120"/>
      <c r="Q3663" s="120"/>
      <c r="R3663" s="120"/>
      <c r="S3663" s="120"/>
      <c r="T3663" s="221"/>
      <c r="U3663" s="89"/>
      <c r="V3663" s="61"/>
      <c r="W3663" s="92" t="s">
        <v>1037</v>
      </c>
      <c r="X3663" s="93" t="s">
        <v>30</v>
      </c>
      <c r="Y3663" s="93" t="s">
        <v>1038</v>
      </c>
      <c r="Z3663" s="134">
        <f>VLOOKUP(W3663,Sheet2!$B:$D,3,FALSE)</f>
        <v>175</v>
      </c>
      <c r="AA3663" s="93">
        <v>300</v>
      </c>
      <c r="AB3663" s="93">
        <f>AD3663/AC3657</f>
        <v>0.58333333333333337</v>
      </c>
      <c r="AC3663" s="93">
        <f>AC3657/AA3663</f>
        <v>8.0946000000000004E-2</v>
      </c>
      <c r="AD3663" s="94">
        <f t="shared" si="2754"/>
        <v>14.165550000000001</v>
      </c>
      <c r="AE3663" s="190"/>
      <c r="AF3663" s="191"/>
      <c r="AG3663" s="191"/>
      <c r="AH3663" s="191"/>
      <c r="AI3663" s="186"/>
      <c r="AK3663" s="171"/>
    </row>
    <row r="3664" spans="1:37" s="103" customFormat="1" ht="19.899999999999999" customHeight="1" x14ac:dyDescent="0.25">
      <c r="A3664" s="51"/>
      <c r="B3664" s="52"/>
      <c r="C3664" s="165"/>
      <c r="D3664" s="52"/>
      <c r="E3664" s="115"/>
      <c r="F3664" s="58"/>
      <c r="G3664" s="58"/>
      <c r="H3664" s="58"/>
      <c r="I3664" s="55"/>
      <c r="J3664" s="113">
        <f>J3646</f>
        <v>24.283799999999999</v>
      </c>
      <c r="K3664" s="212">
        <f>K3646</f>
        <v>24.283799999999999</v>
      </c>
      <c r="L3664" s="58"/>
      <c r="M3664" s="58">
        <f>K3664-L3664</f>
        <v>24.283799999999999</v>
      </c>
      <c r="N3664" s="166"/>
      <c r="O3664" s="58"/>
      <c r="P3664" s="58"/>
      <c r="Q3664" s="58"/>
      <c r="R3664" s="58"/>
      <c r="S3664" s="58"/>
      <c r="T3664" s="220"/>
      <c r="U3664" s="88"/>
      <c r="V3664" s="56"/>
      <c r="W3664" s="57" t="s">
        <v>1040</v>
      </c>
      <c r="X3664" s="53"/>
      <c r="Y3664" s="91" t="s">
        <v>68</v>
      </c>
      <c r="Z3664" s="136">
        <f>AD3664/AC3664</f>
        <v>5</v>
      </c>
      <c r="AA3664" s="58"/>
      <c r="AB3664" s="53">
        <f>AD3664/AC3664</f>
        <v>5</v>
      </c>
      <c r="AC3664" s="53">
        <f>M3664+$AE$10</f>
        <v>24.283799999999999</v>
      </c>
      <c r="AD3664" s="54">
        <f>SUM(AD3665)</f>
        <v>121.419</v>
      </c>
      <c r="AE3664" s="184">
        <f>SUMIFS($AD$37:$AD$12971,$V$37:$V$12971,$V3664,$X$37:$X$12971,AE$13)</f>
        <v>0</v>
      </c>
      <c r="AF3664" s="185">
        <f>SUMIFS($AD$37:$AD$12971,$V$37:$V$12971,$V3664,$X$37:$X$12971,AF$13)</f>
        <v>0</v>
      </c>
      <c r="AG3664" s="185">
        <f>SUMIFS($AD$37:$AD$12971,$V$37:$V$12971,$V3664,$X$37:$X$12971,AG$13)</f>
        <v>0</v>
      </c>
      <c r="AH3664" s="187">
        <f>SUMIFS($AD$37:$AD$12971,$V$37:$V$12971,$V3664,$X$37:$X$12971,AH$13)</f>
        <v>0</v>
      </c>
      <c r="AI3664" s="161">
        <f t="shared" ref="AI3664" si="2755">SUM(AE3664:AH3664)</f>
        <v>0</v>
      </c>
      <c r="AK3664" s="172"/>
    </row>
    <row r="3665" spans="1:41" s="102" customFormat="1" ht="19.899999999999999" customHeight="1" x14ac:dyDescent="0.25">
      <c r="A3665" s="45"/>
      <c r="B3665" s="59"/>
      <c r="C3665" s="137"/>
      <c r="D3665" s="59"/>
      <c r="E3665" s="116"/>
      <c r="F3665" s="120"/>
      <c r="G3665" s="120"/>
      <c r="H3665" s="120"/>
      <c r="I3665" s="60"/>
      <c r="J3665" s="116"/>
      <c r="K3665" s="213"/>
      <c r="L3665" s="120"/>
      <c r="M3665" s="120"/>
      <c r="N3665" s="167"/>
      <c r="O3665" s="120"/>
      <c r="P3665" s="120"/>
      <c r="Q3665" s="120"/>
      <c r="R3665" s="120"/>
      <c r="S3665" s="120"/>
      <c r="T3665" s="221"/>
      <c r="U3665" s="89"/>
      <c r="V3665" s="61"/>
      <c r="W3665" s="92" t="s">
        <v>1039</v>
      </c>
      <c r="X3665" s="93" t="s">
        <v>32</v>
      </c>
      <c r="Y3665" s="93" t="s">
        <v>68</v>
      </c>
      <c r="Z3665" s="134">
        <f>VLOOKUP(W3665,Sheet2!$B:$D,3,FALSE)</f>
        <v>5</v>
      </c>
      <c r="AA3665" s="93">
        <v>1</v>
      </c>
      <c r="AB3665" s="93">
        <f>AD3665/AC3664</f>
        <v>5</v>
      </c>
      <c r="AC3665" s="93">
        <f>AC3664/AA3665</f>
        <v>24.283799999999999</v>
      </c>
      <c r="AD3665" s="94">
        <f t="shared" ref="AD3665" si="2756">AC3665*Z3665</f>
        <v>121.419</v>
      </c>
      <c r="AE3665" s="190"/>
      <c r="AF3665" s="191"/>
      <c r="AG3665" s="191"/>
      <c r="AH3665" s="191"/>
      <c r="AI3665" s="186"/>
      <c r="AK3665" s="171"/>
    </row>
    <row r="3666" spans="1:41" ht="20.100000000000001" customHeight="1" x14ac:dyDescent="0.25">
      <c r="A3666" s="277" t="s">
        <v>491</v>
      </c>
      <c r="B3666" s="278"/>
      <c r="C3666" s="64" t="s">
        <v>501</v>
      </c>
      <c r="D3666" s="46" t="s">
        <v>97</v>
      </c>
      <c r="E3666" s="114"/>
      <c r="F3666" s="44"/>
      <c r="G3666" s="44">
        <f t="shared" si="2434"/>
        <v>0</v>
      </c>
      <c r="H3666" s="44">
        <f t="shared" si="2435"/>
        <v>0</v>
      </c>
      <c r="I3666" s="43">
        <f t="shared" si="2436"/>
        <v>0</v>
      </c>
      <c r="J3666" s="112">
        <f t="shared" si="2437"/>
        <v>0</v>
      </c>
      <c r="K3666" s="211">
        <f t="shared" si="2438"/>
        <v>0</v>
      </c>
      <c r="L3666" s="44"/>
      <c r="M3666" s="44">
        <f t="shared" si="2458"/>
        <v>0</v>
      </c>
      <c r="N3666" s="173">
        <f t="shared" si="2439"/>
        <v>0</v>
      </c>
      <c r="O3666" s="44">
        <f t="shared" si="2440"/>
        <v>0</v>
      </c>
      <c r="P3666" s="44">
        <f t="shared" si="2441"/>
        <v>0</v>
      </c>
      <c r="Q3666" s="44">
        <f t="shared" si="2442"/>
        <v>0</v>
      </c>
      <c r="R3666" s="44">
        <f t="shared" si="2459"/>
        <v>0</v>
      </c>
      <c r="S3666" s="123"/>
      <c r="T3666" s="219">
        <f t="shared" si="2460"/>
        <v>0</v>
      </c>
      <c r="U3666" s="87"/>
      <c r="V3666" s="47"/>
      <c r="W3666" s="48"/>
      <c r="X3666" s="48"/>
      <c r="Y3666" s="48"/>
      <c r="Z3666" s="135"/>
      <c r="AA3666" s="49"/>
      <c r="AB3666" s="50">
        <f t="shared" si="2443"/>
        <v>0</v>
      </c>
      <c r="AC3666" s="42">
        <f t="shared" si="2461"/>
        <v>9.9999999999999998E-20</v>
      </c>
      <c r="AD3666" s="90"/>
      <c r="AE3666" s="188"/>
      <c r="AF3666" s="189"/>
      <c r="AG3666" s="189"/>
      <c r="AH3666" s="189"/>
      <c r="AI3666" s="161"/>
    </row>
    <row r="3667" spans="1:41" ht="20.100000000000001" customHeight="1" x14ac:dyDescent="0.25">
      <c r="A3667" s="277" t="s">
        <v>491</v>
      </c>
      <c r="B3667" s="278"/>
      <c r="C3667" s="308" t="s">
        <v>1176</v>
      </c>
      <c r="D3667" s="46"/>
      <c r="E3667" s="114"/>
      <c r="F3667" s="44"/>
      <c r="G3667" s="44">
        <f t="shared" si="2434"/>
        <v>0</v>
      </c>
      <c r="H3667" s="44">
        <f t="shared" si="2435"/>
        <v>0</v>
      </c>
      <c r="I3667" s="43">
        <f t="shared" si="2436"/>
        <v>0</v>
      </c>
      <c r="J3667" s="112">
        <f t="shared" si="2437"/>
        <v>0</v>
      </c>
      <c r="K3667" s="211">
        <f t="shared" si="2438"/>
        <v>0</v>
      </c>
      <c r="L3667" s="44"/>
      <c r="M3667" s="44">
        <f t="shared" si="2458"/>
        <v>0</v>
      </c>
      <c r="N3667" s="173">
        <f t="shared" si="2439"/>
        <v>0</v>
      </c>
      <c r="O3667" s="44">
        <f t="shared" si="2440"/>
        <v>0</v>
      </c>
      <c r="P3667" s="44">
        <f t="shared" si="2441"/>
        <v>0</v>
      </c>
      <c r="Q3667" s="44">
        <f t="shared" si="2442"/>
        <v>0</v>
      </c>
      <c r="R3667" s="44">
        <f t="shared" si="2459"/>
        <v>0</v>
      </c>
      <c r="S3667" s="123"/>
      <c r="T3667" s="219">
        <f t="shared" si="2460"/>
        <v>0</v>
      </c>
      <c r="U3667" s="87"/>
      <c r="V3667" s="47"/>
      <c r="W3667" s="48"/>
      <c r="X3667" s="48"/>
      <c r="Y3667" s="48"/>
      <c r="Z3667" s="135"/>
      <c r="AA3667" s="49"/>
      <c r="AB3667" s="50">
        <f t="shared" si="2443"/>
        <v>0</v>
      </c>
      <c r="AC3667" s="42">
        <f t="shared" si="2461"/>
        <v>9.9999999999999998E-20</v>
      </c>
      <c r="AD3667" s="90"/>
      <c r="AE3667" s="188"/>
      <c r="AF3667" s="189"/>
      <c r="AG3667" s="189"/>
      <c r="AH3667" s="189"/>
      <c r="AI3667" s="161"/>
    </row>
    <row r="3668" spans="1:41" ht="20.100000000000001" customHeight="1" x14ac:dyDescent="0.25">
      <c r="A3668" s="277" t="s">
        <v>491</v>
      </c>
      <c r="B3668" s="278"/>
      <c r="C3668" s="64" t="s">
        <v>492</v>
      </c>
      <c r="D3668" s="46" t="s">
        <v>97</v>
      </c>
      <c r="E3668" s="114">
        <v>7.2221999999999973</v>
      </c>
      <c r="F3668" s="44">
        <v>395</v>
      </c>
      <c r="G3668" s="44">
        <f t="shared" si="2434"/>
        <v>2852.7689999999989</v>
      </c>
      <c r="H3668" s="44">
        <f t="shared" si="2435"/>
        <v>410.18319215686273</v>
      </c>
      <c r="I3668" s="43">
        <f t="shared" si="2436"/>
        <v>2962.4250503952931</v>
      </c>
      <c r="J3668" s="112">
        <f t="shared" si="2437"/>
        <v>7.2221999999999973</v>
      </c>
      <c r="K3668" s="211">
        <f t="shared" si="2438"/>
        <v>7.2221999999999973</v>
      </c>
      <c r="L3668" s="44"/>
      <c r="M3668" s="44">
        <f t="shared" si="2458"/>
        <v>7.2221999999999973</v>
      </c>
      <c r="N3668" s="173">
        <f t="shared" si="2439"/>
        <v>1</v>
      </c>
      <c r="O3668" s="44">
        <f t="shared" si="2440"/>
        <v>395</v>
      </c>
      <c r="P3668" s="44">
        <f t="shared" si="2441"/>
        <v>2852.7689999999989</v>
      </c>
      <c r="Q3668" s="44">
        <f t="shared" si="2442"/>
        <v>410.18319215686273</v>
      </c>
      <c r="R3668" s="44">
        <f t="shared" si="2459"/>
        <v>2962.4250503952931</v>
      </c>
      <c r="S3668" s="123"/>
      <c r="T3668" s="219">
        <f t="shared" si="2460"/>
        <v>2962.4250503952931</v>
      </c>
      <c r="U3668" s="87"/>
      <c r="V3668" s="47"/>
      <c r="W3668" s="48"/>
      <c r="X3668" s="48"/>
      <c r="Y3668" s="48"/>
      <c r="Z3668" s="135"/>
      <c r="AA3668" s="49"/>
      <c r="AB3668" s="50">
        <f t="shared" si="2443"/>
        <v>410.18319215686273</v>
      </c>
      <c r="AC3668" s="42">
        <f t="shared" si="2461"/>
        <v>7.2221999999999973</v>
      </c>
      <c r="AD3668" s="90">
        <f>AD3669+AD3678+AD3685</f>
        <v>2962.4250503952931</v>
      </c>
      <c r="AE3668" s="188">
        <f t="shared" ref="AE3668:AH3668" si="2757">AE3669+AE3678+AE3685</f>
        <v>0</v>
      </c>
      <c r="AF3668" s="189">
        <f t="shared" si="2757"/>
        <v>0</v>
      </c>
      <c r="AG3668" s="189">
        <f t="shared" si="2757"/>
        <v>0</v>
      </c>
      <c r="AH3668" s="189">
        <f t="shared" si="2757"/>
        <v>0</v>
      </c>
      <c r="AI3668" s="161">
        <f t="shared" ref="AI3668" si="2758">SUM(AE3668:AH3668)</f>
        <v>0</v>
      </c>
      <c r="AK3668" s="169">
        <v>5</v>
      </c>
      <c r="AO3668" s="19" t="s">
        <v>63</v>
      </c>
    </row>
    <row r="3669" spans="1:41" s="103" customFormat="1" ht="19.899999999999999" customHeight="1" x14ac:dyDescent="0.25">
      <c r="A3669" s="51"/>
      <c r="B3669" s="52"/>
      <c r="C3669" s="165"/>
      <c r="D3669" s="52"/>
      <c r="E3669" s="115"/>
      <c r="F3669" s="58"/>
      <c r="G3669" s="58"/>
      <c r="H3669" s="58"/>
      <c r="I3669" s="55"/>
      <c r="J3669" s="113">
        <f>J3668</f>
        <v>7.2221999999999973</v>
      </c>
      <c r="K3669" s="212">
        <f>K3668</f>
        <v>7.2221999999999973</v>
      </c>
      <c r="L3669" s="58"/>
      <c r="M3669" s="58">
        <f>K3669-L3669</f>
        <v>7.2221999999999973</v>
      </c>
      <c r="N3669" s="166"/>
      <c r="O3669" s="58"/>
      <c r="P3669" s="58"/>
      <c r="Q3669" s="58"/>
      <c r="R3669" s="58"/>
      <c r="S3669" s="58"/>
      <c r="T3669" s="220"/>
      <c r="U3669" s="88"/>
      <c r="V3669" s="56"/>
      <c r="W3669" s="57" t="s">
        <v>1236</v>
      </c>
      <c r="X3669" s="53"/>
      <c r="Y3669" s="91" t="s">
        <v>68</v>
      </c>
      <c r="Z3669" s="136">
        <f>AD3669/AC3669</f>
        <v>14.599858823529411</v>
      </c>
      <c r="AA3669" s="58"/>
      <c r="AB3669" s="53">
        <f>AD3669/AC3669</f>
        <v>14.599858823529411</v>
      </c>
      <c r="AC3669" s="53">
        <f>M3669+$AE$10</f>
        <v>7.2221999999999973</v>
      </c>
      <c r="AD3669" s="54">
        <f>SUM(AD3670:AD3677)</f>
        <v>105.44310039529407</v>
      </c>
      <c r="AE3669" s="184">
        <f>SUMIFS($AD$37:$AD$12971,$V$37:$V$12971,$V3669,$X$37:$X$12971,AE$13)</f>
        <v>0</v>
      </c>
      <c r="AF3669" s="185">
        <f>SUMIFS($AD$37:$AD$12971,$V$37:$V$12971,$V3669,$X$37:$X$12971,AF$13)</f>
        <v>0</v>
      </c>
      <c r="AG3669" s="185">
        <f>SUMIFS($AD$37:$AD$12971,$V$37:$V$12971,$V3669,$X$37:$X$12971,AG$13)</f>
        <v>0</v>
      </c>
      <c r="AH3669" s="187">
        <f>SUMIFS($AD$37:$AD$12971,$V$37:$V$12971,$V3669,$X$37:$X$12971,AH$13)</f>
        <v>0</v>
      </c>
      <c r="AI3669" s="161">
        <f t="shared" ref="AI3669" si="2759">SUM(AE3669:AH3669)</f>
        <v>0</v>
      </c>
      <c r="AK3669" s="172"/>
    </row>
    <row r="3670" spans="1:41" s="102" customFormat="1" ht="19.899999999999999" customHeight="1" x14ac:dyDescent="0.25">
      <c r="A3670" s="45"/>
      <c r="B3670" s="59"/>
      <c r="C3670" s="137"/>
      <c r="D3670" s="59"/>
      <c r="E3670" s="116"/>
      <c r="F3670" s="120"/>
      <c r="G3670" s="120"/>
      <c r="H3670" s="120"/>
      <c r="I3670" s="60"/>
      <c r="J3670" s="116"/>
      <c r="K3670" s="213"/>
      <c r="L3670" s="120"/>
      <c r="M3670" s="120"/>
      <c r="N3670" s="167"/>
      <c r="O3670" s="120"/>
      <c r="P3670" s="120"/>
      <c r="Q3670" s="120"/>
      <c r="R3670" s="120"/>
      <c r="S3670" s="120"/>
      <c r="T3670" s="221"/>
      <c r="U3670" s="89"/>
      <c r="V3670" s="61"/>
      <c r="W3670" s="92" t="s">
        <v>129</v>
      </c>
      <c r="X3670" s="93" t="s">
        <v>29</v>
      </c>
      <c r="Y3670" s="93" t="s">
        <v>93</v>
      </c>
      <c r="Z3670" s="134">
        <f>VLOOKUP(W3670,Sheet2!$B:$D,3,FALSE)</f>
        <v>56</v>
      </c>
      <c r="AA3670" s="93">
        <f>100/(1.5*2)</f>
        <v>33.333333333333336</v>
      </c>
      <c r="AB3670" s="93">
        <f t="shared" ref="AB3670" si="2760">AD3670/AC3669</f>
        <v>1.68</v>
      </c>
      <c r="AC3670" s="93">
        <f>AC3669/AA3670</f>
        <v>0.21666599999999991</v>
      </c>
      <c r="AD3670" s="94">
        <f t="shared" ref="AD3670:AD3671" si="2761">AC3670*Z3670</f>
        <v>12.133295999999994</v>
      </c>
      <c r="AE3670" s="190"/>
      <c r="AF3670" s="191"/>
      <c r="AG3670" s="191"/>
      <c r="AH3670" s="191"/>
      <c r="AI3670" s="186"/>
      <c r="AK3670" s="171"/>
    </row>
    <row r="3671" spans="1:41" s="102" customFormat="1" ht="19.899999999999999" customHeight="1" x14ac:dyDescent="0.25">
      <c r="A3671" s="45"/>
      <c r="B3671" s="59"/>
      <c r="C3671" s="137"/>
      <c r="D3671" s="59"/>
      <c r="E3671" s="116"/>
      <c r="F3671" s="120"/>
      <c r="G3671" s="120"/>
      <c r="H3671" s="120"/>
      <c r="I3671" s="60"/>
      <c r="J3671" s="116"/>
      <c r="K3671" s="213"/>
      <c r="L3671" s="120"/>
      <c r="M3671" s="120"/>
      <c r="N3671" s="167"/>
      <c r="O3671" s="120"/>
      <c r="P3671" s="120"/>
      <c r="Q3671" s="120"/>
      <c r="R3671" s="120"/>
      <c r="S3671" s="120"/>
      <c r="T3671" s="221"/>
      <c r="U3671" s="89"/>
      <c r="V3671" s="61"/>
      <c r="W3671" s="92" t="s">
        <v>65</v>
      </c>
      <c r="X3671" s="93" t="s">
        <v>30</v>
      </c>
      <c r="Y3671" s="93" t="s">
        <v>1011</v>
      </c>
      <c r="Z3671" s="134">
        <f>VLOOKUP(W3671,Sheet2!$B:$D,3,FALSE)</f>
        <v>1.76</v>
      </c>
      <c r="AA3671" s="93">
        <f>AA3670/14</f>
        <v>2.3809523809523809</v>
      </c>
      <c r="AB3671" s="93">
        <f>AD3671/AC3669</f>
        <v>0.73919999999999997</v>
      </c>
      <c r="AC3671" s="93">
        <f>AC3669/AA3671</f>
        <v>3.033323999999999</v>
      </c>
      <c r="AD3671" s="94">
        <f t="shared" si="2761"/>
        <v>5.338650239999998</v>
      </c>
      <c r="AE3671" s="190"/>
      <c r="AF3671" s="191"/>
      <c r="AG3671" s="191"/>
      <c r="AH3671" s="191"/>
      <c r="AI3671" s="186"/>
      <c r="AK3671" s="171"/>
    </row>
    <row r="3672" spans="1:41" s="102" customFormat="1" ht="19.899999999999999" customHeight="1" x14ac:dyDescent="0.25">
      <c r="A3672" s="45"/>
      <c r="B3672" s="59"/>
      <c r="C3672" s="137"/>
      <c r="D3672" s="59"/>
      <c r="E3672" s="116"/>
      <c r="F3672" s="120"/>
      <c r="G3672" s="120"/>
      <c r="H3672" s="120"/>
      <c r="I3672" s="60"/>
      <c r="J3672" s="116"/>
      <c r="K3672" s="213"/>
      <c r="L3672" s="120"/>
      <c r="M3672" s="120"/>
      <c r="N3672" s="167"/>
      <c r="O3672" s="120"/>
      <c r="P3672" s="120"/>
      <c r="Q3672" s="120"/>
      <c r="R3672" s="120"/>
      <c r="S3672" s="120"/>
      <c r="T3672" s="221"/>
      <c r="U3672" s="89"/>
      <c r="V3672" s="61"/>
      <c r="W3672" s="92" t="s">
        <v>161</v>
      </c>
      <c r="X3672" s="93" t="s">
        <v>29</v>
      </c>
      <c r="Y3672" s="93" t="s">
        <v>93</v>
      </c>
      <c r="Z3672" s="134">
        <f>VLOOKUP(W3672,Sheet2!$B:$D,3,FALSE)</f>
        <v>48</v>
      </c>
      <c r="AA3672" s="93">
        <f>(16*0.85*1.5)/(1.5*2)</f>
        <v>6.8</v>
      </c>
      <c r="AB3672" s="93">
        <f>AD3672/AC3669</f>
        <v>7.0588235294117645</v>
      </c>
      <c r="AC3672" s="93">
        <f>AC3669/AA3672</f>
        <v>1.0620882352941172</v>
      </c>
      <c r="AD3672" s="94">
        <f>AC3672*Z3672</f>
        <v>50.980235294117627</v>
      </c>
      <c r="AE3672" s="190"/>
      <c r="AF3672" s="191"/>
      <c r="AG3672" s="191"/>
      <c r="AH3672" s="191"/>
      <c r="AI3672" s="186"/>
      <c r="AK3672" s="171"/>
    </row>
    <row r="3673" spans="1:41" s="102" customFormat="1" ht="19.899999999999999" customHeight="1" x14ac:dyDescent="0.25">
      <c r="A3673" s="45"/>
      <c r="B3673" s="59"/>
      <c r="C3673" s="137"/>
      <c r="D3673" s="59"/>
      <c r="E3673" s="116"/>
      <c r="F3673" s="120"/>
      <c r="G3673" s="120"/>
      <c r="H3673" s="120"/>
      <c r="I3673" s="60"/>
      <c r="J3673" s="116"/>
      <c r="K3673" s="213"/>
      <c r="L3673" s="120"/>
      <c r="M3673" s="120"/>
      <c r="N3673" s="167"/>
      <c r="O3673" s="120"/>
      <c r="P3673" s="120"/>
      <c r="Q3673" s="120"/>
      <c r="R3673" s="120"/>
      <c r="S3673" s="120"/>
      <c r="T3673" s="221"/>
      <c r="U3673" s="89"/>
      <c r="V3673" s="61"/>
      <c r="W3673" s="92" t="s">
        <v>65</v>
      </c>
      <c r="X3673" s="93" t="s">
        <v>30</v>
      </c>
      <c r="Y3673" s="93" t="s">
        <v>1011</v>
      </c>
      <c r="Z3673" s="134">
        <f>VLOOKUP(W3673,Sheet2!$B:$D,3,FALSE)</f>
        <v>1.76</v>
      </c>
      <c r="AA3673" s="93">
        <f>AA3672/10</f>
        <v>0.67999999999999994</v>
      </c>
      <c r="AB3673" s="93">
        <f>AD3673/AC3669</f>
        <v>2.5882352941176472</v>
      </c>
      <c r="AC3673" s="93">
        <f>AC3669/AA3673</f>
        <v>10.620882352941173</v>
      </c>
      <c r="AD3673" s="94">
        <f>AC3673*Z3673</f>
        <v>18.692752941176465</v>
      </c>
      <c r="AE3673" s="190"/>
      <c r="AF3673" s="191"/>
      <c r="AG3673" s="191"/>
      <c r="AH3673" s="191"/>
      <c r="AI3673" s="186"/>
      <c r="AK3673" s="171"/>
    </row>
    <row r="3674" spans="1:41" s="102" customFormat="1" ht="19.899999999999999" customHeight="1" x14ac:dyDescent="0.25">
      <c r="A3674" s="45"/>
      <c r="B3674" s="59"/>
      <c r="C3674" s="137"/>
      <c r="D3674" s="59"/>
      <c r="E3674" s="116"/>
      <c r="F3674" s="120"/>
      <c r="G3674" s="120"/>
      <c r="H3674" s="120"/>
      <c r="I3674" s="60"/>
      <c r="J3674" s="116"/>
      <c r="K3674" s="213"/>
      <c r="L3674" s="120"/>
      <c r="M3674" s="120"/>
      <c r="N3674" s="167"/>
      <c r="O3674" s="120"/>
      <c r="P3674" s="120"/>
      <c r="Q3674" s="120"/>
      <c r="R3674" s="120"/>
      <c r="S3674" s="120"/>
      <c r="T3674" s="221"/>
      <c r="U3674" s="89"/>
      <c r="V3674" s="61"/>
      <c r="W3674" s="92" t="s">
        <v>1030</v>
      </c>
      <c r="X3674" s="93" t="s">
        <v>29</v>
      </c>
      <c r="Y3674" s="93" t="s">
        <v>93</v>
      </c>
      <c r="Z3674" s="134">
        <f>VLOOKUP(W3674,Sheet2!$B:$D,3,FALSE)</f>
        <v>23</v>
      </c>
      <c r="AA3674" s="93">
        <v>50</v>
      </c>
      <c r="AB3674" s="93">
        <f>AD3674/AC3669</f>
        <v>0.45999999999999996</v>
      </c>
      <c r="AC3674" s="93">
        <f>AC3669/AA3674</f>
        <v>0.14444399999999993</v>
      </c>
      <c r="AD3674" s="94">
        <f t="shared" ref="AD3674:AD3677" si="2762">AC3674*Z3674</f>
        <v>3.3222119999999986</v>
      </c>
      <c r="AE3674" s="190"/>
      <c r="AF3674" s="191"/>
      <c r="AG3674" s="191"/>
      <c r="AH3674" s="191"/>
      <c r="AI3674" s="186"/>
      <c r="AK3674" s="171"/>
    </row>
    <row r="3675" spans="1:41" s="102" customFormat="1" ht="19.899999999999999" customHeight="1" x14ac:dyDescent="0.25">
      <c r="A3675" s="45"/>
      <c r="B3675" s="59"/>
      <c r="C3675" s="137"/>
      <c r="D3675" s="59"/>
      <c r="E3675" s="116"/>
      <c r="F3675" s="120"/>
      <c r="G3675" s="120"/>
      <c r="H3675" s="120"/>
      <c r="I3675" s="60"/>
      <c r="J3675" s="116"/>
      <c r="K3675" s="213"/>
      <c r="L3675" s="120"/>
      <c r="M3675" s="120"/>
      <c r="N3675" s="167"/>
      <c r="O3675" s="120"/>
      <c r="P3675" s="120"/>
      <c r="Q3675" s="120"/>
      <c r="R3675" s="120"/>
      <c r="S3675" s="120"/>
      <c r="T3675" s="221"/>
      <c r="U3675" s="89"/>
      <c r="V3675" s="61"/>
      <c r="W3675" s="92" t="s">
        <v>65</v>
      </c>
      <c r="X3675" s="93" t="s">
        <v>30</v>
      </c>
      <c r="Y3675" s="93" t="s">
        <v>1011</v>
      </c>
      <c r="Z3675" s="134">
        <f>VLOOKUP(W3675,Sheet2!$B:$D,3,FALSE)</f>
        <v>1.76</v>
      </c>
      <c r="AA3675" s="93">
        <f>AA3674/3</f>
        <v>16.666666666666668</v>
      </c>
      <c r="AB3675" s="93">
        <f>AD3675/AC3669</f>
        <v>0.1056</v>
      </c>
      <c r="AC3675" s="93">
        <f>AC3669/AA3675</f>
        <v>0.43333199999999983</v>
      </c>
      <c r="AD3675" s="94">
        <f t="shared" si="2762"/>
        <v>0.76266431999999973</v>
      </c>
      <c r="AE3675" s="190"/>
      <c r="AF3675" s="191"/>
      <c r="AG3675" s="191"/>
      <c r="AH3675" s="191"/>
      <c r="AI3675" s="186"/>
      <c r="AK3675" s="171"/>
    </row>
    <row r="3676" spans="1:41" s="102" customFormat="1" ht="19.899999999999999" customHeight="1" x14ac:dyDescent="0.25">
      <c r="A3676" s="45"/>
      <c r="B3676" s="59"/>
      <c r="C3676" s="137"/>
      <c r="D3676" s="59"/>
      <c r="E3676" s="116"/>
      <c r="F3676" s="120"/>
      <c r="G3676" s="120"/>
      <c r="H3676" s="120"/>
      <c r="I3676" s="60"/>
      <c r="J3676" s="116"/>
      <c r="K3676" s="213"/>
      <c r="L3676" s="120"/>
      <c r="M3676" s="120"/>
      <c r="N3676" s="167"/>
      <c r="O3676" s="120"/>
      <c r="P3676" s="120"/>
      <c r="Q3676" s="120"/>
      <c r="R3676" s="120"/>
      <c r="S3676" s="120"/>
      <c r="T3676" s="221"/>
      <c r="U3676" s="89"/>
      <c r="V3676" s="61"/>
      <c r="W3676" s="92" t="s">
        <v>148</v>
      </c>
      <c r="X3676" s="93" t="s">
        <v>29</v>
      </c>
      <c r="Y3676" s="93" t="s">
        <v>93</v>
      </c>
      <c r="Z3676" s="134">
        <f>VLOOKUP(W3676,Sheet2!$B:$D,3,FALSE)</f>
        <v>48</v>
      </c>
      <c r="AA3676" s="93">
        <f>AA3670</f>
        <v>33.333333333333336</v>
      </c>
      <c r="AB3676" s="93">
        <f>AD3676/AC3669</f>
        <v>1.44</v>
      </c>
      <c r="AC3676" s="93">
        <f>AC3669/AA3676</f>
        <v>0.21666599999999991</v>
      </c>
      <c r="AD3676" s="94">
        <f t="shared" si="2762"/>
        <v>10.399967999999996</v>
      </c>
      <c r="AE3676" s="190"/>
      <c r="AF3676" s="191"/>
      <c r="AG3676" s="191"/>
      <c r="AH3676" s="191"/>
      <c r="AI3676" s="186"/>
      <c r="AK3676" s="171"/>
    </row>
    <row r="3677" spans="1:41" s="102" customFormat="1" ht="19.899999999999999" customHeight="1" x14ac:dyDescent="0.25">
      <c r="A3677" s="45"/>
      <c r="B3677" s="59"/>
      <c r="C3677" s="137"/>
      <c r="D3677" s="59"/>
      <c r="E3677" s="116"/>
      <c r="F3677" s="120"/>
      <c r="G3677" s="120"/>
      <c r="H3677" s="120"/>
      <c r="I3677" s="60"/>
      <c r="J3677" s="116"/>
      <c r="K3677" s="213"/>
      <c r="L3677" s="120"/>
      <c r="M3677" s="120"/>
      <c r="N3677" s="167"/>
      <c r="O3677" s="120"/>
      <c r="P3677" s="120"/>
      <c r="Q3677" s="120"/>
      <c r="R3677" s="120"/>
      <c r="S3677" s="120"/>
      <c r="T3677" s="221"/>
      <c r="U3677" s="89"/>
      <c r="V3677" s="61"/>
      <c r="W3677" s="92" t="s">
        <v>65</v>
      </c>
      <c r="X3677" s="93" t="s">
        <v>30</v>
      </c>
      <c r="Y3677" s="93" t="s">
        <v>1011</v>
      </c>
      <c r="Z3677" s="134">
        <f>VLOOKUP(W3677,Sheet2!$B:$D,3,FALSE)</f>
        <v>1.76</v>
      </c>
      <c r="AA3677" s="93">
        <f>AA3676/10</f>
        <v>3.3333333333333335</v>
      </c>
      <c r="AB3677" s="93">
        <f>AD3677/AC3669</f>
        <v>0.52799999999999991</v>
      </c>
      <c r="AC3677" s="93">
        <f>AC3669/AA3677</f>
        <v>2.1666599999999989</v>
      </c>
      <c r="AD3677" s="94">
        <f t="shared" si="2762"/>
        <v>3.8133215999999983</v>
      </c>
      <c r="AE3677" s="190"/>
      <c r="AF3677" s="191"/>
      <c r="AG3677" s="191"/>
      <c r="AH3677" s="191"/>
      <c r="AI3677" s="186"/>
      <c r="AK3677" s="171"/>
    </row>
    <row r="3678" spans="1:41" s="103" customFormat="1" ht="19.899999999999999" customHeight="1" x14ac:dyDescent="0.25">
      <c r="A3678" s="51"/>
      <c r="B3678" s="52"/>
      <c r="C3678" s="165"/>
      <c r="D3678" s="52"/>
      <c r="E3678" s="115"/>
      <c r="F3678" s="58"/>
      <c r="G3678" s="58"/>
      <c r="H3678" s="58"/>
      <c r="I3678" s="55"/>
      <c r="J3678" s="113">
        <f>J3668</f>
        <v>7.2221999999999973</v>
      </c>
      <c r="K3678" s="212">
        <f>K3668</f>
        <v>7.2221999999999973</v>
      </c>
      <c r="L3678" s="58"/>
      <c r="M3678" s="58">
        <f>K3678-L3678</f>
        <v>7.2221999999999973</v>
      </c>
      <c r="N3678" s="166"/>
      <c r="O3678" s="58"/>
      <c r="P3678" s="58"/>
      <c r="Q3678" s="58"/>
      <c r="R3678" s="58"/>
      <c r="S3678" s="58"/>
      <c r="T3678" s="220"/>
      <c r="U3678" s="88"/>
      <c r="V3678" s="56"/>
      <c r="W3678" s="57" t="s">
        <v>1036</v>
      </c>
      <c r="X3678" s="53"/>
      <c r="Y3678" s="91" t="s">
        <v>68</v>
      </c>
      <c r="Z3678" s="136">
        <f>AD3678/AC3678</f>
        <v>390.58333333333337</v>
      </c>
      <c r="AA3678" s="58"/>
      <c r="AB3678" s="53">
        <f>AD3678/AC3678</f>
        <v>390.58333333333337</v>
      </c>
      <c r="AC3678" s="53">
        <f>M3678+$AE$10</f>
        <v>7.2221999999999973</v>
      </c>
      <c r="AD3678" s="54">
        <f>SUM(AD3679:AD3684)</f>
        <v>2820.8709499999991</v>
      </c>
      <c r="AE3678" s="184">
        <f>SUMIFS($AD$37:$AD$12971,$V$37:$V$12971,$V3678,$X$37:$X$12971,AE$13)</f>
        <v>0</v>
      </c>
      <c r="AF3678" s="185">
        <f>SUMIFS($AD$37:$AD$12971,$V$37:$V$12971,$V3678,$X$37:$X$12971,AF$13)</f>
        <v>0</v>
      </c>
      <c r="AG3678" s="185">
        <f>SUMIFS($AD$37:$AD$12971,$V$37:$V$12971,$V3678,$X$37:$X$12971,AG$13)</f>
        <v>0</v>
      </c>
      <c r="AH3678" s="187">
        <f>SUMIFS($AD$37:$AD$12971,$V$37:$V$12971,$V3678,$X$37:$X$12971,AH$13)</f>
        <v>0</v>
      </c>
      <c r="AI3678" s="161">
        <f t="shared" ref="AI3678" si="2763">SUM(AE3678:AH3678)</f>
        <v>0</v>
      </c>
      <c r="AK3678" s="172"/>
    </row>
    <row r="3679" spans="1:41" s="102" customFormat="1" ht="19.899999999999999" customHeight="1" x14ac:dyDescent="0.25">
      <c r="A3679" s="45"/>
      <c r="B3679" s="59"/>
      <c r="C3679" s="137"/>
      <c r="D3679" s="59"/>
      <c r="E3679" s="116"/>
      <c r="F3679" s="120"/>
      <c r="G3679" s="120"/>
      <c r="H3679" s="120"/>
      <c r="I3679" s="60"/>
      <c r="J3679" s="116"/>
      <c r="K3679" s="213"/>
      <c r="L3679" s="120"/>
      <c r="M3679" s="120"/>
      <c r="N3679" s="167"/>
      <c r="O3679" s="120"/>
      <c r="P3679" s="120"/>
      <c r="Q3679" s="120"/>
      <c r="R3679" s="120"/>
      <c r="S3679" s="120"/>
      <c r="T3679" s="221"/>
      <c r="U3679" s="89"/>
      <c r="V3679" s="61"/>
      <c r="W3679" s="92" t="s">
        <v>1057</v>
      </c>
      <c r="X3679" s="93" t="s">
        <v>30</v>
      </c>
      <c r="Y3679" s="93" t="s">
        <v>68</v>
      </c>
      <c r="Z3679" s="134">
        <f>VLOOKUP(W3679,Sheet2!$B:$D,3,FALSE)</f>
        <v>250</v>
      </c>
      <c r="AA3679" s="93">
        <v>1</v>
      </c>
      <c r="AB3679" s="93">
        <f>AD3679/AC3678</f>
        <v>250</v>
      </c>
      <c r="AC3679" s="93">
        <f>AC3678/AA3679</f>
        <v>7.2221999999999973</v>
      </c>
      <c r="AD3679" s="94">
        <f t="shared" ref="AD3679" si="2764">AC3679*Z3679</f>
        <v>1805.5499999999993</v>
      </c>
      <c r="AE3679" s="190"/>
      <c r="AF3679" s="191"/>
      <c r="AG3679" s="191"/>
      <c r="AH3679" s="191"/>
      <c r="AI3679" s="186"/>
      <c r="AK3679" s="171"/>
    </row>
    <row r="3680" spans="1:41" s="102" customFormat="1" ht="19.899999999999999" customHeight="1" x14ac:dyDescent="0.25">
      <c r="A3680" s="45"/>
      <c r="B3680" s="59"/>
      <c r="C3680" s="137"/>
      <c r="D3680" s="59"/>
      <c r="E3680" s="116"/>
      <c r="F3680" s="120"/>
      <c r="G3680" s="120"/>
      <c r="H3680" s="120"/>
      <c r="I3680" s="60"/>
      <c r="J3680" s="116"/>
      <c r="K3680" s="213"/>
      <c r="L3680" s="120"/>
      <c r="M3680" s="120"/>
      <c r="N3680" s="167"/>
      <c r="O3680" s="120"/>
      <c r="P3680" s="120"/>
      <c r="Q3680" s="120"/>
      <c r="R3680" s="120"/>
      <c r="S3680" s="120"/>
      <c r="T3680" s="221"/>
      <c r="U3680" s="89"/>
      <c r="V3680" s="61"/>
      <c r="W3680" s="92" t="s">
        <v>1064</v>
      </c>
      <c r="X3680" s="93" t="s">
        <v>30</v>
      </c>
      <c r="Y3680" s="93" t="s">
        <v>68</v>
      </c>
      <c r="Z3680" s="134">
        <f>VLOOKUP(W3680,Sheet2!$B:$D,3,FALSE)</f>
        <v>25</v>
      </c>
      <c r="AA3680" s="93">
        <v>1</v>
      </c>
      <c r="AB3680" s="93">
        <f>AD3680/AC3678</f>
        <v>25</v>
      </c>
      <c r="AC3680" s="93">
        <f>AC3678/AA3680</f>
        <v>7.2221999999999973</v>
      </c>
      <c r="AD3680" s="94">
        <f>AC3680*Z3680</f>
        <v>180.55499999999992</v>
      </c>
      <c r="AE3680" s="190"/>
      <c r="AF3680" s="191"/>
      <c r="AG3680" s="191"/>
      <c r="AH3680" s="191"/>
      <c r="AI3680" s="186"/>
      <c r="AK3680" s="171"/>
    </row>
    <row r="3681" spans="1:41" s="102" customFormat="1" ht="19.899999999999999" customHeight="1" x14ac:dyDescent="0.25">
      <c r="A3681" s="45"/>
      <c r="B3681" s="59"/>
      <c r="C3681" s="137"/>
      <c r="D3681" s="59"/>
      <c r="E3681" s="116"/>
      <c r="F3681" s="120"/>
      <c r="G3681" s="120"/>
      <c r="H3681" s="120"/>
      <c r="I3681" s="60"/>
      <c r="J3681" s="116"/>
      <c r="K3681" s="213"/>
      <c r="L3681" s="120"/>
      <c r="M3681" s="120"/>
      <c r="N3681" s="167"/>
      <c r="O3681" s="120"/>
      <c r="P3681" s="120"/>
      <c r="Q3681" s="120"/>
      <c r="R3681" s="120"/>
      <c r="S3681" s="120"/>
      <c r="T3681" s="221"/>
      <c r="U3681" s="89"/>
      <c r="V3681" s="61"/>
      <c r="W3681" s="92" t="s">
        <v>1072</v>
      </c>
      <c r="X3681" s="93" t="s">
        <v>32</v>
      </c>
      <c r="Y3681" s="93" t="s">
        <v>68</v>
      </c>
      <c r="Z3681" s="134">
        <f>VLOOKUP(W3681,Sheet2!$B:$D,3,FALSE)</f>
        <v>55</v>
      </c>
      <c r="AA3681" s="93">
        <v>1</v>
      </c>
      <c r="AB3681" s="93">
        <f>AD3681/AC3678</f>
        <v>55</v>
      </c>
      <c r="AC3681" s="93">
        <f>AC3678/AA3681</f>
        <v>7.2221999999999973</v>
      </c>
      <c r="AD3681" s="94">
        <f>AC3681*Z3681</f>
        <v>397.22099999999983</v>
      </c>
      <c r="AE3681" s="190"/>
      <c r="AF3681" s="191"/>
      <c r="AG3681" s="191"/>
      <c r="AH3681" s="191"/>
      <c r="AI3681" s="186"/>
      <c r="AK3681" s="171"/>
    </row>
    <row r="3682" spans="1:41" s="102" customFormat="1" ht="19.899999999999999" customHeight="1" x14ac:dyDescent="0.25">
      <c r="A3682" s="45"/>
      <c r="B3682" s="59"/>
      <c r="C3682" s="137"/>
      <c r="D3682" s="59"/>
      <c r="E3682" s="116"/>
      <c r="F3682" s="120"/>
      <c r="G3682" s="120"/>
      <c r="H3682" s="120"/>
      <c r="I3682" s="60"/>
      <c r="J3682" s="116"/>
      <c r="K3682" s="213"/>
      <c r="L3682" s="120"/>
      <c r="M3682" s="120"/>
      <c r="N3682" s="167"/>
      <c r="O3682" s="120"/>
      <c r="P3682" s="120"/>
      <c r="Q3682" s="120"/>
      <c r="R3682" s="120"/>
      <c r="S3682" s="120"/>
      <c r="T3682" s="221"/>
      <c r="U3682" s="89"/>
      <c r="V3682" s="61"/>
      <c r="W3682" s="92" t="s">
        <v>1032</v>
      </c>
      <c r="X3682" s="93" t="s">
        <v>30</v>
      </c>
      <c r="Y3682" s="93" t="s">
        <v>66</v>
      </c>
      <c r="Z3682" s="134">
        <f>VLOOKUP(W3682,Sheet2!$B:$D,3,FALSE)</f>
        <v>250</v>
      </c>
      <c r="AA3682" s="93">
        <f>1/(1.5*0.1)</f>
        <v>6.6666666666666661</v>
      </c>
      <c r="AB3682" s="93">
        <f>AD3682/AC3678</f>
        <v>37.500000000000007</v>
      </c>
      <c r="AC3682" s="93">
        <f>AC3678/AA3682</f>
        <v>1.0833299999999997</v>
      </c>
      <c r="AD3682" s="94">
        <f>AC3682*Z3682</f>
        <v>270.83249999999992</v>
      </c>
      <c r="AE3682" s="190"/>
      <c r="AF3682" s="191"/>
      <c r="AG3682" s="191"/>
      <c r="AH3682" s="191"/>
      <c r="AI3682" s="186"/>
      <c r="AK3682" s="171"/>
    </row>
    <row r="3683" spans="1:41" s="102" customFormat="1" ht="19.899999999999999" customHeight="1" x14ac:dyDescent="0.25">
      <c r="A3683" s="45"/>
      <c r="B3683" s="59"/>
      <c r="C3683" s="137"/>
      <c r="D3683" s="59"/>
      <c r="E3683" s="116"/>
      <c r="F3683" s="120"/>
      <c r="G3683" s="120"/>
      <c r="H3683" s="120"/>
      <c r="I3683" s="60"/>
      <c r="J3683" s="116"/>
      <c r="K3683" s="213"/>
      <c r="L3683" s="120"/>
      <c r="M3683" s="120"/>
      <c r="N3683" s="167"/>
      <c r="O3683" s="120"/>
      <c r="P3683" s="120"/>
      <c r="Q3683" s="120"/>
      <c r="R3683" s="120"/>
      <c r="S3683" s="120"/>
      <c r="T3683" s="221"/>
      <c r="U3683" s="89"/>
      <c r="V3683" s="61"/>
      <c r="W3683" s="92" t="s">
        <v>1035</v>
      </c>
      <c r="X3683" s="93" t="s">
        <v>32</v>
      </c>
      <c r="Y3683" s="93" t="s">
        <v>66</v>
      </c>
      <c r="Z3683" s="134">
        <f>VLOOKUP(W3683,Sheet2!$B:$D,3,FALSE)</f>
        <v>150</v>
      </c>
      <c r="AA3683" s="93">
        <f>AA3682</f>
        <v>6.6666666666666661</v>
      </c>
      <c r="AB3683" s="93">
        <f>AD3683/AC3678</f>
        <v>22.500000000000004</v>
      </c>
      <c r="AC3683" s="93">
        <f>AC3678/AA3683</f>
        <v>1.0833299999999997</v>
      </c>
      <c r="AD3683" s="94">
        <f t="shared" ref="AD3683:AD3684" si="2765">AC3683*Z3683</f>
        <v>162.49949999999995</v>
      </c>
      <c r="AE3683" s="190"/>
      <c r="AF3683" s="191"/>
      <c r="AG3683" s="191"/>
      <c r="AH3683" s="191"/>
      <c r="AI3683" s="186"/>
      <c r="AK3683" s="171"/>
    </row>
    <row r="3684" spans="1:41" s="102" customFormat="1" ht="19.899999999999999" customHeight="1" x14ac:dyDescent="0.25">
      <c r="A3684" s="45"/>
      <c r="B3684" s="59"/>
      <c r="C3684" s="137"/>
      <c r="D3684" s="59"/>
      <c r="E3684" s="116"/>
      <c r="F3684" s="120"/>
      <c r="G3684" s="120"/>
      <c r="H3684" s="120"/>
      <c r="I3684" s="60"/>
      <c r="J3684" s="116"/>
      <c r="K3684" s="213"/>
      <c r="L3684" s="120"/>
      <c r="M3684" s="120"/>
      <c r="N3684" s="167"/>
      <c r="O3684" s="120"/>
      <c r="P3684" s="120"/>
      <c r="Q3684" s="120"/>
      <c r="R3684" s="120"/>
      <c r="S3684" s="120"/>
      <c r="T3684" s="221"/>
      <c r="U3684" s="89"/>
      <c r="V3684" s="61"/>
      <c r="W3684" s="92" t="s">
        <v>1037</v>
      </c>
      <c r="X3684" s="93" t="s">
        <v>30</v>
      </c>
      <c r="Y3684" s="93" t="s">
        <v>1038</v>
      </c>
      <c r="Z3684" s="134">
        <f>VLOOKUP(W3684,Sheet2!$B:$D,3,FALSE)</f>
        <v>175</v>
      </c>
      <c r="AA3684" s="93">
        <v>300</v>
      </c>
      <c r="AB3684" s="93">
        <f>AD3684/AC3678</f>
        <v>0.58333333333333337</v>
      </c>
      <c r="AC3684" s="93">
        <f>AC3678/AA3684</f>
        <v>2.4073999999999991E-2</v>
      </c>
      <c r="AD3684" s="94">
        <f t="shared" si="2765"/>
        <v>4.2129499999999984</v>
      </c>
      <c r="AE3684" s="190"/>
      <c r="AF3684" s="191"/>
      <c r="AG3684" s="191"/>
      <c r="AH3684" s="191"/>
      <c r="AI3684" s="186"/>
      <c r="AK3684" s="171"/>
    </row>
    <row r="3685" spans="1:41" s="103" customFormat="1" ht="19.899999999999999" customHeight="1" x14ac:dyDescent="0.25">
      <c r="A3685" s="51"/>
      <c r="B3685" s="52"/>
      <c r="C3685" s="165"/>
      <c r="D3685" s="52"/>
      <c r="E3685" s="115"/>
      <c r="F3685" s="58"/>
      <c r="G3685" s="58"/>
      <c r="H3685" s="58"/>
      <c r="I3685" s="55"/>
      <c r="J3685" s="113">
        <f>J3668</f>
        <v>7.2221999999999973</v>
      </c>
      <c r="K3685" s="212">
        <f>K3668</f>
        <v>7.2221999999999973</v>
      </c>
      <c r="L3685" s="58"/>
      <c r="M3685" s="58">
        <f>K3685-L3685</f>
        <v>7.2221999999999973</v>
      </c>
      <c r="N3685" s="166"/>
      <c r="O3685" s="58"/>
      <c r="P3685" s="58"/>
      <c r="Q3685" s="58"/>
      <c r="R3685" s="58"/>
      <c r="S3685" s="58"/>
      <c r="T3685" s="220"/>
      <c r="U3685" s="88"/>
      <c r="V3685" s="56"/>
      <c r="W3685" s="57" t="s">
        <v>1040</v>
      </c>
      <c r="X3685" s="53"/>
      <c r="Y3685" s="91" t="s">
        <v>68</v>
      </c>
      <c r="Z3685" s="136">
        <f>AD3685/AC3685</f>
        <v>5.0000000000000009</v>
      </c>
      <c r="AA3685" s="58"/>
      <c r="AB3685" s="53">
        <f>AD3685/AC3685</f>
        <v>5.0000000000000009</v>
      </c>
      <c r="AC3685" s="53">
        <f>M3685+$AE$10</f>
        <v>7.2221999999999973</v>
      </c>
      <c r="AD3685" s="54">
        <f>SUM(AD3686)</f>
        <v>36.11099999999999</v>
      </c>
      <c r="AE3685" s="184">
        <f>SUMIFS($AD$37:$AD$12971,$V$37:$V$12971,$V3685,$X$37:$X$12971,AE$13)</f>
        <v>0</v>
      </c>
      <c r="AF3685" s="185">
        <f>SUMIFS($AD$37:$AD$12971,$V$37:$V$12971,$V3685,$X$37:$X$12971,AF$13)</f>
        <v>0</v>
      </c>
      <c r="AG3685" s="185">
        <f>SUMIFS($AD$37:$AD$12971,$V$37:$V$12971,$V3685,$X$37:$X$12971,AG$13)</f>
        <v>0</v>
      </c>
      <c r="AH3685" s="187">
        <f>SUMIFS($AD$37:$AD$12971,$V$37:$V$12971,$V3685,$X$37:$X$12971,AH$13)</f>
        <v>0</v>
      </c>
      <c r="AI3685" s="161">
        <f t="shared" ref="AI3685" si="2766">SUM(AE3685:AH3685)</f>
        <v>0</v>
      </c>
      <c r="AK3685" s="172"/>
    </row>
    <row r="3686" spans="1:41" s="102" customFormat="1" ht="19.899999999999999" customHeight="1" x14ac:dyDescent="0.25">
      <c r="A3686" s="45"/>
      <c r="B3686" s="59"/>
      <c r="C3686" s="137"/>
      <c r="D3686" s="59"/>
      <c r="E3686" s="116"/>
      <c r="F3686" s="120"/>
      <c r="G3686" s="120"/>
      <c r="H3686" s="120"/>
      <c r="I3686" s="60"/>
      <c r="J3686" s="116"/>
      <c r="K3686" s="213"/>
      <c r="L3686" s="120"/>
      <c r="M3686" s="120"/>
      <c r="N3686" s="167"/>
      <c r="O3686" s="120"/>
      <c r="P3686" s="120"/>
      <c r="Q3686" s="120"/>
      <c r="R3686" s="120"/>
      <c r="S3686" s="120"/>
      <c r="T3686" s="221"/>
      <c r="U3686" s="89"/>
      <c r="V3686" s="61"/>
      <c r="W3686" s="92" t="s">
        <v>1039</v>
      </c>
      <c r="X3686" s="93" t="s">
        <v>32</v>
      </c>
      <c r="Y3686" s="93" t="s">
        <v>68</v>
      </c>
      <c r="Z3686" s="134">
        <f>VLOOKUP(W3686,Sheet2!$B:$D,3,FALSE)</f>
        <v>5</v>
      </c>
      <c r="AA3686" s="93">
        <v>1</v>
      </c>
      <c r="AB3686" s="93">
        <f>AD3686/AC3685</f>
        <v>5.0000000000000009</v>
      </c>
      <c r="AC3686" s="93">
        <f>AC3685/AA3686</f>
        <v>7.2221999999999973</v>
      </c>
      <c r="AD3686" s="94">
        <f t="shared" ref="AD3686" si="2767">AC3686*Z3686</f>
        <v>36.11099999999999</v>
      </c>
      <c r="AE3686" s="190"/>
      <c r="AF3686" s="191"/>
      <c r="AG3686" s="191"/>
      <c r="AH3686" s="191"/>
      <c r="AI3686" s="186"/>
      <c r="AK3686" s="171"/>
    </row>
    <row r="3687" spans="1:41" ht="20.100000000000001" customHeight="1" x14ac:dyDescent="0.25">
      <c r="A3687" s="277" t="s">
        <v>491</v>
      </c>
      <c r="B3687" s="278"/>
      <c r="C3687" s="64" t="s">
        <v>502</v>
      </c>
      <c r="D3687" s="46" t="s">
        <v>97</v>
      </c>
      <c r="E3687" s="114"/>
      <c r="F3687" s="44"/>
      <c r="G3687" s="44">
        <f t="shared" si="2434"/>
        <v>0</v>
      </c>
      <c r="H3687" s="44">
        <f t="shared" si="2435"/>
        <v>0</v>
      </c>
      <c r="I3687" s="43">
        <f t="shared" si="2436"/>
        <v>0</v>
      </c>
      <c r="J3687" s="112">
        <f t="shared" si="2437"/>
        <v>0</v>
      </c>
      <c r="K3687" s="211">
        <f t="shared" si="2438"/>
        <v>0</v>
      </c>
      <c r="L3687" s="44"/>
      <c r="M3687" s="44">
        <f t="shared" si="2458"/>
        <v>0</v>
      </c>
      <c r="N3687" s="173">
        <f t="shared" si="2439"/>
        <v>0</v>
      </c>
      <c r="O3687" s="44">
        <f t="shared" si="2440"/>
        <v>0</v>
      </c>
      <c r="P3687" s="44">
        <f t="shared" si="2441"/>
        <v>0</v>
      </c>
      <c r="Q3687" s="44">
        <f t="shared" si="2442"/>
        <v>0</v>
      </c>
      <c r="R3687" s="44">
        <f t="shared" si="2459"/>
        <v>0</v>
      </c>
      <c r="S3687" s="123"/>
      <c r="T3687" s="219">
        <f t="shared" si="2460"/>
        <v>0</v>
      </c>
      <c r="U3687" s="87"/>
      <c r="V3687" s="47"/>
      <c r="W3687" s="48"/>
      <c r="X3687" s="48"/>
      <c r="Y3687" s="48"/>
      <c r="Z3687" s="135"/>
      <c r="AA3687" s="49"/>
      <c r="AB3687" s="50">
        <f t="shared" si="2443"/>
        <v>0</v>
      </c>
      <c r="AC3687" s="42">
        <f t="shared" si="2461"/>
        <v>9.9999999999999998E-20</v>
      </c>
      <c r="AD3687" s="90"/>
      <c r="AE3687" s="188"/>
      <c r="AF3687" s="189"/>
      <c r="AG3687" s="189"/>
      <c r="AH3687" s="189"/>
      <c r="AI3687" s="161"/>
    </row>
    <row r="3688" spans="1:41" ht="20.100000000000001" customHeight="1" x14ac:dyDescent="0.25">
      <c r="A3688" s="277" t="s">
        <v>491</v>
      </c>
      <c r="B3688" s="278"/>
      <c r="C3688" s="64" t="s">
        <v>503</v>
      </c>
      <c r="D3688" s="46" t="s">
        <v>97</v>
      </c>
      <c r="E3688" s="114"/>
      <c r="F3688" s="44"/>
      <c r="G3688" s="44">
        <f t="shared" si="2434"/>
        <v>0</v>
      </c>
      <c r="H3688" s="44">
        <f t="shared" si="2435"/>
        <v>0</v>
      </c>
      <c r="I3688" s="43">
        <f t="shared" si="2436"/>
        <v>0</v>
      </c>
      <c r="J3688" s="112">
        <f t="shared" si="2437"/>
        <v>0</v>
      </c>
      <c r="K3688" s="211">
        <f t="shared" si="2438"/>
        <v>0</v>
      </c>
      <c r="L3688" s="44"/>
      <c r="M3688" s="44">
        <f t="shared" si="2458"/>
        <v>0</v>
      </c>
      <c r="N3688" s="173">
        <f t="shared" si="2439"/>
        <v>0</v>
      </c>
      <c r="O3688" s="44">
        <f t="shared" si="2440"/>
        <v>0</v>
      </c>
      <c r="P3688" s="44">
        <f t="shared" si="2441"/>
        <v>0</v>
      </c>
      <c r="Q3688" s="44">
        <f t="shared" si="2442"/>
        <v>0</v>
      </c>
      <c r="R3688" s="44">
        <f t="shared" si="2459"/>
        <v>0</v>
      </c>
      <c r="S3688" s="123"/>
      <c r="T3688" s="219">
        <f t="shared" si="2460"/>
        <v>0</v>
      </c>
      <c r="U3688" s="87"/>
      <c r="V3688" s="47"/>
      <c r="W3688" s="48"/>
      <c r="X3688" s="48"/>
      <c r="Y3688" s="48"/>
      <c r="Z3688" s="135"/>
      <c r="AA3688" s="49"/>
      <c r="AB3688" s="50">
        <f t="shared" si="2443"/>
        <v>0</v>
      </c>
      <c r="AC3688" s="42">
        <f t="shared" si="2461"/>
        <v>9.9999999999999998E-20</v>
      </c>
      <c r="AD3688" s="90"/>
      <c r="AE3688" s="188"/>
      <c r="AF3688" s="189"/>
      <c r="AG3688" s="189"/>
      <c r="AH3688" s="189"/>
      <c r="AI3688" s="161"/>
    </row>
    <row r="3689" spans="1:41" ht="20.100000000000001" customHeight="1" x14ac:dyDescent="0.25">
      <c r="A3689" s="277" t="s">
        <v>491</v>
      </c>
      <c r="B3689" s="278"/>
      <c r="C3689" s="64" t="s">
        <v>493</v>
      </c>
      <c r="D3689" s="46" t="s">
        <v>97</v>
      </c>
      <c r="E3689" s="114"/>
      <c r="F3689" s="44"/>
      <c r="G3689" s="44">
        <f t="shared" si="2434"/>
        <v>0</v>
      </c>
      <c r="H3689" s="44">
        <f t="shared" si="2435"/>
        <v>0</v>
      </c>
      <c r="I3689" s="43">
        <f t="shared" si="2436"/>
        <v>0</v>
      </c>
      <c r="J3689" s="112">
        <f t="shared" si="2437"/>
        <v>0</v>
      </c>
      <c r="K3689" s="211">
        <f t="shared" si="2438"/>
        <v>0</v>
      </c>
      <c r="L3689" s="44"/>
      <c r="M3689" s="44">
        <f t="shared" si="2458"/>
        <v>0</v>
      </c>
      <c r="N3689" s="173">
        <f t="shared" si="2439"/>
        <v>0</v>
      </c>
      <c r="O3689" s="44">
        <f t="shared" si="2440"/>
        <v>0</v>
      </c>
      <c r="P3689" s="44">
        <f t="shared" si="2441"/>
        <v>0</v>
      </c>
      <c r="Q3689" s="44">
        <f t="shared" si="2442"/>
        <v>0</v>
      </c>
      <c r="R3689" s="44">
        <f t="shared" si="2459"/>
        <v>0</v>
      </c>
      <c r="S3689" s="123"/>
      <c r="T3689" s="219">
        <f t="shared" si="2460"/>
        <v>0</v>
      </c>
      <c r="U3689" s="87"/>
      <c r="V3689" s="47"/>
      <c r="W3689" s="48"/>
      <c r="X3689" s="48"/>
      <c r="Y3689" s="48"/>
      <c r="Z3689" s="135"/>
      <c r="AA3689" s="49"/>
      <c r="AB3689" s="50">
        <f t="shared" si="2443"/>
        <v>0</v>
      </c>
      <c r="AC3689" s="42">
        <f t="shared" si="2461"/>
        <v>9.9999999999999998E-20</v>
      </c>
      <c r="AD3689" s="90"/>
      <c r="AE3689" s="188"/>
      <c r="AF3689" s="189"/>
      <c r="AG3689" s="189"/>
      <c r="AH3689" s="189"/>
      <c r="AI3689" s="161"/>
    </row>
    <row r="3690" spans="1:41" ht="20.100000000000001" customHeight="1" x14ac:dyDescent="0.25">
      <c r="A3690" s="277" t="s">
        <v>491</v>
      </c>
      <c r="B3690" s="278"/>
      <c r="C3690" s="64" t="s">
        <v>1177</v>
      </c>
      <c r="D3690" s="46" t="s">
        <v>97</v>
      </c>
      <c r="E3690" s="114"/>
      <c r="F3690" s="44"/>
      <c r="G3690" s="44">
        <f t="shared" si="2434"/>
        <v>0</v>
      </c>
      <c r="H3690" s="44">
        <f t="shared" si="2435"/>
        <v>0</v>
      </c>
      <c r="I3690" s="43">
        <f t="shared" si="2436"/>
        <v>0</v>
      </c>
      <c r="J3690" s="112">
        <f t="shared" si="2437"/>
        <v>0</v>
      </c>
      <c r="K3690" s="211">
        <f t="shared" si="2438"/>
        <v>0</v>
      </c>
      <c r="L3690" s="44"/>
      <c r="M3690" s="44">
        <f t="shared" si="2458"/>
        <v>0</v>
      </c>
      <c r="N3690" s="173">
        <f t="shared" si="2439"/>
        <v>0</v>
      </c>
      <c r="O3690" s="44">
        <f t="shared" si="2440"/>
        <v>0</v>
      </c>
      <c r="P3690" s="44">
        <f t="shared" si="2441"/>
        <v>0</v>
      </c>
      <c r="Q3690" s="44">
        <f t="shared" si="2442"/>
        <v>0</v>
      </c>
      <c r="R3690" s="44">
        <f t="shared" si="2459"/>
        <v>0</v>
      </c>
      <c r="S3690" s="123"/>
      <c r="T3690" s="219">
        <f t="shared" si="2460"/>
        <v>0</v>
      </c>
      <c r="U3690" s="87"/>
      <c r="V3690" s="47"/>
      <c r="W3690" s="48"/>
      <c r="X3690" s="48"/>
      <c r="Y3690" s="48"/>
      <c r="Z3690" s="135"/>
      <c r="AA3690" s="49"/>
      <c r="AB3690" s="50">
        <f t="shared" si="2443"/>
        <v>0</v>
      </c>
      <c r="AC3690" s="42">
        <f t="shared" si="2461"/>
        <v>9.9999999999999998E-20</v>
      </c>
      <c r="AD3690" s="90"/>
      <c r="AE3690" s="188"/>
      <c r="AF3690" s="189"/>
      <c r="AG3690" s="189"/>
      <c r="AH3690" s="189"/>
      <c r="AI3690" s="161"/>
    </row>
    <row r="3691" spans="1:41" ht="20.100000000000001" customHeight="1" x14ac:dyDescent="0.25">
      <c r="A3691" s="277" t="s">
        <v>491</v>
      </c>
      <c r="B3691" s="278"/>
      <c r="C3691" s="64" t="s">
        <v>495</v>
      </c>
      <c r="D3691" s="46" t="s">
        <v>97</v>
      </c>
      <c r="E3691" s="114"/>
      <c r="F3691" s="44"/>
      <c r="G3691" s="44">
        <f t="shared" si="2434"/>
        <v>0</v>
      </c>
      <c r="H3691" s="44">
        <f t="shared" si="2435"/>
        <v>0</v>
      </c>
      <c r="I3691" s="43">
        <f t="shared" si="2436"/>
        <v>0</v>
      </c>
      <c r="J3691" s="112">
        <f t="shared" si="2437"/>
        <v>0</v>
      </c>
      <c r="K3691" s="211">
        <f t="shared" si="2438"/>
        <v>0</v>
      </c>
      <c r="L3691" s="44"/>
      <c r="M3691" s="44">
        <f t="shared" si="2458"/>
        <v>0</v>
      </c>
      <c r="N3691" s="173">
        <f t="shared" si="2439"/>
        <v>0</v>
      </c>
      <c r="O3691" s="44">
        <f t="shared" si="2440"/>
        <v>0</v>
      </c>
      <c r="P3691" s="44">
        <f t="shared" si="2441"/>
        <v>0</v>
      </c>
      <c r="Q3691" s="44">
        <f t="shared" si="2442"/>
        <v>0</v>
      </c>
      <c r="R3691" s="44">
        <f t="shared" si="2459"/>
        <v>0</v>
      </c>
      <c r="S3691" s="123"/>
      <c r="T3691" s="219">
        <f t="shared" si="2460"/>
        <v>0</v>
      </c>
      <c r="U3691" s="87"/>
      <c r="V3691" s="47"/>
      <c r="W3691" s="48"/>
      <c r="X3691" s="48"/>
      <c r="Y3691" s="48"/>
      <c r="Z3691" s="135"/>
      <c r="AA3691" s="49"/>
      <c r="AB3691" s="50">
        <f t="shared" si="2443"/>
        <v>0</v>
      </c>
      <c r="AC3691" s="42">
        <f t="shared" si="2461"/>
        <v>9.9999999999999998E-20</v>
      </c>
      <c r="AD3691" s="90"/>
      <c r="AE3691" s="188"/>
      <c r="AF3691" s="189"/>
      <c r="AG3691" s="189"/>
      <c r="AH3691" s="189"/>
      <c r="AI3691" s="161"/>
    </row>
    <row r="3692" spans="1:41" ht="20.100000000000001" customHeight="1" x14ac:dyDescent="0.25">
      <c r="A3692" s="277" t="s">
        <v>491</v>
      </c>
      <c r="B3692" s="278"/>
      <c r="C3692" s="64" t="s">
        <v>496</v>
      </c>
      <c r="D3692" s="46" t="s">
        <v>97</v>
      </c>
      <c r="E3692" s="114">
        <v>90.096999999999952</v>
      </c>
      <c r="F3692" s="44">
        <v>759</v>
      </c>
      <c r="G3692" s="44">
        <f t="shared" si="2434"/>
        <v>68383.622999999963</v>
      </c>
      <c r="H3692" s="44">
        <f t="shared" si="2435"/>
        <v>503.99658039215694</v>
      </c>
      <c r="I3692" s="43">
        <f t="shared" si="2436"/>
        <v>45408.579903592137</v>
      </c>
      <c r="J3692" s="112">
        <f t="shared" si="2437"/>
        <v>90.096999999999952</v>
      </c>
      <c r="K3692" s="211">
        <f t="shared" si="2438"/>
        <v>90.096999999999952</v>
      </c>
      <c r="L3692" s="44"/>
      <c r="M3692" s="44">
        <f t="shared" si="2458"/>
        <v>90.096999999999952</v>
      </c>
      <c r="N3692" s="173">
        <f t="shared" si="2439"/>
        <v>1</v>
      </c>
      <c r="O3692" s="44">
        <f t="shared" si="2440"/>
        <v>759</v>
      </c>
      <c r="P3692" s="44">
        <f t="shared" si="2441"/>
        <v>68383.622999999963</v>
      </c>
      <c r="Q3692" s="44">
        <f t="shared" si="2442"/>
        <v>503.99658039215694</v>
      </c>
      <c r="R3692" s="44">
        <f t="shared" si="2459"/>
        <v>45408.579903592137</v>
      </c>
      <c r="S3692" s="123"/>
      <c r="T3692" s="219">
        <f t="shared" si="2460"/>
        <v>45408.579903592137</v>
      </c>
      <c r="U3692" s="87"/>
      <c r="V3692" s="47"/>
      <c r="W3692" s="48"/>
      <c r="X3692" s="48"/>
      <c r="Y3692" s="48"/>
      <c r="Z3692" s="135"/>
      <c r="AA3692" s="49"/>
      <c r="AB3692" s="50">
        <f t="shared" si="2443"/>
        <v>503.99658039215694</v>
      </c>
      <c r="AC3692" s="42">
        <f t="shared" si="2461"/>
        <v>90.096999999999952</v>
      </c>
      <c r="AD3692" s="90">
        <f>AD3693+AD3703+AD3710</f>
        <v>45408.579903592137</v>
      </c>
      <c r="AE3692" s="188">
        <f t="shared" ref="AE3692:AH3692" si="2768">AE3693+AE3703+AE3710</f>
        <v>0</v>
      </c>
      <c r="AF3692" s="189">
        <f t="shared" si="2768"/>
        <v>0</v>
      </c>
      <c r="AG3692" s="189">
        <f t="shared" si="2768"/>
        <v>0</v>
      </c>
      <c r="AH3692" s="189">
        <f t="shared" si="2768"/>
        <v>0</v>
      </c>
      <c r="AI3692" s="161">
        <f t="shared" ref="AI3692" si="2769">SUM(AE3692:AH3692)</f>
        <v>0</v>
      </c>
      <c r="AK3692" s="169">
        <v>5</v>
      </c>
      <c r="AO3692" s="19" t="s">
        <v>63</v>
      </c>
    </row>
    <row r="3693" spans="1:41" s="103" customFormat="1" ht="19.899999999999999" customHeight="1" x14ac:dyDescent="0.25">
      <c r="A3693" s="51"/>
      <c r="B3693" s="52"/>
      <c r="C3693" s="165"/>
      <c r="D3693" s="52"/>
      <c r="E3693" s="115"/>
      <c r="F3693" s="58"/>
      <c r="G3693" s="58"/>
      <c r="H3693" s="58"/>
      <c r="I3693" s="55"/>
      <c r="J3693" s="113">
        <f>J3692</f>
        <v>90.096999999999952</v>
      </c>
      <c r="K3693" s="212">
        <f>K3692</f>
        <v>90.096999999999952</v>
      </c>
      <c r="L3693" s="58"/>
      <c r="M3693" s="58">
        <f>K3693-L3693</f>
        <v>90.096999999999952</v>
      </c>
      <c r="N3693" s="166"/>
      <c r="O3693" s="58"/>
      <c r="P3693" s="58"/>
      <c r="Q3693" s="58"/>
      <c r="R3693" s="58"/>
      <c r="S3693" s="58"/>
      <c r="T3693" s="220"/>
      <c r="U3693" s="88"/>
      <c r="V3693" s="56"/>
      <c r="W3693" s="57" t="s">
        <v>1237</v>
      </c>
      <c r="X3693" s="53"/>
      <c r="Y3693" s="91" t="s">
        <v>68</v>
      </c>
      <c r="Z3693" s="136">
        <f>AD3693/AC3693</f>
        <v>108.41324705882353</v>
      </c>
      <c r="AA3693" s="58"/>
      <c r="AB3693" s="53">
        <f>AD3693/AC3693</f>
        <v>108.41324705882353</v>
      </c>
      <c r="AC3693" s="53">
        <f>M3693+$AE$10</f>
        <v>90.096999999999952</v>
      </c>
      <c r="AD3693" s="54">
        <f>SUM(AD3694:AD3702)</f>
        <v>9767.7083202588183</v>
      </c>
      <c r="AE3693" s="184">
        <f>SUMIFS($AD$37:$AD$12971,$V$37:$V$12971,$V3693,$X$37:$X$12971,AE$13)</f>
        <v>0</v>
      </c>
      <c r="AF3693" s="185">
        <f>SUMIFS($AD$37:$AD$12971,$V$37:$V$12971,$V3693,$X$37:$X$12971,AF$13)</f>
        <v>0</v>
      </c>
      <c r="AG3693" s="185">
        <f>SUMIFS($AD$37:$AD$12971,$V$37:$V$12971,$V3693,$X$37:$X$12971,AG$13)</f>
        <v>0</v>
      </c>
      <c r="AH3693" s="187">
        <f>SUMIFS($AD$37:$AD$12971,$V$37:$V$12971,$V3693,$X$37:$X$12971,AH$13)</f>
        <v>0</v>
      </c>
      <c r="AI3693" s="161">
        <f t="shared" ref="AI3693" si="2770">SUM(AE3693:AH3693)</f>
        <v>0</v>
      </c>
      <c r="AK3693" s="172"/>
    </row>
    <row r="3694" spans="1:41" s="102" customFormat="1" ht="19.899999999999999" customHeight="1" x14ac:dyDescent="0.25">
      <c r="A3694" s="45"/>
      <c r="B3694" s="59"/>
      <c r="C3694" s="137"/>
      <c r="D3694" s="59"/>
      <c r="E3694" s="116"/>
      <c r="F3694" s="120"/>
      <c r="G3694" s="120"/>
      <c r="H3694" s="120"/>
      <c r="I3694" s="60"/>
      <c r="J3694" s="116"/>
      <c r="K3694" s="213"/>
      <c r="L3694" s="120"/>
      <c r="M3694" s="120"/>
      <c r="N3694" s="167"/>
      <c r="O3694" s="120"/>
      <c r="P3694" s="120"/>
      <c r="Q3694" s="120"/>
      <c r="R3694" s="120"/>
      <c r="S3694" s="120"/>
      <c r="T3694" s="221"/>
      <c r="U3694" s="89"/>
      <c r="V3694" s="61"/>
      <c r="W3694" s="92" t="s">
        <v>131</v>
      </c>
      <c r="X3694" s="93" t="s">
        <v>29</v>
      </c>
      <c r="Y3694" s="93" t="s">
        <v>93</v>
      </c>
      <c r="Z3694" s="134">
        <f>VLOOKUP(W3694,Sheet2!$B:$D,3,FALSE)</f>
        <v>131.19999999999999</v>
      </c>
      <c r="AA3694" s="93">
        <f>80/(1.5*5)</f>
        <v>10.666666666666666</v>
      </c>
      <c r="AB3694" s="93">
        <f t="shared" ref="AB3694" si="2771">AD3694/AC3693</f>
        <v>12.3</v>
      </c>
      <c r="AC3694" s="93">
        <f>AC3693/AA3694</f>
        <v>8.4465937499999963</v>
      </c>
      <c r="AD3694" s="94">
        <f t="shared" ref="AD3694:AD3695" si="2772">AC3694*Z3694</f>
        <v>1108.1930999999995</v>
      </c>
      <c r="AE3694" s="190"/>
      <c r="AF3694" s="191"/>
      <c r="AG3694" s="191"/>
      <c r="AH3694" s="191"/>
      <c r="AI3694" s="186"/>
      <c r="AK3694" s="171"/>
    </row>
    <row r="3695" spans="1:41" s="102" customFormat="1" ht="19.899999999999999" customHeight="1" x14ac:dyDescent="0.25">
      <c r="A3695" s="45"/>
      <c r="B3695" s="59"/>
      <c r="C3695" s="137"/>
      <c r="D3695" s="59"/>
      <c r="E3695" s="116"/>
      <c r="F3695" s="120"/>
      <c r="G3695" s="120"/>
      <c r="H3695" s="120"/>
      <c r="I3695" s="60"/>
      <c r="J3695" s="116"/>
      <c r="K3695" s="213"/>
      <c r="L3695" s="120"/>
      <c r="M3695" s="120"/>
      <c r="N3695" s="167"/>
      <c r="O3695" s="120"/>
      <c r="P3695" s="120"/>
      <c r="Q3695" s="120"/>
      <c r="R3695" s="120"/>
      <c r="S3695" s="120"/>
      <c r="T3695" s="221"/>
      <c r="U3695" s="89"/>
      <c r="V3695" s="61"/>
      <c r="W3695" s="92" t="s">
        <v>65</v>
      </c>
      <c r="X3695" s="93" t="s">
        <v>30</v>
      </c>
      <c r="Y3695" s="93" t="s">
        <v>1011</v>
      </c>
      <c r="Z3695" s="134">
        <f>VLOOKUP(W3695,Sheet2!$B:$D,3,FALSE)</f>
        <v>1.76</v>
      </c>
      <c r="AA3695" s="93">
        <f>AA3694/32</f>
        <v>0.33333333333333331</v>
      </c>
      <c r="AB3695" s="93">
        <f>AD3695/AC3693</f>
        <v>5.2800000000000011</v>
      </c>
      <c r="AC3695" s="93">
        <f>AC3693/AA3695</f>
        <v>270.29099999999988</v>
      </c>
      <c r="AD3695" s="94">
        <f t="shared" si="2772"/>
        <v>475.71215999999981</v>
      </c>
      <c r="AE3695" s="190"/>
      <c r="AF3695" s="191"/>
      <c r="AG3695" s="191"/>
      <c r="AH3695" s="191"/>
      <c r="AI3695" s="186"/>
      <c r="AK3695" s="171"/>
    </row>
    <row r="3696" spans="1:41" s="102" customFormat="1" ht="19.899999999999999" customHeight="1" x14ac:dyDescent="0.25">
      <c r="A3696" s="45"/>
      <c r="B3696" s="59"/>
      <c r="C3696" s="137"/>
      <c r="D3696" s="59"/>
      <c r="E3696" s="116"/>
      <c r="F3696" s="120"/>
      <c r="G3696" s="120"/>
      <c r="H3696" s="120"/>
      <c r="I3696" s="60"/>
      <c r="J3696" s="116"/>
      <c r="K3696" s="213"/>
      <c r="L3696" s="120"/>
      <c r="M3696" s="120"/>
      <c r="N3696" s="167"/>
      <c r="O3696" s="120"/>
      <c r="P3696" s="120"/>
      <c r="Q3696" s="120"/>
      <c r="R3696" s="120"/>
      <c r="S3696" s="120"/>
      <c r="T3696" s="221"/>
      <c r="U3696" s="89"/>
      <c r="V3696" s="61"/>
      <c r="W3696" s="92" t="s">
        <v>161</v>
      </c>
      <c r="X3696" s="93" t="s">
        <v>29</v>
      </c>
      <c r="Y3696" s="93" t="s">
        <v>93</v>
      </c>
      <c r="Z3696" s="134">
        <f>VLOOKUP(W3696,Sheet2!$B:$D,3,FALSE)</f>
        <v>48</v>
      </c>
      <c r="AA3696" s="93">
        <f>(16*0.85*1.5)/(1.5*5)</f>
        <v>2.7199999999999998</v>
      </c>
      <c r="AB3696" s="93">
        <f>AD3696/AC3693</f>
        <v>17.647058823529413</v>
      </c>
      <c r="AC3696" s="93">
        <f>AC3693/AA3696</f>
        <v>33.123897058823516</v>
      </c>
      <c r="AD3696" s="94">
        <f>AC3696*Z3696</f>
        <v>1589.9470588235288</v>
      </c>
      <c r="AE3696" s="190"/>
      <c r="AF3696" s="191"/>
      <c r="AG3696" s="191"/>
      <c r="AH3696" s="191"/>
      <c r="AI3696" s="186"/>
      <c r="AK3696" s="171"/>
    </row>
    <row r="3697" spans="1:41" s="102" customFormat="1" ht="19.899999999999999" customHeight="1" x14ac:dyDescent="0.25">
      <c r="A3697" s="45"/>
      <c r="B3697" s="59"/>
      <c r="C3697" s="137"/>
      <c r="D3697" s="59"/>
      <c r="E3697" s="116"/>
      <c r="F3697" s="120"/>
      <c r="G3697" s="120"/>
      <c r="H3697" s="120"/>
      <c r="I3697" s="60"/>
      <c r="J3697" s="116"/>
      <c r="K3697" s="213"/>
      <c r="L3697" s="120"/>
      <c r="M3697" s="120"/>
      <c r="N3697" s="167"/>
      <c r="O3697" s="120"/>
      <c r="P3697" s="120"/>
      <c r="Q3697" s="120"/>
      <c r="R3697" s="120"/>
      <c r="S3697" s="120"/>
      <c r="T3697" s="221"/>
      <c r="U3697" s="89"/>
      <c r="V3697" s="61"/>
      <c r="W3697" s="92" t="s">
        <v>65</v>
      </c>
      <c r="X3697" s="93" t="s">
        <v>30</v>
      </c>
      <c r="Y3697" s="93" t="s">
        <v>1011</v>
      </c>
      <c r="Z3697" s="134">
        <f>VLOOKUP(W3697,Sheet2!$B:$D,3,FALSE)</f>
        <v>1.76</v>
      </c>
      <c r="AA3697" s="93">
        <f>AA3696/10</f>
        <v>0.27199999999999996</v>
      </c>
      <c r="AB3697" s="93">
        <f>AD3697/AC3693</f>
        <v>6.4705882352941178</v>
      </c>
      <c r="AC3697" s="93">
        <f>AC3693/AA3697</f>
        <v>331.23897058823513</v>
      </c>
      <c r="AD3697" s="94">
        <f>AC3697*Z3697</f>
        <v>582.98058823529379</v>
      </c>
      <c r="AE3697" s="190"/>
      <c r="AF3697" s="191"/>
      <c r="AG3697" s="191"/>
      <c r="AH3697" s="191"/>
      <c r="AI3697" s="186"/>
      <c r="AK3697" s="171"/>
    </row>
    <row r="3698" spans="1:41" s="102" customFormat="1" ht="19.899999999999999" customHeight="1" x14ac:dyDescent="0.25">
      <c r="A3698" s="45"/>
      <c r="B3698" s="59"/>
      <c r="C3698" s="137"/>
      <c r="D3698" s="59"/>
      <c r="E3698" s="116"/>
      <c r="F3698" s="120"/>
      <c r="G3698" s="120"/>
      <c r="H3698" s="120"/>
      <c r="I3698" s="60"/>
      <c r="J3698" s="116"/>
      <c r="K3698" s="213"/>
      <c r="L3698" s="120"/>
      <c r="M3698" s="120"/>
      <c r="N3698" s="167"/>
      <c r="O3698" s="120"/>
      <c r="P3698" s="120"/>
      <c r="Q3698" s="120"/>
      <c r="R3698" s="120"/>
      <c r="S3698" s="120"/>
      <c r="T3698" s="221"/>
      <c r="U3698" s="89"/>
      <c r="V3698" s="61"/>
      <c r="W3698" s="92" t="s">
        <v>1030</v>
      </c>
      <c r="X3698" s="93" t="s">
        <v>29</v>
      </c>
      <c r="Y3698" s="93" t="s">
        <v>93</v>
      </c>
      <c r="Z3698" s="134">
        <f>VLOOKUP(W3698,Sheet2!$B:$D,3,FALSE)</f>
        <v>23</v>
      </c>
      <c r="AA3698" s="93">
        <v>50</v>
      </c>
      <c r="AB3698" s="93">
        <f>AD3698/AC3693</f>
        <v>0.46</v>
      </c>
      <c r="AC3698" s="93">
        <f>AC3693/AA3698</f>
        <v>1.801939999999999</v>
      </c>
      <c r="AD3698" s="94">
        <f t="shared" ref="AD3698:AD3702" si="2773">AC3698*Z3698</f>
        <v>41.444619999999979</v>
      </c>
      <c r="AE3698" s="190"/>
      <c r="AF3698" s="191"/>
      <c r="AG3698" s="191"/>
      <c r="AH3698" s="191"/>
      <c r="AI3698" s="186"/>
      <c r="AK3698" s="171"/>
    </row>
    <row r="3699" spans="1:41" s="102" customFormat="1" ht="19.899999999999999" customHeight="1" x14ac:dyDescent="0.25">
      <c r="A3699" s="45"/>
      <c r="B3699" s="59"/>
      <c r="C3699" s="137"/>
      <c r="D3699" s="59"/>
      <c r="E3699" s="116"/>
      <c r="F3699" s="120"/>
      <c r="G3699" s="120"/>
      <c r="H3699" s="120"/>
      <c r="I3699" s="60"/>
      <c r="J3699" s="116"/>
      <c r="K3699" s="213"/>
      <c r="L3699" s="120"/>
      <c r="M3699" s="120"/>
      <c r="N3699" s="167"/>
      <c r="O3699" s="120"/>
      <c r="P3699" s="120"/>
      <c r="Q3699" s="120"/>
      <c r="R3699" s="120"/>
      <c r="S3699" s="120"/>
      <c r="T3699" s="221"/>
      <c r="U3699" s="89"/>
      <c r="V3699" s="61"/>
      <c r="W3699" s="92" t="s">
        <v>65</v>
      </c>
      <c r="X3699" s="93" t="s">
        <v>30</v>
      </c>
      <c r="Y3699" s="93" t="s">
        <v>1011</v>
      </c>
      <c r="Z3699" s="134">
        <f>VLOOKUP(W3699,Sheet2!$B:$D,3,FALSE)</f>
        <v>1.76</v>
      </c>
      <c r="AA3699" s="93">
        <f>AA3698/3</f>
        <v>16.666666666666668</v>
      </c>
      <c r="AB3699" s="93">
        <f>AD3699/AC3693</f>
        <v>0.10559999999999999</v>
      </c>
      <c r="AC3699" s="93">
        <f>AC3693/AA3699</f>
        <v>5.4058199999999967</v>
      </c>
      <c r="AD3699" s="94">
        <f t="shared" si="2773"/>
        <v>9.5142431999999939</v>
      </c>
      <c r="AE3699" s="190"/>
      <c r="AF3699" s="191"/>
      <c r="AG3699" s="191"/>
      <c r="AH3699" s="191"/>
      <c r="AI3699" s="186"/>
      <c r="AK3699" s="171"/>
    </row>
    <row r="3700" spans="1:41" s="102" customFormat="1" ht="19.899999999999999" customHeight="1" x14ac:dyDescent="0.25">
      <c r="A3700" s="45"/>
      <c r="B3700" s="59"/>
      <c r="C3700" s="137"/>
      <c r="D3700" s="59"/>
      <c r="E3700" s="116"/>
      <c r="F3700" s="120"/>
      <c r="G3700" s="120"/>
      <c r="H3700" s="120"/>
      <c r="I3700" s="60"/>
      <c r="J3700" s="116"/>
      <c r="K3700" s="213"/>
      <c r="L3700" s="120"/>
      <c r="M3700" s="120"/>
      <c r="N3700" s="167"/>
      <c r="O3700" s="120"/>
      <c r="P3700" s="120"/>
      <c r="Q3700" s="120"/>
      <c r="R3700" s="120"/>
      <c r="S3700" s="120"/>
      <c r="T3700" s="221"/>
      <c r="U3700" s="89"/>
      <c r="V3700" s="61"/>
      <c r="W3700" s="92" t="s">
        <v>148</v>
      </c>
      <c r="X3700" s="93" t="s">
        <v>29</v>
      </c>
      <c r="Y3700" s="93" t="s">
        <v>93</v>
      </c>
      <c r="Z3700" s="134">
        <f>VLOOKUP(W3700,Sheet2!$B:$D,3,FALSE)</f>
        <v>48</v>
      </c>
      <c r="AA3700" s="93">
        <f>AA3694</f>
        <v>10.666666666666666</v>
      </c>
      <c r="AB3700" s="93">
        <f>AD3700/AC3693</f>
        <v>4.5</v>
      </c>
      <c r="AC3700" s="93">
        <f>AC3693/AA3700</f>
        <v>8.4465937499999963</v>
      </c>
      <c r="AD3700" s="94">
        <f t="shared" si="2773"/>
        <v>405.4364999999998</v>
      </c>
      <c r="AE3700" s="190"/>
      <c r="AF3700" s="191"/>
      <c r="AG3700" s="191"/>
      <c r="AH3700" s="191"/>
      <c r="AI3700" s="186"/>
      <c r="AK3700" s="171"/>
    </row>
    <row r="3701" spans="1:41" s="102" customFormat="1" ht="19.899999999999999" customHeight="1" x14ac:dyDescent="0.25">
      <c r="A3701" s="45"/>
      <c r="B3701" s="59"/>
      <c r="C3701" s="137"/>
      <c r="D3701" s="59"/>
      <c r="E3701" s="116"/>
      <c r="F3701" s="120"/>
      <c r="G3701" s="120"/>
      <c r="H3701" s="120"/>
      <c r="I3701" s="60"/>
      <c r="J3701" s="116"/>
      <c r="K3701" s="213"/>
      <c r="L3701" s="120"/>
      <c r="M3701" s="120"/>
      <c r="N3701" s="167"/>
      <c r="O3701" s="120"/>
      <c r="P3701" s="120"/>
      <c r="Q3701" s="120"/>
      <c r="R3701" s="120"/>
      <c r="S3701" s="120"/>
      <c r="T3701" s="221"/>
      <c r="U3701" s="89"/>
      <c r="V3701" s="61"/>
      <c r="W3701" s="92" t="s">
        <v>65</v>
      </c>
      <c r="X3701" s="93" t="s">
        <v>30</v>
      </c>
      <c r="Y3701" s="93" t="s">
        <v>1011</v>
      </c>
      <c r="Z3701" s="134">
        <f>VLOOKUP(W3701,Sheet2!$B:$D,3,FALSE)</f>
        <v>1.76</v>
      </c>
      <c r="AA3701" s="93">
        <f>AA3700/10</f>
        <v>1.0666666666666667</v>
      </c>
      <c r="AB3701" s="93">
        <f>AD3701/AC3693</f>
        <v>1.6500000000000001</v>
      </c>
      <c r="AC3701" s="93">
        <f>AC3693/AA3701</f>
        <v>84.465937499999953</v>
      </c>
      <c r="AD3701" s="94">
        <f t="shared" si="2773"/>
        <v>148.66004999999993</v>
      </c>
      <c r="AE3701" s="190"/>
      <c r="AF3701" s="191"/>
      <c r="AG3701" s="191"/>
      <c r="AH3701" s="191"/>
      <c r="AI3701" s="186"/>
      <c r="AK3701" s="171"/>
    </row>
    <row r="3702" spans="1:41" s="102" customFormat="1" ht="19.899999999999999" customHeight="1" x14ac:dyDescent="0.25">
      <c r="A3702" s="45"/>
      <c r="B3702" s="59"/>
      <c r="C3702" s="137"/>
      <c r="D3702" s="59"/>
      <c r="E3702" s="116"/>
      <c r="F3702" s="120"/>
      <c r="G3702" s="120"/>
      <c r="H3702" s="120"/>
      <c r="I3702" s="60"/>
      <c r="J3702" s="116"/>
      <c r="K3702" s="213"/>
      <c r="L3702" s="120"/>
      <c r="M3702" s="120"/>
      <c r="N3702" s="167"/>
      <c r="O3702" s="120"/>
      <c r="P3702" s="120"/>
      <c r="Q3702" s="120"/>
      <c r="R3702" s="120"/>
      <c r="S3702" s="120"/>
      <c r="T3702" s="221"/>
      <c r="U3702" s="89"/>
      <c r="V3702" s="61"/>
      <c r="W3702" s="92" t="s">
        <v>1049</v>
      </c>
      <c r="X3702" s="93" t="s">
        <v>30</v>
      </c>
      <c r="Y3702" s="93" t="s">
        <v>68</v>
      </c>
      <c r="Z3702" s="134">
        <f>VLOOKUP(W3702,Sheet2!$B:$D,3,FALSE)</f>
        <v>60</v>
      </c>
      <c r="AA3702" s="93">
        <v>1</v>
      </c>
      <c r="AB3702" s="93">
        <f>AD3702/AC3693</f>
        <v>60</v>
      </c>
      <c r="AC3702" s="93">
        <f>AC3693/AA3702</f>
        <v>90.096999999999952</v>
      </c>
      <c r="AD3702" s="94">
        <f t="shared" si="2773"/>
        <v>5405.819999999997</v>
      </c>
      <c r="AE3702" s="190"/>
      <c r="AF3702" s="191"/>
      <c r="AG3702" s="191"/>
      <c r="AH3702" s="191"/>
      <c r="AI3702" s="186"/>
      <c r="AK3702" s="171"/>
    </row>
    <row r="3703" spans="1:41" s="103" customFormat="1" ht="19.899999999999999" customHeight="1" x14ac:dyDescent="0.25">
      <c r="A3703" s="51"/>
      <c r="B3703" s="52"/>
      <c r="C3703" s="165"/>
      <c r="D3703" s="52"/>
      <c r="E3703" s="115"/>
      <c r="F3703" s="58"/>
      <c r="G3703" s="58"/>
      <c r="H3703" s="58"/>
      <c r="I3703" s="55"/>
      <c r="J3703" s="113">
        <f>J3692</f>
        <v>90.096999999999952</v>
      </c>
      <c r="K3703" s="212">
        <f>K3692</f>
        <v>90.096999999999952</v>
      </c>
      <c r="L3703" s="58"/>
      <c r="M3703" s="58">
        <f>K3703-L3703</f>
        <v>90.096999999999952</v>
      </c>
      <c r="N3703" s="166"/>
      <c r="O3703" s="58"/>
      <c r="P3703" s="58"/>
      <c r="Q3703" s="58"/>
      <c r="R3703" s="58"/>
      <c r="S3703" s="58"/>
      <c r="T3703" s="220"/>
      <c r="U3703" s="88"/>
      <c r="V3703" s="56"/>
      <c r="W3703" s="57" t="s">
        <v>1036</v>
      </c>
      <c r="X3703" s="53"/>
      <c r="Y3703" s="91" t="s">
        <v>68</v>
      </c>
      <c r="Z3703" s="136">
        <f>AD3703/AC3703</f>
        <v>390.58333333333337</v>
      </c>
      <c r="AA3703" s="58"/>
      <c r="AB3703" s="53">
        <f>AD3703/AC3703</f>
        <v>390.58333333333337</v>
      </c>
      <c r="AC3703" s="53">
        <f>M3703+$AE$10</f>
        <v>90.096999999999952</v>
      </c>
      <c r="AD3703" s="54">
        <f>SUM(AD3704:AD3709)</f>
        <v>35190.386583333318</v>
      </c>
      <c r="AE3703" s="184">
        <f>SUMIFS($AD$37:$AD$12971,$V$37:$V$12971,$V3703,$X$37:$X$12971,AE$13)</f>
        <v>0</v>
      </c>
      <c r="AF3703" s="185">
        <f>SUMIFS($AD$37:$AD$12971,$V$37:$V$12971,$V3703,$X$37:$X$12971,AF$13)</f>
        <v>0</v>
      </c>
      <c r="AG3703" s="185">
        <f>SUMIFS($AD$37:$AD$12971,$V$37:$V$12971,$V3703,$X$37:$X$12971,AG$13)</f>
        <v>0</v>
      </c>
      <c r="AH3703" s="187">
        <f>SUMIFS($AD$37:$AD$12971,$V$37:$V$12971,$V3703,$X$37:$X$12971,AH$13)</f>
        <v>0</v>
      </c>
      <c r="AI3703" s="161">
        <f t="shared" ref="AI3703" si="2774">SUM(AE3703:AH3703)</f>
        <v>0</v>
      </c>
      <c r="AK3703" s="172"/>
    </row>
    <row r="3704" spans="1:41" s="102" customFormat="1" ht="19.899999999999999" customHeight="1" x14ac:dyDescent="0.25">
      <c r="A3704" s="45"/>
      <c r="B3704" s="59"/>
      <c r="C3704" s="137"/>
      <c r="D3704" s="59"/>
      <c r="E3704" s="116"/>
      <c r="F3704" s="120"/>
      <c r="G3704" s="120"/>
      <c r="H3704" s="120"/>
      <c r="I3704" s="60"/>
      <c r="J3704" s="116"/>
      <c r="K3704" s="213"/>
      <c r="L3704" s="120"/>
      <c r="M3704" s="120"/>
      <c r="N3704" s="167"/>
      <c r="O3704" s="120"/>
      <c r="P3704" s="120"/>
      <c r="Q3704" s="120"/>
      <c r="R3704" s="120"/>
      <c r="S3704" s="120"/>
      <c r="T3704" s="221"/>
      <c r="U3704" s="89"/>
      <c r="V3704" s="61"/>
      <c r="W3704" s="92" t="s">
        <v>1057</v>
      </c>
      <c r="X3704" s="93" t="s">
        <v>30</v>
      </c>
      <c r="Y3704" s="93" t="s">
        <v>68</v>
      </c>
      <c r="Z3704" s="134">
        <f>VLOOKUP(W3704,Sheet2!$B:$D,3,FALSE)</f>
        <v>250</v>
      </c>
      <c r="AA3704" s="93">
        <v>1</v>
      </c>
      <c r="AB3704" s="93">
        <f>AD3704/AC3703</f>
        <v>250</v>
      </c>
      <c r="AC3704" s="93">
        <f>AC3703/AA3704</f>
        <v>90.096999999999952</v>
      </c>
      <c r="AD3704" s="94">
        <f t="shared" ref="AD3704" si="2775">AC3704*Z3704</f>
        <v>22524.249999999989</v>
      </c>
      <c r="AE3704" s="190"/>
      <c r="AF3704" s="191"/>
      <c r="AG3704" s="191"/>
      <c r="AH3704" s="191"/>
      <c r="AI3704" s="186"/>
      <c r="AK3704" s="171"/>
    </row>
    <row r="3705" spans="1:41" s="102" customFormat="1" ht="19.899999999999999" customHeight="1" x14ac:dyDescent="0.25">
      <c r="A3705" s="45"/>
      <c r="B3705" s="59"/>
      <c r="C3705" s="137"/>
      <c r="D3705" s="59"/>
      <c r="E3705" s="116"/>
      <c r="F3705" s="120"/>
      <c r="G3705" s="120"/>
      <c r="H3705" s="120"/>
      <c r="I3705" s="60"/>
      <c r="J3705" s="116"/>
      <c r="K3705" s="213"/>
      <c r="L3705" s="120"/>
      <c r="M3705" s="120"/>
      <c r="N3705" s="167"/>
      <c r="O3705" s="120"/>
      <c r="P3705" s="120"/>
      <c r="Q3705" s="120"/>
      <c r="R3705" s="120"/>
      <c r="S3705" s="120"/>
      <c r="T3705" s="221"/>
      <c r="U3705" s="89"/>
      <c r="V3705" s="61"/>
      <c r="W3705" s="92" t="s">
        <v>1064</v>
      </c>
      <c r="X3705" s="93" t="s">
        <v>30</v>
      </c>
      <c r="Y3705" s="93" t="s">
        <v>68</v>
      </c>
      <c r="Z3705" s="134">
        <f>VLOOKUP(W3705,Sheet2!$B:$D,3,FALSE)</f>
        <v>25</v>
      </c>
      <c r="AA3705" s="93">
        <v>1</v>
      </c>
      <c r="AB3705" s="93">
        <f>AD3705/AC3703</f>
        <v>25</v>
      </c>
      <c r="AC3705" s="93">
        <f>AC3703/AA3705</f>
        <v>90.096999999999952</v>
      </c>
      <c r="AD3705" s="94">
        <f>AC3705*Z3705</f>
        <v>2252.4249999999988</v>
      </c>
      <c r="AE3705" s="190"/>
      <c r="AF3705" s="191"/>
      <c r="AG3705" s="191"/>
      <c r="AH3705" s="191"/>
      <c r="AI3705" s="186"/>
      <c r="AK3705" s="171"/>
    </row>
    <row r="3706" spans="1:41" s="102" customFormat="1" ht="19.899999999999999" customHeight="1" x14ac:dyDescent="0.25">
      <c r="A3706" s="45"/>
      <c r="B3706" s="59"/>
      <c r="C3706" s="137"/>
      <c r="D3706" s="59"/>
      <c r="E3706" s="116"/>
      <c r="F3706" s="120"/>
      <c r="G3706" s="120"/>
      <c r="H3706" s="120"/>
      <c r="I3706" s="60"/>
      <c r="J3706" s="116"/>
      <c r="K3706" s="213"/>
      <c r="L3706" s="120"/>
      <c r="M3706" s="120"/>
      <c r="N3706" s="167"/>
      <c r="O3706" s="120"/>
      <c r="P3706" s="120"/>
      <c r="Q3706" s="120"/>
      <c r="R3706" s="120"/>
      <c r="S3706" s="120"/>
      <c r="T3706" s="221"/>
      <c r="U3706" s="89"/>
      <c r="V3706" s="61"/>
      <c r="W3706" s="92" t="s">
        <v>1072</v>
      </c>
      <c r="X3706" s="93" t="s">
        <v>32</v>
      </c>
      <c r="Y3706" s="93" t="s">
        <v>68</v>
      </c>
      <c r="Z3706" s="134">
        <f>VLOOKUP(W3706,Sheet2!$B:$D,3,FALSE)</f>
        <v>55</v>
      </c>
      <c r="AA3706" s="93">
        <v>1</v>
      </c>
      <c r="AB3706" s="93">
        <f>AD3706/AC3703</f>
        <v>55</v>
      </c>
      <c r="AC3706" s="93">
        <f>AC3703/AA3706</f>
        <v>90.096999999999952</v>
      </c>
      <c r="AD3706" s="94">
        <f>AC3706*Z3706</f>
        <v>4955.3349999999973</v>
      </c>
      <c r="AE3706" s="190"/>
      <c r="AF3706" s="191"/>
      <c r="AG3706" s="191"/>
      <c r="AH3706" s="191"/>
      <c r="AI3706" s="186"/>
      <c r="AK3706" s="171"/>
    </row>
    <row r="3707" spans="1:41" s="102" customFormat="1" ht="19.899999999999999" customHeight="1" x14ac:dyDescent="0.25">
      <c r="A3707" s="45"/>
      <c r="B3707" s="59"/>
      <c r="C3707" s="137"/>
      <c r="D3707" s="59"/>
      <c r="E3707" s="116"/>
      <c r="F3707" s="120"/>
      <c r="G3707" s="120"/>
      <c r="H3707" s="120"/>
      <c r="I3707" s="60"/>
      <c r="J3707" s="116"/>
      <c r="K3707" s="213"/>
      <c r="L3707" s="120"/>
      <c r="M3707" s="120"/>
      <c r="N3707" s="167"/>
      <c r="O3707" s="120"/>
      <c r="P3707" s="120"/>
      <c r="Q3707" s="120"/>
      <c r="R3707" s="120"/>
      <c r="S3707" s="120"/>
      <c r="T3707" s="221"/>
      <c r="U3707" s="89"/>
      <c r="V3707" s="61"/>
      <c r="W3707" s="92" t="s">
        <v>1032</v>
      </c>
      <c r="X3707" s="93" t="s">
        <v>30</v>
      </c>
      <c r="Y3707" s="93" t="s">
        <v>66</v>
      </c>
      <c r="Z3707" s="134">
        <f>VLOOKUP(W3707,Sheet2!$B:$D,3,FALSE)</f>
        <v>250</v>
      </c>
      <c r="AA3707" s="93">
        <f>1/(1.5*0.1)</f>
        <v>6.6666666666666661</v>
      </c>
      <c r="AB3707" s="93">
        <f>AD3707/AC3703</f>
        <v>37.5</v>
      </c>
      <c r="AC3707" s="93">
        <f>AC3703/AA3707</f>
        <v>13.514549999999995</v>
      </c>
      <c r="AD3707" s="94">
        <f>AC3707*Z3707</f>
        <v>3378.6374999999985</v>
      </c>
      <c r="AE3707" s="190"/>
      <c r="AF3707" s="191"/>
      <c r="AG3707" s="191"/>
      <c r="AH3707" s="191"/>
      <c r="AI3707" s="186"/>
      <c r="AK3707" s="171"/>
    </row>
    <row r="3708" spans="1:41" s="102" customFormat="1" ht="19.899999999999999" customHeight="1" x14ac:dyDescent="0.25">
      <c r="A3708" s="45"/>
      <c r="B3708" s="59"/>
      <c r="C3708" s="137"/>
      <c r="D3708" s="59"/>
      <c r="E3708" s="116"/>
      <c r="F3708" s="120"/>
      <c r="G3708" s="120"/>
      <c r="H3708" s="120"/>
      <c r="I3708" s="60"/>
      <c r="J3708" s="116"/>
      <c r="K3708" s="213"/>
      <c r="L3708" s="120"/>
      <c r="M3708" s="120"/>
      <c r="N3708" s="167"/>
      <c r="O3708" s="120"/>
      <c r="P3708" s="120"/>
      <c r="Q3708" s="120"/>
      <c r="R3708" s="120"/>
      <c r="S3708" s="120"/>
      <c r="T3708" s="221"/>
      <c r="U3708" s="89"/>
      <c r="V3708" s="61"/>
      <c r="W3708" s="92" t="s">
        <v>1035</v>
      </c>
      <c r="X3708" s="93" t="s">
        <v>32</v>
      </c>
      <c r="Y3708" s="93" t="s">
        <v>66</v>
      </c>
      <c r="Z3708" s="134">
        <f>VLOOKUP(W3708,Sheet2!$B:$D,3,FALSE)</f>
        <v>150</v>
      </c>
      <c r="AA3708" s="93">
        <f>AA3707</f>
        <v>6.6666666666666661</v>
      </c>
      <c r="AB3708" s="93">
        <f>AD3708/AC3703</f>
        <v>22.500000000000004</v>
      </c>
      <c r="AC3708" s="93">
        <f>AC3703/AA3708</f>
        <v>13.514549999999995</v>
      </c>
      <c r="AD3708" s="94">
        <f t="shared" ref="AD3708:AD3709" si="2776">AC3708*Z3708</f>
        <v>2027.1824999999992</v>
      </c>
      <c r="AE3708" s="190"/>
      <c r="AF3708" s="191"/>
      <c r="AG3708" s="191"/>
      <c r="AH3708" s="191"/>
      <c r="AI3708" s="186"/>
      <c r="AK3708" s="171"/>
    </row>
    <row r="3709" spans="1:41" s="102" customFormat="1" ht="19.899999999999999" customHeight="1" x14ac:dyDescent="0.25">
      <c r="A3709" s="45"/>
      <c r="B3709" s="59"/>
      <c r="C3709" s="137"/>
      <c r="D3709" s="59"/>
      <c r="E3709" s="116"/>
      <c r="F3709" s="120"/>
      <c r="G3709" s="120"/>
      <c r="H3709" s="120"/>
      <c r="I3709" s="60"/>
      <c r="J3709" s="116"/>
      <c r="K3709" s="213"/>
      <c r="L3709" s="120"/>
      <c r="M3709" s="120"/>
      <c r="N3709" s="167"/>
      <c r="O3709" s="120"/>
      <c r="P3709" s="120"/>
      <c r="Q3709" s="120"/>
      <c r="R3709" s="120"/>
      <c r="S3709" s="120"/>
      <c r="T3709" s="221"/>
      <c r="U3709" s="89"/>
      <c r="V3709" s="61"/>
      <c r="W3709" s="92" t="s">
        <v>1037</v>
      </c>
      <c r="X3709" s="93" t="s">
        <v>30</v>
      </c>
      <c r="Y3709" s="93" t="s">
        <v>1038</v>
      </c>
      <c r="Z3709" s="134">
        <f>VLOOKUP(W3709,Sheet2!$B:$D,3,FALSE)</f>
        <v>175</v>
      </c>
      <c r="AA3709" s="93">
        <v>300</v>
      </c>
      <c r="AB3709" s="93">
        <f>AD3709/AC3703</f>
        <v>0.58333333333333326</v>
      </c>
      <c r="AC3709" s="93">
        <f>AC3703/AA3709</f>
        <v>0.30032333333333316</v>
      </c>
      <c r="AD3709" s="94">
        <f t="shared" si="2776"/>
        <v>52.5565833333333</v>
      </c>
      <c r="AE3709" s="190"/>
      <c r="AF3709" s="191"/>
      <c r="AG3709" s="191"/>
      <c r="AH3709" s="191"/>
      <c r="AI3709" s="186"/>
      <c r="AK3709" s="171"/>
    </row>
    <row r="3710" spans="1:41" s="103" customFormat="1" ht="19.899999999999999" customHeight="1" x14ac:dyDescent="0.25">
      <c r="A3710" s="51"/>
      <c r="B3710" s="52"/>
      <c r="C3710" s="165"/>
      <c r="D3710" s="52"/>
      <c r="E3710" s="115"/>
      <c r="F3710" s="58"/>
      <c r="G3710" s="58"/>
      <c r="H3710" s="58"/>
      <c r="I3710" s="55"/>
      <c r="J3710" s="113">
        <f>J3692</f>
        <v>90.096999999999952</v>
      </c>
      <c r="K3710" s="212">
        <f>K3692</f>
        <v>90.096999999999952</v>
      </c>
      <c r="L3710" s="58"/>
      <c r="M3710" s="58">
        <f>K3710-L3710</f>
        <v>90.096999999999952</v>
      </c>
      <c r="N3710" s="166"/>
      <c r="O3710" s="58"/>
      <c r="P3710" s="58"/>
      <c r="Q3710" s="58"/>
      <c r="R3710" s="58"/>
      <c r="S3710" s="58"/>
      <c r="T3710" s="220"/>
      <c r="U3710" s="88"/>
      <c r="V3710" s="56"/>
      <c r="W3710" s="57" t="s">
        <v>1040</v>
      </c>
      <c r="X3710" s="53"/>
      <c r="Y3710" s="91" t="s">
        <v>68</v>
      </c>
      <c r="Z3710" s="136">
        <f>AD3710/AC3710</f>
        <v>5</v>
      </c>
      <c r="AA3710" s="58"/>
      <c r="AB3710" s="53">
        <f>AD3710/AC3710</f>
        <v>5</v>
      </c>
      <c r="AC3710" s="53">
        <f>M3710+$AE$10</f>
        <v>90.096999999999952</v>
      </c>
      <c r="AD3710" s="54">
        <f>SUM(AD3711)</f>
        <v>450.48499999999979</v>
      </c>
      <c r="AE3710" s="184">
        <f>SUMIFS($AD$37:$AD$12971,$V$37:$V$12971,$V3710,$X$37:$X$12971,AE$13)</f>
        <v>0</v>
      </c>
      <c r="AF3710" s="185">
        <f>SUMIFS($AD$37:$AD$12971,$V$37:$V$12971,$V3710,$X$37:$X$12971,AF$13)</f>
        <v>0</v>
      </c>
      <c r="AG3710" s="185">
        <f>SUMIFS($AD$37:$AD$12971,$V$37:$V$12971,$V3710,$X$37:$X$12971,AG$13)</f>
        <v>0</v>
      </c>
      <c r="AH3710" s="187">
        <f>SUMIFS($AD$37:$AD$12971,$V$37:$V$12971,$V3710,$X$37:$X$12971,AH$13)</f>
        <v>0</v>
      </c>
      <c r="AI3710" s="161">
        <f t="shared" ref="AI3710" si="2777">SUM(AE3710:AH3710)</f>
        <v>0</v>
      </c>
      <c r="AK3710" s="172"/>
    </row>
    <row r="3711" spans="1:41" s="102" customFormat="1" ht="19.899999999999999" customHeight="1" x14ac:dyDescent="0.25">
      <c r="A3711" s="45"/>
      <c r="B3711" s="59"/>
      <c r="C3711" s="137"/>
      <c r="D3711" s="59"/>
      <c r="E3711" s="116"/>
      <c r="F3711" s="120"/>
      <c r="G3711" s="120"/>
      <c r="H3711" s="120"/>
      <c r="I3711" s="60"/>
      <c r="J3711" s="116"/>
      <c r="K3711" s="213"/>
      <c r="L3711" s="120"/>
      <c r="M3711" s="120"/>
      <c r="N3711" s="167"/>
      <c r="O3711" s="120"/>
      <c r="P3711" s="120"/>
      <c r="Q3711" s="120"/>
      <c r="R3711" s="120"/>
      <c r="S3711" s="120"/>
      <c r="T3711" s="221"/>
      <c r="U3711" s="89"/>
      <c r="V3711" s="61"/>
      <c r="W3711" s="92" t="s">
        <v>1039</v>
      </c>
      <c r="X3711" s="93" t="s">
        <v>32</v>
      </c>
      <c r="Y3711" s="93" t="s">
        <v>68</v>
      </c>
      <c r="Z3711" s="134">
        <f>VLOOKUP(W3711,Sheet2!$B:$D,3,FALSE)</f>
        <v>5</v>
      </c>
      <c r="AA3711" s="93">
        <v>1</v>
      </c>
      <c r="AB3711" s="93">
        <f>AD3711/AC3710</f>
        <v>5</v>
      </c>
      <c r="AC3711" s="93">
        <f>AC3710/AA3711</f>
        <v>90.096999999999952</v>
      </c>
      <c r="AD3711" s="94">
        <f t="shared" ref="AD3711" si="2778">AC3711*Z3711</f>
        <v>450.48499999999979</v>
      </c>
      <c r="AE3711" s="190"/>
      <c r="AF3711" s="191"/>
      <c r="AG3711" s="191"/>
      <c r="AH3711" s="191"/>
      <c r="AI3711" s="186"/>
      <c r="AK3711" s="171"/>
    </row>
    <row r="3712" spans="1:41" ht="20.100000000000001" customHeight="1" x14ac:dyDescent="0.25">
      <c r="A3712" s="277" t="s">
        <v>491</v>
      </c>
      <c r="B3712" s="278"/>
      <c r="C3712" s="64" t="s">
        <v>497</v>
      </c>
      <c r="D3712" s="46" t="s">
        <v>97</v>
      </c>
      <c r="E3712" s="114">
        <v>30.064349999999962</v>
      </c>
      <c r="F3712" s="44">
        <v>787</v>
      </c>
      <c r="G3712" s="44">
        <f t="shared" si="2434"/>
        <v>23660.64344999997</v>
      </c>
      <c r="H3712" s="44">
        <f t="shared" si="2435"/>
        <v>508.78134509803925</v>
      </c>
      <c r="I3712" s="43">
        <f t="shared" si="2436"/>
        <v>15296.180432498217</v>
      </c>
      <c r="J3712" s="112">
        <f t="shared" si="2437"/>
        <v>30.064349999999962</v>
      </c>
      <c r="K3712" s="211">
        <f t="shared" si="2438"/>
        <v>30.064349999999962</v>
      </c>
      <c r="L3712" s="44"/>
      <c r="M3712" s="44">
        <f t="shared" si="2458"/>
        <v>30.064349999999962</v>
      </c>
      <c r="N3712" s="173">
        <f t="shared" si="2439"/>
        <v>1</v>
      </c>
      <c r="O3712" s="44">
        <f t="shared" si="2440"/>
        <v>787</v>
      </c>
      <c r="P3712" s="44">
        <f t="shared" si="2441"/>
        <v>23660.64344999997</v>
      </c>
      <c r="Q3712" s="44">
        <f t="shared" si="2442"/>
        <v>508.78134509803925</v>
      </c>
      <c r="R3712" s="44">
        <f t="shared" si="2459"/>
        <v>15296.180432498217</v>
      </c>
      <c r="S3712" s="123"/>
      <c r="T3712" s="219">
        <f t="shared" si="2460"/>
        <v>15296.180432498217</v>
      </c>
      <c r="U3712" s="87"/>
      <c r="V3712" s="47"/>
      <c r="W3712" s="48"/>
      <c r="X3712" s="48"/>
      <c r="Y3712" s="48"/>
      <c r="Z3712" s="135"/>
      <c r="AA3712" s="49"/>
      <c r="AB3712" s="50">
        <f t="shared" si="2443"/>
        <v>508.78134509803925</v>
      </c>
      <c r="AC3712" s="42">
        <f t="shared" si="2461"/>
        <v>30.064349999999962</v>
      </c>
      <c r="AD3712" s="90">
        <f>AD3713+AD3723+AD3730</f>
        <v>15296.180432498217</v>
      </c>
      <c r="AE3712" s="188">
        <f t="shared" ref="AE3712" si="2779">AE3713+AE3723+AE3730</f>
        <v>0</v>
      </c>
      <c r="AF3712" s="189">
        <f t="shared" ref="AF3712" si="2780">AF3713+AF3723+AF3730</f>
        <v>0</v>
      </c>
      <c r="AG3712" s="189">
        <f t="shared" ref="AG3712" si="2781">AG3713+AG3723+AG3730</f>
        <v>0</v>
      </c>
      <c r="AH3712" s="189">
        <f t="shared" ref="AH3712" si="2782">AH3713+AH3723+AH3730</f>
        <v>0</v>
      </c>
      <c r="AI3712" s="161">
        <f t="shared" ref="AI3712" si="2783">SUM(AE3712:AH3712)</f>
        <v>0</v>
      </c>
      <c r="AK3712" s="169">
        <v>5</v>
      </c>
      <c r="AO3712" s="19" t="s">
        <v>63</v>
      </c>
    </row>
    <row r="3713" spans="1:37" s="103" customFormat="1" ht="19.899999999999999" customHeight="1" x14ac:dyDescent="0.25">
      <c r="A3713" s="51"/>
      <c r="B3713" s="52"/>
      <c r="C3713" s="165"/>
      <c r="D3713" s="52"/>
      <c r="E3713" s="115"/>
      <c r="F3713" s="58"/>
      <c r="G3713" s="58"/>
      <c r="H3713" s="58"/>
      <c r="I3713" s="55"/>
      <c r="J3713" s="113">
        <f>J3712</f>
        <v>30.064349999999962</v>
      </c>
      <c r="K3713" s="212">
        <f>K3712</f>
        <v>30.064349999999962</v>
      </c>
      <c r="L3713" s="58"/>
      <c r="M3713" s="58">
        <f>K3713-L3713</f>
        <v>30.064349999999962</v>
      </c>
      <c r="N3713" s="166"/>
      <c r="O3713" s="58"/>
      <c r="P3713" s="58"/>
      <c r="Q3713" s="58"/>
      <c r="R3713" s="58"/>
      <c r="S3713" s="58"/>
      <c r="T3713" s="220"/>
      <c r="U3713" s="88"/>
      <c r="V3713" s="56"/>
      <c r="W3713" s="57" t="s">
        <v>1238</v>
      </c>
      <c r="X3713" s="53"/>
      <c r="Y3713" s="91" t="s">
        <v>68</v>
      </c>
      <c r="Z3713" s="136">
        <f>AD3713/AC3713</f>
        <v>113.19801176470588</v>
      </c>
      <c r="AA3713" s="58"/>
      <c r="AB3713" s="53">
        <f>AD3713/AC3713</f>
        <v>113.19801176470588</v>
      </c>
      <c r="AC3713" s="53">
        <f>M3713+$AE$10</f>
        <v>30.064349999999962</v>
      </c>
      <c r="AD3713" s="54">
        <f>SUM(AD3714:AD3722)</f>
        <v>3403.2246449982308</v>
      </c>
      <c r="AE3713" s="184">
        <f>SUMIFS($AD$37:$AD$12971,$V$37:$V$12971,$V3713,$X$37:$X$12971,AE$13)</f>
        <v>0</v>
      </c>
      <c r="AF3713" s="185">
        <f>SUMIFS($AD$37:$AD$12971,$V$37:$V$12971,$V3713,$X$37:$X$12971,AF$13)</f>
        <v>0</v>
      </c>
      <c r="AG3713" s="185">
        <f>SUMIFS($AD$37:$AD$12971,$V$37:$V$12971,$V3713,$X$37:$X$12971,AG$13)</f>
        <v>0</v>
      </c>
      <c r="AH3713" s="187">
        <f>SUMIFS($AD$37:$AD$12971,$V$37:$V$12971,$V3713,$X$37:$X$12971,AH$13)</f>
        <v>0</v>
      </c>
      <c r="AI3713" s="161">
        <f t="shared" ref="AI3713" si="2784">SUM(AE3713:AH3713)</f>
        <v>0</v>
      </c>
      <c r="AK3713" s="172"/>
    </row>
    <row r="3714" spans="1:37" s="102" customFormat="1" ht="19.899999999999999" customHeight="1" x14ac:dyDescent="0.25">
      <c r="A3714" s="45"/>
      <c r="B3714" s="59"/>
      <c r="C3714" s="137"/>
      <c r="D3714" s="59"/>
      <c r="E3714" s="116"/>
      <c r="F3714" s="120"/>
      <c r="G3714" s="120"/>
      <c r="H3714" s="120"/>
      <c r="I3714" s="60"/>
      <c r="J3714" s="116"/>
      <c r="K3714" s="213"/>
      <c r="L3714" s="120"/>
      <c r="M3714" s="120"/>
      <c r="N3714" s="167"/>
      <c r="O3714" s="120"/>
      <c r="P3714" s="120"/>
      <c r="Q3714" s="120"/>
      <c r="R3714" s="120"/>
      <c r="S3714" s="120"/>
      <c r="T3714" s="221"/>
      <c r="U3714" s="89"/>
      <c r="V3714" s="61"/>
      <c r="W3714" s="92" t="s">
        <v>131</v>
      </c>
      <c r="X3714" s="93" t="s">
        <v>29</v>
      </c>
      <c r="Y3714" s="93" t="s">
        <v>93</v>
      </c>
      <c r="Z3714" s="134">
        <f>VLOOKUP(W3714,Sheet2!$B:$D,3,FALSE)</f>
        <v>131.19999999999999</v>
      </c>
      <c r="AA3714" s="93">
        <f>80/(1.5*5.5)</f>
        <v>9.6969696969696972</v>
      </c>
      <c r="AB3714" s="93">
        <f t="shared" ref="AB3714" si="2785">AD3714/AC3713</f>
        <v>13.53</v>
      </c>
      <c r="AC3714" s="93">
        <f>AC3713/AA3714</f>
        <v>3.1003860937499961</v>
      </c>
      <c r="AD3714" s="94">
        <f t="shared" ref="AD3714:AD3715" si="2786">AC3714*Z3714</f>
        <v>406.77065549999946</v>
      </c>
      <c r="AE3714" s="190"/>
      <c r="AF3714" s="191"/>
      <c r="AG3714" s="191"/>
      <c r="AH3714" s="191"/>
      <c r="AI3714" s="186"/>
      <c r="AK3714" s="171"/>
    </row>
    <row r="3715" spans="1:37" s="102" customFormat="1" ht="19.899999999999999" customHeight="1" x14ac:dyDescent="0.25">
      <c r="A3715" s="45"/>
      <c r="B3715" s="59"/>
      <c r="C3715" s="137"/>
      <c r="D3715" s="59"/>
      <c r="E3715" s="116"/>
      <c r="F3715" s="120"/>
      <c r="G3715" s="120"/>
      <c r="H3715" s="120"/>
      <c r="I3715" s="60"/>
      <c r="J3715" s="116"/>
      <c r="K3715" s="213"/>
      <c r="L3715" s="120"/>
      <c r="M3715" s="120"/>
      <c r="N3715" s="167"/>
      <c r="O3715" s="120"/>
      <c r="P3715" s="120"/>
      <c r="Q3715" s="120"/>
      <c r="R3715" s="120"/>
      <c r="S3715" s="120"/>
      <c r="T3715" s="221"/>
      <c r="U3715" s="89"/>
      <c r="V3715" s="61"/>
      <c r="W3715" s="92" t="s">
        <v>65</v>
      </c>
      <c r="X3715" s="93" t="s">
        <v>30</v>
      </c>
      <c r="Y3715" s="93" t="s">
        <v>1011</v>
      </c>
      <c r="Z3715" s="134">
        <f>VLOOKUP(W3715,Sheet2!$B:$D,3,FALSE)</f>
        <v>1.76</v>
      </c>
      <c r="AA3715" s="93">
        <f>AA3714/32</f>
        <v>0.30303030303030304</v>
      </c>
      <c r="AB3715" s="93">
        <f>AD3715/AC3713</f>
        <v>5.8079999999999998</v>
      </c>
      <c r="AC3715" s="93">
        <f>AC3713/AA3715</f>
        <v>99.212354999999874</v>
      </c>
      <c r="AD3715" s="94">
        <f t="shared" si="2786"/>
        <v>174.61374479999978</v>
      </c>
      <c r="AE3715" s="190"/>
      <c r="AF3715" s="191"/>
      <c r="AG3715" s="191"/>
      <c r="AH3715" s="191"/>
      <c r="AI3715" s="186"/>
      <c r="AK3715" s="171"/>
    </row>
    <row r="3716" spans="1:37" s="102" customFormat="1" ht="19.899999999999999" customHeight="1" x14ac:dyDescent="0.25">
      <c r="A3716" s="45"/>
      <c r="B3716" s="59"/>
      <c r="C3716" s="137"/>
      <c r="D3716" s="59"/>
      <c r="E3716" s="116"/>
      <c r="F3716" s="120"/>
      <c r="G3716" s="120"/>
      <c r="H3716" s="120"/>
      <c r="I3716" s="60"/>
      <c r="J3716" s="116"/>
      <c r="K3716" s="213"/>
      <c r="L3716" s="120"/>
      <c r="M3716" s="120"/>
      <c r="N3716" s="167"/>
      <c r="O3716" s="120"/>
      <c r="P3716" s="120"/>
      <c r="Q3716" s="120"/>
      <c r="R3716" s="120"/>
      <c r="S3716" s="120"/>
      <c r="T3716" s="221"/>
      <c r="U3716" s="89"/>
      <c r="V3716" s="61"/>
      <c r="W3716" s="92" t="s">
        <v>161</v>
      </c>
      <c r="X3716" s="93" t="s">
        <v>29</v>
      </c>
      <c r="Y3716" s="93" t="s">
        <v>93</v>
      </c>
      <c r="Z3716" s="134">
        <f>VLOOKUP(W3716,Sheet2!$B:$D,3,FALSE)</f>
        <v>48</v>
      </c>
      <c r="AA3716" s="93">
        <f>(16*0.85*1.5)/(1.5*5.5)</f>
        <v>2.4727272727272727</v>
      </c>
      <c r="AB3716" s="93">
        <f>AD3716/AC3713</f>
        <v>19.411764705882355</v>
      </c>
      <c r="AC3716" s="93">
        <f>AC3713/AA3716</f>
        <v>12.158376838235279</v>
      </c>
      <c r="AD3716" s="94">
        <f>AC3716*Z3716</f>
        <v>583.60208823529342</v>
      </c>
      <c r="AE3716" s="190"/>
      <c r="AF3716" s="191"/>
      <c r="AG3716" s="191"/>
      <c r="AH3716" s="191"/>
      <c r="AI3716" s="186"/>
      <c r="AK3716" s="171"/>
    </row>
    <row r="3717" spans="1:37" s="102" customFormat="1" ht="19.899999999999999" customHeight="1" x14ac:dyDescent="0.25">
      <c r="A3717" s="45"/>
      <c r="B3717" s="59"/>
      <c r="C3717" s="137"/>
      <c r="D3717" s="59"/>
      <c r="E3717" s="116"/>
      <c r="F3717" s="120"/>
      <c r="G3717" s="120"/>
      <c r="H3717" s="120"/>
      <c r="I3717" s="60"/>
      <c r="J3717" s="116"/>
      <c r="K3717" s="213"/>
      <c r="L3717" s="120"/>
      <c r="M3717" s="120"/>
      <c r="N3717" s="167"/>
      <c r="O3717" s="120"/>
      <c r="P3717" s="120"/>
      <c r="Q3717" s="120"/>
      <c r="R3717" s="120"/>
      <c r="S3717" s="120"/>
      <c r="T3717" s="221"/>
      <c r="U3717" s="89"/>
      <c r="V3717" s="61"/>
      <c r="W3717" s="92" t="s">
        <v>65</v>
      </c>
      <c r="X3717" s="93" t="s">
        <v>30</v>
      </c>
      <c r="Y3717" s="93" t="s">
        <v>1011</v>
      </c>
      <c r="Z3717" s="134">
        <f>VLOOKUP(W3717,Sheet2!$B:$D,3,FALSE)</f>
        <v>1.76</v>
      </c>
      <c r="AA3717" s="93">
        <f>AA3716/10</f>
        <v>0.24727272727272726</v>
      </c>
      <c r="AB3717" s="93">
        <f>AD3717/AC3713</f>
        <v>7.1176470588235308</v>
      </c>
      <c r="AC3717" s="93">
        <f>AC3713/AA3717</f>
        <v>121.5837683823528</v>
      </c>
      <c r="AD3717" s="94">
        <f>AC3717*Z3717</f>
        <v>213.98743235294094</v>
      </c>
      <c r="AE3717" s="190"/>
      <c r="AF3717" s="191"/>
      <c r="AG3717" s="191"/>
      <c r="AH3717" s="191"/>
      <c r="AI3717" s="186"/>
      <c r="AK3717" s="171"/>
    </row>
    <row r="3718" spans="1:37" s="102" customFormat="1" ht="19.899999999999999" customHeight="1" x14ac:dyDescent="0.25">
      <c r="A3718" s="45"/>
      <c r="B3718" s="59"/>
      <c r="C3718" s="137"/>
      <c r="D3718" s="59"/>
      <c r="E3718" s="116"/>
      <c r="F3718" s="120"/>
      <c r="G3718" s="120"/>
      <c r="H3718" s="120"/>
      <c r="I3718" s="60"/>
      <c r="J3718" s="116"/>
      <c r="K3718" s="213"/>
      <c r="L3718" s="120"/>
      <c r="M3718" s="120"/>
      <c r="N3718" s="167"/>
      <c r="O3718" s="120"/>
      <c r="P3718" s="120"/>
      <c r="Q3718" s="120"/>
      <c r="R3718" s="120"/>
      <c r="S3718" s="120"/>
      <c r="T3718" s="221"/>
      <c r="U3718" s="89"/>
      <c r="V3718" s="61"/>
      <c r="W3718" s="92" t="s">
        <v>1030</v>
      </c>
      <c r="X3718" s="93" t="s">
        <v>29</v>
      </c>
      <c r="Y3718" s="93" t="s">
        <v>93</v>
      </c>
      <c r="Z3718" s="134">
        <f>VLOOKUP(W3718,Sheet2!$B:$D,3,FALSE)</f>
        <v>23</v>
      </c>
      <c r="AA3718" s="93">
        <v>50</v>
      </c>
      <c r="AB3718" s="93">
        <f>AD3718/AC3713</f>
        <v>0.46</v>
      </c>
      <c r="AC3718" s="93">
        <f>AC3713/AA3718</f>
        <v>0.60128699999999924</v>
      </c>
      <c r="AD3718" s="94">
        <f t="shared" ref="AD3718:AD3722" si="2787">AC3718*Z3718</f>
        <v>13.829600999999982</v>
      </c>
      <c r="AE3718" s="190"/>
      <c r="AF3718" s="191"/>
      <c r="AG3718" s="191"/>
      <c r="AH3718" s="191"/>
      <c r="AI3718" s="186"/>
      <c r="AK3718" s="171"/>
    </row>
    <row r="3719" spans="1:37" s="102" customFormat="1" ht="19.899999999999999" customHeight="1" x14ac:dyDescent="0.25">
      <c r="A3719" s="45"/>
      <c r="B3719" s="59"/>
      <c r="C3719" s="137"/>
      <c r="D3719" s="59"/>
      <c r="E3719" s="116"/>
      <c r="F3719" s="120"/>
      <c r="G3719" s="120"/>
      <c r="H3719" s="120"/>
      <c r="I3719" s="60"/>
      <c r="J3719" s="116"/>
      <c r="K3719" s="213"/>
      <c r="L3719" s="120"/>
      <c r="M3719" s="120"/>
      <c r="N3719" s="167"/>
      <c r="O3719" s="120"/>
      <c r="P3719" s="120"/>
      <c r="Q3719" s="120"/>
      <c r="R3719" s="120"/>
      <c r="S3719" s="120"/>
      <c r="T3719" s="221"/>
      <c r="U3719" s="89"/>
      <c r="V3719" s="61"/>
      <c r="W3719" s="92" t="s">
        <v>65</v>
      </c>
      <c r="X3719" s="93" t="s">
        <v>30</v>
      </c>
      <c r="Y3719" s="93" t="s">
        <v>1011</v>
      </c>
      <c r="Z3719" s="134">
        <f>VLOOKUP(W3719,Sheet2!$B:$D,3,FALSE)</f>
        <v>1.76</v>
      </c>
      <c r="AA3719" s="93">
        <f>AA3718/3</f>
        <v>16.666666666666668</v>
      </c>
      <c r="AB3719" s="93">
        <f>AD3719/AC3713</f>
        <v>0.10559999999999999</v>
      </c>
      <c r="AC3719" s="93">
        <f>AC3713/AA3719</f>
        <v>1.8038609999999975</v>
      </c>
      <c r="AD3719" s="94">
        <f t="shared" si="2787"/>
        <v>3.1747953599999956</v>
      </c>
      <c r="AE3719" s="190"/>
      <c r="AF3719" s="191"/>
      <c r="AG3719" s="191"/>
      <c r="AH3719" s="191"/>
      <c r="AI3719" s="186"/>
      <c r="AK3719" s="171"/>
    </row>
    <row r="3720" spans="1:37" s="102" customFormat="1" ht="19.899999999999999" customHeight="1" x14ac:dyDescent="0.25">
      <c r="A3720" s="45"/>
      <c r="B3720" s="59"/>
      <c r="C3720" s="137"/>
      <c r="D3720" s="59"/>
      <c r="E3720" s="116"/>
      <c r="F3720" s="120"/>
      <c r="G3720" s="120"/>
      <c r="H3720" s="120"/>
      <c r="I3720" s="60"/>
      <c r="J3720" s="116"/>
      <c r="K3720" s="213"/>
      <c r="L3720" s="120"/>
      <c r="M3720" s="120"/>
      <c r="N3720" s="167"/>
      <c r="O3720" s="120"/>
      <c r="P3720" s="120"/>
      <c r="Q3720" s="120"/>
      <c r="R3720" s="120"/>
      <c r="S3720" s="120"/>
      <c r="T3720" s="221"/>
      <c r="U3720" s="89"/>
      <c r="V3720" s="61"/>
      <c r="W3720" s="92" t="s">
        <v>148</v>
      </c>
      <c r="X3720" s="93" t="s">
        <v>29</v>
      </c>
      <c r="Y3720" s="93" t="s">
        <v>93</v>
      </c>
      <c r="Z3720" s="134">
        <f>VLOOKUP(W3720,Sheet2!$B:$D,3,FALSE)</f>
        <v>48</v>
      </c>
      <c r="AA3720" s="93">
        <f>AA3714</f>
        <v>9.6969696969696972</v>
      </c>
      <c r="AB3720" s="93">
        <f>AD3720/AC3713</f>
        <v>4.95</v>
      </c>
      <c r="AC3720" s="93">
        <f>AC3713/AA3720</f>
        <v>3.1003860937499961</v>
      </c>
      <c r="AD3720" s="94">
        <f t="shared" si="2787"/>
        <v>148.8185324999998</v>
      </c>
      <c r="AE3720" s="190"/>
      <c r="AF3720" s="191"/>
      <c r="AG3720" s="191"/>
      <c r="AH3720" s="191"/>
      <c r="AI3720" s="186"/>
      <c r="AK3720" s="171"/>
    </row>
    <row r="3721" spans="1:37" s="102" customFormat="1" ht="19.899999999999999" customHeight="1" x14ac:dyDescent="0.25">
      <c r="A3721" s="45"/>
      <c r="B3721" s="59"/>
      <c r="C3721" s="137"/>
      <c r="D3721" s="59"/>
      <c r="E3721" s="116"/>
      <c r="F3721" s="120"/>
      <c r="G3721" s="120"/>
      <c r="H3721" s="120"/>
      <c r="I3721" s="60"/>
      <c r="J3721" s="116"/>
      <c r="K3721" s="213"/>
      <c r="L3721" s="120"/>
      <c r="M3721" s="120"/>
      <c r="N3721" s="167"/>
      <c r="O3721" s="120"/>
      <c r="P3721" s="120"/>
      <c r="Q3721" s="120"/>
      <c r="R3721" s="120"/>
      <c r="S3721" s="120"/>
      <c r="T3721" s="221"/>
      <c r="U3721" s="89"/>
      <c r="V3721" s="61"/>
      <c r="W3721" s="92" t="s">
        <v>65</v>
      </c>
      <c r="X3721" s="93" t="s">
        <v>30</v>
      </c>
      <c r="Y3721" s="93" t="s">
        <v>1011</v>
      </c>
      <c r="Z3721" s="134">
        <f>VLOOKUP(W3721,Sheet2!$B:$D,3,FALSE)</f>
        <v>1.76</v>
      </c>
      <c r="AA3721" s="93">
        <f>AA3720/10</f>
        <v>0.96969696969696972</v>
      </c>
      <c r="AB3721" s="93">
        <f>AD3721/AC3713</f>
        <v>1.8150000000000002</v>
      </c>
      <c r="AC3721" s="93">
        <f>AC3713/AA3721</f>
        <v>31.003860937499962</v>
      </c>
      <c r="AD3721" s="94">
        <f t="shared" si="2787"/>
        <v>54.566795249999934</v>
      </c>
      <c r="AE3721" s="190"/>
      <c r="AF3721" s="191"/>
      <c r="AG3721" s="191"/>
      <c r="AH3721" s="191"/>
      <c r="AI3721" s="186"/>
      <c r="AK3721" s="171"/>
    </row>
    <row r="3722" spans="1:37" s="102" customFormat="1" ht="19.899999999999999" customHeight="1" x14ac:dyDescent="0.25">
      <c r="A3722" s="45"/>
      <c r="B3722" s="59"/>
      <c r="C3722" s="137"/>
      <c r="D3722" s="59"/>
      <c r="E3722" s="116"/>
      <c r="F3722" s="120"/>
      <c r="G3722" s="120"/>
      <c r="H3722" s="120"/>
      <c r="I3722" s="60"/>
      <c r="J3722" s="116"/>
      <c r="K3722" s="213"/>
      <c r="L3722" s="120"/>
      <c r="M3722" s="120"/>
      <c r="N3722" s="167"/>
      <c r="O3722" s="120"/>
      <c r="P3722" s="120"/>
      <c r="Q3722" s="120"/>
      <c r="R3722" s="120"/>
      <c r="S3722" s="120"/>
      <c r="T3722" s="221"/>
      <c r="U3722" s="89"/>
      <c r="V3722" s="61"/>
      <c r="W3722" s="92" t="s">
        <v>1049</v>
      </c>
      <c r="X3722" s="93" t="s">
        <v>30</v>
      </c>
      <c r="Y3722" s="93" t="s">
        <v>68</v>
      </c>
      <c r="Z3722" s="134">
        <f>VLOOKUP(W3722,Sheet2!$B:$D,3,FALSE)</f>
        <v>60</v>
      </c>
      <c r="AA3722" s="93">
        <v>1</v>
      </c>
      <c r="AB3722" s="93">
        <f>AD3722/AC3713</f>
        <v>59.999999999999993</v>
      </c>
      <c r="AC3722" s="93">
        <f>AC3713/AA3722</f>
        <v>30.064349999999962</v>
      </c>
      <c r="AD3722" s="94">
        <f t="shared" si="2787"/>
        <v>1803.8609999999976</v>
      </c>
      <c r="AE3722" s="190"/>
      <c r="AF3722" s="191"/>
      <c r="AG3722" s="191"/>
      <c r="AH3722" s="191"/>
      <c r="AI3722" s="186"/>
      <c r="AK3722" s="171"/>
    </row>
    <row r="3723" spans="1:37" s="103" customFormat="1" ht="19.899999999999999" customHeight="1" x14ac:dyDescent="0.25">
      <c r="A3723" s="51"/>
      <c r="B3723" s="52"/>
      <c r="C3723" s="165"/>
      <c r="D3723" s="52"/>
      <c r="E3723" s="115"/>
      <c r="F3723" s="58"/>
      <c r="G3723" s="58"/>
      <c r="H3723" s="58"/>
      <c r="I3723" s="55"/>
      <c r="J3723" s="113">
        <f>J3712</f>
        <v>30.064349999999962</v>
      </c>
      <c r="K3723" s="212">
        <f>K3712</f>
        <v>30.064349999999962</v>
      </c>
      <c r="L3723" s="58"/>
      <c r="M3723" s="58">
        <f>K3723-L3723</f>
        <v>30.064349999999962</v>
      </c>
      <c r="N3723" s="166"/>
      <c r="O3723" s="58"/>
      <c r="P3723" s="58"/>
      <c r="Q3723" s="58"/>
      <c r="R3723" s="58"/>
      <c r="S3723" s="58"/>
      <c r="T3723" s="220"/>
      <c r="U3723" s="88"/>
      <c r="V3723" s="56"/>
      <c r="W3723" s="57" t="s">
        <v>1036</v>
      </c>
      <c r="X3723" s="53"/>
      <c r="Y3723" s="91" t="s">
        <v>68</v>
      </c>
      <c r="Z3723" s="136">
        <f>AD3723/AC3723</f>
        <v>390.58333333333343</v>
      </c>
      <c r="AA3723" s="58"/>
      <c r="AB3723" s="53">
        <f>AD3723/AC3723</f>
        <v>390.58333333333343</v>
      </c>
      <c r="AC3723" s="53">
        <f>M3723+$AE$10</f>
        <v>30.064349999999962</v>
      </c>
      <c r="AD3723" s="54">
        <f>SUM(AD3724:AD3729)</f>
        <v>11742.634037499987</v>
      </c>
      <c r="AE3723" s="184">
        <f>SUMIFS($AD$37:$AD$12971,$V$37:$V$12971,$V3723,$X$37:$X$12971,AE$13)</f>
        <v>0</v>
      </c>
      <c r="AF3723" s="185">
        <f>SUMIFS($AD$37:$AD$12971,$V$37:$V$12971,$V3723,$X$37:$X$12971,AF$13)</f>
        <v>0</v>
      </c>
      <c r="AG3723" s="185">
        <f>SUMIFS($AD$37:$AD$12971,$V$37:$V$12971,$V3723,$X$37:$X$12971,AG$13)</f>
        <v>0</v>
      </c>
      <c r="AH3723" s="187">
        <f>SUMIFS($AD$37:$AD$12971,$V$37:$V$12971,$V3723,$X$37:$X$12971,AH$13)</f>
        <v>0</v>
      </c>
      <c r="AI3723" s="161">
        <f t="shared" ref="AI3723" si="2788">SUM(AE3723:AH3723)</f>
        <v>0</v>
      </c>
      <c r="AK3723" s="172"/>
    </row>
    <row r="3724" spans="1:37" s="102" customFormat="1" ht="19.899999999999999" customHeight="1" x14ac:dyDescent="0.25">
      <c r="A3724" s="45"/>
      <c r="B3724" s="59"/>
      <c r="C3724" s="137"/>
      <c r="D3724" s="59"/>
      <c r="E3724" s="116"/>
      <c r="F3724" s="120"/>
      <c r="G3724" s="120"/>
      <c r="H3724" s="120"/>
      <c r="I3724" s="60"/>
      <c r="J3724" s="116"/>
      <c r="K3724" s="213"/>
      <c r="L3724" s="120"/>
      <c r="M3724" s="120"/>
      <c r="N3724" s="167"/>
      <c r="O3724" s="120"/>
      <c r="P3724" s="120"/>
      <c r="Q3724" s="120"/>
      <c r="R3724" s="120"/>
      <c r="S3724" s="120"/>
      <c r="T3724" s="221"/>
      <c r="U3724" s="89"/>
      <c r="V3724" s="61"/>
      <c r="W3724" s="92" t="s">
        <v>1057</v>
      </c>
      <c r="X3724" s="93" t="s">
        <v>30</v>
      </c>
      <c r="Y3724" s="93" t="s">
        <v>68</v>
      </c>
      <c r="Z3724" s="134">
        <f>VLOOKUP(W3724,Sheet2!$B:$D,3,FALSE)</f>
        <v>250</v>
      </c>
      <c r="AA3724" s="93">
        <v>1</v>
      </c>
      <c r="AB3724" s="93">
        <f>AD3724/AC3723</f>
        <v>250</v>
      </c>
      <c r="AC3724" s="93">
        <f>AC3723/AA3724</f>
        <v>30.064349999999962</v>
      </c>
      <c r="AD3724" s="94">
        <f t="shared" ref="AD3724" si="2789">AC3724*Z3724</f>
        <v>7516.0874999999905</v>
      </c>
      <c r="AE3724" s="190"/>
      <c r="AF3724" s="191"/>
      <c r="AG3724" s="191"/>
      <c r="AH3724" s="191"/>
      <c r="AI3724" s="186"/>
      <c r="AK3724" s="171"/>
    </row>
    <row r="3725" spans="1:37" s="102" customFormat="1" ht="19.899999999999999" customHeight="1" x14ac:dyDescent="0.25">
      <c r="A3725" s="45"/>
      <c r="B3725" s="59"/>
      <c r="C3725" s="137"/>
      <c r="D3725" s="59"/>
      <c r="E3725" s="116"/>
      <c r="F3725" s="120"/>
      <c r="G3725" s="120"/>
      <c r="H3725" s="120"/>
      <c r="I3725" s="60"/>
      <c r="J3725" s="116"/>
      <c r="K3725" s="213"/>
      <c r="L3725" s="120"/>
      <c r="M3725" s="120"/>
      <c r="N3725" s="167"/>
      <c r="O3725" s="120"/>
      <c r="P3725" s="120"/>
      <c r="Q3725" s="120"/>
      <c r="R3725" s="120"/>
      <c r="S3725" s="120"/>
      <c r="T3725" s="221"/>
      <c r="U3725" s="89"/>
      <c r="V3725" s="61"/>
      <c r="W3725" s="92" t="s">
        <v>1064</v>
      </c>
      <c r="X3725" s="93" t="s">
        <v>30</v>
      </c>
      <c r="Y3725" s="93" t="s">
        <v>68</v>
      </c>
      <c r="Z3725" s="134">
        <f>VLOOKUP(W3725,Sheet2!$B:$D,3,FALSE)</f>
        <v>25</v>
      </c>
      <c r="AA3725" s="93">
        <v>1</v>
      </c>
      <c r="AB3725" s="93">
        <f>AD3725/AC3723</f>
        <v>25</v>
      </c>
      <c r="AC3725" s="93">
        <f>AC3723/AA3725</f>
        <v>30.064349999999962</v>
      </c>
      <c r="AD3725" s="94">
        <f>AC3725*Z3725</f>
        <v>751.60874999999908</v>
      </c>
      <c r="AE3725" s="190"/>
      <c r="AF3725" s="191"/>
      <c r="AG3725" s="191"/>
      <c r="AH3725" s="191"/>
      <c r="AI3725" s="186"/>
      <c r="AK3725" s="171"/>
    </row>
    <row r="3726" spans="1:37" s="102" customFormat="1" ht="19.899999999999999" customHeight="1" x14ac:dyDescent="0.25">
      <c r="A3726" s="45"/>
      <c r="B3726" s="59"/>
      <c r="C3726" s="137"/>
      <c r="D3726" s="59"/>
      <c r="E3726" s="116"/>
      <c r="F3726" s="120"/>
      <c r="G3726" s="120"/>
      <c r="H3726" s="120"/>
      <c r="I3726" s="60"/>
      <c r="J3726" s="116"/>
      <c r="K3726" s="213"/>
      <c r="L3726" s="120"/>
      <c r="M3726" s="120"/>
      <c r="N3726" s="167"/>
      <c r="O3726" s="120"/>
      <c r="P3726" s="120"/>
      <c r="Q3726" s="120"/>
      <c r="R3726" s="120"/>
      <c r="S3726" s="120"/>
      <c r="T3726" s="221"/>
      <c r="U3726" s="89"/>
      <c r="V3726" s="61"/>
      <c r="W3726" s="92" t="s">
        <v>1072</v>
      </c>
      <c r="X3726" s="93" t="s">
        <v>32</v>
      </c>
      <c r="Y3726" s="93" t="s">
        <v>68</v>
      </c>
      <c r="Z3726" s="134">
        <f>VLOOKUP(W3726,Sheet2!$B:$D,3,FALSE)</f>
        <v>55</v>
      </c>
      <c r="AA3726" s="93">
        <v>1</v>
      </c>
      <c r="AB3726" s="93">
        <f>AD3726/AC3723</f>
        <v>55</v>
      </c>
      <c r="AC3726" s="93">
        <f>AC3723/AA3726</f>
        <v>30.064349999999962</v>
      </c>
      <c r="AD3726" s="94">
        <f>AC3726*Z3726</f>
        <v>1653.539249999998</v>
      </c>
      <c r="AE3726" s="190"/>
      <c r="AF3726" s="191"/>
      <c r="AG3726" s="191"/>
      <c r="AH3726" s="191"/>
      <c r="AI3726" s="186"/>
      <c r="AK3726" s="171"/>
    </row>
    <row r="3727" spans="1:37" s="102" customFormat="1" ht="19.899999999999999" customHeight="1" x14ac:dyDescent="0.25">
      <c r="A3727" s="45"/>
      <c r="B3727" s="59"/>
      <c r="C3727" s="137"/>
      <c r="D3727" s="59"/>
      <c r="E3727" s="116"/>
      <c r="F3727" s="120"/>
      <c r="G3727" s="120"/>
      <c r="H3727" s="120"/>
      <c r="I3727" s="60"/>
      <c r="J3727" s="116"/>
      <c r="K3727" s="213"/>
      <c r="L3727" s="120"/>
      <c r="M3727" s="120"/>
      <c r="N3727" s="167"/>
      <c r="O3727" s="120"/>
      <c r="P3727" s="120"/>
      <c r="Q3727" s="120"/>
      <c r="R3727" s="120"/>
      <c r="S3727" s="120"/>
      <c r="T3727" s="221"/>
      <c r="U3727" s="89"/>
      <c r="V3727" s="61"/>
      <c r="W3727" s="92" t="s">
        <v>1032</v>
      </c>
      <c r="X3727" s="93" t="s">
        <v>30</v>
      </c>
      <c r="Y3727" s="93" t="s">
        <v>66</v>
      </c>
      <c r="Z3727" s="134">
        <f>VLOOKUP(W3727,Sheet2!$B:$D,3,FALSE)</f>
        <v>250</v>
      </c>
      <c r="AA3727" s="93">
        <f>1/(1.5*0.1)</f>
        <v>6.6666666666666661</v>
      </c>
      <c r="AB3727" s="93">
        <f>AD3727/AC3723</f>
        <v>37.5</v>
      </c>
      <c r="AC3727" s="93">
        <f>AC3723/AA3727</f>
        <v>4.5096524999999943</v>
      </c>
      <c r="AD3727" s="94">
        <f>AC3727*Z3727</f>
        <v>1127.4131249999987</v>
      </c>
      <c r="AE3727" s="190"/>
      <c r="AF3727" s="191"/>
      <c r="AG3727" s="191"/>
      <c r="AH3727" s="191"/>
      <c r="AI3727" s="186"/>
      <c r="AK3727" s="171"/>
    </row>
    <row r="3728" spans="1:37" s="102" customFormat="1" ht="19.899999999999999" customHeight="1" x14ac:dyDescent="0.25">
      <c r="A3728" s="45"/>
      <c r="B3728" s="59"/>
      <c r="C3728" s="137"/>
      <c r="D3728" s="59"/>
      <c r="E3728" s="116"/>
      <c r="F3728" s="120"/>
      <c r="G3728" s="120"/>
      <c r="H3728" s="120"/>
      <c r="I3728" s="60"/>
      <c r="J3728" s="116"/>
      <c r="K3728" s="213"/>
      <c r="L3728" s="120"/>
      <c r="M3728" s="120"/>
      <c r="N3728" s="167"/>
      <c r="O3728" s="120"/>
      <c r="P3728" s="120"/>
      <c r="Q3728" s="120"/>
      <c r="R3728" s="120"/>
      <c r="S3728" s="120"/>
      <c r="T3728" s="221"/>
      <c r="U3728" s="89"/>
      <c r="V3728" s="61"/>
      <c r="W3728" s="92" t="s">
        <v>1035</v>
      </c>
      <c r="X3728" s="93" t="s">
        <v>32</v>
      </c>
      <c r="Y3728" s="93" t="s">
        <v>66</v>
      </c>
      <c r="Z3728" s="134">
        <f>VLOOKUP(W3728,Sheet2!$B:$D,3,FALSE)</f>
        <v>150</v>
      </c>
      <c r="AA3728" s="93">
        <f>AA3727</f>
        <v>6.6666666666666661</v>
      </c>
      <c r="AB3728" s="93">
        <f>AD3728/AC3723</f>
        <v>22.5</v>
      </c>
      <c r="AC3728" s="93">
        <f>AC3723/AA3728</f>
        <v>4.5096524999999943</v>
      </c>
      <c r="AD3728" s="94">
        <f t="shared" ref="AD3728:AD3729" si="2790">AC3728*Z3728</f>
        <v>676.44787499999916</v>
      </c>
      <c r="AE3728" s="190"/>
      <c r="AF3728" s="191"/>
      <c r="AG3728" s="191"/>
      <c r="AH3728" s="191"/>
      <c r="AI3728" s="186"/>
      <c r="AK3728" s="171"/>
    </row>
    <row r="3729" spans="1:41" s="102" customFormat="1" ht="19.899999999999999" customHeight="1" x14ac:dyDescent="0.25">
      <c r="A3729" s="45"/>
      <c r="B3729" s="59"/>
      <c r="C3729" s="137"/>
      <c r="D3729" s="59"/>
      <c r="E3729" s="116"/>
      <c r="F3729" s="120"/>
      <c r="G3729" s="120"/>
      <c r="H3729" s="120"/>
      <c r="I3729" s="60"/>
      <c r="J3729" s="116"/>
      <c r="K3729" s="213"/>
      <c r="L3729" s="120"/>
      <c r="M3729" s="120"/>
      <c r="N3729" s="167"/>
      <c r="O3729" s="120"/>
      <c r="P3729" s="120"/>
      <c r="Q3729" s="120"/>
      <c r="R3729" s="120"/>
      <c r="S3729" s="120"/>
      <c r="T3729" s="221"/>
      <c r="U3729" s="89"/>
      <c r="V3729" s="61"/>
      <c r="W3729" s="92" t="s">
        <v>1037</v>
      </c>
      <c r="X3729" s="93" t="s">
        <v>30</v>
      </c>
      <c r="Y3729" s="93" t="s">
        <v>1038</v>
      </c>
      <c r="Z3729" s="134">
        <f>VLOOKUP(W3729,Sheet2!$B:$D,3,FALSE)</f>
        <v>175</v>
      </c>
      <c r="AA3729" s="93">
        <v>300</v>
      </c>
      <c r="AB3729" s="93">
        <f>AD3729/AC3723</f>
        <v>0.58333333333333337</v>
      </c>
      <c r="AC3729" s="93">
        <f>AC3723/AA3729</f>
        <v>0.10021449999999987</v>
      </c>
      <c r="AD3729" s="94">
        <f t="shared" si="2790"/>
        <v>17.537537499999978</v>
      </c>
      <c r="AE3729" s="190"/>
      <c r="AF3729" s="191"/>
      <c r="AG3729" s="191"/>
      <c r="AH3729" s="191"/>
      <c r="AI3729" s="186"/>
      <c r="AK3729" s="171"/>
    </row>
    <row r="3730" spans="1:41" s="103" customFormat="1" ht="19.899999999999999" customHeight="1" x14ac:dyDescent="0.25">
      <c r="A3730" s="51"/>
      <c r="B3730" s="52"/>
      <c r="C3730" s="165"/>
      <c r="D3730" s="52"/>
      <c r="E3730" s="115"/>
      <c r="F3730" s="58"/>
      <c r="G3730" s="58"/>
      <c r="H3730" s="58"/>
      <c r="I3730" s="55"/>
      <c r="J3730" s="113">
        <f>J3712</f>
        <v>30.064349999999962</v>
      </c>
      <c r="K3730" s="212">
        <f>K3712</f>
        <v>30.064349999999962</v>
      </c>
      <c r="L3730" s="58"/>
      <c r="M3730" s="58">
        <f>K3730-L3730</f>
        <v>30.064349999999962</v>
      </c>
      <c r="N3730" s="166"/>
      <c r="O3730" s="58"/>
      <c r="P3730" s="58"/>
      <c r="Q3730" s="58"/>
      <c r="R3730" s="58"/>
      <c r="S3730" s="58"/>
      <c r="T3730" s="220"/>
      <c r="U3730" s="88"/>
      <c r="V3730" s="56"/>
      <c r="W3730" s="57" t="s">
        <v>1040</v>
      </c>
      <c r="X3730" s="53"/>
      <c r="Y3730" s="91" t="s">
        <v>68</v>
      </c>
      <c r="Z3730" s="136">
        <f>AD3730/AC3730</f>
        <v>5</v>
      </c>
      <c r="AA3730" s="58"/>
      <c r="AB3730" s="53">
        <f>AD3730/AC3730</f>
        <v>5</v>
      </c>
      <c r="AC3730" s="53">
        <f>M3730+$AE$10</f>
        <v>30.064349999999962</v>
      </c>
      <c r="AD3730" s="54">
        <f>SUM(AD3731)</f>
        <v>150.32174999999981</v>
      </c>
      <c r="AE3730" s="184">
        <f>SUMIFS($AD$37:$AD$12971,$V$37:$V$12971,$V3730,$X$37:$X$12971,AE$13)</f>
        <v>0</v>
      </c>
      <c r="AF3730" s="185">
        <f>SUMIFS($AD$37:$AD$12971,$V$37:$V$12971,$V3730,$X$37:$X$12971,AF$13)</f>
        <v>0</v>
      </c>
      <c r="AG3730" s="185">
        <f>SUMIFS($AD$37:$AD$12971,$V$37:$V$12971,$V3730,$X$37:$X$12971,AG$13)</f>
        <v>0</v>
      </c>
      <c r="AH3730" s="187">
        <f>SUMIFS($AD$37:$AD$12971,$V$37:$V$12971,$V3730,$X$37:$X$12971,AH$13)</f>
        <v>0</v>
      </c>
      <c r="AI3730" s="161">
        <f t="shared" ref="AI3730" si="2791">SUM(AE3730:AH3730)</f>
        <v>0</v>
      </c>
      <c r="AK3730" s="172"/>
    </row>
    <row r="3731" spans="1:41" s="102" customFormat="1" ht="19.899999999999999" customHeight="1" x14ac:dyDescent="0.25">
      <c r="A3731" s="45"/>
      <c r="B3731" s="59"/>
      <c r="C3731" s="137"/>
      <c r="D3731" s="59"/>
      <c r="E3731" s="116"/>
      <c r="F3731" s="120"/>
      <c r="G3731" s="120"/>
      <c r="H3731" s="120"/>
      <c r="I3731" s="60"/>
      <c r="J3731" s="116"/>
      <c r="K3731" s="213"/>
      <c r="L3731" s="120"/>
      <c r="M3731" s="120"/>
      <c r="N3731" s="167"/>
      <c r="O3731" s="120"/>
      <c r="P3731" s="120"/>
      <c r="Q3731" s="120"/>
      <c r="R3731" s="120"/>
      <c r="S3731" s="120"/>
      <c r="T3731" s="221"/>
      <c r="U3731" s="89"/>
      <c r="V3731" s="61"/>
      <c r="W3731" s="92" t="s">
        <v>1039</v>
      </c>
      <c r="X3731" s="93" t="s">
        <v>32</v>
      </c>
      <c r="Y3731" s="93" t="s">
        <v>68</v>
      </c>
      <c r="Z3731" s="134">
        <f>VLOOKUP(W3731,Sheet2!$B:$D,3,FALSE)</f>
        <v>5</v>
      </c>
      <c r="AA3731" s="93">
        <v>1</v>
      </c>
      <c r="AB3731" s="93">
        <f>AD3731/AC3730</f>
        <v>5</v>
      </c>
      <c r="AC3731" s="93">
        <f>AC3730/AA3731</f>
        <v>30.064349999999962</v>
      </c>
      <c r="AD3731" s="94">
        <f t="shared" ref="AD3731" si="2792">AC3731*Z3731</f>
        <v>150.32174999999981</v>
      </c>
      <c r="AE3731" s="190"/>
      <c r="AF3731" s="191"/>
      <c r="AG3731" s="191"/>
      <c r="AH3731" s="191"/>
      <c r="AI3731" s="186"/>
      <c r="AK3731" s="171"/>
    </row>
    <row r="3732" spans="1:41" ht="20.100000000000001" customHeight="1" x14ac:dyDescent="0.25">
      <c r="A3732" s="277" t="s">
        <v>491</v>
      </c>
      <c r="B3732" s="278"/>
      <c r="C3732" s="64" t="s">
        <v>498</v>
      </c>
      <c r="D3732" s="46" t="s">
        <v>97</v>
      </c>
      <c r="E3732" s="114"/>
      <c r="F3732" s="44"/>
      <c r="G3732" s="44">
        <f t="shared" si="2434"/>
        <v>0</v>
      </c>
      <c r="H3732" s="44">
        <f t="shared" si="2435"/>
        <v>0</v>
      </c>
      <c r="I3732" s="43">
        <f t="shared" si="2436"/>
        <v>0</v>
      </c>
      <c r="J3732" s="112">
        <f t="shared" si="2437"/>
        <v>0</v>
      </c>
      <c r="K3732" s="211">
        <f t="shared" si="2438"/>
        <v>0</v>
      </c>
      <c r="L3732" s="44"/>
      <c r="M3732" s="44">
        <f t="shared" si="2458"/>
        <v>0</v>
      </c>
      <c r="N3732" s="173">
        <f t="shared" si="2439"/>
        <v>0</v>
      </c>
      <c r="O3732" s="44">
        <f t="shared" si="2440"/>
        <v>0</v>
      </c>
      <c r="P3732" s="44">
        <f t="shared" si="2441"/>
        <v>0</v>
      </c>
      <c r="Q3732" s="44">
        <f t="shared" si="2442"/>
        <v>0</v>
      </c>
      <c r="R3732" s="44">
        <f t="shared" si="2459"/>
        <v>0</v>
      </c>
      <c r="S3732" s="123"/>
      <c r="T3732" s="219">
        <f t="shared" si="2460"/>
        <v>0</v>
      </c>
      <c r="U3732" s="87"/>
      <c r="V3732" s="47"/>
      <c r="W3732" s="48"/>
      <c r="X3732" s="48"/>
      <c r="Y3732" s="48"/>
      <c r="Z3732" s="135"/>
      <c r="AA3732" s="49"/>
      <c r="AB3732" s="50">
        <f t="shared" si="2443"/>
        <v>0</v>
      </c>
      <c r="AC3732" s="42">
        <f t="shared" si="2461"/>
        <v>9.9999999999999998E-20</v>
      </c>
      <c r="AD3732" s="90"/>
      <c r="AE3732" s="188"/>
      <c r="AF3732" s="189"/>
      <c r="AG3732" s="189"/>
      <c r="AH3732" s="189"/>
      <c r="AI3732" s="161"/>
    </row>
    <row r="3733" spans="1:41" ht="20.100000000000001" customHeight="1" x14ac:dyDescent="0.25">
      <c r="A3733" s="277" t="s">
        <v>491</v>
      </c>
      <c r="B3733" s="278"/>
      <c r="C3733" s="64" t="s">
        <v>499</v>
      </c>
      <c r="D3733" s="46" t="s">
        <v>97</v>
      </c>
      <c r="E3733" s="114"/>
      <c r="F3733" s="44"/>
      <c r="G3733" s="44">
        <f t="shared" si="2434"/>
        <v>0</v>
      </c>
      <c r="H3733" s="44">
        <f t="shared" si="2435"/>
        <v>0</v>
      </c>
      <c r="I3733" s="43">
        <f t="shared" si="2436"/>
        <v>0</v>
      </c>
      <c r="J3733" s="112">
        <f t="shared" si="2437"/>
        <v>0</v>
      </c>
      <c r="K3733" s="211">
        <f t="shared" si="2438"/>
        <v>0</v>
      </c>
      <c r="L3733" s="44"/>
      <c r="M3733" s="44">
        <f t="shared" si="2458"/>
        <v>0</v>
      </c>
      <c r="N3733" s="173">
        <f t="shared" si="2439"/>
        <v>0</v>
      </c>
      <c r="O3733" s="44">
        <f t="shared" si="2440"/>
        <v>0</v>
      </c>
      <c r="P3733" s="44">
        <f t="shared" si="2441"/>
        <v>0</v>
      </c>
      <c r="Q3733" s="44">
        <f t="shared" si="2442"/>
        <v>0</v>
      </c>
      <c r="R3733" s="44">
        <f t="shared" si="2459"/>
        <v>0</v>
      </c>
      <c r="S3733" s="123"/>
      <c r="T3733" s="219">
        <f t="shared" si="2460"/>
        <v>0</v>
      </c>
      <c r="U3733" s="87"/>
      <c r="V3733" s="47"/>
      <c r="W3733" s="48"/>
      <c r="X3733" s="48"/>
      <c r="Y3733" s="48"/>
      <c r="Z3733" s="135"/>
      <c r="AA3733" s="49"/>
      <c r="AB3733" s="50">
        <f t="shared" si="2443"/>
        <v>0</v>
      </c>
      <c r="AC3733" s="42">
        <f t="shared" si="2461"/>
        <v>9.9999999999999998E-20</v>
      </c>
      <c r="AD3733" s="90"/>
      <c r="AE3733" s="188"/>
      <c r="AF3733" s="189"/>
      <c r="AG3733" s="189"/>
      <c r="AH3733" s="189"/>
      <c r="AI3733" s="161"/>
    </row>
    <row r="3734" spans="1:41" ht="20.100000000000001" customHeight="1" x14ac:dyDescent="0.25">
      <c r="A3734" s="277" t="s">
        <v>491</v>
      </c>
      <c r="B3734" s="278"/>
      <c r="C3734" s="64" t="s">
        <v>500</v>
      </c>
      <c r="D3734" s="46" t="s">
        <v>97</v>
      </c>
      <c r="E3734" s="114"/>
      <c r="F3734" s="44"/>
      <c r="G3734" s="44">
        <f t="shared" si="2434"/>
        <v>0</v>
      </c>
      <c r="H3734" s="44">
        <f t="shared" si="2435"/>
        <v>0</v>
      </c>
      <c r="I3734" s="43">
        <f t="shared" si="2436"/>
        <v>0</v>
      </c>
      <c r="J3734" s="112">
        <f t="shared" si="2437"/>
        <v>0</v>
      </c>
      <c r="K3734" s="211">
        <f t="shared" si="2438"/>
        <v>0</v>
      </c>
      <c r="L3734" s="44"/>
      <c r="M3734" s="44">
        <f t="shared" si="2458"/>
        <v>0</v>
      </c>
      <c r="N3734" s="173">
        <f t="shared" si="2439"/>
        <v>0</v>
      </c>
      <c r="O3734" s="44">
        <f t="shared" si="2440"/>
        <v>0</v>
      </c>
      <c r="P3734" s="44">
        <f t="shared" si="2441"/>
        <v>0</v>
      </c>
      <c r="Q3734" s="44">
        <f t="shared" si="2442"/>
        <v>0</v>
      </c>
      <c r="R3734" s="44">
        <f t="shared" si="2459"/>
        <v>0</v>
      </c>
      <c r="S3734" s="123"/>
      <c r="T3734" s="219">
        <f t="shared" si="2460"/>
        <v>0</v>
      </c>
      <c r="U3734" s="87"/>
      <c r="V3734" s="47"/>
      <c r="W3734" s="48"/>
      <c r="X3734" s="48"/>
      <c r="Y3734" s="48"/>
      <c r="Z3734" s="135"/>
      <c r="AA3734" s="49"/>
      <c r="AB3734" s="50">
        <f t="shared" si="2443"/>
        <v>0</v>
      </c>
      <c r="AC3734" s="42">
        <f t="shared" si="2461"/>
        <v>9.9999999999999998E-20</v>
      </c>
      <c r="AD3734" s="90"/>
      <c r="AE3734" s="188"/>
      <c r="AF3734" s="189"/>
      <c r="AG3734" s="189"/>
      <c r="AH3734" s="189"/>
      <c r="AI3734" s="161"/>
    </row>
    <row r="3735" spans="1:41" ht="20.100000000000001" customHeight="1" x14ac:dyDescent="0.25">
      <c r="A3735" s="277" t="s">
        <v>491</v>
      </c>
      <c r="B3735" s="278"/>
      <c r="C3735" s="64" t="s">
        <v>501</v>
      </c>
      <c r="D3735" s="46" t="s">
        <v>97</v>
      </c>
      <c r="E3735" s="114"/>
      <c r="F3735" s="44"/>
      <c r="G3735" s="44">
        <f t="shared" si="2434"/>
        <v>0</v>
      </c>
      <c r="H3735" s="44">
        <f t="shared" si="2435"/>
        <v>0</v>
      </c>
      <c r="I3735" s="43">
        <f t="shared" si="2436"/>
        <v>0</v>
      </c>
      <c r="J3735" s="112">
        <f t="shared" si="2437"/>
        <v>0</v>
      </c>
      <c r="K3735" s="211">
        <f t="shared" si="2438"/>
        <v>0</v>
      </c>
      <c r="L3735" s="44"/>
      <c r="M3735" s="44">
        <f t="shared" si="2458"/>
        <v>0</v>
      </c>
      <c r="N3735" s="173">
        <f t="shared" si="2439"/>
        <v>0</v>
      </c>
      <c r="O3735" s="44">
        <f t="shared" si="2440"/>
        <v>0</v>
      </c>
      <c r="P3735" s="44">
        <f t="shared" si="2441"/>
        <v>0</v>
      </c>
      <c r="Q3735" s="44">
        <f t="shared" si="2442"/>
        <v>0</v>
      </c>
      <c r="R3735" s="44">
        <f t="shared" si="2459"/>
        <v>0</v>
      </c>
      <c r="S3735" s="123"/>
      <c r="T3735" s="219">
        <f t="shared" si="2460"/>
        <v>0</v>
      </c>
      <c r="U3735" s="87"/>
      <c r="V3735" s="47"/>
      <c r="W3735" s="48"/>
      <c r="X3735" s="48"/>
      <c r="Y3735" s="48"/>
      <c r="Z3735" s="135"/>
      <c r="AA3735" s="49"/>
      <c r="AB3735" s="50">
        <f t="shared" si="2443"/>
        <v>0</v>
      </c>
      <c r="AC3735" s="42">
        <f t="shared" si="2461"/>
        <v>9.9999999999999998E-20</v>
      </c>
      <c r="AD3735" s="90"/>
      <c r="AE3735" s="188"/>
      <c r="AF3735" s="189"/>
      <c r="AG3735" s="189"/>
      <c r="AH3735" s="189"/>
      <c r="AI3735" s="161"/>
    </row>
    <row r="3736" spans="1:41" ht="20.100000000000001" customHeight="1" x14ac:dyDescent="0.25">
      <c r="A3736" s="277" t="s">
        <v>491</v>
      </c>
      <c r="B3736" s="278"/>
      <c r="C3736" s="308" t="s">
        <v>1178</v>
      </c>
      <c r="D3736" s="46"/>
      <c r="E3736" s="114"/>
      <c r="F3736" s="44"/>
      <c r="G3736" s="44">
        <f t="shared" si="2434"/>
        <v>0</v>
      </c>
      <c r="H3736" s="44">
        <f t="shared" si="2435"/>
        <v>0</v>
      </c>
      <c r="I3736" s="43">
        <f t="shared" si="2436"/>
        <v>0</v>
      </c>
      <c r="J3736" s="112">
        <f t="shared" si="2437"/>
        <v>0</v>
      </c>
      <c r="K3736" s="211">
        <f t="shared" si="2438"/>
        <v>0</v>
      </c>
      <c r="L3736" s="44"/>
      <c r="M3736" s="44">
        <f t="shared" si="2458"/>
        <v>0</v>
      </c>
      <c r="N3736" s="173">
        <f t="shared" si="2439"/>
        <v>0</v>
      </c>
      <c r="O3736" s="44">
        <f t="shared" si="2440"/>
        <v>0</v>
      </c>
      <c r="P3736" s="44">
        <f t="shared" si="2441"/>
        <v>0</v>
      </c>
      <c r="Q3736" s="44">
        <f t="shared" si="2442"/>
        <v>0</v>
      </c>
      <c r="R3736" s="44">
        <f t="shared" si="2459"/>
        <v>0</v>
      </c>
      <c r="S3736" s="123"/>
      <c r="T3736" s="219">
        <f t="shared" si="2460"/>
        <v>0</v>
      </c>
      <c r="U3736" s="87"/>
      <c r="V3736" s="47"/>
      <c r="W3736" s="48"/>
      <c r="X3736" s="48"/>
      <c r="Y3736" s="48"/>
      <c r="Z3736" s="135"/>
      <c r="AA3736" s="49"/>
      <c r="AB3736" s="50">
        <f t="shared" si="2443"/>
        <v>0</v>
      </c>
      <c r="AC3736" s="42">
        <f t="shared" si="2461"/>
        <v>9.9999999999999998E-20</v>
      </c>
      <c r="AD3736" s="90"/>
      <c r="AE3736" s="188"/>
      <c r="AF3736" s="189"/>
      <c r="AG3736" s="189"/>
      <c r="AH3736" s="189"/>
      <c r="AI3736" s="161"/>
    </row>
    <row r="3737" spans="1:41" ht="20.100000000000001" customHeight="1" x14ac:dyDescent="0.25">
      <c r="A3737" s="277" t="s">
        <v>491</v>
      </c>
      <c r="B3737" s="278"/>
      <c r="C3737" s="64" t="s">
        <v>492</v>
      </c>
      <c r="D3737" s="46" t="s">
        <v>97</v>
      </c>
      <c r="E3737" s="114">
        <v>1.3035499999999978</v>
      </c>
      <c r="F3737" s="44">
        <v>474</v>
      </c>
      <c r="G3737" s="44">
        <f t="shared" si="2434"/>
        <v>617.88269999999898</v>
      </c>
      <c r="H3737" s="44">
        <f t="shared" si="2435"/>
        <v>464.11880941176474</v>
      </c>
      <c r="I3737" s="43">
        <f t="shared" si="2436"/>
        <v>605.00207400870488</v>
      </c>
      <c r="J3737" s="112">
        <f t="shared" si="2437"/>
        <v>1.3035499999999978</v>
      </c>
      <c r="K3737" s="211">
        <f t="shared" si="2438"/>
        <v>1.3035499999999978</v>
      </c>
      <c r="L3737" s="44"/>
      <c r="M3737" s="44">
        <f t="shared" si="2458"/>
        <v>1.3035499999999978</v>
      </c>
      <c r="N3737" s="173">
        <f t="shared" si="2439"/>
        <v>1</v>
      </c>
      <c r="O3737" s="44">
        <f t="shared" si="2440"/>
        <v>474</v>
      </c>
      <c r="P3737" s="44">
        <f t="shared" si="2441"/>
        <v>617.88269999999898</v>
      </c>
      <c r="Q3737" s="44">
        <f t="shared" si="2442"/>
        <v>464.11880941176474</v>
      </c>
      <c r="R3737" s="44">
        <f t="shared" si="2459"/>
        <v>605.00207400870488</v>
      </c>
      <c r="S3737" s="123"/>
      <c r="T3737" s="219">
        <f t="shared" si="2460"/>
        <v>605.00207400870488</v>
      </c>
      <c r="U3737" s="87"/>
      <c r="V3737" s="47"/>
      <c r="W3737" s="48"/>
      <c r="X3737" s="48"/>
      <c r="Y3737" s="48"/>
      <c r="Z3737" s="135"/>
      <c r="AA3737" s="49"/>
      <c r="AB3737" s="50">
        <f t="shared" si="2443"/>
        <v>464.11880941176474</v>
      </c>
      <c r="AC3737" s="42">
        <f t="shared" si="2461"/>
        <v>1.3035499999999978</v>
      </c>
      <c r="AD3737" s="90">
        <f>AD3738+AD3747+AD3754</f>
        <v>605.00207400870488</v>
      </c>
      <c r="AE3737" s="188">
        <f t="shared" ref="AE3737:AH3737" si="2793">AE3738+AE3747+AE3754</f>
        <v>0</v>
      </c>
      <c r="AF3737" s="189">
        <f t="shared" si="2793"/>
        <v>0</v>
      </c>
      <c r="AG3737" s="189">
        <f t="shared" si="2793"/>
        <v>0</v>
      </c>
      <c r="AH3737" s="189">
        <f t="shared" si="2793"/>
        <v>0</v>
      </c>
      <c r="AI3737" s="161">
        <f t="shared" ref="AI3737:AI3756" si="2794">SUM(AE3737:AH3737)</f>
        <v>0</v>
      </c>
      <c r="AK3737" s="169">
        <v>5</v>
      </c>
      <c r="AO3737" s="19" t="s">
        <v>63</v>
      </c>
    </row>
    <row r="3738" spans="1:41" s="103" customFormat="1" ht="19.899999999999999" customHeight="1" x14ac:dyDescent="0.25">
      <c r="A3738" s="51"/>
      <c r="B3738" s="52"/>
      <c r="C3738" s="165"/>
      <c r="D3738" s="52"/>
      <c r="E3738" s="115"/>
      <c r="F3738" s="58"/>
      <c r="G3738" s="58"/>
      <c r="H3738" s="58"/>
      <c r="I3738" s="55"/>
      <c r="J3738" s="113">
        <f>J3737</f>
        <v>1.3035499999999978</v>
      </c>
      <c r="K3738" s="212">
        <f>K3737</f>
        <v>1.3035499999999978</v>
      </c>
      <c r="L3738" s="58"/>
      <c r="M3738" s="58">
        <f>K3738-L3738</f>
        <v>1.3035499999999978</v>
      </c>
      <c r="N3738" s="166"/>
      <c r="O3738" s="58"/>
      <c r="P3738" s="58"/>
      <c r="Q3738" s="58"/>
      <c r="R3738" s="58"/>
      <c r="S3738" s="58"/>
      <c r="T3738" s="220"/>
      <c r="U3738" s="88"/>
      <c r="V3738" s="56"/>
      <c r="W3738" s="57" t="s">
        <v>1085</v>
      </c>
      <c r="X3738" s="53"/>
      <c r="Y3738" s="91" t="s">
        <v>68</v>
      </c>
      <c r="Z3738" s="136">
        <f>AD3738/AC3738</f>
        <v>15.535476078431373</v>
      </c>
      <c r="AA3738" s="58"/>
      <c r="AB3738" s="53">
        <f>AD3738/AC3738</f>
        <v>15.535476078431373</v>
      </c>
      <c r="AC3738" s="53">
        <f>M3738+$AE$10</f>
        <v>1.3035499999999978</v>
      </c>
      <c r="AD3738" s="54">
        <f>SUM(AD3739:AD3746)</f>
        <v>20.251269842039182</v>
      </c>
      <c r="AE3738" s="184">
        <f>SUMIFS($AD$37:$AD$12971,$V$37:$V$12971,$V3738,$X$37:$X$12971,AE$13)</f>
        <v>0</v>
      </c>
      <c r="AF3738" s="185">
        <f>SUMIFS($AD$37:$AD$12971,$V$37:$V$12971,$V3738,$X$37:$X$12971,AF$13)</f>
        <v>0</v>
      </c>
      <c r="AG3738" s="185">
        <f>SUMIFS($AD$37:$AD$12971,$V$37:$V$12971,$V3738,$X$37:$X$12971,AG$13)</f>
        <v>0</v>
      </c>
      <c r="AH3738" s="187">
        <f>SUMIFS($AD$37:$AD$12971,$V$37:$V$12971,$V3738,$X$37:$X$12971,AH$13)</f>
        <v>0</v>
      </c>
      <c r="AI3738" s="161">
        <f t="shared" ref="AI3738" si="2795">SUM(AE3738:AH3738)</f>
        <v>0</v>
      </c>
      <c r="AK3738" s="172"/>
    </row>
    <row r="3739" spans="1:41" s="102" customFormat="1" ht="19.899999999999999" customHeight="1" x14ac:dyDescent="0.25">
      <c r="A3739" s="45"/>
      <c r="B3739" s="59"/>
      <c r="C3739" s="137"/>
      <c r="D3739" s="59"/>
      <c r="E3739" s="116"/>
      <c r="F3739" s="120"/>
      <c r="G3739" s="120"/>
      <c r="H3739" s="120"/>
      <c r="I3739" s="60"/>
      <c r="J3739" s="116"/>
      <c r="K3739" s="213"/>
      <c r="L3739" s="120"/>
      <c r="M3739" s="120"/>
      <c r="N3739" s="167"/>
      <c r="O3739" s="120"/>
      <c r="P3739" s="120"/>
      <c r="Q3739" s="120"/>
      <c r="R3739" s="120"/>
      <c r="S3739" s="120"/>
      <c r="T3739" s="221"/>
      <c r="U3739" s="89"/>
      <c r="V3739" s="61"/>
      <c r="W3739" s="92" t="s">
        <v>129</v>
      </c>
      <c r="X3739" s="93" t="s">
        <v>29</v>
      </c>
      <c r="Y3739" s="93" t="s">
        <v>93</v>
      </c>
      <c r="Z3739" s="134">
        <f>VLOOKUP(W3739,Sheet2!$B:$D,3,FALSE)</f>
        <v>56</v>
      </c>
      <c r="AA3739" s="93">
        <f>100/(1.6*2)</f>
        <v>31.25</v>
      </c>
      <c r="AB3739" s="93">
        <f t="shared" ref="AB3739" si="2796">AD3739/AC3738</f>
        <v>1.792</v>
      </c>
      <c r="AC3739" s="93">
        <f>AC3738/AA3739</f>
        <v>4.1713599999999927E-2</v>
      </c>
      <c r="AD3739" s="94">
        <f t="shared" ref="AD3739:AD3740" si="2797">AC3739*Z3739</f>
        <v>2.3359615999999961</v>
      </c>
      <c r="AE3739" s="190"/>
      <c r="AF3739" s="191"/>
      <c r="AG3739" s="191"/>
      <c r="AH3739" s="191"/>
      <c r="AI3739" s="186"/>
      <c r="AK3739" s="171"/>
    </row>
    <row r="3740" spans="1:41" s="102" customFormat="1" ht="19.899999999999999" customHeight="1" x14ac:dyDescent="0.25">
      <c r="A3740" s="45"/>
      <c r="B3740" s="59"/>
      <c r="C3740" s="137"/>
      <c r="D3740" s="59"/>
      <c r="E3740" s="116"/>
      <c r="F3740" s="120"/>
      <c r="G3740" s="120"/>
      <c r="H3740" s="120"/>
      <c r="I3740" s="60"/>
      <c r="J3740" s="116"/>
      <c r="K3740" s="213"/>
      <c r="L3740" s="120"/>
      <c r="M3740" s="120"/>
      <c r="N3740" s="167"/>
      <c r="O3740" s="120"/>
      <c r="P3740" s="120"/>
      <c r="Q3740" s="120"/>
      <c r="R3740" s="120"/>
      <c r="S3740" s="120"/>
      <c r="T3740" s="221"/>
      <c r="U3740" s="89"/>
      <c r="V3740" s="61"/>
      <c r="W3740" s="92" t="s">
        <v>65</v>
      </c>
      <c r="X3740" s="93" t="s">
        <v>30</v>
      </c>
      <c r="Y3740" s="93" t="s">
        <v>1011</v>
      </c>
      <c r="Z3740" s="134">
        <f>VLOOKUP(W3740,Sheet2!$B:$D,3,FALSE)</f>
        <v>1.76</v>
      </c>
      <c r="AA3740" s="93">
        <f>AA3739/14</f>
        <v>2.2321428571428572</v>
      </c>
      <c r="AB3740" s="93">
        <f>AD3740/AC3738</f>
        <v>0.78848000000000007</v>
      </c>
      <c r="AC3740" s="93">
        <f>AC3738/AA3740</f>
        <v>0.58399039999999902</v>
      </c>
      <c r="AD3740" s="94">
        <f t="shared" si="2797"/>
        <v>1.0278231039999983</v>
      </c>
      <c r="AE3740" s="190"/>
      <c r="AF3740" s="191"/>
      <c r="AG3740" s="191"/>
      <c r="AH3740" s="191"/>
      <c r="AI3740" s="186"/>
      <c r="AK3740" s="171"/>
    </row>
    <row r="3741" spans="1:41" s="102" customFormat="1" ht="19.899999999999999" customHeight="1" x14ac:dyDescent="0.25">
      <c r="A3741" s="45"/>
      <c r="B3741" s="59"/>
      <c r="C3741" s="137"/>
      <c r="D3741" s="59"/>
      <c r="E3741" s="116"/>
      <c r="F3741" s="120"/>
      <c r="G3741" s="120"/>
      <c r="H3741" s="120"/>
      <c r="I3741" s="60"/>
      <c r="J3741" s="116"/>
      <c r="K3741" s="213"/>
      <c r="L3741" s="120"/>
      <c r="M3741" s="120"/>
      <c r="N3741" s="167"/>
      <c r="O3741" s="120"/>
      <c r="P3741" s="120"/>
      <c r="Q3741" s="120"/>
      <c r="R3741" s="120"/>
      <c r="S3741" s="120"/>
      <c r="T3741" s="221"/>
      <c r="U3741" s="89"/>
      <c r="V3741" s="61"/>
      <c r="W3741" s="92" t="s">
        <v>161</v>
      </c>
      <c r="X3741" s="93" t="s">
        <v>29</v>
      </c>
      <c r="Y3741" s="93" t="s">
        <v>93</v>
      </c>
      <c r="Z3741" s="134">
        <f>VLOOKUP(W3741,Sheet2!$B:$D,3,FALSE)</f>
        <v>48</v>
      </c>
      <c r="AA3741" s="93">
        <f>(16*0.85*1.5)/(1.6*2)</f>
        <v>6.3749999999999991</v>
      </c>
      <c r="AB3741" s="93">
        <f>AD3741/AC3738</f>
        <v>7.5294117647058831</v>
      </c>
      <c r="AC3741" s="93">
        <f>AC3738/AA3741</f>
        <v>0.2044784313725487</v>
      </c>
      <c r="AD3741" s="94">
        <f>AC3741*Z3741</f>
        <v>9.8149647058823373</v>
      </c>
      <c r="AE3741" s="190"/>
      <c r="AF3741" s="191"/>
      <c r="AG3741" s="191"/>
      <c r="AH3741" s="191"/>
      <c r="AI3741" s="186"/>
      <c r="AK3741" s="171"/>
    </row>
    <row r="3742" spans="1:41" s="102" customFormat="1" ht="19.899999999999999" customHeight="1" x14ac:dyDescent="0.25">
      <c r="A3742" s="45"/>
      <c r="B3742" s="59"/>
      <c r="C3742" s="137"/>
      <c r="D3742" s="59"/>
      <c r="E3742" s="116"/>
      <c r="F3742" s="120"/>
      <c r="G3742" s="120"/>
      <c r="H3742" s="120"/>
      <c r="I3742" s="60"/>
      <c r="J3742" s="116"/>
      <c r="K3742" s="213"/>
      <c r="L3742" s="120"/>
      <c r="M3742" s="120"/>
      <c r="N3742" s="167"/>
      <c r="O3742" s="120"/>
      <c r="P3742" s="120"/>
      <c r="Q3742" s="120"/>
      <c r="R3742" s="120"/>
      <c r="S3742" s="120"/>
      <c r="T3742" s="221"/>
      <c r="U3742" s="89"/>
      <c r="V3742" s="61"/>
      <c r="W3742" s="92" t="s">
        <v>65</v>
      </c>
      <c r="X3742" s="93" t="s">
        <v>30</v>
      </c>
      <c r="Y3742" s="93" t="s">
        <v>1011</v>
      </c>
      <c r="Z3742" s="134">
        <f>VLOOKUP(W3742,Sheet2!$B:$D,3,FALSE)</f>
        <v>1.76</v>
      </c>
      <c r="AA3742" s="93">
        <f>AA3741/10</f>
        <v>0.63749999999999996</v>
      </c>
      <c r="AB3742" s="93">
        <f>AD3742/AC3738</f>
        <v>2.7607843137254902</v>
      </c>
      <c r="AC3742" s="93">
        <f>AC3738/AA3742</f>
        <v>2.0447843137254869</v>
      </c>
      <c r="AD3742" s="94">
        <f>AC3742*Z3742</f>
        <v>3.5988203921568567</v>
      </c>
      <c r="AE3742" s="190"/>
      <c r="AF3742" s="191"/>
      <c r="AG3742" s="191"/>
      <c r="AH3742" s="191"/>
      <c r="AI3742" s="186"/>
      <c r="AK3742" s="171"/>
    </row>
    <row r="3743" spans="1:41" s="102" customFormat="1" ht="19.899999999999999" customHeight="1" x14ac:dyDescent="0.25">
      <c r="A3743" s="45"/>
      <c r="B3743" s="59"/>
      <c r="C3743" s="137"/>
      <c r="D3743" s="59"/>
      <c r="E3743" s="116"/>
      <c r="F3743" s="120"/>
      <c r="G3743" s="120"/>
      <c r="H3743" s="120"/>
      <c r="I3743" s="60"/>
      <c r="J3743" s="116"/>
      <c r="K3743" s="213"/>
      <c r="L3743" s="120"/>
      <c r="M3743" s="120"/>
      <c r="N3743" s="167"/>
      <c r="O3743" s="120"/>
      <c r="P3743" s="120"/>
      <c r="Q3743" s="120"/>
      <c r="R3743" s="120"/>
      <c r="S3743" s="120"/>
      <c r="T3743" s="221"/>
      <c r="U3743" s="89"/>
      <c r="V3743" s="61"/>
      <c r="W3743" s="92" t="s">
        <v>1030</v>
      </c>
      <c r="X3743" s="93" t="s">
        <v>29</v>
      </c>
      <c r="Y3743" s="93" t="s">
        <v>93</v>
      </c>
      <c r="Z3743" s="134">
        <f>VLOOKUP(W3743,Sheet2!$B:$D,3,FALSE)</f>
        <v>23</v>
      </c>
      <c r="AA3743" s="93">
        <v>50</v>
      </c>
      <c r="AB3743" s="93">
        <f>AD3743/AC3738</f>
        <v>0.46</v>
      </c>
      <c r="AC3743" s="93">
        <f>AC3738/AA3743</f>
        <v>2.6070999999999955E-2</v>
      </c>
      <c r="AD3743" s="94">
        <f t="shared" ref="AD3743:AD3746" si="2798">AC3743*Z3743</f>
        <v>0.59963299999999897</v>
      </c>
      <c r="AE3743" s="190"/>
      <c r="AF3743" s="191"/>
      <c r="AG3743" s="191"/>
      <c r="AH3743" s="191"/>
      <c r="AI3743" s="186"/>
      <c r="AK3743" s="171"/>
    </row>
    <row r="3744" spans="1:41" s="102" customFormat="1" ht="19.899999999999999" customHeight="1" x14ac:dyDescent="0.25">
      <c r="A3744" s="45"/>
      <c r="B3744" s="59"/>
      <c r="C3744" s="137"/>
      <c r="D3744" s="59"/>
      <c r="E3744" s="116"/>
      <c r="F3744" s="120"/>
      <c r="G3744" s="120"/>
      <c r="H3744" s="120"/>
      <c r="I3744" s="60"/>
      <c r="J3744" s="116"/>
      <c r="K3744" s="213"/>
      <c r="L3744" s="120"/>
      <c r="M3744" s="120"/>
      <c r="N3744" s="167"/>
      <c r="O3744" s="120"/>
      <c r="P3744" s="120"/>
      <c r="Q3744" s="120"/>
      <c r="R3744" s="120"/>
      <c r="S3744" s="120"/>
      <c r="T3744" s="221"/>
      <c r="U3744" s="89"/>
      <c r="V3744" s="61"/>
      <c r="W3744" s="92" t="s">
        <v>65</v>
      </c>
      <c r="X3744" s="93" t="s">
        <v>30</v>
      </c>
      <c r="Y3744" s="93" t="s">
        <v>1011</v>
      </c>
      <c r="Z3744" s="134">
        <f>VLOOKUP(W3744,Sheet2!$B:$D,3,FALSE)</f>
        <v>1.76</v>
      </c>
      <c r="AA3744" s="93">
        <f>AA3743/3</f>
        <v>16.666666666666668</v>
      </c>
      <c r="AB3744" s="93">
        <f>AD3744/AC3738</f>
        <v>0.1056</v>
      </c>
      <c r="AC3744" s="93">
        <f>AC3738/AA3744</f>
        <v>7.8212999999999866E-2</v>
      </c>
      <c r="AD3744" s="94">
        <f t="shared" si="2798"/>
        <v>0.13765487999999976</v>
      </c>
      <c r="AE3744" s="190"/>
      <c r="AF3744" s="191"/>
      <c r="AG3744" s="191"/>
      <c r="AH3744" s="191"/>
      <c r="AI3744" s="186"/>
      <c r="AK3744" s="171"/>
    </row>
    <row r="3745" spans="1:41" s="102" customFormat="1" ht="19.899999999999999" customHeight="1" x14ac:dyDescent="0.25">
      <c r="A3745" s="45"/>
      <c r="B3745" s="59"/>
      <c r="C3745" s="137"/>
      <c r="D3745" s="59"/>
      <c r="E3745" s="116"/>
      <c r="F3745" s="120"/>
      <c r="G3745" s="120"/>
      <c r="H3745" s="120"/>
      <c r="I3745" s="60"/>
      <c r="J3745" s="116"/>
      <c r="K3745" s="213"/>
      <c r="L3745" s="120"/>
      <c r="M3745" s="120"/>
      <c r="N3745" s="167"/>
      <c r="O3745" s="120"/>
      <c r="P3745" s="120"/>
      <c r="Q3745" s="120"/>
      <c r="R3745" s="120"/>
      <c r="S3745" s="120"/>
      <c r="T3745" s="221"/>
      <c r="U3745" s="89"/>
      <c r="V3745" s="61"/>
      <c r="W3745" s="92" t="s">
        <v>148</v>
      </c>
      <c r="X3745" s="93" t="s">
        <v>29</v>
      </c>
      <c r="Y3745" s="93" t="s">
        <v>93</v>
      </c>
      <c r="Z3745" s="134">
        <f>VLOOKUP(W3745,Sheet2!$B:$D,3,FALSE)</f>
        <v>48</v>
      </c>
      <c r="AA3745" s="93">
        <f>AA3739</f>
        <v>31.25</v>
      </c>
      <c r="AB3745" s="93">
        <f>AD3745/AC3738</f>
        <v>1.5359999999999998</v>
      </c>
      <c r="AC3745" s="93">
        <f>AC3738/AA3745</f>
        <v>4.1713599999999927E-2</v>
      </c>
      <c r="AD3745" s="94">
        <f t="shared" si="2798"/>
        <v>2.0022527999999964</v>
      </c>
      <c r="AE3745" s="190"/>
      <c r="AF3745" s="191"/>
      <c r="AG3745" s="191"/>
      <c r="AH3745" s="191"/>
      <c r="AI3745" s="186"/>
      <c r="AK3745" s="171"/>
    </row>
    <row r="3746" spans="1:41" s="102" customFormat="1" ht="19.899999999999999" customHeight="1" x14ac:dyDescent="0.25">
      <c r="A3746" s="45"/>
      <c r="B3746" s="59"/>
      <c r="C3746" s="137"/>
      <c r="D3746" s="59"/>
      <c r="E3746" s="116"/>
      <c r="F3746" s="120"/>
      <c r="G3746" s="120"/>
      <c r="H3746" s="120"/>
      <c r="I3746" s="60"/>
      <c r="J3746" s="116"/>
      <c r="K3746" s="213"/>
      <c r="L3746" s="120"/>
      <c r="M3746" s="120"/>
      <c r="N3746" s="167"/>
      <c r="O3746" s="120"/>
      <c r="P3746" s="120"/>
      <c r="Q3746" s="120"/>
      <c r="R3746" s="120"/>
      <c r="S3746" s="120"/>
      <c r="T3746" s="221"/>
      <c r="U3746" s="89"/>
      <c r="V3746" s="61"/>
      <c r="W3746" s="92" t="s">
        <v>65</v>
      </c>
      <c r="X3746" s="93" t="s">
        <v>30</v>
      </c>
      <c r="Y3746" s="93" t="s">
        <v>1011</v>
      </c>
      <c r="Z3746" s="134">
        <f>VLOOKUP(W3746,Sheet2!$B:$D,3,FALSE)</f>
        <v>1.76</v>
      </c>
      <c r="AA3746" s="93">
        <f>AA3745/10</f>
        <v>3.125</v>
      </c>
      <c r="AB3746" s="93">
        <f>AD3746/AC3738</f>
        <v>0.56319999999999992</v>
      </c>
      <c r="AC3746" s="93">
        <f>AC3738/AA3746</f>
        <v>0.41713599999999929</v>
      </c>
      <c r="AD3746" s="94">
        <f t="shared" si="2798"/>
        <v>0.73415935999999871</v>
      </c>
      <c r="AE3746" s="190"/>
      <c r="AF3746" s="191"/>
      <c r="AG3746" s="191"/>
      <c r="AH3746" s="191"/>
      <c r="AI3746" s="186"/>
      <c r="AK3746" s="171"/>
    </row>
    <row r="3747" spans="1:41" s="103" customFormat="1" ht="19.899999999999999" customHeight="1" x14ac:dyDescent="0.25">
      <c r="A3747" s="51"/>
      <c r="B3747" s="52"/>
      <c r="C3747" s="165"/>
      <c r="D3747" s="52"/>
      <c r="E3747" s="115"/>
      <c r="F3747" s="58"/>
      <c r="G3747" s="58"/>
      <c r="H3747" s="58"/>
      <c r="I3747" s="55"/>
      <c r="J3747" s="113">
        <f>J3737</f>
        <v>1.3035499999999978</v>
      </c>
      <c r="K3747" s="212">
        <f>K3737</f>
        <v>1.3035499999999978</v>
      </c>
      <c r="L3747" s="58"/>
      <c r="M3747" s="58">
        <f>K3747-L3747</f>
        <v>1.3035499999999978</v>
      </c>
      <c r="N3747" s="166"/>
      <c r="O3747" s="58"/>
      <c r="P3747" s="58"/>
      <c r="Q3747" s="58"/>
      <c r="R3747" s="58"/>
      <c r="S3747" s="58"/>
      <c r="T3747" s="220"/>
      <c r="U3747" s="88"/>
      <c r="V3747" s="56"/>
      <c r="W3747" s="57" t="s">
        <v>1036</v>
      </c>
      <c r="X3747" s="53"/>
      <c r="Y3747" s="91" t="s">
        <v>68</v>
      </c>
      <c r="Z3747" s="136">
        <f>AD3747/AC3747</f>
        <v>443.58333333333337</v>
      </c>
      <c r="AA3747" s="58"/>
      <c r="AB3747" s="53">
        <f>AD3747/AC3747</f>
        <v>443.58333333333337</v>
      </c>
      <c r="AC3747" s="53">
        <f>M3747+$AE$10</f>
        <v>1.3035499999999978</v>
      </c>
      <c r="AD3747" s="54">
        <f>SUM(AD3748:AD3753)</f>
        <v>578.23305416666574</v>
      </c>
      <c r="AE3747" s="184">
        <f>SUMIFS($AD$37:$AD$12971,$V$37:$V$12971,$V3747,$X$37:$X$12971,AE$13)</f>
        <v>0</v>
      </c>
      <c r="AF3747" s="185">
        <f>SUMIFS($AD$37:$AD$12971,$V$37:$V$12971,$V3747,$X$37:$X$12971,AF$13)</f>
        <v>0</v>
      </c>
      <c r="AG3747" s="185">
        <f>SUMIFS($AD$37:$AD$12971,$V$37:$V$12971,$V3747,$X$37:$X$12971,AG$13)</f>
        <v>0</v>
      </c>
      <c r="AH3747" s="187">
        <f>SUMIFS($AD$37:$AD$12971,$V$37:$V$12971,$V3747,$X$37:$X$12971,AH$13)</f>
        <v>0</v>
      </c>
      <c r="AI3747" s="161">
        <f t="shared" ref="AI3747" si="2799">SUM(AE3747:AH3747)</f>
        <v>0</v>
      </c>
      <c r="AK3747" s="172"/>
    </row>
    <row r="3748" spans="1:41" s="102" customFormat="1" ht="19.899999999999999" customHeight="1" x14ac:dyDescent="0.25">
      <c r="A3748" s="45"/>
      <c r="B3748" s="59"/>
      <c r="C3748" s="137"/>
      <c r="D3748" s="59"/>
      <c r="E3748" s="116"/>
      <c r="F3748" s="120"/>
      <c r="G3748" s="120"/>
      <c r="H3748" s="120"/>
      <c r="I3748" s="60"/>
      <c r="J3748" s="116"/>
      <c r="K3748" s="213"/>
      <c r="L3748" s="120"/>
      <c r="M3748" s="120"/>
      <c r="N3748" s="167"/>
      <c r="O3748" s="120"/>
      <c r="P3748" s="120"/>
      <c r="Q3748" s="120"/>
      <c r="R3748" s="120"/>
      <c r="S3748" s="120"/>
      <c r="T3748" s="221"/>
      <c r="U3748" s="89"/>
      <c r="V3748" s="61"/>
      <c r="W3748" s="92" t="s">
        <v>1058</v>
      </c>
      <c r="X3748" s="93" t="s">
        <v>30</v>
      </c>
      <c r="Y3748" s="93" t="s">
        <v>68</v>
      </c>
      <c r="Z3748" s="134">
        <f>VLOOKUP(W3748,Sheet2!$B:$D,3,FALSE)</f>
        <v>290</v>
      </c>
      <c r="AA3748" s="93">
        <v>1</v>
      </c>
      <c r="AB3748" s="93">
        <f>AD3748/AC3747</f>
        <v>290</v>
      </c>
      <c r="AC3748" s="93">
        <f>AC3747/AA3748</f>
        <v>1.3035499999999978</v>
      </c>
      <c r="AD3748" s="94">
        <f t="shared" ref="AD3748" si="2800">AC3748*Z3748</f>
        <v>378.02949999999936</v>
      </c>
      <c r="AE3748" s="190"/>
      <c r="AF3748" s="191"/>
      <c r="AG3748" s="191"/>
      <c r="AH3748" s="191"/>
      <c r="AI3748" s="186"/>
      <c r="AK3748" s="171"/>
    </row>
    <row r="3749" spans="1:41" s="102" customFormat="1" ht="19.899999999999999" customHeight="1" x14ac:dyDescent="0.25">
      <c r="A3749" s="45"/>
      <c r="B3749" s="59"/>
      <c r="C3749" s="137"/>
      <c r="D3749" s="59"/>
      <c r="E3749" s="116"/>
      <c r="F3749" s="120"/>
      <c r="G3749" s="120"/>
      <c r="H3749" s="120"/>
      <c r="I3749" s="60"/>
      <c r="J3749" s="116"/>
      <c r="K3749" s="213"/>
      <c r="L3749" s="120"/>
      <c r="M3749" s="120"/>
      <c r="N3749" s="167"/>
      <c r="O3749" s="120"/>
      <c r="P3749" s="120"/>
      <c r="Q3749" s="120"/>
      <c r="R3749" s="120"/>
      <c r="S3749" s="120"/>
      <c r="T3749" s="221"/>
      <c r="U3749" s="89"/>
      <c r="V3749" s="61"/>
      <c r="W3749" s="92" t="s">
        <v>1065</v>
      </c>
      <c r="X3749" s="93" t="s">
        <v>30</v>
      </c>
      <c r="Y3749" s="93" t="s">
        <v>68</v>
      </c>
      <c r="Z3749" s="134">
        <f>VLOOKUP(W3749,Sheet2!$B:$D,3,FALSE)</f>
        <v>29</v>
      </c>
      <c r="AA3749" s="93">
        <v>1</v>
      </c>
      <c r="AB3749" s="93">
        <f>AD3749/AC3747</f>
        <v>29.000000000000004</v>
      </c>
      <c r="AC3749" s="93">
        <f>AC3747/AA3749</f>
        <v>1.3035499999999978</v>
      </c>
      <c r="AD3749" s="94">
        <f>AC3749*Z3749</f>
        <v>37.802949999999939</v>
      </c>
      <c r="AE3749" s="190"/>
      <c r="AF3749" s="191"/>
      <c r="AG3749" s="191"/>
      <c r="AH3749" s="191"/>
      <c r="AI3749" s="186"/>
      <c r="AK3749" s="171"/>
    </row>
    <row r="3750" spans="1:41" s="102" customFormat="1" ht="19.899999999999999" customHeight="1" x14ac:dyDescent="0.25">
      <c r="A3750" s="45"/>
      <c r="B3750" s="59"/>
      <c r="C3750" s="137"/>
      <c r="D3750" s="59"/>
      <c r="E3750" s="116"/>
      <c r="F3750" s="120"/>
      <c r="G3750" s="120"/>
      <c r="H3750" s="120"/>
      <c r="I3750" s="60"/>
      <c r="J3750" s="116"/>
      <c r="K3750" s="213"/>
      <c r="L3750" s="120"/>
      <c r="M3750" s="120"/>
      <c r="N3750" s="167"/>
      <c r="O3750" s="120"/>
      <c r="P3750" s="120"/>
      <c r="Q3750" s="120"/>
      <c r="R3750" s="120"/>
      <c r="S3750" s="120"/>
      <c r="T3750" s="221"/>
      <c r="U3750" s="89"/>
      <c r="V3750" s="61"/>
      <c r="W3750" s="92" t="s">
        <v>1068</v>
      </c>
      <c r="X3750" s="93" t="s">
        <v>32</v>
      </c>
      <c r="Y3750" s="93" t="s">
        <v>68</v>
      </c>
      <c r="Z3750" s="134">
        <f>VLOOKUP(W3750,Sheet2!$B:$D,3,FALSE)</f>
        <v>60</v>
      </c>
      <c r="AA3750" s="93">
        <v>1</v>
      </c>
      <c r="AB3750" s="93">
        <f>AD3750/AC3747</f>
        <v>60</v>
      </c>
      <c r="AC3750" s="93">
        <f>AC3747/AA3750</f>
        <v>1.3035499999999978</v>
      </c>
      <c r="AD3750" s="94">
        <f>AC3750*Z3750</f>
        <v>78.212999999999866</v>
      </c>
      <c r="AE3750" s="190"/>
      <c r="AF3750" s="191"/>
      <c r="AG3750" s="191"/>
      <c r="AH3750" s="191"/>
      <c r="AI3750" s="186"/>
      <c r="AK3750" s="171"/>
    </row>
    <row r="3751" spans="1:41" s="102" customFormat="1" ht="19.899999999999999" customHeight="1" x14ac:dyDescent="0.25">
      <c r="A3751" s="45"/>
      <c r="B3751" s="59"/>
      <c r="C3751" s="137"/>
      <c r="D3751" s="59"/>
      <c r="E3751" s="116"/>
      <c r="F3751" s="120"/>
      <c r="G3751" s="120"/>
      <c r="H3751" s="120"/>
      <c r="I3751" s="60"/>
      <c r="J3751" s="116"/>
      <c r="K3751" s="213"/>
      <c r="L3751" s="120"/>
      <c r="M3751" s="120"/>
      <c r="N3751" s="167"/>
      <c r="O3751" s="120"/>
      <c r="P3751" s="120"/>
      <c r="Q3751" s="120"/>
      <c r="R3751" s="120"/>
      <c r="S3751" s="120"/>
      <c r="T3751" s="221"/>
      <c r="U3751" s="89"/>
      <c r="V3751" s="61"/>
      <c r="W3751" s="92" t="s">
        <v>1032</v>
      </c>
      <c r="X3751" s="93" t="s">
        <v>30</v>
      </c>
      <c r="Y3751" s="93" t="s">
        <v>66</v>
      </c>
      <c r="Z3751" s="134">
        <f>VLOOKUP(W3751,Sheet2!$B:$D,3,FALSE)</f>
        <v>250</v>
      </c>
      <c r="AA3751" s="93">
        <f>1/(1.6*0.1)</f>
        <v>6.2499999999999991</v>
      </c>
      <c r="AB3751" s="93">
        <f>AD3751/AC3747</f>
        <v>40.000000000000007</v>
      </c>
      <c r="AC3751" s="93">
        <f>AC3747/AA3751</f>
        <v>0.20856799999999967</v>
      </c>
      <c r="AD3751" s="94">
        <f>AC3751*Z3751</f>
        <v>52.141999999999918</v>
      </c>
      <c r="AE3751" s="190"/>
      <c r="AF3751" s="191"/>
      <c r="AG3751" s="191"/>
      <c r="AH3751" s="191"/>
      <c r="AI3751" s="186"/>
      <c r="AK3751" s="171"/>
    </row>
    <row r="3752" spans="1:41" s="102" customFormat="1" ht="19.899999999999999" customHeight="1" x14ac:dyDescent="0.25">
      <c r="A3752" s="45"/>
      <c r="B3752" s="59"/>
      <c r="C3752" s="137"/>
      <c r="D3752" s="59"/>
      <c r="E3752" s="116"/>
      <c r="F3752" s="120"/>
      <c r="G3752" s="120"/>
      <c r="H3752" s="120"/>
      <c r="I3752" s="60"/>
      <c r="J3752" s="116"/>
      <c r="K3752" s="213"/>
      <c r="L3752" s="120"/>
      <c r="M3752" s="120"/>
      <c r="N3752" s="167"/>
      <c r="O3752" s="120"/>
      <c r="P3752" s="120"/>
      <c r="Q3752" s="120"/>
      <c r="R3752" s="120"/>
      <c r="S3752" s="120"/>
      <c r="T3752" s="221"/>
      <c r="U3752" s="89"/>
      <c r="V3752" s="61"/>
      <c r="W3752" s="92" t="s">
        <v>1035</v>
      </c>
      <c r="X3752" s="93" t="s">
        <v>32</v>
      </c>
      <c r="Y3752" s="93" t="s">
        <v>66</v>
      </c>
      <c r="Z3752" s="134">
        <f>VLOOKUP(W3752,Sheet2!$B:$D,3,FALSE)</f>
        <v>150</v>
      </c>
      <c r="AA3752" s="93">
        <f>AA3751</f>
        <v>6.2499999999999991</v>
      </c>
      <c r="AB3752" s="93">
        <f>AD3752/AC3747</f>
        <v>24.000000000000004</v>
      </c>
      <c r="AC3752" s="93">
        <f>AC3747/AA3752</f>
        <v>0.20856799999999967</v>
      </c>
      <c r="AD3752" s="94">
        <f t="shared" ref="AD3752:AD3753" si="2801">AC3752*Z3752</f>
        <v>31.28519999999995</v>
      </c>
      <c r="AE3752" s="190"/>
      <c r="AF3752" s="191"/>
      <c r="AG3752" s="191"/>
      <c r="AH3752" s="191"/>
      <c r="AI3752" s="186"/>
      <c r="AK3752" s="171"/>
    </row>
    <row r="3753" spans="1:41" s="102" customFormat="1" ht="19.899999999999999" customHeight="1" x14ac:dyDescent="0.25">
      <c r="A3753" s="45"/>
      <c r="B3753" s="59"/>
      <c r="C3753" s="137"/>
      <c r="D3753" s="59"/>
      <c r="E3753" s="116"/>
      <c r="F3753" s="120"/>
      <c r="G3753" s="120"/>
      <c r="H3753" s="120"/>
      <c r="I3753" s="60"/>
      <c r="J3753" s="116"/>
      <c r="K3753" s="213"/>
      <c r="L3753" s="120"/>
      <c r="M3753" s="120"/>
      <c r="N3753" s="167"/>
      <c r="O3753" s="120"/>
      <c r="P3753" s="120"/>
      <c r="Q3753" s="120"/>
      <c r="R3753" s="120"/>
      <c r="S3753" s="120"/>
      <c r="T3753" s="221"/>
      <c r="U3753" s="89"/>
      <c r="V3753" s="61"/>
      <c r="W3753" s="92" t="s">
        <v>1037</v>
      </c>
      <c r="X3753" s="93" t="s">
        <v>30</v>
      </c>
      <c r="Y3753" s="93" t="s">
        <v>1038</v>
      </c>
      <c r="Z3753" s="134">
        <f>VLOOKUP(W3753,Sheet2!$B:$D,3,FALSE)</f>
        <v>175</v>
      </c>
      <c r="AA3753" s="93">
        <v>300</v>
      </c>
      <c r="AB3753" s="93">
        <f>AD3753/AC3747</f>
        <v>0.58333333333333337</v>
      </c>
      <c r="AC3753" s="93">
        <f>AC3747/AA3753</f>
        <v>4.3451666666666595E-3</v>
      </c>
      <c r="AD3753" s="94">
        <f t="shared" si="2801"/>
        <v>0.76040416666666544</v>
      </c>
      <c r="AE3753" s="190"/>
      <c r="AF3753" s="191"/>
      <c r="AG3753" s="191"/>
      <c r="AH3753" s="191"/>
      <c r="AI3753" s="186"/>
      <c r="AK3753" s="171"/>
    </row>
    <row r="3754" spans="1:41" s="103" customFormat="1" ht="19.899999999999999" customHeight="1" x14ac:dyDescent="0.25">
      <c r="A3754" s="51"/>
      <c r="B3754" s="52"/>
      <c r="C3754" s="165"/>
      <c r="D3754" s="52"/>
      <c r="E3754" s="115"/>
      <c r="F3754" s="58"/>
      <c r="G3754" s="58"/>
      <c r="H3754" s="58"/>
      <c r="I3754" s="55"/>
      <c r="J3754" s="113">
        <f>J3737</f>
        <v>1.3035499999999978</v>
      </c>
      <c r="K3754" s="212">
        <f>K3737</f>
        <v>1.3035499999999978</v>
      </c>
      <c r="L3754" s="58"/>
      <c r="M3754" s="58">
        <f>K3754-L3754</f>
        <v>1.3035499999999978</v>
      </c>
      <c r="N3754" s="166"/>
      <c r="O3754" s="58"/>
      <c r="P3754" s="58"/>
      <c r="Q3754" s="58"/>
      <c r="R3754" s="58"/>
      <c r="S3754" s="58"/>
      <c r="T3754" s="220"/>
      <c r="U3754" s="88"/>
      <c r="V3754" s="56"/>
      <c r="W3754" s="57" t="s">
        <v>1040</v>
      </c>
      <c r="X3754" s="53"/>
      <c r="Y3754" s="91" t="s">
        <v>68</v>
      </c>
      <c r="Z3754" s="136">
        <f>AD3754/AC3754</f>
        <v>5</v>
      </c>
      <c r="AA3754" s="58"/>
      <c r="AB3754" s="53">
        <f>AD3754/AC3754</f>
        <v>5</v>
      </c>
      <c r="AC3754" s="53">
        <f>M3754+$AE$10</f>
        <v>1.3035499999999978</v>
      </c>
      <c r="AD3754" s="54">
        <f>SUM(AD3755)</f>
        <v>6.5177499999999888</v>
      </c>
      <c r="AE3754" s="184">
        <f>SUMIFS($AD$37:$AD$12971,$V$37:$V$12971,$V3754,$X$37:$X$12971,AE$13)</f>
        <v>0</v>
      </c>
      <c r="AF3754" s="185">
        <f>SUMIFS($AD$37:$AD$12971,$V$37:$V$12971,$V3754,$X$37:$X$12971,AF$13)</f>
        <v>0</v>
      </c>
      <c r="AG3754" s="185">
        <f>SUMIFS($AD$37:$AD$12971,$V$37:$V$12971,$V3754,$X$37:$X$12971,AG$13)</f>
        <v>0</v>
      </c>
      <c r="AH3754" s="187">
        <f>SUMIFS($AD$37:$AD$12971,$V$37:$V$12971,$V3754,$X$37:$X$12971,AH$13)</f>
        <v>0</v>
      </c>
      <c r="AI3754" s="161">
        <f t="shared" ref="AI3754" si="2802">SUM(AE3754:AH3754)</f>
        <v>0</v>
      </c>
      <c r="AK3754" s="172"/>
    </row>
    <row r="3755" spans="1:41" s="102" customFormat="1" ht="19.899999999999999" customHeight="1" x14ac:dyDescent="0.25">
      <c r="A3755" s="45"/>
      <c r="B3755" s="59"/>
      <c r="C3755" s="137"/>
      <c r="D3755" s="59"/>
      <c r="E3755" s="116"/>
      <c r="F3755" s="120"/>
      <c r="G3755" s="120"/>
      <c r="H3755" s="120"/>
      <c r="I3755" s="60"/>
      <c r="J3755" s="116"/>
      <c r="K3755" s="213"/>
      <c r="L3755" s="120"/>
      <c r="M3755" s="120"/>
      <c r="N3755" s="167"/>
      <c r="O3755" s="120"/>
      <c r="P3755" s="120"/>
      <c r="Q3755" s="120"/>
      <c r="R3755" s="120"/>
      <c r="S3755" s="120"/>
      <c r="T3755" s="221"/>
      <c r="U3755" s="89"/>
      <c r="V3755" s="61"/>
      <c r="W3755" s="92" t="s">
        <v>1039</v>
      </c>
      <c r="X3755" s="93" t="s">
        <v>32</v>
      </c>
      <c r="Y3755" s="93" t="s">
        <v>68</v>
      </c>
      <c r="Z3755" s="134">
        <f>VLOOKUP(W3755,Sheet2!$B:$D,3,FALSE)</f>
        <v>5</v>
      </c>
      <c r="AA3755" s="93">
        <v>1</v>
      </c>
      <c r="AB3755" s="93">
        <f>AD3755/AC3754</f>
        <v>5</v>
      </c>
      <c r="AC3755" s="93">
        <f>AC3754/AA3755</f>
        <v>1.3035499999999978</v>
      </c>
      <c r="AD3755" s="94">
        <f t="shared" ref="AD3755" si="2803">AC3755*Z3755</f>
        <v>6.5177499999999888</v>
      </c>
      <c r="AE3755" s="190"/>
      <c r="AF3755" s="191"/>
      <c r="AG3755" s="191"/>
      <c r="AH3755" s="191"/>
      <c r="AI3755" s="186"/>
      <c r="AK3755" s="171"/>
    </row>
    <row r="3756" spans="1:41" ht="20.100000000000001" customHeight="1" x14ac:dyDescent="0.25">
      <c r="A3756" s="277" t="s">
        <v>491</v>
      </c>
      <c r="B3756" s="278"/>
      <c r="C3756" s="64" t="s">
        <v>502</v>
      </c>
      <c r="D3756" s="46" t="s">
        <v>97</v>
      </c>
      <c r="E3756" s="114">
        <v>42.634349999999927</v>
      </c>
      <c r="F3756" s="44">
        <v>503</v>
      </c>
      <c r="G3756" s="44">
        <f t="shared" si="2434"/>
        <v>21445.078049999964</v>
      </c>
      <c r="H3756" s="44">
        <f t="shared" si="2435"/>
        <v>502.86127843137263</v>
      </c>
      <c r="I3756" s="43">
        <f t="shared" si="2436"/>
        <v>21439.163746090555</v>
      </c>
      <c r="J3756" s="112">
        <f t="shared" si="2437"/>
        <v>42.634349999999927</v>
      </c>
      <c r="K3756" s="211">
        <f t="shared" si="2438"/>
        <v>42.634349999999927</v>
      </c>
      <c r="L3756" s="44"/>
      <c r="M3756" s="44">
        <f t="shared" si="2458"/>
        <v>42.634349999999927</v>
      </c>
      <c r="N3756" s="173">
        <f t="shared" si="2439"/>
        <v>1</v>
      </c>
      <c r="O3756" s="44">
        <f t="shared" si="2440"/>
        <v>503</v>
      </c>
      <c r="P3756" s="44">
        <f t="shared" si="2441"/>
        <v>21445.078049999964</v>
      </c>
      <c r="Q3756" s="44">
        <f t="shared" si="2442"/>
        <v>502.86127843137263</v>
      </c>
      <c r="R3756" s="44">
        <f t="shared" si="2459"/>
        <v>21439.163746090555</v>
      </c>
      <c r="S3756" s="123"/>
      <c r="T3756" s="219">
        <f t="shared" si="2460"/>
        <v>21439.163746090555</v>
      </c>
      <c r="U3756" s="87"/>
      <c r="V3756" s="47"/>
      <c r="W3756" s="48"/>
      <c r="X3756" s="48"/>
      <c r="Y3756" s="48"/>
      <c r="Z3756" s="135"/>
      <c r="AA3756" s="49"/>
      <c r="AB3756" s="50">
        <f t="shared" si="2443"/>
        <v>502.86127843137263</v>
      </c>
      <c r="AC3756" s="42">
        <f t="shared" si="2461"/>
        <v>42.634349999999927</v>
      </c>
      <c r="AD3756" s="90">
        <f>AD3757+AD3767+AD3774</f>
        <v>21439.163746090555</v>
      </c>
      <c r="AE3756" s="188">
        <f t="shared" ref="AE3756:AH3756" si="2804">AE3757+AE3767+AE3774</f>
        <v>0</v>
      </c>
      <c r="AF3756" s="189">
        <f t="shared" si="2804"/>
        <v>0</v>
      </c>
      <c r="AG3756" s="189">
        <f t="shared" si="2804"/>
        <v>0</v>
      </c>
      <c r="AH3756" s="189">
        <f t="shared" si="2804"/>
        <v>0</v>
      </c>
      <c r="AI3756" s="161">
        <f t="shared" si="2794"/>
        <v>0</v>
      </c>
      <c r="AK3756" s="169">
        <v>5</v>
      </c>
      <c r="AO3756" s="19" t="s">
        <v>63</v>
      </c>
    </row>
    <row r="3757" spans="1:41" s="103" customFormat="1" ht="19.899999999999999" customHeight="1" x14ac:dyDescent="0.25">
      <c r="A3757" s="51"/>
      <c r="B3757" s="52"/>
      <c r="C3757" s="165"/>
      <c r="D3757" s="52"/>
      <c r="E3757" s="115"/>
      <c r="F3757" s="58"/>
      <c r="G3757" s="58"/>
      <c r="H3757" s="58"/>
      <c r="I3757" s="55"/>
      <c r="J3757" s="113">
        <f>J3756</f>
        <v>42.634349999999927</v>
      </c>
      <c r="K3757" s="212">
        <f>K3756</f>
        <v>42.634349999999927</v>
      </c>
      <c r="L3757" s="58"/>
      <c r="M3757" s="58">
        <f>K3757-L3757</f>
        <v>42.634349999999927</v>
      </c>
      <c r="N3757" s="166"/>
      <c r="O3757" s="58"/>
      <c r="P3757" s="58"/>
      <c r="Q3757" s="58"/>
      <c r="R3757" s="58"/>
      <c r="S3757" s="58"/>
      <c r="T3757" s="220"/>
      <c r="U3757" s="88"/>
      <c r="V3757" s="56"/>
      <c r="W3757" s="57" t="s">
        <v>1084</v>
      </c>
      <c r="X3757" s="53"/>
      <c r="Y3757" s="91" t="s">
        <v>68</v>
      </c>
      <c r="Z3757" s="136">
        <f>AD3757/AC3757</f>
        <v>54.277945098039218</v>
      </c>
      <c r="AA3757" s="58"/>
      <c r="AB3757" s="53">
        <f>AD3757/AC3757</f>
        <v>54.277945098039218</v>
      </c>
      <c r="AC3757" s="53">
        <f>M3757+$AE$10</f>
        <v>42.634349999999927</v>
      </c>
      <c r="AD3757" s="54">
        <f>SUM(AD3758:AD3766)</f>
        <v>2314.1049085905843</v>
      </c>
      <c r="AE3757" s="184">
        <f>SUMIFS($AD$37:$AD$12971,$V$37:$V$12971,$V3757,$X$37:$X$12971,AE$13)</f>
        <v>0</v>
      </c>
      <c r="AF3757" s="185">
        <f>SUMIFS($AD$37:$AD$12971,$V$37:$V$12971,$V3757,$X$37:$X$12971,AF$13)</f>
        <v>0</v>
      </c>
      <c r="AG3757" s="185">
        <f>SUMIFS($AD$37:$AD$12971,$V$37:$V$12971,$V3757,$X$37:$X$12971,AG$13)</f>
        <v>0</v>
      </c>
      <c r="AH3757" s="187">
        <f>SUMIFS($AD$37:$AD$12971,$V$37:$V$12971,$V3757,$X$37:$X$12971,AH$13)</f>
        <v>0</v>
      </c>
      <c r="AI3757" s="161">
        <f t="shared" ref="AI3757" si="2805">SUM(AE3757:AH3757)</f>
        <v>0</v>
      </c>
      <c r="AK3757" s="172"/>
    </row>
    <row r="3758" spans="1:41" s="102" customFormat="1" ht="19.899999999999999" customHeight="1" x14ac:dyDescent="0.25">
      <c r="A3758" s="45"/>
      <c r="B3758" s="59"/>
      <c r="C3758" s="137"/>
      <c r="D3758" s="59"/>
      <c r="E3758" s="116"/>
      <c r="F3758" s="120"/>
      <c r="G3758" s="120"/>
      <c r="H3758" s="120"/>
      <c r="I3758" s="60"/>
      <c r="J3758" s="116"/>
      <c r="K3758" s="213"/>
      <c r="L3758" s="120"/>
      <c r="M3758" s="120"/>
      <c r="N3758" s="167"/>
      <c r="O3758" s="120"/>
      <c r="P3758" s="120"/>
      <c r="Q3758" s="120"/>
      <c r="R3758" s="120"/>
      <c r="S3758" s="120"/>
      <c r="T3758" s="221"/>
      <c r="U3758" s="89"/>
      <c r="V3758" s="61"/>
      <c r="W3758" s="92" t="s">
        <v>129</v>
      </c>
      <c r="X3758" s="93" t="s">
        <v>29</v>
      </c>
      <c r="Y3758" s="93" t="s">
        <v>93</v>
      </c>
      <c r="Z3758" s="134">
        <f>VLOOKUP(W3758,Sheet2!$B:$D,3,FALSE)</f>
        <v>56</v>
      </c>
      <c r="AA3758" s="93">
        <f>100/(1.6*2.5)</f>
        <v>25</v>
      </c>
      <c r="AB3758" s="93">
        <f t="shared" ref="AB3758" si="2806">AD3758/AC3757</f>
        <v>2.2399999999999998</v>
      </c>
      <c r="AC3758" s="93">
        <f>AC3757/AA3758</f>
        <v>1.7053739999999971</v>
      </c>
      <c r="AD3758" s="94">
        <f t="shared" ref="AD3758:AD3759" si="2807">AC3758*Z3758</f>
        <v>95.500943999999834</v>
      </c>
      <c r="AE3758" s="190"/>
      <c r="AF3758" s="191"/>
      <c r="AG3758" s="191"/>
      <c r="AH3758" s="191"/>
      <c r="AI3758" s="186"/>
      <c r="AK3758" s="171"/>
    </row>
    <row r="3759" spans="1:41" s="102" customFormat="1" ht="19.899999999999999" customHeight="1" x14ac:dyDescent="0.25">
      <c r="A3759" s="45"/>
      <c r="B3759" s="59"/>
      <c r="C3759" s="137"/>
      <c r="D3759" s="59"/>
      <c r="E3759" s="116"/>
      <c r="F3759" s="120"/>
      <c r="G3759" s="120"/>
      <c r="H3759" s="120"/>
      <c r="I3759" s="60"/>
      <c r="J3759" s="116"/>
      <c r="K3759" s="213"/>
      <c r="L3759" s="120"/>
      <c r="M3759" s="120"/>
      <c r="N3759" s="167"/>
      <c r="O3759" s="120"/>
      <c r="P3759" s="120"/>
      <c r="Q3759" s="120"/>
      <c r="R3759" s="120"/>
      <c r="S3759" s="120"/>
      <c r="T3759" s="221"/>
      <c r="U3759" s="89"/>
      <c r="V3759" s="61"/>
      <c r="W3759" s="92" t="s">
        <v>65</v>
      </c>
      <c r="X3759" s="93" t="s">
        <v>30</v>
      </c>
      <c r="Y3759" s="93" t="s">
        <v>1011</v>
      </c>
      <c r="Z3759" s="134">
        <f>VLOOKUP(W3759,Sheet2!$B:$D,3,FALSE)</f>
        <v>1.76</v>
      </c>
      <c r="AA3759" s="93">
        <f>AA3758/14</f>
        <v>1.7857142857142858</v>
      </c>
      <c r="AB3759" s="93">
        <f>AD3759/AC3757</f>
        <v>0.98560000000000003</v>
      </c>
      <c r="AC3759" s="93">
        <f>AC3757/AA3759</f>
        <v>23.875235999999958</v>
      </c>
      <c r="AD3759" s="94">
        <f t="shared" si="2807"/>
        <v>42.02041535999993</v>
      </c>
      <c r="AE3759" s="190"/>
      <c r="AF3759" s="191"/>
      <c r="AG3759" s="191"/>
      <c r="AH3759" s="191"/>
      <c r="AI3759" s="186"/>
      <c r="AK3759" s="171"/>
    </row>
    <row r="3760" spans="1:41" s="102" customFormat="1" ht="19.899999999999999" customHeight="1" x14ac:dyDescent="0.25">
      <c r="A3760" s="45"/>
      <c r="B3760" s="59"/>
      <c r="C3760" s="137"/>
      <c r="D3760" s="59"/>
      <c r="E3760" s="116"/>
      <c r="F3760" s="120"/>
      <c r="G3760" s="120"/>
      <c r="H3760" s="120"/>
      <c r="I3760" s="60"/>
      <c r="J3760" s="116"/>
      <c r="K3760" s="213"/>
      <c r="L3760" s="120"/>
      <c r="M3760" s="120"/>
      <c r="N3760" s="167"/>
      <c r="O3760" s="120"/>
      <c r="P3760" s="120"/>
      <c r="Q3760" s="120"/>
      <c r="R3760" s="120"/>
      <c r="S3760" s="120"/>
      <c r="T3760" s="221"/>
      <c r="U3760" s="89"/>
      <c r="V3760" s="61"/>
      <c r="W3760" s="92" t="s">
        <v>161</v>
      </c>
      <c r="X3760" s="93" t="s">
        <v>29</v>
      </c>
      <c r="Y3760" s="93" t="s">
        <v>93</v>
      </c>
      <c r="Z3760" s="134">
        <f>VLOOKUP(W3760,Sheet2!$B:$D,3,FALSE)</f>
        <v>48</v>
      </c>
      <c r="AA3760" s="93">
        <f>(16*0.85*1.5)/(1.6*2.5)</f>
        <v>5.0999999999999996</v>
      </c>
      <c r="AB3760" s="93">
        <f>AD3760/AC3757</f>
        <v>9.4117647058823533</v>
      </c>
      <c r="AC3760" s="93">
        <f>AC3757/AA3760</f>
        <v>8.3596764705882212</v>
      </c>
      <c r="AD3760" s="94">
        <f>AC3760*Z3760</f>
        <v>401.26447058823464</v>
      </c>
      <c r="AE3760" s="190"/>
      <c r="AF3760" s="191"/>
      <c r="AG3760" s="191"/>
      <c r="AH3760" s="191"/>
      <c r="AI3760" s="186"/>
      <c r="AK3760" s="171"/>
    </row>
    <row r="3761" spans="1:37" s="102" customFormat="1" ht="19.899999999999999" customHeight="1" x14ac:dyDescent="0.25">
      <c r="A3761" s="45"/>
      <c r="B3761" s="59"/>
      <c r="C3761" s="137"/>
      <c r="D3761" s="59"/>
      <c r="E3761" s="116"/>
      <c r="F3761" s="120"/>
      <c r="G3761" s="120"/>
      <c r="H3761" s="120"/>
      <c r="I3761" s="60"/>
      <c r="J3761" s="116"/>
      <c r="K3761" s="213"/>
      <c r="L3761" s="120"/>
      <c r="M3761" s="120"/>
      <c r="N3761" s="167"/>
      <c r="O3761" s="120"/>
      <c r="P3761" s="120"/>
      <c r="Q3761" s="120"/>
      <c r="R3761" s="120"/>
      <c r="S3761" s="120"/>
      <c r="T3761" s="221"/>
      <c r="U3761" s="89"/>
      <c r="V3761" s="61"/>
      <c r="W3761" s="92" t="s">
        <v>65</v>
      </c>
      <c r="X3761" s="93" t="s">
        <v>30</v>
      </c>
      <c r="Y3761" s="93" t="s">
        <v>1011</v>
      </c>
      <c r="Z3761" s="134">
        <f>VLOOKUP(W3761,Sheet2!$B:$D,3,FALSE)</f>
        <v>1.76</v>
      </c>
      <c r="AA3761" s="93">
        <f>AA3760/10</f>
        <v>0.51</v>
      </c>
      <c r="AB3761" s="93">
        <f>AD3761/AC3757</f>
        <v>3.4509803921568629</v>
      </c>
      <c r="AC3761" s="93">
        <f>AC3757/AA3761</f>
        <v>83.596764705882208</v>
      </c>
      <c r="AD3761" s="94">
        <f>AC3761*Z3761</f>
        <v>147.1303058823527</v>
      </c>
      <c r="AE3761" s="190"/>
      <c r="AF3761" s="191"/>
      <c r="AG3761" s="191"/>
      <c r="AH3761" s="191"/>
      <c r="AI3761" s="186"/>
      <c r="AK3761" s="171"/>
    </row>
    <row r="3762" spans="1:37" s="102" customFormat="1" ht="19.899999999999999" customHeight="1" x14ac:dyDescent="0.25">
      <c r="A3762" s="45"/>
      <c r="B3762" s="59"/>
      <c r="C3762" s="137"/>
      <c r="D3762" s="59"/>
      <c r="E3762" s="116"/>
      <c r="F3762" s="120"/>
      <c r="G3762" s="120"/>
      <c r="H3762" s="120"/>
      <c r="I3762" s="60"/>
      <c r="J3762" s="116"/>
      <c r="K3762" s="213"/>
      <c r="L3762" s="120"/>
      <c r="M3762" s="120"/>
      <c r="N3762" s="167"/>
      <c r="O3762" s="120"/>
      <c r="P3762" s="120"/>
      <c r="Q3762" s="120"/>
      <c r="R3762" s="120"/>
      <c r="S3762" s="120"/>
      <c r="T3762" s="221"/>
      <c r="U3762" s="89"/>
      <c r="V3762" s="61"/>
      <c r="W3762" s="92" t="s">
        <v>1030</v>
      </c>
      <c r="X3762" s="93" t="s">
        <v>29</v>
      </c>
      <c r="Y3762" s="93" t="s">
        <v>93</v>
      </c>
      <c r="Z3762" s="134">
        <f>VLOOKUP(W3762,Sheet2!$B:$D,3,FALSE)</f>
        <v>23</v>
      </c>
      <c r="AA3762" s="93">
        <v>50</v>
      </c>
      <c r="AB3762" s="93">
        <f>AD3762/AC3757</f>
        <v>0.46</v>
      </c>
      <c r="AC3762" s="93">
        <f>AC3757/AA3762</f>
        <v>0.85268699999999853</v>
      </c>
      <c r="AD3762" s="94">
        <f t="shared" ref="AD3762:AD3766" si="2808">AC3762*Z3762</f>
        <v>19.611800999999968</v>
      </c>
      <c r="AE3762" s="190"/>
      <c r="AF3762" s="191"/>
      <c r="AG3762" s="191"/>
      <c r="AH3762" s="191"/>
      <c r="AI3762" s="186"/>
      <c r="AK3762" s="171"/>
    </row>
    <row r="3763" spans="1:37" s="102" customFormat="1" ht="19.899999999999999" customHeight="1" x14ac:dyDescent="0.25">
      <c r="A3763" s="45"/>
      <c r="B3763" s="59"/>
      <c r="C3763" s="137"/>
      <c r="D3763" s="59"/>
      <c r="E3763" s="116"/>
      <c r="F3763" s="120"/>
      <c r="G3763" s="120"/>
      <c r="H3763" s="120"/>
      <c r="I3763" s="60"/>
      <c r="J3763" s="116"/>
      <c r="K3763" s="213"/>
      <c r="L3763" s="120"/>
      <c r="M3763" s="120"/>
      <c r="N3763" s="167"/>
      <c r="O3763" s="120"/>
      <c r="P3763" s="120"/>
      <c r="Q3763" s="120"/>
      <c r="R3763" s="120"/>
      <c r="S3763" s="120"/>
      <c r="T3763" s="221"/>
      <c r="U3763" s="89"/>
      <c r="V3763" s="61"/>
      <c r="W3763" s="92" t="s">
        <v>65</v>
      </c>
      <c r="X3763" s="93" t="s">
        <v>30</v>
      </c>
      <c r="Y3763" s="93" t="s">
        <v>1011</v>
      </c>
      <c r="Z3763" s="134">
        <f>VLOOKUP(W3763,Sheet2!$B:$D,3,FALSE)</f>
        <v>1.76</v>
      </c>
      <c r="AA3763" s="93">
        <f>AA3762/3</f>
        <v>16.666666666666668</v>
      </c>
      <c r="AB3763" s="93">
        <f>AD3763/AC3757</f>
        <v>0.10559999999999999</v>
      </c>
      <c r="AC3763" s="93">
        <f>AC3757/AA3763</f>
        <v>2.5580609999999955</v>
      </c>
      <c r="AD3763" s="94">
        <f t="shared" si="2808"/>
        <v>4.5021873599999918</v>
      </c>
      <c r="AE3763" s="190"/>
      <c r="AF3763" s="191"/>
      <c r="AG3763" s="191"/>
      <c r="AH3763" s="191"/>
      <c r="AI3763" s="186"/>
      <c r="AK3763" s="171"/>
    </row>
    <row r="3764" spans="1:37" s="102" customFormat="1" ht="19.899999999999999" customHeight="1" x14ac:dyDescent="0.25">
      <c r="A3764" s="45"/>
      <c r="B3764" s="59"/>
      <c r="C3764" s="137"/>
      <c r="D3764" s="59"/>
      <c r="E3764" s="116"/>
      <c r="F3764" s="120"/>
      <c r="G3764" s="120"/>
      <c r="H3764" s="120"/>
      <c r="I3764" s="60"/>
      <c r="J3764" s="116"/>
      <c r="K3764" s="213"/>
      <c r="L3764" s="120"/>
      <c r="M3764" s="120"/>
      <c r="N3764" s="167"/>
      <c r="O3764" s="120"/>
      <c r="P3764" s="120"/>
      <c r="Q3764" s="120"/>
      <c r="R3764" s="120"/>
      <c r="S3764" s="120"/>
      <c r="T3764" s="221"/>
      <c r="U3764" s="89"/>
      <c r="V3764" s="61"/>
      <c r="W3764" s="92" t="s">
        <v>148</v>
      </c>
      <c r="X3764" s="93" t="s">
        <v>29</v>
      </c>
      <c r="Y3764" s="93" t="s">
        <v>93</v>
      </c>
      <c r="Z3764" s="134">
        <f>VLOOKUP(W3764,Sheet2!$B:$D,3,FALSE)</f>
        <v>48</v>
      </c>
      <c r="AA3764" s="93">
        <f>AA3758</f>
        <v>25</v>
      </c>
      <c r="AB3764" s="93">
        <f>AD3764/AC3757</f>
        <v>1.92</v>
      </c>
      <c r="AC3764" s="93">
        <f>AC3757/AA3764</f>
        <v>1.7053739999999971</v>
      </c>
      <c r="AD3764" s="94">
        <f t="shared" si="2808"/>
        <v>81.857951999999855</v>
      </c>
      <c r="AE3764" s="190"/>
      <c r="AF3764" s="191"/>
      <c r="AG3764" s="191"/>
      <c r="AH3764" s="191"/>
      <c r="AI3764" s="186"/>
      <c r="AK3764" s="171"/>
    </row>
    <row r="3765" spans="1:37" s="102" customFormat="1" ht="19.899999999999999" customHeight="1" x14ac:dyDescent="0.25">
      <c r="A3765" s="45"/>
      <c r="B3765" s="59"/>
      <c r="C3765" s="137"/>
      <c r="D3765" s="59"/>
      <c r="E3765" s="116"/>
      <c r="F3765" s="120"/>
      <c r="G3765" s="120"/>
      <c r="H3765" s="120"/>
      <c r="I3765" s="60"/>
      <c r="J3765" s="116"/>
      <c r="K3765" s="213"/>
      <c r="L3765" s="120"/>
      <c r="M3765" s="120"/>
      <c r="N3765" s="167"/>
      <c r="O3765" s="120"/>
      <c r="P3765" s="120"/>
      <c r="Q3765" s="120"/>
      <c r="R3765" s="120"/>
      <c r="S3765" s="120"/>
      <c r="T3765" s="221"/>
      <c r="U3765" s="89"/>
      <c r="V3765" s="61"/>
      <c r="W3765" s="92" t="s">
        <v>65</v>
      </c>
      <c r="X3765" s="93" t="s">
        <v>30</v>
      </c>
      <c r="Y3765" s="93" t="s">
        <v>1011</v>
      </c>
      <c r="Z3765" s="134">
        <f>VLOOKUP(W3765,Sheet2!$B:$D,3,FALSE)</f>
        <v>1.76</v>
      </c>
      <c r="AA3765" s="93">
        <f>AA3764/10</f>
        <v>2.5</v>
      </c>
      <c r="AB3765" s="93">
        <f>AD3765/AC3757</f>
        <v>0.70399999999999996</v>
      </c>
      <c r="AC3765" s="93">
        <f>AC3757/AA3765</f>
        <v>17.053739999999969</v>
      </c>
      <c r="AD3765" s="94">
        <f t="shared" si="2808"/>
        <v>30.014582399999945</v>
      </c>
      <c r="AE3765" s="190"/>
      <c r="AF3765" s="191"/>
      <c r="AG3765" s="191"/>
      <c r="AH3765" s="191"/>
      <c r="AI3765" s="186"/>
      <c r="AK3765" s="171"/>
    </row>
    <row r="3766" spans="1:37" s="102" customFormat="1" ht="19.899999999999999" customHeight="1" x14ac:dyDescent="0.25">
      <c r="A3766" s="45"/>
      <c r="B3766" s="59"/>
      <c r="C3766" s="137"/>
      <c r="D3766" s="59"/>
      <c r="E3766" s="116"/>
      <c r="F3766" s="120"/>
      <c r="G3766" s="120"/>
      <c r="H3766" s="120"/>
      <c r="I3766" s="60"/>
      <c r="J3766" s="116"/>
      <c r="K3766" s="213"/>
      <c r="L3766" s="120"/>
      <c r="M3766" s="120"/>
      <c r="N3766" s="167"/>
      <c r="O3766" s="120"/>
      <c r="P3766" s="120"/>
      <c r="Q3766" s="120"/>
      <c r="R3766" s="120"/>
      <c r="S3766" s="120"/>
      <c r="T3766" s="221"/>
      <c r="U3766" s="89"/>
      <c r="V3766" s="61"/>
      <c r="W3766" s="92" t="s">
        <v>1048</v>
      </c>
      <c r="X3766" s="93" t="s">
        <v>30</v>
      </c>
      <c r="Y3766" s="93" t="s">
        <v>68</v>
      </c>
      <c r="Z3766" s="134">
        <f>VLOOKUP(W3766,Sheet2!$B:$D,3,FALSE)</f>
        <v>35</v>
      </c>
      <c r="AA3766" s="93">
        <v>1</v>
      </c>
      <c r="AB3766" s="93">
        <f>AD3766/AC3757</f>
        <v>35</v>
      </c>
      <c r="AC3766" s="93">
        <f>AC3757/AA3766</f>
        <v>42.634349999999927</v>
      </c>
      <c r="AD3766" s="94">
        <f t="shared" si="2808"/>
        <v>1492.2022499999975</v>
      </c>
      <c r="AE3766" s="190"/>
      <c r="AF3766" s="191"/>
      <c r="AG3766" s="191"/>
      <c r="AH3766" s="191"/>
      <c r="AI3766" s="186"/>
      <c r="AK3766" s="171"/>
    </row>
    <row r="3767" spans="1:37" s="103" customFormat="1" ht="19.899999999999999" customHeight="1" x14ac:dyDescent="0.25">
      <c r="A3767" s="51"/>
      <c r="B3767" s="52"/>
      <c r="C3767" s="165"/>
      <c r="D3767" s="52"/>
      <c r="E3767" s="115"/>
      <c r="F3767" s="58"/>
      <c r="G3767" s="58"/>
      <c r="H3767" s="58"/>
      <c r="I3767" s="55"/>
      <c r="J3767" s="113">
        <f>J3756</f>
        <v>42.634349999999927</v>
      </c>
      <c r="K3767" s="212">
        <f>K3756</f>
        <v>42.634349999999927</v>
      </c>
      <c r="L3767" s="58"/>
      <c r="M3767" s="58">
        <f>K3767-L3767</f>
        <v>42.634349999999927</v>
      </c>
      <c r="N3767" s="166"/>
      <c r="O3767" s="58"/>
      <c r="P3767" s="58"/>
      <c r="Q3767" s="58"/>
      <c r="R3767" s="58"/>
      <c r="S3767" s="58"/>
      <c r="T3767" s="220"/>
      <c r="U3767" s="88"/>
      <c r="V3767" s="56"/>
      <c r="W3767" s="57" t="s">
        <v>1036</v>
      </c>
      <c r="X3767" s="53"/>
      <c r="Y3767" s="91" t="s">
        <v>68</v>
      </c>
      <c r="Z3767" s="136">
        <f>AD3767/AC3767</f>
        <v>443.58333333333337</v>
      </c>
      <c r="AA3767" s="58"/>
      <c r="AB3767" s="53">
        <f>AD3767/AC3767</f>
        <v>443.58333333333337</v>
      </c>
      <c r="AC3767" s="53">
        <f>M3767+$AE$10</f>
        <v>42.634349999999927</v>
      </c>
      <c r="AD3767" s="54">
        <f>SUM(AD3768:AD3773)</f>
        <v>18911.88708749997</v>
      </c>
      <c r="AE3767" s="184">
        <f>SUMIFS($AD$37:$AD$12971,$V$37:$V$12971,$V3767,$X$37:$X$12971,AE$13)</f>
        <v>0</v>
      </c>
      <c r="AF3767" s="185">
        <f>SUMIFS($AD$37:$AD$12971,$V$37:$V$12971,$V3767,$X$37:$X$12971,AF$13)</f>
        <v>0</v>
      </c>
      <c r="AG3767" s="185">
        <f>SUMIFS($AD$37:$AD$12971,$V$37:$V$12971,$V3767,$X$37:$X$12971,AG$13)</f>
        <v>0</v>
      </c>
      <c r="AH3767" s="187">
        <f>SUMIFS($AD$37:$AD$12971,$V$37:$V$12971,$V3767,$X$37:$X$12971,AH$13)</f>
        <v>0</v>
      </c>
      <c r="AI3767" s="161">
        <f t="shared" ref="AI3767" si="2809">SUM(AE3767:AH3767)</f>
        <v>0</v>
      </c>
      <c r="AK3767" s="172"/>
    </row>
    <row r="3768" spans="1:37" s="102" customFormat="1" ht="19.899999999999999" customHeight="1" x14ac:dyDescent="0.25">
      <c r="A3768" s="45"/>
      <c r="B3768" s="59"/>
      <c r="C3768" s="137"/>
      <c r="D3768" s="59"/>
      <c r="E3768" s="116"/>
      <c r="F3768" s="120"/>
      <c r="G3768" s="120"/>
      <c r="H3768" s="120"/>
      <c r="I3768" s="60"/>
      <c r="J3768" s="116"/>
      <c r="K3768" s="213"/>
      <c r="L3768" s="120"/>
      <c r="M3768" s="120"/>
      <c r="N3768" s="167"/>
      <c r="O3768" s="120"/>
      <c r="P3768" s="120"/>
      <c r="Q3768" s="120"/>
      <c r="R3768" s="120"/>
      <c r="S3768" s="120"/>
      <c r="T3768" s="221"/>
      <c r="U3768" s="89"/>
      <c r="V3768" s="61"/>
      <c r="W3768" s="92" t="s">
        <v>1058</v>
      </c>
      <c r="X3768" s="93" t="s">
        <v>30</v>
      </c>
      <c r="Y3768" s="93" t="s">
        <v>68</v>
      </c>
      <c r="Z3768" s="134">
        <f>VLOOKUP(W3768,Sheet2!$B:$D,3,FALSE)</f>
        <v>290</v>
      </c>
      <c r="AA3768" s="93">
        <v>1</v>
      </c>
      <c r="AB3768" s="93">
        <f>AD3768/AC3767</f>
        <v>290</v>
      </c>
      <c r="AC3768" s="93">
        <f>AC3767/AA3768</f>
        <v>42.634349999999927</v>
      </c>
      <c r="AD3768" s="94">
        <f t="shared" ref="AD3768" si="2810">AC3768*Z3768</f>
        <v>12363.961499999979</v>
      </c>
      <c r="AE3768" s="190"/>
      <c r="AF3768" s="191"/>
      <c r="AG3768" s="191"/>
      <c r="AH3768" s="191"/>
      <c r="AI3768" s="186"/>
      <c r="AK3768" s="171"/>
    </row>
    <row r="3769" spans="1:37" s="102" customFormat="1" ht="19.899999999999999" customHeight="1" x14ac:dyDescent="0.25">
      <c r="A3769" s="45"/>
      <c r="B3769" s="59"/>
      <c r="C3769" s="137"/>
      <c r="D3769" s="59"/>
      <c r="E3769" s="116"/>
      <c r="F3769" s="120"/>
      <c r="G3769" s="120"/>
      <c r="H3769" s="120"/>
      <c r="I3769" s="60"/>
      <c r="J3769" s="116"/>
      <c r="K3769" s="213"/>
      <c r="L3769" s="120"/>
      <c r="M3769" s="120"/>
      <c r="N3769" s="167"/>
      <c r="O3769" s="120"/>
      <c r="P3769" s="120"/>
      <c r="Q3769" s="120"/>
      <c r="R3769" s="120"/>
      <c r="S3769" s="120"/>
      <c r="T3769" s="221"/>
      <c r="U3769" s="89"/>
      <c r="V3769" s="61"/>
      <c r="W3769" s="92" t="s">
        <v>1065</v>
      </c>
      <c r="X3769" s="93" t="s">
        <v>30</v>
      </c>
      <c r="Y3769" s="93" t="s">
        <v>68</v>
      </c>
      <c r="Z3769" s="134">
        <f>VLOOKUP(W3769,Sheet2!$B:$D,3,FALSE)</f>
        <v>29</v>
      </c>
      <c r="AA3769" s="93">
        <v>1</v>
      </c>
      <c r="AB3769" s="93">
        <f>AD3769/AC3767</f>
        <v>28.999999999999996</v>
      </c>
      <c r="AC3769" s="93">
        <f>AC3767/AA3769</f>
        <v>42.634349999999927</v>
      </c>
      <c r="AD3769" s="94">
        <f>AC3769*Z3769</f>
        <v>1236.3961499999978</v>
      </c>
      <c r="AE3769" s="190"/>
      <c r="AF3769" s="191"/>
      <c r="AG3769" s="191"/>
      <c r="AH3769" s="191"/>
      <c r="AI3769" s="186"/>
      <c r="AK3769" s="171"/>
    </row>
    <row r="3770" spans="1:37" s="102" customFormat="1" ht="19.899999999999999" customHeight="1" x14ac:dyDescent="0.25">
      <c r="A3770" s="45"/>
      <c r="B3770" s="59"/>
      <c r="C3770" s="137"/>
      <c r="D3770" s="59"/>
      <c r="E3770" s="116"/>
      <c r="F3770" s="120"/>
      <c r="G3770" s="120"/>
      <c r="H3770" s="120"/>
      <c r="I3770" s="60"/>
      <c r="J3770" s="116"/>
      <c r="K3770" s="213"/>
      <c r="L3770" s="120"/>
      <c r="M3770" s="120"/>
      <c r="N3770" s="167"/>
      <c r="O3770" s="120"/>
      <c r="P3770" s="120"/>
      <c r="Q3770" s="120"/>
      <c r="R3770" s="120"/>
      <c r="S3770" s="120"/>
      <c r="T3770" s="221"/>
      <c r="U3770" s="89"/>
      <c r="V3770" s="61"/>
      <c r="W3770" s="92" t="s">
        <v>1068</v>
      </c>
      <c r="X3770" s="93" t="s">
        <v>32</v>
      </c>
      <c r="Y3770" s="93" t="s">
        <v>68</v>
      </c>
      <c r="Z3770" s="134">
        <f>VLOOKUP(W3770,Sheet2!$B:$D,3,FALSE)</f>
        <v>60</v>
      </c>
      <c r="AA3770" s="93">
        <v>1</v>
      </c>
      <c r="AB3770" s="93">
        <f>AD3770/AC3767</f>
        <v>60</v>
      </c>
      <c r="AC3770" s="93">
        <f>AC3767/AA3770</f>
        <v>42.634349999999927</v>
      </c>
      <c r="AD3770" s="94">
        <f>AC3770*Z3770</f>
        <v>2558.0609999999956</v>
      </c>
      <c r="AE3770" s="190"/>
      <c r="AF3770" s="191"/>
      <c r="AG3770" s="191"/>
      <c r="AH3770" s="191"/>
      <c r="AI3770" s="186"/>
      <c r="AK3770" s="171"/>
    </row>
    <row r="3771" spans="1:37" s="102" customFormat="1" ht="19.899999999999999" customHeight="1" x14ac:dyDescent="0.25">
      <c r="A3771" s="45"/>
      <c r="B3771" s="59"/>
      <c r="C3771" s="137"/>
      <c r="D3771" s="59"/>
      <c r="E3771" s="116"/>
      <c r="F3771" s="120"/>
      <c r="G3771" s="120"/>
      <c r="H3771" s="120"/>
      <c r="I3771" s="60"/>
      <c r="J3771" s="116"/>
      <c r="K3771" s="213"/>
      <c r="L3771" s="120"/>
      <c r="M3771" s="120"/>
      <c r="N3771" s="167"/>
      <c r="O3771" s="120"/>
      <c r="P3771" s="120"/>
      <c r="Q3771" s="120"/>
      <c r="R3771" s="120"/>
      <c r="S3771" s="120"/>
      <c r="T3771" s="221"/>
      <c r="U3771" s="89"/>
      <c r="V3771" s="61"/>
      <c r="W3771" s="92" t="s">
        <v>1032</v>
      </c>
      <c r="X3771" s="93" t="s">
        <v>30</v>
      </c>
      <c r="Y3771" s="93" t="s">
        <v>66</v>
      </c>
      <c r="Z3771" s="134">
        <f>VLOOKUP(W3771,Sheet2!$B:$D,3,FALSE)</f>
        <v>250</v>
      </c>
      <c r="AA3771" s="93">
        <f>1/(1.6*0.1)</f>
        <v>6.2499999999999991</v>
      </c>
      <c r="AB3771" s="93">
        <f>AD3771/AC3767</f>
        <v>40.000000000000007</v>
      </c>
      <c r="AC3771" s="93">
        <f>AC3767/AA3771</f>
        <v>6.8214959999999891</v>
      </c>
      <c r="AD3771" s="94">
        <f>AC3771*Z3771</f>
        <v>1705.3739999999973</v>
      </c>
      <c r="AE3771" s="190"/>
      <c r="AF3771" s="191"/>
      <c r="AG3771" s="191"/>
      <c r="AH3771" s="191"/>
      <c r="AI3771" s="186"/>
      <c r="AK3771" s="171"/>
    </row>
    <row r="3772" spans="1:37" s="102" customFormat="1" ht="19.899999999999999" customHeight="1" x14ac:dyDescent="0.25">
      <c r="A3772" s="45"/>
      <c r="B3772" s="59"/>
      <c r="C3772" s="137"/>
      <c r="D3772" s="59"/>
      <c r="E3772" s="116"/>
      <c r="F3772" s="120"/>
      <c r="G3772" s="120"/>
      <c r="H3772" s="120"/>
      <c r="I3772" s="60"/>
      <c r="J3772" s="116"/>
      <c r="K3772" s="213"/>
      <c r="L3772" s="120"/>
      <c r="M3772" s="120"/>
      <c r="N3772" s="167"/>
      <c r="O3772" s="120"/>
      <c r="P3772" s="120"/>
      <c r="Q3772" s="120"/>
      <c r="R3772" s="120"/>
      <c r="S3772" s="120"/>
      <c r="T3772" s="221"/>
      <c r="U3772" s="89"/>
      <c r="V3772" s="61"/>
      <c r="W3772" s="92" t="s">
        <v>1035</v>
      </c>
      <c r="X3772" s="93" t="s">
        <v>32</v>
      </c>
      <c r="Y3772" s="93" t="s">
        <v>66</v>
      </c>
      <c r="Z3772" s="134">
        <f>VLOOKUP(W3772,Sheet2!$B:$D,3,FALSE)</f>
        <v>150</v>
      </c>
      <c r="AA3772" s="93">
        <f>AA3771</f>
        <v>6.2499999999999991</v>
      </c>
      <c r="AB3772" s="93">
        <f>AD3772/AC3767</f>
        <v>24.000000000000004</v>
      </c>
      <c r="AC3772" s="93">
        <f>AC3767/AA3772</f>
        <v>6.8214959999999891</v>
      </c>
      <c r="AD3772" s="94">
        <f t="shared" ref="AD3772:AD3773" si="2811">AC3772*Z3772</f>
        <v>1023.2243999999984</v>
      </c>
      <c r="AE3772" s="190"/>
      <c r="AF3772" s="191"/>
      <c r="AG3772" s="191"/>
      <c r="AH3772" s="191"/>
      <c r="AI3772" s="186"/>
      <c r="AK3772" s="171"/>
    </row>
    <row r="3773" spans="1:37" s="102" customFormat="1" ht="19.899999999999999" customHeight="1" x14ac:dyDescent="0.25">
      <c r="A3773" s="45"/>
      <c r="B3773" s="59"/>
      <c r="C3773" s="137"/>
      <c r="D3773" s="59"/>
      <c r="E3773" s="116"/>
      <c r="F3773" s="120"/>
      <c r="G3773" s="120"/>
      <c r="H3773" s="120"/>
      <c r="I3773" s="60"/>
      <c r="J3773" s="116"/>
      <c r="K3773" s="213"/>
      <c r="L3773" s="120"/>
      <c r="M3773" s="120"/>
      <c r="N3773" s="167"/>
      <c r="O3773" s="120"/>
      <c r="P3773" s="120"/>
      <c r="Q3773" s="120"/>
      <c r="R3773" s="120"/>
      <c r="S3773" s="120"/>
      <c r="T3773" s="221"/>
      <c r="U3773" s="89"/>
      <c r="V3773" s="61"/>
      <c r="W3773" s="92" t="s">
        <v>1037</v>
      </c>
      <c r="X3773" s="93" t="s">
        <v>30</v>
      </c>
      <c r="Y3773" s="93" t="s">
        <v>1038</v>
      </c>
      <c r="Z3773" s="134">
        <f>VLOOKUP(W3773,Sheet2!$B:$D,3,FALSE)</f>
        <v>175</v>
      </c>
      <c r="AA3773" s="93">
        <v>300</v>
      </c>
      <c r="AB3773" s="93">
        <f>AD3773/AC3767</f>
        <v>0.58333333333333326</v>
      </c>
      <c r="AC3773" s="93">
        <f>AC3767/AA3773</f>
        <v>0.14211449999999975</v>
      </c>
      <c r="AD3773" s="94">
        <f t="shared" si="2811"/>
        <v>24.870037499999956</v>
      </c>
      <c r="AE3773" s="190"/>
      <c r="AF3773" s="191"/>
      <c r="AG3773" s="191"/>
      <c r="AH3773" s="191"/>
      <c r="AI3773" s="186"/>
      <c r="AK3773" s="171"/>
    </row>
    <row r="3774" spans="1:37" s="103" customFormat="1" ht="19.899999999999999" customHeight="1" x14ac:dyDescent="0.25">
      <c r="A3774" s="51"/>
      <c r="B3774" s="52"/>
      <c r="C3774" s="165"/>
      <c r="D3774" s="52"/>
      <c r="E3774" s="115"/>
      <c r="F3774" s="58"/>
      <c r="G3774" s="58"/>
      <c r="H3774" s="58"/>
      <c r="I3774" s="55"/>
      <c r="J3774" s="113">
        <f>J3756</f>
        <v>42.634349999999927</v>
      </c>
      <c r="K3774" s="212">
        <f>K3756</f>
        <v>42.634349999999927</v>
      </c>
      <c r="L3774" s="58"/>
      <c r="M3774" s="58">
        <f>K3774-L3774</f>
        <v>42.634349999999927</v>
      </c>
      <c r="N3774" s="166"/>
      <c r="O3774" s="58"/>
      <c r="P3774" s="58"/>
      <c r="Q3774" s="58"/>
      <c r="R3774" s="58"/>
      <c r="S3774" s="58"/>
      <c r="T3774" s="220"/>
      <c r="U3774" s="88"/>
      <c r="V3774" s="56"/>
      <c r="W3774" s="57" t="s">
        <v>1040</v>
      </c>
      <c r="X3774" s="53"/>
      <c r="Y3774" s="91" t="s">
        <v>68</v>
      </c>
      <c r="Z3774" s="136">
        <f>AD3774/AC3774</f>
        <v>5</v>
      </c>
      <c r="AA3774" s="58"/>
      <c r="AB3774" s="53">
        <f>AD3774/AC3774</f>
        <v>5</v>
      </c>
      <c r="AC3774" s="53">
        <f>M3774+$AE$10</f>
        <v>42.634349999999927</v>
      </c>
      <c r="AD3774" s="54">
        <f>SUM(AD3775)</f>
        <v>213.17174999999963</v>
      </c>
      <c r="AE3774" s="184">
        <f>SUMIFS($AD$37:$AD$12971,$V$37:$V$12971,$V3774,$X$37:$X$12971,AE$13)</f>
        <v>0</v>
      </c>
      <c r="AF3774" s="185">
        <f>SUMIFS($AD$37:$AD$12971,$V$37:$V$12971,$V3774,$X$37:$X$12971,AF$13)</f>
        <v>0</v>
      </c>
      <c r="AG3774" s="185">
        <f>SUMIFS($AD$37:$AD$12971,$V$37:$V$12971,$V3774,$X$37:$X$12971,AG$13)</f>
        <v>0</v>
      </c>
      <c r="AH3774" s="187">
        <f>SUMIFS($AD$37:$AD$12971,$V$37:$V$12971,$V3774,$X$37:$X$12971,AH$13)</f>
        <v>0</v>
      </c>
      <c r="AI3774" s="161">
        <f t="shared" ref="AI3774" si="2812">SUM(AE3774:AH3774)</f>
        <v>0</v>
      </c>
      <c r="AK3774" s="172"/>
    </row>
    <row r="3775" spans="1:37" s="102" customFormat="1" ht="19.899999999999999" customHeight="1" x14ac:dyDescent="0.25">
      <c r="A3775" s="45"/>
      <c r="B3775" s="59"/>
      <c r="C3775" s="137"/>
      <c r="D3775" s="59"/>
      <c r="E3775" s="116"/>
      <c r="F3775" s="120"/>
      <c r="G3775" s="120"/>
      <c r="H3775" s="120"/>
      <c r="I3775" s="60"/>
      <c r="J3775" s="116"/>
      <c r="K3775" s="213"/>
      <c r="L3775" s="120"/>
      <c r="M3775" s="120"/>
      <c r="N3775" s="167"/>
      <c r="O3775" s="120"/>
      <c r="P3775" s="120"/>
      <c r="Q3775" s="120"/>
      <c r="R3775" s="120"/>
      <c r="S3775" s="120"/>
      <c r="T3775" s="221"/>
      <c r="U3775" s="89"/>
      <c r="V3775" s="61"/>
      <c r="W3775" s="92" t="s">
        <v>1039</v>
      </c>
      <c r="X3775" s="93" t="s">
        <v>32</v>
      </c>
      <c r="Y3775" s="93" t="s">
        <v>68</v>
      </c>
      <c r="Z3775" s="134">
        <f>VLOOKUP(W3775,Sheet2!$B:$D,3,FALSE)</f>
        <v>5</v>
      </c>
      <c r="AA3775" s="93">
        <v>1</v>
      </c>
      <c r="AB3775" s="93">
        <f>AD3775/AC3774</f>
        <v>5</v>
      </c>
      <c r="AC3775" s="93">
        <f>AC3774/AA3775</f>
        <v>42.634349999999927</v>
      </c>
      <c r="AD3775" s="94">
        <f t="shared" ref="AD3775" si="2813">AC3775*Z3775</f>
        <v>213.17174999999963</v>
      </c>
      <c r="AE3775" s="190"/>
      <c r="AF3775" s="191"/>
      <c r="AG3775" s="191"/>
      <c r="AH3775" s="191"/>
      <c r="AI3775" s="186"/>
      <c r="AK3775" s="171"/>
    </row>
    <row r="3776" spans="1:37" ht="20.100000000000001" customHeight="1" x14ac:dyDescent="0.25">
      <c r="A3776" s="277" t="s">
        <v>491</v>
      </c>
      <c r="B3776" s="278"/>
      <c r="C3776" s="64" t="s">
        <v>503</v>
      </c>
      <c r="D3776" s="46" t="s">
        <v>97</v>
      </c>
      <c r="E3776" s="114"/>
      <c r="F3776" s="44"/>
      <c r="G3776" s="44">
        <f t="shared" si="2434"/>
        <v>0</v>
      </c>
      <c r="H3776" s="44">
        <f t="shared" si="2435"/>
        <v>0</v>
      </c>
      <c r="I3776" s="43">
        <f t="shared" si="2436"/>
        <v>0</v>
      </c>
      <c r="J3776" s="112">
        <f t="shared" si="2437"/>
        <v>0</v>
      </c>
      <c r="K3776" s="211">
        <f t="shared" si="2438"/>
        <v>0</v>
      </c>
      <c r="L3776" s="44"/>
      <c r="M3776" s="44">
        <f t="shared" si="2458"/>
        <v>0</v>
      </c>
      <c r="N3776" s="173">
        <f t="shared" si="2439"/>
        <v>0</v>
      </c>
      <c r="O3776" s="44">
        <f t="shared" si="2440"/>
        <v>0</v>
      </c>
      <c r="P3776" s="44">
        <f t="shared" si="2441"/>
        <v>0</v>
      </c>
      <c r="Q3776" s="44">
        <f t="shared" si="2442"/>
        <v>0</v>
      </c>
      <c r="R3776" s="44">
        <f t="shared" si="2459"/>
        <v>0</v>
      </c>
      <c r="S3776" s="123"/>
      <c r="T3776" s="219">
        <f t="shared" si="2460"/>
        <v>0</v>
      </c>
      <c r="U3776" s="87"/>
      <c r="V3776" s="47"/>
      <c r="W3776" s="48"/>
      <c r="X3776" s="48"/>
      <c r="Y3776" s="48"/>
      <c r="Z3776" s="135"/>
      <c r="AA3776" s="49"/>
      <c r="AB3776" s="50">
        <f t="shared" si="2443"/>
        <v>0</v>
      </c>
      <c r="AC3776" s="42">
        <f t="shared" si="2461"/>
        <v>9.9999999999999998E-20</v>
      </c>
      <c r="AD3776" s="90"/>
      <c r="AE3776" s="188"/>
      <c r="AF3776" s="189"/>
      <c r="AG3776" s="189"/>
      <c r="AH3776" s="189"/>
      <c r="AI3776" s="161"/>
    </row>
    <row r="3777" spans="1:41" ht="20.100000000000001" customHeight="1" x14ac:dyDescent="0.25">
      <c r="A3777" s="277" t="s">
        <v>491</v>
      </c>
      <c r="B3777" s="278"/>
      <c r="C3777" s="64" t="s">
        <v>493</v>
      </c>
      <c r="D3777" s="46" t="s">
        <v>97</v>
      </c>
      <c r="E3777" s="114"/>
      <c r="F3777" s="44"/>
      <c r="G3777" s="44">
        <f t="shared" si="2434"/>
        <v>0</v>
      </c>
      <c r="H3777" s="44">
        <f t="shared" si="2435"/>
        <v>0</v>
      </c>
      <c r="I3777" s="43">
        <f t="shared" si="2436"/>
        <v>0</v>
      </c>
      <c r="J3777" s="112">
        <f t="shared" si="2437"/>
        <v>0</v>
      </c>
      <c r="K3777" s="211">
        <f t="shared" si="2438"/>
        <v>0</v>
      </c>
      <c r="L3777" s="44"/>
      <c r="M3777" s="44">
        <f t="shared" si="2458"/>
        <v>0</v>
      </c>
      <c r="N3777" s="173">
        <f t="shared" si="2439"/>
        <v>0</v>
      </c>
      <c r="O3777" s="44">
        <f t="shared" si="2440"/>
        <v>0</v>
      </c>
      <c r="P3777" s="44">
        <f t="shared" si="2441"/>
        <v>0</v>
      </c>
      <c r="Q3777" s="44">
        <f t="shared" si="2442"/>
        <v>0</v>
      </c>
      <c r="R3777" s="44">
        <f t="shared" si="2459"/>
        <v>0</v>
      </c>
      <c r="S3777" s="123"/>
      <c r="T3777" s="219">
        <f t="shared" si="2460"/>
        <v>0</v>
      </c>
      <c r="U3777" s="87"/>
      <c r="V3777" s="47"/>
      <c r="W3777" s="48"/>
      <c r="X3777" s="48"/>
      <c r="Y3777" s="48"/>
      <c r="Z3777" s="135"/>
      <c r="AA3777" s="49"/>
      <c r="AB3777" s="50">
        <f t="shared" si="2443"/>
        <v>0</v>
      </c>
      <c r="AC3777" s="42">
        <f t="shared" si="2461"/>
        <v>9.9999999999999998E-20</v>
      </c>
      <c r="AD3777" s="90"/>
      <c r="AE3777" s="188"/>
      <c r="AF3777" s="189"/>
      <c r="AG3777" s="189"/>
      <c r="AH3777" s="189"/>
      <c r="AI3777" s="161"/>
    </row>
    <row r="3778" spans="1:41" ht="20.100000000000001" customHeight="1" x14ac:dyDescent="0.25">
      <c r="A3778" s="277" t="s">
        <v>491</v>
      </c>
      <c r="B3778" s="278"/>
      <c r="C3778" s="64" t="s">
        <v>1177</v>
      </c>
      <c r="D3778" s="46" t="s">
        <v>97</v>
      </c>
      <c r="E3778" s="114">
        <v>6.233649999999983</v>
      </c>
      <c r="F3778" s="44">
        <v>770</v>
      </c>
      <c r="G3778" s="44">
        <f t="shared" si="2434"/>
        <v>4799.9104999999872</v>
      </c>
      <c r="H3778" s="44">
        <f t="shared" si="2435"/>
        <v>539.08868549019621</v>
      </c>
      <c r="I3778" s="43">
        <f t="shared" si="2436"/>
        <v>3360.4901843059524</v>
      </c>
      <c r="J3778" s="112">
        <f t="shared" si="2437"/>
        <v>6.233649999999983</v>
      </c>
      <c r="K3778" s="211">
        <f t="shared" si="2438"/>
        <v>6.233649999999983</v>
      </c>
      <c r="L3778" s="44"/>
      <c r="M3778" s="44">
        <f t="shared" si="2458"/>
        <v>6.233649999999983</v>
      </c>
      <c r="N3778" s="173">
        <f t="shared" si="2439"/>
        <v>1</v>
      </c>
      <c r="O3778" s="44">
        <f t="shared" si="2440"/>
        <v>770</v>
      </c>
      <c r="P3778" s="44">
        <f t="shared" si="2441"/>
        <v>4799.9104999999872</v>
      </c>
      <c r="Q3778" s="44">
        <f t="shared" si="2442"/>
        <v>539.08868549019621</v>
      </c>
      <c r="R3778" s="44">
        <f t="shared" si="2459"/>
        <v>3360.4901843059524</v>
      </c>
      <c r="S3778" s="123"/>
      <c r="T3778" s="219">
        <f t="shared" si="2460"/>
        <v>3360.4901843059524</v>
      </c>
      <c r="U3778" s="87"/>
      <c r="V3778" s="47"/>
      <c r="W3778" s="48"/>
      <c r="X3778" s="48"/>
      <c r="Y3778" s="48"/>
      <c r="Z3778" s="135"/>
      <c r="AA3778" s="49"/>
      <c r="AB3778" s="50">
        <f t="shared" si="2443"/>
        <v>539.08868549019621</v>
      </c>
      <c r="AC3778" s="42">
        <f t="shared" si="2461"/>
        <v>6.233649999999983</v>
      </c>
      <c r="AD3778" s="90">
        <f>AD3779+AD3789+AD3796</f>
        <v>3360.4901843059524</v>
      </c>
      <c r="AE3778" s="188">
        <f t="shared" ref="AE3778" si="2814">AE3779+AE3789+AE3796</f>
        <v>0</v>
      </c>
      <c r="AF3778" s="189">
        <f t="shared" ref="AF3778" si="2815">AF3779+AF3789+AF3796</f>
        <v>0</v>
      </c>
      <c r="AG3778" s="189">
        <f t="shared" ref="AG3778" si="2816">AG3779+AG3789+AG3796</f>
        <v>0</v>
      </c>
      <c r="AH3778" s="189">
        <f t="shared" ref="AH3778" si="2817">AH3779+AH3789+AH3796</f>
        <v>0</v>
      </c>
      <c r="AI3778" s="161">
        <f t="shared" ref="AI3778" si="2818">SUM(AE3778:AH3778)</f>
        <v>0</v>
      </c>
      <c r="AK3778" s="169">
        <v>5</v>
      </c>
      <c r="AO3778" s="19" t="s">
        <v>63</v>
      </c>
    </row>
    <row r="3779" spans="1:41" s="103" customFormat="1" ht="19.899999999999999" customHeight="1" x14ac:dyDescent="0.25">
      <c r="A3779" s="51"/>
      <c r="B3779" s="52"/>
      <c r="C3779" s="165"/>
      <c r="D3779" s="52"/>
      <c r="E3779" s="115"/>
      <c r="F3779" s="58"/>
      <c r="G3779" s="58"/>
      <c r="H3779" s="58"/>
      <c r="I3779" s="55"/>
      <c r="J3779" s="113">
        <f>J3778</f>
        <v>6.233649999999983</v>
      </c>
      <c r="K3779" s="212">
        <f>K3778</f>
        <v>6.233649999999983</v>
      </c>
      <c r="L3779" s="58"/>
      <c r="M3779" s="58">
        <f>K3779-L3779</f>
        <v>6.233649999999983</v>
      </c>
      <c r="N3779" s="166"/>
      <c r="O3779" s="58"/>
      <c r="P3779" s="58"/>
      <c r="Q3779" s="58"/>
      <c r="R3779" s="58"/>
      <c r="S3779" s="58"/>
      <c r="T3779" s="220"/>
      <c r="U3779" s="88"/>
      <c r="V3779" s="56"/>
      <c r="W3779" s="57" t="s">
        <v>1082</v>
      </c>
      <c r="X3779" s="53"/>
      <c r="Y3779" s="91" t="s">
        <v>68</v>
      </c>
      <c r="Z3779" s="136">
        <f>AD3779/AC3779</f>
        <v>90.505352156862742</v>
      </c>
      <c r="AA3779" s="58"/>
      <c r="AB3779" s="53">
        <f>AD3779/AC3779</f>
        <v>90.505352156862742</v>
      </c>
      <c r="AC3779" s="53">
        <f>M3779+$AE$10</f>
        <v>6.233649999999983</v>
      </c>
      <c r="AD3779" s="54">
        <f>SUM(AD3780:AD3788)</f>
        <v>564.17868847262594</v>
      </c>
      <c r="AE3779" s="184">
        <f>SUMIFS($AD$37:$AD$12971,$V$37:$V$12971,$V3779,$X$37:$X$12971,AE$13)</f>
        <v>0</v>
      </c>
      <c r="AF3779" s="185">
        <f>SUMIFS($AD$37:$AD$12971,$V$37:$V$12971,$V3779,$X$37:$X$12971,AF$13)</f>
        <v>0</v>
      </c>
      <c r="AG3779" s="185">
        <f>SUMIFS($AD$37:$AD$12971,$V$37:$V$12971,$V3779,$X$37:$X$12971,AG$13)</f>
        <v>0</v>
      </c>
      <c r="AH3779" s="187">
        <f>SUMIFS($AD$37:$AD$12971,$V$37:$V$12971,$V3779,$X$37:$X$12971,AH$13)</f>
        <v>0</v>
      </c>
      <c r="AI3779" s="161">
        <f t="shared" ref="AI3779" si="2819">SUM(AE3779:AH3779)</f>
        <v>0</v>
      </c>
      <c r="AK3779" s="172"/>
    </row>
    <row r="3780" spans="1:41" s="102" customFormat="1" ht="19.899999999999999" customHeight="1" x14ac:dyDescent="0.25">
      <c r="A3780" s="45"/>
      <c r="B3780" s="59"/>
      <c r="C3780" s="137"/>
      <c r="D3780" s="59"/>
      <c r="E3780" s="116"/>
      <c r="F3780" s="120"/>
      <c r="G3780" s="120"/>
      <c r="H3780" s="120"/>
      <c r="I3780" s="60"/>
      <c r="J3780" s="116"/>
      <c r="K3780" s="213"/>
      <c r="L3780" s="120"/>
      <c r="M3780" s="120"/>
      <c r="N3780" s="167"/>
      <c r="O3780" s="120"/>
      <c r="P3780" s="120"/>
      <c r="Q3780" s="120"/>
      <c r="R3780" s="120"/>
      <c r="S3780" s="120"/>
      <c r="T3780" s="221"/>
      <c r="U3780" s="89"/>
      <c r="V3780" s="61"/>
      <c r="W3780" s="92" t="s">
        <v>129</v>
      </c>
      <c r="X3780" s="93" t="s">
        <v>29</v>
      </c>
      <c r="Y3780" s="93" t="s">
        <v>93</v>
      </c>
      <c r="Z3780" s="134">
        <f>VLOOKUP(W3780,Sheet2!$B:$D,3,FALSE)</f>
        <v>56</v>
      </c>
      <c r="AA3780" s="93">
        <f>100/(1.6*4)</f>
        <v>15.625</v>
      </c>
      <c r="AB3780" s="93">
        <f t="shared" ref="AB3780" si="2820">AD3780/AC3779</f>
        <v>3.5840000000000001</v>
      </c>
      <c r="AC3780" s="93">
        <f>AC3779/AA3780</f>
        <v>0.39895359999999891</v>
      </c>
      <c r="AD3780" s="94">
        <f t="shared" ref="AD3780:AD3781" si="2821">AC3780*Z3780</f>
        <v>22.341401599999941</v>
      </c>
      <c r="AE3780" s="190"/>
      <c r="AF3780" s="191"/>
      <c r="AG3780" s="191"/>
      <c r="AH3780" s="191"/>
      <c r="AI3780" s="186"/>
      <c r="AK3780" s="171"/>
    </row>
    <row r="3781" spans="1:41" s="102" customFormat="1" ht="19.899999999999999" customHeight="1" x14ac:dyDescent="0.25">
      <c r="A3781" s="45"/>
      <c r="B3781" s="59"/>
      <c r="C3781" s="137"/>
      <c r="D3781" s="59"/>
      <c r="E3781" s="116"/>
      <c r="F3781" s="120"/>
      <c r="G3781" s="120"/>
      <c r="H3781" s="120"/>
      <c r="I3781" s="60"/>
      <c r="J3781" s="116"/>
      <c r="K3781" s="213"/>
      <c r="L3781" s="120"/>
      <c r="M3781" s="120"/>
      <c r="N3781" s="167"/>
      <c r="O3781" s="120"/>
      <c r="P3781" s="120"/>
      <c r="Q3781" s="120"/>
      <c r="R3781" s="120"/>
      <c r="S3781" s="120"/>
      <c r="T3781" s="221"/>
      <c r="U3781" s="89"/>
      <c r="V3781" s="61"/>
      <c r="W3781" s="92" t="s">
        <v>65</v>
      </c>
      <c r="X3781" s="93" t="s">
        <v>30</v>
      </c>
      <c r="Y3781" s="93" t="s">
        <v>1011</v>
      </c>
      <c r="Z3781" s="134">
        <f>VLOOKUP(W3781,Sheet2!$B:$D,3,FALSE)</f>
        <v>1.76</v>
      </c>
      <c r="AA3781" s="93">
        <f>AA3780/14</f>
        <v>1.1160714285714286</v>
      </c>
      <c r="AB3781" s="93">
        <f>AD3781/AC3779</f>
        <v>1.5769599999999999</v>
      </c>
      <c r="AC3781" s="93">
        <f>AC3779/AA3781</f>
        <v>5.5853503999999843</v>
      </c>
      <c r="AD3781" s="94">
        <f t="shared" si="2821"/>
        <v>9.830216703999973</v>
      </c>
      <c r="AE3781" s="190"/>
      <c r="AF3781" s="191"/>
      <c r="AG3781" s="191"/>
      <c r="AH3781" s="191"/>
      <c r="AI3781" s="186"/>
      <c r="AK3781" s="171"/>
    </row>
    <row r="3782" spans="1:41" s="102" customFormat="1" ht="19.899999999999999" customHeight="1" x14ac:dyDescent="0.25">
      <c r="A3782" s="45"/>
      <c r="B3782" s="59"/>
      <c r="C3782" s="137"/>
      <c r="D3782" s="59"/>
      <c r="E3782" s="116"/>
      <c r="F3782" s="120"/>
      <c r="G3782" s="120"/>
      <c r="H3782" s="120"/>
      <c r="I3782" s="60"/>
      <c r="J3782" s="116"/>
      <c r="K3782" s="213"/>
      <c r="L3782" s="120"/>
      <c r="M3782" s="120"/>
      <c r="N3782" s="167"/>
      <c r="O3782" s="120"/>
      <c r="P3782" s="120"/>
      <c r="Q3782" s="120"/>
      <c r="R3782" s="120"/>
      <c r="S3782" s="120"/>
      <c r="T3782" s="221"/>
      <c r="U3782" s="89"/>
      <c r="V3782" s="61"/>
      <c r="W3782" s="92" t="s">
        <v>161</v>
      </c>
      <c r="X3782" s="93" t="s">
        <v>29</v>
      </c>
      <c r="Y3782" s="93" t="s">
        <v>93</v>
      </c>
      <c r="Z3782" s="134">
        <f>VLOOKUP(W3782,Sheet2!$B:$D,3,FALSE)</f>
        <v>48</v>
      </c>
      <c r="AA3782" s="93">
        <f>(16*0.85*1.5)/(1.6*4)</f>
        <v>3.1874999999999996</v>
      </c>
      <c r="AB3782" s="93">
        <f>AD3782/AC3779</f>
        <v>15.058823529411766</v>
      </c>
      <c r="AC3782" s="93">
        <f>AC3779/AA3782</f>
        <v>1.9556549019607792</v>
      </c>
      <c r="AD3782" s="94">
        <f>AC3782*Z3782</f>
        <v>93.871435294117404</v>
      </c>
      <c r="AE3782" s="190"/>
      <c r="AF3782" s="191"/>
      <c r="AG3782" s="191"/>
      <c r="AH3782" s="191"/>
      <c r="AI3782" s="186"/>
      <c r="AK3782" s="171"/>
    </row>
    <row r="3783" spans="1:41" s="102" customFormat="1" ht="19.899999999999999" customHeight="1" x14ac:dyDescent="0.25">
      <c r="A3783" s="45"/>
      <c r="B3783" s="59"/>
      <c r="C3783" s="137"/>
      <c r="D3783" s="59"/>
      <c r="E3783" s="116"/>
      <c r="F3783" s="120"/>
      <c r="G3783" s="120"/>
      <c r="H3783" s="120"/>
      <c r="I3783" s="60"/>
      <c r="J3783" s="116"/>
      <c r="K3783" s="213"/>
      <c r="L3783" s="120"/>
      <c r="M3783" s="120"/>
      <c r="N3783" s="167"/>
      <c r="O3783" s="120"/>
      <c r="P3783" s="120"/>
      <c r="Q3783" s="120"/>
      <c r="R3783" s="120"/>
      <c r="S3783" s="120"/>
      <c r="T3783" s="221"/>
      <c r="U3783" s="89"/>
      <c r="V3783" s="61"/>
      <c r="W3783" s="92" t="s">
        <v>65</v>
      </c>
      <c r="X3783" s="93" t="s">
        <v>30</v>
      </c>
      <c r="Y3783" s="93" t="s">
        <v>1011</v>
      </c>
      <c r="Z3783" s="134">
        <f>VLOOKUP(W3783,Sheet2!$B:$D,3,FALSE)</f>
        <v>1.76</v>
      </c>
      <c r="AA3783" s="93">
        <f>AA3782/10</f>
        <v>0.31874999999999998</v>
      </c>
      <c r="AB3783" s="93">
        <f>AD3783/AC3779</f>
        <v>5.5215686274509794</v>
      </c>
      <c r="AC3783" s="93">
        <f>AC3779/AA3783</f>
        <v>19.55654901960779</v>
      </c>
      <c r="AD3783" s="94">
        <f>AC3783*Z3783</f>
        <v>34.419526274509707</v>
      </c>
      <c r="AE3783" s="190"/>
      <c r="AF3783" s="191"/>
      <c r="AG3783" s="191"/>
      <c r="AH3783" s="191"/>
      <c r="AI3783" s="186"/>
      <c r="AK3783" s="171"/>
    </row>
    <row r="3784" spans="1:41" s="102" customFormat="1" ht="19.899999999999999" customHeight="1" x14ac:dyDescent="0.25">
      <c r="A3784" s="45"/>
      <c r="B3784" s="59"/>
      <c r="C3784" s="137"/>
      <c r="D3784" s="59"/>
      <c r="E3784" s="116"/>
      <c r="F3784" s="120"/>
      <c r="G3784" s="120"/>
      <c r="H3784" s="120"/>
      <c r="I3784" s="60"/>
      <c r="J3784" s="116"/>
      <c r="K3784" s="213"/>
      <c r="L3784" s="120"/>
      <c r="M3784" s="120"/>
      <c r="N3784" s="167"/>
      <c r="O3784" s="120"/>
      <c r="P3784" s="120"/>
      <c r="Q3784" s="120"/>
      <c r="R3784" s="120"/>
      <c r="S3784" s="120"/>
      <c r="T3784" s="221"/>
      <c r="U3784" s="89"/>
      <c r="V3784" s="61"/>
      <c r="W3784" s="92" t="s">
        <v>1030</v>
      </c>
      <c r="X3784" s="93" t="s">
        <v>29</v>
      </c>
      <c r="Y3784" s="93" t="s">
        <v>93</v>
      </c>
      <c r="Z3784" s="134">
        <f>VLOOKUP(W3784,Sheet2!$B:$D,3,FALSE)</f>
        <v>23</v>
      </c>
      <c r="AA3784" s="93">
        <v>50</v>
      </c>
      <c r="AB3784" s="93">
        <f>AD3784/AC3779</f>
        <v>0.46</v>
      </c>
      <c r="AC3784" s="93">
        <f>AC3779/AA3784</f>
        <v>0.12467299999999966</v>
      </c>
      <c r="AD3784" s="94">
        <f t="shared" ref="AD3784:AD3788" si="2822">AC3784*Z3784</f>
        <v>2.8674789999999923</v>
      </c>
      <c r="AE3784" s="190"/>
      <c r="AF3784" s="191"/>
      <c r="AG3784" s="191"/>
      <c r="AH3784" s="191"/>
      <c r="AI3784" s="186"/>
      <c r="AK3784" s="171"/>
    </row>
    <row r="3785" spans="1:41" s="102" customFormat="1" ht="19.899999999999999" customHeight="1" x14ac:dyDescent="0.25">
      <c r="A3785" s="45"/>
      <c r="B3785" s="59"/>
      <c r="C3785" s="137"/>
      <c r="D3785" s="59"/>
      <c r="E3785" s="116"/>
      <c r="F3785" s="120"/>
      <c r="G3785" s="120"/>
      <c r="H3785" s="120"/>
      <c r="I3785" s="60"/>
      <c r="J3785" s="116"/>
      <c r="K3785" s="213"/>
      <c r="L3785" s="120"/>
      <c r="M3785" s="120"/>
      <c r="N3785" s="167"/>
      <c r="O3785" s="120"/>
      <c r="P3785" s="120"/>
      <c r="Q3785" s="120"/>
      <c r="R3785" s="120"/>
      <c r="S3785" s="120"/>
      <c r="T3785" s="221"/>
      <c r="U3785" s="89"/>
      <c r="V3785" s="61"/>
      <c r="W3785" s="92" t="s">
        <v>65</v>
      </c>
      <c r="X3785" s="93" t="s">
        <v>30</v>
      </c>
      <c r="Y3785" s="93" t="s">
        <v>1011</v>
      </c>
      <c r="Z3785" s="134">
        <f>VLOOKUP(W3785,Sheet2!$B:$D,3,FALSE)</f>
        <v>1.76</v>
      </c>
      <c r="AA3785" s="93">
        <f>AA3784/3</f>
        <v>16.666666666666668</v>
      </c>
      <c r="AB3785" s="93">
        <f>AD3785/AC3779</f>
        <v>0.10559999999999999</v>
      </c>
      <c r="AC3785" s="93">
        <f>AC3779/AA3785</f>
        <v>0.37401899999999894</v>
      </c>
      <c r="AD3785" s="94">
        <f t="shared" si="2822"/>
        <v>0.6582734399999981</v>
      </c>
      <c r="AE3785" s="190"/>
      <c r="AF3785" s="191"/>
      <c r="AG3785" s="191"/>
      <c r="AH3785" s="191"/>
      <c r="AI3785" s="186"/>
      <c r="AK3785" s="171"/>
    </row>
    <row r="3786" spans="1:41" s="102" customFormat="1" ht="19.899999999999999" customHeight="1" x14ac:dyDescent="0.25">
      <c r="A3786" s="45"/>
      <c r="B3786" s="59"/>
      <c r="C3786" s="137"/>
      <c r="D3786" s="59"/>
      <c r="E3786" s="116"/>
      <c r="F3786" s="120"/>
      <c r="G3786" s="120"/>
      <c r="H3786" s="120"/>
      <c r="I3786" s="60"/>
      <c r="J3786" s="116"/>
      <c r="K3786" s="213"/>
      <c r="L3786" s="120"/>
      <c r="M3786" s="120"/>
      <c r="N3786" s="167"/>
      <c r="O3786" s="120"/>
      <c r="P3786" s="120"/>
      <c r="Q3786" s="120"/>
      <c r="R3786" s="120"/>
      <c r="S3786" s="120"/>
      <c r="T3786" s="221"/>
      <c r="U3786" s="89"/>
      <c r="V3786" s="61"/>
      <c r="W3786" s="92" t="s">
        <v>148</v>
      </c>
      <c r="X3786" s="93" t="s">
        <v>29</v>
      </c>
      <c r="Y3786" s="93" t="s">
        <v>93</v>
      </c>
      <c r="Z3786" s="134">
        <f>VLOOKUP(W3786,Sheet2!$B:$D,3,FALSE)</f>
        <v>48</v>
      </c>
      <c r="AA3786" s="93">
        <f>AA3780</f>
        <v>15.625</v>
      </c>
      <c r="AB3786" s="93">
        <f>AD3786/AC3779</f>
        <v>3.0720000000000001</v>
      </c>
      <c r="AC3786" s="93">
        <f>AC3779/AA3786</f>
        <v>0.39895359999999891</v>
      </c>
      <c r="AD3786" s="94">
        <f t="shared" si="2822"/>
        <v>19.149772799999948</v>
      </c>
      <c r="AE3786" s="190"/>
      <c r="AF3786" s="191"/>
      <c r="AG3786" s="191"/>
      <c r="AH3786" s="191"/>
      <c r="AI3786" s="186"/>
      <c r="AK3786" s="171"/>
    </row>
    <row r="3787" spans="1:41" s="102" customFormat="1" ht="19.899999999999999" customHeight="1" x14ac:dyDescent="0.25">
      <c r="A3787" s="45"/>
      <c r="B3787" s="59"/>
      <c r="C3787" s="137"/>
      <c r="D3787" s="59"/>
      <c r="E3787" s="116"/>
      <c r="F3787" s="120"/>
      <c r="G3787" s="120"/>
      <c r="H3787" s="120"/>
      <c r="I3787" s="60"/>
      <c r="J3787" s="116"/>
      <c r="K3787" s="213"/>
      <c r="L3787" s="120"/>
      <c r="M3787" s="120"/>
      <c r="N3787" s="167"/>
      <c r="O3787" s="120"/>
      <c r="P3787" s="120"/>
      <c r="Q3787" s="120"/>
      <c r="R3787" s="120"/>
      <c r="S3787" s="120"/>
      <c r="T3787" s="221"/>
      <c r="U3787" s="89"/>
      <c r="V3787" s="61"/>
      <c r="W3787" s="92" t="s">
        <v>65</v>
      </c>
      <c r="X3787" s="93" t="s">
        <v>30</v>
      </c>
      <c r="Y3787" s="93" t="s">
        <v>1011</v>
      </c>
      <c r="Z3787" s="134">
        <f>VLOOKUP(W3787,Sheet2!$B:$D,3,FALSE)</f>
        <v>1.76</v>
      </c>
      <c r="AA3787" s="93">
        <f>AA3786/10</f>
        <v>1.5625</v>
      </c>
      <c r="AB3787" s="93">
        <f>AD3787/AC3779</f>
        <v>1.1263999999999998</v>
      </c>
      <c r="AC3787" s="93">
        <f>AC3779/AA3787</f>
        <v>3.9895359999999891</v>
      </c>
      <c r="AD3787" s="94">
        <f t="shared" si="2822"/>
        <v>7.0215833599999806</v>
      </c>
      <c r="AE3787" s="190"/>
      <c r="AF3787" s="191"/>
      <c r="AG3787" s="191"/>
      <c r="AH3787" s="191"/>
      <c r="AI3787" s="186"/>
      <c r="AK3787" s="171"/>
    </row>
    <row r="3788" spans="1:41" s="102" customFormat="1" ht="19.899999999999999" customHeight="1" x14ac:dyDescent="0.25">
      <c r="A3788" s="45"/>
      <c r="B3788" s="59"/>
      <c r="C3788" s="137"/>
      <c r="D3788" s="59"/>
      <c r="E3788" s="116"/>
      <c r="F3788" s="120"/>
      <c r="G3788" s="120"/>
      <c r="H3788" s="120"/>
      <c r="I3788" s="60"/>
      <c r="J3788" s="116"/>
      <c r="K3788" s="213"/>
      <c r="L3788" s="120"/>
      <c r="M3788" s="120"/>
      <c r="N3788" s="167"/>
      <c r="O3788" s="120"/>
      <c r="P3788" s="120"/>
      <c r="Q3788" s="120"/>
      <c r="R3788" s="120"/>
      <c r="S3788" s="120"/>
      <c r="T3788" s="221"/>
      <c r="U3788" s="89"/>
      <c r="V3788" s="61"/>
      <c r="W3788" s="92" t="s">
        <v>1049</v>
      </c>
      <c r="X3788" s="93" t="s">
        <v>30</v>
      </c>
      <c r="Y3788" s="93" t="s">
        <v>68</v>
      </c>
      <c r="Z3788" s="134">
        <f>VLOOKUP(W3788,Sheet2!$B:$D,3,FALSE)</f>
        <v>60</v>
      </c>
      <c r="AA3788" s="93">
        <v>1</v>
      </c>
      <c r="AB3788" s="93">
        <f>AD3788/AC3779</f>
        <v>60</v>
      </c>
      <c r="AC3788" s="93">
        <f>AC3779/AA3788</f>
        <v>6.233649999999983</v>
      </c>
      <c r="AD3788" s="94">
        <f t="shared" si="2822"/>
        <v>374.01899999999898</v>
      </c>
      <c r="AE3788" s="190"/>
      <c r="AF3788" s="191"/>
      <c r="AG3788" s="191"/>
      <c r="AH3788" s="191"/>
      <c r="AI3788" s="186"/>
      <c r="AK3788" s="171"/>
    </row>
    <row r="3789" spans="1:41" s="103" customFormat="1" ht="19.899999999999999" customHeight="1" x14ac:dyDescent="0.25">
      <c r="A3789" s="51"/>
      <c r="B3789" s="52"/>
      <c r="C3789" s="165"/>
      <c r="D3789" s="52"/>
      <c r="E3789" s="115"/>
      <c r="F3789" s="58"/>
      <c r="G3789" s="58"/>
      <c r="H3789" s="58"/>
      <c r="I3789" s="55"/>
      <c r="J3789" s="113">
        <f>J3778</f>
        <v>6.233649999999983</v>
      </c>
      <c r="K3789" s="212">
        <f>K3778</f>
        <v>6.233649999999983</v>
      </c>
      <c r="L3789" s="58"/>
      <c r="M3789" s="58">
        <f>K3789-L3789</f>
        <v>6.233649999999983</v>
      </c>
      <c r="N3789" s="166"/>
      <c r="O3789" s="58"/>
      <c r="P3789" s="58"/>
      <c r="Q3789" s="58"/>
      <c r="R3789" s="58"/>
      <c r="S3789" s="58"/>
      <c r="T3789" s="220"/>
      <c r="U3789" s="88"/>
      <c r="V3789" s="56"/>
      <c r="W3789" s="57" t="s">
        <v>1036</v>
      </c>
      <c r="X3789" s="53"/>
      <c r="Y3789" s="91" t="s">
        <v>68</v>
      </c>
      <c r="Z3789" s="136">
        <f>AD3789/AC3789</f>
        <v>443.58333333333343</v>
      </c>
      <c r="AA3789" s="58"/>
      <c r="AB3789" s="53">
        <f>AD3789/AC3789</f>
        <v>443.58333333333343</v>
      </c>
      <c r="AC3789" s="53">
        <f>M3789+$AE$10</f>
        <v>6.233649999999983</v>
      </c>
      <c r="AD3789" s="54">
        <f>SUM(AD3790:AD3795)</f>
        <v>2765.1432458333265</v>
      </c>
      <c r="AE3789" s="184">
        <f>SUMIFS($AD$37:$AD$12971,$V$37:$V$12971,$V3789,$X$37:$X$12971,AE$13)</f>
        <v>0</v>
      </c>
      <c r="AF3789" s="185">
        <f>SUMIFS($AD$37:$AD$12971,$V$37:$V$12971,$V3789,$X$37:$X$12971,AF$13)</f>
        <v>0</v>
      </c>
      <c r="AG3789" s="185">
        <f>SUMIFS($AD$37:$AD$12971,$V$37:$V$12971,$V3789,$X$37:$X$12971,AG$13)</f>
        <v>0</v>
      </c>
      <c r="AH3789" s="187">
        <f>SUMIFS($AD$37:$AD$12971,$V$37:$V$12971,$V3789,$X$37:$X$12971,AH$13)</f>
        <v>0</v>
      </c>
      <c r="AI3789" s="161">
        <f t="shared" ref="AI3789" si="2823">SUM(AE3789:AH3789)</f>
        <v>0</v>
      </c>
      <c r="AK3789" s="172"/>
    </row>
    <row r="3790" spans="1:41" s="102" customFormat="1" ht="19.899999999999999" customHeight="1" x14ac:dyDescent="0.25">
      <c r="A3790" s="45"/>
      <c r="B3790" s="59"/>
      <c r="C3790" s="137"/>
      <c r="D3790" s="59"/>
      <c r="E3790" s="116"/>
      <c r="F3790" s="120"/>
      <c r="G3790" s="120"/>
      <c r="H3790" s="120"/>
      <c r="I3790" s="60"/>
      <c r="J3790" s="116"/>
      <c r="K3790" s="213"/>
      <c r="L3790" s="120"/>
      <c r="M3790" s="120"/>
      <c r="N3790" s="167"/>
      <c r="O3790" s="120"/>
      <c r="P3790" s="120"/>
      <c r="Q3790" s="120"/>
      <c r="R3790" s="120"/>
      <c r="S3790" s="120"/>
      <c r="T3790" s="221"/>
      <c r="U3790" s="89"/>
      <c r="V3790" s="61"/>
      <c r="W3790" s="92" t="s">
        <v>1058</v>
      </c>
      <c r="X3790" s="93" t="s">
        <v>30</v>
      </c>
      <c r="Y3790" s="93" t="s">
        <v>68</v>
      </c>
      <c r="Z3790" s="134">
        <f>VLOOKUP(W3790,Sheet2!$B:$D,3,FALSE)</f>
        <v>290</v>
      </c>
      <c r="AA3790" s="93">
        <v>1</v>
      </c>
      <c r="AB3790" s="93">
        <f>AD3790/AC3789</f>
        <v>290</v>
      </c>
      <c r="AC3790" s="93">
        <f>AC3789/AA3790</f>
        <v>6.233649999999983</v>
      </c>
      <c r="AD3790" s="94">
        <f t="shared" ref="AD3790" si="2824">AC3790*Z3790</f>
        <v>1807.7584999999951</v>
      </c>
      <c r="AE3790" s="190"/>
      <c r="AF3790" s="191"/>
      <c r="AG3790" s="191"/>
      <c r="AH3790" s="191"/>
      <c r="AI3790" s="186"/>
      <c r="AK3790" s="171"/>
    </row>
    <row r="3791" spans="1:41" s="102" customFormat="1" ht="19.899999999999999" customHeight="1" x14ac:dyDescent="0.25">
      <c r="A3791" s="45"/>
      <c r="B3791" s="59"/>
      <c r="C3791" s="137"/>
      <c r="D3791" s="59"/>
      <c r="E3791" s="116"/>
      <c r="F3791" s="120"/>
      <c r="G3791" s="120"/>
      <c r="H3791" s="120"/>
      <c r="I3791" s="60"/>
      <c r="J3791" s="116"/>
      <c r="K3791" s="213"/>
      <c r="L3791" s="120"/>
      <c r="M3791" s="120"/>
      <c r="N3791" s="167"/>
      <c r="O3791" s="120"/>
      <c r="P3791" s="120"/>
      <c r="Q3791" s="120"/>
      <c r="R3791" s="120"/>
      <c r="S3791" s="120"/>
      <c r="T3791" s="221"/>
      <c r="U3791" s="89"/>
      <c r="V3791" s="61"/>
      <c r="W3791" s="92" t="s">
        <v>1065</v>
      </c>
      <c r="X3791" s="93" t="s">
        <v>30</v>
      </c>
      <c r="Y3791" s="93" t="s">
        <v>68</v>
      </c>
      <c r="Z3791" s="134">
        <f>VLOOKUP(W3791,Sheet2!$B:$D,3,FALSE)</f>
        <v>29</v>
      </c>
      <c r="AA3791" s="93">
        <v>1</v>
      </c>
      <c r="AB3791" s="93">
        <f>AD3791/AC3789</f>
        <v>29</v>
      </c>
      <c r="AC3791" s="93">
        <f>AC3789/AA3791</f>
        <v>6.233649999999983</v>
      </c>
      <c r="AD3791" s="94">
        <f>AC3791*Z3791</f>
        <v>180.77584999999951</v>
      </c>
      <c r="AE3791" s="190"/>
      <c r="AF3791" s="191"/>
      <c r="AG3791" s="191"/>
      <c r="AH3791" s="191"/>
      <c r="AI3791" s="186"/>
      <c r="AK3791" s="171"/>
    </row>
    <row r="3792" spans="1:41" s="102" customFormat="1" ht="19.899999999999999" customHeight="1" x14ac:dyDescent="0.25">
      <c r="A3792" s="45"/>
      <c r="B3792" s="59"/>
      <c r="C3792" s="137"/>
      <c r="D3792" s="59"/>
      <c r="E3792" s="116"/>
      <c r="F3792" s="120"/>
      <c r="G3792" s="120"/>
      <c r="H3792" s="120"/>
      <c r="I3792" s="60"/>
      <c r="J3792" s="116"/>
      <c r="K3792" s="213"/>
      <c r="L3792" s="120"/>
      <c r="M3792" s="120"/>
      <c r="N3792" s="167"/>
      <c r="O3792" s="120"/>
      <c r="P3792" s="120"/>
      <c r="Q3792" s="120"/>
      <c r="R3792" s="120"/>
      <c r="S3792" s="120"/>
      <c r="T3792" s="221"/>
      <c r="U3792" s="89"/>
      <c r="V3792" s="61"/>
      <c r="W3792" s="92" t="s">
        <v>1068</v>
      </c>
      <c r="X3792" s="93" t="s">
        <v>32</v>
      </c>
      <c r="Y3792" s="93" t="s">
        <v>68</v>
      </c>
      <c r="Z3792" s="134">
        <f>VLOOKUP(W3792,Sheet2!$B:$D,3,FALSE)</f>
        <v>60</v>
      </c>
      <c r="AA3792" s="93">
        <v>1</v>
      </c>
      <c r="AB3792" s="93">
        <f>AD3792/AC3789</f>
        <v>60</v>
      </c>
      <c r="AC3792" s="93">
        <f>AC3789/AA3792</f>
        <v>6.233649999999983</v>
      </c>
      <c r="AD3792" s="94">
        <f>AC3792*Z3792</f>
        <v>374.01899999999898</v>
      </c>
      <c r="AE3792" s="190"/>
      <c r="AF3792" s="191"/>
      <c r="AG3792" s="191"/>
      <c r="AH3792" s="191"/>
      <c r="AI3792" s="186"/>
      <c r="AK3792" s="171"/>
    </row>
    <row r="3793" spans="1:41" s="102" customFormat="1" ht="19.899999999999999" customHeight="1" x14ac:dyDescent="0.25">
      <c r="A3793" s="45"/>
      <c r="B3793" s="59"/>
      <c r="C3793" s="137"/>
      <c r="D3793" s="59"/>
      <c r="E3793" s="116"/>
      <c r="F3793" s="120"/>
      <c r="G3793" s="120"/>
      <c r="H3793" s="120"/>
      <c r="I3793" s="60"/>
      <c r="J3793" s="116"/>
      <c r="K3793" s="213"/>
      <c r="L3793" s="120"/>
      <c r="M3793" s="120"/>
      <c r="N3793" s="167"/>
      <c r="O3793" s="120"/>
      <c r="P3793" s="120"/>
      <c r="Q3793" s="120"/>
      <c r="R3793" s="120"/>
      <c r="S3793" s="120"/>
      <c r="T3793" s="221"/>
      <c r="U3793" s="89"/>
      <c r="V3793" s="61"/>
      <c r="W3793" s="92" t="s">
        <v>1032</v>
      </c>
      <c r="X3793" s="93" t="s">
        <v>30</v>
      </c>
      <c r="Y3793" s="93" t="s">
        <v>66</v>
      </c>
      <c r="Z3793" s="134">
        <f>VLOOKUP(W3793,Sheet2!$B:$D,3,FALSE)</f>
        <v>250</v>
      </c>
      <c r="AA3793" s="93">
        <f>1/(1.6*0.1)</f>
        <v>6.2499999999999991</v>
      </c>
      <c r="AB3793" s="93">
        <f>AD3793/AC3789</f>
        <v>40.000000000000007</v>
      </c>
      <c r="AC3793" s="93">
        <f>AC3789/AA3793</f>
        <v>0.99738399999999738</v>
      </c>
      <c r="AD3793" s="94">
        <f>AC3793*Z3793</f>
        <v>249.34599999999935</v>
      </c>
      <c r="AE3793" s="190"/>
      <c r="AF3793" s="191"/>
      <c r="AG3793" s="191"/>
      <c r="AH3793" s="191"/>
      <c r="AI3793" s="186"/>
      <c r="AK3793" s="171"/>
    </row>
    <row r="3794" spans="1:41" s="102" customFormat="1" ht="19.899999999999999" customHeight="1" x14ac:dyDescent="0.25">
      <c r="A3794" s="45"/>
      <c r="B3794" s="59"/>
      <c r="C3794" s="137"/>
      <c r="D3794" s="59"/>
      <c r="E3794" s="116"/>
      <c r="F3794" s="120"/>
      <c r="G3794" s="120"/>
      <c r="H3794" s="120"/>
      <c r="I3794" s="60"/>
      <c r="J3794" s="116"/>
      <c r="K3794" s="213"/>
      <c r="L3794" s="120"/>
      <c r="M3794" s="120"/>
      <c r="N3794" s="167"/>
      <c r="O3794" s="120"/>
      <c r="P3794" s="120"/>
      <c r="Q3794" s="120"/>
      <c r="R3794" s="120"/>
      <c r="S3794" s="120"/>
      <c r="T3794" s="221"/>
      <c r="U3794" s="89"/>
      <c r="V3794" s="61"/>
      <c r="W3794" s="92" t="s">
        <v>1035</v>
      </c>
      <c r="X3794" s="93" t="s">
        <v>32</v>
      </c>
      <c r="Y3794" s="93" t="s">
        <v>66</v>
      </c>
      <c r="Z3794" s="134">
        <f>VLOOKUP(W3794,Sheet2!$B:$D,3,FALSE)</f>
        <v>150</v>
      </c>
      <c r="AA3794" s="93">
        <f>AA3793</f>
        <v>6.2499999999999991</v>
      </c>
      <c r="AB3794" s="93">
        <f>AD3794/AC3789</f>
        <v>24.000000000000004</v>
      </c>
      <c r="AC3794" s="93">
        <f>AC3789/AA3794</f>
        <v>0.99738399999999738</v>
      </c>
      <c r="AD3794" s="94">
        <f t="shared" ref="AD3794:AD3795" si="2825">AC3794*Z3794</f>
        <v>149.60759999999962</v>
      </c>
      <c r="AE3794" s="190"/>
      <c r="AF3794" s="191"/>
      <c r="AG3794" s="191"/>
      <c r="AH3794" s="191"/>
      <c r="AI3794" s="186"/>
      <c r="AK3794" s="171"/>
    </row>
    <row r="3795" spans="1:41" s="102" customFormat="1" ht="19.899999999999999" customHeight="1" x14ac:dyDescent="0.25">
      <c r="A3795" s="45"/>
      <c r="B3795" s="59"/>
      <c r="C3795" s="137"/>
      <c r="D3795" s="59"/>
      <c r="E3795" s="116"/>
      <c r="F3795" s="120"/>
      <c r="G3795" s="120"/>
      <c r="H3795" s="120"/>
      <c r="I3795" s="60"/>
      <c r="J3795" s="116"/>
      <c r="K3795" s="213"/>
      <c r="L3795" s="120"/>
      <c r="M3795" s="120"/>
      <c r="N3795" s="167"/>
      <c r="O3795" s="120"/>
      <c r="P3795" s="120"/>
      <c r="Q3795" s="120"/>
      <c r="R3795" s="120"/>
      <c r="S3795" s="120"/>
      <c r="T3795" s="221"/>
      <c r="U3795" s="89"/>
      <c r="V3795" s="61"/>
      <c r="W3795" s="92" t="s">
        <v>1037</v>
      </c>
      <c r="X3795" s="93" t="s">
        <v>30</v>
      </c>
      <c r="Y3795" s="93" t="s">
        <v>1038</v>
      </c>
      <c r="Z3795" s="134">
        <f>VLOOKUP(W3795,Sheet2!$B:$D,3,FALSE)</f>
        <v>175</v>
      </c>
      <c r="AA3795" s="93">
        <v>300</v>
      </c>
      <c r="AB3795" s="93">
        <f>AD3795/AC3789</f>
        <v>0.58333333333333337</v>
      </c>
      <c r="AC3795" s="93">
        <f>AC3789/AA3795</f>
        <v>2.0778833333333278E-2</v>
      </c>
      <c r="AD3795" s="94">
        <f t="shared" si="2825"/>
        <v>3.6362958333333237</v>
      </c>
      <c r="AE3795" s="190"/>
      <c r="AF3795" s="191"/>
      <c r="AG3795" s="191"/>
      <c r="AH3795" s="191"/>
      <c r="AI3795" s="186"/>
      <c r="AK3795" s="171"/>
    </row>
    <row r="3796" spans="1:41" s="103" customFormat="1" ht="19.899999999999999" customHeight="1" x14ac:dyDescent="0.25">
      <c r="A3796" s="51"/>
      <c r="B3796" s="52"/>
      <c r="C3796" s="165"/>
      <c r="D3796" s="52"/>
      <c r="E3796" s="115"/>
      <c r="F3796" s="58"/>
      <c r="G3796" s="58"/>
      <c r="H3796" s="58"/>
      <c r="I3796" s="55"/>
      <c r="J3796" s="113">
        <f>J3778</f>
        <v>6.233649999999983</v>
      </c>
      <c r="K3796" s="212">
        <f>K3778</f>
        <v>6.233649999999983</v>
      </c>
      <c r="L3796" s="58"/>
      <c r="M3796" s="58">
        <f>K3796-L3796</f>
        <v>6.233649999999983</v>
      </c>
      <c r="N3796" s="166"/>
      <c r="O3796" s="58"/>
      <c r="P3796" s="58"/>
      <c r="Q3796" s="58"/>
      <c r="R3796" s="58"/>
      <c r="S3796" s="58"/>
      <c r="T3796" s="220"/>
      <c r="U3796" s="88"/>
      <c r="V3796" s="56"/>
      <c r="W3796" s="57" t="s">
        <v>1040</v>
      </c>
      <c r="X3796" s="53"/>
      <c r="Y3796" s="91" t="s">
        <v>68</v>
      </c>
      <c r="Z3796" s="136">
        <f>AD3796/AC3796</f>
        <v>5</v>
      </c>
      <c r="AA3796" s="58"/>
      <c r="AB3796" s="53">
        <f>AD3796/AC3796</f>
        <v>5</v>
      </c>
      <c r="AC3796" s="53">
        <f>M3796+$AE$10</f>
        <v>6.233649999999983</v>
      </c>
      <c r="AD3796" s="54">
        <f>SUM(AD3797)</f>
        <v>31.168249999999915</v>
      </c>
      <c r="AE3796" s="184">
        <f>SUMIFS($AD$37:$AD$12971,$V$37:$V$12971,$V3796,$X$37:$X$12971,AE$13)</f>
        <v>0</v>
      </c>
      <c r="AF3796" s="185">
        <f>SUMIFS($AD$37:$AD$12971,$V$37:$V$12971,$V3796,$X$37:$X$12971,AF$13)</f>
        <v>0</v>
      </c>
      <c r="AG3796" s="185">
        <f>SUMIFS($AD$37:$AD$12971,$V$37:$V$12971,$V3796,$X$37:$X$12971,AG$13)</f>
        <v>0</v>
      </c>
      <c r="AH3796" s="187">
        <f>SUMIFS($AD$37:$AD$12971,$V$37:$V$12971,$V3796,$X$37:$X$12971,AH$13)</f>
        <v>0</v>
      </c>
      <c r="AI3796" s="161">
        <f t="shared" ref="AI3796" si="2826">SUM(AE3796:AH3796)</f>
        <v>0</v>
      </c>
      <c r="AK3796" s="172"/>
    </row>
    <row r="3797" spans="1:41" s="102" customFormat="1" ht="19.899999999999999" customHeight="1" x14ac:dyDescent="0.25">
      <c r="A3797" s="45"/>
      <c r="B3797" s="59"/>
      <c r="C3797" s="137"/>
      <c r="D3797" s="59"/>
      <c r="E3797" s="116"/>
      <c r="F3797" s="120"/>
      <c r="G3797" s="120"/>
      <c r="H3797" s="120"/>
      <c r="I3797" s="60"/>
      <c r="J3797" s="116"/>
      <c r="K3797" s="213"/>
      <c r="L3797" s="120"/>
      <c r="M3797" s="120"/>
      <c r="N3797" s="167"/>
      <c r="O3797" s="120"/>
      <c r="P3797" s="120"/>
      <c r="Q3797" s="120"/>
      <c r="R3797" s="120"/>
      <c r="S3797" s="120"/>
      <c r="T3797" s="221"/>
      <c r="U3797" s="89"/>
      <c r="V3797" s="61"/>
      <c r="W3797" s="92" t="s">
        <v>1039</v>
      </c>
      <c r="X3797" s="93" t="s">
        <v>32</v>
      </c>
      <c r="Y3797" s="93" t="s">
        <v>68</v>
      </c>
      <c r="Z3797" s="134">
        <f>VLOOKUP(W3797,Sheet2!$B:$D,3,FALSE)</f>
        <v>5</v>
      </c>
      <c r="AA3797" s="93">
        <v>1</v>
      </c>
      <c r="AB3797" s="93">
        <f>AD3797/AC3796</f>
        <v>5</v>
      </c>
      <c r="AC3797" s="93">
        <f>AC3796/AA3797</f>
        <v>6.233649999999983</v>
      </c>
      <c r="AD3797" s="94">
        <f t="shared" ref="AD3797" si="2827">AC3797*Z3797</f>
        <v>31.168249999999915</v>
      </c>
      <c r="AE3797" s="190"/>
      <c r="AF3797" s="191"/>
      <c r="AG3797" s="191"/>
      <c r="AH3797" s="191"/>
      <c r="AI3797" s="186"/>
      <c r="AK3797" s="171"/>
    </row>
    <row r="3798" spans="1:41" ht="20.100000000000001" customHeight="1" x14ac:dyDescent="0.25">
      <c r="A3798" s="277" t="s">
        <v>491</v>
      </c>
      <c r="B3798" s="278"/>
      <c r="C3798" s="64" t="s">
        <v>495</v>
      </c>
      <c r="D3798" s="46" t="s">
        <v>97</v>
      </c>
      <c r="E3798" s="114">
        <v>3.9249999999999972</v>
      </c>
      <c r="F3798" s="44">
        <v>803</v>
      </c>
      <c r="G3798" s="44">
        <f t="shared" si="2434"/>
        <v>3151.7749999999978</v>
      </c>
      <c r="H3798" s="44">
        <f t="shared" si="2435"/>
        <v>542.83115450980392</v>
      </c>
      <c r="I3798" s="43">
        <f t="shared" si="2436"/>
        <v>2130.612281450979</v>
      </c>
      <c r="J3798" s="112">
        <f t="shared" si="2437"/>
        <v>3.9249999999999972</v>
      </c>
      <c r="K3798" s="211">
        <f t="shared" si="2438"/>
        <v>3.9249999999999972</v>
      </c>
      <c r="L3798" s="44"/>
      <c r="M3798" s="44">
        <f t="shared" si="2458"/>
        <v>3.9249999999999972</v>
      </c>
      <c r="N3798" s="173">
        <f t="shared" si="2439"/>
        <v>1</v>
      </c>
      <c r="O3798" s="44">
        <f t="shared" si="2440"/>
        <v>803</v>
      </c>
      <c r="P3798" s="44">
        <f t="shared" si="2441"/>
        <v>3151.7749999999978</v>
      </c>
      <c r="Q3798" s="44">
        <f t="shared" si="2442"/>
        <v>542.83115450980392</v>
      </c>
      <c r="R3798" s="44">
        <f t="shared" si="2459"/>
        <v>2130.612281450979</v>
      </c>
      <c r="S3798" s="123"/>
      <c r="T3798" s="219">
        <f t="shared" si="2460"/>
        <v>2130.612281450979</v>
      </c>
      <c r="U3798" s="87"/>
      <c r="V3798" s="47"/>
      <c r="W3798" s="48"/>
      <c r="X3798" s="48"/>
      <c r="Y3798" s="48"/>
      <c r="Z3798" s="135"/>
      <c r="AA3798" s="49"/>
      <c r="AB3798" s="50">
        <f t="shared" si="2443"/>
        <v>542.83115450980392</v>
      </c>
      <c r="AC3798" s="42">
        <f t="shared" si="2461"/>
        <v>3.9249999999999972</v>
      </c>
      <c r="AD3798" s="90">
        <f>AD3799+AD3809+AD3816</f>
        <v>2130.612281450979</v>
      </c>
      <c r="AE3798" s="188">
        <f t="shared" ref="AE3798" si="2828">AE3799+AE3809+AE3816</f>
        <v>0</v>
      </c>
      <c r="AF3798" s="189">
        <f t="shared" ref="AF3798" si="2829">AF3799+AF3809+AF3816</f>
        <v>0</v>
      </c>
      <c r="AG3798" s="189">
        <f t="shared" ref="AG3798" si="2830">AG3799+AG3809+AG3816</f>
        <v>0</v>
      </c>
      <c r="AH3798" s="189">
        <f t="shared" ref="AH3798" si="2831">AH3799+AH3809+AH3816</f>
        <v>0</v>
      </c>
      <c r="AI3798" s="161">
        <f t="shared" ref="AI3798" si="2832">SUM(AE3798:AH3798)</f>
        <v>0</v>
      </c>
      <c r="AK3798" s="169">
        <v>5</v>
      </c>
      <c r="AO3798" s="19" t="s">
        <v>63</v>
      </c>
    </row>
    <row r="3799" spans="1:41" s="103" customFormat="1" ht="19.899999999999999" customHeight="1" x14ac:dyDescent="0.25">
      <c r="A3799" s="51"/>
      <c r="B3799" s="52"/>
      <c r="C3799" s="165"/>
      <c r="D3799" s="52"/>
      <c r="E3799" s="115"/>
      <c r="F3799" s="58"/>
      <c r="G3799" s="58"/>
      <c r="H3799" s="58"/>
      <c r="I3799" s="55"/>
      <c r="J3799" s="113">
        <f>J3798</f>
        <v>3.9249999999999972</v>
      </c>
      <c r="K3799" s="212">
        <f>K3798</f>
        <v>3.9249999999999972</v>
      </c>
      <c r="L3799" s="58"/>
      <c r="M3799" s="58">
        <f>K3799-L3799</f>
        <v>3.9249999999999972</v>
      </c>
      <c r="N3799" s="166"/>
      <c r="O3799" s="58"/>
      <c r="P3799" s="58"/>
      <c r="Q3799" s="58"/>
      <c r="R3799" s="58"/>
      <c r="S3799" s="58"/>
      <c r="T3799" s="220"/>
      <c r="U3799" s="88"/>
      <c r="V3799" s="56"/>
      <c r="W3799" s="57" t="s">
        <v>1239</v>
      </c>
      <c r="X3799" s="53"/>
      <c r="Y3799" s="91" t="s">
        <v>68</v>
      </c>
      <c r="Z3799" s="136">
        <f>AD3799/AC3799</f>
        <v>94.24782117647058</v>
      </c>
      <c r="AA3799" s="58"/>
      <c r="AB3799" s="53">
        <f>AD3799/AC3799</f>
        <v>94.24782117647058</v>
      </c>
      <c r="AC3799" s="53">
        <f>M3799+$AE$10</f>
        <v>3.9249999999999972</v>
      </c>
      <c r="AD3799" s="54">
        <f>SUM(AD3800:AD3808)</f>
        <v>369.92269811764675</v>
      </c>
      <c r="AE3799" s="184">
        <f>SUMIFS($AD$37:$AD$12971,$V$37:$V$12971,$V3799,$X$37:$X$12971,AE$13)</f>
        <v>0</v>
      </c>
      <c r="AF3799" s="185">
        <f>SUMIFS($AD$37:$AD$12971,$V$37:$V$12971,$V3799,$X$37:$X$12971,AF$13)</f>
        <v>0</v>
      </c>
      <c r="AG3799" s="185">
        <f>SUMIFS($AD$37:$AD$12971,$V$37:$V$12971,$V3799,$X$37:$X$12971,AG$13)</f>
        <v>0</v>
      </c>
      <c r="AH3799" s="187">
        <f>SUMIFS($AD$37:$AD$12971,$V$37:$V$12971,$V3799,$X$37:$X$12971,AH$13)</f>
        <v>0</v>
      </c>
      <c r="AI3799" s="161">
        <f t="shared" ref="AI3799" si="2833">SUM(AE3799:AH3799)</f>
        <v>0</v>
      </c>
      <c r="AK3799" s="172"/>
    </row>
    <row r="3800" spans="1:41" s="102" customFormat="1" ht="19.899999999999999" customHeight="1" x14ac:dyDescent="0.25">
      <c r="A3800" s="45"/>
      <c r="B3800" s="59"/>
      <c r="C3800" s="137"/>
      <c r="D3800" s="59"/>
      <c r="E3800" s="116"/>
      <c r="F3800" s="120"/>
      <c r="G3800" s="120"/>
      <c r="H3800" s="120"/>
      <c r="I3800" s="60"/>
      <c r="J3800" s="116"/>
      <c r="K3800" s="213"/>
      <c r="L3800" s="120"/>
      <c r="M3800" s="120"/>
      <c r="N3800" s="167"/>
      <c r="O3800" s="120"/>
      <c r="P3800" s="120"/>
      <c r="Q3800" s="120"/>
      <c r="R3800" s="120"/>
      <c r="S3800" s="120"/>
      <c r="T3800" s="221"/>
      <c r="U3800" s="89"/>
      <c r="V3800" s="61"/>
      <c r="W3800" s="92" t="s">
        <v>129</v>
      </c>
      <c r="X3800" s="93" t="s">
        <v>29</v>
      </c>
      <c r="Y3800" s="93" t="s">
        <v>93</v>
      </c>
      <c r="Z3800" s="134">
        <f>VLOOKUP(W3800,Sheet2!$B:$D,3,FALSE)</f>
        <v>56</v>
      </c>
      <c r="AA3800" s="93">
        <f>100/(1.6*4.5)</f>
        <v>13.888888888888889</v>
      </c>
      <c r="AB3800" s="93">
        <f t="shared" ref="AB3800" si="2834">AD3800/AC3799</f>
        <v>4.032</v>
      </c>
      <c r="AC3800" s="93">
        <f>AC3799/AA3800</f>
        <v>0.2825999999999998</v>
      </c>
      <c r="AD3800" s="94">
        <f t="shared" ref="AD3800:AD3801" si="2835">AC3800*Z3800</f>
        <v>15.825599999999989</v>
      </c>
      <c r="AE3800" s="190"/>
      <c r="AF3800" s="191"/>
      <c r="AG3800" s="191"/>
      <c r="AH3800" s="191"/>
      <c r="AI3800" s="186"/>
      <c r="AK3800" s="171"/>
    </row>
    <row r="3801" spans="1:41" s="102" customFormat="1" ht="19.899999999999999" customHeight="1" x14ac:dyDescent="0.25">
      <c r="A3801" s="45"/>
      <c r="B3801" s="59"/>
      <c r="C3801" s="137"/>
      <c r="D3801" s="59"/>
      <c r="E3801" s="116"/>
      <c r="F3801" s="120"/>
      <c r="G3801" s="120"/>
      <c r="H3801" s="120"/>
      <c r="I3801" s="60"/>
      <c r="J3801" s="116"/>
      <c r="K3801" s="213"/>
      <c r="L3801" s="120"/>
      <c r="M3801" s="120"/>
      <c r="N3801" s="167"/>
      <c r="O3801" s="120"/>
      <c r="P3801" s="120"/>
      <c r="Q3801" s="120"/>
      <c r="R3801" s="120"/>
      <c r="S3801" s="120"/>
      <c r="T3801" s="221"/>
      <c r="U3801" s="89"/>
      <c r="V3801" s="61"/>
      <c r="W3801" s="92" t="s">
        <v>65</v>
      </c>
      <c r="X3801" s="93" t="s">
        <v>30</v>
      </c>
      <c r="Y3801" s="93" t="s">
        <v>1011</v>
      </c>
      <c r="Z3801" s="134">
        <f>VLOOKUP(W3801,Sheet2!$B:$D,3,FALSE)</f>
        <v>1.76</v>
      </c>
      <c r="AA3801" s="93">
        <f>AA3800/14</f>
        <v>0.99206349206349209</v>
      </c>
      <c r="AB3801" s="93">
        <f>AD3801/AC3799</f>
        <v>1.7740799999999999</v>
      </c>
      <c r="AC3801" s="93">
        <f>AC3799/AA3801</f>
        <v>3.9563999999999968</v>
      </c>
      <c r="AD3801" s="94">
        <f t="shared" si="2835"/>
        <v>6.9632639999999943</v>
      </c>
      <c r="AE3801" s="190"/>
      <c r="AF3801" s="191"/>
      <c r="AG3801" s="191"/>
      <c r="AH3801" s="191"/>
      <c r="AI3801" s="186"/>
      <c r="AK3801" s="171"/>
    </row>
    <row r="3802" spans="1:41" s="102" customFormat="1" ht="19.899999999999999" customHeight="1" x14ac:dyDescent="0.25">
      <c r="A3802" s="45"/>
      <c r="B3802" s="59"/>
      <c r="C3802" s="137"/>
      <c r="D3802" s="59"/>
      <c r="E3802" s="116"/>
      <c r="F3802" s="120"/>
      <c r="G3802" s="120"/>
      <c r="H3802" s="120"/>
      <c r="I3802" s="60"/>
      <c r="J3802" s="116"/>
      <c r="K3802" s="213"/>
      <c r="L3802" s="120"/>
      <c r="M3802" s="120"/>
      <c r="N3802" s="167"/>
      <c r="O3802" s="120"/>
      <c r="P3802" s="120"/>
      <c r="Q3802" s="120"/>
      <c r="R3802" s="120"/>
      <c r="S3802" s="120"/>
      <c r="T3802" s="221"/>
      <c r="U3802" s="89"/>
      <c r="V3802" s="61"/>
      <c r="W3802" s="92" t="s">
        <v>161</v>
      </c>
      <c r="X3802" s="93" t="s">
        <v>29</v>
      </c>
      <c r="Y3802" s="93" t="s">
        <v>93</v>
      </c>
      <c r="Z3802" s="134">
        <f>VLOOKUP(W3802,Sheet2!$B:$D,3,FALSE)</f>
        <v>48</v>
      </c>
      <c r="AA3802" s="93">
        <f>(16*0.85*1.5)/(1.6*4.5)</f>
        <v>2.833333333333333</v>
      </c>
      <c r="AB3802" s="93">
        <f>AD3802/AC3799</f>
        <v>16.941176470588236</v>
      </c>
      <c r="AC3802" s="93">
        <f>AC3799/AA3802</f>
        <v>1.3852941176470579</v>
      </c>
      <c r="AD3802" s="94">
        <f>AC3802*Z3802</f>
        <v>66.494117647058772</v>
      </c>
      <c r="AE3802" s="190"/>
      <c r="AF3802" s="191"/>
      <c r="AG3802" s="191"/>
      <c r="AH3802" s="191"/>
      <c r="AI3802" s="186"/>
      <c r="AK3802" s="171"/>
    </row>
    <row r="3803" spans="1:41" s="102" customFormat="1" ht="19.899999999999999" customHeight="1" x14ac:dyDescent="0.25">
      <c r="A3803" s="45"/>
      <c r="B3803" s="59"/>
      <c r="C3803" s="137"/>
      <c r="D3803" s="59"/>
      <c r="E3803" s="116"/>
      <c r="F3803" s="120"/>
      <c r="G3803" s="120"/>
      <c r="H3803" s="120"/>
      <c r="I3803" s="60"/>
      <c r="J3803" s="116"/>
      <c r="K3803" s="213"/>
      <c r="L3803" s="120"/>
      <c r="M3803" s="120"/>
      <c r="N3803" s="167"/>
      <c r="O3803" s="120"/>
      <c r="P3803" s="120"/>
      <c r="Q3803" s="120"/>
      <c r="R3803" s="120"/>
      <c r="S3803" s="120"/>
      <c r="T3803" s="221"/>
      <c r="U3803" s="89"/>
      <c r="V3803" s="61"/>
      <c r="W3803" s="92" t="s">
        <v>65</v>
      </c>
      <c r="X3803" s="93" t="s">
        <v>30</v>
      </c>
      <c r="Y3803" s="93" t="s">
        <v>1011</v>
      </c>
      <c r="Z3803" s="134">
        <f>VLOOKUP(W3803,Sheet2!$B:$D,3,FALSE)</f>
        <v>1.76</v>
      </c>
      <c r="AA3803" s="93">
        <f>AA3802/10</f>
        <v>0.28333333333333333</v>
      </c>
      <c r="AB3803" s="93">
        <f>AD3803/AC3799</f>
        <v>6.2117647058823531</v>
      </c>
      <c r="AC3803" s="93">
        <f>AC3799/AA3803</f>
        <v>13.852941176470578</v>
      </c>
      <c r="AD3803" s="94">
        <f>AC3803*Z3803</f>
        <v>24.381176470588219</v>
      </c>
      <c r="AE3803" s="190"/>
      <c r="AF3803" s="191"/>
      <c r="AG3803" s="191"/>
      <c r="AH3803" s="191"/>
      <c r="AI3803" s="186"/>
      <c r="AK3803" s="171"/>
    </row>
    <row r="3804" spans="1:41" s="102" customFormat="1" ht="19.899999999999999" customHeight="1" x14ac:dyDescent="0.25">
      <c r="A3804" s="45"/>
      <c r="B3804" s="59"/>
      <c r="C3804" s="137"/>
      <c r="D3804" s="59"/>
      <c r="E3804" s="116"/>
      <c r="F3804" s="120"/>
      <c r="G3804" s="120"/>
      <c r="H3804" s="120"/>
      <c r="I3804" s="60"/>
      <c r="J3804" s="116"/>
      <c r="K3804" s="213"/>
      <c r="L3804" s="120"/>
      <c r="M3804" s="120"/>
      <c r="N3804" s="167"/>
      <c r="O3804" s="120"/>
      <c r="P3804" s="120"/>
      <c r="Q3804" s="120"/>
      <c r="R3804" s="120"/>
      <c r="S3804" s="120"/>
      <c r="T3804" s="221"/>
      <c r="U3804" s="89"/>
      <c r="V3804" s="61"/>
      <c r="W3804" s="92" t="s">
        <v>1030</v>
      </c>
      <c r="X3804" s="93" t="s">
        <v>29</v>
      </c>
      <c r="Y3804" s="93" t="s">
        <v>93</v>
      </c>
      <c r="Z3804" s="134">
        <f>VLOOKUP(W3804,Sheet2!$B:$D,3,FALSE)</f>
        <v>23</v>
      </c>
      <c r="AA3804" s="93">
        <v>50</v>
      </c>
      <c r="AB3804" s="93">
        <f>AD3804/AC3799</f>
        <v>0.46</v>
      </c>
      <c r="AC3804" s="93">
        <f>AC3799/AA3804</f>
        <v>7.8499999999999945E-2</v>
      </c>
      <c r="AD3804" s="94">
        <f t="shared" ref="AD3804:AD3808" si="2836">AC3804*Z3804</f>
        <v>1.8054999999999988</v>
      </c>
      <c r="AE3804" s="190"/>
      <c r="AF3804" s="191"/>
      <c r="AG3804" s="191"/>
      <c r="AH3804" s="191"/>
      <c r="AI3804" s="186"/>
      <c r="AK3804" s="171"/>
    </row>
    <row r="3805" spans="1:41" s="102" customFormat="1" ht="19.899999999999999" customHeight="1" x14ac:dyDescent="0.25">
      <c r="A3805" s="45"/>
      <c r="B3805" s="59"/>
      <c r="C3805" s="137"/>
      <c r="D3805" s="59"/>
      <c r="E3805" s="116"/>
      <c r="F3805" s="120"/>
      <c r="G3805" s="120"/>
      <c r="H3805" s="120"/>
      <c r="I3805" s="60"/>
      <c r="J3805" s="116"/>
      <c r="K3805" s="213"/>
      <c r="L3805" s="120"/>
      <c r="M3805" s="120"/>
      <c r="N3805" s="167"/>
      <c r="O3805" s="120"/>
      <c r="P3805" s="120"/>
      <c r="Q3805" s="120"/>
      <c r="R3805" s="120"/>
      <c r="S3805" s="120"/>
      <c r="T3805" s="221"/>
      <c r="U3805" s="89"/>
      <c r="V3805" s="61"/>
      <c r="W3805" s="92" t="s">
        <v>65</v>
      </c>
      <c r="X3805" s="93" t="s">
        <v>30</v>
      </c>
      <c r="Y3805" s="93" t="s">
        <v>1011</v>
      </c>
      <c r="Z3805" s="134">
        <f>VLOOKUP(W3805,Sheet2!$B:$D,3,FALSE)</f>
        <v>1.76</v>
      </c>
      <c r="AA3805" s="93">
        <f>AA3804/3</f>
        <v>16.666666666666668</v>
      </c>
      <c r="AB3805" s="93">
        <f>AD3805/AC3799</f>
        <v>0.1056</v>
      </c>
      <c r="AC3805" s="93">
        <f>AC3799/AA3805</f>
        <v>0.23549999999999982</v>
      </c>
      <c r="AD3805" s="94">
        <f t="shared" si="2836"/>
        <v>0.41447999999999968</v>
      </c>
      <c r="AE3805" s="190"/>
      <c r="AF3805" s="191"/>
      <c r="AG3805" s="191"/>
      <c r="AH3805" s="191"/>
      <c r="AI3805" s="186"/>
      <c r="AK3805" s="171"/>
    </row>
    <row r="3806" spans="1:41" s="102" customFormat="1" ht="19.899999999999999" customHeight="1" x14ac:dyDescent="0.25">
      <c r="A3806" s="45"/>
      <c r="B3806" s="59"/>
      <c r="C3806" s="137"/>
      <c r="D3806" s="59"/>
      <c r="E3806" s="116"/>
      <c r="F3806" s="120"/>
      <c r="G3806" s="120"/>
      <c r="H3806" s="120"/>
      <c r="I3806" s="60"/>
      <c r="J3806" s="116"/>
      <c r="K3806" s="213"/>
      <c r="L3806" s="120"/>
      <c r="M3806" s="120"/>
      <c r="N3806" s="167"/>
      <c r="O3806" s="120"/>
      <c r="P3806" s="120"/>
      <c r="Q3806" s="120"/>
      <c r="R3806" s="120"/>
      <c r="S3806" s="120"/>
      <c r="T3806" s="221"/>
      <c r="U3806" s="89"/>
      <c r="V3806" s="61"/>
      <c r="W3806" s="92" t="s">
        <v>148</v>
      </c>
      <c r="X3806" s="93" t="s">
        <v>29</v>
      </c>
      <c r="Y3806" s="93" t="s">
        <v>93</v>
      </c>
      <c r="Z3806" s="134">
        <f>VLOOKUP(W3806,Sheet2!$B:$D,3,FALSE)</f>
        <v>48</v>
      </c>
      <c r="AA3806" s="93">
        <f>AA3800</f>
        <v>13.888888888888889</v>
      </c>
      <c r="AB3806" s="93">
        <f>AD3806/AC3799</f>
        <v>3.4560000000000004</v>
      </c>
      <c r="AC3806" s="93">
        <f>AC3799/AA3806</f>
        <v>0.2825999999999998</v>
      </c>
      <c r="AD3806" s="94">
        <f t="shared" si="2836"/>
        <v>13.564799999999991</v>
      </c>
      <c r="AE3806" s="190"/>
      <c r="AF3806" s="191"/>
      <c r="AG3806" s="191"/>
      <c r="AH3806" s="191"/>
      <c r="AI3806" s="186"/>
      <c r="AK3806" s="171"/>
    </row>
    <row r="3807" spans="1:41" s="102" customFormat="1" ht="19.899999999999999" customHeight="1" x14ac:dyDescent="0.25">
      <c r="A3807" s="45"/>
      <c r="B3807" s="59"/>
      <c r="C3807" s="137"/>
      <c r="D3807" s="59"/>
      <c r="E3807" s="116"/>
      <c r="F3807" s="120"/>
      <c r="G3807" s="120"/>
      <c r="H3807" s="120"/>
      <c r="I3807" s="60"/>
      <c r="J3807" s="116"/>
      <c r="K3807" s="213"/>
      <c r="L3807" s="120"/>
      <c r="M3807" s="120"/>
      <c r="N3807" s="167"/>
      <c r="O3807" s="120"/>
      <c r="P3807" s="120"/>
      <c r="Q3807" s="120"/>
      <c r="R3807" s="120"/>
      <c r="S3807" s="120"/>
      <c r="T3807" s="221"/>
      <c r="U3807" s="89"/>
      <c r="V3807" s="61"/>
      <c r="W3807" s="92" t="s">
        <v>65</v>
      </c>
      <c r="X3807" s="93" t="s">
        <v>30</v>
      </c>
      <c r="Y3807" s="93" t="s">
        <v>1011</v>
      </c>
      <c r="Z3807" s="134">
        <f>VLOOKUP(W3807,Sheet2!$B:$D,3,FALSE)</f>
        <v>1.76</v>
      </c>
      <c r="AA3807" s="93">
        <f>AA3806/10</f>
        <v>1.3888888888888888</v>
      </c>
      <c r="AB3807" s="93">
        <f>AD3807/AC3799</f>
        <v>1.2671999999999999</v>
      </c>
      <c r="AC3807" s="93">
        <f>AC3799/AA3807</f>
        <v>2.8259999999999978</v>
      </c>
      <c r="AD3807" s="94">
        <f t="shared" si="2836"/>
        <v>4.973759999999996</v>
      </c>
      <c r="AE3807" s="190"/>
      <c r="AF3807" s="191"/>
      <c r="AG3807" s="191"/>
      <c r="AH3807" s="191"/>
      <c r="AI3807" s="186"/>
      <c r="AK3807" s="171"/>
    </row>
    <row r="3808" spans="1:41" s="102" customFormat="1" ht="19.899999999999999" customHeight="1" x14ac:dyDescent="0.25">
      <c r="A3808" s="45"/>
      <c r="B3808" s="59"/>
      <c r="C3808" s="137"/>
      <c r="D3808" s="59"/>
      <c r="E3808" s="116"/>
      <c r="F3808" s="120"/>
      <c r="G3808" s="120"/>
      <c r="H3808" s="120"/>
      <c r="I3808" s="60"/>
      <c r="J3808" s="116"/>
      <c r="K3808" s="213"/>
      <c r="L3808" s="120"/>
      <c r="M3808" s="120"/>
      <c r="N3808" s="167"/>
      <c r="O3808" s="120"/>
      <c r="P3808" s="120"/>
      <c r="Q3808" s="120"/>
      <c r="R3808" s="120"/>
      <c r="S3808" s="120"/>
      <c r="T3808" s="221"/>
      <c r="U3808" s="89"/>
      <c r="V3808" s="61"/>
      <c r="W3808" s="92" t="s">
        <v>1049</v>
      </c>
      <c r="X3808" s="93" t="s">
        <v>30</v>
      </c>
      <c r="Y3808" s="93" t="s">
        <v>68</v>
      </c>
      <c r="Z3808" s="134">
        <f>VLOOKUP(W3808,Sheet2!$B:$D,3,FALSE)</f>
        <v>60</v>
      </c>
      <c r="AA3808" s="93">
        <v>1</v>
      </c>
      <c r="AB3808" s="93">
        <f>AD3808/AC3799</f>
        <v>60</v>
      </c>
      <c r="AC3808" s="93">
        <f>AC3799/AA3808</f>
        <v>3.9249999999999972</v>
      </c>
      <c r="AD3808" s="94">
        <f t="shared" si="2836"/>
        <v>235.49999999999983</v>
      </c>
      <c r="AE3808" s="190"/>
      <c r="AF3808" s="191"/>
      <c r="AG3808" s="191"/>
      <c r="AH3808" s="191"/>
      <c r="AI3808" s="186"/>
      <c r="AK3808" s="171"/>
    </row>
    <row r="3809" spans="1:41" s="103" customFormat="1" ht="19.899999999999999" customHeight="1" x14ac:dyDescent="0.25">
      <c r="A3809" s="51"/>
      <c r="B3809" s="52"/>
      <c r="C3809" s="165"/>
      <c r="D3809" s="52"/>
      <c r="E3809" s="115"/>
      <c r="F3809" s="58"/>
      <c r="G3809" s="58"/>
      <c r="H3809" s="58"/>
      <c r="I3809" s="55"/>
      <c r="J3809" s="113">
        <f>J3798</f>
        <v>3.9249999999999972</v>
      </c>
      <c r="K3809" s="212">
        <f>K3798</f>
        <v>3.9249999999999972</v>
      </c>
      <c r="L3809" s="58"/>
      <c r="M3809" s="58">
        <f>K3809-L3809</f>
        <v>3.9249999999999972</v>
      </c>
      <c r="N3809" s="166"/>
      <c r="O3809" s="58"/>
      <c r="P3809" s="58"/>
      <c r="Q3809" s="58"/>
      <c r="R3809" s="58"/>
      <c r="S3809" s="58"/>
      <c r="T3809" s="220"/>
      <c r="U3809" s="88"/>
      <c r="V3809" s="56"/>
      <c r="W3809" s="57" t="s">
        <v>1036</v>
      </c>
      <c r="X3809" s="53"/>
      <c r="Y3809" s="91" t="s">
        <v>68</v>
      </c>
      <c r="Z3809" s="136">
        <f>AD3809/AC3809</f>
        <v>443.58333333333337</v>
      </c>
      <c r="AA3809" s="58"/>
      <c r="AB3809" s="53">
        <f>AD3809/AC3809</f>
        <v>443.58333333333337</v>
      </c>
      <c r="AC3809" s="53">
        <f>M3809+$AE$10</f>
        <v>3.9249999999999972</v>
      </c>
      <c r="AD3809" s="54">
        <f>SUM(AD3810:AD3815)</f>
        <v>1741.0645833333322</v>
      </c>
      <c r="AE3809" s="184">
        <f>SUMIFS($AD$37:$AD$12971,$V$37:$V$12971,$V3809,$X$37:$X$12971,AE$13)</f>
        <v>0</v>
      </c>
      <c r="AF3809" s="185">
        <f>SUMIFS($AD$37:$AD$12971,$V$37:$V$12971,$V3809,$X$37:$X$12971,AF$13)</f>
        <v>0</v>
      </c>
      <c r="AG3809" s="185">
        <f>SUMIFS($AD$37:$AD$12971,$V$37:$V$12971,$V3809,$X$37:$X$12971,AG$13)</f>
        <v>0</v>
      </c>
      <c r="AH3809" s="187">
        <f>SUMIFS($AD$37:$AD$12971,$V$37:$V$12971,$V3809,$X$37:$X$12971,AH$13)</f>
        <v>0</v>
      </c>
      <c r="AI3809" s="161">
        <f t="shared" ref="AI3809" si="2837">SUM(AE3809:AH3809)</f>
        <v>0</v>
      </c>
      <c r="AK3809" s="172"/>
    </row>
    <row r="3810" spans="1:41" s="102" customFormat="1" ht="19.899999999999999" customHeight="1" x14ac:dyDescent="0.25">
      <c r="A3810" s="45"/>
      <c r="B3810" s="59"/>
      <c r="C3810" s="137"/>
      <c r="D3810" s="59"/>
      <c r="E3810" s="116"/>
      <c r="F3810" s="120"/>
      <c r="G3810" s="120"/>
      <c r="H3810" s="120"/>
      <c r="I3810" s="60"/>
      <c r="J3810" s="116"/>
      <c r="K3810" s="213"/>
      <c r="L3810" s="120"/>
      <c r="M3810" s="120"/>
      <c r="N3810" s="167"/>
      <c r="O3810" s="120"/>
      <c r="P3810" s="120"/>
      <c r="Q3810" s="120"/>
      <c r="R3810" s="120"/>
      <c r="S3810" s="120"/>
      <c r="T3810" s="221"/>
      <c r="U3810" s="89"/>
      <c r="V3810" s="61"/>
      <c r="W3810" s="92" t="s">
        <v>1058</v>
      </c>
      <c r="X3810" s="93" t="s">
        <v>30</v>
      </c>
      <c r="Y3810" s="93" t="s">
        <v>68</v>
      </c>
      <c r="Z3810" s="134">
        <f>VLOOKUP(W3810,Sheet2!$B:$D,3,FALSE)</f>
        <v>290</v>
      </c>
      <c r="AA3810" s="93">
        <v>1</v>
      </c>
      <c r="AB3810" s="93">
        <f>AD3810/AC3809</f>
        <v>290</v>
      </c>
      <c r="AC3810" s="93">
        <f>AC3809/AA3810</f>
        <v>3.9249999999999972</v>
      </c>
      <c r="AD3810" s="94">
        <f t="shared" ref="AD3810" si="2838">AC3810*Z3810</f>
        <v>1138.2499999999991</v>
      </c>
      <c r="AE3810" s="190"/>
      <c r="AF3810" s="191"/>
      <c r="AG3810" s="191"/>
      <c r="AH3810" s="191"/>
      <c r="AI3810" s="186"/>
      <c r="AK3810" s="171"/>
    </row>
    <row r="3811" spans="1:41" s="102" customFormat="1" ht="19.899999999999999" customHeight="1" x14ac:dyDescent="0.25">
      <c r="A3811" s="45"/>
      <c r="B3811" s="59"/>
      <c r="C3811" s="137"/>
      <c r="D3811" s="59"/>
      <c r="E3811" s="116"/>
      <c r="F3811" s="120"/>
      <c r="G3811" s="120"/>
      <c r="H3811" s="120"/>
      <c r="I3811" s="60"/>
      <c r="J3811" s="116"/>
      <c r="K3811" s="213"/>
      <c r="L3811" s="120"/>
      <c r="M3811" s="120"/>
      <c r="N3811" s="167"/>
      <c r="O3811" s="120"/>
      <c r="P3811" s="120"/>
      <c r="Q3811" s="120"/>
      <c r="R3811" s="120"/>
      <c r="S3811" s="120"/>
      <c r="T3811" s="221"/>
      <c r="U3811" s="89"/>
      <c r="V3811" s="61"/>
      <c r="W3811" s="92" t="s">
        <v>1065</v>
      </c>
      <c r="X3811" s="93" t="s">
        <v>30</v>
      </c>
      <c r="Y3811" s="93" t="s">
        <v>68</v>
      </c>
      <c r="Z3811" s="134">
        <f>VLOOKUP(W3811,Sheet2!$B:$D,3,FALSE)</f>
        <v>29</v>
      </c>
      <c r="AA3811" s="93">
        <v>1</v>
      </c>
      <c r="AB3811" s="93">
        <f>AD3811/AC3809</f>
        <v>29</v>
      </c>
      <c r="AC3811" s="93">
        <f>AC3809/AA3811</f>
        <v>3.9249999999999972</v>
      </c>
      <c r="AD3811" s="94">
        <f>AC3811*Z3811</f>
        <v>113.82499999999992</v>
      </c>
      <c r="AE3811" s="190"/>
      <c r="AF3811" s="191"/>
      <c r="AG3811" s="191"/>
      <c r="AH3811" s="191"/>
      <c r="AI3811" s="186"/>
      <c r="AK3811" s="171"/>
    </row>
    <row r="3812" spans="1:41" s="102" customFormat="1" ht="19.899999999999999" customHeight="1" x14ac:dyDescent="0.25">
      <c r="A3812" s="45"/>
      <c r="B3812" s="59"/>
      <c r="C3812" s="137"/>
      <c r="D3812" s="59"/>
      <c r="E3812" s="116"/>
      <c r="F3812" s="120"/>
      <c r="G3812" s="120"/>
      <c r="H3812" s="120"/>
      <c r="I3812" s="60"/>
      <c r="J3812" s="116"/>
      <c r="K3812" s="213"/>
      <c r="L3812" s="120"/>
      <c r="M3812" s="120"/>
      <c r="N3812" s="167"/>
      <c r="O3812" s="120"/>
      <c r="P3812" s="120"/>
      <c r="Q3812" s="120"/>
      <c r="R3812" s="120"/>
      <c r="S3812" s="120"/>
      <c r="T3812" s="221"/>
      <c r="U3812" s="89"/>
      <c r="V3812" s="61"/>
      <c r="W3812" s="92" t="s">
        <v>1068</v>
      </c>
      <c r="X3812" s="93" t="s">
        <v>32</v>
      </c>
      <c r="Y3812" s="93" t="s">
        <v>68</v>
      </c>
      <c r="Z3812" s="134">
        <f>VLOOKUP(W3812,Sheet2!$B:$D,3,FALSE)</f>
        <v>60</v>
      </c>
      <c r="AA3812" s="93">
        <v>1</v>
      </c>
      <c r="AB3812" s="93">
        <f>AD3812/AC3809</f>
        <v>60</v>
      </c>
      <c r="AC3812" s="93">
        <f>AC3809/AA3812</f>
        <v>3.9249999999999972</v>
      </c>
      <c r="AD3812" s="94">
        <f>AC3812*Z3812</f>
        <v>235.49999999999983</v>
      </c>
      <c r="AE3812" s="190"/>
      <c r="AF3812" s="191"/>
      <c r="AG3812" s="191"/>
      <c r="AH3812" s="191"/>
      <c r="AI3812" s="186"/>
      <c r="AK3812" s="171"/>
    </row>
    <row r="3813" spans="1:41" s="102" customFormat="1" ht="19.899999999999999" customHeight="1" x14ac:dyDescent="0.25">
      <c r="A3813" s="45"/>
      <c r="B3813" s="59"/>
      <c r="C3813" s="137"/>
      <c r="D3813" s="59"/>
      <c r="E3813" s="116"/>
      <c r="F3813" s="120"/>
      <c r="G3813" s="120"/>
      <c r="H3813" s="120"/>
      <c r="I3813" s="60"/>
      <c r="J3813" s="116"/>
      <c r="K3813" s="213"/>
      <c r="L3813" s="120"/>
      <c r="M3813" s="120"/>
      <c r="N3813" s="167"/>
      <c r="O3813" s="120"/>
      <c r="P3813" s="120"/>
      <c r="Q3813" s="120"/>
      <c r="R3813" s="120"/>
      <c r="S3813" s="120"/>
      <c r="T3813" s="221"/>
      <c r="U3813" s="89"/>
      <c r="V3813" s="61"/>
      <c r="W3813" s="92" t="s">
        <v>1032</v>
      </c>
      <c r="X3813" s="93" t="s">
        <v>30</v>
      </c>
      <c r="Y3813" s="93" t="s">
        <v>66</v>
      </c>
      <c r="Z3813" s="134">
        <f>VLOOKUP(W3813,Sheet2!$B:$D,3,FALSE)</f>
        <v>250</v>
      </c>
      <c r="AA3813" s="93">
        <f>1/(1.6*0.1)</f>
        <v>6.2499999999999991</v>
      </c>
      <c r="AB3813" s="93">
        <f>AD3813/AC3809</f>
        <v>40.000000000000007</v>
      </c>
      <c r="AC3813" s="93">
        <f>AC3809/AA3813</f>
        <v>0.62799999999999967</v>
      </c>
      <c r="AD3813" s="94">
        <f>AC3813*Z3813</f>
        <v>156.99999999999991</v>
      </c>
      <c r="AE3813" s="190"/>
      <c r="AF3813" s="191"/>
      <c r="AG3813" s="191"/>
      <c r="AH3813" s="191"/>
      <c r="AI3813" s="186"/>
      <c r="AK3813" s="171"/>
    </row>
    <row r="3814" spans="1:41" s="102" customFormat="1" ht="19.899999999999999" customHeight="1" x14ac:dyDescent="0.25">
      <c r="A3814" s="45"/>
      <c r="B3814" s="59"/>
      <c r="C3814" s="137"/>
      <c r="D3814" s="59"/>
      <c r="E3814" s="116"/>
      <c r="F3814" s="120"/>
      <c r="G3814" s="120"/>
      <c r="H3814" s="120"/>
      <c r="I3814" s="60"/>
      <c r="J3814" s="116"/>
      <c r="K3814" s="213"/>
      <c r="L3814" s="120"/>
      <c r="M3814" s="120"/>
      <c r="N3814" s="167"/>
      <c r="O3814" s="120"/>
      <c r="P3814" s="120"/>
      <c r="Q3814" s="120"/>
      <c r="R3814" s="120"/>
      <c r="S3814" s="120"/>
      <c r="T3814" s="221"/>
      <c r="U3814" s="89"/>
      <c r="V3814" s="61"/>
      <c r="W3814" s="92" t="s">
        <v>1035</v>
      </c>
      <c r="X3814" s="93" t="s">
        <v>32</v>
      </c>
      <c r="Y3814" s="93" t="s">
        <v>66</v>
      </c>
      <c r="Z3814" s="134">
        <f>VLOOKUP(W3814,Sheet2!$B:$D,3,FALSE)</f>
        <v>150</v>
      </c>
      <c r="AA3814" s="93">
        <f>AA3813</f>
        <v>6.2499999999999991</v>
      </c>
      <c r="AB3814" s="93">
        <f>AD3814/AC3809</f>
        <v>24.000000000000004</v>
      </c>
      <c r="AC3814" s="93">
        <f>AC3809/AA3814</f>
        <v>0.62799999999999967</v>
      </c>
      <c r="AD3814" s="94">
        <f t="shared" ref="AD3814:AD3815" si="2839">AC3814*Z3814</f>
        <v>94.199999999999946</v>
      </c>
      <c r="AE3814" s="190"/>
      <c r="AF3814" s="191"/>
      <c r="AG3814" s="191"/>
      <c r="AH3814" s="191"/>
      <c r="AI3814" s="186"/>
      <c r="AK3814" s="171"/>
    </row>
    <row r="3815" spans="1:41" s="102" customFormat="1" ht="19.899999999999999" customHeight="1" x14ac:dyDescent="0.25">
      <c r="A3815" s="45"/>
      <c r="B3815" s="59"/>
      <c r="C3815" s="137"/>
      <c r="D3815" s="59"/>
      <c r="E3815" s="116"/>
      <c r="F3815" s="120"/>
      <c r="G3815" s="120"/>
      <c r="H3815" s="120"/>
      <c r="I3815" s="60"/>
      <c r="J3815" s="116"/>
      <c r="K3815" s="213"/>
      <c r="L3815" s="120"/>
      <c r="M3815" s="120"/>
      <c r="N3815" s="167"/>
      <c r="O3815" s="120"/>
      <c r="P3815" s="120"/>
      <c r="Q3815" s="120"/>
      <c r="R3815" s="120"/>
      <c r="S3815" s="120"/>
      <c r="T3815" s="221"/>
      <c r="U3815" s="89"/>
      <c r="V3815" s="61"/>
      <c r="W3815" s="92" t="s">
        <v>1037</v>
      </c>
      <c r="X3815" s="93" t="s">
        <v>30</v>
      </c>
      <c r="Y3815" s="93" t="s">
        <v>1038</v>
      </c>
      <c r="Z3815" s="134">
        <f>VLOOKUP(W3815,Sheet2!$B:$D,3,FALSE)</f>
        <v>175</v>
      </c>
      <c r="AA3815" s="93">
        <v>300</v>
      </c>
      <c r="AB3815" s="93">
        <f>AD3815/AC3809</f>
        <v>0.58333333333333326</v>
      </c>
      <c r="AC3815" s="93">
        <f>AC3809/AA3815</f>
        <v>1.3083333333333324E-2</v>
      </c>
      <c r="AD3815" s="94">
        <f t="shared" si="2839"/>
        <v>2.2895833333333315</v>
      </c>
      <c r="AE3815" s="190"/>
      <c r="AF3815" s="191"/>
      <c r="AG3815" s="191"/>
      <c r="AH3815" s="191"/>
      <c r="AI3815" s="186"/>
      <c r="AK3815" s="171"/>
    </row>
    <row r="3816" spans="1:41" s="103" customFormat="1" ht="19.899999999999999" customHeight="1" x14ac:dyDescent="0.25">
      <c r="A3816" s="51"/>
      <c r="B3816" s="52"/>
      <c r="C3816" s="165"/>
      <c r="D3816" s="52"/>
      <c r="E3816" s="115"/>
      <c r="F3816" s="58"/>
      <c r="G3816" s="58"/>
      <c r="H3816" s="58"/>
      <c r="I3816" s="55"/>
      <c r="J3816" s="113">
        <f>J3798</f>
        <v>3.9249999999999972</v>
      </c>
      <c r="K3816" s="212">
        <f>K3798</f>
        <v>3.9249999999999972</v>
      </c>
      <c r="L3816" s="58"/>
      <c r="M3816" s="58">
        <f>K3816-L3816</f>
        <v>3.9249999999999972</v>
      </c>
      <c r="N3816" s="166"/>
      <c r="O3816" s="58"/>
      <c r="P3816" s="58"/>
      <c r="Q3816" s="58"/>
      <c r="R3816" s="58"/>
      <c r="S3816" s="58"/>
      <c r="T3816" s="220"/>
      <c r="U3816" s="88"/>
      <c r="V3816" s="56"/>
      <c r="W3816" s="57" t="s">
        <v>1040</v>
      </c>
      <c r="X3816" s="53"/>
      <c r="Y3816" s="91" t="s">
        <v>68</v>
      </c>
      <c r="Z3816" s="136">
        <f>AD3816/AC3816</f>
        <v>5</v>
      </c>
      <c r="AA3816" s="58"/>
      <c r="AB3816" s="53">
        <f>AD3816/AC3816</f>
        <v>5</v>
      </c>
      <c r="AC3816" s="53">
        <f>M3816+$AE$10</f>
        <v>3.9249999999999972</v>
      </c>
      <c r="AD3816" s="54">
        <f>SUM(AD3817)</f>
        <v>19.624999999999986</v>
      </c>
      <c r="AE3816" s="184">
        <f>SUMIFS($AD$37:$AD$12971,$V$37:$V$12971,$V3816,$X$37:$X$12971,AE$13)</f>
        <v>0</v>
      </c>
      <c r="AF3816" s="185">
        <f>SUMIFS($AD$37:$AD$12971,$V$37:$V$12971,$V3816,$X$37:$X$12971,AF$13)</f>
        <v>0</v>
      </c>
      <c r="AG3816" s="185">
        <f>SUMIFS($AD$37:$AD$12971,$V$37:$V$12971,$V3816,$X$37:$X$12971,AG$13)</f>
        <v>0</v>
      </c>
      <c r="AH3816" s="187">
        <f>SUMIFS($AD$37:$AD$12971,$V$37:$V$12971,$V3816,$X$37:$X$12971,AH$13)</f>
        <v>0</v>
      </c>
      <c r="AI3816" s="161">
        <f t="shared" ref="AI3816" si="2840">SUM(AE3816:AH3816)</f>
        <v>0</v>
      </c>
      <c r="AK3816" s="172"/>
    </row>
    <row r="3817" spans="1:41" s="102" customFormat="1" ht="19.899999999999999" customHeight="1" x14ac:dyDescent="0.25">
      <c r="A3817" s="45"/>
      <c r="B3817" s="59"/>
      <c r="C3817" s="137"/>
      <c r="D3817" s="59"/>
      <c r="E3817" s="116"/>
      <c r="F3817" s="120"/>
      <c r="G3817" s="120"/>
      <c r="H3817" s="120"/>
      <c r="I3817" s="60"/>
      <c r="J3817" s="116"/>
      <c r="K3817" s="213"/>
      <c r="L3817" s="120"/>
      <c r="M3817" s="120"/>
      <c r="N3817" s="167"/>
      <c r="O3817" s="120"/>
      <c r="P3817" s="120"/>
      <c r="Q3817" s="120"/>
      <c r="R3817" s="120"/>
      <c r="S3817" s="120"/>
      <c r="T3817" s="221"/>
      <c r="U3817" s="89"/>
      <c r="V3817" s="61"/>
      <c r="W3817" s="92" t="s">
        <v>1039</v>
      </c>
      <c r="X3817" s="93" t="s">
        <v>32</v>
      </c>
      <c r="Y3817" s="93" t="s">
        <v>68</v>
      </c>
      <c r="Z3817" s="134">
        <f>VLOOKUP(W3817,Sheet2!$B:$D,3,FALSE)</f>
        <v>5</v>
      </c>
      <c r="AA3817" s="93">
        <v>1</v>
      </c>
      <c r="AB3817" s="93">
        <f>AD3817/AC3816</f>
        <v>5</v>
      </c>
      <c r="AC3817" s="93">
        <f>AC3816/AA3817</f>
        <v>3.9249999999999972</v>
      </c>
      <c r="AD3817" s="94">
        <f t="shared" ref="AD3817" si="2841">AC3817*Z3817</f>
        <v>19.624999999999986</v>
      </c>
      <c r="AE3817" s="190"/>
      <c r="AF3817" s="191"/>
      <c r="AG3817" s="191"/>
      <c r="AH3817" s="191"/>
      <c r="AI3817" s="186"/>
      <c r="AK3817" s="171"/>
    </row>
    <row r="3818" spans="1:41" ht="20.100000000000001" customHeight="1" x14ac:dyDescent="0.25">
      <c r="A3818" s="277" t="s">
        <v>491</v>
      </c>
      <c r="B3818" s="278"/>
      <c r="C3818" s="64" t="s">
        <v>496</v>
      </c>
      <c r="D3818" s="46" t="s">
        <v>97</v>
      </c>
      <c r="E3818" s="114">
        <v>49.285049999999956</v>
      </c>
      <c r="F3818" s="44">
        <v>834</v>
      </c>
      <c r="G3818" s="44">
        <f t="shared" si="2434"/>
        <v>41103.73169999996</v>
      </c>
      <c r="H3818" s="44">
        <f t="shared" si="2435"/>
        <v>560.18642352941174</v>
      </c>
      <c r="I3818" s="43">
        <f t="shared" si="2436"/>
        <v>27608.81589296821</v>
      </c>
      <c r="J3818" s="112">
        <f t="shared" si="2437"/>
        <v>49.285049999999956</v>
      </c>
      <c r="K3818" s="211">
        <f t="shared" si="2438"/>
        <v>49.285049999999956</v>
      </c>
      <c r="L3818" s="44"/>
      <c r="M3818" s="44">
        <f t="shared" si="2458"/>
        <v>49.285049999999956</v>
      </c>
      <c r="N3818" s="173">
        <f t="shared" si="2439"/>
        <v>1</v>
      </c>
      <c r="O3818" s="44">
        <f t="shared" si="2440"/>
        <v>834</v>
      </c>
      <c r="P3818" s="44">
        <f t="shared" si="2441"/>
        <v>41103.73169999996</v>
      </c>
      <c r="Q3818" s="44">
        <f t="shared" si="2442"/>
        <v>560.18642352941174</v>
      </c>
      <c r="R3818" s="44">
        <f t="shared" si="2459"/>
        <v>27608.81589296821</v>
      </c>
      <c r="S3818" s="123"/>
      <c r="T3818" s="219">
        <f t="shared" si="2460"/>
        <v>27608.81589296821</v>
      </c>
      <c r="U3818" s="87"/>
      <c r="V3818" s="47"/>
      <c r="W3818" s="48"/>
      <c r="X3818" s="48"/>
      <c r="Y3818" s="48"/>
      <c r="Z3818" s="135"/>
      <c r="AA3818" s="49"/>
      <c r="AB3818" s="50">
        <f t="shared" si="2443"/>
        <v>560.18642352941174</v>
      </c>
      <c r="AC3818" s="42">
        <f t="shared" si="2461"/>
        <v>49.285049999999956</v>
      </c>
      <c r="AD3818" s="90">
        <f>AD3819+AD3829+AD3836</f>
        <v>27608.81589296821</v>
      </c>
      <c r="AE3818" s="188">
        <f t="shared" ref="AE3818" si="2842">AE3819+AE3829+AE3836</f>
        <v>0</v>
      </c>
      <c r="AF3818" s="189">
        <f t="shared" ref="AF3818" si="2843">AF3819+AF3829+AF3836</f>
        <v>0</v>
      </c>
      <c r="AG3818" s="189">
        <f t="shared" ref="AG3818" si="2844">AG3819+AG3829+AG3836</f>
        <v>0</v>
      </c>
      <c r="AH3818" s="189">
        <f t="shared" ref="AH3818" si="2845">AH3819+AH3829+AH3836</f>
        <v>0</v>
      </c>
      <c r="AI3818" s="161">
        <f t="shared" ref="AI3818" si="2846">SUM(AE3818:AH3818)</f>
        <v>0</v>
      </c>
      <c r="AK3818" s="169">
        <v>5</v>
      </c>
      <c r="AO3818" s="19" t="s">
        <v>63</v>
      </c>
    </row>
    <row r="3819" spans="1:41" s="103" customFormat="1" ht="19.899999999999999" customHeight="1" x14ac:dyDescent="0.25">
      <c r="A3819" s="51"/>
      <c r="B3819" s="52"/>
      <c r="C3819" s="165"/>
      <c r="D3819" s="52"/>
      <c r="E3819" s="115"/>
      <c r="F3819" s="58"/>
      <c r="G3819" s="58"/>
      <c r="H3819" s="58"/>
      <c r="I3819" s="55"/>
      <c r="J3819" s="113">
        <f>J3818</f>
        <v>49.285049999999956</v>
      </c>
      <c r="K3819" s="212">
        <f>K3818</f>
        <v>49.285049999999956</v>
      </c>
      <c r="L3819" s="58"/>
      <c r="M3819" s="58">
        <f>K3819-L3819</f>
        <v>49.285049999999956</v>
      </c>
      <c r="N3819" s="166"/>
      <c r="O3819" s="58"/>
      <c r="P3819" s="58"/>
      <c r="Q3819" s="58"/>
      <c r="R3819" s="58"/>
      <c r="S3819" s="58"/>
      <c r="T3819" s="220"/>
      <c r="U3819" s="88"/>
      <c r="V3819" s="56"/>
      <c r="W3819" s="57" t="s">
        <v>1240</v>
      </c>
      <c r="X3819" s="53"/>
      <c r="Y3819" s="91" t="s">
        <v>68</v>
      </c>
      <c r="Z3819" s="136">
        <f>AD3819/AC3819</f>
        <v>111.60309019607844</v>
      </c>
      <c r="AA3819" s="58"/>
      <c r="AB3819" s="53">
        <f>AD3819/AC3819</f>
        <v>111.60309019607844</v>
      </c>
      <c r="AC3819" s="53">
        <f>M3819+$AE$10</f>
        <v>49.285049999999956</v>
      </c>
      <c r="AD3819" s="54">
        <f>SUM(AD3820:AD3828)</f>
        <v>5500.3638804682305</v>
      </c>
      <c r="AE3819" s="184">
        <f>SUMIFS($AD$37:$AD$12971,$V$37:$V$12971,$V3819,$X$37:$X$12971,AE$13)</f>
        <v>0</v>
      </c>
      <c r="AF3819" s="185">
        <f>SUMIFS($AD$37:$AD$12971,$V$37:$V$12971,$V3819,$X$37:$X$12971,AF$13)</f>
        <v>0</v>
      </c>
      <c r="AG3819" s="185">
        <f>SUMIFS($AD$37:$AD$12971,$V$37:$V$12971,$V3819,$X$37:$X$12971,AG$13)</f>
        <v>0</v>
      </c>
      <c r="AH3819" s="187">
        <f>SUMIFS($AD$37:$AD$12971,$V$37:$V$12971,$V3819,$X$37:$X$12971,AH$13)</f>
        <v>0</v>
      </c>
      <c r="AI3819" s="161">
        <f t="shared" ref="AI3819" si="2847">SUM(AE3819:AH3819)</f>
        <v>0</v>
      </c>
      <c r="AK3819" s="172"/>
    </row>
    <row r="3820" spans="1:41" s="102" customFormat="1" ht="19.899999999999999" customHeight="1" x14ac:dyDescent="0.25">
      <c r="A3820" s="45"/>
      <c r="B3820" s="59"/>
      <c r="C3820" s="137"/>
      <c r="D3820" s="59"/>
      <c r="E3820" s="116"/>
      <c r="F3820" s="120"/>
      <c r="G3820" s="120"/>
      <c r="H3820" s="120"/>
      <c r="I3820" s="60"/>
      <c r="J3820" s="116"/>
      <c r="K3820" s="213"/>
      <c r="L3820" s="120"/>
      <c r="M3820" s="120"/>
      <c r="N3820" s="167"/>
      <c r="O3820" s="120"/>
      <c r="P3820" s="120"/>
      <c r="Q3820" s="120"/>
      <c r="R3820" s="120"/>
      <c r="S3820" s="120"/>
      <c r="T3820" s="221"/>
      <c r="U3820" s="89"/>
      <c r="V3820" s="61"/>
      <c r="W3820" s="92" t="s">
        <v>131</v>
      </c>
      <c r="X3820" s="93" t="s">
        <v>29</v>
      </c>
      <c r="Y3820" s="93" t="s">
        <v>93</v>
      </c>
      <c r="Z3820" s="134">
        <f>VLOOKUP(W3820,Sheet2!$B:$D,3,FALSE)</f>
        <v>131.19999999999999</v>
      </c>
      <c r="AA3820" s="93">
        <f>80/(1.6*5)</f>
        <v>10</v>
      </c>
      <c r="AB3820" s="93">
        <f t="shared" ref="AB3820" si="2848">AD3820/AC3819</f>
        <v>13.120000000000001</v>
      </c>
      <c r="AC3820" s="93">
        <f>AC3819/AA3820</f>
        <v>4.9285049999999959</v>
      </c>
      <c r="AD3820" s="94">
        <f t="shared" ref="AD3820:AD3821" si="2849">AC3820*Z3820</f>
        <v>646.61985599999946</v>
      </c>
      <c r="AE3820" s="190"/>
      <c r="AF3820" s="191"/>
      <c r="AG3820" s="191"/>
      <c r="AH3820" s="191"/>
      <c r="AI3820" s="186"/>
      <c r="AK3820" s="171"/>
    </row>
    <row r="3821" spans="1:41" s="102" customFormat="1" ht="19.899999999999999" customHeight="1" x14ac:dyDescent="0.25">
      <c r="A3821" s="45"/>
      <c r="B3821" s="59"/>
      <c r="C3821" s="137"/>
      <c r="D3821" s="59"/>
      <c r="E3821" s="116"/>
      <c r="F3821" s="120"/>
      <c r="G3821" s="120"/>
      <c r="H3821" s="120"/>
      <c r="I3821" s="60"/>
      <c r="J3821" s="116"/>
      <c r="K3821" s="213"/>
      <c r="L3821" s="120"/>
      <c r="M3821" s="120"/>
      <c r="N3821" s="167"/>
      <c r="O3821" s="120"/>
      <c r="P3821" s="120"/>
      <c r="Q3821" s="120"/>
      <c r="R3821" s="120"/>
      <c r="S3821" s="120"/>
      <c r="T3821" s="221"/>
      <c r="U3821" s="89"/>
      <c r="V3821" s="61"/>
      <c r="W3821" s="92" t="s">
        <v>65</v>
      </c>
      <c r="X3821" s="93" t="s">
        <v>30</v>
      </c>
      <c r="Y3821" s="93" t="s">
        <v>1011</v>
      </c>
      <c r="Z3821" s="134">
        <f>VLOOKUP(W3821,Sheet2!$B:$D,3,FALSE)</f>
        <v>1.76</v>
      </c>
      <c r="AA3821" s="93">
        <f>AA3820/32</f>
        <v>0.3125</v>
      </c>
      <c r="AB3821" s="93">
        <f>AD3821/AC3819</f>
        <v>5.6320000000000006</v>
      </c>
      <c r="AC3821" s="93">
        <f>AC3819/AA3821</f>
        <v>157.71215999999987</v>
      </c>
      <c r="AD3821" s="94">
        <f t="shared" si="2849"/>
        <v>277.57340159999978</v>
      </c>
      <c r="AE3821" s="190"/>
      <c r="AF3821" s="191"/>
      <c r="AG3821" s="191"/>
      <c r="AH3821" s="191"/>
      <c r="AI3821" s="186"/>
      <c r="AK3821" s="171"/>
    </row>
    <row r="3822" spans="1:41" s="102" customFormat="1" ht="19.899999999999999" customHeight="1" x14ac:dyDescent="0.25">
      <c r="A3822" s="45"/>
      <c r="B3822" s="59"/>
      <c r="C3822" s="137"/>
      <c r="D3822" s="59"/>
      <c r="E3822" s="116"/>
      <c r="F3822" s="120"/>
      <c r="G3822" s="120"/>
      <c r="H3822" s="120"/>
      <c r="I3822" s="60"/>
      <c r="J3822" s="116"/>
      <c r="K3822" s="213"/>
      <c r="L3822" s="120"/>
      <c r="M3822" s="120"/>
      <c r="N3822" s="167"/>
      <c r="O3822" s="120"/>
      <c r="P3822" s="120"/>
      <c r="Q3822" s="120"/>
      <c r="R3822" s="120"/>
      <c r="S3822" s="120"/>
      <c r="T3822" s="221"/>
      <c r="U3822" s="89"/>
      <c r="V3822" s="61"/>
      <c r="W3822" s="92" t="s">
        <v>161</v>
      </c>
      <c r="X3822" s="93" t="s">
        <v>29</v>
      </c>
      <c r="Y3822" s="93" t="s">
        <v>93</v>
      </c>
      <c r="Z3822" s="134">
        <f>VLOOKUP(W3822,Sheet2!$B:$D,3,FALSE)</f>
        <v>48</v>
      </c>
      <c r="AA3822" s="93">
        <f>(16*0.85*1.5)/(1.6*5)</f>
        <v>2.5499999999999998</v>
      </c>
      <c r="AB3822" s="93">
        <f>AD3822/AC3819</f>
        <v>18.823529411764707</v>
      </c>
      <c r="AC3822" s="93">
        <f>AC3819/AA3822</f>
        <v>19.327470588235279</v>
      </c>
      <c r="AD3822" s="94">
        <f>AC3822*Z3822</f>
        <v>927.7185882352934</v>
      </c>
      <c r="AE3822" s="190"/>
      <c r="AF3822" s="191"/>
      <c r="AG3822" s="191"/>
      <c r="AH3822" s="191"/>
      <c r="AI3822" s="186"/>
      <c r="AK3822" s="171"/>
    </row>
    <row r="3823" spans="1:41" s="102" customFormat="1" ht="19.899999999999999" customHeight="1" x14ac:dyDescent="0.25">
      <c r="A3823" s="45"/>
      <c r="B3823" s="59"/>
      <c r="C3823" s="137"/>
      <c r="D3823" s="59"/>
      <c r="E3823" s="116"/>
      <c r="F3823" s="120"/>
      <c r="G3823" s="120"/>
      <c r="H3823" s="120"/>
      <c r="I3823" s="60"/>
      <c r="J3823" s="116"/>
      <c r="K3823" s="213"/>
      <c r="L3823" s="120"/>
      <c r="M3823" s="120"/>
      <c r="N3823" s="167"/>
      <c r="O3823" s="120"/>
      <c r="P3823" s="120"/>
      <c r="Q3823" s="120"/>
      <c r="R3823" s="120"/>
      <c r="S3823" s="120"/>
      <c r="T3823" s="221"/>
      <c r="U3823" s="89"/>
      <c r="V3823" s="61"/>
      <c r="W3823" s="92" t="s">
        <v>65</v>
      </c>
      <c r="X3823" s="93" t="s">
        <v>30</v>
      </c>
      <c r="Y3823" s="93" t="s">
        <v>1011</v>
      </c>
      <c r="Z3823" s="134">
        <f>VLOOKUP(W3823,Sheet2!$B:$D,3,FALSE)</f>
        <v>1.76</v>
      </c>
      <c r="AA3823" s="93">
        <f>AA3822/10</f>
        <v>0.255</v>
      </c>
      <c r="AB3823" s="93">
        <f>AD3823/AC3819</f>
        <v>6.9019607843137258</v>
      </c>
      <c r="AC3823" s="93">
        <f>AC3819/AA3823</f>
        <v>193.27470588235278</v>
      </c>
      <c r="AD3823" s="94">
        <f>AC3823*Z3823</f>
        <v>340.16348235294089</v>
      </c>
      <c r="AE3823" s="190"/>
      <c r="AF3823" s="191"/>
      <c r="AG3823" s="191"/>
      <c r="AH3823" s="191"/>
      <c r="AI3823" s="186"/>
      <c r="AK3823" s="171"/>
    </row>
    <row r="3824" spans="1:41" s="102" customFormat="1" ht="19.899999999999999" customHeight="1" x14ac:dyDescent="0.25">
      <c r="A3824" s="45"/>
      <c r="B3824" s="59"/>
      <c r="C3824" s="137"/>
      <c r="D3824" s="59"/>
      <c r="E3824" s="116"/>
      <c r="F3824" s="120"/>
      <c r="G3824" s="120"/>
      <c r="H3824" s="120"/>
      <c r="I3824" s="60"/>
      <c r="J3824" s="116"/>
      <c r="K3824" s="213"/>
      <c r="L3824" s="120"/>
      <c r="M3824" s="120"/>
      <c r="N3824" s="167"/>
      <c r="O3824" s="120"/>
      <c r="P3824" s="120"/>
      <c r="Q3824" s="120"/>
      <c r="R3824" s="120"/>
      <c r="S3824" s="120"/>
      <c r="T3824" s="221"/>
      <c r="U3824" s="89"/>
      <c r="V3824" s="61"/>
      <c r="W3824" s="92" t="s">
        <v>1030</v>
      </c>
      <c r="X3824" s="93" t="s">
        <v>29</v>
      </c>
      <c r="Y3824" s="93" t="s">
        <v>93</v>
      </c>
      <c r="Z3824" s="134">
        <f>VLOOKUP(W3824,Sheet2!$B:$D,3,FALSE)</f>
        <v>23</v>
      </c>
      <c r="AA3824" s="93">
        <v>50</v>
      </c>
      <c r="AB3824" s="93">
        <f>AD3824/AC3819</f>
        <v>0.46</v>
      </c>
      <c r="AC3824" s="93">
        <f>AC3819/AA3824</f>
        <v>0.98570099999999916</v>
      </c>
      <c r="AD3824" s="94">
        <f t="shared" ref="AD3824:AD3828" si="2850">AC3824*Z3824</f>
        <v>22.67112299999998</v>
      </c>
      <c r="AE3824" s="190"/>
      <c r="AF3824" s="191"/>
      <c r="AG3824" s="191"/>
      <c r="AH3824" s="191"/>
      <c r="AI3824" s="186"/>
      <c r="AK3824" s="171"/>
    </row>
    <row r="3825" spans="1:41" s="102" customFormat="1" ht="19.899999999999999" customHeight="1" x14ac:dyDescent="0.25">
      <c r="A3825" s="45"/>
      <c r="B3825" s="59"/>
      <c r="C3825" s="137"/>
      <c r="D3825" s="59"/>
      <c r="E3825" s="116"/>
      <c r="F3825" s="120"/>
      <c r="G3825" s="120"/>
      <c r="H3825" s="120"/>
      <c r="I3825" s="60"/>
      <c r="J3825" s="116"/>
      <c r="K3825" s="213"/>
      <c r="L3825" s="120"/>
      <c r="M3825" s="120"/>
      <c r="N3825" s="167"/>
      <c r="O3825" s="120"/>
      <c r="P3825" s="120"/>
      <c r="Q3825" s="120"/>
      <c r="R3825" s="120"/>
      <c r="S3825" s="120"/>
      <c r="T3825" s="221"/>
      <c r="U3825" s="89"/>
      <c r="V3825" s="61"/>
      <c r="W3825" s="92" t="s">
        <v>65</v>
      </c>
      <c r="X3825" s="93" t="s">
        <v>30</v>
      </c>
      <c r="Y3825" s="93" t="s">
        <v>1011</v>
      </c>
      <c r="Z3825" s="134">
        <f>VLOOKUP(W3825,Sheet2!$B:$D,3,FALSE)</f>
        <v>1.76</v>
      </c>
      <c r="AA3825" s="93">
        <f>AA3824/3</f>
        <v>16.666666666666668</v>
      </c>
      <c r="AB3825" s="93">
        <f>AD3825/AC3819</f>
        <v>0.10559999999999999</v>
      </c>
      <c r="AC3825" s="93">
        <f>AC3819/AA3825</f>
        <v>2.9571029999999969</v>
      </c>
      <c r="AD3825" s="94">
        <f t="shared" si="2850"/>
        <v>5.2045012799999943</v>
      </c>
      <c r="AE3825" s="190"/>
      <c r="AF3825" s="191"/>
      <c r="AG3825" s="191"/>
      <c r="AH3825" s="191"/>
      <c r="AI3825" s="186"/>
      <c r="AK3825" s="171"/>
    </row>
    <row r="3826" spans="1:41" s="102" customFormat="1" ht="19.899999999999999" customHeight="1" x14ac:dyDescent="0.25">
      <c r="A3826" s="45"/>
      <c r="B3826" s="59"/>
      <c r="C3826" s="137"/>
      <c r="D3826" s="59"/>
      <c r="E3826" s="116"/>
      <c r="F3826" s="120"/>
      <c r="G3826" s="120"/>
      <c r="H3826" s="120"/>
      <c r="I3826" s="60"/>
      <c r="J3826" s="116"/>
      <c r="K3826" s="213"/>
      <c r="L3826" s="120"/>
      <c r="M3826" s="120"/>
      <c r="N3826" s="167"/>
      <c r="O3826" s="120"/>
      <c r="P3826" s="120"/>
      <c r="Q3826" s="120"/>
      <c r="R3826" s="120"/>
      <c r="S3826" s="120"/>
      <c r="T3826" s="221"/>
      <c r="U3826" s="89"/>
      <c r="V3826" s="61"/>
      <c r="W3826" s="92" t="s">
        <v>148</v>
      </c>
      <c r="X3826" s="93" t="s">
        <v>29</v>
      </c>
      <c r="Y3826" s="93" t="s">
        <v>93</v>
      </c>
      <c r="Z3826" s="134">
        <f>VLOOKUP(W3826,Sheet2!$B:$D,3,FALSE)</f>
        <v>48</v>
      </c>
      <c r="AA3826" s="93">
        <f>AA3820</f>
        <v>10</v>
      </c>
      <c r="AB3826" s="93">
        <f>AD3826/AC3819</f>
        <v>4.8000000000000007</v>
      </c>
      <c r="AC3826" s="93">
        <f>AC3819/AA3826</f>
        <v>4.9285049999999959</v>
      </c>
      <c r="AD3826" s="94">
        <f t="shared" si="2850"/>
        <v>236.5682399999998</v>
      </c>
      <c r="AE3826" s="190"/>
      <c r="AF3826" s="191"/>
      <c r="AG3826" s="191"/>
      <c r="AH3826" s="191"/>
      <c r="AI3826" s="186"/>
      <c r="AK3826" s="171"/>
    </row>
    <row r="3827" spans="1:41" s="102" customFormat="1" ht="19.899999999999999" customHeight="1" x14ac:dyDescent="0.25">
      <c r="A3827" s="45"/>
      <c r="B3827" s="59"/>
      <c r="C3827" s="137"/>
      <c r="D3827" s="59"/>
      <c r="E3827" s="116"/>
      <c r="F3827" s="120"/>
      <c r="G3827" s="120"/>
      <c r="H3827" s="120"/>
      <c r="I3827" s="60"/>
      <c r="J3827" s="116"/>
      <c r="K3827" s="213"/>
      <c r="L3827" s="120"/>
      <c r="M3827" s="120"/>
      <c r="N3827" s="167"/>
      <c r="O3827" s="120"/>
      <c r="P3827" s="120"/>
      <c r="Q3827" s="120"/>
      <c r="R3827" s="120"/>
      <c r="S3827" s="120"/>
      <c r="T3827" s="221"/>
      <c r="U3827" s="89"/>
      <c r="V3827" s="61"/>
      <c r="W3827" s="92" t="s">
        <v>65</v>
      </c>
      <c r="X3827" s="93" t="s">
        <v>30</v>
      </c>
      <c r="Y3827" s="93" t="s">
        <v>1011</v>
      </c>
      <c r="Z3827" s="134">
        <f>VLOOKUP(W3827,Sheet2!$B:$D,3,FALSE)</f>
        <v>1.76</v>
      </c>
      <c r="AA3827" s="93">
        <f>AA3826/10</f>
        <v>1</v>
      </c>
      <c r="AB3827" s="93">
        <f>AD3827/AC3819</f>
        <v>1.76</v>
      </c>
      <c r="AC3827" s="93">
        <f>AC3819/AA3827</f>
        <v>49.285049999999956</v>
      </c>
      <c r="AD3827" s="94">
        <f t="shared" si="2850"/>
        <v>86.741687999999925</v>
      </c>
      <c r="AE3827" s="190"/>
      <c r="AF3827" s="191"/>
      <c r="AG3827" s="191"/>
      <c r="AH3827" s="191"/>
      <c r="AI3827" s="186"/>
      <c r="AK3827" s="171"/>
    </row>
    <row r="3828" spans="1:41" s="102" customFormat="1" ht="19.899999999999999" customHeight="1" x14ac:dyDescent="0.25">
      <c r="A3828" s="45"/>
      <c r="B3828" s="59"/>
      <c r="C3828" s="137"/>
      <c r="D3828" s="59"/>
      <c r="E3828" s="116"/>
      <c r="F3828" s="120"/>
      <c r="G3828" s="120"/>
      <c r="H3828" s="120"/>
      <c r="I3828" s="60"/>
      <c r="J3828" s="116"/>
      <c r="K3828" s="213"/>
      <c r="L3828" s="120"/>
      <c r="M3828" s="120"/>
      <c r="N3828" s="167"/>
      <c r="O3828" s="120"/>
      <c r="P3828" s="120"/>
      <c r="Q3828" s="120"/>
      <c r="R3828" s="120"/>
      <c r="S3828" s="120"/>
      <c r="T3828" s="221"/>
      <c r="U3828" s="89"/>
      <c r="V3828" s="61"/>
      <c r="W3828" s="92" t="s">
        <v>1049</v>
      </c>
      <c r="X3828" s="93" t="s">
        <v>30</v>
      </c>
      <c r="Y3828" s="93" t="s">
        <v>68</v>
      </c>
      <c r="Z3828" s="134">
        <f>VLOOKUP(W3828,Sheet2!$B:$D,3,FALSE)</f>
        <v>60</v>
      </c>
      <c r="AA3828" s="93">
        <v>1</v>
      </c>
      <c r="AB3828" s="93">
        <f>AD3828/AC3819</f>
        <v>60</v>
      </c>
      <c r="AC3828" s="93">
        <f>AC3819/AA3828</f>
        <v>49.285049999999956</v>
      </c>
      <c r="AD3828" s="94">
        <f t="shared" si="2850"/>
        <v>2957.1029999999973</v>
      </c>
      <c r="AE3828" s="190"/>
      <c r="AF3828" s="191"/>
      <c r="AG3828" s="191"/>
      <c r="AH3828" s="191"/>
      <c r="AI3828" s="186"/>
      <c r="AK3828" s="171"/>
    </row>
    <row r="3829" spans="1:41" s="103" customFormat="1" ht="19.899999999999999" customHeight="1" x14ac:dyDescent="0.25">
      <c r="A3829" s="51"/>
      <c r="B3829" s="52"/>
      <c r="C3829" s="165"/>
      <c r="D3829" s="52"/>
      <c r="E3829" s="115"/>
      <c r="F3829" s="58"/>
      <c r="G3829" s="58"/>
      <c r="H3829" s="58"/>
      <c r="I3829" s="55"/>
      <c r="J3829" s="113">
        <f>J3818</f>
        <v>49.285049999999956</v>
      </c>
      <c r="K3829" s="212">
        <f>K3818</f>
        <v>49.285049999999956</v>
      </c>
      <c r="L3829" s="58"/>
      <c r="M3829" s="58">
        <f>K3829-L3829</f>
        <v>49.285049999999956</v>
      </c>
      <c r="N3829" s="166"/>
      <c r="O3829" s="58"/>
      <c r="P3829" s="58"/>
      <c r="Q3829" s="58"/>
      <c r="R3829" s="58"/>
      <c r="S3829" s="58"/>
      <c r="T3829" s="220"/>
      <c r="U3829" s="88"/>
      <c r="V3829" s="56"/>
      <c r="W3829" s="57" t="s">
        <v>1036</v>
      </c>
      <c r="X3829" s="53"/>
      <c r="Y3829" s="91" t="s">
        <v>68</v>
      </c>
      <c r="Z3829" s="136">
        <f>AD3829/AC3829</f>
        <v>443.58333333333331</v>
      </c>
      <c r="AA3829" s="58"/>
      <c r="AB3829" s="53">
        <f>AD3829/AC3829</f>
        <v>443.58333333333331</v>
      </c>
      <c r="AC3829" s="53">
        <f>M3829+$AE$10</f>
        <v>49.285049999999956</v>
      </c>
      <c r="AD3829" s="54">
        <f>SUM(AD3830:AD3835)</f>
        <v>21862.02676249998</v>
      </c>
      <c r="AE3829" s="184">
        <f>SUMIFS($AD$37:$AD$12971,$V$37:$V$12971,$V3829,$X$37:$X$12971,AE$13)</f>
        <v>0</v>
      </c>
      <c r="AF3829" s="185">
        <f>SUMIFS($AD$37:$AD$12971,$V$37:$V$12971,$V3829,$X$37:$X$12971,AF$13)</f>
        <v>0</v>
      </c>
      <c r="AG3829" s="185">
        <f>SUMIFS($AD$37:$AD$12971,$V$37:$V$12971,$V3829,$X$37:$X$12971,AG$13)</f>
        <v>0</v>
      </c>
      <c r="AH3829" s="187">
        <f>SUMIFS($AD$37:$AD$12971,$V$37:$V$12971,$V3829,$X$37:$X$12971,AH$13)</f>
        <v>0</v>
      </c>
      <c r="AI3829" s="161">
        <f t="shared" ref="AI3829" si="2851">SUM(AE3829:AH3829)</f>
        <v>0</v>
      </c>
      <c r="AK3829" s="172"/>
    </row>
    <row r="3830" spans="1:41" s="102" customFormat="1" ht="19.899999999999999" customHeight="1" x14ac:dyDescent="0.25">
      <c r="A3830" s="45"/>
      <c r="B3830" s="59"/>
      <c r="C3830" s="137"/>
      <c r="D3830" s="59"/>
      <c r="E3830" s="116"/>
      <c r="F3830" s="120"/>
      <c r="G3830" s="120"/>
      <c r="H3830" s="120"/>
      <c r="I3830" s="60"/>
      <c r="J3830" s="116"/>
      <c r="K3830" s="213"/>
      <c r="L3830" s="120"/>
      <c r="M3830" s="120"/>
      <c r="N3830" s="167"/>
      <c r="O3830" s="120"/>
      <c r="P3830" s="120"/>
      <c r="Q3830" s="120"/>
      <c r="R3830" s="120"/>
      <c r="S3830" s="120"/>
      <c r="T3830" s="221"/>
      <c r="U3830" s="89"/>
      <c r="V3830" s="61"/>
      <c r="W3830" s="92" t="s">
        <v>1058</v>
      </c>
      <c r="X3830" s="93" t="s">
        <v>30</v>
      </c>
      <c r="Y3830" s="93" t="s">
        <v>68</v>
      </c>
      <c r="Z3830" s="134">
        <f>VLOOKUP(W3830,Sheet2!$B:$D,3,FALSE)</f>
        <v>290</v>
      </c>
      <c r="AA3830" s="93">
        <v>1</v>
      </c>
      <c r="AB3830" s="93">
        <f>AD3830/AC3829</f>
        <v>290</v>
      </c>
      <c r="AC3830" s="93">
        <f>AC3829/AA3830</f>
        <v>49.285049999999956</v>
      </c>
      <c r="AD3830" s="94">
        <f t="shared" ref="AD3830" si="2852">AC3830*Z3830</f>
        <v>14292.664499999988</v>
      </c>
      <c r="AE3830" s="190"/>
      <c r="AF3830" s="191"/>
      <c r="AG3830" s="191"/>
      <c r="AH3830" s="191"/>
      <c r="AI3830" s="186"/>
      <c r="AK3830" s="171"/>
    </row>
    <row r="3831" spans="1:41" s="102" customFormat="1" ht="19.899999999999999" customHeight="1" x14ac:dyDescent="0.25">
      <c r="A3831" s="45"/>
      <c r="B3831" s="59"/>
      <c r="C3831" s="137"/>
      <c r="D3831" s="59"/>
      <c r="E3831" s="116"/>
      <c r="F3831" s="120"/>
      <c r="G3831" s="120"/>
      <c r="H3831" s="120"/>
      <c r="I3831" s="60"/>
      <c r="J3831" s="116"/>
      <c r="K3831" s="213"/>
      <c r="L3831" s="120"/>
      <c r="M3831" s="120"/>
      <c r="N3831" s="167"/>
      <c r="O3831" s="120"/>
      <c r="P3831" s="120"/>
      <c r="Q3831" s="120"/>
      <c r="R3831" s="120"/>
      <c r="S3831" s="120"/>
      <c r="T3831" s="221"/>
      <c r="U3831" s="89"/>
      <c r="V3831" s="61"/>
      <c r="W3831" s="92" t="s">
        <v>1065</v>
      </c>
      <c r="X3831" s="93" t="s">
        <v>30</v>
      </c>
      <c r="Y3831" s="93" t="s">
        <v>68</v>
      </c>
      <c r="Z3831" s="134">
        <f>VLOOKUP(W3831,Sheet2!$B:$D,3,FALSE)</f>
        <v>29</v>
      </c>
      <c r="AA3831" s="93">
        <v>1</v>
      </c>
      <c r="AB3831" s="93">
        <f>AD3831/AC3829</f>
        <v>29</v>
      </c>
      <c r="AC3831" s="93">
        <f>AC3829/AA3831</f>
        <v>49.285049999999956</v>
      </c>
      <c r="AD3831" s="94">
        <f>AC3831*Z3831</f>
        <v>1429.2664499999987</v>
      </c>
      <c r="AE3831" s="190"/>
      <c r="AF3831" s="191"/>
      <c r="AG3831" s="191"/>
      <c r="AH3831" s="191"/>
      <c r="AI3831" s="186"/>
      <c r="AK3831" s="171"/>
    </row>
    <row r="3832" spans="1:41" s="102" customFormat="1" ht="19.899999999999999" customHeight="1" x14ac:dyDescent="0.25">
      <c r="A3832" s="45"/>
      <c r="B3832" s="59"/>
      <c r="C3832" s="137"/>
      <c r="D3832" s="59"/>
      <c r="E3832" s="116"/>
      <c r="F3832" s="120"/>
      <c r="G3832" s="120"/>
      <c r="H3832" s="120"/>
      <c r="I3832" s="60"/>
      <c r="J3832" s="116"/>
      <c r="K3832" s="213"/>
      <c r="L3832" s="120"/>
      <c r="M3832" s="120"/>
      <c r="N3832" s="167"/>
      <c r="O3832" s="120"/>
      <c r="P3832" s="120"/>
      <c r="Q3832" s="120"/>
      <c r="R3832" s="120"/>
      <c r="S3832" s="120"/>
      <c r="T3832" s="221"/>
      <c r="U3832" s="89"/>
      <c r="V3832" s="61"/>
      <c r="W3832" s="92" t="s">
        <v>1068</v>
      </c>
      <c r="X3832" s="93" t="s">
        <v>32</v>
      </c>
      <c r="Y3832" s="93" t="s">
        <v>68</v>
      </c>
      <c r="Z3832" s="134">
        <f>VLOOKUP(W3832,Sheet2!$B:$D,3,FALSE)</f>
        <v>60</v>
      </c>
      <c r="AA3832" s="93">
        <v>1</v>
      </c>
      <c r="AB3832" s="93">
        <f>AD3832/AC3829</f>
        <v>60</v>
      </c>
      <c r="AC3832" s="93">
        <f>AC3829/AA3832</f>
        <v>49.285049999999956</v>
      </c>
      <c r="AD3832" s="94">
        <f>AC3832*Z3832</f>
        <v>2957.1029999999973</v>
      </c>
      <c r="AE3832" s="190"/>
      <c r="AF3832" s="191"/>
      <c r="AG3832" s="191"/>
      <c r="AH3832" s="191"/>
      <c r="AI3832" s="186"/>
      <c r="AK3832" s="171"/>
    </row>
    <row r="3833" spans="1:41" s="102" customFormat="1" ht="19.899999999999999" customHeight="1" x14ac:dyDescent="0.25">
      <c r="A3833" s="45"/>
      <c r="B3833" s="59"/>
      <c r="C3833" s="137"/>
      <c r="D3833" s="59"/>
      <c r="E3833" s="116"/>
      <c r="F3833" s="120"/>
      <c r="G3833" s="120"/>
      <c r="H3833" s="120"/>
      <c r="I3833" s="60"/>
      <c r="J3833" s="116"/>
      <c r="K3833" s="213"/>
      <c r="L3833" s="120"/>
      <c r="M3833" s="120"/>
      <c r="N3833" s="167"/>
      <c r="O3833" s="120"/>
      <c r="P3833" s="120"/>
      <c r="Q3833" s="120"/>
      <c r="R3833" s="120"/>
      <c r="S3833" s="120"/>
      <c r="T3833" s="221"/>
      <c r="U3833" s="89"/>
      <c r="V3833" s="61"/>
      <c r="W3833" s="92" t="s">
        <v>1032</v>
      </c>
      <c r="X3833" s="93" t="s">
        <v>30</v>
      </c>
      <c r="Y3833" s="93" t="s">
        <v>66</v>
      </c>
      <c r="Z3833" s="134">
        <f>VLOOKUP(W3833,Sheet2!$B:$D,3,FALSE)</f>
        <v>250</v>
      </c>
      <c r="AA3833" s="93">
        <f>1/(1.6*0.1)</f>
        <v>6.2499999999999991</v>
      </c>
      <c r="AB3833" s="93">
        <f>AD3833/AC3829</f>
        <v>40.000000000000007</v>
      </c>
      <c r="AC3833" s="93">
        <f>AC3829/AA3833</f>
        <v>7.8856079999999942</v>
      </c>
      <c r="AD3833" s="94">
        <f>AC3833*Z3833</f>
        <v>1971.4019999999985</v>
      </c>
      <c r="AE3833" s="190"/>
      <c r="AF3833" s="191"/>
      <c r="AG3833" s="191"/>
      <c r="AH3833" s="191"/>
      <c r="AI3833" s="186"/>
      <c r="AK3833" s="171"/>
    </row>
    <row r="3834" spans="1:41" s="102" customFormat="1" ht="19.899999999999999" customHeight="1" x14ac:dyDescent="0.25">
      <c r="A3834" s="45"/>
      <c r="B3834" s="59"/>
      <c r="C3834" s="137"/>
      <c r="D3834" s="59"/>
      <c r="E3834" s="116"/>
      <c r="F3834" s="120"/>
      <c r="G3834" s="120"/>
      <c r="H3834" s="120"/>
      <c r="I3834" s="60"/>
      <c r="J3834" s="116"/>
      <c r="K3834" s="213"/>
      <c r="L3834" s="120"/>
      <c r="M3834" s="120"/>
      <c r="N3834" s="167"/>
      <c r="O3834" s="120"/>
      <c r="P3834" s="120"/>
      <c r="Q3834" s="120"/>
      <c r="R3834" s="120"/>
      <c r="S3834" s="120"/>
      <c r="T3834" s="221"/>
      <c r="U3834" s="89"/>
      <c r="V3834" s="61"/>
      <c r="W3834" s="92" t="s">
        <v>1035</v>
      </c>
      <c r="X3834" s="93" t="s">
        <v>32</v>
      </c>
      <c r="Y3834" s="93" t="s">
        <v>66</v>
      </c>
      <c r="Z3834" s="134">
        <f>VLOOKUP(W3834,Sheet2!$B:$D,3,FALSE)</f>
        <v>150</v>
      </c>
      <c r="AA3834" s="93">
        <f>AA3833</f>
        <v>6.2499999999999991</v>
      </c>
      <c r="AB3834" s="93">
        <f>AD3834/AC3829</f>
        <v>24.000000000000004</v>
      </c>
      <c r="AC3834" s="93">
        <f>AC3829/AA3834</f>
        <v>7.8856079999999942</v>
      </c>
      <c r="AD3834" s="94">
        <f t="shared" ref="AD3834:AD3835" si="2853">AC3834*Z3834</f>
        <v>1182.8411999999992</v>
      </c>
      <c r="AE3834" s="190"/>
      <c r="AF3834" s="191"/>
      <c r="AG3834" s="191"/>
      <c r="AH3834" s="191"/>
      <c r="AI3834" s="186"/>
      <c r="AK3834" s="171"/>
    </row>
    <row r="3835" spans="1:41" s="102" customFormat="1" ht="19.899999999999999" customHeight="1" x14ac:dyDescent="0.25">
      <c r="A3835" s="45"/>
      <c r="B3835" s="59"/>
      <c r="C3835" s="137"/>
      <c r="D3835" s="59"/>
      <c r="E3835" s="116"/>
      <c r="F3835" s="120"/>
      <c r="G3835" s="120"/>
      <c r="H3835" s="120"/>
      <c r="I3835" s="60"/>
      <c r="J3835" s="116"/>
      <c r="K3835" s="213"/>
      <c r="L3835" s="120"/>
      <c r="M3835" s="120"/>
      <c r="N3835" s="167"/>
      <c r="O3835" s="120"/>
      <c r="P3835" s="120"/>
      <c r="Q3835" s="120"/>
      <c r="R3835" s="120"/>
      <c r="S3835" s="120"/>
      <c r="T3835" s="221"/>
      <c r="U3835" s="89"/>
      <c r="V3835" s="61"/>
      <c r="W3835" s="92" t="s">
        <v>1037</v>
      </c>
      <c r="X3835" s="93" t="s">
        <v>30</v>
      </c>
      <c r="Y3835" s="93" t="s">
        <v>1038</v>
      </c>
      <c r="Z3835" s="134">
        <f>VLOOKUP(W3835,Sheet2!$B:$D,3,FALSE)</f>
        <v>175</v>
      </c>
      <c r="AA3835" s="93">
        <v>300</v>
      </c>
      <c r="AB3835" s="93">
        <f>AD3835/AC3829</f>
        <v>0.58333333333333337</v>
      </c>
      <c r="AC3835" s="93">
        <f>AC3829/AA3835</f>
        <v>0.16428349999999986</v>
      </c>
      <c r="AD3835" s="94">
        <f t="shared" si="2853"/>
        <v>28.749612499999976</v>
      </c>
      <c r="AE3835" s="190"/>
      <c r="AF3835" s="191"/>
      <c r="AG3835" s="191"/>
      <c r="AH3835" s="191"/>
      <c r="AI3835" s="186"/>
      <c r="AK3835" s="171"/>
    </row>
    <row r="3836" spans="1:41" s="103" customFormat="1" ht="19.899999999999999" customHeight="1" x14ac:dyDescent="0.25">
      <c r="A3836" s="51"/>
      <c r="B3836" s="52"/>
      <c r="C3836" s="165"/>
      <c r="D3836" s="52"/>
      <c r="E3836" s="115"/>
      <c r="F3836" s="58"/>
      <c r="G3836" s="58"/>
      <c r="H3836" s="58"/>
      <c r="I3836" s="55"/>
      <c r="J3836" s="113">
        <f>J3818</f>
        <v>49.285049999999956</v>
      </c>
      <c r="K3836" s="212">
        <f>K3818</f>
        <v>49.285049999999956</v>
      </c>
      <c r="L3836" s="58"/>
      <c r="M3836" s="58">
        <f>K3836-L3836</f>
        <v>49.285049999999956</v>
      </c>
      <c r="N3836" s="166"/>
      <c r="O3836" s="58"/>
      <c r="P3836" s="58"/>
      <c r="Q3836" s="58"/>
      <c r="R3836" s="58"/>
      <c r="S3836" s="58"/>
      <c r="T3836" s="220"/>
      <c r="U3836" s="88"/>
      <c r="V3836" s="56"/>
      <c r="W3836" s="57" t="s">
        <v>1040</v>
      </c>
      <c r="X3836" s="53"/>
      <c r="Y3836" s="91" t="s">
        <v>68</v>
      </c>
      <c r="Z3836" s="136">
        <f>AD3836/AC3836</f>
        <v>5</v>
      </c>
      <c r="AA3836" s="58"/>
      <c r="AB3836" s="53">
        <f>AD3836/AC3836</f>
        <v>5</v>
      </c>
      <c r="AC3836" s="53">
        <f>M3836+$AE$10</f>
        <v>49.285049999999956</v>
      </c>
      <c r="AD3836" s="54">
        <f>SUM(AD3837)</f>
        <v>246.42524999999978</v>
      </c>
      <c r="AE3836" s="184">
        <f>SUMIFS($AD$37:$AD$12971,$V$37:$V$12971,$V3836,$X$37:$X$12971,AE$13)</f>
        <v>0</v>
      </c>
      <c r="AF3836" s="185">
        <f>SUMIFS($AD$37:$AD$12971,$V$37:$V$12971,$V3836,$X$37:$X$12971,AF$13)</f>
        <v>0</v>
      </c>
      <c r="AG3836" s="185">
        <f>SUMIFS($AD$37:$AD$12971,$V$37:$V$12971,$V3836,$X$37:$X$12971,AG$13)</f>
        <v>0</v>
      </c>
      <c r="AH3836" s="187">
        <f>SUMIFS($AD$37:$AD$12971,$V$37:$V$12971,$V3836,$X$37:$X$12971,AH$13)</f>
        <v>0</v>
      </c>
      <c r="AI3836" s="161">
        <f t="shared" ref="AI3836" si="2854">SUM(AE3836:AH3836)</f>
        <v>0</v>
      </c>
      <c r="AK3836" s="172"/>
    </row>
    <row r="3837" spans="1:41" s="102" customFormat="1" ht="19.899999999999999" customHeight="1" x14ac:dyDescent="0.25">
      <c r="A3837" s="45"/>
      <c r="B3837" s="59"/>
      <c r="C3837" s="137"/>
      <c r="D3837" s="59"/>
      <c r="E3837" s="116"/>
      <c r="F3837" s="120"/>
      <c r="G3837" s="120"/>
      <c r="H3837" s="120"/>
      <c r="I3837" s="60"/>
      <c r="J3837" s="116"/>
      <c r="K3837" s="213"/>
      <c r="L3837" s="120"/>
      <c r="M3837" s="120"/>
      <c r="N3837" s="167"/>
      <c r="O3837" s="120"/>
      <c r="P3837" s="120"/>
      <c r="Q3837" s="120"/>
      <c r="R3837" s="120"/>
      <c r="S3837" s="120"/>
      <c r="T3837" s="221"/>
      <c r="U3837" s="89"/>
      <c r="V3837" s="61"/>
      <c r="W3837" s="92" t="s">
        <v>1039</v>
      </c>
      <c r="X3837" s="93" t="s">
        <v>32</v>
      </c>
      <c r="Y3837" s="93" t="s">
        <v>68</v>
      </c>
      <c r="Z3837" s="134">
        <f>VLOOKUP(W3837,Sheet2!$B:$D,3,FALSE)</f>
        <v>5</v>
      </c>
      <c r="AA3837" s="93">
        <v>1</v>
      </c>
      <c r="AB3837" s="93">
        <f>AD3837/AC3836</f>
        <v>5</v>
      </c>
      <c r="AC3837" s="93">
        <f>AC3836/AA3837</f>
        <v>49.285049999999956</v>
      </c>
      <c r="AD3837" s="94">
        <f t="shared" ref="AD3837" si="2855">AC3837*Z3837</f>
        <v>246.42524999999978</v>
      </c>
      <c r="AE3837" s="190"/>
      <c r="AF3837" s="191"/>
      <c r="AG3837" s="191"/>
      <c r="AH3837" s="191"/>
      <c r="AI3837" s="186"/>
      <c r="AK3837" s="171"/>
    </row>
    <row r="3838" spans="1:41" ht="20.100000000000001" customHeight="1" x14ac:dyDescent="0.25">
      <c r="A3838" s="277" t="s">
        <v>491</v>
      </c>
      <c r="B3838" s="278"/>
      <c r="C3838" s="64" t="s">
        <v>497</v>
      </c>
      <c r="D3838" s="46" t="s">
        <v>97</v>
      </c>
      <c r="E3838" s="114">
        <v>40.450799999999958</v>
      </c>
      <c r="F3838" s="44">
        <v>860</v>
      </c>
      <c r="G3838" s="44">
        <f t="shared" si="2434"/>
        <v>34787.687999999966</v>
      </c>
      <c r="H3838" s="44">
        <f t="shared" si="2435"/>
        <v>565.29017254901964</v>
      </c>
      <c r="I3838" s="43">
        <f t="shared" si="2436"/>
        <v>22866.439711745861</v>
      </c>
      <c r="J3838" s="112">
        <f t="shared" si="2437"/>
        <v>40.450799999999958</v>
      </c>
      <c r="K3838" s="211">
        <f t="shared" si="2438"/>
        <v>40.450799999999958</v>
      </c>
      <c r="L3838" s="44"/>
      <c r="M3838" s="44">
        <f t="shared" si="2458"/>
        <v>40.450799999999958</v>
      </c>
      <c r="N3838" s="173">
        <f t="shared" si="2439"/>
        <v>1</v>
      </c>
      <c r="O3838" s="44">
        <f t="shared" si="2440"/>
        <v>860</v>
      </c>
      <c r="P3838" s="44">
        <f t="shared" si="2441"/>
        <v>34787.687999999966</v>
      </c>
      <c r="Q3838" s="44">
        <f t="shared" si="2442"/>
        <v>565.29017254901964</v>
      </c>
      <c r="R3838" s="44">
        <f t="shared" si="2459"/>
        <v>22866.439711745861</v>
      </c>
      <c r="S3838" s="123"/>
      <c r="T3838" s="219">
        <f t="shared" si="2460"/>
        <v>22866.439711745861</v>
      </c>
      <c r="U3838" s="87"/>
      <c r="V3838" s="47"/>
      <c r="W3838" s="48"/>
      <c r="X3838" s="48"/>
      <c r="Y3838" s="48"/>
      <c r="Z3838" s="135"/>
      <c r="AA3838" s="49"/>
      <c r="AB3838" s="50">
        <f t="shared" si="2443"/>
        <v>565.29017254901964</v>
      </c>
      <c r="AC3838" s="42">
        <f t="shared" si="2461"/>
        <v>40.450799999999958</v>
      </c>
      <c r="AD3838" s="90">
        <f>AD3839+AD3849+AD3856</f>
        <v>22866.439711745861</v>
      </c>
      <c r="AE3838" s="188">
        <f t="shared" ref="AE3838" si="2856">AE3839+AE3849+AE3856</f>
        <v>0</v>
      </c>
      <c r="AF3838" s="189">
        <f t="shared" ref="AF3838" si="2857">AF3839+AF3849+AF3856</f>
        <v>0</v>
      </c>
      <c r="AG3838" s="189">
        <f t="shared" ref="AG3838" si="2858">AG3839+AG3849+AG3856</f>
        <v>0</v>
      </c>
      <c r="AH3838" s="189">
        <f t="shared" ref="AH3838" si="2859">AH3839+AH3849+AH3856</f>
        <v>0</v>
      </c>
      <c r="AI3838" s="161">
        <f t="shared" ref="AI3838" si="2860">SUM(AE3838:AH3838)</f>
        <v>0</v>
      </c>
      <c r="AK3838" s="169">
        <v>5</v>
      </c>
      <c r="AO3838" s="19" t="s">
        <v>63</v>
      </c>
    </row>
    <row r="3839" spans="1:41" s="103" customFormat="1" ht="19.899999999999999" customHeight="1" x14ac:dyDescent="0.25">
      <c r="A3839" s="51"/>
      <c r="B3839" s="52"/>
      <c r="C3839" s="165"/>
      <c r="D3839" s="52"/>
      <c r="E3839" s="115"/>
      <c r="F3839" s="58"/>
      <c r="G3839" s="58"/>
      <c r="H3839" s="58"/>
      <c r="I3839" s="55"/>
      <c r="J3839" s="113">
        <f>J3838</f>
        <v>40.450799999999958</v>
      </c>
      <c r="K3839" s="212">
        <f>K3838</f>
        <v>40.450799999999958</v>
      </c>
      <c r="L3839" s="58"/>
      <c r="M3839" s="58">
        <f>K3839-L3839</f>
        <v>40.450799999999958</v>
      </c>
      <c r="N3839" s="166"/>
      <c r="O3839" s="58"/>
      <c r="P3839" s="58"/>
      <c r="Q3839" s="58"/>
      <c r="R3839" s="58"/>
      <c r="S3839" s="58"/>
      <c r="T3839" s="220"/>
      <c r="U3839" s="88"/>
      <c r="V3839" s="56"/>
      <c r="W3839" s="57" t="s">
        <v>1241</v>
      </c>
      <c r="X3839" s="53"/>
      <c r="Y3839" s="91" t="s">
        <v>68</v>
      </c>
      <c r="Z3839" s="136">
        <f>AD3839/AC3839</f>
        <v>116.70683921568629</v>
      </c>
      <c r="AA3839" s="58"/>
      <c r="AB3839" s="53">
        <f>AD3839/AC3839</f>
        <v>116.70683921568629</v>
      </c>
      <c r="AC3839" s="53">
        <f>M3839+$AE$10</f>
        <v>40.450799999999958</v>
      </c>
      <c r="AD3839" s="54">
        <f>SUM(AD3840:AD3848)</f>
        <v>4720.8850117458778</v>
      </c>
      <c r="AE3839" s="184">
        <f>SUMIFS($AD$37:$AD$12971,$V$37:$V$12971,$V3839,$X$37:$X$12971,AE$13)</f>
        <v>0</v>
      </c>
      <c r="AF3839" s="185">
        <f>SUMIFS($AD$37:$AD$12971,$V$37:$V$12971,$V3839,$X$37:$X$12971,AF$13)</f>
        <v>0</v>
      </c>
      <c r="AG3839" s="185">
        <f>SUMIFS($AD$37:$AD$12971,$V$37:$V$12971,$V3839,$X$37:$X$12971,AG$13)</f>
        <v>0</v>
      </c>
      <c r="AH3839" s="187">
        <f>SUMIFS($AD$37:$AD$12971,$V$37:$V$12971,$V3839,$X$37:$X$12971,AH$13)</f>
        <v>0</v>
      </c>
      <c r="AI3839" s="161">
        <f t="shared" ref="AI3839" si="2861">SUM(AE3839:AH3839)</f>
        <v>0</v>
      </c>
      <c r="AK3839" s="172"/>
    </row>
    <row r="3840" spans="1:41" s="102" customFormat="1" ht="19.899999999999999" customHeight="1" x14ac:dyDescent="0.25">
      <c r="A3840" s="45"/>
      <c r="B3840" s="59"/>
      <c r="C3840" s="137"/>
      <c r="D3840" s="59"/>
      <c r="E3840" s="116"/>
      <c r="F3840" s="120"/>
      <c r="G3840" s="120"/>
      <c r="H3840" s="120"/>
      <c r="I3840" s="60"/>
      <c r="J3840" s="116"/>
      <c r="K3840" s="213"/>
      <c r="L3840" s="120"/>
      <c r="M3840" s="120"/>
      <c r="N3840" s="167"/>
      <c r="O3840" s="120"/>
      <c r="P3840" s="120"/>
      <c r="Q3840" s="120"/>
      <c r="R3840" s="120"/>
      <c r="S3840" s="120"/>
      <c r="T3840" s="221"/>
      <c r="U3840" s="89"/>
      <c r="V3840" s="61"/>
      <c r="W3840" s="92" t="s">
        <v>131</v>
      </c>
      <c r="X3840" s="93" t="s">
        <v>29</v>
      </c>
      <c r="Y3840" s="93" t="s">
        <v>93</v>
      </c>
      <c r="Z3840" s="134">
        <f>VLOOKUP(W3840,Sheet2!$B:$D,3,FALSE)</f>
        <v>131.19999999999999</v>
      </c>
      <c r="AA3840" s="93">
        <f>80/(1.6*5.5)</f>
        <v>9.0909090909090899</v>
      </c>
      <c r="AB3840" s="93">
        <f t="shared" ref="AB3840" si="2862">AD3840/AC3839</f>
        <v>14.432</v>
      </c>
      <c r="AC3840" s="93">
        <f>AC3839/AA3840</f>
        <v>4.4495879999999959</v>
      </c>
      <c r="AD3840" s="94">
        <f t="shared" ref="AD3840:AD3841" si="2863">AC3840*Z3840</f>
        <v>583.78594559999942</v>
      </c>
      <c r="AE3840" s="190"/>
      <c r="AF3840" s="191"/>
      <c r="AG3840" s="191"/>
      <c r="AH3840" s="191"/>
      <c r="AI3840" s="186"/>
      <c r="AK3840" s="171"/>
    </row>
    <row r="3841" spans="1:37" s="102" customFormat="1" ht="19.899999999999999" customHeight="1" x14ac:dyDescent="0.25">
      <c r="A3841" s="45"/>
      <c r="B3841" s="59"/>
      <c r="C3841" s="137"/>
      <c r="D3841" s="59"/>
      <c r="E3841" s="116"/>
      <c r="F3841" s="120"/>
      <c r="G3841" s="120"/>
      <c r="H3841" s="120"/>
      <c r="I3841" s="60"/>
      <c r="J3841" s="116"/>
      <c r="K3841" s="213"/>
      <c r="L3841" s="120"/>
      <c r="M3841" s="120"/>
      <c r="N3841" s="167"/>
      <c r="O3841" s="120"/>
      <c r="P3841" s="120"/>
      <c r="Q3841" s="120"/>
      <c r="R3841" s="120"/>
      <c r="S3841" s="120"/>
      <c r="T3841" s="221"/>
      <c r="U3841" s="89"/>
      <c r="V3841" s="61"/>
      <c r="W3841" s="92" t="s">
        <v>65</v>
      </c>
      <c r="X3841" s="93" t="s">
        <v>30</v>
      </c>
      <c r="Y3841" s="93" t="s">
        <v>1011</v>
      </c>
      <c r="Z3841" s="134">
        <f>VLOOKUP(W3841,Sheet2!$B:$D,3,FALSE)</f>
        <v>1.76</v>
      </c>
      <c r="AA3841" s="93">
        <f>AA3840/32</f>
        <v>0.28409090909090906</v>
      </c>
      <c r="AB3841" s="93">
        <f>AD3841/AC3839</f>
        <v>6.1952000000000007</v>
      </c>
      <c r="AC3841" s="93">
        <f>AC3839/AA3841</f>
        <v>142.38681599999987</v>
      </c>
      <c r="AD3841" s="94">
        <f t="shared" si="2863"/>
        <v>250.60079615999976</v>
      </c>
      <c r="AE3841" s="190"/>
      <c r="AF3841" s="191"/>
      <c r="AG3841" s="191"/>
      <c r="AH3841" s="191"/>
      <c r="AI3841" s="186"/>
      <c r="AK3841" s="171"/>
    </row>
    <row r="3842" spans="1:37" s="102" customFormat="1" ht="19.899999999999999" customHeight="1" x14ac:dyDescent="0.25">
      <c r="A3842" s="45"/>
      <c r="B3842" s="59"/>
      <c r="C3842" s="137"/>
      <c r="D3842" s="59"/>
      <c r="E3842" s="116"/>
      <c r="F3842" s="120"/>
      <c r="G3842" s="120"/>
      <c r="H3842" s="120"/>
      <c r="I3842" s="60"/>
      <c r="J3842" s="116"/>
      <c r="K3842" s="213"/>
      <c r="L3842" s="120"/>
      <c r="M3842" s="120"/>
      <c r="N3842" s="167"/>
      <c r="O3842" s="120"/>
      <c r="P3842" s="120"/>
      <c r="Q3842" s="120"/>
      <c r="R3842" s="120"/>
      <c r="S3842" s="120"/>
      <c r="T3842" s="221"/>
      <c r="U3842" s="89"/>
      <c r="V3842" s="61"/>
      <c r="W3842" s="92" t="s">
        <v>161</v>
      </c>
      <c r="X3842" s="93" t="s">
        <v>29</v>
      </c>
      <c r="Y3842" s="93" t="s">
        <v>93</v>
      </c>
      <c r="Z3842" s="134">
        <f>VLOOKUP(W3842,Sheet2!$B:$D,3,FALSE)</f>
        <v>48</v>
      </c>
      <c r="AA3842" s="93">
        <f>(16*0.85*1.5)/(1.6*5.5)</f>
        <v>2.3181818181818179</v>
      </c>
      <c r="AB3842" s="93">
        <f>AD3842/AC3839</f>
        <v>20.705882352941181</v>
      </c>
      <c r="AC3842" s="93">
        <f>AC3839/AA3842</f>
        <v>17.449364705882338</v>
      </c>
      <c r="AD3842" s="94">
        <f>AC3842*Z3842</f>
        <v>837.56950588235225</v>
      </c>
      <c r="AE3842" s="190"/>
      <c r="AF3842" s="191"/>
      <c r="AG3842" s="191"/>
      <c r="AH3842" s="191"/>
      <c r="AI3842" s="186"/>
      <c r="AK3842" s="171"/>
    </row>
    <row r="3843" spans="1:37" s="102" customFormat="1" ht="19.899999999999999" customHeight="1" x14ac:dyDescent="0.25">
      <c r="A3843" s="45"/>
      <c r="B3843" s="59"/>
      <c r="C3843" s="137"/>
      <c r="D3843" s="59"/>
      <c r="E3843" s="116"/>
      <c r="F3843" s="120"/>
      <c r="G3843" s="120"/>
      <c r="H3843" s="120"/>
      <c r="I3843" s="60"/>
      <c r="J3843" s="116"/>
      <c r="K3843" s="213"/>
      <c r="L3843" s="120"/>
      <c r="M3843" s="120"/>
      <c r="N3843" s="167"/>
      <c r="O3843" s="120"/>
      <c r="P3843" s="120"/>
      <c r="Q3843" s="120"/>
      <c r="R3843" s="120"/>
      <c r="S3843" s="120"/>
      <c r="T3843" s="221"/>
      <c r="U3843" s="89"/>
      <c r="V3843" s="61"/>
      <c r="W3843" s="92" t="s">
        <v>65</v>
      </c>
      <c r="X3843" s="93" t="s">
        <v>30</v>
      </c>
      <c r="Y3843" s="93" t="s">
        <v>1011</v>
      </c>
      <c r="Z3843" s="134">
        <f>VLOOKUP(W3843,Sheet2!$B:$D,3,FALSE)</f>
        <v>1.76</v>
      </c>
      <c r="AA3843" s="93">
        <f>AA3842/10</f>
        <v>0.23181818181818178</v>
      </c>
      <c r="AB3843" s="93">
        <f>AD3843/AC3839</f>
        <v>7.5921568627450986</v>
      </c>
      <c r="AC3843" s="93">
        <f>AC3839/AA3843</f>
        <v>174.49364705882337</v>
      </c>
      <c r="AD3843" s="94">
        <f>AC3843*Z3843</f>
        <v>307.10881882352913</v>
      </c>
      <c r="AE3843" s="190"/>
      <c r="AF3843" s="191"/>
      <c r="AG3843" s="191"/>
      <c r="AH3843" s="191"/>
      <c r="AI3843" s="186"/>
      <c r="AK3843" s="171"/>
    </row>
    <row r="3844" spans="1:37" s="102" customFormat="1" ht="19.899999999999999" customHeight="1" x14ac:dyDescent="0.25">
      <c r="A3844" s="45"/>
      <c r="B3844" s="59"/>
      <c r="C3844" s="137"/>
      <c r="D3844" s="59"/>
      <c r="E3844" s="116"/>
      <c r="F3844" s="120"/>
      <c r="G3844" s="120"/>
      <c r="H3844" s="120"/>
      <c r="I3844" s="60"/>
      <c r="J3844" s="116"/>
      <c r="K3844" s="213"/>
      <c r="L3844" s="120"/>
      <c r="M3844" s="120"/>
      <c r="N3844" s="167"/>
      <c r="O3844" s="120"/>
      <c r="P3844" s="120"/>
      <c r="Q3844" s="120"/>
      <c r="R3844" s="120"/>
      <c r="S3844" s="120"/>
      <c r="T3844" s="221"/>
      <c r="U3844" s="89"/>
      <c r="V3844" s="61"/>
      <c r="W3844" s="92" t="s">
        <v>1030</v>
      </c>
      <c r="X3844" s="93" t="s">
        <v>29</v>
      </c>
      <c r="Y3844" s="93" t="s">
        <v>93</v>
      </c>
      <c r="Z3844" s="134">
        <f>VLOOKUP(W3844,Sheet2!$B:$D,3,FALSE)</f>
        <v>23</v>
      </c>
      <c r="AA3844" s="93">
        <v>50</v>
      </c>
      <c r="AB3844" s="93">
        <f>AD3844/AC3839</f>
        <v>0.45999999999999996</v>
      </c>
      <c r="AC3844" s="93">
        <f>AC3839/AA3844</f>
        <v>0.80901599999999918</v>
      </c>
      <c r="AD3844" s="94">
        <f t="shared" ref="AD3844:AD3848" si="2864">AC3844*Z3844</f>
        <v>18.60736799999998</v>
      </c>
      <c r="AE3844" s="190"/>
      <c r="AF3844" s="191"/>
      <c r="AG3844" s="191"/>
      <c r="AH3844" s="191"/>
      <c r="AI3844" s="186"/>
      <c r="AK3844" s="171"/>
    </row>
    <row r="3845" spans="1:37" s="102" customFormat="1" ht="19.899999999999999" customHeight="1" x14ac:dyDescent="0.25">
      <c r="A3845" s="45"/>
      <c r="B3845" s="59"/>
      <c r="C3845" s="137"/>
      <c r="D3845" s="59"/>
      <c r="E3845" s="116"/>
      <c r="F3845" s="120"/>
      <c r="G3845" s="120"/>
      <c r="H3845" s="120"/>
      <c r="I3845" s="60"/>
      <c r="J3845" s="116"/>
      <c r="K3845" s="213"/>
      <c r="L3845" s="120"/>
      <c r="M3845" s="120"/>
      <c r="N3845" s="167"/>
      <c r="O3845" s="120"/>
      <c r="P3845" s="120"/>
      <c r="Q3845" s="120"/>
      <c r="R3845" s="120"/>
      <c r="S3845" s="120"/>
      <c r="T3845" s="221"/>
      <c r="U3845" s="89"/>
      <c r="V3845" s="61"/>
      <c r="W3845" s="92" t="s">
        <v>65</v>
      </c>
      <c r="X3845" s="93" t="s">
        <v>30</v>
      </c>
      <c r="Y3845" s="93" t="s">
        <v>1011</v>
      </c>
      <c r="Z3845" s="134">
        <f>VLOOKUP(W3845,Sheet2!$B:$D,3,FALSE)</f>
        <v>1.76</v>
      </c>
      <c r="AA3845" s="93">
        <f>AA3844/3</f>
        <v>16.666666666666668</v>
      </c>
      <c r="AB3845" s="93">
        <f>AD3845/AC3839</f>
        <v>0.10559999999999999</v>
      </c>
      <c r="AC3845" s="93">
        <f>AC3839/AA3845</f>
        <v>2.4270479999999974</v>
      </c>
      <c r="AD3845" s="94">
        <f t="shared" si="2864"/>
        <v>4.2716044799999953</v>
      </c>
      <c r="AE3845" s="190"/>
      <c r="AF3845" s="191"/>
      <c r="AG3845" s="191"/>
      <c r="AH3845" s="191"/>
      <c r="AI3845" s="186"/>
      <c r="AK3845" s="171"/>
    </row>
    <row r="3846" spans="1:37" s="102" customFormat="1" ht="19.899999999999999" customHeight="1" x14ac:dyDescent="0.25">
      <c r="A3846" s="45"/>
      <c r="B3846" s="59"/>
      <c r="C3846" s="137"/>
      <c r="D3846" s="59"/>
      <c r="E3846" s="116"/>
      <c r="F3846" s="120"/>
      <c r="G3846" s="120"/>
      <c r="H3846" s="120"/>
      <c r="I3846" s="60"/>
      <c r="J3846" s="116"/>
      <c r="K3846" s="213"/>
      <c r="L3846" s="120"/>
      <c r="M3846" s="120"/>
      <c r="N3846" s="167"/>
      <c r="O3846" s="120"/>
      <c r="P3846" s="120"/>
      <c r="Q3846" s="120"/>
      <c r="R3846" s="120"/>
      <c r="S3846" s="120"/>
      <c r="T3846" s="221"/>
      <c r="U3846" s="89"/>
      <c r="V3846" s="61"/>
      <c r="W3846" s="92" t="s">
        <v>148</v>
      </c>
      <c r="X3846" s="93" t="s">
        <v>29</v>
      </c>
      <c r="Y3846" s="93" t="s">
        <v>93</v>
      </c>
      <c r="Z3846" s="134">
        <f>VLOOKUP(W3846,Sheet2!$B:$D,3,FALSE)</f>
        <v>48</v>
      </c>
      <c r="AA3846" s="93">
        <f>AA3840</f>
        <v>9.0909090909090899</v>
      </c>
      <c r="AB3846" s="93">
        <f>AD3846/AC3839</f>
        <v>5.2800000000000011</v>
      </c>
      <c r="AC3846" s="93">
        <f>AC3839/AA3846</f>
        <v>4.4495879999999959</v>
      </c>
      <c r="AD3846" s="94">
        <f t="shared" si="2864"/>
        <v>213.58022399999982</v>
      </c>
      <c r="AE3846" s="190"/>
      <c r="AF3846" s="191"/>
      <c r="AG3846" s="191"/>
      <c r="AH3846" s="191"/>
      <c r="AI3846" s="186"/>
      <c r="AK3846" s="171"/>
    </row>
    <row r="3847" spans="1:37" s="102" customFormat="1" ht="19.899999999999999" customHeight="1" x14ac:dyDescent="0.25">
      <c r="A3847" s="45"/>
      <c r="B3847" s="59"/>
      <c r="C3847" s="137"/>
      <c r="D3847" s="59"/>
      <c r="E3847" s="116"/>
      <c r="F3847" s="120"/>
      <c r="G3847" s="120"/>
      <c r="H3847" s="120"/>
      <c r="I3847" s="60"/>
      <c r="J3847" s="116"/>
      <c r="K3847" s="213"/>
      <c r="L3847" s="120"/>
      <c r="M3847" s="120"/>
      <c r="N3847" s="167"/>
      <c r="O3847" s="120"/>
      <c r="P3847" s="120"/>
      <c r="Q3847" s="120"/>
      <c r="R3847" s="120"/>
      <c r="S3847" s="120"/>
      <c r="T3847" s="221"/>
      <c r="U3847" s="89"/>
      <c r="V3847" s="61"/>
      <c r="W3847" s="92" t="s">
        <v>65</v>
      </c>
      <c r="X3847" s="93" t="s">
        <v>30</v>
      </c>
      <c r="Y3847" s="93" t="s">
        <v>1011</v>
      </c>
      <c r="Z3847" s="134">
        <f>VLOOKUP(W3847,Sheet2!$B:$D,3,FALSE)</f>
        <v>1.76</v>
      </c>
      <c r="AA3847" s="93">
        <f>AA3846/10</f>
        <v>0.90909090909090895</v>
      </c>
      <c r="AB3847" s="93">
        <f>AD3847/AC3839</f>
        <v>1.9360000000000004</v>
      </c>
      <c r="AC3847" s="93">
        <f>AC3839/AA3847</f>
        <v>44.495879999999964</v>
      </c>
      <c r="AD3847" s="94">
        <f t="shared" si="2864"/>
        <v>78.312748799999937</v>
      </c>
      <c r="AE3847" s="190"/>
      <c r="AF3847" s="191"/>
      <c r="AG3847" s="191"/>
      <c r="AH3847" s="191"/>
      <c r="AI3847" s="186"/>
      <c r="AK3847" s="171"/>
    </row>
    <row r="3848" spans="1:37" s="102" customFormat="1" ht="19.899999999999999" customHeight="1" x14ac:dyDescent="0.25">
      <c r="A3848" s="45"/>
      <c r="B3848" s="59"/>
      <c r="C3848" s="137"/>
      <c r="D3848" s="59"/>
      <c r="E3848" s="116"/>
      <c r="F3848" s="120"/>
      <c r="G3848" s="120"/>
      <c r="H3848" s="120"/>
      <c r="I3848" s="60"/>
      <c r="J3848" s="116"/>
      <c r="K3848" s="213"/>
      <c r="L3848" s="120"/>
      <c r="M3848" s="120"/>
      <c r="N3848" s="167"/>
      <c r="O3848" s="120"/>
      <c r="P3848" s="120"/>
      <c r="Q3848" s="120"/>
      <c r="R3848" s="120"/>
      <c r="S3848" s="120"/>
      <c r="T3848" s="221"/>
      <c r="U3848" s="89"/>
      <c r="V3848" s="61"/>
      <c r="W3848" s="92" t="s">
        <v>1049</v>
      </c>
      <c r="X3848" s="93" t="s">
        <v>30</v>
      </c>
      <c r="Y3848" s="93" t="s">
        <v>68</v>
      </c>
      <c r="Z3848" s="134">
        <f>VLOOKUP(W3848,Sheet2!$B:$D,3,FALSE)</f>
        <v>60</v>
      </c>
      <c r="AA3848" s="93">
        <v>1</v>
      </c>
      <c r="AB3848" s="93">
        <f>AD3848/AC3839</f>
        <v>60</v>
      </c>
      <c r="AC3848" s="93">
        <f>AC3839/AA3848</f>
        <v>40.450799999999958</v>
      </c>
      <c r="AD3848" s="94">
        <f t="shared" si="2864"/>
        <v>2427.0479999999975</v>
      </c>
      <c r="AE3848" s="190"/>
      <c r="AF3848" s="191"/>
      <c r="AG3848" s="191"/>
      <c r="AH3848" s="191"/>
      <c r="AI3848" s="186"/>
      <c r="AK3848" s="171"/>
    </row>
    <row r="3849" spans="1:37" s="103" customFormat="1" ht="19.899999999999999" customHeight="1" x14ac:dyDescent="0.25">
      <c r="A3849" s="51"/>
      <c r="B3849" s="52"/>
      <c r="C3849" s="165"/>
      <c r="D3849" s="52"/>
      <c r="E3849" s="115"/>
      <c r="F3849" s="58"/>
      <c r="G3849" s="58"/>
      <c r="H3849" s="58"/>
      <c r="I3849" s="55"/>
      <c r="J3849" s="113">
        <f>J3838</f>
        <v>40.450799999999958</v>
      </c>
      <c r="K3849" s="212">
        <f>K3838</f>
        <v>40.450799999999958</v>
      </c>
      <c r="L3849" s="58"/>
      <c r="M3849" s="58">
        <f>K3849-L3849</f>
        <v>40.450799999999958</v>
      </c>
      <c r="N3849" s="166"/>
      <c r="O3849" s="58"/>
      <c r="P3849" s="58"/>
      <c r="Q3849" s="58"/>
      <c r="R3849" s="58"/>
      <c r="S3849" s="58"/>
      <c r="T3849" s="220"/>
      <c r="U3849" s="88"/>
      <c r="V3849" s="56"/>
      <c r="W3849" s="57" t="s">
        <v>1036</v>
      </c>
      <c r="X3849" s="53"/>
      <c r="Y3849" s="91" t="s">
        <v>68</v>
      </c>
      <c r="Z3849" s="136">
        <f>AD3849/AC3849</f>
        <v>443.58333333333331</v>
      </c>
      <c r="AA3849" s="58"/>
      <c r="AB3849" s="53">
        <f>AD3849/AC3849</f>
        <v>443.58333333333331</v>
      </c>
      <c r="AC3849" s="53">
        <f>M3849+$AE$10</f>
        <v>40.450799999999958</v>
      </c>
      <c r="AD3849" s="54">
        <f>SUM(AD3850:AD3855)</f>
        <v>17943.300699999982</v>
      </c>
      <c r="AE3849" s="184">
        <f>SUMIFS($AD$37:$AD$12971,$V$37:$V$12971,$V3849,$X$37:$X$12971,AE$13)</f>
        <v>0</v>
      </c>
      <c r="AF3849" s="185">
        <f>SUMIFS($AD$37:$AD$12971,$V$37:$V$12971,$V3849,$X$37:$X$12971,AF$13)</f>
        <v>0</v>
      </c>
      <c r="AG3849" s="185">
        <f>SUMIFS($AD$37:$AD$12971,$V$37:$V$12971,$V3849,$X$37:$X$12971,AG$13)</f>
        <v>0</v>
      </c>
      <c r="AH3849" s="187">
        <f>SUMIFS($AD$37:$AD$12971,$V$37:$V$12971,$V3849,$X$37:$X$12971,AH$13)</f>
        <v>0</v>
      </c>
      <c r="AI3849" s="161">
        <f t="shared" ref="AI3849" si="2865">SUM(AE3849:AH3849)</f>
        <v>0</v>
      </c>
      <c r="AK3849" s="172"/>
    </row>
    <row r="3850" spans="1:37" s="102" customFormat="1" ht="19.899999999999999" customHeight="1" x14ac:dyDescent="0.25">
      <c r="A3850" s="45"/>
      <c r="B3850" s="59"/>
      <c r="C3850" s="137"/>
      <c r="D3850" s="59"/>
      <c r="E3850" s="116"/>
      <c r="F3850" s="120"/>
      <c r="G3850" s="120"/>
      <c r="H3850" s="120"/>
      <c r="I3850" s="60"/>
      <c r="J3850" s="116"/>
      <c r="K3850" s="213"/>
      <c r="L3850" s="120"/>
      <c r="M3850" s="120"/>
      <c r="N3850" s="167"/>
      <c r="O3850" s="120"/>
      <c r="P3850" s="120"/>
      <c r="Q3850" s="120"/>
      <c r="R3850" s="120"/>
      <c r="S3850" s="120"/>
      <c r="T3850" s="221"/>
      <c r="U3850" s="89"/>
      <c r="V3850" s="61"/>
      <c r="W3850" s="92" t="s">
        <v>1058</v>
      </c>
      <c r="X3850" s="93" t="s">
        <v>30</v>
      </c>
      <c r="Y3850" s="93" t="s">
        <v>68</v>
      </c>
      <c r="Z3850" s="134">
        <f>VLOOKUP(W3850,Sheet2!$B:$D,3,FALSE)</f>
        <v>290</v>
      </c>
      <c r="AA3850" s="93">
        <v>1</v>
      </c>
      <c r="AB3850" s="93">
        <f>AD3850/AC3849</f>
        <v>290</v>
      </c>
      <c r="AC3850" s="93">
        <f>AC3849/AA3850</f>
        <v>40.450799999999958</v>
      </c>
      <c r="AD3850" s="94">
        <f t="shared" ref="AD3850" si="2866">AC3850*Z3850</f>
        <v>11730.731999999987</v>
      </c>
      <c r="AE3850" s="190"/>
      <c r="AF3850" s="191"/>
      <c r="AG3850" s="191"/>
      <c r="AH3850" s="191"/>
      <c r="AI3850" s="186"/>
      <c r="AK3850" s="171"/>
    </row>
    <row r="3851" spans="1:37" s="102" customFormat="1" ht="19.899999999999999" customHeight="1" x14ac:dyDescent="0.25">
      <c r="A3851" s="45"/>
      <c r="B3851" s="59"/>
      <c r="C3851" s="137"/>
      <c r="D3851" s="59"/>
      <c r="E3851" s="116"/>
      <c r="F3851" s="120"/>
      <c r="G3851" s="120"/>
      <c r="H3851" s="120"/>
      <c r="I3851" s="60"/>
      <c r="J3851" s="116"/>
      <c r="K3851" s="213"/>
      <c r="L3851" s="120"/>
      <c r="M3851" s="120"/>
      <c r="N3851" s="167"/>
      <c r="O3851" s="120"/>
      <c r="P3851" s="120"/>
      <c r="Q3851" s="120"/>
      <c r="R3851" s="120"/>
      <c r="S3851" s="120"/>
      <c r="T3851" s="221"/>
      <c r="U3851" s="89"/>
      <c r="V3851" s="61"/>
      <c r="W3851" s="92" t="s">
        <v>1065</v>
      </c>
      <c r="X3851" s="93" t="s">
        <v>30</v>
      </c>
      <c r="Y3851" s="93" t="s">
        <v>68</v>
      </c>
      <c r="Z3851" s="134">
        <f>VLOOKUP(W3851,Sheet2!$B:$D,3,FALSE)</f>
        <v>29</v>
      </c>
      <c r="AA3851" s="93">
        <v>1</v>
      </c>
      <c r="AB3851" s="93">
        <f>AD3851/AC3849</f>
        <v>29.000000000000004</v>
      </c>
      <c r="AC3851" s="93">
        <f>AC3849/AA3851</f>
        <v>40.450799999999958</v>
      </c>
      <c r="AD3851" s="94">
        <f>AC3851*Z3851</f>
        <v>1173.0731999999989</v>
      </c>
      <c r="AE3851" s="190"/>
      <c r="AF3851" s="191"/>
      <c r="AG3851" s="191"/>
      <c r="AH3851" s="191"/>
      <c r="AI3851" s="186"/>
      <c r="AK3851" s="171"/>
    </row>
    <row r="3852" spans="1:37" s="102" customFormat="1" ht="19.899999999999999" customHeight="1" x14ac:dyDescent="0.25">
      <c r="A3852" s="45"/>
      <c r="B3852" s="59"/>
      <c r="C3852" s="137"/>
      <c r="D3852" s="59"/>
      <c r="E3852" s="116"/>
      <c r="F3852" s="120"/>
      <c r="G3852" s="120"/>
      <c r="H3852" s="120"/>
      <c r="I3852" s="60"/>
      <c r="J3852" s="116"/>
      <c r="K3852" s="213"/>
      <c r="L3852" s="120"/>
      <c r="M3852" s="120"/>
      <c r="N3852" s="167"/>
      <c r="O3852" s="120"/>
      <c r="P3852" s="120"/>
      <c r="Q3852" s="120"/>
      <c r="R3852" s="120"/>
      <c r="S3852" s="120"/>
      <c r="T3852" s="221"/>
      <c r="U3852" s="89"/>
      <c r="V3852" s="61"/>
      <c r="W3852" s="92" t="s">
        <v>1068</v>
      </c>
      <c r="X3852" s="93" t="s">
        <v>32</v>
      </c>
      <c r="Y3852" s="93" t="s">
        <v>68</v>
      </c>
      <c r="Z3852" s="134">
        <f>VLOOKUP(W3852,Sheet2!$B:$D,3,FALSE)</f>
        <v>60</v>
      </c>
      <c r="AA3852" s="93">
        <v>1</v>
      </c>
      <c r="AB3852" s="93">
        <f>AD3852/AC3849</f>
        <v>60</v>
      </c>
      <c r="AC3852" s="93">
        <f>AC3849/AA3852</f>
        <v>40.450799999999958</v>
      </c>
      <c r="AD3852" s="94">
        <f>AC3852*Z3852</f>
        <v>2427.0479999999975</v>
      </c>
      <c r="AE3852" s="190"/>
      <c r="AF3852" s="191"/>
      <c r="AG3852" s="191"/>
      <c r="AH3852" s="191"/>
      <c r="AI3852" s="186"/>
      <c r="AK3852" s="171"/>
    </row>
    <row r="3853" spans="1:37" s="102" customFormat="1" ht="19.899999999999999" customHeight="1" x14ac:dyDescent="0.25">
      <c r="A3853" s="45"/>
      <c r="B3853" s="59"/>
      <c r="C3853" s="137"/>
      <c r="D3853" s="59"/>
      <c r="E3853" s="116"/>
      <c r="F3853" s="120"/>
      <c r="G3853" s="120"/>
      <c r="H3853" s="120"/>
      <c r="I3853" s="60"/>
      <c r="J3853" s="116"/>
      <c r="K3853" s="213"/>
      <c r="L3853" s="120"/>
      <c r="M3853" s="120"/>
      <c r="N3853" s="167"/>
      <c r="O3853" s="120"/>
      <c r="P3853" s="120"/>
      <c r="Q3853" s="120"/>
      <c r="R3853" s="120"/>
      <c r="S3853" s="120"/>
      <c r="T3853" s="221"/>
      <c r="U3853" s="89"/>
      <c r="V3853" s="61"/>
      <c r="W3853" s="92" t="s">
        <v>1032</v>
      </c>
      <c r="X3853" s="93" t="s">
        <v>30</v>
      </c>
      <c r="Y3853" s="93" t="s">
        <v>66</v>
      </c>
      <c r="Z3853" s="134">
        <f>VLOOKUP(W3853,Sheet2!$B:$D,3,FALSE)</f>
        <v>250</v>
      </c>
      <c r="AA3853" s="93">
        <f>1/(1.6*0.1)</f>
        <v>6.2499999999999991</v>
      </c>
      <c r="AB3853" s="93">
        <f>AD3853/AC3849</f>
        <v>40.000000000000007</v>
      </c>
      <c r="AC3853" s="93">
        <f>AC3849/AA3853</f>
        <v>6.4721279999999943</v>
      </c>
      <c r="AD3853" s="94">
        <f>AC3853*Z3853</f>
        <v>1618.0319999999986</v>
      </c>
      <c r="AE3853" s="190"/>
      <c r="AF3853" s="191"/>
      <c r="AG3853" s="191"/>
      <c r="AH3853" s="191"/>
      <c r="AI3853" s="186"/>
      <c r="AK3853" s="171"/>
    </row>
    <row r="3854" spans="1:37" s="102" customFormat="1" ht="19.899999999999999" customHeight="1" x14ac:dyDescent="0.25">
      <c r="A3854" s="45"/>
      <c r="B3854" s="59"/>
      <c r="C3854" s="137"/>
      <c r="D3854" s="59"/>
      <c r="E3854" s="116"/>
      <c r="F3854" s="120"/>
      <c r="G3854" s="120"/>
      <c r="H3854" s="120"/>
      <c r="I3854" s="60"/>
      <c r="J3854" s="116"/>
      <c r="K3854" s="213"/>
      <c r="L3854" s="120"/>
      <c r="M3854" s="120"/>
      <c r="N3854" s="167"/>
      <c r="O3854" s="120"/>
      <c r="P3854" s="120"/>
      <c r="Q3854" s="120"/>
      <c r="R3854" s="120"/>
      <c r="S3854" s="120"/>
      <c r="T3854" s="221"/>
      <c r="U3854" s="89"/>
      <c r="V3854" s="61"/>
      <c r="W3854" s="92" t="s">
        <v>1035</v>
      </c>
      <c r="X3854" s="93" t="s">
        <v>32</v>
      </c>
      <c r="Y3854" s="93" t="s">
        <v>66</v>
      </c>
      <c r="Z3854" s="134">
        <f>VLOOKUP(W3854,Sheet2!$B:$D,3,FALSE)</f>
        <v>150</v>
      </c>
      <c r="AA3854" s="93">
        <f>AA3853</f>
        <v>6.2499999999999991</v>
      </c>
      <c r="AB3854" s="93">
        <f>AD3854/AC3849</f>
        <v>24.000000000000004</v>
      </c>
      <c r="AC3854" s="93">
        <f>AC3849/AA3854</f>
        <v>6.4721279999999943</v>
      </c>
      <c r="AD3854" s="94">
        <f t="shared" ref="AD3854:AD3855" si="2867">AC3854*Z3854</f>
        <v>970.81919999999911</v>
      </c>
      <c r="AE3854" s="190"/>
      <c r="AF3854" s="191"/>
      <c r="AG3854" s="191"/>
      <c r="AH3854" s="191"/>
      <c r="AI3854" s="186"/>
      <c r="AK3854" s="171"/>
    </row>
    <row r="3855" spans="1:37" s="102" customFormat="1" ht="19.899999999999999" customHeight="1" x14ac:dyDescent="0.25">
      <c r="A3855" s="45"/>
      <c r="B3855" s="59"/>
      <c r="C3855" s="137"/>
      <c r="D3855" s="59"/>
      <c r="E3855" s="116"/>
      <c r="F3855" s="120"/>
      <c r="G3855" s="120"/>
      <c r="H3855" s="120"/>
      <c r="I3855" s="60"/>
      <c r="J3855" s="116"/>
      <c r="K3855" s="213"/>
      <c r="L3855" s="120"/>
      <c r="M3855" s="120"/>
      <c r="N3855" s="167"/>
      <c r="O3855" s="120"/>
      <c r="P3855" s="120"/>
      <c r="Q3855" s="120"/>
      <c r="R3855" s="120"/>
      <c r="S3855" s="120"/>
      <c r="T3855" s="221"/>
      <c r="U3855" s="89"/>
      <c r="V3855" s="61"/>
      <c r="W3855" s="92" t="s">
        <v>1037</v>
      </c>
      <c r="X3855" s="93" t="s">
        <v>30</v>
      </c>
      <c r="Y3855" s="93" t="s">
        <v>1038</v>
      </c>
      <c r="Z3855" s="134">
        <f>VLOOKUP(W3855,Sheet2!$B:$D,3,FALSE)</f>
        <v>175</v>
      </c>
      <c r="AA3855" s="93">
        <v>300</v>
      </c>
      <c r="AB3855" s="93">
        <f>AD3855/AC3849</f>
        <v>0.58333333333333337</v>
      </c>
      <c r="AC3855" s="93">
        <f>AC3849/AA3855</f>
        <v>0.13483599999999987</v>
      </c>
      <c r="AD3855" s="94">
        <f t="shared" si="2867"/>
        <v>23.596299999999978</v>
      </c>
      <c r="AE3855" s="190"/>
      <c r="AF3855" s="191"/>
      <c r="AG3855" s="191"/>
      <c r="AH3855" s="191"/>
      <c r="AI3855" s="186"/>
      <c r="AK3855" s="171"/>
    </row>
    <row r="3856" spans="1:37" s="103" customFormat="1" ht="19.899999999999999" customHeight="1" x14ac:dyDescent="0.25">
      <c r="A3856" s="51"/>
      <c r="B3856" s="52"/>
      <c r="C3856" s="165"/>
      <c r="D3856" s="52"/>
      <c r="E3856" s="115"/>
      <c r="F3856" s="58"/>
      <c r="G3856" s="58"/>
      <c r="H3856" s="58"/>
      <c r="I3856" s="55"/>
      <c r="J3856" s="113">
        <f>J3838</f>
        <v>40.450799999999958</v>
      </c>
      <c r="K3856" s="212">
        <f>K3838</f>
        <v>40.450799999999958</v>
      </c>
      <c r="L3856" s="58"/>
      <c r="M3856" s="58">
        <f>K3856-L3856</f>
        <v>40.450799999999958</v>
      </c>
      <c r="N3856" s="166"/>
      <c r="O3856" s="58"/>
      <c r="P3856" s="58"/>
      <c r="Q3856" s="58"/>
      <c r="R3856" s="58"/>
      <c r="S3856" s="58"/>
      <c r="T3856" s="220"/>
      <c r="U3856" s="88"/>
      <c r="V3856" s="56"/>
      <c r="W3856" s="57" t="s">
        <v>1040</v>
      </c>
      <c r="X3856" s="53"/>
      <c r="Y3856" s="91" t="s">
        <v>68</v>
      </c>
      <c r="Z3856" s="136">
        <f>AD3856/AC3856</f>
        <v>5</v>
      </c>
      <c r="AA3856" s="58"/>
      <c r="AB3856" s="53">
        <f>AD3856/AC3856</f>
        <v>5</v>
      </c>
      <c r="AC3856" s="53">
        <f>M3856+$AE$10</f>
        <v>40.450799999999958</v>
      </c>
      <c r="AD3856" s="54">
        <f>SUM(AD3857)</f>
        <v>202.25399999999979</v>
      </c>
      <c r="AE3856" s="184">
        <f>SUMIFS($AD$37:$AD$12971,$V$37:$V$12971,$V3856,$X$37:$X$12971,AE$13)</f>
        <v>0</v>
      </c>
      <c r="AF3856" s="185">
        <f>SUMIFS($AD$37:$AD$12971,$V$37:$V$12971,$V3856,$X$37:$X$12971,AF$13)</f>
        <v>0</v>
      </c>
      <c r="AG3856" s="185">
        <f>SUMIFS($AD$37:$AD$12971,$V$37:$V$12971,$V3856,$X$37:$X$12971,AG$13)</f>
        <v>0</v>
      </c>
      <c r="AH3856" s="187">
        <f>SUMIFS($AD$37:$AD$12971,$V$37:$V$12971,$V3856,$X$37:$X$12971,AH$13)</f>
        <v>0</v>
      </c>
      <c r="AI3856" s="161">
        <f t="shared" ref="AI3856" si="2868">SUM(AE3856:AH3856)</f>
        <v>0</v>
      </c>
      <c r="AK3856" s="172"/>
    </row>
    <row r="3857" spans="1:41" s="102" customFormat="1" ht="19.899999999999999" customHeight="1" x14ac:dyDescent="0.25">
      <c r="A3857" s="45"/>
      <c r="B3857" s="59"/>
      <c r="C3857" s="137"/>
      <c r="D3857" s="59"/>
      <c r="E3857" s="116"/>
      <c r="F3857" s="120"/>
      <c r="G3857" s="120"/>
      <c r="H3857" s="120"/>
      <c r="I3857" s="60"/>
      <c r="J3857" s="116"/>
      <c r="K3857" s="213"/>
      <c r="L3857" s="120"/>
      <c r="M3857" s="120"/>
      <c r="N3857" s="167"/>
      <c r="O3857" s="120"/>
      <c r="P3857" s="120"/>
      <c r="Q3857" s="120"/>
      <c r="R3857" s="120"/>
      <c r="S3857" s="120"/>
      <c r="T3857" s="221"/>
      <c r="U3857" s="89"/>
      <c r="V3857" s="61"/>
      <c r="W3857" s="92" t="s">
        <v>1039</v>
      </c>
      <c r="X3857" s="93" t="s">
        <v>32</v>
      </c>
      <c r="Y3857" s="93" t="s">
        <v>68</v>
      </c>
      <c r="Z3857" s="134">
        <f>VLOOKUP(W3857,Sheet2!$B:$D,3,FALSE)</f>
        <v>5</v>
      </c>
      <c r="AA3857" s="93">
        <v>1</v>
      </c>
      <c r="AB3857" s="93">
        <f>AD3857/AC3856</f>
        <v>5</v>
      </c>
      <c r="AC3857" s="93">
        <f>AC3856/AA3857</f>
        <v>40.450799999999958</v>
      </c>
      <c r="AD3857" s="94">
        <f t="shared" ref="AD3857" si="2869">AC3857*Z3857</f>
        <v>202.25399999999979</v>
      </c>
      <c r="AE3857" s="190"/>
      <c r="AF3857" s="191"/>
      <c r="AG3857" s="191"/>
      <c r="AH3857" s="191"/>
      <c r="AI3857" s="186"/>
      <c r="AK3857" s="171"/>
    </row>
    <row r="3858" spans="1:41" ht="20.100000000000001" customHeight="1" x14ac:dyDescent="0.25">
      <c r="A3858" s="277" t="s">
        <v>491</v>
      </c>
      <c r="B3858" s="278"/>
      <c r="C3858" s="64" t="s">
        <v>498</v>
      </c>
      <c r="D3858" s="46" t="s">
        <v>97</v>
      </c>
      <c r="E3858" s="114">
        <v>31.147500000000036</v>
      </c>
      <c r="F3858" s="44">
        <v>885</v>
      </c>
      <c r="G3858" s="44">
        <f t="shared" si="2434"/>
        <v>27565.537500000031</v>
      </c>
      <c r="H3858" s="44">
        <f t="shared" si="2435"/>
        <v>570.39392156862743</v>
      </c>
      <c r="I3858" s="43">
        <f t="shared" si="2436"/>
        <v>17766.344672058844</v>
      </c>
      <c r="J3858" s="112">
        <f t="shared" si="2437"/>
        <v>31.147500000000036</v>
      </c>
      <c r="K3858" s="211">
        <f t="shared" si="2438"/>
        <v>31.147500000000036</v>
      </c>
      <c r="L3858" s="44"/>
      <c r="M3858" s="44">
        <f t="shared" si="2458"/>
        <v>31.147500000000036</v>
      </c>
      <c r="N3858" s="173">
        <f t="shared" si="2439"/>
        <v>1</v>
      </c>
      <c r="O3858" s="44">
        <f t="shared" si="2440"/>
        <v>885</v>
      </c>
      <c r="P3858" s="44">
        <f t="shared" si="2441"/>
        <v>27565.537500000031</v>
      </c>
      <c r="Q3858" s="44">
        <f t="shared" si="2442"/>
        <v>570.39392156862743</v>
      </c>
      <c r="R3858" s="44">
        <f t="shared" si="2459"/>
        <v>17766.344672058844</v>
      </c>
      <c r="S3858" s="123"/>
      <c r="T3858" s="219">
        <f t="shared" si="2460"/>
        <v>17766.344672058844</v>
      </c>
      <c r="U3858" s="87"/>
      <c r="V3858" s="47"/>
      <c r="W3858" s="48"/>
      <c r="X3858" s="48"/>
      <c r="Y3858" s="48"/>
      <c r="Z3858" s="135"/>
      <c r="AA3858" s="49"/>
      <c r="AB3858" s="50">
        <f t="shared" si="2443"/>
        <v>570.39392156862743</v>
      </c>
      <c r="AC3858" s="42">
        <f t="shared" si="2461"/>
        <v>31.147500000000036</v>
      </c>
      <c r="AD3858" s="90">
        <f>AD3859+AD3869+AD3876</f>
        <v>17766.344672058844</v>
      </c>
      <c r="AE3858" s="188">
        <f t="shared" ref="AE3858" si="2870">AE3859+AE3869+AE3876</f>
        <v>0</v>
      </c>
      <c r="AF3858" s="189">
        <f t="shared" ref="AF3858" si="2871">AF3859+AF3869+AF3876</f>
        <v>0</v>
      </c>
      <c r="AG3858" s="189">
        <f t="shared" ref="AG3858" si="2872">AG3859+AG3869+AG3876</f>
        <v>0</v>
      </c>
      <c r="AH3858" s="189">
        <f t="shared" ref="AH3858" si="2873">AH3859+AH3869+AH3876</f>
        <v>0</v>
      </c>
      <c r="AI3858" s="161">
        <f t="shared" ref="AI3858" si="2874">SUM(AE3858:AH3858)</f>
        <v>0</v>
      </c>
      <c r="AK3858" s="169">
        <v>5</v>
      </c>
      <c r="AO3858" s="19" t="s">
        <v>63</v>
      </c>
    </row>
    <row r="3859" spans="1:41" s="103" customFormat="1" ht="19.899999999999999" customHeight="1" x14ac:dyDescent="0.25">
      <c r="A3859" s="51"/>
      <c r="B3859" s="52"/>
      <c r="C3859" s="165"/>
      <c r="D3859" s="52"/>
      <c r="E3859" s="115"/>
      <c r="F3859" s="58"/>
      <c r="G3859" s="58"/>
      <c r="H3859" s="58"/>
      <c r="I3859" s="55"/>
      <c r="J3859" s="113">
        <f>J3858</f>
        <v>31.147500000000036</v>
      </c>
      <c r="K3859" s="212">
        <f>K3858</f>
        <v>31.147500000000036</v>
      </c>
      <c r="L3859" s="58"/>
      <c r="M3859" s="58">
        <f>K3859-L3859</f>
        <v>31.147500000000036</v>
      </c>
      <c r="N3859" s="166"/>
      <c r="O3859" s="58"/>
      <c r="P3859" s="58"/>
      <c r="Q3859" s="58"/>
      <c r="R3859" s="58"/>
      <c r="S3859" s="58"/>
      <c r="T3859" s="220"/>
      <c r="U3859" s="88"/>
      <c r="V3859" s="56"/>
      <c r="W3859" s="57" t="s">
        <v>1242</v>
      </c>
      <c r="X3859" s="53"/>
      <c r="Y3859" s="91" t="s">
        <v>68</v>
      </c>
      <c r="Z3859" s="136">
        <f>AD3859/AC3859</f>
        <v>121.81058823529415</v>
      </c>
      <c r="AA3859" s="58"/>
      <c r="AB3859" s="53">
        <f>AD3859/AC3859</f>
        <v>121.81058823529415</v>
      </c>
      <c r="AC3859" s="53">
        <f>M3859+$AE$10</f>
        <v>31.147500000000036</v>
      </c>
      <c r="AD3859" s="54">
        <f>SUM(AD3860:AD3868)</f>
        <v>3794.0952970588287</v>
      </c>
      <c r="AE3859" s="184">
        <f>SUMIFS($AD$37:$AD$12971,$V$37:$V$12971,$V3859,$X$37:$X$12971,AE$13)</f>
        <v>0</v>
      </c>
      <c r="AF3859" s="185">
        <f>SUMIFS($AD$37:$AD$12971,$V$37:$V$12971,$V3859,$X$37:$X$12971,AF$13)</f>
        <v>0</v>
      </c>
      <c r="AG3859" s="185">
        <f>SUMIFS($AD$37:$AD$12971,$V$37:$V$12971,$V3859,$X$37:$X$12971,AG$13)</f>
        <v>0</v>
      </c>
      <c r="AH3859" s="187">
        <f>SUMIFS($AD$37:$AD$12971,$V$37:$V$12971,$V3859,$X$37:$X$12971,AH$13)</f>
        <v>0</v>
      </c>
      <c r="AI3859" s="161">
        <f t="shared" ref="AI3859" si="2875">SUM(AE3859:AH3859)</f>
        <v>0</v>
      </c>
      <c r="AK3859" s="172"/>
    </row>
    <row r="3860" spans="1:41" s="102" customFormat="1" ht="19.899999999999999" customHeight="1" x14ac:dyDescent="0.25">
      <c r="A3860" s="45"/>
      <c r="B3860" s="59"/>
      <c r="C3860" s="137"/>
      <c r="D3860" s="59"/>
      <c r="E3860" s="116"/>
      <c r="F3860" s="120"/>
      <c r="G3860" s="120"/>
      <c r="H3860" s="120"/>
      <c r="I3860" s="60"/>
      <c r="J3860" s="116"/>
      <c r="K3860" s="213"/>
      <c r="L3860" s="120"/>
      <c r="M3860" s="120"/>
      <c r="N3860" s="167"/>
      <c r="O3860" s="120"/>
      <c r="P3860" s="120"/>
      <c r="Q3860" s="120"/>
      <c r="R3860" s="120"/>
      <c r="S3860" s="120"/>
      <c r="T3860" s="221"/>
      <c r="U3860" s="89"/>
      <c r="V3860" s="61"/>
      <c r="W3860" s="92" t="s">
        <v>131</v>
      </c>
      <c r="X3860" s="93" t="s">
        <v>29</v>
      </c>
      <c r="Y3860" s="93" t="s">
        <v>93</v>
      </c>
      <c r="Z3860" s="134">
        <f>VLOOKUP(W3860,Sheet2!$B:$D,3,FALSE)</f>
        <v>131.19999999999999</v>
      </c>
      <c r="AA3860" s="93">
        <f>80/(1.6*6)</f>
        <v>8.3333333333333321</v>
      </c>
      <c r="AB3860" s="93">
        <f t="shared" ref="AB3860" si="2876">AD3860/AC3859</f>
        <v>15.744</v>
      </c>
      <c r="AC3860" s="93">
        <f>AC3859/AA3860</f>
        <v>3.7377000000000047</v>
      </c>
      <c r="AD3860" s="94">
        <f t="shared" ref="AD3860:AD3861" si="2877">AC3860*Z3860</f>
        <v>490.38624000000056</v>
      </c>
      <c r="AE3860" s="190"/>
      <c r="AF3860" s="191"/>
      <c r="AG3860" s="191"/>
      <c r="AH3860" s="191"/>
      <c r="AI3860" s="186"/>
      <c r="AK3860" s="171"/>
    </row>
    <row r="3861" spans="1:41" s="102" customFormat="1" ht="19.899999999999999" customHeight="1" x14ac:dyDescent="0.25">
      <c r="A3861" s="45"/>
      <c r="B3861" s="59"/>
      <c r="C3861" s="137"/>
      <c r="D3861" s="59"/>
      <c r="E3861" s="116"/>
      <c r="F3861" s="120"/>
      <c r="G3861" s="120"/>
      <c r="H3861" s="120"/>
      <c r="I3861" s="60"/>
      <c r="J3861" s="116"/>
      <c r="K3861" s="213"/>
      <c r="L3861" s="120"/>
      <c r="M3861" s="120"/>
      <c r="N3861" s="167"/>
      <c r="O3861" s="120"/>
      <c r="P3861" s="120"/>
      <c r="Q3861" s="120"/>
      <c r="R3861" s="120"/>
      <c r="S3861" s="120"/>
      <c r="T3861" s="221"/>
      <c r="U3861" s="89"/>
      <c r="V3861" s="61"/>
      <c r="W3861" s="92" t="s">
        <v>65</v>
      </c>
      <c r="X3861" s="93" t="s">
        <v>30</v>
      </c>
      <c r="Y3861" s="93" t="s">
        <v>1011</v>
      </c>
      <c r="Z3861" s="134">
        <f>VLOOKUP(W3861,Sheet2!$B:$D,3,FALSE)</f>
        <v>1.76</v>
      </c>
      <c r="AA3861" s="93">
        <f>AA3860/32</f>
        <v>0.26041666666666663</v>
      </c>
      <c r="AB3861" s="93">
        <f>AD3861/AC3859</f>
        <v>6.7584000000000009</v>
      </c>
      <c r="AC3861" s="93">
        <f>AC3859/AA3861</f>
        <v>119.60640000000015</v>
      </c>
      <c r="AD3861" s="94">
        <f t="shared" si="2877"/>
        <v>210.50726400000028</v>
      </c>
      <c r="AE3861" s="190"/>
      <c r="AF3861" s="191"/>
      <c r="AG3861" s="191"/>
      <c r="AH3861" s="191"/>
      <c r="AI3861" s="186"/>
      <c r="AK3861" s="171"/>
    </row>
    <row r="3862" spans="1:41" s="102" customFormat="1" ht="19.899999999999999" customHeight="1" x14ac:dyDescent="0.25">
      <c r="A3862" s="45"/>
      <c r="B3862" s="59"/>
      <c r="C3862" s="137"/>
      <c r="D3862" s="59"/>
      <c r="E3862" s="116"/>
      <c r="F3862" s="120"/>
      <c r="G3862" s="120"/>
      <c r="H3862" s="120"/>
      <c r="I3862" s="60"/>
      <c r="J3862" s="116"/>
      <c r="K3862" s="213"/>
      <c r="L3862" s="120"/>
      <c r="M3862" s="120"/>
      <c r="N3862" s="167"/>
      <c r="O3862" s="120"/>
      <c r="P3862" s="120"/>
      <c r="Q3862" s="120"/>
      <c r="R3862" s="120"/>
      <c r="S3862" s="120"/>
      <c r="T3862" s="221"/>
      <c r="U3862" s="89"/>
      <c r="V3862" s="61"/>
      <c r="W3862" s="92" t="s">
        <v>161</v>
      </c>
      <c r="X3862" s="93" t="s">
        <v>29</v>
      </c>
      <c r="Y3862" s="93" t="s">
        <v>93</v>
      </c>
      <c r="Z3862" s="134">
        <f>VLOOKUP(W3862,Sheet2!$B:$D,3,FALSE)</f>
        <v>48</v>
      </c>
      <c r="AA3862" s="93">
        <f>(16*0.85*1.5)/(1.6*6)</f>
        <v>2.1249999999999996</v>
      </c>
      <c r="AB3862" s="93">
        <f>AD3862/AC3859</f>
        <v>22.588235294117652</v>
      </c>
      <c r="AC3862" s="93">
        <f>AC3859/AA3862</f>
        <v>14.657647058823549</v>
      </c>
      <c r="AD3862" s="94">
        <f>AC3862*Z3862</f>
        <v>703.56705882353037</v>
      </c>
      <c r="AE3862" s="190"/>
      <c r="AF3862" s="191"/>
      <c r="AG3862" s="191"/>
      <c r="AH3862" s="191"/>
      <c r="AI3862" s="186"/>
      <c r="AK3862" s="171"/>
    </row>
    <row r="3863" spans="1:41" s="102" customFormat="1" ht="19.899999999999999" customHeight="1" x14ac:dyDescent="0.25">
      <c r="A3863" s="45"/>
      <c r="B3863" s="59"/>
      <c r="C3863" s="137"/>
      <c r="D3863" s="59"/>
      <c r="E3863" s="116"/>
      <c r="F3863" s="120"/>
      <c r="G3863" s="120"/>
      <c r="H3863" s="120"/>
      <c r="I3863" s="60"/>
      <c r="J3863" s="116"/>
      <c r="K3863" s="213"/>
      <c r="L3863" s="120"/>
      <c r="M3863" s="120"/>
      <c r="N3863" s="167"/>
      <c r="O3863" s="120"/>
      <c r="P3863" s="120"/>
      <c r="Q3863" s="120"/>
      <c r="R3863" s="120"/>
      <c r="S3863" s="120"/>
      <c r="T3863" s="221"/>
      <c r="U3863" s="89"/>
      <c r="V3863" s="61"/>
      <c r="W3863" s="92" t="s">
        <v>65</v>
      </c>
      <c r="X3863" s="93" t="s">
        <v>30</v>
      </c>
      <c r="Y3863" s="93" t="s">
        <v>1011</v>
      </c>
      <c r="Z3863" s="134">
        <f>VLOOKUP(W3863,Sheet2!$B:$D,3,FALSE)</f>
        <v>1.76</v>
      </c>
      <c r="AA3863" s="93">
        <f>AA3862/10</f>
        <v>0.21249999999999997</v>
      </c>
      <c r="AB3863" s="93">
        <f>AD3863/AC3859</f>
        <v>8.2823529411764714</v>
      </c>
      <c r="AC3863" s="93">
        <f>AC3859/AA3863</f>
        <v>146.57647058823548</v>
      </c>
      <c r="AD3863" s="94">
        <f>AC3863*Z3863</f>
        <v>257.97458823529445</v>
      </c>
      <c r="AE3863" s="190"/>
      <c r="AF3863" s="191"/>
      <c r="AG3863" s="191"/>
      <c r="AH3863" s="191"/>
      <c r="AI3863" s="186"/>
      <c r="AK3863" s="171"/>
    </row>
    <row r="3864" spans="1:41" s="102" customFormat="1" ht="19.899999999999999" customHeight="1" x14ac:dyDescent="0.25">
      <c r="A3864" s="45"/>
      <c r="B3864" s="59"/>
      <c r="C3864" s="137"/>
      <c r="D3864" s="59"/>
      <c r="E3864" s="116"/>
      <c r="F3864" s="120"/>
      <c r="G3864" s="120"/>
      <c r="H3864" s="120"/>
      <c r="I3864" s="60"/>
      <c r="J3864" s="116"/>
      <c r="K3864" s="213"/>
      <c r="L3864" s="120"/>
      <c r="M3864" s="120"/>
      <c r="N3864" s="167"/>
      <c r="O3864" s="120"/>
      <c r="P3864" s="120"/>
      <c r="Q3864" s="120"/>
      <c r="R3864" s="120"/>
      <c r="S3864" s="120"/>
      <c r="T3864" s="221"/>
      <c r="U3864" s="89"/>
      <c r="V3864" s="61"/>
      <c r="W3864" s="92" t="s">
        <v>1030</v>
      </c>
      <c r="X3864" s="93" t="s">
        <v>29</v>
      </c>
      <c r="Y3864" s="93" t="s">
        <v>93</v>
      </c>
      <c r="Z3864" s="134">
        <f>VLOOKUP(W3864,Sheet2!$B:$D,3,FALSE)</f>
        <v>23</v>
      </c>
      <c r="AA3864" s="93">
        <v>50</v>
      </c>
      <c r="AB3864" s="93">
        <f>AD3864/AC3859</f>
        <v>0.46</v>
      </c>
      <c r="AC3864" s="93">
        <f>AC3859/AA3864</f>
        <v>0.62295000000000078</v>
      </c>
      <c r="AD3864" s="94">
        <f t="shared" ref="AD3864:AD3868" si="2878">AC3864*Z3864</f>
        <v>14.327850000000018</v>
      </c>
      <c r="AE3864" s="190"/>
      <c r="AF3864" s="191"/>
      <c r="AG3864" s="191"/>
      <c r="AH3864" s="191"/>
      <c r="AI3864" s="186"/>
      <c r="AK3864" s="171"/>
    </row>
    <row r="3865" spans="1:41" s="102" customFormat="1" ht="19.899999999999999" customHeight="1" x14ac:dyDescent="0.25">
      <c r="A3865" s="45"/>
      <c r="B3865" s="59"/>
      <c r="C3865" s="137"/>
      <c r="D3865" s="59"/>
      <c r="E3865" s="116"/>
      <c r="F3865" s="120"/>
      <c r="G3865" s="120"/>
      <c r="H3865" s="120"/>
      <c r="I3865" s="60"/>
      <c r="J3865" s="116"/>
      <c r="K3865" s="213"/>
      <c r="L3865" s="120"/>
      <c r="M3865" s="120"/>
      <c r="N3865" s="167"/>
      <c r="O3865" s="120"/>
      <c r="P3865" s="120"/>
      <c r="Q3865" s="120"/>
      <c r="R3865" s="120"/>
      <c r="S3865" s="120"/>
      <c r="T3865" s="221"/>
      <c r="U3865" s="89"/>
      <c r="V3865" s="61"/>
      <c r="W3865" s="92" t="s">
        <v>65</v>
      </c>
      <c r="X3865" s="93" t="s">
        <v>30</v>
      </c>
      <c r="Y3865" s="93" t="s">
        <v>1011</v>
      </c>
      <c r="Z3865" s="134">
        <f>VLOOKUP(W3865,Sheet2!$B:$D,3,FALSE)</f>
        <v>1.76</v>
      </c>
      <c r="AA3865" s="93">
        <f>AA3864/3</f>
        <v>16.666666666666668</v>
      </c>
      <c r="AB3865" s="93">
        <f>AD3865/AC3859</f>
        <v>0.1056</v>
      </c>
      <c r="AC3865" s="93">
        <f>AC3859/AA3865</f>
        <v>1.8688500000000021</v>
      </c>
      <c r="AD3865" s="94">
        <f t="shared" si="2878"/>
        <v>3.2891760000000039</v>
      </c>
      <c r="AE3865" s="190"/>
      <c r="AF3865" s="191"/>
      <c r="AG3865" s="191"/>
      <c r="AH3865" s="191"/>
      <c r="AI3865" s="186"/>
      <c r="AK3865" s="171"/>
    </row>
    <row r="3866" spans="1:41" s="102" customFormat="1" ht="19.899999999999999" customHeight="1" x14ac:dyDescent="0.25">
      <c r="A3866" s="45"/>
      <c r="B3866" s="59"/>
      <c r="C3866" s="137"/>
      <c r="D3866" s="59"/>
      <c r="E3866" s="116"/>
      <c r="F3866" s="120"/>
      <c r="G3866" s="120"/>
      <c r="H3866" s="120"/>
      <c r="I3866" s="60"/>
      <c r="J3866" s="116"/>
      <c r="K3866" s="213"/>
      <c r="L3866" s="120"/>
      <c r="M3866" s="120"/>
      <c r="N3866" s="167"/>
      <c r="O3866" s="120"/>
      <c r="P3866" s="120"/>
      <c r="Q3866" s="120"/>
      <c r="R3866" s="120"/>
      <c r="S3866" s="120"/>
      <c r="T3866" s="221"/>
      <c r="U3866" s="89"/>
      <c r="V3866" s="61"/>
      <c r="W3866" s="92" t="s">
        <v>148</v>
      </c>
      <c r="X3866" s="93" t="s">
        <v>29</v>
      </c>
      <c r="Y3866" s="93" t="s">
        <v>93</v>
      </c>
      <c r="Z3866" s="134">
        <f>VLOOKUP(W3866,Sheet2!$B:$D,3,FALSE)</f>
        <v>48</v>
      </c>
      <c r="AA3866" s="93">
        <f>AA3860</f>
        <v>8.3333333333333321</v>
      </c>
      <c r="AB3866" s="93">
        <f>AD3866/AC3859</f>
        <v>5.7600000000000007</v>
      </c>
      <c r="AC3866" s="93">
        <f>AC3859/AA3866</f>
        <v>3.7377000000000047</v>
      </c>
      <c r="AD3866" s="94">
        <f t="shared" si="2878"/>
        <v>179.40960000000024</v>
      </c>
      <c r="AE3866" s="190"/>
      <c r="AF3866" s="191"/>
      <c r="AG3866" s="191"/>
      <c r="AH3866" s="191"/>
      <c r="AI3866" s="186"/>
      <c r="AK3866" s="171"/>
    </row>
    <row r="3867" spans="1:41" s="102" customFormat="1" ht="19.899999999999999" customHeight="1" x14ac:dyDescent="0.25">
      <c r="A3867" s="45"/>
      <c r="B3867" s="59"/>
      <c r="C3867" s="137"/>
      <c r="D3867" s="59"/>
      <c r="E3867" s="116"/>
      <c r="F3867" s="120"/>
      <c r="G3867" s="120"/>
      <c r="H3867" s="120"/>
      <c r="I3867" s="60"/>
      <c r="J3867" s="116"/>
      <c r="K3867" s="213"/>
      <c r="L3867" s="120"/>
      <c r="M3867" s="120"/>
      <c r="N3867" s="167"/>
      <c r="O3867" s="120"/>
      <c r="P3867" s="120"/>
      <c r="Q3867" s="120"/>
      <c r="R3867" s="120"/>
      <c r="S3867" s="120"/>
      <c r="T3867" s="221"/>
      <c r="U3867" s="89"/>
      <c r="V3867" s="61"/>
      <c r="W3867" s="92" t="s">
        <v>65</v>
      </c>
      <c r="X3867" s="93" t="s">
        <v>30</v>
      </c>
      <c r="Y3867" s="93" t="s">
        <v>1011</v>
      </c>
      <c r="Z3867" s="134">
        <f>VLOOKUP(W3867,Sheet2!$B:$D,3,FALSE)</f>
        <v>1.76</v>
      </c>
      <c r="AA3867" s="93">
        <f>AA3866/10</f>
        <v>0.83333333333333326</v>
      </c>
      <c r="AB3867" s="93">
        <f>AD3867/AC3859</f>
        <v>2.1120000000000001</v>
      </c>
      <c r="AC3867" s="93">
        <f>AC3859/AA3867</f>
        <v>37.377000000000045</v>
      </c>
      <c r="AD3867" s="94">
        <f t="shared" si="2878"/>
        <v>65.783520000000081</v>
      </c>
      <c r="AE3867" s="190"/>
      <c r="AF3867" s="191"/>
      <c r="AG3867" s="191"/>
      <c r="AH3867" s="191"/>
      <c r="AI3867" s="186"/>
      <c r="AK3867" s="171"/>
    </row>
    <row r="3868" spans="1:41" s="102" customFormat="1" ht="19.899999999999999" customHeight="1" x14ac:dyDescent="0.25">
      <c r="A3868" s="45"/>
      <c r="B3868" s="59"/>
      <c r="C3868" s="137"/>
      <c r="D3868" s="59"/>
      <c r="E3868" s="116"/>
      <c r="F3868" s="120"/>
      <c r="G3868" s="120"/>
      <c r="H3868" s="120"/>
      <c r="I3868" s="60"/>
      <c r="J3868" s="116"/>
      <c r="K3868" s="213"/>
      <c r="L3868" s="120"/>
      <c r="M3868" s="120"/>
      <c r="N3868" s="167"/>
      <c r="O3868" s="120"/>
      <c r="P3868" s="120"/>
      <c r="Q3868" s="120"/>
      <c r="R3868" s="120"/>
      <c r="S3868" s="120"/>
      <c r="T3868" s="221"/>
      <c r="U3868" s="89"/>
      <c r="V3868" s="61"/>
      <c r="W3868" s="92" t="s">
        <v>1049</v>
      </c>
      <c r="X3868" s="93" t="s">
        <v>30</v>
      </c>
      <c r="Y3868" s="93" t="s">
        <v>68</v>
      </c>
      <c r="Z3868" s="134">
        <f>VLOOKUP(W3868,Sheet2!$B:$D,3,FALSE)</f>
        <v>60</v>
      </c>
      <c r="AA3868" s="93">
        <v>1</v>
      </c>
      <c r="AB3868" s="93">
        <f>AD3868/AC3859</f>
        <v>60</v>
      </c>
      <c r="AC3868" s="93">
        <f>AC3859/AA3868</f>
        <v>31.147500000000036</v>
      </c>
      <c r="AD3868" s="94">
        <f t="shared" si="2878"/>
        <v>1868.8500000000022</v>
      </c>
      <c r="AE3868" s="190"/>
      <c r="AF3868" s="191"/>
      <c r="AG3868" s="191"/>
      <c r="AH3868" s="191"/>
      <c r="AI3868" s="186"/>
      <c r="AK3868" s="171"/>
    </row>
    <row r="3869" spans="1:41" s="103" customFormat="1" ht="19.899999999999999" customHeight="1" x14ac:dyDescent="0.25">
      <c r="A3869" s="51"/>
      <c r="B3869" s="52"/>
      <c r="C3869" s="165"/>
      <c r="D3869" s="52"/>
      <c r="E3869" s="115"/>
      <c r="F3869" s="58"/>
      <c r="G3869" s="58"/>
      <c r="H3869" s="58"/>
      <c r="I3869" s="55"/>
      <c r="J3869" s="113">
        <f>J3858</f>
        <v>31.147500000000036</v>
      </c>
      <c r="K3869" s="212">
        <f>K3858</f>
        <v>31.147500000000036</v>
      </c>
      <c r="L3869" s="58"/>
      <c r="M3869" s="58">
        <f>K3869-L3869</f>
        <v>31.147500000000036</v>
      </c>
      <c r="N3869" s="166"/>
      <c r="O3869" s="58"/>
      <c r="P3869" s="58"/>
      <c r="Q3869" s="58"/>
      <c r="R3869" s="58"/>
      <c r="S3869" s="58"/>
      <c r="T3869" s="220"/>
      <c r="U3869" s="88"/>
      <c r="V3869" s="56"/>
      <c r="W3869" s="57" t="s">
        <v>1036</v>
      </c>
      <c r="X3869" s="53"/>
      <c r="Y3869" s="91" t="s">
        <v>68</v>
      </c>
      <c r="Z3869" s="136">
        <f>AD3869/AC3869</f>
        <v>443.58333333333337</v>
      </c>
      <c r="AA3869" s="58"/>
      <c r="AB3869" s="53">
        <f>AD3869/AC3869</f>
        <v>443.58333333333337</v>
      </c>
      <c r="AC3869" s="53">
        <f>M3869+$AE$10</f>
        <v>31.147500000000036</v>
      </c>
      <c r="AD3869" s="54">
        <f>SUM(AD3870:AD3875)</f>
        <v>13816.511875000017</v>
      </c>
      <c r="AE3869" s="184">
        <f>SUMIFS($AD$37:$AD$12971,$V$37:$V$12971,$V3869,$X$37:$X$12971,AE$13)</f>
        <v>0</v>
      </c>
      <c r="AF3869" s="185">
        <f>SUMIFS($AD$37:$AD$12971,$V$37:$V$12971,$V3869,$X$37:$X$12971,AF$13)</f>
        <v>0</v>
      </c>
      <c r="AG3869" s="185">
        <f>SUMIFS($AD$37:$AD$12971,$V$37:$V$12971,$V3869,$X$37:$X$12971,AG$13)</f>
        <v>0</v>
      </c>
      <c r="AH3869" s="187">
        <f>SUMIFS($AD$37:$AD$12971,$V$37:$V$12971,$V3869,$X$37:$X$12971,AH$13)</f>
        <v>0</v>
      </c>
      <c r="AI3869" s="161">
        <f t="shared" ref="AI3869" si="2879">SUM(AE3869:AH3869)</f>
        <v>0</v>
      </c>
      <c r="AK3869" s="172"/>
    </row>
    <row r="3870" spans="1:41" s="102" customFormat="1" ht="19.899999999999999" customHeight="1" x14ac:dyDescent="0.25">
      <c r="A3870" s="45"/>
      <c r="B3870" s="59"/>
      <c r="C3870" s="137"/>
      <c r="D3870" s="59"/>
      <c r="E3870" s="116"/>
      <c r="F3870" s="120"/>
      <c r="G3870" s="120"/>
      <c r="H3870" s="120"/>
      <c r="I3870" s="60"/>
      <c r="J3870" s="116"/>
      <c r="K3870" s="213"/>
      <c r="L3870" s="120"/>
      <c r="M3870" s="120"/>
      <c r="N3870" s="167"/>
      <c r="O3870" s="120"/>
      <c r="P3870" s="120"/>
      <c r="Q3870" s="120"/>
      <c r="R3870" s="120"/>
      <c r="S3870" s="120"/>
      <c r="T3870" s="221"/>
      <c r="U3870" s="89"/>
      <c r="V3870" s="61"/>
      <c r="W3870" s="92" t="s">
        <v>1058</v>
      </c>
      <c r="X3870" s="93" t="s">
        <v>30</v>
      </c>
      <c r="Y3870" s="93" t="s">
        <v>68</v>
      </c>
      <c r="Z3870" s="134">
        <f>VLOOKUP(W3870,Sheet2!$B:$D,3,FALSE)</f>
        <v>290</v>
      </c>
      <c r="AA3870" s="93">
        <v>1</v>
      </c>
      <c r="AB3870" s="93">
        <f>AD3870/AC3869</f>
        <v>290</v>
      </c>
      <c r="AC3870" s="93">
        <f>AC3869/AA3870</f>
        <v>31.147500000000036</v>
      </c>
      <c r="AD3870" s="94">
        <f t="shared" ref="AD3870" si="2880">AC3870*Z3870</f>
        <v>9032.7750000000106</v>
      </c>
      <c r="AE3870" s="190"/>
      <c r="AF3870" s="191"/>
      <c r="AG3870" s="191"/>
      <c r="AH3870" s="191"/>
      <c r="AI3870" s="186"/>
      <c r="AK3870" s="171"/>
    </row>
    <row r="3871" spans="1:41" s="102" customFormat="1" ht="19.899999999999999" customHeight="1" x14ac:dyDescent="0.25">
      <c r="A3871" s="45"/>
      <c r="B3871" s="59"/>
      <c r="C3871" s="137"/>
      <c r="D3871" s="59"/>
      <c r="E3871" s="116"/>
      <c r="F3871" s="120"/>
      <c r="G3871" s="120"/>
      <c r="H3871" s="120"/>
      <c r="I3871" s="60"/>
      <c r="J3871" s="116"/>
      <c r="K3871" s="213"/>
      <c r="L3871" s="120"/>
      <c r="M3871" s="120"/>
      <c r="N3871" s="167"/>
      <c r="O3871" s="120"/>
      <c r="P3871" s="120"/>
      <c r="Q3871" s="120"/>
      <c r="R3871" s="120"/>
      <c r="S3871" s="120"/>
      <c r="T3871" s="221"/>
      <c r="U3871" s="89"/>
      <c r="V3871" s="61"/>
      <c r="W3871" s="92" t="s">
        <v>1065</v>
      </c>
      <c r="X3871" s="93" t="s">
        <v>30</v>
      </c>
      <c r="Y3871" s="93" t="s">
        <v>68</v>
      </c>
      <c r="Z3871" s="134">
        <f>VLOOKUP(W3871,Sheet2!$B:$D,3,FALSE)</f>
        <v>29</v>
      </c>
      <c r="AA3871" s="93">
        <v>1</v>
      </c>
      <c r="AB3871" s="93">
        <f>AD3871/AC3869</f>
        <v>29</v>
      </c>
      <c r="AC3871" s="93">
        <f>AC3869/AA3871</f>
        <v>31.147500000000036</v>
      </c>
      <c r="AD3871" s="94">
        <f>AC3871*Z3871</f>
        <v>903.27750000000106</v>
      </c>
      <c r="AE3871" s="190"/>
      <c r="AF3871" s="191"/>
      <c r="AG3871" s="191"/>
      <c r="AH3871" s="191"/>
      <c r="AI3871" s="186"/>
      <c r="AK3871" s="171"/>
    </row>
    <row r="3872" spans="1:41" s="102" customFormat="1" ht="19.899999999999999" customHeight="1" x14ac:dyDescent="0.25">
      <c r="A3872" s="45"/>
      <c r="B3872" s="59"/>
      <c r="C3872" s="137"/>
      <c r="D3872" s="59"/>
      <c r="E3872" s="116"/>
      <c r="F3872" s="120"/>
      <c r="G3872" s="120"/>
      <c r="H3872" s="120"/>
      <c r="I3872" s="60"/>
      <c r="J3872" s="116"/>
      <c r="K3872" s="213"/>
      <c r="L3872" s="120"/>
      <c r="M3872" s="120"/>
      <c r="N3872" s="167"/>
      <c r="O3872" s="120"/>
      <c r="P3872" s="120"/>
      <c r="Q3872" s="120"/>
      <c r="R3872" s="120"/>
      <c r="S3872" s="120"/>
      <c r="T3872" s="221"/>
      <c r="U3872" s="89"/>
      <c r="V3872" s="61"/>
      <c r="W3872" s="92" t="s">
        <v>1068</v>
      </c>
      <c r="X3872" s="93" t="s">
        <v>32</v>
      </c>
      <c r="Y3872" s="93" t="s">
        <v>68</v>
      </c>
      <c r="Z3872" s="134">
        <f>VLOOKUP(W3872,Sheet2!$B:$D,3,FALSE)</f>
        <v>60</v>
      </c>
      <c r="AA3872" s="93">
        <v>1</v>
      </c>
      <c r="AB3872" s="93">
        <f>AD3872/AC3869</f>
        <v>60</v>
      </c>
      <c r="AC3872" s="93">
        <f>AC3869/AA3872</f>
        <v>31.147500000000036</v>
      </c>
      <c r="AD3872" s="94">
        <f>AC3872*Z3872</f>
        <v>1868.8500000000022</v>
      </c>
      <c r="AE3872" s="190"/>
      <c r="AF3872" s="191"/>
      <c r="AG3872" s="191"/>
      <c r="AH3872" s="191"/>
      <c r="AI3872" s="186"/>
      <c r="AK3872" s="171"/>
    </row>
    <row r="3873" spans="1:41" s="102" customFormat="1" ht="19.899999999999999" customHeight="1" x14ac:dyDescent="0.25">
      <c r="A3873" s="45"/>
      <c r="B3873" s="59"/>
      <c r="C3873" s="137"/>
      <c r="D3873" s="59"/>
      <c r="E3873" s="116"/>
      <c r="F3873" s="120"/>
      <c r="G3873" s="120"/>
      <c r="H3873" s="120"/>
      <c r="I3873" s="60"/>
      <c r="J3873" s="116"/>
      <c r="K3873" s="213"/>
      <c r="L3873" s="120"/>
      <c r="M3873" s="120"/>
      <c r="N3873" s="167"/>
      <c r="O3873" s="120"/>
      <c r="P3873" s="120"/>
      <c r="Q3873" s="120"/>
      <c r="R3873" s="120"/>
      <c r="S3873" s="120"/>
      <c r="T3873" s="221"/>
      <c r="U3873" s="89"/>
      <c r="V3873" s="61"/>
      <c r="W3873" s="92" t="s">
        <v>1032</v>
      </c>
      <c r="X3873" s="93" t="s">
        <v>30</v>
      </c>
      <c r="Y3873" s="93" t="s">
        <v>66</v>
      </c>
      <c r="Z3873" s="134">
        <f>VLOOKUP(W3873,Sheet2!$B:$D,3,FALSE)</f>
        <v>250</v>
      </c>
      <c r="AA3873" s="93">
        <f>1/(1.6*0.1)</f>
        <v>6.2499999999999991</v>
      </c>
      <c r="AB3873" s="93">
        <f>AD3873/AC3869</f>
        <v>40</v>
      </c>
      <c r="AC3873" s="93">
        <f>AC3869/AA3873</f>
        <v>4.9836000000000062</v>
      </c>
      <c r="AD3873" s="94">
        <f>AC3873*Z3873</f>
        <v>1245.9000000000015</v>
      </c>
      <c r="AE3873" s="190"/>
      <c r="AF3873" s="191"/>
      <c r="AG3873" s="191"/>
      <c r="AH3873" s="191"/>
      <c r="AI3873" s="186"/>
      <c r="AK3873" s="171"/>
    </row>
    <row r="3874" spans="1:41" s="102" customFormat="1" ht="19.899999999999999" customHeight="1" x14ac:dyDescent="0.25">
      <c r="A3874" s="45"/>
      <c r="B3874" s="59"/>
      <c r="C3874" s="137"/>
      <c r="D3874" s="59"/>
      <c r="E3874" s="116"/>
      <c r="F3874" s="120"/>
      <c r="G3874" s="120"/>
      <c r="H3874" s="120"/>
      <c r="I3874" s="60"/>
      <c r="J3874" s="116"/>
      <c r="K3874" s="213"/>
      <c r="L3874" s="120"/>
      <c r="M3874" s="120"/>
      <c r="N3874" s="167"/>
      <c r="O3874" s="120"/>
      <c r="P3874" s="120"/>
      <c r="Q3874" s="120"/>
      <c r="R3874" s="120"/>
      <c r="S3874" s="120"/>
      <c r="T3874" s="221"/>
      <c r="U3874" s="89"/>
      <c r="V3874" s="61"/>
      <c r="W3874" s="92" t="s">
        <v>1035</v>
      </c>
      <c r="X3874" s="93" t="s">
        <v>32</v>
      </c>
      <c r="Y3874" s="93" t="s">
        <v>66</v>
      </c>
      <c r="Z3874" s="134">
        <f>VLOOKUP(W3874,Sheet2!$B:$D,3,FALSE)</f>
        <v>150</v>
      </c>
      <c r="AA3874" s="93">
        <f>AA3873</f>
        <v>6.2499999999999991</v>
      </c>
      <c r="AB3874" s="93">
        <f>AD3874/AC3869</f>
        <v>24.000000000000004</v>
      </c>
      <c r="AC3874" s="93">
        <f>AC3869/AA3874</f>
        <v>4.9836000000000062</v>
      </c>
      <c r="AD3874" s="94">
        <f t="shared" ref="AD3874:AD3875" si="2881">AC3874*Z3874</f>
        <v>747.54000000000099</v>
      </c>
      <c r="AE3874" s="190"/>
      <c r="AF3874" s="191"/>
      <c r="AG3874" s="191"/>
      <c r="AH3874" s="191"/>
      <c r="AI3874" s="186"/>
      <c r="AK3874" s="171"/>
    </row>
    <row r="3875" spans="1:41" s="102" customFormat="1" ht="19.899999999999999" customHeight="1" x14ac:dyDescent="0.25">
      <c r="A3875" s="45"/>
      <c r="B3875" s="59"/>
      <c r="C3875" s="137"/>
      <c r="D3875" s="59"/>
      <c r="E3875" s="116"/>
      <c r="F3875" s="120"/>
      <c r="G3875" s="120"/>
      <c r="H3875" s="120"/>
      <c r="I3875" s="60"/>
      <c r="J3875" s="116"/>
      <c r="K3875" s="213"/>
      <c r="L3875" s="120"/>
      <c r="M3875" s="120"/>
      <c r="N3875" s="167"/>
      <c r="O3875" s="120"/>
      <c r="P3875" s="120"/>
      <c r="Q3875" s="120"/>
      <c r="R3875" s="120"/>
      <c r="S3875" s="120"/>
      <c r="T3875" s="221"/>
      <c r="U3875" s="89"/>
      <c r="V3875" s="61"/>
      <c r="W3875" s="92" t="s">
        <v>1037</v>
      </c>
      <c r="X3875" s="93" t="s">
        <v>30</v>
      </c>
      <c r="Y3875" s="93" t="s">
        <v>1038</v>
      </c>
      <c r="Z3875" s="134">
        <f>VLOOKUP(W3875,Sheet2!$B:$D,3,FALSE)</f>
        <v>175</v>
      </c>
      <c r="AA3875" s="93">
        <v>300</v>
      </c>
      <c r="AB3875" s="93">
        <f>AD3875/AC3869</f>
        <v>0.58333333333333337</v>
      </c>
      <c r="AC3875" s="93">
        <f>AC3869/AA3875</f>
        <v>0.10382500000000013</v>
      </c>
      <c r="AD3875" s="94">
        <f t="shared" si="2881"/>
        <v>18.169375000000024</v>
      </c>
      <c r="AE3875" s="190"/>
      <c r="AF3875" s="191"/>
      <c r="AG3875" s="191"/>
      <c r="AH3875" s="191"/>
      <c r="AI3875" s="186"/>
      <c r="AK3875" s="171"/>
    </row>
    <row r="3876" spans="1:41" s="103" customFormat="1" ht="19.899999999999999" customHeight="1" x14ac:dyDescent="0.25">
      <c r="A3876" s="51"/>
      <c r="B3876" s="52"/>
      <c r="C3876" s="165"/>
      <c r="D3876" s="52"/>
      <c r="E3876" s="115"/>
      <c r="F3876" s="58"/>
      <c r="G3876" s="58"/>
      <c r="H3876" s="58"/>
      <c r="I3876" s="55"/>
      <c r="J3876" s="113">
        <f>J3858</f>
        <v>31.147500000000036</v>
      </c>
      <c r="K3876" s="212">
        <f>K3858</f>
        <v>31.147500000000036</v>
      </c>
      <c r="L3876" s="58"/>
      <c r="M3876" s="58">
        <f>K3876-L3876</f>
        <v>31.147500000000036</v>
      </c>
      <c r="N3876" s="166"/>
      <c r="O3876" s="58"/>
      <c r="P3876" s="58"/>
      <c r="Q3876" s="58"/>
      <c r="R3876" s="58"/>
      <c r="S3876" s="58"/>
      <c r="T3876" s="220"/>
      <c r="U3876" s="88"/>
      <c r="V3876" s="56"/>
      <c r="W3876" s="57" t="s">
        <v>1040</v>
      </c>
      <c r="X3876" s="53"/>
      <c r="Y3876" s="91" t="s">
        <v>68</v>
      </c>
      <c r="Z3876" s="136">
        <f>AD3876/AC3876</f>
        <v>5</v>
      </c>
      <c r="AA3876" s="58"/>
      <c r="AB3876" s="53">
        <f>AD3876/AC3876</f>
        <v>5</v>
      </c>
      <c r="AC3876" s="53">
        <f>M3876+$AE$10</f>
        <v>31.147500000000036</v>
      </c>
      <c r="AD3876" s="54">
        <f>SUM(AD3877)</f>
        <v>155.73750000000018</v>
      </c>
      <c r="AE3876" s="184">
        <f>SUMIFS($AD$37:$AD$12971,$V$37:$V$12971,$V3876,$X$37:$X$12971,AE$13)</f>
        <v>0</v>
      </c>
      <c r="AF3876" s="185">
        <f>SUMIFS($AD$37:$AD$12971,$V$37:$V$12971,$V3876,$X$37:$X$12971,AF$13)</f>
        <v>0</v>
      </c>
      <c r="AG3876" s="185">
        <f>SUMIFS($AD$37:$AD$12971,$V$37:$V$12971,$V3876,$X$37:$X$12971,AG$13)</f>
        <v>0</v>
      </c>
      <c r="AH3876" s="187">
        <f>SUMIFS($AD$37:$AD$12971,$V$37:$V$12971,$V3876,$X$37:$X$12971,AH$13)</f>
        <v>0</v>
      </c>
      <c r="AI3876" s="161">
        <f t="shared" ref="AI3876" si="2882">SUM(AE3876:AH3876)</f>
        <v>0</v>
      </c>
      <c r="AK3876" s="172"/>
    </row>
    <row r="3877" spans="1:41" s="102" customFormat="1" ht="19.899999999999999" customHeight="1" x14ac:dyDescent="0.25">
      <c r="A3877" s="45"/>
      <c r="B3877" s="59"/>
      <c r="C3877" s="137"/>
      <c r="D3877" s="59"/>
      <c r="E3877" s="116"/>
      <c r="F3877" s="120"/>
      <c r="G3877" s="120"/>
      <c r="H3877" s="120"/>
      <c r="I3877" s="60"/>
      <c r="J3877" s="116"/>
      <c r="K3877" s="213"/>
      <c r="L3877" s="120"/>
      <c r="M3877" s="120"/>
      <c r="N3877" s="167"/>
      <c r="O3877" s="120"/>
      <c r="P3877" s="120"/>
      <c r="Q3877" s="120"/>
      <c r="R3877" s="120"/>
      <c r="S3877" s="120"/>
      <c r="T3877" s="221"/>
      <c r="U3877" s="89"/>
      <c r="V3877" s="61"/>
      <c r="W3877" s="92" t="s">
        <v>1039</v>
      </c>
      <c r="X3877" s="93" t="s">
        <v>32</v>
      </c>
      <c r="Y3877" s="93" t="s">
        <v>68</v>
      </c>
      <c r="Z3877" s="134">
        <f>VLOOKUP(W3877,Sheet2!$B:$D,3,FALSE)</f>
        <v>5</v>
      </c>
      <c r="AA3877" s="93">
        <v>1</v>
      </c>
      <c r="AB3877" s="93">
        <f>AD3877/AC3876</f>
        <v>5</v>
      </c>
      <c r="AC3877" s="93">
        <f>AC3876/AA3877</f>
        <v>31.147500000000036</v>
      </c>
      <c r="AD3877" s="94">
        <f t="shared" ref="AD3877" si="2883">AC3877*Z3877</f>
        <v>155.73750000000018</v>
      </c>
      <c r="AE3877" s="190"/>
      <c r="AF3877" s="191"/>
      <c r="AG3877" s="191"/>
      <c r="AH3877" s="191"/>
      <c r="AI3877" s="186"/>
      <c r="AK3877" s="171"/>
    </row>
    <row r="3878" spans="1:41" ht="20.100000000000001" customHeight="1" x14ac:dyDescent="0.25">
      <c r="A3878" s="277" t="s">
        <v>491</v>
      </c>
      <c r="B3878" s="278"/>
      <c r="C3878" s="64" t="s">
        <v>499</v>
      </c>
      <c r="D3878" s="46" t="s">
        <v>97</v>
      </c>
      <c r="E3878" s="114"/>
      <c r="F3878" s="44"/>
      <c r="G3878" s="44">
        <f t="shared" si="2434"/>
        <v>0</v>
      </c>
      <c r="H3878" s="44">
        <f t="shared" si="2435"/>
        <v>0</v>
      </c>
      <c r="I3878" s="43">
        <f t="shared" si="2436"/>
        <v>0</v>
      </c>
      <c r="J3878" s="112">
        <f t="shared" si="2437"/>
        <v>0</v>
      </c>
      <c r="K3878" s="211">
        <f t="shared" si="2438"/>
        <v>0</v>
      </c>
      <c r="L3878" s="44"/>
      <c r="M3878" s="44">
        <f t="shared" si="2458"/>
        <v>0</v>
      </c>
      <c r="N3878" s="173">
        <f t="shared" si="2439"/>
        <v>0</v>
      </c>
      <c r="O3878" s="44">
        <f t="shared" si="2440"/>
        <v>0</v>
      </c>
      <c r="P3878" s="44">
        <f t="shared" si="2441"/>
        <v>0</v>
      </c>
      <c r="Q3878" s="44">
        <f t="shared" si="2442"/>
        <v>0</v>
      </c>
      <c r="R3878" s="44">
        <f t="shared" si="2459"/>
        <v>0</v>
      </c>
      <c r="S3878" s="123"/>
      <c r="T3878" s="219">
        <f t="shared" si="2460"/>
        <v>0</v>
      </c>
      <c r="U3878" s="87"/>
      <c r="V3878" s="47"/>
      <c r="W3878" s="48"/>
      <c r="X3878" s="48"/>
      <c r="Y3878" s="48"/>
      <c r="Z3878" s="135"/>
      <c r="AA3878" s="49"/>
      <c r="AB3878" s="50">
        <f t="shared" si="2443"/>
        <v>0</v>
      </c>
      <c r="AC3878" s="42">
        <f t="shared" si="2461"/>
        <v>9.9999999999999998E-20</v>
      </c>
      <c r="AD3878" s="90"/>
      <c r="AE3878" s="188"/>
      <c r="AF3878" s="189"/>
      <c r="AG3878" s="189"/>
      <c r="AH3878" s="189"/>
      <c r="AI3878" s="161"/>
    </row>
    <row r="3879" spans="1:41" ht="20.100000000000001" customHeight="1" x14ac:dyDescent="0.25">
      <c r="A3879" s="277" t="s">
        <v>491</v>
      </c>
      <c r="B3879" s="278"/>
      <c r="C3879" s="64" t="s">
        <v>500</v>
      </c>
      <c r="D3879" s="46" t="s">
        <v>97</v>
      </c>
      <c r="E3879" s="114"/>
      <c r="F3879" s="44"/>
      <c r="G3879" s="44">
        <f t="shared" si="2434"/>
        <v>0</v>
      </c>
      <c r="H3879" s="44">
        <f t="shared" si="2435"/>
        <v>0</v>
      </c>
      <c r="I3879" s="43">
        <f t="shared" si="2436"/>
        <v>0</v>
      </c>
      <c r="J3879" s="112">
        <f t="shared" si="2437"/>
        <v>0</v>
      </c>
      <c r="K3879" s="211">
        <f t="shared" si="2438"/>
        <v>0</v>
      </c>
      <c r="L3879" s="44"/>
      <c r="M3879" s="44">
        <f t="shared" si="2458"/>
        <v>0</v>
      </c>
      <c r="N3879" s="173">
        <f t="shared" si="2439"/>
        <v>0</v>
      </c>
      <c r="O3879" s="44">
        <f t="shared" si="2440"/>
        <v>0</v>
      </c>
      <c r="P3879" s="44">
        <f t="shared" si="2441"/>
        <v>0</v>
      </c>
      <c r="Q3879" s="44">
        <f t="shared" si="2442"/>
        <v>0</v>
      </c>
      <c r="R3879" s="44">
        <f t="shared" si="2459"/>
        <v>0</v>
      </c>
      <c r="S3879" s="123"/>
      <c r="T3879" s="219">
        <f t="shared" si="2460"/>
        <v>0</v>
      </c>
      <c r="U3879" s="87"/>
      <c r="V3879" s="47"/>
      <c r="W3879" s="48"/>
      <c r="X3879" s="48"/>
      <c r="Y3879" s="48"/>
      <c r="Z3879" s="135"/>
      <c r="AA3879" s="49"/>
      <c r="AB3879" s="50">
        <f t="shared" si="2443"/>
        <v>0</v>
      </c>
      <c r="AC3879" s="42">
        <f t="shared" si="2461"/>
        <v>9.9999999999999998E-20</v>
      </c>
      <c r="AD3879" s="90"/>
      <c r="AE3879" s="188"/>
      <c r="AF3879" s="189"/>
      <c r="AG3879" s="189"/>
      <c r="AH3879" s="189"/>
      <c r="AI3879" s="161"/>
    </row>
    <row r="3880" spans="1:41" ht="20.100000000000001" customHeight="1" x14ac:dyDescent="0.25">
      <c r="A3880" s="277" t="s">
        <v>491</v>
      </c>
      <c r="B3880" s="278"/>
      <c r="C3880" s="64" t="s">
        <v>501</v>
      </c>
      <c r="D3880" s="46" t="s">
        <v>97</v>
      </c>
      <c r="E3880" s="114">
        <v>0.61334999999999873</v>
      </c>
      <c r="F3880" s="44">
        <v>941</v>
      </c>
      <c r="G3880" s="44">
        <f t="shared" si="2434"/>
        <v>577.16234999999881</v>
      </c>
      <c r="H3880" s="44">
        <f t="shared" si="2435"/>
        <v>585.70516862745103</v>
      </c>
      <c r="I3880" s="43">
        <f t="shared" si="2436"/>
        <v>359.24226517764635</v>
      </c>
      <c r="J3880" s="112">
        <f t="shared" si="2437"/>
        <v>0.61334999999999873</v>
      </c>
      <c r="K3880" s="211">
        <f t="shared" si="2438"/>
        <v>0.61334999999999873</v>
      </c>
      <c r="L3880" s="44"/>
      <c r="M3880" s="44">
        <f t="shared" si="2458"/>
        <v>0.61334999999999873</v>
      </c>
      <c r="N3880" s="173">
        <f t="shared" si="2439"/>
        <v>1</v>
      </c>
      <c r="O3880" s="44">
        <f t="shared" si="2440"/>
        <v>941</v>
      </c>
      <c r="P3880" s="44">
        <f t="shared" si="2441"/>
        <v>577.16234999999881</v>
      </c>
      <c r="Q3880" s="44">
        <f t="shared" si="2442"/>
        <v>585.70516862745103</v>
      </c>
      <c r="R3880" s="44">
        <f t="shared" si="2459"/>
        <v>359.24226517764635</v>
      </c>
      <c r="S3880" s="123"/>
      <c r="T3880" s="219">
        <f t="shared" si="2460"/>
        <v>359.24226517764635</v>
      </c>
      <c r="U3880" s="87"/>
      <c r="V3880" s="47"/>
      <c r="W3880" s="48"/>
      <c r="X3880" s="48"/>
      <c r="Y3880" s="48"/>
      <c r="Z3880" s="135"/>
      <c r="AA3880" s="49"/>
      <c r="AB3880" s="50">
        <f t="shared" si="2443"/>
        <v>585.70516862745103</v>
      </c>
      <c r="AC3880" s="42">
        <f t="shared" si="2461"/>
        <v>0.61334999999999873</v>
      </c>
      <c r="AD3880" s="90">
        <f>AD3881+AD3891+AD3898</f>
        <v>359.24226517764635</v>
      </c>
      <c r="AE3880" s="188">
        <f t="shared" ref="AE3880" si="2884">AE3881+AE3891+AE3898</f>
        <v>0</v>
      </c>
      <c r="AF3880" s="189">
        <f t="shared" ref="AF3880" si="2885">AF3881+AF3891+AF3898</f>
        <v>0</v>
      </c>
      <c r="AG3880" s="189">
        <f t="shared" ref="AG3880" si="2886">AG3881+AG3891+AG3898</f>
        <v>0</v>
      </c>
      <c r="AH3880" s="189">
        <f t="shared" ref="AH3880" si="2887">AH3881+AH3891+AH3898</f>
        <v>0</v>
      </c>
      <c r="AI3880" s="161">
        <f t="shared" ref="AI3880" si="2888">SUM(AE3880:AH3880)</f>
        <v>0</v>
      </c>
      <c r="AK3880" s="169">
        <v>5</v>
      </c>
      <c r="AO3880" s="19" t="s">
        <v>63</v>
      </c>
    </row>
    <row r="3881" spans="1:41" s="103" customFormat="1" ht="19.899999999999999" customHeight="1" x14ac:dyDescent="0.25">
      <c r="A3881" s="51"/>
      <c r="B3881" s="52"/>
      <c r="C3881" s="165"/>
      <c r="D3881" s="52"/>
      <c r="E3881" s="115"/>
      <c r="F3881" s="58"/>
      <c r="G3881" s="58"/>
      <c r="H3881" s="58"/>
      <c r="I3881" s="55"/>
      <c r="J3881" s="113">
        <f>J3880</f>
        <v>0.61334999999999873</v>
      </c>
      <c r="K3881" s="212">
        <f>K3880</f>
        <v>0.61334999999999873</v>
      </c>
      <c r="L3881" s="58"/>
      <c r="M3881" s="58">
        <f>K3881-L3881</f>
        <v>0.61334999999999873</v>
      </c>
      <c r="N3881" s="166"/>
      <c r="O3881" s="58"/>
      <c r="P3881" s="58"/>
      <c r="Q3881" s="58"/>
      <c r="R3881" s="58"/>
      <c r="S3881" s="58"/>
      <c r="T3881" s="220"/>
      <c r="U3881" s="88"/>
      <c r="V3881" s="56"/>
      <c r="W3881" s="57" t="s">
        <v>1243</v>
      </c>
      <c r="X3881" s="53"/>
      <c r="Y3881" s="91" t="s">
        <v>68</v>
      </c>
      <c r="Z3881" s="136">
        <f>AD3881/AC3881</f>
        <v>137.12183529411766</v>
      </c>
      <c r="AA3881" s="58"/>
      <c r="AB3881" s="53">
        <f>AD3881/AC3881</f>
        <v>137.12183529411766</v>
      </c>
      <c r="AC3881" s="53">
        <f>M3881+$AE$10</f>
        <v>0.61334999999999873</v>
      </c>
      <c r="AD3881" s="54">
        <f>SUM(AD3882:AD3890)</f>
        <v>84.103677677646886</v>
      </c>
      <c r="AE3881" s="184">
        <f>SUMIFS($AD$37:$AD$12971,$V$37:$V$12971,$V3881,$X$37:$X$12971,AE$13)</f>
        <v>0</v>
      </c>
      <c r="AF3881" s="185">
        <f>SUMIFS($AD$37:$AD$12971,$V$37:$V$12971,$V3881,$X$37:$X$12971,AF$13)</f>
        <v>0</v>
      </c>
      <c r="AG3881" s="185">
        <f>SUMIFS($AD$37:$AD$12971,$V$37:$V$12971,$V3881,$X$37:$X$12971,AG$13)</f>
        <v>0</v>
      </c>
      <c r="AH3881" s="187">
        <f>SUMIFS($AD$37:$AD$12971,$V$37:$V$12971,$V3881,$X$37:$X$12971,AH$13)</f>
        <v>0</v>
      </c>
      <c r="AI3881" s="161">
        <f t="shared" ref="AI3881" si="2889">SUM(AE3881:AH3881)</f>
        <v>0</v>
      </c>
      <c r="AK3881" s="172"/>
    </row>
    <row r="3882" spans="1:41" s="102" customFormat="1" ht="19.899999999999999" customHeight="1" x14ac:dyDescent="0.25">
      <c r="A3882" s="45"/>
      <c r="B3882" s="59"/>
      <c r="C3882" s="137"/>
      <c r="D3882" s="59"/>
      <c r="E3882" s="116"/>
      <c r="F3882" s="120"/>
      <c r="G3882" s="120"/>
      <c r="H3882" s="120"/>
      <c r="I3882" s="60"/>
      <c r="J3882" s="116"/>
      <c r="K3882" s="213"/>
      <c r="L3882" s="120"/>
      <c r="M3882" s="120"/>
      <c r="N3882" s="167"/>
      <c r="O3882" s="120"/>
      <c r="P3882" s="120"/>
      <c r="Q3882" s="120"/>
      <c r="R3882" s="120"/>
      <c r="S3882" s="120"/>
      <c r="T3882" s="221"/>
      <c r="U3882" s="89"/>
      <c r="V3882" s="61"/>
      <c r="W3882" s="92" t="s">
        <v>131</v>
      </c>
      <c r="X3882" s="93" t="s">
        <v>29</v>
      </c>
      <c r="Y3882" s="93" t="s">
        <v>93</v>
      </c>
      <c r="Z3882" s="134">
        <f>VLOOKUP(W3882,Sheet2!$B:$D,3,FALSE)</f>
        <v>131.19999999999999</v>
      </c>
      <c r="AA3882" s="93">
        <f>80/(1.6*7.5)</f>
        <v>6.666666666666667</v>
      </c>
      <c r="AB3882" s="93">
        <f t="shared" ref="AB3882" si="2890">AD3882/AC3881</f>
        <v>19.68</v>
      </c>
      <c r="AC3882" s="93">
        <f>AC3881/AA3882</f>
        <v>9.2002499999999807E-2</v>
      </c>
      <c r="AD3882" s="94">
        <f t="shared" ref="AD3882:AD3883" si="2891">AC3882*Z3882</f>
        <v>12.070727999999974</v>
      </c>
      <c r="AE3882" s="190"/>
      <c r="AF3882" s="191"/>
      <c r="AG3882" s="191"/>
      <c r="AH3882" s="191"/>
      <c r="AI3882" s="186"/>
      <c r="AK3882" s="171"/>
    </row>
    <row r="3883" spans="1:41" s="102" customFormat="1" ht="19.899999999999999" customHeight="1" x14ac:dyDescent="0.25">
      <c r="A3883" s="45"/>
      <c r="B3883" s="59"/>
      <c r="C3883" s="137"/>
      <c r="D3883" s="59"/>
      <c r="E3883" s="116"/>
      <c r="F3883" s="120"/>
      <c r="G3883" s="120"/>
      <c r="H3883" s="120"/>
      <c r="I3883" s="60"/>
      <c r="J3883" s="116"/>
      <c r="K3883" s="213"/>
      <c r="L3883" s="120"/>
      <c r="M3883" s="120"/>
      <c r="N3883" s="167"/>
      <c r="O3883" s="120"/>
      <c r="P3883" s="120"/>
      <c r="Q3883" s="120"/>
      <c r="R3883" s="120"/>
      <c r="S3883" s="120"/>
      <c r="T3883" s="221"/>
      <c r="U3883" s="89"/>
      <c r="V3883" s="61"/>
      <c r="W3883" s="92" t="s">
        <v>65</v>
      </c>
      <c r="X3883" s="93" t="s">
        <v>30</v>
      </c>
      <c r="Y3883" s="93" t="s">
        <v>1011</v>
      </c>
      <c r="Z3883" s="134">
        <f>VLOOKUP(W3883,Sheet2!$B:$D,3,FALSE)</f>
        <v>1.76</v>
      </c>
      <c r="AA3883" s="93">
        <f>AA3882/32</f>
        <v>0.20833333333333334</v>
      </c>
      <c r="AB3883" s="93">
        <f>AD3883/AC3881</f>
        <v>8.4480000000000004</v>
      </c>
      <c r="AC3883" s="93">
        <f>AC3881/AA3883</f>
        <v>2.9440799999999938</v>
      </c>
      <c r="AD3883" s="94">
        <f t="shared" si="2891"/>
        <v>5.1815807999999892</v>
      </c>
      <c r="AE3883" s="190"/>
      <c r="AF3883" s="191"/>
      <c r="AG3883" s="191"/>
      <c r="AH3883" s="191"/>
      <c r="AI3883" s="186"/>
      <c r="AK3883" s="171"/>
    </row>
    <row r="3884" spans="1:41" s="102" customFormat="1" ht="19.899999999999999" customHeight="1" x14ac:dyDescent="0.25">
      <c r="A3884" s="45"/>
      <c r="B3884" s="59"/>
      <c r="C3884" s="137"/>
      <c r="D3884" s="59"/>
      <c r="E3884" s="116"/>
      <c r="F3884" s="120"/>
      <c r="G3884" s="120"/>
      <c r="H3884" s="120"/>
      <c r="I3884" s="60"/>
      <c r="J3884" s="116"/>
      <c r="K3884" s="213"/>
      <c r="L3884" s="120"/>
      <c r="M3884" s="120"/>
      <c r="N3884" s="167"/>
      <c r="O3884" s="120"/>
      <c r="P3884" s="120"/>
      <c r="Q3884" s="120"/>
      <c r="R3884" s="120"/>
      <c r="S3884" s="120"/>
      <c r="T3884" s="221"/>
      <c r="U3884" s="89"/>
      <c r="V3884" s="61"/>
      <c r="W3884" s="92" t="s">
        <v>161</v>
      </c>
      <c r="X3884" s="93" t="s">
        <v>29</v>
      </c>
      <c r="Y3884" s="93" t="s">
        <v>93</v>
      </c>
      <c r="Z3884" s="134">
        <f>VLOOKUP(W3884,Sheet2!$B:$D,3,FALSE)</f>
        <v>48</v>
      </c>
      <c r="AA3884" s="93">
        <f>(16*0.85*1.5)/(1.6*7.5)</f>
        <v>1.7</v>
      </c>
      <c r="AB3884" s="93">
        <f>AD3884/AC3881</f>
        <v>28.235294117647058</v>
      </c>
      <c r="AC3884" s="93">
        <f>AC3881/AA3884</f>
        <v>0.3607941176470581</v>
      </c>
      <c r="AD3884" s="94">
        <f>AC3884*Z3884</f>
        <v>17.318117647058788</v>
      </c>
      <c r="AE3884" s="190"/>
      <c r="AF3884" s="191"/>
      <c r="AG3884" s="191"/>
      <c r="AH3884" s="191"/>
      <c r="AI3884" s="186"/>
      <c r="AK3884" s="171"/>
    </row>
    <row r="3885" spans="1:41" s="102" customFormat="1" ht="19.899999999999999" customHeight="1" x14ac:dyDescent="0.25">
      <c r="A3885" s="45"/>
      <c r="B3885" s="59"/>
      <c r="C3885" s="137"/>
      <c r="D3885" s="59"/>
      <c r="E3885" s="116"/>
      <c r="F3885" s="120"/>
      <c r="G3885" s="120"/>
      <c r="H3885" s="120"/>
      <c r="I3885" s="60"/>
      <c r="J3885" s="116"/>
      <c r="K3885" s="213"/>
      <c r="L3885" s="120"/>
      <c r="M3885" s="120"/>
      <c r="N3885" s="167"/>
      <c r="O3885" s="120"/>
      <c r="P3885" s="120"/>
      <c r="Q3885" s="120"/>
      <c r="R3885" s="120"/>
      <c r="S3885" s="120"/>
      <c r="T3885" s="221"/>
      <c r="U3885" s="89"/>
      <c r="V3885" s="61"/>
      <c r="W3885" s="92" t="s">
        <v>65</v>
      </c>
      <c r="X3885" s="93" t="s">
        <v>30</v>
      </c>
      <c r="Y3885" s="93" t="s">
        <v>1011</v>
      </c>
      <c r="Z3885" s="134">
        <f>VLOOKUP(W3885,Sheet2!$B:$D,3,FALSE)</f>
        <v>1.76</v>
      </c>
      <c r="AA3885" s="93">
        <f>AA3884/10</f>
        <v>0.16999999999999998</v>
      </c>
      <c r="AB3885" s="93">
        <f>AD3885/AC3881</f>
        <v>10.352941176470589</v>
      </c>
      <c r="AC3885" s="93">
        <f>AC3881/AA3885</f>
        <v>3.6079411764705811</v>
      </c>
      <c r="AD3885" s="94">
        <f>AC3885*Z3885</f>
        <v>6.3499764705882225</v>
      </c>
      <c r="AE3885" s="190"/>
      <c r="AF3885" s="191"/>
      <c r="AG3885" s="191"/>
      <c r="AH3885" s="191"/>
      <c r="AI3885" s="186"/>
      <c r="AK3885" s="171"/>
    </row>
    <row r="3886" spans="1:41" s="102" customFormat="1" ht="19.899999999999999" customHeight="1" x14ac:dyDescent="0.25">
      <c r="A3886" s="45"/>
      <c r="B3886" s="59"/>
      <c r="C3886" s="137"/>
      <c r="D3886" s="59"/>
      <c r="E3886" s="116"/>
      <c r="F3886" s="120"/>
      <c r="G3886" s="120"/>
      <c r="H3886" s="120"/>
      <c r="I3886" s="60"/>
      <c r="J3886" s="116"/>
      <c r="K3886" s="213"/>
      <c r="L3886" s="120"/>
      <c r="M3886" s="120"/>
      <c r="N3886" s="167"/>
      <c r="O3886" s="120"/>
      <c r="P3886" s="120"/>
      <c r="Q3886" s="120"/>
      <c r="R3886" s="120"/>
      <c r="S3886" s="120"/>
      <c r="T3886" s="221"/>
      <c r="U3886" s="89"/>
      <c r="V3886" s="61"/>
      <c r="W3886" s="92" t="s">
        <v>1030</v>
      </c>
      <c r="X3886" s="93" t="s">
        <v>29</v>
      </c>
      <c r="Y3886" s="93" t="s">
        <v>93</v>
      </c>
      <c r="Z3886" s="134">
        <f>VLOOKUP(W3886,Sheet2!$B:$D,3,FALSE)</f>
        <v>23</v>
      </c>
      <c r="AA3886" s="93">
        <v>50</v>
      </c>
      <c r="AB3886" s="93">
        <f>AD3886/AC3881</f>
        <v>0.46</v>
      </c>
      <c r="AC3886" s="93">
        <f>AC3881/AA3886</f>
        <v>1.2266999999999974E-2</v>
      </c>
      <c r="AD3886" s="94">
        <f t="shared" ref="AD3886:AD3890" si="2892">AC3886*Z3886</f>
        <v>0.28214099999999942</v>
      </c>
      <c r="AE3886" s="190"/>
      <c r="AF3886" s="191"/>
      <c r="AG3886" s="191"/>
      <c r="AH3886" s="191"/>
      <c r="AI3886" s="186"/>
      <c r="AK3886" s="171"/>
    </row>
    <row r="3887" spans="1:41" s="102" customFormat="1" ht="19.899999999999999" customHeight="1" x14ac:dyDescent="0.25">
      <c r="A3887" s="45"/>
      <c r="B3887" s="59"/>
      <c r="C3887" s="137"/>
      <c r="D3887" s="59"/>
      <c r="E3887" s="116"/>
      <c r="F3887" s="120"/>
      <c r="G3887" s="120"/>
      <c r="H3887" s="120"/>
      <c r="I3887" s="60"/>
      <c r="J3887" s="116"/>
      <c r="K3887" s="213"/>
      <c r="L3887" s="120"/>
      <c r="M3887" s="120"/>
      <c r="N3887" s="167"/>
      <c r="O3887" s="120"/>
      <c r="P3887" s="120"/>
      <c r="Q3887" s="120"/>
      <c r="R3887" s="120"/>
      <c r="S3887" s="120"/>
      <c r="T3887" s="221"/>
      <c r="U3887" s="89"/>
      <c r="V3887" s="61"/>
      <c r="W3887" s="92" t="s">
        <v>65</v>
      </c>
      <c r="X3887" s="93" t="s">
        <v>30</v>
      </c>
      <c r="Y3887" s="93" t="s">
        <v>1011</v>
      </c>
      <c r="Z3887" s="134">
        <f>VLOOKUP(W3887,Sheet2!$B:$D,3,FALSE)</f>
        <v>1.76</v>
      </c>
      <c r="AA3887" s="93">
        <f>AA3886/3</f>
        <v>16.666666666666668</v>
      </c>
      <c r="AB3887" s="93">
        <f>AD3887/AC3881</f>
        <v>0.10560000000000001</v>
      </c>
      <c r="AC3887" s="93">
        <f>AC3881/AA3887</f>
        <v>3.6800999999999924E-2</v>
      </c>
      <c r="AD3887" s="94">
        <f t="shared" si="2892"/>
        <v>6.4769759999999871E-2</v>
      </c>
      <c r="AE3887" s="190"/>
      <c r="AF3887" s="191"/>
      <c r="AG3887" s="191"/>
      <c r="AH3887" s="191"/>
      <c r="AI3887" s="186"/>
      <c r="AK3887" s="171"/>
    </row>
    <row r="3888" spans="1:41" s="102" customFormat="1" ht="19.899999999999999" customHeight="1" x14ac:dyDescent="0.25">
      <c r="A3888" s="45"/>
      <c r="B3888" s="59"/>
      <c r="C3888" s="137"/>
      <c r="D3888" s="59"/>
      <c r="E3888" s="116"/>
      <c r="F3888" s="120"/>
      <c r="G3888" s="120"/>
      <c r="H3888" s="120"/>
      <c r="I3888" s="60"/>
      <c r="J3888" s="116"/>
      <c r="K3888" s="213"/>
      <c r="L3888" s="120"/>
      <c r="M3888" s="120"/>
      <c r="N3888" s="167"/>
      <c r="O3888" s="120"/>
      <c r="P3888" s="120"/>
      <c r="Q3888" s="120"/>
      <c r="R3888" s="120"/>
      <c r="S3888" s="120"/>
      <c r="T3888" s="221"/>
      <c r="U3888" s="89"/>
      <c r="V3888" s="61"/>
      <c r="W3888" s="92" t="s">
        <v>148</v>
      </c>
      <c r="X3888" s="93" t="s">
        <v>29</v>
      </c>
      <c r="Y3888" s="93" t="s">
        <v>93</v>
      </c>
      <c r="Z3888" s="134">
        <f>VLOOKUP(W3888,Sheet2!$B:$D,3,FALSE)</f>
        <v>48</v>
      </c>
      <c r="AA3888" s="93">
        <f>AA3882</f>
        <v>6.666666666666667</v>
      </c>
      <c r="AB3888" s="93">
        <f>AD3888/AC3881</f>
        <v>7.1999999999999993</v>
      </c>
      <c r="AC3888" s="93">
        <f>AC3881/AA3888</f>
        <v>9.2002499999999807E-2</v>
      </c>
      <c r="AD3888" s="94">
        <f t="shared" si="2892"/>
        <v>4.4161199999999905</v>
      </c>
      <c r="AE3888" s="190"/>
      <c r="AF3888" s="191"/>
      <c r="AG3888" s="191"/>
      <c r="AH3888" s="191"/>
      <c r="AI3888" s="186"/>
      <c r="AK3888" s="171"/>
    </row>
    <row r="3889" spans="1:41" s="102" customFormat="1" ht="19.899999999999999" customHeight="1" x14ac:dyDescent="0.25">
      <c r="A3889" s="45"/>
      <c r="B3889" s="59"/>
      <c r="C3889" s="137"/>
      <c r="D3889" s="59"/>
      <c r="E3889" s="116"/>
      <c r="F3889" s="120"/>
      <c r="G3889" s="120"/>
      <c r="H3889" s="120"/>
      <c r="I3889" s="60"/>
      <c r="J3889" s="116"/>
      <c r="K3889" s="213"/>
      <c r="L3889" s="120"/>
      <c r="M3889" s="120"/>
      <c r="N3889" s="167"/>
      <c r="O3889" s="120"/>
      <c r="P3889" s="120"/>
      <c r="Q3889" s="120"/>
      <c r="R3889" s="120"/>
      <c r="S3889" s="120"/>
      <c r="T3889" s="221"/>
      <c r="U3889" s="89"/>
      <c r="V3889" s="61"/>
      <c r="W3889" s="92" t="s">
        <v>65</v>
      </c>
      <c r="X3889" s="93" t="s">
        <v>30</v>
      </c>
      <c r="Y3889" s="93" t="s">
        <v>1011</v>
      </c>
      <c r="Z3889" s="134">
        <f>VLOOKUP(W3889,Sheet2!$B:$D,3,FALSE)</f>
        <v>1.76</v>
      </c>
      <c r="AA3889" s="93">
        <f>AA3888/10</f>
        <v>0.66666666666666674</v>
      </c>
      <c r="AB3889" s="93">
        <f>AD3889/AC3881</f>
        <v>2.6399999999999997</v>
      </c>
      <c r="AC3889" s="93">
        <f>AC3881/AA3889</f>
        <v>0.92002499999999798</v>
      </c>
      <c r="AD3889" s="94">
        <f t="shared" si="2892"/>
        <v>1.6192439999999964</v>
      </c>
      <c r="AE3889" s="190"/>
      <c r="AF3889" s="191"/>
      <c r="AG3889" s="191"/>
      <c r="AH3889" s="191"/>
      <c r="AI3889" s="186"/>
      <c r="AK3889" s="171"/>
    </row>
    <row r="3890" spans="1:41" s="102" customFormat="1" ht="19.899999999999999" customHeight="1" x14ac:dyDescent="0.25">
      <c r="A3890" s="45"/>
      <c r="B3890" s="59"/>
      <c r="C3890" s="137"/>
      <c r="D3890" s="59"/>
      <c r="E3890" s="116"/>
      <c r="F3890" s="120"/>
      <c r="G3890" s="120"/>
      <c r="H3890" s="120"/>
      <c r="I3890" s="60"/>
      <c r="J3890" s="116"/>
      <c r="K3890" s="213"/>
      <c r="L3890" s="120"/>
      <c r="M3890" s="120"/>
      <c r="N3890" s="167"/>
      <c r="O3890" s="120"/>
      <c r="P3890" s="120"/>
      <c r="Q3890" s="120"/>
      <c r="R3890" s="120"/>
      <c r="S3890" s="120"/>
      <c r="T3890" s="221"/>
      <c r="U3890" s="89"/>
      <c r="V3890" s="61"/>
      <c r="W3890" s="92" t="s">
        <v>1049</v>
      </c>
      <c r="X3890" s="93" t="s">
        <v>30</v>
      </c>
      <c r="Y3890" s="93" t="s">
        <v>68</v>
      </c>
      <c r="Z3890" s="134">
        <f>VLOOKUP(W3890,Sheet2!$B:$D,3,FALSE)</f>
        <v>60</v>
      </c>
      <c r="AA3890" s="93">
        <v>1</v>
      </c>
      <c r="AB3890" s="93">
        <f>AD3890/AC3881</f>
        <v>60</v>
      </c>
      <c r="AC3890" s="93">
        <f>AC3881/AA3890</f>
        <v>0.61334999999999873</v>
      </c>
      <c r="AD3890" s="94">
        <f t="shared" si="2892"/>
        <v>36.800999999999924</v>
      </c>
      <c r="AE3890" s="190"/>
      <c r="AF3890" s="191"/>
      <c r="AG3890" s="191"/>
      <c r="AH3890" s="191"/>
      <c r="AI3890" s="186"/>
      <c r="AK3890" s="171"/>
    </row>
    <row r="3891" spans="1:41" s="103" customFormat="1" ht="19.899999999999999" customHeight="1" x14ac:dyDescent="0.25">
      <c r="A3891" s="51"/>
      <c r="B3891" s="52"/>
      <c r="C3891" s="165"/>
      <c r="D3891" s="52"/>
      <c r="E3891" s="115"/>
      <c r="F3891" s="58"/>
      <c r="G3891" s="58"/>
      <c r="H3891" s="58"/>
      <c r="I3891" s="55"/>
      <c r="J3891" s="113">
        <f>J3880</f>
        <v>0.61334999999999873</v>
      </c>
      <c r="K3891" s="212">
        <f>K3880</f>
        <v>0.61334999999999873</v>
      </c>
      <c r="L3891" s="58"/>
      <c r="M3891" s="58">
        <f>K3891-L3891</f>
        <v>0.61334999999999873</v>
      </c>
      <c r="N3891" s="166"/>
      <c r="O3891" s="58"/>
      <c r="P3891" s="58"/>
      <c r="Q3891" s="58"/>
      <c r="R3891" s="58"/>
      <c r="S3891" s="58"/>
      <c r="T3891" s="220"/>
      <c r="U3891" s="88"/>
      <c r="V3891" s="56"/>
      <c r="W3891" s="57" t="s">
        <v>1036</v>
      </c>
      <c r="X3891" s="53"/>
      <c r="Y3891" s="91" t="s">
        <v>68</v>
      </c>
      <c r="Z3891" s="136">
        <f>AD3891/AC3891</f>
        <v>443.58333333333337</v>
      </c>
      <c r="AA3891" s="58"/>
      <c r="AB3891" s="53">
        <f>AD3891/AC3891</f>
        <v>443.58333333333337</v>
      </c>
      <c r="AC3891" s="53">
        <f>M3891+$AE$10</f>
        <v>0.61334999999999873</v>
      </c>
      <c r="AD3891" s="54">
        <f>SUM(AD3892:AD3897)</f>
        <v>272.07183749999945</v>
      </c>
      <c r="AE3891" s="184">
        <f>SUMIFS($AD$37:$AD$12971,$V$37:$V$12971,$V3891,$X$37:$X$12971,AE$13)</f>
        <v>0</v>
      </c>
      <c r="AF3891" s="185">
        <f>SUMIFS($AD$37:$AD$12971,$V$37:$V$12971,$V3891,$X$37:$X$12971,AF$13)</f>
        <v>0</v>
      </c>
      <c r="AG3891" s="185">
        <f>SUMIFS($AD$37:$AD$12971,$V$37:$V$12971,$V3891,$X$37:$X$12971,AG$13)</f>
        <v>0</v>
      </c>
      <c r="AH3891" s="187">
        <f>SUMIFS($AD$37:$AD$12971,$V$37:$V$12971,$V3891,$X$37:$X$12971,AH$13)</f>
        <v>0</v>
      </c>
      <c r="AI3891" s="161">
        <f t="shared" ref="AI3891" si="2893">SUM(AE3891:AH3891)</f>
        <v>0</v>
      </c>
      <c r="AK3891" s="172"/>
    </row>
    <row r="3892" spans="1:41" s="102" customFormat="1" ht="19.899999999999999" customHeight="1" x14ac:dyDescent="0.25">
      <c r="A3892" s="45"/>
      <c r="B3892" s="59"/>
      <c r="C3892" s="137"/>
      <c r="D3892" s="59"/>
      <c r="E3892" s="116"/>
      <c r="F3892" s="120"/>
      <c r="G3892" s="120"/>
      <c r="H3892" s="120"/>
      <c r="I3892" s="60"/>
      <c r="J3892" s="116"/>
      <c r="K3892" s="213"/>
      <c r="L3892" s="120"/>
      <c r="M3892" s="120"/>
      <c r="N3892" s="167"/>
      <c r="O3892" s="120"/>
      <c r="P3892" s="120"/>
      <c r="Q3892" s="120"/>
      <c r="R3892" s="120"/>
      <c r="S3892" s="120"/>
      <c r="T3892" s="221"/>
      <c r="U3892" s="89"/>
      <c r="V3892" s="61"/>
      <c r="W3892" s="92" t="s">
        <v>1058</v>
      </c>
      <c r="X3892" s="93" t="s">
        <v>30</v>
      </c>
      <c r="Y3892" s="93" t="s">
        <v>68</v>
      </c>
      <c r="Z3892" s="134">
        <f>VLOOKUP(W3892,Sheet2!$B:$D,3,FALSE)</f>
        <v>290</v>
      </c>
      <c r="AA3892" s="93">
        <v>1</v>
      </c>
      <c r="AB3892" s="93">
        <f>AD3892/AC3891</f>
        <v>290</v>
      </c>
      <c r="AC3892" s="93">
        <f>AC3891/AA3892</f>
        <v>0.61334999999999873</v>
      </c>
      <c r="AD3892" s="94">
        <f t="shared" ref="AD3892" si="2894">AC3892*Z3892</f>
        <v>177.87149999999963</v>
      </c>
      <c r="AE3892" s="190"/>
      <c r="AF3892" s="191"/>
      <c r="AG3892" s="191"/>
      <c r="AH3892" s="191"/>
      <c r="AI3892" s="186"/>
      <c r="AK3892" s="171"/>
    </row>
    <row r="3893" spans="1:41" s="102" customFormat="1" ht="19.899999999999999" customHeight="1" x14ac:dyDescent="0.25">
      <c r="A3893" s="45"/>
      <c r="B3893" s="59"/>
      <c r="C3893" s="137"/>
      <c r="D3893" s="59"/>
      <c r="E3893" s="116"/>
      <c r="F3893" s="120"/>
      <c r="G3893" s="120"/>
      <c r="H3893" s="120"/>
      <c r="I3893" s="60"/>
      <c r="J3893" s="116"/>
      <c r="K3893" s="213"/>
      <c r="L3893" s="120"/>
      <c r="M3893" s="120"/>
      <c r="N3893" s="167"/>
      <c r="O3893" s="120"/>
      <c r="P3893" s="120"/>
      <c r="Q3893" s="120"/>
      <c r="R3893" s="120"/>
      <c r="S3893" s="120"/>
      <c r="T3893" s="221"/>
      <c r="U3893" s="89"/>
      <c r="V3893" s="61"/>
      <c r="W3893" s="92" t="s">
        <v>1065</v>
      </c>
      <c r="X3893" s="93" t="s">
        <v>30</v>
      </c>
      <c r="Y3893" s="93" t="s">
        <v>68</v>
      </c>
      <c r="Z3893" s="134">
        <f>VLOOKUP(W3893,Sheet2!$B:$D,3,FALSE)</f>
        <v>29</v>
      </c>
      <c r="AA3893" s="93">
        <v>1</v>
      </c>
      <c r="AB3893" s="93">
        <f>AD3893/AC3891</f>
        <v>28.999999999999996</v>
      </c>
      <c r="AC3893" s="93">
        <f>AC3891/AA3893</f>
        <v>0.61334999999999873</v>
      </c>
      <c r="AD3893" s="94">
        <f>AC3893*Z3893</f>
        <v>17.787149999999961</v>
      </c>
      <c r="AE3893" s="190"/>
      <c r="AF3893" s="191"/>
      <c r="AG3893" s="191"/>
      <c r="AH3893" s="191"/>
      <c r="AI3893" s="186"/>
      <c r="AK3893" s="171"/>
    </row>
    <row r="3894" spans="1:41" s="102" customFormat="1" ht="19.899999999999999" customHeight="1" x14ac:dyDescent="0.25">
      <c r="A3894" s="45"/>
      <c r="B3894" s="59"/>
      <c r="C3894" s="137"/>
      <c r="D3894" s="59"/>
      <c r="E3894" s="116"/>
      <c r="F3894" s="120"/>
      <c r="G3894" s="120"/>
      <c r="H3894" s="120"/>
      <c r="I3894" s="60"/>
      <c r="J3894" s="116"/>
      <c r="K3894" s="213"/>
      <c r="L3894" s="120"/>
      <c r="M3894" s="120"/>
      <c r="N3894" s="167"/>
      <c r="O3894" s="120"/>
      <c r="P3894" s="120"/>
      <c r="Q3894" s="120"/>
      <c r="R3894" s="120"/>
      <c r="S3894" s="120"/>
      <c r="T3894" s="221"/>
      <c r="U3894" s="89"/>
      <c r="V3894" s="61"/>
      <c r="W3894" s="92" t="s">
        <v>1068</v>
      </c>
      <c r="X3894" s="93" t="s">
        <v>32</v>
      </c>
      <c r="Y3894" s="93" t="s">
        <v>68</v>
      </c>
      <c r="Z3894" s="134">
        <f>VLOOKUP(W3894,Sheet2!$B:$D,3,FALSE)</f>
        <v>60</v>
      </c>
      <c r="AA3894" s="93">
        <v>1</v>
      </c>
      <c r="AB3894" s="93">
        <f>AD3894/AC3891</f>
        <v>60</v>
      </c>
      <c r="AC3894" s="93">
        <f>AC3891/AA3894</f>
        <v>0.61334999999999873</v>
      </c>
      <c r="AD3894" s="94">
        <f>AC3894*Z3894</f>
        <v>36.800999999999924</v>
      </c>
      <c r="AE3894" s="190"/>
      <c r="AF3894" s="191"/>
      <c r="AG3894" s="191"/>
      <c r="AH3894" s="191"/>
      <c r="AI3894" s="186"/>
      <c r="AK3894" s="171"/>
    </row>
    <row r="3895" spans="1:41" s="102" customFormat="1" ht="19.899999999999999" customHeight="1" x14ac:dyDescent="0.25">
      <c r="A3895" s="45"/>
      <c r="B3895" s="59"/>
      <c r="C3895" s="137"/>
      <c r="D3895" s="59"/>
      <c r="E3895" s="116"/>
      <c r="F3895" s="120"/>
      <c r="G3895" s="120"/>
      <c r="H3895" s="120"/>
      <c r="I3895" s="60"/>
      <c r="J3895" s="116"/>
      <c r="K3895" s="213"/>
      <c r="L3895" s="120"/>
      <c r="M3895" s="120"/>
      <c r="N3895" s="167"/>
      <c r="O3895" s="120"/>
      <c r="P3895" s="120"/>
      <c r="Q3895" s="120"/>
      <c r="R3895" s="120"/>
      <c r="S3895" s="120"/>
      <c r="T3895" s="221"/>
      <c r="U3895" s="89"/>
      <c r="V3895" s="61"/>
      <c r="W3895" s="92" t="s">
        <v>1032</v>
      </c>
      <c r="X3895" s="93" t="s">
        <v>30</v>
      </c>
      <c r="Y3895" s="93" t="s">
        <v>66</v>
      </c>
      <c r="Z3895" s="134">
        <f>VLOOKUP(W3895,Sheet2!$B:$D,3,FALSE)</f>
        <v>250</v>
      </c>
      <c r="AA3895" s="93">
        <f>1/(1.6*0.1)</f>
        <v>6.2499999999999991</v>
      </c>
      <c r="AB3895" s="93">
        <f>AD3895/AC3891</f>
        <v>40.000000000000007</v>
      </c>
      <c r="AC3895" s="93">
        <f>AC3891/AA3895</f>
        <v>9.8135999999999807E-2</v>
      </c>
      <c r="AD3895" s="94">
        <f>AC3895*Z3895</f>
        <v>24.533999999999953</v>
      </c>
      <c r="AE3895" s="190"/>
      <c r="AF3895" s="191"/>
      <c r="AG3895" s="191"/>
      <c r="AH3895" s="191"/>
      <c r="AI3895" s="186"/>
      <c r="AK3895" s="171"/>
    </row>
    <row r="3896" spans="1:41" s="102" customFormat="1" ht="19.899999999999999" customHeight="1" x14ac:dyDescent="0.25">
      <c r="A3896" s="45"/>
      <c r="B3896" s="59"/>
      <c r="C3896" s="137"/>
      <c r="D3896" s="59"/>
      <c r="E3896" s="116"/>
      <c r="F3896" s="120"/>
      <c r="G3896" s="120"/>
      <c r="H3896" s="120"/>
      <c r="I3896" s="60"/>
      <c r="J3896" s="116"/>
      <c r="K3896" s="213"/>
      <c r="L3896" s="120"/>
      <c r="M3896" s="120"/>
      <c r="N3896" s="167"/>
      <c r="O3896" s="120"/>
      <c r="P3896" s="120"/>
      <c r="Q3896" s="120"/>
      <c r="R3896" s="120"/>
      <c r="S3896" s="120"/>
      <c r="T3896" s="221"/>
      <c r="U3896" s="89"/>
      <c r="V3896" s="61"/>
      <c r="W3896" s="92" t="s">
        <v>1035</v>
      </c>
      <c r="X3896" s="93" t="s">
        <v>32</v>
      </c>
      <c r="Y3896" s="93" t="s">
        <v>66</v>
      </c>
      <c r="Z3896" s="134">
        <f>VLOOKUP(W3896,Sheet2!$B:$D,3,FALSE)</f>
        <v>150</v>
      </c>
      <c r="AA3896" s="93">
        <f>AA3895</f>
        <v>6.2499999999999991</v>
      </c>
      <c r="AB3896" s="93">
        <f>AD3896/AC3891</f>
        <v>24.000000000000004</v>
      </c>
      <c r="AC3896" s="93">
        <f>AC3891/AA3896</f>
        <v>9.8135999999999807E-2</v>
      </c>
      <c r="AD3896" s="94">
        <f t="shared" ref="AD3896:AD3897" si="2895">AC3896*Z3896</f>
        <v>14.720399999999971</v>
      </c>
      <c r="AE3896" s="190"/>
      <c r="AF3896" s="191"/>
      <c r="AG3896" s="191"/>
      <c r="AH3896" s="191"/>
      <c r="AI3896" s="186"/>
      <c r="AK3896" s="171"/>
    </row>
    <row r="3897" spans="1:41" s="102" customFormat="1" ht="19.899999999999999" customHeight="1" x14ac:dyDescent="0.25">
      <c r="A3897" s="45"/>
      <c r="B3897" s="59"/>
      <c r="C3897" s="137"/>
      <c r="D3897" s="59"/>
      <c r="E3897" s="116"/>
      <c r="F3897" s="120"/>
      <c r="G3897" s="120"/>
      <c r="H3897" s="120"/>
      <c r="I3897" s="60"/>
      <c r="J3897" s="116"/>
      <c r="K3897" s="213"/>
      <c r="L3897" s="120"/>
      <c r="M3897" s="120"/>
      <c r="N3897" s="167"/>
      <c r="O3897" s="120"/>
      <c r="P3897" s="120"/>
      <c r="Q3897" s="120"/>
      <c r="R3897" s="120"/>
      <c r="S3897" s="120"/>
      <c r="T3897" s="221"/>
      <c r="U3897" s="89"/>
      <c r="V3897" s="61"/>
      <c r="W3897" s="92" t="s">
        <v>1037</v>
      </c>
      <c r="X3897" s="93" t="s">
        <v>30</v>
      </c>
      <c r="Y3897" s="93" t="s">
        <v>1038</v>
      </c>
      <c r="Z3897" s="134">
        <f>VLOOKUP(W3897,Sheet2!$B:$D,3,FALSE)</f>
        <v>175</v>
      </c>
      <c r="AA3897" s="93">
        <v>300</v>
      </c>
      <c r="AB3897" s="93">
        <f>AD3897/AC3891</f>
        <v>0.58333333333333337</v>
      </c>
      <c r="AC3897" s="93">
        <f>AC3891/AA3897</f>
        <v>2.044499999999996E-3</v>
      </c>
      <c r="AD3897" s="94">
        <f t="shared" si="2895"/>
        <v>0.35778749999999931</v>
      </c>
      <c r="AE3897" s="190"/>
      <c r="AF3897" s="191"/>
      <c r="AG3897" s="191"/>
      <c r="AH3897" s="191"/>
      <c r="AI3897" s="186"/>
      <c r="AK3897" s="171"/>
    </row>
    <row r="3898" spans="1:41" s="103" customFormat="1" ht="19.899999999999999" customHeight="1" x14ac:dyDescent="0.25">
      <c r="A3898" s="51"/>
      <c r="B3898" s="52"/>
      <c r="C3898" s="165"/>
      <c r="D3898" s="52"/>
      <c r="E3898" s="115"/>
      <c r="F3898" s="58"/>
      <c r="G3898" s="58"/>
      <c r="H3898" s="58"/>
      <c r="I3898" s="55"/>
      <c r="J3898" s="113">
        <f>J3880</f>
        <v>0.61334999999999873</v>
      </c>
      <c r="K3898" s="212">
        <f>K3880</f>
        <v>0.61334999999999873</v>
      </c>
      <c r="L3898" s="58"/>
      <c r="M3898" s="58">
        <f>K3898-L3898</f>
        <v>0.61334999999999873</v>
      </c>
      <c r="N3898" s="166"/>
      <c r="O3898" s="58"/>
      <c r="P3898" s="58"/>
      <c r="Q3898" s="58"/>
      <c r="R3898" s="58"/>
      <c r="S3898" s="58"/>
      <c r="T3898" s="220"/>
      <c r="U3898" s="88"/>
      <c r="V3898" s="56"/>
      <c r="W3898" s="57" t="s">
        <v>1040</v>
      </c>
      <c r="X3898" s="53"/>
      <c r="Y3898" s="91" t="s">
        <v>68</v>
      </c>
      <c r="Z3898" s="136">
        <f>AD3898/AC3898</f>
        <v>5</v>
      </c>
      <c r="AA3898" s="58"/>
      <c r="AB3898" s="53">
        <f>AD3898/AC3898</f>
        <v>5</v>
      </c>
      <c r="AC3898" s="53">
        <f>M3898+$AE$10</f>
        <v>0.61334999999999873</v>
      </c>
      <c r="AD3898" s="54">
        <f>SUM(AD3899)</f>
        <v>3.0667499999999936</v>
      </c>
      <c r="AE3898" s="184">
        <f>SUMIFS($AD$37:$AD$12971,$V$37:$V$12971,$V3898,$X$37:$X$12971,AE$13)</f>
        <v>0</v>
      </c>
      <c r="AF3898" s="185">
        <f>SUMIFS($AD$37:$AD$12971,$V$37:$V$12971,$V3898,$X$37:$X$12971,AF$13)</f>
        <v>0</v>
      </c>
      <c r="AG3898" s="185">
        <f>SUMIFS($AD$37:$AD$12971,$V$37:$V$12971,$V3898,$X$37:$X$12971,AG$13)</f>
        <v>0</v>
      </c>
      <c r="AH3898" s="187">
        <f>SUMIFS($AD$37:$AD$12971,$V$37:$V$12971,$V3898,$X$37:$X$12971,AH$13)</f>
        <v>0</v>
      </c>
      <c r="AI3898" s="161">
        <f t="shared" ref="AI3898" si="2896">SUM(AE3898:AH3898)</f>
        <v>0</v>
      </c>
      <c r="AK3898" s="172"/>
    </row>
    <row r="3899" spans="1:41" s="102" customFormat="1" ht="19.899999999999999" customHeight="1" x14ac:dyDescent="0.25">
      <c r="A3899" s="45"/>
      <c r="B3899" s="59"/>
      <c r="C3899" s="137"/>
      <c r="D3899" s="59"/>
      <c r="E3899" s="116"/>
      <c r="F3899" s="120"/>
      <c r="G3899" s="120"/>
      <c r="H3899" s="120"/>
      <c r="I3899" s="60"/>
      <c r="J3899" s="116"/>
      <c r="K3899" s="213"/>
      <c r="L3899" s="120"/>
      <c r="M3899" s="120"/>
      <c r="N3899" s="167"/>
      <c r="O3899" s="120"/>
      <c r="P3899" s="120"/>
      <c r="Q3899" s="120"/>
      <c r="R3899" s="120"/>
      <c r="S3899" s="120"/>
      <c r="T3899" s="221"/>
      <c r="U3899" s="89"/>
      <c r="V3899" s="61"/>
      <c r="W3899" s="92" t="s">
        <v>1039</v>
      </c>
      <c r="X3899" s="93" t="s">
        <v>32</v>
      </c>
      <c r="Y3899" s="93" t="s">
        <v>68</v>
      </c>
      <c r="Z3899" s="134">
        <f>VLOOKUP(W3899,Sheet2!$B:$D,3,FALSE)</f>
        <v>5</v>
      </c>
      <c r="AA3899" s="93">
        <v>1</v>
      </c>
      <c r="AB3899" s="93">
        <f>AD3899/AC3898</f>
        <v>5</v>
      </c>
      <c r="AC3899" s="93">
        <f>AC3898/AA3899</f>
        <v>0.61334999999999873</v>
      </c>
      <c r="AD3899" s="94">
        <f t="shared" ref="AD3899" si="2897">AC3899*Z3899</f>
        <v>3.0667499999999936</v>
      </c>
      <c r="AE3899" s="190"/>
      <c r="AF3899" s="191"/>
      <c r="AG3899" s="191"/>
      <c r="AH3899" s="191"/>
      <c r="AI3899" s="186"/>
      <c r="AK3899" s="171"/>
    </row>
    <row r="3900" spans="1:41" ht="20.100000000000001" customHeight="1" x14ac:dyDescent="0.25">
      <c r="A3900" s="277" t="s">
        <v>491</v>
      </c>
      <c r="B3900" s="278"/>
      <c r="C3900" s="308" t="s">
        <v>1179</v>
      </c>
      <c r="D3900" s="46" t="s">
        <v>97</v>
      </c>
      <c r="E3900" s="114"/>
      <c r="F3900" s="44"/>
      <c r="G3900" s="44">
        <f t="shared" si="2434"/>
        <v>0</v>
      </c>
      <c r="H3900" s="44">
        <f t="shared" si="2435"/>
        <v>0</v>
      </c>
      <c r="I3900" s="43">
        <f t="shared" si="2436"/>
        <v>0</v>
      </c>
      <c r="J3900" s="112">
        <f t="shared" si="2437"/>
        <v>0</v>
      </c>
      <c r="K3900" s="211">
        <f t="shared" si="2438"/>
        <v>0</v>
      </c>
      <c r="L3900" s="44"/>
      <c r="M3900" s="44">
        <f t="shared" si="2458"/>
        <v>0</v>
      </c>
      <c r="N3900" s="173">
        <f t="shared" si="2439"/>
        <v>0</v>
      </c>
      <c r="O3900" s="44">
        <f t="shared" si="2440"/>
        <v>0</v>
      </c>
      <c r="P3900" s="44">
        <f t="shared" si="2441"/>
        <v>0</v>
      </c>
      <c r="Q3900" s="44">
        <f t="shared" si="2442"/>
        <v>0</v>
      </c>
      <c r="R3900" s="44">
        <f t="shared" si="2459"/>
        <v>0</v>
      </c>
      <c r="S3900" s="123"/>
      <c r="T3900" s="219">
        <f t="shared" si="2460"/>
        <v>0</v>
      </c>
      <c r="U3900" s="87"/>
      <c r="V3900" s="47"/>
      <c r="W3900" s="48"/>
      <c r="X3900" s="48"/>
      <c r="Y3900" s="48"/>
      <c r="Z3900" s="135"/>
      <c r="AA3900" s="49"/>
      <c r="AB3900" s="50">
        <f t="shared" si="2443"/>
        <v>0</v>
      </c>
      <c r="AC3900" s="42">
        <f t="shared" si="2461"/>
        <v>9.9999999999999998E-20</v>
      </c>
      <c r="AD3900" s="90"/>
      <c r="AE3900" s="188"/>
      <c r="AF3900" s="189"/>
      <c r="AG3900" s="189"/>
      <c r="AH3900" s="189"/>
      <c r="AI3900" s="161"/>
    </row>
    <row r="3901" spans="1:41" ht="20.100000000000001" customHeight="1" x14ac:dyDescent="0.25">
      <c r="A3901" s="277" t="s">
        <v>491</v>
      </c>
      <c r="B3901" s="278"/>
      <c r="C3901" s="64" t="s">
        <v>492</v>
      </c>
      <c r="D3901" s="46" t="s">
        <v>97</v>
      </c>
      <c r="E3901" s="114">
        <v>1.1914499999999997</v>
      </c>
      <c r="F3901" s="44">
        <v>676</v>
      </c>
      <c r="G3901" s="44">
        <f t="shared" si="2434"/>
        <v>805.4201999999998</v>
      </c>
      <c r="H3901" s="44">
        <f t="shared" si="2435"/>
        <v>540.0544266666667</v>
      </c>
      <c r="I3901" s="43">
        <f t="shared" si="2436"/>
        <v>643.44784665199984</v>
      </c>
      <c r="J3901" s="112">
        <f t="shared" si="2437"/>
        <v>1.1914499999999997</v>
      </c>
      <c r="K3901" s="211">
        <f t="shared" si="2438"/>
        <v>1.1914499999999997</v>
      </c>
      <c r="L3901" s="44"/>
      <c r="M3901" s="44">
        <f t="shared" si="2458"/>
        <v>1.1914499999999997</v>
      </c>
      <c r="N3901" s="173">
        <f t="shared" si="2439"/>
        <v>1</v>
      </c>
      <c r="O3901" s="44">
        <f t="shared" si="2440"/>
        <v>676</v>
      </c>
      <c r="P3901" s="44">
        <f t="shared" si="2441"/>
        <v>805.4201999999998</v>
      </c>
      <c r="Q3901" s="44">
        <f t="shared" si="2442"/>
        <v>540.0544266666667</v>
      </c>
      <c r="R3901" s="44">
        <f t="shared" si="2459"/>
        <v>643.44784665199984</v>
      </c>
      <c r="S3901" s="123"/>
      <c r="T3901" s="219">
        <f t="shared" si="2460"/>
        <v>643.44784665199984</v>
      </c>
      <c r="U3901" s="87"/>
      <c r="V3901" s="47"/>
      <c r="W3901" s="48"/>
      <c r="X3901" s="48"/>
      <c r="Y3901" s="48"/>
      <c r="Z3901" s="135"/>
      <c r="AA3901" s="49"/>
      <c r="AB3901" s="50">
        <f t="shared" si="2443"/>
        <v>540.0544266666667</v>
      </c>
      <c r="AC3901" s="42">
        <f t="shared" si="2461"/>
        <v>1.1914499999999997</v>
      </c>
      <c r="AD3901" s="90">
        <f>AD3902+AD3911+AD3918</f>
        <v>643.44784665199984</v>
      </c>
      <c r="AE3901" s="188">
        <f t="shared" ref="AE3901:AH3901" si="2898">AE3902+AE3911+AE3918</f>
        <v>0</v>
      </c>
      <c r="AF3901" s="189">
        <f t="shared" si="2898"/>
        <v>0</v>
      </c>
      <c r="AG3901" s="189">
        <f t="shared" si="2898"/>
        <v>0</v>
      </c>
      <c r="AH3901" s="189">
        <f t="shared" si="2898"/>
        <v>0</v>
      </c>
      <c r="AI3901" s="161">
        <f t="shared" ref="AI3901" si="2899">SUM(AE3901:AH3901)</f>
        <v>0</v>
      </c>
      <c r="AK3901" s="169">
        <v>5</v>
      </c>
      <c r="AO3901" s="19" t="s">
        <v>63</v>
      </c>
    </row>
    <row r="3902" spans="1:41" s="103" customFormat="1" ht="19.899999999999999" customHeight="1" x14ac:dyDescent="0.25">
      <c r="A3902" s="51"/>
      <c r="B3902" s="52"/>
      <c r="C3902" s="165"/>
      <c r="D3902" s="52"/>
      <c r="E3902" s="115"/>
      <c r="F3902" s="58"/>
      <c r="G3902" s="58"/>
      <c r="H3902" s="58"/>
      <c r="I3902" s="55"/>
      <c r="J3902" s="113">
        <f>J3901</f>
        <v>1.1914499999999997</v>
      </c>
      <c r="K3902" s="212">
        <f>K3901</f>
        <v>1.1914499999999997</v>
      </c>
      <c r="L3902" s="58"/>
      <c r="M3902" s="58">
        <f>K3902-L3902</f>
        <v>1.1914499999999997</v>
      </c>
      <c r="N3902" s="166"/>
      <c r="O3902" s="58"/>
      <c r="P3902" s="58"/>
      <c r="Q3902" s="58"/>
      <c r="R3902" s="58"/>
      <c r="S3902" s="58"/>
      <c r="T3902" s="220"/>
      <c r="U3902" s="88"/>
      <c r="V3902" s="56"/>
      <c r="W3902" s="57" t="s">
        <v>1080</v>
      </c>
      <c r="X3902" s="53"/>
      <c r="Y3902" s="91" t="s">
        <v>68</v>
      </c>
      <c r="Z3902" s="136">
        <f>AD3902/AC3902</f>
        <v>16.471093333333336</v>
      </c>
      <c r="AA3902" s="58"/>
      <c r="AB3902" s="53">
        <f>AD3902/AC3902</f>
        <v>16.471093333333336</v>
      </c>
      <c r="AC3902" s="53">
        <f>M3902+$AE$10</f>
        <v>1.1914499999999997</v>
      </c>
      <c r="AD3902" s="54">
        <f>SUM(AD3903:AD3910)</f>
        <v>19.624484151999997</v>
      </c>
      <c r="AE3902" s="184">
        <f>SUMIFS($AD$37:$AD$12971,$V$37:$V$12971,$V3902,$X$37:$X$12971,AE$13)</f>
        <v>0</v>
      </c>
      <c r="AF3902" s="185">
        <f>SUMIFS($AD$37:$AD$12971,$V$37:$V$12971,$V3902,$X$37:$X$12971,AF$13)</f>
        <v>0</v>
      </c>
      <c r="AG3902" s="185">
        <f>SUMIFS($AD$37:$AD$12971,$V$37:$V$12971,$V3902,$X$37:$X$12971,AG$13)</f>
        <v>0</v>
      </c>
      <c r="AH3902" s="187">
        <f>SUMIFS($AD$37:$AD$12971,$V$37:$V$12971,$V3902,$X$37:$X$12971,AH$13)</f>
        <v>0</v>
      </c>
      <c r="AI3902" s="161">
        <f t="shared" ref="AI3902" si="2900">SUM(AE3902:AH3902)</f>
        <v>0</v>
      </c>
      <c r="AK3902" s="172"/>
    </row>
    <row r="3903" spans="1:41" s="102" customFormat="1" ht="19.899999999999999" customHeight="1" x14ac:dyDescent="0.25">
      <c r="A3903" s="45"/>
      <c r="B3903" s="59"/>
      <c r="C3903" s="137"/>
      <c r="D3903" s="59"/>
      <c r="E3903" s="116"/>
      <c r="F3903" s="120"/>
      <c r="G3903" s="120"/>
      <c r="H3903" s="120"/>
      <c r="I3903" s="60"/>
      <c r="J3903" s="116"/>
      <c r="K3903" s="213"/>
      <c r="L3903" s="120"/>
      <c r="M3903" s="120"/>
      <c r="N3903" s="167"/>
      <c r="O3903" s="120"/>
      <c r="P3903" s="120"/>
      <c r="Q3903" s="120"/>
      <c r="R3903" s="120"/>
      <c r="S3903" s="120"/>
      <c r="T3903" s="221"/>
      <c r="U3903" s="89"/>
      <c r="V3903" s="61"/>
      <c r="W3903" s="92" t="s">
        <v>129</v>
      </c>
      <c r="X3903" s="93" t="s">
        <v>29</v>
      </c>
      <c r="Y3903" s="93" t="s">
        <v>93</v>
      </c>
      <c r="Z3903" s="134">
        <f>VLOOKUP(W3903,Sheet2!$B:$D,3,FALSE)</f>
        <v>56</v>
      </c>
      <c r="AA3903" s="93">
        <f>100/(1.7*2)</f>
        <v>29.411764705882355</v>
      </c>
      <c r="AB3903" s="93">
        <f t="shared" ref="AB3903" si="2901">AD3903/AC3902</f>
        <v>1.9039999999999999</v>
      </c>
      <c r="AC3903" s="93">
        <f>AC3902/AA3903</f>
        <v>4.0509299999999984E-2</v>
      </c>
      <c r="AD3903" s="94">
        <f t="shared" ref="AD3903:AD3904" si="2902">AC3903*Z3903</f>
        <v>2.2685207999999992</v>
      </c>
      <c r="AE3903" s="190"/>
      <c r="AF3903" s="191"/>
      <c r="AG3903" s="191"/>
      <c r="AH3903" s="191"/>
      <c r="AI3903" s="186"/>
      <c r="AK3903" s="171"/>
    </row>
    <row r="3904" spans="1:41" s="102" customFormat="1" ht="19.899999999999999" customHeight="1" x14ac:dyDescent="0.25">
      <c r="A3904" s="45"/>
      <c r="B3904" s="59"/>
      <c r="C3904" s="137"/>
      <c r="D3904" s="59"/>
      <c r="E3904" s="116"/>
      <c r="F3904" s="120"/>
      <c r="G3904" s="120"/>
      <c r="H3904" s="120"/>
      <c r="I3904" s="60"/>
      <c r="J3904" s="116"/>
      <c r="K3904" s="213"/>
      <c r="L3904" s="120"/>
      <c r="M3904" s="120"/>
      <c r="N3904" s="167"/>
      <c r="O3904" s="120"/>
      <c r="P3904" s="120"/>
      <c r="Q3904" s="120"/>
      <c r="R3904" s="120"/>
      <c r="S3904" s="120"/>
      <c r="T3904" s="221"/>
      <c r="U3904" s="89"/>
      <c r="V3904" s="61"/>
      <c r="W3904" s="92" t="s">
        <v>65</v>
      </c>
      <c r="X3904" s="93" t="s">
        <v>30</v>
      </c>
      <c r="Y3904" s="93" t="s">
        <v>1011</v>
      </c>
      <c r="Z3904" s="134">
        <f>VLOOKUP(W3904,Sheet2!$B:$D,3,FALSE)</f>
        <v>1.76</v>
      </c>
      <c r="AA3904" s="93">
        <f>AA3903/14</f>
        <v>2.1008403361344539</v>
      </c>
      <c r="AB3904" s="93">
        <f>AD3904/AC3902</f>
        <v>0.83775999999999995</v>
      </c>
      <c r="AC3904" s="93">
        <f>AC3902/AA3904</f>
        <v>0.56713019999999981</v>
      </c>
      <c r="AD3904" s="94">
        <f t="shared" si="2902"/>
        <v>0.99814915199999965</v>
      </c>
      <c r="AE3904" s="190"/>
      <c r="AF3904" s="191"/>
      <c r="AG3904" s="191"/>
      <c r="AH3904" s="191"/>
      <c r="AI3904" s="186"/>
      <c r="AK3904" s="171"/>
    </row>
    <row r="3905" spans="1:41" s="102" customFormat="1" ht="19.899999999999999" customHeight="1" x14ac:dyDescent="0.25">
      <c r="A3905" s="45"/>
      <c r="B3905" s="59"/>
      <c r="C3905" s="137"/>
      <c r="D3905" s="59"/>
      <c r="E3905" s="116"/>
      <c r="F3905" s="120"/>
      <c r="G3905" s="120"/>
      <c r="H3905" s="120"/>
      <c r="I3905" s="60"/>
      <c r="J3905" s="116"/>
      <c r="K3905" s="213"/>
      <c r="L3905" s="120"/>
      <c r="M3905" s="120"/>
      <c r="N3905" s="167"/>
      <c r="O3905" s="120"/>
      <c r="P3905" s="120"/>
      <c r="Q3905" s="120"/>
      <c r="R3905" s="120"/>
      <c r="S3905" s="120"/>
      <c r="T3905" s="221"/>
      <c r="U3905" s="89"/>
      <c r="V3905" s="61"/>
      <c r="W3905" s="92" t="s">
        <v>161</v>
      </c>
      <c r="X3905" s="93" t="s">
        <v>29</v>
      </c>
      <c r="Y3905" s="93" t="s">
        <v>93</v>
      </c>
      <c r="Z3905" s="134">
        <f>VLOOKUP(W3905,Sheet2!$B:$D,3,FALSE)</f>
        <v>48</v>
      </c>
      <c r="AA3905" s="93">
        <f>(16*0.85*1.5)/(1.7*2)</f>
        <v>6</v>
      </c>
      <c r="AB3905" s="93">
        <f>AD3905/AC3902</f>
        <v>8</v>
      </c>
      <c r="AC3905" s="93">
        <f>AC3902/AA3905</f>
        <v>0.19857499999999995</v>
      </c>
      <c r="AD3905" s="94">
        <f>AC3905*Z3905</f>
        <v>9.5315999999999974</v>
      </c>
      <c r="AE3905" s="190"/>
      <c r="AF3905" s="191"/>
      <c r="AG3905" s="191"/>
      <c r="AH3905" s="191"/>
      <c r="AI3905" s="186"/>
      <c r="AK3905" s="171"/>
    </row>
    <row r="3906" spans="1:41" s="102" customFormat="1" ht="19.899999999999999" customHeight="1" x14ac:dyDescent="0.25">
      <c r="A3906" s="45"/>
      <c r="B3906" s="59"/>
      <c r="C3906" s="137"/>
      <c r="D3906" s="59"/>
      <c r="E3906" s="116"/>
      <c r="F3906" s="120"/>
      <c r="G3906" s="120"/>
      <c r="H3906" s="120"/>
      <c r="I3906" s="60"/>
      <c r="J3906" s="116"/>
      <c r="K3906" s="213"/>
      <c r="L3906" s="120"/>
      <c r="M3906" s="120"/>
      <c r="N3906" s="167"/>
      <c r="O3906" s="120"/>
      <c r="P3906" s="120"/>
      <c r="Q3906" s="120"/>
      <c r="R3906" s="120"/>
      <c r="S3906" s="120"/>
      <c r="T3906" s="221"/>
      <c r="U3906" s="89"/>
      <c r="V3906" s="61"/>
      <c r="W3906" s="92" t="s">
        <v>65</v>
      </c>
      <c r="X3906" s="93" t="s">
        <v>30</v>
      </c>
      <c r="Y3906" s="93" t="s">
        <v>1011</v>
      </c>
      <c r="Z3906" s="134">
        <f>VLOOKUP(W3906,Sheet2!$B:$D,3,FALSE)</f>
        <v>1.76</v>
      </c>
      <c r="AA3906" s="93">
        <f>AA3905/10</f>
        <v>0.6</v>
      </c>
      <c r="AB3906" s="93">
        <f>AD3906/AC3902</f>
        <v>2.9333333333333336</v>
      </c>
      <c r="AC3906" s="93">
        <f>AC3902/AA3906</f>
        <v>1.9857499999999995</v>
      </c>
      <c r="AD3906" s="94">
        <f>AC3906*Z3906</f>
        <v>3.4949199999999991</v>
      </c>
      <c r="AE3906" s="190"/>
      <c r="AF3906" s="191"/>
      <c r="AG3906" s="191"/>
      <c r="AH3906" s="191"/>
      <c r="AI3906" s="186"/>
      <c r="AK3906" s="171"/>
    </row>
    <row r="3907" spans="1:41" s="102" customFormat="1" ht="19.899999999999999" customHeight="1" x14ac:dyDescent="0.25">
      <c r="A3907" s="45"/>
      <c r="B3907" s="59"/>
      <c r="C3907" s="137"/>
      <c r="D3907" s="59"/>
      <c r="E3907" s="116"/>
      <c r="F3907" s="120"/>
      <c r="G3907" s="120"/>
      <c r="H3907" s="120"/>
      <c r="I3907" s="60"/>
      <c r="J3907" s="116"/>
      <c r="K3907" s="213"/>
      <c r="L3907" s="120"/>
      <c r="M3907" s="120"/>
      <c r="N3907" s="167"/>
      <c r="O3907" s="120"/>
      <c r="P3907" s="120"/>
      <c r="Q3907" s="120"/>
      <c r="R3907" s="120"/>
      <c r="S3907" s="120"/>
      <c r="T3907" s="221"/>
      <c r="U3907" s="89"/>
      <c r="V3907" s="61"/>
      <c r="W3907" s="92" t="s">
        <v>1030</v>
      </c>
      <c r="X3907" s="93" t="s">
        <v>29</v>
      </c>
      <c r="Y3907" s="93" t="s">
        <v>93</v>
      </c>
      <c r="Z3907" s="134">
        <f>VLOOKUP(W3907,Sheet2!$B:$D,3,FALSE)</f>
        <v>23</v>
      </c>
      <c r="AA3907" s="93">
        <v>50</v>
      </c>
      <c r="AB3907" s="93">
        <f>AD3907/AC3902</f>
        <v>0.46</v>
      </c>
      <c r="AC3907" s="93">
        <f>AC3902/AA3907</f>
        <v>2.3828999999999993E-2</v>
      </c>
      <c r="AD3907" s="94">
        <f t="shared" ref="AD3907:AD3910" si="2903">AC3907*Z3907</f>
        <v>0.54806699999999986</v>
      </c>
      <c r="AE3907" s="190"/>
      <c r="AF3907" s="191"/>
      <c r="AG3907" s="191"/>
      <c r="AH3907" s="191"/>
      <c r="AI3907" s="186"/>
      <c r="AK3907" s="171"/>
    </row>
    <row r="3908" spans="1:41" s="102" customFormat="1" ht="19.899999999999999" customHeight="1" x14ac:dyDescent="0.25">
      <c r="A3908" s="45"/>
      <c r="B3908" s="59"/>
      <c r="C3908" s="137"/>
      <c r="D3908" s="59"/>
      <c r="E3908" s="116"/>
      <c r="F3908" s="120"/>
      <c r="G3908" s="120"/>
      <c r="H3908" s="120"/>
      <c r="I3908" s="60"/>
      <c r="J3908" s="116"/>
      <c r="K3908" s="213"/>
      <c r="L3908" s="120"/>
      <c r="M3908" s="120"/>
      <c r="N3908" s="167"/>
      <c r="O3908" s="120"/>
      <c r="P3908" s="120"/>
      <c r="Q3908" s="120"/>
      <c r="R3908" s="120"/>
      <c r="S3908" s="120"/>
      <c r="T3908" s="221"/>
      <c r="U3908" s="89"/>
      <c r="V3908" s="61"/>
      <c r="W3908" s="92" t="s">
        <v>65</v>
      </c>
      <c r="X3908" s="93" t="s">
        <v>30</v>
      </c>
      <c r="Y3908" s="93" t="s">
        <v>1011</v>
      </c>
      <c r="Z3908" s="134">
        <f>VLOOKUP(W3908,Sheet2!$B:$D,3,FALSE)</f>
        <v>1.76</v>
      </c>
      <c r="AA3908" s="93">
        <f>AA3907/3</f>
        <v>16.666666666666668</v>
      </c>
      <c r="AB3908" s="93">
        <f>AD3908/AC3902</f>
        <v>0.10560000000000001</v>
      </c>
      <c r="AC3908" s="93">
        <f>AC3902/AA3908</f>
        <v>7.1486999999999981E-2</v>
      </c>
      <c r="AD3908" s="94">
        <f t="shared" si="2903"/>
        <v>0.12581711999999998</v>
      </c>
      <c r="AE3908" s="190"/>
      <c r="AF3908" s="191"/>
      <c r="AG3908" s="191"/>
      <c r="AH3908" s="191"/>
      <c r="AI3908" s="186"/>
      <c r="AK3908" s="171"/>
    </row>
    <row r="3909" spans="1:41" s="102" customFormat="1" ht="19.899999999999999" customHeight="1" x14ac:dyDescent="0.25">
      <c r="A3909" s="45"/>
      <c r="B3909" s="59"/>
      <c r="C3909" s="137"/>
      <c r="D3909" s="59"/>
      <c r="E3909" s="116"/>
      <c r="F3909" s="120"/>
      <c r="G3909" s="120"/>
      <c r="H3909" s="120"/>
      <c r="I3909" s="60"/>
      <c r="J3909" s="116"/>
      <c r="K3909" s="213"/>
      <c r="L3909" s="120"/>
      <c r="M3909" s="120"/>
      <c r="N3909" s="167"/>
      <c r="O3909" s="120"/>
      <c r="P3909" s="120"/>
      <c r="Q3909" s="120"/>
      <c r="R3909" s="120"/>
      <c r="S3909" s="120"/>
      <c r="T3909" s="221"/>
      <c r="U3909" s="89"/>
      <c r="V3909" s="61"/>
      <c r="W3909" s="92" t="s">
        <v>148</v>
      </c>
      <c r="X3909" s="93" t="s">
        <v>29</v>
      </c>
      <c r="Y3909" s="93" t="s">
        <v>93</v>
      </c>
      <c r="Z3909" s="134">
        <f>VLOOKUP(W3909,Sheet2!$B:$D,3,FALSE)</f>
        <v>48</v>
      </c>
      <c r="AA3909" s="93">
        <f>AA3903</f>
        <v>29.411764705882355</v>
      </c>
      <c r="AB3909" s="93">
        <f>AD3909/AC3902</f>
        <v>1.6319999999999999</v>
      </c>
      <c r="AC3909" s="93">
        <f>AC3902/AA3909</f>
        <v>4.0509299999999984E-2</v>
      </c>
      <c r="AD3909" s="94">
        <f t="shared" si="2903"/>
        <v>1.9444463999999992</v>
      </c>
      <c r="AE3909" s="190"/>
      <c r="AF3909" s="191"/>
      <c r="AG3909" s="191"/>
      <c r="AH3909" s="191"/>
      <c r="AI3909" s="186"/>
      <c r="AK3909" s="171"/>
    </row>
    <row r="3910" spans="1:41" s="102" customFormat="1" ht="19.899999999999999" customHeight="1" x14ac:dyDescent="0.25">
      <c r="A3910" s="45"/>
      <c r="B3910" s="59"/>
      <c r="C3910" s="137"/>
      <c r="D3910" s="59"/>
      <c r="E3910" s="116"/>
      <c r="F3910" s="120"/>
      <c r="G3910" s="120"/>
      <c r="H3910" s="120"/>
      <c r="I3910" s="60"/>
      <c r="J3910" s="116"/>
      <c r="K3910" s="213"/>
      <c r="L3910" s="120"/>
      <c r="M3910" s="120"/>
      <c r="N3910" s="167"/>
      <c r="O3910" s="120"/>
      <c r="P3910" s="120"/>
      <c r="Q3910" s="120"/>
      <c r="R3910" s="120"/>
      <c r="S3910" s="120"/>
      <c r="T3910" s="221"/>
      <c r="U3910" s="89"/>
      <c r="V3910" s="61"/>
      <c r="W3910" s="92" t="s">
        <v>65</v>
      </c>
      <c r="X3910" s="93" t="s">
        <v>30</v>
      </c>
      <c r="Y3910" s="93" t="s">
        <v>1011</v>
      </c>
      <c r="Z3910" s="134">
        <f>VLOOKUP(W3910,Sheet2!$B:$D,3,FALSE)</f>
        <v>1.76</v>
      </c>
      <c r="AA3910" s="93">
        <f>AA3909/10</f>
        <v>2.9411764705882355</v>
      </c>
      <c r="AB3910" s="93">
        <f>AD3910/AC3902</f>
        <v>0.59839999999999993</v>
      </c>
      <c r="AC3910" s="93">
        <f>AC3902/AA3910</f>
        <v>0.40509299999999987</v>
      </c>
      <c r="AD3910" s="94">
        <f t="shared" si="2903"/>
        <v>0.71296367999999977</v>
      </c>
      <c r="AE3910" s="190"/>
      <c r="AF3910" s="191"/>
      <c r="AG3910" s="191"/>
      <c r="AH3910" s="191"/>
      <c r="AI3910" s="186"/>
      <c r="AK3910" s="171"/>
    </row>
    <row r="3911" spans="1:41" s="103" customFormat="1" ht="19.899999999999999" customHeight="1" x14ac:dyDescent="0.25">
      <c r="A3911" s="51"/>
      <c r="B3911" s="52"/>
      <c r="C3911" s="165"/>
      <c r="D3911" s="52"/>
      <c r="E3911" s="115"/>
      <c r="F3911" s="58"/>
      <c r="G3911" s="58"/>
      <c r="H3911" s="58"/>
      <c r="I3911" s="55"/>
      <c r="J3911" s="113">
        <f>J3901</f>
        <v>1.1914499999999997</v>
      </c>
      <c r="K3911" s="212">
        <f>K3901</f>
        <v>1.1914499999999997</v>
      </c>
      <c r="L3911" s="58"/>
      <c r="M3911" s="58">
        <f>K3911-L3911</f>
        <v>1.1914499999999997</v>
      </c>
      <c r="N3911" s="166"/>
      <c r="O3911" s="58"/>
      <c r="P3911" s="58"/>
      <c r="Q3911" s="58"/>
      <c r="R3911" s="58"/>
      <c r="S3911" s="58"/>
      <c r="T3911" s="220"/>
      <c r="U3911" s="88"/>
      <c r="V3911" s="56"/>
      <c r="W3911" s="57" t="s">
        <v>1036</v>
      </c>
      <c r="X3911" s="53"/>
      <c r="Y3911" s="91" t="s">
        <v>68</v>
      </c>
      <c r="Z3911" s="136">
        <f>AD3911/AC3911</f>
        <v>518.58333333333326</v>
      </c>
      <c r="AA3911" s="58"/>
      <c r="AB3911" s="53">
        <f>AD3911/AC3911</f>
        <v>518.58333333333326</v>
      </c>
      <c r="AC3911" s="53">
        <f>M3911+$AE$10</f>
        <v>1.1914499999999997</v>
      </c>
      <c r="AD3911" s="54">
        <f>SUM(AD3912:AD3917)</f>
        <v>617.86611249999976</v>
      </c>
      <c r="AE3911" s="184">
        <f>SUMIFS($AD$37:$AD$12971,$V$37:$V$12971,$V3911,$X$37:$X$12971,AE$13)</f>
        <v>0</v>
      </c>
      <c r="AF3911" s="185">
        <f>SUMIFS($AD$37:$AD$12971,$V$37:$V$12971,$V3911,$X$37:$X$12971,AF$13)</f>
        <v>0</v>
      </c>
      <c r="AG3911" s="185">
        <f>SUMIFS($AD$37:$AD$12971,$V$37:$V$12971,$V3911,$X$37:$X$12971,AG$13)</f>
        <v>0</v>
      </c>
      <c r="AH3911" s="187">
        <f>SUMIFS($AD$37:$AD$12971,$V$37:$V$12971,$V3911,$X$37:$X$12971,AH$13)</f>
        <v>0</v>
      </c>
      <c r="AI3911" s="161">
        <f t="shared" ref="AI3911" si="2904">SUM(AE3911:AH3911)</f>
        <v>0</v>
      </c>
      <c r="AK3911" s="172"/>
    </row>
    <row r="3912" spans="1:41" s="102" customFormat="1" ht="19.899999999999999" customHeight="1" x14ac:dyDescent="0.25">
      <c r="A3912" s="45"/>
      <c r="B3912" s="59"/>
      <c r="C3912" s="137"/>
      <c r="D3912" s="59"/>
      <c r="E3912" s="116"/>
      <c r="F3912" s="120"/>
      <c r="G3912" s="120"/>
      <c r="H3912" s="120"/>
      <c r="I3912" s="60"/>
      <c r="J3912" s="116"/>
      <c r="K3912" s="213"/>
      <c r="L3912" s="120"/>
      <c r="M3912" s="120"/>
      <c r="N3912" s="167"/>
      <c r="O3912" s="120"/>
      <c r="P3912" s="120"/>
      <c r="Q3912" s="120"/>
      <c r="R3912" s="120"/>
      <c r="S3912" s="120"/>
      <c r="T3912" s="221"/>
      <c r="U3912" s="89"/>
      <c r="V3912" s="61"/>
      <c r="W3912" s="92" t="s">
        <v>1059</v>
      </c>
      <c r="X3912" s="93" t="s">
        <v>30</v>
      </c>
      <c r="Y3912" s="93" t="s">
        <v>68</v>
      </c>
      <c r="Z3912" s="134">
        <f>VLOOKUP(W3912,Sheet2!$B:$D,3,FALSE)</f>
        <v>350</v>
      </c>
      <c r="AA3912" s="93">
        <v>1</v>
      </c>
      <c r="AB3912" s="93">
        <f>AD3912/AC3911</f>
        <v>350</v>
      </c>
      <c r="AC3912" s="93">
        <f>AC3911/AA3912</f>
        <v>1.1914499999999997</v>
      </c>
      <c r="AD3912" s="94">
        <f t="shared" ref="AD3912" si="2905">AC3912*Z3912</f>
        <v>417.00749999999988</v>
      </c>
      <c r="AE3912" s="190"/>
      <c r="AF3912" s="191"/>
      <c r="AG3912" s="191"/>
      <c r="AH3912" s="191"/>
      <c r="AI3912" s="186"/>
      <c r="AK3912" s="171"/>
    </row>
    <row r="3913" spans="1:41" s="102" customFormat="1" ht="19.899999999999999" customHeight="1" x14ac:dyDescent="0.25">
      <c r="A3913" s="45"/>
      <c r="B3913" s="59"/>
      <c r="C3913" s="137"/>
      <c r="D3913" s="59"/>
      <c r="E3913" s="116"/>
      <c r="F3913" s="120"/>
      <c r="G3913" s="120"/>
      <c r="H3913" s="120"/>
      <c r="I3913" s="60"/>
      <c r="J3913" s="116"/>
      <c r="K3913" s="213"/>
      <c r="L3913" s="120"/>
      <c r="M3913" s="120"/>
      <c r="N3913" s="167"/>
      <c r="O3913" s="120"/>
      <c r="P3913" s="120"/>
      <c r="Q3913" s="120"/>
      <c r="R3913" s="120"/>
      <c r="S3913" s="120"/>
      <c r="T3913" s="221"/>
      <c r="U3913" s="89"/>
      <c r="V3913" s="61"/>
      <c r="W3913" s="92" t="s">
        <v>1066</v>
      </c>
      <c r="X3913" s="93" t="s">
        <v>30</v>
      </c>
      <c r="Y3913" s="93" t="s">
        <v>68</v>
      </c>
      <c r="Z3913" s="134">
        <f>VLOOKUP(W3913,Sheet2!$B:$D,3,FALSE)</f>
        <v>35</v>
      </c>
      <c r="AA3913" s="93">
        <v>1</v>
      </c>
      <c r="AB3913" s="93">
        <f>AD3913/AC3911</f>
        <v>35</v>
      </c>
      <c r="AC3913" s="93">
        <f>AC3911/AA3913</f>
        <v>1.1914499999999997</v>
      </c>
      <c r="AD3913" s="94">
        <f>AC3913*Z3913</f>
        <v>41.700749999999985</v>
      </c>
      <c r="AE3913" s="190"/>
      <c r="AF3913" s="191"/>
      <c r="AG3913" s="191"/>
      <c r="AH3913" s="191"/>
      <c r="AI3913" s="186"/>
      <c r="AK3913" s="171"/>
    </row>
    <row r="3914" spans="1:41" s="102" customFormat="1" ht="19.899999999999999" customHeight="1" x14ac:dyDescent="0.25">
      <c r="A3914" s="45"/>
      <c r="B3914" s="59"/>
      <c r="C3914" s="137"/>
      <c r="D3914" s="59"/>
      <c r="E3914" s="116"/>
      <c r="F3914" s="120"/>
      <c r="G3914" s="120"/>
      <c r="H3914" s="120"/>
      <c r="I3914" s="60"/>
      <c r="J3914" s="116"/>
      <c r="K3914" s="213"/>
      <c r="L3914" s="120"/>
      <c r="M3914" s="120"/>
      <c r="N3914" s="167"/>
      <c r="O3914" s="120"/>
      <c r="P3914" s="120"/>
      <c r="Q3914" s="120"/>
      <c r="R3914" s="120"/>
      <c r="S3914" s="120"/>
      <c r="T3914" s="221"/>
      <c r="U3914" s="89"/>
      <c r="V3914" s="61"/>
      <c r="W3914" s="92" t="s">
        <v>1073</v>
      </c>
      <c r="X3914" s="93" t="s">
        <v>32</v>
      </c>
      <c r="Y3914" s="93" t="s">
        <v>68</v>
      </c>
      <c r="Z3914" s="134">
        <f>VLOOKUP(W3914,Sheet2!$B:$D,3,FALSE)</f>
        <v>65</v>
      </c>
      <c r="AA3914" s="93">
        <v>1</v>
      </c>
      <c r="AB3914" s="93">
        <f>AD3914/AC3911</f>
        <v>65</v>
      </c>
      <c r="AC3914" s="93">
        <f>AC3911/AA3914</f>
        <v>1.1914499999999997</v>
      </c>
      <c r="AD3914" s="94">
        <f>AC3914*Z3914</f>
        <v>77.444249999999982</v>
      </c>
      <c r="AE3914" s="190"/>
      <c r="AF3914" s="191"/>
      <c r="AG3914" s="191"/>
      <c r="AH3914" s="191"/>
      <c r="AI3914" s="186"/>
      <c r="AK3914" s="171"/>
    </row>
    <row r="3915" spans="1:41" s="102" customFormat="1" ht="19.899999999999999" customHeight="1" x14ac:dyDescent="0.25">
      <c r="A3915" s="45"/>
      <c r="B3915" s="59"/>
      <c r="C3915" s="137"/>
      <c r="D3915" s="59"/>
      <c r="E3915" s="116"/>
      <c r="F3915" s="120"/>
      <c r="G3915" s="120"/>
      <c r="H3915" s="120"/>
      <c r="I3915" s="60"/>
      <c r="J3915" s="116"/>
      <c r="K3915" s="213"/>
      <c r="L3915" s="120"/>
      <c r="M3915" s="120"/>
      <c r="N3915" s="167"/>
      <c r="O3915" s="120"/>
      <c r="P3915" s="120"/>
      <c r="Q3915" s="120"/>
      <c r="R3915" s="120"/>
      <c r="S3915" s="120"/>
      <c r="T3915" s="221"/>
      <c r="U3915" s="89"/>
      <c r="V3915" s="61"/>
      <c r="W3915" s="92" t="s">
        <v>1032</v>
      </c>
      <c r="X3915" s="93" t="s">
        <v>30</v>
      </c>
      <c r="Y3915" s="93" t="s">
        <v>66</v>
      </c>
      <c r="Z3915" s="134">
        <f>VLOOKUP(W3915,Sheet2!$B:$D,3,FALSE)</f>
        <v>250</v>
      </c>
      <c r="AA3915" s="93">
        <f>1/(1.7*0.1)</f>
        <v>5.8823529411764701</v>
      </c>
      <c r="AB3915" s="93">
        <f>AD3915/AC3911</f>
        <v>42.5</v>
      </c>
      <c r="AC3915" s="93">
        <f>AC3911/AA3915</f>
        <v>0.20254649999999996</v>
      </c>
      <c r="AD3915" s="94">
        <f>AC3915*Z3915</f>
        <v>50.636624999999988</v>
      </c>
      <c r="AE3915" s="190"/>
      <c r="AF3915" s="191"/>
      <c r="AG3915" s="191"/>
      <c r="AH3915" s="191"/>
      <c r="AI3915" s="186"/>
      <c r="AK3915" s="171"/>
    </row>
    <row r="3916" spans="1:41" s="102" customFormat="1" ht="19.899999999999999" customHeight="1" x14ac:dyDescent="0.25">
      <c r="A3916" s="45"/>
      <c r="B3916" s="59"/>
      <c r="C3916" s="137"/>
      <c r="D3916" s="59"/>
      <c r="E3916" s="116"/>
      <c r="F3916" s="120"/>
      <c r="G3916" s="120"/>
      <c r="H3916" s="120"/>
      <c r="I3916" s="60"/>
      <c r="J3916" s="116"/>
      <c r="K3916" s="213"/>
      <c r="L3916" s="120"/>
      <c r="M3916" s="120"/>
      <c r="N3916" s="167"/>
      <c r="O3916" s="120"/>
      <c r="P3916" s="120"/>
      <c r="Q3916" s="120"/>
      <c r="R3916" s="120"/>
      <c r="S3916" s="120"/>
      <c r="T3916" s="221"/>
      <c r="U3916" s="89"/>
      <c r="V3916" s="61"/>
      <c r="W3916" s="92" t="s">
        <v>1035</v>
      </c>
      <c r="X3916" s="93" t="s">
        <v>32</v>
      </c>
      <c r="Y3916" s="93" t="s">
        <v>66</v>
      </c>
      <c r="Z3916" s="134">
        <f>VLOOKUP(W3916,Sheet2!$B:$D,3,FALSE)</f>
        <v>150</v>
      </c>
      <c r="AA3916" s="93">
        <f>AA3915</f>
        <v>5.8823529411764701</v>
      </c>
      <c r="AB3916" s="93">
        <f>AD3916/AC3911</f>
        <v>25.5</v>
      </c>
      <c r="AC3916" s="93">
        <f>AC3911/AA3916</f>
        <v>0.20254649999999996</v>
      </c>
      <c r="AD3916" s="94">
        <f t="shared" ref="AD3916:AD3917" si="2906">AC3916*Z3916</f>
        <v>30.381974999999994</v>
      </c>
      <c r="AE3916" s="190"/>
      <c r="AF3916" s="191"/>
      <c r="AG3916" s="191"/>
      <c r="AH3916" s="191"/>
      <c r="AI3916" s="186"/>
      <c r="AK3916" s="171"/>
    </row>
    <row r="3917" spans="1:41" s="102" customFormat="1" ht="19.899999999999999" customHeight="1" x14ac:dyDescent="0.25">
      <c r="A3917" s="45"/>
      <c r="B3917" s="59"/>
      <c r="C3917" s="137"/>
      <c r="D3917" s="59"/>
      <c r="E3917" s="116"/>
      <c r="F3917" s="120"/>
      <c r="G3917" s="120"/>
      <c r="H3917" s="120"/>
      <c r="I3917" s="60"/>
      <c r="J3917" s="116"/>
      <c r="K3917" s="213"/>
      <c r="L3917" s="120"/>
      <c r="M3917" s="120"/>
      <c r="N3917" s="167"/>
      <c r="O3917" s="120"/>
      <c r="P3917" s="120"/>
      <c r="Q3917" s="120"/>
      <c r="R3917" s="120"/>
      <c r="S3917" s="120"/>
      <c r="T3917" s="221"/>
      <c r="U3917" s="89"/>
      <c r="V3917" s="61"/>
      <c r="W3917" s="92" t="s">
        <v>1037</v>
      </c>
      <c r="X3917" s="93" t="s">
        <v>30</v>
      </c>
      <c r="Y3917" s="93" t="s">
        <v>1038</v>
      </c>
      <c r="Z3917" s="134">
        <f>VLOOKUP(W3917,Sheet2!$B:$D,3,FALSE)</f>
        <v>175</v>
      </c>
      <c r="AA3917" s="93">
        <v>300</v>
      </c>
      <c r="AB3917" s="93">
        <f>AD3917/AC3911</f>
        <v>0.58333333333333348</v>
      </c>
      <c r="AC3917" s="93">
        <f>AC3911/AA3917</f>
        <v>3.9714999999999993E-3</v>
      </c>
      <c r="AD3917" s="94">
        <f t="shared" si="2906"/>
        <v>0.69501249999999992</v>
      </c>
      <c r="AE3917" s="190"/>
      <c r="AF3917" s="191"/>
      <c r="AG3917" s="191"/>
      <c r="AH3917" s="191"/>
      <c r="AI3917" s="186"/>
      <c r="AK3917" s="171"/>
    </row>
    <row r="3918" spans="1:41" s="103" customFormat="1" ht="19.899999999999999" customHeight="1" x14ac:dyDescent="0.25">
      <c r="A3918" s="51"/>
      <c r="B3918" s="52"/>
      <c r="C3918" s="165"/>
      <c r="D3918" s="52"/>
      <c r="E3918" s="115"/>
      <c r="F3918" s="58"/>
      <c r="G3918" s="58"/>
      <c r="H3918" s="58"/>
      <c r="I3918" s="55"/>
      <c r="J3918" s="113">
        <f>J3901</f>
        <v>1.1914499999999997</v>
      </c>
      <c r="K3918" s="212">
        <f>K3901</f>
        <v>1.1914499999999997</v>
      </c>
      <c r="L3918" s="58"/>
      <c r="M3918" s="58">
        <f>K3918-L3918</f>
        <v>1.1914499999999997</v>
      </c>
      <c r="N3918" s="166"/>
      <c r="O3918" s="58"/>
      <c r="P3918" s="58"/>
      <c r="Q3918" s="58"/>
      <c r="R3918" s="58"/>
      <c r="S3918" s="58"/>
      <c r="T3918" s="220"/>
      <c r="U3918" s="88"/>
      <c r="V3918" s="56"/>
      <c r="W3918" s="57" t="s">
        <v>1040</v>
      </c>
      <c r="X3918" s="53"/>
      <c r="Y3918" s="91" t="s">
        <v>68</v>
      </c>
      <c r="Z3918" s="136">
        <f>AD3918/AC3918</f>
        <v>5</v>
      </c>
      <c r="AA3918" s="58"/>
      <c r="AB3918" s="53">
        <f>AD3918/AC3918</f>
        <v>5</v>
      </c>
      <c r="AC3918" s="53">
        <f>M3918+$AE$10</f>
        <v>1.1914499999999997</v>
      </c>
      <c r="AD3918" s="54">
        <f>SUM(AD3919)</f>
        <v>5.9572499999999984</v>
      </c>
      <c r="AE3918" s="184">
        <f>SUMIFS($AD$37:$AD$12971,$V$37:$V$12971,$V3918,$X$37:$X$12971,AE$13)</f>
        <v>0</v>
      </c>
      <c r="AF3918" s="185">
        <f>SUMIFS($AD$37:$AD$12971,$V$37:$V$12971,$V3918,$X$37:$X$12971,AF$13)</f>
        <v>0</v>
      </c>
      <c r="AG3918" s="185">
        <f>SUMIFS($AD$37:$AD$12971,$V$37:$V$12971,$V3918,$X$37:$X$12971,AG$13)</f>
        <v>0</v>
      </c>
      <c r="AH3918" s="187">
        <f>SUMIFS($AD$37:$AD$12971,$V$37:$V$12971,$V3918,$X$37:$X$12971,AH$13)</f>
        <v>0</v>
      </c>
      <c r="AI3918" s="161">
        <f t="shared" ref="AI3918" si="2907">SUM(AE3918:AH3918)</f>
        <v>0</v>
      </c>
      <c r="AK3918" s="172"/>
    </row>
    <row r="3919" spans="1:41" s="102" customFormat="1" ht="19.899999999999999" customHeight="1" x14ac:dyDescent="0.25">
      <c r="A3919" s="45"/>
      <c r="B3919" s="59"/>
      <c r="C3919" s="137"/>
      <c r="D3919" s="59"/>
      <c r="E3919" s="116"/>
      <c r="F3919" s="120"/>
      <c r="G3919" s="120"/>
      <c r="H3919" s="120"/>
      <c r="I3919" s="60"/>
      <c r="J3919" s="116"/>
      <c r="K3919" s="213"/>
      <c r="L3919" s="120"/>
      <c r="M3919" s="120"/>
      <c r="N3919" s="167"/>
      <c r="O3919" s="120"/>
      <c r="P3919" s="120"/>
      <c r="Q3919" s="120"/>
      <c r="R3919" s="120"/>
      <c r="S3919" s="120"/>
      <c r="T3919" s="221"/>
      <c r="U3919" s="89"/>
      <c r="V3919" s="61"/>
      <c r="W3919" s="92" t="s">
        <v>1039</v>
      </c>
      <c r="X3919" s="93" t="s">
        <v>32</v>
      </c>
      <c r="Y3919" s="93" t="s">
        <v>68</v>
      </c>
      <c r="Z3919" s="134">
        <f>VLOOKUP(W3919,Sheet2!$B:$D,3,FALSE)</f>
        <v>5</v>
      </c>
      <c r="AA3919" s="93">
        <v>1</v>
      </c>
      <c r="AB3919" s="93">
        <f>AD3919/AC3918</f>
        <v>5</v>
      </c>
      <c r="AC3919" s="93">
        <f>AC3918/AA3919</f>
        <v>1.1914499999999997</v>
      </c>
      <c r="AD3919" s="94">
        <f t="shared" ref="AD3919" si="2908">AC3919*Z3919</f>
        <v>5.9572499999999984</v>
      </c>
      <c r="AE3919" s="190"/>
      <c r="AF3919" s="191"/>
      <c r="AG3919" s="191"/>
      <c r="AH3919" s="191"/>
      <c r="AI3919" s="186"/>
      <c r="AK3919" s="171"/>
    </row>
    <row r="3920" spans="1:41" ht="20.100000000000001" customHeight="1" x14ac:dyDescent="0.25">
      <c r="A3920" s="277" t="s">
        <v>491</v>
      </c>
      <c r="B3920" s="278"/>
      <c r="C3920" s="64" t="s">
        <v>502</v>
      </c>
      <c r="D3920" s="46" t="s">
        <v>97</v>
      </c>
      <c r="E3920" s="114">
        <v>37.89835000000005</v>
      </c>
      <c r="F3920" s="44">
        <v>705</v>
      </c>
      <c r="G3920" s="44">
        <f t="shared" si="2434"/>
        <v>26718.336750000035</v>
      </c>
      <c r="H3920" s="44">
        <f t="shared" si="2435"/>
        <v>579.0308</v>
      </c>
      <c r="I3920" s="43">
        <f t="shared" si="2436"/>
        <v>21944.311919180029</v>
      </c>
      <c r="J3920" s="112">
        <f t="shared" si="2437"/>
        <v>37.89835000000005</v>
      </c>
      <c r="K3920" s="211">
        <f t="shared" si="2438"/>
        <v>37.89835000000005</v>
      </c>
      <c r="L3920" s="44"/>
      <c r="M3920" s="44">
        <f t="shared" si="2458"/>
        <v>37.89835000000005</v>
      </c>
      <c r="N3920" s="173">
        <f t="shared" si="2439"/>
        <v>1</v>
      </c>
      <c r="O3920" s="44">
        <f t="shared" si="2440"/>
        <v>705</v>
      </c>
      <c r="P3920" s="44">
        <f t="shared" si="2441"/>
        <v>26718.336750000035</v>
      </c>
      <c r="Q3920" s="44">
        <f t="shared" si="2442"/>
        <v>579.0308</v>
      </c>
      <c r="R3920" s="44">
        <f t="shared" si="2459"/>
        <v>21944.311919180029</v>
      </c>
      <c r="S3920" s="123"/>
      <c r="T3920" s="219">
        <f t="shared" si="2460"/>
        <v>21944.311919180029</v>
      </c>
      <c r="U3920" s="87"/>
      <c r="V3920" s="47"/>
      <c r="W3920" s="48"/>
      <c r="X3920" s="48"/>
      <c r="Y3920" s="48"/>
      <c r="Z3920" s="135"/>
      <c r="AA3920" s="49"/>
      <c r="AB3920" s="50">
        <f t="shared" si="2443"/>
        <v>579.0308</v>
      </c>
      <c r="AC3920" s="42">
        <f t="shared" si="2461"/>
        <v>37.89835000000005</v>
      </c>
      <c r="AD3920" s="90">
        <f>AD3921+AD3931+AD3938</f>
        <v>21944.311919180029</v>
      </c>
      <c r="AE3920" s="188">
        <f t="shared" ref="AE3920:AH3920" si="2909">AE3921+AE3931+AE3938</f>
        <v>0</v>
      </c>
      <c r="AF3920" s="189">
        <f t="shared" si="2909"/>
        <v>0</v>
      </c>
      <c r="AG3920" s="189">
        <f t="shared" si="2909"/>
        <v>0</v>
      </c>
      <c r="AH3920" s="189">
        <f t="shared" si="2909"/>
        <v>0</v>
      </c>
      <c r="AI3920" s="161">
        <f t="shared" ref="AI3920" si="2910">SUM(AE3920:AH3920)</f>
        <v>0</v>
      </c>
      <c r="AK3920" s="169">
        <v>5</v>
      </c>
      <c r="AO3920" s="19" t="s">
        <v>63</v>
      </c>
    </row>
    <row r="3921" spans="1:37" s="103" customFormat="1" ht="19.899999999999999" customHeight="1" x14ac:dyDescent="0.25">
      <c r="A3921" s="51"/>
      <c r="B3921" s="52"/>
      <c r="C3921" s="165"/>
      <c r="D3921" s="52"/>
      <c r="E3921" s="115"/>
      <c r="F3921" s="58"/>
      <c r="G3921" s="58"/>
      <c r="H3921" s="58"/>
      <c r="I3921" s="55"/>
      <c r="J3921" s="113">
        <f>J3920</f>
        <v>37.89835000000005</v>
      </c>
      <c r="K3921" s="212">
        <f>K3920</f>
        <v>37.89835000000005</v>
      </c>
      <c r="L3921" s="58"/>
      <c r="M3921" s="58">
        <f>K3921-L3921</f>
        <v>37.89835000000005</v>
      </c>
      <c r="N3921" s="166"/>
      <c r="O3921" s="58"/>
      <c r="P3921" s="58"/>
      <c r="Q3921" s="58"/>
      <c r="R3921" s="58"/>
      <c r="S3921" s="58"/>
      <c r="T3921" s="220"/>
      <c r="U3921" s="88"/>
      <c r="V3921" s="56"/>
      <c r="W3921" s="57" t="s">
        <v>1079</v>
      </c>
      <c r="X3921" s="53"/>
      <c r="Y3921" s="91" t="s">
        <v>68</v>
      </c>
      <c r="Z3921" s="136">
        <f>AD3921/AC3921</f>
        <v>55.447466666666678</v>
      </c>
      <c r="AA3921" s="58"/>
      <c r="AB3921" s="53">
        <f>AD3921/AC3921</f>
        <v>55.447466666666678</v>
      </c>
      <c r="AC3921" s="53">
        <f>M3921+$AE$10</f>
        <v>37.89835000000005</v>
      </c>
      <c r="AD3921" s="54">
        <f>SUM(AD3922:AD3930)</f>
        <v>2101.3674983466699</v>
      </c>
      <c r="AE3921" s="184">
        <f>SUMIFS($AD$37:$AD$12971,$V$37:$V$12971,$V3921,$X$37:$X$12971,AE$13)</f>
        <v>0</v>
      </c>
      <c r="AF3921" s="185">
        <f>SUMIFS($AD$37:$AD$12971,$V$37:$V$12971,$V3921,$X$37:$X$12971,AF$13)</f>
        <v>0</v>
      </c>
      <c r="AG3921" s="185">
        <f>SUMIFS($AD$37:$AD$12971,$V$37:$V$12971,$V3921,$X$37:$X$12971,AG$13)</f>
        <v>0</v>
      </c>
      <c r="AH3921" s="187">
        <f>SUMIFS($AD$37:$AD$12971,$V$37:$V$12971,$V3921,$X$37:$X$12971,AH$13)</f>
        <v>0</v>
      </c>
      <c r="AI3921" s="161">
        <f t="shared" ref="AI3921" si="2911">SUM(AE3921:AH3921)</f>
        <v>0</v>
      </c>
      <c r="AK3921" s="172"/>
    </row>
    <row r="3922" spans="1:37" s="102" customFormat="1" ht="19.899999999999999" customHeight="1" x14ac:dyDescent="0.25">
      <c r="A3922" s="45"/>
      <c r="B3922" s="59"/>
      <c r="C3922" s="137"/>
      <c r="D3922" s="59"/>
      <c r="E3922" s="116"/>
      <c r="F3922" s="120"/>
      <c r="G3922" s="120"/>
      <c r="H3922" s="120"/>
      <c r="I3922" s="60"/>
      <c r="J3922" s="116"/>
      <c r="K3922" s="213"/>
      <c r="L3922" s="120"/>
      <c r="M3922" s="120"/>
      <c r="N3922" s="167"/>
      <c r="O3922" s="120"/>
      <c r="P3922" s="120"/>
      <c r="Q3922" s="120"/>
      <c r="R3922" s="120"/>
      <c r="S3922" s="120"/>
      <c r="T3922" s="221"/>
      <c r="U3922" s="89"/>
      <c r="V3922" s="61"/>
      <c r="W3922" s="92" t="s">
        <v>129</v>
      </c>
      <c r="X3922" s="93" t="s">
        <v>29</v>
      </c>
      <c r="Y3922" s="93" t="s">
        <v>93</v>
      </c>
      <c r="Z3922" s="134">
        <f>VLOOKUP(W3922,Sheet2!$B:$D,3,FALSE)</f>
        <v>56</v>
      </c>
      <c r="AA3922" s="93">
        <f>100/(1.7*2.5)</f>
        <v>23.529411764705884</v>
      </c>
      <c r="AB3922" s="93">
        <f t="shared" ref="AB3922" si="2912">AD3922/AC3921</f>
        <v>2.3799999999999994</v>
      </c>
      <c r="AC3922" s="93">
        <f>AC3921/AA3922</f>
        <v>1.610679875000002</v>
      </c>
      <c r="AD3922" s="94">
        <f t="shared" ref="AD3922:AD3923" si="2913">AC3922*Z3922</f>
        <v>90.198073000000107</v>
      </c>
      <c r="AE3922" s="190"/>
      <c r="AF3922" s="191"/>
      <c r="AG3922" s="191"/>
      <c r="AH3922" s="191"/>
      <c r="AI3922" s="186"/>
      <c r="AK3922" s="171"/>
    </row>
    <row r="3923" spans="1:37" s="102" customFormat="1" ht="19.899999999999999" customHeight="1" x14ac:dyDescent="0.25">
      <c r="A3923" s="45"/>
      <c r="B3923" s="59"/>
      <c r="C3923" s="137"/>
      <c r="D3923" s="59"/>
      <c r="E3923" s="116"/>
      <c r="F3923" s="120"/>
      <c r="G3923" s="120"/>
      <c r="H3923" s="120"/>
      <c r="I3923" s="60"/>
      <c r="J3923" s="116"/>
      <c r="K3923" s="213"/>
      <c r="L3923" s="120"/>
      <c r="M3923" s="120"/>
      <c r="N3923" s="167"/>
      <c r="O3923" s="120"/>
      <c r="P3923" s="120"/>
      <c r="Q3923" s="120"/>
      <c r="R3923" s="120"/>
      <c r="S3923" s="120"/>
      <c r="T3923" s="221"/>
      <c r="U3923" s="89"/>
      <c r="V3923" s="61"/>
      <c r="W3923" s="92" t="s">
        <v>65</v>
      </c>
      <c r="X3923" s="93" t="s">
        <v>30</v>
      </c>
      <c r="Y3923" s="93" t="s">
        <v>1011</v>
      </c>
      <c r="Z3923" s="134">
        <f>VLOOKUP(W3923,Sheet2!$B:$D,3,FALSE)</f>
        <v>1.76</v>
      </c>
      <c r="AA3923" s="93">
        <f>AA3922/14</f>
        <v>1.680672268907563</v>
      </c>
      <c r="AB3923" s="93">
        <f>AD3923/AC3921</f>
        <v>1.0472000000000001</v>
      </c>
      <c r="AC3923" s="93">
        <f>AC3921/AA3923</f>
        <v>22.54951825000003</v>
      </c>
      <c r="AD3923" s="94">
        <f t="shared" si="2913"/>
        <v>39.687152120000057</v>
      </c>
      <c r="AE3923" s="190"/>
      <c r="AF3923" s="191"/>
      <c r="AG3923" s="191"/>
      <c r="AH3923" s="191"/>
      <c r="AI3923" s="186"/>
      <c r="AK3923" s="171"/>
    </row>
    <row r="3924" spans="1:37" s="102" customFormat="1" ht="19.899999999999999" customHeight="1" x14ac:dyDescent="0.25">
      <c r="A3924" s="45"/>
      <c r="B3924" s="59"/>
      <c r="C3924" s="137"/>
      <c r="D3924" s="59"/>
      <c r="E3924" s="116"/>
      <c r="F3924" s="120"/>
      <c r="G3924" s="120"/>
      <c r="H3924" s="120"/>
      <c r="I3924" s="60"/>
      <c r="J3924" s="116"/>
      <c r="K3924" s="213"/>
      <c r="L3924" s="120"/>
      <c r="M3924" s="120"/>
      <c r="N3924" s="167"/>
      <c r="O3924" s="120"/>
      <c r="P3924" s="120"/>
      <c r="Q3924" s="120"/>
      <c r="R3924" s="120"/>
      <c r="S3924" s="120"/>
      <c r="T3924" s="221"/>
      <c r="U3924" s="89"/>
      <c r="V3924" s="61"/>
      <c r="W3924" s="92" t="s">
        <v>161</v>
      </c>
      <c r="X3924" s="93" t="s">
        <v>29</v>
      </c>
      <c r="Y3924" s="93" t="s">
        <v>93</v>
      </c>
      <c r="Z3924" s="134">
        <f>VLOOKUP(W3924,Sheet2!$B:$D,3,FALSE)</f>
        <v>48</v>
      </c>
      <c r="AA3924" s="93">
        <f>(16*0.85*1.5)/(1.7*2.5)</f>
        <v>4.8</v>
      </c>
      <c r="AB3924" s="93">
        <f>AD3924/AC3921</f>
        <v>10</v>
      </c>
      <c r="AC3924" s="93">
        <f>AC3921/AA3924</f>
        <v>7.8954895833333438</v>
      </c>
      <c r="AD3924" s="94">
        <f>AC3924*Z3924</f>
        <v>378.9835000000005</v>
      </c>
      <c r="AE3924" s="190"/>
      <c r="AF3924" s="191"/>
      <c r="AG3924" s="191"/>
      <c r="AH3924" s="191"/>
      <c r="AI3924" s="186"/>
      <c r="AK3924" s="171"/>
    </row>
    <row r="3925" spans="1:37" s="102" customFormat="1" ht="19.899999999999999" customHeight="1" x14ac:dyDescent="0.25">
      <c r="A3925" s="45"/>
      <c r="B3925" s="59"/>
      <c r="C3925" s="137"/>
      <c r="D3925" s="59"/>
      <c r="E3925" s="116"/>
      <c r="F3925" s="120"/>
      <c r="G3925" s="120"/>
      <c r="H3925" s="120"/>
      <c r="I3925" s="60"/>
      <c r="J3925" s="116"/>
      <c r="K3925" s="213"/>
      <c r="L3925" s="120"/>
      <c r="M3925" s="120"/>
      <c r="N3925" s="167"/>
      <c r="O3925" s="120"/>
      <c r="P3925" s="120"/>
      <c r="Q3925" s="120"/>
      <c r="R3925" s="120"/>
      <c r="S3925" s="120"/>
      <c r="T3925" s="221"/>
      <c r="U3925" s="89"/>
      <c r="V3925" s="61"/>
      <c r="W3925" s="92" t="s">
        <v>65</v>
      </c>
      <c r="X3925" s="93" t="s">
        <v>30</v>
      </c>
      <c r="Y3925" s="93" t="s">
        <v>1011</v>
      </c>
      <c r="Z3925" s="134">
        <f>VLOOKUP(W3925,Sheet2!$B:$D,3,FALSE)</f>
        <v>1.76</v>
      </c>
      <c r="AA3925" s="93">
        <f>AA3924/10</f>
        <v>0.48</v>
      </c>
      <c r="AB3925" s="93">
        <f>AD3925/AC3921</f>
        <v>3.6666666666666665</v>
      </c>
      <c r="AC3925" s="93">
        <f>AC3921/AA3925</f>
        <v>78.954895833333438</v>
      </c>
      <c r="AD3925" s="94">
        <f>AC3925*Z3925</f>
        <v>138.96061666666685</v>
      </c>
      <c r="AE3925" s="190"/>
      <c r="AF3925" s="191"/>
      <c r="AG3925" s="191"/>
      <c r="AH3925" s="191"/>
      <c r="AI3925" s="186"/>
      <c r="AK3925" s="171"/>
    </row>
    <row r="3926" spans="1:37" s="102" customFormat="1" ht="19.899999999999999" customHeight="1" x14ac:dyDescent="0.25">
      <c r="A3926" s="45"/>
      <c r="B3926" s="59"/>
      <c r="C3926" s="137"/>
      <c r="D3926" s="59"/>
      <c r="E3926" s="116"/>
      <c r="F3926" s="120"/>
      <c r="G3926" s="120"/>
      <c r="H3926" s="120"/>
      <c r="I3926" s="60"/>
      <c r="J3926" s="116"/>
      <c r="K3926" s="213"/>
      <c r="L3926" s="120"/>
      <c r="M3926" s="120"/>
      <c r="N3926" s="167"/>
      <c r="O3926" s="120"/>
      <c r="P3926" s="120"/>
      <c r="Q3926" s="120"/>
      <c r="R3926" s="120"/>
      <c r="S3926" s="120"/>
      <c r="T3926" s="221"/>
      <c r="U3926" s="89"/>
      <c r="V3926" s="61"/>
      <c r="W3926" s="92" t="s">
        <v>1030</v>
      </c>
      <c r="X3926" s="93" t="s">
        <v>29</v>
      </c>
      <c r="Y3926" s="93" t="s">
        <v>93</v>
      </c>
      <c r="Z3926" s="134">
        <f>VLOOKUP(W3926,Sheet2!$B:$D,3,FALSE)</f>
        <v>23</v>
      </c>
      <c r="AA3926" s="93">
        <v>50</v>
      </c>
      <c r="AB3926" s="93">
        <f>AD3926/AC3921</f>
        <v>0.46</v>
      </c>
      <c r="AC3926" s="93">
        <f>AC3921/AA3926</f>
        <v>0.75796700000000106</v>
      </c>
      <c r="AD3926" s="94">
        <f t="shared" ref="AD3926:AD3930" si="2914">AC3926*Z3926</f>
        <v>17.433241000000024</v>
      </c>
      <c r="AE3926" s="190"/>
      <c r="AF3926" s="191"/>
      <c r="AG3926" s="191"/>
      <c r="AH3926" s="191"/>
      <c r="AI3926" s="186"/>
      <c r="AK3926" s="171"/>
    </row>
    <row r="3927" spans="1:37" s="102" customFormat="1" ht="19.899999999999999" customHeight="1" x14ac:dyDescent="0.25">
      <c r="A3927" s="45"/>
      <c r="B3927" s="59"/>
      <c r="C3927" s="137"/>
      <c r="D3927" s="59"/>
      <c r="E3927" s="116"/>
      <c r="F3927" s="120"/>
      <c r="G3927" s="120"/>
      <c r="H3927" s="120"/>
      <c r="I3927" s="60"/>
      <c r="J3927" s="116"/>
      <c r="K3927" s="213"/>
      <c r="L3927" s="120"/>
      <c r="M3927" s="120"/>
      <c r="N3927" s="167"/>
      <c r="O3927" s="120"/>
      <c r="P3927" s="120"/>
      <c r="Q3927" s="120"/>
      <c r="R3927" s="120"/>
      <c r="S3927" s="120"/>
      <c r="T3927" s="221"/>
      <c r="U3927" s="89"/>
      <c r="V3927" s="61"/>
      <c r="W3927" s="92" t="s">
        <v>65</v>
      </c>
      <c r="X3927" s="93" t="s">
        <v>30</v>
      </c>
      <c r="Y3927" s="93" t="s">
        <v>1011</v>
      </c>
      <c r="Z3927" s="134">
        <f>VLOOKUP(W3927,Sheet2!$B:$D,3,FALSE)</f>
        <v>1.76</v>
      </c>
      <c r="AA3927" s="93">
        <f>AA3926/3</f>
        <v>16.666666666666668</v>
      </c>
      <c r="AB3927" s="93">
        <f>AD3927/AC3921</f>
        <v>0.1056</v>
      </c>
      <c r="AC3927" s="93">
        <f>AC3921/AA3927</f>
        <v>2.2739010000000031</v>
      </c>
      <c r="AD3927" s="94">
        <f t="shared" si="2914"/>
        <v>4.0020657600000051</v>
      </c>
      <c r="AE3927" s="190"/>
      <c r="AF3927" s="191"/>
      <c r="AG3927" s="191"/>
      <c r="AH3927" s="191"/>
      <c r="AI3927" s="186"/>
      <c r="AK3927" s="171"/>
    </row>
    <row r="3928" spans="1:37" s="102" customFormat="1" ht="19.899999999999999" customHeight="1" x14ac:dyDescent="0.25">
      <c r="A3928" s="45"/>
      <c r="B3928" s="59"/>
      <c r="C3928" s="137"/>
      <c r="D3928" s="59"/>
      <c r="E3928" s="116"/>
      <c r="F3928" s="120"/>
      <c r="G3928" s="120"/>
      <c r="H3928" s="120"/>
      <c r="I3928" s="60"/>
      <c r="J3928" s="116"/>
      <c r="K3928" s="213"/>
      <c r="L3928" s="120"/>
      <c r="M3928" s="120"/>
      <c r="N3928" s="167"/>
      <c r="O3928" s="120"/>
      <c r="P3928" s="120"/>
      <c r="Q3928" s="120"/>
      <c r="R3928" s="120"/>
      <c r="S3928" s="120"/>
      <c r="T3928" s="221"/>
      <c r="U3928" s="89"/>
      <c r="V3928" s="61"/>
      <c r="W3928" s="92" t="s">
        <v>148</v>
      </c>
      <c r="X3928" s="93" t="s">
        <v>29</v>
      </c>
      <c r="Y3928" s="93" t="s">
        <v>93</v>
      </c>
      <c r="Z3928" s="134">
        <f>VLOOKUP(W3928,Sheet2!$B:$D,3,FALSE)</f>
        <v>48</v>
      </c>
      <c r="AA3928" s="93">
        <f>AA3922</f>
        <v>23.529411764705884</v>
      </c>
      <c r="AB3928" s="93">
        <f>AD3928/AC3921</f>
        <v>2.0399999999999996</v>
      </c>
      <c r="AC3928" s="93">
        <f>AC3921/AA3928</f>
        <v>1.610679875000002</v>
      </c>
      <c r="AD3928" s="94">
        <f t="shared" si="2914"/>
        <v>77.312634000000088</v>
      </c>
      <c r="AE3928" s="190"/>
      <c r="AF3928" s="191"/>
      <c r="AG3928" s="191"/>
      <c r="AH3928" s="191"/>
      <c r="AI3928" s="186"/>
      <c r="AK3928" s="171"/>
    </row>
    <row r="3929" spans="1:37" s="102" customFormat="1" ht="19.899999999999999" customHeight="1" x14ac:dyDescent="0.25">
      <c r="A3929" s="45"/>
      <c r="B3929" s="59"/>
      <c r="C3929" s="137"/>
      <c r="D3929" s="59"/>
      <c r="E3929" s="116"/>
      <c r="F3929" s="120"/>
      <c r="G3929" s="120"/>
      <c r="H3929" s="120"/>
      <c r="I3929" s="60"/>
      <c r="J3929" s="116"/>
      <c r="K3929" s="213"/>
      <c r="L3929" s="120"/>
      <c r="M3929" s="120"/>
      <c r="N3929" s="167"/>
      <c r="O3929" s="120"/>
      <c r="P3929" s="120"/>
      <c r="Q3929" s="120"/>
      <c r="R3929" s="120"/>
      <c r="S3929" s="120"/>
      <c r="T3929" s="221"/>
      <c r="U3929" s="89"/>
      <c r="V3929" s="61"/>
      <c r="W3929" s="92" t="s">
        <v>65</v>
      </c>
      <c r="X3929" s="93" t="s">
        <v>30</v>
      </c>
      <c r="Y3929" s="93" t="s">
        <v>1011</v>
      </c>
      <c r="Z3929" s="134">
        <f>VLOOKUP(W3929,Sheet2!$B:$D,3,FALSE)</f>
        <v>1.76</v>
      </c>
      <c r="AA3929" s="93">
        <f>AA3928/10</f>
        <v>2.3529411764705883</v>
      </c>
      <c r="AB3929" s="93">
        <f>AD3929/AC3921</f>
        <v>0.748</v>
      </c>
      <c r="AC3929" s="93">
        <f>AC3921/AA3929</f>
        <v>16.106798750000021</v>
      </c>
      <c r="AD3929" s="94">
        <f t="shared" si="2914"/>
        <v>28.347965800000036</v>
      </c>
      <c r="AE3929" s="190"/>
      <c r="AF3929" s="191"/>
      <c r="AG3929" s="191"/>
      <c r="AH3929" s="191"/>
      <c r="AI3929" s="186"/>
      <c r="AK3929" s="171"/>
    </row>
    <row r="3930" spans="1:37" s="102" customFormat="1" ht="19.899999999999999" customHeight="1" x14ac:dyDescent="0.25">
      <c r="A3930" s="45"/>
      <c r="B3930" s="59"/>
      <c r="C3930" s="137"/>
      <c r="D3930" s="59"/>
      <c r="E3930" s="116"/>
      <c r="F3930" s="120"/>
      <c r="G3930" s="120"/>
      <c r="H3930" s="120"/>
      <c r="I3930" s="60"/>
      <c r="J3930" s="116"/>
      <c r="K3930" s="213"/>
      <c r="L3930" s="120"/>
      <c r="M3930" s="120"/>
      <c r="N3930" s="167"/>
      <c r="O3930" s="120"/>
      <c r="P3930" s="120"/>
      <c r="Q3930" s="120"/>
      <c r="R3930" s="120"/>
      <c r="S3930" s="120"/>
      <c r="T3930" s="221"/>
      <c r="U3930" s="89"/>
      <c r="V3930" s="61"/>
      <c r="W3930" s="92" t="s">
        <v>1048</v>
      </c>
      <c r="X3930" s="93" t="s">
        <v>30</v>
      </c>
      <c r="Y3930" s="93" t="s">
        <v>68</v>
      </c>
      <c r="Z3930" s="134">
        <f>VLOOKUP(W3930,Sheet2!$B:$D,3,FALSE)</f>
        <v>35</v>
      </c>
      <c r="AA3930" s="93">
        <v>1</v>
      </c>
      <c r="AB3930" s="93">
        <f>AD3930/AC3921</f>
        <v>35</v>
      </c>
      <c r="AC3930" s="93">
        <f>AC3921/AA3930</f>
        <v>37.89835000000005</v>
      </c>
      <c r="AD3930" s="94">
        <f t="shared" si="2914"/>
        <v>1326.4422500000019</v>
      </c>
      <c r="AE3930" s="190"/>
      <c r="AF3930" s="191"/>
      <c r="AG3930" s="191"/>
      <c r="AH3930" s="191"/>
      <c r="AI3930" s="186"/>
      <c r="AK3930" s="171"/>
    </row>
    <row r="3931" spans="1:37" s="103" customFormat="1" ht="19.899999999999999" customHeight="1" x14ac:dyDescent="0.25">
      <c r="A3931" s="51"/>
      <c r="B3931" s="52"/>
      <c r="C3931" s="165"/>
      <c r="D3931" s="52"/>
      <c r="E3931" s="115"/>
      <c r="F3931" s="58"/>
      <c r="G3931" s="58"/>
      <c r="H3931" s="58"/>
      <c r="I3931" s="55"/>
      <c r="J3931" s="113">
        <f>J3920</f>
        <v>37.89835000000005</v>
      </c>
      <c r="K3931" s="212">
        <f>K3920</f>
        <v>37.89835000000005</v>
      </c>
      <c r="L3931" s="58"/>
      <c r="M3931" s="58">
        <f>K3931-L3931</f>
        <v>37.89835000000005</v>
      </c>
      <c r="N3931" s="166"/>
      <c r="O3931" s="58"/>
      <c r="P3931" s="58"/>
      <c r="Q3931" s="58"/>
      <c r="R3931" s="58"/>
      <c r="S3931" s="58"/>
      <c r="T3931" s="220"/>
      <c r="U3931" s="88"/>
      <c r="V3931" s="56"/>
      <c r="W3931" s="57" t="s">
        <v>1036</v>
      </c>
      <c r="X3931" s="53"/>
      <c r="Y3931" s="91" t="s">
        <v>68</v>
      </c>
      <c r="Z3931" s="136">
        <f>AD3931/AC3931</f>
        <v>518.58333333333326</v>
      </c>
      <c r="AA3931" s="58"/>
      <c r="AB3931" s="53">
        <f>AD3931/AC3931</f>
        <v>518.58333333333326</v>
      </c>
      <c r="AC3931" s="53">
        <f>M3931+$AE$10</f>
        <v>37.89835000000005</v>
      </c>
      <c r="AD3931" s="54">
        <f>SUM(AD3932:AD3937)</f>
        <v>19653.452670833358</v>
      </c>
      <c r="AE3931" s="184">
        <f>SUMIFS($AD$37:$AD$12971,$V$37:$V$12971,$V3931,$X$37:$X$12971,AE$13)</f>
        <v>0</v>
      </c>
      <c r="AF3931" s="185">
        <f>SUMIFS($AD$37:$AD$12971,$V$37:$V$12971,$V3931,$X$37:$X$12971,AF$13)</f>
        <v>0</v>
      </c>
      <c r="AG3931" s="185">
        <f>SUMIFS($AD$37:$AD$12971,$V$37:$V$12971,$V3931,$X$37:$X$12971,AG$13)</f>
        <v>0</v>
      </c>
      <c r="AH3931" s="187">
        <f>SUMIFS($AD$37:$AD$12971,$V$37:$V$12971,$V3931,$X$37:$X$12971,AH$13)</f>
        <v>0</v>
      </c>
      <c r="AI3931" s="161">
        <f t="shared" ref="AI3931" si="2915">SUM(AE3931:AH3931)</f>
        <v>0</v>
      </c>
      <c r="AK3931" s="172"/>
    </row>
    <row r="3932" spans="1:37" s="102" customFormat="1" ht="19.899999999999999" customHeight="1" x14ac:dyDescent="0.25">
      <c r="A3932" s="45"/>
      <c r="B3932" s="59"/>
      <c r="C3932" s="137"/>
      <c r="D3932" s="59"/>
      <c r="E3932" s="116"/>
      <c r="F3932" s="120"/>
      <c r="G3932" s="120"/>
      <c r="H3932" s="120"/>
      <c r="I3932" s="60"/>
      <c r="J3932" s="116"/>
      <c r="K3932" s="213"/>
      <c r="L3932" s="120"/>
      <c r="M3932" s="120"/>
      <c r="N3932" s="167"/>
      <c r="O3932" s="120"/>
      <c r="P3932" s="120"/>
      <c r="Q3932" s="120"/>
      <c r="R3932" s="120"/>
      <c r="S3932" s="120"/>
      <c r="T3932" s="221"/>
      <c r="U3932" s="89"/>
      <c r="V3932" s="61"/>
      <c r="W3932" s="92" t="s">
        <v>1059</v>
      </c>
      <c r="X3932" s="93" t="s">
        <v>30</v>
      </c>
      <c r="Y3932" s="93" t="s">
        <v>68</v>
      </c>
      <c r="Z3932" s="134">
        <f>VLOOKUP(W3932,Sheet2!$B:$D,3,FALSE)</f>
        <v>350</v>
      </c>
      <c r="AA3932" s="93">
        <v>1</v>
      </c>
      <c r="AB3932" s="93">
        <f>AD3932/AC3931</f>
        <v>350</v>
      </c>
      <c r="AC3932" s="93">
        <f>AC3931/AA3932</f>
        <v>37.89835000000005</v>
      </c>
      <c r="AD3932" s="94">
        <f t="shared" ref="AD3932" si="2916">AC3932*Z3932</f>
        <v>13264.422500000017</v>
      </c>
      <c r="AE3932" s="190"/>
      <c r="AF3932" s="191"/>
      <c r="AG3932" s="191"/>
      <c r="AH3932" s="191"/>
      <c r="AI3932" s="186"/>
      <c r="AK3932" s="171"/>
    </row>
    <row r="3933" spans="1:37" s="102" customFormat="1" ht="19.899999999999999" customHeight="1" x14ac:dyDescent="0.25">
      <c r="A3933" s="45"/>
      <c r="B3933" s="59"/>
      <c r="C3933" s="137"/>
      <c r="D3933" s="59"/>
      <c r="E3933" s="116"/>
      <c r="F3933" s="120"/>
      <c r="G3933" s="120"/>
      <c r="H3933" s="120"/>
      <c r="I3933" s="60"/>
      <c r="J3933" s="116"/>
      <c r="K3933" s="213"/>
      <c r="L3933" s="120"/>
      <c r="M3933" s="120"/>
      <c r="N3933" s="167"/>
      <c r="O3933" s="120"/>
      <c r="P3933" s="120"/>
      <c r="Q3933" s="120"/>
      <c r="R3933" s="120"/>
      <c r="S3933" s="120"/>
      <c r="T3933" s="221"/>
      <c r="U3933" s="89"/>
      <c r="V3933" s="61"/>
      <c r="W3933" s="92" t="s">
        <v>1066</v>
      </c>
      <c r="X3933" s="93" t="s">
        <v>30</v>
      </c>
      <c r="Y3933" s="93" t="s">
        <v>68</v>
      </c>
      <c r="Z3933" s="134">
        <f>VLOOKUP(W3933,Sheet2!$B:$D,3,FALSE)</f>
        <v>35</v>
      </c>
      <c r="AA3933" s="93">
        <v>1</v>
      </c>
      <c r="AB3933" s="93">
        <f>AD3933/AC3931</f>
        <v>35</v>
      </c>
      <c r="AC3933" s="93">
        <f>AC3931/AA3933</f>
        <v>37.89835000000005</v>
      </c>
      <c r="AD3933" s="94">
        <f>AC3933*Z3933</f>
        <v>1326.4422500000019</v>
      </c>
      <c r="AE3933" s="190"/>
      <c r="AF3933" s="191"/>
      <c r="AG3933" s="191"/>
      <c r="AH3933" s="191"/>
      <c r="AI3933" s="186"/>
      <c r="AK3933" s="171"/>
    </row>
    <row r="3934" spans="1:37" s="102" customFormat="1" ht="19.899999999999999" customHeight="1" x14ac:dyDescent="0.25">
      <c r="A3934" s="45"/>
      <c r="B3934" s="59"/>
      <c r="C3934" s="137"/>
      <c r="D3934" s="59"/>
      <c r="E3934" s="116"/>
      <c r="F3934" s="120"/>
      <c r="G3934" s="120"/>
      <c r="H3934" s="120"/>
      <c r="I3934" s="60"/>
      <c r="J3934" s="116"/>
      <c r="K3934" s="213"/>
      <c r="L3934" s="120"/>
      <c r="M3934" s="120"/>
      <c r="N3934" s="167"/>
      <c r="O3934" s="120"/>
      <c r="P3934" s="120"/>
      <c r="Q3934" s="120"/>
      <c r="R3934" s="120"/>
      <c r="S3934" s="120"/>
      <c r="T3934" s="221"/>
      <c r="U3934" s="89"/>
      <c r="V3934" s="61"/>
      <c r="W3934" s="92" t="s">
        <v>1073</v>
      </c>
      <c r="X3934" s="93" t="s">
        <v>32</v>
      </c>
      <c r="Y3934" s="93" t="s">
        <v>68</v>
      </c>
      <c r="Z3934" s="134">
        <f>VLOOKUP(W3934,Sheet2!$B:$D,3,FALSE)</f>
        <v>65</v>
      </c>
      <c r="AA3934" s="93">
        <v>1</v>
      </c>
      <c r="AB3934" s="93">
        <f>AD3934/AC3931</f>
        <v>65</v>
      </c>
      <c r="AC3934" s="93">
        <f>AC3931/AA3934</f>
        <v>37.89835000000005</v>
      </c>
      <c r="AD3934" s="94">
        <f>AC3934*Z3934</f>
        <v>2463.3927500000032</v>
      </c>
      <c r="AE3934" s="190"/>
      <c r="AF3934" s="191"/>
      <c r="AG3934" s="191"/>
      <c r="AH3934" s="191"/>
      <c r="AI3934" s="186"/>
      <c r="AK3934" s="171"/>
    </row>
    <row r="3935" spans="1:37" s="102" customFormat="1" ht="19.899999999999999" customHeight="1" x14ac:dyDescent="0.25">
      <c r="A3935" s="45"/>
      <c r="B3935" s="59"/>
      <c r="C3935" s="137"/>
      <c r="D3935" s="59"/>
      <c r="E3935" s="116"/>
      <c r="F3935" s="120"/>
      <c r="G3935" s="120"/>
      <c r="H3935" s="120"/>
      <c r="I3935" s="60"/>
      <c r="J3935" s="116"/>
      <c r="K3935" s="213"/>
      <c r="L3935" s="120"/>
      <c r="M3935" s="120"/>
      <c r="N3935" s="167"/>
      <c r="O3935" s="120"/>
      <c r="P3935" s="120"/>
      <c r="Q3935" s="120"/>
      <c r="R3935" s="120"/>
      <c r="S3935" s="120"/>
      <c r="T3935" s="221"/>
      <c r="U3935" s="89"/>
      <c r="V3935" s="61"/>
      <c r="W3935" s="92" t="s">
        <v>1032</v>
      </c>
      <c r="X3935" s="93" t="s">
        <v>30</v>
      </c>
      <c r="Y3935" s="93" t="s">
        <v>66</v>
      </c>
      <c r="Z3935" s="134">
        <f>VLOOKUP(W3935,Sheet2!$B:$D,3,FALSE)</f>
        <v>250</v>
      </c>
      <c r="AA3935" s="93">
        <f>1/(1.7*0.1)</f>
        <v>5.8823529411764701</v>
      </c>
      <c r="AB3935" s="93">
        <f>AD3935/AC3931</f>
        <v>42.500000000000007</v>
      </c>
      <c r="AC3935" s="93">
        <f>AC3931/AA3935</f>
        <v>6.4427195000000088</v>
      </c>
      <c r="AD3935" s="94">
        <f>AC3935*Z3935</f>
        <v>1610.6798750000023</v>
      </c>
      <c r="AE3935" s="190"/>
      <c r="AF3935" s="191"/>
      <c r="AG3935" s="191"/>
      <c r="AH3935" s="191"/>
      <c r="AI3935" s="186"/>
      <c r="AK3935" s="171"/>
    </row>
    <row r="3936" spans="1:37" s="102" customFormat="1" ht="19.899999999999999" customHeight="1" x14ac:dyDescent="0.25">
      <c r="A3936" s="45"/>
      <c r="B3936" s="59"/>
      <c r="C3936" s="137"/>
      <c r="D3936" s="59"/>
      <c r="E3936" s="116"/>
      <c r="F3936" s="120"/>
      <c r="G3936" s="120"/>
      <c r="H3936" s="120"/>
      <c r="I3936" s="60"/>
      <c r="J3936" s="116"/>
      <c r="K3936" s="213"/>
      <c r="L3936" s="120"/>
      <c r="M3936" s="120"/>
      <c r="N3936" s="167"/>
      <c r="O3936" s="120"/>
      <c r="P3936" s="120"/>
      <c r="Q3936" s="120"/>
      <c r="R3936" s="120"/>
      <c r="S3936" s="120"/>
      <c r="T3936" s="221"/>
      <c r="U3936" s="89"/>
      <c r="V3936" s="61"/>
      <c r="W3936" s="92" t="s">
        <v>1035</v>
      </c>
      <c r="X3936" s="93" t="s">
        <v>32</v>
      </c>
      <c r="Y3936" s="93" t="s">
        <v>66</v>
      </c>
      <c r="Z3936" s="134">
        <f>VLOOKUP(W3936,Sheet2!$B:$D,3,FALSE)</f>
        <v>150</v>
      </c>
      <c r="AA3936" s="93">
        <f>AA3935</f>
        <v>5.8823529411764701</v>
      </c>
      <c r="AB3936" s="93">
        <f>AD3936/AC3931</f>
        <v>25.5</v>
      </c>
      <c r="AC3936" s="93">
        <f>AC3931/AA3936</f>
        <v>6.4427195000000088</v>
      </c>
      <c r="AD3936" s="94">
        <f t="shared" ref="AD3936:AD3937" si="2917">AC3936*Z3936</f>
        <v>966.40792500000134</v>
      </c>
      <c r="AE3936" s="190"/>
      <c r="AF3936" s="191"/>
      <c r="AG3936" s="191"/>
      <c r="AH3936" s="191"/>
      <c r="AI3936" s="186"/>
      <c r="AK3936" s="171"/>
    </row>
    <row r="3937" spans="1:41" s="102" customFormat="1" ht="19.899999999999999" customHeight="1" x14ac:dyDescent="0.25">
      <c r="A3937" s="45"/>
      <c r="B3937" s="59"/>
      <c r="C3937" s="137"/>
      <c r="D3937" s="59"/>
      <c r="E3937" s="116"/>
      <c r="F3937" s="120"/>
      <c r="G3937" s="120"/>
      <c r="H3937" s="120"/>
      <c r="I3937" s="60"/>
      <c r="J3937" s="116"/>
      <c r="K3937" s="213"/>
      <c r="L3937" s="120"/>
      <c r="M3937" s="120"/>
      <c r="N3937" s="167"/>
      <c r="O3937" s="120"/>
      <c r="P3937" s="120"/>
      <c r="Q3937" s="120"/>
      <c r="R3937" s="120"/>
      <c r="S3937" s="120"/>
      <c r="T3937" s="221"/>
      <c r="U3937" s="89"/>
      <c r="V3937" s="61"/>
      <c r="W3937" s="92" t="s">
        <v>1037</v>
      </c>
      <c r="X3937" s="93" t="s">
        <v>30</v>
      </c>
      <c r="Y3937" s="93" t="s">
        <v>1038</v>
      </c>
      <c r="Z3937" s="134">
        <f>VLOOKUP(W3937,Sheet2!$B:$D,3,FALSE)</f>
        <v>175</v>
      </c>
      <c r="AA3937" s="93">
        <v>300</v>
      </c>
      <c r="AB3937" s="93">
        <f>AD3937/AC3931</f>
        <v>0.58333333333333337</v>
      </c>
      <c r="AC3937" s="93">
        <f>AC3931/AA3937</f>
        <v>0.1263278333333335</v>
      </c>
      <c r="AD3937" s="94">
        <f t="shared" si="2917"/>
        <v>22.107370833333363</v>
      </c>
      <c r="AE3937" s="190"/>
      <c r="AF3937" s="191"/>
      <c r="AG3937" s="191"/>
      <c r="AH3937" s="191"/>
      <c r="AI3937" s="186"/>
      <c r="AK3937" s="171"/>
    </row>
    <row r="3938" spans="1:41" s="103" customFormat="1" ht="19.899999999999999" customHeight="1" x14ac:dyDescent="0.25">
      <c r="A3938" s="51"/>
      <c r="B3938" s="52"/>
      <c r="C3938" s="165"/>
      <c r="D3938" s="52"/>
      <c r="E3938" s="115"/>
      <c r="F3938" s="58"/>
      <c r="G3938" s="58"/>
      <c r="H3938" s="58"/>
      <c r="I3938" s="55"/>
      <c r="J3938" s="113">
        <f>J3920</f>
        <v>37.89835000000005</v>
      </c>
      <c r="K3938" s="212">
        <f>K3920</f>
        <v>37.89835000000005</v>
      </c>
      <c r="L3938" s="58"/>
      <c r="M3938" s="58">
        <f>K3938-L3938</f>
        <v>37.89835000000005</v>
      </c>
      <c r="N3938" s="166"/>
      <c r="O3938" s="58"/>
      <c r="P3938" s="58"/>
      <c r="Q3938" s="58"/>
      <c r="R3938" s="58"/>
      <c r="S3938" s="58"/>
      <c r="T3938" s="220"/>
      <c r="U3938" s="88"/>
      <c r="V3938" s="56"/>
      <c r="W3938" s="57" t="s">
        <v>1040</v>
      </c>
      <c r="X3938" s="53"/>
      <c r="Y3938" s="91" t="s">
        <v>68</v>
      </c>
      <c r="Z3938" s="136">
        <f>AD3938/AC3938</f>
        <v>5</v>
      </c>
      <c r="AA3938" s="58"/>
      <c r="AB3938" s="53">
        <f>AD3938/AC3938</f>
        <v>5</v>
      </c>
      <c r="AC3938" s="53">
        <f>M3938+$AE$10</f>
        <v>37.89835000000005</v>
      </c>
      <c r="AD3938" s="54">
        <f>SUM(AD3939)</f>
        <v>189.49175000000025</v>
      </c>
      <c r="AE3938" s="184">
        <f>SUMIFS($AD$37:$AD$12971,$V$37:$V$12971,$V3938,$X$37:$X$12971,AE$13)</f>
        <v>0</v>
      </c>
      <c r="AF3938" s="185">
        <f>SUMIFS($AD$37:$AD$12971,$V$37:$V$12971,$V3938,$X$37:$X$12971,AF$13)</f>
        <v>0</v>
      </c>
      <c r="AG3938" s="185">
        <f>SUMIFS($AD$37:$AD$12971,$V$37:$V$12971,$V3938,$X$37:$X$12971,AG$13)</f>
        <v>0</v>
      </c>
      <c r="AH3938" s="187">
        <f>SUMIFS($AD$37:$AD$12971,$V$37:$V$12971,$V3938,$X$37:$X$12971,AH$13)</f>
        <v>0</v>
      </c>
      <c r="AI3938" s="161">
        <f t="shared" ref="AI3938" si="2918">SUM(AE3938:AH3938)</f>
        <v>0</v>
      </c>
      <c r="AK3938" s="172"/>
    </row>
    <row r="3939" spans="1:41" s="102" customFormat="1" ht="19.899999999999999" customHeight="1" x14ac:dyDescent="0.25">
      <c r="A3939" s="45"/>
      <c r="B3939" s="59"/>
      <c r="C3939" s="137"/>
      <c r="D3939" s="59"/>
      <c r="E3939" s="116"/>
      <c r="F3939" s="120"/>
      <c r="G3939" s="120"/>
      <c r="H3939" s="120"/>
      <c r="I3939" s="60"/>
      <c r="J3939" s="116"/>
      <c r="K3939" s="213"/>
      <c r="L3939" s="120"/>
      <c r="M3939" s="120"/>
      <c r="N3939" s="167"/>
      <c r="O3939" s="120"/>
      <c r="P3939" s="120"/>
      <c r="Q3939" s="120"/>
      <c r="R3939" s="120"/>
      <c r="S3939" s="120"/>
      <c r="T3939" s="221"/>
      <c r="U3939" s="89"/>
      <c r="V3939" s="61"/>
      <c r="W3939" s="92" t="s">
        <v>1039</v>
      </c>
      <c r="X3939" s="93" t="s">
        <v>32</v>
      </c>
      <c r="Y3939" s="93" t="s">
        <v>68</v>
      </c>
      <c r="Z3939" s="134">
        <f>VLOOKUP(W3939,Sheet2!$B:$D,3,FALSE)</f>
        <v>5</v>
      </c>
      <c r="AA3939" s="93">
        <v>1</v>
      </c>
      <c r="AB3939" s="93">
        <f>AD3939/AC3938</f>
        <v>5</v>
      </c>
      <c r="AC3939" s="93">
        <f>AC3938/AA3939</f>
        <v>37.89835000000005</v>
      </c>
      <c r="AD3939" s="94">
        <f t="shared" ref="AD3939" si="2919">AC3939*Z3939</f>
        <v>189.49175000000025</v>
      </c>
      <c r="AE3939" s="190"/>
      <c r="AF3939" s="191"/>
      <c r="AG3939" s="191"/>
      <c r="AH3939" s="191"/>
      <c r="AI3939" s="186"/>
      <c r="AK3939" s="171"/>
    </row>
    <row r="3940" spans="1:41" ht="20.100000000000001" customHeight="1" x14ac:dyDescent="0.25">
      <c r="A3940" s="277" t="s">
        <v>491</v>
      </c>
      <c r="B3940" s="278"/>
      <c r="C3940" s="64" t="s">
        <v>503</v>
      </c>
      <c r="D3940" s="46" t="s">
        <v>97</v>
      </c>
      <c r="E3940" s="114">
        <v>3.9099999999999966</v>
      </c>
      <c r="F3940" s="44">
        <v>793</v>
      </c>
      <c r="G3940" s="44">
        <f t="shared" si="2434"/>
        <v>3100.6299999999974</v>
      </c>
      <c r="H3940" s="44">
        <f t="shared" si="2435"/>
        <v>608.00717333333341</v>
      </c>
      <c r="I3940" s="43">
        <f t="shared" si="2436"/>
        <v>2377.3080477333315</v>
      </c>
      <c r="J3940" s="112">
        <f t="shared" si="2437"/>
        <v>3.9099999999999966</v>
      </c>
      <c r="K3940" s="211">
        <f t="shared" si="2438"/>
        <v>3.9099999999999966</v>
      </c>
      <c r="L3940" s="44"/>
      <c r="M3940" s="44">
        <f t="shared" si="2458"/>
        <v>3.9099999999999966</v>
      </c>
      <c r="N3940" s="173">
        <f t="shared" si="2439"/>
        <v>1</v>
      </c>
      <c r="O3940" s="44">
        <f t="shared" si="2440"/>
        <v>793</v>
      </c>
      <c r="P3940" s="44">
        <f t="shared" si="2441"/>
        <v>3100.6299999999974</v>
      </c>
      <c r="Q3940" s="44">
        <f t="shared" si="2442"/>
        <v>608.00717333333341</v>
      </c>
      <c r="R3940" s="44">
        <f t="shared" si="2459"/>
        <v>2377.3080477333315</v>
      </c>
      <c r="S3940" s="123"/>
      <c r="T3940" s="219">
        <f t="shared" si="2460"/>
        <v>2377.3080477333315</v>
      </c>
      <c r="U3940" s="87"/>
      <c r="V3940" s="47"/>
      <c r="W3940" s="48"/>
      <c r="X3940" s="48"/>
      <c r="Y3940" s="48"/>
      <c r="Z3940" s="135"/>
      <c r="AA3940" s="49"/>
      <c r="AB3940" s="50">
        <f t="shared" si="2443"/>
        <v>608.00717333333341</v>
      </c>
      <c r="AC3940" s="42">
        <f t="shared" si="2461"/>
        <v>3.9099999999999966</v>
      </c>
      <c r="AD3940" s="90">
        <f>AD3941+AD3951+AD3958</f>
        <v>2377.3080477333315</v>
      </c>
      <c r="AE3940" s="188">
        <f t="shared" ref="AE3940" si="2920">AE3941+AE3951+AE3958</f>
        <v>0</v>
      </c>
      <c r="AF3940" s="189">
        <f t="shared" ref="AF3940" si="2921">AF3941+AF3951+AF3958</f>
        <v>0</v>
      </c>
      <c r="AG3940" s="189">
        <f t="shared" ref="AG3940" si="2922">AG3941+AG3951+AG3958</f>
        <v>0</v>
      </c>
      <c r="AH3940" s="189">
        <f t="shared" ref="AH3940" si="2923">AH3941+AH3951+AH3958</f>
        <v>0</v>
      </c>
      <c r="AI3940" s="161">
        <f t="shared" ref="AI3940" si="2924">SUM(AE3940:AH3940)</f>
        <v>0</v>
      </c>
      <c r="AK3940" s="169">
        <v>5</v>
      </c>
      <c r="AO3940" s="19" t="s">
        <v>63</v>
      </c>
    </row>
    <row r="3941" spans="1:41" s="103" customFormat="1" ht="19.899999999999999" customHeight="1" x14ac:dyDescent="0.25">
      <c r="A3941" s="51"/>
      <c r="B3941" s="52"/>
      <c r="C3941" s="165"/>
      <c r="D3941" s="52"/>
      <c r="E3941" s="115"/>
      <c r="F3941" s="58"/>
      <c r="G3941" s="58"/>
      <c r="H3941" s="58"/>
      <c r="I3941" s="55"/>
      <c r="J3941" s="113">
        <f>J3940</f>
        <v>3.9099999999999966</v>
      </c>
      <c r="K3941" s="212">
        <f>K3940</f>
        <v>3.9099999999999966</v>
      </c>
      <c r="L3941" s="58"/>
      <c r="M3941" s="58">
        <f>K3941-L3941</f>
        <v>3.9099999999999966</v>
      </c>
      <c r="N3941" s="166"/>
      <c r="O3941" s="58"/>
      <c r="P3941" s="58"/>
      <c r="Q3941" s="58"/>
      <c r="R3941" s="58"/>
      <c r="S3941" s="58"/>
      <c r="T3941" s="220"/>
      <c r="U3941" s="88"/>
      <c r="V3941" s="56"/>
      <c r="W3941" s="57" t="s">
        <v>1078</v>
      </c>
      <c r="X3941" s="53"/>
      <c r="Y3941" s="91" t="s">
        <v>68</v>
      </c>
      <c r="Z3941" s="136">
        <f>AD3941/AC3941</f>
        <v>84.423839999999998</v>
      </c>
      <c r="AA3941" s="58"/>
      <c r="AB3941" s="53">
        <f>AD3941/AC3941</f>
        <v>84.423839999999998</v>
      </c>
      <c r="AC3941" s="53">
        <f>M3941+$AE$10</f>
        <v>3.9099999999999966</v>
      </c>
      <c r="AD3941" s="54">
        <f>SUM(AD3942:AD3950)</f>
        <v>330.0972143999997</v>
      </c>
      <c r="AE3941" s="184">
        <f>SUMIFS($AD$37:$AD$12971,$V$37:$V$12971,$V3941,$X$37:$X$12971,AE$13)</f>
        <v>0</v>
      </c>
      <c r="AF3941" s="185">
        <f>SUMIFS($AD$37:$AD$12971,$V$37:$V$12971,$V3941,$X$37:$X$12971,AF$13)</f>
        <v>0</v>
      </c>
      <c r="AG3941" s="185">
        <f>SUMIFS($AD$37:$AD$12971,$V$37:$V$12971,$V3941,$X$37:$X$12971,AG$13)</f>
        <v>0</v>
      </c>
      <c r="AH3941" s="187">
        <f>SUMIFS($AD$37:$AD$12971,$V$37:$V$12971,$V3941,$X$37:$X$12971,AH$13)</f>
        <v>0</v>
      </c>
      <c r="AI3941" s="161">
        <f t="shared" ref="AI3941" si="2925">SUM(AE3941:AH3941)</f>
        <v>0</v>
      </c>
      <c r="AK3941" s="172"/>
    </row>
    <row r="3942" spans="1:41" s="102" customFormat="1" ht="19.899999999999999" customHeight="1" x14ac:dyDescent="0.25">
      <c r="A3942" s="45"/>
      <c r="B3942" s="59"/>
      <c r="C3942" s="137"/>
      <c r="D3942" s="59"/>
      <c r="E3942" s="116"/>
      <c r="F3942" s="120"/>
      <c r="G3942" s="120"/>
      <c r="H3942" s="120"/>
      <c r="I3942" s="60"/>
      <c r="J3942" s="116"/>
      <c r="K3942" s="213"/>
      <c r="L3942" s="120"/>
      <c r="M3942" s="120"/>
      <c r="N3942" s="167"/>
      <c r="O3942" s="120"/>
      <c r="P3942" s="120"/>
      <c r="Q3942" s="120"/>
      <c r="R3942" s="120"/>
      <c r="S3942" s="120"/>
      <c r="T3942" s="221"/>
      <c r="U3942" s="89"/>
      <c r="V3942" s="61"/>
      <c r="W3942" s="92" t="s">
        <v>129</v>
      </c>
      <c r="X3942" s="93" t="s">
        <v>29</v>
      </c>
      <c r="Y3942" s="93" t="s">
        <v>93</v>
      </c>
      <c r="Z3942" s="134">
        <f>VLOOKUP(W3942,Sheet2!$B:$D,3,FALSE)</f>
        <v>56</v>
      </c>
      <c r="AA3942" s="93">
        <f>100/(1.7*3)</f>
        <v>19.607843137254903</v>
      </c>
      <c r="AB3942" s="93">
        <f t="shared" ref="AB3942" si="2926">AD3942/AC3941</f>
        <v>2.8559999999999999</v>
      </c>
      <c r="AC3942" s="93">
        <f>AC3941/AA3942</f>
        <v>0.19940999999999981</v>
      </c>
      <c r="AD3942" s="94">
        <f t="shared" ref="AD3942:AD3943" si="2927">AC3942*Z3942</f>
        <v>11.166959999999989</v>
      </c>
      <c r="AE3942" s="190"/>
      <c r="AF3942" s="191"/>
      <c r="AG3942" s="191"/>
      <c r="AH3942" s="191"/>
      <c r="AI3942" s="186"/>
      <c r="AK3942" s="171"/>
    </row>
    <row r="3943" spans="1:41" s="102" customFormat="1" ht="19.899999999999999" customHeight="1" x14ac:dyDescent="0.25">
      <c r="A3943" s="45"/>
      <c r="B3943" s="59"/>
      <c r="C3943" s="137"/>
      <c r="D3943" s="59"/>
      <c r="E3943" s="116"/>
      <c r="F3943" s="120"/>
      <c r="G3943" s="120"/>
      <c r="H3943" s="120"/>
      <c r="I3943" s="60"/>
      <c r="J3943" s="116"/>
      <c r="K3943" s="213"/>
      <c r="L3943" s="120"/>
      <c r="M3943" s="120"/>
      <c r="N3943" s="167"/>
      <c r="O3943" s="120"/>
      <c r="P3943" s="120"/>
      <c r="Q3943" s="120"/>
      <c r="R3943" s="120"/>
      <c r="S3943" s="120"/>
      <c r="T3943" s="221"/>
      <c r="U3943" s="89"/>
      <c r="V3943" s="61"/>
      <c r="W3943" s="92" t="s">
        <v>65</v>
      </c>
      <c r="X3943" s="93" t="s">
        <v>30</v>
      </c>
      <c r="Y3943" s="93" t="s">
        <v>1011</v>
      </c>
      <c r="Z3943" s="134">
        <f>VLOOKUP(W3943,Sheet2!$B:$D,3,FALSE)</f>
        <v>1.76</v>
      </c>
      <c r="AA3943" s="93">
        <f>AA3942/14</f>
        <v>1.400560224089636</v>
      </c>
      <c r="AB3943" s="93">
        <f>AD3943/AC3941</f>
        <v>1.2566399999999998</v>
      </c>
      <c r="AC3943" s="93">
        <f>AC3941/AA3943</f>
        <v>2.7917399999999972</v>
      </c>
      <c r="AD3943" s="94">
        <f t="shared" si="2927"/>
        <v>4.9134623999999949</v>
      </c>
      <c r="AE3943" s="190"/>
      <c r="AF3943" s="191"/>
      <c r="AG3943" s="191"/>
      <c r="AH3943" s="191"/>
      <c r="AI3943" s="186"/>
      <c r="AK3943" s="171"/>
    </row>
    <row r="3944" spans="1:41" s="102" customFormat="1" ht="19.899999999999999" customHeight="1" x14ac:dyDescent="0.25">
      <c r="A3944" s="45"/>
      <c r="B3944" s="59"/>
      <c r="C3944" s="137"/>
      <c r="D3944" s="59"/>
      <c r="E3944" s="116"/>
      <c r="F3944" s="120"/>
      <c r="G3944" s="120"/>
      <c r="H3944" s="120"/>
      <c r="I3944" s="60"/>
      <c r="J3944" s="116"/>
      <c r="K3944" s="213"/>
      <c r="L3944" s="120"/>
      <c r="M3944" s="120"/>
      <c r="N3944" s="167"/>
      <c r="O3944" s="120"/>
      <c r="P3944" s="120"/>
      <c r="Q3944" s="120"/>
      <c r="R3944" s="120"/>
      <c r="S3944" s="120"/>
      <c r="T3944" s="221"/>
      <c r="U3944" s="89"/>
      <c r="V3944" s="61"/>
      <c r="W3944" s="92" t="s">
        <v>161</v>
      </c>
      <c r="X3944" s="93" t="s">
        <v>29</v>
      </c>
      <c r="Y3944" s="93" t="s">
        <v>93</v>
      </c>
      <c r="Z3944" s="134">
        <f>VLOOKUP(W3944,Sheet2!$B:$D,3,FALSE)</f>
        <v>48</v>
      </c>
      <c r="AA3944" s="93">
        <f>(16*0.85*1.5)/(1.7*3)</f>
        <v>4</v>
      </c>
      <c r="AB3944" s="93">
        <f>AD3944/AC3941</f>
        <v>12</v>
      </c>
      <c r="AC3944" s="93">
        <f>AC3941/AA3944</f>
        <v>0.97749999999999915</v>
      </c>
      <c r="AD3944" s="94">
        <f>AC3944*Z3944</f>
        <v>46.919999999999959</v>
      </c>
      <c r="AE3944" s="190"/>
      <c r="AF3944" s="191"/>
      <c r="AG3944" s="191"/>
      <c r="AH3944" s="191"/>
      <c r="AI3944" s="186"/>
      <c r="AK3944" s="171"/>
    </row>
    <row r="3945" spans="1:41" s="102" customFormat="1" ht="19.899999999999999" customHeight="1" x14ac:dyDescent="0.25">
      <c r="A3945" s="45"/>
      <c r="B3945" s="59"/>
      <c r="C3945" s="137"/>
      <c r="D3945" s="59"/>
      <c r="E3945" s="116"/>
      <c r="F3945" s="120"/>
      <c r="G3945" s="120"/>
      <c r="H3945" s="120"/>
      <c r="I3945" s="60"/>
      <c r="J3945" s="116"/>
      <c r="K3945" s="213"/>
      <c r="L3945" s="120"/>
      <c r="M3945" s="120"/>
      <c r="N3945" s="167"/>
      <c r="O3945" s="120"/>
      <c r="P3945" s="120"/>
      <c r="Q3945" s="120"/>
      <c r="R3945" s="120"/>
      <c r="S3945" s="120"/>
      <c r="T3945" s="221"/>
      <c r="U3945" s="89"/>
      <c r="V3945" s="61"/>
      <c r="W3945" s="92" t="s">
        <v>65</v>
      </c>
      <c r="X3945" s="93" t="s">
        <v>30</v>
      </c>
      <c r="Y3945" s="93" t="s">
        <v>1011</v>
      </c>
      <c r="Z3945" s="134">
        <f>VLOOKUP(W3945,Sheet2!$B:$D,3,FALSE)</f>
        <v>1.76</v>
      </c>
      <c r="AA3945" s="93">
        <f>AA3944/10</f>
        <v>0.4</v>
      </c>
      <c r="AB3945" s="93">
        <f>AD3945/AC3941</f>
        <v>4.4000000000000004</v>
      </c>
      <c r="AC3945" s="93">
        <f>AC3941/AA3945</f>
        <v>9.7749999999999915</v>
      </c>
      <c r="AD3945" s="94">
        <f>AC3945*Z3945</f>
        <v>17.203999999999986</v>
      </c>
      <c r="AE3945" s="190"/>
      <c r="AF3945" s="191"/>
      <c r="AG3945" s="191"/>
      <c r="AH3945" s="191"/>
      <c r="AI3945" s="186"/>
      <c r="AK3945" s="171"/>
    </row>
    <row r="3946" spans="1:41" s="102" customFormat="1" ht="19.899999999999999" customHeight="1" x14ac:dyDescent="0.25">
      <c r="A3946" s="45"/>
      <c r="B3946" s="59"/>
      <c r="C3946" s="137"/>
      <c r="D3946" s="59"/>
      <c r="E3946" s="116"/>
      <c r="F3946" s="120"/>
      <c r="G3946" s="120"/>
      <c r="H3946" s="120"/>
      <c r="I3946" s="60"/>
      <c r="J3946" s="116"/>
      <c r="K3946" s="213"/>
      <c r="L3946" s="120"/>
      <c r="M3946" s="120"/>
      <c r="N3946" s="167"/>
      <c r="O3946" s="120"/>
      <c r="P3946" s="120"/>
      <c r="Q3946" s="120"/>
      <c r="R3946" s="120"/>
      <c r="S3946" s="120"/>
      <c r="T3946" s="221"/>
      <c r="U3946" s="89"/>
      <c r="V3946" s="61"/>
      <c r="W3946" s="92" t="s">
        <v>1030</v>
      </c>
      <c r="X3946" s="93" t="s">
        <v>29</v>
      </c>
      <c r="Y3946" s="93" t="s">
        <v>93</v>
      </c>
      <c r="Z3946" s="134">
        <f>VLOOKUP(W3946,Sheet2!$B:$D,3,FALSE)</f>
        <v>23</v>
      </c>
      <c r="AA3946" s="93">
        <v>50</v>
      </c>
      <c r="AB3946" s="93">
        <f>AD3946/AC3941</f>
        <v>0.46000000000000008</v>
      </c>
      <c r="AC3946" s="93">
        <f>AC3941/AA3946</f>
        <v>7.8199999999999936E-2</v>
      </c>
      <c r="AD3946" s="94">
        <f t="shared" ref="AD3946:AD3950" si="2928">AC3946*Z3946</f>
        <v>1.7985999999999986</v>
      </c>
      <c r="AE3946" s="190"/>
      <c r="AF3946" s="191"/>
      <c r="AG3946" s="191"/>
      <c r="AH3946" s="191"/>
      <c r="AI3946" s="186"/>
      <c r="AK3946" s="171"/>
    </row>
    <row r="3947" spans="1:41" s="102" customFormat="1" ht="19.899999999999999" customHeight="1" x14ac:dyDescent="0.25">
      <c r="A3947" s="45"/>
      <c r="B3947" s="59"/>
      <c r="C3947" s="137"/>
      <c r="D3947" s="59"/>
      <c r="E3947" s="116"/>
      <c r="F3947" s="120"/>
      <c r="G3947" s="120"/>
      <c r="H3947" s="120"/>
      <c r="I3947" s="60"/>
      <c r="J3947" s="116"/>
      <c r="K3947" s="213"/>
      <c r="L3947" s="120"/>
      <c r="M3947" s="120"/>
      <c r="N3947" s="167"/>
      <c r="O3947" s="120"/>
      <c r="P3947" s="120"/>
      <c r="Q3947" s="120"/>
      <c r="R3947" s="120"/>
      <c r="S3947" s="120"/>
      <c r="T3947" s="221"/>
      <c r="U3947" s="89"/>
      <c r="V3947" s="61"/>
      <c r="W3947" s="92" t="s">
        <v>65</v>
      </c>
      <c r="X3947" s="93" t="s">
        <v>30</v>
      </c>
      <c r="Y3947" s="93" t="s">
        <v>1011</v>
      </c>
      <c r="Z3947" s="134">
        <f>VLOOKUP(W3947,Sheet2!$B:$D,3,FALSE)</f>
        <v>1.76</v>
      </c>
      <c r="AA3947" s="93">
        <f>AA3946/3</f>
        <v>16.666666666666668</v>
      </c>
      <c r="AB3947" s="93">
        <f>AD3947/AC3941</f>
        <v>0.10559999999999999</v>
      </c>
      <c r="AC3947" s="93">
        <f>AC3941/AA3947</f>
        <v>0.23459999999999978</v>
      </c>
      <c r="AD3947" s="94">
        <f t="shared" si="2928"/>
        <v>0.4128959999999996</v>
      </c>
      <c r="AE3947" s="190"/>
      <c r="AF3947" s="191"/>
      <c r="AG3947" s="191"/>
      <c r="AH3947" s="191"/>
      <c r="AI3947" s="186"/>
      <c r="AK3947" s="171"/>
    </row>
    <row r="3948" spans="1:41" s="102" customFormat="1" ht="19.899999999999999" customHeight="1" x14ac:dyDescent="0.25">
      <c r="A3948" s="45"/>
      <c r="B3948" s="59"/>
      <c r="C3948" s="137"/>
      <c r="D3948" s="59"/>
      <c r="E3948" s="116"/>
      <c r="F3948" s="120"/>
      <c r="G3948" s="120"/>
      <c r="H3948" s="120"/>
      <c r="I3948" s="60"/>
      <c r="J3948" s="116"/>
      <c r="K3948" s="213"/>
      <c r="L3948" s="120"/>
      <c r="M3948" s="120"/>
      <c r="N3948" s="167"/>
      <c r="O3948" s="120"/>
      <c r="P3948" s="120"/>
      <c r="Q3948" s="120"/>
      <c r="R3948" s="120"/>
      <c r="S3948" s="120"/>
      <c r="T3948" s="221"/>
      <c r="U3948" s="89"/>
      <c r="V3948" s="61"/>
      <c r="W3948" s="92" t="s">
        <v>148</v>
      </c>
      <c r="X3948" s="93" t="s">
        <v>29</v>
      </c>
      <c r="Y3948" s="93" t="s">
        <v>93</v>
      </c>
      <c r="Z3948" s="134">
        <f>VLOOKUP(W3948,Sheet2!$B:$D,3,FALSE)</f>
        <v>48</v>
      </c>
      <c r="AA3948" s="93">
        <f>AA3942</f>
        <v>19.607843137254903</v>
      </c>
      <c r="AB3948" s="93">
        <f>AD3948/AC3941</f>
        <v>2.4479999999999995</v>
      </c>
      <c r="AC3948" s="93">
        <f>AC3941/AA3948</f>
        <v>0.19940999999999981</v>
      </c>
      <c r="AD3948" s="94">
        <f t="shared" si="2928"/>
        <v>9.57167999999999</v>
      </c>
      <c r="AE3948" s="190"/>
      <c r="AF3948" s="191"/>
      <c r="AG3948" s="191"/>
      <c r="AH3948" s="191"/>
      <c r="AI3948" s="186"/>
      <c r="AK3948" s="171"/>
    </row>
    <row r="3949" spans="1:41" s="102" customFormat="1" ht="19.899999999999999" customHeight="1" x14ac:dyDescent="0.25">
      <c r="A3949" s="45"/>
      <c r="B3949" s="59"/>
      <c r="C3949" s="137"/>
      <c r="D3949" s="59"/>
      <c r="E3949" s="116"/>
      <c r="F3949" s="120"/>
      <c r="G3949" s="120"/>
      <c r="H3949" s="120"/>
      <c r="I3949" s="60"/>
      <c r="J3949" s="116"/>
      <c r="K3949" s="213"/>
      <c r="L3949" s="120"/>
      <c r="M3949" s="120"/>
      <c r="N3949" s="167"/>
      <c r="O3949" s="120"/>
      <c r="P3949" s="120"/>
      <c r="Q3949" s="120"/>
      <c r="R3949" s="120"/>
      <c r="S3949" s="120"/>
      <c r="T3949" s="221"/>
      <c r="U3949" s="89"/>
      <c r="V3949" s="61"/>
      <c r="W3949" s="92" t="s">
        <v>65</v>
      </c>
      <c r="X3949" s="93" t="s">
        <v>30</v>
      </c>
      <c r="Y3949" s="93" t="s">
        <v>1011</v>
      </c>
      <c r="Z3949" s="134">
        <f>VLOOKUP(W3949,Sheet2!$B:$D,3,FALSE)</f>
        <v>1.76</v>
      </c>
      <c r="AA3949" s="93">
        <f>AA3948/10</f>
        <v>1.9607843137254903</v>
      </c>
      <c r="AB3949" s="93">
        <f>AD3949/AC3941</f>
        <v>0.89759999999999995</v>
      </c>
      <c r="AC3949" s="93">
        <f>AC3941/AA3949</f>
        <v>1.9940999999999982</v>
      </c>
      <c r="AD3949" s="94">
        <f t="shared" si="2928"/>
        <v>3.5096159999999967</v>
      </c>
      <c r="AE3949" s="190"/>
      <c r="AF3949" s="191"/>
      <c r="AG3949" s="191"/>
      <c r="AH3949" s="191"/>
      <c r="AI3949" s="186"/>
      <c r="AK3949" s="171"/>
    </row>
    <row r="3950" spans="1:41" s="102" customFormat="1" ht="19.899999999999999" customHeight="1" x14ac:dyDescent="0.25">
      <c r="A3950" s="45"/>
      <c r="B3950" s="59"/>
      <c r="C3950" s="137"/>
      <c r="D3950" s="59"/>
      <c r="E3950" s="116"/>
      <c r="F3950" s="120"/>
      <c r="G3950" s="120"/>
      <c r="H3950" s="120"/>
      <c r="I3950" s="60"/>
      <c r="J3950" s="116"/>
      <c r="K3950" s="213"/>
      <c r="L3950" s="120"/>
      <c r="M3950" s="120"/>
      <c r="N3950" s="167"/>
      <c r="O3950" s="120"/>
      <c r="P3950" s="120"/>
      <c r="Q3950" s="120"/>
      <c r="R3950" s="120"/>
      <c r="S3950" s="120"/>
      <c r="T3950" s="221"/>
      <c r="U3950" s="89"/>
      <c r="V3950" s="61"/>
      <c r="W3950" s="92" t="s">
        <v>1049</v>
      </c>
      <c r="X3950" s="93" t="s">
        <v>30</v>
      </c>
      <c r="Y3950" s="93" t="s">
        <v>68</v>
      </c>
      <c r="Z3950" s="134">
        <f>VLOOKUP(W3950,Sheet2!$B:$D,3,FALSE)</f>
        <v>60</v>
      </c>
      <c r="AA3950" s="93">
        <v>1</v>
      </c>
      <c r="AB3950" s="93">
        <f>AD3950/AC3941</f>
        <v>60</v>
      </c>
      <c r="AC3950" s="93">
        <f>AC3941/AA3950</f>
        <v>3.9099999999999966</v>
      </c>
      <c r="AD3950" s="94">
        <f t="shared" si="2928"/>
        <v>234.5999999999998</v>
      </c>
      <c r="AE3950" s="190"/>
      <c r="AF3950" s="191"/>
      <c r="AG3950" s="191"/>
      <c r="AH3950" s="191"/>
      <c r="AI3950" s="186"/>
      <c r="AK3950" s="171"/>
    </row>
    <row r="3951" spans="1:41" s="103" customFormat="1" ht="19.899999999999999" customHeight="1" x14ac:dyDescent="0.25">
      <c r="A3951" s="51"/>
      <c r="B3951" s="52"/>
      <c r="C3951" s="165"/>
      <c r="D3951" s="52"/>
      <c r="E3951" s="115"/>
      <c r="F3951" s="58"/>
      <c r="G3951" s="58"/>
      <c r="H3951" s="58"/>
      <c r="I3951" s="55"/>
      <c r="J3951" s="113">
        <f>J3940</f>
        <v>3.9099999999999966</v>
      </c>
      <c r="K3951" s="212">
        <f>K3940</f>
        <v>3.9099999999999966</v>
      </c>
      <c r="L3951" s="58"/>
      <c r="M3951" s="58">
        <f>K3951-L3951</f>
        <v>3.9099999999999966</v>
      </c>
      <c r="N3951" s="166"/>
      <c r="O3951" s="58"/>
      <c r="P3951" s="58"/>
      <c r="Q3951" s="58"/>
      <c r="R3951" s="58"/>
      <c r="S3951" s="58"/>
      <c r="T3951" s="220"/>
      <c r="U3951" s="88"/>
      <c r="V3951" s="56"/>
      <c r="W3951" s="57" t="s">
        <v>1036</v>
      </c>
      <c r="X3951" s="53"/>
      <c r="Y3951" s="91" t="s">
        <v>68</v>
      </c>
      <c r="Z3951" s="136">
        <f>AD3951/AC3951</f>
        <v>518.58333333333337</v>
      </c>
      <c r="AA3951" s="58"/>
      <c r="AB3951" s="53">
        <f>AD3951/AC3951</f>
        <v>518.58333333333337</v>
      </c>
      <c r="AC3951" s="53">
        <f>M3951+$AE$10</f>
        <v>3.9099999999999966</v>
      </c>
      <c r="AD3951" s="54">
        <f>SUM(AD3952:AD3957)</f>
        <v>2027.6608333333318</v>
      </c>
      <c r="AE3951" s="184">
        <f>SUMIFS($AD$37:$AD$12971,$V$37:$V$12971,$V3951,$X$37:$X$12971,AE$13)</f>
        <v>0</v>
      </c>
      <c r="AF3951" s="185">
        <f>SUMIFS($AD$37:$AD$12971,$V$37:$V$12971,$V3951,$X$37:$X$12971,AF$13)</f>
        <v>0</v>
      </c>
      <c r="AG3951" s="185">
        <f>SUMIFS($AD$37:$AD$12971,$V$37:$V$12971,$V3951,$X$37:$X$12971,AG$13)</f>
        <v>0</v>
      </c>
      <c r="AH3951" s="187">
        <f>SUMIFS($AD$37:$AD$12971,$V$37:$V$12971,$V3951,$X$37:$X$12971,AH$13)</f>
        <v>0</v>
      </c>
      <c r="AI3951" s="161">
        <f t="shared" ref="AI3951" si="2929">SUM(AE3951:AH3951)</f>
        <v>0</v>
      </c>
      <c r="AK3951" s="172"/>
    </row>
    <row r="3952" spans="1:41" s="102" customFormat="1" ht="19.899999999999999" customHeight="1" x14ac:dyDescent="0.25">
      <c r="A3952" s="45"/>
      <c r="B3952" s="59"/>
      <c r="C3952" s="137"/>
      <c r="D3952" s="59"/>
      <c r="E3952" s="116"/>
      <c r="F3952" s="120"/>
      <c r="G3952" s="120"/>
      <c r="H3952" s="120"/>
      <c r="I3952" s="60"/>
      <c r="J3952" s="116"/>
      <c r="K3952" s="213"/>
      <c r="L3952" s="120"/>
      <c r="M3952" s="120"/>
      <c r="N3952" s="167"/>
      <c r="O3952" s="120"/>
      <c r="P3952" s="120"/>
      <c r="Q3952" s="120"/>
      <c r="R3952" s="120"/>
      <c r="S3952" s="120"/>
      <c r="T3952" s="221"/>
      <c r="U3952" s="89"/>
      <c r="V3952" s="61"/>
      <c r="W3952" s="92" t="s">
        <v>1059</v>
      </c>
      <c r="X3952" s="93" t="s">
        <v>30</v>
      </c>
      <c r="Y3952" s="93" t="s">
        <v>68</v>
      </c>
      <c r="Z3952" s="134">
        <f>VLOOKUP(W3952,Sheet2!$B:$D,3,FALSE)</f>
        <v>350</v>
      </c>
      <c r="AA3952" s="93">
        <v>1</v>
      </c>
      <c r="AB3952" s="93">
        <f>AD3952/AC3951</f>
        <v>350</v>
      </c>
      <c r="AC3952" s="93">
        <f>AC3951/AA3952</f>
        <v>3.9099999999999966</v>
      </c>
      <c r="AD3952" s="94">
        <f t="shared" ref="AD3952" si="2930">AC3952*Z3952</f>
        <v>1368.4999999999989</v>
      </c>
      <c r="AE3952" s="190"/>
      <c r="AF3952" s="191"/>
      <c r="AG3952" s="191"/>
      <c r="AH3952" s="191"/>
      <c r="AI3952" s="186"/>
      <c r="AK3952" s="171"/>
    </row>
    <row r="3953" spans="1:41" s="102" customFormat="1" ht="19.899999999999999" customHeight="1" x14ac:dyDescent="0.25">
      <c r="A3953" s="45"/>
      <c r="B3953" s="59"/>
      <c r="C3953" s="137"/>
      <c r="D3953" s="59"/>
      <c r="E3953" s="116"/>
      <c r="F3953" s="120"/>
      <c r="G3953" s="120"/>
      <c r="H3953" s="120"/>
      <c r="I3953" s="60"/>
      <c r="J3953" s="116"/>
      <c r="K3953" s="213"/>
      <c r="L3953" s="120"/>
      <c r="M3953" s="120"/>
      <c r="N3953" s="167"/>
      <c r="O3953" s="120"/>
      <c r="P3953" s="120"/>
      <c r="Q3953" s="120"/>
      <c r="R3953" s="120"/>
      <c r="S3953" s="120"/>
      <c r="T3953" s="221"/>
      <c r="U3953" s="89"/>
      <c r="V3953" s="61"/>
      <c r="W3953" s="92" t="s">
        <v>1066</v>
      </c>
      <c r="X3953" s="93" t="s">
        <v>30</v>
      </c>
      <c r="Y3953" s="93" t="s">
        <v>68</v>
      </c>
      <c r="Z3953" s="134">
        <f>VLOOKUP(W3953,Sheet2!$B:$D,3,FALSE)</f>
        <v>35</v>
      </c>
      <c r="AA3953" s="93">
        <v>1</v>
      </c>
      <c r="AB3953" s="93">
        <f>AD3953/AC3951</f>
        <v>35</v>
      </c>
      <c r="AC3953" s="93">
        <f>AC3951/AA3953</f>
        <v>3.9099999999999966</v>
      </c>
      <c r="AD3953" s="94">
        <f>AC3953*Z3953</f>
        <v>136.84999999999988</v>
      </c>
      <c r="AE3953" s="190"/>
      <c r="AF3953" s="191"/>
      <c r="AG3953" s="191"/>
      <c r="AH3953" s="191"/>
      <c r="AI3953" s="186"/>
      <c r="AK3953" s="171"/>
    </row>
    <row r="3954" spans="1:41" s="102" customFormat="1" ht="19.899999999999999" customHeight="1" x14ac:dyDescent="0.25">
      <c r="A3954" s="45"/>
      <c r="B3954" s="59"/>
      <c r="C3954" s="137"/>
      <c r="D3954" s="59"/>
      <c r="E3954" s="116"/>
      <c r="F3954" s="120"/>
      <c r="G3954" s="120"/>
      <c r="H3954" s="120"/>
      <c r="I3954" s="60"/>
      <c r="J3954" s="116"/>
      <c r="K3954" s="213"/>
      <c r="L3954" s="120"/>
      <c r="M3954" s="120"/>
      <c r="N3954" s="167"/>
      <c r="O3954" s="120"/>
      <c r="P3954" s="120"/>
      <c r="Q3954" s="120"/>
      <c r="R3954" s="120"/>
      <c r="S3954" s="120"/>
      <c r="T3954" s="221"/>
      <c r="U3954" s="89"/>
      <c r="V3954" s="61"/>
      <c r="W3954" s="92" t="s">
        <v>1073</v>
      </c>
      <c r="X3954" s="93" t="s">
        <v>32</v>
      </c>
      <c r="Y3954" s="93" t="s">
        <v>68</v>
      </c>
      <c r="Z3954" s="134">
        <f>VLOOKUP(W3954,Sheet2!$B:$D,3,FALSE)</f>
        <v>65</v>
      </c>
      <c r="AA3954" s="93">
        <v>1</v>
      </c>
      <c r="AB3954" s="93">
        <f>AD3954/AC3951</f>
        <v>65</v>
      </c>
      <c r="AC3954" s="93">
        <f>AC3951/AA3954</f>
        <v>3.9099999999999966</v>
      </c>
      <c r="AD3954" s="94">
        <f>AC3954*Z3954</f>
        <v>254.14999999999978</v>
      </c>
      <c r="AE3954" s="190"/>
      <c r="AF3954" s="191"/>
      <c r="AG3954" s="191"/>
      <c r="AH3954" s="191"/>
      <c r="AI3954" s="186"/>
      <c r="AK3954" s="171"/>
    </row>
    <row r="3955" spans="1:41" s="102" customFormat="1" ht="19.899999999999999" customHeight="1" x14ac:dyDescent="0.25">
      <c r="A3955" s="45"/>
      <c r="B3955" s="59"/>
      <c r="C3955" s="137"/>
      <c r="D3955" s="59"/>
      <c r="E3955" s="116"/>
      <c r="F3955" s="120"/>
      <c r="G3955" s="120"/>
      <c r="H3955" s="120"/>
      <c r="I3955" s="60"/>
      <c r="J3955" s="116"/>
      <c r="K3955" s="213"/>
      <c r="L3955" s="120"/>
      <c r="M3955" s="120"/>
      <c r="N3955" s="167"/>
      <c r="O3955" s="120"/>
      <c r="P3955" s="120"/>
      <c r="Q3955" s="120"/>
      <c r="R3955" s="120"/>
      <c r="S3955" s="120"/>
      <c r="T3955" s="221"/>
      <c r="U3955" s="89"/>
      <c r="V3955" s="61"/>
      <c r="W3955" s="92" t="s">
        <v>1032</v>
      </c>
      <c r="X3955" s="93" t="s">
        <v>30</v>
      </c>
      <c r="Y3955" s="93" t="s">
        <v>66</v>
      </c>
      <c r="Z3955" s="134">
        <f>VLOOKUP(W3955,Sheet2!$B:$D,3,FALSE)</f>
        <v>250</v>
      </c>
      <c r="AA3955" s="93">
        <f>1/(1.7*0.1)</f>
        <v>5.8823529411764701</v>
      </c>
      <c r="AB3955" s="93">
        <f>AD3955/AC3951</f>
        <v>42.500000000000007</v>
      </c>
      <c r="AC3955" s="93">
        <f>AC3951/AA3955</f>
        <v>0.66469999999999951</v>
      </c>
      <c r="AD3955" s="94">
        <f>AC3955*Z3955</f>
        <v>166.17499999999987</v>
      </c>
      <c r="AE3955" s="190"/>
      <c r="AF3955" s="191"/>
      <c r="AG3955" s="191"/>
      <c r="AH3955" s="191"/>
      <c r="AI3955" s="186"/>
      <c r="AK3955" s="171"/>
    </row>
    <row r="3956" spans="1:41" s="102" customFormat="1" ht="19.899999999999999" customHeight="1" x14ac:dyDescent="0.25">
      <c r="A3956" s="45"/>
      <c r="B3956" s="59"/>
      <c r="C3956" s="137"/>
      <c r="D3956" s="59"/>
      <c r="E3956" s="116"/>
      <c r="F3956" s="120"/>
      <c r="G3956" s="120"/>
      <c r="H3956" s="120"/>
      <c r="I3956" s="60"/>
      <c r="J3956" s="116"/>
      <c r="K3956" s="213"/>
      <c r="L3956" s="120"/>
      <c r="M3956" s="120"/>
      <c r="N3956" s="167"/>
      <c r="O3956" s="120"/>
      <c r="P3956" s="120"/>
      <c r="Q3956" s="120"/>
      <c r="R3956" s="120"/>
      <c r="S3956" s="120"/>
      <c r="T3956" s="221"/>
      <c r="U3956" s="89"/>
      <c r="V3956" s="61"/>
      <c r="W3956" s="92" t="s">
        <v>1035</v>
      </c>
      <c r="X3956" s="93" t="s">
        <v>32</v>
      </c>
      <c r="Y3956" s="93" t="s">
        <v>66</v>
      </c>
      <c r="Z3956" s="134">
        <f>VLOOKUP(W3956,Sheet2!$B:$D,3,FALSE)</f>
        <v>150</v>
      </c>
      <c r="AA3956" s="93">
        <f>AA3955</f>
        <v>5.8823529411764701</v>
      </c>
      <c r="AB3956" s="93">
        <f>AD3956/AC3951</f>
        <v>25.500000000000004</v>
      </c>
      <c r="AC3956" s="93">
        <f>AC3951/AA3956</f>
        <v>0.66469999999999951</v>
      </c>
      <c r="AD3956" s="94">
        <f t="shared" ref="AD3956:AD3957" si="2931">AC3956*Z3956</f>
        <v>99.704999999999927</v>
      </c>
      <c r="AE3956" s="190"/>
      <c r="AF3956" s="191"/>
      <c r="AG3956" s="191"/>
      <c r="AH3956" s="191"/>
      <c r="AI3956" s="186"/>
      <c r="AK3956" s="171"/>
    </row>
    <row r="3957" spans="1:41" s="102" customFormat="1" ht="19.899999999999999" customHeight="1" x14ac:dyDescent="0.25">
      <c r="A3957" s="45"/>
      <c r="B3957" s="59"/>
      <c r="C3957" s="137"/>
      <c r="D3957" s="59"/>
      <c r="E3957" s="116"/>
      <c r="F3957" s="120"/>
      <c r="G3957" s="120"/>
      <c r="H3957" s="120"/>
      <c r="I3957" s="60"/>
      <c r="J3957" s="116"/>
      <c r="K3957" s="213"/>
      <c r="L3957" s="120"/>
      <c r="M3957" s="120"/>
      <c r="N3957" s="167"/>
      <c r="O3957" s="120"/>
      <c r="P3957" s="120"/>
      <c r="Q3957" s="120"/>
      <c r="R3957" s="120"/>
      <c r="S3957" s="120"/>
      <c r="T3957" s="221"/>
      <c r="U3957" s="89"/>
      <c r="V3957" s="61"/>
      <c r="W3957" s="92" t="s">
        <v>1037</v>
      </c>
      <c r="X3957" s="93" t="s">
        <v>30</v>
      </c>
      <c r="Y3957" s="93" t="s">
        <v>1038</v>
      </c>
      <c r="Z3957" s="134">
        <f>VLOOKUP(W3957,Sheet2!$B:$D,3,FALSE)</f>
        <v>175</v>
      </c>
      <c r="AA3957" s="93">
        <v>300</v>
      </c>
      <c r="AB3957" s="93">
        <f>AD3957/AC3951</f>
        <v>0.58333333333333337</v>
      </c>
      <c r="AC3957" s="93">
        <f>AC3951/AA3957</f>
        <v>1.3033333333333322E-2</v>
      </c>
      <c r="AD3957" s="94">
        <f t="shared" si="2931"/>
        <v>2.2808333333333315</v>
      </c>
      <c r="AE3957" s="190"/>
      <c r="AF3957" s="191"/>
      <c r="AG3957" s="191"/>
      <c r="AH3957" s="191"/>
      <c r="AI3957" s="186"/>
      <c r="AK3957" s="171"/>
    </row>
    <row r="3958" spans="1:41" s="103" customFormat="1" ht="19.899999999999999" customHeight="1" x14ac:dyDescent="0.25">
      <c r="A3958" s="51"/>
      <c r="B3958" s="52"/>
      <c r="C3958" s="165"/>
      <c r="D3958" s="52"/>
      <c r="E3958" s="115"/>
      <c r="F3958" s="58"/>
      <c r="G3958" s="58"/>
      <c r="H3958" s="58"/>
      <c r="I3958" s="55"/>
      <c r="J3958" s="113">
        <f>J3940</f>
        <v>3.9099999999999966</v>
      </c>
      <c r="K3958" s="212">
        <f>K3940</f>
        <v>3.9099999999999966</v>
      </c>
      <c r="L3958" s="58"/>
      <c r="M3958" s="58">
        <f>K3958-L3958</f>
        <v>3.9099999999999966</v>
      </c>
      <c r="N3958" s="166"/>
      <c r="O3958" s="58"/>
      <c r="P3958" s="58"/>
      <c r="Q3958" s="58"/>
      <c r="R3958" s="58"/>
      <c r="S3958" s="58"/>
      <c r="T3958" s="220"/>
      <c r="U3958" s="88"/>
      <c r="V3958" s="56"/>
      <c r="W3958" s="57" t="s">
        <v>1040</v>
      </c>
      <c r="X3958" s="53"/>
      <c r="Y3958" s="91" t="s">
        <v>68</v>
      </c>
      <c r="Z3958" s="136">
        <f>AD3958/AC3958</f>
        <v>5</v>
      </c>
      <c r="AA3958" s="58"/>
      <c r="AB3958" s="53">
        <f>AD3958/AC3958</f>
        <v>5</v>
      </c>
      <c r="AC3958" s="53">
        <f>M3958+$AE$10</f>
        <v>3.9099999999999966</v>
      </c>
      <c r="AD3958" s="54">
        <f>SUM(AD3959)</f>
        <v>19.549999999999983</v>
      </c>
      <c r="AE3958" s="184">
        <f>SUMIFS($AD$37:$AD$12971,$V$37:$V$12971,$V3958,$X$37:$X$12971,AE$13)</f>
        <v>0</v>
      </c>
      <c r="AF3958" s="185">
        <f>SUMIFS($AD$37:$AD$12971,$V$37:$V$12971,$V3958,$X$37:$X$12971,AF$13)</f>
        <v>0</v>
      </c>
      <c r="AG3958" s="185">
        <f>SUMIFS($AD$37:$AD$12971,$V$37:$V$12971,$V3958,$X$37:$X$12971,AG$13)</f>
        <v>0</v>
      </c>
      <c r="AH3958" s="187">
        <f>SUMIFS($AD$37:$AD$12971,$V$37:$V$12971,$V3958,$X$37:$X$12971,AH$13)</f>
        <v>0</v>
      </c>
      <c r="AI3958" s="161">
        <f t="shared" ref="AI3958" si="2932">SUM(AE3958:AH3958)</f>
        <v>0</v>
      </c>
      <c r="AK3958" s="172"/>
    </row>
    <row r="3959" spans="1:41" s="102" customFormat="1" ht="19.899999999999999" customHeight="1" x14ac:dyDescent="0.25">
      <c r="A3959" s="45"/>
      <c r="B3959" s="59"/>
      <c r="C3959" s="137"/>
      <c r="D3959" s="59"/>
      <c r="E3959" s="116"/>
      <c r="F3959" s="120"/>
      <c r="G3959" s="120"/>
      <c r="H3959" s="120"/>
      <c r="I3959" s="60"/>
      <c r="J3959" s="116"/>
      <c r="K3959" s="213"/>
      <c r="L3959" s="120"/>
      <c r="M3959" s="120"/>
      <c r="N3959" s="167"/>
      <c r="O3959" s="120"/>
      <c r="P3959" s="120"/>
      <c r="Q3959" s="120"/>
      <c r="R3959" s="120"/>
      <c r="S3959" s="120"/>
      <c r="T3959" s="221"/>
      <c r="U3959" s="89"/>
      <c r="V3959" s="61"/>
      <c r="W3959" s="92" t="s">
        <v>1039</v>
      </c>
      <c r="X3959" s="93" t="s">
        <v>32</v>
      </c>
      <c r="Y3959" s="93" t="s">
        <v>68</v>
      </c>
      <c r="Z3959" s="134">
        <f>VLOOKUP(W3959,Sheet2!$B:$D,3,FALSE)</f>
        <v>5</v>
      </c>
      <c r="AA3959" s="93">
        <v>1</v>
      </c>
      <c r="AB3959" s="93">
        <f>AD3959/AC3958</f>
        <v>5</v>
      </c>
      <c r="AC3959" s="93">
        <f>AC3958/AA3959</f>
        <v>3.9099999999999966</v>
      </c>
      <c r="AD3959" s="94">
        <f t="shared" ref="AD3959" si="2933">AC3959*Z3959</f>
        <v>19.549999999999983</v>
      </c>
      <c r="AE3959" s="190"/>
      <c r="AF3959" s="191"/>
      <c r="AG3959" s="191"/>
      <c r="AH3959" s="191"/>
      <c r="AI3959" s="186"/>
      <c r="AK3959" s="171"/>
    </row>
    <row r="3960" spans="1:41" ht="20.100000000000001" customHeight="1" x14ac:dyDescent="0.25">
      <c r="A3960" s="277" t="s">
        <v>491</v>
      </c>
      <c r="B3960" s="278"/>
      <c r="C3960" s="64" t="s">
        <v>493</v>
      </c>
      <c r="D3960" s="46" t="s">
        <v>97</v>
      </c>
      <c r="E3960" s="114"/>
      <c r="F3960" s="44"/>
      <c r="G3960" s="44">
        <f t="shared" si="2434"/>
        <v>0</v>
      </c>
      <c r="H3960" s="44">
        <f t="shared" si="2435"/>
        <v>0</v>
      </c>
      <c r="I3960" s="43">
        <f t="shared" si="2436"/>
        <v>0</v>
      </c>
      <c r="J3960" s="112">
        <f t="shared" si="2437"/>
        <v>0</v>
      </c>
      <c r="K3960" s="211">
        <f t="shared" si="2438"/>
        <v>0</v>
      </c>
      <c r="L3960" s="44"/>
      <c r="M3960" s="44">
        <f t="shared" si="2458"/>
        <v>0</v>
      </c>
      <c r="N3960" s="173">
        <f t="shared" si="2439"/>
        <v>0</v>
      </c>
      <c r="O3960" s="44">
        <f t="shared" si="2440"/>
        <v>0</v>
      </c>
      <c r="P3960" s="44">
        <f t="shared" si="2441"/>
        <v>0</v>
      </c>
      <c r="Q3960" s="44">
        <f t="shared" si="2442"/>
        <v>0</v>
      </c>
      <c r="R3960" s="44">
        <f t="shared" si="2459"/>
        <v>0</v>
      </c>
      <c r="S3960" s="123"/>
      <c r="T3960" s="219">
        <f t="shared" si="2460"/>
        <v>0</v>
      </c>
      <c r="U3960" s="87"/>
      <c r="V3960" s="47"/>
      <c r="W3960" s="48"/>
      <c r="X3960" s="48"/>
      <c r="Y3960" s="48"/>
      <c r="Z3960" s="135"/>
      <c r="AA3960" s="49"/>
      <c r="AB3960" s="50">
        <f t="shared" si="2443"/>
        <v>0</v>
      </c>
      <c r="AC3960" s="42">
        <f t="shared" si="2461"/>
        <v>9.9999999999999998E-20</v>
      </c>
      <c r="AD3960" s="90"/>
      <c r="AE3960" s="188"/>
      <c r="AF3960" s="189"/>
      <c r="AG3960" s="189"/>
      <c r="AH3960" s="189"/>
      <c r="AI3960" s="161"/>
    </row>
    <row r="3961" spans="1:41" ht="20.100000000000001" customHeight="1" x14ac:dyDescent="0.25">
      <c r="A3961" s="277" t="s">
        <v>491</v>
      </c>
      <c r="B3961" s="278"/>
      <c r="C3961" s="64" t="s">
        <v>1177</v>
      </c>
      <c r="D3961" s="46" t="s">
        <v>97</v>
      </c>
      <c r="E3961" s="114">
        <v>12.816100000000006</v>
      </c>
      <c r="F3961" s="44">
        <v>979</v>
      </c>
      <c r="G3961" s="44">
        <f t="shared" si="2434"/>
        <v>12546.961900000006</v>
      </c>
      <c r="H3961" s="44">
        <f t="shared" si="2435"/>
        <v>615.95992000000001</v>
      </c>
      <c r="I3961" s="43">
        <f t="shared" si="2436"/>
        <v>7894.203930712004</v>
      </c>
      <c r="J3961" s="112">
        <f t="shared" si="2437"/>
        <v>12.816100000000006</v>
      </c>
      <c r="K3961" s="211">
        <f t="shared" si="2438"/>
        <v>12.816100000000006</v>
      </c>
      <c r="L3961" s="44"/>
      <c r="M3961" s="44">
        <f t="shared" si="2458"/>
        <v>12.816100000000006</v>
      </c>
      <c r="N3961" s="173">
        <f t="shared" si="2439"/>
        <v>1</v>
      </c>
      <c r="O3961" s="44">
        <f t="shared" si="2440"/>
        <v>979</v>
      </c>
      <c r="P3961" s="44">
        <f t="shared" si="2441"/>
        <v>12546.961900000006</v>
      </c>
      <c r="Q3961" s="44">
        <f t="shared" si="2442"/>
        <v>615.95992000000001</v>
      </c>
      <c r="R3961" s="44">
        <f t="shared" si="2459"/>
        <v>7894.203930712004</v>
      </c>
      <c r="S3961" s="123"/>
      <c r="T3961" s="219">
        <f t="shared" si="2460"/>
        <v>7894.203930712004</v>
      </c>
      <c r="U3961" s="87"/>
      <c r="V3961" s="47"/>
      <c r="W3961" s="48"/>
      <c r="X3961" s="48"/>
      <c r="Y3961" s="48"/>
      <c r="Z3961" s="135"/>
      <c r="AA3961" s="49"/>
      <c r="AB3961" s="50">
        <f t="shared" si="2443"/>
        <v>615.95992000000001</v>
      </c>
      <c r="AC3961" s="42">
        <f t="shared" si="2461"/>
        <v>12.816100000000006</v>
      </c>
      <c r="AD3961" s="90">
        <f>AD3962+AD3972+AD3979</f>
        <v>7894.203930712004</v>
      </c>
      <c r="AE3961" s="188">
        <f t="shared" ref="AE3961" si="2934">AE3962+AE3972+AE3979</f>
        <v>0</v>
      </c>
      <c r="AF3961" s="189">
        <f t="shared" ref="AF3961" si="2935">AF3962+AF3972+AF3979</f>
        <v>0</v>
      </c>
      <c r="AG3961" s="189">
        <f t="shared" ref="AG3961" si="2936">AG3962+AG3972+AG3979</f>
        <v>0</v>
      </c>
      <c r="AH3961" s="189">
        <f t="shared" ref="AH3961" si="2937">AH3962+AH3972+AH3979</f>
        <v>0</v>
      </c>
      <c r="AI3961" s="161">
        <f t="shared" ref="AI3961" si="2938">SUM(AE3961:AH3961)</f>
        <v>0</v>
      </c>
      <c r="AK3961" s="169">
        <v>5</v>
      </c>
      <c r="AO3961" s="19" t="s">
        <v>63</v>
      </c>
    </row>
    <row r="3962" spans="1:41" s="103" customFormat="1" ht="19.899999999999999" customHeight="1" x14ac:dyDescent="0.25">
      <c r="A3962" s="51"/>
      <c r="B3962" s="52"/>
      <c r="C3962" s="165"/>
      <c r="D3962" s="52"/>
      <c r="E3962" s="115"/>
      <c r="F3962" s="58"/>
      <c r="G3962" s="58"/>
      <c r="H3962" s="58"/>
      <c r="I3962" s="55"/>
      <c r="J3962" s="113">
        <f>J3961</f>
        <v>12.816100000000006</v>
      </c>
      <c r="K3962" s="212">
        <f>K3961</f>
        <v>12.816100000000006</v>
      </c>
      <c r="L3962" s="58"/>
      <c r="M3962" s="58">
        <f>K3962-L3962</f>
        <v>12.816100000000006</v>
      </c>
      <c r="N3962" s="166"/>
      <c r="O3962" s="58"/>
      <c r="P3962" s="58"/>
      <c r="Q3962" s="58"/>
      <c r="R3962" s="58"/>
      <c r="S3962" s="58"/>
      <c r="T3962" s="220"/>
      <c r="U3962" s="88"/>
      <c r="V3962" s="56"/>
      <c r="W3962" s="57" t="s">
        <v>1244</v>
      </c>
      <c r="X3962" s="53"/>
      <c r="Y3962" s="91" t="s">
        <v>68</v>
      </c>
      <c r="Z3962" s="136">
        <f>AD3962/AC3962</f>
        <v>92.376586666666668</v>
      </c>
      <c r="AA3962" s="58"/>
      <c r="AB3962" s="53">
        <f>AD3962/AC3962</f>
        <v>92.376586666666668</v>
      </c>
      <c r="AC3962" s="53">
        <f>M3962+$AE$10</f>
        <v>12.816100000000006</v>
      </c>
      <c r="AD3962" s="54">
        <f>SUM(AD3963:AD3971)</f>
        <v>1183.9075723786673</v>
      </c>
      <c r="AE3962" s="184">
        <f>SUMIFS($AD$37:$AD$12971,$V$37:$V$12971,$V3962,$X$37:$X$12971,AE$13)</f>
        <v>0</v>
      </c>
      <c r="AF3962" s="185">
        <f>SUMIFS($AD$37:$AD$12971,$V$37:$V$12971,$V3962,$X$37:$X$12971,AF$13)</f>
        <v>0</v>
      </c>
      <c r="AG3962" s="185">
        <f>SUMIFS($AD$37:$AD$12971,$V$37:$V$12971,$V3962,$X$37:$X$12971,AG$13)</f>
        <v>0</v>
      </c>
      <c r="AH3962" s="187">
        <f>SUMIFS($AD$37:$AD$12971,$V$37:$V$12971,$V3962,$X$37:$X$12971,AH$13)</f>
        <v>0</v>
      </c>
      <c r="AI3962" s="161">
        <f t="shared" ref="AI3962" si="2939">SUM(AE3962:AH3962)</f>
        <v>0</v>
      </c>
      <c r="AK3962" s="172"/>
    </row>
    <row r="3963" spans="1:41" s="102" customFormat="1" ht="19.899999999999999" customHeight="1" x14ac:dyDescent="0.25">
      <c r="A3963" s="45"/>
      <c r="B3963" s="59"/>
      <c r="C3963" s="137"/>
      <c r="D3963" s="59"/>
      <c r="E3963" s="116"/>
      <c r="F3963" s="120"/>
      <c r="G3963" s="120"/>
      <c r="H3963" s="120"/>
      <c r="I3963" s="60"/>
      <c r="J3963" s="116"/>
      <c r="K3963" s="213"/>
      <c r="L3963" s="120"/>
      <c r="M3963" s="120"/>
      <c r="N3963" s="167"/>
      <c r="O3963" s="120"/>
      <c r="P3963" s="120"/>
      <c r="Q3963" s="120"/>
      <c r="R3963" s="120"/>
      <c r="S3963" s="120"/>
      <c r="T3963" s="221"/>
      <c r="U3963" s="89"/>
      <c r="V3963" s="61"/>
      <c r="W3963" s="92" t="s">
        <v>129</v>
      </c>
      <c r="X3963" s="93" t="s">
        <v>29</v>
      </c>
      <c r="Y3963" s="93" t="s">
        <v>93</v>
      </c>
      <c r="Z3963" s="134">
        <f>VLOOKUP(W3963,Sheet2!$B:$D,3,FALSE)</f>
        <v>56</v>
      </c>
      <c r="AA3963" s="93">
        <f>100/(1.7*4)</f>
        <v>14.705882352941178</v>
      </c>
      <c r="AB3963" s="93">
        <f t="shared" ref="AB3963" si="2940">AD3963/AC3962</f>
        <v>3.8079999999999994</v>
      </c>
      <c r="AC3963" s="93">
        <f>AC3962/AA3963</f>
        <v>0.87149480000000035</v>
      </c>
      <c r="AD3963" s="94">
        <f t="shared" ref="AD3963:AD3964" si="2941">AC3963*Z3963</f>
        <v>48.803708800000017</v>
      </c>
      <c r="AE3963" s="190"/>
      <c r="AF3963" s="191"/>
      <c r="AG3963" s="191"/>
      <c r="AH3963" s="191"/>
      <c r="AI3963" s="186"/>
      <c r="AK3963" s="171"/>
    </row>
    <row r="3964" spans="1:41" s="102" customFormat="1" ht="19.899999999999999" customHeight="1" x14ac:dyDescent="0.25">
      <c r="A3964" s="45"/>
      <c r="B3964" s="59"/>
      <c r="C3964" s="137"/>
      <c r="D3964" s="59"/>
      <c r="E3964" s="116"/>
      <c r="F3964" s="120"/>
      <c r="G3964" s="120"/>
      <c r="H3964" s="120"/>
      <c r="I3964" s="60"/>
      <c r="J3964" s="116"/>
      <c r="K3964" s="213"/>
      <c r="L3964" s="120"/>
      <c r="M3964" s="120"/>
      <c r="N3964" s="167"/>
      <c r="O3964" s="120"/>
      <c r="P3964" s="120"/>
      <c r="Q3964" s="120"/>
      <c r="R3964" s="120"/>
      <c r="S3964" s="120"/>
      <c r="T3964" s="221"/>
      <c r="U3964" s="89"/>
      <c r="V3964" s="61"/>
      <c r="W3964" s="92" t="s">
        <v>65</v>
      </c>
      <c r="X3964" s="93" t="s">
        <v>30</v>
      </c>
      <c r="Y3964" s="93" t="s">
        <v>1011</v>
      </c>
      <c r="Z3964" s="134">
        <f>VLOOKUP(W3964,Sheet2!$B:$D,3,FALSE)</f>
        <v>1.76</v>
      </c>
      <c r="AA3964" s="93">
        <f>AA3963/14</f>
        <v>1.0504201680672269</v>
      </c>
      <c r="AB3964" s="93">
        <f>AD3964/AC3962</f>
        <v>1.6755199999999999</v>
      </c>
      <c r="AC3964" s="93">
        <f>AC3962/AA3964</f>
        <v>12.200927200000004</v>
      </c>
      <c r="AD3964" s="94">
        <f t="shared" si="2941"/>
        <v>21.473631872000009</v>
      </c>
      <c r="AE3964" s="190"/>
      <c r="AF3964" s="191"/>
      <c r="AG3964" s="191"/>
      <c r="AH3964" s="191"/>
      <c r="AI3964" s="186"/>
      <c r="AK3964" s="171"/>
    </row>
    <row r="3965" spans="1:41" s="102" customFormat="1" ht="19.899999999999999" customHeight="1" x14ac:dyDescent="0.25">
      <c r="A3965" s="45"/>
      <c r="B3965" s="59"/>
      <c r="C3965" s="137"/>
      <c r="D3965" s="59"/>
      <c r="E3965" s="116"/>
      <c r="F3965" s="120"/>
      <c r="G3965" s="120"/>
      <c r="H3965" s="120"/>
      <c r="I3965" s="60"/>
      <c r="J3965" s="116"/>
      <c r="K3965" s="213"/>
      <c r="L3965" s="120"/>
      <c r="M3965" s="120"/>
      <c r="N3965" s="167"/>
      <c r="O3965" s="120"/>
      <c r="P3965" s="120"/>
      <c r="Q3965" s="120"/>
      <c r="R3965" s="120"/>
      <c r="S3965" s="120"/>
      <c r="T3965" s="221"/>
      <c r="U3965" s="89"/>
      <c r="V3965" s="61"/>
      <c r="W3965" s="92" t="s">
        <v>161</v>
      </c>
      <c r="X3965" s="93" t="s">
        <v>29</v>
      </c>
      <c r="Y3965" s="93" t="s">
        <v>93</v>
      </c>
      <c r="Z3965" s="134">
        <f>VLOOKUP(W3965,Sheet2!$B:$D,3,FALSE)</f>
        <v>48</v>
      </c>
      <c r="AA3965" s="93">
        <f>(16*0.85*1.5)/(1.7*4)</f>
        <v>3</v>
      </c>
      <c r="AB3965" s="93">
        <f>AD3965/AC3962</f>
        <v>16</v>
      </c>
      <c r="AC3965" s="93">
        <f>AC3962/AA3965</f>
        <v>4.2720333333333356</v>
      </c>
      <c r="AD3965" s="94">
        <f>AC3965*Z3965</f>
        <v>205.05760000000009</v>
      </c>
      <c r="AE3965" s="190"/>
      <c r="AF3965" s="191"/>
      <c r="AG3965" s="191"/>
      <c r="AH3965" s="191"/>
      <c r="AI3965" s="186"/>
      <c r="AK3965" s="171"/>
    </row>
    <row r="3966" spans="1:41" s="102" customFormat="1" ht="19.899999999999999" customHeight="1" x14ac:dyDescent="0.25">
      <c r="A3966" s="45"/>
      <c r="B3966" s="59"/>
      <c r="C3966" s="137"/>
      <c r="D3966" s="59"/>
      <c r="E3966" s="116"/>
      <c r="F3966" s="120"/>
      <c r="G3966" s="120"/>
      <c r="H3966" s="120"/>
      <c r="I3966" s="60"/>
      <c r="J3966" s="116"/>
      <c r="K3966" s="213"/>
      <c r="L3966" s="120"/>
      <c r="M3966" s="120"/>
      <c r="N3966" s="167"/>
      <c r="O3966" s="120"/>
      <c r="P3966" s="120"/>
      <c r="Q3966" s="120"/>
      <c r="R3966" s="120"/>
      <c r="S3966" s="120"/>
      <c r="T3966" s="221"/>
      <c r="U3966" s="89"/>
      <c r="V3966" s="61"/>
      <c r="W3966" s="92" t="s">
        <v>65</v>
      </c>
      <c r="X3966" s="93" t="s">
        <v>30</v>
      </c>
      <c r="Y3966" s="93" t="s">
        <v>1011</v>
      </c>
      <c r="Z3966" s="134">
        <f>VLOOKUP(W3966,Sheet2!$B:$D,3,FALSE)</f>
        <v>1.76</v>
      </c>
      <c r="AA3966" s="93">
        <f>AA3965/10</f>
        <v>0.3</v>
      </c>
      <c r="AB3966" s="93">
        <f>AD3966/AC3962</f>
        <v>5.8666666666666671</v>
      </c>
      <c r="AC3966" s="93">
        <f>AC3962/AA3966</f>
        <v>42.720333333333357</v>
      </c>
      <c r="AD3966" s="94">
        <f>AC3966*Z3966</f>
        <v>75.18778666666671</v>
      </c>
      <c r="AE3966" s="190"/>
      <c r="AF3966" s="191"/>
      <c r="AG3966" s="191"/>
      <c r="AH3966" s="191"/>
      <c r="AI3966" s="186"/>
      <c r="AK3966" s="171"/>
    </row>
    <row r="3967" spans="1:41" s="102" customFormat="1" ht="19.899999999999999" customHeight="1" x14ac:dyDescent="0.25">
      <c r="A3967" s="45"/>
      <c r="B3967" s="59"/>
      <c r="C3967" s="137"/>
      <c r="D3967" s="59"/>
      <c r="E3967" s="116"/>
      <c r="F3967" s="120"/>
      <c r="G3967" s="120"/>
      <c r="H3967" s="120"/>
      <c r="I3967" s="60"/>
      <c r="J3967" s="116"/>
      <c r="K3967" s="213"/>
      <c r="L3967" s="120"/>
      <c r="M3967" s="120"/>
      <c r="N3967" s="167"/>
      <c r="O3967" s="120"/>
      <c r="P3967" s="120"/>
      <c r="Q3967" s="120"/>
      <c r="R3967" s="120"/>
      <c r="S3967" s="120"/>
      <c r="T3967" s="221"/>
      <c r="U3967" s="89"/>
      <c r="V3967" s="61"/>
      <c r="W3967" s="92" t="s">
        <v>1030</v>
      </c>
      <c r="X3967" s="93" t="s">
        <v>29</v>
      </c>
      <c r="Y3967" s="93" t="s">
        <v>93</v>
      </c>
      <c r="Z3967" s="134">
        <f>VLOOKUP(W3967,Sheet2!$B:$D,3,FALSE)</f>
        <v>23</v>
      </c>
      <c r="AA3967" s="93">
        <v>50</v>
      </c>
      <c r="AB3967" s="93">
        <f>AD3967/AC3962</f>
        <v>0.45999999999999996</v>
      </c>
      <c r="AC3967" s="93">
        <f>AC3962/AA3967</f>
        <v>0.25632200000000011</v>
      </c>
      <c r="AD3967" s="94">
        <f t="shared" ref="AD3967:AD3971" si="2942">AC3967*Z3967</f>
        <v>5.8954060000000021</v>
      </c>
      <c r="AE3967" s="190"/>
      <c r="AF3967" s="191"/>
      <c r="AG3967" s="191"/>
      <c r="AH3967" s="191"/>
      <c r="AI3967" s="186"/>
      <c r="AK3967" s="171"/>
    </row>
    <row r="3968" spans="1:41" s="102" customFormat="1" ht="19.899999999999999" customHeight="1" x14ac:dyDescent="0.25">
      <c r="A3968" s="45"/>
      <c r="B3968" s="59"/>
      <c r="C3968" s="137"/>
      <c r="D3968" s="59"/>
      <c r="E3968" s="116"/>
      <c r="F3968" s="120"/>
      <c r="G3968" s="120"/>
      <c r="H3968" s="120"/>
      <c r="I3968" s="60"/>
      <c r="J3968" s="116"/>
      <c r="K3968" s="213"/>
      <c r="L3968" s="120"/>
      <c r="M3968" s="120"/>
      <c r="N3968" s="167"/>
      <c r="O3968" s="120"/>
      <c r="P3968" s="120"/>
      <c r="Q3968" s="120"/>
      <c r="R3968" s="120"/>
      <c r="S3968" s="120"/>
      <c r="T3968" s="221"/>
      <c r="U3968" s="89"/>
      <c r="V3968" s="61"/>
      <c r="W3968" s="92" t="s">
        <v>65</v>
      </c>
      <c r="X3968" s="93" t="s">
        <v>30</v>
      </c>
      <c r="Y3968" s="93" t="s">
        <v>1011</v>
      </c>
      <c r="Z3968" s="134">
        <f>VLOOKUP(W3968,Sheet2!$B:$D,3,FALSE)</f>
        <v>1.76</v>
      </c>
      <c r="AA3968" s="93">
        <f>AA3967/3</f>
        <v>16.666666666666668</v>
      </c>
      <c r="AB3968" s="93">
        <f>AD3968/AC3962</f>
        <v>0.10559999999999999</v>
      </c>
      <c r="AC3968" s="93">
        <f>AC3962/AA3968</f>
        <v>0.76896600000000026</v>
      </c>
      <c r="AD3968" s="94">
        <f t="shared" si="2942"/>
        <v>1.3533801600000004</v>
      </c>
      <c r="AE3968" s="190"/>
      <c r="AF3968" s="191"/>
      <c r="AG3968" s="191"/>
      <c r="AH3968" s="191"/>
      <c r="AI3968" s="186"/>
      <c r="AK3968" s="171"/>
    </row>
    <row r="3969" spans="1:41" s="102" customFormat="1" ht="19.899999999999999" customHeight="1" x14ac:dyDescent="0.25">
      <c r="A3969" s="45"/>
      <c r="B3969" s="59"/>
      <c r="C3969" s="137"/>
      <c r="D3969" s="59"/>
      <c r="E3969" s="116"/>
      <c r="F3969" s="120"/>
      <c r="G3969" s="120"/>
      <c r="H3969" s="120"/>
      <c r="I3969" s="60"/>
      <c r="J3969" s="116"/>
      <c r="K3969" s="213"/>
      <c r="L3969" s="120"/>
      <c r="M3969" s="120"/>
      <c r="N3969" s="167"/>
      <c r="O3969" s="120"/>
      <c r="P3969" s="120"/>
      <c r="Q3969" s="120"/>
      <c r="R3969" s="120"/>
      <c r="S3969" s="120"/>
      <c r="T3969" s="221"/>
      <c r="U3969" s="89"/>
      <c r="V3969" s="61"/>
      <c r="W3969" s="92" t="s">
        <v>148</v>
      </c>
      <c r="X3969" s="93" t="s">
        <v>29</v>
      </c>
      <c r="Y3969" s="93" t="s">
        <v>93</v>
      </c>
      <c r="Z3969" s="134">
        <f>VLOOKUP(W3969,Sheet2!$B:$D,3,FALSE)</f>
        <v>48</v>
      </c>
      <c r="AA3969" s="93">
        <f>AA3963</f>
        <v>14.705882352941178</v>
      </c>
      <c r="AB3969" s="93">
        <f>AD3969/AC3962</f>
        <v>3.2639999999999998</v>
      </c>
      <c r="AC3969" s="93">
        <f>AC3962/AA3969</f>
        <v>0.87149480000000035</v>
      </c>
      <c r="AD3969" s="94">
        <f t="shared" si="2942"/>
        <v>41.831750400000018</v>
      </c>
      <c r="AE3969" s="190"/>
      <c r="AF3969" s="191"/>
      <c r="AG3969" s="191"/>
      <c r="AH3969" s="191"/>
      <c r="AI3969" s="186"/>
      <c r="AK3969" s="171"/>
    </row>
    <row r="3970" spans="1:41" s="102" customFormat="1" ht="19.899999999999999" customHeight="1" x14ac:dyDescent="0.25">
      <c r="A3970" s="45"/>
      <c r="B3970" s="59"/>
      <c r="C3970" s="137"/>
      <c r="D3970" s="59"/>
      <c r="E3970" s="116"/>
      <c r="F3970" s="120"/>
      <c r="G3970" s="120"/>
      <c r="H3970" s="120"/>
      <c r="I3970" s="60"/>
      <c r="J3970" s="116"/>
      <c r="K3970" s="213"/>
      <c r="L3970" s="120"/>
      <c r="M3970" s="120"/>
      <c r="N3970" s="167"/>
      <c r="O3970" s="120"/>
      <c r="P3970" s="120"/>
      <c r="Q3970" s="120"/>
      <c r="R3970" s="120"/>
      <c r="S3970" s="120"/>
      <c r="T3970" s="221"/>
      <c r="U3970" s="89"/>
      <c r="V3970" s="61"/>
      <c r="W3970" s="92" t="s">
        <v>65</v>
      </c>
      <c r="X3970" s="93" t="s">
        <v>30</v>
      </c>
      <c r="Y3970" s="93" t="s">
        <v>1011</v>
      </c>
      <c r="Z3970" s="134">
        <f>VLOOKUP(W3970,Sheet2!$B:$D,3,FALSE)</f>
        <v>1.76</v>
      </c>
      <c r="AA3970" s="93">
        <f>AA3969/10</f>
        <v>1.4705882352941178</v>
      </c>
      <c r="AB3970" s="93">
        <f>AD3970/AC3962</f>
        <v>1.1967999999999999</v>
      </c>
      <c r="AC3970" s="93">
        <f>AC3962/AA3970</f>
        <v>8.7149480000000032</v>
      </c>
      <c r="AD3970" s="94">
        <f t="shared" si="2942"/>
        <v>15.338308480000006</v>
      </c>
      <c r="AE3970" s="190"/>
      <c r="AF3970" s="191"/>
      <c r="AG3970" s="191"/>
      <c r="AH3970" s="191"/>
      <c r="AI3970" s="186"/>
      <c r="AK3970" s="171"/>
    </row>
    <row r="3971" spans="1:41" s="102" customFormat="1" ht="19.899999999999999" customHeight="1" x14ac:dyDescent="0.25">
      <c r="A3971" s="45"/>
      <c r="B3971" s="59"/>
      <c r="C3971" s="137"/>
      <c r="D3971" s="59"/>
      <c r="E3971" s="116"/>
      <c r="F3971" s="120"/>
      <c r="G3971" s="120"/>
      <c r="H3971" s="120"/>
      <c r="I3971" s="60"/>
      <c r="J3971" s="116"/>
      <c r="K3971" s="213"/>
      <c r="L3971" s="120"/>
      <c r="M3971" s="120"/>
      <c r="N3971" s="167"/>
      <c r="O3971" s="120"/>
      <c r="P3971" s="120"/>
      <c r="Q3971" s="120"/>
      <c r="R3971" s="120"/>
      <c r="S3971" s="120"/>
      <c r="T3971" s="221"/>
      <c r="U3971" s="89"/>
      <c r="V3971" s="61"/>
      <c r="W3971" s="92" t="s">
        <v>1049</v>
      </c>
      <c r="X3971" s="93" t="s">
        <v>30</v>
      </c>
      <c r="Y3971" s="93" t="s">
        <v>68</v>
      </c>
      <c r="Z3971" s="134">
        <f>VLOOKUP(W3971,Sheet2!$B:$D,3,FALSE)</f>
        <v>60</v>
      </c>
      <c r="AA3971" s="93">
        <v>1</v>
      </c>
      <c r="AB3971" s="93">
        <f>AD3971/AC3962</f>
        <v>60</v>
      </c>
      <c r="AC3971" s="93">
        <f>AC3962/AA3971</f>
        <v>12.816100000000006</v>
      </c>
      <c r="AD3971" s="94">
        <f t="shared" si="2942"/>
        <v>768.96600000000035</v>
      </c>
      <c r="AE3971" s="190"/>
      <c r="AF3971" s="191"/>
      <c r="AG3971" s="191"/>
      <c r="AH3971" s="191"/>
      <c r="AI3971" s="186"/>
      <c r="AK3971" s="171"/>
    </row>
    <row r="3972" spans="1:41" s="103" customFormat="1" ht="19.899999999999999" customHeight="1" x14ac:dyDescent="0.25">
      <c r="A3972" s="51"/>
      <c r="B3972" s="52"/>
      <c r="C3972" s="165"/>
      <c r="D3972" s="52"/>
      <c r="E3972" s="115"/>
      <c r="F3972" s="58"/>
      <c r="G3972" s="58"/>
      <c r="H3972" s="58"/>
      <c r="I3972" s="55"/>
      <c r="J3972" s="113">
        <f>J3961</f>
        <v>12.816100000000006</v>
      </c>
      <c r="K3972" s="212">
        <f>K3961</f>
        <v>12.816100000000006</v>
      </c>
      <c r="L3972" s="58"/>
      <c r="M3972" s="58">
        <f>K3972-L3972</f>
        <v>12.816100000000006</v>
      </c>
      <c r="N3972" s="166"/>
      <c r="O3972" s="58"/>
      <c r="P3972" s="58"/>
      <c r="Q3972" s="58"/>
      <c r="R3972" s="58"/>
      <c r="S3972" s="58"/>
      <c r="T3972" s="220"/>
      <c r="U3972" s="88"/>
      <c r="V3972" s="56"/>
      <c r="W3972" s="57" t="s">
        <v>1036</v>
      </c>
      <c r="X3972" s="53"/>
      <c r="Y3972" s="91" t="s">
        <v>68</v>
      </c>
      <c r="Z3972" s="136">
        <f>AD3972/AC3972</f>
        <v>518.58333333333337</v>
      </c>
      <c r="AA3972" s="58"/>
      <c r="AB3972" s="53">
        <f>AD3972/AC3972</f>
        <v>518.58333333333337</v>
      </c>
      <c r="AC3972" s="53">
        <f>M3972+$AE$10</f>
        <v>12.816100000000006</v>
      </c>
      <c r="AD3972" s="54">
        <f>SUM(AD3973:AD3978)</f>
        <v>6646.2158583333367</v>
      </c>
      <c r="AE3972" s="184">
        <f>SUMIFS($AD$37:$AD$12971,$V$37:$V$12971,$V3972,$X$37:$X$12971,AE$13)</f>
        <v>0</v>
      </c>
      <c r="AF3972" s="185">
        <f>SUMIFS($AD$37:$AD$12971,$V$37:$V$12971,$V3972,$X$37:$X$12971,AF$13)</f>
        <v>0</v>
      </c>
      <c r="AG3972" s="185">
        <f>SUMIFS($AD$37:$AD$12971,$V$37:$V$12971,$V3972,$X$37:$X$12971,AG$13)</f>
        <v>0</v>
      </c>
      <c r="AH3972" s="187">
        <f>SUMIFS($AD$37:$AD$12971,$V$37:$V$12971,$V3972,$X$37:$X$12971,AH$13)</f>
        <v>0</v>
      </c>
      <c r="AI3972" s="161">
        <f t="shared" ref="AI3972" si="2943">SUM(AE3972:AH3972)</f>
        <v>0</v>
      </c>
      <c r="AK3972" s="172"/>
    </row>
    <row r="3973" spans="1:41" s="102" customFormat="1" ht="19.899999999999999" customHeight="1" x14ac:dyDescent="0.25">
      <c r="A3973" s="45"/>
      <c r="B3973" s="59"/>
      <c r="C3973" s="137"/>
      <c r="D3973" s="59"/>
      <c r="E3973" s="116"/>
      <c r="F3973" s="120"/>
      <c r="G3973" s="120"/>
      <c r="H3973" s="120"/>
      <c r="I3973" s="60"/>
      <c r="J3973" s="116"/>
      <c r="K3973" s="213"/>
      <c r="L3973" s="120"/>
      <c r="M3973" s="120"/>
      <c r="N3973" s="167"/>
      <c r="O3973" s="120"/>
      <c r="P3973" s="120"/>
      <c r="Q3973" s="120"/>
      <c r="R3973" s="120"/>
      <c r="S3973" s="120"/>
      <c r="T3973" s="221"/>
      <c r="U3973" s="89"/>
      <c r="V3973" s="61"/>
      <c r="W3973" s="92" t="s">
        <v>1059</v>
      </c>
      <c r="X3973" s="93" t="s">
        <v>30</v>
      </c>
      <c r="Y3973" s="93" t="s">
        <v>68</v>
      </c>
      <c r="Z3973" s="134">
        <f>VLOOKUP(W3973,Sheet2!$B:$D,3,FALSE)</f>
        <v>350</v>
      </c>
      <c r="AA3973" s="93">
        <v>1</v>
      </c>
      <c r="AB3973" s="93">
        <f>AD3973/AC3972</f>
        <v>350</v>
      </c>
      <c r="AC3973" s="93">
        <f>AC3972/AA3973</f>
        <v>12.816100000000006</v>
      </c>
      <c r="AD3973" s="94">
        <f t="shared" ref="AD3973" si="2944">AC3973*Z3973</f>
        <v>4485.635000000002</v>
      </c>
      <c r="AE3973" s="190"/>
      <c r="AF3973" s="191"/>
      <c r="AG3973" s="191"/>
      <c r="AH3973" s="191"/>
      <c r="AI3973" s="186"/>
      <c r="AK3973" s="171"/>
    </row>
    <row r="3974" spans="1:41" s="102" customFormat="1" ht="19.899999999999999" customHeight="1" x14ac:dyDescent="0.25">
      <c r="A3974" s="45"/>
      <c r="B3974" s="59"/>
      <c r="C3974" s="137"/>
      <c r="D3974" s="59"/>
      <c r="E3974" s="116"/>
      <c r="F3974" s="120"/>
      <c r="G3974" s="120"/>
      <c r="H3974" s="120"/>
      <c r="I3974" s="60"/>
      <c r="J3974" s="116"/>
      <c r="K3974" s="213"/>
      <c r="L3974" s="120"/>
      <c r="M3974" s="120"/>
      <c r="N3974" s="167"/>
      <c r="O3974" s="120"/>
      <c r="P3974" s="120"/>
      <c r="Q3974" s="120"/>
      <c r="R3974" s="120"/>
      <c r="S3974" s="120"/>
      <c r="T3974" s="221"/>
      <c r="U3974" s="89"/>
      <c r="V3974" s="61"/>
      <c r="W3974" s="92" t="s">
        <v>1066</v>
      </c>
      <c r="X3974" s="93" t="s">
        <v>30</v>
      </c>
      <c r="Y3974" s="93" t="s">
        <v>68</v>
      </c>
      <c r="Z3974" s="134">
        <f>VLOOKUP(W3974,Sheet2!$B:$D,3,FALSE)</f>
        <v>35</v>
      </c>
      <c r="AA3974" s="93">
        <v>1</v>
      </c>
      <c r="AB3974" s="93">
        <f>AD3974/AC3972</f>
        <v>35</v>
      </c>
      <c r="AC3974" s="93">
        <f>AC3972/AA3974</f>
        <v>12.816100000000006</v>
      </c>
      <c r="AD3974" s="94">
        <f>AC3974*Z3974</f>
        <v>448.5635000000002</v>
      </c>
      <c r="AE3974" s="190"/>
      <c r="AF3974" s="191"/>
      <c r="AG3974" s="191"/>
      <c r="AH3974" s="191"/>
      <c r="AI3974" s="186"/>
      <c r="AK3974" s="171"/>
    </row>
    <row r="3975" spans="1:41" s="102" customFormat="1" ht="19.899999999999999" customHeight="1" x14ac:dyDescent="0.25">
      <c r="A3975" s="45"/>
      <c r="B3975" s="59"/>
      <c r="C3975" s="137"/>
      <c r="D3975" s="59"/>
      <c r="E3975" s="116"/>
      <c r="F3975" s="120"/>
      <c r="G3975" s="120"/>
      <c r="H3975" s="120"/>
      <c r="I3975" s="60"/>
      <c r="J3975" s="116"/>
      <c r="K3975" s="213"/>
      <c r="L3975" s="120"/>
      <c r="M3975" s="120"/>
      <c r="N3975" s="167"/>
      <c r="O3975" s="120"/>
      <c r="P3975" s="120"/>
      <c r="Q3975" s="120"/>
      <c r="R3975" s="120"/>
      <c r="S3975" s="120"/>
      <c r="T3975" s="221"/>
      <c r="U3975" s="89"/>
      <c r="V3975" s="61"/>
      <c r="W3975" s="92" t="s">
        <v>1073</v>
      </c>
      <c r="X3975" s="93" t="s">
        <v>32</v>
      </c>
      <c r="Y3975" s="93" t="s">
        <v>68</v>
      </c>
      <c r="Z3975" s="134">
        <f>VLOOKUP(W3975,Sheet2!$B:$D,3,FALSE)</f>
        <v>65</v>
      </c>
      <c r="AA3975" s="93">
        <v>1</v>
      </c>
      <c r="AB3975" s="93">
        <f>AD3975/AC3972</f>
        <v>65</v>
      </c>
      <c r="AC3975" s="93">
        <f>AC3972/AA3975</f>
        <v>12.816100000000006</v>
      </c>
      <c r="AD3975" s="94">
        <f>AC3975*Z3975</f>
        <v>833.04650000000038</v>
      </c>
      <c r="AE3975" s="190"/>
      <c r="AF3975" s="191"/>
      <c r="AG3975" s="191"/>
      <c r="AH3975" s="191"/>
      <c r="AI3975" s="186"/>
      <c r="AK3975" s="171"/>
    </row>
    <row r="3976" spans="1:41" s="102" customFormat="1" ht="19.899999999999999" customHeight="1" x14ac:dyDescent="0.25">
      <c r="A3976" s="45"/>
      <c r="B3976" s="59"/>
      <c r="C3976" s="137"/>
      <c r="D3976" s="59"/>
      <c r="E3976" s="116"/>
      <c r="F3976" s="120"/>
      <c r="G3976" s="120"/>
      <c r="H3976" s="120"/>
      <c r="I3976" s="60"/>
      <c r="J3976" s="116"/>
      <c r="K3976" s="213"/>
      <c r="L3976" s="120"/>
      <c r="M3976" s="120"/>
      <c r="N3976" s="167"/>
      <c r="O3976" s="120"/>
      <c r="P3976" s="120"/>
      <c r="Q3976" s="120"/>
      <c r="R3976" s="120"/>
      <c r="S3976" s="120"/>
      <c r="T3976" s="221"/>
      <c r="U3976" s="89"/>
      <c r="V3976" s="61"/>
      <c r="W3976" s="92" t="s">
        <v>1032</v>
      </c>
      <c r="X3976" s="93" t="s">
        <v>30</v>
      </c>
      <c r="Y3976" s="93" t="s">
        <v>66</v>
      </c>
      <c r="Z3976" s="134">
        <f>VLOOKUP(W3976,Sheet2!$B:$D,3,FALSE)</f>
        <v>250</v>
      </c>
      <c r="AA3976" s="93">
        <f>1/(1.7*0.1)</f>
        <v>5.8823529411764701</v>
      </c>
      <c r="AB3976" s="93">
        <f>AD3976/AC3972</f>
        <v>42.500000000000007</v>
      </c>
      <c r="AC3976" s="93">
        <f>AC3972/AA3976</f>
        <v>2.1787370000000013</v>
      </c>
      <c r="AD3976" s="94">
        <f>AC3976*Z3976</f>
        <v>544.68425000000036</v>
      </c>
      <c r="AE3976" s="190"/>
      <c r="AF3976" s="191"/>
      <c r="AG3976" s="191"/>
      <c r="AH3976" s="191"/>
      <c r="AI3976" s="186"/>
      <c r="AK3976" s="171"/>
    </row>
    <row r="3977" spans="1:41" s="102" customFormat="1" ht="19.899999999999999" customHeight="1" x14ac:dyDescent="0.25">
      <c r="A3977" s="45"/>
      <c r="B3977" s="59"/>
      <c r="C3977" s="137"/>
      <c r="D3977" s="59"/>
      <c r="E3977" s="116"/>
      <c r="F3977" s="120"/>
      <c r="G3977" s="120"/>
      <c r="H3977" s="120"/>
      <c r="I3977" s="60"/>
      <c r="J3977" s="116"/>
      <c r="K3977" s="213"/>
      <c r="L3977" s="120"/>
      <c r="M3977" s="120"/>
      <c r="N3977" s="167"/>
      <c r="O3977" s="120"/>
      <c r="P3977" s="120"/>
      <c r="Q3977" s="120"/>
      <c r="R3977" s="120"/>
      <c r="S3977" s="120"/>
      <c r="T3977" s="221"/>
      <c r="U3977" s="89"/>
      <c r="V3977" s="61"/>
      <c r="W3977" s="92" t="s">
        <v>1035</v>
      </c>
      <c r="X3977" s="93" t="s">
        <v>32</v>
      </c>
      <c r="Y3977" s="93" t="s">
        <v>66</v>
      </c>
      <c r="Z3977" s="134">
        <f>VLOOKUP(W3977,Sheet2!$B:$D,3,FALSE)</f>
        <v>150</v>
      </c>
      <c r="AA3977" s="93">
        <f>AA3976</f>
        <v>5.8823529411764701</v>
      </c>
      <c r="AB3977" s="93">
        <f>AD3977/AC3972</f>
        <v>25.500000000000004</v>
      </c>
      <c r="AC3977" s="93">
        <f>AC3972/AA3977</f>
        <v>2.1787370000000013</v>
      </c>
      <c r="AD3977" s="94">
        <f t="shared" ref="AD3977:AD3978" si="2945">AC3977*Z3977</f>
        <v>326.81055000000021</v>
      </c>
      <c r="AE3977" s="190"/>
      <c r="AF3977" s="191"/>
      <c r="AG3977" s="191"/>
      <c r="AH3977" s="191"/>
      <c r="AI3977" s="186"/>
      <c r="AK3977" s="171"/>
    </row>
    <row r="3978" spans="1:41" s="102" customFormat="1" ht="19.899999999999999" customHeight="1" x14ac:dyDescent="0.25">
      <c r="A3978" s="45"/>
      <c r="B3978" s="59"/>
      <c r="C3978" s="137"/>
      <c r="D3978" s="59"/>
      <c r="E3978" s="116"/>
      <c r="F3978" s="120"/>
      <c r="G3978" s="120"/>
      <c r="H3978" s="120"/>
      <c r="I3978" s="60"/>
      <c r="J3978" s="116"/>
      <c r="K3978" s="213"/>
      <c r="L3978" s="120"/>
      <c r="M3978" s="120"/>
      <c r="N3978" s="167"/>
      <c r="O3978" s="120"/>
      <c r="P3978" s="120"/>
      <c r="Q3978" s="120"/>
      <c r="R3978" s="120"/>
      <c r="S3978" s="120"/>
      <c r="T3978" s="221"/>
      <c r="U3978" s="89"/>
      <c r="V3978" s="61"/>
      <c r="W3978" s="92" t="s">
        <v>1037</v>
      </c>
      <c r="X3978" s="93" t="s">
        <v>30</v>
      </c>
      <c r="Y3978" s="93" t="s">
        <v>1038</v>
      </c>
      <c r="Z3978" s="134">
        <f>VLOOKUP(W3978,Sheet2!$B:$D,3,FALSE)</f>
        <v>175</v>
      </c>
      <c r="AA3978" s="93">
        <v>300</v>
      </c>
      <c r="AB3978" s="93">
        <f>AD3978/AC3972</f>
        <v>0.58333333333333337</v>
      </c>
      <c r="AC3978" s="93">
        <f>AC3972/AA3978</f>
        <v>4.2720333333333353E-2</v>
      </c>
      <c r="AD3978" s="94">
        <f t="shared" si="2945"/>
        <v>7.476058333333337</v>
      </c>
      <c r="AE3978" s="190"/>
      <c r="AF3978" s="191"/>
      <c r="AG3978" s="191"/>
      <c r="AH3978" s="191"/>
      <c r="AI3978" s="186"/>
      <c r="AK3978" s="171"/>
    </row>
    <row r="3979" spans="1:41" s="103" customFormat="1" ht="19.899999999999999" customHeight="1" x14ac:dyDescent="0.25">
      <c r="A3979" s="51"/>
      <c r="B3979" s="52"/>
      <c r="C3979" s="165"/>
      <c r="D3979" s="52"/>
      <c r="E3979" s="115"/>
      <c r="F3979" s="58"/>
      <c r="G3979" s="58"/>
      <c r="H3979" s="58"/>
      <c r="I3979" s="55"/>
      <c r="J3979" s="113">
        <f>J3961</f>
        <v>12.816100000000006</v>
      </c>
      <c r="K3979" s="212">
        <f>K3961</f>
        <v>12.816100000000006</v>
      </c>
      <c r="L3979" s="58"/>
      <c r="M3979" s="58">
        <f>K3979-L3979</f>
        <v>12.816100000000006</v>
      </c>
      <c r="N3979" s="166"/>
      <c r="O3979" s="58"/>
      <c r="P3979" s="58"/>
      <c r="Q3979" s="58"/>
      <c r="R3979" s="58"/>
      <c r="S3979" s="58"/>
      <c r="T3979" s="220"/>
      <c r="U3979" s="88"/>
      <c r="V3979" s="56"/>
      <c r="W3979" s="57" t="s">
        <v>1040</v>
      </c>
      <c r="X3979" s="53"/>
      <c r="Y3979" s="91" t="s">
        <v>68</v>
      </c>
      <c r="Z3979" s="136">
        <f>AD3979/AC3979</f>
        <v>5</v>
      </c>
      <c r="AA3979" s="58"/>
      <c r="AB3979" s="53">
        <f>AD3979/AC3979</f>
        <v>5</v>
      </c>
      <c r="AC3979" s="53">
        <f>M3979+$AE$10</f>
        <v>12.816100000000006</v>
      </c>
      <c r="AD3979" s="54">
        <f>SUM(AD3980)</f>
        <v>64.080500000000029</v>
      </c>
      <c r="AE3979" s="184">
        <f>SUMIFS($AD$37:$AD$12971,$V$37:$V$12971,$V3979,$X$37:$X$12971,AE$13)</f>
        <v>0</v>
      </c>
      <c r="AF3979" s="185">
        <f>SUMIFS($AD$37:$AD$12971,$V$37:$V$12971,$V3979,$X$37:$X$12971,AF$13)</f>
        <v>0</v>
      </c>
      <c r="AG3979" s="185">
        <f>SUMIFS($AD$37:$AD$12971,$V$37:$V$12971,$V3979,$X$37:$X$12971,AG$13)</f>
        <v>0</v>
      </c>
      <c r="AH3979" s="187">
        <f>SUMIFS($AD$37:$AD$12971,$V$37:$V$12971,$V3979,$X$37:$X$12971,AH$13)</f>
        <v>0</v>
      </c>
      <c r="AI3979" s="161">
        <f t="shared" ref="AI3979" si="2946">SUM(AE3979:AH3979)</f>
        <v>0</v>
      </c>
      <c r="AK3979" s="172"/>
    </row>
    <row r="3980" spans="1:41" s="102" customFormat="1" ht="19.899999999999999" customHeight="1" x14ac:dyDescent="0.25">
      <c r="A3980" s="45"/>
      <c r="B3980" s="59"/>
      <c r="C3980" s="137"/>
      <c r="D3980" s="59"/>
      <c r="E3980" s="116"/>
      <c r="F3980" s="120"/>
      <c r="G3980" s="120"/>
      <c r="H3980" s="120"/>
      <c r="I3980" s="60"/>
      <c r="J3980" s="116"/>
      <c r="K3980" s="213"/>
      <c r="L3980" s="120"/>
      <c r="M3980" s="120"/>
      <c r="N3980" s="167"/>
      <c r="O3980" s="120"/>
      <c r="P3980" s="120"/>
      <c r="Q3980" s="120"/>
      <c r="R3980" s="120"/>
      <c r="S3980" s="120"/>
      <c r="T3980" s="221"/>
      <c r="U3980" s="89"/>
      <c r="V3980" s="61"/>
      <c r="W3980" s="92" t="s">
        <v>1039</v>
      </c>
      <c r="X3980" s="93" t="s">
        <v>32</v>
      </c>
      <c r="Y3980" s="93" t="s">
        <v>68</v>
      </c>
      <c r="Z3980" s="134">
        <f>VLOOKUP(W3980,Sheet2!$B:$D,3,FALSE)</f>
        <v>5</v>
      </c>
      <c r="AA3980" s="93">
        <v>1</v>
      </c>
      <c r="AB3980" s="93">
        <f>AD3980/AC3979</f>
        <v>5</v>
      </c>
      <c r="AC3980" s="93">
        <f>AC3979/AA3980</f>
        <v>12.816100000000006</v>
      </c>
      <c r="AD3980" s="94">
        <f t="shared" ref="AD3980" si="2947">AC3980*Z3980</f>
        <v>64.080500000000029</v>
      </c>
      <c r="AE3980" s="190"/>
      <c r="AF3980" s="191"/>
      <c r="AG3980" s="191"/>
      <c r="AH3980" s="191"/>
      <c r="AI3980" s="186"/>
      <c r="AK3980" s="171"/>
    </row>
    <row r="3981" spans="1:41" ht="20.100000000000001" customHeight="1" x14ac:dyDescent="0.25">
      <c r="A3981" s="277" t="s">
        <v>491</v>
      </c>
      <c r="B3981" s="278"/>
      <c r="C3981" s="64" t="s">
        <v>495</v>
      </c>
      <c r="D3981" s="46" t="s">
        <v>97</v>
      </c>
      <c r="E3981" s="114">
        <v>3.9099999999999966</v>
      </c>
      <c r="F3981" s="44">
        <v>1017</v>
      </c>
      <c r="G3981" s="44">
        <f t="shared" si="2434"/>
        <v>3976.4699999999966</v>
      </c>
      <c r="H3981" s="44">
        <f t="shared" si="2435"/>
        <v>619.93629333333342</v>
      </c>
      <c r="I3981" s="43">
        <f t="shared" si="2436"/>
        <v>2423.9509069333317</v>
      </c>
      <c r="J3981" s="112">
        <f t="shared" si="2437"/>
        <v>3.9099999999999966</v>
      </c>
      <c r="K3981" s="211">
        <f t="shared" si="2438"/>
        <v>3.9099999999999966</v>
      </c>
      <c r="L3981" s="44"/>
      <c r="M3981" s="44">
        <f t="shared" si="2458"/>
        <v>3.9099999999999966</v>
      </c>
      <c r="N3981" s="173">
        <f t="shared" si="2439"/>
        <v>1</v>
      </c>
      <c r="O3981" s="44">
        <f t="shared" si="2440"/>
        <v>1017</v>
      </c>
      <c r="P3981" s="44">
        <f t="shared" si="2441"/>
        <v>3976.4699999999966</v>
      </c>
      <c r="Q3981" s="44">
        <f t="shared" si="2442"/>
        <v>619.93629333333342</v>
      </c>
      <c r="R3981" s="44">
        <f t="shared" si="2459"/>
        <v>2423.9509069333317</v>
      </c>
      <c r="S3981" s="123"/>
      <c r="T3981" s="219">
        <f t="shared" si="2460"/>
        <v>2423.9509069333317</v>
      </c>
      <c r="U3981" s="87"/>
      <c r="V3981" s="47"/>
      <c r="W3981" s="48"/>
      <c r="X3981" s="48"/>
      <c r="Y3981" s="48"/>
      <c r="Z3981" s="135"/>
      <c r="AA3981" s="49"/>
      <c r="AB3981" s="50">
        <f t="shared" si="2443"/>
        <v>619.93629333333342</v>
      </c>
      <c r="AC3981" s="42">
        <f t="shared" si="2461"/>
        <v>3.9099999999999966</v>
      </c>
      <c r="AD3981" s="90">
        <f>AD3982+AD3992+AD3999</f>
        <v>2423.9509069333317</v>
      </c>
      <c r="AE3981" s="188">
        <f t="shared" ref="AE3981" si="2948">AE3982+AE3992+AE3999</f>
        <v>0</v>
      </c>
      <c r="AF3981" s="189">
        <f t="shared" ref="AF3981" si="2949">AF3982+AF3992+AF3999</f>
        <v>0</v>
      </c>
      <c r="AG3981" s="189">
        <f t="shared" ref="AG3981" si="2950">AG3982+AG3992+AG3999</f>
        <v>0</v>
      </c>
      <c r="AH3981" s="189">
        <f t="shared" ref="AH3981" si="2951">AH3982+AH3992+AH3999</f>
        <v>0</v>
      </c>
      <c r="AI3981" s="161">
        <f t="shared" ref="AI3981" si="2952">SUM(AE3981:AH3981)</f>
        <v>0</v>
      </c>
      <c r="AK3981" s="169">
        <v>5</v>
      </c>
      <c r="AO3981" s="19" t="s">
        <v>63</v>
      </c>
    </row>
    <row r="3982" spans="1:41" s="103" customFormat="1" ht="19.899999999999999" customHeight="1" x14ac:dyDescent="0.25">
      <c r="A3982" s="51"/>
      <c r="B3982" s="52"/>
      <c r="C3982" s="165"/>
      <c r="D3982" s="52"/>
      <c r="E3982" s="115"/>
      <c r="F3982" s="58"/>
      <c r="G3982" s="58"/>
      <c r="H3982" s="58"/>
      <c r="I3982" s="55"/>
      <c r="J3982" s="113">
        <f>J3981</f>
        <v>3.9099999999999966</v>
      </c>
      <c r="K3982" s="212">
        <f>K3981</f>
        <v>3.9099999999999966</v>
      </c>
      <c r="L3982" s="58"/>
      <c r="M3982" s="58">
        <f>K3982-L3982</f>
        <v>3.9099999999999966</v>
      </c>
      <c r="N3982" s="166"/>
      <c r="O3982" s="58"/>
      <c r="P3982" s="58"/>
      <c r="Q3982" s="58"/>
      <c r="R3982" s="58"/>
      <c r="S3982" s="58"/>
      <c r="T3982" s="220"/>
      <c r="U3982" s="88"/>
      <c r="V3982" s="56"/>
      <c r="W3982" s="57" t="s">
        <v>1245</v>
      </c>
      <c r="X3982" s="53"/>
      <c r="Y3982" s="91" t="s">
        <v>68</v>
      </c>
      <c r="Z3982" s="136">
        <f>AD3982/AC3982</f>
        <v>96.352959999999982</v>
      </c>
      <c r="AA3982" s="58"/>
      <c r="AB3982" s="53">
        <f>AD3982/AC3982</f>
        <v>96.352959999999982</v>
      </c>
      <c r="AC3982" s="53">
        <f>M3982+$AE$10</f>
        <v>3.9099999999999966</v>
      </c>
      <c r="AD3982" s="54">
        <f>SUM(AD3983:AD3991)</f>
        <v>376.74007359999962</v>
      </c>
      <c r="AE3982" s="184">
        <f>SUMIFS($AD$37:$AD$12971,$V$37:$V$12971,$V3982,$X$37:$X$12971,AE$13)</f>
        <v>0</v>
      </c>
      <c r="AF3982" s="185">
        <f>SUMIFS($AD$37:$AD$12971,$V$37:$V$12971,$V3982,$X$37:$X$12971,AF$13)</f>
        <v>0</v>
      </c>
      <c r="AG3982" s="185">
        <f>SUMIFS($AD$37:$AD$12971,$V$37:$V$12971,$V3982,$X$37:$X$12971,AG$13)</f>
        <v>0</v>
      </c>
      <c r="AH3982" s="187">
        <f>SUMIFS($AD$37:$AD$12971,$V$37:$V$12971,$V3982,$X$37:$X$12971,AH$13)</f>
        <v>0</v>
      </c>
      <c r="AI3982" s="161">
        <f t="shared" ref="AI3982" si="2953">SUM(AE3982:AH3982)</f>
        <v>0</v>
      </c>
      <c r="AK3982" s="172"/>
    </row>
    <row r="3983" spans="1:41" s="102" customFormat="1" ht="19.899999999999999" customHeight="1" x14ac:dyDescent="0.25">
      <c r="A3983" s="45"/>
      <c r="B3983" s="59"/>
      <c r="C3983" s="137"/>
      <c r="D3983" s="59"/>
      <c r="E3983" s="116"/>
      <c r="F3983" s="120"/>
      <c r="G3983" s="120"/>
      <c r="H3983" s="120"/>
      <c r="I3983" s="60"/>
      <c r="J3983" s="116"/>
      <c r="K3983" s="213"/>
      <c r="L3983" s="120"/>
      <c r="M3983" s="120"/>
      <c r="N3983" s="167"/>
      <c r="O3983" s="120"/>
      <c r="P3983" s="120"/>
      <c r="Q3983" s="120"/>
      <c r="R3983" s="120"/>
      <c r="S3983" s="120"/>
      <c r="T3983" s="221"/>
      <c r="U3983" s="89"/>
      <c r="V3983" s="61"/>
      <c r="W3983" s="92" t="s">
        <v>129</v>
      </c>
      <c r="X3983" s="93" t="s">
        <v>29</v>
      </c>
      <c r="Y3983" s="93" t="s">
        <v>93</v>
      </c>
      <c r="Z3983" s="134">
        <f>VLOOKUP(W3983,Sheet2!$B:$D,3,FALSE)</f>
        <v>56</v>
      </c>
      <c r="AA3983" s="93">
        <f>100/(1.7*4.5)</f>
        <v>13.071895424836603</v>
      </c>
      <c r="AB3983" s="93">
        <f t="shared" ref="AB3983" si="2954">AD3983/AC3982</f>
        <v>4.2839999999999998</v>
      </c>
      <c r="AC3983" s="93">
        <f>AC3982/AA3983</f>
        <v>0.29911499999999969</v>
      </c>
      <c r="AD3983" s="94">
        <f t="shared" ref="AD3983:AD3984" si="2955">AC3983*Z3983</f>
        <v>16.750439999999983</v>
      </c>
      <c r="AE3983" s="190"/>
      <c r="AF3983" s="191"/>
      <c r="AG3983" s="191"/>
      <c r="AH3983" s="191"/>
      <c r="AI3983" s="186"/>
      <c r="AK3983" s="171"/>
    </row>
    <row r="3984" spans="1:41" s="102" customFormat="1" ht="19.899999999999999" customHeight="1" x14ac:dyDescent="0.25">
      <c r="A3984" s="45"/>
      <c r="B3984" s="59"/>
      <c r="C3984" s="137"/>
      <c r="D3984" s="59"/>
      <c r="E3984" s="116"/>
      <c r="F3984" s="120"/>
      <c r="G3984" s="120"/>
      <c r="H3984" s="120"/>
      <c r="I3984" s="60"/>
      <c r="J3984" s="116"/>
      <c r="K3984" s="213"/>
      <c r="L3984" s="120"/>
      <c r="M3984" s="120"/>
      <c r="N3984" s="167"/>
      <c r="O3984" s="120"/>
      <c r="P3984" s="120"/>
      <c r="Q3984" s="120"/>
      <c r="R3984" s="120"/>
      <c r="S3984" s="120"/>
      <c r="T3984" s="221"/>
      <c r="U3984" s="89"/>
      <c r="V3984" s="61"/>
      <c r="W3984" s="92" t="s">
        <v>65</v>
      </c>
      <c r="X3984" s="93" t="s">
        <v>30</v>
      </c>
      <c r="Y3984" s="93" t="s">
        <v>1011</v>
      </c>
      <c r="Z3984" s="134">
        <f>VLOOKUP(W3984,Sheet2!$B:$D,3,FALSE)</f>
        <v>1.76</v>
      </c>
      <c r="AA3984" s="93">
        <f>AA3983/14</f>
        <v>0.93370681605975736</v>
      </c>
      <c r="AB3984" s="93">
        <f>AD3984/AC3982</f>
        <v>1.8849599999999997</v>
      </c>
      <c r="AC3984" s="93">
        <f>AC3982/AA3984</f>
        <v>4.1876099999999958</v>
      </c>
      <c r="AD3984" s="94">
        <f t="shared" si="2955"/>
        <v>7.3701935999999924</v>
      </c>
      <c r="AE3984" s="190"/>
      <c r="AF3984" s="191"/>
      <c r="AG3984" s="191"/>
      <c r="AH3984" s="191"/>
      <c r="AI3984" s="186"/>
      <c r="AK3984" s="171"/>
    </row>
    <row r="3985" spans="1:37" s="102" customFormat="1" ht="19.899999999999999" customHeight="1" x14ac:dyDescent="0.25">
      <c r="A3985" s="45"/>
      <c r="B3985" s="59"/>
      <c r="C3985" s="137"/>
      <c r="D3985" s="59"/>
      <c r="E3985" s="116"/>
      <c r="F3985" s="120"/>
      <c r="G3985" s="120"/>
      <c r="H3985" s="120"/>
      <c r="I3985" s="60"/>
      <c r="J3985" s="116"/>
      <c r="K3985" s="213"/>
      <c r="L3985" s="120"/>
      <c r="M3985" s="120"/>
      <c r="N3985" s="167"/>
      <c r="O3985" s="120"/>
      <c r="P3985" s="120"/>
      <c r="Q3985" s="120"/>
      <c r="R3985" s="120"/>
      <c r="S3985" s="120"/>
      <c r="T3985" s="221"/>
      <c r="U3985" s="89"/>
      <c r="V3985" s="61"/>
      <c r="W3985" s="92" t="s">
        <v>161</v>
      </c>
      <c r="X3985" s="93" t="s">
        <v>29</v>
      </c>
      <c r="Y3985" s="93" t="s">
        <v>93</v>
      </c>
      <c r="Z3985" s="134">
        <f>VLOOKUP(W3985,Sheet2!$B:$D,3,FALSE)</f>
        <v>48</v>
      </c>
      <c r="AA3985" s="93">
        <f>(16*0.85*1.5)/(1.7*4.5)</f>
        <v>2.6666666666666665</v>
      </c>
      <c r="AB3985" s="93">
        <f>AD3985/AC3982</f>
        <v>18</v>
      </c>
      <c r="AC3985" s="93">
        <f>AC3982/AA3985</f>
        <v>1.4662499999999987</v>
      </c>
      <c r="AD3985" s="94">
        <f>AC3985*Z3985</f>
        <v>70.379999999999939</v>
      </c>
      <c r="AE3985" s="190"/>
      <c r="AF3985" s="191"/>
      <c r="AG3985" s="191"/>
      <c r="AH3985" s="191"/>
      <c r="AI3985" s="186"/>
      <c r="AK3985" s="171"/>
    </row>
    <row r="3986" spans="1:37" s="102" customFormat="1" ht="19.899999999999999" customHeight="1" x14ac:dyDescent="0.25">
      <c r="A3986" s="45"/>
      <c r="B3986" s="59"/>
      <c r="C3986" s="137"/>
      <c r="D3986" s="59"/>
      <c r="E3986" s="116"/>
      <c r="F3986" s="120"/>
      <c r="G3986" s="120"/>
      <c r="H3986" s="120"/>
      <c r="I3986" s="60"/>
      <c r="J3986" s="116"/>
      <c r="K3986" s="213"/>
      <c r="L3986" s="120"/>
      <c r="M3986" s="120"/>
      <c r="N3986" s="167"/>
      <c r="O3986" s="120"/>
      <c r="P3986" s="120"/>
      <c r="Q3986" s="120"/>
      <c r="R3986" s="120"/>
      <c r="S3986" s="120"/>
      <c r="T3986" s="221"/>
      <c r="U3986" s="89"/>
      <c r="V3986" s="61"/>
      <c r="W3986" s="92" t="s">
        <v>65</v>
      </c>
      <c r="X3986" s="93" t="s">
        <v>30</v>
      </c>
      <c r="Y3986" s="93" t="s">
        <v>1011</v>
      </c>
      <c r="Z3986" s="134">
        <f>VLOOKUP(W3986,Sheet2!$B:$D,3,FALSE)</f>
        <v>1.76</v>
      </c>
      <c r="AA3986" s="93">
        <f>AA3985/10</f>
        <v>0.26666666666666666</v>
      </c>
      <c r="AB3986" s="93">
        <f>AD3986/AC3982</f>
        <v>6.6</v>
      </c>
      <c r="AC3986" s="93">
        <f>AC3982/AA3986</f>
        <v>14.662499999999987</v>
      </c>
      <c r="AD3986" s="94">
        <f>AC3986*Z3986</f>
        <v>25.805999999999976</v>
      </c>
      <c r="AE3986" s="190"/>
      <c r="AF3986" s="191"/>
      <c r="AG3986" s="191"/>
      <c r="AH3986" s="191"/>
      <c r="AI3986" s="186"/>
      <c r="AK3986" s="171"/>
    </row>
    <row r="3987" spans="1:37" s="102" customFormat="1" ht="19.899999999999999" customHeight="1" x14ac:dyDescent="0.25">
      <c r="A3987" s="45"/>
      <c r="B3987" s="59"/>
      <c r="C3987" s="137"/>
      <c r="D3987" s="59"/>
      <c r="E3987" s="116"/>
      <c r="F3987" s="120"/>
      <c r="G3987" s="120"/>
      <c r="H3987" s="120"/>
      <c r="I3987" s="60"/>
      <c r="J3987" s="116"/>
      <c r="K3987" s="213"/>
      <c r="L3987" s="120"/>
      <c r="M3987" s="120"/>
      <c r="N3987" s="167"/>
      <c r="O3987" s="120"/>
      <c r="P3987" s="120"/>
      <c r="Q3987" s="120"/>
      <c r="R3987" s="120"/>
      <c r="S3987" s="120"/>
      <c r="T3987" s="221"/>
      <c r="U3987" s="89"/>
      <c r="V3987" s="61"/>
      <c r="W3987" s="92" t="s">
        <v>1030</v>
      </c>
      <c r="X3987" s="93" t="s">
        <v>29</v>
      </c>
      <c r="Y3987" s="93" t="s">
        <v>93</v>
      </c>
      <c r="Z3987" s="134">
        <f>VLOOKUP(W3987,Sheet2!$B:$D,3,FALSE)</f>
        <v>23</v>
      </c>
      <c r="AA3987" s="93">
        <v>50</v>
      </c>
      <c r="AB3987" s="93">
        <f>AD3987/AC3982</f>
        <v>0.46000000000000008</v>
      </c>
      <c r="AC3987" s="93">
        <f>AC3982/AA3987</f>
        <v>7.8199999999999936E-2</v>
      </c>
      <c r="AD3987" s="94">
        <f t="shared" ref="AD3987:AD3991" si="2956">AC3987*Z3987</f>
        <v>1.7985999999999986</v>
      </c>
      <c r="AE3987" s="190"/>
      <c r="AF3987" s="191"/>
      <c r="AG3987" s="191"/>
      <c r="AH3987" s="191"/>
      <c r="AI3987" s="186"/>
      <c r="AK3987" s="171"/>
    </row>
    <row r="3988" spans="1:37" s="102" customFormat="1" ht="19.899999999999999" customHeight="1" x14ac:dyDescent="0.25">
      <c r="A3988" s="45"/>
      <c r="B3988" s="59"/>
      <c r="C3988" s="137"/>
      <c r="D3988" s="59"/>
      <c r="E3988" s="116"/>
      <c r="F3988" s="120"/>
      <c r="G3988" s="120"/>
      <c r="H3988" s="120"/>
      <c r="I3988" s="60"/>
      <c r="J3988" s="116"/>
      <c r="K3988" s="213"/>
      <c r="L3988" s="120"/>
      <c r="M3988" s="120"/>
      <c r="N3988" s="167"/>
      <c r="O3988" s="120"/>
      <c r="P3988" s="120"/>
      <c r="Q3988" s="120"/>
      <c r="R3988" s="120"/>
      <c r="S3988" s="120"/>
      <c r="T3988" s="221"/>
      <c r="U3988" s="89"/>
      <c r="V3988" s="61"/>
      <c r="W3988" s="92" t="s">
        <v>65</v>
      </c>
      <c r="X3988" s="93" t="s">
        <v>30</v>
      </c>
      <c r="Y3988" s="93" t="s">
        <v>1011</v>
      </c>
      <c r="Z3988" s="134">
        <f>VLOOKUP(W3988,Sheet2!$B:$D,3,FALSE)</f>
        <v>1.76</v>
      </c>
      <c r="AA3988" s="93">
        <f>AA3987/3</f>
        <v>16.666666666666668</v>
      </c>
      <c r="AB3988" s="93">
        <f>AD3988/AC3982</f>
        <v>0.10559999999999999</v>
      </c>
      <c r="AC3988" s="93">
        <f>AC3982/AA3988</f>
        <v>0.23459999999999978</v>
      </c>
      <c r="AD3988" s="94">
        <f t="shared" si="2956"/>
        <v>0.4128959999999996</v>
      </c>
      <c r="AE3988" s="190"/>
      <c r="AF3988" s="191"/>
      <c r="AG3988" s="191"/>
      <c r="AH3988" s="191"/>
      <c r="AI3988" s="186"/>
      <c r="AK3988" s="171"/>
    </row>
    <row r="3989" spans="1:37" s="102" customFormat="1" ht="19.899999999999999" customHeight="1" x14ac:dyDescent="0.25">
      <c r="A3989" s="45"/>
      <c r="B3989" s="59"/>
      <c r="C3989" s="137"/>
      <c r="D3989" s="59"/>
      <c r="E3989" s="116"/>
      <c r="F3989" s="120"/>
      <c r="G3989" s="120"/>
      <c r="H3989" s="120"/>
      <c r="I3989" s="60"/>
      <c r="J3989" s="116"/>
      <c r="K3989" s="213"/>
      <c r="L3989" s="120"/>
      <c r="M3989" s="120"/>
      <c r="N3989" s="167"/>
      <c r="O3989" s="120"/>
      <c r="P3989" s="120"/>
      <c r="Q3989" s="120"/>
      <c r="R3989" s="120"/>
      <c r="S3989" s="120"/>
      <c r="T3989" s="221"/>
      <c r="U3989" s="89"/>
      <c r="V3989" s="61"/>
      <c r="W3989" s="92" t="s">
        <v>148</v>
      </c>
      <c r="X3989" s="93" t="s">
        <v>29</v>
      </c>
      <c r="Y3989" s="93" t="s">
        <v>93</v>
      </c>
      <c r="Z3989" s="134">
        <f>VLOOKUP(W3989,Sheet2!$B:$D,3,FALSE)</f>
        <v>48</v>
      </c>
      <c r="AA3989" s="93">
        <f>AA3983</f>
        <v>13.071895424836603</v>
      </c>
      <c r="AB3989" s="93">
        <f>AD3989/AC3982</f>
        <v>3.6719999999999993</v>
      </c>
      <c r="AC3989" s="93">
        <f>AC3982/AA3989</f>
        <v>0.29911499999999969</v>
      </c>
      <c r="AD3989" s="94">
        <f t="shared" si="2956"/>
        <v>14.357519999999985</v>
      </c>
      <c r="AE3989" s="190"/>
      <c r="AF3989" s="191"/>
      <c r="AG3989" s="191"/>
      <c r="AH3989" s="191"/>
      <c r="AI3989" s="186"/>
      <c r="AK3989" s="171"/>
    </row>
    <row r="3990" spans="1:37" s="102" customFormat="1" ht="19.899999999999999" customHeight="1" x14ac:dyDescent="0.25">
      <c r="A3990" s="45"/>
      <c r="B3990" s="59"/>
      <c r="C3990" s="137"/>
      <c r="D3990" s="59"/>
      <c r="E3990" s="116"/>
      <c r="F3990" s="120"/>
      <c r="G3990" s="120"/>
      <c r="H3990" s="120"/>
      <c r="I3990" s="60"/>
      <c r="J3990" s="116"/>
      <c r="K3990" s="213"/>
      <c r="L3990" s="120"/>
      <c r="M3990" s="120"/>
      <c r="N3990" s="167"/>
      <c r="O3990" s="120"/>
      <c r="P3990" s="120"/>
      <c r="Q3990" s="120"/>
      <c r="R3990" s="120"/>
      <c r="S3990" s="120"/>
      <c r="T3990" s="221"/>
      <c r="U3990" s="89"/>
      <c r="V3990" s="61"/>
      <c r="W3990" s="92" t="s">
        <v>65</v>
      </c>
      <c r="X3990" s="93" t="s">
        <v>30</v>
      </c>
      <c r="Y3990" s="93" t="s">
        <v>1011</v>
      </c>
      <c r="Z3990" s="134">
        <f>VLOOKUP(W3990,Sheet2!$B:$D,3,FALSE)</f>
        <v>1.76</v>
      </c>
      <c r="AA3990" s="93">
        <f>AA3989/10</f>
        <v>1.3071895424836604</v>
      </c>
      <c r="AB3990" s="93">
        <f>AD3990/AC3982</f>
        <v>1.3463999999999996</v>
      </c>
      <c r="AC3990" s="93">
        <f>AC3982/AA3990</f>
        <v>2.9911499999999966</v>
      </c>
      <c r="AD3990" s="94">
        <f t="shared" si="2956"/>
        <v>5.2644239999999938</v>
      </c>
      <c r="AE3990" s="190"/>
      <c r="AF3990" s="191"/>
      <c r="AG3990" s="191"/>
      <c r="AH3990" s="191"/>
      <c r="AI3990" s="186"/>
      <c r="AK3990" s="171"/>
    </row>
    <row r="3991" spans="1:37" s="102" customFormat="1" ht="19.899999999999999" customHeight="1" x14ac:dyDescent="0.25">
      <c r="A3991" s="45"/>
      <c r="B3991" s="59"/>
      <c r="C3991" s="137"/>
      <c r="D3991" s="59"/>
      <c r="E3991" s="116"/>
      <c r="F3991" s="120"/>
      <c r="G3991" s="120"/>
      <c r="H3991" s="120"/>
      <c r="I3991" s="60"/>
      <c r="J3991" s="116"/>
      <c r="K3991" s="213"/>
      <c r="L3991" s="120"/>
      <c r="M3991" s="120"/>
      <c r="N3991" s="167"/>
      <c r="O3991" s="120"/>
      <c r="P3991" s="120"/>
      <c r="Q3991" s="120"/>
      <c r="R3991" s="120"/>
      <c r="S3991" s="120"/>
      <c r="T3991" s="221"/>
      <c r="U3991" s="89"/>
      <c r="V3991" s="61"/>
      <c r="W3991" s="92" t="s">
        <v>1049</v>
      </c>
      <c r="X3991" s="93" t="s">
        <v>30</v>
      </c>
      <c r="Y3991" s="93" t="s">
        <v>68</v>
      </c>
      <c r="Z3991" s="134">
        <f>VLOOKUP(W3991,Sheet2!$B:$D,3,FALSE)</f>
        <v>60</v>
      </c>
      <c r="AA3991" s="93">
        <v>1</v>
      </c>
      <c r="AB3991" s="93">
        <f>AD3991/AC3982</f>
        <v>60</v>
      </c>
      <c r="AC3991" s="93">
        <f>AC3982/AA3991</f>
        <v>3.9099999999999966</v>
      </c>
      <c r="AD3991" s="94">
        <f t="shared" si="2956"/>
        <v>234.5999999999998</v>
      </c>
      <c r="AE3991" s="190"/>
      <c r="AF3991" s="191"/>
      <c r="AG3991" s="191"/>
      <c r="AH3991" s="191"/>
      <c r="AI3991" s="186"/>
      <c r="AK3991" s="171"/>
    </row>
    <row r="3992" spans="1:37" s="103" customFormat="1" ht="19.899999999999999" customHeight="1" x14ac:dyDescent="0.25">
      <c r="A3992" s="51"/>
      <c r="B3992" s="52"/>
      <c r="C3992" s="165"/>
      <c r="D3992" s="52"/>
      <c r="E3992" s="115"/>
      <c r="F3992" s="58"/>
      <c r="G3992" s="58"/>
      <c r="H3992" s="58"/>
      <c r="I3992" s="55"/>
      <c r="J3992" s="113">
        <f>J3981</f>
        <v>3.9099999999999966</v>
      </c>
      <c r="K3992" s="212">
        <f>K3981</f>
        <v>3.9099999999999966</v>
      </c>
      <c r="L3992" s="58"/>
      <c r="M3992" s="58">
        <f>K3992-L3992</f>
        <v>3.9099999999999966</v>
      </c>
      <c r="N3992" s="166"/>
      <c r="O3992" s="58"/>
      <c r="P3992" s="58"/>
      <c r="Q3992" s="58"/>
      <c r="R3992" s="58"/>
      <c r="S3992" s="58"/>
      <c r="T3992" s="220"/>
      <c r="U3992" s="88"/>
      <c r="V3992" s="56"/>
      <c r="W3992" s="57" t="s">
        <v>1036</v>
      </c>
      <c r="X3992" s="53"/>
      <c r="Y3992" s="91" t="s">
        <v>68</v>
      </c>
      <c r="Z3992" s="136">
        <f>AD3992/AC3992</f>
        <v>518.58333333333337</v>
      </c>
      <c r="AA3992" s="58"/>
      <c r="AB3992" s="53">
        <f>AD3992/AC3992</f>
        <v>518.58333333333337</v>
      </c>
      <c r="AC3992" s="53">
        <f>M3992+$AE$10</f>
        <v>3.9099999999999966</v>
      </c>
      <c r="AD3992" s="54">
        <f>SUM(AD3993:AD3998)</f>
        <v>2027.6608333333318</v>
      </c>
      <c r="AE3992" s="184">
        <f>SUMIFS($AD$37:$AD$12971,$V$37:$V$12971,$V3992,$X$37:$X$12971,AE$13)</f>
        <v>0</v>
      </c>
      <c r="AF3992" s="185">
        <f>SUMIFS($AD$37:$AD$12971,$V$37:$V$12971,$V3992,$X$37:$X$12971,AF$13)</f>
        <v>0</v>
      </c>
      <c r="AG3992" s="185">
        <f>SUMIFS($AD$37:$AD$12971,$V$37:$V$12971,$V3992,$X$37:$X$12971,AG$13)</f>
        <v>0</v>
      </c>
      <c r="AH3992" s="187">
        <f>SUMIFS($AD$37:$AD$12971,$V$37:$V$12971,$V3992,$X$37:$X$12971,AH$13)</f>
        <v>0</v>
      </c>
      <c r="AI3992" s="161">
        <f t="shared" ref="AI3992" si="2957">SUM(AE3992:AH3992)</f>
        <v>0</v>
      </c>
      <c r="AK3992" s="172"/>
    </row>
    <row r="3993" spans="1:37" s="102" customFormat="1" ht="19.899999999999999" customHeight="1" x14ac:dyDescent="0.25">
      <c r="A3993" s="45"/>
      <c r="B3993" s="59"/>
      <c r="C3993" s="137"/>
      <c r="D3993" s="59"/>
      <c r="E3993" s="116"/>
      <c r="F3993" s="120"/>
      <c r="G3993" s="120"/>
      <c r="H3993" s="120"/>
      <c r="I3993" s="60"/>
      <c r="J3993" s="116"/>
      <c r="K3993" s="213"/>
      <c r="L3993" s="120"/>
      <c r="M3993" s="120"/>
      <c r="N3993" s="167"/>
      <c r="O3993" s="120"/>
      <c r="P3993" s="120"/>
      <c r="Q3993" s="120"/>
      <c r="R3993" s="120"/>
      <c r="S3993" s="120"/>
      <c r="T3993" s="221"/>
      <c r="U3993" s="89"/>
      <c r="V3993" s="61"/>
      <c r="W3993" s="92" t="s">
        <v>1059</v>
      </c>
      <c r="X3993" s="93" t="s">
        <v>30</v>
      </c>
      <c r="Y3993" s="93" t="s">
        <v>68</v>
      </c>
      <c r="Z3993" s="134">
        <f>VLOOKUP(W3993,Sheet2!$B:$D,3,FALSE)</f>
        <v>350</v>
      </c>
      <c r="AA3993" s="93">
        <v>1</v>
      </c>
      <c r="AB3993" s="93">
        <f>AD3993/AC3992</f>
        <v>350</v>
      </c>
      <c r="AC3993" s="93">
        <f>AC3992/AA3993</f>
        <v>3.9099999999999966</v>
      </c>
      <c r="AD3993" s="94">
        <f t="shared" ref="AD3993" si="2958">AC3993*Z3993</f>
        <v>1368.4999999999989</v>
      </c>
      <c r="AE3993" s="190"/>
      <c r="AF3993" s="191"/>
      <c r="AG3993" s="191"/>
      <c r="AH3993" s="191"/>
      <c r="AI3993" s="186"/>
      <c r="AK3993" s="171"/>
    </row>
    <row r="3994" spans="1:37" s="102" customFormat="1" ht="19.899999999999999" customHeight="1" x14ac:dyDescent="0.25">
      <c r="A3994" s="45"/>
      <c r="B3994" s="59"/>
      <c r="C3994" s="137"/>
      <c r="D3994" s="59"/>
      <c r="E3994" s="116"/>
      <c r="F3994" s="120"/>
      <c r="G3994" s="120"/>
      <c r="H3994" s="120"/>
      <c r="I3994" s="60"/>
      <c r="J3994" s="116"/>
      <c r="K3994" s="213"/>
      <c r="L3994" s="120"/>
      <c r="M3994" s="120"/>
      <c r="N3994" s="167"/>
      <c r="O3994" s="120"/>
      <c r="P3994" s="120"/>
      <c r="Q3994" s="120"/>
      <c r="R3994" s="120"/>
      <c r="S3994" s="120"/>
      <c r="T3994" s="221"/>
      <c r="U3994" s="89"/>
      <c r="V3994" s="61"/>
      <c r="W3994" s="92" t="s">
        <v>1066</v>
      </c>
      <c r="X3994" s="93" t="s">
        <v>30</v>
      </c>
      <c r="Y3994" s="93" t="s">
        <v>68</v>
      </c>
      <c r="Z3994" s="134">
        <f>VLOOKUP(W3994,Sheet2!$B:$D,3,FALSE)</f>
        <v>35</v>
      </c>
      <c r="AA3994" s="93">
        <v>1</v>
      </c>
      <c r="AB3994" s="93">
        <f>AD3994/AC3992</f>
        <v>35</v>
      </c>
      <c r="AC3994" s="93">
        <f>AC3992/AA3994</f>
        <v>3.9099999999999966</v>
      </c>
      <c r="AD3994" s="94">
        <f>AC3994*Z3994</f>
        <v>136.84999999999988</v>
      </c>
      <c r="AE3994" s="190"/>
      <c r="AF3994" s="191"/>
      <c r="AG3994" s="191"/>
      <c r="AH3994" s="191"/>
      <c r="AI3994" s="186"/>
      <c r="AK3994" s="171"/>
    </row>
    <row r="3995" spans="1:37" s="102" customFormat="1" ht="19.899999999999999" customHeight="1" x14ac:dyDescent="0.25">
      <c r="A3995" s="45"/>
      <c r="B3995" s="59"/>
      <c r="C3995" s="137"/>
      <c r="D3995" s="59"/>
      <c r="E3995" s="116"/>
      <c r="F3995" s="120"/>
      <c r="G3995" s="120"/>
      <c r="H3995" s="120"/>
      <c r="I3995" s="60"/>
      <c r="J3995" s="116"/>
      <c r="K3995" s="213"/>
      <c r="L3995" s="120"/>
      <c r="M3995" s="120"/>
      <c r="N3995" s="167"/>
      <c r="O3995" s="120"/>
      <c r="P3995" s="120"/>
      <c r="Q3995" s="120"/>
      <c r="R3995" s="120"/>
      <c r="S3995" s="120"/>
      <c r="T3995" s="221"/>
      <c r="U3995" s="89"/>
      <c r="V3995" s="61"/>
      <c r="W3995" s="92" t="s">
        <v>1073</v>
      </c>
      <c r="X3995" s="93" t="s">
        <v>32</v>
      </c>
      <c r="Y3995" s="93" t="s">
        <v>68</v>
      </c>
      <c r="Z3995" s="134">
        <f>VLOOKUP(W3995,Sheet2!$B:$D,3,FALSE)</f>
        <v>65</v>
      </c>
      <c r="AA3995" s="93">
        <v>1</v>
      </c>
      <c r="AB3995" s="93">
        <f>AD3995/AC3992</f>
        <v>65</v>
      </c>
      <c r="AC3995" s="93">
        <f>AC3992/AA3995</f>
        <v>3.9099999999999966</v>
      </c>
      <c r="AD3995" s="94">
        <f>AC3995*Z3995</f>
        <v>254.14999999999978</v>
      </c>
      <c r="AE3995" s="190"/>
      <c r="AF3995" s="191"/>
      <c r="AG3995" s="191"/>
      <c r="AH3995" s="191"/>
      <c r="AI3995" s="186"/>
      <c r="AK3995" s="171"/>
    </row>
    <row r="3996" spans="1:37" s="102" customFormat="1" ht="19.899999999999999" customHeight="1" x14ac:dyDescent="0.25">
      <c r="A3996" s="45"/>
      <c r="B3996" s="59"/>
      <c r="C3996" s="137"/>
      <c r="D3996" s="59"/>
      <c r="E3996" s="116"/>
      <c r="F3996" s="120"/>
      <c r="G3996" s="120"/>
      <c r="H3996" s="120"/>
      <c r="I3996" s="60"/>
      <c r="J3996" s="116"/>
      <c r="K3996" s="213"/>
      <c r="L3996" s="120"/>
      <c r="M3996" s="120"/>
      <c r="N3996" s="167"/>
      <c r="O3996" s="120"/>
      <c r="P3996" s="120"/>
      <c r="Q3996" s="120"/>
      <c r="R3996" s="120"/>
      <c r="S3996" s="120"/>
      <c r="T3996" s="221"/>
      <c r="U3996" s="89"/>
      <c r="V3996" s="61"/>
      <c r="W3996" s="92" t="s">
        <v>1032</v>
      </c>
      <c r="X3996" s="93" t="s">
        <v>30</v>
      </c>
      <c r="Y3996" s="93" t="s">
        <v>66</v>
      </c>
      <c r="Z3996" s="134">
        <f>VLOOKUP(W3996,Sheet2!$B:$D,3,FALSE)</f>
        <v>250</v>
      </c>
      <c r="AA3996" s="93">
        <f>1/(1.7*0.1)</f>
        <v>5.8823529411764701</v>
      </c>
      <c r="AB3996" s="93">
        <f>AD3996/AC3992</f>
        <v>42.500000000000007</v>
      </c>
      <c r="AC3996" s="93">
        <f>AC3992/AA3996</f>
        <v>0.66469999999999951</v>
      </c>
      <c r="AD3996" s="94">
        <f>AC3996*Z3996</f>
        <v>166.17499999999987</v>
      </c>
      <c r="AE3996" s="190"/>
      <c r="AF3996" s="191"/>
      <c r="AG3996" s="191"/>
      <c r="AH3996" s="191"/>
      <c r="AI3996" s="186"/>
      <c r="AK3996" s="171"/>
    </row>
    <row r="3997" spans="1:37" s="102" customFormat="1" ht="19.899999999999999" customHeight="1" x14ac:dyDescent="0.25">
      <c r="A3997" s="45"/>
      <c r="B3997" s="59"/>
      <c r="C3997" s="137"/>
      <c r="D3997" s="59"/>
      <c r="E3997" s="116"/>
      <c r="F3997" s="120"/>
      <c r="G3997" s="120"/>
      <c r="H3997" s="120"/>
      <c r="I3997" s="60"/>
      <c r="J3997" s="116"/>
      <c r="K3997" s="213"/>
      <c r="L3997" s="120"/>
      <c r="M3997" s="120"/>
      <c r="N3997" s="167"/>
      <c r="O3997" s="120"/>
      <c r="P3997" s="120"/>
      <c r="Q3997" s="120"/>
      <c r="R3997" s="120"/>
      <c r="S3997" s="120"/>
      <c r="T3997" s="221"/>
      <c r="U3997" s="89"/>
      <c r="V3997" s="61"/>
      <c r="W3997" s="92" t="s">
        <v>1035</v>
      </c>
      <c r="X3997" s="93" t="s">
        <v>32</v>
      </c>
      <c r="Y3997" s="93" t="s">
        <v>66</v>
      </c>
      <c r="Z3997" s="134">
        <f>VLOOKUP(W3997,Sheet2!$B:$D,3,FALSE)</f>
        <v>150</v>
      </c>
      <c r="AA3997" s="93">
        <f>AA3996</f>
        <v>5.8823529411764701</v>
      </c>
      <c r="AB3997" s="93">
        <f>AD3997/AC3992</f>
        <v>25.500000000000004</v>
      </c>
      <c r="AC3997" s="93">
        <f>AC3992/AA3997</f>
        <v>0.66469999999999951</v>
      </c>
      <c r="AD3997" s="94">
        <f t="shared" ref="AD3997:AD3998" si="2959">AC3997*Z3997</f>
        <v>99.704999999999927</v>
      </c>
      <c r="AE3997" s="190"/>
      <c r="AF3997" s="191"/>
      <c r="AG3997" s="191"/>
      <c r="AH3997" s="191"/>
      <c r="AI3997" s="186"/>
      <c r="AK3997" s="171"/>
    </row>
    <row r="3998" spans="1:37" s="102" customFormat="1" ht="19.899999999999999" customHeight="1" x14ac:dyDescent="0.25">
      <c r="A3998" s="45"/>
      <c r="B3998" s="59"/>
      <c r="C3998" s="137"/>
      <c r="D3998" s="59"/>
      <c r="E3998" s="116"/>
      <c r="F3998" s="120"/>
      <c r="G3998" s="120"/>
      <c r="H3998" s="120"/>
      <c r="I3998" s="60"/>
      <c r="J3998" s="116"/>
      <c r="K3998" s="213"/>
      <c r="L3998" s="120"/>
      <c r="M3998" s="120"/>
      <c r="N3998" s="167"/>
      <c r="O3998" s="120"/>
      <c r="P3998" s="120"/>
      <c r="Q3998" s="120"/>
      <c r="R3998" s="120"/>
      <c r="S3998" s="120"/>
      <c r="T3998" s="221"/>
      <c r="U3998" s="89"/>
      <c r="V3998" s="61"/>
      <c r="W3998" s="92" t="s">
        <v>1037</v>
      </c>
      <c r="X3998" s="93" t="s">
        <v>30</v>
      </c>
      <c r="Y3998" s="93" t="s">
        <v>1038</v>
      </c>
      <c r="Z3998" s="134">
        <f>VLOOKUP(W3998,Sheet2!$B:$D,3,FALSE)</f>
        <v>175</v>
      </c>
      <c r="AA3998" s="93">
        <v>300</v>
      </c>
      <c r="AB3998" s="93">
        <f>AD3998/AC3992</f>
        <v>0.58333333333333337</v>
      </c>
      <c r="AC3998" s="93">
        <f>AC3992/AA3998</f>
        <v>1.3033333333333322E-2</v>
      </c>
      <c r="AD3998" s="94">
        <f t="shared" si="2959"/>
        <v>2.2808333333333315</v>
      </c>
      <c r="AE3998" s="190"/>
      <c r="AF3998" s="191"/>
      <c r="AG3998" s="191"/>
      <c r="AH3998" s="191"/>
      <c r="AI3998" s="186"/>
      <c r="AK3998" s="171"/>
    </row>
    <row r="3999" spans="1:37" s="103" customFormat="1" ht="19.899999999999999" customHeight="1" x14ac:dyDescent="0.25">
      <c r="A3999" s="51"/>
      <c r="B3999" s="52"/>
      <c r="C3999" s="165"/>
      <c r="D3999" s="52"/>
      <c r="E3999" s="115"/>
      <c r="F3999" s="58"/>
      <c r="G3999" s="58"/>
      <c r="H3999" s="58"/>
      <c r="I3999" s="55"/>
      <c r="J3999" s="113">
        <f>J3981</f>
        <v>3.9099999999999966</v>
      </c>
      <c r="K3999" s="212">
        <f>K3981</f>
        <v>3.9099999999999966</v>
      </c>
      <c r="L3999" s="58"/>
      <c r="M3999" s="58">
        <f>K3999-L3999</f>
        <v>3.9099999999999966</v>
      </c>
      <c r="N3999" s="166"/>
      <c r="O3999" s="58"/>
      <c r="P3999" s="58"/>
      <c r="Q3999" s="58"/>
      <c r="R3999" s="58"/>
      <c r="S3999" s="58"/>
      <c r="T3999" s="220"/>
      <c r="U3999" s="88"/>
      <c r="V3999" s="56"/>
      <c r="W3999" s="57" t="s">
        <v>1040</v>
      </c>
      <c r="X3999" s="53"/>
      <c r="Y3999" s="91" t="s">
        <v>68</v>
      </c>
      <c r="Z3999" s="136">
        <f>AD3999/AC3999</f>
        <v>5</v>
      </c>
      <c r="AA3999" s="58"/>
      <c r="AB3999" s="53">
        <f>AD3999/AC3999</f>
        <v>5</v>
      </c>
      <c r="AC3999" s="53">
        <f>M3999+$AE$10</f>
        <v>3.9099999999999966</v>
      </c>
      <c r="AD3999" s="54">
        <f>SUM(AD4000)</f>
        <v>19.549999999999983</v>
      </c>
      <c r="AE3999" s="184">
        <f>SUMIFS($AD$37:$AD$12971,$V$37:$V$12971,$V3999,$X$37:$X$12971,AE$13)</f>
        <v>0</v>
      </c>
      <c r="AF3999" s="185">
        <f>SUMIFS($AD$37:$AD$12971,$V$37:$V$12971,$V3999,$X$37:$X$12971,AF$13)</f>
        <v>0</v>
      </c>
      <c r="AG3999" s="185">
        <f>SUMIFS($AD$37:$AD$12971,$V$37:$V$12971,$V3999,$X$37:$X$12971,AG$13)</f>
        <v>0</v>
      </c>
      <c r="AH3999" s="187">
        <f>SUMIFS($AD$37:$AD$12971,$V$37:$V$12971,$V3999,$X$37:$X$12971,AH$13)</f>
        <v>0</v>
      </c>
      <c r="AI3999" s="161">
        <f t="shared" ref="AI3999" si="2960">SUM(AE3999:AH3999)</f>
        <v>0</v>
      </c>
      <c r="AK3999" s="172"/>
    </row>
    <row r="4000" spans="1:37" s="102" customFormat="1" ht="19.899999999999999" customHeight="1" x14ac:dyDescent="0.25">
      <c r="A4000" s="45"/>
      <c r="B4000" s="59"/>
      <c r="C4000" s="137"/>
      <c r="D4000" s="59"/>
      <c r="E4000" s="116"/>
      <c r="F4000" s="120"/>
      <c r="G4000" s="120"/>
      <c r="H4000" s="120"/>
      <c r="I4000" s="60"/>
      <c r="J4000" s="116"/>
      <c r="K4000" s="213"/>
      <c r="L4000" s="120"/>
      <c r="M4000" s="120"/>
      <c r="N4000" s="167"/>
      <c r="O4000" s="120"/>
      <c r="P4000" s="120"/>
      <c r="Q4000" s="120"/>
      <c r="R4000" s="120"/>
      <c r="S4000" s="120"/>
      <c r="T4000" s="221"/>
      <c r="U4000" s="89"/>
      <c r="V4000" s="61"/>
      <c r="W4000" s="92" t="s">
        <v>1039</v>
      </c>
      <c r="X4000" s="93" t="s">
        <v>32</v>
      </c>
      <c r="Y4000" s="93" t="s">
        <v>68</v>
      </c>
      <c r="Z4000" s="134">
        <f>VLOOKUP(W4000,Sheet2!$B:$D,3,FALSE)</f>
        <v>5</v>
      </c>
      <c r="AA4000" s="93">
        <v>1</v>
      </c>
      <c r="AB4000" s="93">
        <f>AD4000/AC3999</f>
        <v>5</v>
      </c>
      <c r="AC4000" s="93">
        <f>AC3999/AA4000</f>
        <v>3.9099999999999966</v>
      </c>
      <c r="AD4000" s="94">
        <f t="shared" ref="AD4000" si="2961">AC4000*Z4000</f>
        <v>19.549999999999983</v>
      </c>
      <c r="AE4000" s="190"/>
      <c r="AF4000" s="191"/>
      <c r="AG4000" s="191"/>
      <c r="AH4000" s="191"/>
      <c r="AI4000" s="186"/>
      <c r="AK4000" s="171"/>
    </row>
    <row r="4001" spans="1:41" ht="20.100000000000001" customHeight="1" x14ac:dyDescent="0.25">
      <c r="A4001" s="277" t="s">
        <v>491</v>
      </c>
      <c r="B4001" s="278"/>
      <c r="C4001" s="64" t="s">
        <v>496</v>
      </c>
      <c r="D4001" s="46" t="s">
        <v>97</v>
      </c>
      <c r="E4001" s="114">
        <v>3.9099999999999966</v>
      </c>
      <c r="F4001" s="44">
        <v>1039</v>
      </c>
      <c r="G4001" s="44">
        <f t="shared" si="2434"/>
        <v>4062.4899999999966</v>
      </c>
      <c r="H4001" s="44">
        <f t="shared" si="2435"/>
        <v>638.37626666666677</v>
      </c>
      <c r="I4001" s="43">
        <f t="shared" si="2436"/>
        <v>2496.0512026666647</v>
      </c>
      <c r="J4001" s="112">
        <f t="shared" si="2437"/>
        <v>3.9099999999999966</v>
      </c>
      <c r="K4001" s="211">
        <f t="shared" si="2438"/>
        <v>3.9099999999999966</v>
      </c>
      <c r="L4001" s="44"/>
      <c r="M4001" s="44">
        <f t="shared" si="2458"/>
        <v>3.9099999999999966</v>
      </c>
      <c r="N4001" s="173">
        <f t="shared" si="2439"/>
        <v>1</v>
      </c>
      <c r="O4001" s="44">
        <f t="shared" si="2440"/>
        <v>1039</v>
      </c>
      <c r="P4001" s="44">
        <f t="shared" si="2441"/>
        <v>4062.4899999999966</v>
      </c>
      <c r="Q4001" s="44">
        <f t="shared" si="2442"/>
        <v>638.37626666666677</v>
      </c>
      <c r="R4001" s="44">
        <f t="shared" si="2459"/>
        <v>2496.0512026666647</v>
      </c>
      <c r="S4001" s="123"/>
      <c r="T4001" s="219">
        <f t="shared" si="2460"/>
        <v>2496.0512026666647</v>
      </c>
      <c r="U4001" s="87"/>
      <c r="V4001" s="47"/>
      <c r="W4001" s="48"/>
      <c r="X4001" s="48"/>
      <c r="Y4001" s="48"/>
      <c r="Z4001" s="135"/>
      <c r="AA4001" s="49"/>
      <c r="AB4001" s="50">
        <f t="shared" si="2443"/>
        <v>638.37626666666677</v>
      </c>
      <c r="AC4001" s="42">
        <f t="shared" si="2461"/>
        <v>3.9099999999999966</v>
      </c>
      <c r="AD4001" s="90">
        <f>AD4002+AD4012+AD4019</f>
        <v>2496.0512026666647</v>
      </c>
      <c r="AE4001" s="188">
        <f t="shared" ref="AE4001" si="2962">AE4002+AE4012+AE4019</f>
        <v>0</v>
      </c>
      <c r="AF4001" s="189">
        <f t="shared" ref="AF4001" si="2963">AF4002+AF4012+AF4019</f>
        <v>0</v>
      </c>
      <c r="AG4001" s="189">
        <f t="shared" ref="AG4001" si="2964">AG4002+AG4012+AG4019</f>
        <v>0</v>
      </c>
      <c r="AH4001" s="189">
        <f t="shared" ref="AH4001" si="2965">AH4002+AH4012+AH4019</f>
        <v>0</v>
      </c>
      <c r="AI4001" s="161">
        <f t="shared" ref="AI4001" si="2966">SUM(AE4001:AH4001)</f>
        <v>0</v>
      </c>
      <c r="AK4001" s="169">
        <v>5</v>
      </c>
      <c r="AO4001" s="19" t="s">
        <v>63</v>
      </c>
    </row>
    <row r="4002" spans="1:41" s="103" customFormat="1" ht="19.899999999999999" customHeight="1" x14ac:dyDescent="0.25">
      <c r="A4002" s="51"/>
      <c r="B4002" s="52"/>
      <c r="C4002" s="165"/>
      <c r="D4002" s="52"/>
      <c r="E4002" s="115"/>
      <c r="F4002" s="58"/>
      <c r="G4002" s="58"/>
      <c r="H4002" s="58"/>
      <c r="I4002" s="55"/>
      <c r="J4002" s="113">
        <f>J4001</f>
        <v>3.9099999999999966</v>
      </c>
      <c r="K4002" s="212">
        <f>K4001</f>
        <v>3.9099999999999966</v>
      </c>
      <c r="L4002" s="58"/>
      <c r="M4002" s="58">
        <f>K4002-L4002</f>
        <v>3.9099999999999966</v>
      </c>
      <c r="N4002" s="166"/>
      <c r="O4002" s="58"/>
      <c r="P4002" s="58"/>
      <c r="Q4002" s="58"/>
      <c r="R4002" s="58"/>
      <c r="S4002" s="58"/>
      <c r="T4002" s="220"/>
      <c r="U4002" s="88"/>
      <c r="V4002" s="56"/>
      <c r="W4002" s="57" t="s">
        <v>1246</v>
      </c>
      <c r="X4002" s="53"/>
      <c r="Y4002" s="91" t="s">
        <v>68</v>
      </c>
      <c r="Z4002" s="136">
        <f>AD4002/AC4002</f>
        <v>114.79293333333332</v>
      </c>
      <c r="AA4002" s="58"/>
      <c r="AB4002" s="53">
        <f>AD4002/AC4002</f>
        <v>114.79293333333332</v>
      </c>
      <c r="AC4002" s="53">
        <f>M4002+$AE$10</f>
        <v>3.9099999999999966</v>
      </c>
      <c r="AD4002" s="54">
        <f>SUM(AD4003:AD4011)</f>
        <v>448.84036933333289</v>
      </c>
      <c r="AE4002" s="184">
        <f>SUMIFS($AD$37:$AD$12971,$V$37:$V$12971,$V4002,$X$37:$X$12971,AE$13)</f>
        <v>0</v>
      </c>
      <c r="AF4002" s="185">
        <f>SUMIFS($AD$37:$AD$12971,$V$37:$V$12971,$V4002,$X$37:$X$12971,AF$13)</f>
        <v>0</v>
      </c>
      <c r="AG4002" s="185">
        <f>SUMIFS($AD$37:$AD$12971,$V$37:$V$12971,$V4002,$X$37:$X$12971,AG$13)</f>
        <v>0</v>
      </c>
      <c r="AH4002" s="187">
        <f>SUMIFS($AD$37:$AD$12971,$V$37:$V$12971,$V4002,$X$37:$X$12971,AH$13)</f>
        <v>0</v>
      </c>
      <c r="AI4002" s="161">
        <f t="shared" ref="AI4002" si="2967">SUM(AE4002:AH4002)</f>
        <v>0</v>
      </c>
      <c r="AK4002" s="172"/>
    </row>
    <row r="4003" spans="1:41" s="102" customFormat="1" ht="19.899999999999999" customHeight="1" x14ac:dyDescent="0.25">
      <c r="A4003" s="45"/>
      <c r="B4003" s="59"/>
      <c r="C4003" s="137"/>
      <c r="D4003" s="59"/>
      <c r="E4003" s="116"/>
      <c r="F4003" s="120"/>
      <c r="G4003" s="120"/>
      <c r="H4003" s="120"/>
      <c r="I4003" s="60"/>
      <c r="J4003" s="116"/>
      <c r="K4003" s="213"/>
      <c r="L4003" s="120"/>
      <c r="M4003" s="120"/>
      <c r="N4003" s="167"/>
      <c r="O4003" s="120"/>
      <c r="P4003" s="120"/>
      <c r="Q4003" s="120"/>
      <c r="R4003" s="120"/>
      <c r="S4003" s="120"/>
      <c r="T4003" s="221"/>
      <c r="U4003" s="89"/>
      <c r="V4003" s="61"/>
      <c r="W4003" s="92" t="s">
        <v>131</v>
      </c>
      <c r="X4003" s="93" t="s">
        <v>29</v>
      </c>
      <c r="Y4003" s="93" t="s">
        <v>93</v>
      </c>
      <c r="Z4003" s="134">
        <f>VLOOKUP(W4003,Sheet2!$B:$D,3,FALSE)</f>
        <v>131.19999999999999</v>
      </c>
      <c r="AA4003" s="93">
        <f>80/(1.7*5)</f>
        <v>9.4117647058823533</v>
      </c>
      <c r="AB4003" s="93">
        <f t="shared" ref="AB4003" si="2968">AD4003/AC4002</f>
        <v>13.939999999999998</v>
      </c>
      <c r="AC4003" s="93">
        <f>AC4002/AA4003</f>
        <v>0.41543749999999963</v>
      </c>
      <c r="AD4003" s="94">
        <f t="shared" ref="AD4003:AD4004" si="2969">AC4003*Z4003</f>
        <v>54.505399999999945</v>
      </c>
      <c r="AE4003" s="190"/>
      <c r="AF4003" s="191"/>
      <c r="AG4003" s="191"/>
      <c r="AH4003" s="191"/>
      <c r="AI4003" s="186"/>
      <c r="AK4003" s="171"/>
    </row>
    <row r="4004" spans="1:41" s="102" customFormat="1" ht="19.899999999999999" customHeight="1" x14ac:dyDescent="0.25">
      <c r="A4004" s="45"/>
      <c r="B4004" s="59"/>
      <c r="C4004" s="137"/>
      <c r="D4004" s="59"/>
      <c r="E4004" s="116"/>
      <c r="F4004" s="120"/>
      <c r="G4004" s="120"/>
      <c r="H4004" s="120"/>
      <c r="I4004" s="60"/>
      <c r="J4004" s="116"/>
      <c r="K4004" s="213"/>
      <c r="L4004" s="120"/>
      <c r="M4004" s="120"/>
      <c r="N4004" s="167"/>
      <c r="O4004" s="120"/>
      <c r="P4004" s="120"/>
      <c r="Q4004" s="120"/>
      <c r="R4004" s="120"/>
      <c r="S4004" s="120"/>
      <c r="T4004" s="221"/>
      <c r="U4004" s="89"/>
      <c r="V4004" s="61"/>
      <c r="W4004" s="92" t="s">
        <v>65</v>
      </c>
      <c r="X4004" s="93" t="s">
        <v>30</v>
      </c>
      <c r="Y4004" s="93" t="s">
        <v>1011</v>
      </c>
      <c r="Z4004" s="134">
        <f>VLOOKUP(W4004,Sheet2!$B:$D,3,FALSE)</f>
        <v>1.76</v>
      </c>
      <c r="AA4004" s="93">
        <f>AA4003/32</f>
        <v>0.29411764705882354</v>
      </c>
      <c r="AB4004" s="93">
        <f>AD4004/AC4002</f>
        <v>5.984</v>
      </c>
      <c r="AC4004" s="93">
        <f>AC4002/AA4004</f>
        <v>13.293999999999988</v>
      </c>
      <c r="AD4004" s="94">
        <f t="shared" si="2969"/>
        <v>23.397439999999978</v>
      </c>
      <c r="AE4004" s="190"/>
      <c r="AF4004" s="191"/>
      <c r="AG4004" s="191"/>
      <c r="AH4004" s="191"/>
      <c r="AI4004" s="186"/>
      <c r="AK4004" s="171"/>
    </row>
    <row r="4005" spans="1:41" s="102" customFormat="1" ht="19.899999999999999" customHeight="1" x14ac:dyDescent="0.25">
      <c r="A4005" s="45"/>
      <c r="B4005" s="59"/>
      <c r="C4005" s="137"/>
      <c r="D4005" s="59"/>
      <c r="E4005" s="116"/>
      <c r="F4005" s="120"/>
      <c r="G4005" s="120"/>
      <c r="H4005" s="120"/>
      <c r="I4005" s="60"/>
      <c r="J4005" s="116"/>
      <c r="K4005" s="213"/>
      <c r="L4005" s="120"/>
      <c r="M4005" s="120"/>
      <c r="N4005" s="167"/>
      <c r="O4005" s="120"/>
      <c r="P4005" s="120"/>
      <c r="Q4005" s="120"/>
      <c r="R4005" s="120"/>
      <c r="S4005" s="120"/>
      <c r="T4005" s="221"/>
      <c r="U4005" s="89"/>
      <c r="V4005" s="61"/>
      <c r="W4005" s="92" t="s">
        <v>161</v>
      </c>
      <c r="X4005" s="93" t="s">
        <v>29</v>
      </c>
      <c r="Y4005" s="93" t="s">
        <v>93</v>
      </c>
      <c r="Z4005" s="134">
        <f>VLOOKUP(W4005,Sheet2!$B:$D,3,FALSE)</f>
        <v>48</v>
      </c>
      <c r="AA4005" s="93">
        <f>(16*0.85*1.5)/(1.7*5)</f>
        <v>2.4</v>
      </c>
      <c r="AB4005" s="93">
        <f>AD4005/AC4002</f>
        <v>20</v>
      </c>
      <c r="AC4005" s="93">
        <f>AC4002/AA4005</f>
        <v>1.6291666666666653</v>
      </c>
      <c r="AD4005" s="94">
        <f>AC4005*Z4005</f>
        <v>78.199999999999932</v>
      </c>
      <c r="AE4005" s="190"/>
      <c r="AF4005" s="191"/>
      <c r="AG4005" s="191"/>
      <c r="AH4005" s="191"/>
      <c r="AI4005" s="186"/>
      <c r="AK4005" s="171"/>
    </row>
    <row r="4006" spans="1:41" s="102" customFormat="1" ht="19.899999999999999" customHeight="1" x14ac:dyDescent="0.25">
      <c r="A4006" s="45"/>
      <c r="B4006" s="59"/>
      <c r="C4006" s="137"/>
      <c r="D4006" s="59"/>
      <c r="E4006" s="116"/>
      <c r="F4006" s="120"/>
      <c r="G4006" s="120"/>
      <c r="H4006" s="120"/>
      <c r="I4006" s="60"/>
      <c r="J4006" s="116"/>
      <c r="K4006" s="213"/>
      <c r="L4006" s="120"/>
      <c r="M4006" s="120"/>
      <c r="N4006" s="167"/>
      <c r="O4006" s="120"/>
      <c r="P4006" s="120"/>
      <c r="Q4006" s="120"/>
      <c r="R4006" s="120"/>
      <c r="S4006" s="120"/>
      <c r="T4006" s="221"/>
      <c r="U4006" s="89"/>
      <c r="V4006" s="61"/>
      <c r="W4006" s="92" t="s">
        <v>65</v>
      </c>
      <c r="X4006" s="93" t="s">
        <v>30</v>
      </c>
      <c r="Y4006" s="93" t="s">
        <v>1011</v>
      </c>
      <c r="Z4006" s="134">
        <f>VLOOKUP(W4006,Sheet2!$B:$D,3,FALSE)</f>
        <v>1.76</v>
      </c>
      <c r="AA4006" s="93">
        <f>AA4005/10</f>
        <v>0.24</v>
      </c>
      <c r="AB4006" s="93">
        <f>AD4006/AC4002</f>
        <v>7.3333333333333339</v>
      </c>
      <c r="AC4006" s="93">
        <f>AC4002/AA4006</f>
        <v>16.291666666666654</v>
      </c>
      <c r="AD4006" s="94">
        <f>AC4006*Z4006</f>
        <v>28.673333333333311</v>
      </c>
      <c r="AE4006" s="190"/>
      <c r="AF4006" s="191"/>
      <c r="AG4006" s="191"/>
      <c r="AH4006" s="191"/>
      <c r="AI4006" s="186"/>
      <c r="AK4006" s="171"/>
    </row>
    <row r="4007" spans="1:41" s="102" customFormat="1" ht="19.899999999999999" customHeight="1" x14ac:dyDescent="0.25">
      <c r="A4007" s="45"/>
      <c r="B4007" s="59"/>
      <c r="C4007" s="137"/>
      <c r="D4007" s="59"/>
      <c r="E4007" s="116"/>
      <c r="F4007" s="120"/>
      <c r="G4007" s="120"/>
      <c r="H4007" s="120"/>
      <c r="I4007" s="60"/>
      <c r="J4007" s="116"/>
      <c r="K4007" s="213"/>
      <c r="L4007" s="120"/>
      <c r="M4007" s="120"/>
      <c r="N4007" s="167"/>
      <c r="O4007" s="120"/>
      <c r="P4007" s="120"/>
      <c r="Q4007" s="120"/>
      <c r="R4007" s="120"/>
      <c r="S4007" s="120"/>
      <c r="T4007" s="221"/>
      <c r="U4007" s="89"/>
      <c r="V4007" s="61"/>
      <c r="W4007" s="92" t="s">
        <v>1030</v>
      </c>
      <c r="X4007" s="93" t="s">
        <v>29</v>
      </c>
      <c r="Y4007" s="93" t="s">
        <v>93</v>
      </c>
      <c r="Z4007" s="134">
        <f>VLOOKUP(W4007,Sheet2!$B:$D,3,FALSE)</f>
        <v>23</v>
      </c>
      <c r="AA4007" s="93">
        <v>50</v>
      </c>
      <c r="AB4007" s="93">
        <f>AD4007/AC4002</f>
        <v>0.46000000000000008</v>
      </c>
      <c r="AC4007" s="93">
        <f>AC4002/AA4007</f>
        <v>7.8199999999999936E-2</v>
      </c>
      <c r="AD4007" s="94">
        <f t="shared" ref="AD4007:AD4011" si="2970">AC4007*Z4007</f>
        <v>1.7985999999999986</v>
      </c>
      <c r="AE4007" s="190"/>
      <c r="AF4007" s="191"/>
      <c r="AG4007" s="191"/>
      <c r="AH4007" s="191"/>
      <c r="AI4007" s="186"/>
      <c r="AK4007" s="171"/>
    </row>
    <row r="4008" spans="1:41" s="102" customFormat="1" ht="19.899999999999999" customHeight="1" x14ac:dyDescent="0.25">
      <c r="A4008" s="45"/>
      <c r="B4008" s="59"/>
      <c r="C4008" s="137"/>
      <c r="D4008" s="59"/>
      <c r="E4008" s="116"/>
      <c r="F4008" s="120"/>
      <c r="G4008" s="120"/>
      <c r="H4008" s="120"/>
      <c r="I4008" s="60"/>
      <c r="J4008" s="116"/>
      <c r="K4008" s="213"/>
      <c r="L4008" s="120"/>
      <c r="M4008" s="120"/>
      <c r="N4008" s="167"/>
      <c r="O4008" s="120"/>
      <c r="P4008" s="120"/>
      <c r="Q4008" s="120"/>
      <c r="R4008" s="120"/>
      <c r="S4008" s="120"/>
      <c r="T4008" s="221"/>
      <c r="U4008" s="89"/>
      <c r="V4008" s="61"/>
      <c r="W4008" s="92" t="s">
        <v>65</v>
      </c>
      <c r="X4008" s="93" t="s">
        <v>30</v>
      </c>
      <c r="Y4008" s="93" t="s">
        <v>1011</v>
      </c>
      <c r="Z4008" s="134">
        <f>VLOOKUP(W4008,Sheet2!$B:$D,3,FALSE)</f>
        <v>1.76</v>
      </c>
      <c r="AA4008" s="93">
        <f>AA4007/3</f>
        <v>16.666666666666668</v>
      </c>
      <c r="AB4008" s="93">
        <f>AD4008/AC4002</f>
        <v>0.10559999999999999</v>
      </c>
      <c r="AC4008" s="93">
        <f>AC4002/AA4008</f>
        <v>0.23459999999999978</v>
      </c>
      <c r="AD4008" s="94">
        <f t="shared" si="2970"/>
        <v>0.4128959999999996</v>
      </c>
      <c r="AE4008" s="190"/>
      <c r="AF4008" s="191"/>
      <c r="AG4008" s="191"/>
      <c r="AH4008" s="191"/>
      <c r="AI4008" s="186"/>
      <c r="AK4008" s="171"/>
    </row>
    <row r="4009" spans="1:41" s="102" customFormat="1" ht="19.899999999999999" customHeight="1" x14ac:dyDescent="0.25">
      <c r="A4009" s="45"/>
      <c r="B4009" s="59"/>
      <c r="C4009" s="137"/>
      <c r="D4009" s="59"/>
      <c r="E4009" s="116"/>
      <c r="F4009" s="120"/>
      <c r="G4009" s="120"/>
      <c r="H4009" s="120"/>
      <c r="I4009" s="60"/>
      <c r="J4009" s="116"/>
      <c r="K4009" s="213"/>
      <c r="L4009" s="120"/>
      <c r="M4009" s="120"/>
      <c r="N4009" s="167"/>
      <c r="O4009" s="120"/>
      <c r="P4009" s="120"/>
      <c r="Q4009" s="120"/>
      <c r="R4009" s="120"/>
      <c r="S4009" s="120"/>
      <c r="T4009" s="221"/>
      <c r="U4009" s="89"/>
      <c r="V4009" s="61"/>
      <c r="W4009" s="92" t="s">
        <v>148</v>
      </c>
      <c r="X4009" s="93" t="s">
        <v>29</v>
      </c>
      <c r="Y4009" s="93" t="s">
        <v>93</v>
      </c>
      <c r="Z4009" s="134">
        <f>VLOOKUP(W4009,Sheet2!$B:$D,3,FALSE)</f>
        <v>48</v>
      </c>
      <c r="AA4009" s="93">
        <f>AA4003</f>
        <v>9.4117647058823533</v>
      </c>
      <c r="AB4009" s="93">
        <f>AD4009/AC4002</f>
        <v>5.0999999999999996</v>
      </c>
      <c r="AC4009" s="93">
        <f>AC4002/AA4009</f>
        <v>0.41543749999999963</v>
      </c>
      <c r="AD4009" s="94">
        <f t="shared" si="2970"/>
        <v>19.940999999999981</v>
      </c>
      <c r="AE4009" s="190"/>
      <c r="AF4009" s="191"/>
      <c r="AG4009" s="191"/>
      <c r="AH4009" s="191"/>
      <c r="AI4009" s="186"/>
      <c r="AK4009" s="171"/>
    </row>
    <row r="4010" spans="1:41" s="102" customFormat="1" ht="19.899999999999999" customHeight="1" x14ac:dyDescent="0.25">
      <c r="A4010" s="45"/>
      <c r="B4010" s="59"/>
      <c r="C4010" s="137"/>
      <c r="D4010" s="59"/>
      <c r="E4010" s="116"/>
      <c r="F4010" s="120"/>
      <c r="G4010" s="120"/>
      <c r="H4010" s="120"/>
      <c r="I4010" s="60"/>
      <c r="J4010" s="116"/>
      <c r="K4010" s="213"/>
      <c r="L4010" s="120"/>
      <c r="M4010" s="120"/>
      <c r="N4010" s="167"/>
      <c r="O4010" s="120"/>
      <c r="P4010" s="120"/>
      <c r="Q4010" s="120"/>
      <c r="R4010" s="120"/>
      <c r="S4010" s="120"/>
      <c r="T4010" s="221"/>
      <c r="U4010" s="89"/>
      <c r="V4010" s="61"/>
      <c r="W4010" s="92" t="s">
        <v>65</v>
      </c>
      <c r="X4010" s="93" t="s">
        <v>30</v>
      </c>
      <c r="Y4010" s="93" t="s">
        <v>1011</v>
      </c>
      <c r="Z4010" s="134">
        <f>VLOOKUP(W4010,Sheet2!$B:$D,3,FALSE)</f>
        <v>1.76</v>
      </c>
      <c r="AA4010" s="93">
        <f>AA4009/10</f>
        <v>0.94117647058823528</v>
      </c>
      <c r="AB4010" s="93">
        <f>AD4010/AC4002</f>
        <v>1.87</v>
      </c>
      <c r="AC4010" s="93">
        <f>AC4002/AA4010</f>
        <v>4.1543749999999964</v>
      </c>
      <c r="AD4010" s="94">
        <f t="shared" si="2970"/>
        <v>7.3116999999999939</v>
      </c>
      <c r="AE4010" s="190"/>
      <c r="AF4010" s="191"/>
      <c r="AG4010" s="191"/>
      <c r="AH4010" s="191"/>
      <c r="AI4010" s="186"/>
      <c r="AK4010" s="171"/>
    </row>
    <row r="4011" spans="1:41" s="102" customFormat="1" ht="19.899999999999999" customHeight="1" x14ac:dyDescent="0.25">
      <c r="A4011" s="45"/>
      <c r="B4011" s="59"/>
      <c r="C4011" s="137"/>
      <c r="D4011" s="59"/>
      <c r="E4011" s="116"/>
      <c r="F4011" s="120"/>
      <c r="G4011" s="120"/>
      <c r="H4011" s="120"/>
      <c r="I4011" s="60"/>
      <c r="J4011" s="116"/>
      <c r="K4011" s="213"/>
      <c r="L4011" s="120"/>
      <c r="M4011" s="120"/>
      <c r="N4011" s="167"/>
      <c r="O4011" s="120"/>
      <c r="P4011" s="120"/>
      <c r="Q4011" s="120"/>
      <c r="R4011" s="120"/>
      <c r="S4011" s="120"/>
      <c r="T4011" s="221"/>
      <c r="U4011" s="89"/>
      <c r="V4011" s="61"/>
      <c r="W4011" s="92" t="s">
        <v>1049</v>
      </c>
      <c r="X4011" s="93" t="s">
        <v>30</v>
      </c>
      <c r="Y4011" s="93" t="s">
        <v>68</v>
      </c>
      <c r="Z4011" s="134">
        <f>VLOOKUP(W4011,Sheet2!$B:$D,3,FALSE)</f>
        <v>60</v>
      </c>
      <c r="AA4011" s="93">
        <v>1</v>
      </c>
      <c r="AB4011" s="93">
        <f>AD4011/AC4002</f>
        <v>60</v>
      </c>
      <c r="AC4011" s="93">
        <f>AC4002/AA4011</f>
        <v>3.9099999999999966</v>
      </c>
      <c r="AD4011" s="94">
        <f t="shared" si="2970"/>
        <v>234.5999999999998</v>
      </c>
      <c r="AE4011" s="190"/>
      <c r="AF4011" s="191"/>
      <c r="AG4011" s="191"/>
      <c r="AH4011" s="191"/>
      <c r="AI4011" s="186"/>
      <c r="AK4011" s="171"/>
    </row>
    <row r="4012" spans="1:41" s="103" customFormat="1" ht="19.899999999999999" customHeight="1" x14ac:dyDescent="0.25">
      <c r="A4012" s="51"/>
      <c r="B4012" s="52"/>
      <c r="C4012" s="165"/>
      <c r="D4012" s="52"/>
      <c r="E4012" s="115"/>
      <c r="F4012" s="58"/>
      <c r="G4012" s="58"/>
      <c r="H4012" s="58"/>
      <c r="I4012" s="55"/>
      <c r="J4012" s="113">
        <f>J4001</f>
        <v>3.9099999999999966</v>
      </c>
      <c r="K4012" s="212">
        <f>K4001</f>
        <v>3.9099999999999966</v>
      </c>
      <c r="L4012" s="58"/>
      <c r="M4012" s="58">
        <f>K4012-L4012</f>
        <v>3.9099999999999966</v>
      </c>
      <c r="N4012" s="166"/>
      <c r="O4012" s="58"/>
      <c r="P4012" s="58"/>
      <c r="Q4012" s="58"/>
      <c r="R4012" s="58"/>
      <c r="S4012" s="58"/>
      <c r="T4012" s="220"/>
      <c r="U4012" s="88"/>
      <c r="V4012" s="56"/>
      <c r="W4012" s="57" t="s">
        <v>1036</v>
      </c>
      <c r="X4012" s="53"/>
      <c r="Y4012" s="91" t="s">
        <v>68</v>
      </c>
      <c r="Z4012" s="136">
        <f>AD4012/AC4012</f>
        <v>518.58333333333337</v>
      </c>
      <c r="AA4012" s="58"/>
      <c r="AB4012" s="53">
        <f>AD4012/AC4012</f>
        <v>518.58333333333337</v>
      </c>
      <c r="AC4012" s="53">
        <f>M4012+$AE$10</f>
        <v>3.9099999999999966</v>
      </c>
      <c r="AD4012" s="54">
        <f>SUM(AD4013:AD4018)</f>
        <v>2027.6608333333318</v>
      </c>
      <c r="AE4012" s="184">
        <f>SUMIFS($AD$37:$AD$12971,$V$37:$V$12971,$V4012,$X$37:$X$12971,AE$13)</f>
        <v>0</v>
      </c>
      <c r="AF4012" s="185">
        <f>SUMIFS($AD$37:$AD$12971,$V$37:$V$12971,$V4012,$X$37:$X$12971,AF$13)</f>
        <v>0</v>
      </c>
      <c r="AG4012" s="185">
        <f>SUMIFS($AD$37:$AD$12971,$V$37:$V$12971,$V4012,$X$37:$X$12971,AG$13)</f>
        <v>0</v>
      </c>
      <c r="AH4012" s="187">
        <f>SUMIFS($AD$37:$AD$12971,$V$37:$V$12971,$V4012,$X$37:$X$12971,AH$13)</f>
        <v>0</v>
      </c>
      <c r="AI4012" s="161">
        <f t="shared" ref="AI4012" si="2971">SUM(AE4012:AH4012)</f>
        <v>0</v>
      </c>
      <c r="AK4012" s="172"/>
    </row>
    <row r="4013" spans="1:41" s="102" customFormat="1" ht="19.899999999999999" customHeight="1" x14ac:dyDescent="0.25">
      <c r="A4013" s="45"/>
      <c r="B4013" s="59"/>
      <c r="C4013" s="137"/>
      <c r="D4013" s="59"/>
      <c r="E4013" s="116"/>
      <c r="F4013" s="120"/>
      <c r="G4013" s="120"/>
      <c r="H4013" s="120"/>
      <c r="I4013" s="60"/>
      <c r="J4013" s="116"/>
      <c r="K4013" s="213"/>
      <c r="L4013" s="120"/>
      <c r="M4013" s="120"/>
      <c r="N4013" s="167"/>
      <c r="O4013" s="120"/>
      <c r="P4013" s="120"/>
      <c r="Q4013" s="120"/>
      <c r="R4013" s="120"/>
      <c r="S4013" s="120"/>
      <c r="T4013" s="221"/>
      <c r="U4013" s="89"/>
      <c r="V4013" s="61"/>
      <c r="W4013" s="92" t="s">
        <v>1059</v>
      </c>
      <c r="X4013" s="93" t="s">
        <v>30</v>
      </c>
      <c r="Y4013" s="93" t="s">
        <v>68</v>
      </c>
      <c r="Z4013" s="134">
        <f>VLOOKUP(W4013,Sheet2!$B:$D,3,FALSE)</f>
        <v>350</v>
      </c>
      <c r="AA4013" s="93">
        <v>1</v>
      </c>
      <c r="AB4013" s="93">
        <f>AD4013/AC4012</f>
        <v>350</v>
      </c>
      <c r="AC4013" s="93">
        <f>AC4012/AA4013</f>
        <v>3.9099999999999966</v>
      </c>
      <c r="AD4013" s="94">
        <f t="shared" ref="AD4013" si="2972">AC4013*Z4013</f>
        <v>1368.4999999999989</v>
      </c>
      <c r="AE4013" s="190"/>
      <c r="AF4013" s="191"/>
      <c r="AG4013" s="191"/>
      <c r="AH4013" s="191"/>
      <c r="AI4013" s="186"/>
      <c r="AK4013" s="171"/>
    </row>
    <row r="4014" spans="1:41" s="102" customFormat="1" ht="19.899999999999999" customHeight="1" x14ac:dyDescent="0.25">
      <c r="A4014" s="45"/>
      <c r="B4014" s="59"/>
      <c r="C4014" s="137"/>
      <c r="D4014" s="59"/>
      <c r="E4014" s="116"/>
      <c r="F4014" s="120"/>
      <c r="G4014" s="120"/>
      <c r="H4014" s="120"/>
      <c r="I4014" s="60"/>
      <c r="J4014" s="116"/>
      <c r="K4014" s="213"/>
      <c r="L4014" s="120"/>
      <c r="M4014" s="120"/>
      <c r="N4014" s="167"/>
      <c r="O4014" s="120"/>
      <c r="P4014" s="120"/>
      <c r="Q4014" s="120"/>
      <c r="R4014" s="120"/>
      <c r="S4014" s="120"/>
      <c r="T4014" s="221"/>
      <c r="U4014" s="89"/>
      <c r="V4014" s="61"/>
      <c r="W4014" s="92" t="s">
        <v>1066</v>
      </c>
      <c r="X4014" s="93" t="s">
        <v>30</v>
      </c>
      <c r="Y4014" s="93" t="s">
        <v>68</v>
      </c>
      <c r="Z4014" s="134">
        <f>VLOOKUP(W4014,Sheet2!$B:$D,3,FALSE)</f>
        <v>35</v>
      </c>
      <c r="AA4014" s="93">
        <v>1</v>
      </c>
      <c r="AB4014" s="93">
        <f>AD4014/AC4012</f>
        <v>35</v>
      </c>
      <c r="AC4014" s="93">
        <f>AC4012/AA4014</f>
        <v>3.9099999999999966</v>
      </c>
      <c r="AD4014" s="94">
        <f>AC4014*Z4014</f>
        <v>136.84999999999988</v>
      </c>
      <c r="AE4014" s="190"/>
      <c r="AF4014" s="191"/>
      <c r="AG4014" s="191"/>
      <c r="AH4014" s="191"/>
      <c r="AI4014" s="186"/>
      <c r="AK4014" s="171"/>
    </row>
    <row r="4015" spans="1:41" s="102" customFormat="1" ht="19.899999999999999" customHeight="1" x14ac:dyDescent="0.25">
      <c r="A4015" s="45"/>
      <c r="B4015" s="59"/>
      <c r="C4015" s="137"/>
      <c r="D4015" s="59"/>
      <c r="E4015" s="116"/>
      <c r="F4015" s="120"/>
      <c r="G4015" s="120"/>
      <c r="H4015" s="120"/>
      <c r="I4015" s="60"/>
      <c r="J4015" s="116"/>
      <c r="K4015" s="213"/>
      <c r="L4015" s="120"/>
      <c r="M4015" s="120"/>
      <c r="N4015" s="167"/>
      <c r="O4015" s="120"/>
      <c r="P4015" s="120"/>
      <c r="Q4015" s="120"/>
      <c r="R4015" s="120"/>
      <c r="S4015" s="120"/>
      <c r="T4015" s="221"/>
      <c r="U4015" s="89"/>
      <c r="V4015" s="61"/>
      <c r="W4015" s="92" t="s">
        <v>1073</v>
      </c>
      <c r="X4015" s="93" t="s">
        <v>32</v>
      </c>
      <c r="Y4015" s="93" t="s">
        <v>68</v>
      </c>
      <c r="Z4015" s="134">
        <f>VLOOKUP(W4015,Sheet2!$B:$D,3,FALSE)</f>
        <v>65</v>
      </c>
      <c r="AA4015" s="93">
        <v>1</v>
      </c>
      <c r="AB4015" s="93">
        <f>AD4015/AC4012</f>
        <v>65</v>
      </c>
      <c r="AC4015" s="93">
        <f>AC4012/AA4015</f>
        <v>3.9099999999999966</v>
      </c>
      <c r="AD4015" s="94">
        <f>AC4015*Z4015</f>
        <v>254.14999999999978</v>
      </c>
      <c r="AE4015" s="190"/>
      <c r="AF4015" s="191"/>
      <c r="AG4015" s="191"/>
      <c r="AH4015" s="191"/>
      <c r="AI4015" s="186"/>
      <c r="AK4015" s="171"/>
    </row>
    <row r="4016" spans="1:41" s="102" customFormat="1" ht="19.899999999999999" customHeight="1" x14ac:dyDescent="0.25">
      <c r="A4016" s="45"/>
      <c r="B4016" s="59"/>
      <c r="C4016" s="137"/>
      <c r="D4016" s="59"/>
      <c r="E4016" s="116"/>
      <c r="F4016" s="120"/>
      <c r="G4016" s="120"/>
      <c r="H4016" s="120"/>
      <c r="I4016" s="60"/>
      <c r="J4016" s="116"/>
      <c r="K4016" s="213"/>
      <c r="L4016" s="120"/>
      <c r="M4016" s="120"/>
      <c r="N4016" s="167"/>
      <c r="O4016" s="120"/>
      <c r="P4016" s="120"/>
      <c r="Q4016" s="120"/>
      <c r="R4016" s="120"/>
      <c r="S4016" s="120"/>
      <c r="T4016" s="221"/>
      <c r="U4016" s="89"/>
      <c r="V4016" s="61"/>
      <c r="W4016" s="92" t="s">
        <v>1032</v>
      </c>
      <c r="X4016" s="93" t="s">
        <v>30</v>
      </c>
      <c r="Y4016" s="93" t="s">
        <v>66</v>
      </c>
      <c r="Z4016" s="134">
        <f>VLOOKUP(W4016,Sheet2!$B:$D,3,FALSE)</f>
        <v>250</v>
      </c>
      <c r="AA4016" s="93">
        <f>1/(1.7*0.1)</f>
        <v>5.8823529411764701</v>
      </c>
      <c r="AB4016" s="93">
        <f>AD4016/AC4012</f>
        <v>42.500000000000007</v>
      </c>
      <c r="AC4016" s="93">
        <f>AC4012/AA4016</f>
        <v>0.66469999999999951</v>
      </c>
      <c r="AD4016" s="94">
        <f>AC4016*Z4016</f>
        <v>166.17499999999987</v>
      </c>
      <c r="AE4016" s="190"/>
      <c r="AF4016" s="191"/>
      <c r="AG4016" s="191"/>
      <c r="AH4016" s="191"/>
      <c r="AI4016" s="186"/>
      <c r="AK4016" s="171"/>
    </row>
    <row r="4017" spans="1:41" s="102" customFormat="1" ht="19.899999999999999" customHeight="1" x14ac:dyDescent="0.25">
      <c r="A4017" s="45"/>
      <c r="B4017" s="59"/>
      <c r="C4017" s="137"/>
      <c r="D4017" s="59"/>
      <c r="E4017" s="116"/>
      <c r="F4017" s="120"/>
      <c r="G4017" s="120"/>
      <c r="H4017" s="120"/>
      <c r="I4017" s="60"/>
      <c r="J4017" s="116"/>
      <c r="K4017" s="213"/>
      <c r="L4017" s="120"/>
      <c r="M4017" s="120"/>
      <c r="N4017" s="167"/>
      <c r="O4017" s="120"/>
      <c r="P4017" s="120"/>
      <c r="Q4017" s="120"/>
      <c r="R4017" s="120"/>
      <c r="S4017" s="120"/>
      <c r="T4017" s="221"/>
      <c r="U4017" s="89"/>
      <c r="V4017" s="61"/>
      <c r="W4017" s="92" t="s">
        <v>1035</v>
      </c>
      <c r="X4017" s="93" t="s">
        <v>32</v>
      </c>
      <c r="Y4017" s="93" t="s">
        <v>66</v>
      </c>
      <c r="Z4017" s="134">
        <f>VLOOKUP(W4017,Sheet2!$B:$D,3,FALSE)</f>
        <v>150</v>
      </c>
      <c r="AA4017" s="93">
        <f>AA4016</f>
        <v>5.8823529411764701</v>
      </c>
      <c r="AB4017" s="93">
        <f>AD4017/AC4012</f>
        <v>25.500000000000004</v>
      </c>
      <c r="AC4017" s="93">
        <f>AC4012/AA4017</f>
        <v>0.66469999999999951</v>
      </c>
      <c r="AD4017" s="94">
        <f t="shared" ref="AD4017:AD4018" si="2973">AC4017*Z4017</f>
        <v>99.704999999999927</v>
      </c>
      <c r="AE4017" s="190"/>
      <c r="AF4017" s="191"/>
      <c r="AG4017" s="191"/>
      <c r="AH4017" s="191"/>
      <c r="AI4017" s="186"/>
      <c r="AK4017" s="171"/>
    </row>
    <row r="4018" spans="1:41" s="102" customFormat="1" ht="19.899999999999999" customHeight="1" x14ac:dyDescent="0.25">
      <c r="A4018" s="45"/>
      <c r="B4018" s="59"/>
      <c r="C4018" s="137"/>
      <c r="D4018" s="59"/>
      <c r="E4018" s="116"/>
      <c r="F4018" s="120"/>
      <c r="G4018" s="120"/>
      <c r="H4018" s="120"/>
      <c r="I4018" s="60"/>
      <c r="J4018" s="116"/>
      <c r="K4018" s="213"/>
      <c r="L4018" s="120"/>
      <c r="M4018" s="120"/>
      <c r="N4018" s="167"/>
      <c r="O4018" s="120"/>
      <c r="P4018" s="120"/>
      <c r="Q4018" s="120"/>
      <c r="R4018" s="120"/>
      <c r="S4018" s="120"/>
      <c r="T4018" s="221"/>
      <c r="U4018" s="89"/>
      <c r="V4018" s="61"/>
      <c r="W4018" s="92" t="s">
        <v>1037</v>
      </c>
      <c r="X4018" s="93" t="s">
        <v>30</v>
      </c>
      <c r="Y4018" s="93" t="s">
        <v>1038</v>
      </c>
      <c r="Z4018" s="134">
        <f>VLOOKUP(W4018,Sheet2!$B:$D,3,FALSE)</f>
        <v>175</v>
      </c>
      <c r="AA4018" s="93">
        <v>300</v>
      </c>
      <c r="AB4018" s="93">
        <f>AD4018/AC4012</f>
        <v>0.58333333333333337</v>
      </c>
      <c r="AC4018" s="93">
        <f>AC4012/AA4018</f>
        <v>1.3033333333333322E-2</v>
      </c>
      <c r="AD4018" s="94">
        <f t="shared" si="2973"/>
        <v>2.2808333333333315</v>
      </c>
      <c r="AE4018" s="190"/>
      <c r="AF4018" s="191"/>
      <c r="AG4018" s="191"/>
      <c r="AH4018" s="191"/>
      <c r="AI4018" s="186"/>
      <c r="AK4018" s="171"/>
    </row>
    <row r="4019" spans="1:41" s="103" customFormat="1" ht="19.899999999999999" customHeight="1" x14ac:dyDescent="0.25">
      <c r="A4019" s="51"/>
      <c r="B4019" s="52"/>
      <c r="C4019" s="165"/>
      <c r="D4019" s="52"/>
      <c r="E4019" s="115"/>
      <c r="F4019" s="58"/>
      <c r="G4019" s="58"/>
      <c r="H4019" s="58"/>
      <c r="I4019" s="55"/>
      <c r="J4019" s="113">
        <f>J4001</f>
        <v>3.9099999999999966</v>
      </c>
      <c r="K4019" s="212">
        <f>K4001</f>
        <v>3.9099999999999966</v>
      </c>
      <c r="L4019" s="58"/>
      <c r="M4019" s="58">
        <f>K4019-L4019</f>
        <v>3.9099999999999966</v>
      </c>
      <c r="N4019" s="166"/>
      <c r="O4019" s="58"/>
      <c r="P4019" s="58"/>
      <c r="Q4019" s="58"/>
      <c r="R4019" s="58"/>
      <c r="S4019" s="58"/>
      <c r="T4019" s="220"/>
      <c r="U4019" s="88"/>
      <c r="V4019" s="56"/>
      <c r="W4019" s="57" t="s">
        <v>1040</v>
      </c>
      <c r="X4019" s="53"/>
      <c r="Y4019" s="91" t="s">
        <v>68</v>
      </c>
      <c r="Z4019" s="136">
        <f>AD4019/AC4019</f>
        <v>5</v>
      </c>
      <c r="AA4019" s="58"/>
      <c r="AB4019" s="53">
        <f>AD4019/AC4019</f>
        <v>5</v>
      </c>
      <c r="AC4019" s="53">
        <f>M4019+$AE$10</f>
        <v>3.9099999999999966</v>
      </c>
      <c r="AD4019" s="54">
        <f>SUM(AD4020)</f>
        <v>19.549999999999983</v>
      </c>
      <c r="AE4019" s="184">
        <f>SUMIFS($AD$37:$AD$12971,$V$37:$V$12971,$V4019,$X$37:$X$12971,AE$13)</f>
        <v>0</v>
      </c>
      <c r="AF4019" s="185">
        <f>SUMIFS($AD$37:$AD$12971,$V$37:$V$12971,$V4019,$X$37:$X$12971,AF$13)</f>
        <v>0</v>
      </c>
      <c r="AG4019" s="185">
        <f>SUMIFS($AD$37:$AD$12971,$V$37:$V$12971,$V4019,$X$37:$X$12971,AG$13)</f>
        <v>0</v>
      </c>
      <c r="AH4019" s="187">
        <f>SUMIFS($AD$37:$AD$12971,$V$37:$V$12971,$V4019,$X$37:$X$12971,AH$13)</f>
        <v>0</v>
      </c>
      <c r="AI4019" s="161">
        <f t="shared" ref="AI4019" si="2974">SUM(AE4019:AH4019)</f>
        <v>0</v>
      </c>
      <c r="AK4019" s="172"/>
    </row>
    <row r="4020" spans="1:41" s="102" customFormat="1" ht="19.899999999999999" customHeight="1" x14ac:dyDescent="0.25">
      <c r="A4020" s="45"/>
      <c r="B4020" s="59"/>
      <c r="C4020" s="137"/>
      <c r="D4020" s="59"/>
      <c r="E4020" s="116"/>
      <c r="F4020" s="120"/>
      <c r="G4020" s="120"/>
      <c r="H4020" s="120"/>
      <c r="I4020" s="60"/>
      <c r="J4020" s="116"/>
      <c r="K4020" s="213"/>
      <c r="L4020" s="120"/>
      <c r="M4020" s="120"/>
      <c r="N4020" s="167"/>
      <c r="O4020" s="120"/>
      <c r="P4020" s="120"/>
      <c r="Q4020" s="120"/>
      <c r="R4020" s="120"/>
      <c r="S4020" s="120"/>
      <c r="T4020" s="221"/>
      <c r="U4020" s="89"/>
      <c r="V4020" s="61"/>
      <c r="W4020" s="92" t="s">
        <v>1039</v>
      </c>
      <c r="X4020" s="93" t="s">
        <v>32</v>
      </c>
      <c r="Y4020" s="93" t="s">
        <v>68</v>
      </c>
      <c r="Z4020" s="134">
        <f>VLOOKUP(W4020,Sheet2!$B:$D,3,FALSE)</f>
        <v>5</v>
      </c>
      <c r="AA4020" s="93">
        <v>1</v>
      </c>
      <c r="AB4020" s="93">
        <f>AD4020/AC4019</f>
        <v>5</v>
      </c>
      <c r="AC4020" s="93">
        <f>AC4019/AA4020</f>
        <v>3.9099999999999966</v>
      </c>
      <c r="AD4020" s="94">
        <f t="shared" ref="AD4020" si="2975">AC4020*Z4020</f>
        <v>19.549999999999983</v>
      </c>
      <c r="AE4020" s="190"/>
      <c r="AF4020" s="191"/>
      <c r="AG4020" s="191"/>
      <c r="AH4020" s="191"/>
      <c r="AI4020" s="186"/>
      <c r="AK4020" s="171"/>
    </row>
    <row r="4021" spans="1:41" ht="20.100000000000001" customHeight="1" x14ac:dyDescent="0.25">
      <c r="A4021" s="277" t="s">
        <v>491</v>
      </c>
      <c r="B4021" s="278"/>
      <c r="C4021" s="64" t="s">
        <v>1180</v>
      </c>
      <c r="D4021" s="46" t="s">
        <v>97</v>
      </c>
      <c r="E4021" s="114">
        <v>56.48564999999985</v>
      </c>
      <c r="F4021" s="44">
        <v>1080</v>
      </c>
      <c r="G4021" s="44">
        <f t="shared" si="2434"/>
        <v>61004.50199999984</v>
      </c>
      <c r="H4021" s="44">
        <f t="shared" si="2435"/>
        <v>643.79899999999998</v>
      </c>
      <c r="I4021" s="43">
        <f t="shared" si="2436"/>
        <v>36365.404984349901</v>
      </c>
      <c r="J4021" s="112">
        <f t="shared" si="2437"/>
        <v>56.48564999999985</v>
      </c>
      <c r="K4021" s="211">
        <f t="shared" si="2438"/>
        <v>56.48564999999985</v>
      </c>
      <c r="L4021" s="44"/>
      <c r="M4021" s="44">
        <f t="shared" si="2458"/>
        <v>56.48564999999985</v>
      </c>
      <c r="N4021" s="173">
        <f t="shared" si="2439"/>
        <v>1</v>
      </c>
      <c r="O4021" s="44">
        <f t="shared" si="2440"/>
        <v>1080</v>
      </c>
      <c r="P4021" s="44">
        <f t="shared" si="2441"/>
        <v>61004.50199999984</v>
      </c>
      <c r="Q4021" s="44">
        <f t="shared" si="2442"/>
        <v>643.79899999999998</v>
      </c>
      <c r="R4021" s="44">
        <f t="shared" si="2459"/>
        <v>36365.404984349901</v>
      </c>
      <c r="S4021" s="123"/>
      <c r="T4021" s="219">
        <f t="shared" si="2460"/>
        <v>36365.404984349901</v>
      </c>
      <c r="U4021" s="87"/>
      <c r="V4021" s="47"/>
      <c r="W4021" s="48"/>
      <c r="X4021" s="48"/>
      <c r="Y4021" s="48"/>
      <c r="Z4021" s="135"/>
      <c r="AA4021" s="49"/>
      <c r="AB4021" s="50">
        <f t="shared" si="2443"/>
        <v>643.79899999999998</v>
      </c>
      <c r="AC4021" s="42">
        <f t="shared" si="2461"/>
        <v>56.48564999999985</v>
      </c>
      <c r="AD4021" s="90">
        <f>AD4022+AD4032+AD4039</f>
        <v>36365.404984349901</v>
      </c>
      <c r="AE4021" s="188">
        <f t="shared" ref="AE4021" si="2976">AE4022+AE4032+AE4039</f>
        <v>0</v>
      </c>
      <c r="AF4021" s="189">
        <f t="shared" ref="AF4021" si="2977">AF4022+AF4032+AF4039</f>
        <v>0</v>
      </c>
      <c r="AG4021" s="189">
        <f t="shared" ref="AG4021" si="2978">AG4022+AG4032+AG4039</f>
        <v>0</v>
      </c>
      <c r="AH4021" s="189">
        <f t="shared" ref="AH4021" si="2979">AH4022+AH4032+AH4039</f>
        <v>0</v>
      </c>
      <c r="AI4021" s="161">
        <f t="shared" ref="AI4021" si="2980">SUM(AE4021:AH4021)</f>
        <v>0</v>
      </c>
      <c r="AK4021" s="169">
        <v>5</v>
      </c>
      <c r="AO4021" s="19" t="s">
        <v>63</v>
      </c>
    </row>
    <row r="4022" spans="1:41" s="103" customFormat="1" ht="19.899999999999999" customHeight="1" x14ac:dyDescent="0.25">
      <c r="A4022" s="51"/>
      <c r="B4022" s="52"/>
      <c r="C4022" s="165"/>
      <c r="D4022" s="52"/>
      <c r="E4022" s="115"/>
      <c r="F4022" s="58"/>
      <c r="G4022" s="58"/>
      <c r="H4022" s="58"/>
      <c r="I4022" s="55"/>
      <c r="J4022" s="113">
        <f>J4021</f>
        <v>56.48564999999985</v>
      </c>
      <c r="K4022" s="212">
        <f>K4021</f>
        <v>56.48564999999985</v>
      </c>
      <c r="L4022" s="58"/>
      <c r="M4022" s="58">
        <f>K4022-L4022</f>
        <v>56.48564999999985</v>
      </c>
      <c r="N4022" s="166"/>
      <c r="O4022" s="58"/>
      <c r="P4022" s="58"/>
      <c r="Q4022" s="58"/>
      <c r="R4022" s="58"/>
      <c r="S4022" s="58"/>
      <c r="T4022" s="220"/>
      <c r="U4022" s="88"/>
      <c r="V4022" s="56"/>
      <c r="W4022" s="57" t="s">
        <v>1250</v>
      </c>
      <c r="X4022" s="53"/>
      <c r="Y4022" s="91" t="s">
        <v>68</v>
      </c>
      <c r="Z4022" s="136">
        <f>AD4022/AC4022</f>
        <v>120.21566666666665</v>
      </c>
      <c r="AA4022" s="58"/>
      <c r="AB4022" s="53">
        <f>AD4022/AC4022</f>
        <v>120.21566666666665</v>
      </c>
      <c r="AC4022" s="53">
        <f>M4022+$AE$10</f>
        <v>56.48564999999985</v>
      </c>
      <c r="AD4022" s="54">
        <f>SUM(AD4023:AD4031)</f>
        <v>6790.4600718499814</v>
      </c>
      <c r="AE4022" s="184">
        <f>SUMIFS($AD$37:$AD$12971,$V$37:$V$12971,$V4022,$X$37:$X$12971,AE$13)</f>
        <v>0</v>
      </c>
      <c r="AF4022" s="185">
        <f>SUMIFS($AD$37:$AD$12971,$V$37:$V$12971,$V4022,$X$37:$X$12971,AF$13)</f>
        <v>0</v>
      </c>
      <c r="AG4022" s="185">
        <f>SUMIFS($AD$37:$AD$12971,$V$37:$V$12971,$V4022,$X$37:$X$12971,AG$13)</f>
        <v>0</v>
      </c>
      <c r="AH4022" s="187">
        <f>SUMIFS($AD$37:$AD$12971,$V$37:$V$12971,$V4022,$X$37:$X$12971,AH$13)</f>
        <v>0</v>
      </c>
      <c r="AI4022" s="161">
        <f t="shared" ref="AI4022" si="2981">SUM(AE4022:AH4022)</f>
        <v>0</v>
      </c>
      <c r="AK4022" s="172"/>
    </row>
    <row r="4023" spans="1:41" s="102" customFormat="1" ht="19.899999999999999" customHeight="1" x14ac:dyDescent="0.25">
      <c r="A4023" s="45"/>
      <c r="B4023" s="59"/>
      <c r="C4023" s="137"/>
      <c r="D4023" s="59"/>
      <c r="E4023" s="116"/>
      <c r="F4023" s="120"/>
      <c r="G4023" s="120"/>
      <c r="H4023" s="120"/>
      <c r="I4023" s="60"/>
      <c r="J4023" s="116"/>
      <c r="K4023" s="213"/>
      <c r="L4023" s="120"/>
      <c r="M4023" s="120"/>
      <c r="N4023" s="167"/>
      <c r="O4023" s="120"/>
      <c r="P4023" s="120"/>
      <c r="Q4023" s="120"/>
      <c r="R4023" s="120"/>
      <c r="S4023" s="120"/>
      <c r="T4023" s="221"/>
      <c r="U4023" s="89"/>
      <c r="V4023" s="61"/>
      <c r="W4023" s="92" t="s">
        <v>131</v>
      </c>
      <c r="X4023" s="93" t="s">
        <v>29</v>
      </c>
      <c r="Y4023" s="93" t="s">
        <v>93</v>
      </c>
      <c r="Z4023" s="134">
        <f>VLOOKUP(W4023,Sheet2!$B:$D,3,FALSE)</f>
        <v>131.19999999999999</v>
      </c>
      <c r="AA4023" s="93">
        <f>80/(1.7*5.5)</f>
        <v>8.5561497326203213</v>
      </c>
      <c r="AB4023" s="93">
        <f t="shared" ref="AB4023" si="2982">AD4023/AC4022</f>
        <v>15.333999999999996</v>
      </c>
      <c r="AC4023" s="93">
        <f>AC4022/AA4023</f>
        <v>6.6017603437499819</v>
      </c>
      <c r="AD4023" s="94">
        <f t="shared" ref="AD4023:AD4024" si="2983">AC4023*Z4023</f>
        <v>866.15095709999753</v>
      </c>
      <c r="AE4023" s="190"/>
      <c r="AF4023" s="191"/>
      <c r="AG4023" s="191"/>
      <c r="AH4023" s="191"/>
      <c r="AI4023" s="186"/>
      <c r="AK4023" s="171"/>
    </row>
    <row r="4024" spans="1:41" s="102" customFormat="1" ht="19.899999999999999" customHeight="1" x14ac:dyDescent="0.25">
      <c r="A4024" s="45"/>
      <c r="B4024" s="59"/>
      <c r="C4024" s="137"/>
      <c r="D4024" s="59"/>
      <c r="E4024" s="116"/>
      <c r="F4024" s="120"/>
      <c r="G4024" s="120"/>
      <c r="H4024" s="120"/>
      <c r="I4024" s="60"/>
      <c r="J4024" s="116"/>
      <c r="K4024" s="213"/>
      <c r="L4024" s="120"/>
      <c r="M4024" s="120"/>
      <c r="N4024" s="167"/>
      <c r="O4024" s="120"/>
      <c r="P4024" s="120"/>
      <c r="Q4024" s="120"/>
      <c r="R4024" s="120"/>
      <c r="S4024" s="120"/>
      <c r="T4024" s="221"/>
      <c r="U4024" s="89"/>
      <c r="V4024" s="61"/>
      <c r="W4024" s="92" t="s">
        <v>65</v>
      </c>
      <c r="X4024" s="93" t="s">
        <v>30</v>
      </c>
      <c r="Y4024" s="93" t="s">
        <v>1011</v>
      </c>
      <c r="Z4024" s="134">
        <f>VLOOKUP(W4024,Sheet2!$B:$D,3,FALSE)</f>
        <v>1.76</v>
      </c>
      <c r="AA4024" s="93">
        <f>AA4023/32</f>
        <v>0.26737967914438504</v>
      </c>
      <c r="AB4024" s="93">
        <f>AD4024/AC4022</f>
        <v>6.5823999999999998</v>
      </c>
      <c r="AC4024" s="93">
        <f>AC4022/AA4024</f>
        <v>211.25633099999942</v>
      </c>
      <c r="AD4024" s="94">
        <f t="shared" si="2983"/>
        <v>371.81114255999898</v>
      </c>
      <c r="AE4024" s="190"/>
      <c r="AF4024" s="191"/>
      <c r="AG4024" s="191"/>
      <c r="AH4024" s="191"/>
      <c r="AI4024" s="186"/>
      <c r="AK4024" s="171"/>
    </row>
    <row r="4025" spans="1:41" s="102" customFormat="1" ht="19.899999999999999" customHeight="1" x14ac:dyDescent="0.25">
      <c r="A4025" s="45"/>
      <c r="B4025" s="59"/>
      <c r="C4025" s="137"/>
      <c r="D4025" s="59"/>
      <c r="E4025" s="116"/>
      <c r="F4025" s="120"/>
      <c r="G4025" s="120"/>
      <c r="H4025" s="120"/>
      <c r="I4025" s="60"/>
      <c r="J4025" s="116"/>
      <c r="K4025" s="213"/>
      <c r="L4025" s="120"/>
      <c r="M4025" s="120"/>
      <c r="N4025" s="167"/>
      <c r="O4025" s="120"/>
      <c r="P4025" s="120"/>
      <c r="Q4025" s="120"/>
      <c r="R4025" s="120"/>
      <c r="S4025" s="120"/>
      <c r="T4025" s="221"/>
      <c r="U4025" s="89"/>
      <c r="V4025" s="61"/>
      <c r="W4025" s="92" t="s">
        <v>161</v>
      </c>
      <c r="X4025" s="93" t="s">
        <v>29</v>
      </c>
      <c r="Y4025" s="93" t="s">
        <v>93</v>
      </c>
      <c r="Z4025" s="134">
        <f>VLOOKUP(W4025,Sheet2!$B:$D,3,FALSE)</f>
        <v>48</v>
      </c>
      <c r="AA4025" s="93">
        <f>(16*0.85*1.5)/(1.7*5.5)</f>
        <v>2.1818181818181817</v>
      </c>
      <c r="AB4025" s="93">
        <f>AD4025/AC4022</f>
        <v>22.000000000000004</v>
      </c>
      <c r="AC4025" s="93">
        <f>AC4022/AA4025</f>
        <v>25.889256249999935</v>
      </c>
      <c r="AD4025" s="94">
        <f>AC4025*Z4025</f>
        <v>1242.6842999999969</v>
      </c>
      <c r="AE4025" s="190"/>
      <c r="AF4025" s="191"/>
      <c r="AG4025" s="191"/>
      <c r="AH4025" s="191"/>
      <c r="AI4025" s="186"/>
      <c r="AK4025" s="171"/>
    </row>
    <row r="4026" spans="1:41" s="102" customFormat="1" ht="19.899999999999999" customHeight="1" x14ac:dyDescent="0.25">
      <c r="A4026" s="45"/>
      <c r="B4026" s="59"/>
      <c r="C4026" s="137"/>
      <c r="D4026" s="59"/>
      <c r="E4026" s="116"/>
      <c r="F4026" s="120"/>
      <c r="G4026" s="120"/>
      <c r="H4026" s="120"/>
      <c r="I4026" s="60"/>
      <c r="J4026" s="116"/>
      <c r="K4026" s="213"/>
      <c r="L4026" s="120"/>
      <c r="M4026" s="120"/>
      <c r="N4026" s="167"/>
      <c r="O4026" s="120"/>
      <c r="P4026" s="120"/>
      <c r="Q4026" s="120"/>
      <c r="R4026" s="120"/>
      <c r="S4026" s="120"/>
      <c r="T4026" s="221"/>
      <c r="U4026" s="89"/>
      <c r="V4026" s="61"/>
      <c r="W4026" s="92" t="s">
        <v>65</v>
      </c>
      <c r="X4026" s="93" t="s">
        <v>30</v>
      </c>
      <c r="Y4026" s="93" t="s">
        <v>1011</v>
      </c>
      <c r="Z4026" s="134">
        <f>VLOOKUP(W4026,Sheet2!$B:$D,3,FALSE)</f>
        <v>1.76</v>
      </c>
      <c r="AA4026" s="93">
        <f>AA4025/10</f>
        <v>0.21818181818181817</v>
      </c>
      <c r="AB4026" s="93">
        <f>AD4026/AC4022</f>
        <v>8.0666666666666664</v>
      </c>
      <c r="AC4026" s="93">
        <f>AC4022/AA4026</f>
        <v>258.89256249999931</v>
      </c>
      <c r="AD4026" s="94">
        <f>AC4026*Z4026</f>
        <v>455.65090999999882</v>
      </c>
      <c r="AE4026" s="190"/>
      <c r="AF4026" s="191"/>
      <c r="AG4026" s="191"/>
      <c r="AH4026" s="191"/>
      <c r="AI4026" s="186"/>
      <c r="AK4026" s="171"/>
    </row>
    <row r="4027" spans="1:41" s="102" customFormat="1" ht="19.899999999999999" customHeight="1" x14ac:dyDescent="0.25">
      <c r="A4027" s="45"/>
      <c r="B4027" s="59"/>
      <c r="C4027" s="137"/>
      <c r="D4027" s="59"/>
      <c r="E4027" s="116"/>
      <c r="F4027" s="120"/>
      <c r="G4027" s="120"/>
      <c r="H4027" s="120"/>
      <c r="I4027" s="60"/>
      <c r="J4027" s="116"/>
      <c r="K4027" s="213"/>
      <c r="L4027" s="120"/>
      <c r="M4027" s="120"/>
      <c r="N4027" s="167"/>
      <c r="O4027" s="120"/>
      <c r="P4027" s="120"/>
      <c r="Q4027" s="120"/>
      <c r="R4027" s="120"/>
      <c r="S4027" s="120"/>
      <c r="T4027" s="221"/>
      <c r="U4027" s="89"/>
      <c r="V4027" s="61"/>
      <c r="W4027" s="92" t="s">
        <v>1030</v>
      </c>
      <c r="X4027" s="93" t="s">
        <v>29</v>
      </c>
      <c r="Y4027" s="93" t="s">
        <v>93</v>
      </c>
      <c r="Z4027" s="134">
        <f>VLOOKUP(W4027,Sheet2!$B:$D,3,FALSE)</f>
        <v>23</v>
      </c>
      <c r="AA4027" s="93">
        <v>50</v>
      </c>
      <c r="AB4027" s="93">
        <f>AD4027/AC4022</f>
        <v>0.46000000000000008</v>
      </c>
      <c r="AC4027" s="93">
        <f>AC4022/AA4027</f>
        <v>1.1297129999999971</v>
      </c>
      <c r="AD4027" s="94">
        <f t="shared" ref="AD4027:AD4031" si="2984">AC4027*Z4027</f>
        <v>25.983398999999935</v>
      </c>
      <c r="AE4027" s="190"/>
      <c r="AF4027" s="191"/>
      <c r="AG4027" s="191"/>
      <c r="AH4027" s="191"/>
      <c r="AI4027" s="186"/>
      <c r="AK4027" s="171"/>
    </row>
    <row r="4028" spans="1:41" s="102" customFormat="1" ht="19.899999999999999" customHeight="1" x14ac:dyDescent="0.25">
      <c r="A4028" s="45"/>
      <c r="B4028" s="59"/>
      <c r="C4028" s="137"/>
      <c r="D4028" s="59"/>
      <c r="E4028" s="116"/>
      <c r="F4028" s="120"/>
      <c r="G4028" s="120"/>
      <c r="H4028" s="120"/>
      <c r="I4028" s="60"/>
      <c r="J4028" s="116"/>
      <c r="K4028" s="213"/>
      <c r="L4028" s="120"/>
      <c r="M4028" s="120"/>
      <c r="N4028" s="167"/>
      <c r="O4028" s="120"/>
      <c r="P4028" s="120"/>
      <c r="Q4028" s="120"/>
      <c r="R4028" s="120"/>
      <c r="S4028" s="120"/>
      <c r="T4028" s="221"/>
      <c r="U4028" s="89"/>
      <c r="V4028" s="61"/>
      <c r="W4028" s="92" t="s">
        <v>65</v>
      </c>
      <c r="X4028" s="93" t="s">
        <v>30</v>
      </c>
      <c r="Y4028" s="93" t="s">
        <v>1011</v>
      </c>
      <c r="Z4028" s="134">
        <f>VLOOKUP(W4028,Sheet2!$B:$D,3,FALSE)</f>
        <v>1.76</v>
      </c>
      <c r="AA4028" s="93">
        <f>AA4027/3</f>
        <v>16.666666666666668</v>
      </c>
      <c r="AB4028" s="93">
        <f>AD4028/AC4022</f>
        <v>0.1056</v>
      </c>
      <c r="AC4028" s="93">
        <f>AC4022/AA4028</f>
        <v>3.3891389999999908</v>
      </c>
      <c r="AD4028" s="94">
        <f t="shared" si="2984"/>
        <v>5.9648846399999842</v>
      </c>
      <c r="AE4028" s="190"/>
      <c r="AF4028" s="191"/>
      <c r="AG4028" s="191"/>
      <c r="AH4028" s="191"/>
      <c r="AI4028" s="186"/>
      <c r="AK4028" s="171"/>
    </row>
    <row r="4029" spans="1:41" s="102" customFormat="1" ht="19.899999999999999" customHeight="1" x14ac:dyDescent="0.25">
      <c r="A4029" s="45"/>
      <c r="B4029" s="59"/>
      <c r="C4029" s="137"/>
      <c r="D4029" s="59"/>
      <c r="E4029" s="116"/>
      <c r="F4029" s="120"/>
      <c r="G4029" s="120"/>
      <c r="H4029" s="120"/>
      <c r="I4029" s="60"/>
      <c r="J4029" s="116"/>
      <c r="K4029" s="213"/>
      <c r="L4029" s="120"/>
      <c r="M4029" s="120"/>
      <c r="N4029" s="167"/>
      <c r="O4029" s="120"/>
      <c r="P4029" s="120"/>
      <c r="Q4029" s="120"/>
      <c r="R4029" s="120"/>
      <c r="S4029" s="120"/>
      <c r="T4029" s="221"/>
      <c r="U4029" s="89"/>
      <c r="V4029" s="61"/>
      <c r="W4029" s="92" t="s">
        <v>148</v>
      </c>
      <c r="X4029" s="93" t="s">
        <v>29</v>
      </c>
      <c r="Y4029" s="93" t="s">
        <v>93</v>
      </c>
      <c r="Z4029" s="134">
        <f>VLOOKUP(W4029,Sheet2!$B:$D,3,FALSE)</f>
        <v>48</v>
      </c>
      <c r="AA4029" s="93">
        <f>AA4023</f>
        <v>8.5561497326203213</v>
      </c>
      <c r="AB4029" s="93">
        <f>AD4029/AC4022</f>
        <v>5.61</v>
      </c>
      <c r="AC4029" s="93">
        <f>AC4022/AA4029</f>
        <v>6.6017603437499819</v>
      </c>
      <c r="AD4029" s="94">
        <f t="shared" si="2984"/>
        <v>316.88449649999916</v>
      </c>
      <c r="AE4029" s="190"/>
      <c r="AF4029" s="191"/>
      <c r="AG4029" s="191"/>
      <c r="AH4029" s="191"/>
      <c r="AI4029" s="186"/>
      <c r="AK4029" s="171"/>
    </row>
    <row r="4030" spans="1:41" s="102" customFormat="1" ht="19.899999999999999" customHeight="1" x14ac:dyDescent="0.25">
      <c r="A4030" s="45"/>
      <c r="B4030" s="59"/>
      <c r="C4030" s="137"/>
      <c r="D4030" s="59"/>
      <c r="E4030" s="116"/>
      <c r="F4030" s="120"/>
      <c r="G4030" s="120"/>
      <c r="H4030" s="120"/>
      <c r="I4030" s="60"/>
      <c r="J4030" s="116"/>
      <c r="K4030" s="213"/>
      <c r="L4030" s="120"/>
      <c r="M4030" s="120"/>
      <c r="N4030" s="167"/>
      <c r="O4030" s="120"/>
      <c r="P4030" s="120"/>
      <c r="Q4030" s="120"/>
      <c r="R4030" s="120"/>
      <c r="S4030" s="120"/>
      <c r="T4030" s="221"/>
      <c r="U4030" s="89"/>
      <c r="V4030" s="61"/>
      <c r="W4030" s="92" t="s">
        <v>65</v>
      </c>
      <c r="X4030" s="93" t="s">
        <v>30</v>
      </c>
      <c r="Y4030" s="93" t="s">
        <v>1011</v>
      </c>
      <c r="Z4030" s="134">
        <f>VLOOKUP(W4030,Sheet2!$B:$D,3,FALSE)</f>
        <v>1.76</v>
      </c>
      <c r="AA4030" s="93">
        <f>AA4029/10</f>
        <v>0.85561497326203217</v>
      </c>
      <c r="AB4030" s="93">
        <f>AD4030/AC4022</f>
        <v>2.0569999999999995</v>
      </c>
      <c r="AC4030" s="93">
        <f>AC4022/AA4030</f>
        <v>66.017603437499815</v>
      </c>
      <c r="AD4030" s="94">
        <f t="shared" si="2984"/>
        <v>116.19098204999968</v>
      </c>
      <c r="AE4030" s="190"/>
      <c r="AF4030" s="191"/>
      <c r="AG4030" s="191"/>
      <c r="AH4030" s="191"/>
      <c r="AI4030" s="186"/>
      <c r="AK4030" s="171"/>
    </row>
    <row r="4031" spans="1:41" s="102" customFormat="1" ht="19.899999999999999" customHeight="1" x14ac:dyDescent="0.25">
      <c r="A4031" s="45"/>
      <c r="B4031" s="59"/>
      <c r="C4031" s="137"/>
      <c r="D4031" s="59"/>
      <c r="E4031" s="116"/>
      <c r="F4031" s="120"/>
      <c r="G4031" s="120"/>
      <c r="H4031" s="120"/>
      <c r="I4031" s="60"/>
      <c r="J4031" s="116"/>
      <c r="K4031" s="213"/>
      <c r="L4031" s="120"/>
      <c r="M4031" s="120"/>
      <c r="N4031" s="167"/>
      <c r="O4031" s="120"/>
      <c r="P4031" s="120"/>
      <c r="Q4031" s="120"/>
      <c r="R4031" s="120"/>
      <c r="S4031" s="120"/>
      <c r="T4031" s="221"/>
      <c r="U4031" s="89"/>
      <c r="V4031" s="61"/>
      <c r="W4031" s="92" t="s">
        <v>1049</v>
      </c>
      <c r="X4031" s="93" t="s">
        <v>30</v>
      </c>
      <c r="Y4031" s="93" t="s">
        <v>68</v>
      </c>
      <c r="Z4031" s="134">
        <f>VLOOKUP(W4031,Sheet2!$B:$D,3,FALSE)</f>
        <v>60</v>
      </c>
      <c r="AA4031" s="93">
        <v>1</v>
      </c>
      <c r="AB4031" s="93">
        <f>AD4031/AC4022</f>
        <v>60</v>
      </c>
      <c r="AC4031" s="93">
        <f>AC4022/AA4031</f>
        <v>56.48564999999985</v>
      </c>
      <c r="AD4031" s="94">
        <f t="shared" si="2984"/>
        <v>3389.138999999991</v>
      </c>
      <c r="AE4031" s="190"/>
      <c r="AF4031" s="191"/>
      <c r="AG4031" s="191"/>
      <c r="AH4031" s="191"/>
      <c r="AI4031" s="186"/>
      <c r="AK4031" s="171"/>
    </row>
    <row r="4032" spans="1:41" s="103" customFormat="1" ht="19.899999999999999" customHeight="1" x14ac:dyDescent="0.25">
      <c r="A4032" s="51"/>
      <c r="B4032" s="52"/>
      <c r="C4032" s="165"/>
      <c r="D4032" s="52"/>
      <c r="E4032" s="115"/>
      <c r="F4032" s="58"/>
      <c r="G4032" s="58"/>
      <c r="H4032" s="58"/>
      <c r="I4032" s="55"/>
      <c r="J4032" s="113">
        <f>J4021</f>
        <v>56.48564999999985</v>
      </c>
      <c r="K4032" s="212">
        <f>K4021</f>
        <v>56.48564999999985</v>
      </c>
      <c r="L4032" s="58"/>
      <c r="M4032" s="58">
        <f>K4032-L4032</f>
        <v>56.48564999999985</v>
      </c>
      <c r="N4032" s="166"/>
      <c r="O4032" s="58"/>
      <c r="P4032" s="58"/>
      <c r="Q4032" s="58"/>
      <c r="R4032" s="58"/>
      <c r="S4032" s="58"/>
      <c r="T4032" s="220"/>
      <c r="U4032" s="88"/>
      <c r="V4032" s="56"/>
      <c r="W4032" s="57" t="s">
        <v>1036</v>
      </c>
      <c r="X4032" s="53"/>
      <c r="Y4032" s="91" t="s">
        <v>68</v>
      </c>
      <c r="Z4032" s="136">
        <f>AD4032/AC4032</f>
        <v>518.58333333333337</v>
      </c>
      <c r="AA4032" s="58"/>
      <c r="AB4032" s="53">
        <f>AD4032/AC4032</f>
        <v>518.58333333333337</v>
      </c>
      <c r="AC4032" s="53">
        <f>M4032+$AE$10</f>
        <v>56.48564999999985</v>
      </c>
      <c r="AD4032" s="54">
        <f>SUM(AD4033:AD4038)</f>
        <v>29292.516662499922</v>
      </c>
      <c r="AE4032" s="184">
        <f>SUMIFS($AD$37:$AD$12971,$V$37:$V$12971,$V4032,$X$37:$X$12971,AE$13)</f>
        <v>0</v>
      </c>
      <c r="AF4032" s="185">
        <f>SUMIFS($AD$37:$AD$12971,$V$37:$V$12971,$V4032,$X$37:$X$12971,AF$13)</f>
        <v>0</v>
      </c>
      <c r="AG4032" s="185">
        <f>SUMIFS($AD$37:$AD$12971,$V$37:$V$12971,$V4032,$X$37:$X$12971,AG$13)</f>
        <v>0</v>
      </c>
      <c r="AH4032" s="187">
        <f>SUMIFS($AD$37:$AD$12971,$V$37:$V$12971,$V4032,$X$37:$X$12971,AH$13)</f>
        <v>0</v>
      </c>
      <c r="AI4032" s="161">
        <f t="shared" ref="AI4032" si="2985">SUM(AE4032:AH4032)</f>
        <v>0</v>
      </c>
      <c r="AK4032" s="172"/>
    </row>
    <row r="4033" spans="1:41" s="102" customFormat="1" ht="19.899999999999999" customHeight="1" x14ac:dyDescent="0.25">
      <c r="A4033" s="45"/>
      <c r="B4033" s="59"/>
      <c r="C4033" s="137"/>
      <c r="D4033" s="59"/>
      <c r="E4033" s="116"/>
      <c r="F4033" s="120"/>
      <c r="G4033" s="120"/>
      <c r="H4033" s="120"/>
      <c r="I4033" s="60"/>
      <c r="J4033" s="116"/>
      <c r="K4033" s="213"/>
      <c r="L4033" s="120"/>
      <c r="M4033" s="120"/>
      <c r="N4033" s="167"/>
      <c r="O4033" s="120"/>
      <c r="P4033" s="120"/>
      <c r="Q4033" s="120"/>
      <c r="R4033" s="120"/>
      <c r="S4033" s="120"/>
      <c r="T4033" s="221"/>
      <c r="U4033" s="89"/>
      <c r="V4033" s="61"/>
      <c r="W4033" s="92" t="s">
        <v>1059</v>
      </c>
      <c r="X4033" s="93" t="s">
        <v>30</v>
      </c>
      <c r="Y4033" s="93" t="s">
        <v>68</v>
      </c>
      <c r="Z4033" s="134">
        <f>VLOOKUP(W4033,Sheet2!$B:$D,3,FALSE)</f>
        <v>350</v>
      </c>
      <c r="AA4033" s="93">
        <v>1</v>
      </c>
      <c r="AB4033" s="93">
        <f>AD4033/AC4032</f>
        <v>350</v>
      </c>
      <c r="AC4033" s="93">
        <f>AC4032/AA4033</f>
        <v>56.48564999999985</v>
      </c>
      <c r="AD4033" s="94">
        <f t="shared" ref="AD4033" si="2986">AC4033*Z4033</f>
        <v>19769.977499999946</v>
      </c>
      <c r="AE4033" s="190"/>
      <c r="AF4033" s="191"/>
      <c r="AG4033" s="191"/>
      <c r="AH4033" s="191"/>
      <c r="AI4033" s="186"/>
      <c r="AK4033" s="171"/>
    </row>
    <row r="4034" spans="1:41" s="102" customFormat="1" ht="19.899999999999999" customHeight="1" x14ac:dyDescent="0.25">
      <c r="A4034" s="45"/>
      <c r="B4034" s="59"/>
      <c r="C4034" s="137"/>
      <c r="D4034" s="59"/>
      <c r="E4034" s="116"/>
      <c r="F4034" s="120"/>
      <c r="G4034" s="120"/>
      <c r="H4034" s="120"/>
      <c r="I4034" s="60"/>
      <c r="J4034" s="116"/>
      <c r="K4034" s="213"/>
      <c r="L4034" s="120"/>
      <c r="M4034" s="120"/>
      <c r="N4034" s="167"/>
      <c r="O4034" s="120"/>
      <c r="P4034" s="120"/>
      <c r="Q4034" s="120"/>
      <c r="R4034" s="120"/>
      <c r="S4034" s="120"/>
      <c r="T4034" s="221"/>
      <c r="U4034" s="89"/>
      <c r="V4034" s="61"/>
      <c r="W4034" s="92" t="s">
        <v>1066</v>
      </c>
      <c r="X4034" s="93" t="s">
        <v>30</v>
      </c>
      <c r="Y4034" s="93" t="s">
        <v>68</v>
      </c>
      <c r="Z4034" s="134">
        <f>VLOOKUP(W4034,Sheet2!$B:$D,3,FALSE)</f>
        <v>35</v>
      </c>
      <c r="AA4034" s="93">
        <v>1</v>
      </c>
      <c r="AB4034" s="93">
        <f>AD4034/AC4032</f>
        <v>35</v>
      </c>
      <c r="AC4034" s="93">
        <f>AC4032/AA4034</f>
        <v>56.48564999999985</v>
      </c>
      <c r="AD4034" s="94">
        <f>AC4034*Z4034</f>
        <v>1976.9977499999948</v>
      </c>
      <c r="AE4034" s="190"/>
      <c r="AF4034" s="191"/>
      <c r="AG4034" s="191"/>
      <c r="AH4034" s="191"/>
      <c r="AI4034" s="186"/>
      <c r="AK4034" s="171"/>
    </row>
    <row r="4035" spans="1:41" s="102" customFormat="1" ht="19.899999999999999" customHeight="1" x14ac:dyDescent="0.25">
      <c r="A4035" s="45"/>
      <c r="B4035" s="59"/>
      <c r="C4035" s="137"/>
      <c r="D4035" s="59"/>
      <c r="E4035" s="116"/>
      <c r="F4035" s="120"/>
      <c r="G4035" s="120"/>
      <c r="H4035" s="120"/>
      <c r="I4035" s="60"/>
      <c r="J4035" s="116"/>
      <c r="K4035" s="213"/>
      <c r="L4035" s="120"/>
      <c r="M4035" s="120"/>
      <c r="N4035" s="167"/>
      <c r="O4035" s="120"/>
      <c r="P4035" s="120"/>
      <c r="Q4035" s="120"/>
      <c r="R4035" s="120"/>
      <c r="S4035" s="120"/>
      <c r="T4035" s="221"/>
      <c r="U4035" s="89"/>
      <c r="V4035" s="61"/>
      <c r="W4035" s="92" t="s">
        <v>1073</v>
      </c>
      <c r="X4035" s="93" t="s">
        <v>32</v>
      </c>
      <c r="Y4035" s="93" t="s">
        <v>68</v>
      </c>
      <c r="Z4035" s="134">
        <f>VLOOKUP(W4035,Sheet2!$B:$D,3,FALSE)</f>
        <v>65</v>
      </c>
      <c r="AA4035" s="93">
        <v>1</v>
      </c>
      <c r="AB4035" s="93">
        <f>AD4035/AC4032</f>
        <v>65</v>
      </c>
      <c r="AC4035" s="93">
        <f>AC4032/AA4035</f>
        <v>56.48564999999985</v>
      </c>
      <c r="AD4035" s="94">
        <f>AC4035*Z4035</f>
        <v>3671.5672499999901</v>
      </c>
      <c r="AE4035" s="190"/>
      <c r="AF4035" s="191"/>
      <c r="AG4035" s="191"/>
      <c r="AH4035" s="191"/>
      <c r="AI4035" s="186"/>
      <c r="AK4035" s="171"/>
    </row>
    <row r="4036" spans="1:41" s="102" customFormat="1" ht="19.899999999999999" customHeight="1" x14ac:dyDescent="0.25">
      <c r="A4036" s="45"/>
      <c r="B4036" s="59"/>
      <c r="C4036" s="137"/>
      <c r="D4036" s="59"/>
      <c r="E4036" s="116"/>
      <c r="F4036" s="120"/>
      <c r="G4036" s="120"/>
      <c r="H4036" s="120"/>
      <c r="I4036" s="60"/>
      <c r="J4036" s="116"/>
      <c r="K4036" s="213"/>
      <c r="L4036" s="120"/>
      <c r="M4036" s="120"/>
      <c r="N4036" s="167"/>
      <c r="O4036" s="120"/>
      <c r="P4036" s="120"/>
      <c r="Q4036" s="120"/>
      <c r="R4036" s="120"/>
      <c r="S4036" s="120"/>
      <c r="T4036" s="221"/>
      <c r="U4036" s="89"/>
      <c r="V4036" s="61"/>
      <c r="W4036" s="92" t="s">
        <v>1032</v>
      </c>
      <c r="X4036" s="93" t="s">
        <v>30</v>
      </c>
      <c r="Y4036" s="93" t="s">
        <v>66</v>
      </c>
      <c r="Z4036" s="134">
        <f>VLOOKUP(W4036,Sheet2!$B:$D,3,FALSE)</f>
        <v>250</v>
      </c>
      <c r="AA4036" s="93">
        <f>1/(1.7*0.1)</f>
        <v>5.8823529411764701</v>
      </c>
      <c r="AB4036" s="93">
        <f>AD4036/AC4032</f>
        <v>42.500000000000007</v>
      </c>
      <c r="AC4036" s="93">
        <f>AC4032/AA4036</f>
        <v>9.6025604999999761</v>
      </c>
      <c r="AD4036" s="94">
        <f>AC4036*Z4036</f>
        <v>2400.640124999994</v>
      </c>
      <c r="AE4036" s="190"/>
      <c r="AF4036" s="191"/>
      <c r="AG4036" s="191"/>
      <c r="AH4036" s="191"/>
      <c r="AI4036" s="186"/>
      <c r="AK4036" s="171"/>
    </row>
    <row r="4037" spans="1:41" s="102" customFormat="1" ht="19.899999999999999" customHeight="1" x14ac:dyDescent="0.25">
      <c r="A4037" s="45"/>
      <c r="B4037" s="59"/>
      <c r="C4037" s="137"/>
      <c r="D4037" s="59"/>
      <c r="E4037" s="116"/>
      <c r="F4037" s="120"/>
      <c r="G4037" s="120"/>
      <c r="H4037" s="120"/>
      <c r="I4037" s="60"/>
      <c r="J4037" s="116"/>
      <c r="K4037" s="213"/>
      <c r="L4037" s="120"/>
      <c r="M4037" s="120"/>
      <c r="N4037" s="167"/>
      <c r="O4037" s="120"/>
      <c r="P4037" s="120"/>
      <c r="Q4037" s="120"/>
      <c r="R4037" s="120"/>
      <c r="S4037" s="120"/>
      <c r="T4037" s="221"/>
      <c r="U4037" s="89"/>
      <c r="V4037" s="61"/>
      <c r="W4037" s="92" t="s">
        <v>1035</v>
      </c>
      <c r="X4037" s="93" t="s">
        <v>32</v>
      </c>
      <c r="Y4037" s="93" t="s">
        <v>66</v>
      </c>
      <c r="Z4037" s="134">
        <f>VLOOKUP(W4037,Sheet2!$B:$D,3,FALSE)</f>
        <v>150</v>
      </c>
      <c r="AA4037" s="93">
        <f>AA4036</f>
        <v>5.8823529411764701</v>
      </c>
      <c r="AB4037" s="93">
        <f>AD4037/AC4032</f>
        <v>25.500000000000004</v>
      </c>
      <c r="AC4037" s="93">
        <f>AC4032/AA4037</f>
        <v>9.6025604999999761</v>
      </c>
      <c r="AD4037" s="94">
        <f t="shared" ref="AD4037:AD4038" si="2987">AC4037*Z4037</f>
        <v>1440.3840749999963</v>
      </c>
      <c r="AE4037" s="190"/>
      <c r="AF4037" s="191"/>
      <c r="AG4037" s="191"/>
      <c r="AH4037" s="191"/>
      <c r="AI4037" s="186"/>
      <c r="AK4037" s="171"/>
    </row>
    <row r="4038" spans="1:41" s="102" customFormat="1" ht="19.899999999999999" customHeight="1" x14ac:dyDescent="0.25">
      <c r="A4038" s="45"/>
      <c r="B4038" s="59"/>
      <c r="C4038" s="137"/>
      <c r="D4038" s="59"/>
      <c r="E4038" s="116"/>
      <c r="F4038" s="120"/>
      <c r="G4038" s="120"/>
      <c r="H4038" s="120"/>
      <c r="I4038" s="60"/>
      <c r="J4038" s="116"/>
      <c r="K4038" s="213"/>
      <c r="L4038" s="120"/>
      <c r="M4038" s="120"/>
      <c r="N4038" s="167"/>
      <c r="O4038" s="120"/>
      <c r="P4038" s="120"/>
      <c r="Q4038" s="120"/>
      <c r="R4038" s="120"/>
      <c r="S4038" s="120"/>
      <c r="T4038" s="221"/>
      <c r="U4038" s="89"/>
      <c r="V4038" s="61"/>
      <c r="W4038" s="92" t="s">
        <v>1037</v>
      </c>
      <c r="X4038" s="93" t="s">
        <v>30</v>
      </c>
      <c r="Y4038" s="93" t="s">
        <v>1038</v>
      </c>
      <c r="Z4038" s="134">
        <f>VLOOKUP(W4038,Sheet2!$B:$D,3,FALSE)</f>
        <v>175</v>
      </c>
      <c r="AA4038" s="93">
        <v>300</v>
      </c>
      <c r="AB4038" s="93">
        <f>AD4038/AC4032</f>
        <v>0.58333333333333337</v>
      </c>
      <c r="AC4038" s="93">
        <f>AC4032/AA4038</f>
        <v>0.18828549999999949</v>
      </c>
      <c r="AD4038" s="94">
        <f t="shared" si="2987"/>
        <v>32.949962499999913</v>
      </c>
      <c r="AE4038" s="190"/>
      <c r="AF4038" s="191"/>
      <c r="AG4038" s="191"/>
      <c r="AH4038" s="191"/>
      <c r="AI4038" s="186"/>
      <c r="AK4038" s="171"/>
    </row>
    <row r="4039" spans="1:41" s="103" customFormat="1" ht="19.899999999999999" customHeight="1" x14ac:dyDescent="0.25">
      <c r="A4039" s="51"/>
      <c r="B4039" s="52"/>
      <c r="C4039" s="165"/>
      <c r="D4039" s="52"/>
      <c r="E4039" s="115"/>
      <c r="F4039" s="58"/>
      <c r="G4039" s="58"/>
      <c r="H4039" s="58"/>
      <c r="I4039" s="55"/>
      <c r="J4039" s="113">
        <f>J4021</f>
        <v>56.48564999999985</v>
      </c>
      <c r="K4039" s="212">
        <f>K4021</f>
        <v>56.48564999999985</v>
      </c>
      <c r="L4039" s="58"/>
      <c r="M4039" s="58">
        <f>K4039-L4039</f>
        <v>56.48564999999985</v>
      </c>
      <c r="N4039" s="166"/>
      <c r="O4039" s="58"/>
      <c r="P4039" s="58"/>
      <c r="Q4039" s="58"/>
      <c r="R4039" s="58"/>
      <c r="S4039" s="58"/>
      <c r="T4039" s="220"/>
      <c r="U4039" s="88"/>
      <c r="V4039" s="56"/>
      <c r="W4039" s="57" t="s">
        <v>1040</v>
      </c>
      <c r="X4039" s="53"/>
      <c r="Y4039" s="91" t="s">
        <v>68</v>
      </c>
      <c r="Z4039" s="136">
        <f>AD4039/AC4039</f>
        <v>5</v>
      </c>
      <c r="AA4039" s="58"/>
      <c r="AB4039" s="53">
        <f>AD4039/AC4039</f>
        <v>5</v>
      </c>
      <c r="AC4039" s="53">
        <f>M4039+$AE$10</f>
        <v>56.48564999999985</v>
      </c>
      <c r="AD4039" s="54">
        <f>SUM(AD4040)</f>
        <v>282.42824999999925</v>
      </c>
      <c r="AE4039" s="184">
        <f>SUMIFS($AD$37:$AD$12971,$V$37:$V$12971,$V4039,$X$37:$X$12971,AE$13)</f>
        <v>0</v>
      </c>
      <c r="AF4039" s="185">
        <f>SUMIFS($AD$37:$AD$12971,$V$37:$V$12971,$V4039,$X$37:$X$12971,AF$13)</f>
        <v>0</v>
      </c>
      <c r="AG4039" s="185">
        <f>SUMIFS($AD$37:$AD$12971,$V$37:$V$12971,$V4039,$X$37:$X$12971,AG$13)</f>
        <v>0</v>
      </c>
      <c r="AH4039" s="187">
        <f>SUMIFS($AD$37:$AD$12971,$V$37:$V$12971,$V4039,$X$37:$X$12971,AH$13)</f>
        <v>0</v>
      </c>
      <c r="AI4039" s="161">
        <f t="shared" ref="AI4039" si="2988">SUM(AE4039:AH4039)</f>
        <v>0</v>
      </c>
      <c r="AK4039" s="172"/>
    </row>
    <row r="4040" spans="1:41" s="102" customFormat="1" ht="19.899999999999999" customHeight="1" x14ac:dyDescent="0.25">
      <c r="A4040" s="45"/>
      <c r="B4040" s="59"/>
      <c r="C4040" s="137"/>
      <c r="D4040" s="59"/>
      <c r="E4040" s="116"/>
      <c r="F4040" s="120"/>
      <c r="G4040" s="120"/>
      <c r="H4040" s="120"/>
      <c r="I4040" s="60"/>
      <c r="J4040" s="116"/>
      <c r="K4040" s="213"/>
      <c r="L4040" s="120"/>
      <c r="M4040" s="120"/>
      <c r="N4040" s="167"/>
      <c r="O4040" s="120"/>
      <c r="P4040" s="120"/>
      <c r="Q4040" s="120"/>
      <c r="R4040" s="120"/>
      <c r="S4040" s="120"/>
      <c r="T4040" s="221"/>
      <c r="U4040" s="89"/>
      <c r="V4040" s="61"/>
      <c r="W4040" s="92" t="s">
        <v>1039</v>
      </c>
      <c r="X4040" s="93" t="s">
        <v>32</v>
      </c>
      <c r="Y4040" s="93" t="s">
        <v>68</v>
      </c>
      <c r="Z4040" s="134">
        <f>VLOOKUP(W4040,Sheet2!$B:$D,3,FALSE)</f>
        <v>5</v>
      </c>
      <c r="AA4040" s="93">
        <v>1</v>
      </c>
      <c r="AB4040" s="93">
        <f>AD4040/AC4039</f>
        <v>5</v>
      </c>
      <c r="AC4040" s="93">
        <f>AC4039/AA4040</f>
        <v>56.48564999999985</v>
      </c>
      <c r="AD4040" s="94">
        <f t="shared" ref="AD4040" si="2989">AC4040*Z4040</f>
        <v>282.42824999999925</v>
      </c>
      <c r="AE4040" s="190"/>
      <c r="AF4040" s="191"/>
      <c r="AG4040" s="191"/>
      <c r="AH4040" s="191"/>
      <c r="AI4040" s="186"/>
      <c r="AK4040" s="171"/>
    </row>
    <row r="4041" spans="1:41" ht="20.100000000000001" customHeight="1" x14ac:dyDescent="0.25">
      <c r="A4041" s="277" t="s">
        <v>491</v>
      </c>
      <c r="B4041" s="278"/>
      <c r="C4041" s="64" t="s">
        <v>1181</v>
      </c>
      <c r="D4041" s="46" t="s">
        <v>97</v>
      </c>
      <c r="E4041" s="114">
        <v>48.950999999999908</v>
      </c>
      <c r="F4041" s="44">
        <v>1105</v>
      </c>
      <c r="G4041" s="44">
        <f t="shared" si="2434"/>
        <v>54090.854999999901</v>
      </c>
      <c r="H4041" s="44">
        <f t="shared" si="2435"/>
        <v>649.22173333333342</v>
      </c>
      <c r="I4041" s="43">
        <f t="shared" si="2436"/>
        <v>31780.053068399946</v>
      </c>
      <c r="J4041" s="112">
        <f t="shared" si="2437"/>
        <v>48.950999999999908</v>
      </c>
      <c r="K4041" s="211">
        <f t="shared" si="2438"/>
        <v>48.950999999999908</v>
      </c>
      <c r="L4041" s="44"/>
      <c r="M4041" s="44">
        <f t="shared" si="2458"/>
        <v>48.950999999999908</v>
      </c>
      <c r="N4041" s="173">
        <f t="shared" si="2439"/>
        <v>1</v>
      </c>
      <c r="O4041" s="44">
        <f t="shared" si="2440"/>
        <v>1105</v>
      </c>
      <c r="P4041" s="44">
        <f t="shared" si="2441"/>
        <v>54090.854999999901</v>
      </c>
      <c r="Q4041" s="44">
        <f t="shared" si="2442"/>
        <v>649.22173333333342</v>
      </c>
      <c r="R4041" s="44">
        <f t="shared" si="2459"/>
        <v>31780.053068399946</v>
      </c>
      <c r="S4041" s="123"/>
      <c r="T4041" s="219">
        <f t="shared" si="2460"/>
        <v>31780.053068399946</v>
      </c>
      <c r="U4041" s="87"/>
      <c r="V4041" s="47"/>
      <c r="W4041" s="48"/>
      <c r="X4041" s="48"/>
      <c r="Y4041" s="48"/>
      <c r="Z4041" s="135"/>
      <c r="AA4041" s="49"/>
      <c r="AB4041" s="50">
        <f t="shared" si="2443"/>
        <v>649.22173333333342</v>
      </c>
      <c r="AC4041" s="42">
        <f t="shared" si="2461"/>
        <v>48.950999999999908</v>
      </c>
      <c r="AD4041" s="90">
        <f>AD4042+AD4052+AD4059</f>
        <v>31780.053068399942</v>
      </c>
      <c r="AE4041" s="188">
        <f t="shared" ref="AE4041" si="2990">AE4042+AE4052+AE4059</f>
        <v>0</v>
      </c>
      <c r="AF4041" s="189">
        <f t="shared" ref="AF4041" si="2991">AF4042+AF4052+AF4059</f>
        <v>0</v>
      </c>
      <c r="AG4041" s="189">
        <f t="shared" ref="AG4041" si="2992">AG4042+AG4052+AG4059</f>
        <v>0</v>
      </c>
      <c r="AH4041" s="189">
        <f t="shared" ref="AH4041" si="2993">AH4042+AH4052+AH4059</f>
        <v>0</v>
      </c>
      <c r="AI4041" s="161">
        <f t="shared" ref="AI4041" si="2994">SUM(AE4041:AH4041)</f>
        <v>0</v>
      </c>
      <c r="AK4041" s="169">
        <v>5</v>
      </c>
      <c r="AO4041" s="19" t="s">
        <v>63</v>
      </c>
    </row>
    <row r="4042" spans="1:41" s="103" customFormat="1" ht="19.899999999999999" customHeight="1" x14ac:dyDescent="0.25">
      <c r="A4042" s="51"/>
      <c r="B4042" s="52"/>
      <c r="C4042" s="165"/>
      <c r="D4042" s="52"/>
      <c r="E4042" s="115"/>
      <c r="F4042" s="58"/>
      <c r="G4042" s="58"/>
      <c r="H4042" s="58"/>
      <c r="I4042" s="55"/>
      <c r="J4042" s="113">
        <f>J4041</f>
        <v>48.950999999999908</v>
      </c>
      <c r="K4042" s="212">
        <f>K4041</f>
        <v>48.950999999999908</v>
      </c>
      <c r="L4042" s="58"/>
      <c r="M4042" s="58">
        <f>K4042-L4042</f>
        <v>48.950999999999908</v>
      </c>
      <c r="N4042" s="166"/>
      <c r="O4042" s="58"/>
      <c r="P4042" s="58"/>
      <c r="Q4042" s="58"/>
      <c r="R4042" s="58"/>
      <c r="S4042" s="58"/>
      <c r="T4042" s="220"/>
      <c r="U4042" s="88"/>
      <c r="V4042" s="56"/>
      <c r="W4042" s="57" t="s">
        <v>1249</v>
      </c>
      <c r="X4042" s="53"/>
      <c r="Y4042" s="91" t="s">
        <v>68</v>
      </c>
      <c r="Z4042" s="136">
        <f>AD4042/AC4042</f>
        <v>125.6384</v>
      </c>
      <c r="AA4042" s="58"/>
      <c r="AB4042" s="53">
        <f>AD4042/AC4042</f>
        <v>125.6384</v>
      </c>
      <c r="AC4042" s="53">
        <f>M4042+$AE$10</f>
        <v>48.950999999999908</v>
      </c>
      <c r="AD4042" s="54">
        <f>SUM(AD4043:AD4051)</f>
        <v>6150.1253183999888</v>
      </c>
      <c r="AE4042" s="184">
        <f>SUMIFS($AD$37:$AD$12971,$V$37:$V$12971,$V4042,$X$37:$X$12971,AE$13)</f>
        <v>0</v>
      </c>
      <c r="AF4042" s="185">
        <f>SUMIFS($AD$37:$AD$12971,$V$37:$V$12971,$V4042,$X$37:$X$12971,AF$13)</f>
        <v>0</v>
      </c>
      <c r="AG4042" s="185">
        <f>SUMIFS($AD$37:$AD$12971,$V$37:$V$12971,$V4042,$X$37:$X$12971,AG$13)</f>
        <v>0</v>
      </c>
      <c r="AH4042" s="187">
        <f>SUMIFS($AD$37:$AD$12971,$V$37:$V$12971,$V4042,$X$37:$X$12971,AH$13)</f>
        <v>0</v>
      </c>
      <c r="AI4042" s="161">
        <f t="shared" ref="AI4042" si="2995">SUM(AE4042:AH4042)</f>
        <v>0</v>
      </c>
      <c r="AK4042" s="172"/>
    </row>
    <row r="4043" spans="1:41" s="102" customFormat="1" ht="19.899999999999999" customHeight="1" x14ac:dyDescent="0.25">
      <c r="A4043" s="45"/>
      <c r="B4043" s="59"/>
      <c r="C4043" s="137"/>
      <c r="D4043" s="59"/>
      <c r="E4043" s="116"/>
      <c r="F4043" s="120"/>
      <c r="G4043" s="120"/>
      <c r="H4043" s="120"/>
      <c r="I4043" s="60"/>
      <c r="J4043" s="116"/>
      <c r="K4043" s="213"/>
      <c r="L4043" s="120"/>
      <c r="M4043" s="120"/>
      <c r="N4043" s="167"/>
      <c r="O4043" s="120"/>
      <c r="P4043" s="120"/>
      <c r="Q4043" s="120"/>
      <c r="R4043" s="120"/>
      <c r="S4043" s="120"/>
      <c r="T4043" s="221"/>
      <c r="U4043" s="89"/>
      <c r="V4043" s="61"/>
      <c r="W4043" s="92" t="s">
        <v>131</v>
      </c>
      <c r="X4043" s="93" t="s">
        <v>29</v>
      </c>
      <c r="Y4043" s="93" t="s">
        <v>93</v>
      </c>
      <c r="Z4043" s="134">
        <f>VLOOKUP(W4043,Sheet2!$B:$D,3,FALSE)</f>
        <v>131.19999999999999</v>
      </c>
      <c r="AA4043" s="93">
        <f>80/(1.7*6)</f>
        <v>7.8431372549019613</v>
      </c>
      <c r="AB4043" s="93">
        <f t="shared" ref="AB4043" si="2996">AD4043/AC4042</f>
        <v>16.727999999999994</v>
      </c>
      <c r="AC4043" s="93">
        <f>AC4042/AA4043</f>
        <v>6.2412524999999874</v>
      </c>
      <c r="AD4043" s="94">
        <f t="shared" ref="AD4043:AD4044" si="2997">AC4043*Z4043</f>
        <v>818.85232799999824</v>
      </c>
      <c r="AE4043" s="190"/>
      <c r="AF4043" s="191"/>
      <c r="AG4043" s="191"/>
      <c r="AH4043" s="191"/>
      <c r="AI4043" s="186"/>
      <c r="AK4043" s="171"/>
    </row>
    <row r="4044" spans="1:41" s="102" customFormat="1" ht="19.899999999999999" customHeight="1" x14ac:dyDescent="0.25">
      <c r="A4044" s="45"/>
      <c r="B4044" s="59"/>
      <c r="C4044" s="137"/>
      <c r="D4044" s="59"/>
      <c r="E4044" s="116"/>
      <c r="F4044" s="120"/>
      <c r="G4044" s="120"/>
      <c r="H4044" s="120"/>
      <c r="I4044" s="60"/>
      <c r="J4044" s="116"/>
      <c r="K4044" s="213"/>
      <c r="L4044" s="120"/>
      <c r="M4044" s="120"/>
      <c r="N4044" s="167"/>
      <c r="O4044" s="120"/>
      <c r="P4044" s="120"/>
      <c r="Q4044" s="120"/>
      <c r="R4044" s="120"/>
      <c r="S4044" s="120"/>
      <c r="T4044" s="221"/>
      <c r="U4044" s="89"/>
      <c r="V4044" s="61"/>
      <c r="W4044" s="92" t="s">
        <v>65</v>
      </c>
      <c r="X4044" s="93" t="s">
        <v>30</v>
      </c>
      <c r="Y4044" s="93" t="s">
        <v>1011</v>
      </c>
      <c r="Z4044" s="134">
        <f>VLOOKUP(W4044,Sheet2!$B:$D,3,FALSE)</f>
        <v>1.76</v>
      </c>
      <c r="AA4044" s="93">
        <f>AA4043/32</f>
        <v>0.24509803921568629</v>
      </c>
      <c r="AB4044" s="93">
        <f>AD4044/AC4042</f>
        <v>7.1807999999999987</v>
      </c>
      <c r="AC4044" s="93">
        <f>AC4042/AA4044</f>
        <v>199.7200799999996</v>
      </c>
      <c r="AD4044" s="94">
        <f t="shared" si="2997"/>
        <v>351.50734079999927</v>
      </c>
      <c r="AE4044" s="190"/>
      <c r="AF4044" s="191"/>
      <c r="AG4044" s="191"/>
      <c r="AH4044" s="191"/>
      <c r="AI4044" s="186"/>
      <c r="AK4044" s="171"/>
    </row>
    <row r="4045" spans="1:41" s="102" customFormat="1" ht="19.899999999999999" customHeight="1" x14ac:dyDescent="0.25">
      <c r="A4045" s="45"/>
      <c r="B4045" s="59"/>
      <c r="C4045" s="137"/>
      <c r="D4045" s="59"/>
      <c r="E4045" s="116"/>
      <c r="F4045" s="120"/>
      <c r="G4045" s="120"/>
      <c r="H4045" s="120"/>
      <c r="I4045" s="60"/>
      <c r="J4045" s="116"/>
      <c r="K4045" s="213"/>
      <c r="L4045" s="120"/>
      <c r="M4045" s="120"/>
      <c r="N4045" s="167"/>
      <c r="O4045" s="120"/>
      <c r="P4045" s="120"/>
      <c r="Q4045" s="120"/>
      <c r="R4045" s="120"/>
      <c r="S4045" s="120"/>
      <c r="T4045" s="221"/>
      <c r="U4045" s="89"/>
      <c r="V4045" s="61"/>
      <c r="W4045" s="92" t="s">
        <v>161</v>
      </c>
      <c r="X4045" s="93" t="s">
        <v>29</v>
      </c>
      <c r="Y4045" s="93" t="s">
        <v>93</v>
      </c>
      <c r="Z4045" s="134">
        <f>VLOOKUP(W4045,Sheet2!$B:$D,3,FALSE)</f>
        <v>48</v>
      </c>
      <c r="AA4045" s="93">
        <f>(16*0.85*1.5)/(1.7*6)</f>
        <v>2</v>
      </c>
      <c r="AB4045" s="93">
        <f>AD4045/AC4042</f>
        <v>24</v>
      </c>
      <c r="AC4045" s="93">
        <f>AC4042/AA4045</f>
        <v>24.475499999999954</v>
      </c>
      <c r="AD4045" s="94">
        <f>AC4045*Z4045</f>
        <v>1174.8239999999978</v>
      </c>
      <c r="AE4045" s="190"/>
      <c r="AF4045" s="191"/>
      <c r="AG4045" s="191"/>
      <c r="AH4045" s="191"/>
      <c r="AI4045" s="186"/>
      <c r="AK4045" s="171"/>
    </row>
    <row r="4046" spans="1:41" s="102" customFormat="1" ht="19.899999999999999" customHeight="1" x14ac:dyDescent="0.25">
      <c r="A4046" s="45"/>
      <c r="B4046" s="59"/>
      <c r="C4046" s="137"/>
      <c r="D4046" s="59"/>
      <c r="E4046" s="116"/>
      <c r="F4046" s="120"/>
      <c r="G4046" s="120"/>
      <c r="H4046" s="120"/>
      <c r="I4046" s="60"/>
      <c r="J4046" s="116"/>
      <c r="K4046" s="213"/>
      <c r="L4046" s="120"/>
      <c r="M4046" s="120"/>
      <c r="N4046" s="167"/>
      <c r="O4046" s="120"/>
      <c r="P4046" s="120"/>
      <c r="Q4046" s="120"/>
      <c r="R4046" s="120"/>
      <c r="S4046" s="120"/>
      <c r="T4046" s="221"/>
      <c r="U4046" s="89"/>
      <c r="V4046" s="61"/>
      <c r="W4046" s="92" t="s">
        <v>65</v>
      </c>
      <c r="X4046" s="93" t="s">
        <v>30</v>
      </c>
      <c r="Y4046" s="93" t="s">
        <v>1011</v>
      </c>
      <c r="Z4046" s="134">
        <f>VLOOKUP(W4046,Sheet2!$B:$D,3,FALSE)</f>
        <v>1.76</v>
      </c>
      <c r="AA4046" s="93">
        <f>AA4045/10</f>
        <v>0.2</v>
      </c>
      <c r="AB4046" s="93">
        <f>AD4046/AC4042</f>
        <v>8.8000000000000007</v>
      </c>
      <c r="AC4046" s="93">
        <f>AC4042/AA4046</f>
        <v>244.75499999999954</v>
      </c>
      <c r="AD4046" s="94">
        <f>AC4046*Z4046</f>
        <v>430.7687999999992</v>
      </c>
      <c r="AE4046" s="190"/>
      <c r="AF4046" s="191"/>
      <c r="AG4046" s="191"/>
      <c r="AH4046" s="191"/>
      <c r="AI4046" s="186"/>
      <c r="AK4046" s="171"/>
    </row>
    <row r="4047" spans="1:41" s="102" customFormat="1" ht="19.899999999999999" customHeight="1" x14ac:dyDescent="0.25">
      <c r="A4047" s="45"/>
      <c r="B4047" s="59"/>
      <c r="C4047" s="137"/>
      <c r="D4047" s="59"/>
      <c r="E4047" s="116"/>
      <c r="F4047" s="120"/>
      <c r="G4047" s="120"/>
      <c r="H4047" s="120"/>
      <c r="I4047" s="60"/>
      <c r="J4047" s="116"/>
      <c r="K4047" s="213"/>
      <c r="L4047" s="120"/>
      <c r="M4047" s="120"/>
      <c r="N4047" s="167"/>
      <c r="O4047" s="120"/>
      <c r="P4047" s="120"/>
      <c r="Q4047" s="120"/>
      <c r="R4047" s="120"/>
      <c r="S4047" s="120"/>
      <c r="T4047" s="221"/>
      <c r="U4047" s="89"/>
      <c r="V4047" s="61"/>
      <c r="W4047" s="92" t="s">
        <v>1030</v>
      </c>
      <c r="X4047" s="93" t="s">
        <v>29</v>
      </c>
      <c r="Y4047" s="93" t="s">
        <v>93</v>
      </c>
      <c r="Z4047" s="134">
        <f>VLOOKUP(W4047,Sheet2!$B:$D,3,FALSE)</f>
        <v>23</v>
      </c>
      <c r="AA4047" s="93">
        <v>50</v>
      </c>
      <c r="AB4047" s="93">
        <f>AD4047/AC4042</f>
        <v>0.45999999999999996</v>
      </c>
      <c r="AC4047" s="93">
        <f>AC4042/AA4047</f>
        <v>0.97901999999999811</v>
      </c>
      <c r="AD4047" s="94">
        <f t="shared" ref="AD4047:AD4051" si="2998">AC4047*Z4047</f>
        <v>22.517459999999957</v>
      </c>
      <c r="AE4047" s="190"/>
      <c r="AF4047" s="191"/>
      <c r="AG4047" s="191"/>
      <c r="AH4047" s="191"/>
      <c r="AI4047" s="186"/>
      <c r="AK4047" s="171"/>
    </row>
    <row r="4048" spans="1:41" s="102" customFormat="1" ht="19.899999999999999" customHeight="1" x14ac:dyDescent="0.25">
      <c r="A4048" s="45"/>
      <c r="B4048" s="59"/>
      <c r="C4048" s="137"/>
      <c r="D4048" s="59"/>
      <c r="E4048" s="116"/>
      <c r="F4048" s="120"/>
      <c r="G4048" s="120"/>
      <c r="H4048" s="120"/>
      <c r="I4048" s="60"/>
      <c r="J4048" s="116"/>
      <c r="K4048" s="213"/>
      <c r="L4048" s="120"/>
      <c r="M4048" s="120"/>
      <c r="N4048" s="167"/>
      <c r="O4048" s="120"/>
      <c r="P4048" s="120"/>
      <c r="Q4048" s="120"/>
      <c r="R4048" s="120"/>
      <c r="S4048" s="120"/>
      <c r="T4048" s="221"/>
      <c r="U4048" s="89"/>
      <c r="V4048" s="61"/>
      <c r="W4048" s="92" t="s">
        <v>65</v>
      </c>
      <c r="X4048" s="93" t="s">
        <v>30</v>
      </c>
      <c r="Y4048" s="93" t="s">
        <v>1011</v>
      </c>
      <c r="Z4048" s="134">
        <f>VLOOKUP(W4048,Sheet2!$B:$D,3,FALSE)</f>
        <v>1.76</v>
      </c>
      <c r="AA4048" s="93">
        <f>AA4047/3</f>
        <v>16.666666666666668</v>
      </c>
      <c r="AB4048" s="93">
        <f>AD4048/AC4042</f>
        <v>0.1056</v>
      </c>
      <c r="AC4048" s="93">
        <f>AC4042/AA4048</f>
        <v>2.9370599999999945</v>
      </c>
      <c r="AD4048" s="94">
        <f t="shared" si="2998"/>
        <v>5.1692255999999901</v>
      </c>
      <c r="AE4048" s="190"/>
      <c r="AF4048" s="191"/>
      <c r="AG4048" s="191"/>
      <c r="AH4048" s="191"/>
      <c r="AI4048" s="186"/>
      <c r="AK4048" s="171"/>
    </row>
    <row r="4049" spans="1:41" s="102" customFormat="1" ht="19.899999999999999" customHeight="1" x14ac:dyDescent="0.25">
      <c r="A4049" s="45"/>
      <c r="B4049" s="59"/>
      <c r="C4049" s="137"/>
      <c r="D4049" s="59"/>
      <c r="E4049" s="116"/>
      <c r="F4049" s="120"/>
      <c r="G4049" s="120"/>
      <c r="H4049" s="120"/>
      <c r="I4049" s="60"/>
      <c r="J4049" s="116"/>
      <c r="K4049" s="213"/>
      <c r="L4049" s="120"/>
      <c r="M4049" s="120"/>
      <c r="N4049" s="167"/>
      <c r="O4049" s="120"/>
      <c r="P4049" s="120"/>
      <c r="Q4049" s="120"/>
      <c r="R4049" s="120"/>
      <c r="S4049" s="120"/>
      <c r="T4049" s="221"/>
      <c r="U4049" s="89"/>
      <c r="V4049" s="61"/>
      <c r="W4049" s="92" t="s">
        <v>148</v>
      </c>
      <c r="X4049" s="93" t="s">
        <v>29</v>
      </c>
      <c r="Y4049" s="93" t="s">
        <v>93</v>
      </c>
      <c r="Z4049" s="134">
        <f>VLOOKUP(W4049,Sheet2!$B:$D,3,FALSE)</f>
        <v>48</v>
      </c>
      <c r="AA4049" s="93">
        <f>AA4043</f>
        <v>7.8431372549019613</v>
      </c>
      <c r="AB4049" s="93">
        <f>AD4049/AC4042</f>
        <v>6.1199999999999992</v>
      </c>
      <c r="AC4049" s="93">
        <f>AC4042/AA4049</f>
        <v>6.2412524999999874</v>
      </c>
      <c r="AD4049" s="94">
        <f t="shared" si="2998"/>
        <v>299.5801199999994</v>
      </c>
      <c r="AE4049" s="190"/>
      <c r="AF4049" s="191"/>
      <c r="AG4049" s="191"/>
      <c r="AH4049" s="191"/>
      <c r="AI4049" s="186"/>
      <c r="AK4049" s="171"/>
    </row>
    <row r="4050" spans="1:41" s="102" customFormat="1" ht="19.899999999999999" customHeight="1" x14ac:dyDescent="0.25">
      <c r="A4050" s="45"/>
      <c r="B4050" s="59"/>
      <c r="C4050" s="137"/>
      <c r="D4050" s="59"/>
      <c r="E4050" s="116"/>
      <c r="F4050" s="120"/>
      <c r="G4050" s="120"/>
      <c r="H4050" s="120"/>
      <c r="I4050" s="60"/>
      <c r="J4050" s="116"/>
      <c r="K4050" s="213"/>
      <c r="L4050" s="120"/>
      <c r="M4050" s="120"/>
      <c r="N4050" s="167"/>
      <c r="O4050" s="120"/>
      <c r="P4050" s="120"/>
      <c r="Q4050" s="120"/>
      <c r="R4050" s="120"/>
      <c r="S4050" s="120"/>
      <c r="T4050" s="221"/>
      <c r="U4050" s="89"/>
      <c r="V4050" s="61"/>
      <c r="W4050" s="92" t="s">
        <v>65</v>
      </c>
      <c r="X4050" s="93" t="s">
        <v>30</v>
      </c>
      <c r="Y4050" s="93" t="s">
        <v>1011</v>
      </c>
      <c r="Z4050" s="134">
        <f>VLOOKUP(W4050,Sheet2!$B:$D,3,FALSE)</f>
        <v>1.76</v>
      </c>
      <c r="AA4050" s="93">
        <f>AA4049/10</f>
        <v>0.78431372549019618</v>
      </c>
      <c r="AB4050" s="93">
        <f>AD4050/AC4042</f>
        <v>2.2439999999999998</v>
      </c>
      <c r="AC4050" s="93">
        <f>AC4042/AA4050</f>
        <v>62.412524999999874</v>
      </c>
      <c r="AD4050" s="94">
        <f t="shared" si="2998"/>
        <v>109.84604399999978</v>
      </c>
      <c r="AE4050" s="190"/>
      <c r="AF4050" s="191"/>
      <c r="AG4050" s="191"/>
      <c r="AH4050" s="191"/>
      <c r="AI4050" s="186"/>
      <c r="AK4050" s="171"/>
    </row>
    <row r="4051" spans="1:41" s="102" customFormat="1" ht="19.899999999999999" customHeight="1" x14ac:dyDescent="0.25">
      <c r="A4051" s="45"/>
      <c r="B4051" s="59"/>
      <c r="C4051" s="137"/>
      <c r="D4051" s="59"/>
      <c r="E4051" s="116"/>
      <c r="F4051" s="120"/>
      <c r="G4051" s="120"/>
      <c r="H4051" s="120"/>
      <c r="I4051" s="60"/>
      <c r="J4051" s="116"/>
      <c r="K4051" s="213"/>
      <c r="L4051" s="120"/>
      <c r="M4051" s="120"/>
      <c r="N4051" s="167"/>
      <c r="O4051" s="120"/>
      <c r="P4051" s="120"/>
      <c r="Q4051" s="120"/>
      <c r="R4051" s="120"/>
      <c r="S4051" s="120"/>
      <c r="T4051" s="221"/>
      <c r="U4051" s="89"/>
      <c r="V4051" s="61"/>
      <c r="W4051" s="92" t="s">
        <v>1049</v>
      </c>
      <c r="X4051" s="93" t="s">
        <v>30</v>
      </c>
      <c r="Y4051" s="93" t="s">
        <v>68</v>
      </c>
      <c r="Z4051" s="134">
        <f>VLOOKUP(W4051,Sheet2!$B:$D,3,FALSE)</f>
        <v>60</v>
      </c>
      <c r="AA4051" s="93">
        <v>1</v>
      </c>
      <c r="AB4051" s="93">
        <f>AD4051/AC4042</f>
        <v>60</v>
      </c>
      <c r="AC4051" s="93">
        <f>AC4042/AA4051</f>
        <v>48.950999999999908</v>
      </c>
      <c r="AD4051" s="94">
        <f t="shared" si="2998"/>
        <v>2937.0599999999945</v>
      </c>
      <c r="AE4051" s="190"/>
      <c r="AF4051" s="191"/>
      <c r="AG4051" s="191"/>
      <c r="AH4051" s="191"/>
      <c r="AI4051" s="186"/>
      <c r="AK4051" s="171"/>
    </row>
    <row r="4052" spans="1:41" s="103" customFormat="1" ht="19.899999999999999" customHeight="1" x14ac:dyDescent="0.25">
      <c r="A4052" s="51"/>
      <c r="B4052" s="52"/>
      <c r="C4052" s="165"/>
      <c r="D4052" s="52"/>
      <c r="E4052" s="115"/>
      <c r="F4052" s="58"/>
      <c r="G4052" s="58"/>
      <c r="H4052" s="58"/>
      <c r="I4052" s="55"/>
      <c r="J4052" s="113">
        <f>J4041</f>
        <v>48.950999999999908</v>
      </c>
      <c r="K4052" s="212">
        <f>K4041</f>
        <v>48.950999999999908</v>
      </c>
      <c r="L4052" s="58"/>
      <c r="M4052" s="58">
        <f>K4052-L4052</f>
        <v>48.950999999999908</v>
      </c>
      <c r="N4052" s="166"/>
      <c r="O4052" s="58"/>
      <c r="P4052" s="58"/>
      <c r="Q4052" s="58"/>
      <c r="R4052" s="58"/>
      <c r="S4052" s="58"/>
      <c r="T4052" s="220"/>
      <c r="U4052" s="88"/>
      <c r="V4052" s="56"/>
      <c r="W4052" s="57" t="s">
        <v>1036</v>
      </c>
      <c r="X4052" s="53"/>
      <c r="Y4052" s="91" t="s">
        <v>68</v>
      </c>
      <c r="Z4052" s="136">
        <f>AD4052/AC4052</f>
        <v>518.58333333333337</v>
      </c>
      <c r="AA4052" s="58"/>
      <c r="AB4052" s="53">
        <f>AD4052/AC4052</f>
        <v>518.58333333333337</v>
      </c>
      <c r="AC4052" s="53">
        <f>M4052+$AE$10</f>
        <v>48.950999999999908</v>
      </c>
      <c r="AD4052" s="54">
        <f>SUM(AD4053:AD4058)</f>
        <v>25385.172749999954</v>
      </c>
      <c r="AE4052" s="184">
        <f>SUMIFS($AD$37:$AD$12971,$V$37:$V$12971,$V4052,$X$37:$X$12971,AE$13)</f>
        <v>0</v>
      </c>
      <c r="AF4052" s="185">
        <f>SUMIFS($AD$37:$AD$12971,$V$37:$V$12971,$V4052,$X$37:$X$12971,AF$13)</f>
        <v>0</v>
      </c>
      <c r="AG4052" s="185">
        <f>SUMIFS($AD$37:$AD$12971,$V$37:$V$12971,$V4052,$X$37:$X$12971,AG$13)</f>
        <v>0</v>
      </c>
      <c r="AH4052" s="187">
        <f>SUMIFS($AD$37:$AD$12971,$V$37:$V$12971,$V4052,$X$37:$X$12971,AH$13)</f>
        <v>0</v>
      </c>
      <c r="AI4052" s="161">
        <f t="shared" ref="AI4052" si="2999">SUM(AE4052:AH4052)</f>
        <v>0</v>
      </c>
      <c r="AK4052" s="172"/>
    </row>
    <row r="4053" spans="1:41" s="102" customFormat="1" ht="19.899999999999999" customHeight="1" x14ac:dyDescent="0.25">
      <c r="A4053" s="45"/>
      <c r="B4053" s="59"/>
      <c r="C4053" s="137"/>
      <c r="D4053" s="59"/>
      <c r="E4053" s="116"/>
      <c r="F4053" s="120"/>
      <c r="G4053" s="120"/>
      <c r="H4053" s="120"/>
      <c r="I4053" s="60"/>
      <c r="J4053" s="116"/>
      <c r="K4053" s="213"/>
      <c r="L4053" s="120"/>
      <c r="M4053" s="120"/>
      <c r="N4053" s="167"/>
      <c r="O4053" s="120"/>
      <c r="P4053" s="120"/>
      <c r="Q4053" s="120"/>
      <c r="R4053" s="120"/>
      <c r="S4053" s="120"/>
      <c r="T4053" s="221"/>
      <c r="U4053" s="89"/>
      <c r="V4053" s="61"/>
      <c r="W4053" s="92" t="s">
        <v>1059</v>
      </c>
      <c r="X4053" s="93" t="s">
        <v>30</v>
      </c>
      <c r="Y4053" s="93" t="s">
        <v>68</v>
      </c>
      <c r="Z4053" s="134">
        <f>VLOOKUP(W4053,Sheet2!$B:$D,3,FALSE)</f>
        <v>350</v>
      </c>
      <c r="AA4053" s="93">
        <v>1</v>
      </c>
      <c r="AB4053" s="93">
        <f>AD4053/AC4052</f>
        <v>350.00000000000006</v>
      </c>
      <c r="AC4053" s="93">
        <f>AC4052/AA4053</f>
        <v>48.950999999999908</v>
      </c>
      <c r="AD4053" s="94">
        <f t="shared" ref="AD4053" si="3000">AC4053*Z4053</f>
        <v>17132.849999999969</v>
      </c>
      <c r="AE4053" s="190"/>
      <c r="AF4053" s="191"/>
      <c r="AG4053" s="191"/>
      <c r="AH4053" s="191"/>
      <c r="AI4053" s="186"/>
      <c r="AK4053" s="171"/>
    </row>
    <row r="4054" spans="1:41" s="102" customFormat="1" ht="19.899999999999999" customHeight="1" x14ac:dyDescent="0.25">
      <c r="A4054" s="45"/>
      <c r="B4054" s="59"/>
      <c r="C4054" s="137"/>
      <c r="D4054" s="59"/>
      <c r="E4054" s="116"/>
      <c r="F4054" s="120"/>
      <c r="G4054" s="120"/>
      <c r="H4054" s="120"/>
      <c r="I4054" s="60"/>
      <c r="J4054" s="116"/>
      <c r="K4054" s="213"/>
      <c r="L4054" s="120"/>
      <c r="M4054" s="120"/>
      <c r="N4054" s="167"/>
      <c r="O4054" s="120"/>
      <c r="P4054" s="120"/>
      <c r="Q4054" s="120"/>
      <c r="R4054" s="120"/>
      <c r="S4054" s="120"/>
      <c r="T4054" s="221"/>
      <c r="U4054" s="89"/>
      <c r="V4054" s="61"/>
      <c r="W4054" s="92" t="s">
        <v>1066</v>
      </c>
      <c r="X4054" s="93" t="s">
        <v>30</v>
      </c>
      <c r="Y4054" s="93" t="s">
        <v>68</v>
      </c>
      <c r="Z4054" s="134">
        <f>VLOOKUP(W4054,Sheet2!$B:$D,3,FALSE)</f>
        <v>35</v>
      </c>
      <c r="AA4054" s="93">
        <v>1</v>
      </c>
      <c r="AB4054" s="93">
        <f>AD4054/AC4052</f>
        <v>35</v>
      </c>
      <c r="AC4054" s="93">
        <f>AC4052/AA4054</f>
        <v>48.950999999999908</v>
      </c>
      <c r="AD4054" s="94">
        <f>AC4054*Z4054</f>
        <v>1713.2849999999967</v>
      </c>
      <c r="AE4054" s="190"/>
      <c r="AF4054" s="191"/>
      <c r="AG4054" s="191"/>
      <c r="AH4054" s="191"/>
      <c r="AI4054" s="186"/>
      <c r="AK4054" s="171"/>
    </row>
    <row r="4055" spans="1:41" s="102" customFormat="1" ht="19.899999999999999" customHeight="1" x14ac:dyDescent="0.25">
      <c r="A4055" s="45"/>
      <c r="B4055" s="59"/>
      <c r="C4055" s="137"/>
      <c r="D4055" s="59"/>
      <c r="E4055" s="116"/>
      <c r="F4055" s="120"/>
      <c r="G4055" s="120"/>
      <c r="H4055" s="120"/>
      <c r="I4055" s="60"/>
      <c r="J4055" s="116"/>
      <c r="K4055" s="213"/>
      <c r="L4055" s="120"/>
      <c r="M4055" s="120"/>
      <c r="N4055" s="167"/>
      <c r="O4055" s="120"/>
      <c r="P4055" s="120"/>
      <c r="Q4055" s="120"/>
      <c r="R4055" s="120"/>
      <c r="S4055" s="120"/>
      <c r="T4055" s="221"/>
      <c r="U4055" s="89"/>
      <c r="V4055" s="61"/>
      <c r="W4055" s="92" t="s">
        <v>1073</v>
      </c>
      <c r="X4055" s="93" t="s">
        <v>32</v>
      </c>
      <c r="Y4055" s="93" t="s">
        <v>68</v>
      </c>
      <c r="Z4055" s="134">
        <f>VLOOKUP(W4055,Sheet2!$B:$D,3,FALSE)</f>
        <v>65</v>
      </c>
      <c r="AA4055" s="93">
        <v>1</v>
      </c>
      <c r="AB4055" s="93">
        <f>AD4055/AC4052</f>
        <v>65</v>
      </c>
      <c r="AC4055" s="93">
        <f>AC4052/AA4055</f>
        <v>48.950999999999908</v>
      </c>
      <c r="AD4055" s="94">
        <f>AC4055*Z4055</f>
        <v>3181.8149999999941</v>
      </c>
      <c r="AE4055" s="190"/>
      <c r="AF4055" s="191"/>
      <c r="AG4055" s="191"/>
      <c r="AH4055" s="191"/>
      <c r="AI4055" s="186"/>
      <c r="AK4055" s="171"/>
    </row>
    <row r="4056" spans="1:41" s="102" customFormat="1" ht="19.899999999999999" customHeight="1" x14ac:dyDescent="0.25">
      <c r="A4056" s="45"/>
      <c r="B4056" s="59"/>
      <c r="C4056" s="137"/>
      <c r="D4056" s="59"/>
      <c r="E4056" s="116"/>
      <c r="F4056" s="120"/>
      <c r="G4056" s="120"/>
      <c r="H4056" s="120"/>
      <c r="I4056" s="60"/>
      <c r="J4056" s="116"/>
      <c r="K4056" s="213"/>
      <c r="L4056" s="120"/>
      <c r="M4056" s="120"/>
      <c r="N4056" s="167"/>
      <c r="O4056" s="120"/>
      <c r="P4056" s="120"/>
      <c r="Q4056" s="120"/>
      <c r="R4056" s="120"/>
      <c r="S4056" s="120"/>
      <c r="T4056" s="221"/>
      <c r="U4056" s="89"/>
      <c r="V4056" s="61"/>
      <c r="W4056" s="92" t="s">
        <v>1032</v>
      </c>
      <c r="X4056" s="93" t="s">
        <v>30</v>
      </c>
      <c r="Y4056" s="93" t="s">
        <v>66</v>
      </c>
      <c r="Z4056" s="134">
        <f>VLOOKUP(W4056,Sheet2!$B:$D,3,FALSE)</f>
        <v>250</v>
      </c>
      <c r="AA4056" s="93">
        <f>1/(1.7*0.1)</f>
        <v>5.8823529411764701</v>
      </c>
      <c r="AB4056" s="93">
        <f>AD4056/AC4052</f>
        <v>42.500000000000007</v>
      </c>
      <c r="AC4056" s="93">
        <f>AC4052/AA4056</f>
        <v>8.321669999999985</v>
      </c>
      <c r="AD4056" s="94">
        <f>AC4056*Z4056</f>
        <v>2080.4174999999964</v>
      </c>
      <c r="AE4056" s="190"/>
      <c r="AF4056" s="191"/>
      <c r="AG4056" s="191"/>
      <c r="AH4056" s="191"/>
      <c r="AI4056" s="186"/>
      <c r="AK4056" s="171"/>
    </row>
    <row r="4057" spans="1:41" s="102" customFormat="1" ht="19.899999999999999" customHeight="1" x14ac:dyDescent="0.25">
      <c r="A4057" s="45"/>
      <c r="B4057" s="59"/>
      <c r="C4057" s="137"/>
      <c r="D4057" s="59"/>
      <c r="E4057" s="116"/>
      <c r="F4057" s="120"/>
      <c r="G4057" s="120"/>
      <c r="H4057" s="120"/>
      <c r="I4057" s="60"/>
      <c r="J4057" s="116"/>
      <c r="K4057" s="213"/>
      <c r="L4057" s="120"/>
      <c r="M4057" s="120"/>
      <c r="N4057" s="167"/>
      <c r="O4057" s="120"/>
      <c r="P4057" s="120"/>
      <c r="Q4057" s="120"/>
      <c r="R4057" s="120"/>
      <c r="S4057" s="120"/>
      <c r="T4057" s="221"/>
      <c r="U4057" s="89"/>
      <c r="V4057" s="61"/>
      <c r="W4057" s="92" t="s">
        <v>1035</v>
      </c>
      <c r="X4057" s="93" t="s">
        <v>32</v>
      </c>
      <c r="Y4057" s="93" t="s">
        <v>66</v>
      </c>
      <c r="Z4057" s="134">
        <f>VLOOKUP(W4057,Sheet2!$B:$D,3,FALSE)</f>
        <v>150</v>
      </c>
      <c r="AA4057" s="93">
        <f>AA4056</f>
        <v>5.8823529411764701</v>
      </c>
      <c r="AB4057" s="93">
        <f>AD4057/AC4052</f>
        <v>25.500000000000004</v>
      </c>
      <c r="AC4057" s="93">
        <f>AC4052/AA4057</f>
        <v>8.321669999999985</v>
      </c>
      <c r="AD4057" s="94">
        <f t="shared" ref="AD4057:AD4058" si="3001">AC4057*Z4057</f>
        <v>1248.2504999999978</v>
      </c>
      <c r="AE4057" s="190"/>
      <c r="AF4057" s="191"/>
      <c r="AG4057" s="191"/>
      <c r="AH4057" s="191"/>
      <c r="AI4057" s="186"/>
      <c r="AK4057" s="171"/>
    </row>
    <row r="4058" spans="1:41" s="102" customFormat="1" ht="19.899999999999999" customHeight="1" x14ac:dyDescent="0.25">
      <c r="A4058" s="45"/>
      <c r="B4058" s="59"/>
      <c r="C4058" s="137"/>
      <c r="D4058" s="59"/>
      <c r="E4058" s="116"/>
      <c r="F4058" s="120"/>
      <c r="G4058" s="120"/>
      <c r="H4058" s="120"/>
      <c r="I4058" s="60"/>
      <c r="J4058" s="116"/>
      <c r="K4058" s="213"/>
      <c r="L4058" s="120"/>
      <c r="M4058" s="120"/>
      <c r="N4058" s="167"/>
      <c r="O4058" s="120"/>
      <c r="P4058" s="120"/>
      <c r="Q4058" s="120"/>
      <c r="R4058" s="120"/>
      <c r="S4058" s="120"/>
      <c r="T4058" s="221"/>
      <c r="U4058" s="89"/>
      <c r="V4058" s="61"/>
      <c r="W4058" s="92" t="s">
        <v>1037</v>
      </c>
      <c r="X4058" s="93" t="s">
        <v>30</v>
      </c>
      <c r="Y4058" s="93" t="s">
        <v>1038</v>
      </c>
      <c r="Z4058" s="134">
        <f>VLOOKUP(W4058,Sheet2!$B:$D,3,FALSE)</f>
        <v>175</v>
      </c>
      <c r="AA4058" s="93">
        <v>300</v>
      </c>
      <c r="AB4058" s="93">
        <f>AD4058/AC4052</f>
        <v>0.58333333333333337</v>
      </c>
      <c r="AC4058" s="93">
        <f>AC4052/AA4058</f>
        <v>0.1631699999999997</v>
      </c>
      <c r="AD4058" s="94">
        <f t="shared" si="3001"/>
        <v>28.554749999999949</v>
      </c>
      <c r="AE4058" s="190"/>
      <c r="AF4058" s="191"/>
      <c r="AG4058" s="191"/>
      <c r="AH4058" s="191"/>
      <c r="AI4058" s="186"/>
      <c r="AK4058" s="171"/>
    </row>
    <row r="4059" spans="1:41" s="103" customFormat="1" ht="19.899999999999999" customHeight="1" x14ac:dyDescent="0.25">
      <c r="A4059" s="51"/>
      <c r="B4059" s="52"/>
      <c r="C4059" s="165"/>
      <c r="D4059" s="52"/>
      <c r="E4059" s="115"/>
      <c r="F4059" s="58"/>
      <c r="G4059" s="58"/>
      <c r="H4059" s="58"/>
      <c r="I4059" s="55"/>
      <c r="J4059" s="113">
        <f>J4041</f>
        <v>48.950999999999908</v>
      </c>
      <c r="K4059" s="212">
        <f>K4041</f>
        <v>48.950999999999908</v>
      </c>
      <c r="L4059" s="58"/>
      <c r="M4059" s="58">
        <f>K4059-L4059</f>
        <v>48.950999999999908</v>
      </c>
      <c r="N4059" s="166"/>
      <c r="O4059" s="58"/>
      <c r="P4059" s="58"/>
      <c r="Q4059" s="58"/>
      <c r="R4059" s="58"/>
      <c r="S4059" s="58"/>
      <c r="T4059" s="220"/>
      <c r="U4059" s="88"/>
      <c r="V4059" s="56"/>
      <c r="W4059" s="57" t="s">
        <v>1040</v>
      </c>
      <c r="X4059" s="53"/>
      <c r="Y4059" s="91" t="s">
        <v>68</v>
      </c>
      <c r="Z4059" s="136">
        <f>AD4059/AC4059</f>
        <v>5</v>
      </c>
      <c r="AA4059" s="58"/>
      <c r="AB4059" s="53">
        <f>AD4059/AC4059</f>
        <v>5</v>
      </c>
      <c r="AC4059" s="53">
        <f>M4059+$AE$10</f>
        <v>48.950999999999908</v>
      </c>
      <c r="AD4059" s="54">
        <f>SUM(AD4060)</f>
        <v>244.75499999999954</v>
      </c>
      <c r="AE4059" s="184">
        <f>SUMIFS($AD$37:$AD$12971,$V$37:$V$12971,$V4059,$X$37:$X$12971,AE$13)</f>
        <v>0</v>
      </c>
      <c r="AF4059" s="185">
        <f>SUMIFS($AD$37:$AD$12971,$V$37:$V$12971,$V4059,$X$37:$X$12971,AF$13)</f>
        <v>0</v>
      </c>
      <c r="AG4059" s="185">
        <f>SUMIFS($AD$37:$AD$12971,$V$37:$V$12971,$V4059,$X$37:$X$12971,AG$13)</f>
        <v>0</v>
      </c>
      <c r="AH4059" s="187">
        <f>SUMIFS($AD$37:$AD$12971,$V$37:$V$12971,$V4059,$X$37:$X$12971,AH$13)</f>
        <v>0</v>
      </c>
      <c r="AI4059" s="161">
        <f t="shared" ref="AI4059" si="3002">SUM(AE4059:AH4059)</f>
        <v>0</v>
      </c>
      <c r="AK4059" s="172"/>
    </row>
    <row r="4060" spans="1:41" s="102" customFormat="1" ht="19.899999999999999" customHeight="1" x14ac:dyDescent="0.25">
      <c r="A4060" s="45"/>
      <c r="B4060" s="59"/>
      <c r="C4060" s="137"/>
      <c r="D4060" s="59"/>
      <c r="E4060" s="116"/>
      <c r="F4060" s="120"/>
      <c r="G4060" s="120"/>
      <c r="H4060" s="120"/>
      <c r="I4060" s="60"/>
      <c r="J4060" s="116"/>
      <c r="K4060" s="213"/>
      <c r="L4060" s="120"/>
      <c r="M4060" s="120"/>
      <c r="N4060" s="167"/>
      <c r="O4060" s="120"/>
      <c r="P4060" s="120"/>
      <c r="Q4060" s="120"/>
      <c r="R4060" s="120"/>
      <c r="S4060" s="120"/>
      <c r="T4060" s="221"/>
      <c r="U4060" s="89"/>
      <c r="V4060" s="61"/>
      <c r="W4060" s="92" t="s">
        <v>1039</v>
      </c>
      <c r="X4060" s="93" t="s">
        <v>32</v>
      </c>
      <c r="Y4060" s="93" t="s">
        <v>68</v>
      </c>
      <c r="Z4060" s="134">
        <f>VLOOKUP(W4060,Sheet2!$B:$D,3,FALSE)</f>
        <v>5</v>
      </c>
      <c r="AA4060" s="93">
        <v>1</v>
      </c>
      <c r="AB4060" s="93">
        <f>AD4060/AC4059</f>
        <v>5</v>
      </c>
      <c r="AC4060" s="93">
        <f>AC4059/AA4060</f>
        <v>48.950999999999908</v>
      </c>
      <c r="AD4060" s="94">
        <f t="shared" ref="AD4060" si="3003">AC4060*Z4060</f>
        <v>244.75499999999954</v>
      </c>
      <c r="AE4060" s="190"/>
      <c r="AF4060" s="191"/>
      <c r="AG4060" s="191"/>
      <c r="AH4060" s="191"/>
      <c r="AI4060" s="186"/>
      <c r="AK4060" s="171"/>
    </row>
    <row r="4061" spans="1:41" ht="20.100000000000001" customHeight="1" x14ac:dyDescent="0.25">
      <c r="A4061" s="277" t="s">
        <v>491</v>
      </c>
      <c r="B4061" s="278"/>
      <c r="C4061" s="64" t="s">
        <v>1182</v>
      </c>
      <c r="D4061" s="46" t="s">
        <v>97</v>
      </c>
      <c r="E4061" s="114">
        <v>9.7687999999999988</v>
      </c>
      <c r="F4061" s="44">
        <v>1140</v>
      </c>
      <c r="G4061" s="44">
        <f t="shared" si="2434"/>
        <v>11136.431999999999</v>
      </c>
      <c r="H4061" s="44">
        <f t="shared" si="2435"/>
        <v>654.64446666666663</v>
      </c>
      <c r="I4061" s="43">
        <f t="shared" si="2436"/>
        <v>6395.0908659733323</v>
      </c>
      <c r="J4061" s="112">
        <f t="shared" si="2437"/>
        <v>9.7687999999999988</v>
      </c>
      <c r="K4061" s="211">
        <f t="shared" si="2438"/>
        <v>9.7687999999999988</v>
      </c>
      <c r="L4061" s="44"/>
      <c r="M4061" s="44">
        <f t="shared" si="2458"/>
        <v>9.7687999999999988</v>
      </c>
      <c r="N4061" s="173">
        <f t="shared" si="2439"/>
        <v>1</v>
      </c>
      <c r="O4061" s="44">
        <f t="shared" si="2440"/>
        <v>1140</v>
      </c>
      <c r="P4061" s="44">
        <f t="shared" si="2441"/>
        <v>11136.431999999999</v>
      </c>
      <c r="Q4061" s="44">
        <f t="shared" si="2442"/>
        <v>654.64446666666663</v>
      </c>
      <c r="R4061" s="44">
        <f t="shared" si="2459"/>
        <v>6395.0908659733323</v>
      </c>
      <c r="S4061" s="123"/>
      <c r="T4061" s="219">
        <f t="shared" si="2460"/>
        <v>6395.0908659733323</v>
      </c>
      <c r="U4061" s="87"/>
      <c r="V4061" s="47"/>
      <c r="W4061" s="48"/>
      <c r="X4061" s="48"/>
      <c r="Y4061" s="48"/>
      <c r="Z4061" s="135"/>
      <c r="AA4061" s="49"/>
      <c r="AB4061" s="50">
        <f t="shared" si="2443"/>
        <v>654.64446666666663</v>
      </c>
      <c r="AC4061" s="42">
        <f t="shared" si="2461"/>
        <v>9.7687999999999988</v>
      </c>
      <c r="AD4061" s="90">
        <f>AD4062+AD4072+AD4079</f>
        <v>6395.0908659733323</v>
      </c>
      <c r="AE4061" s="188">
        <f t="shared" ref="AE4061" si="3004">AE4062+AE4072+AE4079</f>
        <v>0</v>
      </c>
      <c r="AF4061" s="189">
        <f t="shared" ref="AF4061" si="3005">AF4062+AF4072+AF4079</f>
        <v>0</v>
      </c>
      <c r="AG4061" s="189">
        <f t="shared" ref="AG4061" si="3006">AG4062+AG4072+AG4079</f>
        <v>0</v>
      </c>
      <c r="AH4061" s="189">
        <f t="shared" ref="AH4061" si="3007">AH4062+AH4072+AH4079</f>
        <v>0</v>
      </c>
      <c r="AI4061" s="161">
        <f t="shared" ref="AI4061" si="3008">SUM(AE4061:AH4061)</f>
        <v>0</v>
      </c>
      <c r="AK4061" s="169">
        <v>5</v>
      </c>
      <c r="AO4061" s="19" t="s">
        <v>63</v>
      </c>
    </row>
    <row r="4062" spans="1:41" s="103" customFormat="1" ht="19.899999999999999" customHeight="1" x14ac:dyDescent="0.25">
      <c r="A4062" s="51"/>
      <c r="B4062" s="52"/>
      <c r="C4062" s="165"/>
      <c r="D4062" s="52"/>
      <c r="E4062" s="115"/>
      <c r="F4062" s="58"/>
      <c r="G4062" s="58"/>
      <c r="H4062" s="58"/>
      <c r="I4062" s="55"/>
      <c r="J4062" s="113">
        <f>J4061</f>
        <v>9.7687999999999988</v>
      </c>
      <c r="K4062" s="212">
        <f>K4061</f>
        <v>9.7687999999999988</v>
      </c>
      <c r="L4062" s="58"/>
      <c r="M4062" s="58">
        <f>K4062-L4062</f>
        <v>9.7687999999999988</v>
      </c>
      <c r="N4062" s="166"/>
      <c r="O4062" s="58"/>
      <c r="P4062" s="58"/>
      <c r="Q4062" s="58"/>
      <c r="R4062" s="58"/>
      <c r="S4062" s="58"/>
      <c r="T4062" s="220"/>
      <c r="U4062" s="88"/>
      <c r="V4062" s="56"/>
      <c r="W4062" s="57" t="s">
        <v>1248</v>
      </c>
      <c r="X4062" s="53"/>
      <c r="Y4062" s="91" t="s">
        <v>68</v>
      </c>
      <c r="Z4062" s="136">
        <f>AD4062/AC4062</f>
        <v>131.06113333333332</v>
      </c>
      <c r="AA4062" s="58"/>
      <c r="AB4062" s="53">
        <f>AD4062/AC4062</f>
        <v>131.06113333333332</v>
      </c>
      <c r="AC4062" s="53">
        <f>M4062+$AE$10</f>
        <v>9.7687999999999988</v>
      </c>
      <c r="AD4062" s="54">
        <f>SUM(AD4063:AD4071)</f>
        <v>1280.3099993066664</v>
      </c>
      <c r="AE4062" s="184">
        <f>SUMIFS($AD$37:$AD$12971,$V$37:$V$12971,$V4062,$X$37:$X$12971,AE$13)</f>
        <v>0</v>
      </c>
      <c r="AF4062" s="185">
        <f>SUMIFS($AD$37:$AD$12971,$V$37:$V$12971,$V4062,$X$37:$X$12971,AF$13)</f>
        <v>0</v>
      </c>
      <c r="AG4062" s="185">
        <f>SUMIFS($AD$37:$AD$12971,$V$37:$V$12971,$V4062,$X$37:$X$12971,AG$13)</f>
        <v>0</v>
      </c>
      <c r="AH4062" s="187">
        <f>SUMIFS($AD$37:$AD$12971,$V$37:$V$12971,$V4062,$X$37:$X$12971,AH$13)</f>
        <v>0</v>
      </c>
      <c r="AI4062" s="161">
        <f t="shared" ref="AI4062" si="3009">SUM(AE4062:AH4062)</f>
        <v>0</v>
      </c>
      <c r="AK4062" s="172"/>
    </row>
    <row r="4063" spans="1:41" s="102" customFormat="1" ht="19.899999999999999" customHeight="1" x14ac:dyDescent="0.25">
      <c r="A4063" s="45"/>
      <c r="B4063" s="59"/>
      <c r="C4063" s="137"/>
      <c r="D4063" s="59"/>
      <c r="E4063" s="116"/>
      <c r="F4063" s="120"/>
      <c r="G4063" s="120"/>
      <c r="H4063" s="120"/>
      <c r="I4063" s="60"/>
      <c r="J4063" s="116"/>
      <c r="K4063" s="213"/>
      <c r="L4063" s="120"/>
      <c r="M4063" s="120"/>
      <c r="N4063" s="167"/>
      <c r="O4063" s="120"/>
      <c r="P4063" s="120"/>
      <c r="Q4063" s="120"/>
      <c r="R4063" s="120"/>
      <c r="S4063" s="120"/>
      <c r="T4063" s="221"/>
      <c r="U4063" s="89"/>
      <c r="V4063" s="61"/>
      <c r="W4063" s="92" t="s">
        <v>131</v>
      </c>
      <c r="X4063" s="93" t="s">
        <v>29</v>
      </c>
      <c r="Y4063" s="93" t="s">
        <v>93</v>
      </c>
      <c r="Z4063" s="134">
        <f>VLOOKUP(W4063,Sheet2!$B:$D,3,FALSE)</f>
        <v>131.19999999999999</v>
      </c>
      <c r="AA4063" s="93">
        <f>80/(1.7*6.5)</f>
        <v>7.2398190045248878</v>
      </c>
      <c r="AB4063" s="93">
        <f t="shared" ref="AB4063" si="3010">AD4063/AC4062</f>
        <v>18.121999999999996</v>
      </c>
      <c r="AC4063" s="93">
        <f>AC4062/AA4063</f>
        <v>1.3493154999999997</v>
      </c>
      <c r="AD4063" s="94">
        <f t="shared" ref="AD4063:AD4064" si="3011">AC4063*Z4063</f>
        <v>177.03019359999993</v>
      </c>
      <c r="AE4063" s="190"/>
      <c r="AF4063" s="191"/>
      <c r="AG4063" s="191"/>
      <c r="AH4063" s="191"/>
      <c r="AI4063" s="186"/>
      <c r="AK4063" s="171"/>
    </row>
    <row r="4064" spans="1:41" s="102" customFormat="1" ht="19.899999999999999" customHeight="1" x14ac:dyDescent="0.25">
      <c r="A4064" s="45"/>
      <c r="B4064" s="59"/>
      <c r="C4064" s="137"/>
      <c r="D4064" s="59"/>
      <c r="E4064" s="116"/>
      <c r="F4064" s="120"/>
      <c r="G4064" s="120"/>
      <c r="H4064" s="120"/>
      <c r="I4064" s="60"/>
      <c r="J4064" s="116"/>
      <c r="K4064" s="213"/>
      <c r="L4064" s="120"/>
      <c r="M4064" s="120"/>
      <c r="N4064" s="167"/>
      <c r="O4064" s="120"/>
      <c r="P4064" s="120"/>
      <c r="Q4064" s="120"/>
      <c r="R4064" s="120"/>
      <c r="S4064" s="120"/>
      <c r="T4064" s="221"/>
      <c r="U4064" s="89"/>
      <c r="V4064" s="61"/>
      <c r="W4064" s="92" t="s">
        <v>65</v>
      </c>
      <c r="X4064" s="93" t="s">
        <v>30</v>
      </c>
      <c r="Y4064" s="93" t="s">
        <v>1011</v>
      </c>
      <c r="Z4064" s="134">
        <f>VLOOKUP(W4064,Sheet2!$B:$D,3,FALSE)</f>
        <v>1.76</v>
      </c>
      <c r="AA4064" s="93">
        <f>AA4063/32</f>
        <v>0.22624434389140274</v>
      </c>
      <c r="AB4064" s="93">
        <f>AD4064/AC4062</f>
        <v>7.7791999999999986</v>
      </c>
      <c r="AC4064" s="93">
        <f>AC4062/AA4064</f>
        <v>43.178095999999989</v>
      </c>
      <c r="AD4064" s="94">
        <f t="shared" si="3011"/>
        <v>75.993448959999981</v>
      </c>
      <c r="AE4064" s="190"/>
      <c r="AF4064" s="191"/>
      <c r="AG4064" s="191"/>
      <c r="AH4064" s="191"/>
      <c r="AI4064" s="186"/>
      <c r="AK4064" s="171"/>
    </row>
    <row r="4065" spans="1:37" s="102" customFormat="1" ht="19.899999999999999" customHeight="1" x14ac:dyDescent="0.25">
      <c r="A4065" s="45"/>
      <c r="B4065" s="59"/>
      <c r="C4065" s="137"/>
      <c r="D4065" s="59"/>
      <c r="E4065" s="116"/>
      <c r="F4065" s="120"/>
      <c r="G4065" s="120"/>
      <c r="H4065" s="120"/>
      <c r="I4065" s="60"/>
      <c r="J4065" s="116"/>
      <c r="K4065" s="213"/>
      <c r="L4065" s="120"/>
      <c r="M4065" s="120"/>
      <c r="N4065" s="167"/>
      <c r="O4065" s="120"/>
      <c r="P4065" s="120"/>
      <c r="Q4065" s="120"/>
      <c r="R4065" s="120"/>
      <c r="S4065" s="120"/>
      <c r="T4065" s="221"/>
      <c r="U4065" s="89"/>
      <c r="V4065" s="61"/>
      <c r="W4065" s="92" t="s">
        <v>161</v>
      </c>
      <c r="X4065" s="93" t="s">
        <v>29</v>
      </c>
      <c r="Y4065" s="93" t="s">
        <v>93</v>
      </c>
      <c r="Z4065" s="134">
        <f>VLOOKUP(W4065,Sheet2!$B:$D,3,FALSE)</f>
        <v>48</v>
      </c>
      <c r="AA4065" s="93">
        <f>(16*0.85*1.5)/(1.7*6.5)</f>
        <v>1.8461538461538463</v>
      </c>
      <c r="AB4065" s="93">
        <f>AD4065/AC4062</f>
        <v>25.999999999999996</v>
      </c>
      <c r="AC4065" s="93">
        <f>AC4062/AA4065</f>
        <v>5.2914333333333321</v>
      </c>
      <c r="AD4065" s="94">
        <f>AC4065*Z4065</f>
        <v>253.98879999999994</v>
      </c>
      <c r="AE4065" s="190"/>
      <c r="AF4065" s="191"/>
      <c r="AG4065" s="191"/>
      <c r="AH4065" s="191"/>
      <c r="AI4065" s="186"/>
      <c r="AK4065" s="171"/>
    </row>
    <row r="4066" spans="1:37" s="102" customFormat="1" ht="19.899999999999999" customHeight="1" x14ac:dyDescent="0.25">
      <c r="A4066" s="45"/>
      <c r="B4066" s="59"/>
      <c r="C4066" s="137"/>
      <c r="D4066" s="59"/>
      <c r="E4066" s="116"/>
      <c r="F4066" s="120"/>
      <c r="G4066" s="120"/>
      <c r="H4066" s="120"/>
      <c r="I4066" s="60"/>
      <c r="J4066" s="116"/>
      <c r="K4066" s="213"/>
      <c r="L4066" s="120"/>
      <c r="M4066" s="120"/>
      <c r="N4066" s="167"/>
      <c r="O4066" s="120"/>
      <c r="P4066" s="120"/>
      <c r="Q4066" s="120"/>
      <c r="R4066" s="120"/>
      <c r="S4066" s="120"/>
      <c r="T4066" s="221"/>
      <c r="U4066" s="89"/>
      <c r="V4066" s="61"/>
      <c r="W4066" s="92" t="s">
        <v>65</v>
      </c>
      <c r="X4066" s="93" t="s">
        <v>30</v>
      </c>
      <c r="Y4066" s="93" t="s">
        <v>1011</v>
      </c>
      <c r="Z4066" s="134">
        <f>VLOOKUP(W4066,Sheet2!$B:$D,3,FALSE)</f>
        <v>1.76</v>
      </c>
      <c r="AA4066" s="93">
        <f>AA4065/10</f>
        <v>0.18461538461538463</v>
      </c>
      <c r="AB4066" s="93">
        <f>AD4066/AC4062</f>
        <v>9.5333333333333332</v>
      </c>
      <c r="AC4066" s="93">
        <f>AC4062/AA4066</f>
        <v>52.914333333333325</v>
      </c>
      <c r="AD4066" s="94">
        <f>AC4066*Z4066</f>
        <v>93.129226666666654</v>
      </c>
      <c r="AE4066" s="190"/>
      <c r="AF4066" s="191"/>
      <c r="AG4066" s="191"/>
      <c r="AH4066" s="191"/>
      <c r="AI4066" s="186"/>
      <c r="AK4066" s="171"/>
    </row>
    <row r="4067" spans="1:37" s="102" customFormat="1" ht="19.899999999999999" customHeight="1" x14ac:dyDescent="0.25">
      <c r="A4067" s="45"/>
      <c r="B4067" s="59"/>
      <c r="C4067" s="137"/>
      <c r="D4067" s="59"/>
      <c r="E4067" s="116"/>
      <c r="F4067" s="120"/>
      <c r="G4067" s="120"/>
      <c r="H4067" s="120"/>
      <c r="I4067" s="60"/>
      <c r="J4067" s="116"/>
      <c r="K4067" s="213"/>
      <c r="L4067" s="120"/>
      <c r="M4067" s="120"/>
      <c r="N4067" s="167"/>
      <c r="O4067" s="120"/>
      <c r="P4067" s="120"/>
      <c r="Q4067" s="120"/>
      <c r="R4067" s="120"/>
      <c r="S4067" s="120"/>
      <c r="T4067" s="221"/>
      <c r="U4067" s="89"/>
      <c r="V4067" s="61"/>
      <c r="W4067" s="92" t="s">
        <v>1030</v>
      </c>
      <c r="X4067" s="93" t="s">
        <v>29</v>
      </c>
      <c r="Y4067" s="93" t="s">
        <v>93</v>
      </c>
      <c r="Z4067" s="134">
        <f>VLOOKUP(W4067,Sheet2!$B:$D,3,FALSE)</f>
        <v>23</v>
      </c>
      <c r="AA4067" s="93">
        <v>50</v>
      </c>
      <c r="AB4067" s="93">
        <f>AD4067/AC4062</f>
        <v>0.46</v>
      </c>
      <c r="AC4067" s="93">
        <f>AC4062/AA4067</f>
        <v>0.19537599999999997</v>
      </c>
      <c r="AD4067" s="94">
        <f t="shared" ref="AD4067:AD4071" si="3012">AC4067*Z4067</f>
        <v>4.4936479999999994</v>
      </c>
      <c r="AE4067" s="190"/>
      <c r="AF4067" s="191"/>
      <c r="AG4067" s="191"/>
      <c r="AH4067" s="191"/>
      <c r="AI4067" s="186"/>
      <c r="AK4067" s="171"/>
    </row>
    <row r="4068" spans="1:37" s="102" customFormat="1" ht="19.899999999999999" customHeight="1" x14ac:dyDescent="0.25">
      <c r="A4068" s="45"/>
      <c r="B4068" s="59"/>
      <c r="C4068" s="137"/>
      <c r="D4068" s="59"/>
      <c r="E4068" s="116"/>
      <c r="F4068" s="120"/>
      <c r="G4068" s="120"/>
      <c r="H4068" s="120"/>
      <c r="I4068" s="60"/>
      <c r="J4068" s="116"/>
      <c r="K4068" s="213"/>
      <c r="L4068" s="120"/>
      <c r="M4068" s="120"/>
      <c r="N4068" s="167"/>
      <c r="O4068" s="120"/>
      <c r="P4068" s="120"/>
      <c r="Q4068" s="120"/>
      <c r="R4068" s="120"/>
      <c r="S4068" s="120"/>
      <c r="T4068" s="221"/>
      <c r="U4068" s="89"/>
      <c r="V4068" s="61"/>
      <c r="W4068" s="92" t="s">
        <v>65</v>
      </c>
      <c r="X4068" s="93" t="s">
        <v>30</v>
      </c>
      <c r="Y4068" s="93" t="s">
        <v>1011</v>
      </c>
      <c r="Z4068" s="134">
        <f>VLOOKUP(W4068,Sheet2!$B:$D,3,FALSE)</f>
        <v>1.76</v>
      </c>
      <c r="AA4068" s="93">
        <f>AA4067/3</f>
        <v>16.666666666666668</v>
      </c>
      <c r="AB4068" s="93">
        <f>AD4068/AC4062</f>
        <v>0.1056</v>
      </c>
      <c r="AC4068" s="93">
        <f>AC4062/AA4068</f>
        <v>0.58612799999999987</v>
      </c>
      <c r="AD4068" s="94">
        <f t="shared" si="3012"/>
        <v>1.0315852799999998</v>
      </c>
      <c r="AE4068" s="190"/>
      <c r="AF4068" s="191"/>
      <c r="AG4068" s="191"/>
      <c r="AH4068" s="191"/>
      <c r="AI4068" s="186"/>
      <c r="AK4068" s="171"/>
    </row>
    <row r="4069" spans="1:37" s="102" customFormat="1" ht="19.899999999999999" customHeight="1" x14ac:dyDescent="0.25">
      <c r="A4069" s="45"/>
      <c r="B4069" s="59"/>
      <c r="C4069" s="137"/>
      <c r="D4069" s="59"/>
      <c r="E4069" s="116"/>
      <c r="F4069" s="120"/>
      <c r="G4069" s="120"/>
      <c r="H4069" s="120"/>
      <c r="I4069" s="60"/>
      <c r="J4069" s="116"/>
      <c r="K4069" s="213"/>
      <c r="L4069" s="120"/>
      <c r="M4069" s="120"/>
      <c r="N4069" s="167"/>
      <c r="O4069" s="120"/>
      <c r="P4069" s="120"/>
      <c r="Q4069" s="120"/>
      <c r="R4069" s="120"/>
      <c r="S4069" s="120"/>
      <c r="T4069" s="221"/>
      <c r="U4069" s="89"/>
      <c r="V4069" s="61"/>
      <c r="W4069" s="92" t="s">
        <v>148</v>
      </c>
      <c r="X4069" s="93" t="s">
        <v>29</v>
      </c>
      <c r="Y4069" s="93" t="s">
        <v>93</v>
      </c>
      <c r="Z4069" s="134">
        <f>VLOOKUP(W4069,Sheet2!$B:$D,3,FALSE)</f>
        <v>48</v>
      </c>
      <c r="AA4069" s="93">
        <f>AA4063</f>
        <v>7.2398190045248878</v>
      </c>
      <c r="AB4069" s="93">
        <f>AD4069/AC4062</f>
        <v>6.63</v>
      </c>
      <c r="AC4069" s="93">
        <f>AC4062/AA4069</f>
        <v>1.3493154999999997</v>
      </c>
      <c r="AD4069" s="94">
        <f t="shared" si="3012"/>
        <v>64.767143999999988</v>
      </c>
      <c r="AE4069" s="190"/>
      <c r="AF4069" s="191"/>
      <c r="AG4069" s="191"/>
      <c r="AH4069" s="191"/>
      <c r="AI4069" s="186"/>
      <c r="AK4069" s="171"/>
    </row>
    <row r="4070" spans="1:37" s="102" customFormat="1" ht="19.899999999999999" customHeight="1" x14ac:dyDescent="0.25">
      <c r="A4070" s="45"/>
      <c r="B4070" s="59"/>
      <c r="C4070" s="137"/>
      <c r="D4070" s="59"/>
      <c r="E4070" s="116"/>
      <c r="F4070" s="120"/>
      <c r="G4070" s="120"/>
      <c r="H4070" s="120"/>
      <c r="I4070" s="60"/>
      <c r="J4070" s="116"/>
      <c r="K4070" s="213"/>
      <c r="L4070" s="120"/>
      <c r="M4070" s="120"/>
      <c r="N4070" s="167"/>
      <c r="O4070" s="120"/>
      <c r="P4070" s="120"/>
      <c r="Q4070" s="120"/>
      <c r="R4070" s="120"/>
      <c r="S4070" s="120"/>
      <c r="T4070" s="221"/>
      <c r="U4070" s="89"/>
      <c r="V4070" s="61"/>
      <c r="W4070" s="92" t="s">
        <v>65</v>
      </c>
      <c r="X4070" s="93" t="s">
        <v>30</v>
      </c>
      <c r="Y4070" s="93" t="s">
        <v>1011</v>
      </c>
      <c r="Z4070" s="134">
        <f>VLOOKUP(W4070,Sheet2!$B:$D,3,FALSE)</f>
        <v>1.76</v>
      </c>
      <c r="AA4070" s="93">
        <f>AA4069/10</f>
        <v>0.72398190045248878</v>
      </c>
      <c r="AB4070" s="93">
        <f>AD4070/AC4062</f>
        <v>2.4309999999999996</v>
      </c>
      <c r="AC4070" s="93">
        <f>AC4062/AA4070</f>
        <v>13.493154999999996</v>
      </c>
      <c r="AD4070" s="94">
        <f t="shared" si="3012"/>
        <v>23.747952799999993</v>
      </c>
      <c r="AE4070" s="190"/>
      <c r="AF4070" s="191"/>
      <c r="AG4070" s="191"/>
      <c r="AH4070" s="191"/>
      <c r="AI4070" s="186"/>
      <c r="AK4070" s="171"/>
    </row>
    <row r="4071" spans="1:37" s="102" customFormat="1" ht="19.899999999999999" customHeight="1" x14ac:dyDescent="0.25">
      <c r="A4071" s="45"/>
      <c r="B4071" s="59"/>
      <c r="C4071" s="137"/>
      <c r="D4071" s="59"/>
      <c r="E4071" s="116"/>
      <c r="F4071" s="120"/>
      <c r="G4071" s="120"/>
      <c r="H4071" s="120"/>
      <c r="I4071" s="60"/>
      <c r="J4071" s="116"/>
      <c r="K4071" s="213"/>
      <c r="L4071" s="120"/>
      <c r="M4071" s="120"/>
      <c r="N4071" s="167"/>
      <c r="O4071" s="120"/>
      <c r="P4071" s="120"/>
      <c r="Q4071" s="120"/>
      <c r="R4071" s="120"/>
      <c r="S4071" s="120"/>
      <c r="T4071" s="221"/>
      <c r="U4071" s="89"/>
      <c r="V4071" s="61"/>
      <c r="W4071" s="92" t="s">
        <v>1049</v>
      </c>
      <c r="X4071" s="93" t="s">
        <v>30</v>
      </c>
      <c r="Y4071" s="93" t="s">
        <v>68</v>
      </c>
      <c r="Z4071" s="134">
        <f>VLOOKUP(W4071,Sheet2!$B:$D,3,FALSE)</f>
        <v>60</v>
      </c>
      <c r="AA4071" s="93">
        <v>1</v>
      </c>
      <c r="AB4071" s="93">
        <f>AD4071/AC4062</f>
        <v>60</v>
      </c>
      <c r="AC4071" s="93">
        <f>AC4062/AA4071</f>
        <v>9.7687999999999988</v>
      </c>
      <c r="AD4071" s="94">
        <f t="shared" si="3012"/>
        <v>586.12799999999993</v>
      </c>
      <c r="AE4071" s="190"/>
      <c r="AF4071" s="191"/>
      <c r="AG4071" s="191"/>
      <c r="AH4071" s="191"/>
      <c r="AI4071" s="186"/>
      <c r="AK4071" s="171"/>
    </row>
    <row r="4072" spans="1:37" s="103" customFormat="1" ht="19.899999999999999" customHeight="1" x14ac:dyDescent="0.25">
      <c r="A4072" s="51"/>
      <c r="B4072" s="52"/>
      <c r="C4072" s="165"/>
      <c r="D4072" s="52"/>
      <c r="E4072" s="115"/>
      <c r="F4072" s="58"/>
      <c r="G4072" s="58"/>
      <c r="H4072" s="58"/>
      <c r="I4072" s="55"/>
      <c r="J4072" s="113">
        <f>J4061</f>
        <v>9.7687999999999988</v>
      </c>
      <c r="K4072" s="212">
        <f>K4061</f>
        <v>9.7687999999999988</v>
      </c>
      <c r="L4072" s="58"/>
      <c r="M4072" s="58">
        <f>K4072-L4072</f>
        <v>9.7687999999999988</v>
      </c>
      <c r="N4072" s="166"/>
      <c r="O4072" s="58"/>
      <c r="P4072" s="58"/>
      <c r="Q4072" s="58"/>
      <c r="R4072" s="58"/>
      <c r="S4072" s="58"/>
      <c r="T4072" s="220"/>
      <c r="U4072" s="88"/>
      <c r="V4072" s="56"/>
      <c r="W4072" s="57" t="s">
        <v>1036</v>
      </c>
      <c r="X4072" s="53"/>
      <c r="Y4072" s="91" t="s">
        <v>68</v>
      </c>
      <c r="Z4072" s="136">
        <f>AD4072/AC4072</f>
        <v>518.58333333333337</v>
      </c>
      <c r="AA4072" s="58"/>
      <c r="AB4072" s="53">
        <f>AD4072/AC4072</f>
        <v>518.58333333333337</v>
      </c>
      <c r="AC4072" s="53">
        <f>M4072+$AE$10</f>
        <v>9.7687999999999988</v>
      </c>
      <c r="AD4072" s="54">
        <f>SUM(AD4073:AD4078)</f>
        <v>5065.936866666666</v>
      </c>
      <c r="AE4072" s="184">
        <f>SUMIFS($AD$37:$AD$12971,$V$37:$V$12971,$V4072,$X$37:$X$12971,AE$13)</f>
        <v>0</v>
      </c>
      <c r="AF4072" s="185">
        <f>SUMIFS($AD$37:$AD$12971,$V$37:$V$12971,$V4072,$X$37:$X$12971,AF$13)</f>
        <v>0</v>
      </c>
      <c r="AG4072" s="185">
        <f>SUMIFS($AD$37:$AD$12971,$V$37:$V$12971,$V4072,$X$37:$X$12971,AG$13)</f>
        <v>0</v>
      </c>
      <c r="AH4072" s="187">
        <f>SUMIFS($AD$37:$AD$12971,$V$37:$V$12971,$V4072,$X$37:$X$12971,AH$13)</f>
        <v>0</v>
      </c>
      <c r="AI4072" s="161">
        <f t="shared" ref="AI4072" si="3013">SUM(AE4072:AH4072)</f>
        <v>0</v>
      </c>
      <c r="AK4072" s="172"/>
    </row>
    <row r="4073" spans="1:37" s="102" customFormat="1" ht="19.899999999999999" customHeight="1" x14ac:dyDescent="0.25">
      <c r="A4073" s="45"/>
      <c r="B4073" s="59"/>
      <c r="C4073" s="137"/>
      <c r="D4073" s="59"/>
      <c r="E4073" s="116"/>
      <c r="F4073" s="120"/>
      <c r="G4073" s="120"/>
      <c r="H4073" s="120"/>
      <c r="I4073" s="60"/>
      <c r="J4073" s="116"/>
      <c r="K4073" s="213"/>
      <c r="L4073" s="120"/>
      <c r="M4073" s="120"/>
      <c r="N4073" s="167"/>
      <c r="O4073" s="120"/>
      <c r="P4073" s="120"/>
      <c r="Q4073" s="120"/>
      <c r="R4073" s="120"/>
      <c r="S4073" s="120"/>
      <c r="T4073" s="221"/>
      <c r="U4073" s="89"/>
      <c r="V4073" s="61"/>
      <c r="W4073" s="92" t="s">
        <v>1059</v>
      </c>
      <c r="X4073" s="93" t="s">
        <v>30</v>
      </c>
      <c r="Y4073" s="93" t="s">
        <v>68</v>
      </c>
      <c r="Z4073" s="134">
        <f>VLOOKUP(W4073,Sheet2!$B:$D,3,FALSE)</f>
        <v>350</v>
      </c>
      <c r="AA4073" s="93">
        <v>1</v>
      </c>
      <c r="AB4073" s="93">
        <f>AD4073/AC4072</f>
        <v>350</v>
      </c>
      <c r="AC4073" s="93">
        <f>AC4072/AA4073</f>
        <v>9.7687999999999988</v>
      </c>
      <c r="AD4073" s="94">
        <f t="shared" ref="AD4073" si="3014">AC4073*Z4073</f>
        <v>3419.0799999999995</v>
      </c>
      <c r="AE4073" s="190"/>
      <c r="AF4073" s="191"/>
      <c r="AG4073" s="191"/>
      <c r="AH4073" s="191"/>
      <c r="AI4073" s="186"/>
      <c r="AK4073" s="171"/>
    </row>
    <row r="4074" spans="1:37" s="102" customFormat="1" ht="19.899999999999999" customHeight="1" x14ac:dyDescent="0.25">
      <c r="A4074" s="45"/>
      <c r="B4074" s="59"/>
      <c r="C4074" s="137"/>
      <c r="D4074" s="59"/>
      <c r="E4074" s="116"/>
      <c r="F4074" s="120"/>
      <c r="G4074" s="120"/>
      <c r="H4074" s="120"/>
      <c r="I4074" s="60"/>
      <c r="J4074" s="116"/>
      <c r="K4074" s="213"/>
      <c r="L4074" s="120"/>
      <c r="M4074" s="120"/>
      <c r="N4074" s="167"/>
      <c r="O4074" s="120"/>
      <c r="P4074" s="120"/>
      <c r="Q4074" s="120"/>
      <c r="R4074" s="120"/>
      <c r="S4074" s="120"/>
      <c r="T4074" s="221"/>
      <c r="U4074" s="89"/>
      <c r="V4074" s="61"/>
      <c r="W4074" s="92" t="s">
        <v>1066</v>
      </c>
      <c r="X4074" s="93" t="s">
        <v>30</v>
      </c>
      <c r="Y4074" s="93" t="s">
        <v>68</v>
      </c>
      <c r="Z4074" s="134">
        <f>VLOOKUP(W4074,Sheet2!$B:$D,3,FALSE)</f>
        <v>35</v>
      </c>
      <c r="AA4074" s="93">
        <v>1</v>
      </c>
      <c r="AB4074" s="93">
        <f>AD4074/AC4072</f>
        <v>35</v>
      </c>
      <c r="AC4074" s="93">
        <f>AC4072/AA4074</f>
        <v>9.7687999999999988</v>
      </c>
      <c r="AD4074" s="94">
        <f>AC4074*Z4074</f>
        <v>341.90799999999996</v>
      </c>
      <c r="AE4074" s="190"/>
      <c r="AF4074" s="191"/>
      <c r="AG4074" s="191"/>
      <c r="AH4074" s="191"/>
      <c r="AI4074" s="186"/>
      <c r="AK4074" s="171"/>
    </row>
    <row r="4075" spans="1:37" s="102" customFormat="1" ht="19.899999999999999" customHeight="1" x14ac:dyDescent="0.25">
      <c r="A4075" s="45"/>
      <c r="B4075" s="59"/>
      <c r="C4075" s="137"/>
      <c r="D4075" s="59"/>
      <c r="E4075" s="116"/>
      <c r="F4075" s="120"/>
      <c r="G4075" s="120"/>
      <c r="H4075" s="120"/>
      <c r="I4075" s="60"/>
      <c r="J4075" s="116"/>
      <c r="K4075" s="213"/>
      <c r="L4075" s="120"/>
      <c r="M4075" s="120"/>
      <c r="N4075" s="167"/>
      <c r="O4075" s="120"/>
      <c r="P4075" s="120"/>
      <c r="Q4075" s="120"/>
      <c r="R4075" s="120"/>
      <c r="S4075" s="120"/>
      <c r="T4075" s="221"/>
      <c r="U4075" s="89"/>
      <c r="V4075" s="61"/>
      <c r="W4075" s="92" t="s">
        <v>1073</v>
      </c>
      <c r="X4075" s="93" t="s">
        <v>32</v>
      </c>
      <c r="Y4075" s="93" t="s">
        <v>68</v>
      </c>
      <c r="Z4075" s="134">
        <f>VLOOKUP(W4075,Sheet2!$B:$D,3,FALSE)</f>
        <v>65</v>
      </c>
      <c r="AA4075" s="93">
        <v>1</v>
      </c>
      <c r="AB4075" s="93">
        <f>AD4075/AC4072</f>
        <v>65</v>
      </c>
      <c r="AC4075" s="93">
        <f>AC4072/AA4075</f>
        <v>9.7687999999999988</v>
      </c>
      <c r="AD4075" s="94">
        <f>AC4075*Z4075</f>
        <v>634.97199999999998</v>
      </c>
      <c r="AE4075" s="190"/>
      <c r="AF4075" s="191"/>
      <c r="AG4075" s="191"/>
      <c r="AH4075" s="191"/>
      <c r="AI4075" s="186"/>
      <c r="AK4075" s="171"/>
    </row>
    <row r="4076" spans="1:37" s="102" customFormat="1" ht="19.899999999999999" customHeight="1" x14ac:dyDescent="0.25">
      <c r="A4076" s="45"/>
      <c r="B4076" s="59"/>
      <c r="C4076" s="137"/>
      <c r="D4076" s="59"/>
      <c r="E4076" s="116"/>
      <c r="F4076" s="120"/>
      <c r="G4076" s="120"/>
      <c r="H4076" s="120"/>
      <c r="I4076" s="60"/>
      <c r="J4076" s="116"/>
      <c r="K4076" s="213"/>
      <c r="L4076" s="120"/>
      <c r="M4076" s="120"/>
      <c r="N4076" s="167"/>
      <c r="O4076" s="120"/>
      <c r="P4076" s="120"/>
      <c r="Q4076" s="120"/>
      <c r="R4076" s="120"/>
      <c r="S4076" s="120"/>
      <c r="T4076" s="221"/>
      <c r="U4076" s="89"/>
      <c r="V4076" s="61"/>
      <c r="W4076" s="92" t="s">
        <v>1032</v>
      </c>
      <c r="X4076" s="93" t="s">
        <v>30</v>
      </c>
      <c r="Y4076" s="93" t="s">
        <v>66</v>
      </c>
      <c r="Z4076" s="134">
        <f>VLOOKUP(W4076,Sheet2!$B:$D,3,FALSE)</f>
        <v>250</v>
      </c>
      <c r="AA4076" s="93">
        <f>1/(1.7*0.1)</f>
        <v>5.8823529411764701</v>
      </c>
      <c r="AB4076" s="93">
        <f>AD4076/AC4072</f>
        <v>42.5</v>
      </c>
      <c r="AC4076" s="93">
        <f>AC4072/AA4076</f>
        <v>1.6606959999999999</v>
      </c>
      <c r="AD4076" s="94">
        <f>AC4076*Z4076</f>
        <v>415.17399999999998</v>
      </c>
      <c r="AE4076" s="190"/>
      <c r="AF4076" s="191"/>
      <c r="AG4076" s="191"/>
      <c r="AH4076" s="191"/>
      <c r="AI4076" s="186"/>
      <c r="AK4076" s="171"/>
    </row>
    <row r="4077" spans="1:37" s="102" customFormat="1" ht="19.899999999999999" customHeight="1" x14ac:dyDescent="0.25">
      <c r="A4077" s="45"/>
      <c r="B4077" s="59"/>
      <c r="C4077" s="137"/>
      <c r="D4077" s="59"/>
      <c r="E4077" s="116"/>
      <c r="F4077" s="120"/>
      <c r="G4077" s="120"/>
      <c r="H4077" s="120"/>
      <c r="I4077" s="60"/>
      <c r="J4077" s="116"/>
      <c r="K4077" s="213"/>
      <c r="L4077" s="120"/>
      <c r="M4077" s="120"/>
      <c r="N4077" s="167"/>
      <c r="O4077" s="120"/>
      <c r="P4077" s="120"/>
      <c r="Q4077" s="120"/>
      <c r="R4077" s="120"/>
      <c r="S4077" s="120"/>
      <c r="T4077" s="221"/>
      <c r="U4077" s="89"/>
      <c r="V4077" s="61"/>
      <c r="W4077" s="92" t="s">
        <v>1035</v>
      </c>
      <c r="X4077" s="93" t="s">
        <v>32</v>
      </c>
      <c r="Y4077" s="93" t="s">
        <v>66</v>
      </c>
      <c r="Z4077" s="134">
        <f>VLOOKUP(W4077,Sheet2!$B:$D,3,FALSE)</f>
        <v>150</v>
      </c>
      <c r="AA4077" s="93">
        <f>AA4076</f>
        <v>5.8823529411764701</v>
      </c>
      <c r="AB4077" s="93">
        <f>AD4077/AC4072</f>
        <v>25.500000000000004</v>
      </c>
      <c r="AC4077" s="93">
        <f>AC4072/AA4077</f>
        <v>1.6606959999999999</v>
      </c>
      <c r="AD4077" s="94">
        <f t="shared" ref="AD4077:AD4078" si="3015">AC4077*Z4077</f>
        <v>249.1044</v>
      </c>
      <c r="AE4077" s="190"/>
      <c r="AF4077" s="191"/>
      <c r="AG4077" s="191"/>
      <c r="AH4077" s="191"/>
      <c r="AI4077" s="186"/>
      <c r="AK4077" s="171"/>
    </row>
    <row r="4078" spans="1:37" s="102" customFormat="1" ht="19.899999999999999" customHeight="1" x14ac:dyDescent="0.25">
      <c r="A4078" s="45"/>
      <c r="B4078" s="59"/>
      <c r="C4078" s="137"/>
      <c r="D4078" s="59"/>
      <c r="E4078" s="116"/>
      <c r="F4078" s="120"/>
      <c r="G4078" s="120"/>
      <c r="H4078" s="120"/>
      <c r="I4078" s="60"/>
      <c r="J4078" s="116"/>
      <c r="K4078" s="213"/>
      <c r="L4078" s="120"/>
      <c r="M4078" s="120"/>
      <c r="N4078" s="167"/>
      <c r="O4078" s="120"/>
      <c r="P4078" s="120"/>
      <c r="Q4078" s="120"/>
      <c r="R4078" s="120"/>
      <c r="S4078" s="120"/>
      <c r="T4078" s="221"/>
      <c r="U4078" s="89"/>
      <c r="V4078" s="61"/>
      <c r="W4078" s="92" t="s">
        <v>1037</v>
      </c>
      <c r="X4078" s="93" t="s">
        <v>30</v>
      </c>
      <c r="Y4078" s="93" t="s">
        <v>1038</v>
      </c>
      <c r="Z4078" s="134">
        <f>VLOOKUP(W4078,Sheet2!$B:$D,3,FALSE)</f>
        <v>175</v>
      </c>
      <c r="AA4078" s="93">
        <v>300</v>
      </c>
      <c r="AB4078" s="93">
        <f>AD4078/AC4072</f>
        <v>0.58333333333333326</v>
      </c>
      <c r="AC4078" s="93">
        <f>AC4072/AA4078</f>
        <v>3.2562666666666663E-2</v>
      </c>
      <c r="AD4078" s="94">
        <f t="shared" si="3015"/>
        <v>5.6984666666666657</v>
      </c>
      <c r="AE4078" s="190"/>
      <c r="AF4078" s="191"/>
      <c r="AG4078" s="191"/>
      <c r="AH4078" s="191"/>
      <c r="AI4078" s="186"/>
      <c r="AK4078" s="171"/>
    </row>
    <row r="4079" spans="1:37" s="103" customFormat="1" ht="19.899999999999999" customHeight="1" x14ac:dyDescent="0.25">
      <c r="A4079" s="51"/>
      <c r="B4079" s="52"/>
      <c r="C4079" s="165"/>
      <c r="D4079" s="52"/>
      <c r="E4079" s="115"/>
      <c r="F4079" s="58"/>
      <c r="G4079" s="58"/>
      <c r="H4079" s="58"/>
      <c r="I4079" s="55"/>
      <c r="J4079" s="113">
        <f>J4061</f>
        <v>9.7687999999999988</v>
      </c>
      <c r="K4079" s="212">
        <f>K4061</f>
        <v>9.7687999999999988</v>
      </c>
      <c r="L4079" s="58"/>
      <c r="M4079" s="58">
        <f>K4079-L4079</f>
        <v>9.7687999999999988</v>
      </c>
      <c r="N4079" s="166"/>
      <c r="O4079" s="58"/>
      <c r="P4079" s="58"/>
      <c r="Q4079" s="58"/>
      <c r="R4079" s="58"/>
      <c r="S4079" s="58"/>
      <c r="T4079" s="220"/>
      <c r="U4079" s="88"/>
      <c r="V4079" s="56"/>
      <c r="W4079" s="57" t="s">
        <v>1040</v>
      </c>
      <c r="X4079" s="53"/>
      <c r="Y4079" s="91" t="s">
        <v>68</v>
      </c>
      <c r="Z4079" s="136">
        <f>AD4079/AC4079</f>
        <v>5</v>
      </c>
      <c r="AA4079" s="58"/>
      <c r="AB4079" s="53">
        <f>AD4079/AC4079</f>
        <v>5</v>
      </c>
      <c r="AC4079" s="53">
        <f>M4079+$AE$10</f>
        <v>9.7687999999999988</v>
      </c>
      <c r="AD4079" s="54">
        <f>SUM(AD4080)</f>
        <v>48.843999999999994</v>
      </c>
      <c r="AE4079" s="184">
        <f>SUMIFS($AD$37:$AD$12971,$V$37:$V$12971,$V4079,$X$37:$X$12971,AE$13)</f>
        <v>0</v>
      </c>
      <c r="AF4079" s="185">
        <f>SUMIFS($AD$37:$AD$12971,$V$37:$V$12971,$V4079,$X$37:$X$12971,AF$13)</f>
        <v>0</v>
      </c>
      <c r="AG4079" s="185">
        <f>SUMIFS($AD$37:$AD$12971,$V$37:$V$12971,$V4079,$X$37:$X$12971,AG$13)</f>
        <v>0</v>
      </c>
      <c r="AH4079" s="187">
        <f>SUMIFS($AD$37:$AD$12971,$V$37:$V$12971,$V4079,$X$37:$X$12971,AH$13)</f>
        <v>0</v>
      </c>
      <c r="AI4079" s="161">
        <f t="shared" ref="AI4079" si="3016">SUM(AE4079:AH4079)</f>
        <v>0</v>
      </c>
      <c r="AK4079" s="172"/>
    </row>
    <row r="4080" spans="1:37" s="102" customFormat="1" ht="19.899999999999999" customHeight="1" x14ac:dyDescent="0.25">
      <c r="A4080" s="45"/>
      <c r="B4080" s="59"/>
      <c r="C4080" s="137"/>
      <c r="D4080" s="59"/>
      <c r="E4080" s="116"/>
      <c r="F4080" s="120"/>
      <c r="G4080" s="120"/>
      <c r="H4080" s="120"/>
      <c r="I4080" s="60"/>
      <c r="J4080" s="116"/>
      <c r="K4080" s="213"/>
      <c r="L4080" s="120"/>
      <c r="M4080" s="120"/>
      <c r="N4080" s="167"/>
      <c r="O4080" s="120"/>
      <c r="P4080" s="120"/>
      <c r="Q4080" s="120"/>
      <c r="R4080" s="120"/>
      <c r="S4080" s="120"/>
      <c r="T4080" s="221"/>
      <c r="U4080" s="89"/>
      <c r="V4080" s="61"/>
      <c r="W4080" s="92" t="s">
        <v>1039</v>
      </c>
      <c r="X4080" s="93" t="s">
        <v>32</v>
      </c>
      <c r="Y4080" s="93" t="s">
        <v>68</v>
      </c>
      <c r="Z4080" s="134">
        <f>VLOOKUP(W4080,Sheet2!$B:$D,3,FALSE)</f>
        <v>5</v>
      </c>
      <c r="AA4080" s="93">
        <v>1</v>
      </c>
      <c r="AB4080" s="93">
        <f>AD4080/AC4079</f>
        <v>5</v>
      </c>
      <c r="AC4080" s="93">
        <f>AC4079/AA4080</f>
        <v>9.7687999999999988</v>
      </c>
      <c r="AD4080" s="94">
        <f t="shared" ref="AD4080" si="3017">AC4080*Z4080</f>
        <v>48.843999999999994</v>
      </c>
      <c r="AE4080" s="190"/>
      <c r="AF4080" s="191"/>
      <c r="AG4080" s="191"/>
      <c r="AH4080" s="191"/>
      <c r="AI4080" s="186"/>
      <c r="AK4080" s="171"/>
    </row>
    <row r="4081" spans="1:41" ht="20.100000000000001" customHeight="1" x14ac:dyDescent="0.25">
      <c r="A4081" s="277" t="s">
        <v>491</v>
      </c>
      <c r="B4081" s="278"/>
      <c r="C4081" s="64" t="s">
        <v>1183</v>
      </c>
      <c r="D4081" s="46" t="s">
        <v>97</v>
      </c>
      <c r="E4081" s="114">
        <v>5.1005999999999858</v>
      </c>
      <c r="F4081" s="44">
        <v>1168</v>
      </c>
      <c r="G4081" s="44">
        <f t="shared" si="2434"/>
        <v>5957.5007999999834</v>
      </c>
      <c r="H4081" s="44">
        <f t="shared" si="2435"/>
        <v>660.06719999999996</v>
      </c>
      <c r="I4081" s="43">
        <f t="shared" si="2436"/>
        <v>3366.7387603199904</v>
      </c>
      <c r="J4081" s="112">
        <f t="shared" si="2437"/>
        <v>5.1005999999999858</v>
      </c>
      <c r="K4081" s="211">
        <f t="shared" si="2438"/>
        <v>5.1005999999999858</v>
      </c>
      <c r="L4081" s="44"/>
      <c r="M4081" s="44">
        <f t="shared" si="2458"/>
        <v>5.1005999999999858</v>
      </c>
      <c r="N4081" s="173">
        <f t="shared" si="2439"/>
        <v>1</v>
      </c>
      <c r="O4081" s="44">
        <f t="shared" si="2440"/>
        <v>1168</v>
      </c>
      <c r="P4081" s="44">
        <f t="shared" si="2441"/>
        <v>5957.5007999999834</v>
      </c>
      <c r="Q4081" s="44">
        <f t="shared" si="2442"/>
        <v>660.06719999999996</v>
      </c>
      <c r="R4081" s="44">
        <f t="shared" si="2459"/>
        <v>3366.7387603199904</v>
      </c>
      <c r="S4081" s="123"/>
      <c r="T4081" s="219">
        <f t="shared" si="2460"/>
        <v>3366.7387603199904</v>
      </c>
      <c r="U4081" s="87"/>
      <c r="V4081" s="47"/>
      <c r="W4081" s="48"/>
      <c r="X4081" s="48"/>
      <c r="Y4081" s="48"/>
      <c r="Z4081" s="135"/>
      <c r="AA4081" s="49"/>
      <c r="AB4081" s="50">
        <f t="shared" si="2443"/>
        <v>660.06719999999996</v>
      </c>
      <c r="AC4081" s="42">
        <f t="shared" si="2461"/>
        <v>5.1005999999999858</v>
      </c>
      <c r="AD4081" s="90">
        <f>AD4082+AD4092+AD4099</f>
        <v>3366.7387603199904</v>
      </c>
      <c r="AE4081" s="188">
        <f t="shared" ref="AE4081" si="3018">AE4082+AE4092+AE4099</f>
        <v>0</v>
      </c>
      <c r="AF4081" s="189">
        <f t="shared" ref="AF4081" si="3019">AF4082+AF4092+AF4099</f>
        <v>0</v>
      </c>
      <c r="AG4081" s="189">
        <f t="shared" ref="AG4081" si="3020">AG4082+AG4092+AG4099</f>
        <v>0</v>
      </c>
      <c r="AH4081" s="189">
        <f t="shared" ref="AH4081" si="3021">AH4082+AH4092+AH4099</f>
        <v>0</v>
      </c>
      <c r="AI4081" s="161">
        <f t="shared" ref="AI4081" si="3022">SUM(AE4081:AH4081)</f>
        <v>0</v>
      </c>
      <c r="AK4081" s="169">
        <v>5</v>
      </c>
      <c r="AO4081" s="19" t="s">
        <v>63</v>
      </c>
    </row>
    <row r="4082" spans="1:41" s="103" customFormat="1" ht="19.899999999999999" customHeight="1" x14ac:dyDescent="0.25">
      <c r="A4082" s="51"/>
      <c r="B4082" s="52"/>
      <c r="C4082" s="165"/>
      <c r="D4082" s="52"/>
      <c r="E4082" s="115"/>
      <c r="F4082" s="58"/>
      <c r="G4082" s="58"/>
      <c r="H4082" s="58"/>
      <c r="I4082" s="55"/>
      <c r="J4082" s="113">
        <f>J4081</f>
        <v>5.1005999999999858</v>
      </c>
      <c r="K4082" s="212">
        <f>K4081</f>
        <v>5.1005999999999858</v>
      </c>
      <c r="L4082" s="58"/>
      <c r="M4082" s="58">
        <f>K4082-L4082</f>
        <v>5.1005999999999858</v>
      </c>
      <c r="N4082" s="166"/>
      <c r="O4082" s="58"/>
      <c r="P4082" s="58"/>
      <c r="Q4082" s="58"/>
      <c r="R4082" s="58"/>
      <c r="S4082" s="58"/>
      <c r="T4082" s="220"/>
      <c r="U4082" s="88"/>
      <c r="V4082" s="56"/>
      <c r="W4082" s="57" t="s">
        <v>1247</v>
      </c>
      <c r="X4082" s="53"/>
      <c r="Y4082" s="91" t="s">
        <v>68</v>
      </c>
      <c r="Z4082" s="136">
        <f>AD4082/AC4082</f>
        <v>136.48386666666667</v>
      </c>
      <c r="AA4082" s="58"/>
      <c r="AB4082" s="53">
        <f>AD4082/AC4082</f>
        <v>136.48386666666667</v>
      </c>
      <c r="AC4082" s="53">
        <f>M4082+$AE$10</f>
        <v>5.1005999999999858</v>
      </c>
      <c r="AD4082" s="54">
        <f>SUM(AD4083:AD4091)</f>
        <v>696.14961031999803</v>
      </c>
      <c r="AE4082" s="184">
        <f>SUMIFS($AD$37:$AD$12971,$V$37:$V$12971,$V4082,$X$37:$X$12971,AE$13)</f>
        <v>0</v>
      </c>
      <c r="AF4082" s="185">
        <f>SUMIFS($AD$37:$AD$12971,$V$37:$V$12971,$V4082,$X$37:$X$12971,AF$13)</f>
        <v>0</v>
      </c>
      <c r="AG4082" s="185">
        <f>SUMIFS($AD$37:$AD$12971,$V$37:$V$12971,$V4082,$X$37:$X$12971,AG$13)</f>
        <v>0</v>
      </c>
      <c r="AH4082" s="187">
        <f>SUMIFS($AD$37:$AD$12971,$V$37:$V$12971,$V4082,$X$37:$X$12971,AH$13)</f>
        <v>0</v>
      </c>
      <c r="AI4082" s="161">
        <f t="shared" ref="AI4082" si="3023">SUM(AE4082:AH4082)</f>
        <v>0</v>
      </c>
      <c r="AK4082" s="172"/>
    </row>
    <row r="4083" spans="1:41" s="102" customFormat="1" ht="19.899999999999999" customHeight="1" x14ac:dyDescent="0.25">
      <c r="A4083" s="45"/>
      <c r="B4083" s="59"/>
      <c r="C4083" s="137"/>
      <c r="D4083" s="59"/>
      <c r="E4083" s="116"/>
      <c r="F4083" s="120"/>
      <c r="G4083" s="120"/>
      <c r="H4083" s="120"/>
      <c r="I4083" s="60"/>
      <c r="J4083" s="116"/>
      <c r="K4083" s="213"/>
      <c r="L4083" s="120"/>
      <c r="M4083" s="120"/>
      <c r="N4083" s="167"/>
      <c r="O4083" s="120"/>
      <c r="P4083" s="120"/>
      <c r="Q4083" s="120"/>
      <c r="R4083" s="120"/>
      <c r="S4083" s="120"/>
      <c r="T4083" s="221"/>
      <c r="U4083" s="89"/>
      <c r="V4083" s="61"/>
      <c r="W4083" s="92" t="s">
        <v>131</v>
      </c>
      <c r="X4083" s="93" t="s">
        <v>29</v>
      </c>
      <c r="Y4083" s="93" t="s">
        <v>93</v>
      </c>
      <c r="Z4083" s="134">
        <f>VLOOKUP(W4083,Sheet2!$B:$D,3,FALSE)</f>
        <v>131.19999999999999</v>
      </c>
      <c r="AA4083" s="93">
        <f>80/(1.7*7)</f>
        <v>6.7226890756302522</v>
      </c>
      <c r="AB4083" s="93">
        <f t="shared" ref="AB4083" si="3024">AD4083/AC4082</f>
        <v>19.515999999999998</v>
      </c>
      <c r="AC4083" s="93">
        <f>AC4082/AA4083</f>
        <v>0.75871424999999793</v>
      </c>
      <c r="AD4083" s="94">
        <f t="shared" ref="AD4083:AD4084" si="3025">AC4083*Z4083</f>
        <v>99.543309599999716</v>
      </c>
      <c r="AE4083" s="190"/>
      <c r="AF4083" s="191"/>
      <c r="AG4083" s="191"/>
      <c r="AH4083" s="191"/>
      <c r="AI4083" s="186"/>
      <c r="AK4083" s="171"/>
    </row>
    <row r="4084" spans="1:41" s="102" customFormat="1" ht="19.899999999999999" customHeight="1" x14ac:dyDescent="0.25">
      <c r="A4084" s="45"/>
      <c r="B4084" s="59"/>
      <c r="C4084" s="137"/>
      <c r="D4084" s="59"/>
      <c r="E4084" s="116"/>
      <c r="F4084" s="120"/>
      <c r="G4084" s="120"/>
      <c r="H4084" s="120"/>
      <c r="I4084" s="60"/>
      <c r="J4084" s="116"/>
      <c r="K4084" s="213"/>
      <c r="L4084" s="120"/>
      <c r="M4084" s="120"/>
      <c r="N4084" s="167"/>
      <c r="O4084" s="120"/>
      <c r="P4084" s="120"/>
      <c r="Q4084" s="120"/>
      <c r="R4084" s="120"/>
      <c r="S4084" s="120"/>
      <c r="T4084" s="221"/>
      <c r="U4084" s="89"/>
      <c r="V4084" s="61"/>
      <c r="W4084" s="92" t="s">
        <v>65</v>
      </c>
      <c r="X4084" s="93" t="s">
        <v>30</v>
      </c>
      <c r="Y4084" s="93" t="s">
        <v>1011</v>
      </c>
      <c r="Z4084" s="134">
        <f>VLOOKUP(W4084,Sheet2!$B:$D,3,FALSE)</f>
        <v>1.76</v>
      </c>
      <c r="AA4084" s="93">
        <f>AA4083/32</f>
        <v>0.21008403361344538</v>
      </c>
      <c r="AB4084" s="93">
        <f>AD4084/AC4082</f>
        <v>8.377600000000001</v>
      </c>
      <c r="AC4084" s="93">
        <f>AC4082/AA4084</f>
        <v>24.278855999999934</v>
      </c>
      <c r="AD4084" s="94">
        <f t="shared" si="3025"/>
        <v>42.730786559999885</v>
      </c>
      <c r="AE4084" s="190"/>
      <c r="AF4084" s="191"/>
      <c r="AG4084" s="191"/>
      <c r="AH4084" s="191"/>
      <c r="AI4084" s="186"/>
      <c r="AK4084" s="171"/>
    </row>
    <row r="4085" spans="1:41" s="102" customFormat="1" ht="19.899999999999999" customHeight="1" x14ac:dyDescent="0.25">
      <c r="A4085" s="45"/>
      <c r="B4085" s="59"/>
      <c r="C4085" s="137"/>
      <c r="D4085" s="59"/>
      <c r="E4085" s="116"/>
      <c r="F4085" s="120"/>
      <c r="G4085" s="120"/>
      <c r="H4085" s="120"/>
      <c r="I4085" s="60"/>
      <c r="J4085" s="116"/>
      <c r="K4085" s="213"/>
      <c r="L4085" s="120"/>
      <c r="M4085" s="120"/>
      <c r="N4085" s="167"/>
      <c r="O4085" s="120"/>
      <c r="P4085" s="120"/>
      <c r="Q4085" s="120"/>
      <c r="R4085" s="120"/>
      <c r="S4085" s="120"/>
      <c r="T4085" s="221"/>
      <c r="U4085" s="89"/>
      <c r="V4085" s="61"/>
      <c r="W4085" s="92" t="s">
        <v>161</v>
      </c>
      <c r="X4085" s="93" t="s">
        <v>29</v>
      </c>
      <c r="Y4085" s="93" t="s">
        <v>93</v>
      </c>
      <c r="Z4085" s="134">
        <f>VLOOKUP(W4085,Sheet2!$B:$D,3,FALSE)</f>
        <v>48</v>
      </c>
      <c r="AA4085" s="93">
        <f>(16*0.85*1.5)/(1.7*7)</f>
        <v>1.7142857142857142</v>
      </c>
      <c r="AB4085" s="93">
        <f>AD4085/AC4082</f>
        <v>28</v>
      </c>
      <c r="AC4085" s="93">
        <f>AC4082/AA4085</f>
        <v>2.9753499999999917</v>
      </c>
      <c r="AD4085" s="94">
        <f>AC4085*Z4085</f>
        <v>142.8167999999996</v>
      </c>
      <c r="AE4085" s="190"/>
      <c r="AF4085" s="191"/>
      <c r="AG4085" s="191"/>
      <c r="AH4085" s="191"/>
      <c r="AI4085" s="186"/>
      <c r="AK4085" s="171"/>
    </row>
    <row r="4086" spans="1:41" s="102" customFormat="1" ht="19.899999999999999" customHeight="1" x14ac:dyDescent="0.25">
      <c r="A4086" s="45"/>
      <c r="B4086" s="59"/>
      <c r="C4086" s="137"/>
      <c r="D4086" s="59"/>
      <c r="E4086" s="116"/>
      <c r="F4086" s="120"/>
      <c r="G4086" s="120"/>
      <c r="H4086" s="120"/>
      <c r="I4086" s="60"/>
      <c r="J4086" s="116"/>
      <c r="K4086" s="213"/>
      <c r="L4086" s="120"/>
      <c r="M4086" s="120"/>
      <c r="N4086" s="167"/>
      <c r="O4086" s="120"/>
      <c r="P4086" s="120"/>
      <c r="Q4086" s="120"/>
      <c r="R4086" s="120"/>
      <c r="S4086" s="120"/>
      <c r="T4086" s="221"/>
      <c r="U4086" s="89"/>
      <c r="V4086" s="61"/>
      <c r="W4086" s="92" t="s">
        <v>65</v>
      </c>
      <c r="X4086" s="93" t="s">
        <v>30</v>
      </c>
      <c r="Y4086" s="93" t="s">
        <v>1011</v>
      </c>
      <c r="Z4086" s="134">
        <f>VLOOKUP(W4086,Sheet2!$B:$D,3,FALSE)</f>
        <v>1.76</v>
      </c>
      <c r="AA4086" s="93">
        <f>AA4085/10</f>
        <v>0.17142857142857143</v>
      </c>
      <c r="AB4086" s="93">
        <f>AD4086/AC4082</f>
        <v>10.266666666666666</v>
      </c>
      <c r="AC4086" s="93">
        <f>AC4082/AA4086</f>
        <v>29.753499999999917</v>
      </c>
      <c r="AD4086" s="94">
        <f>AC4086*Z4086</f>
        <v>52.366159999999851</v>
      </c>
      <c r="AE4086" s="190"/>
      <c r="AF4086" s="191"/>
      <c r="AG4086" s="191"/>
      <c r="AH4086" s="191"/>
      <c r="AI4086" s="186"/>
      <c r="AK4086" s="171"/>
    </row>
    <row r="4087" spans="1:41" s="102" customFormat="1" ht="19.899999999999999" customHeight="1" x14ac:dyDescent="0.25">
      <c r="A4087" s="45"/>
      <c r="B4087" s="59"/>
      <c r="C4087" s="137"/>
      <c r="D4087" s="59"/>
      <c r="E4087" s="116"/>
      <c r="F4087" s="120"/>
      <c r="G4087" s="120"/>
      <c r="H4087" s="120"/>
      <c r="I4087" s="60"/>
      <c r="J4087" s="116"/>
      <c r="K4087" s="213"/>
      <c r="L4087" s="120"/>
      <c r="M4087" s="120"/>
      <c r="N4087" s="167"/>
      <c r="O4087" s="120"/>
      <c r="P4087" s="120"/>
      <c r="Q4087" s="120"/>
      <c r="R4087" s="120"/>
      <c r="S4087" s="120"/>
      <c r="T4087" s="221"/>
      <c r="U4087" s="89"/>
      <c r="V4087" s="61"/>
      <c r="W4087" s="92" t="s">
        <v>1030</v>
      </c>
      <c r="X4087" s="93" t="s">
        <v>29</v>
      </c>
      <c r="Y4087" s="93" t="s">
        <v>93</v>
      </c>
      <c r="Z4087" s="134">
        <f>VLOOKUP(W4087,Sheet2!$B:$D,3,FALSE)</f>
        <v>23</v>
      </c>
      <c r="AA4087" s="93">
        <v>50</v>
      </c>
      <c r="AB4087" s="93">
        <f>AD4087/AC4082</f>
        <v>0.45999999999999996</v>
      </c>
      <c r="AC4087" s="93">
        <f>AC4082/AA4087</f>
        <v>0.10201199999999971</v>
      </c>
      <c r="AD4087" s="94">
        <f t="shared" ref="AD4087:AD4091" si="3026">AC4087*Z4087</f>
        <v>2.3462759999999934</v>
      </c>
      <c r="AE4087" s="190"/>
      <c r="AF4087" s="191"/>
      <c r="AG4087" s="191"/>
      <c r="AH4087" s="191"/>
      <c r="AI4087" s="186"/>
      <c r="AK4087" s="171"/>
    </row>
    <row r="4088" spans="1:41" s="102" customFormat="1" ht="19.899999999999999" customHeight="1" x14ac:dyDescent="0.25">
      <c r="A4088" s="45"/>
      <c r="B4088" s="59"/>
      <c r="C4088" s="137"/>
      <c r="D4088" s="59"/>
      <c r="E4088" s="116"/>
      <c r="F4088" s="120"/>
      <c r="G4088" s="120"/>
      <c r="H4088" s="120"/>
      <c r="I4088" s="60"/>
      <c r="J4088" s="116"/>
      <c r="K4088" s="213"/>
      <c r="L4088" s="120"/>
      <c r="M4088" s="120"/>
      <c r="N4088" s="167"/>
      <c r="O4088" s="120"/>
      <c r="P4088" s="120"/>
      <c r="Q4088" s="120"/>
      <c r="R4088" s="120"/>
      <c r="S4088" s="120"/>
      <c r="T4088" s="221"/>
      <c r="U4088" s="89"/>
      <c r="V4088" s="61"/>
      <c r="W4088" s="92" t="s">
        <v>65</v>
      </c>
      <c r="X4088" s="93" t="s">
        <v>30</v>
      </c>
      <c r="Y4088" s="93" t="s">
        <v>1011</v>
      </c>
      <c r="Z4088" s="134">
        <f>VLOOKUP(W4088,Sheet2!$B:$D,3,FALSE)</f>
        <v>1.76</v>
      </c>
      <c r="AA4088" s="93">
        <f>AA4087/3</f>
        <v>16.666666666666668</v>
      </c>
      <c r="AB4088" s="93">
        <f>AD4088/AC4082</f>
        <v>0.10559999999999999</v>
      </c>
      <c r="AC4088" s="93">
        <f>AC4082/AA4088</f>
        <v>0.30603599999999914</v>
      </c>
      <c r="AD4088" s="94">
        <f t="shared" si="3026"/>
        <v>0.53862335999999844</v>
      </c>
      <c r="AE4088" s="190"/>
      <c r="AF4088" s="191"/>
      <c r="AG4088" s="191"/>
      <c r="AH4088" s="191"/>
      <c r="AI4088" s="186"/>
      <c r="AK4088" s="171"/>
    </row>
    <row r="4089" spans="1:41" s="102" customFormat="1" ht="19.899999999999999" customHeight="1" x14ac:dyDescent="0.25">
      <c r="A4089" s="45"/>
      <c r="B4089" s="59"/>
      <c r="C4089" s="137"/>
      <c r="D4089" s="59"/>
      <c r="E4089" s="116"/>
      <c r="F4089" s="120"/>
      <c r="G4089" s="120"/>
      <c r="H4089" s="120"/>
      <c r="I4089" s="60"/>
      <c r="J4089" s="116"/>
      <c r="K4089" s="213"/>
      <c r="L4089" s="120"/>
      <c r="M4089" s="120"/>
      <c r="N4089" s="167"/>
      <c r="O4089" s="120"/>
      <c r="P4089" s="120"/>
      <c r="Q4089" s="120"/>
      <c r="R4089" s="120"/>
      <c r="S4089" s="120"/>
      <c r="T4089" s="221"/>
      <c r="U4089" s="89"/>
      <c r="V4089" s="61"/>
      <c r="W4089" s="92" t="s">
        <v>148</v>
      </c>
      <c r="X4089" s="93" t="s">
        <v>29</v>
      </c>
      <c r="Y4089" s="93" t="s">
        <v>93</v>
      </c>
      <c r="Z4089" s="134">
        <f>VLOOKUP(W4089,Sheet2!$B:$D,3,FALSE)</f>
        <v>48</v>
      </c>
      <c r="AA4089" s="93">
        <f>AA4083</f>
        <v>6.7226890756302522</v>
      </c>
      <c r="AB4089" s="93">
        <f>AD4089/AC4082</f>
        <v>7.1400000000000006</v>
      </c>
      <c r="AC4089" s="93">
        <f>AC4082/AA4089</f>
        <v>0.75871424999999793</v>
      </c>
      <c r="AD4089" s="94">
        <f t="shared" si="3026"/>
        <v>36.4182839999999</v>
      </c>
      <c r="AE4089" s="190"/>
      <c r="AF4089" s="191"/>
      <c r="AG4089" s="191"/>
      <c r="AH4089" s="191"/>
      <c r="AI4089" s="186"/>
      <c r="AK4089" s="171"/>
    </row>
    <row r="4090" spans="1:41" s="102" customFormat="1" ht="19.899999999999999" customHeight="1" x14ac:dyDescent="0.25">
      <c r="A4090" s="45"/>
      <c r="B4090" s="59"/>
      <c r="C4090" s="137"/>
      <c r="D4090" s="59"/>
      <c r="E4090" s="116"/>
      <c r="F4090" s="120"/>
      <c r="G4090" s="120"/>
      <c r="H4090" s="120"/>
      <c r="I4090" s="60"/>
      <c r="J4090" s="116"/>
      <c r="K4090" s="213"/>
      <c r="L4090" s="120"/>
      <c r="M4090" s="120"/>
      <c r="N4090" s="167"/>
      <c r="O4090" s="120"/>
      <c r="P4090" s="120"/>
      <c r="Q4090" s="120"/>
      <c r="R4090" s="120"/>
      <c r="S4090" s="120"/>
      <c r="T4090" s="221"/>
      <c r="U4090" s="89"/>
      <c r="V4090" s="61"/>
      <c r="W4090" s="92" t="s">
        <v>65</v>
      </c>
      <c r="X4090" s="93" t="s">
        <v>30</v>
      </c>
      <c r="Y4090" s="93" t="s">
        <v>1011</v>
      </c>
      <c r="Z4090" s="134">
        <f>VLOOKUP(W4090,Sheet2!$B:$D,3,FALSE)</f>
        <v>1.76</v>
      </c>
      <c r="AA4090" s="93">
        <f>AA4089/10</f>
        <v>0.67226890756302526</v>
      </c>
      <c r="AB4090" s="93">
        <f>AD4090/AC4082</f>
        <v>2.6179999999999999</v>
      </c>
      <c r="AC4090" s="93">
        <f>AC4082/AA4090</f>
        <v>7.5871424999999784</v>
      </c>
      <c r="AD4090" s="94">
        <f t="shared" si="3026"/>
        <v>13.353370799999961</v>
      </c>
      <c r="AE4090" s="190"/>
      <c r="AF4090" s="191"/>
      <c r="AG4090" s="191"/>
      <c r="AH4090" s="191"/>
      <c r="AI4090" s="186"/>
      <c r="AK4090" s="171"/>
    </row>
    <row r="4091" spans="1:41" s="102" customFormat="1" ht="19.899999999999999" customHeight="1" x14ac:dyDescent="0.25">
      <c r="A4091" s="45"/>
      <c r="B4091" s="59"/>
      <c r="C4091" s="137"/>
      <c r="D4091" s="59"/>
      <c r="E4091" s="116"/>
      <c r="F4091" s="120"/>
      <c r="G4091" s="120"/>
      <c r="H4091" s="120"/>
      <c r="I4091" s="60"/>
      <c r="J4091" s="116"/>
      <c r="K4091" s="213"/>
      <c r="L4091" s="120"/>
      <c r="M4091" s="120"/>
      <c r="N4091" s="167"/>
      <c r="O4091" s="120"/>
      <c r="P4091" s="120"/>
      <c r="Q4091" s="120"/>
      <c r="R4091" s="120"/>
      <c r="S4091" s="120"/>
      <c r="T4091" s="221"/>
      <c r="U4091" s="89"/>
      <c r="V4091" s="61"/>
      <c r="W4091" s="92" t="s">
        <v>1049</v>
      </c>
      <c r="X4091" s="93" t="s">
        <v>30</v>
      </c>
      <c r="Y4091" s="93" t="s">
        <v>68</v>
      </c>
      <c r="Z4091" s="134">
        <f>VLOOKUP(W4091,Sheet2!$B:$D,3,FALSE)</f>
        <v>60</v>
      </c>
      <c r="AA4091" s="93">
        <v>1</v>
      </c>
      <c r="AB4091" s="93">
        <f>AD4091/AC4082</f>
        <v>60</v>
      </c>
      <c r="AC4091" s="93">
        <f>AC4082/AA4091</f>
        <v>5.1005999999999858</v>
      </c>
      <c r="AD4091" s="94">
        <f t="shared" si="3026"/>
        <v>306.03599999999915</v>
      </c>
      <c r="AE4091" s="190"/>
      <c r="AF4091" s="191"/>
      <c r="AG4091" s="191"/>
      <c r="AH4091" s="191"/>
      <c r="AI4091" s="186"/>
      <c r="AK4091" s="171"/>
    </row>
    <row r="4092" spans="1:41" s="103" customFormat="1" ht="19.899999999999999" customHeight="1" x14ac:dyDescent="0.25">
      <c r="A4092" s="51"/>
      <c r="B4092" s="52"/>
      <c r="C4092" s="165"/>
      <c r="D4092" s="52"/>
      <c r="E4092" s="115"/>
      <c r="F4092" s="58"/>
      <c r="G4092" s="58"/>
      <c r="H4092" s="58"/>
      <c r="I4092" s="55"/>
      <c r="J4092" s="113">
        <f>J4081</f>
        <v>5.1005999999999858</v>
      </c>
      <c r="K4092" s="212">
        <f>K4081</f>
        <v>5.1005999999999858</v>
      </c>
      <c r="L4092" s="58"/>
      <c r="M4092" s="58">
        <f>K4092-L4092</f>
        <v>5.1005999999999858</v>
      </c>
      <c r="N4092" s="166"/>
      <c r="O4092" s="58"/>
      <c r="P4092" s="58"/>
      <c r="Q4092" s="58"/>
      <c r="R4092" s="58"/>
      <c r="S4092" s="58"/>
      <c r="T4092" s="220"/>
      <c r="U4092" s="88"/>
      <c r="V4092" s="56"/>
      <c r="W4092" s="57" t="s">
        <v>1036</v>
      </c>
      <c r="X4092" s="53"/>
      <c r="Y4092" s="91" t="s">
        <v>68</v>
      </c>
      <c r="Z4092" s="136">
        <f>AD4092/AC4092</f>
        <v>518.58333333333337</v>
      </c>
      <c r="AA4092" s="58"/>
      <c r="AB4092" s="53">
        <f>AD4092/AC4092</f>
        <v>518.58333333333337</v>
      </c>
      <c r="AC4092" s="53">
        <f>M4092+$AE$10</f>
        <v>5.1005999999999858</v>
      </c>
      <c r="AD4092" s="54">
        <f>SUM(AD4093:AD4098)</f>
        <v>2645.0861499999928</v>
      </c>
      <c r="AE4092" s="184">
        <f>SUMIFS($AD$37:$AD$12971,$V$37:$V$12971,$V4092,$X$37:$X$12971,AE$13)</f>
        <v>0</v>
      </c>
      <c r="AF4092" s="185">
        <f>SUMIFS($AD$37:$AD$12971,$V$37:$V$12971,$V4092,$X$37:$X$12971,AF$13)</f>
        <v>0</v>
      </c>
      <c r="AG4092" s="185">
        <f>SUMIFS($AD$37:$AD$12971,$V$37:$V$12971,$V4092,$X$37:$X$12971,AG$13)</f>
        <v>0</v>
      </c>
      <c r="AH4092" s="187">
        <f>SUMIFS($AD$37:$AD$12971,$V$37:$V$12971,$V4092,$X$37:$X$12971,AH$13)</f>
        <v>0</v>
      </c>
      <c r="AI4092" s="161">
        <f t="shared" ref="AI4092" si="3027">SUM(AE4092:AH4092)</f>
        <v>0</v>
      </c>
      <c r="AK4092" s="172"/>
    </row>
    <row r="4093" spans="1:41" s="102" customFormat="1" ht="19.899999999999999" customHeight="1" x14ac:dyDescent="0.25">
      <c r="A4093" s="45"/>
      <c r="B4093" s="59"/>
      <c r="C4093" s="137"/>
      <c r="D4093" s="59"/>
      <c r="E4093" s="116"/>
      <c r="F4093" s="120"/>
      <c r="G4093" s="120"/>
      <c r="H4093" s="120"/>
      <c r="I4093" s="60"/>
      <c r="J4093" s="116"/>
      <c r="K4093" s="213"/>
      <c r="L4093" s="120"/>
      <c r="M4093" s="120"/>
      <c r="N4093" s="167"/>
      <c r="O4093" s="120"/>
      <c r="P4093" s="120"/>
      <c r="Q4093" s="120"/>
      <c r="R4093" s="120"/>
      <c r="S4093" s="120"/>
      <c r="T4093" s="221"/>
      <c r="U4093" s="89"/>
      <c r="V4093" s="61"/>
      <c r="W4093" s="92" t="s">
        <v>1059</v>
      </c>
      <c r="X4093" s="93" t="s">
        <v>30</v>
      </c>
      <c r="Y4093" s="93" t="s">
        <v>68</v>
      </c>
      <c r="Z4093" s="134">
        <f>VLOOKUP(W4093,Sheet2!$B:$D,3,FALSE)</f>
        <v>350</v>
      </c>
      <c r="AA4093" s="93">
        <v>1</v>
      </c>
      <c r="AB4093" s="93">
        <f>AD4093/AC4092</f>
        <v>350</v>
      </c>
      <c r="AC4093" s="93">
        <f>AC4092/AA4093</f>
        <v>5.1005999999999858</v>
      </c>
      <c r="AD4093" s="94">
        <f t="shared" ref="AD4093" si="3028">AC4093*Z4093</f>
        <v>1785.209999999995</v>
      </c>
      <c r="AE4093" s="190"/>
      <c r="AF4093" s="191"/>
      <c r="AG4093" s="191"/>
      <c r="AH4093" s="191"/>
      <c r="AI4093" s="186"/>
      <c r="AK4093" s="171"/>
    </row>
    <row r="4094" spans="1:41" s="102" customFormat="1" ht="19.899999999999999" customHeight="1" x14ac:dyDescent="0.25">
      <c r="A4094" s="45"/>
      <c r="B4094" s="59"/>
      <c r="C4094" s="137"/>
      <c r="D4094" s="59"/>
      <c r="E4094" s="116"/>
      <c r="F4094" s="120"/>
      <c r="G4094" s="120"/>
      <c r="H4094" s="120"/>
      <c r="I4094" s="60"/>
      <c r="J4094" s="116"/>
      <c r="K4094" s="213"/>
      <c r="L4094" s="120"/>
      <c r="M4094" s="120"/>
      <c r="N4094" s="167"/>
      <c r="O4094" s="120"/>
      <c r="P4094" s="120"/>
      <c r="Q4094" s="120"/>
      <c r="R4094" s="120"/>
      <c r="S4094" s="120"/>
      <c r="T4094" s="221"/>
      <c r="U4094" s="89"/>
      <c r="V4094" s="61"/>
      <c r="W4094" s="92" t="s">
        <v>1066</v>
      </c>
      <c r="X4094" s="93" t="s">
        <v>30</v>
      </c>
      <c r="Y4094" s="93" t="s">
        <v>68</v>
      </c>
      <c r="Z4094" s="134">
        <f>VLOOKUP(W4094,Sheet2!$B:$D,3,FALSE)</f>
        <v>35</v>
      </c>
      <c r="AA4094" s="93">
        <v>1</v>
      </c>
      <c r="AB4094" s="93">
        <f>AD4094/AC4092</f>
        <v>35</v>
      </c>
      <c r="AC4094" s="93">
        <f>AC4092/AA4094</f>
        <v>5.1005999999999858</v>
      </c>
      <c r="AD4094" s="94">
        <f>AC4094*Z4094</f>
        <v>178.5209999999995</v>
      </c>
      <c r="AE4094" s="190"/>
      <c r="AF4094" s="191"/>
      <c r="AG4094" s="191"/>
      <c r="AH4094" s="191"/>
      <c r="AI4094" s="186"/>
      <c r="AK4094" s="171"/>
    </row>
    <row r="4095" spans="1:41" s="102" customFormat="1" ht="19.899999999999999" customHeight="1" x14ac:dyDescent="0.25">
      <c r="A4095" s="45"/>
      <c r="B4095" s="59"/>
      <c r="C4095" s="137"/>
      <c r="D4095" s="59"/>
      <c r="E4095" s="116"/>
      <c r="F4095" s="120"/>
      <c r="G4095" s="120"/>
      <c r="H4095" s="120"/>
      <c r="I4095" s="60"/>
      <c r="J4095" s="116"/>
      <c r="K4095" s="213"/>
      <c r="L4095" s="120"/>
      <c r="M4095" s="120"/>
      <c r="N4095" s="167"/>
      <c r="O4095" s="120"/>
      <c r="P4095" s="120"/>
      <c r="Q4095" s="120"/>
      <c r="R4095" s="120"/>
      <c r="S4095" s="120"/>
      <c r="T4095" s="221"/>
      <c r="U4095" s="89"/>
      <c r="V4095" s="61"/>
      <c r="W4095" s="92" t="s">
        <v>1073</v>
      </c>
      <c r="X4095" s="93" t="s">
        <v>32</v>
      </c>
      <c r="Y4095" s="93" t="s">
        <v>68</v>
      </c>
      <c r="Z4095" s="134">
        <f>VLOOKUP(W4095,Sheet2!$B:$D,3,FALSE)</f>
        <v>65</v>
      </c>
      <c r="AA4095" s="93">
        <v>1</v>
      </c>
      <c r="AB4095" s="93">
        <f>AD4095/AC4092</f>
        <v>65</v>
      </c>
      <c r="AC4095" s="93">
        <f>AC4092/AA4095</f>
        <v>5.1005999999999858</v>
      </c>
      <c r="AD4095" s="94">
        <f>AC4095*Z4095</f>
        <v>331.53899999999908</v>
      </c>
      <c r="AE4095" s="190"/>
      <c r="AF4095" s="191"/>
      <c r="AG4095" s="191"/>
      <c r="AH4095" s="191"/>
      <c r="AI4095" s="186"/>
      <c r="AK4095" s="171"/>
    </row>
    <row r="4096" spans="1:41" s="102" customFormat="1" ht="19.899999999999999" customHeight="1" x14ac:dyDescent="0.25">
      <c r="A4096" s="45"/>
      <c r="B4096" s="59"/>
      <c r="C4096" s="137"/>
      <c r="D4096" s="59"/>
      <c r="E4096" s="116"/>
      <c r="F4096" s="120"/>
      <c r="G4096" s="120"/>
      <c r="H4096" s="120"/>
      <c r="I4096" s="60"/>
      <c r="J4096" s="116"/>
      <c r="K4096" s="213"/>
      <c r="L4096" s="120"/>
      <c r="M4096" s="120"/>
      <c r="N4096" s="167"/>
      <c r="O4096" s="120"/>
      <c r="P4096" s="120"/>
      <c r="Q4096" s="120"/>
      <c r="R4096" s="120"/>
      <c r="S4096" s="120"/>
      <c r="T4096" s="221"/>
      <c r="U4096" s="89"/>
      <c r="V4096" s="61"/>
      <c r="W4096" s="92" t="s">
        <v>1032</v>
      </c>
      <c r="X4096" s="93" t="s">
        <v>30</v>
      </c>
      <c r="Y4096" s="93" t="s">
        <v>66</v>
      </c>
      <c r="Z4096" s="134">
        <f>VLOOKUP(W4096,Sheet2!$B:$D,3,FALSE)</f>
        <v>250</v>
      </c>
      <c r="AA4096" s="93">
        <f>1/(1.7*0.1)</f>
        <v>5.8823529411764701</v>
      </c>
      <c r="AB4096" s="93">
        <f>AD4096/AC4092</f>
        <v>42.500000000000007</v>
      </c>
      <c r="AC4096" s="93">
        <f>AC4092/AA4096</f>
        <v>0.86710199999999771</v>
      </c>
      <c r="AD4096" s="94">
        <f>AC4096*Z4096</f>
        <v>216.77549999999943</v>
      </c>
      <c r="AE4096" s="190"/>
      <c r="AF4096" s="191"/>
      <c r="AG4096" s="191"/>
      <c r="AH4096" s="191"/>
      <c r="AI4096" s="186"/>
      <c r="AK4096" s="171"/>
    </row>
    <row r="4097" spans="1:41" s="102" customFormat="1" ht="19.899999999999999" customHeight="1" x14ac:dyDescent="0.25">
      <c r="A4097" s="45"/>
      <c r="B4097" s="59"/>
      <c r="C4097" s="137"/>
      <c r="D4097" s="59"/>
      <c r="E4097" s="116"/>
      <c r="F4097" s="120"/>
      <c r="G4097" s="120"/>
      <c r="H4097" s="120"/>
      <c r="I4097" s="60"/>
      <c r="J4097" s="116"/>
      <c r="K4097" s="213"/>
      <c r="L4097" s="120"/>
      <c r="M4097" s="120"/>
      <c r="N4097" s="167"/>
      <c r="O4097" s="120"/>
      <c r="P4097" s="120"/>
      <c r="Q4097" s="120"/>
      <c r="R4097" s="120"/>
      <c r="S4097" s="120"/>
      <c r="T4097" s="221"/>
      <c r="U4097" s="89"/>
      <c r="V4097" s="61"/>
      <c r="W4097" s="92" t="s">
        <v>1035</v>
      </c>
      <c r="X4097" s="93" t="s">
        <v>32</v>
      </c>
      <c r="Y4097" s="93" t="s">
        <v>66</v>
      </c>
      <c r="Z4097" s="134">
        <f>VLOOKUP(W4097,Sheet2!$B:$D,3,FALSE)</f>
        <v>150</v>
      </c>
      <c r="AA4097" s="93">
        <f>AA4096</f>
        <v>5.8823529411764701</v>
      </c>
      <c r="AB4097" s="93">
        <f>AD4097/AC4092</f>
        <v>25.500000000000007</v>
      </c>
      <c r="AC4097" s="93">
        <f>AC4092/AA4097</f>
        <v>0.86710199999999771</v>
      </c>
      <c r="AD4097" s="94">
        <f t="shared" ref="AD4097:AD4098" si="3029">AC4097*Z4097</f>
        <v>130.06529999999967</v>
      </c>
      <c r="AE4097" s="190"/>
      <c r="AF4097" s="191"/>
      <c r="AG4097" s="191"/>
      <c r="AH4097" s="191"/>
      <c r="AI4097" s="186"/>
      <c r="AK4097" s="171"/>
    </row>
    <row r="4098" spans="1:41" s="102" customFormat="1" ht="19.899999999999999" customHeight="1" x14ac:dyDescent="0.25">
      <c r="A4098" s="45"/>
      <c r="B4098" s="59"/>
      <c r="C4098" s="137"/>
      <c r="D4098" s="59"/>
      <c r="E4098" s="116"/>
      <c r="F4098" s="120"/>
      <c r="G4098" s="120"/>
      <c r="H4098" s="120"/>
      <c r="I4098" s="60"/>
      <c r="J4098" s="116"/>
      <c r="K4098" s="213"/>
      <c r="L4098" s="120"/>
      <c r="M4098" s="120"/>
      <c r="N4098" s="167"/>
      <c r="O4098" s="120"/>
      <c r="P4098" s="120"/>
      <c r="Q4098" s="120"/>
      <c r="R4098" s="120"/>
      <c r="S4098" s="120"/>
      <c r="T4098" s="221"/>
      <c r="U4098" s="89"/>
      <c r="V4098" s="61"/>
      <c r="W4098" s="92" t="s">
        <v>1037</v>
      </c>
      <c r="X4098" s="93" t="s">
        <v>30</v>
      </c>
      <c r="Y4098" s="93" t="s">
        <v>1038</v>
      </c>
      <c r="Z4098" s="134">
        <f>VLOOKUP(W4098,Sheet2!$B:$D,3,FALSE)</f>
        <v>175</v>
      </c>
      <c r="AA4098" s="93">
        <v>300</v>
      </c>
      <c r="AB4098" s="93">
        <f>AD4098/AC4092</f>
        <v>0.58333333333333326</v>
      </c>
      <c r="AC4098" s="93">
        <f>AC4092/AA4098</f>
        <v>1.7001999999999951E-2</v>
      </c>
      <c r="AD4098" s="94">
        <f t="shared" si="3029"/>
        <v>2.9753499999999913</v>
      </c>
      <c r="AE4098" s="190"/>
      <c r="AF4098" s="191"/>
      <c r="AG4098" s="191"/>
      <c r="AH4098" s="191"/>
      <c r="AI4098" s="186"/>
      <c r="AK4098" s="171"/>
    </row>
    <row r="4099" spans="1:41" s="103" customFormat="1" ht="19.899999999999999" customHeight="1" x14ac:dyDescent="0.25">
      <c r="A4099" s="51"/>
      <c r="B4099" s="52"/>
      <c r="C4099" s="165"/>
      <c r="D4099" s="52"/>
      <c r="E4099" s="115"/>
      <c r="F4099" s="58"/>
      <c r="G4099" s="58"/>
      <c r="H4099" s="58"/>
      <c r="I4099" s="55"/>
      <c r="J4099" s="113">
        <f>J4081</f>
        <v>5.1005999999999858</v>
      </c>
      <c r="K4099" s="212">
        <f>K4081</f>
        <v>5.1005999999999858</v>
      </c>
      <c r="L4099" s="58"/>
      <c r="M4099" s="58">
        <f>K4099-L4099</f>
        <v>5.1005999999999858</v>
      </c>
      <c r="N4099" s="166"/>
      <c r="O4099" s="58"/>
      <c r="P4099" s="58"/>
      <c r="Q4099" s="58"/>
      <c r="R4099" s="58"/>
      <c r="S4099" s="58"/>
      <c r="T4099" s="220"/>
      <c r="U4099" s="88"/>
      <c r="V4099" s="56"/>
      <c r="W4099" s="57" t="s">
        <v>1040</v>
      </c>
      <c r="X4099" s="53"/>
      <c r="Y4099" s="91" t="s">
        <v>68</v>
      </c>
      <c r="Z4099" s="136">
        <f>AD4099/AC4099</f>
        <v>5</v>
      </c>
      <c r="AA4099" s="58"/>
      <c r="AB4099" s="53">
        <f>AD4099/AC4099</f>
        <v>5</v>
      </c>
      <c r="AC4099" s="53">
        <f>M4099+$AE$10</f>
        <v>5.1005999999999858</v>
      </c>
      <c r="AD4099" s="54">
        <f>SUM(AD4100)</f>
        <v>25.502999999999929</v>
      </c>
      <c r="AE4099" s="184">
        <f>SUMIFS($AD$37:$AD$12971,$V$37:$V$12971,$V4099,$X$37:$X$12971,AE$13)</f>
        <v>0</v>
      </c>
      <c r="AF4099" s="185">
        <f>SUMIFS($AD$37:$AD$12971,$V$37:$V$12971,$V4099,$X$37:$X$12971,AF$13)</f>
        <v>0</v>
      </c>
      <c r="AG4099" s="185">
        <f>SUMIFS($AD$37:$AD$12971,$V$37:$V$12971,$V4099,$X$37:$X$12971,AG$13)</f>
        <v>0</v>
      </c>
      <c r="AH4099" s="187">
        <f>SUMIFS($AD$37:$AD$12971,$V$37:$V$12971,$V4099,$X$37:$X$12971,AH$13)</f>
        <v>0</v>
      </c>
      <c r="AI4099" s="161">
        <f t="shared" ref="AI4099" si="3030">SUM(AE4099:AH4099)</f>
        <v>0</v>
      </c>
      <c r="AK4099" s="172"/>
    </row>
    <row r="4100" spans="1:41" s="102" customFormat="1" ht="19.899999999999999" customHeight="1" x14ac:dyDescent="0.25">
      <c r="A4100" s="45"/>
      <c r="B4100" s="59"/>
      <c r="C4100" s="137"/>
      <c r="D4100" s="59"/>
      <c r="E4100" s="116"/>
      <c r="F4100" s="120"/>
      <c r="G4100" s="120"/>
      <c r="H4100" s="120"/>
      <c r="I4100" s="60"/>
      <c r="J4100" s="116"/>
      <c r="K4100" s="213"/>
      <c r="L4100" s="120"/>
      <c r="M4100" s="120"/>
      <c r="N4100" s="167"/>
      <c r="O4100" s="120"/>
      <c r="P4100" s="120"/>
      <c r="Q4100" s="120"/>
      <c r="R4100" s="120"/>
      <c r="S4100" s="120"/>
      <c r="T4100" s="221"/>
      <c r="U4100" s="89"/>
      <c r="V4100" s="61"/>
      <c r="W4100" s="92" t="s">
        <v>1039</v>
      </c>
      <c r="X4100" s="93" t="s">
        <v>32</v>
      </c>
      <c r="Y4100" s="93" t="s">
        <v>68</v>
      </c>
      <c r="Z4100" s="134">
        <f>VLOOKUP(W4100,Sheet2!$B:$D,3,FALSE)</f>
        <v>5</v>
      </c>
      <c r="AA4100" s="93">
        <v>1</v>
      </c>
      <c r="AB4100" s="93">
        <f>AD4100/AC4099</f>
        <v>5</v>
      </c>
      <c r="AC4100" s="93">
        <f>AC4099/AA4100</f>
        <v>5.1005999999999858</v>
      </c>
      <c r="AD4100" s="94">
        <f t="shared" ref="AD4100" si="3031">AC4100*Z4100</f>
        <v>25.502999999999929</v>
      </c>
      <c r="AE4100" s="190"/>
      <c r="AF4100" s="191"/>
      <c r="AG4100" s="191"/>
      <c r="AH4100" s="191"/>
      <c r="AI4100" s="186"/>
      <c r="AK4100" s="171"/>
    </row>
    <row r="4101" spans="1:41" s="306" customFormat="1" ht="114.75" x14ac:dyDescent="0.25">
      <c r="A4101" s="287" t="s">
        <v>491</v>
      </c>
      <c r="B4101" s="288"/>
      <c r="C4101" s="137" t="s">
        <v>1265</v>
      </c>
      <c r="D4101" s="289"/>
      <c r="E4101" s="290"/>
      <c r="F4101" s="291"/>
      <c r="G4101" s="291"/>
      <c r="H4101" s="291"/>
      <c r="I4101" s="292"/>
      <c r="J4101" s="290"/>
      <c r="K4101" s="293"/>
      <c r="L4101" s="291"/>
      <c r="M4101" s="291"/>
      <c r="N4101" s="294"/>
      <c r="O4101" s="291"/>
      <c r="P4101" s="291"/>
      <c r="Q4101" s="291"/>
      <c r="R4101" s="291"/>
      <c r="S4101" s="291"/>
      <c r="T4101" s="295"/>
      <c r="U4101" s="296"/>
      <c r="V4101" s="297"/>
      <c r="W4101" s="298"/>
      <c r="X4101" s="299"/>
      <c r="Y4101" s="300"/>
      <c r="Z4101" s="301"/>
      <c r="AA4101" s="300"/>
      <c r="AB4101" s="300"/>
      <c r="AC4101" s="300"/>
      <c r="AD4101" s="302"/>
      <c r="AE4101" s="303"/>
      <c r="AF4101" s="304"/>
      <c r="AG4101" s="304"/>
      <c r="AH4101" s="304"/>
      <c r="AI4101" s="305"/>
      <c r="AK4101" s="307"/>
    </row>
    <row r="4102" spans="1:41" ht="20.100000000000001" customHeight="1" x14ac:dyDescent="0.25">
      <c r="A4102" s="277" t="s">
        <v>491</v>
      </c>
      <c r="B4102" s="278"/>
      <c r="C4102" s="64" t="s">
        <v>1184</v>
      </c>
      <c r="D4102" s="46" t="s">
        <v>97</v>
      </c>
      <c r="E4102" s="114">
        <v>160.81674999999984</v>
      </c>
      <c r="F4102" s="44">
        <v>481</v>
      </c>
      <c r="G4102" s="44">
        <f t="shared" si="2434"/>
        <v>77352.856749999919</v>
      </c>
      <c r="H4102" s="44">
        <f t="shared" si="2435"/>
        <v>238.50510588235289</v>
      </c>
      <c r="I4102" s="43">
        <f t="shared" si="2436"/>
        <v>38355.615986405835</v>
      </c>
      <c r="J4102" s="112">
        <f t="shared" si="2437"/>
        <v>160.81674999999984</v>
      </c>
      <c r="K4102" s="211">
        <f t="shared" si="2438"/>
        <v>160.81674999999984</v>
      </c>
      <c r="L4102" s="44"/>
      <c r="M4102" s="44">
        <f t="shared" si="2458"/>
        <v>160.81674999999984</v>
      </c>
      <c r="N4102" s="173">
        <f t="shared" si="2439"/>
        <v>1</v>
      </c>
      <c r="O4102" s="44">
        <f t="shared" si="2440"/>
        <v>481</v>
      </c>
      <c r="P4102" s="44">
        <f t="shared" si="2441"/>
        <v>77352.856749999919</v>
      </c>
      <c r="Q4102" s="44">
        <f t="shared" si="2442"/>
        <v>238.50510588235289</v>
      </c>
      <c r="R4102" s="44">
        <f t="shared" si="2459"/>
        <v>38355.615986405835</v>
      </c>
      <c r="S4102" s="123"/>
      <c r="T4102" s="219">
        <f t="shared" si="2460"/>
        <v>38355.615986405835</v>
      </c>
      <c r="U4102" s="87"/>
      <c r="V4102" s="47"/>
      <c r="W4102" s="48"/>
      <c r="X4102" s="48"/>
      <c r="Y4102" s="48"/>
      <c r="Z4102" s="135"/>
      <c r="AA4102" s="49"/>
      <c r="AB4102" s="50">
        <f t="shared" si="2443"/>
        <v>238.50510588235289</v>
      </c>
      <c r="AC4102" s="42">
        <f t="shared" si="2461"/>
        <v>160.81674999999984</v>
      </c>
      <c r="AD4102" s="90">
        <f>AD4103+AD4112+AD4118</f>
        <v>38355.615986405835</v>
      </c>
      <c r="AE4102" s="188">
        <f t="shared" ref="AE4102:AH4102" si="3032">AE4103+AE4112+AE4118</f>
        <v>0</v>
      </c>
      <c r="AF4102" s="189">
        <f t="shared" si="3032"/>
        <v>0</v>
      </c>
      <c r="AG4102" s="189">
        <f t="shared" si="3032"/>
        <v>0</v>
      </c>
      <c r="AH4102" s="189">
        <f t="shared" si="3032"/>
        <v>0</v>
      </c>
      <c r="AI4102" s="161">
        <f t="shared" ref="AI4102" si="3033">SUM(AE4102:AH4102)</f>
        <v>0</v>
      </c>
      <c r="AK4102" s="169">
        <v>5</v>
      </c>
      <c r="AO4102" s="19" t="s">
        <v>63</v>
      </c>
    </row>
    <row r="4103" spans="1:41" s="103" customFormat="1" ht="19.899999999999999" customHeight="1" x14ac:dyDescent="0.25">
      <c r="A4103" s="51"/>
      <c r="B4103" s="52"/>
      <c r="C4103" s="165"/>
      <c r="D4103" s="52"/>
      <c r="E4103" s="115"/>
      <c r="F4103" s="58"/>
      <c r="G4103" s="58"/>
      <c r="H4103" s="58"/>
      <c r="I4103" s="55"/>
      <c r="J4103" s="113">
        <f>J4102</f>
        <v>160.81674999999984</v>
      </c>
      <c r="K4103" s="212">
        <f>K4102</f>
        <v>160.81674999999984</v>
      </c>
      <c r="L4103" s="58"/>
      <c r="M4103" s="58">
        <f>K4103-L4103</f>
        <v>160.81674999999984</v>
      </c>
      <c r="N4103" s="166"/>
      <c r="O4103" s="58"/>
      <c r="P4103" s="58"/>
      <c r="Q4103" s="58"/>
      <c r="R4103" s="58"/>
      <c r="S4103" s="58"/>
      <c r="T4103" s="220"/>
      <c r="U4103" s="88"/>
      <c r="V4103" s="56"/>
      <c r="W4103" s="57" t="s">
        <v>1047</v>
      </c>
      <c r="X4103" s="53"/>
      <c r="Y4103" s="91" t="s">
        <v>68</v>
      </c>
      <c r="Z4103" s="136">
        <f>AD4103/AC4103</f>
        <v>9.9217725490196056</v>
      </c>
      <c r="AA4103" s="58"/>
      <c r="AB4103" s="53">
        <f>AD4103/AC4103</f>
        <v>9.9217725490196056</v>
      </c>
      <c r="AC4103" s="53">
        <f>M4103+$AE$10</f>
        <v>160.81674999999984</v>
      </c>
      <c r="AD4103" s="54">
        <f>SUM(AD4104:AD4111)</f>
        <v>1595.5872155725472</v>
      </c>
      <c r="AE4103" s="184">
        <f>SUMIFS($AD$37:$AD$12971,$V$37:$V$12971,$V4103,$X$37:$X$12971,AE$13)</f>
        <v>0</v>
      </c>
      <c r="AF4103" s="185">
        <f>SUMIFS($AD$37:$AD$12971,$V$37:$V$12971,$V4103,$X$37:$X$12971,AF$13)</f>
        <v>0</v>
      </c>
      <c r="AG4103" s="185">
        <f>SUMIFS($AD$37:$AD$12971,$V$37:$V$12971,$V4103,$X$37:$X$12971,AG$13)</f>
        <v>0</v>
      </c>
      <c r="AH4103" s="187">
        <f>SUMIFS($AD$37:$AD$12971,$V$37:$V$12971,$V4103,$X$37:$X$12971,AH$13)</f>
        <v>0</v>
      </c>
      <c r="AI4103" s="161">
        <f t="shared" ref="AI4103" si="3034">SUM(AE4103:AH4103)</f>
        <v>0</v>
      </c>
      <c r="AK4103" s="172"/>
    </row>
    <row r="4104" spans="1:41" s="102" customFormat="1" ht="19.899999999999999" customHeight="1" x14ac:dyDescent="0.25">
      <c r="A4104" s="45"/>
      <c r="B4104" s="59"/>
      <c r="C4104" s="137"/>
      <c r="D4104" s="59"/>
      <c r="E4104" s="116"/>
      <c r="F4104" s="120"/>
      <c r="G4104" s="120"/>
      <c r="H4104" s="120"/>
      <c r="I4104" s="60"/>
      <c r="J4104" s="116"/>
      <c r="K4104" s="213"/>
      <c r="L4104" s="120"/>
      <c r="M4104" s="120"/>
      <c r="N4104" s="167"/>
      <c r="O4104" s="120"/>
      <c r="P4104" s="120"/>
      <c r="Q4104" s="120"/>
      <c r="R4104" s="120"/>
      <c r="S4104" s="120"/>
      <c r="T4104" s="221"/>
      <c r="U4104" s="89"/>
      <c r="V4104" s="61"/>
      <c r="W4104" s="92" t="s">
        <v>129</v>
      </c>
      <c r="X4104" s="93" t="s">
        <v>29</v>
      </c>
      <c r="Y4104" s="93" t="s">
        <v>93</v>
      </c>
      <c r="Z4104" s="134">
        <f>VLOOKUP(W4104,Sheet2!$B:$D,3,FALSE)</f>
        <v>56</v>
      </c>
      <c r="AA4104" s="93">
        <f>100/(1*2)</f>
        <v>50</v>
      </c>
      <c r="AB4104" s="93">
        <f t="shared" ref="AB4104" si="3035">AD4104/AC4103</f>
        <v>1.1199999999999999</v>
      </c>
      <c r="AC4104" s="93">
        <f>AC4103/AA4104</f>
        <v>3.2163349999999968</v>
      </c>
      <c r="AD4104" s="94">
        <f t="shared" ref="AD4104:AD4105" si="3036">AC4104*Z4104</f>
        <v>180.11475999999982</v>
      </c>
      <c r="AE4104" s="190"/>
      <c r="AF4104" s="191"/>
      <c r="AG4104" s="191"/>
      <c r="AH4104" s="191"/>
      <c r="AI4104" s="186"/>
      <c r="AK4104" s="171"/>
    </row>
    <row r="4105" spans="1:41" s="102" customFormat="1" ht="19.899999999999999" customHeight="1" x14ac:dyDescent="0.25">
      <c r="A4105" s="45"/>
      <c r="B4105" s="59"/>
      <c r="C4105" s="137"/>
      <c r="D4105" s="59"/>
      <c r="E4105" s="116"/>
      <c r="F4105" s="120"/>
      <c r="G4105" s="120"/>
      <c r="H4105" s="120"/>
      <c r="I4105" s="60"/>
      <c r="J4105" s="116"/>
      <c r="K4105" s="213"/>
      <c r="L4105" s="120"/>
      <c r="M4105" s="120"/>
      <c r="N4105" s="167"/>
      <c r="O4105" s="120"/>
      <c r="P4105" s="120"/>
      <c r="Q4105" s="120"/>
      <c r="R4105" s="120"/>
      <c r="S4105" s="120"/>
      <c r="T4105" s="221"/>
      <c r="U4105" s="89"/>
      <c r="V4105" s="61"/>
      <c r="W4105" s="92" t="s">
        <v>65</v>
      </c>
      <c r="X4105" s="93" t="s">
        <v>30</v>
      </c>
      <c r="Y4105" s="93" t="s">
        <v>1011</v>
      </c>
      <c r="Z4105" s="134">
        <f>VLOOKUP(W4105,Sheet2!$B:$D,3,FALSE)</f>
        <v>1.76</v>
      </c>
      <c r="AA4105" s="93">
        <f>AA4104/14</f>
        <v>3.5714285714285716</v>
      </c>
      <c r="AB4105" s="93">
        <f>AD4105/AC4103</f>
        <v>0.49280000000000002</v>
      </c>
      <c r="AC4105" s="93">
        <f>AC4103/AA4105</f>
        <v>45.028689999999955</v>
      </c>
      <c r="AD4105" s="94">
        <f t="shared" si="3036"/>
        <v>79.250494399999923</v>
      </c>
      <c r="AE4105" s="190"/>
      <c r="AF4105" s="191"/>
      <c r="AG4105" s="191"/>
      <c r="AH4105" s="191"/>
      <c r="AI4105" s="186"/>
      <c r="AK4105" s="171"/>
    </row>
    <row r="4106" spans="1:41" s="102" customFormat="1" ht="19.899999999999999" customHeight="1" x14ac:dyDescent="0.25">
      <c r="A4106" s="45"/>
      <c r="B4106" s="59"/>
      <c r="C4106" s="137"/>
      <c r="D4106" s="59"/>
      <c r="E4106" s="116"/>
      <c r="F4106" s="120"/>
      <c r="G4106" s="120"/>
      <c r="H4106" s="120"/>
      <c r="I4106" s="60"/>
      <c r="J4106" s="116"/>
      <c r="K4106" s="213"/>
      <c r="L4106" s="120"/>
      <c r="M4106" s="120"/>
      <c r="N4106" s="167"/>
      <c r="O4106" s="120"/>
      <c r="P4106" s="120"/>
      <c r="Q4106" s="120"/>
      <c r="R4106" s="120"/>
      <c r="S4106" s="120"/>
      <c r="T4106" s="221"/>
      <c r="U4106" s="89"/>
      <c r="V4106" s="61"/>
      <c r="W4106" s="92" t="s">
        <v>161</v>
      </c>
      <c r="X4106" s="93" t="s">
        <v>29</v>
      </c>
      <c r="Y4106" s="93" t="s">
        <v>93</v>
      </c>
      <c r="Z4106" s="134">
        <f>VLOOKUP(W4106,Sheet2!$B:$D,3,FALSE)</f>
        <v>48</v>
      </c>
      <c r="AA4106" s="93">
        <f>(16*0.85*1.5)/(1*2)</f>
        <v>10.199999999999999</v>
      </c>
      <c r="AB4106" s="93">
        <f>AD4106/AC4103</f>
        <v>4.7058823529411766</v>
      </c>
      <c r="AC4106" s="93">
        <f>AC4103/AA4106</f>
        <v>15.766348039215671</v>
      </c>
      <c r="AD4106" s="94">
        <f>AC4106*Z4106</f>
        <v>756.78470588235223</v>
      </c>
      <c r="AE4106" s="190"/>
      <c r="AF4106" s="191"/>
      <c r="AG4106" s="191"/>
      <c r="AH4106" s="191"/>
      <c r="AI4106" s="186"/>
      <c r="AK4106" s="171"/>
    </row>
    <row r="4107" spans="1:41" s="102" customFormat="1" ht="19.899999999999999" customHeight="1" x14ac:dyDescent="0.25">
      <c r="A4107" s="45"/>
      <c r="B4107" s="59"/>
      <c r="C4107" s="137"/>
      <c r="D4107" s="59"/>
      <c r="E4107" s="116"/>
      <c r="F4107" s="120"/>
      <c r="G4107" s="120"/>
      <c r="H4107" s="120"/>
      <c r="I4107" s="60"/>
      <c r="J4107" s="116"/>
      <c r="K4107" s="213"/>
      <c r="L4107" s="120"/>
      <c r="M4107" s="120"/>
      <c r="N4107" s="167"/>
      <c r="O4107" s="120"/>
      <c r="P4107" s="120"/>
      <c r="Q4107" s="120"/>
      <c r="R4107" s="120"/>
      <c r="S4107" s="120"/>
      <c r="T4107" s="221"/>
      <c r="U4107" s="89"/>
      <c r="V4107" s="61"/>
      <c r="W4107" s="92" t="s">
        <v>65</v>
      </c>
      <c r="X4107" s="93" t="s">
        <v>30</v>
      </c>
      <c r="Y4107" s="93" t="s">
        <v>1011</v>
      </c>
      <c r="Z4107" s="134">
        <f>VLOOKUP(W4107,Sheet2!$B:$D,3,FALSE)</f>
        <v>1.76</v>
      </c>
      <c r="AA4107" s="93">
        <f>AA4106/10</f>
        <v>1.02</v>
      </c>
      <c r="AB4107" s="93">
        <f>AD4107/AC4103</f>
        <v>1.7254901960784315</v>
      </c>
      <c r="AC4107" s="93">
        <f>AC4103/AA4107</f>
        <v>157.66348039215671</v>
      </c>
      <c r="AD4107" s="94">
        <f>AC4107*Z4107</f>
        <v>277.48772549019583</v>
      </c>
      <c r="AE4107" s="190"/>
      <c r="AF4107" s="191"/>
      <c r="AG4107" s="191"/>
      <c r="AH4107" s="191"/>
      <c r="AI4107" s="186"/>
      <c r="AK4107" s="171"/>
    </row>
    <row r="4108" spans="1:41" s="102" customFormat="1" ht="19.899999999999999" customHeight="1" x14ac:dyDescent="0.25">
      <c r="A4108" s="45"/>
      <c r="B4108" s="59"/>
      <c r="C4108" s="137"/>
      <c r="D4108" s="59"/>
      <c r="E4108" s="116"/>
      <c r="F4108" s="120"/>
      <c r="G4108" s="120"/>
      <c r="H4108" s="120"/>
      <c r="I4108" s="60"/>
      <c r="J4108" s="116"/>
      <c r="K4108" s="213"/>
      <c r="L4108" s="120"/>
      <c r="M4108" s="120"/>
      <c r="N4108" s="167"/>
      <c r="O4108" s="120"/>
      <c r="P4108" s="120"/>
      <c r="Q4108" s="120"/>
      <c r="R4108" s="120"/>
      <c r="S4108" s="120"/>
      <c r="T4108" s="221"/>
      <c r="U4108" s="89"/>
      <c r="V4108" s="61"/>
      <c r="W4108" s="92" t="s">
        <v>1030</v>
      </c>
      <c r="X4108" s="93" t="s">
        <v>29</v>
      </c>
      <c r="Y4108" s="93" t="s">
        <v>93</v>
      </c>
      <c r="Z4108" s="134">
        <f>VLOOKUP(W4108,Sheet2!$B:$D,3,FALSE)</f>
        <v>23</v>
      </c>
      <c r="AA4108" s="93">
        <v>50</v>
      </c>
      <c r="AB4108" s="93">
        <f>AD4108/AC4103</f>
        <v>0.46</v>
      </c>
      <c r="AC4108" s="93">
        <f>AC4103/AA4108</f>
        <v>3.2163349999999968</v>
      </c>
      <c r="AD4108" s="94">
        <f t="shared" ref="AD4108:AD4111" si="3037">AC4108*Z4108</f>
        <v>73.975704999999934</v>
      </c>
      <c r="AE4108" s="190"/>
      <c r="AF4108" s="191"/>
      <c r="AG4108" s="191"/>
      <c r="AH4108" s="191"/>
      <c r="AI4108" s="186"/>
      <c r="AK4108" s="171"/>
    </row>
    <row r="4109" spans="1:41" s="102" customFormat="1" ht="19.899999999999999" customHeight="1" x14ac:dyDescent="0.25">
      <c r="A4109" s="45"/>
      <c r="B4109" s="59"/>
      <c r="C4109" s="137"/>
      <c r="D4109" s="59"/>
      <c r="E4109" s="116"/>
      <c r="F4109" s="120"/>
      <c r="G4109" s="120"/>
      <c r="H4109" s="120"/>
      <c r="I4109" s="60"/>
      <c r="J4109" s="116"/>
      <c r="K4109" s="213"/>
      <c r="L4109" s="120"/>
      <c r="M4109" s="120"/>
      <c r="N4109" s="167"/>
      <c r="O4109" s="120"/>
      <c r="P4109" s="120"/>
      <c r="Q4109" s="120"/>
      <c r="R4109" s="120"/>
      <c r="S4109" s="120"/>
      <c r="T4109" s="221"/>
      <c r="U4109" s="89"/>
      <c r="V4109" s="61"/>
      <c r="W4109" s="92" t="s">
        <v>65</v>
      </c>
      <c r="X4109" s="93" t="s">
        <v>30</v>
      </c>
      <c r="Y4109" s="93" t="s">
        <v>1011</v>
      </c>
      <c r="Z4109" s="134">
        <f>VLOOKUP(W4109,Sheet2!$B:$D,3,FALSE)</f>
        <v>1.76</v>
      </c>
      <c r="AA4109" s="93">
        <f>AA4108/3</f>
        <v>16.666666666666668</v>
      </c>
      <c r="AB4109" s="93">
        <f>AD4109/AC4103</f>
        <v>0.1056</v>
      </c>
      <c r="AC4109" s="93">
        <f>AC4103/AA4109</f>
        <v>9.6490049999999901</v>
      </c>
      <c r="AD4109" s="94">
        <f t="shared" si="3037"/>
        <v>16.982248799999983</v>
      </c>
      <c r="AE4109" s="190"/>
      <c r="AF4109" s="191"/>
      <c r="AG4109" s="191"/>
      <c r="AH4109" s="191"/>
      <c r="AI4109" s="186"/>
      <c r="AK4109" s="171"/>
    </row>
    <row r="4110" spans="1:41" s="102" customFormat="1" ht="19.899999999999999" customHeight="1" x14ac:dyDescent="0.25">
      <c r="A4110" s="45"/>
      <c r="B4110" s="59"/>
      <c r="C4110" s="137"/>
      <c r="D4110" s="59"/>
      <c r="E4110" s="116"/>
      <c r="F4110" s="120"/>
      <c r="G4110" s="120"/>
      <c r="H4110" s="120"/>
      <c r="I4110" s="60"/>
      <c r="J4110" s="116"/>
      <c r="K4110" s="213"/>
      <c r="L4110" s="120"/>
      <c r="M4110" s="120"/>
      <c r="N4110" s="167"/>
      <c r="O4110" s="120"/>
      <c r="P4110" s="120"/>
      <c r="Q4110" s="120"/>
      <c r="R4110" s="120"/>
      <c r="S4110" s="120"/>
      <c r="T4110" s="221"/>
      <c r="U4110" s="89"/>
      <c r="V4110" s="61"/>
      <c r="W4110" s="92" t="s">
        <v>148</v>
      </c>
      <c r="X4110" s="93" t="s">
        <v>29</v>
      </c>
      <c r="Y4110" s="93" t="s">
        <v>93</v>
      </c>
      <c r="Z4110" s="134">
        <f>VLOOKUP(W4110,Sheet2!$B:$D,3,FALSE)</f>
        <v>48</v>
      </c>
      <c r="AA4110" s="93">
        <f>AA4104</f>
        <v>50</v>
      </c>
      <c r="AB4110" s="93">
        <f>AD4110/AC4103</f>
        <v>0.96</v>
      </c>
      <c r="AC4110" s="93">
        <f>AC4103/AA4110</f>
        <v>3.2163349999999968</v>
      </c>
      <c r="AD4110" s="94">
        <f t="shared" si="3037"/>
        <v>154.38407999999984</v>
      </c>
      <c r="AE4110" s="190"/>
      <c r="AF4110" s="191"/>
      <c r="AG4110" s="191"/>
      <c r="AH4110" s="191"/>
      <c r="AI4110" s="186"/>
      <c r="AK4110" s="171"/>
    </row>
    <row r="4111" spans="1:41" s="102" customFormat="1" ht="19.899999999999999" customHeight="1" x14ac:dyDescent="0.25">
      <c r="A4111" s="45"/>
      <c r="B4111" s="59"/>
      <c r="C4111" s="137"/>
      <c r="D4111" s="59"/>
      <c r="E4111" s="116"/>
      <c r="F4111" s="120"/>
      <c r="G4111" s="120"/>
      <c r="H4111" s="120"/>
      <c r="I4111" s="60"/>
      <c r="J4111" s="116"/>
      <c r="K4111" s="213"/>
      <c r="L4111" s="120"/>
      <c r="M4111" s="120"/>
      <c r="N4111" s="167"/>
      <c r="O4111" s="120"/>
      <c r="P4111" s="120"/>
      <c r="Q4111" s="120"/>
      <c r="R4111" s="120"/>
      <c r="S4111" s="120"/>
      <c r="T4111" s="221"/>
      <c r="U4111" s="89"/>
      <c r="V4111" s="61"/>
      <c r="W4111" s="92" t="s">
        <v>65</v>
      </c>
      <c r="X4111" s="93" t="s">
        <v>30</v>
      </c>
      <c r="Y4111" s="93" t="s">
        <v>1011</v>
      </c>
      <c r="Z4111" s="134">
        <f>VLOOKUP(W4111,Sheet2!$B:$D,3,FALSE)</f>
        <v>1.76</v>
      </c>
      <c r="AA4111" s="93">
        <f>AA4110/10</f>
        <v>5</v>
      </c>
      <c r="AB4111" s="93">
        <f>AD4111/AC4103</f>
        <v>0.35199999999999998</v>
      </c>
      <c r="AC4111" s="93">
        <f>AC4103/AA4111</f>
        <v>32.163349999999966</v>
      </c>
      <c r="AD4111" s="94">
        <f t="shared" si="3037"/>
        <v>56.607495999999941</v>
      </c>
      <c r="AE4111" s="190"/>
      <c r="AF4111" s="191"/>
      <c r="AG4111" s="191"/>
      <c r="AH4111" s="191"/>
      <c r="AI4111" s="186"/>
      <c r="AK4111" s="171"/>
    </row>
    <row r="4112" spans="1:41" s="103" customFormat="1" ht="19.899999999999999" customHeight="1" x14ac:dyDescent="0.25">
      <c r="A4112" s="51"/>
      <c r="B4112" s="52"/>
      <c r="C4112" s="165"/>
      <c r="D4112" s="52"/>
      <c r="E4112" s="115"/>
      <c r="F4112" s="58"/>
      <c r="G4112" s="58"/>
      <c r="H4112" s="58"/>
      <c r="I4112" s="55"/>
      <c r="J4112" s="113">
        <f>J4102</f>
        <v>160.81674999999984</v>
      </c>
      <c r="K4112" s="212">
        <f>K4102</f>
        <v>160.81674999999984</v>
      </c>
      <c r="L4112" s="58"/>
      <c r="M4112" s="58">
        <f>K4112-L4112</f>
        <v>160.81674999999984</v>
      </c>
      <c r="N4112" s="166"/>
      <c r="O4112" s="58"/>
      <c r="P4112" s="58"/>
      <c r="Q4112" s="58"/>
      <c r="R4112" s="58"/>
      <c r="S4112" s="58"/>
      <c r="T4112" s="220"/>
      <c r="U4112" s="88"/>
      <c r="V4112" s="56"/>
      <c r="W4112" s="57" t="s">
        <v>1036</v>
      </c>
      <c r="X4112" s="53"/>
      <c r="Y4112" s="91" t="s">
        <v>68</v>
      </c>
      <c r="Z4112" s="136">
        <f>AD4112/AC4112</f>
        <v>223.58333333333329</v>
      </c>
      <c r="AA4112" s="58"/>
      <c r="AB4112" s="53">
        <f>AD4112/AC4112</f>
        <v>223.58333333333329</v>
      </c>
      <c r="AC4112" s="53">
        <f>M4112+$AE$10</f>
        <v>160.81674999999984</v>
      </c>
      <c r="AD4112" s="54">
        <f>SUM(AD4113:AD4117)</f>
        <v>35955.945020833293</v>
      </c>
      <c r="AE4112" s="184">
        <f>SUMIFS($AD$37:$AD$12971,$V$37:$V$12971,$V4112,$X$37:$X$12971,AE$13)</f>
        <v>0</v>
      </c>
      <c r="AF4112" s="185">
        <f>SUMIFS($AD$37:$AD$12971,$V$37:$V$12971,$V4112,$X$37:$X$12971,AF$13)</f>
        <v>0</v>
      </c>
      <c r="AG4112" s="185">
        <f>SUMIFS($AD$37:$AD$12971,$V$37:$V$12971,$V4112,$X$37:$X$12971,AG$13)</f>
        <v>0</v>
      </c>
      <c r="AH4112" s="187">
        <f>SUMIFS($AD$37:$AD$12971,$V$37:$V$12971,$V4112,$X$37:$X$12971,AH$13)</f>
        <v>0</v>
      </c>
      <c r="AI4112" s="161">
        <f t="shared" ref="AI4112" si="3038">SUM(AE4112:AH4112)</f>
        <v>0</v>
      </c>
      <c r="AK4112" s="172"/>
    </row>
    <row r="4113" spans="1:41" s="102" customFormat="1" ht="19.899999999999999" customHeight="1" x14ac:dyDescent="0.25">
      <c r="A4113" s="45"/>
      <c r="B4113" s="59"/>
      <c r="C4113" s="137"/>
      <c r="D4113" s="59"/>
      <c r="E4113" s="116"/>
      <c r="F4113" s="120"/>
      <c r="G4113" s="120"/>
      <c r="H4113" s="120"/>
      <c r="I4113" s="60"/>
      <c r="J4113" s="116"/>
      <c r="K4113" s="213"/>
      <c r="L4113" s="120"/>
      <c r="M4113" s="120"/>
      <c r="N4113" s="167"/>
      <c r="O4113" s="120"/>
      <c r="P4113" s="120"/>
      <c r="Q4113" s="120"/>
      <c r="R4113" s="120"/>
      <c r="S4113" s="120"/>
      <c r="T4113" s="221"/>
      <c r="U4113" s="89"/>
      <c r="V4113" s="61"/>
      <c r="W4113" s="92" t="s">
        <v>1253</v>
      </c>
      <c r="X4113" s="93" t="s">
        <v>30</v>
      </c>
      <c r="Y4113" s="93" t="s">
        <v>68</v>
      </c>
      <c r="Z4113" s="134">
        <f>VLOOKUP(W4113,Sheet2!$B:$D,3,FALSE)</f>
        <v>145</v>
      </c>
      <c r="AA4113" s="93">
        <v>1</v>
      </c>
      <c r="AB4113" s="93">
        <f>AD4113/AC4112</f>
        <v>145</v>
      </c>
      <c r="AC4113" s="93">
        <f>AC4112/AA4113</f>
        <v>160.81674999999984</v>
      </c>
      <c r="AD4113" s="94">
        <f t="shared" ref="AD4113" si="3039">AC4113*Z4113</f>
        <v>23318.428749999977</v>
      </c>
      <c r="AE4113" s="190"/>
      <c r="AF4113" s="191"/>
      <c r="AG4113" s="191"/>
      <c r="AH4113" s="191"/>
      <c r="AI4113" s="186"/>
      <c r="AK4113" s="171"/>
    </row>
    <row r="4114" spans="1:41" s="102" customFormat="1" ht="19.899999999999999" customHeight="1" x14ac:dyDescent="0.25">
      <c r="A4114" s="45"/>
      <c r="B4114" s="59"/>
      <c r="C4114" s="137"/>
      <c r="D4114" s="59"/>
      <c r="E4114" s="116"/>
      <c r="F4114" s="120"/>
      <c r="G4114" s="120"/>
      <c r="H4114" s="120"/>
      <c r="I4114" s="60"/>
      <c r="J4114" s="116"/>
      <c r="K4114" s="213"/>
      <c r="L4114" s="120"/>
      <c r="M4114" s="120"/>
      <c r="N4114" s="167"/>
      <c r="O4114" s="120"/>
      <c r="P4114" s="120"/>
      <c r="Q4114" s="120"/>
      <c r="R4114" s="120"/>
      <c r="S4114" s="120"/>
      <c r="T4114" s="221"/>
      <c r="U4114" s="89"/>
      <c r="V4114" s="61"/>
      <c r="W4114" s="92" t="s">
        <v>180</v>
      </c>
      <c r="X4114" s="93" t="s">
        <v>32</v>
      </c>
      <c r="Y4114" s="93" t="s">
        <v>68</v>
      </c>
      <c r="Z4114" s="134">
        <f>VLOOKUP(W4114,Sheet2!$B:$D,3,FALSE)</f>
        <v>38</v>
      </c>
      <c r="AA4114" s="93">
        <v>1</v>
      </c>
      <c r="AB4114" s="93">
        <f>AD4114/AC4112</f>
        <v>38</v>
      </c>
      <c r="AC4114" s="93">
        <f>AC4112/AA4114</f>
        <v>160.81674999999984</v>
      </c>
      <c r="AD4114" s="94">
        <f>AC4114*Z4114</f>
        <v>6111.0364999999938</v>
      </c>
      <c r="AE4114" s="190"/>
      <c r="AF4114" s="191"/>
      <c r="AG4114" s="191"/>
      <c r="AH4114" s="191"/>
      <c r="AI4114" s="186"/>
      <c r="AK4114" s="171"/>
    </row>
    <row r="4115" spans="1:41" s="102" customFormat="1" ht="19.899999999999999" customHeight="1" x14ac:dyDescent="0.25">
      <c r="A4115" s="45"/>
      <c r="B4115" s="59"/>
      <c r="C4115" s="137"/>
      <c r="D4115" s="59"/>
      <c r="E4115" s="116"/>
      <c r="F4115" s="120"/>
      <c r="G4115" s="120"/>
      <c r="H4115" s="120"/>
      <c r="I4115" s="60"/>
      <c r="J4115" s="116"/>
      <c r="K4115" s="213"/>
      <c r="L4115" s="120"/>
      <c r="M4115" s="120"/>
      <c r="N4115" s="167"/>
      <c r="O4115" s="120"/>
      <c r="P4115" s="120"/>
      <c r="Q4115" s="120"/>
      <c r="R4115" s="120"/>
      <c r="S4115" s="120"/>
      <c r="T4115" s="221"/>
      <c r="U4115" s="89"/>
      <c r="V4115" s="61"/>
      <c r="W4115" s="92" t="s">
        <v>1032</v>
      </c>
      <c r="X4115" s="93" t="s">
        <v>30</v>
      </c>
      <c r="Y4115" s="93" t="s">
        <v>66</v>
      </c>
      <c r="Z4115" s="134">
        <f>VLOOKUP(W4115,Sheet2!$B:$D,3,FALSE)</f>
        <v>250</v>
      </c>
      <c r="AA4115" s="93">
        <f>1/(1*0.1)</f>
        <v>10</v>
      </c>
      <c r="AB4115" s="93">
        <f>AD4115/AC4112</f>
        <v>24.999999999999996</v>
      </c>
      <c r="AC4115" s="93">
        <f>AC4112/AA4115</f>
        <v>16.081674999999983</v>
      </c>
      <c r="AD4115" s="94">
        <f>AC4115*Z4115</f>
        <v>4020.4187499999957</v>
      </c>
      <c r="AE4115" s="190"/>
      <c r="AF4115" s="191"/>
      <c r="AG4115" s="191"/>
      <c r="AH4115" s="191"/>
      <c r="AI4115" s="186"/>
      <c r="AK4115" s="171"/>
    </row>
    <row r="4116" spans="1:41" s="102" customFormat="1" ht="19.899999999999999" customHeight="1" x14ac:dyDescent="0.25">
      <c r="A4116" s="45"/>
      <c r="B4116" s="59"/>
      <c r="C4116" s="137"/>
      <c r="D4116" s="59"/>
      <c r="E4116" s="116"/>
      <c r="F4116" s="120"/>
      <c r="G4116" s="120"/>
      <c r="H4116" s="120"/>
      <c r="I4116" s="60"/>
      <c r="J4116" s="116"/>
      <c r="K4116" s="213"/>
      <c r="L4116" s="120"/>
      <c r="M4116" s="120"/>
      <c r="N4116" s="167"/>
      <c r="O4116" s="120"/>
      <c r="P4116" s="120"/>
      <c r="Q4116" s="120"/>
      <c r="R4116" s="120"/>
      <c r="S4116" s="120"/>
      <c r="T4116" s="221"/>
      <c r="U4116" s="89"/>
      <c r="V4116" s="61"/>
      <c r="W4116" s="92" t="s">
        <v>1035</v>
      </c>
      <c r="X4116" s="93" t="s">
        <v>32</v>
      </c>
      <c r="Y4116" s="93" t="s">
        <v>66</v>
      </c>
      <c r="Z4116" s="134">
        <f>VLOOKUP(W4116,Sheet2!$B:$D,3,FALSE)</f>
        <v>150</v>
      </c>
      <c r="AA4116" s="93">
        <f>AA4115</f>
        <v>10</v>
      </c>
      <c r="AB4116" s="93">
        <f>AD4116/AC4112</f>
        <v>15</v>
      </c>
      <c r="AC4116" s="93">
        <f>AC4112/AA4116</f>
        <v>16.081674999999983</v>
      </c>
      <c r="AD4116" s="94">
        <f t="shared" ref="AD4116:AD4117" si="3040">AC4116*Z4116</f>
        <v>2412.2512499999975</v>
      </c>
      <c r="AE4116" s="190"/>
      <c r="AF4116" s="191"/>
      <c r="AG4116" s="191"/>
      <c r="AH4116" s="191"/>
      <c r="AI4116" s="186"/>
      <c r="AK4116" s="171"/>
    </row>
    <row r="4117" spans="1:41" s="102" customFormat="1" ht="19.899999999999999" customHeight="1" x14ac:dyDescent="0.25">
      <c r="A4117" s="45"/>
      <c r="B4117" s="59"/>
      <c r="C4117" s="137"/>
      <c r="D4117" s="59"/>
      <c r="E4117" s="116"/>
      <c r="F4117" s="120"/>
      <c r="G4117" s="120"/>
      <c r="H4117" s="120"/>
      <c r="I4117" s="60"/>
      <c r="J4117" s="116"/>
      <c r="K4117" s="213"/>
      <c r="L4117" s="120"/>
      <c r="M4117" s="120"/>
      <c r="N4117" s="167"/>
      <c r="O4117" s="120"/>
      <c r="P4117" s="120"/>
      <c r="Q4117" s="120"/>
      <c r="R4117" s="120"/>
      <c r="S4117" s="120"/>
      <c r="T4117" s="221"/>
      <c r="U4117" s="89"/>
      <c r="V4117" s="61"/>
      <c r="W4117" s="92" t="s">
        <v>1037</v>
      </c>
      <c r="X4117" s="93" t="s">
        <v>30</v>
      </c>
      <c r="Y4117" s="93" t="s">
        <v>1038</v>
      </c>
      <c r="Z4117" s="134">
        <f>VLOOKUP(W4117,Sheet2!$B:$D,3,FALSE)</f>
        <v>175</v>
      </c>
      <c r="AA4117" s="93">
        <v>300</v>
      </c>
      <c r="AB4117" s="93">
        <f>AD4117/AC4112</f>
        <v>0.58333333333333337</v>
      </c>
      <c r="AC4117" s="93">
        <f>AC4112/AA4117</f>
        <v>0.53605583333333284</v>
      </c>
      <c r="AD4117" s="94">
        <f t="shared" si="3040"/>
        <v>93.809770833333246</v>
      </c>
      <c r="AE4117" s="190"/>
      <c r="AF4117" s="191"/>
      <c r="AG4117" s="191"/>
      <c r="AH4117" s="191"/>
      <c r="AI4117" s="186"/>
      <c r="AK4117" s="171"/>
    </row>
    <row r="4118" spans="1:41" s="103" customFormat="1" ht="19.899999999999999" customHeight="1" x14ac:dyDescent="0.25">
      <c r="A4118" s="51"/>
      <c r="B4118" s="52"/>
      <c r="C4118" s="165"/>
      <c r="D4118" s="52"/>
      <c r="E4118" s="115"/>
      <c r="F4118" s="58"/>
      <c r="G4118" s="58"/>
      <c r="H4118" s="58"/>
      <c r="I4118" s="55"/>
      <c r="J4118" s="113">
        <f>J4102</f>
        <v>160.81674999999984</v>
      </c>
      <c r="K4118" s="212">
        <f>K4102</f>
        <v>160.81674999999984</v>
      </c>
      <c r="L4118" s="58"/>
      <c r="M4118" s="58">
        <f>K4118-L4118</f>
        <v>160.81674999999984</v>
      </c>
      <c r="N4118" s="166"/>
      <c r="O4118" s="58"/>
      <c r="P4118" s="58"/>
      <c r="Q4118" s="58"/>
      <c r="R4118" s="58"/>
      <c r="S4118" s="58"/>
      <c r="T4118" s="220"/>
      <c r="U4118" s="88"/>
      <c r="V4118" s="56"/>
      <c r="W4118" s="57" t="s">
        <v>1040</v>
      </c>
      <c r="X4118" s="53"/>
      <c r="Y4118" s="91" t="s">
        <v>68</v>
      </c>
      <c r="Z4118" s="136">
        <f>AD4118/AC4118</f>
        <v>5</v>
      </c>
      <c r="AA4118" s="58"/>
      <c r="AB4118" s="53">
        <f>AD4118/AC4118</f>
        <v>5</v>
      </c>
      <c r="AC4118" s="53">
        <f>M4118+$AE$10</f>
        <v>160.81674999999984</v>
      </c>
      <c r="AD4118" s="54">
        <f>SUM(AD4119)</f>
        <v>804.08374999999921</v>
      </c>
      <c r="AE4118" s="184">
        <f>SUMIFS($AD$37:$AD$12971,$V$37:$V$12971,$V4118,$X$37:$X$12971,AE$13)</f>
        <v>0</v>
      </c>
      <c r="AF4118" s="185">
        <f>SUMIFS($AD$37:$AD$12971,$V$37:$V$12971,$V4118,$X$37:$X$12971,AF$13)</f>
        <v>0</v>
      </c>
      <c r="AG4118" s="185">
        <f>SUMIFS($AD$37:$AD$12971,$V$37:$V$12971,$V4118,$X$37:$X$12971,AG$13)</f>
        <v>0</v>
      </c>
      <c r="AH4118" s="187">
        <f>SUMIFS($AD$37:$AD$12971,$V$37:$V$12971,$V4118,$X$37:$X$12971,AH$13)</f>
        <v>0</v>
      </c>
      <c r="AI4118" s="161">
        <f t="shared" ref="AI4118" si="3041">SUM(AE4118:AH4118)</f>
        <v>0</v>
      </c>
      <c r="AK4118" s="172"/>
    </row>
    <row r="4119" spans="1:41" s="102" customFormat="1" ht="19.899999999999999" customHeight="1" x14ac:dyDescent="0.25">
      <c r="A4119" s="45"/>
      <c r="B4119" s="59"/>
      <c r="C4119" s="137"/>
      <c r="D4119" s="59"/>
      <c r="E4119" s="116"/>
      <c r="F4119" s="120"/>
      <c r="G4119" s="120"/>
      <c r="H4119" s="120"/>
      <c r="I4119" s="60"/>
      <c r="J4119" s="116"/>
      <c r="K4119" s="213"/>
      <c r="L4119" s="120"/>
      <c r="M4119" s="120"/>
      <c r="N4119" s="167"/>
      <c r="O4119" s="120"/>
      <c r="P4119" s="120"/>
      <c r="Q4119" s="120"/>
      <c r="R4119" s="120"/>
      <c r="S4119" s="120"/>
      <c r="T4119" s="221"/>
      <c r="U4119" s="89"/>
      <c r="V4119" s="61"/>
      <c r="W4119" s="92" t="s">
        <v>1039</v>
      </c>
      <c r="X4119" s="93" t="s">
        <v>32</v>
      </c>
      <c r="Y4119" s="93" t="s">
        <v>68</v>
      </c>
      <c r="Z4119" s="134">
        <f>VLOOKUP(W4119,Sheet2!$B:$D,3,FALSE)</f>
        <v>5</v>
      </c>
      <c r="AA4119" s="93">
        <v>1</v>
      </c>
      <c r="AB4119" s="93">
        <f>AD4119/AC4118</f>
        <v>5</v>
      </c>
      <c r="AC4119" s="93">
        <f>AC4118/AA4119</f>
        <v>160.81674999999984</v>
      </c>
      <c r="AD4119" s="94">
        <f t="shared" ref="AD4119" si="3042">AC4119*Z4119</f>
        <v>804.08374999999921</v>
      </c>
      <c r="AE4119" s="190"/>
      <c r="AF4119" s="191"/>
      <c r="AG4119" s="191"/>
      <c r="AH4119" s="191"/>
      <c r="AI4119" s="186"/>
      <c r="AK4119" s="171"/>
    </row>
    <row r="4120" spans="1:41" ht="20.100000000000001" customHeight="1" x14ac:dyDescent="0.25">
      <c r="A4120" s="277" t="s">
        <v>491</v>
      </c>
      <c r="B4120" s="278"/>
      <c r="C4120" s="64" t="s">
        <v>1185</v>
      </c>
      <c r="D4120" s="46" t="s">
        <v>97</v>
      </c>
      <c r="E4120" s="114"/>
      <c r="F4120" s="44"/>
      <c r="G4120" s="44">
        <f t="shared" si="2434"/>
        <v>0</v>
      </c>
      <c r="H4120" s="44">
        <f t="shared" si="2435"/>
        <v>0</v>
      </c>
      <c r="I4120" s="43">
        <f t="shared" si="2436"/>
        <v>0</v>
      </c>
      <c r="J4120" s="112">
        <f t="shared" si="2437"/>
        <v>0</v>
      </c>
      <c r="K4120" s="211">
        <f t="shared" si="2438"/>
        <v>0</v>
      </c>
      <c r="L4120" s="44"/>
      <c r="M4120" s="44">
        <f t="shared" si="2458"/>
        <v>0</v>
      </c>
      <c r="N4120" s="173">
        <f t="shared" si="2439"/>
        <v>0</v>
      </c>
      <c r="O4120" s="44">
        <f t="shared" si="2440"/>
        <v>0</v>
      </c>
      <c r="P4120" s="44">
        <f t="shared" si="2441"/>
        <v>0</v>
      </c>
      <c r="Q4120" s="44">
        <f t="shared" si="2442"/>
        <v>0</v>
      </c>
      <c r="R4120" s="44">
        <f t="shared" si="2459"/>
        <v>0</v>
      </c>
      <c r="S4120" s="123"/>
      <c r="T4120" s="219">
        <f t="shared" si="2460"/>
        <v>0</v>
      </c>
      <c r="U4120" s="87"/>
      <c r="V4120" s="47"/>
      <c r="W4120" s="48"/>
      <c r="X4120" s="48"/>
      <c r="Y4120" s="48"/>
      <c r="Z4120" s="135"/>
      <c r="AA4120" s="49"/>
      <c r="AB4120" s="50">
        <f t="shared" si="2443"/>
        <v>0</v>
      </c>
      <c r="AC4120" s="42">
        <f t="shared" si="2461"/>
        <v>9.9999999999999998E-20</v>
      </c>
      <c r="AD4120" s="90"/>
      <c r="AE4120" s="188"/>
      <c r="AF4120" s="189"/>
      <c r="AG4120" s="189"/>
      <c r="AH4120" s="189"/>
      <c r="AI4120" s="161"/>
    </row>
    <row r="4121" spans="1:41" ht="20.100000000000001" customHeight="1" x14ac:dyDescent="0.25">
      <c r="A4121" s="277" t="s">
        <v>491</v>
      </c>
      <c r="B4121" s="278"/>
      <c r="C4121" s="64" t="s">
        <v>1186</v>
      </c>
      <c r="D4121" s="46" t="s">
        <v>97</v>
      </c>
      <c r="E4121" s="114"/>
      <c r="F4121" s="44"/>
      <c r="G4121" s="44">
        <f t="shared" si="2434"/>
        <v>0</v>
      </c>
      <c r="H4121" s="44">
        <f t="shared" si="2435"/>
        <v>0</v>
      </c>
      <c r="I4121" s="43">
        <f t="shared" si="2436"/>
        <v>0</v>
      </c>
      <c r="J4121" s="112">
        <f t="shared" si="2437"/>
        <v>0</v>
      </c>
      <c r="K4121" s="211">
        <f t="shared" si="2438"/>
        <v>0</v>
      </c>
      <c r="L4121" s="44"/>
      <c r="M4121" s="44">
        <f t="shared" si="2458"/>
        <v>0</v>
      </c>
      <c r="N4121" s="173">
        <f t="shared" si="2439"/>
        <v>0</v>
      </c>
      <c r="O4121" s="44">
        <f t="shared" si="2440"/>
        <v>0</v>
      </c>
      <c r="P4121" s="44">
        <f t="shared" si="2441"/>
        <v>0</v>
      </c>
      <c r="Q4121" s="44">
        <f t="shared" si="2442"/>
        <v>0</v>
      </c>
      <c r="R4121" s="44">
        <f t="shared" si="2459"/>
        <v>0</v>
      </c>
      <c r="S4121" s="123"/>
      <c r="T4121" s="219">
        <f t="shared" si="2460"/>
        <v>0</v>
      </c>
      <c r="U4121" s="87"/>
      <c r="V4121" s="47"/>
      <c r="W4121" s="48"/>
      <c r="X4121" s="48"/>
      <c r="Y4121" s="48"/>
      <c r="Z4121" s="135"/>
      <c r="AA4121" s="49"/>
      <c r="AB4121" s="50">
        <f t="shared" si="2443"/>
        <v>0</v>
      </c>
      <c r="AC4121" s="42">
        <f t="shared" si="2461"/>
        <v>9.9999999999999998E-20</v>
      </c>
      <c r="AD4121" s="90"/>
      <c r="AE4121" s="188"/>
      <c r="AF4121" s="189"/>
      <c r="AG4121" s="189"/>
      <c r="AH4121" s="189"/>
      <c r="AI4121" s="161"/>
    </row>
    <row r="4122" spans="1:41" ht="20.100000000000001" customHeight="1" x14ac:dyDescent="0.25">
      <c r="A4122" s="277" t="s">
        <v>491</v>
      </c>
      <c r="B4122" s="278"/>
      <c r="C4122" s="64" t="s">
        <v>1187</v>
      </c>
      <c r="D4122" s="46" t="s">
        <v>97</v>
      </c>
      <c r="E4122" s="114">
        <v>56.53047999999967</v>
      </c>
      <c r="F4122" s="44">
        <v>1701</v>
      </c>
      <c r="G4122" s="44">
        <f t="shared" si="2434"/>
        <v>96158.34647999944</v>
      </c>
      <c r="H4122" s="44">
        <f t="shared" si="2435"/>
        <v>795.41213490196083</v>
      </c>
      <c r="I4122" s="43">
        <f t="shared" si="2436"/>
        <v>44965.029783832339</v>
      </c>
      <c r="J4122" s="112">
        <f t="shared" si="2437"/>
        <v>56.53047999999967</v>
      </c>
      <c r="K4122" s="211">
        <f t="shared" si="2438"/>
        <v>56.53047999999967</v>
      </c>
      <c r="L4122" s="44"/>
      <c r="M4122" s="44">
        <f t="shared" si="2458"/>
        <v>56.53047999999967</v>
      </c>
      <c r="N4122" s="173">
        <f t="shared" si="2439"/>
        <v>1</v>
      </c>
      <c r="O4122" s="44">
        <f t="shared" si="2440"/>
        <v>1701</v>
      </c>
      <c r="P4122" s="44">
        <f t="shared" si="2441"/>
        <v>96158.34647999944</v>
      </c>
      <c r="Q4122" s="44">
        <f t="shared" si="2442"/>
        <v>795.41213490196083</v>
      </c>
      <c r="R4122" s="44">
        <f t="shared" si="2459"/>
        <v>44965.029783832339</v>
      </c>
      <c r="S4122" s="123"/>
      <c r="T4122" s="219">
        <f t="shared" si="2460"/>
        <v>44965.029783832339</v>
      </c>
      <c r="U4122" s="87"/>
      <c r="V4122" s="47"/>
      <c r="W4122" s="48"/>
      <c r="X4122" s="48"/>
      <c r="Y4122" s="48"/>
      <c r="Z4122" s="135"/>
      <c r="AA4122" s="49"/>
      <c r="AB4122" s="50">
        <f t="shared" si="2443"/>
        <v>795.41213490196083</v>
      </c>
      <c r="AC4122" s="42">
        <f t="shared" si="2461"/>
        <v>56.53047999999967</v>
      </c>
      <c r="AD4122" s="90">
        <f>AD4123+AD4133+AD4139</f>
        <v>44965.029783832339</v>
      </c>
      <c r="AE4122" s="188">
        <f t="shared" ref="AE4122:AH4122" si="3043">AE4123+AE4133+AE4139</f>
        <v>0</v>
      </c>
      <c r="AF4122" s="189">
        <f t="shared" si="3043"/>
        <v>0</v>
      </c>
      <c r="AG4122" s="189">
        <f t="shared" si="3043"/>
        <v>0</v>
      </c>
      <c r="AH4122" s="189">
        <f t="shared" si="3043"/>
        <v>0</v>
      </c>
      <c r="AI4122" s="161">
        <f t="shared" ref="AI4122:AI4141" si="3044">SUM(AE4122:AH4122)</f>
        <v>0</v>
      </c>
      <c r="AK4122" s="169">
        <v>5</v>
      </c>
      <c r="AO4122" s="19" t="s">
        <v>63</v>
      </c>
    </row>
    <row r="4123" spans="1:41" s="103" customFormat="1" ht="19.899999999999999" customHeight="1" x14ac:dyDescent="0.25">
      <c r="A4123" s="51"/>
      <c r="B4123" s="52"/>
      <c r="C4123" s="165"/>
      <c r="D4123" s="52"/>
      <c r="E4123" s="115"/>
      <c r="F4123" s="58"/>
      <c r="G4123" s="58"/>
      <c r="H4123" s="58"/>
      <c r="I4123" s="55"/>
      <c r="J4123" s="113">
        <f>J4122</f>
        <v>56.53047999999967</v>
      </c>
      <c r="K4123" s="212">
        <f>K4122</f>
        <v>56.53047999999967</v>
      </c>
      <c r="L4123" s="58"/>
      <c r="M4123" s="58">
        <f>K4123-L4123</f>
        <v>56.53047999999967</v>
      </c>
      <c r="N4123" s="166"/>
      <c r="O4123" s="58"/>
      <c r="P4123" s="58"/>
      <c r="Q4123" s="58"/>
      <c r="R4123" s="58"/>
      <c r="S4123" s="58"/>
      <c r="T4123" s="220"/>
      <c r="U4123" s="88"/>
      <c r="V4123" s="56"/>
      <c r="W4123" s="57" t="s">
        <v>1266</v>
      </c>
      <c r="X4123" s="53"/>
      <c r="Y4123" s="91" t="s">
        <v>68</v>
      </c>
      <c r="Z4123" s="136">
        <f>AD4123/AC4123</f>
        <v>54.628801568627445</v>
      </c>
      <c r="AA4123" s="58"/>
      <c r="AB4123" s="53">
        <f>AD4123/AC4123</f>
        <v>54.628801568627445</v>
      </c>
      <c r="AC4123" s="53">
        <f>M4123+$AE$10</f>
        <v>56.53047999999967</v>
      </c>
      <c r="AD4123" s="54">
        <f>SUM(AD4124:AD4132)</f>
        <v>3088.1923744992446</v>
      </c>
      <c r="AE4123" s="184">
        <f>SUMIFS($AD$37:$AD$12971,$V$37:$V$12971,$V4123,$X$37:$X$12971,AE$13)</f>
        <v>0</v>
      </c>
      <c r="AF4123" s="185">
        <f>SUMIFS($AD$37:$AD$12971,$V$37:$V$12971,$V4123,$X$37:$X$12971,AF$13)</f>
        <v>0</v>
      </c>
      <c r="AG4123" s="185">
        <f>SUMIFS($AD$37:$AD$12971,$V$37:$V$12971,$V4123,$X$37:$X$12971,AG$13)</f>
        <v>0</v>
      </c>
      <c r="AH4123" s="187">
        <f>SUMIFS($AD$37:$AD$12971,$V$37:$V$12971,$V4123,$X$37:$X$12971,AH$13)</f>
        <v>0</v>
      </c>
      <c r="AI4123" s="161">
        <f t="shared" si="3044"/>
        <v>0</v>
      </c>
      <c r="AK4123" s="172"/>
    </row>
    <row r="4124" spans="1:41" s="102" customFormat="1" ht="19.899999999999999" customHeight="1" x14ac:dyDescent="0.25">
      <c r="A4124" s="45"/>
      <c r="B4124" s="59"/>
      <c r="C4124" s="137"/>
      <c r="D4124" s="59"/>
      <c r="E4124" s="116"/>
      <c r="F4124" s="120"/>
      <c r="G4124" s="120"/>
      <c r="H4124" s="120"/>
      <c r="I4124" s="60"/>
      <c r="J4124" s="116"/>
      <c r="K4124" s="213"/>
      <c r="L4124" s="120"/>
      <c r="M4124" s="120"/>
      <c r="N4124" s="167"/>
      <c r="O4124" s="120"/>
      <c r="P4124" s="120"/>
      <c r="Q4124" s="120"/>
      <c r="R4124" s="120"/>
      <c r="S4124" s="120"/>
      <c r="T4124" s="221"/>
      <c r="U4124" s="89"/>
      <c r="V4124" s="61"/>
      <c r="W4124" s="92" t="s">
        <v>129</v>
      </c>
      <c r="X4124" s="93" t="s">
        <v>29</v>
      </c>
      <c r="Y4124" s="93" t="s">
        <v>93</v>
      </c>
      <c r="Z4124" s="134">
        <f>VLOOKUP(W4124,Sheet2!$B:$D,3,FALSE)</f>
        <v>56</v>
      </c>
      <c r="AA4124" s="93">
        <f>100/(1.63*2.5)</f>
        <v>24.539877300613501</v>
      </c>
      <c r="AB4124" s="93">
        <f t="shared" ref="AB4124" si="3045">AD4124/AC4123</f>
        <v>2.2819999999999996</v>
      </c>
      <c r="AC4124" s="93">
        <f>AC4123/AA4124</f>
        <v>2.3036170599999863</v>
      </c>
      <c r="AD4124" s="94">
        <f t="shared" ref="AD4124:AD4125" si="3046">AC4124*Z4124</f>
        <v>129.00255535999923</v>
      </c>
      <c r="AE4124" s="190"/>
      <c r="AF4124" s="191"/>
      <c r="AG4124" s="191"/>
      <c r="AH4124" s="191"/>
      <c r="AI4124" s="186"/>
      <c r="AK4124" s="171"/>
    </row>
    <row r="4125" spans="1:41" s="102" customFormat="1" ht="19.899999999999999" customHeight="1" x14ac:dyDescent="0.25">
      <c r="A4125" s="45"/>
      <c r="B4125" s="59"/>
      <c r="C4125" s="137"/>
      <c r="D4125" s="59"/>
      <c r="E4125" s="116"/>
      <c r="F4125" s="120"/>
      <c r="G4125" s="120"/>
      <c r="H4125" s="120"/>
      <c r="I4125" s="60"/>
      <c r="J4125" s="116"/>
      <c r="K4125" s="213"/>
      <c r="L4125" s="120"/>
      <c r="M4125" s="120"/>
      <c r="N4125" s="167"/>
      <c r="O4125" s="120"/>
      <c r="P4125" s="120"/>
      <c r="Q4125" s="120"/>
      <c r="R4125" s="120"/>
      <c r="S4125" s="120"/>
      <c r="T4125" s="221"/>
      <c r="U4125" s="89"/>
      <c r="V4125" s="61"/>
      <c r="W4125" s="92" t="s">
        <v>65</v>
      </c>
      <c r="X4125" s="93" t="s">
        <v>30</v>
      </c>
      <c r="Y4125" s="93" t="s">
        <v>1011</v>
      </c>
      <c r="Z4125" s="134">
        <f>VLOOKUP(W4125,Sheet2!$B:$D,3,FALSE)</f>
        <v>1.76</v>
      </c>
      <c r="AA4125" s="93">
        <f>AA4124/14</f>
        <v>1.75284837861525</v>
      </c>
      <c r="AB4125" s="93">
        <f>AD4125/AC4123</f>
        <v>1.0040799999999999</v>
      </c>
      <c r="AC4125" s="93">
        <f>AC4123/AA4125</f>
        <v>32.250638839999809</v>
      </c>
      <c r="AD4125" s="94">
        <f t="shared" si="3046"/>
        <v>56.761124358399663</v>
      </c>
      <c r="AE4125" s="190"/>
      <c r="AF4125" s="191"/>
      <c r="AG4125" s="191"/>
      <c r="AH4125" s="191"/>
      <c r="AI4125" s="186"/>
      <c r="AK4125" s="171"/>
    </row>
    <row r="4126" spans="1:41" s="102" customFormat="1" ht="19.899999999999999" customHeight="1" x14ac:dyDescent="0.25">
      <c r="A4126" s="45"/>
      <c r="B4126" s="59"/>
      <c r="C4126" s="137"/>
      <c r="D4126" s="59"/>
      <c r="E4126" s="116"/>
      <c r="F4126" s="120"/>
      <c r="G4126" s="120"/>
      <c r="H4126" s="120"/>
      <c r="I4126" s="60"/>
      <c r="J4126" s="116"/>
      <c r="K4126" s="213"/>
      <c r="L4126" s="120"/>
      <c r="M4126" s="120"/>
      <c r="N4126" s="167"/>
      <c r="O4126" s="120"/>
      <c r="P4126" s="120"/>
      <c r="Q4126" s="120"/>
      <c r="R4126" s="120"/>
      <c r="S4126" s="120"/>
      <c r="T4126" s="221"/>
      <c r="U4126" s="89"/>
      <c r="V4126" s="61"/>
      <c r="W4126" s="92" t="s">
        <v>161</v>
      </c>
      <c r="X4126" s="93" t="s">
        <v>29</v>
      </c>
      <c r="Y4126" s="93" t="s">
        <v>93</v>
      </c>
      <c r="Z4126" s="134">
        <f>VLOOKUP(W4126,Sheet2!$B:$D,3,FALSE)</f>
        <v>48</v>
      </c>
      <c r="AA4126" s="93">
        <f>(16*0.85*1.5)/(1.63*2.5)</f>
        <v>5.0061349693251538</v>
      </c>
      <c r="AB4126" s="93">
        <f>AD4126/AC4123</f>
        <v>9.5882352941176467</v>
      </c>
      <c r="AC4126" s="93">
        <f>AC4123/AA4126</f>
        <v>11.292240490196011</v>
      </c>
      <c r="AD4126" s="94">
        <f>AC4126*Z4126</f>
        <v>542.0275435294086</v>
      </c>
      <c r="AE4126" s="190"/>
      <c r="AF4126" s="191"/>
      <c r="AG4126" s="191"/>
      <c r="AH4126" s="191"/>
      <c r="AI4126" s="186"/>
      <c r="AK4126" s="171"/>
    </row>
    <row r="4127" spans="1:41" s="102" customFormat="1" ht="19.899999999999999" customHeight="1" x14ac:dyDescent="0.25">
      <c r="A4127" s="45"/>
      <c r="B4127" s="59"/>
      <c r="C4127" s="137"/>
      <c r="D4127" s="59"/>
      <c r="E4127" s="116"/>
      <c r="F4127" s="120"/>
      <c r="G4127" s="120"/>
      <c r="H4127" s="120"/>
      <c r="I4127" s="60"/>
      <c r="J4127" s="116"/>
      <c r="K4127" s="213"/>
      <c r="L4127" s="120"/>
      <c r="M4127" s="120"/>
      <c r="N4127" s="167"/>
      <c r="O4127" s="120"/>
      <c r="P4127" s="120"/>
      <c r="Q4127" s="120"/>
      <c r="R4127" s="120"/>
      <c r="S4127" s="120"/>
      <c r="T4127" s="221"/>
      <c r="U4127" s="89"/>
      <c r="V4127" s="61"/>
      <c r="W4127" s="92" t="s">
        <v>65</v>
      </c>
      <c r="X4127" s="93" t="s">
        <v>30</v>
      </c>
      <c r="Y4127" s="93" t="s">
        <v>1011</v>
      </c>
      <c r="Z4127" s="134">
        <f>VLOOKUP(W4127,Sheet2!$B:$D,3,FALSE)</f>
        <v>1.76</v>
      </c>
      <c r="AA4127" s="93">
        <f>AA4126/10</f>
        <v>0.50061349693251533</v>
      </c>
      <c r="AB4127" s="93">
        <f>AD4127/AC4123</f>
        <v>3.5156862745098039</v>
      </c>
      <c r="AC4127" s="93">
        <f>AC4123/AA4127</f>
        <v>112.92240490196012</v>
      </c>
      <c r="AD4127" s="94">
        <f>AC4127*Z4127</f>
        <v>198.74343262744981</v>
      </c>
      <c r="AE4127" s="190"/>
      <c r="AF4127" s="191"/>
      <c r="AG4127" s="191"/>
      <c r="AH4127" s="191"/>
      <c r="AI4127" s="186"/>
      <c r="AK4127" s="171"/>
    </row>
    <row r="4128" spans="1:41" s="102" customFormat="1" ht="19.899999999999999" customHeight="1" x14ac:dyDescent="0.25">
      <c r="A4128" s="45"/>
      <c r="B4128" s="59"/>
      <c r="C4128" s="137"/>
      <c r="D4128" s="59"/>
      <c r="E4128" s="116"/>
      <c r="F4128" s="120"/>
      <c r="G4128" s="120"/>
      <c r="H4128" s="120"/>
      <c r="I4128" s="60"/>
      <c r="J4128" s="116"/>
      <c r="K4128" s="213"/>
      <c r="L4128" s="120"/>
      <c r="M4128" s="120"/>
      <c r="N4128" s="167"/>
      <c r="O4128" s="120"/>
      <c r="P4128" s="120"/>
      <c r="Q4128" s="120"/>
      <c r="R4128" s="120"/>
      <c r="S4128" s="120"/>
      <c r="T4128" s="221"/>
      <c r="U4128" s="89"/>
      <c r="V4128" s="61"/>
      <c r="W4128" s="92" t="s">
        <v>1030</v>
      </c>
      <c r="X4128" s="93" t="s">
        <v>29</v>
      </c>
      <c r="Y4128" s="93" t="s">
        <v>93</v>
      </c>
      <c r="Z4128" s="134">
        <f>VLOOKUP(W4128,Sheet2!$B:$D,3,FALSE)</f>
        <v>23</v>
      </c>
      <c r="AA4128" s="93">
        <v>50</v>
      </c>
      <c r="AB4128" s="93">
        <f>AD4128/AC4123</f>
        <v>0.46</v>
      </c>
      <c r="AC4128" s="93">
        <f>AC4123/AA4128</f>
        <v>1.1306095999999934</v>
      </c>
      <c r="AD4128" s="94">
        <f t="shared" ref="AD4128:AD4132" si="3047">AC4128*Z4128</f>
        <v>26.00402079999985</v>
      </c>
      <c r="AE4128" s="190"/>
      <c r="AF4128" s="191"/>
      <c r="AG4128" s="191"/>
      <c r="AH4128" s="191"/>
      <c r="AI4128" s="186"/>
      <c r="AK4128" s="171"/>
    </row>
    <row r="4129" spans="1:41" s="102" customFormat="1" ht="19.899999999999999" customHeight="1" x14ac:dyDescent="0.25">
      <c r="A4129" s="45"/>
      <c r="B4129" s="59"/>
      <c r="C4129" s="137"/>
      <c r="D4129" s="59"/>
      <c r="E4129" s="116"/>
      <c r="F4129" s="120"/>
      <c r="G4129" s="120"/>
      <c r="H4129" s="120"/>
      <c r="I4129" s="60"/>
      <c r="J4129" s="116"/>
      <c r="K4129" s="213"/>
      <c r="L4129" s="120"/>
      <c r="M4129" s="120"/>
      <c r="N4129" s="167"/>
      <c r="O4129" s="120"/>
      <c r="P4129" s="120"/>
      <c r="Q4129" s="120"/>
      <c r="R4129" s="120"/>
      <c r="S4129" s="120"/>
      <c r="T4129" s="221"/>
      <c r="U4129" s="89"/>
      <c r="V4129" s="61"/>
      <c r="W4129" s="92" t="s">
        <v>65</v>
      </c>
      <c r="X4129" s="93" t="s">
        <v>30</v>
      </c>
      <c r="Y4129" s="93" t="s">
        <v>1011</v>
      </c>
      <c r="Z4129" s="134">
        <f>VLOOKUP(W4129,Sheet2!$B:$D,3,FALSE)</f>
        <v>1.76</v>
      </c>
      <c r="AA4129" s="93">
        <f>AA4128/3</f>
        <v>16.666666666666668</v>
      </c>
      <c r="AB4129" s="93">
        <f>AD4129/AC4123</f>
        <v>0.10559999999999999</v>
      </c>
      <c r="AC4129" s="93">
        <f>AC4123/AA4129</f>
        <v>3.3918287999999799</v>
      </c>
      <c r="AD4129" s="94">
        <f t="shared" si="3047"/>
        <v>5.9696186879999642</v>
      </c>
      <c r="AE4129" s="190"/>
      <c r="AF4129" s="191"/>
      <c r="AG4129" s="191"/>
      <c r="AH4129" s="191"/>
      <c r="AI4129" s="186"/>
      <c r="AK4129" s="171"/>
    </row>
    <row r="4130" spans="1:41" s="102" customFormat="1" ht="19.899999999999999" customHeight="1" x14ac:dyDescent="0.25">
      <c r="A4130" s="45"/>
      <c r="B4130" s="59"/>
      <c r="C4130" s="137"/>
      <c r="D4130" s="59"/>
      <c r="E4130" s="116"/>
      <c r="F4130" s="120"/>
      <c r="G4130" s="120"/>
      <c r="H4130" s="120"/>
      <c r="I4130" s="60"/>
      <c r="J4130" s="116"/>
      <c r="K4130" s="213"/>
      <c r="L4130" s="120"/>
      <c r="M4130" s="120"/>
      <c r="N4130" s="167"/>
      <c r="O4130" s="120"/>
      <c r="P4130" s="120"/>
      <c r="Q4130" s="120"/>
      <c r="R4130" s="120"/>
      <c r="S4130" s="120"/>
      <c r="T4130" s="221"/>
      <c r="U4130" s="89"/>
      <c r="V4130" s="61"/>
      <c r="W4130" s="92" t="s">
        <v>148</v>
      </c>
      <c r="X4130" s="93" t="s">
        <v>29</v>
      </c>
      <c r="Y4130" s="93" t="s">
        <v>93</v>
      </c>
      <c r="Z4130" s="134">
        <f>VLOOKUP(W4130,Sheet2!$B:$D,3,FALSE)</f>
        <v>48</v>
      </c>
      <c r="AA4130" s="93">
        <f>AA4124</f>
        <v>24.539877300613501</v>
      </c>
      <c r="AB4130" s="93">
        <f>AD4130/AC4123</f>
        <v>1.9559999999999997</v>
      </c>
      <c r="AC4130" s="93">
        <f>AC4123/AA4130</f>
        <v>2.3036170599999863</v>
      </c>
      <c r="AD4130" s="94">
        <f t="shared" si="3047"/>
        <v>110.57361887999934</v>
      </c>
      <c r="AE4130" s="190"/>
      <c r="AF4130" s="191"/>
      <c r="AG4130" s="191"/>
      <c r="AH4130" s="191"/>
      <c r="AI4130" s="186"/>
      <c r="AK4130" s="171"/>
    </row>
    <row r="4131" spans="1:41" s="102" customFormat="1" ht="19.899999999999999" customHeight="1" x14ac:dyDescent="0.25">
      <c r="A4131" s="45"/>
      <c r="B4131" s="59"/>
      <c r="C4131" s="137"/>
      <c r="D4131" s="59"/>
      <c r="E4131" s="116"/>
      <c r="F4131" s="120"/>
      <c r="G4131" s="120"/>
      <c r="H4131" s="120"/>
      <c r="I4131" s="60"/>
      <c r="J4131" s="116"/>
      <c r="K4131" s="213"/>
      <c r="L4131" s="120"/>
      <c r="M4131" s="120"/>
      <c r="N4131" s="167"/>
      <c r="O4131" s="120"/>
      <c r="P4131" s="120"/>
      <c r="Q4131" s="120"/>
      <c r="R4131" s="120"/>
      <c r="S4131" s="120"/>
      <c r="T4131" s="221"/>
      <c r="U4131" s="89"/>
      <c r="V4131" s="61"/>
      <c r="W4131" s="92" t="s">
        <v>65</v>
      </c>
      <c r="X4131" s="93" t="s">
        <v>30</v>
      </c>
      <c r="Y4131" s="93" t="s">
        <v>1011</v>
      </c>
      <c r="Z4131" s="134">
        <f>VLOOKUP(W4131,Sheet2!$B:$D,3,FALSE)</f>
        <v>1.76</v>
      </c>
      <c r="AA4131" s="93">
        <f>AA4130/10</f>
        <v>2.4539877300613502</v>
      </c>
      <c r="AB4131" s="93">
        <f>AD4131/AC4123</f>
        <v>0.71719999999999984</v>
      </c>
      <c r="AC4131" s="93">
        <f>AC4123/AA4131</f>
        <v>23.03617059999986</v>
      </c>
      <c r="AD4131" s="94">
        <f t="shared" si="3047"/>
        <v>40.543660255999754</v>
      </c>
      <c r="AE4131" s="190"/>
      <c r="AF4131" s="191"/>
      <c r="AG4131" s="191"/>
      <c r="AH4131" s="191"/>
      <c r="AI4131" s="186"/>
      <c r="AK4131" s="171"/>
    </row>
    <row r="4132" spans="1:41" s="102" customFormat="1" ht="19.899999999999999" customHeight="1" x14ac:dyDescent="0.25">
      <c r="A4132" s="45"/>
      <c r="B4132" s="59"/>
      <c r="C4132" s="137"/>
      <c r="D4132" s="59"/>
      <c r="E4132" s="116"/>
      <c r="F4132" s="120"/>
      <c r="G4132" s="120"/>
      <c r="H4132" s="120"/>
      <c r="I4132" s="60"/>
      <c r="J4132" s="116"/>
      <c r="K4132" s="213"/>
      <c r="L4132" s="120"/>
      <c r="M4132" s="120"/>
      <c r="N4132" s="167"/>
      <c r="O4132" s="120"/>
      <c r="P4132" s="120"/>
      <c r="Q4132" s="120"/>
      <c r="R4132" s="120"/>
      <c r="S4132" s="120"/>
      <c r="T4132" s="221"/>
      <c r="U4132" s="89"/>
      <c r="V4132" s="61"/>
      <c r="W4132" s="92" t="s">
        <v>1048</v>
      </c>
      <c r="X4132" s="93" t="s">
        <v>30</v>
      </c>
      <c r="Y4132" s="93" t="s">
        <v>68</v>
      </c>
      <c r="Z4132" s="134">
        <f>VLOOKUP(W4132,Sheet2!$B:$D,3,FALSE)</f>
        <v>35</v>
      </c>
      <c r="AA4132" s="93">
        <v>1</v>
      </c>
      <c r="AB4132" s="93">
        <f>AD4132/AC4123</f>
        <v>35</v>
      </c>
      <c r="AC4132" s="93">
        <f>AC4123/AA4132</f>
        <v>56.53047999999967</v>
      </c>
      <c r="AD4132" s="94">
        <f t="shared" si="3047"/>
        <v>1978.5667999999885</v>
      </c>
      <c r="AE4132" s="190"/>
      <c r="AF4132" s="191"/>
      <c r="AG4132" s="191"/>
      <c r="AH4132" s="191"/>
      <c r="AI4132" s="186"/>
      <c r="AK4132" s="171"/>
    </row>
    <row r="4133" spans="1:41" s="103" customFormat="1" ht="19.899999999999999" customHeight="1" x14ac:dyDescent="0.25">
      <c r="A4133" s="51"/>
      <c r="B4133" s="52"/>
      <c r="C4133" s="165"/>
      <c r="D4133" s="52"/>
      <c r="E4133" s="115"/>
      <c r="F4133" s="58"/>
      <c r="G4133" s="58"/>
      <c r="H4133" s="58"/>
      <c r="I4133" s="55"/>
      <c r="J4133" s="113">
        <f>J4122</f>
        <v>56.53047999999967</v>
      </c>
      <c r="K4133" s="212">
        <f>K4122</f>
        <v>56.53047999999967</v>
      </c>
      <c r="L4133" s="58"/>
      <c r="M4133" s="58">
        <f>K4133-L4133</f>
        <v>56.53047999999967</v>
      </c>
      <c r="N4133" s="166"/>
      <c r="O4133" s="58"/>
      <c r="P4133" s="58"/>
      <c r="Q4133" s="58"/>
      <c r="R4133" s="58"/>
      <c r="S4133" s="58"/>
      <c r="T4133" s="220"/>
      <c r="U4133" s="88"/>
      <c r="V4133" s="56"/>
      <c r="W4133" s="57" t="s">
        <v>1036</v>
      </c>
      <c r="X4133" s="53"/>
      <c r="Y4133" s="91" t="s">
        <v>68</v>
      </c>
      <c r="Z4133" s="136">
        <f>AD4133/AC4133</f>
        <v>735.78333333333342</v>
      </c>
      <c r="AA4133" s="58"/>
      <c r="AB4133" s="53">
        <f>AD4133/AC4133</f>
        <v>735.78333333333342</v>
      </c>
      <c r="AC4133" s="53">
        <f>M4133+$AE$10</f>
        <v>56.53047999999967</v>
      </c>
      <c r="AD4133" s="54">
        <f>SUM(AD4134:AD4138)</f>
        <v>41594.185009333094</v>
      </c>
      <c r="AE4133" s="184">
        <f>SUMIFS($AD$37:$AD$12971,$V$37:$V$12971,$V4133,$X$37:$X$12971,AE$13)</f>
        <v>0</v>
      </c>
      <c r="AF4133" s="185">
        <f>SUMIFS($AD$37:$AD$12971,$V$37:$V$12971,$V4133,$X$37:$X$12971,AF$13)</f>
        <v>0</v>
      </c>
      <c r="AG4133" s="185">
        <f>SUMIFS($AD$37:$AD$12971,$V$37:$V$12971,$V4133,$X$37:$X$12971,AG$13)</f>
        <v>0</v>
      </c>
      <c r="AH4133" s="187">
        <f>SUMIFS($AD$37:$AD$12971,$V$37:$V$12971,$V4133,$X$37:$X$12971,AH$13)</f>
        <v>0</v>
      </c>
      <c r="AI4133" s="161">
        <f t="shared" ref="AI4133" si="3048">SUM(AE4133:AH4133)</f>
        <v>0</v>
      </c>
      <c r="AK4133" s="172"/>
    </row>
    <row r="4134" spans="1:41" s="102" customFormat="1" ht="19.899999999999999" customHeight="1" x14ac:dyDescent="0.25">
      <c r="A4134" s="45"/>
      <c r="B4134" s="59"/>
      <c r="C4134" s="137"/>
      <c r="D4134" s="59"/>
      <c r="E4134" s="116"/>
      <c r="F4134" s="120"/>
      <c r="G4134" s="120"/>
      <c r="H4134" s="120"/>
      <c r="I4134" s="60"/>
      <c r="J4134" s="116"/>
      <c r="K4134" s="213"/>
      <c r="L4134" s="120"/>
      <c r="M4134" s="120"/>
      <c r="N4134" s="167"/>
      <c r="O4134" s="120"/>
      <c r="P4134" s="120"/>
      <c r="Q4134" s="120"/>
      <c r="R4134" s="120"/>
      <c r="S4134" s="120"/>
      <c r="T4134" s="221"/>
      <c r="U4134" s="89"/>
      <c r="V4134" s="61"/>
      <c r="W4134" s="92" t="s">
        <v>178</v>
      </c>
      <c r="X4134" s="93" t="s">
        <v>30</v>
      </c>
      <c r="Y4134" s="93" t="s">
        <v>68</v>
      </c>
      <c r="Z4134" s="134">
        <f>VLOOKUP(W4134,Sheet2!$B:$D,3,FALSE)</f>
        <v>610</v>
      </c>
      <c r="AA4134" s="93">
        <v>1</v>
      </c>
      <c r="AB4134" s="93">
        <f>AD4134/AC4133</f>
        <v>610</v>
      </c>
      <c r="AC4134" s="93">
        <f>AC4133/AA4134</f>
        <v>56.53047999999967</v>
      </c>
      <c r="AD4134" s="94">
        <f t="shared" ref="AD4134" si="3049">AC4134*Z4134</f>
        <v>34483.592799999802</v>
      </c>
      <c r="AE4134" s="190"/>
      <c r="AF4134" s="191"/>
      <c r="AG4134" s="191"/>
      <c r="AH4134" s="191"/>
      <c r="AI4134" s="186"/>
      <c r="AK4134" s="171"/>
    </row>
    <row r="4135" spans="1:41" s="102" customFormat="1" ht="19.899999999999999" customHeight="1" x14ac:dyDescent="0.25">
      <c r="A4135" s="45"/>
      <c r="B4135" s="59"/>
      <c r="C4135" s="137"/>
      <c r="D4135" s="59"/>
      <c r="E4135" s="116"/>
      <c r="F4135" s="120"/>
      <c r="G4135" s="120"/>
      <c r="H4135" s="120"/>
      <c r="I4135" s="60"/>
      <c r="J4135" s="116"/>
      <c r="K4135" s="213"/>
      <c r="L4135" s="120"/>
      <c r="M4135" s="120"/>
      <c r="N4135" s="167"/>
      <c r="O4135" s="120"/>
      <c r="P4135" s="120"/>
      <c r="Q4135" s="120"/>
      <c r="R4135" s="120"/>
      <c r="S4135" s="120"/>
      <c r="T4135" s="221"/>
      <c r="U4135" s="89"/>
      <c r="V4135" s="61"/>
      <c r="W4135" s="92" t="s">
        <v>179</v>
      </c>
      <c r="X4135" s="93" t="s">
        <v>32</v>
      </c>
      <c r="Y4135" s="93" t="s">
        <v>68</v>
      </c>
      <c r="Z4135" s="134">
        <f>VLOOKUP(W4135,Sheet2!$B:$D,3,FALSE)</f>
        <v>60</v>
      </c>
      <c r="AA4135" s="93">
        <v>1</v>
      </c>
      <c r="AB4135" s="93">
        <f>AD4135/AC4133</f>
        <v>60</v>
      </c>
      <c r="AC4135" s="93">
        <f>AC4133/AA4135</f>
        <v>56.53047999999967</v>
      </c>
      <c r="AD4135" s="94">
        <f>AC4135*Z4135</f>
        <v>3391.8287999999802</v>
      </c>
      <c r="AE4135" s="190"/>
      <c r="AF4135" s="191"/>
      <c r="AG4135" s="191"/>
      <c r="AH4135" s="191"/>
      <c r="AI4135" s="186"/>
      <c r="AK4135" s="171"/>
    </row>
    <row r="4136" spans="1:41" s="102" customFormat="1" ht="19.899999999999999" customHeight="1" x14ac:dyDescent="0.25">
      <c r="A4136" s="45"/>
      <c r="B4136" s="59"/>
      <c r="C4136" s="137"/>
      <c r="D4136" s="59"/>
      <c r="E4136" s="116"/>
      <c r="F4136" s="120"/>
      <c r="G4136" s="120"/>
      <c r="H4136" s="120"/>
      <c r="I4136" s="60"/>
      <c r="J4136" s="116"/>
      <c r="K4136" s="213"/>
      <c r="L4136" s="120"/>
      <c r="M4136" s="120"/>
      <c r="N4136" s="167"/>
      <c r="O4136" s="120"/>
      <c r="P4136" s="120"/>
      <c r="Q4136" s="120"/>
      <c r="R4136" s="120"/>
      <c r="S4136" s="120"/>
      <c r="T4136" s="221"/>
      <c r="U4136" s="89"/>
      <c r="V4136" s="61"/>
      <c r="W4136" s="92" t="s">
        <v>1032</v>
      </c>
      <c r="X4136" s="93" t="s">
        <v>30</v>
      </c>
      <c r="Y4136" s="93" t="s">
        <v>66</v>
      </c>
      <c r="Z4136" s="134">
        <f>VLOOKUP(W4136,Sheet2!$B:$D,3,FALSE)</f>
        <v>250</v>
      </c>
      <c r="AA4136" s="93">
        <f>1/(1.63*0.1)</f>
        <v>6.1349693251533743</v>
      </c>
      <c r="AB4136" s="93">
        <f>AD4136/AC4133</f>
        <v>40.75</v>
      </c>
      <c r="AC4136" s="93">
        <f>AC4133/AA4136</f>
        <v>9.2144682399999454</v>
      </c>
      <c r="AD4136" s="94">
        <f>AC4136*Z4136</f>
        <v>2303.6170599999864</v>
      </c>
      <c r="AE4136" s="190"/>
      <c r="AF4136" s="191"/>
      <c r="AG4136" s="191"/>
      <c r="AH4136" s="191"/>
      <c r="AI4136" s="186"/>
      <c r="AK4136" s="171"/>
    </row>
    <row r="4137" spans="1:41" s="102" customFormat="1" ht="19.899999999999999" customHeight="1" x14ac:dyDescent="0.25">
      <c r="A4137" s="45"/>
      <c r="B4137" s="59"/>
      <c r="C4137" s="137"/>
      <c r="D4137" s="59"/>
      <c r="E4137" s="116"/>
      <c r="F4137" s="120"/>
      <c r="G4137" s="120"/>
      <c r="H4137" s="120"/>
      <c r="I4137" s="60"/>
      <c r="J4137" s="116"/>
      <c r="K4137" s="213"/>
      <c r="L4137" s="120"/>
      <c r="M4137" s="120"/>
      <c r="N4137" s="167"/>
      <c r="O4137" s="120"/>
      <c r="P4137" s="120"/>
      <c r="Q4137" s="120"/>
      <c r="R4137" s="120"/>
      <c r="S4137" s="120"/>
      <c r="T4137" s="221"/>
      <c r="U4137" s="89"/>
      <c r="V4137" s="61"/>
      <c r="W4137" s="92" t="s">
        <v>1035</v>
      </c>
      <c r="X4137" s="93" t="s">
        <v>32</v>
      </c>
      <c r="Y4137" s="93" t="s">
        <v>66</v>
      </c>
      <c r="Z4137" s="134">
        <f>VLOOKUP(W4137,Sheet2!$B:$D,3,FALSE)</f>
        <v>150</v>
      </c>
      <c r="AA4137" s="93">
        <f>AA4136</f>
        <v>6.1349693251533743</v>
      </c>
      <c r="AB4137" s="93">
        <f>AD4137/AC4133</f>
        <v>24.449999999999996</v>
      </c>
      <c r="AC4137" s="93">
        <f>AC4133/AA4137</f>
        <v>9.2144682399999454</v>
      </c>
      <c r="AD4137" s="94">
        <f t="shared" ref="AD4137:AD4138" si="3050">AC4137*Z4137</f>
        <v>1382.1702359999917</v>
      </c>
      <c r="AE4137" s="190"/>
      <c r="AF4137" s="191"/>
      <c r="AG4137" s="191"/>
      <c r="AH4137" s="191"/>
      <c r="AI4137" s="186"/>
      <c r="AK4137" s="171"/>
    </row>
    <row r="4138" spans="1:41" s="102" customFormat="1" ht="19.899999999999999" customHeight="1" x14ac:dyDescent="0.25">
      <c r="A4138" s="45"/>
      <c r="B4138" s="59"/>
      <c r="C4138" s="137"/>
      <c r="D4138" s="59"/>
      <c r="E4138" s="116"/>
      <c r="F4138" s="120"/>
      <c r="G4138" s="120"/>
      <c r="H4138" s="120"/>
      <c r="I4138" s="60"/>
      <c r="J4138" s="116"/>
      <c r="K4138" s="213"/>
      <c r="L4138" s="120"/>
      <c r="M4138" s="120"/>
      <c r="N4138" s="167"/>
      <c r="O4138" s="120"/>
      <c r="P4138" s="120"/>
      <c r="Q4138" s="120"/>
      <c r="R4138" s="120"/>
      <c r="S4138" s="120"/>
      <c r="T4138" s="221"/>
      <c r="U4138" s="89"/>
      <c r="V4138" s="61"/>
      <c r="W4138" s="92" t="s">
        <v>1037</v>
      </c>
      <c r="X4138" s="93" t="s">
        <v>30</v>
      </c>
      <c r="Y4138" s="93" t="s">
        <v>1038</v>
      </c>
      <c r="Z4138" s="134">
        <f>VLOOKUP(W4138,Sheet2!$B:$D,3,FALSE)</f>
        <v>175</v>
      </c>
      <c r="AA4138" s="93">
        <v>300</v>
      </c>
      <c r="AB4138" s="93">
        <f>AD4138/AC4133</f>
        <v>0.58333333333333326</v>
      </c>
      <c r="AC4138" s="93">
        <f>AC4133/AA4138</f>
        <v>0.18843493333333222</v>
      </c>
      <c r="AD4138" s="94">
        <f t="shared" si="3050"/>
        <v>32.976113333333139</v>
      </c>
      <c r="AE4138" s="190"/>
      <c r="AF4138" s="191"/>
      <c r="AG4138" s="191"/>
      <c r="AH4138" s="191"/>
      <c r="AI4138" s="186"/>
      <c r="AK4138" s="171"/>
    </row>
    <row r="4139" spans="1:41" s="103" customFormat="1" ht="19.899999999999999" customHeight="1" x14ac:dyDescent="0.25">
      <c r="A4139" s="51"/>
      <c r="B4139" s="52"/>
      <c r="C4139" s="165"/>
      <c r="D4139" s="52"/>
      <c r="E4139" s="115"/>
      <c r="F4139" s="58"/>
      <c r="G4139" s="58"/>
      <c r="H4139" s="58"/>
      <c r="I4139" s="55"/>
      <c r="J4139" s="113">
        <f>J4122</f>
        <v>56.53047999999967</v>
      </c>
      <c r="K4139" s="212">
        <f>K4122</f>
        <v>56.53047999999967</v>
      </c>
      <c r="L4139" s="58"/>
      <c r="M4139" s="58">
        <f>K4139-L4139</f>
        <v>56.53047999999967</v>
      </c>
      <c r="N4139" s="166"/>
      <c r="O4139" s="58"/>
      <c r="P4139" s="58"/>
      <c r="Q4139" s="58"/>
      <c r="R4139" s="58"/>
      <c r="S4139" s="58"/>
      <c r="T4139" s="220"/>
      <c r="U4139" s="88"/>
      <c r="V4139" s="56"/>
      <c r="W4139" s="57" t="s">
        <v>1040</v>
      </c>
      <c r="X4139" s="53"/>
      <c r="Y4139" s="91" t="s">
        <v>68</v>
      </c>
      <c r="Z4139" s="136">
        <f>AD4139/AC4139</f>
        <v>5</v>
      </c>
      <c r="AA4139" s="58"/>
      <c r="AB4139" s="53">
        <f>AD4139/AC4139</f>
        <v>5</v>
      </c>
      <c r="AC4139" s="53">
        <f>M4139+$AE$10</f>
        <v>56.53047999999967</v>
      </c>
      <c r="AD4139" s="54">
        <f>SUM(AD4140)</f>
        <v>282.65239999999835</v>
      </c>
      <c r="AE4139" s="184">
        <f>SUMIFS($AD$37:$AD$12971,$V$37:$V$12971,$V4139,$X$37:$X$12971,AE$13)</f>
        <v>0</v>
      </c>
      <c r="AF4139" s="185">
        <f>SUMIFS($AD$37:$AD$12971,$V$37:$V$12971,$V4139,$X$37:$X$12971,AF$13)</f>
        <v>0</v>
      </c>
      <c r="AG4139" s="185">
        <f>SUMIFS($AD$37:$AD$12971,$V$37:$V$12971,$V4139,$X$37:$X$12971,AG$13)</f>
        <v>0</v>
      </c>
      <c r="AH4139" s="187">
        <f>SUMIFS($AD$37:$AD$12971,$V$37:$V$12971,$V4139,$X$37:$X$12971,AH$13)</f>
        <v>0</v>
      </c>
      <c r="AI4139" s="161">
        <f t="shared" ref="AI4139" si="3051">SUM(AE4139:AH4139)</f>
        <v>0</v>
      </c>
      <c r="AK4139" s="172"/>
    </row>
    <row r="4140" spans="1:41" s="102" customFormat="1" ht="19.899999999999999" customHeight="1" x14ac:dyDescent="0.25">
      <c r="A4140" s="45"/>
      <c r="B4140" s="59"/>
      <c r="C4140" s="137"/>
      <c r="D4140" s="59"/>
      <c r="E4140" s="116"/>
      <c r="F4140" s="120"/>
      <c r="G4140" s="120"/>
      <c r="H4140" s="120"/>
      <c r="I4140" s="60"/>
      <c r="J4140" s="116"/>
      <c r="K4140" s="213"/>
      <c r="L4140" s="120"/>
      <c r="M4140" s="120"/>
      <c r="N4140" s="167"/>
      <c r="O4140" s="120"/>
      <c r="P4140" s="120"/>
      <c r="Q4140" s="120"/>
      <c r="R4140" s="120"/>
      <c r="S4140" s="120"/>
      <c r="T4140" s="221"/>
      <c r="U4140" s="89"/>
      <c r="V4140" s="61"/>
      <c r="W4140" s="92" t="s">
        <v>1039</v>
      </c>
      <c r="X4140" s="93" t="s">
        <v>32</v>
      </c>
      <c r="Y4140" s="93" t="s">
        <v>68</v>
      </c>
      <c r="Z4140" s="134">
        <f>VLOOKUP(W4140,Sheet2!$B:$D,3,FALSE)</f>
        <v>5</v>
      </c>
      <c r="AA4140" s="93">
        <v>1</v>
      </c>
      <c r="AB4140" s="93">
        <f>AD4140/AC4139</f>
        <v>5</v>
      </c>
      <c r="AC4140" s="93">
        <f>AC4139/AA4140</f>
        <v>56.53047999999967</v>
      </c>
      <c r="AD4140" s="94">
        <f t="shared" ref="AD4140" si="3052">AC4140*Z4140</f>
        <v>282.65239999999835</v>
      </c>
      <c r="AE4140" s="190"/>
      <c r="AF4140" s="191"/>
      <c r="AG4140" s="191"/>
      <c r="AH4140" s="191"/>
      <c r="AI4140" s="186"/>
      <c r="AK4140" s="171"/>
    </row>
    <row r="4141" spans="1:41" ht="20.100000000000001" customHeight="1" x14ac:dyDescent="0.25">
      <c r="A4141" s="277" t="s">
        <v>491</v>
      </c>
      <c r="B4141" s="278"/>
      <c r="C4141" s="64" t="s">
        <v>1188</v>
      </c>
      <c r="D4141" s="46" t="s">
        <v>97</v>
      </c>
      <c r="E4141" s="114">
        <v>38.304472589927627</v>
      </c>
      <c r="F4141" s="44">
        <v>2008</v>
      </c>
      <c r="G4141" s="44">
        <f t="shared" si="2434"/>
        <v>76915.380960574679</v>
      </c>
      <c r="H4141" s="44">
        <f t="shared" si="2435"/>
        <v>824.22477521568635</v>
      </c>
      <c r="I4141" s="43">
        <f t="shared" si="2436"/>
        <v>31571.495310188518</v>
      </c>
      <c r="J4141" s="112">
        <f t="shared" si="2437"/>
        <v>38.304472589927627</v>
      </c>
      <c r="K4141" s="211">
        <f t="shared" si="2438"/>
        <v>38.304472589927627</v>
      </c>
      <c r="L4141" s="44"/>
      <c r="M4141" s="44">
        <f t="shared" si="2458"/>
        <v>38.304472589927627</v>
      </c>
      <c r="N4141" s="173">
        <f t="shared" si="2439"/>
        <v>1</v>
      </c>
      <c r="O4141" s="44">
        <f t="shared" si="2440"/>
        <v>2008</v>
      </c>
      <c r="P4141" s="44">
        <f t="shared" si="2441"/>
        <v>76915.380960574679</v>
      </c>
      <c r="Q4141" s="44">
        <f t="shared" si="2442"/>
        <v>824.22477521568635</v>
      </c>
      <c r="R4141" s="44">
        <f t="shared" si="2459"/>
        <v>31571.495310188518</v>
      </c>
      <c r="S4141" s="123"/>
      <c r="T4141" s="219">
        <f t="shared" si="2460"/>
        <v>31571.495310188518</v>
      </c>
      <c r="U4141" s="87"/>
      <c r="V4141" s="47"/>
      <c r="W4141" s="48"/>
      <c r="X4141" s="48"/>
      <c r="Y4141" s="48"/>
      <c r="Z4141" s="135"/>
      <c r="AA4141" s="49"/>
      <c r="AB4141" s="50">
        <f t="shared" si="2443"/>
        <v>824.22477521568635</v>
      </c>
      <c r="AC4141" s="42">
        <f t="shared" si="2461"/>
        <v>38.304472589927627</v>
      </c>
      <c r="AD4141" s="90">
        <f>AD4142+AD4152+AD4158</f>
        <v>31571.495310188518</v>
      </c>
      <c r="AE4141" s="188">
        <f t="shared" ref="AE4141" si="3053">AE4142+AE4152+AE4158</f>
        <v>0</v>
      </c>
      <c r="AF4141" s="189">
        <f t="shared" ref="AF4141" si="3054">AF4142+AF4152+AF4158</f>
        <v>0</v>
      </c>
      <c r="AG4141" s="189">
        <f t="shared" ref="AG4141" si="3055">AG4142+AG4152+AG4158</f>
        <v>0</v>
      </c>
      <c r="AH4141" s="189">
        <f t="shared" ref="AH4141" si="3056">AH4142+AH4152+AH4158</f>
        <v>0</v>
      </c>
      <c r="AI4141" s="161">
        <f t="shared" si="3044"/>
        <v>0</v>
      </c>
      <c r="AK4141" s="169">
        <v>5</v>
      </c>
      <c r="AO4141" s="19" t="s">
        <v>63</v>
      </c>
    </row>
    <row r="4142" spans="1:41" s="103" customFormat="1" ht="19.899999999999999" customHeight="1" x14ac:dyDescent="0.25">
      <c r="A4142" s="51"/>
      <c r="B4142" s="52"/>
      <c r="C4142" s="165"/>
      <c r="D4142" s="52"/>
      <c r="E4142" s="115"/>
      <c r="F4142" s="58"/>
      <c r="G4142" s="58"/>
      <c r="H4142" s="58"/>
      <c r="I4142" s="55"/>
      <c r="J4142" s="113">
        <f>J4141</f>
        <v>38.304472589927627</v>
      </c>
      <c r="K4142" s="212">
        <f>K4141</f>
        <v>38.304472589927627</v>
      </c>
      <c r="L4142" s="58"/>
      <c r="M4142" s="58">
        <f>K4142-L4142</f>
        <v>38.304472589927627</v>
      </c>
      <c r="N4142" s="166"/>
      <c r="O4142" s="58"/>
      <c r="P4142" s="58"/>
      <c r="Q4142" s="58"/>
      <c r="R4142" s="58"/>
      <c r="S4142" s="58"/>
      <c r="T4142" s="220"/>
      <c r="U4142" s="88"/>
      <c r="V4142" s="56"/>
      <c r="W4142" s="57" t="s">
        <v>1267</v>
      </c>
      <c r="X4142" s="53"/>
      <c r="Y4142" s="91" t="s">
        <v>68</v>
      </c>
      <c r="Z4142" s="136">
        <f>AD4142/AC4142</f>
        <v>83.441441882352933</v>
      </c>
      <c r="AA4142" s="58"/>
      <c r="AB4142" s="53">
        <f>AD4142/AC4142</f>
        <v>83.441441882352933</v>
      </c>
      <c r="AC4142" s="53">
        <f>M4142+$AE$10</f>
        <v>38.304472589927627</v>
      </c>
      <c r="AD4142" s="54">
        <f>SUM(AD4143:AD4151)</f>
        <v>3196.1804234466272</v>
      </c>
      <c r="AE4142" s="184">
        <f>SUMIFS($AD$37:$AD$12971,$V$37:$V$12971,$V4142,$X$37:$X$12971,AE$13)</f>
        <v>0</v>
      </c>
      <c r="AF4142" s="185">
        <f>SUMIFS($AD$37:$AD$12971,$V$37:$V$12971,$V4142,$X$37:$X$12971,AF$13)</f>
        <v>0</v>
      </c>
      <c r="AG4142" s="185">
        <f>SUMIFS($AD$37:$AD$12971,$V$37:$V$12971,$V4142,$X$37:$X$12971,AG$13)</f>
        <v>0</v>
      </c>
      <c r="AH4142" s="187">
        <f>SUMIFS($AD$37:$AD$12971,$V$37:$V$12971,$V4142,$X$37:$X$12971,AH$13)</f>
        <v>0</v>
      </c>
      <c r="AI4142" s="161">
        <f t="shared" ref="AI4142" si="3057">SUM(AE4142:AH4142)</f>
        <v>0</v>
      </c>
      <c r="AK4142" s="172"/>
    </row>
    <row r="4143" spans="1:41" s="102" customFormat="1" ht="19.899999999999999" customHeight="1" x14ac:dyDescent="0.25">
      <c r="A4143" s="45"/>
      <c r="B4143" s="59"/>
      <c r="C4143" s="137"/>
      <c r="D4143" s="59"/>
      <c r="E4143" s="116"/>
      <c r="F4143" s="120"/>
      <c r="G4143" s="120"/>
      <c r="H4143" s="120"/>
      <c r="I4143" s="60"/>
      <c r="J4143" s="116"/>
      <c r="K4143" s="213"/>
      <c r="L4143" s="120"/>
      <c r="M4143" s="120"/>
      <c r="N4143" s="167"/>
      <c r="O4143" s="120"/>
      <c r="P4143" s="120"/>
      <c r="Q4143" s="120"/>
      <c r="R4143" s="120"/>
      <c r="S4143" s="120"/>
      <c r="T4143" s="221"/>
      <c r="U4143" s="89"/>
      <c r="V4143" s="61"/>
      <c r="W4143" s="92" t="s">
        <v>129</v>
      </c>
      <c r="X4143" s="93" t="s">
        <v>29</v>
      </c>
      <c r="Y4143" s="93" t="s">
        <v>93</v>
      </c>
      <c r="Z4143" s="134">
        <f>VLOOKUP(W4143,Sheet2!$B:$D,3,FALSE)</f>
        <v>56</v>
      </c>
      <c r="AA4143" s="93">
        <f>100/(1.63*3)</f>
        <v>20.449897750511248</v>
      </c>
      <c r="AB4143" s="93">
        <f t="shared" ref="AB4143" si="3058">AD4143/AC4142</f>
        <v>2.7383999999999995</v>
      </c>
      <c r="AC4143" s="93">
        <f>AC4142/AA4143</f>
        <v>1.8730887096474609</v>
      </c>
      <c r="AD4143" s="94">
        <f t="shared" ref="AD4143:AD4144" si="3059">AC4143*Z4143</f>
        <v>104.8929677402578</v>
      </c>
      <c r="AE4143" s="190"/>
      <c r="AF4143" s="191"/>
      <c r="AG4143" s="191"/>
      <c r="AH4143" s="191"/>
      <c r="AI4143" s="186"/>
      <c r="AK4143" s="171"/>
    </row>
    <row r="4144" spans="1:41" s="102" customFormat="1" ht="19.899999999999999" customHeight="1" x14ac:dyDescent="0.25">
      <c r="A4144" s="45"/>
      <c r="B4144" s="59"/>
      <c r="C4144" s="137"/>
      <c r="D4144" s="59"/>
      <c r="E4144" s="116"/>
      <c r="F4144" s="120"/>
      <c r="G4144" s="120"/>
      <c r="H4144" s="120"/>
      <c r="I4144" s="60"/>
      <c r="J4144" s="116"/>
      <c r="K4144" s="213"/>
      <c r="L4144" s="120"/>
      <c r="M4144" s="120"/>
      <c r="N4144" s="167"/>
      <c r="O4144" s="120"/>
      <c r="P4144" s="120"/>
      <c r="Q4144" s="120"/>
      <c r="R4144" s="120"/>
      <c r="S4144" s="120"/>
      <c r="T4144" s="221"/>
      <c r="U4144" s="89"/>
      <c r="V4144" s="61"/>
      <c r="W4144" s="92" t="s">
        <v>65</v>
      </c>
      <c r="X4144" s="93" t="s">
        <v>30</v>
      </c>
      <c r="Y4144" s="93" t="s">
        <v>1011</v>
      </c>
      <c r="Z4144" s="134">
        <f>VLOOKUP(W4144,Sheet2!$B:$D,3,FALSE)</f>
        <v>1.76</v>
      </c>
      <c r="AA4144" s="93">
        <f>AA4143/14</f>
        <v>1.4607069821793748</v>
      </c>
      <c r="AB4144" s="93">
        <f>AD4144/AC4142</f>
        <v>1.204896</v>
      </c>
      <c r="AC4144" s="93">
        <f>AC4142/AA4144</f>
        <v>26.223241935064454</v>
      </c>
      <c r="AD4144" s="94">
        <f t="shared" si="3059"/>
        <v>46.152905805713438</v>
      </c>
      <c r="AE4144" s="190"/>
      <c r="AF4144" s="191"/>
      <c r="AG4144" s="191"/>
      <c r="AH4144" s="191"/>
      <c r="AI4144" s="186"/>
      <c r="AK4144" s="171"/>
    </row>
    <row r="4145" spans="1:41" s="102" customFormat="1" ht="19.899999999999999" customHeight="1" x14ac:dyDescent="0.25">
      <c r="A4145" s="45"/>
      <c r="B4145" s="59"/>
      <c r="C4145" s="137"/>
      <c r="D4145" s="59"/>
      <c r="E4145" s="116"/>
      <c r="F4145" s="120"/>
      <c r="G4145" s="120"/>
      <c r="H4145" s="120"/>
      <c r="I4145" s="60"/>
      <c r="J4145" s="116"/>
      <c r="K4145" s="213"/>
      <c r="L4145" s="120"/>
      <c r="M4145" s="120"/>
      <c r="N4145" s="167"/>
      <c r="O4145" s="120"/>
      <c r="P4145" s="120"/>
      <c r="Q4145" s="120"/>
      <c r="R4145" s="120"/>
      <c r="S4145" s="120"/>
      <c r="T4145" s="221"/>
      <c r="U4145" s="89"/>
      <c r="V4145" s="61"/>
      <c r="W4145" s="92" t="s">
        <v>161</v>
      </c>
      <c r="X4145" s="93" t="s">
        <v>29</v>
      </c>
      <c r="Y4145" s="93" t="s">
        <v>93</v>
      </c>
      <c r="Z4145" s="134">
        <f>VLOOKUP(W4145,Sheet2!$B:$D,3,FALSE)</f>
        <v>48</v>
      </c>
      <c r="AA4145" s="93">
        <f>(16*0.85*1.5)/(1.63*3)</f>
        <v>4.1717791411042944</v>
      </c>
      <c r="AB4145" s="93">
        <f>AD4145/AC4142</f>
        <v>11.505882352941176</v>
      </c>
      <c r="AC4145" s="93">
        <f>AC4142/AA4145</f>
        <v>9.1818074002326515</v>
      </c>
      <c r="AD4145" s="94">
        <f>AC4145*Z4145</f>
        <v>440.7267552111673</v>
      </c>
      <c r="AE4145" s="190"/>
      <c r="AF4145" s="191"/>
      <c r="AG4145" s="191"/>
      <c r="AH4145" s="191"/>
      <c r="AI4145" s="186"/>
      <c r="AK4145" s="171"/>
    </row>
    <row r="4146" spans="1:41" s="102" customFormat="1" ht="19.899999999999999" customHeight="1" x14ac:dyDescent="0.25">
      <c r="A4146" s="45"/>
      <c r="B4146" s="59"/>
      <c r="C4146" s="137"/>
      <c r="D4146" s="59"/>
      <c r="E4146" s="116"/>
      <c r="F4146" s="120"/>
      <c r="G4146" s="120"/>
      <c r="H4146" s="120"/>
      <c r="I4146" s="60"/>
      <c r="J4146" s="116"/>
      <c r="K4146" s="213"/>
      <c r="L4146" s="120"/>
      <c r="M4146" s="120"/>
      <c r="N4146" s="167"/>
      <c r="O4146" s="120"/>
      <c r="P4146" s="120"/>
      <c r="Q4146" s="120"/>
      <c r="R4146" s="120"/>
      <c r="S4146" s="120"/>
      <c r="T4146" s="221"/>
      <c r="U4146" s="89"/>
      <c r="V4146" s="61"/>
      <c r="W4146" s="92" t="s">
        <v>65</v>
      </c>
      <c r="X4146" s="93" t="s">
        <v>30</v>
      </c>
      <c r="Y4146" s="93" t="s">
        <v>1011</v>
      </c>
      <c r="Z4146" s="134">
        <f>VLOOKUP(W4146,Sheet2!$B:$D,3,FALSE)</f>
        <v>1.76</v>
      </c>
      <c r="AA4146" s="93">
        <f>AA4145/10</f>
        <v>0.41717791411042943</v>
      </c>
      <c r="AB4146" s="93">
        <f>AD4146/AC4142</f>
        <v>4.2188235294117655</v>
      </c>
      <c r="AC4146" s="93">
        <f>AC4142/AA4146</f>
        <v>91.818074002326526</v>
      </c>
      <c r="AD4146" s="94">
        <f>AC4146*Z4146</f>
        <v>161.5998102440947</v>
      </c>
      <c r="AE4146" s="190"/>
      <c r="AF4146" s="191"/>
      <c r="AG4146" s="191"/>
      <c r="AH4146" s="191"/>
      <c r="AI4146" s="186"/>
      <c r="AK4146" s="171"/>
    </row>
    <row r="4147" spans="1:41" s="102" customFormat="1" ht="19.899999999999999" customHeight="1" x14ac:dyDescent="0.25">
      <c r="A4147" s="45"/>
      <c r="B4147" s="59"/>
      <c r="C4147" s="137"/>
      <c r="D4147" s="59"/>
      <c r="E4147" s="116"/>
      <c r="F4147" s="120"/>
      <c r="G4147" s="120"/>
      <c r="H4147" s="120"/>
      <c r="I4147" s="60"/>
      <c r="J4147" s="116"/>
      <c r="K4147" s="213"/>
      <c r="L4147" s="120"/>
      <c r="M4147" s="120"/>
      <c r="N4147" s="167"/>
      <c r="O4147" s="120"/>
      <c r="P4147" s="120"/>
      <c r="Q4147" s="120"/>
      <c r="R4147" s="120"/>
      <c r="S4147" s="120"/>
      <c r="T4147" s="221"/>
      <c r="U4147" s="89"/>
      <c r="V4147" s="61"/>
      <c r="W4147" s="92" t="s">
        <v>1030</v>
      </c>
      <c r="X4147" s="93" t="s">
        <v>29</v>
      </c>
      <c r="Y4147" s="93" t="s">
        <v>93</v>
      </c>
      <c r="Z4147" s="134">
        <f>VLOOKUP(W4147,Sheet2!$B:$D,3,FALSE)</f>
        <v>23</v>
      </c>
      <c r="AA4147" s="93">
        <v>50</v>
      </c>
      <c r="AB4147" s="93">
        <f>AD4147/AC4142</f>
        <v>0.46000000000000008</v>
      </c>
      <c r="AC4147" s="93">
        <f>AC4142/AA4147</f>
        <v>0.76608945179855259</v>
      </c>
      <c r="AD4147" s="94">
        <f t="shared" ref="AD4147:AD4151" si="3060">AC4147*Z4147</f>
        <v>17.620057391366711</v>
      </c>
      <c r="AE4147" s="190"/>
      <c r="AF4147" s="191"/>
      <c r="AG4147" s="191"/>
      <c r="AH4147" s="191"/>
      <c r="AI4147" s="186"/>
      <c r="AK4147" s="171"/>
    </row>
    <row r="4148" spans="1:41" s="102" customFormat="1" ht="19.899999999999999" customHeight="1" x14ac:dyDescent="0.25">
      <c r="A4148" s="45"/>
      <c r="B4148" s="59"/>
      <c r="C4148" s="137"/>
      <c r="D4148" s="59"/>
      <c r="E4148" s="116"/>
      <c r="F4148" s="120"/>
      <c r="G4148" s="120"/>
      <c r="H4148" s="120"/>
      <c r="I4148" s="60"/>
      <c r="J4148" s="116"/>
      <c r="K4148" s="213"/>
      <c r="L4148" s="120"/>
      <c r="M4148" s="120"/>
      <c r="N4148" s="167"/>
      <c r="O4148" s="120"/>
      <c r="P4148" s="120"/>
      <c r="Q4148" s="120"/>
      <c r="R4148" s="120"/>
      <c r="S4148" s="120"/>
      <c r="T4148" s="221"/>
      <c r="U4148" s="89"/>
      <c r="V4148" s="61"/>
      <c r="W4148" s="92" t="s">
        <v>65</v>
      </c>
      <c r="X4148" s="93" t="s">
        <v>30</v>
      </c>
      <c r="Y4148" s="93" t="s">
        <v>1011</v>
      </c>
      <c r="Z4148" s="134">
        <f>VLOOKUP(W4148,Sheet2!$B:$D,3,FALSE)</f>
        <v>1.76</v>
      </c>
      <c r="AA4148" s="93">
        <f>AA4147/3</f>
        <v>16.666666666666668</v>
      </c>
      <c r="AB4148" s="93">
        <f>AD4148/AC4142</f>
        <v>0.1056</v>
      </c>
      <c r="AC4148" s="93">
        <f>AC4142/AA4148</f>
        <v>2.2982683553956575</v>
      </c>
      <c r="AD4148" s="94">
        <f t="shared" si="3060"/>
        <v>4.0449523054963574</v>
      </c>
      <c r="AE4148" s="190"/>
      <c r="AF4148" s="191"/>
      <c r="AG4148" s="191"/>
      <c r="AH4148" s="191"/>
      <c r="AI4148" s="186"/>
      <c r="AK4148" s="171"/>
    </row>
    <row r="4149" spans="1:41" s="102" customFormat="1" ht="19.899999999999999" customHeight="1" x14ac:dyDescent="0.25">
      <c r="A4149" s="45"/>
      <c r="B4149" s="59"/>
      <c r="C4149" s="137"/>
      <c r="D4149" s="59"/>
      <c r="E4149" s="116"/>
      <c r="F4149" s="120"/>
      <c r="G4149" s="120"/>
      <c r="H4149" s="120"/>
      <c r="I4149" s="60"/>
      <c r="J4149" s="116"/>
      <c r="K4149" s="213"/>
      <c r="L4149" s="120"/>
      <c r="M4149" s="120"/>
      <c r="N4149" s="167"/>
      <c r="O4149" s="120"/>
      <c r="P4149" s="120"/>
      <c r="Q4149" s="120"/>
      <c r="R4149" s="120"/>
      <c r="S4149" s="120"/>
      <c r="T4149" s="221"/>
      <c r="U4149" s="89"/>
      <c r="V4149" s="61"/>
      <c r="W4149" s="92" t="s">
        <v>148</v>
      </c>
      <c r="X4149" s="93" t="s">
        <v>29</v>
      </c>
      <c r="Y4149" s="93" t="s">
        <v>93</v>
      </c>
      <c r="Z4149" s="134">
        <f>VLOOKUP(W4149,Sheet2!$B:$D,3,FALSE)</f>
        <v>48</v>
      </c>
      <c r="AA4149" s="93">
        <f>AA4143</f>
        <v>20.449897750511248</v>
      </c>
      <c r="AB4149" s="93">
        <f>AD4149/AC4142</f>
        <v>2.3472</v>
      </c>
      <c r="AC4149" s="93">
        <f>AC4142/AA4149</f>
        <v>1.8730887096474609</v>
      </c>
      <c r="AD4149" s="94">
        <f t="shared" si="3060"/>
        <v>89.908258063078122</v>
      </c>
      <c r="AE4149" s="190"/>
      <c r="AF4149" s="191"/>
      <c r="AG4149" s="191"/>
      <c r="AH4149" s="191"/>
      <c r="AI4149" s="186"/>
      <c r="AK4149" s="171"/>
    </row>
    <row r="4150" spans="1:41" s="102" customFormat="1" ht="19.899999999999999" customHeight="1" x14ac:dyDescent="0.25">
      <c r="A4150" s="45"/>
      <c r="B4150" s="59"/>
      <c r="C4150" s="137"/>
      <c r="D4150" s="59"/>
      <c r="E4150" s="116"/>
      <c r="F4150" s="120"/>
      <c r="G4150" s="120"/>
      <c r="H4150" s="120"/>
      <c r="I4150" s="60"/>
      <c r="J4150" s="116"/>
      <c r="K4150" s="213"/>
      <c r="L4150" s="120"/>
      <c r="M4150" s="120"/>
      <c r="N4150" s="167"/>
      <c r="O4150" s="120"/>
      <c r="P4150" s="120"/>
      <c r="Q4150" s="120"/>
      <c r="R4150" s="120"/>
      <c r="S4150" s="120"/>
      <c r="T4150" s="221"/>
      <c r="U4150" s="89"/>
      <c r="V4150" s="61"/>
      <c r="W4150" s="92" t="s">
        <v>65</v>
      </c>
      <c r="X4150" s="93" t="s">
        <v>30</v>
      </c>
      <c r="Y4150" s="93" t="s">
        <v>1011</v>
      </c>
      <c r="Z4150" s="134">
        <f>VLOOKUP(W4150,Sheet2!$B:$D,3,FALSE)</f>
        <v>1.76</v>
      </c>
      <c r="AA4150" s="93">
        <f>AA4149/10</f>
        <v>2.0449897750511248</v>
      </c>
      <c r="AB4150" s="93">
        <f>AD4150/AC4142</f>
        <v>0.86064000000000007</v>
      </c>
      <c r="AC4150" s="93">
        <f>AC4142/AA4150</f>
        <v>18.730887096474611</v>
      </c>
      <c r="AD4150" s="94">
        <f t="shared" si="3060"/>
        <v>32.966361289795316</v>
      </c>
      <c r="AE4150" s="190"/>
      <c r="AF4150" s="191"/>
      <c r="AG4150" s="191"/>
      <c r="AH4150" s="191"/>
      <c r="AI4150" s="186"/>
      <c r="AK4150" s="171"/>
    </row>
    <row r="4151" spans="1:41" s="102" customFormat="1" ht="19.899999999999999" customHeight="1" x14ac:dyDescent="0.25">
      <c r="A4151" s="45"/>
      <c r="B4151" s="59"/>
      <c r="C4151" s="137"/>
      <c r="D4151" s="59"/>
      <c r="E4151" s="116"/>
      <c r="F4151" s="120"/>
      <c r="G4151" s="120"/>
      <c r="H4151" s="120"/>
      <c r="I4151" s="60"/>
      <c r="J4151" s="116"/>
      <c r="K4151" s="213"/>
      <c r="L4151" s="120"/>
      <c r="M4151" s="120"/>
      <c r="N4151" s="167"/>
      <c r="O4151" s="120"/>
      <c r="P4151" s="120"/>
      <c r="Q4151" s="120"/>
      <c r="R4151" s="120"/>
      <c r="S4151" s="120"/>
      <c r="T4151" s="221"/>
      <c r="U4151" s="89"/>
      <c r="V4151" s="61"/>
      <c r="W4151" s="92" t="s">
        <v>1049</v>
      </c>
      <c r="X4151" s="93" t="s">
        <v>30</v>
      </c>
      <c r="Y4151" s="93" t="s">
        <v>68</v>
      </c>
      <c r="Z4151" s="134">
        <f>VLOOKUP(W4151,Sheet2!$B:$D,3,FALSE)</f>
        <v>60</v>
      </c>
      <c r="AA4151" s="93">
        <v>1</v>
      </c>
      <c r="AB4151" s="93">
        <f>AD4151/AC4142</f>
        <v>60</v>
      </c>
      <c r="AC4151" s="93">
        <f>AC4142/AA4151</f>
        <v>38.304472589927627</v>
      </c>
      <c r="AD4151" s="94">
        <f t="shared" si="3060"/>
        <v>2298.2683553956576</v>
      </c>
      <c r="AE4151" s="190"/>
      <c r="AF4151" s="191"/>
      <c r="AG4151" s="191"/>
      <c r="AH4151" s="191"/>
      <c r="AI4151" s="186"/>
      <c r="AK4151" s="171"/>
    </row>
    <row r="4152" spans="1:41" s="103" customFormat="1" ht="19.899999999999999" customHeight="1" x14ac:dyDescent="0.25">
      <c r="A4152" s="51"/>
      <c r="B4152" s="52"/>
      <c r="C4152" s="165"/>
      <c r="D4152" s="52"/>
      <c r="E4152" s="115"/>
      <c r="F4152" s="58"/>
      <c r="G4152" s="58"/>
      <c r="H4152" s="58"/>
      <c r="I4152" s="55"/>
      <c r="J4152" s="113">
        <f>J4141</f>
        <v>38.304472589927627</v>
      </c>
      <c r="K4152" s="212">
        <f>K4141</f>
        <v>38.304472589927627</v>
      </c>
      <c r="L4152" s="58"/>
      <c r="M4152" s="58">
        <f>K4152-L4152</f>
        <v>38.304472589927627</v>
      </c>
      <c r="N4152" s="166"/>
      <c r="O4152" s="58"/>
      <c r="P4152" s="58"/>
      <c r="Q4152" s="58"/>
      <c r="R4152" s="58"/>
      <c r="S4152" s="58"/>
      <c r="T4152" s="220"/>
      <c r="U4152" s="88"/>
      <c r="V4152" s="56"/>
      <c r="W4152" s="57" t="s">
        <v>1036</v>
      </c>
      <c r="X4152" s="53"/>
      <c r="Y4152" s="91" t="s">
        <v>68</v>
      </c>
      <c r="Z4152" s="136">
        <f>AD4152/AC4152</f>
        <v>735.7833333333333</v>
      </c>
      <c r="AA4152" s="58"/>
      <c r="AB4152" s="53">
        <f>AD4152/AC4152</f>
        <v>735.7833333333333</v>
      </c>
      <c r="AC4152" s="53">
        <f>M4152+$AE$10</f>
        <v>38.304472589927627</v>
      </c>
      <c r="AD4152" s="54">
        <f>SUM(AD4153:AD4157)</f>
        <v>28183.79252379225</v>
      </c>
      <c r="AE4152" s="184">
        <f>SUMIFS($AD$37:$AD$12971,$V$37:$V$12971,$V4152,$X$37:$X$12971,AE$13)</f>
        <v>0</v>
      </c>
      <c r="AF4152" s="185">
        <f>SUMIFS($AD$37:$AD$12971,$V$37:$V$12971,$V4152,$X$37:$X$12971,AF$13)</f>
        <v>0</v>
      </c>
      <c r="AG4152" s="185">
        <f>SUMIFS($AD$37:$AD$12971,$V$37:$V$12971,$V4152,$X$37:$X$12971,AG$13)</f>
        <v>0</v>
      </c>
      <c r="AH4152" s="187">
        <f>SUMIFS($AD$37:$AD$12971,$V$37:$V$12971,$V4152,$X$37:$X$12971,AH$13)</f>
        <v>0</v>
      </c>
      <c r="AI4152" s="161">
        <f t="shared" ref="AI4152" si="3061">SUM(AE4152:AH4152)</f>
        <v>0</v>
      </c>
      <c r="AK4152" s="172"/>
    </row>
    <row r="4153" spans="1:41" s="102" customFormat="1" ht="19.899999999999999" customHeight="1" x14ac:dyDescent="0.25">
      <c r="A4153" s="45"/>
      <c r="B4153" s="59"/>
      <c r="C4153" s="137"/>
      <c r="D4153" s="59"/>
      <c r="E4153" s="116"/>
      <c r="F4153" s="120"/>
      <c r="G4153" s="120"/>
      <c r="H4153" s="120"/>
      <c r="I4153" s="60"/>
      <c r="J4153" s="116"/>
      <c r="K4153" s="213"/>
      <c r="L4153" s="120"/>
      <c r="M4153" s="120"/>
      <c r="N4153" s="167"/>
      <c r="O4153" s="120"/>
      <c r="P4153" s="120"/>
      <c r="Q4153" s="120"/>
      <c r="R4153" s="120"/>
      <c r="S4153" s="120"/>
      <c r="T4153" s="221"/>
      <c r="U4153" s="89"/>
      <c r="V4153" s="61"/>
      <c r="W4153" s="92" t="s">
        <v>178</v>
      </c>
      <c r="X4153" s="93" t="s">
        <v>30</v>
      </c>
      <c r="Y4153" s="93" t="s">
        <v>68</v>
      </c>
      <c r="Z4153" s="134">
        <f>VLOOKUP(W4153,Sheet2!$B:$D,3,FALSE)</f>
        <v>610</v>
      </c>
      <c r="AA4153" s="93">
        <v>1</v>
      </c>
      <c r="AB4153" s="93">
        <f>AD4153/AC4152</f>
        <v>610</v>
      </c>
      <c r="AC4153" s="93">
        <f>AC4152/AA4153</f>
        <v>38.304472589927627</v>
      </c>
      <c r="AD4153" s="94">
        <f t="shared" ref="AD4153" si="3062">AC4153*Z4153</f>
        <v>23365.728279855852</v>
      </c>
      <c r="AE4153" s="190"/>
      <c r="AF4153" s="191"/>
      <c r="AG4153" s="191"/>
      <c r="AH4153" s="191"/>
      <c r="AI4153" s="186"/>
      <c r="AK4153" s="171"/>
    </row>
    <row r="4154" spans="1:41" s="102" customFormat="1" ht="19.899999999999999" customHeight="1" x14ac:dyDescent="0.25">
      <c r="A4154" s="45"/>
      <c r="B4154" s="59"/>
      <c r="C4154" s="137"/>
      <c r="D4154" s="59"/>
      <c r="E4154" s="116"/>
      <c r="F4154" s="120"/>
      <c r="G4154" s="120"/>
      <c r="H4154" s="120"/>
      <c r="I4154" s="60"/>
      <c r="J4154" s="116"/>
      <c r="K4154" s="213"/>
      <c r="L4154" s="120"/>
      <c r="M4154" s="120"/>
      <c r="N4154" s="167"/>
      <c r="O4154" s="120"/>
      <c r="P4154" s="120"/>
      <c r="Q4154" s="120"/>
      <c r="R4154" s="120"/>
      <c r="S4154" s="120"/>
      <c r="T4154" s="221"/>
      <c r="U4154" s="89"/>
      <c r="V4154" s="61"/>
      <c r="W4154" s="92" t="s">
        <v>179</v>
      </c>
      <c r="X4154" s="93" t="s">
        <v>32</v>
      </c>
      <c r="Y4154" s="93" t="s">
        <v>68</v>
      </c>
      <c r="Z4154" s="134">
        <f>VLOOKUP(W4154,Sheet2!$B:$D,3,FALSE)</f>
        <v>60</v>
      </c>
      <c r="AA4154" s="93">
        <v>1</v>
      </c>
      <c r="AB4154" s="93">
        <f>AD4154/AC4152</f>
        <v>60</v>
      </c>
      <c r="AC4154" s="93">
        <f>AC4152/AA4154</f>
        <v>38.304472589927627</v>
      </c>
      <c r="AD4154" s="94">
        <f>AC4154*Z4154</f>
        <v>2298.2683553956576</v>
      </c>
      <c r="AE4154" s="190"/>
      <c r="AF4154" s="191"/>
      <c r="AG4154" s="191"/>
      <c r="AH4154" s="191"/>
      <c r="AI4154" s="186"/>
      <c r="AK4154" s="171"/>
    </row>
    <row r="4155" spans="1:41" s="102" customFormat="1" ht="19.899999999999999" customHeight="1" x14ac:dyDescent="0.25">
      <c r="A4155" s="45"/>
      <c r="B4155" s="59"/>
      <c r="C4155" s="137"/>
      <c r="D4155" s="59"/>
      <c r="E4155" s="116"/>
      <c r="F4155" s="120"/>
      <c r="G4155" s="120"/>
      <c r="H4155" s="120"/>
      <c r="I4155" s="60"/>
      <c r="J4155" s="116"/>
      <c r="K4155" s="213"/>
      <c r="L4155" s="120"/>
      <c r="M4155" s="120"/>
      <c r="N4155" s="167"/>
      <c r="O4155" s="120"/>
      <c r="P4155" s="120"/>
      <c r="Q4155" s="120"/>
      <c r="R4155" s="120"/>
      <c r="S4155" s="120"/>
      <c r="T4155" s="221"/>
      <c r="U4155" s="89"/>
      <c r="V4155" s="61"/>
      <c r="W4155" s="92" t="s">
        <v>1032</v>
      </c>
      <c r="X4155" s="93" t="s">
        <v>30</v>
      </c>
      <c r="Y4155" s="93" t="s">
        <v>66</v>
      </c>
      <c r="Z4155" s="134">
        <f>VLOOKUP(W4155,Sheet2!$B:$D,3,FALSE)</f>
        <v>250</v>
      </c>
      <c r="AA4155" s="93">
        <f>1/(1.63*0.1)</f>
        <v>6.1349693251533743</v>
      </c>
      <c r="AB4155" s="93">
        <f>AD4155/AC4152</f>
        <v>40.75</v>
      </c>
      <c r="AC4155" s="93">
        <f>AC4152/AA4155</f>
        <v>6.2436290321582035</v>
      </c>
      <c r="AD4155" s="94">
        <f>AC4155*Z4155</f>
        <v>1560.9072580395509</v>
      </c>
      <c r="AE4155" s="190"/>
      <c r="AF4155" s="191"/>
      <c r="AG4155" s="191"/>
      <c r="AH4155" s="191"/>
      <c r="AI4155" s="186"/>
      <c r="AK4155" s="171"/>
    </row>
    <row r="4156" spans="1:41" s="102" customFormat="1" ht="19.899999999999999" customHeight="1" x14ac:dyDescent="0.25">
      <c r="A4156" s="45"/>
      <c r="B4156" s="59"/>
      <c r="C4156" s="137"/>
      <c r="D4156" s="59"/>
      <c r="E4156" s="116"/>
      <c r="F4156" s="120"/>
      <c r="G4156" s="120"/>
      <c r="H4156" s="120"/>
      <c r="I4156" s="60"/>
      <c r="J4156" s="116"/>
      <c r="K4156" s="213"/>
      <c r="L4156" s="120"/>
      <c r="M4156" s="120"/>
      <c r="N4156" s="167"/>
      <c r="O4156" s="120"/>
      <c r="P4156" s="120"/>
      <c r="Q4156" s="120"/>
      <c r="R4156" s="120"/>
      <c r="S4156" s="120"/>
      <c r="T4156" s="221"/>
      <c r="U4156" s="89"/>
      <c r="V4156" s="61"/>
      <c r="W4156" s="92" t="s">
        <v>1035</v>
      </c>
      <c r="X4156" s="93" t="s">
        <v>32</v>
      </c>
      <c r="Y4156" s="93" t="s">
        <v>66</v>
      </c>
      <c r="Z4156" s="134">
        <f>VLOOKUP(W4156,Sheet2!$B:$D,3,FALSE)</f>
        <v>150</v>
      </c>
      <c r="AA4156" s="93">
        <f>AA4155</f>
        <v>6.1349693251533743</v>
      </c>
      <c r="AB4156" s="93">
        <f>AD4156/AC4152</f>
        <v>24.45</v>
      </c>
      <c r="AC4156" s="93">
        <f>AC4152/AA4156</f>
        <v>6.2436290321582035</v>
      </c>
      <c r="AD4156" s="94">
        <f t="shared" ref="AD4156:AD4157" si="3063">AC4156*Z4156</f>
        <v>936.54435482373049</v>
      </c>
      <c r="AE4156" s="190"/>
      <c r="AF4156" s="191"/>
      <c r="AG4156" s="191"/>
      <c r="AH4156" s="191"/>
      <c r="AI4156" s="186"/>
      <c r="AK4156" s="171"/>
    </row>
    <row r="4157" spans="1:41" s="102" customFormat="1" ht="19.899999999999999" customHeight="1" x14ac:dyDescent="0.25">
      <c r="A4157" s="45"/>
      <c r="B4157" s="59"/>
      <c r="C4157" s="137"/>
      <c r="D4157" s="59"/>
      <c r="E4157" s="116"/>
      <c r="F4157" s="120"/>
      <c r="G4157" s="120"/>
      <c r="H4157" s="120"/>
      <c r="I4157" s="60"/>
      <c r="J4157" s="116"/>
      <c r="K4157" s="213"/>
      <c r="L4157" s="120"/>
      <c r="M4157" s="120"/>
      <c r="N4157" s="167"/>
      <c r="O4157" s="120"/>
      <c r="P4157" s="120"/>
      <c r="Q4157" s="120"/>
      <c r="R4157" s="120"/>
      <c r="S4157" s="120"/>
      <c r="T4157" s="221"/>
      <c r="U4157" s="89"/>
      <c r="V4157" s="61"/>
      <c r="W4157" s="92" t="s">
        <v>1037</v>
      </c>
      <c r="X4157" s="93" t="s">
        <v>30</v>
      </c>
      <c r="Y4157" s="93" t="s">
        <v>1038</v>
      </c>
      <c r="Z4157" s="134">
        <f>VLOOKUP(W4157,Sheet2!$B:$D,3,FALSE)</f>
        <v>175</v>
      </c>
      <c r="AA4157" s="93">
        <v>300</v>
      </c>
      <c r="AB4157" s="93">
        <f>AD4157/AC4152</f>
        <v>0.58333333333333337</v>
      </c>
      <c r="AC4157" s="93">
        <f>AC4152/AA4157</f>
        <v>0.12768157529975876</v>
      </c>
      <c r="AD4157" s="94">
        <f t="shared" si="3063"/>
        <v>22.344275677457784</v>
      </c>
      <c r="AE4157" s="190"/>
      <c r="AF4157" s="191"/>
      <c r="AG4157" s="191"/>
      <c r="AH4157" s="191"/>
      <c r="AI4157" s="186"/>
      <c r="AK4157" s="171"/>
    </row>
    <row r="4158" spans="1:41" s="103" customFormat="1" ht="19.899999999999999" customHeight="1" x14ac:dyDescent="0.25">
      <c r="A4158" s="51"/>
      <c r="B4158" s="52"/>
      <c r="C4158" s="165"/>
      <c r="D4158" s="52"/>
      <c r="E4158" s="115"/>
      <c r="F4158" s="58"/>
      <c r="G4158" s="58"/>
      <c r="H4158" s="58"/>
      <c r="I4158" s="55"/>
      <c r="J4158" s="113">
        <f>J4141</f>
        <v>38.304472589927627</v>
      </c>
      <c r="K4158" s="212">
        <f>K4141</f>
        <v>38.304472589927627</v>
      </c>
      <c r="L4158" s="58"/>
      <c r="M4158" s="58">
        <f>K4158-L4158</f>
        <v>38.304472589927627</v>
      </c>
      <c r="N4158" s="166"/>
      <c r="O4158" s="58"/>
      <c r="P4158" s="58"/>
      <c r="Q4158" s="58"/>
      <c r="R4158" s="58"/>
      <c r="S4158" s="58"/>
      <c r="T4158" s="220"/>
      <c r="U4158" s="88"/>
      <c r="V4158" s="56"/>
      <c r="W4158" s="57" t="s">
        <v>1040</v>
      </c>
      <c r="X4158" s="53"/>
      <c r="Y4158" s="91" t="s">
        <v>68</v>
      </c>
      <c r="Z4158" s="136">
        <f>AD4158/AC4158</f>
        <v>5</v>
      </c>
      <c r="AA4158" s="58"/>
      <c r="AB4158" s="53">
        <f>AD4158/AC4158</f>
        <v>5</v>
      </c>
      <c r="AC4158" s="53">
        <f>M4158+$AE$10</f>
        <v>38.304472589927627</v>
      </c>
      <c r="AD4158" s="54">
        <f>SUM(AD4159)</f>
        <v>191.52236294963814</v>
      </c>
      <c r="AE4158" s="184">
        <f>SUMIFS($AD$37:$AD$12971,$V$37:$V$12971,$V4158,$X$37:$X$12971,AE$13)</f>
        <v>0</v>
      </c>
      <c r="AF4158" s="185">
        <f>SUMIFS($AD$37:$AD$12971,$V$37:$V$12971,$V4158,$X$37:$X$12971,AF$13)</f>
        <v>0</v>
      </c>
      <c r="AG4158" s="185">
        <f>SUMIFS($AD$37:$AD$12971,$V$37:$V$12971,$V4158,$X$37:$X$12971,AG$13)</f>
        <v>0</v>
      </c>
      <c r="AH4158" s="187">
        <f>SUMIFS($AD$37:$AD$12971,$V$37:$V$12971,$V4158,$X$37:$X$12971,AH$13)</f>
        <v>0</v>
      </c>
      <c r="AI4158" s="161">
        <f t="shared" ref="AI4158" si="3064">SUM(AE4158:AH4158)</f>
        <v>0</v>
      </c>
      <c r="AK4158" s="172"/>
    </row>
    <row r="4159" spans="1:41" s="102" customFormat="1" ht="19.899999999999999" customHeight="1" x14ac:dyDescent="0.25">
      <c r="A4159" s="45"/>
      <c r="B4159" s="59"/>
      <c r="C4159" s="137"/>
      <c r="D4159" s="59"/>
      <c r="E4159" s="116"/>
      <c r="F4159" s="120"/>
      <c r="G4159" s="120"/>
      <c r="H4159" s="120"/>
      <c r="I4159" s="60"/>
      <c r="J4159" s="116"/>
      <c r="K4159" s="213"/>
      <c r="L4159" s="120"/>
      <c r="M4159" s="120"/>
      <c r="N4159" s="167"/>
      <c r="O4159" s="120"/>
      <c r="P4159" s="120"/>
      <c r="Q4159" s="120"/>
      <c r="R4159" s="120"/>
      <c r="S4159" s="120"/>
      <c r="T4159" s="221"/>
      <c r="U4159" s="89"/>
      <c r="V4159" s="61"/>
      <c r="W4159" s="92" t="s">
        <v>1039</v>
      </c>
      <c r="X4159" s="93" t="s">
        <v>32</v>
      </c>
      <c r="Y4159" s="93" t="s">
        <v>68</v>
      </c>
      <c r="Z4159" s="134">
        <f>VLOOKUP(W4159,Sheet2!$B:$D,3,FALSE)</f>
        <v>5</v>
      </c>
      <c r="AA4159" s="93">
        <v>1</v>
      </c>
      <c r="AB4159" s="93">
        <f>AD4159/AC4158</f>
        <v>5</v>
      </c>
      <c r="AC4159" s="93">
        <f>AC4158/AA4159</f>
        <v>38.304472589927627</v>
      </c>
      <c r="AD4159" s="94">
        <f t="shared" ref="AD4159" si="3065">AC4159*Z4159</f>
        <v>191.52236294963814</v>
      </c>
      <c r="AE4159" s="190"/>
      <c r="AF4159" s="191"/>
      <c r="AG4159" s="191"/>
      <c r="AH4159" s="191"/>
      <c r="AI4159" s="186"/>
      <c r="AK4159" s="171"/>
    </row>
    <row r="4160" spans="1:41" ht="20.100000000000001" customHeight="1" x14ac:dyDescent="0.25">
      <c r="A4160" s="277" t="s">
        <v>491</v>
      </c>
      <c r="B4160" s="278"/>
      <c r="C4160" s="64" t="s">
        <v>1203</v>
      </c>
      <c r="D4160" s="46" t="s">
        <v>97</v>
      </c>
      <c r="E4160" s="114">
        <v>2.1841600000000057</v>
      </c>
      <c r="F4160" s="44">
        <v>1553</v>
      </c>
      <c r="G4160" s="44">
        <f t="shared" si="2434"/>
        <v>3392.0004800000088</v>
      </c>
      <c r="H4160" s="44">
        <f t="shared" si="2435"/>
        <v>4.3782403137254899</v>
      </c>
      <c r="I4160" s="43">
        <f t="shared" si="2436"/>
        <v>9.5627773636266902</v>
      </c>
      <c r="J4160" s="112">
        <f t="shared" si="2437"/>
        <v>2.1841600000000057</v>
      </c>
      <c r="K4160" s="211">
        <f t="shared" si="2438"/>
        <v>2.1841600000000057</v>
      </c>
      <c r="L4160" s="44"/>
      <c r="M4160" s="44">
        <f t="shared" si="2458"/>
        <v>2.1841600000000057</v>
      </c>
      <c r="N4160" s="173">
        <f t="shared" si="2439"/>
        <v>1</v>
      </c>
      <c r="O4160" s="44">
        <f t="shared" si="2440"/>
        <v>1553</v>
      </c>
      <c r="P4160" s="44">
        <f t="shared" si="2441"/>
        <v>3392.0004800000088</v>
      </c>
      <c r="Q4160" s="44">
        <f t="shared" si="2442"/>
        <v>4.3782403137254899</v>
      </c>
      <c r="R4160" s="44">
        <f t="shared" si="2459"/>
        <v>9.5627773636266902</v>
      </c>
      <c r="S4160" s="123"/>
      <c r="T4160" s="219">
        <f t="shared" si="2460"/>
        <v>9.5627773636266902</v>
      </c>
      <c r="U4160" s="87"/>
      <c r="V4160" s="47"/>
      <c r="W4160" s="48"/>
      <c r="X4160" s="48"/>
      <c r="Y4160" s="48"/>
      <c r="Z4160" s="135"/>
      <c r="AA4160" s="49"/>
      <c r="AB4160" s="50">
        <f t="shared" si="2443"/>
        <v>4.3782403137254899</v>
      </c>
      <c r="AC4160" s="42">
        <f t="shared" si="2461"/>
        <v>2.1841600000000057</v>
      </c>
      <c r="AD4160" s="90">
        <f>AD4161</f>
        <v>9.5627773636266902</v>
      </c>
      <c r="AE4160" s="188">
        <f t="shared" ref="AE4160:AH4160" si="3066">AE4161</f>
        <v>0</v>
      </c>
      <c r="AF4160" s="189">
        <f t="shared" si="3066"/>
        <v>0</v>
      </c>
      <c r="AG4160" s="189">
        <f t="shared" si="3066"/>
        <v>0</v>
      </c>
      <c r="AH4160" s="189">
        <f t="shared" si="3066"/>
        <v>0</v>
      </c>
      <c r="AI4160" s="161">
        <f t="shared" ref="AI4160:AI4161" si="3067">SUM(AE4160:AH4160)</f>
        <v>0</v>
      </c>
      <c r="AK4160" s="169">
        <v>5</v>
      </c>
      <c r="AO4160" s="19" t="s">
        <v>63</v>
      </c>
    </row>
    <row r="4161" spans="1:41" s="103" customFormat="1" ht="19.899999999999999" customHeight="1" x14ac:dyDescent="0.25">
      <c r="A4161" s="51"/>
      <c r="B4161" s="52"/>
      <c r="C4161" s="165"/>
      <c r="D4161" s="52"/>
      <c r="E4161" s="115"/>
      <c r="F4161" s="58"/>
      <c r="G4161" s="58"/>
      <c r="H4161" s="58"/>
      <c r="I4161" s="55"/>
      <c r="J4161" s="113">
        <f>J4160</f>
        <v>2.1841600000000057</v>
      </c>
      <c r="K4161" s="212">
        <f>K4160</f>
        <v>2.1841600000000057</v>
      </c>
      <c r="L4161" s="58"/>
      <c r="M4161" s="58">
        <f>K4161-L4161</f>
        <v>2.1841600000000057</v>
      </c>
      <c r="N4161" s="166"/>
      <c r="O4161" s="58"/>
      <c r="P4161" s="58"/>
      <c r="Q4161" s="58"/>
      <c r="R4161" s="58"/>
      <c r="S4161" s="58"/>
      <c r="T4161" s="220"/>
      <c r="U4161" s="88"/>
      <c r="V4161" s="56"/>
      <c r="W4161" s="57" t="s">
        <v>1268</v>
      </c>
      <c r="X4161" s="53"/>
      <c r="Y4161" s="91" t="s">
        <v>68</v>
      </c>
      <c r="Z4161" s="136">
        <f>AD4161/AC4161</f>
        <v>4.3782403137254899</v>
      </c>
      <c r="AA4161" s="58"/>
      <c r="AB4161" s="53">
        <f>AD4161/AC4161</f>
        <v>4.3782403137254899</v>
      </c>
      <c r="AC4161" s="53">
        <f>M4161+$AE$10</f>
        <v>2.1841600000000057</v>
      </c>
      <c r="AD4161" s="54">
        <f>SUM(AD4162:AD4169)</f>
        <v>9.5627773636266902</v>
      </c>
      <c r="AE4161" s="184">
        <f>SUMIFS($AD$37:$AD$12971,$V$37:$V$12971,$V4161,$X$37:$X$12971,AE$13)</f>
        <v>0</v>
      </c>
      <c r="AF4161" s="185">
        <f>SUMIFS($AD$37:$AD$12971,$V$37:$V$12971,$V4161,$X$37:$X$12971,AF$13)</f>
        <v>0</v>
      </c>
      <c r="AG4161" s="185">
        <f>SUMIFS($AD$37:$AD$12971,$V$37:$V$12971,$V4161,$X$37:$X$12971,AG$13)</f>
        <v>0</v>
      </c>
      <c r="AH4161" s="187">
        <f>SUMIFS($AD$37:$AD$12971,$V$37:$V$12971,$V4161,$X$37:$X$12971,AH$13)</f>
        <v>0</v>
      </c>
      <c r="AI4161" s="161">
        <f t="shared" si="3067"/>
        <v>0</v>
      </c>
      <c r="AK4161" s="172"/>
    </row>
    <row r="4162" spans="1:41" s="102" customFormat="1" ht="19.899999999999999" customHeight="1" x14ac:dyDescent="0.25">
      <c r="A4162" s="45"/>
      <c r="B4162" s="59"/>
      <c r="C4162" s="137"/>
      <c r="D4162" s="59"/>
      <c r="E4162" s="116"/>
      <c r="F4162" s="120"/>
      <c r="G4162" s="120"/>
      <c r="H4162" s="120"/>
      <c r="I4162" s="60"/>
      <c r="J4162" s="116"/>
      <c r="K4162" s="213"/>
      <c r="L4162" s="120"/>
      <c r="M4162" s="120"/>
      <c r="N4162" s="167"/>
      <c r="O4162" s="120"/>
      <c r="P4162" s="120"/>
      <c r="Q4162" s="120"/>
      <c r="R4162" s="120"/>
      <c r="S4162" s="120"/>
      <c r="T4162" s="221"/>
      <c r="U4162" s="89"/>
      <c r="V4162" s="61"/>
      <c r="W4162" s="92" t="s">
        <v>129</v>
      </c>
      <c r="X4162" s="93" t="s">
        <v>29</v>
      </c>
      <c r="Y4162" s="93" t="s">
        <v>93</v>
      </c>
      <c r="Z4162" s="134">
        <f>VLOOKUP(W4162,Sheet2!$B:$D,3,FALSE)</f>
        <v>56</v>
      </c>
      <c r="AA4162" s="93">
        <f>100/(1.63*0.5)</f>
        <v>122.69938650306749</v>
      </c>
      <c r="AB4162" s="93">
        <f t="shared" ref="AB4162" si="3068">AD4162/AC4161</f>
        <v>0.45639999999999997</v>
      </c>
      <c r="AC4162" s="93">
        <f>AC4161/AA4162</f>
        <v>1.7800904000000044E-2</v>
      </c>
      <c r="AD4162" s="94">
        <f t="shared" ref="AD4162:AD4163" si="3069">AC4162*Z4162</f>
        <v>0.99685062400000246</v>
      </c>
      <c r="AE4162" s="190"/>
      <c r="AF4162" s="191"/>
      <c r="AG4162" s="191"/>
      <c r="AH4162" s="191"/>
      <c r="AI4162" s="186"/>
      <c r="AK4162" s="171"/>
    </row>
    <row r="4163" spans="1:41" s="102" customFormat="1" ht="19.899999999999999" customHeight="1" x14ac:dyDescent="0.25">
      <c r="A4163" s="45"/>
      <c r="B4163" s="59"/>
      <c r="C4163" s="137"/>
      <c r="D4163" s="59"/>
      <c r="E4163" s="116"/>
      <c r="F4163" s="120"/>
      <c r="G4163" s="120"/>
      <c r="H4163" s="120"/>
      <c r="I4163" s="60"/>
      <c r="J4163" s="116"/>
      <c r="K4163" s="213"/>
      <c r="L4163" s="120"/>
      <c r="M4163" s="120"/>
      <c r="N4163" s="167"/>
      <c r="O4163" s="120"/>
      <c r="P4163" s="120"/>
      <c r="Q4163" s="120"/>
      <c r="R4163" s="120"/>
      <c r="S4163" s="120"/>
      <c r="T4163" s="221"/>
      <c r="U4163" s="89"/>
      <c r="V4163" s="61"/>
      <c r="W4163" s="92" t="s">
        <v>65</v>
      </c>
      <c r="X4163" s="93" t="s">
        <v>30</v>
      </c>
      <c r="Y4163" s="93" t="s">
        <v>1011</v>
      </c>
      <c r="Z4163" s="134">
        <f>VLOOKUP(W4163,Sheet2!$B:$D,3,FALSE)</f>
        <v>1.76</v>
      </c>
      <c r="AA4163" s="93">
        <f>AA4162/14</f>
        <v>8.7642418930762496</v>
      </c>
      <c r="AB4163" s="93">
        <f>AD4163/AC4161</f>
        <v>0.20081599999999997</v>
      </c>
      <c r="AC4163" s="93">
        <f>AC4161/AA4163</f>
        <v>0.24921265600000062</v>
      </c>
      <c r="AD4163" s="94">
        <f t="shared" si="3069"/>
        <v>0.43861427456000107</v>
      </c>
      <c r="AE4163" s="190"/>
      <c r="AF4163" s="191"/>
      <c r="AG4163" s="191"/>
      <c r="AH4163" s="191"/>
      <c r="AI4163" s="186"/>
      <c r="AK4163" s="171"/>
    </row>
    <row r="4164" spans="1:41" s="102" customFormat="1" ht="19.899999999999999" customHeight="1" x14ac:dyDescent="0.25">
      <c r="A4164" s="45"/>
      <c r="B4164" s="59"/>
      <c r="C4164" s="137"/>
      <c r="D4164" s="59"/>
      <c r="E4164" s="116"/>
      <c r="F4164" s="120"/>
      <c r="G4164" s="120"/>
      <c r="H4164" s="120"/>
      <c r="I4164" s="60"/>
      <c r="J4164" s="116"/>
      <c r="K4164" s="213"/>
      <c r="L4164" s="120"/>
      <c r="M4164" s="120"/>
      <c r="N4164" s="167"/>
      <c r="O4164" s="120"/>
      <c r="P4164" s="120"/>
      <c r="Q4164" s="120"/>
      <c r="R4164" s="120"/>
      <c r="S4164" s="120"/>
      <c r="T4164" s="221"/>
      <c r="U4164" s="89"/>
      <c r="V4164" s="61"/>
      <c r="W4164" s="92" t="s">
        <v>161</v>
      </c>
      <c r="X4164" s="93" t="s">
        <v>29</v>
      </c>
      <c r="Y4164" s="93" t="s">
        <v>93</v>
      </c>
      <c r="Z4164" s="134">
        <f>VLOOKUP(W4164,Sheet2!$B:$D,3,FALSE)</f>
        <v>48</v>
      </c>
      <c r="AA4164" s="93">
        <f>(16*0.85*1.5)/(1.63*0.5)</f>
        <v>25.030674846625768</v>
      </c>
      <c r="AB4164" s="93">
        <f>AD4164/AC4161</f>
        <v>1.917647058823529</v>
      </c>
      <c r="AC4164" s="93">
        <f>AC4161/AA4164</f>
        <v>8.725933333333355E-2</v>
      </c>
      <c r="AD4164" s="94">
        <f>AC4164*Z4164</f>
        <v>4.1884480000000099</v>
      </c>
      <c r="AE4164" s="190"/>
      <c r="AF4164" s="191"/>
      <c r="AG4164" s="191"/>
      <c r="AH4164" s="191"/>
      <c r="AI4164" s="186"/>
      <c r="AK4164" s="171"/>
    </row>
    <row r="4165" spans="1:41" s="102" customFormat="1" ht="19.899999999999999" customHeight="1" x14ac:dyDescent="0.25">
      <c r="A4165" s="45"/>
      <c r="B4165" s="59"/>
      <c r="C4165" s="137"/>
      <c r="D4165" s="59"/>
      <c r="E4165" s="116"/>
      <c r="F4165" s="120"/>
      <c r="G4165" s="120"/>
      <c r="H4165" s="120"/>
      <c r="I4165" s="60"/>
      <c r="J4165" s="116"/>
      <c r="K4165" s="213"/>
      <c r="L4165" s="120"/>
      <c r="M4165" s="120"/>
      <c r="N4165" s="167"/>
      <c r="O4165" s="120"/>
      <c r="P4165" s="120"/>
      <c r="Q4165" s="120"/>
      <c r="R4165" s="120"/>
      <c r="S4165" s="120"/>
      <c r="T4165" s="221"/>
      <c r="U4165" s="89"/>
      <c r="V4165" s="61"/>
      <c r="W4165" s="92" t="s">
        <v>65</v>
      </c>
      <c r="X4165" s="93" t="s">
        <v>30</v>
      </c>
      <c r="Y4165" s="93" t="s">
        <v>1011</v>
      </c>
      <c r="Z4165" s="134">
        <f>VLOOKUP(W4165,Sheet2!$B:$D,3,FALSE)</f>
        <v>1.76</v>
      </c>
      <c r="AA4165" s="93">
        <f>AA4164/10</f>
        <v>2.5030674846625769</v>
      </c>
      <c r="AB4165" s="93">
        <f>AD4165/AC4161</f>
        <v>0.70313725490196077</v>
      </c>
      <c r="AC4165" s="93">
        <f>AC4161/AA4165</f>
        <v>0.87259333333333555</v>
      </c>
      <c r="AD4165" s="94">
        <f>AC4165*Z4165</f>
        <v>1.5357642666666707</v>
      </c>
      <c r="AE4165" s="190"/>
      <c r="AF4165" s="191"/>
      <c r="AG4165" s="191"/>
      <c r="AH4165" s="191"/>
      <c r="AI4165" s="186"/>
      <c r="AK4165" s="171"/>
    </row>
    <row r="4166" spans="1:41" s="102" customFormat="1" ht="19.899999999999999" customHeight="1" x14ac:dyDescent="0.25">
      <c r="A4166" s="45"/>
      <c r="B4166" s="59"/>
      <c r="C4166" s="137"/>
      <c r="D4166" s="59"/>
      <c r="E4166" s="116"/>
      <c r="F4166" s="120"/>
      <c r="G4166" s="120"/>
      <c r="H4166" s="120"/>
      <c r="I4166" s="60"/>
      <c r="J4166" s="116"/>
      <c r="K4166" s="213"/>
      <c r="L4166" s="120"/>
      <c r="M4166" s="120"/>
      <c r="N4166" s="167"/>
      <c r="O4166" s="120"/>
      <c r="P4166" s="120"/>
      <c r="Q4166" s="120"/>
      <c r="R4166" s="120"/>
      <c r="S4166" s="120"/>
      <c r="T4166" s="221"/>
      <c r="U4166" s="89"/>
      <c r="V4166" s="61"/>
      <c r="W4166" s="92" t="s">
        <v>1030</v>
      </c>
      <c r="X4166" s="93" t="s">
        <v>29</v>
      </c>
      <c r="Y4166" s="93" t="s">
        <v>93</v>
      </c>
      <c r="Z4166" s="134">
        <f>VLOOKUP(W4166,Sheet2!$B:$D,3,FALSE)</f>
        <v>23</v>
      </c>
      <c r="AA4166" s="93">
        <v>50</v>
      </c>
      <c r="AB4166" s="93">
        <f>AD4166/AC4161</f>
        <v>0.46000000000000008</v>
      </c>
      <c r="AC4166" s="93">
        <f>AC4161/AA4166</f>
        <v>4.3683200000000116E-2</v>
      </c>
      <c r="AD4166" s="94">
        <f t="shared" ref="AD4166:AD4169" si="3070">AC4166*Z4166</f>
        <v>1.0047136000000028</v>
      </c>
      <c r="AE4166" s="190"/>
      <c r="AF4166" s="191"/>
      <c r="AG4166" s="191"/>
      <c r="AH4166" s="191"/>
      <c r="AI4166" s="186"/>
      <c r="AK4166" s="171"/>
    </row>
    <row r="4167" spans="1:41" s="102" customFormat="1" ht="19.899999999999999" customHeight="1" x14ac:dyDescent="0.25">
      <c r="A4167" s="45"/>
      <c r="B4167" s="59"/>
      <c r="C4167" s="137"/>
      <c r="D4167" s="59"/>
      <c r="E4167" s="116"/>
      <c r="F4167" s="120"/>
      <c r="G4167" s="120"/>
      <c r="H4167" s="120"/>
      <c r="I4167" s="60"/>
      <c r="J4167" s="116"/>
      <c r="K4167" s="213"/>
      <c r="L4167" s="120"/>
      <c r="M4167" s="120"/>
      <c r="N4167" s="167"/>
      <c r="O4167" s="120"/>
      <c r="P4167" s="120"/>
      <c r="Q4167" s="120"/>
      <c r="R4167" s="120"/>
      <c r="S4167" s="120"/>
      <c r="T4167" s="221"/>
      <c r="U4167" s="89"/>
      <c r="V4167" s="61"/>
      <c r="W4167" s="92" t="s">
        <v>65</v>
      </c>
      <c r="X4167" s="93" t="s">
        <v>30</v>
      </c>
      <c r="Y4167" s="93" t="s">
        <v>1011</v>
      </c>
      <c r="Z4167" s="134">
        <f>VLOOKUP(W4167,Sheet2!$B:$D,3,FALSE)</f>
        <v>1.76</v>
      </c>
      <c r="AA4167" s="93">
        <f>AA4166/3</f>
        <v>16.666666666666668</v>
      </c>
      <c r="AB4167" s="93">
        <f>AD4167/AC4161</f>
        <v>0.10559999999999999</v>
      </c>
      <c r="AC4167" s="93">
        <f>AC4161/AA4167</f>
        <v>0.13104960000000032</v>
      </c>
      <c r="AD4167" s="94">
        <f t="shared" si="3070"/>
        <v>0.23064729600000056</v>
      </c>
      <c r="AE4167" s="190"/>
      <c r="AF4167" s="191"/>
      <c r="AG4167" s="191"/>
      <c r="AH4167" s="191"/>
      <c r="AI4167" s="186"/>
      <c r="AK4167" s="171"/>
    </row>
    <row r="4168" spans="1:41" s="102" customFormat="1" ht="19.899999999999999" customHeight="1" x14ac:dyDescent="0.25">
      <c r="A4168" s="45"/>
      <c r="B4168" s="59"/>
      <c r="C4168" s="137"/>
      <c r="D4168" s="59"/>
      <c r="E4168" s="116"/>
      <c r="F4168" s="120"/>
      <c r="G4168" s="120"/>
      <c r="H4168" s="120"/>
      <c r="I4168" s="60"/>
      <c r="J4168" s="116"/>
      <c r="K4168" s="213"/>
      <c r="L4168" s="120"/>
      <c r="M4168" s="120"/>
      <c r="N4168" s="167"/>
      <c r="O4168" s="120"/>
      <c r="P4168" s="120"/>
      <c r="Q4168" s="120"/>
      <c r="R4168" s="120"/>
      <c r="S4168" s="120"/>
      <c r="T4168" s="221"/>
      <c r="U4168" s="89"/>
      <c r="V4168" s="61"/>
      <c r="W4168" s="92" t="s">
        <v>148</v>
      </c>
      <c r="X4168" s="93" t="s">
        <v>29</v>
      </c>
      <c r="Y4168" s="93" t="s">
        <v>93</v>
      </c>
      <c r="Z4168" s="134">
        <f>VLOOKUP(W4168,Sheet2!$B:$D,3,FALSE)</f>
        <v>48</v>
      </c>
      <c r="AA4168" s="93">
        <f>AA4162</f>
        <v>122.69938650306749</v>
      </c>
      <c r="AB4168" s="93">
        <f>AD4168/AC4161</f>
        <v>0.39119999999999994</v>
      </c>
      <c r="AC4168" s="93">
        <f>AC4161/AA4168</f>
        <v>1.7800904000000044E-2</v>
      </c>
      <c r="AD4168" s="94">
        <f t="shared" si="3070"/>
        <v>0.85444339200000208</v>
      </c>
      <c r="AE4168" s="190"/>
      <c r="AF4168" s="191"/>
      <c r="AG4168" s="191"/>
      <c r="AH4168" s="191"/>
      <c r="AI4168" s="186"/>
      <c r="AK4168" s="171"/>
    </row>
    <row r="4169" spans="1:41" s="102" customFormat="1" ht="19.899999999999999" customHeight="1" x14ac:dyDescent="0.25">
      <c r="A4169" s="45"/>
      <c r="B4169" s="59"/>
      <c r="C4169" s="137"/>
      <c r="D4169" s="59"/>
      <c r="E4169" s="116"/>
      <c r="F4169" s="120"/>
      <c r="G4169" s="120"/>
      <c r="H4169" s="120"/>
      <c r="I4169" s="60"/>
      <c r="J4169" s="116"/>
      <c r="K4169" s="213"/>
      <c r="L4169" s="120"/>
      <c r="M4169" s="120"/>
      <c r="N4169" s="167"/>
      <c r="O4169" s="120"/>
      <c r="P4169" s="120"/>
      <c r="Q4169" s="120"/>
      <c r="R4169" s="120"/>
      <c r="S4169" s="120"/>
      <c r="T4169" s="221"/>
      <c r="U4169" s="89"/>
      <c r="V4169" s="61"/>
      <c r="W4169" s="92" t="s">
        <v>65</v>
      </c>
      <c r="X4169" s="93" t="s">
        <v>30</v>
      </c>
      <c r="Y4169" s="93" t="s">
        <v>1011</v>
      </c>
      <c r="Z4169" s="134">
        <f>VLOOKUP(W4169,Sheet2!$B:$D,3,FALSE)</f>
        <v>1.76</v>
      </c>
      <c r="AA4169" s="93">
        <f>AA4168/10</f>
        <v>12.269938650306749</v>
      </c>
      <c r="AB4169" s="93">
        <f>AD4169/AC4161</f>
        <v>0.14344000000000001</v>
      </c>
      <c r="AC4169" s="93">
        <f>AC4161/AA4169</f>
        <v>0.17800904000000045</v>
      </c>
      <c r="AD4169" s="94">
        <f t="shared" si="3070"/>
        <v>0.31329591040000082</v>
      </c>
      <c r="AE4169" s="190"/>
      <c r="AF4169" s="191"/>
      <c r="AG4169" s="191"/>
      <c r="AH4169" s="191"/>
      <c r="AI4169" s="186"/>
      <c r="AK4169" s="171"/>
    </row>
    <row r="4170" spans="1:41" ht="20.100000000000001" customHeight="1" x14ac:dyDescent="0.25">
      <c r="A4170" s="277" t="s">
        <v>491</v>
      </c>
      <c r="B4170" s="278"/>
      <c r="C4170" s="64" t="s">
        <v>1261</v>
      </c>
      <c r="D4170" s="46" t="s">
        <v>97</v>
      </c>
      <c r="E4170" s="114">
        <v>3.3194400000000002</v>
      </c>
      <c r="F4170" s="44">
        <v>1644</v>
      </c>
      <c r="G4170" s="44">
        <f t="shared" si="2434"/>
        <v>5457.1593600000006</v>
      </c>
      <c r="H4170" s="44">
        <f t="shared" si="2435"/>
        <v>8.1908806274509782</v>
      </c>
      <c r="I4170" s="43">
        <f t="shared" si="2436"/>
        <v>27.189136789985877</v>
      </c>
      <c r="J4170" s="112">
        <f t="shared" si="2437"/>
        <v>3.3194400000000002</v>
      </c>
      <c r="K4170" s="211">
        <f t="shared" si="2438"/>
        <v>3.3194400000000002</v>
      </c>
      <c r="L4170" s="44"/>
      <c r="M4170" s="44">
        <f t="shared" si="2458"/>
        <v>3.3194400000000002</v>
      </c>
      <c r="N4170" s="173">
        <f t="shared" si="2439"/>
        <v>1</v>
      </c>
      <c r="O4170" s="44">
        <f t="shared" si="2440"/>
        <v>1644</v>
      </c>
      <c r="P4170" s="44">
        <f t="shared" si="2441"/>
        <v>5457.1593600000006</v>
      </c>
      <c r="Q4170" s="44">
        <f t="shared" si="2442"/>
        <v>8.1908806274509782</v>
      </c>
      <c r="R4170" s="44">
        <f t="shared" si="2459"/>
        <v>27.189136789985877</v>
      </c>
      <c r="S4170" s="123"/>
      <c r="T4170" s="219">
        <f t="shared" si="2460"/>
        <v>27.189136789985877</v>
      </c>
      <c r="U4170" s="87"/>
      <c r="V4170" s="47"/>
      <c r="W4170" s="48"/>
      <c r="X4170" s="48"/>
      <c r="Y4170" s="48"/>
      <c r="Z4170" s="135"/>
      <c r="AA4170" s="49"/>
      <c r="AB4170" s="50">
        <f t="shared" si="2443"/>
        <v>8.1908806274509782</v>
      </c>
      <c r="AC4170" s="42">
        <f t="shared" si="2461"/>
        <v>3.3194400000000002</v>
      </c>
      <c r="AD4170" s="90">
        <f>AD4171</f>
        <v>27.189136789985877</v>
      </c>
      <c r="AE4170" s="188">
        <f t="shared" ref="AE4170:AH4170" si="3071">AE4171</f>
        <v>0</v>
      </c>
      <c r="AF4170" s="189">
        <f t="shared" si="3071"/>
        <v>0</v>
      </c>
      <c r="AG4170" s="189">
        <f t="shared" si="3071"/>
        <v>0</v>
      </c>
      <c r="AH4170" s="189">
        <f t="shared" si="3071"/>
        <v>0</v>
      </c>
      <c r="AI4170" s="161">
        <f t="shared" ref="AI4170:AI4171" si="3072">SUM(AE4170:AH4170)</f>
        <v>0</v>
      </c>
      <c r="AK4170" s="169">
        <v>5</v>
      </c>
      <c r="AO4170" s="19" t="s">
        <v>63</v>
      </c>
    </row>
    <row r="4171" spans="1:41" s="103" customFormat="1" ht="19.899999999999999" customHeight="1" x14ac:dyDescent="0.25">
      <c r="A4171" s="51"/>
      <c r="B4171" s="52"/>
      <c r="C4171" s="165"/>
      <c r="D4171" s="52"/>
      <c r="E4171" s="115"/>
      <c r="F4171" s="58"/>
      <c r="G4171" s="58"/>
      <c r="H4171" s="58"/>
      <c r="I4171" s="55"/>
      <c r="J4171" s="113">
        <f>J4170</f>
        <v>3.3194400000000002</v>
      </c>
      <c r="K4171" s="212">
        <f>K4170</f>
        <v>3.3194400000000002</v>
      </c>
      <c r="L4171" s="58"/>
      <c r="M4171" s="58">
        <f>K4171-L4171</f>
        <v>3.3194400000000002</v>
      </c>
      <c r="N4171" s="166"/>
      <c r="O4171" s="58"/>
      <c r="P4171" s="58"/>
      <c r="Q4171" s="58"/>
      <c r="R4171" s="58"/>
      <c r="S4171" s="58"/>
      <c r="T4171" s="220"/>
      <c r="U4171" s="88"/>
      <c r="V4171" s="56"/>
      <c r="W4171" s="57" t="s">
        <v>1269</v>
      </c>
      <c r="X4171" s="53"/>
      <c r="Y4171" s="91" t="s">
        <v>68</v>
      </c>
      <c r="Z4171" s="136">
        <f>AD4171/AC4171</f>
        <v>8.1908806274509782</v>
      </c>
      <c r="AA4171" s="58"/>
      <c r="AB4171" s="53">
        <f>AD4171/AC4171</f>
        <v>8.1908806274509782</v>
      </c>
      <c r="AC4171" s="53">
        <f>M4171+$AE$10</f>
        <v>3.3194400000000002</v>
      </c>
      <c r="AD4171" s="54">
        <f>SUM(AD4172:AD4179)</f>
        <v>27.189136789985877</v>
      </c>
      <c r="AE4171" s="184">
        <f>SUMIFS($AD$37:$AD$12971,$V$37:$V$12971,$V4171,$X$37:$X$12971,AE$13)</f>
        <v>0</v>
      </c>
      <c r="AF4171" s="185">
        <f>SUMIFS($AD$37:$AD$12971,$V$37:$V$12971,$V4171,$X$37:$X$12971,AF$13)</f>
        <v>0</v>
      </c>
      <c r="AG4171" s="185">
        <f>SUMIFS($AD$37:$AD$12971,$V$37:$V$12971,$V4171,$X$37:$X$12971,AG$13)</f>
        <v>0</v>
      </c>
      <c r="AH4171" s="187">
        <f>SUMIFS($AD$37:$AD$12971,$V$37:$V$12971,$V4171,$X$37:$X$12971,AH$13)</f>
        <v>0</v>
      </c>
      <c r="AI4171" s="161">
        <f t="shared" si="3072"/>
        <v>0</v>
      </c>
      <c r="AK4171" s="172"/>
    </row>
    <row r="4172" spans="1:41" s="102" customFormat="1" ht="19.899999999999999" customHeight="1" x14ac:dyDescent="0.25">
      <c r="A4172" s="45"/>
      <c r="B4172" s="59"/>
      <c r="C4172" s="137"/>
      <c r="D4172" s="59"/>
      <c r="E4172" s="116"/>
      <c r="F4172" s="120"/>
      <c r="G4172" s="120"/>
      <c r="H4172" s="120"/>
      <c r="I4172" s="60"/>
      <c r="J4172" s="116"/>
      <c r="K4172" s="213"/>
      <c r="L4172" s="120"/>
      <c r="M4172" s="120"/>
      <c r="N4172" s="167"/>
      <c r="O4172" s="120"/>
      <c r="P4172" s="120"/>
      <c r="Q4172" s="120"/>
      <c r="R4172" s="120"/>
      <c r="S4172" s="120"/>
      <c r="T4172" s="221"/>
      <c r="U4172" s="89"/>
      <c r="V4172" s="61"/>
      <c r="W4172" s="92" t="s">
        <v>129</v>
      </c>
      <c r="X4172" s="93" t="s">
        <v>29</v>
      </c>
      <c r="Y4172" s="93" t="s">
        <v>93</v>
      </c>
      <c r="Z4172" s="134">
        <f>VLOOKUP(W4172,Sheet2!$B:$D,3,FALSE)</f>
        <v>56</v>
      </c>
      <c r="AA4172" s="93">
        <f>100/(1.63*1)</f>
        <v>61.349693251533743</v>
      </c>
      <c r="AB4172" s="93">
        <f t="shared" ref="AB4172" si="3073">AD4172/AC4171</f>
        <v>0.91280000000000006</v>
      </c>
      <c r="AC4172" s="93">
        <f>AC4171/AA4172</f>
        <v>5.4106872E-2</v>
      </c>
      <c r="AD4172" s="94">
        <f t="shared" ref="AD4172:AD4173" si="3074">AC4172*Z4172</f>
        <v>3.0299848320000002</v>
      </c>
      <c r="AE4172" s="190"/>
      <c r="AF4172" s="191"/>
      <c r="AG4172" s="191"/>
      <c r="AH4172" s="191"/>
      <c r="AI4172" s="186"/>
      <c r="AK4172" s="171"/>
    </row>
    <row r="4173" spans="1:41" s="102" customFormat="1" ht="19.899999999999999" customHeight="1" x14ac:dyDescent="0.25">
      <c r="A4173" s="45"/>
      <c r="B4173" s="59"/>
      <c r="C4173" s="137"/>
      <c r="D4173" s="59"/>
      <c r="E4173" s="116"/>
      <c r="F4173" s="120"/>
      <c r="G4173" s="120"/>
      <c r="H4173" s="120"/>
      <c r="I4173" s="60"/>
      <c r="J4173" s="116"/>
      <c r="K4173" s="213"/>
      <c r="L4173" s="120"/>
      <c r="M4173" s="120"/>
      <c r="N4173" s="167"/>
      <c r="O4173" s="120"/>
      <c r="P4173" s="120"/>
      <c r="Q4173" s="120"/>
      <c r="R4173" s="120"/>
      <c r="S4173" s="120"/>
      <c r="T4173" s="221"/>
      <c r="U4173" s="89"/>
      <c r="V4173" s="61"/>
      <c r="W4173" s="92" t="s">
        <v>65</v>
      </c>
      <c r="X4173" s="93" t="s">
        <v>30</v>
      </c>
      <c r="Y4173" s="93" t="s">
        <v>1011</v>
      </c>
      <c r="Z4173" s="134">
        <f>VLOOKUP(W4173,Sheet2!$B:$D,3,FALSE)</f>
        <v>1.76</v>
      </c>
      <c r="AA4173" s="93">
        <f>AA4172/14</f>
        <v>4.3821209465381248</v>
      </c>
      <c r="AB4173" s="93">
        <f>AD4173/AC4171</f>
        <v>0.40163199999999999</v>
      </c>
      <c r="AC4173" s="93">
        <f>AC4171/AA4173</f>
        <v>0.75749620799999995</v>
      </c>
      <c r="AD4173" s="94">
        <f t="shared" si="3074"/>
        <v>1.33319332608</v>
      </c>
      <c r="AE4173" s="190"/>
      <c r="AF4173" s="191"/>
      <c r="AG4173" s="191"/>
      <c r="AH4173" s="191"/>
      <c r="AI4173" s="186"/>
      <c r="AK4173" s="171"/>
    </row>
    <row r="4174" spans="1:41" s="102" customFormat="1" ht="19.899999999999999" customHeight="1" x14ac:dyDescent="0.25">
      <c r="A4174" s="45"/>
      <c r="B4174" s="59"/>
      <c r="C4174" s="137"/>
      <c r="D4174" s="59"/>
      <c r="E4174" s="116"/>
      <c r="F4174" s="120"/>
      <c r="G4174" s="120"/>
      <c r="H4174" s="120"/>
      <c r="I4174" s="60"/>
      <c r="J4174" s="116"/>
      <c r="K4174" s="213"/>
      <c r="L4174" s="120"/>
      <c r="M4174" s="120"/>
      <c r="N4174" s="167"/>
      <c r="O4174" s="120"/>
      <c r="P4174" s="120"/>
      <c r="Q4174" s="120"/>
      <c r="R4174" s="120"/>
      <c r="S4174" s="120"/>
      <c r="T4174" s="221"/>
      <c r="U4174" s="89"/>
      <c r="V4174" s="61"/>
      <c r="W4174" s="92" t="s">
        <v>161</v>
      </c>
      <c r="X4174" s="93" t="s">
        <v>29</v>
      </c>
      <c r="Y4174" s="93" t="s">
        <v>93</v>
      </c>
      <c r="Z4174" s="134">
        <f>VLOOKUP(W4174,Sheet2!$B:$D,3,FALSE)</f>
        <v>48</v>
      </c>
      <c r="AA4174" s="93">
        <f>(16*0.85*1.5)/(1.63*1)</f>
        <v>12.515337423312884</v>
      </c>
      <c r="AB4174" s="93">
        <f>AD4174/AC4171</f>
        <v>3.8352941176470585</v>
      </c>
      <c r="AC4174" s="93">
        <f>AC4171/AA4174</f>
        <v>0.26522976470588233</v>
      </c>
      <c r="AD4174" s="94">
        <f>AC4174*Z4174</f>
        <v>12.731028705882352</v>
      </c>
      <c r="AE4174" s="190"/>
      <c r="AF4174" s="191"/>
      <c r="AG4174" s="191"/>
      <c r="AH4174" s="191"/>
      <c r="AI4174" s="186"/>
      <c r="AK4174" s="171"/>
    </row>
    <row r="4175" spans="1:41" s="102" customFormat="1" ht="19.899999999999999" customHeight="1" x14ac:dyDescent="0.25">
      <c r="A4175" s="45"/>
      <c r="B4175" s="59"/>
      <c r="C4175" s="137"/>
      <c r="D4175" s="59"/>
      <c r="E4175" s="116"/>
      <c r="F4175" s="120"/>
      <c r="G4175" s="120"/>
      <c r="H4175" s="120"/>
      <c r="I4175" s="60"/>
      <c r="J4175" s="116"/>
      <c r="K4175" s="213"/>
      <c r="L4175" s="120"/>
      <c r="M4175" s="120"/>
      <c r="N4175" s="167"/>
      <c r="O4175" s="120"/>
      <c r="P4175" s="120"/>
      <c r="Q4175" s="120"/>
      <c r="R4175" s="120"/>
      <c r="S4175" s="120"/>
      <c r="T4175" s="221"/>
      <c r="U4175" s="89"/>
      <c r="V4175" s="61"/>
      <c r="W4175" s="92" t="s">
        <v>65</v>
      </c>
      <c r="X4175" s="93" t="s">
        <v>30</v>
      </c>
      <c r="Y4175" s="93" t="s">
        <v>1011</v>
      </c>
      <c r="Z4175" s="134">
        <f>VLOOKUP(W4175,Sheet2!$B:$D,3,FALSE)</f>
        <v>1.76</v>
      </c>
      <c r="AA4175" s="93">
        <f>AA4174/10</f>
        <v>1.2515337423312884</v>
      </c>
      <c r="AB4175" s="93">
        <f>AD4175/AC4171</f>
        <v>1.4062745098039213</v>
      </c>
      <c r="AC4175" s="93">
        <f>AC4171/AA4175</f>
        <v>2.6522976470588233</v>
      </c>
      <c r="AD4175" s="94">
        <f>AC4175*Z4175</f>
        <v>4.6680438588235287</v>
      </c>
      <c r="AE4175" s="190"/>
      <c r="AF4175" s="191"/>
      <c r="AG4175" s="191"/>
      <c r="AH4175" s="191"/>
      <c r="AI4175" s="186"/>
      <c r="AK4175" s="171"/>
    </row>
    <row r="4176" spans="1:41" s="102" customFormat="1" ht="19.899999999999999" customHeight="1" x14ac:dyDescent="0.25">
      <c r="A4176" s="45"/>
      <c r="B4176" s="59"/>
      <c r="C4176" s="137"/>
      <c r="D4176" s="59"/>
      <c r="E4176" s="116"/>
      <c r="F4176" s="120"/>
      <c r="G4176" s="120"/>
      <c r="H4176" s="120"/>
      <c r="I4176" s="60"/>
      <c r="J4176" s="116"/>
      <c r="K4176" s="213"/>
      <c r="L4176" s="120"/>
      <c r="M4176" s="120"/>
      <c r="N4176" s="167"/>
      <c r="O4176" s="120"/>
      <c r="P4176" s="120"/>
      <c r="Q4176" s="120"/>
      <c r="R4176" s="120"/>
      <c r="S4176" s="120"/>
      <c r="T4176" s="221"/>
      <c r="U4176" s="89"/>
      <c r="V4176" s="61"/>
      <c r="W4176" s="92" t="s">
        <v>1030</v>
      </c>
      <c r="X4176" s="93" t="s">
        <v>29</v>
      </c>
      <c r="Y4176" s="93" t="s">
        <v>93</v>
      </c>
      <c r="Z4176" s="134">
        <f>VLOOKUP(W4176,Sheet2!$B:$D,3,FALSE)</f>
        <v>23</v>
      </c>
      <c r="AA4176" s="93">
        <v>50</v>
      </c>
      <c r="AB4176" s="93">
        <f>AD4176/AC4171</f>
        <v>0.45999999999999996</v>
      </c>
      <c r="AC4176" s="93">
        <f>AC4171/AA4176</f>
        <v>6.6388799999999998E-2</v>
      </c>
      <c r="AD4176" s="94">
        <f t="shared" ref="AD4176:AD4179" si="3075">AC4176*Z4176</f>
        <v>1.5269424</v>
      </c>
      <c r="AE4176" s="190"/>
      <c r="AF4176" s="191"/>
      <c r="AG4176" s="191"/>
      <c r="AH4176" s="191"/>
      <c r="AI4176" s="186"/>
      <c r="AK4176" s="171"/>
    </row>
    <row r="4177" spans="1:41" s="102" customFormat="1" ht="19.899999999999999" customHeight="1" x14ac:dyDescent="0.25">
      <c r="A4177" s="45"/>
      <c r="B4177" s="59"/>
      <c r="C4177" s="137"/>
      <c r="D4177" s="59"/>
      <c r="E4177" s="116"/>
      <c r="F4177" s="120"/>
      <c r="G4177" s="120"/>
      <c r="H4177" s="120"/>
      <c r="I4177" s="60"/>
      <c r="J4177" s="116"/>
      <c r="K4177" s="213"/>
      <c r="L4177" s="120"/>
      <c r="M4177" s="120"/>
      <c r="N4177" s="167"/>
      <c r="O4177" s="120"/>
      <c r="P4177" s="120"/>
      <c r="Q4177" s="120"/>
      <c r="R4177" s="120"/>
      <c r="S4177" s="120"/>
      <c r="T4177" s="221"/>
      <c r="U4177" s="89"/>
      <c r="V4177" s="61"/>
      <c r="W4177" s="92" t="s">
        <v>65</v>
      </c>
      <c r="X4177" s="93" t="s">
        <v>30</v>
      </c>
      <c r="Y4177" s="93" t="s">
        <v>1011</v>
      </c>
      <c r="Z4177" s="134">
        <f>VLOOKUP(W4177,Sheet2!$B:$D,3,FALSE)</f>
        <v>1.76</v>
      </c>
      <c r="AA4177" s="93">
        <f>AA4176/3</f>
        <v>16.666666666666668</v>
      </c>
      <c r="AB4177" s="93">
        <f>AD4177/AC4171</f>
        <v>0.1056</v>
      </c>
      <c r="AC4177" s="93">
        <f>AC4171/AA4177</f>
        <v>0.19916639999999999</v>
      </c>
      <c r="AD4177" s="94">
        <f t="shared" si="3075"/>
        <v>0.350532864</v>
      </c>
      <c r="AE4177" s="190"/>
      <c r="AF4177" s="191"/>
      <c r="AG4177" s="191"/>
      <c r="AH4177" s="191"/>
      <c r="AI4177" s="186"/>
      <c r="AK4177" s="171"/>
    </row>
    <row r="4178" spans="1:41" s="102" customFormat="1" ht="19.899999999999999" customHeight="1" x14ac:dyDescent="0.25">
      <c r="A4178" s="45"/>
      <c r="B4178" s="59"/>
      <c r="C4178" s="137"/>
      <c r="D4178" s="59"/>
      <c r="E4178" s="116"/>
      <c r="F4178" s="120"/>
      <c r="G4178" s="120"/>
      <c r="H4178" s="120"/>
      <c r="I4178" s="60"/>
      <c r="J4178" s="116"/>
      <c r="K4178" s="213"/>
      <c r="L4178" s="120"/>
      <c r="M4178" s="120"/>
      <c r="N4178" s="167"/>
      <c r="O4178" s="120"/>
      <c r="P4178" s="120"/>
      <c r="Q4178" s="120"/>
      <c r="R4178" s="120"/>
      <c r="S4178" s="120"/>
      <c r="T4178" s="221"/>
      <c r="U4178" s="89"/>
      <c r="V4178" s="61"/>
      <c r="W4178" s="92" t="s">
        <v>148</v>
      </c>
      <c r="X4178" s="93" t="s">
        <v>29</v>
      </c>
      <c r="Y4178" s="93" t="s">
        <v>93</v>
      </c>
      <c r="Z4178" s="134">
        <f>VLOOKUP(W4178,Sheet2!$B:$D,3,FALSE)</f>
        <v>48</v>
      </c>
      <c r="AA4178" s="93">
        <f>AA4172</f>
        <v>61.349693251533743</v>
      </c>
      <c r="AB4178" s="93">
        <f>AD4178/AC4171</f>
        <v>0.78239999999999998</v>
      </c>
      <c r="AC4178" s="93">
        <f>AC4171/AA4178</f>
        <v>5.4106872E-2</v>
      </c>
      <c r="AD4178" s="94">
        <f t="shared" si="3075"/>
        <v>2.597129856</v>
      </c>
      <c r="AE4178" s="190"/>
      <c r="AF4178" s="191"/>
      <c r="AG4178" s="191"/>
      <c r="AH4178" s="191"/>
      <c r="AI4178" s="186"/>
      <c r="AK4178" s="171"/>
    </row>
    <row r="4179" spans="1:41" s="102" customFormat="1" ht="19.899999999999999" customHeight="1" x14ac:dyDescent="0.25">
      <c r="A4179" s="45"/>
      <c r="B4179" s="59"/>
      <c r="C4179" s="137"/>
      <c r="D4179" s="59"/>
      <c r="E4179" s="116"/>
      <c r="F4179" s="120"/>
      <c r="G4179" s="120"/>
      <c r="H4179" s="120"/>
      <c r="I4179" s="60"/>
      <c r="J4179" s="116"/>
      <c r="K4179" s="213"/>
      <c r="L4179" s="120"/>
      <c r="M4179" s="120"/>
      <c r="N4179" s="167"/>
      <c r="O4179" s="120"/>
      <c r="P4179" s="120"/>
      <c r="Q4179" s="120"/>
      <c r="R4179" s="120"/>
      <c r="S4179" s="120"/>
      <c r="T4179" s="221"/>
      <c r="U4179" s="89"/>
      <c r="V4179" s="61"/>
      <c r="W4179" s="92" t="s">
        <v>65</v>
      </c>
      <c r="X4179" s="93" t="s">
        <v>30</v>
      </c>
      <c r="Y4179" s="93" t="s">
        <v>1011</v>
      </c>
      <c r="Z4179" s="134">
        <f>VLOOKUP(W4179,Sheet2!$B:$D,3,FALSE)</f>
        <v>1.76</v>
      </c>
      <c r="AA4179" s="93">
        <f>AA4178/10</f>
        <v>6.1349693251533743</v>
      </c>
      <c r="AB4179" s="93">
        <f>AD4179/AC4171</f>
        <v>0.28688000000000002</v>
      </c>
      <c r="AC4179" s="93">
        <f>AC4171/AA4179</f>
        <v>0.54106872000000006</v>
      </c>
      <c r="AD4179" s="94">
        <f t="shared" si="3075"/>
        <v>0.95228094720000012</v>
      </c>
      <c r="AE4179" s="190"/>
      <c r="AF4179" s="191"/>
      <c r="AG4179" s="191"/>
      <c r="AH4179" s="191"/>
      <c r="AI4179" s="186"/>
      <c r="AK4179" s="171"/>
    </row>
    <row r="4180" spans="1:41" ht="20.100000000000001" customHeight="1" x14ac:dyDescent="0.25">
      <c r="A4180" s="277" t="s">
        <v>491</v>
      </c>
      <c r="B4180" s="278"/>
      <c r="C4180" s="64" t="s">
        <v>1262</v>
      </c>
      <c r="D4180" s="46" t="s">
        <v>97</v>
      </c>
      <c r="E4180" s="114"/>
      <c r="F4180" s="44"/>
      <c r="G4180" s="44">
        <f t="shared" si="2434"/>
        <v>0</v>
      </c>
      <c r="H4180" s="44">
        <f t="shared" si="2435"/>
        <v>0</v>
      </c>
      <c r="I4180" s="43">
        <f t="shared" si="2436"/>
        <v>0</v>
      </c>
      <c r="J4180" s="112">
        <f t="shared" si="2437"/>
        <v>0</v>
      </c>
      <c r="K4180" s="211">
        <f t="shared" si="2438"/>
        <v>0</v>
      </c>
      <c r="L4180" s="44"/>
      <c r="M4180" s="44">
        <f t="shared" si="2458"/>
        <v>0</v>
      </c>
      <c r="N4180" s="173">
        <f t="shared" si="2439"/>
        <v>0</v>
      </c>
      <c r="O4180" s="44">
        <f t="shared" si="2440"/>
        <v>0</v>
      </c>
      <c r="P4180" s="44">
        <f t="shared" si="2441"/>
        <v>0</v>
      </c>
      <c r="Q4180" s="44">
        <f t="shared" si="2442"/>
        <v>0</v>
      </c>
      <c r="R4180" s="44">
        <f t="shared" si="2459"/>
        <v>0</v>
      </c>
      <c r="S4180" s="123"/>
      <c r="T4180" s="219">
        <f t="shared" si="2460"/>
        <v>0</v>
      </c>
      <c r="U4180" s="87"/>
      <c r="V4180" s="47"/>
      <c r="W4180" s="48"/>
      <c r="X4180" s="48"/>
      <c r="Y4180" s="48"/>
      <c r="Z4180" s="135"/>
      <c r="AA4180" s="49"/>
      <c r="AB4180" s="50">
        <f t="shared" si="2443"/>
        <v>0</v>
      </c>
      <c r="AC4180" s="42">
        <f t="shared" si="2461"/>
        <v>9.9999999999999998E-20</v>
      </c>
      <c r="AD4180" s="90"/>
      <c r="AE4180" s="188"/>
      <c r="AF4180" s="189"/>
      <c r="AG4180" s="189"/>
      <c r="AH4180" s="189"/>
      <c r="AI4180" s="161"/>
    </row>
    <row r="4181" spans="1:41" ht="20.100000000000001" customHeight="1" x14ac:dyDescent="0.25">
      <c r="A4181" s="277" t="s">
        <v>491</v>
      </c>
      <c r="B4181" s="278"/>
      <c r="C4181" s="64" t="s">
        <v>1189</v>
      </c>
      <c r="D4181" s="46" t="s">
        <v>97</v>
      </c>
      <c r="E4181" s="114">
        <v>608.51603571428495</v>
      </c>
      <c r="F4181" s="44">
        <v>296</v>
      </c>
      <c r="G4181" s="44">
        <f t="shared" si="2434"/>
        <v>180120.74657142835</v>
      </c>
      <c r="H4181" s="44">
        <f t="shared" si="2435"/>
        <v>217.84414901960784</v>
      </c>
      <c r="I4181" s="43">
        <f t="shared" si="2436"/>
        <v>132561.6579649637</v>
      </c>
      <c r="J4181" s="112">
        <f t="shared" si="2437"/>
        <v>608.51603571428495</v>
      </c>
      <c r="K4181" s="211">
        <f t="shared" si="2438"/>
        <v>608.51603571428495</v>
      </c>
      <c r="L4181" s="44"/>
      <c r="M4181" s="44">
        <f t="shared" si="2458"/>
        <v>608.51603571428495</v>
      </c>
      <c r="N4181" s="173">
        <f t="shared" si="2439"/>
        <v>1</v>
      </c>
      <c r="O4181" s="44">
        <f t="shared" si="2440"/>
        <v>296</v>
      </c>
      <c r="P4181" s="44">
        <f t="shared" si="2441"/>
        <v>180120.74657142835</v>
      </c>
      <c r="Q4181" s="44">
        <f t="shared" si="2442"/>
        <v>217.84414901960784</v>
      </c>
      <c r="R4181" s="44">
        <f t="shared" si="2459"/>
        <v>132561.6579649637</v>
      </c>
      <c r="S4181" s="123"/>
      <c r="T4181" s="219">
        <f t="shared" si="2460"/>
        <v>132561.6579649637</v>
      </c>
      <c r="U4181" s="87"/>
      <c r="V4181" s="47"/>
      <c r="W4181" s="48"/>
      <c r="X4181" s="48"/>
      <c r="Y4181" s="48"/>
      <c r="Z4181" s="135"/>
      <c r="AA4181" s="49"/>
      <c r="AB4181" s="50">
        <f t="shared" si="2443"/>
        <v>217.84414901960784</v>
      </c>
      <c r="AC4181" s="42">
        <f t="shared" si="2461"/>
        <v>608.51603571428495</v>
      </c>
      <c r="AD4181" s="90">
        <f>AD4182+AD4192+AD4198</f>
        <v>132561.6579649637</v>
      </c>
      <c r="AE4181" s="188">
        <f t="shared" ref="AE4181:AH4181" si="3076">AE4182+AE4192+AE4198</f>
        <v>0</v>
      </c>
      <c r="AF4181" s="189">
        <f t="shared" si="3076"/>
        <v>0</v>
      </c>
      <c r="AG4181" s="189">
        <f t="shared" si="3076"/>
        <v>0</v>
      </c>
      <c r="AH4181" s="189">
        <f t="shared" si="3076"/>
        <v>0</v>
      </c>
      <c r="AI4181" s="161">
        <f t="shared" ref="AI4181:AI4182" si="3077">SUM(AE4181:AH4181)</f>
        <v>0</v>
      </c>
      <c r="AK4181" s="169">
        <v>5</v>
      </c>
      <c r="AO4181" s="19" t="s">
        <v>63</v>
      </c>
    </row>
    <row r="4182" spans="1:41" s="103" customFormat="1" ht="19.899999999999999" customHeight="1" x14ac:dyDescent="0.25">
      <c r="A4182" s="51"/>
      <c r="B4182" s="52"/>
      <c r="C4182" s="165"/>
      <c r="D4182" s="52"/>
      <c r="E4182" s="115"/>
      <c r="F4182" s="58"/>
      <c r="G4182" s="58"/>
      <c r="H4182" s="58"/>
      <c r="I4182" s="55"/>
      <c r="J4182" s="113">
        <f>J4181</f>
        <v>608.51603571428495</v>
      </c>
      <c r="K4182" s="212">
        <f>K4181</f>
        <v>608.51603571428495</v>
      </c>
      <c r="L4182" s="58"/>
      <c r="M4182" s="58">
        <f>K4182-L4182</f>
        <v>608.51603571428495</v>
      </c>
      <c r="N4182" s="166"/>
      <c r="O4182" s="58"/>
      <c r="P4182" s="58"/>
      <c r="Q4182" s="58"/>
      <c r="R4182" s="58"/>
      <c r="S4182" s="58"/>
      <c r="T4182" s="220"/>
      <c r="U4182" s="88"/>
      <c r="V4182" s="56"/>
      <c r="W4182" s="57" t="s">
        <v>1050</v>
      </c>
      <c r="X4182" s="53"/>
      <c r="Y4182" s="91" t="s">
        <v>68</v>
      </c>
      <c r="Z4182" s="136">
        <f>AD4182/AC4182</f>
        <v>47.260815686274512</v>
      </c>
      <c r="AA4182" s="58"/>
      <c r="AB4182" s="53">
        <f>AD4182/AC4182</f>
        <v>47.260815686274512</v>
      </c>
      <c r="AC4182" s="53">
        <f>M4182+$AE$10</f>
        <v>608.51603571428495</v>
      </c>
      <c r="AD4182" s="54">
        <f>SUM(AD4183:AD4191)</f>
        <v>28758.96420603526</v>
      </c>
      <c r="AE4182" s="184">
        <f>SUMIFS($AD$37:$AD$12971,$V$37:$V$12971,$V4182,$X$37:$X$12971,AE$13)</f>
        <v>0</v>
      </c>
      <c r="AF4182" s="185">
        <f>SUMIFS($AD$37:$AD$12971,$V$37:$V$12971,$V4182,$X$37:$X$12971,AF$13)</f>
        <v>0</v>
      </c>
      <c r="AG4182" s="185">
        <f>SUMIFS($AD$37:$AD$12971,$V$37:$V$12971,$V4182,$X$37:$X$12971,AG$13)</f>
        <v>0</v>
      </c>
      <c r="AH4182" s="187">
        <f>SUMIFS($AD$37:$AD$12971,$V$37:$V$12971,$V4182,$X$37:$X$12971,AH$13)</f>
        <v>0</v>
      </c>
      <c r="AI4182" s="161">
        <f t="shared" si="3077"/>
        <v>0</v>
      </c>
      <c r="AK4182" s="172"/>
    </row>
    <row r="4183" spans="1:41" s="102" customFormat="1" ht="19.899999999999999" customHeight="1" x14ac:dyDescent="0.25">
      <c r="A4183" s="45"/>
      <c r="B4183" s="59"/>
      <c r="C4183" s="137"/>
      <c r="D4183" s="59"/>
      <c r="E4183" s="116"/>
      <c r="F4183" s="120"/>
      <c r="G4183" s="120"/>
      <c r="H4183" s="120"/>
      <c r="I4183" s="60"/>
      <c r="J4183" s="116"/>
      <c r="K4183" s="213"/>
      <c r="L4183" s="120"/>
      <c r="M4183" s="120"/>
      <c r="N4183" s="167"/>
      <c r="O4183" s="120"/>
      <c r="P4183" s="120"/>
      <c r="Q4183" s="120"/>
      <c r="R4183" s="120"/>
      <c r="S4183" s="120"/>
      <c r="T4183" s="221"/>
      <c r="U4183" s="89"/>
      <c r="V4183" s="61"/>
      <c r="W4183" s="92" t="s">
        <v>129</v>
      </c>
      <c r="X4183" s="93" t="s">
        <v>29</v>
      </c>
      <c r="Y4183" s="93" t="s">
        <v>93</v>
      </c>
      <c r="Z4183" s="134">
        <f>VLOOKUP(W4183,Sheet2!$B:$D,3,FALSE)</f>
        <v>56</v>
      </c>
      <c r="AA4183" s="93">
        <f>100/(1*2.5)</f>
        <v>40</v>
      </c>
      <c r="AB4183" s="93">
        <f t="shared" ref="AB4183" si="3078">AD4183/AC4182</f>
        <v>1.4000000000000001</v>
      </c>
      <c r="AC4183" s="93">
        <f>AC4182/AA4183</f>
        <v>15.212900892857125</v>
      </c>
      <c r="AD4183" s="94">
        <f t="shared" ref="AD4183:AD4184" si="3079">AC4183*Z4183</f>
        <v>851.922449999999</v>
      </c>
      <c r="AE4183" s="190"/>
      <c r="AF4183" s="191"/>
      <c r="AG4183" s="191"/>
      <c r="AH4183" s="191"/>
      <c r="AI4183" s="186"/>
      <c r="AK4183" s="171"/>
    </row>
    <row r="4184" spans="1:41" s="102" customFormat="1" ht="19.899999999999999" customHeight="1" x14ac:dyDescent="0.25">
      <c r="A4184" s="45"/>
      <c r="B4184" s="59"/>
      <c r="C4184" s="137"/>
      <c r="D4184" s="59"/>
      <c r="E4184" s="116"/>
      <c r="F4184" s="120"/>
      <c r="G4184" s="120"/>
      <c r="H4184" s="120"/>
      <c r="I4184" s="60"/>
      <c r="J4184" s="116"/>
      <c r="K4184" s="213"/>
      <c r="L4184" s="120"/>
      <c r="M4184" s="120"/>
      <c r="N4184" s="167"/>
      <c r="O4184" s="120"/>
      <c r="P4184" s="120"/>
      <c r="Q4184" s="120"/>
      <c r="R4184" s="120"/>
      <c r="S4184" s="120"/>
      <c r="T4184" s="221"/>
      <c r="U4184" s="89"/>
      <c r="V4184" s="61"/>
      <c r="W4184" s="92" t="s">
        <v>65</v>
      </c>
      <c r="X4184" s="93" t="s">
        <v>30</v>
      </c>
      <c r="Y4184" s="93" t="s">
        <v>1011</v>
      </c>
      <c r="Z4184" s="134">
        <f>VLOOKUP(W4184,Sheet2!$B:$D,3,FALSE)</f>
        <v>1.76</v>
      </c>
      <c r="AA4184" s="93">
        <f>AA4183/14</f>
        <v>2.8571428571428572</v>
      </c>
      <c r="AB4184" s="93">
        <f>AD4184/AC4182</f>
        <v>0.61599999999999999</v>
      </c>
      <c r="AC4184" s="93">
        <f>AC4182/AA4184</f>
        <v>212.98061249999972</v>
      </c>
      <c r="AD4184" s="94">
        <f t="shared" si="3079"/>
        <v>374.84587799999952</v>
      </c>
      <c r="AE4184" s="190"/>
      <c r="AF4184" s="191"/>
      <c r="AG4184" s="191"/>
      <c r="AH4184" s="191"/>
      <c r="AI4184" s="186"/>
      <c r="AK4184" s="171"/>
    </row>
    <row r="4185" spans="1:41" s="102" customFormat="1" ht="19.899999999999999" customHeight="1" x14ac:dyDescent="0.25">
      <c r="A4185" s="45"/>
      <c r="B4185" s="59"/>
      <c r="C4185" s="137"/>
      <c r="D4185" s="59"/>
      <c r="E4185" s="116"/>
      <c r="F4185" s="120"/>
      <c r="G4185" s="120"/>
      <c r="H4185" s="120"/>
      <c r="I4185" s="60"/>
      <c r="J4185" s="116"/>
      <c r="K4185" s="213"/>
      <c r="L4185" s="120"/>
      <c r="M4185" s="120"/>
      <c r="N4185" s="167"/>
      <c r="O4185" s="120"/>
      <c r="P4185" s="120"/>
      <c r="Q4185" s="120"/>
      <c r="R4185" s="120"/>
      <c r="S4185" s="120"/>
      <c r="T4185" s="221"/>
      <c r="U4185" s="89"/>
      <c r="V4185" s="61"/>
      <c r="W4185" s="92" t="s">
        <v>161</v>
      </c>
      <c r="X4185" s="93" t="s">
        <v>29</v>
      </c>
      <c r="Y4185" s="93" t="s">
        <v>93</v>
      </c>
      <c r="Z4185" s="134">
        <f>VLOOKUP(W4185,Sheet2!$B:$D,3,FALSE)</f>
        <v>48</v>
      </c>
      <c r="AA4185" s="93">
        <f>(16*0.85*1.5)/(1*2.5)</f>
        <v>8.16</v>
      </c>
      <c r="AB4185" s="93">
        <f>AD4185/AC4182</f>
        <v>5.8823529411764701</v>
      </c>
      <c r="AC4185" s="93">
        <f>AC4182/AA4185</f>
        <v>74.573043592436875</v>
      </c>
      <c r="AD4185" s="94">
        <f>AC4185*Z4185</f>
        <v>3579.50609243697</v>
      </c>
      <c r="AE4185" s="190"/>
      <c r="AF4185" s="191"/>
      <c r="AG4185" s="191"/>
      <c r="AH4185" s="191"/>
      <c r="AI4185" s="186"/>
      <c r="AK4185" s="171"/>
    </row>
    <row r="4186" spans="1:41" s="102" customFormat="1" ht="19.899999999999999" customHeight="1" x14ac:dyDescent="0.25">
      <c r="A4186" s="45"/>
      <c r="B4186" s="59"/>
      <c r="C4186" s="137"/>
      <c r="D4186" s="59"/>
      <c r="E4186" s="116"/>
      <c r="F4186" s="120"/>
      <c r="G4186" s="120"/>
      <c r="H4186" s="120"/>
      <c r="I4186" s="60"/>
      <c r="J4186" s="116"/>
      <c r="K4186" s="213"/>
      <c r="L4186" s="120"/>
      <c r="M4186" s="120"/>
      <c r="N4186" s="167"/>
      <c r="O4186" s="120"/>
      <c r="P4186" s="120"/>
      <c r="Q4186" s="120"/>
      <c r="R4186" s="120"/>
      <c r="S4186" s="120"/>
      <c r="T4186" s="221"/>
      <c r="U4186" s="89"/>
      <c r="V4186" s="61"/>
      <c r="W4186" s="92" t="s">
        <v>65</v>
      </c>
      <c r="X4186" s="93" t="s">
        <v>30</v>
      </c>
      <c r="Y4186" s="93" t="s">
        <v>1011</v>
      </c>
      <c r="Z4186" s="134">
        <f>VLOOKUP(W4186,Sheet2!$B:$D,3,FALSE)</f>
        <v>1.76</v>
      </c>
      <c r="AA4186" s="93">
        <f>AA4185/10</f>
        <v>0.81600000000000006</v>
      </c>
      <c r="AB4186" s="93">
        <f>AD4186/AC4182</f>
        <v>2.1568627450980391</v>
      </c>
      <c r="AC4186" s="93">
        <f>AC4182/AA4186</f>
        <v>745.73043592436875</v>
      </c>
      <c r="AD4186" s="94">
        <f>AC4186*Z4186</f>
        <v>1312.4855672268891</v>
      </c>
      <c r="AE4186" s="190"/>
      <c r="AF4186" s="191"/>
      <c r="AG4186" s="191"/>
      <c r="AH4186" s="191"/>
      <c r="AI4186" s="186"/>
      <c r="AK4186" s="171"/>
    </row>
    <row r="4187" spans="1:41" s="102" customFormat="1" ht="19.899999999999999" customHeight="1" x14ac:dyDescent="0.25">
      <c r="A4187" s="45"/>
      <c r="B4187" s="59"/>
      <c r="C4187" s="137"/>
      <c r="D4187" s="59"/>
      <c r="E4187" s="116"/>
      <c r="F4187" s="120"/>
      <c r="G4187" s="120"/>
      <c r="H4187" s="120"/>
      <c r="I4187" s="60"/>
      <c r="J4187" s="116"/>
      <c r="K4187" s="213"/>
      <c r="L4187" s="120"/>
      <c r="M4187" s="120"/>
      <c r="N4187" s="167"/>
      <c r="O4187" s="120"/>
      <c r="P4187" s="120"/>
      <c r="Q4187" s="120"/>
      <c r="R4187" s="120"/>
      <c r="S4187" s="120"/>
      <c r="T4187" s="221"/>
      <c r="U4187" s="89"/>
      <c r="V4187" s="61"/>
      <c r="W4187" s="92" t="s">
        <v>1030</v>
      </c>
      <c r="X4187" s="93" t="s">
        <v>29</v>
      </c>
      <c r="Y4187" s="93" t="s">
        <v>93</v>
      </c>
      <c r="Z4187" s="134">
        <f>VLOOKUP(W4187,Sheet2!$B:$D,3,FALSE)</f>
        <v>23</v>
      </c>
      <c r="AA4187" s="93">
        <v>50</v>
      </c>
      <c r="AB4187" s="93">
        <f>AD4187/AC4182</f>
        <v>0.45999999999999996</v>
      </c>
      <c r="AC4187" s="93">
        <f>AC4182/AA4187</f>
        <v>12.170320714285699</v>
      </c>
      <c r="AD4187" s="94">
        <f t="shared" ref="AD4187:AD4191" si="3080">AC4187*Z4187</f>
        <v>279.91737642857106</v>
      </c>
      <c r="AE4187" s="190"/>
      <c r="AF4187" s="191"/>
      <c r="AG4187" s="191"/>
      <c r="AH4187" s="191"/>
      <c r="AI4187" s="186"/>
      <c r="AK4187" s="171"/>
    </row>
    <row r="4188" spans="1:41" s="102" customFormat="1" ht="19.899999999999999" customHeight="1" x14ac:dyDescent="0.25">
      <c r="A4188" s="45"/>
      <c r="B4188" s="59"/>
      <c r="C4188" s="137"/>
      <c r="D4188" s="59"/>
      <c r="E4188" s="116"/>
      <c r="F4188" s="120"/>
      <c r="G4188" s="120"/>
      <c r="H4188" s="120"/>
      <c r="I4188" s="60"/>
      <c r="J4188" s="116"/>
      <c r="K4188" s="213"/>
      <c r="L4188" s="120"/>
      <c r="M4188" s="120"/>
      <c r="N4188" s="167"/>
      <c r="O4188" s="120"/>
      <c r="P4188" s="120"/>
      <c r="Q4188" s="120"/>
      <c r="R4188" s="120"/>
      <c r="S4188" s="120"/>
      <c r="T4188" s="221"/>
      <c r="U4188" s="89"/>
      <c r="V4188" s="61"/>
      <c r="W4188" s="92" t="s">
        <v>65</v>
      </c>
      <c r="X4188" s="93" t="s">
        <v>30</v>
      </c>
      <c r="Y4188" s="93" t="s">
        <v>1011</v>
      </c>
      <c r="Z4188" s="134">
        <f>VLOOKUP(W4188,Sheet2!$B:$D,3,FALSE)</f>
        <v>1.76</v>
      </c>
      <c r="AA4188" s="93">
        <f>AA4187/3</f>
        <v>16.666666666666668</v>
      </c>
      <c r="AB4188" s="93">
        <f>AD4188/AC4182</f>
        <v>0.10559999999999999</v>
      </c>
      <c r="AC4188" s="93">
        <f>AC4182/AA4188</f>
        <v>36.510962142857096</v>
      </c>
      <c r="AD4188" s="94">
        <f t="shared" si="3080"/>
        <v>64.259293371428484</v>
      </c>
      <c r="AE4188" s="190"/>
      <c r="AF4188" s="191"/>
      <c r="AG4188" s="191"/>
      <c r="AH4188" s="191"/>
      <c r="AI4188" s="186"/>
      <c r="AK4188" s="171"/>
    </row>
    <row r="4189" spans="1:41" s="102" customFormat="1" ht="19.899999999999999" customHeight="1" x14ac:dyDescent="0.25">
      <c r="A4189" s="45"/>
      <c r="B4189" s="59"/>
      <c r="C4189" s="137"/>
      <c r="D4189" s="59"/>
      <c r="E4189" s="116"/>
      <c r="F4189" s="120"/>
      <c r="G4189" s="120"/>
      <c r="H4189" s="120"/>
      <c r="I4189" s="60"/>
      <c r="J4189" s="116"/>
      <c r="K4189" s="213"/>
      <c r="L4189" s="120"/>
      <c r="M4189" s="120"/>
      <c r="N4189" s="167"/>
      <c r="O4189" s="120"/>
      <c r="P4189" s="120"/>
      <c r="Q4189" s="120"/>
      <c r="R4189" s="120"/>
      <c r="S4189" s="120"/>
      <c r="T4189" s="221"/>
      <c r="U4189" s="89"/>
      <c r="V4189" s="61"/>
      <c r="W4189" s="92" t="s">
        <v>148</v>
      </c>
      <c r="X4189" s="93" t="s">
        <v>29</v>
      </c>
      <c r="Y4189" s="93" t="s">
        <v>93</v>
      </c>
      <c r="Z4189" s="134">
        <f>VLOOKUP(W4189,Sheet2!$B:$D,3,FALSE)</f>
        <v>48</v>
      </c>
      <c r="AA4189" s="93">
        <f>AA4183</f>
        <v>40</v>
      </c>
      <c r="AB4189" s="93">
        <f>AD4189/AC4182</f>
        <v>1.2000000000000002</v>
      </c>
      <c r="AC4189" s="93">
        <f>AC4182/AA4189</f>
        <v>15.212900892857125</v>
      </c>
      <c r="AD4189" s="94">
        <f t="shared" si="3080"/>
        <v>730.21924285714204</v>
      </c>
      <c r="AE4189" s="190"/>
      <c r="AF4189" s="191"/>
      <c r="AG4189" s="191"/>
      <c r="AH4189" s="191"/>
      <c r="AI4189" s="186"/>
      <c r="AK4189" s="171"/>
    </row>
    <row r="4190" spans="1:41" s="102" customFormat="1" ht="19.899999999999999" customHeight="1" x14ac:dyDescent="0.25">
      <c r="A4190" s="45"/>
      <c r="B4190" s="59"/>
      <c r="C4190" s="137"/>
      <c r="D4190" s="59"/>
      <c r="E4190" s="116"/>
      <c r="F4190" s="120"/>
      <c r="G4190" s="120"/>
      <c r="H4190" s="120"/>
      <c r="I4190" s="60"/>
      <c r="J4190" s="116"/>
      <c r="K4190" s="213"/>
      <c r="L4190" s="120"/>
      <c r="M4190" s="120"/>
      <c r="N4190" s="167"/>
      <c r="O4190" s="120"/>
      <c r="P4190" s="120"/>
      <c r="Q4190" s="120"/>
      <c r="R4190" s="120"/>
      <c r="S4190" s="120"/>
      <c r="T4190" s="221"/>
      <c r="U4190" s="89"/>
      <c r="V4190" s="61"/>
      <c r="W4190" s="92" t="s">
        <v>65</v>
      </c>
      <c r="X4190" s="93" t="s">
        <v>30</v>
      </c>
      <c r="Y4190" s="93" t="s">
        <v>1011</v>
      </c>
      <c r="Z4190" s="134">
        <f>VLOOKUP(W4190,Sheet2!$B:$D,3,FALSE)</f>
        <v>1.76</v>
      </c>
      <c r="AA4190" s="93">
        <f>AA4189/10</f>
        <v>4</v>
      </c>
      <c r="AB4190" s="93">
        <f>AD4190/AC4182</f>
        <v>0.44000000000000006</v>
      </c>
      <c r="AC4190" s="93">
        <f>AC4182/AA4190</f>
        <v>152.12900892857124</v>
      </c>
      <c r="AD4190" s="94">
        <f t="shared" si="3080"/>
        <v>267.74705571428541</v>
      </c>
      <c r="AE4190" s="190"/>
      <c r="AF4190" s="191"/>
      <c r="AG4190" s="191"/>
      <c r="AH4190" s="191"/>
      <c r="AI4190" s="186"/>
      <c r="AK4190" s="171"/>
    </row>
    <row r="4191" spans="1:41" s="102" customFormat="1" ht="19.899999999999999" customHeight="1" x14ac:dyDescent="0.25">
      <c r="A4191" s="45"/>
      <c r="B4191" s="59"/>
      <c r="C4191" s="137"/>
      <c r="D4191" s="59"/>
      <c r="E4191" s="116"/>
      <c r="F4191" s="120"/>
      <c r="G4191" s="120"/>
      <c r="H4191" s="120"/>
      <c r="I4191" s="60"/>
      <c r="J4191" s="116"/>
      <c r="K4191" s="213"/>
      <c r="L4191" s="120"/>
      <c r="M4191" s="120"/>
      <c r="N4191" s="167"/>
      <c r="O4191" s="120"/>
      <c r="P4191" s="120"/>
      <c r="Q4191" s="120"/>
      <c r="R4191" s="120"/>
      <c r="S4191" s="120"/>
      <c r="T4191" s="221"/>
      <c r="U4191" s="89"/>
      <c r="V4191" s="61"/>
      <c r="W4191" s="92" t="s">
        <v>1048</v>
      </c>
      <c r="X4191" s="93" t="s">
        <v>30</v>
      </c>
      <c r="Y4191" s="93" t="s">
        <v>68</v>
      </c>
      <c r="Z4191" s="134">
        <f>VLOOKUP(W4191,Sheet2!$B:$D,3,FALSE)</f>
        <v>35</v>
      </c>
      <c r="AA4191" s="93">
        <v>1</v>
      </c>
      <c r="AB4191" s="93">
        <f>AD4191/AC4182</f>
        <v>35</v>
      </c>
      <c r="AC4191" s="93">
        <f>AC4182/AA4191</f>
        <v>608.51603571428495</v>
      </c>
      <c r="AD4191" s="94">
        <f t="shared" si="3080"/>
        <v>21298.061249999973</v>
      </c>
      <c r="AE4191" s="190"/>
      <c r="AF4191" s="191"/>
      <c r="AG4191" s="191"/>
      <c r="AH4191" s="191"/>
      <c r="AI4191" s="186"/>
      <c r="AK4191" s="171"/>
    </row>
    <row r="4192" spans="1:41" s="103" customFormat="1" ht="19.899999999999999" customHeight="1" x14ac:dyDescent="0.25">
      <c r="A4192" s="51"/>
      <c r="B4192" s="52"/>
      <c r="C4192" s="165"/>
      <c r="D4192" s="52"/>
      <c r="E4192" s="115"/>
      <c r="F4192" s="58"/>
      <c r="G4192" s="58"/>
      <c r="H4192" s="58"/>
      <c r="I4192" s="55"/>
      <c r="J4192" s="113">
        <f>J4181</f>
        <v>608.51603571428495</v>
      </c>
      <c r="K4192" s="212">
        <f>K4181</f>
        <v>608.51603571428495</v>
      </c>
      <c r="L4192" s="58"/>
      <c r="M4192" s="58">
        <f>K4192-L4192</f>
        <v>608.51603571428495</v>
      </c>
      <c r="N4192" s="166"/>
      <c r="O4192" s="58"/>
      <c r="P4192" s="58"/>
      <c r="Q4192" s="58"/>
      <c r="R4192" s="58"/>
      <c r="S4192" s="58"/>
      <c r="T4192" s="220"/>
      <c r="U4192" s="88"/>
      <c r="V4192" s="56"/>
      <c r="W4192" s="57" t="s">
        <v>1036</v>
      </c>
      <c r="X4192" s="53"/>
      <c r="Y4192" s="91" t="s">
        <v>68</v>
      </c>
      <c r="Z4192" s="136">
        <f>AD4192/AC4192</f>
        <v>165.58333333333334</v>
      </c>
      <c r="AA4192" s="58"/>
      <c r="AB4192" s="53">
        <f>AD4192/AC4192</f>
        <v>165.58333333333334</v>
      </c>
      <c r="AC4192" s="53">
        <f>M4192+$AE$10</f>
        <v>608.51603571428495</v>
      </c>
      <c r="AD4192" s="54">
        <f>SUM(AD4193:AD4197)</f>
        <v>100760.11358035702</v>
      </c>
      <c r="AE4192" s="184">
        <f>SUMIFS($AD$37:$AD$12971,$V$37:$V$12971,$V4192,$X$37:$X$12971,AE$13)</f>
        <v>0</v>
      </c>
      <c r="AF4192" s="185">
        <f>SUMIFS($AD$37:$AD$12971,$V$37:$V$12971,$V4192,$X$37:$X$12971,AF$13)</f>
        <v>0</v>
      </c>
      <c r="AG4192" s="185">
        <f>SUMIFS($AD$37:$AD$12971,$V$37:$V$12971,$V4192,$X$37:$X$12971,AG$13)</f>
        <v>0</v>
      </c>
      <c r="AH4192" s="187">
        <f>SUMIFS($AD$37:$AD$12971,$V$37:$V$12971,$V4192,$X$37:$X$12971,AH$13)</f>
        <v>0</v>
      </c>
      <c r="AI4192" s="161">
        <f t="shared" ref="AI4192" si="3081">SUM(AE4192:AH4192)</f>
        <v>0</v>
      </c>
      <c r="AK4192" s="172"/>
    </row>
    <row r="4193" spans="1:41" s="102" customFormat="1" ht="19.899999999999999" customHeight="1" x14ac:dyDescent="0.25">
      <c r="A4193" s="45"/>
      <c r="B4193" s="59"/>
      <c r="C4193" s="137"/>
      <c r="D4193" s="59"/>
      <c r="E4193" s="116"/>
      <c r="F4193" s="120"/>
      <c r="G4193" s="120"/>
      <c r="H4193" s="120"/>
      <c r="I4193" s="60"/>
      <c r="J4193" s="116"/>
      <c r="K4193" s="213"/>
      <c r="L4193" s="120"/>
      <c r="M4193" s="120"/>
      <c r="N4193" s="167"/>
      <c r="O4193" s="120"/>
      <c r="P4193" s="120"/>
      <c r="Q4193" s="120"/>
      <c r="R4193" s="120"/>
      <c r="S4193" s="120"/>
      <c r="T4193" s="221"/>
      <c r="U4193" s="89"/>
      <c r="V4193" s="61"/>
      <c r="W4193" s="92" t="s">
        <v>1251</v>
      </c>
      <c r="X4193" s="93" t="s">
        <v>30</v>
      </c>
      <c r="Y4193" s="93" t="s">
        <v>68</v>
      </c>
      <c r="Z4193" s="134">
        <f>VLOOKUP(W4193,Sheet2!$B:$D,3,FALSE)</f>
        <v>95</v>
      </c>
      <c r="AA4193" s="93">
        <v>1</v>
      </c>
      <c r="AB4193" s="93">
        <f>AD4193/AC4192</f>
        <v>95</v>
      </c>
      <c r="AC4193" s="93">
        <f>AC4192/AA4193</f>
        <v>608.51603571428495</v>
      </c>
      <c r="AD4193" s="94">
        <f t="shared" ref="AD4193" si="3082">AC4193*Z4193</f>
        <v>57809.023392857067</v>
      </c>
      <c r="AE4193" s="190"/>
      <c r="AF4193" s="191"/>
      <c r="AG4193" s="191"/>
      <c r="AH4193" s="191"/>
      <c r="AI4193" s="186"/>
      <c r="AK4193" s="171"/>
    </row>
    <row r="4194" spans="1:41" s="102" customFormat="1" ht="19.899999999999999" customHeight="1" x14ac:dyDescent="0.25">
      <c r="A4194" s="45"/>
      <c r="B4194" s="59"/>
      <c r="C4194" s="137"/>
      <c r="D4194" s="59"/>
      <c r="E4194" s="116"/>
      <c r="F4194" s="120"/>
      <c r="G4194" s="120"/>
      <c r="H4194" s="120"/>
      <c r="I4194" s="60"/>
      <c r="J4194" s="116"/>
      <c r="K4194" s="213"/>
      <c r="L4194" s="120"/>
      <c r="M4194" s="120"/>
      <c r="N4194" s="167"/>
      <c r="O4194" s="120"/>
      <c r="P4194" s="120"/>
      <c r="Q4194" s="120"/>
      <c r="R4194" s="120"/>
      <c r="S4194" s="120"/>
      <c r="T4194" s="221"/>
      <c r="U4194" s="89"/>
      <c r="V4194" s="61"/>
      <c r="W4194" s="92" t="s">
        <v>1259</v>
      </c>
      <c r="X4194" s="93" t="s">
        <v>32</v>
      </c>
      <c r="Y4194" s="93" t="s">
        <v>68</v>
      </c>
      <c r="Z4194" s="134">
        <f>VLOOKUP(W4194,Sheet2!$B:$D,3,FALSE)</f>
        <v>30</v>
      </c>
      <c r="AA4194" s="93">
        <v>1</v>
      </c>
      <c r="AB4194" s="93">
        <f>AD4194/AC4192</f>
        <v>30</v>
      </c>
      <c r="AC4194" s="93">
        <f>AC4192/AA4194</f>
        <v>608.51603571428495</v>
      </c>
      <c r="AD4194" s="94">
        <f>AC4194*Z4194</f>
        <v>18255.481071428549</v>
      </c>
      <c r="AE4194" s="190"/>
      <c r="AF4194" s="191"/>
      <c r="AG4194" s="191"/>
      <c r="AH4194" s="191"/>
      <c r="AI4194" s="186"/>
      <c r="AK4194" s="171"/>
    </row>
    <row r="4195" spans="1:41" s="102" customFormat="1" ht="19.899999999999999" customHeight="1" x14ac:dyDescent="0.25">
      <c r="A4195" s="45"/>
      <c r="B4195" s="59"/>
      <c r="C4195" s="137"/>
      <c r="D4195" s="59"/>
      <c r="E4195" s="116"/>
      <c r="F4195" s="120"/>
      <c r="G4195" s="120"/>
      <c r="H4195" s="120"/>
      <c r="I4195" s="60"/>
      <c r="J4195" s="116"/>
      <c r="K4195" s="213"/>
      <c r="L4195" s="120"/>
      <c r="M4195" s="120"/>
      <c r="N4195" s="167"/>
      <c r="O4195" s="120"/>
      <c r="P4195" s="120"/>
      <c r="Q4195" s="120"/>
      <c r="R4195" s="120"/>
      <c r="S4195" s="120"/>
      <c r="T4195" s="221"/>
      <c r="U4195" s="89"/>
      <c r="V4195" s="61"/>
      <c r="W4195" s="92" t="s">
        <v>1032</v>
      </c>
      <c r="X4195" s="93" t="s">
        <v>30</v>
      </c>
      <c r="Y4195" s="93" t="s">
        <v>66</v>
      </c>
      <c r="Z4195" s="134">
        <f>VLOOKUP(W4195,Sheet2!$B:$D,3,FALSE)</f>
        <v>250</v>
      </c>
      <c r="AA4195" s="93">
        <f>1/(1*0.1)</f>
        <v>10</v>
      </c>
      <c r="AB4195" s="93">
        <f>AD4195/AC4192</f>
        <v>25</v>
      </c>
      <c r="AC4195" s="93">
        <f>AC4192/AA4195</f>
        <v>60.851603571428498</v>
      </c>
      <c r="AD4195" s="94">
        <f>AC4195*Z4195</f>
        <v>15212.900892857124</v>
      </c>
      <c r="AE4195" s="190"/>
      <c r="AF4195" s="191"/>
      <c r="AG4195" s="191"/>
      <c r="AH4195" s="191"/>
      <c r="AI4195" s="186"/>
      <c r="AK4195" s="171"/>
    </row>
    <row r="4196" spans="1:41" s="102" customFormat="1" ht="19.899999999999999" customHeight="1" x14ac:dyDescent="0.25">
      <c r="A4196" s="45"/>
      <c r="B4196" s="59"/>
      <c r="C4196" s="137"/>
      <c r="D4196" s="59"/>
      <c r="E4196" s="116"/>
      <c r="F4196" s="120"/>
      <c r="G4196" s="120"/>
      <c r="H4196" s="120"/>
      <c r="I4196" s="60"/>
      <c r="J4196" s="116"/>
      <c r="K4196" s="213"/>
      <c r="L4196" s="120"/>
      <c r="M4196" s="120"/>
      <c r="N4196" s="167"/>
      <c r="O4196" s="120"/>
      <c r="P4196" s="120"/>
      <c r="Q4196" s="120"/>
      <c r="R4196" s="120"/>
      <c r="S4196" s="120"/>
      <c r="T4196" s="221"/>
      <c r="U4196" s="89"/>
      <c r="V4196" s="61"/>
      <c r="W4196" s="92" t="s">
        <v>1035</v>
      </c>
      <c r="X4196" s="93" t="s">
        <v>32</v>
      </c>
      <c r="Y4196" s="93" t="s">
        <v>66</v>
      </c>
      <c r="Z4196" s="134">
        <f>VLOOKUP(W4196,Sheet2!$B:$D,3,FALSE)</f>
        <v>150</v>
      </c>
      <c r="AA4196" s="93">
        <f>AA4195</f>
        <v>10</v>
      </c>
      <c r="AB4196" s="93">
        <f>AD4196/AC4192</f>
        <v>15</v>
      </c>
      <c r="AC4196" s="93">
        <f>AC4192/AA4196</f>
        <v>60.851603571428498</v>
      </c>
      <c r="AD4196" s="94">
        <f t="shared" ref="AD4196:AD4197" si="3083">AC4196*Z4196</f>
        <v>9127.7405357142743</v>
      </c>
      <c r="AE4196" s="190"/>
      <c r="AF4196" s="191"/>
      <c r="AG4196" s="191"/>
      <c r="AH4196" s="191"/>
      <c r="AI4196" s="186"/>
      <c r="AK4196" s="171"/>
    </row>
    <row r="4197" spans="1:41" s="102" customFormat="1" ht="19.899999999999999" customHeight="1" x14ac:dyDescent="0.25">
      <c r="A4197" s="45"/>
      <c r="B4197" s="59"/>
      <c r="C4197" s="137"/>
      <c r="D4197" s="59"/>
      <c r="E4197" s="116"/>
      <c r="F4197" s="120"/>
      <c r="G4197" s="120"/>
      <c r="H4197" s="120"/>
      <c r="I4197" s="60"/>
      <c r="J4197" s="116"/>
      <c r="K4197" s="213"/>
      <c r="L4197" s="120"/>
      <c r="M4197" s="120"/>
      <c r="N4197" s="167"/>
      <c r="O4197" s="120"/>
      <c r="P4197" s="120"/>
      <c r="Q4197" s="120"/>
      <c r="R4197" s="120"/>
      <c r="S4197" s="120"/>
      <c r="T4197" s="221"/>
      <c r="U4197" s="89"/>
      <c r="V4197" s="61"/>
      <c r="W4197" s="92" t="s">
        <v>1037</v>
      </c>
      <c r="X4197" s="93" t="s">
        <v>30</v>
      </c>
      <c r="Y4197" s="93" t="s">
        <v>1038</v>
      </c>
      <c r="Z4197" s="134">
        <f>VLOOKUP(W4197,Sheet2!$B:$D,3,FALSE)</f>
        <v>175</v>
      </c>
      <c r="AA4197" s="93">
        <v>300</v>
      </c>
      <c r="AB4197" s="93">
        <f>AD4197/AC4192</f>
        <v>0.58333333333333337</v>
      </c>
      <c r="AC4197" s="93">
        <f>AC4192/AA4197</f>
        <v>2.0283867857142832</v>
      </c>
      <c r="AD4197" s="94">
        <f t="shared" si="3083"/>
        <v>354.96768749999956</v>
      </c>
      <c r="AE4197" s="190"/>
      <c r="AF4197" s="191"/>
      <c r="AG4197" s="191"/>
      <c r="AH4197" s="191"/>
      <c r="AI4197" s="186"/>
      <c r="AK4197" s="171"/>
    </row>
    <row r="4198" spans="1:41" s="103" customFormat="1" ht="19.899999999999999" customHeight="1" x14ac:dyDescent="0.25">
      <c r="A4198" s="51"/>
      <c r="B4198" s="52"/>
      <c r="C4198" s="165"/>
      <c r="D4198" s="52"/>
      <c r="E4198" s="115"/>
      <c r="F4198" s="58"/>
      <c r="G4198" s="58"/>
      <c r="H4198" s="58"/>
      <c r="I4198" s="55"/>
      <c r="J4198" s="113">
        <f>J4181</f>
        <v>608.51603571428495</v>
      </c>
      <c r="K4198" s="212">
        <f>K4181</f>
        <v>608.51603571428495</v>
      </c>
      <c r="L4198" s="58"/>
      <c r="M4198" s="58">
        <f>K4198-L4198</f>
        <v>608.51603571428495</v>
      </c>
      <c r="N4198" s="166"/>
      <c r="O4198" s="58"/>
      <c r="P4198" s="58"/>
      <c r="Q4198" s="58"/>
      <c r="R4198" s="58"/>
      <c r="S4198" s="58"/>
      <c r="T4198" s="220"/>
      <c r="U4198" s="88"/>
      <c r="V4198" s="56"/>
      <c r="W4198" s="57" t="s">
        <v>1040</v>
      </c>
      <c r="X4198" s="53"/>
      <c r="Y4198" s="91" t="s">
        <v>68</v>
      </c>
      <c r="Z4198" s="136">
        <f>AD4198/AC4198</f>
        <v>5</v>
      </c>
      <c r="AA4198" s="58"/>
      <c r="AB4198" s="53">
        <f>AD4198/AC4198</f>
        <v>5</v>
      </c>
      <c r="AC4198" s="53">
        <f>M4198+$AE$10</f>
        <v>608.51603571428495</v>
      </c>
      <c r="AD4198" s="54">
        <f>SUM(AD4199)</f>
        <v>3042.5801785714248</v>
      </c>
      <c r="AE4198" s="184">
        <f>SUMIFS($AD$37:$AD$12971,$V$37:$V$12971,$V4198,$X$37:$X$12971,AE$13)</f>
        <v>0</v>
      </c>
      <c r="AF4198" s="185">
        <f>SUMIFS($AD$37:$AD$12971,$V$37:$V$12971,$V4198,$X$37:$X$12971,AF$13)</f>
        <v>0</v>
      </c>
      <c r="AG4198" s="185">
        <f>SUMIFS($AD$37:$AD$12971,$V$37:$V$12971,$V4198,$X$37:$X$12971,AG$13)</f>
        <v>0</v>
      </c>
      <c r="AH4198" s="187">
        <f>SUMIFS($AD$37:$AD$12971,$V$37:$V$12971,$V4198,$X$37:$X$12971,AH$13)</f>
        <v>0</v>
      </c>
      <c r="AI4198" s="161">
        <f t="shared" ref="AI4198" si="3084">SUM(AE4198:AH4198)</f>
        <v>0</v>
      </c>
      <c r="AK4198" s="172"/>
    </row>
    <row r="4199" spans="1:41" s="102" customFormat="1" ht="19.899999999999999" customHeight="1" x14ac:dyDescent="0.25">
      <c r="A4199" s="45"/>
      <c r="B4199" s="59"/>
      <c r="C4199" s="137"/>
      <c r="D4199" s="59"/>
      <c r="E4199" s="116"/>
      <c r="F4199" s="120"/>
      <c r="G4199" s="120"/>
      <c r="H4199" s="120"/>
      <c r="I4199" s="60"/>
      <c r="J4199" s="116"/>
      <c r="K4199" s="213"/>
      <c r="L4199" s="120"/>
      <c r="M4199" s="120"/>
      <c r="N4199" s="167"/>
      <c r="O4199" s="120"/>
      <c r="P4199" s="120"/>
      <c r="Q4199" s="120"/>
      <c r="R4199" s="120"/>
      <c r="S4199" s="120"/>
      <c r="T4199" s="221"/>
      <c r="U4199" s="89"/>
      <c r="V4199" s="61"/>
      <c r="W4199" s="92" t="s">
        <v>1039</v>
      </c>
      <c r="X4199" s="93" t="s">
        <v>32</v>
      </c>
      <c r="Y4199" s="93" t="s">
        <v>68</v>
      </c>
      <c r="Z4199" s="134">
        <f>VLOOKUP(W4199,Sheet2!$B:$D,3,FALSE)</f>
        <v>5</v>
      </c>
      <c r="AA4199" s="93">
        <v>1</v>
      </c>
      <c r="AB4199" s="93">
        <f>AD4199/AC4198</f>
        <v>5</v>
      </c>
      <c r="AC4199" s="93">
        <f>AC4198/AA4199</f>
        <v>608.51603571428495</v>
      </c>
      <c r="AD4199" s="94">
        <f t="shared" ref="AD4199" si="3085">AC4199*Z4199</f>
        <v>3042.5801785714248</v>
      </c>
      <c r="AE4199" s="190"/>
      <c r="AF4199" s="191"/>
      <c r="AG4199" s="191"/>
      <c r="AH4199" s="191"/>
      <c r="AI4199" s="186"/>
      <c r="AK4199" s="171"/>
    </row>
    <row r="4200" spans="1:41" ht="20.100000000000001" customHeight="1" x14ac:dyDescent="0.25">
      <c r="A4200" s="277" t="s">
        <v>491</v>
      </c>
      <c r="B4200" s="278"/>
      <c r="C4200" s="64" t="s">
        <v>1190</v>
      </c>
      <c r="D4200" s="46" t="s">
        <v>97</v>
      </c>
      <c r="E4200" s="114"/>
      <c r="F4200" s="44"/>
      <c r="G4200" s="44">
        <f t="shared" si="2434"/>
        <v>0</v>
      </c>
      <c r="H4200" s="44">
        <f t="shared" si="2435"/>
        <v>0</v>
      </c>
      <c r="I4200" s="43">
        <f t="shared" si="2436"/>
        <v>0</v>
      </c>
      <c r="J4200" s="112">
        <f t="shared" si="2437"/>
        <v>0</v>
      </c>
      <c r="K4200" s="211">
        <f t="shared" si="2438"/>
        <v>0</v>
      </c>
      <c r="L4200" s="44"/>
      <c r="M4200" s="44">
        <f t="shared" si="2458"/>
        <v>0</v>
      </c>
      <c r="N4200" s="173">
        <f t="shared" si="2439"/>
        <v>0</v>
      </c>
      <c r="O4200" s="44">
        <f t="shared" si="2440"/>
        <v>0</v>
      </c>
      <c r="P4200" s="44">
        <f t="shared" si="2441"/>
        <v>0</v>
      </c>
      <c r="Q4200" s="44">
        <f t="shared" si="2442"/>
        <v>0</v>
      </c>
      <c r="R4200" s="44">
        <f t="shared" si="2459"/>
        <v>0</v>
      </c>
      <c r="S4200" s="123"/>
      <c r="T4200" s="219">
        <f t="shared" si="2460"/>
        <v>0</v>
      </c>
      <c r="U4200" s="87"/>
      <c r="V4200" s="47"/>
      <c r="W4200" s="48"/>
      <c r="X4200" s="48"/>
      <c r="Y4200" s="48"/>
      <c r="Z4200" s="135"/>
      <c r="AA4200" s="49"/>
      <c r="AB4200" s="50">
        <f t="shared" si="2443"/>
        <v>0</v>
      </c>
      <c r="AC4200" s="42">
        <f t="shared" si="2461"/>
        <v>9.9999999999999998E-20</v>
      </c>
      <c r="AD4200" s="90"/>
      <c r="AE4200" s="188"/>
      <c r="AF4200" s="189"/>
      <c r="AG4200" s="189"/>
      <c r="AH4200" s="189"/>
      <c r="AI4200" s="161"/>
    </row>
    <row r="4201" spans="1:41" ht="20.100000000000001" customHeight="1" x14ac:dyDescent="0.25">
      <c r="A4201" s="277" t="s">
        <v>491</v>
      </c>
      <c r="B4201" s="278"/>
      <c r="C4201" s="64" t="s">
        <v>1263</v>
      </c>
      <c r="D4201" s="46" t="s">
        <v>97</v>
      </c>
      <c r="E4201" s="114"/>
      <c r="F4201" s="44"/>
      <c r="G4201" s="44">
        <f t="shared" si="2434"/>
        <v>0</v>
      </c>
      <c r="H4201" s="44">
        <f t="shared" si="2435"/>
        <v>0</v>
      </c>
      <c r="I4201" s="43">
        <f t="shared" si="2436"/>
        <v>0</v>
      </c>
      <c r="J4201" s="112">
        <f t="shared" si="2437"/>
        <v>0</v>
      </c>
      <c r="K4201" s="211">
        <f t="shared" si="2438"/>
        <v>0</v>
      </c>
      <c r="L4201" s="44"/>
      <c r="M4201" s="44">
        <f t="shared" si="2458"/>
        <v>0</v>
      </c>
      <c r="N4201" s="173">
        <f t="shared" si="2439"/>
        <v>0</v>
      </c>
      <c r="O4201" s="44">
        <f t="shared" si="2440"/>
        <v>0</v>
      </c>
      <c r="P4201" s="44">
        <f t="shared" si="2441"/>
        <v>0</v>
      </c>
      <c r="Q4201" s="44">
        <f t="shared" si="2442"/>
        <v>0</v>
      </c>
      <c r="R4201" s="44">
        <f t="shared" si="2459"/>
        <v>0</v>
      </c>
      <c r="S4201" s="123"/>
      <c r="T4201" s="219">
        <f t="shared" si="2460"/>
        <v>0</v>
      </c>
      <c r="U4201" s="87"/>
      <c r="V4201" s="47"/>
      <c r="W4201" s="48"/>
      <c r="X4201" s="48"/>
      <c r="Y4201" s="48"/>
      <c r="Z4201" s="135"/>
      <c r="AA4201" s="49"/>
      <c r="AB4201" s="50">
        <f t="shared" si="2443"/>
        <v>0</v>
      </c>
      <c r="AC4201" s="42">
        <f t="shared" si="2461"/>
        <v>9.9999999999999998E-20</v>
      </c>
      <c r="AD4201" s="90"/>
      <c r="AE4201" s="188"/>
      <c r="AF4201" s="189"/>
      <c r="AG4201" s="189"/>
      <c r="AH4201" s="189"/>
      <c r="AI4201" s="161"/>
    </row>
    <row r="4202" spans="1:41" ht="20.100000000000001" customHeight="1" x14ac:dyDescent="0.25">
      <c r="A4202" s="277" t="s">
        <v>491</v>
      </c>
      <c r="B4202" s="278"/>
      <c r="C4202" s="64" t="s">
        <v>1264</v>
      </c>
      <c r="D4202" s="46" t="s">
        <v>97</v>
      </c>
      <c r="E4202" s="114"/>
      <c r="F4202" s="44"/>
      <c r="G4202" s="44">
        <f t="shared" si="2434"/>
        <v>0</v>
      </c>
      <c r="H4202" s="44">
        <f t="shared" si="2435"/>
        <v>0</v>
      </c>
      <c r="I4202" s="43">
        <f t="shared" si="2436"/>
        <v>0</v>
      </c>
      <c r="J4202" s="112">
        <f t="shared" si="2437"/>
        <v>0</v>
      </c>
      <c r="K4202" s="211">
        <f t="shared" si="2438"/>
        <v>0</v>
      </c>
      <c r="L4202" s="44"/>
      <c r="M4202" s="44">
        <f t="shared" si="2458"/>
        <v>0</v>
      </c>
      <c r="N4202" s="173">
        <f t="shared" si="2439"/>
        <v>0</v>
      </c>
      <c r="O4202" s="44">
        <f t="shared" si="2440"/>
        <v>0</v>
      </c>
      <c r="P4202" s="44">
        <f t="shared" si="2441"/>
        <v>0</v>
      </c>
      <c r="Q4202" s="44">
        <f t="shared" si="2442"/>
        <v>0</v>
      </c>
      <c r="R4202" s="44">
        <f t="shared" si="2459"/>
        <v>0</v>
      </c>
      <c r="S4202" s="123"/>
      <c r="T4202" s="219">
        <f t="shared" si="2460"/>
        <v>0</v>
      </c>
      <c r="U4202" s="87"/>
      <c r="V4202" s="47"/>
      <c r="W4202" s="48"/>
      <c r="X4202" s="48"/>
      <c r="Y4202" s="48"/>
      <c r="Z4202" s="135"/>
      <c r="AA4202" s="49"/>
      <c r="AB4202" s="50">
        <f t="shared" si="2443"/>
        <v>0</v>
      </c>
      <c r="AC4202" s="42">
        <f t="shared" si="2461"/>
        <v>9.9999999999999998E-20</v>
      </c>
      <c r="AD4202" s="90"/>
      <c r="AE4202" s="188"/>
      <c r="AF4202" s="189"/>
      <c r="AG4202" s="189"/>
      <c r="AH4202" s="189"/>
      <c r="AI4202" s="161"/>
    </row>
    <row r="4203" spans="1:41" ht="20.100000000000001" customHeight="1" x14ac:dyDescent="0.25">
      <c r="A4203" s="277" t="s">
        <v>491</v>
      </c>
      <c r="B4203" s="278"/>
      <c r="C4203" s="64" t="s">
        <v>1191</v>
      </c>
      <c r="D4203" s="46" t="s">
        <v>97</v>
      </c>
      <c r="E4203" s="114"/>
      <c r="F4203" s="44"/>
      <c r="G4203" s="44">
        <f t="shared" si="2434"/>
        <v>0</v>
      </c>
      <c r="H4203" s="44">
        <f t="shared" si="2435"/>
        <v>0</v>
      </c>
      <c r="I4203" s="43">
        <f t="shared" si="2436"/>
        <v>0</v>
      </c>
      <c r="J4203" s="112">
        <f t="shared" si="2437"/>
        <v>0</v>
      </c>
      <c r="K4203" s="211">
        <f t="shared" si="2438"/>
        <v>0</v>
      </c>
      <c r="L4203" s="44"/>
      <c r="M4203" s="44">
        <f t="shared" si="2458"/>
        <v>0</v>
      </c>
      <c r="N4203" s="173">
        <f t="shared" si="2439"/>
        <v>0</v>
      </c>
      <c r="O4203" s="44">
        <f t="shared" si="2440"/>
        <v>0</v>
      </c>
      <c r="P4203" s="44">
        <f t="shared" si="2441"/>
        <v>0</v>
      </c>
      <c r="Q4203" s="44">
        <f t="shared" si="2442"/>
        <v>0</v>
      </c>
      <c r="R4203" s="44">
        <f t="shared" si="2459"/>
        <v>0</v>
      </c>
      <c r="S4203" s="123"/>
      <c r="T4203" s="219">
        <f t="shared" si="2460"/>
        <v>0</v>
      </c>
      <c r="U4203" s="87"/>
      <c r="V4203" s="47"/>
      <c r="W4203" s="48"/>
      <c r="X4203" s="48"/>
      <c r="Y4203" s="48"/>
      <c r="Z4203" s="135"/>
      <c r="AA4203" s="49"/>
      <c r="AB4203" s="50">
        <f t="shared" si="2443"/>
        <v>0</v>
      </c>
      <c r="AC4203" s="42">
        <f t="shared" si="2461"/>
        <v>9.9999999999999998E-20</v>
      </c>
      <c r="AD4203" s="90"/>
      <c r="AE4203" s="188"/>
      <c r="AF4203" s="189"/>
      <c r="AG4203" s="189"/>
      <c r="AH4203" s="189"/>
      <c r="AI4203" s="161"/>
    </row>
    <row r="4204" spans="1:41" ht="20.100000000000001" customHeight="1" x14ac:dyDescent="0.25">
      <c r="A4204" s="277" t="s">
        <v>491</v>
      </c>
      <c r="B4204" s="278"/>
      <c r="C4204" s="64" t="s">
        <v>1192</v>
      </c>
      <c r="D4204" s="46" t="s">
        <v>97</v>
      </c>
      <c r="E4204" s="114"/>
      <c r="F4204" s="44"/>
      <c r="G4204" s="44">
        <f t="shared" si="2434"/>
        <v>0</v>
      </c>
      <c r="H4204" s="44">
        <f t="shared" si="2435"/>
        <v>0</v>
      </c>
      <c r="I4204" s="43">
        <f t="shared" si="2436"/>
        <v>0</v>
      </c>
      <c r="J4204" s="112">
        <f t="shared" si="2437"/>
        <v>0</v>
      </c>
      <c r="K4204" s="211">
        <f t="shared" si="2438"/>
        <v>0</v>
      </c>
      <c r="L4204" s="44"/>
      <c r="M4204" s="44">
        <f t="shared" si="2458"/>
        <v>0</v>
      </c>
      <c r="N4204" s="173">
        <f t="shared" si="2439"/>
        <v>0</v>
      </c>
      <c r="O4204" s="44">
        <f t="shared" si="2440"/>
        <v>0</v>
      </c>
      <c r="P4204" s="44">
        <f t="shared" si="2441"/>
        <v>0</v>
      </c>
      <c r="Q4204" s="44">
        <f t="shared" si="2442"/>
        <v>0</v>
      </c>
      <c r="R4204" s="44">
        <f t="shared" si="2459"/>
        <v>0</v>
      </c>
      <c r="S4204" s="123"/>
      <c r="T4204" s="219">
        <f t="shared" si="2460"/>
        <v>0</v>
      </c>
      <c r="U4204" s="87"/>
      <c r="V4204" s="47"/>
      <c r="W4204" s="48"/>
      <c r="X4204" s="48"/>
      <c r="Y4204" s="48"/>
      <c r="Z4204" s="135"/>
      <c r="AA4204" s="49"/>
      <c r="AB4204" s="50">
        <f t="shared" si="2443"/>
        <v>0</v>
      </c>
      <c r="AC4204" s="42">
        <f t="shared" si="2461"/>
        <v>9.9999999999999998E-20</v>
      </c>
      <c r="AD4204" s="90"/>
      <c r="AE4204" s="188"/>
      <c r="AF4204" s="189"/>
      <c r="AG4204" s="189"/>
      <c r="AH4204" s="189"/>
      <c r="AI4204" s="161"/>
    </row>
    <row r="4205" spans="1:41" ht="20.100000000000001" customHeight="1" x14ac:dyDescent="0.25">
      <c r="A4205" s="277" t="s">
        <v>491</v>
      </c>
      <c r="B4205" s="278"/>
      <c r="C4205" s="64" t="s">
        <v>1193</v>
      </c>
      <c r="D4205" s="46" t="s">
        <v>97</v>
      </c>
      <c r="E4205" s="114">
        <v>208.48899999999986</v>
      </c>
      <c r="F4205" s="44">
        <v>345</v>
      </c>
      <c r="G4205" s="44">
        <f t="shared" si="2434"/>
        <v>71928.704999999958</v>
      </c>
      <c r="H4205" s="44">
        <f t="shared" si="2435"/>
        <v>198.50510588235298</v>
      </c>
      <c r="I4205" s="43">
        <f t="shared" si="2436"/>
        <v>41386.13102030586</v>
      </c>
      <c r="J4205" s="112">
        <f t="shared" si="2437"/>
        <v>208.48899999999986</v>
      </c>
      <c r="K4205" s="211">
        <f t="shared" si="2438"/>
        <v>208.48899999999986</v>
      </c>
      <c r="L4205" s="44"/>
      <c r="M4205" s="44">
        <f t="shared" si="2458"/>
        <v>208.48899999999986</v>
      </c>
      <c r="N4205" s="173">
        <f t="shared" si="2439"/>
        <v>1</v>
      </c>
      <c r="O4205" s="44">
        <f t="shared" si="2440"/>
        <v>345</v>
      </c>
      <c r="P4205" s="44">
        <f t="shared" si="2441"/>
        <v>71928.704999999958</v>
      </c>
      <c r="Q4205" s="44">
        <f t="shared" si="2442"/>
        <v>198.50510588235298</v>
      </c>
      <c r="R4205" s="44">
        <f t="shared" si="2459"/>
        <v>41386.13102030586</v>
      </c>
      <c r="S4205" s="123"/>
      <c r="T4205" s="219">
        <f t="shared" si="2460"/>
        <v>41386.13102030586</v>
      </c>
      <c r="U4205" s="87"/>
      <c r="V4205" s="47"/>
      <c r="W4205" s="48"/>
      <c r="X4205" s="48"/>
      <c r="Y4205" s="48"/>
      <c r="Z4205" s="135"/>
      <c r="AA4205" s="49"/>
      <c r="AB4205" s="50">
        <f t="shared" si="2443"/>
        <v>198.50510588235298</v>
      </c>
      <c r="AC4205" s="42">
        <f t="shared" si="2461"/>
        <v>208.48899999999986</v>
      </c>
      <c r="AD4205" s="90">
        <f>AD4206+AD4215+AD4221</f>
        <v>41386.13102030586</v>
      </c>
      <c r="AE4205" s="188">
        <f t="shared" ref="AE4205:AH4205" si="3086">AE4206+AE4215+AE4221</f>
        <v>0</v>
      </c>
      <c r="AF4205" s="189">
        <f t="shared" si="3086"/>
        <v>0</v>
      </c>
      <c r="AG4205" s="189">
        <f t="shared" si="3086"/>
        <v>0</v>
      </c>
      <c r="AH4205" s="189">
        <f t="shared" si="3086"/>
        <v>0</v>
      </c>
      <c r="AI4205" s="161">
        <f t="shared" ref="AI4205:AI4224" si="3087">SUM(AE4205:AH4205)</f>
        <v>0</v>
      </c>
      <c r="AK4205" s="169">
        <v>5</v>
      </c>
      <c r="AO4205" s="19" t="s">
        <v>63</v>
      </c>
    </row>
    <row r="4206" spans="1:41" s="103" customFormat="1" ht="19.899999999999999" customHeight="1" x14ac:dyDescent="0.25">
      <c r="A4206" s="51"/>
      <c r="B4206" s="52"/>
      <c r="C4206" s="165"/>
      <c r="D4206" s="52"/>
      <c r="E4206" s="115"/>
      <c r="F4206" s="58"/>
      <c r="G4206" s="58"/>
      <c r="H4206" s="58"/>
      <c r="I4206" s="55"/>
      <c r="J4206" s="113">
        <f>J4205</f>
        <v>208.48899999999986</v>
      </c>
      <c r="K4206" s="212">
        <f>K4205</f>
        <v>208.48899999999986</v>
      </c>
      <c r="L4206" s="58"/>
      <c r="M4206" s="58">
        <f>K4206-L4206</f>
        <v>208.48899999999986</v>
      </c>
      <c r="N4206" s="166"/>
      <c r="O4206" s="58"/>
      <c r="P4206" s="58"/>
      <c r="Q4206" s="58"/>
      <c r="R4206" s="58"/>
      <c r="S4206" s="58"/>
      <c r="T4206" s="220"/>
      <c r="U4206" s="88"/>
      <c r="V4206" s="56"/>
      <c r="W4206" s="57" t="s">
        <v>1047</v>
      </c>
      <c r="X4206" s="53"/>
      <c r="Y4206" s="91" t="s">
        <v>68</v>
      </c>
      <c r="Z4206" s="136">
        <f>AD4206/AC4206</f>
        <v>9.9217725490196091</v>
      </c>
      <c r="AA4206" s="58"/>
      <c r="AB4206" s="53">
        <f>AD4206/AC4206</f>
        <v>9.9217725490196091</v>
      </c>
      <c r="AC4206" s="53">
        <f>M4206+$AE$10</f>
        <v>208.48899999999986</v>
      </c>
      <c r="AD4206" s="54">
        <f>SUM(AD4207:AD4214)</f>
        <v>2068.5804369725479</v>
      </c>
      <c r="AE4206" s="184">
        <f>SUMIFS($AD$37:$AD$12971,$V$37:$V$12971,$V4206,$X$37:$X$12971,AE$13)</f>
        <v>0</v>
      </c>
      <c r="AF4206" s="185">
        <f>SUMIFS($AD$37:$AD$12971,$V$37:$V$12971,$V4206,$X$37:$X$12971,AF$13)</f>
        <v>0</v>
      </c>
      <c r="AG4206" s="185">
        <f>SUMIFS($AD$37:$AD$12971,$V$37:$V$12971,$V4206,$X$37:$X$12971,AG$13)</f>
        <v>0</v>
      </c>
      <c r="AH4206" s="187">
        <f>SUMIFS($AD$37:$AD$12971,$V$37:$V$12971,$V4206,$X$37:$X$12971,AH$13)</f>
        <v>0</v>
      </c>
      <c r="AI4206" s="161">
        <f t="shared" si="3087"/>
        <v>0</v>
      </c>
      <c r="AK4206" s="172"/>
    </row>
    <row r="4207" spans="1:41" s="102" customFormat="1" ht="19.899999999999999" customHeight="1" x14ac:dyDescent="0.25">
      <c r="A4207" s="45"/>
      <c r="B4207" s="59"/>
      <c r="C4207" s="137"/>
      <c r="D4207" s="59"/>
      <c r="E4207" s="116"/>
      <c r="F4207" s="120"/>
      <c r="G4207" s="120"/>
      <c r="H4207" s="120"/>
      <c r="I4207" s="60"/>
      <c r="J4207" s="116"/>
      <c r="K4207" s="213"/>
      <c r="L4207" s="120"/>
      <c r="M4207" s="120"/>
      <c r="N4207" s="167"/>
      <c r="O4207" s="120"/>
      <c r="P4207" s="120"/>
      <c r="Q4207" s="120"/>
      <c r="R4207" s="120"/>
      <c r="S4207" s="120"/>
      <c r="T4207" s="221"/>
      <c r="U4207" s="89"/>
      <c r="V4207" s="61"/>
      <c r="W4207" s="92" t="s">
        <v>129</v>
      </c>
      <c r="X4207" s="93" t="s">
        <v>29</v>
      </c>
      <c r="Y4207" s="93" t="s">
        <v>93</v>
      </c>
      <c r="Z4207" s="134">
        <f>VLOOKUP(W4207,Sheet2!$B:$D,3,FALSE)</f>
        <v>56</v>
      </c>
      <c r="AA4207" s="93">
        <f>100/(1*2)</f>
        <v>50</v>
      </c>
      <c r="AB4207" s="93">
        <f t="shared" ref="AB4207" si="3088">AD4207/AC4206</f>
        <v>1.1200000000000001</v>
      </c>
      <c r="AC4207" s="93">
        <f>AC4206/AA4207</f>
        <v>4.1697799999999976</v>
      </c>
      <c r="AD4207" s="94">
        <f t="shared" ref="AD4207:AD4208" si="3089">AC4207*Z4207</f>
        <v>233.50767999999988</v>
      </c>
      <c r="AE4207" s="190"/>
      <c r="AF4207" s="191"/>
      <c r="AG4207" s="191"/>
      <c r="AH4207" s="191"/>
      <c r="AI4207" s="186"/>
      <c r="AK4207" s="171"/>
    </row>
    <row r="4208" spans="1:41" s="102" customFormat="1" ht="19.899999999999999" customHeight="1" x14ac:dyDescent="0.25">
      <c r="A4208" s="45"/>
      <c r="B4208" s="59"/>
      <c r="C4208" s="137"/>
      <c r="D4208" s="59"/>
      <c r="E4208" s="116"/>
      <c r="F4208" s="120"/>
      <c r="G4208" s="120"/>
      <c r="H4208" s="120"/>
      <c r="I4208" s="60"/>
      <c r="J4208" s="116"/>
      <c r="K4208" s="213"/>
      <c r="L4208" s="120"/>
      <c r="M4208" s="120"/>
      <c r="N4208" s="167"/>
      <c r="O4208" s="120"/>
      <c r="P4208" s="120"/>
      <c r="Q4208" s="120"/>
      <c r="R4208" s="120"/>
      <c r="S4208" s="120"/>
      <c r="T4208" s="221"/>
      <c r="U4208" s="89"/>
      <c r="V4208" s="61"/>
      <c r="W4208" s="92" t="s">
        <v>65</v>
      </c>
      <c r="X4208" s="93" t="s">
        <v>30</v>
      </c>
      <c r="Y4208" s="93" t="s">
        <v>1011</v>
      </c>
      <c r="Z4208" s="134">
        <f>VLOOKUP(W4208,Sheet2!$B:$D,3,FALSE)</f>
        <v>1.76</v>
      </c>
      <c r="AA4208" s="93">
        <f>AA4207/14</f>
        <v>3.5714285714285716</v>
      </c>
      <c r="AB4208" s="93">
        <f>AD4208/AC4206</f>
        <v>0.49279999999999996</v>
      </c>
      <c r="AC4208" s="93">
        <f>AC4206/AA4208</f>
        <v>58.376919999999956</v>
      </c>
      <c r="AD4208" s="94">
        <f t="shared" si="3089"/>
        <v>102.74337919999992</v>
      </c>
      <c r="AE4208" s="190"/>
      <c r="AF4208" s="191"/>
      <c r="AG4208" s="191"/>
      <c r="AH4208" s="191"/>
      <c r="AI4208" s="186"/>
      <c r="AK4208" s="171"/>
    </row>
    <row r="4209" spans="1:41" s="102" customFormat="1" ht="19.899999999999999" customHeight="1" x14ac:dyDescent="0.25">
      <c r="A4209" s="45"/>
      <c r="B4209" s="59"/>
      <c r="C4209" s="137"/>
      <c r="D4209" s="59"/>
      <c r="E4209" s="116"/>
      <c r="F4209" s="120"/>
      <c r="G4209" s="120"/>
      <c r="H4209" s="120"/>
      <c r="I4209" s="60"/>
      <c r="J4209" s="116"/>
      <c r="K4209" s="213"/>
      <c r="L4209" s="120"/>
      <c r="M4209" s="120"/>
      <c r="N4209" s="167"/>
      <c r="O4209" s="120"/>
      <c r="P4209" s="120"/>
      <c r="Q4209" s="120"/>
      <c r="R4209" s="120"/>
      <c r="S4209" s="120"/>
      <c r="T4209" s="221"/>
      <c r="U4209" s="89"/>
      <c r="V4209" s="61"/>
      <c r="W4209" s="92" t="s">
        <v>161</v>
      </c>
      <c r="X4209" s="93" t="s">
        <v>29</v>
      </c>
      <c r="Y4209" s="93" t="s">
        <v>93</v>
      </c>
      <c r="Z4209" s="134">
        <f>VLOOKUP(W4209,Sheet2!$B:$D,3,FALSE)</f>
        <v>48</v>
      </c>
      <c r="AA4209" s="93">
        <f>(16*0.85*1.5)/(1*2)</f>
        <v>10.199999999999999</v>
      </c>
      <c r="AB4209" s="93">
        <f>AD4209/AC4206</f>
        <v>4.7058823529411766</v>
      </c>
      <c r="AC4209" s="93">
        <f>AC4206/AA4209</f>
        <v>20.440098039215673</v>
      </c>
      <c r="AD4209" s="94">
        <f>AC4209*Z4209</f>
        <v>981.12470588235237</v>
      </c>
      <c r="AE4209" s="190"/>
      <c r="AF4209" s="191"/>
      <c r="AG4209" s="191"/>
      <c r="AH4209" s="191"/>
      <c r="AI4209" s="186"/>
      <c r="AK4209" s="171"/>
    </row>
    <row r="4210" spans="1:41" s="102" customFormat="1" ht="19.899999999999999" customHeight="1" x14ac:dyDescent="0.25">
      <c r="A4210" s="45"/>
      <c r="B4210" s="59"/>
      <c r="C4210" s="137"/>
      <c r="D4210" s="59"/>
      <c r="E4210" s="116"/>
      <c r="F4210" s="120"/>
      <c r="G4210" s="120"/>
      <c r="H4210" s="120"/>
      <c r="I4210" s="60"/>
      <c r="J4210" s="116"/>
      <c r="K4210" s="213"/>
      <c r="L4210" s="120"/>
      <c r="M4210" s="120"/>
      <c r="N4210" s="167"/>
      <c r="O4210" s="120"/>
      <c r="P4210" s="120"/>
      <c r="Q4210" s="120"/>
      <c r="R4210" s="120"/>
      <c r="S4210" s="120"/>
      <c r="T4210" s="221"/>
      <c r="U4210" s="89"/>
      <c r="V4210" s="61"/>
      <c r="W4210" s="92" t="s">
        <v>65</v>
      </c>
      <c r="X4210" s="93" t="s">
        <v>30</v>
      </c>
      <c r="Y4210" s="93" t="s">
        <v>1011</v>
      </c>
      <c r="Z4210" s="134">
        <f>VLOOKUP(W4210,Sheet2!$B:$D,3,FALSE)</f>
        <v>1.76</v>
      </c>
      <c r="AA4210" s="93">
        <f>AA4209/10</f>
        <v>1.02</v>
      </c>
      <c r="AB4210" s="93">
        <f>AD4210/AC4206</f>
        <v>1.7254901960784315</v>
      </c>
      <c r="AC4210" s="93">
        <f>AC4206/AA4210</f>
        <v>204.40098039215673</v>
      </c>
      <c r="AD4210" s="94">
        <f>AC4210*Z4210</f>
        <v>359.74572549019587</v>
      </c>
      <c r="AE4210" s="190"/>
      <c r="AF4210" s="191"/>
      <c r="AG4210" s="191"/>
      <c r="AH4210" s="191"/>
      <c r="AI4210" s="186"/>
      <c r="AK4210" s="171"/>
    </row>
    <row r="4211" spans="1:41" s="102" customFormat="1" ht="19.899999999999999" customHeight="1" x14ac:dyDescent="0.25">
      <c r="A4211" s="45"/>
      <c r="B4211" s="59"/>
      <c r="C4211" s="137"/>
      <c r="D4211" s="59"/>
      <c r="E4211" s="116"/>
      <c r="F4211" s="120"/>
      <c r="G4211" s="120"/>
      <c r="H4211" s="120"/>
      <c r="I4211" s="60"/>
      <c r="J4211" s="116"/>
      <c r="K4211" s="213"/>
      <c r="L4211" s="120"/>
      <c r="M4211" s="120"/>
      <c r="N4211" s="167"/>
      <c r="O4211" s="120"/>
      <c r="P4211" s="120"/>
      <c r="Q4211" s="120"/>
      <c r="R4211" s="120"/>
      <c r="S4211" s="120"/>
      <c r="T4211" s="221"/>
      <c r="U4211" s="89"/>
      <c r="V4211" s="61"/>
      <c r="W4211" s="92" t="s">
        <v>1030</v>
      </c>
      <c r="X4211" s="93" t="s">
        <v>29</v>
      </c>
      <c r="Y4211" s="93" t="s">
        <v>93</v>
      </c>
      <c r="Z4211" s="134">
        <f>VLOOKUP(W4211,Sheet2!$B:$D,3,FALSE)</f>
        <v>23</v>
      </c>
      <c r="AA4211" s="93">
        <v>50</v>
      </c>
      <c r="AB4211" s="93">
        <f>AD4211/AC4206</f>
        <v>0.46</v>
      </c>
      <c r="AC4211" s="93">
        <f>AC4206/AA4211</f>
        <v>4.1697799999999976</v>
      </c>
      <c r="AD4211" s="94">
        <f t="shared" ref="AD4211:AD4214" si="3090">AC4211*Z4211</f>
        <v>95.904939999999939</v>
      </c>
      <c r="AE4211" s="190"/>
      <c r="AF4211" s="191"/>
      <c r="AG4211" s="191"/>
      <c r="AH4211" s="191"/>
      <c r="AI4211" s="186"/>
      <c r="AK4211" s="171"/>
    </row>
    <row r="4212" spans="1:41" s="102" customFormat="1" ht="19.899999999999999" customHeight="1" x14ac:dyDescent="0.25">
      <c r="A4212" s="45"/>
      <c r="B4212" s="59"/>
      <c r="C4212" s="137"/>
      <c r="D4212" s="59"/>
      <c r="E4212" s="116"/>
      <c r="F4212" s="120"/>
      <c r="G4212" s="120"/>
      <c r="H4212" s="120"/>
      <c r="I4212" s="60"/>
      <c r="J4212" s="116"/>
      <c r="K4212" s="213"/>
      <c r="L4212" s="120"/>
      <c r="M4212" s="120"/>
      <c r="N4212" s="167"/>
      <c r="O4212" s="120"/>
      <c r="P4212" s="120"/>
      <c r="Q4212" s="120"/>
      <c r="R4212" s="120"/>
      <c r="S4212" s="120"/>
      <c r="T4212" s="221"/>
      <c r="U4212" s="89"/>
      <c r="V4212" s="61"/>
      <c r="W4212" s="92" t="s">
        <v>65</v>
      </c>
      <c r="X4212" s="93" t="s">
        <v>30</v>
      </c>
      <c r="Y4212" s="93" t="s">
        <v>1011</v>
      </c>
      <c r="Z4212" s="134">
        <f>VLOOKUP(W4212,Sheet2!$B:$D,3,FALSE)</f>
        <v>1.76</v>
      </c>
      <c r="AA4212" s="93">
        <f>AA4211/3</f>
        <v>16.666666666666668</v>
      </c>
      <c r="AB4212" s="93">
        <f>AD4212/AC4206</f>
        <v>0.1056</v>
      </c>
      <c r="AC4212" s="93">
        <f>AC4206/AA4212</f>
        <v>12.509339999999991</v>
      </c>
      <c r="AD4212" s="94">
        <f t="shared" si="3090"/>
        <v>22.016438399999984</v>
      </c>
      <c r="AE4212" s="190"/>
      <c r="AF4212" s="191"/>
      <c r="AG4212" s="191"/>
      <c r="AH4212" s="191"/>
      <c r="AI4212" s="186"/>
      <c r="AK4212" s="171"/>
    </row>
    <row r="4213" spans="1:41" s="102" customFormat="1" ht="19.899999999999999" customHeight="1" x14ac:dyDescent="0.25">
      <c r="A4213" s="45"/>
      <c r="B4213" s="59"/>
      <c r="C4213" s="137"/>
      <c r="D4213" s="59"/>
      <c r="E4213" s="116"/>
      <c r="F4213" s="120"/>
      <c r="G4213" s="120"/>
      <c r="H4213" s="120"/>
      <c r="I4213" s="60"/>
      <c r="J4213" s="116"/>
      <c r="K4213" s="213"/>
      <c r="L4213" s="120"/>
      <c r="M4213" s="120"/>
      <c r="N4213" s="167"/>
      <c r="O4213" s="120"/>
      <c r="P4213" s="120"/>
      <c r="Q4213" s="120"/>
      <c r="R4213" s="120"/>
      <c r="S4213" s="120"/>
      <c r="T4213" s="221"/>
      <c r="U4213" s="89"/>
      <c r="V4213" s="61"/>
      <c r="W4213" s="92" t="s">
        <v>148</v>
      </c>
      <c r="X4213" s="93" t="s">
        <v>29</v>
      </c>
      <c r="Y4213" s="93" t="s">
        <v>93</v>
      </c>
      <c r="Z4213" s="134">
        <f>VLOOKUP(W4213,Sheet2!$B:$D,3,FALSE)</f>
        <v>48</v>
      </c>
      <c r="AA4213" s="93">
        <f>AA4207</f>
        <v>50</v>
      </c>
      <c r="AB4213" s="93">
        <f>AD4213/AC4206</f>
        <v>0.96000000000000008</v>
      </c>
      <c r="AC4213" s="93">
        <f>AC4206/AA4213</f>
        <v>4.1697799999999976</v>
      </c>
      <c r="AD4213" s="94">
        <f t="shared" si="3090"/>
        <v>200.14943999999988</v>
      </c>
      <c r="AE4213" s="190"/>
      <c r="AF4213" s="191"/>
      <c r="AG4213" s="191"/>
      <c r="AH4213" s="191"/>
      <c r="AI4213" s="186"/>
      <c r="AK4213" s="171"/>
    </row>
    <row r="4214" spans="1:41" s="102" customFormat="1" ht="19.899999999999999" customHeight="1" x14ac:dyDescent="0.25">
      <c r="A4214" s="45"/>
      <c r="B4214" s="59"/>
      <c r="C4214" s="137"/>
      <c r="D4214" s="59"/>
      <c r="E4214" s="116"/>
      <c r="F4214" s="120"/>
      <c r="G4214" s="120"/>
      <c r="H4214" s="120"/>
      <c r="I4214" s="60"/>
      <c r="J4214" s="116"/>
      <c r="K4214" s="213"/>
      <c r="L4214" s="120"/>
      <c r="M4214" s="120"/>
      <c r="N4214" s="167"/>
      <c r="O4214" s="120"/>
      <c r="P4214" s="120"/>
      <c r="Q4214" s="120"/>
      <c r="R4214" s="120"/>
      <c r="S4214" s="120"/>
      <c r="T4214" s="221"/>
      <c r="U4214" s="89"/>
      <c r="V4214" s="61"/>
      <c r="W4214" s="92" t="s">
        <v>65</v>
      </c>
      <c r="X4214" s="93" t="s">
        <v>30</v>
      </c>
      <c r="Y4214" s="93" t="s">
        <v>1011</v>
      </c>
      <c r="Z4214" s="134">
        <f>VLOOKUP(W4214,Sheet2!$B:$D,3,FALSE)</f>
        <v>1.76</v>
      </c>
      <c r="AA4214" s="93">
        <f>AA4213/10</f>
        <v>5</v>
      </c>
      <c r="AB4214" s="93">
        <f>AD4214/AC4206</f>
        <v>0.35199999999999998</v>
      </c>
      <c r="AC4214" s="93">
        <f>AC4206/AA4214</f>
        <v>41.697799999999972</v>
      </c>
      <c r="AD4214" s="94">
        <f t="shared" si="3090"/>
        <v>73.388127999999952</v>
      </c>
      <c r="AE4214" s="190"/>
      <c r="AF4214" s="191"/>
      <c r="AG4214" s="191"/>
      <c r="AH4214" s="191"/>
      <c r="AI4214" s="186"/>
      <c r="AK4214" s="171"/>
    </row>
    <row r="4215" spans="1:41" s="103" customFormat="1" ht="19.899999999999999" customHeight="1" x14ac:dyDescent="0.25">
      <c r="A4215" s="51"/>
      <c r="B4215" s="52"/>
      <c r="C4215" s="165"/>
      <c r="D4215" s="52"/>
      <c r="E4215" s="115"/>
      <c r="F4215" s="58"/>
      <c r="G4215" s="58"/>
      <c r="H4215" s="58"/>
      <c r="I4215" s="55"/>
      <c r="J4215" s="113">
        <f>J4205</f>
        <v>208.48899999999986</v>
      </c>
      <c r="K4215" s="212">
        <f>K4205</f>
        <v>208.48899999999986</v>
      </c>
      <c r="L4215" s="58"/>
      <c r="M4215" s="58">
        <f>K4215-L4215</f>
        <v>208.48899999999986</v>
      </c>
      <c r="N4215" s="166"/>
      <c r="O4215" s="58"/>
      <c r="P4215" s="58"/>
      <c r="Q4215" s="58"/>
      <c r="R4215" s="58"/>
      <c r="S4215" s="58"/>
      <c r="T4215" s="220"/>
      <c r="U4215" s="88"/>
      <c r="V4215" s="56"/>
      <c r="W4215" s="57" t="s">
        <v>1036</v>
      </c>
      <c r="X4215" s="53"/>
      <c r="Y4215" s="91" t="s">
        <v>68</v>
      </c>
      <c r="Z4215" s="136">
        <f>AD4215/AC4215</f>
        <v>183.58333333333337</v>
      </c>
      <c r="AA4215" s="58"/>
      <c r="AB4215" s="53">
        <f>AD4215/AC4215</f>
        <v>183.58333333333337</v>
      </c>
      <c r="AC4215" s="53">
        <f>M4215+$AE$10</f>
        <v>208.48899999999986</v>
      </c>
      <c r="AD4215" s="54">
        <f>SUM(AD4216:AD4220)</f>
        <v>38275.105583333316</v>
      </c>
      <c r="AE4215" s="184">
        <f>SUMIFS($AD$37:$AD$12971,$V$37:$V$12971,$V4215,$X$37:$X$12971,AE$13)</f>
        <v>0</v>
      </c>
      <c r="AF4215" s="185">
        <f>SUMIFS($AD$37:$AD$12971,$V$37:$V$12971,$V4215,$X$37:$X$12971,AF$13)</f>
        <v>0</v>
      </c>
      <c r="AG4215" s="185">
        <f>SUMIFS($AD$37:$AD$12971,$V$37:$V$12971,$V4215,$X$37:$X$12971,AG$13)</f>
        <v>0</v>
      </c>
      <c r="AH4215" s="187">
        <f>SUMIFS($AD$37:$AD$12971,$V$37:$V$12971,$V4215,$X$37:$X$12971,AH$13)</f>
        <v>0</v>
      </c>
      <c r="AI4215" s="161">
        <f t="shared" ref="AI4215" si="3091">SUM(AE4215:AH4215)</f>
        <v>0</v>
      </c>
      <c r="AK4215" s="172"/>
    </row>
    <row r="4216" spans="1:41" s="102" customFormat="1" ht="19.899999999999999" customHeight="1" x14ac:dyDescent="0.25">
      <c r="A4216" s="45"/>
      <c r="B4216" s="59"/>
      <c r="C4216" s="137"/>
      <c r="D4216" s="59"/>
      <c r="E4216" s="116"/>
      <c r="F4216" s="120"/>
      <c r="G4216" s="120"/>
      <c r="H4216" s="120"/>
      <c r="I4216" s="60"/>
      <c r="J4216" s="116"/>
      <c r="K4216" s="213"/>
      <c r="L4216" s="120"/>
      <c r="M4216" s="120"/>
      <c r="N4216" s="167"/>
      <c r="O4216" s="120"/>
      <c r="P4216" s="120"/>
      <c r="Q4216" s="120"/>
      <c r="R4216" s="120"/>
      <c r="S4216" s="120"/>
      <c r="T4216" s="221"/>
      <c r="U4216" s="89"/>
      <c r="V4216" s="61"/>
      <c r="W4216" s="92" t="s">
        <v>1252</v>
      </c>
      <c r="X4216" s="93" t="s">
        <v>30</v>
      </c>
      <c r="Y4216" s="93" t="s">
        <v>68</v>
      </c>
      <c r="Z4216" s="134">
        <f>VLOOKUP(W4216,Sheet2!$B:$D,3,FALSE)</f>
        <v>110</v>
      </c>
      <c r="AA4216" s="93">
        <v>1</v>
      </c>
      <c r="AB4216" s="93">
        <f>AD4216/AC4215</f>
        <v>110</v>
      </c>
      <c r="AC4216" s="93">
        <f>AC4215/AA4216</f>
        <v>208.48899999999986</v>
      </c>
      <c r="AD4216" s="94">
        <f t="shared" ref="AD4216" si="3092">AC4216*Z4216</f>
        <v>22933.789999999986</v>
      </c>
      <c r="AE4216" s="190"/>
      <c r="AF4216" s="191"/>
      <c r="AG4216" s="191"/>
      <c r="AH4216" s="191"/>
      <c r="AI4216" s="186"/>
      <c r="AK4216" s="171"/>
    </row>
    <row r="4217" spans="1:41" s="102" customFormat="1" ht="19.899999999999999" customHeight="1" x14ac:dyDescent="0.25">
      <c r="A4217" s="45"/>
      <c r="B4217" s="59"/>
      <c r="C4217" s="137"/>
      <c r="D4217" s="59"/>
      <c r="E4217" s="116"/>
      <c r="F4217" s="120"/>
      <c r="G4217" s="120"/>
      <c r="H4217" s="120"/>
      <c r="I4217" s="60"/>
      <c r="J4217" s="116"/>
      <c r="K4217" s="213"/>
      <c r="L4217" s="120"/>
      <c r="M4217" s="120"/>
      <c r="N4217" s="167"/>
      <c r="O4217" s="120"/>
      <c r="P4217" s="120"/>
      <c r="Q4217" s="120"/>
      <c r="R4217" s="120"/>
      <c r="S4217" s="120"/>
      <c r="T4217" s="221"/>
      <c r="U4217" s="89"/>
      <c r="V4217" s="61"/>
      <c r="W4217" s="92" t="s">
        <v>1260</v>
      </c>
      <c r="X4217" s="93" t="s">
        <v>32</v>
      </c>
      <c r="Y4217" s="93" t="s">
        <v>68</v>
      </c>
      <c r="Z4217" s="134">
        <f>VLOOKUP(W4217,Sheet2!$B:$D,3,FALSE)</f>
        <v>33</v>
      </c>
      <c r="AA4217" s="93">
        <v>1</v>
      </c>
      <c r="AB4217" s="93">
        <f>AD4217/AC4215</f>
        <v>33</v>
      </c>
      <c r="AC4217" s="93">
        <f>AC4215/AA4217</f>
        <v>208.48899999999986</v>
      </c>
      <c r="AD4217" s="94">
        <f>AC4217*Z4217</f>
        <v>6880.1369999999952</v>
      </c>
      <c r="AE4217" s="190"/>
      <c r="AF4217" s="191"/>
      <c r="AG4217" s="191"/>
      <c r="AH4217" s="191"/>
      <c r="AI4217" s="186"/>
      <c r="AK4217" s="171"/>
    </row>
    <row r="4218" spans="1:41" s="102" customFormat="1" ht="19.899999999999999" customHeight="1" x14ac:dyDescent="0.25">
      <c r="A4218" s="45"/>
      <c r="B4218" s="59"/>
      <c r="C4218" s="137"/>
      <c r="D4218" s="59"/>
      <c r="E4218" s="116"/>
      <c r="F4218" s="120"/>
      <c r="G4218" s="120"/>
      <c r="H4218" s="120"/>
      <c r="I4218" s="60"/>
      <c r="J4218" s="116"/>
      <c r="K4218" s="213"/>
      <c r="L4218" s="120"/>
      <c r="M4218" s="120"/>
      <c r="N4218" s="167"/>
      <c r="O4218" s="120"/>
      <c r="P4218" s="120"/>
      <c r="Q4218" s="120"/>
      <c r="R4218" s="120"/>
      <c r="S4218" s="120"/>
      <c r="T4218" s="221"/>
      <c r="U4218" s="89"/>
      <c r="V4218" s="61"/>
      <c r="W4218" s="92" t="s">
        <v>1032</v>
      </c>
      <c r="X4218" s="93" t="s">
        <v>30</v>
      </c>
      <c r="Y4218" s="93" t="s">
        <v>66</v>
      </c>
      <c r="Z4218" s="134">
        <f>VLOOKUP(W4218,Sheet2!$B:$D,3,FALSE)</f>
        <v>250</v>
      </c>
      <c r="AA4218" s="93">
        <f>1/(1*0.1)</f>
        <v>10</v>
      </c>
      <c r="AB4218" s="93">
        <f>AD4218/AC4215</f>
        <v>25</v>
      </c>
      <c r="AC4218" s="93">
        <f>AC4215/AA4218</f>
        <v>20.848899999999986</v>
      </c>
      <c r="AD4218" s="94">
        <f>AC4218*Z4218</f>
        <v>5212.2249999999967</v>
      </c>
      <c r="AE4218" s="190"/>
      <c r="AF4218" s="191"/>
      <c r="AG4218" s="191"/>
      <c r="AH4218" s="191"/>
      <c r="AI4218" s="186"/>
      <c r="AK4218" s="171"/>
    </row>
    <row r="4219" spans="1:41" s="102" customFormat="1" ht="19.899999999999999" customHeight="1" x14ac:dyDescent="0.25">
      <c r="A4219" s="45"/>
      <c r="B4219" s="59"/>
      <c r="C4219" s="137"/>
      <c r="D4219" s="59"/>
      <c r="E4219" s="116"/>
      <c r="F4219" s="120"/>
      <c r="G4219" s="120"/>
      <c r="H4219" s="120"/>
      <c r="I4219" s="60"/>
      <c r="J4219" s="116"/>
      <c r="K4219" s="213"/>
      <c r="L4219" s="120"/>
      <c r="M4219" s="120"/>
      <c r="N4219" s="167"/>
      <c r="O4219" s="120"/>
      <c r="P4219" s="120"/>
      <c r="Q4219" s="120"/>
      <c r="R4219" s="120"/>
      <c r="S4219" s="120"/>
      <c r="T4219" s="221"/>
      <c r="U4219" s="89"/>
      <c r="V4219" s="61"/>
      <c r="W4219" s="92" t="s">
        <v>1035</v>
      </c>
      <c r="X4219" s="93" t="s">
        <v>32</v>
      </c>
      <c r="Y4219" s="93" t="s">
        <v>66</v>
      </c>
      <c r="Z4219" s="134">
        <f>VLOOKUP(W4219,Sheet2!$B:$D,3,FALSE)</f>
        <v>150</v>
      </c>
      <c r="AA4219" s="93">
        <f>AA4218</f>
        <v>10</v>
      </c>
      <c r="AB4219" s="93">
        <f>AD4219/AC4215</f>
        <v>15</v>
      </c>
      <c r="AC4219" s="93">
        <f>AC4215/AA4219</f>
        <v>20.848899999999986</v>
      </c>
      <c r="AD4219" s="94">
        <f t="shared" ref="AD4219:AD4220" si="3093">AC4219*Z4219</f>
        <v>3127.3349999999978</v>
      </c>
      <c r="AE4219" s="190"/>
      <c r="AF4219" s="191"/>
      <c r="AG4219" s="191"/>
      <c r="AH4219" s="191"/>
      <c r="AI4219" s="186"/>
      <c r="AK4219" s="171"/>
    </row>
    <row r="4220" spans="1:41" s="102" customFormat="1" ht="19.899999999999999" customHeight="1" x14ac:dyDescent="0.25">
      <c r="A4220" s="45"/>
      <c r="B4220" s="59"/>
      <c r="C4220" s="137"/>
      <c r="D4220" s="59"/>
      <c r="E4220" s="116"/>
      <c r="F4220" s="120"/>
      <c r="G4220" s="120"/>
      <c r="H4220" s="120"/>
      <c r="I4220" s="60"/>
      <c r="J4220" s="116"/>
      <c r="K4220" s="213"/>
      <c r="L4220" s="120"/>
      <c r="M4220" s="120"/>
      <c r="N4220" s="167"/>
      <c r="O4220" s="120"/>
      <c r="P4220" s="120"/>
      <c r="Q4220" s="120"/>
      <c r="R4220" s="120"/>
      <c r="S4220" s="120"/>
      <c r="T4220" s="221"/>
      <c r="U4220" s="89"/>
      <c r="V4220" s="61"/>
      <c r="W4220" s="92" t="s">
        <v>1037</v>
      </c>
      <c r="X4220" s="93" t="s">
        <v>30</v>
      </c>
      <c r="Y4220" s="93" t="s">
        <v>1038</v>
      </c>
      <c r="Z4220" s="134">
        <f>VLOOKUP(W4220,Sheet2!$B:$D,3,FALSE)</f>
        <v>175</v>
      </c>
      <c r="AA4220" s="93">
        <v>300</v>
      </c>
      <c r="AB4220" s="93">
        <f>AD4220/AC4215</f>
        <v>0.58333333333333326</v>
      </c>
      <c r="AC4220" s="93">
        <f>AC4215/AA4220</f>
        <v>0.69496333333333282</v>
      </c>
      <c r="AD4220" s="94">
        <f t="shared" si="3093"/>
        <v>121.61858333333325</v>
      </c>
      <c r="AE4220" s="190"/>
      <c r="AF4220" s="191"/>
      <c r="AG4220" s="191"/>
      <c r="AH4220" s="191"/>
      <c r="AI4220" s="186"/>
      <c r="AK4220" s="171"/>
    </row>
    <row r="4221" spans="1:41" s="103" customFormat="1" ht="19.899999999999999" customHeight="1" x14ac:dyDescent="0.25">
      <c r="A4221" s="51"/>
      <c r="B4221" s="52"/>
      <c r="C4221" s="165"/>
      <c r="D4221" s="52"/>
      <c r="E4221" s="115"/>
      <c r="F4221" s="58"/>
      <c r="G4221" s="58"/>
      <c r="H4221" s="58"/>
      <c r="I4221" s="55"/>
      <c r="J4221" s="113">
        <f>J4205</f>
        <v>208.48899999999986</v>
      </c>
      <c r="K4221" s="212">
        <f>K4205</f>
        <v>208.48899999999986</v>
      </c>
      <c r="L4221" s="58"/>
      <c r="M4221" s="58">
        <f>K4221-L4221</f>
        <v>208.48899999999986</v>
      </c>
      <c r="N4221" s="166"/>
      <c r="O4221" s="58"/>
      <c r="P4221" s="58"/>
      <c r="Q4221" s="58"/>
      <c r="R4221" s="58"/>
      <c r="S4221" s="58"/>
      <c r="T4221" s="220"/>
      <c r="U4221" s="88"/>
      <c r="V4221" s="56"/>
      <c r="W4221" s="57" t="s">
        <v>1040</v>
      </c>
      <c r="X4221" s="53"/>
      <c r="Y4221" s="91" t="s">
        <v>68</v>
      </c>
      <c r="Z4221" s="136">
        <f>AD4221/AC4221</f>
        <v>5</v>
      </c>
      <c r="AA4221" s="58"/>
      <c r="AB4221" s="53">
        <f>AD4221/AC4221</f>
        <v>5</v>
      </c>
      <c r="AC4221" s="53">
        <f>M4221+$AE$10</f>
        <v>208.48899999999986</v>
      </c>
      <c r="AD4221" s="54">
        <f>SUM(AD4222)</f>
        <v>1042.4449999999993</v>
      </c>
      <c r="AE4221" s="184">
        <f>SUMIFS($AD$37:$AD$12971,$V$37:$V$12971,$V4221,$X$37:$X$12971,AE$13)</f>
        <v>0</v>
      </c>
      <c r="AF4221" s="185">
        <f>SUMIFS($AD$37:$AD$12971,$V$37:$V$12971,$V4221,$X$37:$X$12971,AF$13)</f>
        <v>0</v>
      </c>
      <c r="AG4221" s="185">
        <f>SUMIFS($AD$37:$AD$12971,$V$37:$V$12971,$V4221,$X$37:$X$12971,AG$13)</f>
        <v>0</v>
      </c>
      <c r="AH4221" s="187">
        <f>SUMIFS($AD$37:$AD$12971,$V$37:$V$12971,$V4221,$X$37:$X$12971,AH$13)</f>
        <v>0</v>
      </c>
      <c r="AI4221" s="161">
        <f t="shared" ref="AI4221" si="3094">SUM(AE4221:AH4221)</f>
        <v>0</v>
      </c>
      <c r="AK4221" s="172"/>
    </row>
    <row r="4222" spans="1:41" s="102" customFormat="1" ht="19.899999999999999" customHeight="1" x14ac:dyDescent="0.25">
      <c r="A4222" s="45"/>
      <c r="B4222" s="59"/>
      <c r="C4222" s="137"/>
      <c r="D4222" s="59"/>
      <c r="E4222" s="116"/>
      <c r="F4222" s="120"/>
      <c r="G4222" s="120"/>
      <c r="H4222" s="120"/>
      <c r="I4222" s="60"/>
      <c r="J4222" s="116"/>
      <c r="K4222" s="213"/>
      <c r="L4222" s="120"/>
      <c r="M4222" s="120"/>
      <c r="N4222" s="167"/>
      <c r="O4222" s="120"/>
      <c r="P4222" s="120"/>
      <c r="Q4222" s="120"/>
      <c r="R4222" s="120"/>
      <c r="S4222" s="120"/>
      <c r="T4222" s="221"/>
      <c r="U4222" s="89"/>
      <c r="V4222" s="61"/>
      <c r="W4222" s="92" t="s">
        <v>1039</v>
      </c>
      <c r="X4222" s="93" t="s">
        <v>32</v>
      </c>
      <c r="Y4222" s="93" t="s">
        <v>68</v>
      </c>
      <c r="Z4222" s="134">
        <f>VLOOKUP(W4222,Sheet2!$B:$D,3,FALSE)</f>
        <v>5</v>
      </c>
      <c r="AA4222" s="93">
        <v>1</v>
      </c>
      <c r="AB4222" s="93">
        <f>AD4222/AC4221</f>
        <v>5</v>
      </c>
      <c r="AC4222" s="93">
        <f>AC4221/AA4222</f>
        <v>208.48899999999986</v>
      </c>
      <c r="AD4222" s="94">
        <f t="shared" ref="AD4222" si="3095">AC4222*Z4222</f>
        <v>1042.4449999999993</v>
      </c>
      <c r="AE4222" s="190"/>
      <c r="AF4222" s="191"/>
      <c r="AG4222" s="191"/>
      <c r="AH4222" s="191"/>
      <c r="AI4222" s="186"/>
      <c r="AK4222" s="171"/>
    </row>
    <row r="4223" spans="1:41" ht="20.100000000000001" customHeight="1" x14ac:dyDescent="0.25">
      <c r="A4223" s="277" t="s">
        <v>491</v>
      </c>
      <c r="B4223" s="278"/>
      <c r="C4223" s="64" t="s">
        <v>1194</v>
      </c>
      <c r="D4223" s="46" t="s">
        <v>97</v>
      </c>
      <c r="E4223" s="114">
        <v>57.437999999999988</v>
      </c>
      <c r="F4223" s="44">
        <v>369</v>
      </c>
      <c r="G4223" s="44">
        <f t="shared" si="2434"/>
        <v>21194.621999999996</v>
      </c>
      <c r="H4223" s="44">
        <f t="shared" si="2435"/>
        <v>235.84414901960784</v>
      </c>
      <c r="I4223" s="43">
        <f t="shared" si="2436"/>
        <v>13546.416231388232</v>
      </c>
      <c r="J4223" s="112">
        <f t="shared" si="2437"/>
        <v>57.437999999999988</v>
      </c>
      <c r="K4223" s="211">
        <f t="shared" si="2438"/>
        <v>57.437999999999988</v>
      </c>
      <c r="L4223" s="44"/>
      <c r="M4223" s="44">
        <f t="shared" si="2458"/>
        <v>57.437999999999988</v>
      </c>
      <c r="N4223" s="173">
        <f t="shared" si="2439"/>
        <v>1</v>
      </c>
      <c r="O4223" s="44">
        <f t="shared" si="2440"/>
        <v>369</v>
      </c>
      <c r="P4223" s="44">
        <f t="shared" si="2441"/>
        <v>21194.621999999996</v>
      </c>
      <c r="Q4223" s="44">
        <f t="shared" si="2442"/>
        <v>235.84414901960784</v>
      </c>
      <c r="R4223" s="44">
        <f t="shared" si="2459"/>
        <v>13546.416231388232</v>
      </c>
      <c r="S4223" s="123"/>
      <c r="T4223" s="219">
        <f t="shared" si="2460"/>
        <v>13546.416231388232</v>
      </c>
      <c r="U4223" s="87"/>
      <c r="V4223" s="47"/>
      <c r="W4223" s="48"/>
      <c r="X4223" s="48"/>
      <c r="Y4223" s="48"/>
      <c r="Z4223" s="135"/>
      <c r="AA4223" s="49"/>
      <c r="AB4223" s="50">
        <f t="shared" si="2443"/>
        <v>235.84414901960784</v>
      </c>
      <c r="AC4223" s="42">
        <f t="shared" si="2461"/>
        <v>57.437999999999988</v>
      </c>
      <c r="AD4223" s="90">
        <f>AD4224+AD4234+AD4240</f>
        <v>13546.416231388232</v>
      </c>
      <c r="AE4223" s="188">
        <f t="shared" ref="AE4223:AH4223" si="3096">AE4224+AE4234+AE4240</f>
        <v>0</v>
      </c>
      <c r="AF4223" s="189">
        <f t="shared" si="3096"/>
        <v>0</v>
      </c>
      <c r="AG4223" s="189">
        <f t="shared" si="3096"/>
        <v>0</v>
      </c>
      <c r="AH4223" s="189">
        <f t="shared" si="3096"/>
        <v>0</v>
      </c>
      <c r="AI4223" s="161">
        <f t="shared" si="3087"/>
        <v>0</v>
      </c>
      <c r="AK4223" s="169">
        <v>5</v>
      </c>
      <c r="AO4223" s="19" t="s">
        <v>63</v>
      </c>
    </row>
    <row r="4224" spans="1:41" s="103" customFormat="1" ht="19.899999999999999" customHeight="1" x14ac:dyDescent="0.25">
      <c r="A4224" s="51"/>
      <c r="B4224" s="52"/>
      <c r="C4224" s="165"/>
      <c r="D4224" s="52"/>
      <c r="E4224" s="115"/>
      <c r="F4224" s="58"/>
      <c r="G4224" s="58"/>
      <c r="H4224" s="58"/>
      <c r="I4224" s="55"/>
      <c r="J4224" s="113">
        <f>J4223</f>
        <v>57.437999999999988</v>
      </c>
      <c r="K4224" s="212">
        <f>K4223</f>
        <v>57.437999999999988</v>
      </c>
      <c r="L4224" s="58"/>
      <c r="M4224" s="58">
        <f>K4224-L4224</f>
        <v>57.437999999999988</v>
      </c>
      <c r="N4224" s="166"/>
      <c r="O4224" s="58"/>
      <c r="P4224" s="58"/>
      <c r="Q4224" s="58"/>
      <c r="R4224" s="58"/>
      <c r="S4224" s="58"/>
      <c r="T4224" s="220"/>
      <c r="U4224" s="88"/>
      <c r="V4224" s="56"/>
      <c r="W4224" s="57" t="s">
        <v>1050</v>
      </c>
      <c r="X4224" s="53"/>
      <c r="Y4224" s="91" t="s">
        <v>68</v>
      </c>
      <c r="Z4224" s="136">
        <f>AD4224/AC4224</f>
        <v>47.260815686274505</v>
      </c>
      <c r="AA4224" s="58"/>
      <c r="AB4224" s="53">
        <f>AD4224/AC4224</f>
        <v>47.260815686274505</v>
      </c>
      <c r="AC4224" s="53">
        <f>M4224+$AE$10</f>
        <v>57.437999999999988</v>
      </c>
      <c r="AD4224" s="54">
        <f>SUM(AD4225:AD4233)</f>
        <v>2714.5667313882345</v>
      </c>
      <c r="AE4224" s="184">
        <f>SUMIFS($AD$37:$AD$12971,$V$37:$V$12971,$V4224,$X$37:$X$12971,AE$13)</f>
        <v>0</v>
      </c>
      <c r="AF4224" s="185">
        <f>SUMIFS($AD$37:$AD$12971,$V$37:$V$12971,$V4224,$X$37:$X$12971,AF$13)</f>
        <v>0</v>
      </c>
      <c r="AG4224" s="185">
        <f>SUMIFS($AD$37:$AD$12971,$V$37:$V$12971,$V4224,$X$37:$X$12971,AG$13)</f>
        <v>0</v>
      </c>
      <c r="AH4224" s="187">
        <f>SUMIFS($AD$37:$AD$12971,$V$37:$V$12971,$V4224,$X$37:$X$12971,AH$13)</f>
        <v>0</v>
      </c>
      <c r="AI4224" s="161">
        <f t="shared" si="3087"/>
        <v>0</v>
      </c>
      <c r="AK4224" s="172"/>
    </row>
    <row r="4225" spans="1:37" s="102" customFormat="1" ht="19.899999999999999" customHeight="1" x14ac:dyDescent="0.25">
      <c r="A4225" s="45"/>
      <c r="B4225" s="59"/>
      <c r="C4225" s="137"/>
      <c r="D4225" s="59"/>
      <c r="E4225" s="116"/>
      <c r="F4225" s="120"/>
      <c r="G4225" s="120"/>
      <c r="H4225" s="120"/>
      <c r="I4225" s="60"/>
      <c r="J4225" s="116"/>
      <c r="K4225" s="213"/>
      <c r="L4225" s="120"/>
      <c r="M4225" s="120"/>
      <c r="N4225" s="167"/>
      <c r="O4225" s="120"/>
      <c r="P4225" s="120"/>
      <c r="Q4225" s="120"/>
      <c r="R4225" s="120"/>
      <c r="S4225" s="120"/>
      <c r="T4225" s="221"/>
      <c r="U4225" s="89"/>
      <c r="V4225" s="61"/>
      <c r="W4225" s="92" t="s">
        <v>129</v>
      </c>
      <c r="X4225" s="93" t="s">
        <v>29</v>
      </c>
      <c r="Y4225" s="93" t="s">
        <v>93</v>
      </c>
      <c r="Z4225" s="134">
        <f>VLOOKUP(W4225,Sheet2!$B:$D,3,FALSE)</f>
        <v>56</v>
      </c>
      <c r="AA4225" s="93">
        <f>100/(1*2.5)</f>
        <v>40</v>
      </c>
      <c r="AB4225" s="93">
        <f t="shared" ref="AB4225" si="3097">AD4225/AC4224</f>
        <v>1.4</v>
      </c>
      <c r="AC4225" s="93">
        <f>AC4224/AA4225</f>
        <v>1.4359499999999996</v>
      </c>
      <c r="AD4225" s="94">
        <f t="shared" ref="AD4225:AD4226" si="3098">AC4225*Z4225</f>
        <v>80.413199999999975</v>
      </c>
      <c r="AE4225" s="190"/>
      <c r="AF4225" s="191"/>
      <c r="AG4225" s="191"/>
      <c r="AH4225" s="191"/>
      <c r="AI4225" s="186"/>
      <c r="AK4225" s="171"/>
    </row>
    <row r="4226" spans="1:37" s="102" customFormat="1" ht="19.899999999999999" customHeight="1" x14ac:dyDescent="0.25">
      <c r="A4226" s="45"/>
      <c r="B4226" s="59"/>
      <c r="C4226" s="137"/>
      <c r="D4226" s="59"/>
      <c r="E4226" s="116"/>
      <c r="F4226" s="120"/>
      <c r="G4226" s="120"/>
      <c r="H4226" s="120"/>
      <c r="I4226" s="60"/>
      <c r="J4226" s="116"/>
      <c r="K4226" s="213"/>
      <c r="L4226" s="120"/>
      <c r="M4226" s="120"/>
      <c r="N4226" s="167"/>
      <c r="O4226" s="120"/>
      <c r="P4226" s="120"/>
      <c r="Q4226" s="120"/>
      <c r="R4226" s="120"/>
      <c r="S4226" s="120"/>
      <c r="T4226" s="221"/>
      <c r="U4226" s="89"/>
      <c r="V4226" s="61"/>
      <c r="W4226" s="92" t="s">
        <v>65</v>
      </c>
      <c r="X4226" s="93" t="s">
        <v>30</v>
      </c>
      <c r="Y4226" s="93" t="s">
        <v>1011</v>
      </c>
      <c r="Z4226" s="134">
        <f>VLOOKUP(W4226,Sheet2!$B:$D,3,FALSE)</f>
        <v>1.76</v>
      </c>
      <c r="AA4226" s="93">
        <f>AA4225/14</f>
        <v>2.8571428571428572</v>
      </c>
      <c r="AB4226" s="93">
        <f>AD4226/AC4224</f>
        <v>0.61599999999999999</v>
      </c>
      <c r="AC4226" s="93">
        <f>AC4224/AA4226</f>
        <v>20.103299999999994</v>
      </c>
      <c r="AD4226" s="94">
        <f t="shared" si="3098"/>
        <v>35.381807999999992</v>
      </c>
      <c r="AE4226" s="190"/>
      <c r="AF4226" s="191"/>
      <c r="AG4226" s="191"/>
      <c r="AH4226" s="191"/>
      <c r="AI4226" s="186"/>
      <c r="AK4226" s="171"/>
    </row>
    <row r="4227" spans="1:37" s="102" customFormat="1" ht="19.899999999999999" customHeight="1" x14ac:dyDescent="0.25">
      <c r="A4227" s="45"/>
      <c r="B4227" s="59"/>
      <c r="C4227" s="137"/>
      <c r="D4227" s="59"/>
      <c r="E4227" s="116"/>
      <c r="F4227" s="120"/>
      <c r="G4227" s="120"/>
      <c r="H4227" s="120"/>
      <c r="I4227" s="60"/>
      <c r="J4227" s="116"/>
      <c r="K4227" s="213"/>
      <c r="L4227" s="120"/>
      <c r="M4227" s="120"/>
      <c r="N4227" s="167"/>
      <c r="O4227" s="120"/>
      <c r="P4227" s="120"/>
      <c r="Q4227" s="120"/>
      <c r="R4227" s="120"/>
      <c r="S4227" s="120"/>
      <c r="T4227" s="221"/>
      <c r="U4227" s="89"/>
      <c r="V4227" s="61"/>
      <c r="W4227" s="92" t="s">
        <v>161</v>
      </c>
      <c r="X4227" s="93" t="s">
        <v>29</v>
      </c>
      <c r="Y4227" s="93" t="s">
        <v>93</v>
      </c>
      <c r="Z4227" s="134">
        <f>VLOOKUP(W4227,Sheet2!$B:$D,3,FALSE)</f>
        <v>48</v>
      </c>
      <c r="AA4227" s="93">
        <f>(16*0.85*1.5)/(1*2.5)</f>
        <v>8.16</v>
      </c>
      <c r="AB4227" s="93">
        <f>AD4227/AC4224</f>
        <v>5.8823529411764701</v>
      </c>
      <c r="AC4227" s="93">
        <f>AC4224/AA4227</f>
        <v>7.0389705882352924</v>
      </c>
      <c r="AD4227" s="94">
        <f>AC4227*Z4227</f>
        <v>337.87058823529401</v>
      </c>
      <c r="AE4227" s="190"/>
      <c r="AF4227" s="191"/>
      <c r="AG4227" s="191"/>
      <c r="AH4227" s="191"/>
      <c r="AI4227" s="186"/>
      <c r="AK4227" s="171"/>
    </row>
    <row r="4228" spans="1:37" s="102" customFormat="1" ht="19.899999999999999" customHeight="1" x14ac:dyDescent="0.25">
      <c r="A4228" s="45"/>
      <c r="B4228" s="59"/>
      <c r="C4228" s="137"/>
      <c r="D4228" s="59"/>
      <c r="E4228" s="116"/>
      <c r="F4228" s="120"/>
      <c r="G4228" s="120"/>
      <c r="H4228" s="120"/>
      <c r="I4228" s="60"/>
      <c r="J4228" s="116"/>
      <c r="K4228" s="213"/>
      <c r="L4228" s="120"/>
      <c r="M4228" s="120"/>
      <c r="N4228" s="167"/>
      <c r="O4228" s="120"/>
      <c r="P4228" s="120"/>
      <c r="Q4228" s="120"/>
      <c r="R4228" s="120"/>
      <c r="S4228" s="120"/>
      <c r="T4228" s="221"/>
      <c r="U4228" s="89"/>
      <c r="V4228" s="61"/>
      <c r="W4228" s="92" t="s">
        <v>65</v>
      </c>
      <c r="X4228" s="93" t="s">
        <v>30</v>
      </c>
      <c r="Y4228" s="93" t="s">
        <v>1011</v>
      </c>
      <c r="Z4228" s="134">
        <f>VLOOKUP(W4228,Sheet2!$B:$D,3,FALSE)</f>
        <v>1.76</v>
      </c>
      <c r="AA4228" s="93">
        <f>AA4227/10</f>
        <v>0.81600000000000006</v>
      </c>
      <c r="AB4228" s="93">
        <f>AD4228/AC4224</f>
        <v>2.1568627450980391</v>
      </c>
      <c r="AC4228" s="93">
        <f>AC4224/AA4228</f>
        <v>70.389705882352928</v>
      </c>
      <c r="AD4228" s="94">
        <f>AC4228*Z4228</f>
        <v>123.88588235294115</v>
      </c>
      <c r="AE4228" s="190"/>
      <c r="AF4228" s="191"/>
      <c r="AG4228" s="191"/>
      <c r="AH4228" s="191"/>
      <c r="AI4228" s="186"/>
      <c r="AK4228" s="171"/>
    </row>
    <row r="4229" spans="1:37" s="102" customFormat="1" ht="19.899999999999999" customHeight="1" x14ac:dyDescent="0.25">
      <c r="A4229" s="45"/>
      <c r="B4229" s="59"/>
      <c r="C4229" s="137"/>
      <c r="D4229" s="59"/>
      <c r="E4229" s="116"/>
      <c r="F4229" s="120"/>
      <c r="G4229" s="120"/>
      <c r="H4229" s="120"/>
      <c r="I4229" s="60"/>
      <c r="J4229" s="116"/>
      <c r="K4229" s="213"/>
      <c r="L4229" s="120"/>
      <c r="M4229" s="120"/>
      <c r="N4229" s="167"/>
      <c r="O4229" s="120"/>
      <c r="P4229" s="120"/>
      <c r="Q4229" s="120"/>
      <c r="R4229" s="120"/>
      <c r="S4229" s="120"/>
      <c r="T4229" s="221"/>
      <c r="U4229" s="89"/>
      <c r="V4229" s="61"/>
      <c r="W4229" s="92" t="s">
        <v>1030</v>
      </c>
      <c r="X4229" s="93" t="s">
        <v>29</v>
      </c>
      <c r="Y4229" s="93" t="s">
        <v>93</v>
      </c>
      <c r="Z4229" s="134">
        <f>VLOOKUP(W4229,Sheet2!$B:$D,3,FALSE)</f>
        <v>23</v>
      </c>
      <c r="AA4229" s="93">
        <v>50</v>
      </c>
      <c r="AB4229" s="93">
        <f>AD4229/AC4224</f>
        <v>0.46</v>
      </c>
      <c r="AC4229" s="93">
        <f>AC4224/AA4229</f>
        <v>1.1487599999999998</v>
      </c>
      <c r="AD4229" s="94">
        <f t="shared" ref="AD4229:AD4233" si="3099">AC4229*Z4229</f>
        <v>26.421479999999995</v>
      </c>
      <c r="AE4229" s="190"/>
      <c r="AF4229" s="191"/>
      <c r="AG4229" s="191"/>
      <c r="AH4229" s="191"/>
      <c r="AI4229" s="186"/>
      <c r="AK4229" s="171"/>
    </row>
    <row r="4230" spans="1:37" s="102" customFormat="1" ht="19.899999999999999" customHeight="1" x14ac:dyDescent="0.25">
      <c r="A4230" s="45"/>
      <c r="B4230" s="59"/>
      <c r="C4230" s="137"/>
      <c r="D4230" s="59"/>
      <c r="E4230" s="116"/>
      <c r="F4230" s="120"/>
      <c r="G4230" s="120"/>
      <c r="H4230" s="120"/>
      <c r="I4230" s="60"/>
      <c r="J4230" s="116"/>
      <c r="K4230" s="213"/>
      <c r="L4230" s="120"/>
      <c r="M4230" s="120"/>
      <c r="N4230" s="167"/>
      <c r="O4230" s="120"/>
      <c r="P4230" s="120"/>
      <c r="Q4230" s="120"/>
      <c r="R4230" s="120"/>
      <c r="S4230" s="120"/>
      <c r="T4230" s="221"/>
      <c r="U4230" s="89"/>
      <c r="V4230" s="61"/>
      <c r="W4230" s="92" t="s">
        <v>65</v>
      </c>
      <c r="X4230" s="93" t="s">
        <v>30</v>
      </c>
      <c r="Y4230" s="93" t="s">
        <v>1011</v>
      </c>
      <c r="Z4230" s="134">
        <f>VLOOKUP(W4230,Sheet2!$B:$D,3,FALSE)</f>
        <v>1.76</v>
      </c>
      <c r="AA4230" s="93">
        <f>AA4229/3</f>
        <v>16.666666666666668</v>
      </c>
      <c r="AB4230" s="93">
        <f>AD4230/AC4224</f>
        <v>0.10559999999999999</v>
      </c>
      <c r="AC4230" s="93">
        <f>AC4224/AA4230</f>
        <v>3.4462799999999989</v>
      </c>
      <c r="AD4230" s="94">
        <f t="shared" si="3099"/>
        <v>6.0654527999999983</v>
      </c>
      <c r="AE4230" s="190"/>
      <c r="AF4230" s="191"/>
      <c r="AG4230" s="191"/>
      <c r="AH4230" s="191"/>
      <c r="AI4230" s="186"/>
      <c r="AK4230" s="171"/>
    </row>
    <row r="4231" spans="1:37" s="102" customFormat="1" ht="19.899999999999999" customHeight="1" x14ac:dyDescent="0.25">
      <c r="A4231" s="45"/>
      <c r="B4231" s="59"/>
      <c r="C4231" s="137"/>
      <c r="D4231" s="59"/>
      <c r="E4231" s="116"/>
      <c r="F4231" s="120"/>
      <c r="G4231" s="120"/>
      <c r="H4231" s="120"/>
      <c r="I4231" s="60"/>
      <c r="J4231" s="116"/>
      <c r="K4231" s="213"/>
      <c r="L4231" s="120"/>
      <c r="M4231" s="120"/>
      <c r="N4231" s="167"/>
      <c r="O4231" s="120"/>
      <c r="P4231" s="120"/>
      <c r="Q4231" s="120"/>
      <c r="R4231" s="120"/>
      <c r="S4231" s="120"/>
      <c r="T4231" s="221"/>
      <c r="U4231" s="89"/>
      <c r="V4231" s="61"/>
      <c r="W4231" s="92" t="s">
        <v>148</v>
      </c>
      <c r="X4231" s="93" t="s">
        <v>29</v>
      </c>
      <c r="Y4231" s="93" t="s">
        <v>93</v>
      </c>
      <c r="Z4231" s="134">
        <f>VLOOKUP(W4231,Sheet2!$B:$D,3,FALSE)</f>
        <v>48</v>
      </c>
      <c r="AA4231" s="93">
        <f>AA4225</f>
        <v>40</v>
      </c>
      <c r="AB4231" s="93">
        <f>AD4231/AC4224</f>
        <v>1.1999999999999997</v>
      </c>
      <c r="AC4231" s="93">
        <f>AC4224/AA4231</f>
        <v>1.4359499999999996</v>
      </c>
      <c r="AD4231" s="94">
        <f t="shared" si="3099"/>
        <v>68.925599999999974</v>
      </c>
      <c r="AE4231" s="190"/>
      <c r="AF4231" s="191"/>
      <c r="AG4231" s="191"/>
      <c r="AH4231" s="191"/>
      <c r="AI4231" s="186"/>
      <c r="AK4231" s="171"/>
    </row>
    <row r="4232" spans="1:37" s="102" customFormat="1" ht="19.899999999999999" customHeight="1" x14ac:dyDescent="0.25">
      <c r="A4232" s="45"/>
      <c r="B4232" s="59"/>
      <c r="C4232" s="137"/>
      <c r="D4232" s="59"/>
      <c r="E4232" s="116"/>
      <c r="F4232" s="120"/>
      <c r="G4232" s="120"/>
      <c r="H4232" s="120"/>
      <c r="I4232" s="60"/>
      <c r="J4232" s="116"/>
      <c r="K4232" s="213"/>
      <c r="L4232" s="120"/>
      <c r="M4232" s="120"/>
      <c r="N4232" s="167"/>
      <c r="O4232" s="120"/>
      <c r="P4232" s="120"/>
      <c r="Q4232" s="120"/>
      <c r="R4232" s="120"/>
      <c r="S4232" s="120"/>
      <c r="T4232" s="221"/>
      <c r="U4232" s="89"/>
      <c r="V4232" s="61"/>
      <c r="W4232" s="92" t="s">
        <v>65</v>
      </c>
      <c r="X4232" s="93" t="s">
        <v>30</v>
      </c>
      <c r="Y4232" s="93" t="s">
        <v>1011</v>
      </c>
      <c r="Z4232" s="134">
        <f>VLOOKUP(W4232,Sheet2!$B:$D,3,FALSE)</f>
        <v>1.76</v>
      </c>
      <c r="AA4232" s="93">
        <f>AA4231/10</f>
        <v>4</v>
      </c>
      <c r="AB4232" s="93">
        <f>AD4232/AC4224</f>
        <v>0.44</v>
      </c>
      <c r="AC4232" s="93">
        <f>AC4224/AA4232</f>
        <v>14.359499999999997</v>
      </c>
      <c r="AD4232" s="94">
        <f t="shared" si="3099"/>
        <v>25.272719999999996</v>
      </c>
      <c r="AE4232" s="190"/>
      <c r="AF4232" s="191"/>
      <c r="AG4232" s="191"/>
      <c r="AH4232" s="191"/>
      <c r="AI4232" s="186"/>
      <c r="AK4232" s="171"/>
    </row>
    <row r="4233" spans="1:37" s="102" customFormat="1" ht="19.899999999999999" customHeight="1" x14ac:dyDescent="0.25">
      <c r="A4233" s="45"/>
      <c r="B4233" s="59"/>
      <c r="C4233" s="137"/>
      <c r="D4233" s="59"/>
      <c r="E4233" s="116"/>
      <c r="F4233" s="120"/>
      <c r="G4233" s="120"/>
      <c r="H4233" s="120"/>
      <c r="I4233" s="60"/>
      <c r="J4233" s="116"/>
      <c r="K4233" s="213"/>
      <c r="L4233" s="120"/>
      <c r="M4233" s="120"/>
      <c r="N4233" s="167"/>
      <c r="O4233" s="120"/>
      <c r="P4233" s="120"/>
      <c r="Q4233" s="120"/>
      <c r="R4233" s="120"/>
      <c r="S4233" s="120"/>
      <c r="T4233" s="221"/>
      <c r="U4233" s="89"/>
      <c r="V4233" s="61"/>
      <c r="W4233" s="92" t="s">
        <v>1048</v>
      </c>
      <c r="X4233" s="93" t="s">
        <v>30</v>
      </c>
      <c r="Y4233" s="93" t="s">
        <v>68</v>
      </c>
      <c r="Z4233" s="134">
        <f>VLOOKUP(W4233,Sheet2!$B:$D,3,FALSE)</f>
        <v>35</v>
      </c>
      <c r="AA4233" s="93">
        <v>1</v>
      </c>
      <c r="AB4233" s="93">
        <f>AD4233/AC4224</f>
        <v>35</v>
      </c>
      <c r="AC4233" s="93">
        <f>AC4224/AA4233</f>
        <v>57.437999999999988</v>
      </c>
      <c r="AD4233" s="94">
        <f t="shared" si="3099"/>
        <v>2010.3299999999995</v>
      </c>
      <c r="AE4233" s="190"/>
      <c r="AF4233" s="191"/>
      <c r="AG4233" s="191"/>
      <c r="AH4233" s="191"/>
      <c r="AI4233" s="186"/>
      <c r="AK4233" s="171"/>
    </row>
    <row r="4234" spans="1:37" s="103" customFormat="1" ht="19.899999999999999" customHeight="1" x14ac:dyDescent="0.25">
      <c r="A4234" s="51"/>
      <c r="B4234" s="52"/>
      <c r="C4234" s="165"/>
      <c r="D4234" s="52"/>
      <c r="E4234" s="115"/>
      <c r="F4234" s="58"/>
      <c r="G4234" s="58"/>
      <c r="H4234" s="58"/>
      <c r="I4234" s="55"/>
      <c r="J4234" s="113">
        <f>J4223</f>
        <v>57.437999999999988</v>
      </c>
      <c r="K4234" s="212">
        <f>K4223</f>
        <v>57.437999999999988</v>
      </c>
      <c r="L4234" s="58"/>
      <c r="M4234" s="58">
        <f>K4234-L4234</f>
        <v>57.437999999999988</v>
      </c>
      <c r="N4234" s="166"/>
      <c r="O4234" s="58"/>
      <c r="P4234" s="58"/>
      <c r="Q4234" s="58"/>
      <c r="R4234" s="58"/>
      <c r="S4234" s="58"/>
      <c r="T4234" s="220"/>
      <c r="U4234" s="88"/>
      <c r="V4234" s="56"/>
      <c r="W4234" s="57" t="s">
        <v>1036</v>
      </c>
      <c r="X4234" s="53"/>
      <c r="Y4234" s="91" t="s">
        <v>68</v>
      </c>
      <c r="Z4234" s="136">
        <f>AD4234/AC4234</f>
        <v>183.58333333333331</v>
      </c>
      <c r="AA4234" s="58"/>
      <c r="AB4234" s="53">
        <f>AD4234/AC4234</f>
        <v>183.58333333333331</v>
      </c>
      <c r="AC4234" s="53">
        <f>M4234+$AE$10</f>
        <v>57.437999999999988</v>
      </c>
      <c r="AD4234" s="54">
        <f>SUM(AD4235:AD4239)</f>
        <v>10544.659499999996</v>
      </c>
      <c r="AE4234" s="184">
        <f>SUMIFS($AD$37:$AD$12971,$V$37:$V$12971,$V4234,$X$37:$X$12971,AE$13)</f>
        <v>0</v>
      </c>
      <c r="AF4234" s="185">
        <f>SUMIFS($AD$37:$AD$12971,$V$37:$V$12971,$V4234,$X$37:$X$12971,AF$13)</f>
        <v>0</v>
      </c>
      <c r="AG4234" s="185">
        <f>SUMIFS($AD$37:$AD$12971,$V$37:$V$12971,$V4234,$X$37:$X$12971,AG$13)</f>
        <v>0</v>
      </c>
      <c r="AH4234" s="187">
        <f>SUMIFS($AD$37:$AD$12971,$V$37:$V$12971,$V4234,$X$37:$X$12971,AH$13)</f>
        <v>0</v>
      </c>
      <c r="AI4234" s="161">
        <f t="shared" ref="AI4234" si="3100">SUM(AE4234:AH4234)</f>
        <v>0</v>
      </c>
      <c r="AK4234" s="172"/>
    </row>
    <row r="4235" spans="1:37" s="102" customFormat="1" ht="19.899999999999999" customHeight="1" x14ac:dyDescent="0.25">
      <c r="A4235" s="45"/>
      <c r="B4235" s="59"/>
      <c r="C4235" s="137"/>
      <c r="D4235" s="59"/>
      <c r="E4235" s="116"/>
      <c r="F4235" s="120"/>
      <c r="G4235" s="120"/>
      <c r="H4235" s="120"/>
      <c r="I4235" s="60"/>
      <c r="J4235" s="116"/>
      <c r="K4235" s="213"/>
      <c r="L4235" s="120"/>
      <c r="M4235" s="120"/>
      <c r="N4235" s="167"/>
      <c r="O4235" s="120"/>
      <c r="P4235" s="120"/>
      <c r="Q4235" s="120"/>
      <c r="R4235" s="120"/>
      <c r="S4235" s="120"/>
      <c r="T4235" s="221"/>
      <c r="U4235" s="89"/>
      <c r="V4235" s="61"/>
      <c r="W4235" s="92" t="s">
        <v>1252</v>
      </c>
      <c r="X4235" s="93" t="s">
        <v>30</v>
      </c>
      <c r="Y4235" s="93" t="s">
        <v>68</v>
      </c>
      <c r="Z4235" s="134">
        <f>VLOOKUP(W4235,Sheet2!$B:$D,3,FALSE)</f>
        <v>110</v>
      </c>
      <c r="AA4235" s="93">
        <v>1</v>
      </c>
      <c r="AB4235" s="93">
        <f>AD4235/AC4234</f>
        <v>110</v>
      </c>
      <c r="AC4235" s="93">
        <f>AC4234/AA4235</f>
        <v>57.437999999999988</v>
      </c>
      <c r="AD4235" s="94">
        <f t="shared" ref="AD4235" si="3101">AC4235*Z4235</f>
        <v>6318.1799999999985</v>
      </c>
      <c r="AE4235" s="190"/>
      <c r="AF4235" s="191"/>
      <c r="AG4235" s="191"/>
      <c r="AH4235" s="191"/>
      <c r="AI4235" s="186"/>
      <c r="AK4235" s="171"/>
    </row>
    <row r="4236" spans="1:37" s="102" customFormat="1" ht="19.899999999999999" customHeight="1" x14ac:dyDescent="0.25">
      <c r="A4236" s="45"/>
      <c r="B4236" s="59"/>
      <c r="C4236" s="137"/>
      <c r="D4236" s="59"/>
      <c r="E4236" s="116"/>
      <c r="F4236" s="120"/>
      <c r="G4236" s="120"/>
      <c r="H4236" s="120"/>
      <c r="I4236" s="60"/>
      <c r="J4236" s="116"/>
      <c r="K4236" s="213"/>
      <c r="L4236" s="120"/>
      <c r="M4236" s="120"/>
      <c r="N4236" s="167"/>
      <c r="O4236" s="120"/>
      <c r="P4236" s="120"/>
      <c r="Q4236" s="120"/>
      <c r="R4236" s="120"/>
      <c r="S4236" s="120"/>
      <c r="T4236" s="221"/>
      <c r="U4236" s="89"/>
      <c r="V4236" s="61"/>
      <c r="W4236" s="92" t="s">
        <v>1260</v>
      </c>
      <c r="X4236" s="93" t="s">
        <v>32</v>
      </c>
      <c r="Y4236" s="93" t="s">
        <v>68</v>
      </c>
      <c r="Z4236" s="134">
        <f>VLOOKUP(W4236,Sheet2!$B:$D,3,FALSE)</f>
        <v>33</v>
      </c>
      <c r="AA4236" s="93">
        <v>1</v>
      </c>
      <c r="AB4236" s="93">
        <f>AD4236/AC4234</f>
        <v>33</v>
      </c>
      <c r="AC4236" s="93">
        <f>AC4234/AA4236</f>
        <v>57.437999999999988</v>
      </c>
      <c r="AD4236" s="94">
        <f>AC4236*Z4236</f>
        <v>1895.4539999999997</v>
      </c>
      <c r="AE4236" s="190"/>
      <c r="AF4236" s="191"/>
      <c r="AG4236" s="191"/>
      <c r="AH4236" s="191"/>
      <c r="AI4236" s="186"/>
      <c r="AK4236" s="171"/>
    </row>
    <row r="4237" spans="1:37" s="102" customFormat="1" ht="19.899999999999999" customHeight="1" x14ac:dyDescent="0.25">
      <c r="A4237" s="45"/>
      <c r="B4237" s="59"/>
      <c r="C4237" s="137"/>
      <c r="D4237" s="59"/>
      <c r="E4237" s="116"/>
      <c r="F4237" s="120"/>
      <c r="G4237" s="120"/>
      <c r="H4237" s="120"/>
      <c r="I4237" s="60"/>
      <c r="J4237" s="116"/>
      <c r="K4237" s="213"/>
      <c r="L4237" s="120"/>
      <c r="M4237" s="120"/>
      <c r="N4237" s="167"/>
      <c r="O4237" s="120"/>
      <c r="P4237" s="120"/>
      <c r="Q4237" s="120"/>
      <c r="R4237" s="120"/>
      <c r="S4237" s="120"/>
      <c r="T4237" s="221"/>
      <c r="U4237" s="89"/>
      <c r="V4237" s="61"/>
      <c r="W4237" s="92" t="s">
        <v>1032</v>
      </c>
      <c r="X4237" s="93" t="s">
        <v>30</v>
      </c>
      <c r="Y4237" s="93" t="s">
        <v>66</v>
      </c>
      <c r="Z4237" s="134">
        <f>VLOOKUP(W4237,Sheet2!$B:$D,3,FALSE)</f>
        <v>250</v>
      </c>
      <c r="AA4237" s="93">
        <f>1/(1*0.1)</f>
        <v>10</v>
      </c>
      <c r="AB4237" s="93">
        <f>AD4237/AC4234</f>
        <v>24.999999999999996</v>
      </c>
      <c r="AC4237" s="93">
        <f>AC4234/AA4237</f>
        <v>5.7437999999999985</v>
      </c>
      <c r="AD4237" s="94">
        <f>AC4237*Z4237</f>
        <v>1435.9499999999996</v>
      </c>
      <c r="AE4237" s="190"/>
      <c r="AF4237" s="191"/>
      <c r="AG4237" s="191"/>
      <c r="AH4237" s="191"/>
      <c r="AI4237" s="186"/>
      <c r="AK4237" s="171"/>
    </row>
    <row r="4238" spans="1:37" s="102" customFormat="1" ht="19.899999999999999" customHeight="1" x14ac:dyDescent="0.25">
      <c r="A4238" s="45"/>
      <c r="B4238" s="59"/>
      <c r="C4238" s="137"/>
      <c r="D4238" s="59"/>
      <c r="E4238" s="116"/>
      <c r="F4238" s="120"/>
      <c r="G4238" s="120"/>
      <c r="H4238" s="120"/>
      <c r="I4238" s="60"/>
      <c r="J4238" s="116"/>
      <c r="K4238" s="213"/>
      <c r="L4238" s="120"/>
      <c r="M4238" s="120"/>
      <c r="N4238" s="167"/>
      <c r="O4238" s="120"/>
      <c r="P4238" s="120"/>
      <c r="Q4238" s="120"/>
      <c r="R4238" s="120"/>
      <c r="S4238" s="120"/>
      <c r="T4238" s="221"/>
      <c r="U4238" s="89"/>
      <c r="V4238" s="61"/>
      <c r="W4238" s="92" t="s">
        <v>1035</v>
      </c>
      <c r="X4238" s="93" t="s">
        <v>32</v>
      </c>
      <c r="Y4238" s="93" t="s">
        <v>66</v>
      </c>
      <c r="Z4238" s="134">
        <f>VLOOKUP(W4238,Sheet2!$B:$D,3,FALSE)</f>
        <v>150</v>
      </c>
      <c r="AA4238" s="93">
        <f>AA4237</f>
        <v>10</v>
      </c>
      <c r="AB4238" s="93">
        <f>AD4238/AC4234</f>
        <v>15</v>
      </c>
      <c r="AC4238" s="93">
        <f>AC4234/AA4238</f>
        <v>5.7437999999999985</v>
      </c>
      <c r="AD4238" s="94">
        <f t="shared" ref="AD4238:AD4239" si="3102">AC4238*Z4238</f>
        <v>861.56999999999982</v>
      </c>
      <c r="AE4238" s="190"/>
      <c r="AF4238" s="191"/>
      <c r="AG4238" s="191"/>
      <c r="AH4238" s="191"/>
      <c r="AI4238" s="186"/>
      <c r="AK4238" s="171"/>
    </row>
    <row r="4239" spans="1:37" s="102" customFormat="1" ht="19.899999999999999" customHeight="1" x14ac:dyDescent="0.25">
      <c r="A4239" s="45"/>
      <c r="B4239" s="59"/>
      <c r="C4239" s="137"/>
      <c r="D4239" s="59"/>
      <c r="E4239" s="116"/>
      <c r="F4239" s="120"/>
      <c r="G4239" s="120"/>
      <c r="H4239" s="120"/>
      <c r="I4239" s="60"/>
      <c r="J4239" s="116"/>
      <c r="K4239" s="213"/>
      <c r="L4239" s="120"/>
      <c r="M4239" s="120"/>
      <c r="N4239" s="167"/>
      <c r="O4239" s="120"/>
      <c r="P4239" s="120"/>
      <c r="Q4239" s="120"/>
      <c r="R4239" s="120"/>
      <c r="S4239" s="120"/>
      <c r="T4239" s="221"/>
      <c r="U4239" s="89"/>
      <c r="V4239" s="61"/>
      <c r="W4239" s="92" t="s">
        <v>1037</v>
      </c>
      <c r="X4239" s="93" t="s">
        <v>30</v>
      </c>
      <c r="Y4239" s="93" t="s">
        <v>1038</v>
      </c>
      <c r="Z4239" s="134">
        <f>VLOOKUP(W4239,Sheet2!$B:$D,3,FALSE)</f>
        <v>175</v>
      </c>
      <c r="AA4239" s="93">
        <v>300</v>
      </c>
      <c r="AB4239" s="93">
        <f>AD4239/AC4234</f>
        <v>0.58333333333333326</v>
      </c>
      <c r="AC4239" s="93">
        <f>AC4234/AA4239</f>
        <v>0.19145999999999996</v>
      </c>
      <c r="AD4239" s="94">
        <f t="shared" si="3102"/>
        <v>33.505499999999991</v>
      </c>
      <c r="AE4239" s="190"/>
      <c r="AF4239" s="191"/>
      <c r="AG4239" s="191"/>
      <c r="AH4239" s="191"/>
      <c r="AI4239" s="186"/>
      <c r="AK4239" s="171"/>
    </row>
    <row r="4240" spans="1:37" s="103" customFormat="1" ht="19.899999999999999" customHeight="1" x14ac:dyDescent="0.25">
      <c r="A4240" s="51"/>
      <c r="B4240" s="52"/>
      <c r="C4240" s="165"/>
      <c r="D4240" s="52"/>
      <c r="E4240" s="115"/>
      <c r="F4240" s="58"/>
      <c r="G4240" s="58"/>
      <c r="H4240" s="58"/>
      <c r="I4240" s="55"/>
      <c r="J4240" s="113">
        <f>J4223</f>
        <v>57.437999999999988</v>
      </c>
      <c r="K4240" s="212">
        <f>K4223</f>
        <v>57.437999999999988</v>
      </c>
      <c r="L4240" s="58"/>
      <c r="M4240" s="58">
        <f>K4240-L4240</f>
        <v>57.437999999999988</v>
      </c>
      <c r="N4240" s="166"/>
      <c r="O4240" s="58"/>
      <c r="P4240" s="58"/>
      <c r="Q4240" s="58"/>
      <c r="R4240" s="58"/>
      <c r="S4240" s="58"/>
      <c r="T4240" s="220"/>
      <c r="U4240" s="88"/>
      <c r="V4240" s="56"/>
      <c r="W4240" s="57" t="s">
        <v>1040</v>
      </c>
      <c r="X4240" s="53"/>
      <c r="Y4240" s="91" t="s">
        <v>68</v>
      </c>
      <c r="Z4240" s="136">
        <f>AD4240/AC4240</f>
        <v>5</v>
      </c>
      <c r="AA4240" s="58"/>
      <c r="AB4240" s="53">
        <f>AD4240/AC4240</f>
        <v>5</v>
      </c>
      <c r="AC4240" s="53">
        <f>M4240+$AE$10</f>
        <v>57.437999999999988</v>
      </c>
      <c r="AD4240" s="54">
        <f>SUM(AD4241)</f>
        <v>287.18999999999994</v>
      </c>
      <c r="AE4240" s="184">
        <f>SUMIFS($AD$37:$AD$12971,$V$37:$V$12971,$V4240,$X$37:$X$12971,AE$13)</f>
        <v>0</v>
      </c>
      <c r="AF4240" s="185">
        <f>SUMIFS($AD$37:$AD$12971,$V$37:$V$12971,$V4240,$X$37:$X$12971,AF$13)</f>
        <v>0</v>
      </c>
      <c r="AG4240" s="185">
        <f>SUMIFS($AD$37:$AD$12971,$V$37:$V$12971,$V4240,$X$37:$X$12971,AG$13)</f>
        <v>0</v>
      </c>
      <c r="AH4240" s="187">
        <f>SUMIFS($AD$37:$AD$12971,$V$37:$V$12971,$V4240,$X$37:$X$12971,AH$13)</f>
        <v>0</v>
      </c>
      <c r="AI4240" s="161">
        <f t="shared" ref="AI4240" si="3103">SUM(AE4240:AH4240)</f>
        <v>0</v>
      </c>
      <c r="AK4240" s="172"/>
    </row>
    <row r="4241" spans="1:41" s="102" customFormat="1" ht="19.899999999999999" customHeight="1" x14ac:dyDescent="0.25">
      <c r="A4241" s="45"/>
      <c r="B4241" s="59"/>
      <c r="C4241" s="137"/>
      <c r="D4241" s="59"/>
      <c r="E4241" s="116"/>
      <c r="F4241" s="120"/>
      <c r="G4241" s="120"/>
      <c r="H4241" s="120"/>
      <c r="I4241" s="60"/>
      <c r="J4241" s="116"/>
      <c r="K4241" s="213"/>
      <c r="L4241" s="120"/>
      <c r="M4241" s="120"/>
      <c r="N4241" s="167"/>
      <c r="O4241" s="120"/>
      <c r="P4241" s="120"/>
      <c r="Q4241" s="120"/>
      <c r="R4241" s="120"/>
      <c r="S4241" s="120"/>
      <c r="T4241" s="221"/>
      <c r="U4241" s="89"/>
      <c r="V4241" s="61"/>
      <c r="W4241" s="92" t="s">
        <v>1039</v>
      </c>
      <c r="X4241" s="93" t="s">
        <v>32</v>
      </c>
      <c r="Y4241" s="93" t="s">
        <v>68</v>
      </c>
      <c r="Z4241" s="134">
        <f>VLOOKUP(W4241,Sheet2!$B:$D,3,FALSE)</f>
        <v>5</v>
      </c>
      <c r="AA4241" s="93">
        <v>1</v>
      </c>
      <c r="AB4241" s="93">
        <f>AD4241/AC4240</f>
        <v>5</v>
      </c>
      <c r="AC4241" s="93">
        <f>AC4240/AA4241</f>
        <v>57.437999999999988</v>
      </c>
      <c r="AD4241" s="94">
        <f t="shared" ref="AD4241" si="3104">AC4241*Z4241</f>
        <v>287.18999999999994</v>
      </c>
      <c r="AE4241" s="190"/>
      <c r="AF4241" s="191"/>
      <c r="AG4241" s="191"/>
      <c r="AH4241" s="191"/>
      <c r="AI4241" s="186"/>
      <c r="AK4241" s="171"/>
    </row>
    <row r="4242" spans="1:41" ht="20.100000000000001" customHeight="1" x14ac:dyDescent="0.25">
      <c r="A4242" s="277" t="s">
        <v>491</v>
      </c>
      <c r="B4242" s="278"/>
      <c r="C4242" s="64" t="s">
        <v>1195</v>
      </c>
      <c r="D4242" s="46" t="s">
        <v>97</v>
      </c>
      <c r="E4242" s="114">
        <v>28.84499999999997</v>
      </c>
      <c r="F4242" s="44">
        <v>493</v>
      </c>
      <c r="G4242" s="44">
        <f t="shared" si="2434"/>
        <v>14220.584999999985</v>
      </c>
      <c r="H4242" s="44">
        <f t="shared" si="2435"/>
        <v>263.18319215686273</v>
      </c>
      <c r="I4242" s="43">
        <f t="shared" si="2436"/>
        <v>7591.5191777646978</v>
      </c>
      <c r="J4242" s="112">
        <f t="shared" si="2437"/>
        <v>28.84499999999997</v>
      </c>
      <c r="K4242" s="211">
        <f t="shared" si="2438"/>
        <v>28.84499999999997</v>
      </c>
      <c r="L4242" s="44"/>
      <c r="M4242" s="44">
        <f t="shared" si="2458"/>
        <v>28.84499999999997</v>
      </c>
      <c r="N4242" s="173">
        <f t="shared" si="2439"/>
        <v>1</v>
      </c>
      <c r="O4242" s="44">
        <f t="shared" si="2440"/>
        <v>493</v>
      </c>
      <c r="P4242" s="44">
        <f t="shared" si="2441"/>
        <v>14220.584999999985</v>
      </c>
      <c r="Q4242" s="44">
        <f t="shared" si="2442"/>
        <v>263.18319215686273</v>
      </c>
      <c r="R4242" s="44">
        <f t="shared" si="2459"/>
        <v>7591.5191777646978</v>
      </c>
      <c r="S4242" s="123"/>
      <c r="T4242" s="219">
        <f t="shared" si="2460"/>
        <v>7591.5191777646978</v>
      </c>
      <c r="U4242" s="87"/>
      <c r="V4242" s="47"/>
      <c r="W4242" s="48"/>
      <c r="X4242" s="48"/>
      <c r="Y4242" s="48"/>
      <c r="Z4242" s="135"/>
      <c r="AA4242" s="49"/>
      <c r="AB4242" s="50">
        <f t="shared" si="2443"/>
        <v>263.18319215686273</v>
      </c>
      <c r="AC4242" s="42">
        <f t="shared" si="2461"/>
        <v>28.84499999999997</v>
      </c>
      <c r="AD4242" s="90">
        <f>AD4243+AD4253+AD4259</f>
        <v>7591.5191777646969</v>
      </c>
      <c r="AE4242" s="188">
        <f t="shared" ref="AE4242" si="3105">AE4243+AE4253+AE4259</f>
        <v>0</v>
      </c>
      <c r="AF4242" s="189">
        <f t="shared" ref="AF4242" si="3106">AF4243+AF4253+AF4259</f>
        <v>0</v>
      </c>
      <c r="AG4242" s="189">
        <f t="shared" ref="AG4242" si="3107">AG4243+AG4253+AG4259</f>
        <v>0</v>
      </c>
      <c r="AH4242" s="189">
        <f t="shared" ref="AH4242" si="3108">AH4243+AH4253+AH4259</f>
        <v>0</v>
      </c>
      <c r="AI4242" s="161">
        <f t="shared" ref="AI4242:AI4243" si="3109">SUM(AE4242:AH4242)</f>
        <v>0</v>
      </c>
      <c r="AK4242" s="169">
        <v>5</v>
      </c>
      <c r="AO4242" s="19" t="s">
        <v>63</v>
      </c>
    </row>
    <row r="4243" spans="1:41" s="103" customFormat="1" ht="19.899999999999999" customHeight="1" x14ac:dyDescent="0.25">
      <c r="A4243" s="51"/>
      <c r="B4243" s="52"/>
      <c r="C4243" s="165"/>
      <c r="D4243" s="52"/>
      <c r="E4243" s="115"/>
      <c r="F4243" s="58"/>
      <c r="G4243" s="58"/>
      <c r="H4243" s="58"/>
      <c r="I4243" s="55"/>
      <c r="J4243" s="113">
        <f>J4242</f>
        <v>28.84499999999997</v>
      </c>
      <c r="K4243" s="212">
        <f>K4242</f>
        <v>28.84499999999997</v>
      </c>
      <c r="L4243" s="58"/>
      <c r="M4243" s="58">
        <f>K4243-L4243</f>
        <v>28.84499999999997</v>
      </c>
      <c r="N4243" s="166"/>
      <c r="O4243" s="58"/>
      <c r="P4243" s="58"/>
      <c r="Q4243" s="58"/>
      <c r="R4243" s="58"/>
      <c r="S4243" s="58"/>
      <c r="T4243" s="220"/>
      <c r="U4243" s="88"/>
      <c r="V4243" s="56"/>
      <c r="W4243" s="57" t="s">
        <v>1051</v>
      </c>
      <c r="X4243" s="53"/>
      <c r="Y4243" s="91" t="s">
        <v>68</v>
      </c>
      <c r="Z4243" s="136">
        <f>AD4243/AC4243</f>
        <v>74.599858823529402</v>
      </c>
      <c r="AA4243" s="58"/>
      <c r="AB4243" s="53">
        <f>AD4243/AC4243</f>
        <v>74.599858823529402</v>
      </c>
      <c r="AC4243" s="53">
        <f>M4243+$AE$10</f>
        <v>28.84499999999997</v>
      </c>
      <c r="AD4243" s="54">
        <f>SUM(AD4244:AD4252)</f>
        <v>2151.8329277647035</v>
      </c>
      <c r="AE4243" s="184">
        <f>SUMIFS($AD$37:$AD$12971,$V$37:$V$12971,$V4243,$X$37:$X$12971,AE$13)</f>
        <v>0</v>
      </c>
      <c r="AF4243" s="185">
        <f>SUMIFS($AD$37:$AD$12971,$V$37:$V$12971,$V4243,$X$37:$X$12971,AF$13)</f>
        <v>0</v>
      </c>
      <c r="AG4243" s="185">
        <f>SUMIFS($AD$37:$AD$12971,$V$37:$V$12971,$V4243,$X$37:$X$12971,AG$13)</f>
        <v>0</v>
      </c>
      <c r="AH4243" s="187">
        <f>SUMIFS($AD$37:$AD$12971,$V$37:$V$12971,$V4243,$X$37:$X$12971,AH$13)</f>
        <v>0</v>
      </c>
      <c r="AI4243" s="161">
        <f t="shared" si="3109"/>
        <v>0</v>
      </c>
      <c r="AK4243" s="172"/>
    </row>
    <row r="4244" spans="1:41" s="102" customFormat="1" ht="19.899999999999999" customHeight="1" x14ac:dyDescent="0.25">
      <c r="A4244" s="45"/>
      <c r="B4244" s="59"/>
      <c r="C4244" s="137"/>
      <c r="D4244" s="59"/>
      <c r="E4244" s="116"/>
      <c r="F4244" s="120"/>
      <c r="G4244" s="120"/>
      <c r="H4244" s="120"/>
      <c r="I4244" s="60"/>
      <c r="J4244" s="116"/>
      <c r="K4244" s="213"/>
      <c r="L4244" s="120"/>
      <c r="M4244" s="120"/>
      <c r="N4244" s="167"/>
      <c r="O4244" s="120"/>
      <c r="P4244" s="120"/>
      <c r="Q4244" s="120"/>
      <c r="R4244" s="120"/>
      <c r="S4244" s="120"/>
      <c r="T4244" s="221"/>
      <c r="U4244" s="89"/>
      <c r="V4244" s="61"/>
      <c r="W4244" s="92" t="s">
        <v>129</v>
      </c>
      <c r="X4244" s="93" t="s">
        <v>29</v>
      </c>
      <c r="Y4244" s="93" t="s">
        <v>93</v>
      </c>
      <c r="Z4244" s="134">
        <f>VLOOKUP(W4244,Sheet2!$B:$D,3,FALSE)</f>
        <v>56</v>
      </c>
      <c r="AA4244" s="93">
        <f>100/(1*3)</f>
        <v>33.333333333333336</v>
      </c>
      <c r="AB4244" s="93">
        <f t="shared" ref="AB4244" si="3110">AD4244/AC4243</f>
        <v>1.6799999999999997</v>
      </c>
      <c r="AC4244" s="93">
        <f>AC4243/AA4244</f>
        <v>0.86534999999999906</v>
      </c>
      <c r="AD4244" s="94">
        <f t="shared" ref="AD4244:AD4245" si="3111">AC4244*Z4244</f>
        <v>48.459599999999945</v>
      </c>
      <c r="AE4244" s="190"/>
      <c r="AF4244" s="191"/>
      <c r="AG4244" s="191"/>
      <c r="AH4244" s="191"/>
      <c r="AI4244" s="186"/>
      <c r="AK4244" s="171"/>
    </row>
    <row r="4245" spans="1:41" s="102" customFormat="1" ht="19.899999999999999" customHeight="1" x14ac:dyDescent="0.25">
      <c r="A4245" s="45"/>
      <c r="B4245" s="59"/>
      <c r="C4245" s="137"/>
      <c r="D4245" s="59"/>
      <c r="E4245" s="116"/>
      <c r="F4245" s="120"/>
      <c r="G4245" s="120"/>
      <c r="H4245" s="120"/>
      <c r="I4245" s="60"/>
      <c r="J4245" s="116"/>
      <c r="K4245" s="213"/>
      <c r="L4245" s="120"/>
      <c r="M4245" s="120"/>
      <c r="N4245" s="167"/>
      <c r="O4245" s="120"/>
      <c r="P4245" s="120"/>
      <c r="Q4245" s="120"/>
      <c r="R4245" s="120"/>
      <c r="S4245" s="120"/>
      <c r="T4245" s="221"/>
      <c r="U4245" s="89"/>
      <c r="V4245" s="61"/>
      <c r="W4245" s="92" t="s">
        <v>65</v>
      </c>
      <c r="X4245" s="93" t="s">
        <v>30</v>
      </c>
      <c r="Y4245" s="93" t="s">
        <v>1011</v>
      </c>
      <c r="Z4245" s="134">
        <f>VLOOKUP(W4245,Sheet2!$B:$D,3,FALSE)</f>
        <v>1.76</v>
      </c>
      <c r="AA4245" s="93">
        <f>AA4244/14</f>
        <v>2.3809523809523809</v>
      </c>
      <c r="AB4245" s="93">
        <f>AD4245/AC4243</f>
        <v>0.73920000000000008</v>
      </c>
      <c r="AC4245" s="93">
        <f>AC4243/AA4245</f>
        <v>12.114899999999988</v>
      </c>
      <c r="AD4245" s="94">
        <f t="shared" si="3111"/>
        <v>21.322223999999981</v>
      </c>
      <c r="AE4245" s="190"/>
      <c r="AF4245" s="191"/>
      <c r="AG4245" s="191"/>
      <c r="AH4245" s="191"/>
      <c r="AI4245" s="186"/>
      <c r="AK4245" s="171"/>
    </row>
    <row r="4246" spans="1:41" s="102" customFormat="1" ht="19.899999999999999" customHeight="1" x14ac:dyDescent="0.25">
      <c r="A4246" s="45"/>
      <c r="B4246" s="59"/>
      <c r="C4246" s="137"/>
      <c r="D4246" s="59"/>
      <c r="E4246" s="116"/>
      <c r="F4246" s="120"/>
      <c r="G4246" s="120"/>
      <c r="H4246" s="120"/>
      <c r="I4246" s="60"/>
      <c r="J4246" s="116"/>
      <c r="K4246" s="213"/>
      <c r="L4246" s="120"/>
      <c r="M4246" s="120"/>
      <c r="N4246" s="167"/>
      <c r="O4246" s="120"/>
      <c r="P4246" s="120"/>
      <c r="Q4246" s="120"/>
      <c r="R4246" s="120"/>
      <c r="S4246" s="120"/>
      <c r="T4246" s="221"/>
      <c r="U4246" s="89"/>
      <c r="V4246" s="61"/>
      <c r="W4246" s="92" t="s">
        <v>161</v>
      </c>
      <c r="X4246" s="93" t="s">
        <v>29</v>
      </c>
      <c r="Y4246" s="93" t="s">
        <v>93</v>
      </c>
      <c r="Z4246" s="134">
        <f>VLOOKUP(W4246,Sheet2!$B:$D,3,FALSE)</f>
        <v>48</v>
      </c>
      <c r="AA4246" s="93">
        <f>(16*0.85*1.5)/(1*3)</f>
        <v>6.8</v>
      </c>
      <c r="AB4246" s="93">
        <f>AD4246/AC4243</f>
        <v>7.0588235294117645</v>
      </c>
      <c r="AC4246" s="93">
        <f>AC4243/AA4246</f>
        <v>4.2419117647058782</v>
      </c>
      <c r="AD4246" s="94">
        <f>AC4246*Z4246</f>
        <v>203.61176470588214</v>
      </c>
      <c r="AE4246" s="190"/>
      <c r="AF4246" s="191"/>
      <c r="AG4246" s="191"/>
      <c r="AH4246" s="191"/>
      <c r="AI4246" s="186"/>
      <c r="AK4246" s="171"/>
    </row>
    <row r="4247" spans="1:41" s="102" customFormat="1" ht="19.899999999999999" customHeight="1" x14ac:dyDescent="0.25">
      <c r="A4247" s="45"/>
      <c r="B4247" s="59"/>
      <c r="C4247" s="137"/>
      <c r="D4247" s="59"/>
      <c r="E4247" s="116"/>
      <c r="F4247" s="120"/>
      <c r="G4247" s="120"/>
      <c r="H4247" s="120"/>
      <c r="I4247" s="60"/>
      <c r="J4247" s="116"/>
      <c r="K4247" s="213"/>
      <c r="L4247" s="120"/>
      <c r="M4247" s="120"/>
      <c r="N4247" s="167"/>
      <c r="O4247" s="120"/>
      <c r="P4247" s="120"/>
      <c r="Q4247" s="120"/>
      <c r="R4247" s="120"/>
      <c r="S4247" s="120"/>
      <c r="T4247" s="221"/>
      <c r="U4247" s="89"/>
      <c r="V4247" s="61"/>
      <c r="W4247" s="92" t="s">
        <v>65</v>
      </c>
      <c r="X4247" s="93" t="s">
        <v>30</v>
      </c>
      <c r="Y4247" s="93" t="s">
        <v>1011</v>
      </c>
      <c r="Z4247" s="134">
        <f>VLOOKUP(W4247,Sheet2!$B:$D,3,FALSE)</f>
        <v>1.76</v>
      </c>
      <c r="AA4247" s="93">
        <f>AA4246/10</f>
        <v>0.67999999999999994</v>
      </c>
      <c r="AB4247" s="93">
        <f>AD4247/AC4243</f>
        <v>2.5882352941176472</v>
      </c>
      <c r="AC4247" s="93">
        <f>AC4243/AA4247</f>
        <v>42.419117647058783</v>
      </c>
      <c r="AD4247" s="94">
        <f>AC4247*Z4247</f>
        <v>74.657647058823457</v>
      </c>
      <c r="AE4247" s="190"/>
      <c r="AF4247" s="191"/>
      <c r="AG4247" s="191"/>
      <c r="AH4247" s="191"/>
      <c r="AI4247" s="186"/>
      <c r="AK4247" s="171"/>
    </row>
    <row r="4248" spans="1:41" s="102" customFormat="1" ht="19.899999999999999" customHeight="1" x14ac:dyDescent="0.25">
      <c r="A4248" s="45"/>
      <c r="B4248" s="59"/>
      <c r="C4248" s="137"/>
      <c r="D4248" s="59"/>
      <c r="E4248" s="116"/>
      <c r="F4248" s="120"/>
      <c r="G4248" s="120"/>
      <c r="H4248" s="120"/>
      <c r="I4248" s="60"/>
      <c r="J4248" s="116"/>
      <c r="K4248" s="213"/>
      <c r="L4248" s="120"/>
      <c r="M4248" s="120"/>
      <c r="N4248" s="167"/>
      <c r="O4248" s="120"/>
      <c r="P4248" s="120"/>
      <c r="Q4248" s="120"/>
      <c r="R4248" s="120"/>
      <c r="S4248" s="120"/>
      <c r="T4248" s="221"/>
      <c r="U4248" s="89"/>
      <c r="V4248" s="61"/>
      <c r="W4248" s="92" t="s">
        <v>1030</v>
      </c>
      <c r="X4248" s="93" t="s">
        <v>29</v>
      </c>
      <c r="Y4248" s="93" t="s">
        <v>93</v>
      </c>
      <c r="Z4248" s="134">
        <f>VLOOKUP(W4248,Sheet2!$B:$D,3,FALSE)</f>
        <v>23</v>
      </c>
      <c r="AA4248" s="93">
        <v>50</v>
      </c>
      <c r="AB4248" s="93">
        <f>AD4248/AC4243</f>
        <v>0.46</v>
      </c>
      <c r="AC4248" s="93">
        <f>AC4243/AA4248</f>
        <v>0.57689999999999941</v>
      </c>
      <c r="AD4248" s="94">
        <f t="shared" ref="AD4248:AD4252" si="3112">AC4248*Z4248</f>
        <v>13.268699999999987</v>
      </c>
      <c r="AE4248" s="190"/>
      <c r="AF4248" s="191"/>
      <c r="AG4248" s="191"/>
      <c r="AH4248" s="191"/>
      <c r="AI4248" s="186"/>
      <c r="AK4248" s="171"/>
    </row>
    <row r="4249" spans="1:41" s="102" customFormat="1" ht="19.899999999999999" customHeight="1" x14ac:dyDescent="0.25">
      <c r="A4249" s="45"/>
      <c r="B4249" s="59"/>
      <c r="C4249" s="137"/>
      <c r="D4249" s="59"/>
      <c r="E4249" s="116"/>
      <c r="F4249" s="120"/>
      <c r="G4249" s="120"/>
      <c r="H4249" s="120"/>
      <c r="I4249" s="60"/>
      <c r="J4249" s="116"/>
      <c r="K4249" s="213"/>
      <c r="L4249" s="120"/>
      <c r="M4249" s="120"/>
      <c r="N4249" s="167"/>
      <c r="O4249" s="120"/>
      <c r="P4249" s="120"/>
      <c r="Q4249" s="120"/>
      <c r="R4249" s="120"/>
      <c r="S4249" s="120"/>
      <c r="T4249" s="221"/>
      <c r="U4249" s="89"/>
      <c r="V4249" s="61"/>
      <c r="W4249" s="92" t="s">
        <v>65</v>
      </c>
      <c r="X4249" s="93" t="s">
        <v>30</v>
      </c>
      <c r="Y4249" s="93" t="s">
        <v>1011</v>
      </c>
      <c r="Z4249" s="134">
        <f>VLOOKUP(W4249,Sheet2!$B:$D,3,FALSE)</f>
        <v>1.76</v>
      </c>
      <c r="AA4249" s="93">
        <f>AA4248/3</f>
        <v>16.666666666666668</v>
      </c>
      <c r="AB4249" s="93">
        <f>AD4249/AC4243</f>
        <v>0.1056</v>
      </c>
      <c r="AC4249" s="93">
        <f>AC4243/AA4249</f>
        <v>1.7306999999999981</v>
      </c>
      <c r="AD4249" s="94">
        <f t="shared" si="3112"/>
        <v>3.0460319999999967</v>
      </c>
      <c r="AE4249" s="190"/>
      <c r="AF4249" s="191"/>
      <c r="AG4249" s="191"/>
      <c r="AH4249" s="191"/>
      <c r="AI4249" s="186"/>
      <c r="AK4249" s="171"/>
    </row>
    <row r="4250" spans="1:41" s="102" customFormat="1" ht="19.899999999999999" customHeight="1" x14ac:dyDescent="0.25">
      <c r="A4250" s="45"/>
      <c r="B4250" s="59"/>
      <c r="C4250" s="137"/>
      <c r="D4250" s="59"/>
      <c r="E4250" s="116"/>
      <c r="F4250" s="120"/>
      <c r="G4250" s="120"/>
      <c r="H4250" s="120"/>
      <c r="I4250" s="60"/>
      <c r="J4250" s="116"/>
      <c r="K4250" s="213"/>
      <c r="L4250" s="120"/>
      <c r="M4250" s="120"/>
      <c r="N4250" s="167"/>
      <c r="O4250" s="120"/>
      <c r="P4250" s="120"/>
      <c r="Q4250" s="120"/>
      <c r="R4250" s="120"/>
      <c r="S4250" s="120"/>
      <c r="T4250" s="221"/>
      <c r="U4250" s="89"/>
      <c r="V4250" s="61"/>
      <c r="W4250" s="92" t="s">
        <v>148</v>
      </c>
      <c r="X4250" s="93" t="s">
        <v>29</v>
      </c>
      <c r="Y4250" s="93" t="s">
        <v>93</v>
      </c>
      <c r="Z4250" s="134">
        <f>VLOOKUP(W4250,Sheet2!$B:$D,3,FALSE)</f>
        <v>48</v>
      </c>
      <c r="AA4250" s="93">
        <f>AA4244</f>
        <v>33.333333333333336</v>
      </c>
      <c r="AB4250" s="93">
        <f>AD4250/AC4243</f>
        <v>1.44</v>
      </c>
      <c r="AC4250" s="93">
        <f>AC4243/AA4250</f>
        <v>0.86534999999999906</v>
      </c>
      <c r="AD4250" s="94">
        <f t="shared" si="3112"/>
        <v>41.536799999999957</v>
      </c>
      <c r="AE4250" s="190"/>
      <c r="AF4250" s="191"/>
      <c r="AG4250" s="191"/>
      <c r="AH4250" s="191"/>
      <c r="AI4250" s="186"/>
      <c r="AK4250" s="171"/>
    </row>
    <row r="4251" spans="1:41" s="102" customFormat="1" ht="19.899999999999999" customHeight="1" x14ac:dyDescent="0.25">
      <c r="A4251" s="45"/>
      <c r="B4251" s="59"/>
      <c r="C4251" s="137"/>
      <c r="D4251" s="59"/>
      <c r="E4251" s="116"/>
      <c r="F4251" s="120"/>
      <c r="G4251" s="120"/>
      <c r="H4251" s="120"/>
      <c r="I4251" s="60"/>
      <c r="J4251" s="116"/>
      <c r="K4251" s="213"/>
      <c r="L4251" s="120"/>
      <c r="M4251" s="120"/>
      <c r="N4251" s="167"/>
      <c r="O4251" s="120"/>
      <c r="P4251" s="120"/>
      <c r="Q4251" s="120"/>
      <c r="R4251" s="120"/>
      <c r="S4251" s="120"/>
      <c r="T4251" s="221"/>
      <c r="U4251" s="89"/>
      <c r="V4251" s="61"/>
      <c r="W4251" s="92" t="s">
        <v>65</v>
      </c>
      <c r="X4251" s="93" t="s">
        <v>30</v>
      </c>
      <c r="Y4251" s="93" t="s">
        <v>1011</v>
      </c>
      <c r="Z4251" s="134">
        <f>VLOOKUP(W4251,Sheet2!$B:$D,3,FALSE)</f>
        <v>1.76</v>
      </c>
      <c r="AA4251" s="93">
        <f>AA4250/10</f>
        <v>3.3333333333333335</v>
      </c>
      <c r="AB4251" s="93">
        <f>AD4251/AC4243</f>
        <v>0.52800000000000002</v>
      </c>
      <c r="AC4251" s="93">
        <f>AC4243/AA4251</f>
        <v>8.6534999999999904</v>
      </c>
      <c r="AD4251" s="94">
        <f t="shared" si="3112"/>
        <v>15.230159999999984</v>
      </c>
      <c r="AE4251" s="190"/>
      <c r="AF4251" s="191"/>
      <c r="AG4251" s="191"/>
      <c r="AH4251" s="191"/>
      <c r="AI4251" s="186"/>
      <c r="AK4251" s="171"/>
    </row>
    <row r="4252" spans="1:41" s="102" customFormat="1" ht="19.899999999999999" customHeight="1" x14ac:dyDescent="0.25">
      <c r="A4252" s="45"/>
      <c r="B4252" s="59"/>
      <c r="C4252" s="137"/>
      <c r="D4252" s="59"/>
      <c r="E4252" s="116"/>
      <c r="F4252" s="120"/>
      <c r="G4252" s="120"/>
      <c r="H4252" s="120"/>
      <c r="I4252" s="60"/>
      <c r="J4252" s="116"/>
      <c r="K4252" s="213"/>
      <c r="L4252" s="120"/>
      <c r="M4252" s="120"/>
      <c r="N4252" s="167"/>
      <c r="O4252" s="120"/>
      <c r="P4252" s="120"/>
      <c r="Q4252" s="120"/>
      <c r="R4252" s="120"/>
      <c r="S4252" s="120"/>
      <c r="T4252" s="221"/>
      <c r="U4252" s="89"/>
      <c r="V4252" s="61"/>
      <c r="W4252" s="92" t="s">
        <v>1049</v>
      </c>
      <c r="X4252" s="93" t="s">
        <v>30</v>
      </c>
      <c r="Y4252" s="93" t="s">
        <v>68</v>
      </c>
      <c r="Z4252" s="134">
        <f>VLOOKUP(W4252,Sheet2!$B:$D,3,FALSE)</f>
        <v>60</v>
      </c>
      <c r="AA4252" s="93">
        <v>1</v>
      </c>
      <c r="AB4252" s="93">
        <f>AD4252/AC4243</f>
        <v>60</v>
      </c>
      <c r="AC4252" s="93">
        <f>AC4243/AA4252</f>
        <v>28.84499999999997</v>
      </c>
      <c r="AD4252" s="94">
        <f t="shared" si="3112"/>
        <v>1730.6999999999982</v>
      </c>
      <c r="AE4252" s="190"/>
      <c r="AF4252" s="191"/>
      <c r="AG4252" s="191"/>
      <c r="AH4252" s="191"/>
      <c r="AI4252" s="186"/>
      <c r="AK4252" s="171"/>
    </row>
    <row r="4253" spans="1:41" s="103" customFormat="1" ht="19.899999999999999" customHeight="1" x14ac:dyDescent="0.25">
      <c r="A4253" s="51"/>
      <c r="B4253" s="52"/>
      <c r="C4253" s="165"/>
      <c r="D4253" s="52"/>
      <c r="E4253" s="115"/>
      <c r="F4253" s="58"/>
      <c r="G4253" s="58"/>
      <c r="H4253" s="58"/>
      <c r="I4253" s="55"/>
      <c r="J4253" s="113">
        <f>J4242</f>
        <v>28.84499999999997</v>
      </c>
      <c r="K4253" s="212">
        <f>K4242</f>
        <v>28.84499999999997</v>
      </c>
      <c r="L4253" s="58"/>
      <c r="M4253" s="58">
        <f>K4253-L4253</f>
        <v>28.84499999999997</v>
      </c>
      <c r="N4253" s="166"/>
      <c r="O4253" s="58"/>
      <c r="P4253" s="58"/>
      <c r="Q4253" s="58"/>
      <c r="R4253" s="58"/>
      <c r="S4253" s="58"/>
      <c r="T4253" s="220"/>
      <c r="U4253" s="88"/>
      <c r="V4253" s="56"/>
      <c r="W4253" s="57" t="s">
        <v>1036</v>
      </c>
      <c r="X4253" s="53"/>
      <c r="Y4253" s="91" t="s">
        <v>68</v>
      </c>
      <c r="Z4253" s="136">
        <f>AD4253/AC4253</f>
        <v>183.58333333333331</v>
      </c>
      <c r="AA4253" s="58"/>
      <c r="AB4253" s="53">
        <f>AD4253/AC4253</f>
        <v>183.58333333333331</v>
      </c>
      <c r="AC4253" s="53">
        <f>M4253+$AE$10</f>
        <v>28.84499999999997</v>
      </c>
      <c r="AD4253" s="54">
        <f>SUM(AD4254:AD4258)</f>
        <v>5295.4612499999939</v>
      </c>
      <c r="AE4253" s="184">
        <f>SUMIFS($AD$37:$AD$12971,$V$37:$V$12971,$V4253,$X$37:$X$12971,AE$13)</f>
        <v>0</v>
      </c>
      <c r="AF4253" s="185">
        <f>SUMIFS($AD$37:$AD$12971,$V$37:$V$12971,$V4253,$X$37:$X$12971,AF$13)</f>
        <v>0</v>
      </c>
      <c r="AG4253" s="185">
        <f>SUMIFS($AD$37:$AD$12971,$V$37:$V$12971,$V4253,$X$37:$X$12971,AG$13)</f>
        <v>0</v>
      </c>
      <c r="AH4253" s="187">
        <f>SUMIFS($AD$37:$AD$12971,$V$37:$V$12971,$V4253,$X$37:$X$12971,AH$13)</f>
        <v>0</v>
      </c>
      <c r="AI4253" s="161">
        <f t="shared" ref="AI4253" si="3113">SUM(AE4253:AH4253)</f>
        <v>0</v>
      </c>
      <c r="AK4253" s="172"/>
    </row>
    <row r="4254" spans="1:41" s="102" customFormat="1" ht="19.899999999999999" customHeight="1" x14ac:dyDescent="0.25">
      <c r="A4254" s="45"/>
      <c r="B4254" s="59"/>
      <c r="C4254" s="137"/>
      <c r="D4254" s="59"/>
      <c r="E4254" s="116"/>
      <c r="F4254" s="120"/>
      <c r="G4254" s="120"/>
      <c r="H4254" s="120"/>
      <c r="I4254" s="60"/>
      <c r="J4254" s="116"/>
      <c r="K4254" s="213"/>
      <c r="L4254" s="120"/>
      <c r="M4254" s="120"/>
      <c r="N4254" s="167"/>
      <c r="O4254" s="120"/>
      <c r="P4254" s="120"/>
      <c r="Q4254" s="120"/>
      <c r="R4254" s="120"/>
      <c r="S4254" s="120"/>
      <c r="T4254" s="221"/>
      <c r="U4254" s="89"/>
      <c r="V4254" s="61"/>
      <c r="W4254" s="92" t="s">
        <v>1252</v>
      </c>
      <c r="X4254" s="93" t="s">
        <v>30</v>
      </c>
      <c r="Y4254" s="93" t="s">
        <v>68</v>
      </c>
      <c r="Z4254" s="134">
        <f>VLOOKUP(W4254,Sheet2!$B:$D,3,FALSE)</f>
        <v>110</v>
      </c>
      <c r="AA4254" s="93">
        <v>1</v>
      </c>
      <c r="AB4254" s="93">
        <f>AD4254/AC4253</f>
        <v>110</v>
      </c>
      <c r="AC4254" s="93">
        <f>AC4253/AA4254</f>
        <v>28.84499999999997</v>
      </c>
      <c r="AD4254" s="94">
        <f t="shared" ref="AD4254" si="3114">AC4254*Z4254</f>
        <v>3172.9499999999966</v>
      </c>
      <c r="AE4254" s="190"/>
      <c r="AF4254" s="191"/>
      <c r="AG4254" s="191"/>
      <c r="AH4254" s="191"/>
      <c r="AI4254" s="186"/>
      <c r="AK4254" s="171"/>
    </row>
    <row r="4255" spans="1:41" s="102" customFormat="1" ht="19.899999999999999" customHeight="1" x14ac:dyDescent="0.25">
      <c r="A4255" s="45"/>
      <c r="B4255" s="59"/>
      <c r="C4255" s="137"/>
      <c r="D4255" s="59"/>
      <c r="E4255" s="116"/>
      <c r="F4255" s="120"/>
      <c r="G4255" s="120"/>
      <c r="H4255" s="120"/>
      <c r="I4255" s="60"/>
      <c r="J4255" s="116"/>
      <c r="K4255" s="213"/>
      <c r="L4255" s="120"/>
      <c r="M4255" s="120"/>
      <c r="N4255" s="167"/>
      <c r="O4255" s="120"/>
      <c r="P4255" s="120"/>
      <c r="Q4255" s="120"/>
      <c r="R4255" s="120"/>
      <c r="S4255" s="120"/>
      <c r="T4255" s="221"/>
      <c r="U4255" s="89"/>
      <c r="V4255" s="61"/>
      <c r="W4255" s="92" t="s">
        <v>1260</v>
      </c>
      <c r="X4255" s="93" t="s">
        <v>32</v>
      </c>
      <c r="Y4255" s="93" t="s">
        <v>68</v>
      </c>
      <c r="Z4255" s="134">
        <f>VLOOKUP(W4255,Sheet2!$B:$D,3,FALSE)</f>
        <v>33</v>
      </c>
      <c r="AA4255" s="93">
        <v>1</v>
      </c>
      <c r="AB4255" s="93">
        <f>AD4255/AC4253</f>
        <v>33</v>
      </c>
      <c r="AC4255" s="93">
        <f>AC4253/AA4255</f>
        <v>28.84499999999997</v>
      </c>
      <c r="AD4255" s="94">
        <f>AC4255*Z4255</f>
        <v>951.88499999999908</v>
      </c>
      <c r="AE4255" s="190"/>
      <c r="AF4255" s="191"/>
      <c r="AG4255" s="191"/>
      <c r="AH4255" s="191"/>
      <c r="AI4255" s="186"/>
      <c r="AK4255" s="171"/>
    </row>
    <row r="4256" spans="1:41" s="102" customFormat="1" ht="19.899999999999999" customHeight="1" x14ac:dyDescent="0.25">
      <c r="A4256" s="45"/>
      <c r="B4256" s="59"/>
      <c r="C4256" s="137"/>
      <c r="D4256" s="59"/>
      <c r="E4256" s="116"/>
      <c r="F4256" s="120"/>
      <c r="G4256" s="120"/>
      <c r="H4256" s="120"/>
      <c r="I4256" s="60"/>
      <c r="J4256" s="116"/>
      <c r="K4256" s="213"/>
      <c r="L4256" s="120"/>
      <c r="M4256" s="120"/>
      <c r="N4256" s="167"/>
      <c r="O4256" s="120"/>
      <c r="P4256" s="120"/>
      <c r="Q4256" s="120"/>
      <c r="R4256" s="120"/>
      <c r="S4256" s="120"/>
      <c r="T4256" s="221"/>
      <c r="U4256" s="89"/>
      <c r="V4256" s="61"/>
      <c r="W4256" s="92" t="s">
        <v>1032</v>
      </c>
      <c r="X4256" s="93" t="s">
        <v>30</v>
      </c>
      <c r="Y4256" s="93" t="s">
        <v>66</v>
      </c>
      <c r="Z4256" s="134">
        <f>VLOOKUP(W4256,Sheet2!$B:$D,3,FALSE)</f>
        <v>250</v>
      </c>
      <c r="AA4256" s="93">
        <f>1/(1*0.1)</f>
        <v>10</v>
      </c>
      <c r="AB4256" s="93">
        <f>AD4256/AC4253</f>
        <v>24.999999999999996</v>
      </c>
      <c r="AC4256" s="93">
        <f>AC4253/AA4256</f>
        <v>2.884499999999997</v>
      </c>
      <c r="AD4256" s="94">
        <f>AC4256*Z4256</f>
        <v>721.1249999999992</v>
      </c>
      <c r="AE4256" s="190"/>
      <c r="AF4256" s="191"/>
      <c r="AG4256" s="191"/>
      <c r="AH4256" s="191"/>
      <c r="AI4256" s="186"/>
      <c r="AK4256" s="171"/>
    </row>
    <row r="4257" spans="1:41" s="102" customFormat="1" ht="19.899999999999999" customHeight="1" x14ac:dyDescent="0.25">
      <c r="A4257" s="45"/>
      <c r="B4257" s="59"/>
      <c r="C4257" s="137"/>
      <c r="D4257" s="59"/>
      <c r="E4257" s="116"/>
      <c r="F4257" s="120"/>
      <c r="G4257" s="120"/>
      <c r="H4257" s="120"/>
      <c r="I4257" s="60"/>
      <c r="J4257" s="116"/>
      <c r="K4257" s="213"/>
      <c r="L4257" s="120"/>
      <c r="M4257" s="120"/>
      <c r="N4257" s="167"/>
      <c r="O4257" s="120"/>
      <c r="P4257" s="120"/>
      <c r="Q4257" s="120"/>
      <c r="R4257" s="120"/>
      <c r="S4257" s="120"/>
      <c r="T4257" s="221"/>
      <c r="U4257" s="89"/>
      <c r="V4257" s="61"/>
      <c r="W4257" s="92" t="s">
        <v>1035</v>
      </c>
      <c r="X4257" s="93" t="s">
        <v>32</v>
      </c>
      <c r="Y4257" s="93" t="s">
        <v>66</v>
      </c>
      <c r="Z4257" s="134">
        <f>VLOOKUP(W4257,Sheet2!$B:$D,3,FALSE)</f>
        <v>150</v>
      </c>
      <c r="AA4257" s="93">
        <f>AA4256</f>
        <v>10</v>
      </c>
      <c r="AB4257" s="93">
        <f>AD4257/AC4253</f>
        <v>15</v>
      </c>
      <c r="AC4257" s="93">
        <f>AC4253/AA4257</f>
        <v>2.884499999999997</v>
      </c>
      <c r="AD4257" s="94">
        <f t="shared" ref="AD4257:AD4258" si="3115">AC4257*Z4257</f>
        <v>432.67499999999956</v>
      </c>
      <c r="AE4257" s="190"/>
      <c r="AF4257" s="191"/>
      <c r="AG4257" s="191"/>
      <c r="AH4257" s="191"/>
      <c r="AI4257" s="186"/>
      <c r="AK4257" s="171"/>
    </row>
    <row r="4258" spans="1:41" s="102" customFormat="1" ht="19.899999999999999" customHeight="1" x14ac:dyDescent="0.25">
      <c r="A4258" s="45"/>
      <c r="B4258" s="59"/>
      <c r="C4258" s="137"/>
      <c r="D4258" s="59"/>
      <c r="E4258" s="116"/>
      <c r="F4258" s="120"/>
      <c r="G4258" s="120"/>
      <c r="H4258" s="120"/>
      <c r="I4258" s="60"/>
      <c r="J4258" s="116"/>
      <c r="K4258" s="213"/>
      <c r="L4258" s="120"/>
      <c r="M4258" s="120"/>
      <c r="N4258" s="167"/>
      <c r="O4258" s="120"/>
      <c r="P4258" s="120"/>
      <c r="Q4258" s="120"/>
      <c r="R4258" s="120"/>
      <c r="S4258" s="120"/>
      <c r="T4258" s="221"/>
      <c r="U4258" s="89"/>
      <c r="V4258" s="61"/>
      <c r="W4258" s="92" t="s">
        <v>1037</v>
      </c>
      <c r="X4258" s="93" t="s">
        <v>30</v>
      </c>
      <c r="Y4258" s="93" t="s">
        <v>1038</v>
      </c>
      <c r="Z4258" s="134">
        <f>VLOOKUP(W4258,Sheet2!$B:$D,3,FALSE)</f>
        <v>175</v>
      </c>
      <c r="AA4258" s="93">
        <v>300</v>
      </c>
      <c r="AB4258" s="93">
        <f>AD4258/AC4253</f>
        <v>0.58333333333333337</v>
      </c>
      <c r="AC4258" s="93">
        <f>AC4253/AA4258</f>
        <v>9.6149999999999902E-2</v>
      </c>
      <c r="AD4258" s="94">
        <f t="shared" si="3115"/>
        <v>16.826249999999984</v>
      </c>
      <c r="AE4258" s="190"/>
      <c r="AF4258" s="191"/>
      <c r="AG4258" s="191"/>
      <c r="AH4258" s="191"/>
      <c r="AI4258" s="186"/>
      <c r="AK4258" s="171"/>
    </row>
    <row r="4259" spans="1:41" s="103" customFormat="1" ht="19.899999999999999" customHeight="1" x14ac:dyDescent="0.25">
      <c r="A4259" s="51"/>
      <c r="B4259" s="52"/>
      <c r="C4259" s="165"/>
      <c r="D4259" s="52"/>
      <c r="E4259" s="115"/>
      <c r="F4259" s="58"/>
      <c r="G4259" s="58"/>
      <c r="H4259" s="58"/>
      <c r="I4259" s="55"/>
      <c r="J4259" s="113">
        <f>J4242</f>
        <v>28.84499999999997</v>
      </c>
      <c r="K4259" s="212">
        <f>K4242</f>
        <v>28.84499999999997</v>
      </c>
      <c r="L4259" s="58"/>
      <c r="M4259" s="58">
        <f>K4259-L4259</f>
        <v>28.84499999999997</v>
      </c>
      <c r="N4259" s="166"/>
      <c r="O4259" s="58"/>
      <c r="P4259" s="58"/>
      <c r="Q4259" s="58"/>
      <c r="R4259" s="58"/>
      <c r="S4259" s="58"/>
      <c r="T4259" s="220"/>
      <c r="U4259" s="88"/>
      <c r="V4259" s="56"/>
      <c r="W4259" s="57" t="s">
        <v>1040</v>
      </c>
      <c r="X4259" s="53"/>
      <c r="Y4259" s="91" t="s">
        <v>68</v>
      </c>
      <c r="Z4259" s="136">
        <f>AD4259/AC4259</f>
        <v>5</v>
      </c>
      <c r="AA4259" s="58"/>
      <c r="AB4259" s="53">
        <f>AD4259/AC4259</f>
        <v>5</v>
      </c>
      <c r="AC4259" s="53">
        <f>M4259+$AE$10</f>
        <v>28.84499999999997</v>
      </c>
      <c r="AD4259" s="54">
        <f>SUM(AD4260)</f>
        <v>144.22499999999985</v>
      </c>
      <c r="AE4259" s="184">
        <f>SUMIFS($AD$37:$AD$12971,$V$37:$V$12971,$V4259,$X$37:$X$12971,AE$13)</f>
        <v>0</v>
      </c>
      <c r="AF4259" s="185">
        <f>SUMIFS($AD$37:$AD$12971,$V$37:$V$12971,$V4259,$X$37:$X$12971,AF$13)</f>
        <v>0</v>
      </c>
      <c r="AG4259" s="185">
        <f>SUMIFS($AD$37:$AD$12971,$V$37:$V$12971,$V4259,$X$37:$X$12971,AG$13)</f>
        <v>0</v>
      </c>
      <c r="AH4259" s="187">
        <f>SUMIFS($AD$37:$AD$12971,$V$37:$V$12971,$V4259,$X$37:$X$12971,AH$13)</f>
        <v>0</v>
      </c>
      <c r="AI4259" s="161">
        <f t="shared" ref="AI4259" si="3116">SUM(AE4259:AH4259)</f>
        <v>0</v>
      </c>
      <c r="AK4259" s="172"/>
    </row>
    <row r="4260" spans="1:41" s="102" customFormat="1" ht="19.899999999999999" customHeight="1" x14ac:dyDescent="0.25">
      <c r="A4260" s="45"/>
      <c r="B4260" s="59"/>
      <c r="C4260" s="137"/>
      <c r="D4260" s="59"/>
      <c r="E4260" s="116"/>
      <c r="F4260" s="120"/>
      <c r="G4260" s="120"/>
      <c r="H4260" s="120"/>
      <c r="I4260" s="60"/>
      <c r="J4260" s="116"/>
      <c r="K4260" s="213"/>
      <c r="L4260" s="120"/>
      <c r="M4260" s="120"/>
      <c r="N4260" s="167"/>
      <c r="O4260" s="120"/>
      <c r="P4260" s="120"/>
      <c r="Q4260" s="120"/>
      <c r="R4260" s="120"/>
      <c r="S4260" s="120"/>
      <c r="T4260" s="221"/>
      <c r="U4260" s="89"/>
      <c r="V4260" s="61"/>
      <c r="W4260" s="92" t="s">
        <v>1039</v>
      </c>
      <c r="X4260" s="93" t="s">
        <v>32</v>
      </c>
      <c r="Y4260" s="93" t="s">
        <v>68</v>
      </c>
      <c r="Z4260" s="134">
        <f>VLOOKUP(W4260,Sheet2!$B:$D,3,FALSE)</f>
        <v>5</v>
      </c>
      <c r="AA4260" s="93">
        <v>1</v>
      </c>
      <c r="AB4260" s="93">
        <f>AD4260/AC4259</f>
        <v>5</v>
      </c>
      <c r="AC4260" s="93">
        <f>AC4259/AA4260</f>
        <v>28.84499999999997</v>
      </c>
      <c r="AD4260" s="94">
        <f t="shared" ref="AD4260" si="3117">AC4260*Z4260</f>
        <v>144.22499999999985</v>
      </c>
      <c r="AE4260" s="190"/>
      <c r="AF4260" s="191"/>
      <c r="AG4260" s="191"/>
      <c r="AH4260" s="191"/>
      <c r="AI4260" s="186"/>
      <c r="AK4260" s="171"/>
    </row>
    <row r="4261" spans="1:41" ht="20.100000000000001" customHeight="1" x14ac:dyDescent="0.25">
      <c r="A4261" s="277" t="s">
        <v>491</v>
      </c>
      <c r="B4261" s="278"/>
      <c r="C4261" s="64" t="s">
        <v>1196</v>
      </c>
      <c r="D4261" s="46" t="s">
        <v>97</v>
      </c>
      <c r="E4261" s="114"/>
      <c r="F4261" s="44"/>
      <c r="G4261" s="44">
        <f t="shared" si="2434"/>
        <v>0</v>
      </c>
      <c r="H4261" s="44">
        <f t="shared" si="2435"/>
        <v>0</v>
      </c>
      <c r="I4261" s="43">
        <f t="shared" si="2436"/>
        <v>0</v>
      </c>
      <c r="J4261" s="112">
        <f t="shared" si="2437"/>
        <v>0</v>
      </c>
      <c r="K4261" s="211">
        <f t="shared" si="2438"/>
        <v>0</v>
      </c>
      <c r="L4261" s="44"/>
      <c r="M4261" s="44">
        <f t="shared" si="2458"/>
        <v>0</v>
      </c>
      <c r="N4261" s="173">
        <f t="shared" si="2439"/>
        <v>0</v>
      </c>
      <c r="O4261" s="44">
        <f t="shared" si="2440"/>
        <v>0</v>
      </c>
      <c r="P4261" s="44">
        <f t="shared" si="2441"/>
        <v>0</v>
      </c>
      <c r="Q4261" s="44">
        <f t="shared" si="2442"/>
        <v>0</v>
      </c>
      <c r="R4261" s="44">
        <f t="shared" si="2459"/>
        <v>0</v>
      </c>
      <c r="S4261" s="123"/>
      <c r="T4261" s="219">
        <f t="shared" si="2460"/>
        <v>0</v>
      </c>
      <c r="U4261" s="87"/>
      <c r="V4261" s="47"/>
      <c r="W4261" s="48"/>
      <c r="X4261" s="48"/>
      <c r="Y4261" s="48"/>
      <c r="Z4261" s="135"/>
      <c r="AA4261" s="49"/>
      <c r="AB4261" s="50">
        <f t="shared" si="2443"/>
        <v>0</v>
      </c>
      <c r="AC4261" s="42">
        <f t="shared" si="2461"/>
        <v>9.9999999999999998E-20</v>
      </c>
      <c r="AD4261" s="90"/>
      <c r="AE4261" s="188"/>
      <c r="AF4261" s="189"/>
      <c r="AG4261" s="189"/>
      <c r="AH4261" s="189"/>
      <c r="AI4261" s="161"/>
    </row>
    <row r="4262" spans="1:41" ht="20.100000000000001" customHeight="1" x14ac:dyDescent="0.25">
      <c r="A4262" s="277" t="s">
        <v>491</v>
      </c>
      <c r="B4262" s="278"/>
      <c r="C4262" s="64" t="s">
        <v>1197</v>
      </c>
      <c r="D4262" s="46" t="s">
        <v>97</v>
      </c>
      <c r="E4262" s="114"/>
      <c r="F4262" s="44"/>
      <c r="G4262" s="44">
        <f t="shared" si="2434"/>
        <v>0</v>
      </c>
      <c r="H4262" s="44">
        <f t="shared" si="2435"/>
        <v>0</v>
      </c>
      <c r="I4262" s="43">
        <f t="shared" si="2436"/>
        <v>0</v>
      </c>
      <c r="J4262" s="112">
        <f t="shared" si="2437"/>
        <v>0</v>
      </c>
      <c r="K4262" s="211">
        <f t="shared" si="2438"/>
        <v>0</v>
      </c>
      <c r="L4262" s="44"/>
      <c r="M4262" s="44">
        <f t="shared" si="2458"/>
        <v>0</v>
      </c>
      <c r="N4262" s="173">
        <f t="shared" si="2439"/>
        <v>0</v>
      </c>
      <c r="O4262" s="44">
        <f t="shared" si="2440"/>
        <v>0</v>
      </c>
      <c r="P4262" s="44">
        <f t="shared" si="2441"/>
        <v>0</v>
      </c>
      <c r="Q4262" s="44">
        <f t="shared" si="2442"/>
        <v>0</v>
      </c>
      <c r="R4262" s="44">
        <f t="shared" si="2459"/>
        <v>0</v>
      </c>
      <c r="S4262" s="123"/>
      <c r="T4262" s="219">
        <f t="shared" si="2460"/>
        <v>0</v>
      </c>
      <c r="U4262" s="87"/>
      <c r="V4262" s="47"/>
      <c r="W4262" s="48"/>
      <c r="X4262" s="48"/>
      <c r="Y4262" s="48"/>
      <c r="Z4262" s="135"/>
      <c r="AA4262" s="49"/>
      <c r="AB4262" s="50">
        <f t="shared" si="2443"/>
        <v>0</v>
      </c>
      <c r="AC4262" s="42">
        <f t="shared" si="2461"/>
        <v>9.9999999999999998E-20</v>
      </c>
      <c r="AD4262" s="90"/>
      <c r="AE4262" s="188"/>
      <c r="AF4262" s="189"/>
      <c r="AG4262" s="189"/>
      <c r="AH4262" s="189"/>
      <c r="AI4262" s="161"/>
    </row>
    <row r="4263" spans="1:41" ht="20.100000000000001" customHeight="1" x14ac:dyDescent="0.25">
      <c r="A4263" s="277" t="s">
        <v>491</v>
      </c>
      <c r="B4263" s="278"/>
      <c r="C4263" s="64" t="s">
        <v>1198</v>
      </c>
      <c r="D4263" s="46" t="s">
        <v>97</v>
      </c>
      <c r="E4263" s="114">
        <v>25.590099999999779</v>
      </c>
      <c r="F4263" s="44">
        <v>1133</v>
      </c>
      <c r="G4263" s="44">
        <f t="shared" si="2434"/>
        <v>28993.583299999751</v>
      </c>
      <c r="H4263" s="44">
        <f t="shared" si="2435"/>
        <v>480.18319215686279</v>
      </c>
      <c r="I4263" s="43">
        <f t="shared" si="2436"/>
        <v>12287.935905613229</v>
      </c>
      <c r="J4263" s="112">
        <f t="shared" si="2437"/>
        <v>25.590099999999779</v>
      </c>
      <c r="K4263" s="211">
        <f t="shared" si="2438"/>
        <v>25.590099999999779</v>
      </c>
      <c r="L4263" s="44"/>
      <c r="M4263" s="44">
        <f t="shared" si="2458"/>
        <v>25.590099999999779</v>
      </c>
      <c r="N4263" s="173">
        <f t="shared" si="2439"/>
        <v>1</v>
      </c>
      <c r="O4263" s="44">
        <f t="shared" si="2440"/>
        <v>1133</v>
      </c>
      <c r="P4263" s="44">
        <f t="shared" si="2441"/>
        <v>28993.583299999751</v>
      </c>
      <c r="Q4263" s="44">
        <f t="shared" si="2442"/>
        <v>480.18319215686279</v>
      </c>
      <c r="R4263" s="44">
        <f t="shared" si="2459"/>
        <v>12287.935905613229</v>
      </c>
      <c r="S4263" s="123"/>
      <c r="T4263" s="219">
        <f t="shared" si="2460"/>
        <v>12287.935905613229</v>
      </c>
      <c r="U4263" s="87"/>
      <c r="V4263" s="47"/>
      <c r="W4263" s="48"/>
      <c r="X4263" s="48"/>
      <c r="Y4263" s="48"/>
      <c r="Z4263" s="135"/>
      <c r="AA4263" s="49"/>
      <c r="AB4263" s="50">
        <f t="shared" si="2443"/>
        <v>480.18319215686279</v>
      </c>
      <c r="AC4263" s="42">
        <f t="shared" si="2461"/>
        <v>25.590099999999779</v>
      </c>
      <c r="AD4263" s="90">
        <f>AD4264+AD4273+AD4279</f>
        <v>12287.935905613229</v>
      </c>
      <c r="AE4263" s="188">
        <f t="shared" ref="AE4263:AH4263" si="3118">AE4264+AE4273+AE4279</f>
        <v>0</v>
      </c>
      <c r="AF4263" s="189">
        <f t="shared" si="3118"/>
        <v>0</v>
      </c>
      <c r="AG4263" s="189">
        <f t="shared" si="3118"/>
        <v>0</v>
      </c>
      <c r="AH4263" s="189">
        <f t="shared" si="3118"/>
        <v>0</v>
      </c>
      <c r="AI4263" s="161">
        <f t="shared" ref="AI4263" si="3119">SUM(AE4263:AH4263)</f>
        <v>0</v>
      </c>
      <c r="AK4263" s="169">
        <v>5</v>
      </c>
      <c r="AO4263" s="19" t="s">
        <v>63</v>
      </c>
    </row>
    <row r="4264" spans="1:41" s="103" customFormat="1" ht="19.899999999999999" customHeight="1" x14ac:dyDescent="0.25">
      <c r="A4264" s="51"/>
      <c r="B4264" s="52"/>
      <c r="C4264" s="165"/>
      <c r="D4264" s="52"/>
      <c r="E4264" s="115"/>
      <c r="F4264" s="58"/>
      <c r="G4264" s="58"/>
      <c r="H4264" s="58"/>
      <c r="I4264" s="55"/>
      <c r="J4264" s="113">
        <f>J4263</f>
        <v>25.590099999999779</v>
      </c>
      <c r="K4264" s="212">
        <f>K4263</f>
        <v>25.590099999999779</v>
      </c>
      <c r="L4264" s="58"/>
      <c r="M4264" s="58">
        <f>K4264-L4264</f>
        <v>25.590099999999779</v>
      </c>
      <c r="N4264" s="166"/>
      <c r="O4264" s="58"/>
      <c r="P4264" s="58"/>
      <c r="Q4264" s="58"/>
      <c r="R4264" s="58"/>
      <c r="S4264" s="58"/>
      <c r="T4264" s="220"/>
      <c r="U4264" s="88"/>
      <c r="V4264" s="56"/>
      <c r="W4264" s="57" t="s">
        <v>1090</v>
      </c>
      <c r="X4264" s="53"/>
      <c r="Y4264" s="91" t="s">
        <v>68</v>
      </c>
      <c r="Z4264" s="136">
        <f>AD4264/AC4264</f>
        <v>14.599858823529416</v>
      </c>
      <c r="AA4264" s="58"/>
      <c r="AB4264" s="53">
        <f>AD4264/AC4264</f>
        <v>14.599858823529416</v>
      </c>
      <c r="AC4264" s="53">
        <f>M4264+$AE$10</f>
        <v>25.590099999999779</v>
      </c>
      <c r="AD4264" s="54">
        <f>SUM(AD4265:AD4272)</f>
        <v>373.61184727999688</v>
      </c>
      <c r="AE4264" s="184">
        <f>SUMIFS($AD$37:$AD$12971,$V$37:$V$12971,$V4264,$X$37:$X$12971,AE$13)</f>
        <v>0</v>
      </c>
      <c r="AF4264" s="185">
        <f>SUMIFS($AD$37:$AD$12971,$V$37:$V$12971,$V4264,$X$37:$X$12971,AF$13)</f>
        <v>0</v>
      </c>
      <c r="AG4264" s="185">
        <f>SUMIFS($AD$37:$AD$12971,$V$37:$V$12971,$V4264,$X$37:$X$12971,AG$13)</f>
        <v>0</v>
      </c>
      <c r="AH4264" s="187">
        <f>SUMIFS($AD$37:$AD$12971,$V$37:$V$12971,$V4264,$X$37:$X$12971,AH$13)</f>
        <v>0</v>
      </c>
      <c r="AI4264" s="161">
        <f t="shared" ref="AI4264" si="3120">SUM(AE4264:AH4264)</f>
        <v>0</v>
      </c>
      <c r="AK4264" s="172"/>
    </row>
    <row r="4265" spans="1:41" s="102" customFormat="1" ht="19.899999999999999" customHeight="1" x14ac:dyDescent="0.25">
      <c r="A4265" s="45"/>
      <c r="B4265" s="59"/>
      <c r="C4265" s="137"/>
      <c r="D4265" s="59"/>
      <c r="E4265" s="116"/>
      <c r="F4265" s="120"/>
      <c r="G4265" s="120"/>
      <c r="H4265" s="120"/>
      <c r="I4265" s="60"/>
      <c r="J4265" s="116"/>
      <c r="K4265" s="213"/>
      <c r="L4265" s="120"/>
      <c r="M4265" s="120"/>
      <c r="N4265" s="167"/>
      <c r="O4265" s="120"/>
      <c r="P4265" s="120"/>
      <c r="Q4265" s="120"/>
      <c r="R4265" s="120"/>
      <c r="S4265" s="120"/>
      <c r="T4265" s="221"/>
      <c r="U4265" s="89"/>
      <c r="V4265" s="61"/>
      <c r="W4265" s="92" t="s">
        <v>129</v>
      </c>
      <c r="X4265" s="93" t="s">
        <v>29</v>
      </c>
      <c r="Y4265" s="93" t="s">
        <v>93</v>
      </c>
      <c r="Z4265" s="134">
        <f>VLOOKUP(W4265,Sheet2!$B:$D,3,FALSE)</f>
        <v>56</v>
      </c>
      <c r="AA4265" s="93">
        <f>100/(1.5*2)</f>
        <v>33.333333333333336</v>
      </c>
      <c r="AB4265" s="93">
        <f t="shared" ref="AB4265" si="3121">AD4265/AC4264</f>
        <v>1.6799999999999997</v>
      </c>
      <c r="AC4265" s="93">
        <f>AC4264/AA4265</f>
        <v>0.76770299999999336</v>
      </c>
      <c r="AD4265" s="94">
        <f t="shared" ref="AD4265:AD4266" si="3122">AC4265*Z4265</f>
        <v>42.991367999999625</v>
      </c>
      <c r="AE4265" s="190"/>
      <c r="AF4265" s="191"/>
      <c r="AG4265" s="191"/>
      <c r="AH4265" s="191"/>
      <c r="AI4265" s="186"/>
      <c r="AK4265" s="171"/>
    </row>
    <row r="4266" spans="1:41" s="102" customFormat="1" ht="19.899999999999999" customHeight="1" x14ac:dyDescent="0.25">
      <c r="A4266" s="45"/>
      <c r="B4266" s="59"/>
      <c r="C4266" s="137"/>
      <c r="D4266" s="59"/>
      <c r="E4266" s="116"/>
      <c r="F4266" s="120"/>
      <c r="G4266" s="120"/>
      <c r="H4266" s="120"/>
      <c r="I4266" s="60"/>
      <c r="J4266" s="116"/>
      <c r="K4266" s="213"/>
      <c r="L4266" s="120"/>
      <c r="M4266" s="120"/>
      <c r="N4266" s="167"/>
      <c r="O4266" s="120"/>
      <c r="P4266" s="120"/>
      <c r="Q4266" s="120"/>
      <c r="R4266" s="120"/>
      <c r="S4266" s="120"/>
      <c r="T4266" s="221"/>
      <c r="U4266" s="89"/>
      <c r="V4266" s="61"/>
      <c r="W4266" s="92" t="s">
        <v>65</v>
      </c>
      <c r="X4266" s="93" t="s">
        <v>30</v>
      </c>
      <c r="Y4266" s="93" t="s">
        <v>1011</v>
      </c>
      <c r="Z4266" s="134">
        <f>VLOOKUP(W4266,Sheet2!$B:$D,3,FALSE)</f>
        <v>1.76</v>
      </c>
      <c r="AA4266" s="93">
        <f>AA4265/14</f>
        <v>2.3809523809523809</v>
      </c>
      <c r="AB4266" s="93">
        <f>AD4266/AC4264</f>
        <v>0.73920000000000008</v>
      </c>
      <c r="AC4266" s="93">
        <f>AC4264/AA4266</f>
        <v>10.747841999999908</v>
      </c>
      <c r="AD4266" s="94">
        <f t="shared" si="3122"/>
        <v>18.916201919999839</v>
      </c>
      <c r="AE4266" s="190"/>
      <c r="AF4266" s="191"/>
      <c r="AG4266" s="191"/>
      <c r="AH4266" s="191"/>
      <c r="AI4266" s="186"/>
      <c r="AK4266" s="171"/>
    </row>
    <row r="4267" spans="1:41" s="102" customFormat="1" ht="19.899999999999999" customHeight="1" x14ac:dyDescent="0.25">
      <c r="A4267" s="45"/>
      <c r="B4267" s="59"/>
      <c r="C4267" s="137"/>
      <c r="D4267" s="59"/>
      <c r="E4267" s="116"/>
      <c r="F4267" s="120"/>
      <c r="G4267" s="120"/>
      <c r="H4267" s="120"/>
      <c r="I4267" s="60"/>
      <c r="J4267" s="116"/>
      <c r="K4267" s="213"/>
      <c r="L4267" s="120"/>
      <c r="M4267" s="120"/>
      <c r="N4267" s="167"/>
      <c r="O4267" s="120"/>
      <c r="P4267" s="120"/>
      <c r="Q4267" s="120"/>
      <c r="R4267" s="120"/>
      <c r="S4267" s="120"/>
      <c r="T4267" s="221"/>
      <c r="U4267" s="89"/>
      <c r="V4267" s="61"/>
      <c r="W4267" s="92" t="s">
        <v>161</v>
      </c>
      <c r="X4267" s="93" t="s">
        <v>29</v>
      </c>
      <c r="Y4267" s="93" t="s">
        <v>93</v>
      </c>
      <c r="Z4267" s="134">
        <f>VLOOKUP(W4267,Sheet2!$B:$D,3,FALSE)</f>
        <v>48</v>
      </c>
      <c r="AA4267" s="93">
        <f>(16*0.85*1.5)/(1.5*2)</f>
        <v>6.8</v>
      </c>
      <c r="AB4267" s="93">
        <f>AD4267/AC4264</f>
        <v>7.0588235294117654</v>
      </c>
      <c r="AC4267" s="93">
        <f>AC4264/AA4267</f>
        <v>3.7632499999999678</v>
      </c>
      <c r="AD4267" s="94">
        <f>AC4267*Z4267</f>
        <v>180.63599999999846</v>
      </c>
      <c r="AE4267" s="190"/>
      <c r="AF4267" s="191"/>
      <c r="AG4267" s="191"/>
      <c r="AH4267" s="191"/>
      <c r="AI4267" s="186"/>
      <c r="AK4267" s="171"/>
    </row>
    <row r="4268" spans="1:41" s="102" customFormat="1" ht="19.899999999999999" customHeight="1" x14ac:dyDescent="0.25">
      <c r="A4268" s="45"/>
      <c r="B4268" s="59"/>
      <c r="C4268" s="137"/>
      <c r="D4268" s="59"/>
      <c r="E4268" s="116"/>
      <c r="F4268" s="120"/>
      <c r="G4268" s="120"/>
      <c r="H4268" s="120"/>
      <c r="I4268" s="60"/>
      <c r="J4268" s="116"/>
      <c r="K4268" s="213"/>
      <c r="L4268" s="120"/>
      <c r="M4268" s="120"/>
      <c r="N4268" s="167"/>
      <c r="O4268" s="120"/>
      <c r="P4268" s="120"/>
      <c r="Q4268" s="120"/>
      <c r="R4268" s="120"/>
      <c r="S4268" s="120"/>
      <c r="T4268" s="221"/>
      <c r="U4268" s="89"/>
      <c r="V4268" s="61"/>
      <c r="W4268" s="92" t="s">
        <v>65</v>
      </c>
      <c r="X4268" s="93" t="s">
        <v>30</v>
      </c>
      <c r="Y4268" s="93" t="s">
        <v>1011</v>
      </c>
      <c r="Z4268" s="134">
        <f>VLOOKUP(W4268,Sheet2!$B:$D,3,FALSE)</f>
        <v>1.76</v>
      </c>
      <c r="AA4268" s="93">
        <f>AA4267/10</f>
        <v>0.67999999999999994</v>
      </c>
      <c r="AB4268" s="93">
        <f>AD4268/AC4264</f>
        <v>2.5882352941176476</v>
      </c>
      <c r="AC4268" s="93">
        <f>AC4264/AA4268</f>
        <v>37.632499999999681</v>
      </c>
      <c r="AD4268" s="94">
        <f>AC4268*Z4268</f>
        <v>66.233199999999442</v>
      </c>
      <c r="AE4268" s="190"/>
      <c r="AF4268" s="191"/>
      <c r="AG4268" s="191"/>
      <c r="AH4268" s="191"/>
      <c r="AI4268" s="186"/>
      <c r="AK4268" s="171"/>
    </row>
    <row r="4269" spans="1:41" s="102" customFormat="1" ht="19.899999999999999" customHeight="1" x14ac:dyDescent="0.25">
      <c r="A4269" s="45"/>
      <c r="B4269" s="59"/>
      <c r="C4269" s="137"/>
      <c r="D4269" s="59"/>
      <c r="E4269" s="116"/>
      <c r="F4269" s="120"/>
      <c r="G4269" s="120"/>
      <c r="H4269" s="120"/>
      <c r="I4269" s="60"/>
      <c r="J4269" s="116"/>
      <c r="K4269" s="213"/>
      <c r="L4269" s="120"/>
      <c r="M4269" s="120"/>
      <c r="N4269" s="167"/>
      <c r="O4269" s="120"/>
      <c r="P4269" s="120"/>
      <c r="Q4269" s="120"/>
      <c r="R4269" s="120"/>
      <c r="S4269" s="120"/>
      <c r="T4269" s="221"/>
      <c r="U4269" s="89"/>
      <c r="V4269" s="61"/>
      <c r="W4269" s="92" t="s">
        <v>1030</v>
      </c>
      <c r="X4269" s="93" t="s">
        <v>29</v>
      </c>
      <c r="Y4269" s="93" t="s">
        <v>93</v>
      </c>
      <c r="Z4269" s="134">
        <f>VLOOKUP(W4269,Sheet2!$B:$D,3,FALSE)</f>
        <v>23</v>
      </c>
      <c r="AA4269" s="93">
        <v>50</v>
      </c>
      <c r="AB4269" s="93">
        <f>AD4269/AC4264</f>
        <v>0.45999999999999996</v>
      </c>
      <c r="AC4269" s="93">
        <f>AC4264/AA4269</f>
        <v>0.51180199999999554</v>
      </c>
      <c r="AD4269" s="94">
        <f t="shared" ref="AD4269:AD4272" si="3123">AC4269*Z4269</f>
        <v>11.771445999999898</v>
      </c>
      <c r="AE4269" s="190"/>
      <c r="AF4269" s="191"/>
      <c r="AG4269" s="191"/>
      <c r="AH4269" s="191"/>
      <c r="AI4269" s="186"/>
      <c r="AK4269" s="171"/>
    </row>
    <row r="4270" spans="1:41" s="102" customFormat="1" ht="19.899999999999999" customHeight="1" x14ac:dyDescent="0.25">
      <c r="A4270" s="45"/>
      <c r="B4270" s="59"/>
      <c r="C4270" s="137"/>
      <c r="D4270" s="59"/>
      <c r="E4270" s="116"/>
      <c r="F4270" s="120"/>
      <c r="G4270" s="120"/>
      <c r="H4270" s="120"/>
      <c r="I4270" s="60"/>
      <c r="J4270" s="116"/>
      <c r="K4270" s="213"/>
      <c r="L4270" s="120"/>
      <c r="M4270" s="120"/>
      <c r="N4270" s="167"/>
      <c r="O4270" s="120"/>
      <c r="P4270" s="120"/>
      <c r="Q4270" s="120"/>
      <c r="R4270" s="120"/>
      <c r="S4270" s="120"/>
      <c r="T4270" s="221"/>
      <c r="U4270" s="89"/>
      <c r="V4270" s="61"/>
      <c r="W4270" s="92" t="s">
        <v>65</v>
      </c>
      <c r="X4270" s="93" t="s">
        <v>30</v>
      </c>
      <c r="Y4270" s="93" t="s">
        <v>1011</v>
      </c>
      <c r="Z4270" s="134">
        <f>VLOOKUP(W4270,Sheet2!$B:$D,3,FALSE)</f>
        <v>1.76</v>
      </c>
      <c r="AA4270" s="93">
        <f>AA4269/3</f>
        <v>16.666666666666668</v>
      </c>
      <c r="AB4270" s="93">
        <f>AD4270/AC4264</f>
        <v>0.10559999999999999</v>
      </c>
      <c r="AC4270" s="93">
        <f>AC4264/AA4270</f>
        <v>1.5354059999999867</v>
      </c>
      <c r="AD4270" s="94">
        <f t="shared" si="3123"/>
        <v>2.7023145599999765</v>
      </c>
      <c r="AE4270" s="190"/>
      <c r="AF4270" s="191"/>
      <c r="AG4270" s="191"/>
      <c r="AH4270" s="191"/>
      <c r="AI4270" s="186"/>
      <c r="AK4270" s="171"/>
    </row>
    <row r="4271" spans="1:41" s="102" customFormat="1" ht="19.899999999999999" customHeight="1" x14ac:dyDescent="0.25">
      <c r="A4271" s="45"/>
      <c r="B4271" s="59"/>
      <c r="C4271" s="137"/>
      <c r="D4271" s="59"/>
      <c r="E4271" s="116"/>
      <c r="F4271" s="120"/>
      <c r="G4271" s="120"/>
      <c r="H4271" s="120"/>
      <c r="I4271" s="60"/>
      <c r="J4271" s="116"/>
      <c r="K4271" s="213"/>
      <c r="L4271" s="120"/>
      <c r="M4271" s="120"/>
      <c r="N4271" s="167"/>
      <c r="O4271" s="120"/>
      <c r="P4271" s="120"/>
      <c r="Q4271" s="120"/>
      <c r="R4271" s="120"/>
      <c r="S4271" s="120"/>
      <c r="T4271" s="221"/>
      <c r="U4271" s="89"/>
      <c r="V4271" s="61"/>
      <c r="W4271" s="92" t="s">
        <v>148</v>
      </c>
      <c r="X4271" s="93" t="s">
        <v>29</v>
      </c>
      <c r="Y4271" s="93" t="s">
        <v>93</v>
      </c>
      <c r="Z4271" s="134">
        <f>VLOOKUP(W4271,Sheet2!$B:$D,3,FALSE)</f>
        <v>48</v>
      </c>
      <c r="AA4271" s="93">
        <f>AA4265</f>
        <v>33.333333333333336</v>
      </c>
      <c r="AB4271" s="93">
        <f>AD4271/AC4264</f>
        <v>1.44</v>
      </c>
      <c r="AC4271" s="93">
        <f>AC4264/AA4271</f>
        <v>0.76770299999999336</v>
      </c>
      <c r="AD4271" s="94">
        <f t="shared" si="3123"/>
        <v>36.849743999999681</v>
      </c>
      <c r="AE4271" s="190"/>
      <c r="AF4271" s="191"/>
      <c r="AG4271" s="191"/>
      <c r="AH4271" s="191"/>
      <c r="AI4271" s="186"/>
      <c r="AK4271" s="171"/>
    </row>
    <row r="4272" spans="1:41" s="102" customFormat="1" ht="19.899999999999999" customHeight="1" x14ac:dyDescent="0.25">
      <c r="A4272" s="45"/>
      <c r="B4272" s="59"/>
      <c r="C4272" s="137"/>
      <c r="D4272" s="59"/>
      <c r="E4272" s="116"/>
      <c r="F4272" s="120"/>
      <c r="G4272" s="120"/>
      <c r="H4272" s="120"/>
      <c r="I4272" s="60"/>
      <c r="J4272" s="116"/>
      <c r="K4272" s="213"/>
      <c r="L4272" s="120"/>
      <c r="M4272" s="120"/>
      <c r="N4272" s="167"/>
      <c r="O4272" s="120"/>
      <c r="P4272" s="120"/>
      <c r="Q4272" s="120"/>
      <c r="R4272" s="120"/>
      <c r="S4272" s="120"/>
      <c r="T4272" s="221"/>
      <c r="U4272" s="89"/>
      <c r="V4272" s="61"/>
      <c r="W4272" s="92" t="s">
        <v>65</v>
      </c>
      <c r="X4272" s="93" t="s">
        <v>30</v>
      </c>
      <c r="Y4272" s="93" t="s">
        <v>1011</v>
      </c>
      <c r="Z4272" s="134">
        <f>VLOOKUP(W4272,Sheet2!$B:$D,3,FALSE)</f>
        <v>1.76</v>
      </c>
      <c r="AA4272" s="93">
        <f>AA4271/10</f>
        <v>3.3333333333333335</v>
      </c>
      <c r="AB4272" s="93">
        <f>AD4272/AC4264</f>
        <v>0.52799999999999991</v>
      </c>
      <c r="AC4272" s="93">
        <f>AC4264/AA4272</f>
        <v>7.6770299999999336</v>
      </c>
      <c r="AD4272" s="94">
        <f t="shared" si="3123"/>
        <v>13.511572799999882</v>
      </c>
      <c r="AE4272" s="190"/>
      <c r="AF4272" s="191"/>
      <c r="AG4272" s="191"/>
      <c r="AH4272" s="191"/>
      <c r="AI4272" s="186"/>
      <c r="AK4272" s="171"/>
    </row>
    <row r="4273" spans="1:41" s="103" customFormat="1" ht="19.899999999999999" customHeight="1" x14ac:dyDescent="0.25">
      <c r="A4273" s="51"/>
      <c r="B4273" s="52"/>
      <c r="C4273" s="165"/>
      <c r="D4273" s="52"/>
      <c r="E4273" s="115"/>
      <c r="F4273" s="58"/>
      <c r="G4273" s="58"/>
      <c r="H4273" s="58"/>
      <c r="I4273" s="55"/>
      <c r="J4273" s="113">
        <f>J4263</f>
        <v>25.590099999999779</v>
      </c>
      <c r="K4273" s="212">
        <f>K4263</f>
        <v>25.590099999999779</v>
      </c>
      <c r="L4273" s="58"/>
      <c r="M4273" s="58">
        <f>K4273-L4273</f>
        <v>25.590099999999779</v>
      </c>
      <c r="N4273" s="166"/>
      <c r="O4273" s="58"/>
      <c r="P4273" s="58"/>
      <c r="Q4273" s="58"/>
      <c r="R4273" s="58"/>
      <c r="S4273" s="58"/>
      <c r="T4273" s="220"/>
      <c r="U4273" s="88"/>
      <c r="V4273" s="56"/>
      <c r="W4273" s="57" t="s">
        <v>1036</v>
      </c>
      <c r="X4273" s="53"/>
      <c r="Y4273" s="91" t="s">
        <v>68</v>
      </c>
      <c r="Z4273" s="136">
        <f>AD4273/AC4273</f>
        <v>460.58333333333337</v>
      </c>
      <c r="AA4273" s="58"/>
      <c r="AB4273" s="53">
        <f>AD4273/AC4273</f>
        <v>460.58333333333337</v>
      </c>
      <c r="AC4273" s="53">
        <f>M4273+$AE$10</f>
        <v>25.590099999999779</v>
      </c>
      <c r="AD4273" s="54">
        <f>SUM(AD4274:AD4278)</f>
        <v>11786.373558333233</v>
      </c>
      <c r="AE4273" s="184">
        <f>SUMIFS($AD$37:$AD$12971,$V$37:$V$12971,$V4273,$X$37:$X$12971,AE$13)</f>
        <v>0</v>
      </c>
      <c r="AF4273" s="185">
        <f>SUMIFS($AD$37:$AD$12971,$V$37:$V$12971,$V4273,$X$37:$X$12971,AF$13)</f>
        <v>0</v>
      </c>
      <c r="AG4273" s="185">
        <f>SUMIFS($AD$37:$AD$12971,$V$37:$V$12971,$V4273,$X$37:$X$12971,AG$13)</f>
        <v>0</v>
      </c>
      <c r="AH4273" s="187">
        <f>SUMIFS($AD$37:$AD$12971,$V$37:$V$12971,$V4273,$X$37:$X$12971,AH$13)</f>
        <v>0</v>
      </c>
      <c r="AI4273" s="161">
        <f t="shared" ref="AI4273" si="3124">SUM(AE4273:AH4273)</f>
        <v>0</v>
      </c>
      <c r="AK4273" s="172"/>
    </row>
    <row r="4274" spans="1:41" s="102" customFormat="1" ht="19.899999999999999" customHeight="1" x14ac:dyDescent="0.25">
      <c r="A4274" s="45"/>
      <c r="B4274" s="59"/>
      <c r="C4274" s="137"/>
      <c r="D4274" s="59"/>
      <c r="E4274" s="116"/>
      <c r="F4274" s="120"/>
      <c r="G4274" s="120"/>
      <c r="H4274" s="120"/>
      <c r="I4274" s="60"/>
      <c r="J4274" s="116"/>
      <c r="K4274" s="213"/>
      <c r="L4274" s="120"/>
      <c r="M4274" s="120"/>
      <c r="N4274" s="167"/>
      <c r="O4274" s="120"/>
      <c r="P4274" s="120"/>
      <c r="Q4274" s="120"/>
      <c r="R4274" s="120"/>
      <c r="S4274" s="120"/>
      <c r="T4274" s="221"/>
      <c r="U4274" s="89"/>
      <c r="V4274" s="61"/>
      <c r="W4274" s="92" t="s">
        <v>1255</v>
      </c>
      <c r="X4274" s="93" t="s">
        <v>30</v>
      </c>
      <c r="Y4274" s="93" t="s">
        <v>68</v>
      </c>
      <c r="Z4274" s="134">
        <f>VLOOKUP(W4274,Sheet2!$B:$D,3,FALSE)</f>
        <v>345</v>
      </c>
      <c r="AA4274" s="93">
        <v>1</v>
      </c>
      <c r="AB4274" s="93">
        <f>AD4274/AC4273</f>
        <v>345</v>
      </c>
      <c r="AC4274" s="93">
        <f>AC4273/AA4274</f>
        <v>25.590099999999779</v>
      </c>
      <c r="AD4274" s="94">
        <f t="shared" ref="AD4274" si="3125">AC4274*Z4274</f>
        <v>8828.5844999999244</v>
      </c>
      <c r="AE4274" s="190"/>
      <c r="AF4274" s="191"/>
      <c r="AG4274" s="191"/>
      <c r="AH4274" s="191"/>
      <c r="AI4274" s="186"/>
      <c r="AK4274" s="171"/>
    </row>
    <row r="4275" spans="1:41" s="102" customFormat="1" ht="19.899999999999999" customHeight="1" x14ac:dyDescent="0.25">
      <c r="A4275" s="45"/>
      <c r="B4275" s="59"/>
      <c r="C4275" s="137"/>
      <c r="D4275" s="59"/>
      <c r="E4275" s="116"/>
      <c r="F4275" s="120"/>
      <c r="G4275" s="120"/>
      <c r="H4275" s="120"/>
      <c r="I4275" s="60"/>
      <c r="J4275" s="116"/>
      <c r="K4275" s="213"/>
      <c r="L4275" s="120"/>
      <c r="M4275" s="120"/>
      <c r="N4275" s="167"/>
      <c r="O4275" s="120"/>
      <c r="P4275" s="120"/>
      <c r="Q4275" s="120"/>
      <c r="R4275" s="120"/>
      <c r="S4275" s="120"/>
      <c r="T4275" s="221"/>
      <c r="U4275" s="89"/>
      <c r="V4275" s="61"/>
      <c r="W4275" s="92" t="s">
        <v>1256</v>
      </c>
      <c r="X4275" s="93" t="s">
        <v>32</v>
      </c>
      <c r="Y4275" s="93" t="s">
        <v>68</v>
      </c>
      <c r="Z4275" s="134">
        <f>VLOOKUP(W4275,Sheet2!$B:$D,3,FALSE)</f>
        <v>55</v>
      </c>
      <c r="AA4275" s="93">
        <v>1</v>
      </c>
      <c r="AB4275" s="93">
        <f>AD4275/AC4273</f>
        <v>54.999999999999993</v>
      </c>
      <c r="AC4275" s="93">
        <f>AC4273/AA4275</f>
        <v>25.590099999999779</v>
      </c>
      <c r="AD4275" s="94">
        <f>AC4275*Z4275</f>
        <v>1407.4554999999878</v>
      </c>
      <c r="AE4275" s="190"/>
      <c r="AF4275" s="191"/>
      <c r="AG4275" s="191"/>
      <c r="AH4275" s="191"/>
      <c r="AI4275" s="186"/>
      <c r="AK4275" s="171"/>
    </row>
    <row r="4276" spans="1:41" s="102" customFormat="1" ht="19.899999999999999" customHeight="1" x14ac:dyDescent="0.25">
      <c r="A4276" s="45"/>
      <c r="B4276" s="59"/>
      <c r="C4276" s="137"/>
      <c r="D4276" s="59"/>
      <c r="E4276" s="116"/>
      <c r="F4276" s="120"/>
      <c r="G4276" s="120"/>
      <c r="H4276" s="120"/>
      <c r="I4276" s="60"/>
      <c r="J4276" s="116"/>
      <c r="K4276" s="213"/>
      <c r="L4276" s="120"/>
      <c r="M4276" s="120"/>
      <c r="N4276" s="167"/>
      <c r="O4276" s="120"/>
      <c r="P4276" s="120"/>
      <c r="Q4276" s="120"/>
      <c r="R4276" s="120"/>
      <c r="S4276" s="120"/>
      <c r="T4276" s="221"/>
      <c r="U4276" s="89"/>
      <c r="V4276" s="61"/>
      <c r="W4276" s="92" t="s">
        <v>1032</v>
      </c>
      <c r="X4276" s="93" t="s">
        <v>30</v>
      </c>
      <c r="Y4276" s="93" t="s">
        <v>66</v>
      </c>
      <c r="Z4276" s="134">
        <f>VLOOKUP(W4276,Sheet2!$B:$D,3,FALSE)</f>
        <v>250</v>
      </c>
      <c r="AA4276" s="93">
        <f>1/(1.5*0.1)</f>
        <v>6.6666666666666661</v>
      </c>
      <c r="AB4276" s="93">
        <f>AD4276/AC4273</f>
        <v>37.5</v>
      </c>
      <c r="AC4276" s="93">
        <f>AC4273/AA4276</f>
        <v>3.8385149999999673</v>
      </c>
      <c r="AD4276" s="94">
        <f>AC4276*Z4276</f>
        <v>959.62874999999178</v>
      </c>
      <c r="AE4276" s="190"/>
      <c r="AF4276" s="191"/>
      <c r="AG4276" s="191"/>
      <c r="AH4276" s="191"/>
      <c r="AI4276" s="186"/>
      <c r="AK4276" s="171"/>
    </row>
    <row r="4277" spans="1:41" s="102" customFormat="1" ht="19.899999999999999" customHeight="1" x14ac:dyDescent="0.25">
      <c r="A4277" s="45"/>
      <c r="B4277" s="59"/>
      <c r="C4277" s="137"/>
      <c r="D4277" s="59"/>
      <c r="E4277" s="116"/>
      <c r="F4277" s="120"/>
      <c r="G4277" s="120"/>
      <c r="H4277" s="120"/>
      <c r="I4277" s="60"/>
      <c r="J4277" s="116"/>
      <c r="K4277" s="213"/>
      <c r="L4277" s="120"/>
      <c r="M4277" s="120"/>
      <c r="N4277" s="167"/>
      <c r="O4277" s="120"/>
      <c r="P4277" s="120"/>
      <c r="Q4277" s="120"/>
      <c r="R4277" s="120"/>
      <c r="S4277" s="120"/>
      <c r="T4277" s="221"/>
      <c r="U4277" s="89"/>
      <c r="V4277" s="61"/>
      <c r="W4277" s="92" t="s">
        <v>1035</v>
      </c>
      <c r="X4277" s="93" t="s">
        <v>32</v>
      </c>
      <c r="Y4277" s="93" t="s">
        <v>66</v>
      </c>
      <c r="Z4277" s="134">
        <f>VLOOKUP(W4277,Sheet2!$B:$D,3,FALSE)</f>
        <v>150</v>
      </c>
      <c r="AA4277" s="93">
        <f>AA4276</f>
        <v>6.6666666666666661</v>
      </c>
      <c r="AB4277" s="93">
        <f>AD4277/AC4273</f>
        <v>22.500000000000004</v>
      </c>
      <c r="AC4277" s="93">
        <f>AC4273/AA4277</f>
        <v>3.8385149999999673</v>
      </c>
      <c r="AD4277" s="94">
        <f t="shared" ref="AD4277:AD4278" si="3126">AC4277*Z4277</f>
        <v>575.77724999999509</v>
      </c>
      <c r="AE4277" s="190"/>
      <c r="AF4277" s="191"/>
      <c r="AG4277" s="191"/>
      <c r="AH4277" s="191"/>
      <c r="AI4277" s="186"/>
      <c r="AK4277" s="171"/>
    </row>
    <row r="4278" spans="1:41" s="102" customFormat="1" ht="19.899999999999999" customHeight="1" x14ac:dyDescent="0.25">
      <c r="A4278" s="45"/>
      <c r="B4278" s="59"/>
      <c r="C4278" s="137"/>
      <c r="D4278" s="59"/>
      <c r="E4278" s="116"/>
      <c r="F4278" s="120"/>
      <c r="G4278" s="120"/>
      <c r="H4278" s="120"/>
      <c r="I4278" s="60"/>
      <c r="J4278" s="116"/>
      <c r="K4278" s="213"/>
      <c r="L4278" s="120"/>
      <c r="M4278" s="120"/>
      <c r="N4278" s="167"/>
      <c r="O4278" s="120"/>
      <c r="P4278" s="120"/>
      <c r="Q4278" s="120"/>
      <c r="R4278" s="120"/>
      <c r="S4278" s="120"/>
      <c r="T4278" s="221"/>
      <c r="U4278" s="89"/>
      <c r="V4278" s="61"/>
      <c r="W4278" s="92" t="s">
        <v>1037</v>
      </c>
      <c r="X4278" s="93" t="s">
        <v>30</v>
      </c>
      <c r="Y4278" s="93" t="s">
        <v>1038</v>
      </c>
      <c r="Z4278" s="134">
        <f>VLOOKUP(W4278,Sheet2!$B:$D,3,FALSE)</f>
        <v>175</v>
      </c>
      <c r="AA4278" s="93">
        <v>300</v>
      </c>
      <c r="AB4278" s="93">
        <f>AD4278/AC4273</f>
        <v>0.58333333333333337</v>
      </c>
      <c r="AC4278" s="93">
        <f>AC4273/AA4278</f>
        <v>8.5300333333332604E-2</v>
      </c>
      <c r="AD4278" s="94">
        <f t="shared" si="3126"/>
        <v>14.927558333333206</v>
      </c>
      <c r="AE4278" s="190"/>
      <c r="AF4278" s="191"/>
      <c r="AG4278" s="191"/>
      <c r="AH4278" s="191"/>
      <c r="AI4278" s="186"/>
      <c r="AK4278" s="171"/>
    </row>
    <row r="4279" spans="1:41" s="103" customFormat="1" ht="19.899999999999999" customHeight="1" x14ac:dyDescent="0.25">
      <c r="A4279" s="51"/>
      <c r="B4279" s="52"/>
      <c r="C4279" s="165"/>
      <c r="D4279" s="52"/>
      <c r="E4279" s="115"/>
      <c r="F4279" s="58"/>
      <c r="G4279" s="58"/>
      <c r="H4279" s="58"/>
      <c r="I4279" s="55"/>
      <c r="J4279" s="113">
        <f>J4263</f>
        <v>25.590099999999779</v>
      </c>
      <c r="K4279" s="212">
        <f>K4263</f>
        <v>25.590099999999779</v>
      </c>
      <c r="L4279" s="58"/>
      <c r="M4279" s="58">
        <f>K4279-L4279</f>
        <v>25.590099999999779</v>
      </c>
      <c r="N4279" s="166"/>
      <c r="O4279" s="58"/>
      <c r="P4279" s="58"/>
      <c r="Q4279" s="58"/>
      <c r="R4279" s="58"/>
      <c r="S4279" s="58"/>
      <c r="T4279" s="220"/>
      <c r="U4279" s="88"/>
      <c r="V4279" s="56"/>
      <c r="W4279" s="57" t="s">
        <v>1040</v>
      </c>
      <c r="X4279" s="53"/>
      <c r="Y4279" s="91" t="s">
        <v>68</v>
      </c>
      <c r="Z4279" s="136">
        <f>AD4279/AC4279</f>
        <v>5</v>
      </c>
      <c r="AA4279" s="58"/>
      <c r="AB4279" s="53">
        <f>AD4279/AC4279</f>
        <v>5</v>
      </c>
      <c r="AC4279" s="53">
        <f>M4279+$AE$10</f>
        <v>25.590099999999779</v>
      </c>
      <c r="AD4279" s="54">
        <f>SUM(AD4280)</f>
        <v>127.9504999999989</v>
      </c>
      <c r="AE4279" s="184">
        <f>SUMIFS($AD$37:$AD$12971,$V$37:$V$12971,$V4279,$X$37:$X$12971,AE$13)</f>
        <v>0</v>
      </c>
      <c r="AF4279" s="185">
        <f>SUMIFS($AD$37:$AD$12971,$V$37:$V$12971,$V4279,$X$37:$X$12971,AF$13)</f>
        <v>0</v>
      </c>
      <c r="AG4279" s="185">
        <f>SUMIFS($AD$37:$AD$12971,$V$37:$V$12971,$V4279,$X$37:$X$12971,AG$13)</f>
        <v>0</v>
      </c>
      <c r="AH4279" s="187">
        <f>SUMIFS($AD$37:$AD$12971,$V$37:$V$12971,$V4279,$X$37:$X$12971,AH$13)</f>
        <v>0</v>
      </c>
      <c r="AI4279" s="161">
        <f t="shared" ref="AI4279" si="3127">SUM(AE4279:AH4279)</f>
        <v>0</v>
      </c>
      <c r="AK4279" s="172"/>
    </row>
    <row r="4280" spans="1:41" s="102" customFormat="1" ht="19.899999999999999" customHeight="1" x14ac:dyDescent="0.25">
      <c r="A4280" s="45"/>
      <c r="B4280" s="59"/>
      <c r="C4280" s="137"/>
      <c r="D4280" s="59"/>
      <c r="E4280" s="116"/>
      <c r="F4280" s="120"/>
      <c r="G4280" s="120"/>
      <c r="H4280" s="120"/>
      <c r="I4280" s="60"/>
      <c r="J4280" s="116"/>
      <c r="K4280" s="213"/>
      <c r="L4280" s="120"/>
      <c r="M4280" s="120"/>
      <c r="N4280" s="167"/>
      <c r="O4280" s="120"/>
      <c r="P4280" s="120"/>
      <c r="Q4280" s="120"/>
      <c r="R4280" s="120"/>
      <c r="S4280" s="120"/>
      <c r="T4280" s="221"/>
      <c r="U4280" s="89"/>
      <c r="V4280" s="61"/>
      <c r="W4280" s="92" t="s">
        <v>1039</v>
      </c>
      <c r="X4280" s="93" t="s">
        <v>32</v>
      </c>
      <c r="Y4280" s="93" t="s">
        <v>68</v>
      </c>
      <c r="Z4280" s="134">
        <f>VLOOKUP(W4280,Sheet2!$B:$D,3,FALSE)</f>
        <v>5</v>
      </c>
      <c r="AA4280" s="93">
        <v>1</v>
      </c>
      <c r="AB4280" s="93">
        <f>AD4280/AC4279</f>
        <v>5</v>
      </c>
      <c r="AC4280" s="93">
        <f>AC4279/AA4280</f>
        <v>25.590099999999779</v>
      </c>
      <c r="AD4280" s="94">
        <f t="shared" ref="AD4280" si="3128">AC4280*Z4280</f>
        <v>127.9504999999989</v>
      </c>
      <c r="AE4280" s="190"/>
      <c r="AF4280" s="191"/>
      <c r="AG4280" s="191"/>
      <c r="AH4280" s="191"/>
      <c r="AI4280" s="186"/>
      <c r="AK4280" s="171"/>
    </row>
    <row r="4281" spans="1:41" ht="20.100000000000001" customHeight="1" x14ac:dyDescent="0.25">
      <c r="A4281" s="277" t="s">
        <v>491</v>
      </c>
      <c r="B4281" s="278"/>
      <c r="C4281" s="64" t="s">
        <v>1199</v>
      </c>
      <c r="D4281" s="46" t="s">
        <v>97</v>
      </c>
      <c r="E4281" s="114">
        <v>70.877150000000029</v>
      </c>
      <c r="F4281" s="44">
        <v>1152</v>
      </c>
      <c r="G4281" s="44">
        <f t="shared" si="2434"/>
        <v>81650.476800000033</v>
      </c>
      <c r="H4281" s="44">
        <f t="shared" si="2435"/>
        <v>518.69175686274514</v>
      </c>
      <c r="I4281" s="43">
        <f t="shared" si="2436"/>
        <v>36763.393454924335</v>
      </c>
      <c r="J4281" s="112">
        <f t="shared" si="2437"/>
        <v>70.877150000000029</v>
      </c>
      <c r="K4281" s="211">
        <f t="shared" si="2438"/>
        <v>70.877150000000029</v>
      </c>
      <c r="L4281" s="44"/>
      <c r="M4281" s="44">
        <f t="shared" si="2458"/>
        <v>70.877150000000029</v>
      </c>
      <c r="N4281" s="173">
        <f t="shared" si="2439"/>
        <v>1</v>
      </c>
      <c r="O4281" s="44">
        <f t="shared" si="2440"/>
        <v>1152</v>
      </c>
      <c r="P4281" s="44">
        <f t="shared" si="2441"/>
        <v>81650.476800000033</v>
      </c>
      <c r="Q4281" s="44">
        <f t="shared" si="2442"/>
        <v>518.69175686274514</v>
      </c>
      <c r="R4281" s="44">
        <f t="shared" si="2459"/>
        <v>36763.393454924335</v>
      </c>
      <c r="S4281" s="123"/>
      <c r="T4281" s="219">
        <f t="shared" si="2460"/>
        <v>36763.393454924335</v>
      </c>
      <c r="U4281" s="87"/>
      <c r="V4281" s="47"/>
      <c r="W4281" s="48"/>
      <c r="X4281" s="48"/>
      <c r="Y4281" s="48"/>
      <c r="Z4281" s="135"/>
      <c r="AA4281" s="49"/>
      <c r="AB4281" s="50">
        <f t="shared" si="2443"/>
        <v>518.69175686274514</v>
      </c>
      <c r="AC4281" s="42">
        <f t="shared" si="2461"/>
        <v>70.877150000000029</v>
      </c>
      <c r="AD4281" s="90">
        <f>AD4282+AD4292+AD4298</f>
        <v>36763.393454924328</v>
      </c>
      <c r="AE4281" s="188">
        <f t="shared" ref="AE4281" si="3129">AE4282+AE4292+AE4298</f>
        <v>0</v>
      </c>
      <c r="AF4281" s="189">
        <f t="shared" ref="AF4281" si="3130">AF4282+AF4292+AF4298</f>
        <v>0</v>
      </c>
      <c r="AG4281" s="189">
        <f t="shared" ref="AG4281" si="3131">AG4282+AG4292+AG4298</f>
        <v>0</v>
      </c>
      <c r="AH4281" s="189">
        <f t="shared" ref="AH4281" si="3132">AH4282+AH4292+AH4298</f>
        <v>0</v>
      </c>
      <c r="AI4281" s="161">
        <f t="shared" ref="AI4281" si="3133">SUM(AE4281:AH4281)</f>
        <v>0</v>
      </c>
      <c r="AK4281" s="169">
        <v>5</v>
      </c>
      <c r="AO4281" s="19" t="s">
        <v>63</v>
      </c>
    </row>
    <row r="4282" spans="1:41" s="103" customFormat="1" ht="19.899999999999999" customHeight="1" x14ac:dyDescent="0.25">
      <c r="A4282" s="51"/>
      <c r="B4282" s="52"/>
      <c r="C4282" s="165"/>
      <c r="D4282" s="52"/>
      <c r="E4282" s="115"/>
      <c r="F4282" s="58"/>
      <c r="G4282" s="58"/>
      <c r="H4282" s="58"/>
      <c r="I4282" s="55"/>
      <c r="J4282" s="113">
        <f>J4281</f>
        <v>70.877150000000029</v>
      </c>
      <c r="K4282" s="212">
        <f>K4281</f>
        <v>70.877150000000029</v>
      </c>
      <c r="L4282" s="58"/>
      <c r="M4282" s="58">
        <f>K4282-L4282</f>
        <v>70.877150000000029</v>
      </c>
      <c r="N4282" s="166"/>
      <c r="O4282" s="58"/>
      <c r="P4282" s="58"/>
      <c r="Q4282" s="58"/>
      <c r="R4282" s="58"/>
      <c r="S4282" s="58"/>
      <c r="T4282" s="220"/>
      <c r="U4282" s="88"/>
      <c r="V4282" s="56"/>
      <c r="W4282" s="57" t="s">
        <v>1089</v>
      </c>
      <c r="X4282" s="53"/>
      <c r="Y4282" s="91" t="s">
        <v>68</v>
      </c>
      <c r="Z4282" s="136">
        <f>AD4282/AC4282</f>
        <v>53.108423529411766</v>
      </c>
      <c r="AA4282" s="58"/>
      <c r="AB4282" s="53">
        <f>AD4282/AC4282</f>
        <v>53.108423529411766</v>
      </c>
      <c r="AC4282" s="53">
        <f>M4282+$AE$10</f>
        <v>70.877150000000029</v>
      </c>
      <c r="AD4282" s="54">
        <f>SUM(AD4283:AD4291)</f>
        <v>3764.1737007576485</v>
      </c>
      <c r="AE4282" s="184">
        <f>SUMIFS($AD$37:$AD$12971,$V$37:$V$12971,$V4282,$X$37:$X$12971,AE$13)</f>
        <v>0</v>
      </c>
      <c r="AF4282" s="185">
        <f>SUMIFS($AD$37:$AD$12971,$V$37:$V$12971,$V4282,$X$37:$X$12971,AF$13)</f>
        <v>0</v>
      </c>
      <c r="AG4282" s="185">
        <f>SUMIFS($AD$37:$AD$12971,$V$37:$V$12971,$V4282,$X$37:$X$12971,AG$13)</f>
        <v>0</v>
      </c>
      <c r="AH4282" s="187">
        <f>SUMIFS($AD$37:$AD$12971,$V$37:$V$12971,$V4282,$X$37:$X$12971,AH$13)</f>
        <v>0</v>
      </c>
      <c r="AI4282" s="161">
        <f t="shared" ref="AI4282" si="3134">SUM(AE4282:AH4282)</f>
        <v>0</v>
      </c>
      <c r="AK4282" s="172"/>
    </row>
    <row r="4283" spans="1:41" s="102" customFormat="1" ht="19.899999999999999" customHeight="1" x14ac:dyDescent="0.25">
      <c r="A4283" s="45"/>
      <c r="B4283" s="59"/>
      <c r="C4283" s="137"/>
      <c r="D4283" s="59"/>
      <c r="E4283" s="116"/>
      <c r="F4283" s="120"/>
      <c r="G4283" s="120"/>
      <c r="H4283" s="120"/>
      <c r="I4283" s="60"/>
      <c r="J4283" s="116"/>
      <c r="K4283" s="213"/>
      <c r="L4283" s="120"/>
      <c r="M4283" s="120"/>
      <c r="N4283" s="167"/>
      <c r="O4283" s="120"/>
      <c r="P4283" s="120"/>
      <c r="Q4283" s="120"/>
      <c r="R4283" s="120"/>
      <c r="S4283" s="120"/>
      <c r="T4283" s="221"/>
      <c r="U4283" s="89"/>
      <c r="V4283" s="61"/>
      <c r="W4283" s="92" t="s">
        <v>129</v>
      </c>
      <c r="X4283" s="93" t="s">
        <v>29</v>
      </c>
      <c r="Y4283" s="93" t="s">
        <v>93</v>
      </c>
      <c r="Z4283" s="134">
        <f>VLOOKUP(W4283,Sheet2!$B:$D,3,FALSE)</f>
        <v>56</v>
      </c>
      <c r="AA4283" s="93">
        <f>100/(1.5*2.5)</f>
        <v>26.666666666666668</v>
      </c>
      <c r="AB4283" s="93">
        <f t="shared" ref="AB4283" si="3135">AD4283/AC4282</f>
        <v>2.1</v>
      </c>
      <c r="AC4283" s="93">
        <f>AC4282/AA4283</f>
        <v>2.6578931250000011</v>
      </c>
      <c r="AD4283" s="94">
        <f t="shared" ref="AD4283:AD4284" si="3136">AC4283*Z4283</f>
        <v>148.84201500000006</v>
      </c>
      <c r="AE4283" s="190"/>
      <c r="AF4283" s="191"/>
      <c r="AG4283" s="191"/>
      <c r="AH4283" s="191"/>
      <c r="AI4283" s="186"/>
      <c r="AK4283" s="171"/>
    </row>
    <row r="4284" spans="1:41" s="102" customFormat="1" ht="19.899999999999999" customHeight="1" x14ac:dyDescent="0.25">
      <c r="A4284" s="45"/>
      <c r="B4284" s="59"/>
      <c r="C4284" s="137"/>
      <c r="D4284" s="59"/>
      <c r="E4284" s="116"/>
      <c r="F4284" s="120"/>
      <c r="G4284" s="120"/>
      <c r="H4284" s="120"/>
      <c r="I4284" s="60"/>
      <c r="J4284" s="116"/>
      <c r="K4284" s="213"/>
      <c r="L4284" s="120"/>
      <c r="M4284" s="120"/>
      <c r="N4284" s="167"/>
      <c r="O4284" s="120"/>
      <c r="P4284" s="120"/>
      <c r="Q4284" s="120"/>
      <c r="R4284" s="120"/>
      <c r="S4284" s="120"/>
      <c r="T4284" s="221"/>
      <c r="U4284" s="89"/>
      <c r="V4284" s="61"/>
      <c r="W4284" s="92" t="s">
        <v>65</v>
      </c>
      <c r="X4284" s="93" t="s">
        <v>30</v>
      </c>
      <c r="Y4284" s="93" t="s">
        <v>1011</v>
      </c>
      <c r="Z4284" s="134">
        <f>VLOOKUP(W4284,Sheet2!$B:$D,3,FALSE)</f>
        <v>1.76</v>
      </c>
      <c r="AA4284" s="93">
        <f>AA4283/14</f>
        <v>1.9047619047619049</v>
      </c>
      <c r="AB4284" s="93">
        <f>AD4284/AC4282</f>
        <v>0.92399999999999993</v>
      </c>
      <c r="AC4284" s="93">
        <f>AC4282/AA4284</f>
        <v>37.210503750000015</v>
      </c>
      <c r="AD4284" s="94">
        <f t="shared" si="3136"/>
        <v>65.490486600000025</v>
      </c>
      <c r="AE4284" s="190"/>
      <c r="AF4284" s="191"/>
      <c r="AG4284" s="191"/>
      <c r="AH4284" s="191"/>
      <c r="AI4284" s="186"/>
      <c r="AK4284" s="171"/>
    </row>
    <row r="4285" spans="1:41" s="102" customFormat="1" ht="19.899999999999999" customHeight="1" x14ac:dyDescent="0.25">
      <c r="A4285" s="45"/>
      <c r="B4285" s="59"/>
      <c r="C4285" s="137"/>
      <c r="D4285" s="59"/>
      <c r="E4285" s="116"/>
      <c r="F4285" s="120"/>
      <c r="G4285" s="120"/>
      <c r="H4285" s="120"/>
      <c r="I4285" s="60"/>
      <c r="J4285" s="116"/>
      <c r="K4285" s="213"/>
      <c r="L4285" s="120"/>
      <c r="M4285" s="120"/>
      <c r="N4285" s="167"/>
      <c r="O4285" s="120"/>
      <c r="P4285" s="120"/>
      <c r="Q4285" s="120"/>
      <c r="R4285" s="120"/>
      <c r="S4285" s="120"/>
      <c r="T4285" s="221"/>
      <c r="U4285" s="89"/>
      <c r="V4285" s="61"/>
      <c r="W4285" s="92" t="s">
        <v>161</v>
      </c>
      <c r="X4285" s="93" t="s">
        <v>29</v>
      </c>
      <c r="Y4285" s="93" t="s">
        <v>93</v>
      </c>
      <c r="Z4285" s="134">
        <f>VLOOKUP(W4285,Sheet2!$B:$D,3,FALSE)</f>
        <v>48</v>
      </c>
      <c r="AA4285" s="93">
        <f>(16*0.85*1.5)/(1.5*2.5)</f>
        <v>5.4399999999999995</v>
      </c>
      <c r="AB4285" s="93">
        <f>AD4285/AC4282</f>
        <v>8.8235294117647065</v>
      </c>
      <c r="AC4285" s="93">
        <f>AC4282/AA4285</f>
        <v>13.028887867647065</v>
      </c>
      <c r="AD4285" s="94">
        <f>AC4285*Z4285</f>
        <v>625.3866176470591</v>
      </c>
      <c r="AE4285" s="190"/>
      <c r="AF4285" s="191"/>
      <c r="AG4285" s="191"/>
      <c r="AH4285" s="191"/>
      <c r="AI4285" s="186"/>
      <c r="AK4285" s="171"/>
    </row>
    <row r="4286" spans="1:41" s="102" customFormat="1" ht="19.899999999999999" customHeight="1" x14ac:dyDescent="0.25">
      <c r="A4286" s="45"/>
      <c r="B4286" s="59"/>
      <c r="C4286" s="137"/>
      <c r="D4286" s="59"/>
      <c r="E4286" s="116"/>
      <c r="F4286" s="120"/>
      <c r="G4286" s="120"/>
      <c r="H4286" s="120"/>
      <c r="I4286" s="60"/>
      <c r="J4286" s="116"/>
      <c r="K4286" s="213"/>
      <c r="L4286" s="120"/>
      <c r="M4286" s="120"/>
      <c r="N4286" s="167"/>
      <c r="O4286" s="120"/>
      <c r="P4286" s="120"/>
      <c r="Q4286" s="120"/>
      <c r="R4286" s="120"/>
      <c r="S4286" s="120"/>
      <c r="T4286" s="221"/>
      <c r="U4286" s="89"/>
      <c r="V4286" s="61"/>
      <c r="W4286" s="92" t="s">
        <v>65</v>
      </c>
      <c r="X4286" s="93" t="s">
        <v>30</v>
      </c>
      <c r="Y4286" s="93" t="s">
        <v>1011</v>
      </c>
      <c r="Z4286" s="134">
        <f>VLOOKUP(W4286,Sheet2!$B:$D,3,FALSE)</f>
        <v>1.76</v>
      </c>
      <c r="AA4286" s="93">
        <f>AA4285/10</f>
        <v>0.54399999999999993</v>
      </c>
      <c r="AB4286" s="93">
        <f>AD4286/AC4282</f>
        <v>3.2352941176470593</v>
      </c>
      <c r="AC4286" s="93">
        <f>AC4282/AA4286</f>
        <v>130.28887867647066</v>
      </c>
      <c r="AD4286" s="94">
        <f>AC4286*Z4286</f>
        <v>229.30842647058836</v>
      </c>
      <c r="AE4286" s="190"/>
      <c r="AF4286" s="191"/>
      <c r="AG4286" s="191"/>
      <c r="AH4286" s="191"/>
      <c r="AI4286" s="186"/>
      <c r="AK4286" s="171"/>
    </row>
    <row r="4287" spans="1:41" s="102" customFormat="1" ht="19.899999999999999" customHeight="1" x14ac:dyDescent="0.25">
      <c r="A4287" s="45"/>
      <c r="B4287" s="59"/>
      <c r="C4287" s="137"/>
      <c r="D4287" s="59"/>
      <c r="E4287" s="116"/>
      <c r="F4287" s="120"/>
      <c r="G4287" s="120"/>
      <c r="H4287" s="120"/>
      <c r="I4287" s="60"/>
      <c r="J4287" s="116"/>
      <c r="K4287" s="213"/>
      <c r="L4287" s="120"/>
      <c r="M4287" s="120"/>
      <c r="N4287" s="167"/>
      <c r="O4287" s="120"/>
      <c r="P4287" s="120"/>
      <c r="Q4287" s="120"/>
      <c r="R4287" s="120"/>
      <c r="S4287" s="120"/>
      <c r="T4287" s="221"/>
      <c r="U4287" s="89"/>
      <c r="V4287" s="61"/>
      <c r="W4287" s="92" t="s">
        <v>1030</v>
      </c>
      <c r="X4287" s="93" t="s">
        <v>29</v>
      </c>
      <c r="Y4287" s="93" t="s">
        <v>93</v>
      </c>
      <c r="Z4287" s="134">
        <f>VLOOKUP(W4287,Sheet2!$B:$D,3,FALSE)</f>
        <v>23</v>
      </c>
      <c r="AA4287" s="93">
        <v>50</v>
      </c>
      <c r="AB4287" s="93">
        <f>AD4287/AC4282</f>
        <v>0.46000000000000008</v>
      </c>
      <c r="AC4287" s="93">
        <f>AC4282/AA4287</f>
        <v>1.4175430000000007</v>
      </c>
      <c r="AD4287" s="94">
        <f t="shared" ref="AD4287:AD4291" si="3137">AC4287*Z4287</f>
        <v>32.603489000000017</v>
      </c>
      <c r="AE4287" s="190"/>
      <c r="AF4287" s="191"/>
      <c r="AG4287" s="191"/>
      <c r="AH4287" s="191"/>
      <c r="AI4287" s="186"/>
      <c r="AK4287" s="171"/>
    </row>
    <row r="4288" spans="1:41" s="102" customFormat="1" ht="19.899999999999999" customHeight="1" x14ac:dyDescent="0.25">
      <c r="A4288" s="45"/>
      <c r="B4288" s="59"/>
      <c r="C4288" s="137"/>
      <c r="D4288" s="59"/>
      <c r="E4288" s="116"/>
      <c r="F4288" s="120"/>
      <c r="G4288" s="120"/>
      <c r="H4288" s="120"/>
      <c r="I4288" s="60"/>
      <c r="J4288" s="116"/>
      <c r="K4288" s="213"/>
      <c r="L4288" s="120"/>
      <c r="M4288" s="120"/>
      <c r="N4288" s="167"/>
      <c r="O4288" s="120"/>
      <c r="P4288" s="120"/>
      <c r="Q4288" s="120"/>
      <c r="R4288" s="120"/>
      <c r="S4288" s="120"/>
      <c r="T4288" s="221"/>
      <c r="U4288" s="89"/>
      <c r="V4288" s="61"/>
      <c r="W4288" s="92" t="s">
        <v>65</v>
      </c>
      <c r="X4288" s="93" t="s">
        <v>30</v>
      </c>
      <c r="Y4288" s="93" t="s">
        <v>1011</v>
      </c>
      <c r="Z4288" s="134">
        <f>VLOOKUP(W4288,Sheet2!$B:$D,3,FALSE)</f>
        <v>1.76</v>
      </c>
      <c r="AA4288" s="93">
        <f>AA4287/3</f>
        <v>16.666666666666668</v>
      </c>
      <c r="AB4288" s="93">
        <f>AD4288/AC4282</f>
        <v>0.1056</v>
      </c>
      <c r="AC4288" s="93">
        <f>AC4282/AA4288</f>
        <v>4.2526290000000015</v>
      </c>
      <c r="AD4288" s="94">
        <f t="shared" si="3137"/>
        <v>7.484627040000003</v>
      </c>
      <c r="AE4288" s="190"/>
      <c r="AF4288" s="191"/>
      <c r="AG4288" s="191"/>
      <c r="AH4288" s="191"/>
      <c r="AI4288" s="186"/>
      <c r="AK4288" s="171"/>
    </row>
    <row r="4289" spans="1:41" s="102" customFormat="1" ht="19.899999999999999" customHeight="1" x14ac:dyDescent="0.25">
      <c r="A4289" s="45"/>
      <c r="B4289" s="59"/>
      <c r="C4289" s="137"/>
      <c r="D4289" s="59"/>
      <c r="E4289" s="116"/>
      <c r="F4289" s="120"/>
      <c r="G4289" s="120"/>
      <c r="H4289" s="120"/>
      <c r="I4289" s="60"/>
      <c r="J4289" s="116"/>
      <c r="K4289" s="213"/>
      <c r="L4289" s="120"/>
      <c r="M4289" s="120"/>
      <c r="N4289" s="167"/>
      <c r="O4289" s="120"/>
      <c r="P4289" s="120"/>
      <c r="Q4289" s="120"/>
      <c r="R4289" s="120"/>
      <c r="S4289" s="120"/>
      <c r="T4289" s="221"/>
      <c r="U4289" s="89"/>
      <c r="V4289" s="61"/>
      <c r="W4289" s="92" t="s">
        <v>148</v>
      </c>
      <c r="X4289" s="93" t="s">
        <v>29</v>
      </c>
      <c r="Y4289" s="93" t="s">
        <v>93</v>
      </c>
      <c r="Z4289" s="134">
        <f>VLOOKUP(W4289,Sheet2!$B:$D,3,FALSE)</f>
        <v>48</v>
      </c>
      <c r="AA4289" s="93">
        <f>AA4283</f>
        <v>26.666666666666668</v>
      </c>
      <c r="AB4289" s="93">
        <f>AD4289/AC4282</f>
        <v>1.8</v>
      </c>
      <c r="AC4289" s="93">
        <f>AC4282/AA4289</f>
        <v>2.6578931250000011</v>
      </c>
      <c r="AD4289" s="94">
        <f t="shared" si="3137"/>
        <v>127.57887000000005</v>
      </c>
      <c r="AE4289" s="190"/>
      <c r="AF4289" s="191"/>
      <c r="AG4289" s="191"/>
      <c r="AH4289" s="191"/>
      <c r="AI4289" s="186"/>
      <c r="AK4289" s="171"/>
    </row>
    <row r="4290" spans="1:41" s="102" customFormat="1" ht="19.899999999999999" customHeight="1" x14ac:dyDescent="0.25">
      <c r="A4290" s="45"/>
      <c r="B4290" s="59"/>
      <c r="C4290" s="137"/>
      <c r="D4290" s="59"/>
      <c r="E4290" s="116"/>
      <c r="F4290" s="120"/>
      <c r="G4290" s="120"/>
      <c r="H4290" s="120"/>
      <c r="I4290" s="60"/>
      <c r="J4290" s="116"/>
      <c r="K4290" s="213"/>
      <c r="L4290" s="120"/>
      <c r="M4290" s="120"/>
      <c r="N4290" s="167"/>
      <c r="O4290" s="120"/>
      <c r="P4290" s="120"/>
      <c r="Q4290" s="120"/>
      <c r="R4290" s="120"/>
      <c r="S4290" s="120"/>
      <c r="T4290" s="221"/>
      <c r="U4290" s="89"/>
      <c r="V4290" s="61"/>
      <c r="W4290" s="92" t="s">
        <v>65</v>
      </c>
      <c r="X4290" s="93" t="s">
        <v>30</v>
      </c>
      <c r="Y4290" s="93" t="s">
        <v>1011</v>
      </c>
      <c r="Z4290" s="134">
        <f>VLOOKUP(W4290,Sheet2!$B:$D,3,FALSE)</f>
        <v>1.76</v>
      </c>
      <c r="AA4290" s="93">
        <f>AA4289/10</f>
        <v>2.666666666666667</v>
      </c>
      <c r="AB4290" s="93">
        <f>AD4290/AC4282</f>
        <v>0.65999999999999992</v>
      </c>
      <c r="AC4290" s="93">
        <f>AC4282/AA4290</f>
        <v>26.578931250000007</v>
      </c>
      <c r="AD4290" s="94">
        <f t="shared" si="3137"/>
        <v>46.778919000000016</v>
      </c>
      <c r="AE4290" s="190"/>
      <c r="AF4290" s="191"/>
      <c r="AG4290" s="191"/>
      <c r="AH4290" s="191"/>
      <c r="AI4290" s="186"/>
      <c r="AK4290" s="171"/>
    </row>
    <row r="4291" spans="1:41" s="102" customFormat="1" ht="19.899999999999999" customHeight="1" x14ac:dyDescent="0.25">
      <c r="A4291" s="45"/>
      <c r="B4291" s="59"/>
      <c r="C4291" s="137"/>
      <c r="D4291" s="59"/>
      <c r="E4291" s="116"/>
      <c r="F4291" s="120"/>
      <c r="G4291" s="120"/>
      <c r="H4291" s="120"/>
      <c r="I4291" s="60"/>
      <c r="J4291" s="116"/>
      <c r="K4291" s="213"/>
      <c r="L4291" s="120"/>
      <c r="M4291" s="120"/>
      <c r="N4291" s="167"/>
      <c r="O4291" s="120"/>
      <c r="P4291" s="120"/>
      <c r="Q4291" s="120"/>
      <c r="R4291" s="120"/>
      <c r="S4291" s="120"/>
      <c r="T4291" s="221"/>
      <c r="U4291" s="89"/>
      <c r="V4291" s="61"/>
      <c r="W4291" s="92" t="s">
        <v>1048</v>
      </c>
      <c r="X4291" s="93" t="s">
        <v>30</v>
      </c>
      <c r="Y4291" s="93" t="s">
        <v>68</v>
      </c>
      <c r="Z4291" s="134">
        <f>VLOOKUP(W4291,Sheet2!$B:$D,3,FALSE)</f>
        <v>35</v>
      </c>
      <c r="AA4291" s="93">
        <v>1</v>
      </c>
      <c r="AB4291" s="93">
        <f>AD4291/AC4282</f>
        <v>35</v>
      </c>
      <c r="AC4291" s="93">
        <f>AC4282/AA4291</f>
        <v>70.877150000000029</v>
      </c>
      <c r="AD4291" s="94">
        <f t="shared" si="3137"/>
        <v>2480.7002500000008</v>
      </c>
      <c r="AE4291" s="190"/>
      <c r="AF4291" s="191"/>
      <c r="AG4291" s="191"/>
      <c r="AH4291" s="191"/>
      <c r="AI4291" s="186"/>
      <c r="AK4291" s="171"/>
    </row>
    <row r="4292" spans="1:41" s="103" customFormat="1" ht="19.899999999999999" customHeight="1" x14ac:dyDescent="0.25">
      <c r="A4292" s="51"/>
      <c r="B4292" s="52"/>
      <c r="C4292" s="165"/>
      <c r="D4292" s="52"/>
      <c r="E4292" s="115"/>
      <c r="F4292" s="58"/>
      <c r="G4292" s="58"/>
      <c r="H4292" s="58"/>
      <c r="I4292" s="55"/>
      <c r="J4292" s="113">
        <f>J4281</f>
        <v>70.877150000000029</v>
      </c>
      <c r="K4292" s="212">
        <f>K4281</f>
        <v>70.877150000000029</v>
      </c>
      <c r="L4292" s="58"/>
      <c r="M4292" s="58">
        <f>K4292-L4292</f>
        <v>70.877150000000029</v>
      </c>
      <c r="N4292" s="166"/>
      <c r="O4292" s="58"/>
      <c r="P4292" s="58"/>
      <c r="Q4292" s="58"/>
      <c r="R4292" s="58"/>
      <c r="S4292" s="58"/>
      <c r="T4292" s="220"/>
      <c r="U4292" s="88"/>
      <c r="V4292" s="56"/>
      <c r="W4292" s="57" t="s">
        <v>1036</v>
      </c>
      <c r="X4292" s="53"/>
      <c r="Y4292" s="91" t="s">
        <v>68</v>
      </c>
      <c r="Z4292" s="136">
        <f>AD4292/AC4292</f>
        <v>460.58333333333331</v>
      </c>
      <c r="AA4292" s="58"/>
      <c r="AB4292" s="53">
        <f>AD4292/AC4292</f>
        <v>460.58333333333331</v>
      </c>
      <c r="AC4292" s="53">
        <f>M4292+$AE$10</f>
        <v>70.877150000000029</v>
      </c>
      <c r="AD4292" s="54">
        <f>SUM(AD4293:AD4297)</f>
        <v>32644.834004166678</v>
      </c>
      <c r="AE4292" s="184">
        <f>SUMIFS($AD$37:$AD$12971,$V$37:$V$12971,$V4292,$X$37:$X$12971,AE$13)</f>
        <v>0</v>
      </c>
      <c r="AF4292" s="185">
        <f>SUMIFS($AD$37:$AD$12971,$V$37:$V$12971,$V4292,$X$37:$X$12971,AF$13)</f>
        <v>0</v>
      </c>
      <c r="AG4292" s="185">
        <f>SUMIFS($AD$37:$AD$12971,$V$37:$V$12971,$V4292,$X$37:$X$12971,AG$13)</f>
        <v>0</v>
      </c>
      <c r="AH4292" s="187">
        <f>SUMIFS($AD$37:$AD$12971,$V$37:$V$12971,$V4292,$X$37:$X$12971,AH$13)</f>
        <v>0</v>
      </c>
      <c r="AI4292" s="161">
        <f t="shared" ref="AI4292" si="3138">SUM(AE4292:AH4292)</f>
        <v>0</v>
      </c>
      <c r="AK4292" s="172"/>
    </row>
    <row r="4293" spans="1:41" s="102" customFormat="1" ht="19.899999999999999" customHeight="1" x14ac:dyDescent="0.25">
      <c r="A4293" s="45"/>
      <c r="B4293" s="59"/>
      <c r="C4293" s="137"/>
      <c r="D4293" s="59"/>
      <c r="E4293" s="116"/>
      <c r="F4293" s="120"/>
      <c r="G4293" s="120"/>
      <c r="H4293" s="120"/>
      <c r="I4293" s="60"/>
      <c r="J4293" s="116"/>
      <c r="K4293" s="213"/>
      <c r="L4293" s="120"/>
      <c r="M4293" s="120"/>
      <c r="N4293" s="167"/>
      <c r="O4293" s="120"/>
      <c r="P4293" s="120"/>
      <c r="Q4293" s="120"/>
      <c r="R4293" s="120"/>
      <c r="S4293" s="120"/>
      <c r="T4293" s="221"/>
      <c r="U4293" s="89"/>
      <c r="V4293" s="61"/>
      <c r="W4293" s="92" t="s">
        <v>1255</v>
      </c>
      <c r="X4293" s="93" t="s">
        <v>30</v>
      </c>
      <c r="Y4293" s="93" t="s">
        <v>68</v>
      </c>
      <c r="Z4293" s="134">
        <f>VLOOKUP(W4293,Sheet2!$B:$D,3,FALSE)</f>
        <v>345</v>
      </c>
      <c r="AA4293" s="93">
        <v>1</v>
      </c>
      <c r="AB4293" s="93">
        <f>AD4293/AC4292</f>
        <v>345</v>
      </c>
      <c r="AC4293" s="93">
        <f>AC4292/AA4293</f>
        <v>70.877150000000029</v>
      </c>
      <c r="AD4293" s="94">
        <f t="shared" ref="AD4293" si="3139">AC4293*Z4293</f>
        <v>24452.616750000008</v>
      </c>
      <c r="AE4293" s="190"/>
      <c r="AF4293" s="191"/>
      <c r="AG4293" s="191"/>
      <c r="AH4293" s="191"/>
      <c r="AI4293" s="186"/>
      <c r="AK4293" s="171"/>
    </row>
    <row r="4294" spans="1:41" s="102" customFormat="1" ht="19.899999999999999" customHeight="1" x14ac:dyDescent="0.25">
      <c r="A4294" s="45"/>
      <c r="B4294" s="59"/>
      <c r="C4294" s="137"/>
      <c r="D4294" s="59"/>
      <c r="E4294" s="116"/>
      <c r="F4294" s="120"/>
      <c r="G4294" s="120"/>
      <c r="H4294" s="120"/>
      <c r="I4294" s="60"/>
      <c r="J4294" s="116"/>
      <c r="K4294" s="213"/>
      <c r="L4294" s="120"/>
      <c r="M4294" s="120"/>
      <c r="N4294" s="167"/>
      <c r="O4294" s="120"/>
      <c r="P4294" s="120"/>
      <c r="Q4294" s="120"/>
      <c r="R4294" s="120"/>
      <c r="S4294" s="120"/>
      <c r="T4294" s="221"/>
      <c r="U4294" s="89"/>
      <c r="V4294" s="61"/>
      <c r="W4294" s="92" t="s">
        <v>1256</v>
      </c>
      <c r="X4294" s="93" t="s">
        <v>32</v>
      </c>
      <c r="Y4294" s="93" t="s">
        <v>68</v>
      </c>
      <c r="Z4294" s="134">
        <f>VLOOKUP(W4294,Sheet2!$B:$D,3,FALSE)</f>
        <v>55</v>
      </c>
      <c r="AA4294" s="93">
        <v>1</v>
      </c>
      <c r="AB4294" s="93">
        <f>AD4294/AC4292</f>
        <v>55</v>
      </c>
      <c r="AC4294" s="93">
        <f>AC4292/AA4294</f>
        <v>70.877150000000029</v>
      </c>
      <c r="AD4294" s="94">
        <f>AC4294*Z4294</f>
        <v>3898.2432500000014</v>
      </c>
      <c r="AE4294" s="190"/>
      <c r="AF4294" s="191"/>
      <c r="AG4294" s="191"/>
      <c r="AH4294" s="191"/>
      <c r="AI4294" s="186"/>
      <c r="AK4294" s="171"/>
    </row>
    <row r="4295" spans="1:41" s="102" customFormat="1" ht="19.899999999999999" customHeight="1" x14ac:dyDescent="0.25">
      <c r="A4295" s="45"/>
      <c r="B4295" s="59"/>
      <c r="C4295" s="137"/>
      <c r="D4295" s="59"/>
      <c r="E4295" s="116"/>
      <c r="F4295" s="120"/>
      <c r="G4295" s="120"/>
      <c r="H4295" s="120"/>
      <c r="I4295" s="60"/>
      <c r="J4295" s="116"/>
      <c r="K4295" s="213"/>
      <c r="L4295" s="120"/>
      <c r="M4295" s="120"/>
      <c r="N4295" s="167"/>
      <c r="O4295" s="120"/>
      <c r="P4295" s="120"/>
      <c r="Q4295" s="120"/>
      <c r="R4295" s="120"/>
      <c r="S4295" s="120"/>
      <c r="T4295" s="221"/>
      <c r="U4295" s="89"/>
      <c r="V4295" s="61"/>
      <c r="W4295" s="92" t="s">
        <v>1032</v>
      </c>
      <c r="X4295" s="93" t="s">
        <v>30</v>
      </c>
      <c r="Y4295" s="93" t="s">
        <v>66</v>
      </c>
      <c r="Z4295" s="134">
        <f>VLOOKUP(W4295,Sheet2!$B:$D,3,FALSE)</f>
        <v>250</v>
      </c>
      <c r="AA4295" s="93">
        <f>1/(1.5*0.1)</f>
        <v>6.6666666666666661</v>
      </c>
      <c r="AB4295" s="93">
        <f>AD4295/AC4292</f>
        <v>37.500000000000007</v>
      </c>
      <c r="AC4295" s="93">
        <f>AC4292/AA4295</f>
        <v>10.631572500000006</v>
      </c>
      <c r="AD4295" s="94">
        <f>AC4295*Z4295</f>
        <v>2657.8931250000014</v>
      </c>
      <c r="AE4295" s="190"/>
      <c r="AF4295" s="191"/>
      <c r="AG4295" s="191"/>
      <c r="AH4295" s="191"/>
      <c r="AI4295" s="186"/>
      <c r="AK4295" s="171"/>
    </row>
    <row r="4296" spans="1:41" s="102" customFormat="1" ht="19.899999999999999" customHeight="1" x14ac:dyDescent="0.25">
      <c r="A4296" s="45"/>
      <c r="B4296" s="59"/>
      <c r="C4296" s="137"/>
      <c r="D4296" s="59"/>
      <c r="E4296" s="116"/>
      <c r="F4296" s="120"/>
      <c r="G4296" s="120"/>
      <c r="H4296" s="120"/>
      <c r="I4296" s="60"/>
      <c r="J4296" s="116"/>
      <c r="K4296" s="213"/>
      <c r="L4296" s="120"/>
      <c r="M4296" s="120"/>
      <c r="N4296" s="167"/>
      <c r="O4296" s="120"/>
      <c r="P4296" s="120"/>
      <c r="Q4296" s="120"/>
      <c r="R4296" s="120"/>
      <c r="S4296" s="120"/>
      <c r="T4296" s="221"/>
      <c r="U4296" s="89"/>
      <c r="V4296" s="61"/>
      <c r="W4296" s="92" t="s">
        <v>1035</v>
      </c>
      <c r="X4296" s="93" t="s">
        <v>32</v>
      </c>
      <c r="Y4296" s="93" t="s">
        <v>66</v>
      </c>
      <c r="Z4296" s="134">
        <f>VLOOKUP(W4296,Sheet2!$B:$D,3,FALSE)</f>
        <v>150</v>
      </c>
      <c r="AA4296" s="93">
        <f>AA4295</f>
        <v>6.6666666666666661</v>
      </c>
      <c r="AB4296" s="93">
        <f>AD4296/AC4292</f>
        <v>22.500000000000004</v>
      </c>
      <c r="AC4296" s="93">
        <f>AC4292/AA4296</f>
        <v>10.631572500000006</v>
      </c>
      <c r="AD4296" s="94">
        <f t="shared" ref="AD4296:AD4297" si="3140">AC4296*Z4296</f>
        <v>1594.735875000001</v>
      </c>
      <c r="AE4296" s="190"/>
      <c r="AF4296" s="191"/>
      <c r="AG4296" s="191"/>
      <c r="AH4296" s="191"/>
      <c r="AI4296" s="186"/>
      <c r="AK4296" s="171"/>
    </row>
    <row r="4297" spans="1:41" s="102" customFormat="1" ht="19.899999999999999" customHeight="1" x14ac:dyDescent="0.25">
      <c r="A4297" s="45"/>
      <c r="B4297" s="59"/>
      <c r="C4297" s="137"/>
      <c r="D4297" s="59"/>
      <c r="E4297" s="116"/>
      <c r="F4297" s="120"/>
      <c r="G4297" s="120"/>
      <c r="H4297" s="120"/>
      <c r="I4297" s="60"/>
      <c r="J4297" s="116"/>
      <c r="K4297" s="213"/>
      <c r="L4297" s="120"/>
      <c r="M4297" s="120"/>
      <c r="N4297" s="167"/>
      <c r="O4297" s="120"/>
      <c r="P4297" s="120"/>
      <c r="Q4297" s="120"/>
      <c r="R4297" s="120"/>
      <c r="S4297" s="120"/>
      <c r="T4297" s="221"/>
      <c r="U4297" s="89"/>
      <c r="V4297" s="61"/>
      <c r="W4297" s="92" t="s">
        <v>1037</v>
      </c>
      <c r="X4297" s="93" t="s">
        <v>30</v>
      </c>
      <c r="Y4297" s="93" t="s">
        <v>1038</v>
      </c>
      <c r="Z4297" s="134">
        <f>VLOOKUP(W4297,Sheet2!$B:$D,3,FALSE)</f>
        <v>175</v>
      </c>
      <c r="AA4297" s="93">
        <v>300</v>
      </c>
      <c r="AB4297" s="93">
        <f>AD4297/AC4292</f>
        <v>0.58333333333333337</v>
      </c>
      <c r="AC4297" s="93">
        <f>AC4292/AA4297</f>
        <v>0.23625716666666677</v>
      </c>
      <c r="AD4297" s="94">
        <f t="shared" si="3140"/>
        <v>41.345004166666683</v>
      </c>
      <c r="AE4297" s="190"/>
      <c r="AF4297" s="191"/>
      <c r="AG4297" s="191"/>
      <c r="AH4297" s="191"/>
      <c r="AI4297" s="186"/>
      <c r="AK4297" s="171"/>
    </row>
    <row r="4298" spans="1:41" s="103" customFormat="1" ht="19.899999999999999" customHeight="1" x14ac:dyDescent="0.25">
      <c r="A4298" s="51"/>
      <c r="B4298" s="52"/>
      <c r="C4298" s="165"/>
      <c r="D4298" s="52"/>
      <c r="E4298" s="115"/>
      <c r="F4298" s="58"/>
      <c r="G4298" s="58"/>
      <c r="H4298" s="58"/>
      <c r="I4298" s="55"/>
      <c r="J4298" s="113">
        <f>J4281</f>
        <v>70.877150000000029</v>
      </c>
      <c r="K4298" s="212">
        <f>K4281</f>
        <v>70.877150000000029</v>
      </c>
      <c r="L4298" s="58"/>
      <c r="M4298" s="58">
        <f>K4298-L4298</f>
        <v>70.877150000000029</v>
      </c>
      <c r="N4298" s="166"/>
      <c r="O4298" s="58"/>
      <c r="P4298" s="58"/>
      <c r="Q4298" s="58"/>
      <c r="R4298" s="58"/>
      <c r="S4298" s="58"/>
      <c r="T4298" s="220"/>
      <c r="U4298" s="88"/>
      <c r="V4298" s="56"/>
      <c r="W4298" s="57" t="s">
        <v>1040</v>
      </c>
      <c r="X4298" s="53"/>
      <c r="Y4298" s="91" t="s">
        <v>68</v>
      </c>
      <c r="Z4298" s="136">
        <f>AD4298/AC4298</f>
        <v>5</v>
      </c>
      <c r="AA4298" s="58"/>
      <c r="AB4298" s="53">
        <f>AD4298/AC4298</f>
        <v>5</v>
      </c>
      <c r="AC4298" s="53">
        <f>M4298+$AE$10</f>
        <v>70.877150000000029</v>
      </c>
      <c r="AD4298" s="54">
        <f>SUM(AD4299)</f>
        <v>354.38575000000014</v>
      </c>
      <c r="AE4298" s="184">
        <f>SUMIFS($AD$37:$AD$12971,$V$37:$V$12971,$V4298,$X$37:$X$12971,AE$13)</f>
        <v>0</v>
      </c>
      <c r="AF4298" s="185">
        <f>SUMIFS($AD$37:$AD$12971,$V$37:$V$12971,$V4298,$X$37:$X$12971,AF$13)</f>
        <v>0</v>
      </c>
      <c r="AG4298" s="185">
        <f>SUMIFS($AD$37:$AD$12971,$V$37:$V$12971,$V4298,$X$37:$X$12971,AG$13)</f>
        <v>0</v>
      </c>
      <c r="AH4298" s="187">
        <f>SUMIFS($AD$37:$AD$12971,$V$37:$V$12971,$V4298,$X$37:$X$12971,AH$13)</f>
        <v>0</v>
      </c>
      <c r="AI4298" s="161">
        <f t="shared" ref="AI4298" si="3141">SUM(AE4298:AH4298)</f>
        <v>0</v>
      </c>
      <c r="AK4298" s="172"/>
    </row>
    <row r="4299" spans="1:41" s="102" customFormat="1" ht="19.899999999999999" customHeight="1" x14ac:dyDescent="0.25">
      <c r="A4299" s="45"/>
      <c r="B4299" s="59"/>
      <c r="C4299" s="137"/>
      <c r="D4299" s="59"/>
      <c r="E4299" s="116"/>
      <c r="F4299" s="120"/>
      <c r="G4299" s="120"/>
      <c r="H4299" s="120"/>
      <c r="I4299" s="60"/>
      <c r="J4299" s="116"/>
      <c r="K4299" s="213"/>
      <c r="L4299" s="120"/>
      <c r="M4299" s="120"/>
      <c r="N4299" s="167"/>
      <c r="O4299" s="120"/>
      <c r="P4299" s="120"/>
      <c r="Q4299" s="120"/>
      <c r="R4299" s="120"/>
      <c r="S4299" s="120"/>
      <c r="T4299" s="221"/>
      <c r="U4299" s="89"/>
      <c r="V4299" s="61"/>
      <c r="W4299" s="92" t="s">
        <v>1039</v>
      </c>
      <c r="X4299" s="93" t="s">
        <v>32</v>
      </c>
      <c r="Y4299" s="93" t="s">
        <v>68</v>
      </c>
      <c r="Z4299" s="134">
        <f>VLOOKUP(W4299,Sheet2!$B:$D,3,FALSE)</f>
        <v>5</v>
      </c>
      <c r="AA4299" s="93">
        <v>1</v>
      </c>
      <c r="AB4299" s="93">
        <f>AD4299/AC4298</f>
        <v>5</v>
      </c>
      <c r="AC4299" s="93">
        <f>AC4298/AA4299</f>
        <v>70.877150000000029</v>
      </c>
      <c r="AD4299" s="94">
        <f t="shared" ref="AD4299" si="3142">AC4299*Z4299</f>
        <v>354.38575000000014</v>
      </c>
      <c r="AE4299" s="190"/>
      <c r="AF4299" s="191"/>
      <c r="AG4299" s="191"/>
      <c r="AH4299" s="191"/>
      <c r="AI4299" s="186"/>
      <c r="AK4299" s="171"/>
    </row>
    <row r="4300" spans="1:41" ht="20.100000000000001" customHeight="1" x14ac:dyDescent="0.25">
      <c r="A4300" s="277" t="s">
        <v>491</v>
      </c>
      <c r="B4300" s="278"/>
      <c r="C4300" s="64" t="s">
        <v>1200</v>
      </c>
      <c r="D4300" s="46" t="s">
        <v>97</v>
      </c>
      <c r="E4300" s="114">
        <v>25.37321</v>
      </c>
      <c r="F4300" s="44">
        <v>1282</v>
      </c>
      <c r="G4300" s="44">
        <f t="shared" si="2434"/>
        <v>32528.45522</v>
      </c>
      <c r="H4300" s="44">
        <f t="shared" si="2435"/>
        <v>547.2003215686276</v>
      </c>
      <c r="I4300" s="43">
        <f t="shared" si="2436"/>
        <v>13884.228671228318</v>
      </c>
      <c r="J4300" s="112">
        <f t="shared" si="2437"/>
        <v>25.37321</v>
      </c>
      <c r="K4300" s="211">
        <f t="shared" si="2438"/>
        <v>25.37321</v>
      </c>
      <c r="L4300" s="44"/>
      <c r="M4300" s="44">
        <f t="shared" si="2458"/>
        <v>25.37321</v>
      </c>
      <c r="N4300" s="173">
        <f t="shared" si="2439"/>
        <v>1</v>
      </c>
      <c r="O4300" s="44">
        <f t="shared" si="2440"/>
        <v>1282</v>
      </c>
      <c r="P4300" s="44">
        <f t="shared" si="2441"/>
        <v>32528.45522</v>
      </c>
      <c r="Q4300" s="44">
        <f t="shared" si="2442"/>
        <v>547.2003215686276</v>
      </c>
      <c r="R4300" s="44">
        <f t="shared" si="2459"/>
        <v>13884.228671228318</v>
      </c>
      <c r="S4300" s="123"/>
      <c r="T4300" s="219">
        <f t="shared" si="2460"/>
        <v>13884.228671228318</v>
      </c>
      <c r="U4300" s="87"/>
      <c r="V4300" s="47"/>
      <c r="W4300" s="48"/>
      <c r="X4300" s="48"/>
      <c r="Y4300" s="48"/>
      <c r="Z4300" s="135"/>
      <c r="AA4300" s="49"/>
      <c r="AB4300" s="50">
        <f t="shared" si="2443"/>
        <v>547.2003215686276</v>
      </c>
      <c r="AC4300" s="42">
        <f t="shared" si="2461"/>
        <v>25.37321</v>
      </c>
      <c r="AD4300" s="90">
        <f>AD4301+AD4311+AD4317</f>
        <v>13884.228671228317</v>
      </c>
      <c r="AE4300" s="188">
        <f t="shared" ref="AE4300:AH4300" si="3143">AE4301+AE4311+AE4317</f>
        <v>0</v>
      </c>
      <c r="AF4300" s="189">
        <f t="shared" si="3143"/>
        <v>0</v>
      </c>
      <c r="AG4300" s="189">
        <f t="shared" si="3143"/>
        <v>0</v>
      </c>
      <c r="AH4300" s="189">
        <f t="shared" si="3143"/>
        <v>0</v>
      </c>
      <c r="AI4300" s="161">
        <f t="shared" ref="AI4300" si="3144">SUM(AE4300:AH4300)</f>
        <v>0</v>
      </c>
      <c r="AK4300" s="169">
        <v>5</v>
      </c>
      <c r="AO4300" s="19" t="s">
        <v>63</v>
      </c>
    </row>
    <row r="4301" spans="1:41" s="103" customFormat="1" ht="19.899999999999999" customHeight="1" x14ac:dyDescent="0.25">
      <c r="A4301" s="51"/>
      <c r="B4301" s="52"/>
      <c r="C4301" s="165"/>
      <c r="D4301" s="52"/>
      <c r="E4301" s="115"/>
      <c r="F4301" s="58"/>
      <c r="G4301" s="58"/>
      <c r="H4301" s="58"/>
      <c r="I4301" s="55"/>
      <c r="J4301" s="113">
        <f>J4300</f>
        <v>25.37321</v>
      </c>
      <c r="K4301" s="212">
        <f>K4300</f>
        <v>25.37321</v>
      </c>
      <c r="L4301" s="58"/>
      <c r="M4301" s="58">
        <f>K4301-L4301</f>
        <v>25.37321</v>
      </c>
      <c r="N4301" s="166"/>
      <c r="O4301" s="58"/>
      <c r="P4301" s="58"/>
      <c r="Q4301" s="58"/>
      <c r="R4301" s="58"/>
      <c r="S4301" s="58"/>
      <c r="T4301" s="220"/>
      <c r="U4301" s="88"/>
      <c r="V4301" s="56"/>
      <c r="W4301" s="57" t="s">
        <v>1086</v>
      </c>
      <c r="X4301" s="53"/>
      <c r="Y4301" s="91" t="s">
        <v>68</v>
      </c>
      <c r="Z4301" s="136">
        <f>AD4301/AC4301</f>
        <v>81.616988235294116</v>
      </c>
      <c r="AA4301" s="58"/>
      <c r="AB4301" s="53">
        <f>AD4301/AC4301</f>
        <v>81.616988235294116</v>
      </c>
      <c r="AC4301" s="53">
        <f>M4301+$AE$10</f>
        <v>25.37321</v>
      </c>
      <c r="AD4301" s="54">
        <f>SUM(AD4302:AD4310)</f>
        <v>2070.884982061647</v>
      </c>
      <c r="AE4301" s="184">
        <f>SUMIFS($AD$37:$AD$12971,$V$37:$V$12971,$V4301,$X$37:$X$12971,AE$13)</f>
        <v>0</v>
      </c>
      <c r="AF4301" s="185">
        <f>SUMIFS($AD$37:$AD$12971,$V$37:$V$12971,$V4301,$X$37:$X$12971,AF$13)</f>
        <v>0</v>
      </c>
      <c r="AG4301" s="185">
        <f>SUMIFS($AD$37:$AD$12971,$V$37:$V$12971,$V4301,$X$37:$X$12971,AG$13)</f>
        <v>0</v>
      </c>
      <c r="AH4301" s="187">
        <f>SUMIFS($AD$37:$AD$12971,$V$37:$V$12971,$V4301,$X$37:$X$12971,AH$13)</f>
        <v>0</v>
      </c>
      <c r="AI4301" s="161">
        <f t="shared" ref="AI4301" si="3145">SUM(AE4301:AH4301)</f>
        <v>0</v>
      </c>
      <c r="AK4301" s="172"/>
    </row>
    <row r="4302" spans="1:41" s="102" customFormat="1" ht="19.899999999999999" customHeight="1" x14ac:dyDescent="0.25">
      <c r="A4302" s="45"/>
      <c r="B4302" s="59"/>
      <c r="C4302" s="137"/>
      <c r="D4302" s="59"/>
      <c r="E4302" s="116"/>
      <c r="F4302" s="120"/>
      <c r="G4302" s="120"/>
      <c r="H4302" s="120"/>
      <c r="I4302" s="60"/>
      <c r="J4302" s="116"/>
      <c r="K4302" s="213"/>
      <c r="L4302" s="120"/>
      <c r="M4302" s="120"/>
      <c r="N4302" s="167"/>
      <c r="O4302" s="120"/>
      <c r="P4302" s="120"/>
      <c r="Q4302" s="120"/>
      <c r="R4302" s="120"/>
      <c r="S4302" s="120"/>
      <c r="T4302" s="221"/>
      <c r="U4302" s="89"/>
      <c r="V4302" s="61"/>
      <c r="W4302" s="92" t="s">
        <v>129</v>
      </c>
      <c r="X4302" s="93" t="s">
        <v>29</v>
      </c>
      <c r="Y4302" s="93" t="s">
        <v>93</v>
      </c>
      <c r="Z4302" s="134">
        <f>VLOOKUP(W4302,Sheet2!$B:$D,3,FALSE)</f>
        <v>56</v>
      </c>
      <c r="AA4302" s="93">
        <f>100/(1.5*3)</f>
        <v>22.222222222222221</v>
      </c>
      <c r="AB4302" s="93">
        <f t="shared" ref="AB4302" si="3146">AD4302/AC4301</f>
        <v>2.5200000000000005</v>
      </c>
      <c r="AC4302" s="93">
        <f>AC4301/AA4302</f>
        <v>1.1417944500000001</v>
      </c>
      <c r="AD4302" s="94">
        <f t="shared" ref="AD4302:AD4303" si="3147">AC4302*Z4302</f>
        <v>63.940489200000009</v>
      </c>
      <c r="AE4302" s="190"/>
      <c r="AF4302" s="191"/>
      <c r="AG4302" s="191"/>
      <c r="AH4302" s="191"/>
      <c r="AI4302" s="186"/>
      <c r="AK4302" s="171"/>
    </row>
    <row r="4303" spans="1:41" s="102" customFormat="1" ht="19.899999999999999" customHeight="1" x14ac:dyDescent="0.25">
      <c r="A4303" s="45"/>
      <c r="B4303" s="59"/>
      <c r="C4303" s="137"/>
      <c r="D4303" s="59"/>
      <c r="E4303" s="116"/>
      <c r="F4303" s="120"/>
      <c r="G4303" s="120"/>
      <c r="H4303" s="120"/>
      <c r="I4303" s="60"/>
      <c r="J4303" s="116"/>
      <c r="K4303" s="213"/>
      <c r="L4303" s="120"/>
      <c r="M4303" s="120"/>
      <c r="N4303" s="167"/>
      <c r="O4303" s="120"/>
      <c r="P4303" s="120"/>
      <c r="Q4303" s="120"/>
      <c r="R4303" s="120"/>
      <c r="S4303" s="120"/>
      <c r="T4303" s="221"/>
      <c r="U4303" s="89"/>
      <c r="V4303" s="61"/>
      <c r="W4303" s="92" t="s">
        <v>65</v>
      </c>
      <c r="X4303" s="93" t="s">
        <v>30</v>
      </c>
      <c r="Y4303" s="93" t="s">
        <v>1011</v>
      </c>
      <c r="Z4303" s="134">
        <f>VLOOKUP(W4303,Sheet2!$B:$D,3,FALSE)</f>
        <v>1.76</v>
      </c>
      <c r="AA4303" s="93">
        <f>AA4302/14</f>
        <v>1.5873015873015872</v>
      </c>
      <c r="AB4303" s="93">
        <f>AD4303/AC4301</f>
        <v>1.1088</v>
      </c>
      <c r="AC4303" s="93">
        <f>AC4301/AA4303</f>
        <v>15.9851223</v>
      </c>
      <c r="AD4303" s="94">
        <f t="shared" si="3147"/>
        <v>28.133815248000001</v>
      </c>
      <c r="AE4303" s="190"/>
      <c r="AF4303" s="191"/>
      <c r="AG4303" s="191"/>
      <c r="AH4303" s="191"/>
      <c r="AI4303" s="186"/>
      <c r="AK4303" s="171"/>
    </row>
    <row r="4304" spans="1:41" s="102" customFormat="1" ht="19.899999999999999" customHeight="1" x14ac:dyDescent="0.25">
      <c r="A4304" s="45"/>
      <c r="B4304" s="59"/>
      <c r="C4304" s="137"/>
      <c r="D4304" s="59"/>
      <c r="E4304" s="116"/>
      <c r="F4304" s="120"/>
      <c r="G4304" s="120"/>
      <c r="H4304" s="120"/>
      <c r="I4304" s="60"/>
      <c r="J4304" s="116"/>
      <c r="K4304" s="213"/>
      <c r="L4304" s="120"/>
      <c r="M4304" s="120"/>
      <c r="N4304" s="167"/>
      <c r="O4304" s="120"/>
      <c r="P4304" s="120"/>
      <c r="Q4304" s="120"/>
      <c r="R4304" s="120"/>
      <c r="S4304" s="120"/>
      <c r="T4304" s="221"/>
      <c r="U4304" s="89"/>
      <c r="V4304" s="61"/>
      <c r="W4304" s="92" t="s">
        <v>161</v>
      </c>
      <c r="X4304" s="93" t="s">
        <v>29</v>
      </c>
      <c r="Y4304" s="93" t="s">
        <v>93</v>
      </c>
      <c r="Z4304" s="134">
        <f>VLOOKUP(W4304,Sheet2!$B:$D,3,FALSE)</f>
        <v>48</v>
      </c>
      <c r="AA4304" s="93">
        <f>(16*0.85*1.5)/(1.5*3)</f>
        <v>4.5333333333333332</v>
      </c>
      <c r="AB4304" s="93">
        <f>AD4304/AC4301</f>
        <v>10.588235294117649</v>
      </c>
      <c r="AC4304" s="93">
        <f>AC4301/AA4304</f>
        <v>5.5970316176470591</v>
      </c>
      <c r="AD4304" s="94">
        <f>AC4304*Z4304</f>
        <v>268.65751764705885</v>
      </c>
      <c r="AE4304" s="190"/>
      <c r="AF4304" s="191"/>
      <c r="AG4304" s="191"/>
      <c r="AH4304" s="191"/>
      <c r="AI4304" s="186"/>
      <c r="AK4304" s="171"/>
    </row>
    <row r="4305" spans="1:41" s="102" customFormat="1" ht="19.899999999999999" customHeight="1" x14ac:dyDescent="0.25">
      <c r="A4305" s="45"/>
      <c r="B4305" s="59"/>
      <c r="C4305" s="137"/>
      <c r="D4305" s="59"/>
      <c r="E4305" s="116"/>
      <c r="F4305" s="120"/>
      <c r="G4305" s="120"/>
      <c r="H4305" s="120"/>
      <c r="I4305" s="60"/>
      <c r="J4305" s="116"/>
      <c r="K4305" s="213"/>
      <c r="L4305" s="120"/>
      <c r="M4305" s="120"/>
      <c r="N4305" s="167"/>
      <c r="O4305" s="120"/>
      <c r="P4305" s="120"/>
      <c r="Q4305" s="120"/>
      <c r="R4305" s="120"/>
      <c r="S4305" s="120"/>
      <c r="T4305" s="221"/>
      <c r="U4305" s="89"/>
      <c r="V4305" s="61"/>
      <c r="W4305" s="92" t="s">
        <v>65</v>
      </c>
      <c r="X4305" s="93" t="s">
        <v>30</v>
      </c>
      <c r="Y4305" s="93" t="s">
        <v>1011</v>
      </c>
      <c r="Z4305" s="134">
        <f>VLOOKUP(W4305,Sheet2!$B:$D,3,FALSE)</f>
        <v>1.76</v>
      </c>
      <c r="AA4305" s="93">
        <f>AA4304/10</f>
        <v>0.45333333333333331</v>
      </c>
      <c r="AB4305" s="93">
        <f>AD4305/AC4301</f>
        <v>3.8823529411764706</v>
      </c>
      <c r="AC4305" s="93">
        <f>AC4301/AA4305</f>
        <v>55.97031617647059</v>
      </c>
      <c r="AD4305" s="94">
        <f>AC4305*Z4305</f>
        <v>98.507756470588234</v>
      </c>
      <c r="AE4305" s="190"/>
      <c r="AF4305" s="191"/>
      <c r="AG4305" s="191"/>
      <c r="AH4305" s="191"/>
      <c r="AI4305" s="186"/>
      <c r="AK4305" s="171"/>
    </row>
    <row r="4306" spans="1:41" s="102" customFormat="1" ht="19.899999999999999" customHeight="1" x14ac:dyDescent="0.25">
      <c r="A4306" s="45"/>
      <c r="B4306" s="59"/>
      <c r="C4306" s="137"/>
      <c r="D4306" s="59"/>
      <c r="E4306" s="116"/>
      <c r="F4306" s="120"/>
      <c r="G4306" s="120"/>
      <c r="H4306" s="120"/>
      <c r="I4306" s="60"/>
      <c r="J4306" s="116"/>
      <c r="K4306" s="213"/>
      <c r="L4306" s="120"/>
      <c r="M4306" s="120"/>
      <c r="N4306" s="167"/>
      <c r="O4306" s="120"/>
      <c r="P4306" s="120"/>
      <c r="Q4306" s="120"/>
      <c r="R4306" s="120"/>
      <c r="S4306" s="120"/>
      <c r="T4306" s="221"/>
      <c r="U4306" s="89"/>
      <c r="V4306" s="61"/>
      <c r="W4306" s="92" t="s">
        <v>1030</v>
      </c>
      <c r="X4306" s="93" t="s">
        <v>29</v>
      </c>
      <c r="Y4306" s="93" t="s">
        <v>93</v>
      </c>
      <c r="Z4306" s="134">
        <f>VLOOKUP(W4306,Sheet2!$B:$D,3,FALSE)</f>
        <v>23</v>
      </c>
      <c r="AA4306" s="93">
        <v>50</v>
      </c>
      <c r="AB4306" s="93">
        <f>AD4306/AC4301</f>
        <v>0.46000000000000008</v>
      </c>
      <c r="AC4306" s="93">
        <f>AC4301/AA4306</f>
        <v>0.50746420000000003</v>
      </c>
      <c r="AD4306" s="94">
        <f t="shared" ref="AD4306:AD4310" si="3148">AC4306*Z4306</f>
        <v>11.671676600000001</v>
      </c>
      <c r="AE4306" s="190"/>
      <c r="AF4306" s="191"/>
      <c r="AG4306" s="191"/>
      <c r="AH4306" s="191"/>
      <c r="AI4306" s="186"/>
      <c r="AK4306" s="171"/>
    </row>
    <row r="4307" spans="1:41" s="102" customFormat="1" ht="19.899999999999999" customHeight="1" x14ac:dyDescent="0.25">
      <c r="A4307" s="45"/>
      <c r="B4307" s="59"/>
      <c r="C4307" s="137"/>
      <c r="D4307" s="59"/>
      <c r="E4307" s="116"/>
      <c r="F4307" s="120"/>
      <c r="G4307" s="120"/>
      <c r="H4307" s="120"/>
      <c r="I4307" s="60"/>
      <c r="J4307" s="116"/>
      <c r="K4307" s="213"/>
      <c r="L4307" s="120"/>
      <c r="M4307" s="120"/>
      <c r="N4307" s="167"/>
      <c r="O4307" s="120"/>
      <c r="P4307" s="120"/>
      <c r="Q4307" s="120"/>
      <c r="R4307" s="120"/>
      <c r="S4307" s="120"/>
      <c r="T4307" s="221"/>
      <c r="U4307" s="89"/>
      <c r="V4307" s="61"/>
      <c r="W4307" s="92" t="s">
        <v>65</v>
      </c>
      <c r="X4307" s="93" t="s">
        <v>30</v>
      </c>
      <c r="Y4307" s="93" t="s">
        <v>1011</v>
      </c>
      <c r="Z4307" s="134">
        <f>VLOOKUP(W4307,Sheet2!$B:$D,3,FALSE)</f>
        <v>1.76</v>
      </c>
      <c r="AA4307" s="93">
        <f>AA4306/3</f>
        <v>16.666666666666668</v>
      </c>
      <c r="AB4307" s="93">
        <f>AD4307/AC4301</f>
        <v>0.10559999999999999</v>
      </c>
      <c r="AC4307" s="93">
        <f>AC4301/AA4307</f>
        <v>1.5223925999999999</v>
      </c>
      <c r="AD4307" s="94">
        <f t="shared" si="3148"/>
        <v>2.6794109759999998</v>
      </c>
      <c r="AE4307" s="190"/>
      <c r="AF4307" s="191"/>
      <c r="AG4307" s="191"/>
      <c r="AH4307" s="191"/>
      <c r="AI4307" s="186"/>
      <c r="AK4307" s="171"/>
    </row>
    <row r="4308" spans="1:41" s="102" customFormat="1" ht="19.899999999999999" customHeight="1" x14ac:dyDescent="0.25">
      <c r="A4308" s="45"/>
      <c r="B4308" s="59"/>
      <c r="C4308" s="137"/>
      <c r="D4308" s="59"/>
      <c r="E4308" s="116"/>
      <c r="F4308" s="120"/>
      <c r="G4308" s="120"/>
      <c r="H4308" s="120"/>
      <c r="I4308" s="60"/>
      <c r="J4308" s="116"/>
      <c r="K4308" s="213"/>
      <c r="L4308" s="120"/>
      <c r="M4308" s="120"/>
      <c r="N4308" s="167"/>
      <c r="O4308" s="120"/>
      <c r="P4308" s="120"/>
      <c r="Q4308" s="120"/>
      <c r="R4308" s="120"/>
      <c r="S4308" s="120"/>
      <c r="T4308" s="221"/>
      <c r="U4308" s="89"/>
      <c r="V4308" s="61"/>
      <c r="W4308" s="92" t="s">
        <v>148</v>
      </c>
      <c r="X4308" s="93" t="s">
        <v>29</v>
      </c>
      <c r="Y4308" s="93" t="s">
        <v>93</v>
      </c>
      <c r="Z4308" s="134">
        <f>VLOOKUP(W4308,Sheet2!$B:$D,3,FALSE)</f>
        <v>48</v>
      </c>
      <c r="AA4308" s="93">
        <f>AA4302</f>
        <v>22.222222222222221</v>
      </c>
      <c r="AB4308" s="93">
        <f>AD4308/AC4301</f>
        <v>2.16</v>
      </c>
      <c r="AC4308" s="93">
        <f>AC4301/AA4308</f>
        <v>1.1417944500000001</v>
      </c>
      <c r="AD4308" s="94">
        <f t="shared" si="3148"/>
        <v>54.80613360000001</v>
      </c>
      <c r="AE4308" s="190"/>
      <c r="AF4308" s="191"/>
      <c r="AG4308" s="191"/>
      <c r="AH4308" s="191"/>
      <c r="AI4308" s="186"/>
      <c r="AK4308" s="171"/>
    </row>
    <row r="4309" spans="1:41" s="102" customFormat="1" ht="19.899999999999999" customHeight="1" x14ac:dyDescent="0.25">
      <c r="A4309" s="45"/>
      <c r="B4309" s="59"/>
      <c r="C4309" s="137"/>
      <c r="D4309" s="59"/>
      <c r="E4309" s="116"/>
      <c r="F4309" s="120"/>
      <c r="G4309" s="120"/>
      <c r="H4309" s="120"/>
      <c r="I4309" s="60"/>
      <c r="J4309" s="116"/>
      <c r="K4309" s="213"/>
      <c r="L4309" s="120"/>
      <c r="M4309" s="120"/>
      <c r="N4309" s="167"/>
      <c r="O4309" s="120"/>
      <c r="P4309" s="120"/>
      <c r="Q4309" s="120"/>
      <c r="R4309" s="120"/>
      <c r="S4309" s="120"/>
      <c r="T4309" s="221"/>
      <c r="U4309" s="89"/>
      <c r="V4309" s="61"/>
      <c r="W4309" s="92" t="s">
        <v>65</v>
      </c>
      <c r="X4309" s="93" t="s">
        <v>30</v>
      </c>
      <c r="Y4309" s="93" t="s">
        <v>1011</v>
      </c>
      <c r="Z4309" s="134">
        <f>VLOOKUP(W4309,Sheet2!$B:$D,3,FALSE)</f>
        <v>1.76</v>
      </c>
      <c r="AA4309" s="93">
        <f>AA4308/10</f>
        <v>2.2222222222222223</v>
      </c>
      <c r="AB4309" s="93">
        <f>AD4309/AC4301</f>
        <v>0.79199999999999993</v>
      </c>
      <c r="AC4309" s="93">
        <f>AC4301/AA4309</f>
        <v>11.417944499999999</v>
      </c>
      <c r="AD4309" s="94">
        <f t="shared" si="3148"/>
        <v>20.095582319999998</v>
      </c>
      <c r="AE4309" s="190"/>
      <c r="AF4309" s="191"/>
      <c r="AG4309" s="191"/>
      <c r="AH4309" s="191"/>
      <c r="AI4309" s="186"/>
      <c r="AK4309" s="171"/>
    </row>
    <row r="4310" spans="1:41" s="102" customFormat="1" ht="19.899999999999999" customHeight="1" x14ac:dyDescent="0.25">
      <c r="A4310" s="45"/>
      <c r="B4310" s="59"/>
      <c r="C4310" s="137"/>
      <c r="D4310" s="59"/>
      <c r="E4310" s="116"/>
      <c r="F4310" s="120"/>
      <c r="G4310" s="120"/>
      <c r="H4310" s="120"/>
      <c r="I4310" s="60"/>
      <c r="J4310" s="116"/>
      <c r="K4310" s="213"/>
      <c r="L4310" s="120"/>
      <c r="M4310" s="120"/>
      <c r="N4310" s="167"/>
      <c r="O4310" s="120"/>
      <c r="P4310" s="120"/>
      <c r="Q4310" s="120"/>
      <c r="R4310" s="120"/>
      <c r="S4310" s="120"/>
      <c r="T4310" s="221"/>
      <c r="U4310" s="89"/>
      <c r="V4310" s="61"/>
      <c r="W4310" s="92" t="s">
        <v>1049</v>
      </c>
      <c r="X4310" s="93" t="s">
        <v>30</v>
      </c>
      <c r="Y4310" s="93" t="s">
        <v>68</v>
      </c>
      <c r="Z4310" s="134">
        <f>VLOOKUP(W4310,Sheet2!$B:$D,3,FALSE)</f>
        <v>60</v>
      </c>
      <c r="AA4310" s="93">
        <v>1</v>
      </c>
      <c r="AB4310" s="93">
        <f>AD4310/AC4301</f>
        <v>60.000000000000007</v>
      </c>
      <c r="AC4310" s="93">
        <f>AC4301/AA4310</f>
        <v>25.37321</v>
      </c>
      <c r="AD4310" s="94">
        <f t="shared" si="3148"/>
        <v>1522.3926000000001</v>
      </c>
      <c r="AE4310" s="190"/>
      <c r="AF4310" s="191"/>
      <c r="AG4310" s="191"/>
      <c r="AH4310" s="191"/>
      <c r="AI4310" s="186"/>
      <c r="AK4310" s="171"/>
    </row>
    <row r="4311" spans="1:41" s="103" customFormat="1" ht="19.899999999999999" customHeight="1" x14ac:dyDescent="0.25">
      <c r="A4311" s="51"/>
      <c r="B4311" s="52"/>
      <c r="C4311" s="165"/>
      <c r="D4311" s="52"/>
      <c r="E4311" s="115"/>
      <c r="F4311" s="58"/>
      <c r="G4311" s="58"/>
      <c r="H4311" s="58"/>
      <c r="I4311" s="55"/>
      <c r="J4311" s="113">
        <f>J4300</f>
        <v>25.37321</v>
      </c>
      <c r="K4311" s="212">
        <f>K4300</f>
        <v>25.37321</v>
      </c>
      <c r="L4311" s="58"/>
      <c r="M4311" s="58">
        <f>K4311-L4311</f>
        <v>25.37321</v>
      </c>
      <c r="N4311" s="166"/>
      <c r="O4311" s="58"/>
      <c r="P4311" s="58"/>
      <c r="Q4311" s="58"/>
      <c r="R4311" s="58"/>
      <c r="S4311" s="58"/>
      <c r="T4311" s="220"/>
      <c r="U4311" s="88"/>
      <c r="V4311" s="56"/>
      <c r="W4311" s="57" t="s">
        <v>1036</v>
      </c>
      <c r="X4311" s="53"/>
      <c r="Y4311" s="91" t="s">
        <v>68</v>
      </c>
      <c r="Z4311" s="136">
        <f>AD4311/AC4311</f>
        <v>460.58333333333343</v>
      </c>
      <c r="AA4311" s="58"/>
      <c r="AB4311" s="53">
        <f>AD4311/AC4311</f>
        <v>460.58333333333343</v>
      </c>
      <c r="AC4311" s="53">
        <f>M4311+$AE$10</f>
        <v>25.37321</v>
      </c>
      <c r="AD4311" s="54">
        <f>SUM(AD4312:AD4316)</f>
        <v>11686.477639166669</v>
      </c>
      <c r="AE4311" s="184">
        <f>SUMIFS($AD$37:$AD$12971,$V$37:$V$12971,$V4311,$X$37:$X$12971,AE$13)</f>
        <v>0</v>
      </c>
      <c r="AF4311" s="185">
        <f>SUMIFS($AD$37:$AD$12971,$V$37:$V$12971,$V4311,$X$37:$X$12971,AF$13)</f>
        <v>0</v>
      </c>
      <c r="AG4311" s="185">
        <f>SUMIFS($AD$37:$AD$12971,$V$37:$V$12971,$V4311,$X$37:$X$12971,AG$13)</f>
        <v>0</v>
      </c>
      <c r="AH4311" s="187">
        <f>SUMIFS($AD$37:$AD$12971,$V$37:$V$12971,$V4311,$X$37:$X$12971,AH$13)</f>
        <v>0</v>
      </c>
      <c r="AI4311" s="161">
        <f t="shared" ref="AI4311" si="3149">SUM(AE4311:AH4311)</f>
        <v>0</v>
      </c>
      <c r="AK4311" s="172"/>
    </row>
    <row r="4312" spans="1:41" s="102" customFormat="1" ht="19.899999999999999" customHeight="1" x14ac:dyDescent="0.25">
      <c r="A4312" s="45"/>
      <c r="B4312" s="59"/>
      <c r="C4312" s="137"/>
      <c r="D4312" s="59"/>
      <c r="E4312" s="116"/>
      <c r="F4312" s="120"/>
      <c r="G4312" s="120"/>
      <c r="H4312" s="120"/>
      <c r="I4312" s="60"/>
      <c r="J4312" s="116"/>
      <c r="K4312" s="213"/>
      <c r="L4312" s="120"/>
      <c r="M4312" s="120"/>
      <c r="N4312" s="167"/>
      <c r="O4312" s="120"/>
      <c r="P4312" s="120"/>
      <c r="Q4312" s="120"/>
      <c r="R4312" s="120"/>
      <c r="S4312" s="120"/>
      <c r="T4312" s="221"/>
      <c r="U4312" s="89"/>
      <c r="V4312" s="61"/>
      <c r="W4312" s="92" t="s">
        <v>1255</v>
      </c>
      <c r="X4312" s="93" t="s">
        <v>30</v>
      </c>
      <c r="Y4312" s="93" t="s">
        <v>68</v>
      </c>
      <c r="Z4312" s="134">
        <f>VLOOKUP(W4312,Sheet2!$B:$D,3,FALSE)</f>
        <v>345</v>
      </c>
      <c r="AA4312" s="93">
        <v>1</v>
      </c>
      <c r="AB4312" s="93">
        <f>AD4312/AC4311</f>
        <v>345.00000000000006</v>
      </c>
      <c r="AC4312" s="93">
        <f>AC4311/AA4312</f>
        <v>25.37321</v>
      </c>
      <c r="AD4312" s="94">
        <f t="shared" ref="AD4312" si="3150">AC4312*Z4312</f>
        <v>8753.757450000001</v>
      </c>
      <c r="AE4312" s="190"/>
      <c r="AF4312" s="191"/>
      <c r="AG4312" s="191"/>
      <c r="AH4312" s="191"/>
      <c r="AI4312" s="186"/>
      <c r="AK4312" s="171"/>
    </row>
    <row r="4313" spans="1:41" s="102" customFormat="1" ht="19.899999999999999" customHeight="1" x14ac:dyDescent="0.25">
      <c r="A4313" s="45"/>
      <c r="B4313" s="59"/>
      <c r="C4313" s="137"/>
      <c r="D4313" s="59"/>
      <c r="E4313" s="116"/>
      <c r="F4313" s="120"/>
      <c r="G4313" s="120"/>
      <c r="H4313" s="120"/>
      <c r="I4313" s="60"/>
      <c r="J4313" s="116"/>
      <c r="K4313" s="213"/>
      <c r="L4313" s="120"/>
      <c r="M4313" s="120"/>
      <c r="N4313" s="167"/>
      <c r="O4313" s="120"/>
      <c r="P4313" s="120"/>
      <c r="Q4313" s="120"/>
      <c r="R4313" s="120"/>
      <c r="S4313" s="120"/>
      <c r="T4313" s="221"/>
      <c r="U4313" s="89"/>
      <c r="V4313" s="61"/>
      <c r="W4313" s="92" t="s">
        <v>1256</v>
      </c>
      <c r="X4313" s="93" t="s">
        <v>32</v>
      </c>
      <c r="Y4313" s="93" t="s">
        <v>68</v>
      </c>
      <c r="Z4313" s="134">
        <f>VLOOKUP(W4313,Sheet2!$B:$D,3,FALSE)</f>
        <v>55</v>
      </c>
      <c r="AA4313" s="93">
        <v>1</v>
      </c>
      <c r="AB4313" s="93">
        <f>AD4313/AC4311</f>
        <v>55</v>
      </c>
      <c r="AC4313" s="93">
        <f>AC4311/AA4313</f>
        <v>25.37321</v>
      </c>
      <c r="AD4313" s="94">
        <f>AC4313*Z4313</f>
        <v>1395.52655</v>
      </c>
      <c r="AE4313" s="190"/>
      <c r="AF4313" s="191"/>
      <c r="AG4313" s="191"/>
      <c r="AH4313" s="191"/>
      <c r="AI4313" s="186"/>
      <c r="AK4313" s="171"/>
    </row>
    <row r="4314" spans="1:41" s="102" customFormat="1" ht="19.899999999999999" customHeight="1" x14ac:dyDescent="0.25">
      <c r="A4314" s="45"/>
      <c r="B4314" s="59"/>
      <c r="C4314" s="137"/>
      <c r="D4314" s="59"/>
      <c r="E4314" s="116"/>
      <c r="F4314" s="120"/>
      <c r="G4314" s="120"/>
      <c r="H4314" s="120"/>
      <c r="I4314" s="60"/>
      <c r="J4314" s="116"/>
      <c r="K4314" s="213"/>
      <c r="L4314" s="120"/>
      <c r="M4314" s="120"/>
      <c r="N4314" s="167"/>
      <c r="O4314" s="120"/>
      <c r="P4314" s="120"/>
      <c r="Q4314" s="120"/>
      <c r="R4314" s="120"/>
      <c r="S4314" s="120"/>
      <c r="T4314" s="221"/>
      <c r="U4314" s="89"/>
      <c r="V4314" s="61"/>
      <c r="W4314" s="92" t="s">
        <v>1032</v>
      </c>
      <c r="X4314" s="93" t="s">
        <v>30</v>
      </c>
      <c r="Y4314" s="93" t="s">
        <v>66</v>
      </c>
      <c r="Z4314" s="134">
        <f>VLOOKUP(W4314,Sheet2!$B:$D,3,FALSE)</f>
        <v>250</v>
      </c>
      <c r="AA4314" s="93">
        <f>1/(1.5*0.1)</f>
        <v>6.6666666666666661</v>
      </c>
      <c r="AB4314" s="93">
        <f>AD4314/AC4311</f>
        <v>37.500000000000007</v>
      </c>
      <c r="AC4314" s="93">
        <f>AC4311/AA4314</f>
        <v>3.8059815000000006</v>
      </c>
      <c r="AD4314" s="94">
        <f>AC4314*Z4314</f>
        <v>951.49537500000019</v>
      </c>
      <c r="AE4314" s="190"/>
      <c r="AF4314" s="191"/>
      <c r="AG4314" s="191"/>
      <c r="AH4314" s="191"/>
      <c r="AI4314" s="186"/>
      <c r="AK4314" s="171"/>
    </row>
    <row r="4315" spans="1:41" s="102" customFormat="1" ht="19.899999999999999" customHeight="1" x14ac:dyDescent="0.25">
      <c r="A4315" s="45"/>
      <c r="B4315" s="59"/>
      <c r="C4315" s="137"/>
      <c r="D4315" s="59"/>
      <c r="E4315" s="116"/>
      <c r="F4315" s="120"/>
      <c r="G4315" s="120"/>
      <c r="H4315" s="120"/>
      <c r="I4315" s="60"/>
      <c r="J4315" s="116"/>
      <c r="K4315" s="213"/>
      <c r="L4315" s="120"/>
      <c r="M4315" s="120"/>
      <c r="N4315" s="167"/>
      <c r="O4315" s="120"/>
      <c r="P4315" s="120"/>
      <c r="Q4315" s="120"/>
      <c r="R4315" s="120"/>
      <c r="S4315" s="120"/>
      <c r="T4315" s="221"/>
      <c r="U4315" s="89"/>
      <c r="V4315" s="61"/>
      <c r="W4315" s="92" t="s">
        <v>1035</v>
      </c>
      <c r="X4315" s="93" t="s">
        <v>32</v>
      </c>
      <c r="Y4315" s="93" t="s">
        <v>66</v>
      </c>
      <c r="Z4315" s="134">
        <f>VLOOKUP(W4315,Sheet2!$B:$D,3,FALSE)</f>
        <v>150</v>
      </c>
      <c r="AA4315" s="93">
        <f>AA4314</f>
        <v>6.6666666666666661</v>
      </c>
      <c r="AB4315" s="93">
        <f>AD4315/AC4311</f>
        <v>22.5</v>
      </c>
      <c r="AC4315" s="93">
        <f>AC4311/AA4315</f>
        <v>3.8059815000000006</v>
      </c>
      <c r="AD4315" s="94">
        <f t="shared" ref="AD4315:AD4316" si="3151">AC4315*Z4315</f>
        <v>570.89722500000005</v>
      </c>
      <c r="AE4315" s="190"/>
      <c r="AF4315" s="191"/>
      <c r="AG4315" s="191"/>
      <c r="AH4315" s="191"/>
      <c r="AI4315" s="186"/>
      <c r="AK4315" s="171"/>
    </row>
    <row r="4316" spans="1:41" s="102" customFormat="1" ht="19.899999999999999" customHeight="1" x14ac:dyDescent="0.25">
      <c r="A4316" s="45"/>
      <c r="B4316" s="59"/>
      <c r="C4316" s="137"/>
      <c r="D4316" s="59"/>
      <c r="E4316" s="116"/>
      <c r="F4316" s="120"/>
      <c r="G4316" s="120"/>
      <c r="H4316" s="120"/>
      <c r="I4316" s="60"/>
      <c r="J4316" s="116"/>
      <c r="K4316" s="213"/>
      <c r="L4316" s="120"/>
      <c r="M4316" s="120"/>
      <c r="N4316" s="167"/>
      <c r="O4316" s="120"/>
      <c r="P4316" s="120"/>
      <c r="Q4316" s="120"/>
      <c r="R4316" s="120"/>
      <c r="S4316" s="120"/>
      <c r="T4316" s="221"/>
      <c r="U4316" s="89"/>
      <c r="V4316" s="61"/>
      <c r="W4316" s="92" t="s">
        <v>1037</v>
      </c>
      <c r="X4316" s="93" t="s">
        <v>30</v>
      </c>
      <c r="Y4316" s="93" t="s">
        <v>1038</v>
      </c>
      <c r="Z4316" s="134">
        <f>VLOOKUP(W4316,Sheet2!$B:$D,3,FALSE)</f>
        <v>175</v>
      </c>
      <c r="AA4316" s="93">
        <v>300</v>
      </c>
      <c r="AB4316" s="93">
        <f>AD4316/AC4311</f>
        <v>0.58333333333333337</v>
      </c>
      <c r="AC4316" s="93">
        <f>AC4311/AA4316</f>
        <v>8.4577366666666667E-2</v>
      </c>
      <c r="AD4316" s="94">
        <f t="shared" si="3151"/>
        <v>14.801039166666667</v>
      </c>
      <c r="AE4316" s="190"/>
      <c r="AF4316" s="191"/>
      <c r="AG4316" s="191"/>
      <c r="AH4316" s="191"/>
      <c r="AI4316" s="186"/>
      <c r="AK4316" s="171"/>
    </row>
    <row r="4317" spans="1:41" s="103" customFormat="1" ht="19.899999999999999" customHeight="1" x14ac:dyDescent="0.25">
      <c r="A4317" s="51"/>
      <c r="B4317" s="52"/>
      <c r="C4317" s="165"/>
      <c r="D4317" s="52"/>
      <c r="E4317" s="115"/>
      <c r="F4317" s="58"/>
      <c r="G4317" s="58"/>
      <c r="H4317" s="58"/>
      <c r="I4317" s="55"/>
      <c r="J4317" s="113">
        <f>J4300</f>
        <v>25.37321</v>
      </c>
      <c r="K4317" s="212">
        <f>K4300</f>
        <v>25.37321</v>
      </c>
      <c r="L4317" s="58"/>
      <c r="M4317" s="58">
        <f>K4317-L4317</f>
        <v>25.37321</v>
      </c>
      <c r="N4317" s="166"/>
      <c r="O4317" s="58"/>
      <c r="P4317" s="58"/>
      <c r="Q4317" s="58"/>
      <c r="R4317" s="58"/>
      <c r="S4317" s="58"/>
      <c r="T4317" s="220"/>
      <c r="U4317" s="88"/>
      <c r="V4317" s="56"/>
      <c r="W4317" s="57" t="s">
        <v>1040</v>
      </c>
      <c r="X4317" s="53"/>
      <c r="Y4317" s="91" t="s">
        <v>68</v>
      </c>
      <c r="Z4317" s="136">
        <f>AD4317/AC4317</f>
        <v>5</v>
      </c>
      <c r="AA4317" s="58"/>
      <c r="AB4317" s="53">
        <f>AD4317/AC4317</f>
        <v>5</v>
      </c>
      <c r="AC4317" s="53">
        <f>M4317+$AE$10</f>
        <v>25.37321</v>
      </c>
      <c r="AD4317" s="54">
        <f>SUM(AD4318)</f>
        <v>126.86605</v>
      </c>
      <c r="AE4317" s="184">
        <f>SUMIFS($AD$37:$AD$12971,$V$37:$V$12971,$V4317,$X$37:$X$12971,AE$13)</f>
        <v>0</v>
      </c>
      <c r="AF4317" s="185">
        <f>SUMIFS($AD$37:$AD$12971,$V$37:$V$12971,$V4317,$X$37:$X$12971,AF$13)</f>
        <v>0</v>
      </c>
      <c r="AG4317" s="185">
        <f>SUMIFS($AD$37:$AD$12971,$V$37:$V$12971,$V4317,$X$37:$X$12971,AG$13)</f>
        <v>0</v>
      </c>
      <c r="AH4317" s="187">
        <f>SUMIFS($AD$37:$AD$12971,$V$37:$V$12971,$V4317,$X$37:$X$12971,AH$13)</f>
        <v>0</v>
      </c>
      <c r="AI4317" s="161">
        <f t="shared" ref="AI4317" si="3152">SUM(AE4317:AH4317)</f>
        <v>0</v>
      </c>
      <c r="AK4317" s="172"/>
    </row>
    <row r="4318" spans="1:41" s="102" customFormat="1" ht="19.899999999999999" customHeight="1" x14ac:dyDescent="0.25">
      <c r="A4318" s="45"/>
      <c r="B4318" s="59"/>
      <c r="C4318" s="137"/>
      <c r="D4318" s="59"/>
      <c r="E4318" s="116"/>
      <c r="F4318" s="120"/>
      <c r="G4318" s="120"/>
      <c r="H4318" s="120"/>
      <c r="I4318" s="60"/>
      <c r="J4318" s="116"/>
      <c r="K4318" s="213"/>
      <c r="L4318" s="120"/>
      <c r="M4318" s="120"/>
      <c r="N4318" s="167"/>
      <c r="O4318" s="120"/>
      <c r="P4318" s="120"/>
      <c r="Q4318" s="120"/>
      <c r="R4318" s="120"/>
      <c r="S4318" s="120"/>
      <c r="T4318" s="221"/>
      <c r="U4318" s="89"/>
      <c r="V4318" s="61"/>
      <c r="W4318" s="92" t="s">
        <v>1039</v>
      </c>
      <c r="X4318" s="93" t="s">
        <v>32</v>
      </c>
      <c r="Y4318" s="93" t="s">
        <v>68</v>
      </c>
      <c r="Z4318" s="134">
        <f>VLOOKUP(W4318,Sheet2!$B:$D,3,FALSE)</f>
        <v>5</v>
      </c>
      <c r="AA4318" s="93">
        <v>1</v>
      </c>
      <c r="AB4318" s="93">
        <f>AD4318/AC4317</f>
        <v>5</v>
      </c>
      <c r="AC4318" s="93">
        <f>AC4317/AA4318</f>
        <v>25.37321</v>
      </c>
      <c r="AD4318" s="94">
        <f t="shared" ref="AD4318" si="3153">AC4318*Z4318</f>
        <v>126.86605</v>
      </c>
      <c r="AE4318" s="190"/>
      <c r="AF4318" s="191"/>
      <c r="AG4318" s="191"/>
      <c r="AH4318" s="191"/>
      <c r="AI4318" s="186"/>
      <c r="AK4318" s="171"/>
    </row>
    <row r="4319" spans="1:41" ht="20.100000000000001" customHeight="1" x14ac:dyDescent="0.25">
      <c r="A4319" s="277" t="s">
        <v>491</v>
      </c>
      <c r="B4319" s="278"/>
      <c r="C4319" s="64" t="s">
        <v>1201</v>
      </c>
      <c r="D4319" s="46" t="s">
        <v>97</v>
      </c>
      <c r="E4319" s="114">
        <v>7.6445600000000056</v>
      </c>
      <c r="F4319" s="44">
        <v>1310</v>
      </c>
      <c r="G4319" s="44">
        <f t="shared" si="2434"/>
        <v>10014.373600000008</v>
      </c>
      <c r="H4319" s="44">
        <f t="shared" si="2435"/>
        <v>550.70888627450984</v>
      </c>
      <c r="I4319" s="43">
        <f t="shared" si="2436"/>
        <v>4209.9271236586701</v>
      </c>
      <c r="J4319" s="112">
        <f t="shared" si="2437"/>
        <v>7.6445600000000056</v>
      </c>
      <c r="K4319" s="211">
        <f t="shared" si="2438"/>
        <v>7.6445600000000056</v>
      </c>
      <c r="L4319" s="44"/>
      <c r="M4319" s="44">
        <f t="shared" si="2458"/>
        <v>7.6445600000000056</v>
      </c>
      <c r="N4319" s="173">
        <f t="shared" si="2439"/>
        <v>1</v>
      </c>
      <c r="O4319" s="44">
        <f t="shared" si="2440"/>
        <v>1310</v>
      </c>
      <c r="P4319" s="44">
        <f t="shared" si="2441"/>
        <v>10014.373600000008</v>
      </c>
      <c r="Q4319" s="44">
        <f t="shared" si="2442"/>
        <v>550.70888627450984</v>
      </c>
      <c r="R4319" s="44">
        <f t="shared" si="2459"/>
        <v>4209.9271236586701</v>
      </c>
      <c r="S4319" s="123"/>
      <c r="T4319" s="219">
        <f t="shared" si="2460"/>
        <v>4209.9271236586701</v>
      </c>
      <c r="U4319" s="87"/>
      <c r="V4319" s="47"/>
      <c r="W4319" s="48"/>
      <c r="X4319" s="48"/>
      <c r="Y4319" s="48"/>
      <c r="Z4319" s="135"/>
      <c r="AA4319" s="49"/>
      <c r="AB4319" s="50">
        <f t="shared" si="2443"/>
        <v>550.70888627450984</v>
      </c>
      <c r="AC4319" s="42">
        <f t="shared" si="2461"/>
        <v>7.6445600000000056</v>
      </c>
      <c r="AD4319" s="90">
        <f>AD4320+AD4330+AD4336</f>
        <v>4209.9271236586701</v>
      </c>
      <c r="AE4319" s="188">
        <f t="shared" ref="AE4319" si="3154">AE4320+AE4330+AE4336</f>
        <v>0</v>
      </c>
      <c r="AF4319" s="189">
        <f t="shared" ref="AF4319" si="3155">AF4320+AF4330+AF4336</f>
        <v>0</v>
      </c>
      <c r="AG4319" s="189">
        <f t="shared" ref="AG4319" si="3156">AG4320+AG4330+AG4336</f>
        <v>0</v>
      </c>
      <c r="AH4319" s="189">
        <f t="shared" ref="AH4319" si="3157">AH4320+AH4330+AH4336</f>
        <v>0</v>
      </c>
      <c r="AI4319" s="161">
        <f t="shared" ref="AI4319" si="3158">SUM(AE4319:AH4319)</f>
        <v>0</v>
      </c>
      <c r="AK4319" s="169">
        <v>5</v>
      </c>
      <c r="AO4319" s="19" t="s">
        <v>63</v>
      </c>
    </row>
    <row r="4320" spans="1:41" s="103" customFormat="1" ht="19.899999999999999" customHeight="1" x14ac:dyDescent="0.25">
      <c r="A4320" s="51"/>
      <c r="B4320" s="52"/>
      <c r="C4320" s="165"/>
      <c r="D4320" s="52"/>
      <c r="E4320" s="115"/>
      <c r="F4320" s="58"/>
      <c r="G4320" s="58"/>
      <c r="H4320" s="58"/>
      <c r="I4320" s="55"/>
      <c r="J4320" s="113">
        <f>J4319</f>
        <v>7.6445600000000056</v>
      </c>
      <c r="K4320" s="212">
        <f>K4319</f>
        <v>7.6445600000000056</v>
      </c>
      <c r="L4320" s="58"/>
      <c r="M4320" s="58">
        <f>K4320-L4320</f>
        <v>7.6445600000000056</v>
      </c>
      <c r="N4320" s="166"/>
      <c r="O4320" s="58"/>
      <c r="P4320" s="58"/>
      <c r="Q4320" s="58"/>
      <c r="R4320" s="58"/>
      <c r="S4320" s="58"/>
      <c r="T4320" s="220"/>
      <c r="U4320" s="88"/>
      <c r="V4320" s="56"/>
      <c r="W4320" s="57" t="s">
        <v>1088</v>
      </c>
      <c r="X4320" s="53"/>
      <c r="Y4320" s="91" t="s">
        <v>68</v>
      </c>
      <c r="Z4320" s="136">
        <f>AD4320/AC4320</f>
        <v>85.125552941176466</v>
      </c>
      <c r="AA4320" s="58"/>
      <c r="AB4320" s="53">
        <f>AD4320/AC4320</f>
        <v>85.125552941176466</v>
      </c>
      <c r="AC4320" s="53">
        <f>M4320+$AE$10</f>
        <v>7.6445600000000056</v>
      </c>
      <c r="AD4320" s="54">
        <f>SUM(AD4321:AD4329)</f>
        <v>650.7473969920004</v>
      </c>
      <c r="AE4320" s="184">
        <f>SUMIFS($AD$37:$AD$12971,$V$37:$V$12971,$V4320,$X$37:$X$12971,AE$13)</f>
        <v>0</v>
      </c>
      <c r="AF4320" s="185">
        <f>SUMIFS($AD$37:$AD$12971,$V$37:$V$12971,$V4320,$X$37:$X$12971,AF$13)</f>
        <v>0</v>
      </c>
      <c r="AG4320" s="185">
        <f>SUMIFS($AD$37:$AD$12971,$V$37:$V$12971,$V4320,$X$37:$X$12971,AG$13)</f>
        <v>0</v>
      </c>
      <c r="AH4320" s="187">
        <f>SUMIFS($AD$37:$AD$12971,$V$37:$V$12971,$V4320,$X$37:$X$12971,AH$13)</f>
        <v>0</v>
      </c>
      <c r="AI4320" s="161">
        <f t="shared" ref="AI4320" si="3159">SUM(AE4320:AH4320)</f>
        <v>0</v>
      </c>
      <c r="AK4320" s="172"/>
    </row>
    <row r="4321" spans="1:37" s="102" customFormat="1" ht="19.899999999999999" customHeight="1" x14ac:dyDescent="0.25">
      <c r="A4321" s="45"/>
      <c r="B4321" s="59"/>
      <c r="C4321" s="137"/>
      <c r="D4321" s="59"/>
      <c r="E4321" s="116"/>
      <c r="F4321" s="120"/>
      <c r="G4321" s="120"/>
      <c r="H4321" s="120"/>
      <c r="I4321" s="60"/>
      <c r="J4321" s="116"/>
      <c r="K4321" s="213"/>
      <c r="L4321" s="120"/>
      <c r="M4321" s="120"/>
      <c r="N4321" s="167"/>
      <c r="O4321" s="120"/>
      <c r="P4321" s="120"/>
      <c r="Q4321" s="120"/>
      <c r="R4321" s="120"/>
      <c r="S4321" s="120"/>
      <c r="T4321" s="221"/>
      <c r="U4321" s="89"/>
      <c r="V4321" s="61"/>
      <c r="W4321" s="92" t="s">
        <v>129</v>
      </c>
      <c r="X4321" s="93" t="s">
        <v>29</v>
      </c>
      <c r="Y4321" s="93" t="s">
        <v>93</v>
      </c>
      <c r="Z4321" s="134">
        <f>VLOOKUP(W4321,Sheet2!$B:$D,3,FALSE)</f>
        <v>56</v>
      </c>
      <c r="AA4321" s="93">
        <f>100/(1.5*3.5)</f>
        <v>19.047619047619047</v>
      </c>
      <c r="AB4321" s="93">
        <f t="shared" ref="AB4321" si="3160">AD4321/AC4320</f>
        <v>2.94</v>
      </c>
      <c r="AC4321" s="93">
        <f>AC4320/AA4321</f>
        <v>0.40133940000000029</v>
      </c>
      <c r="AD4321" s="94">
        <f t="shared" ref="AD4321:AD4322" si="3161">AC4321*Z4321</f>
        <v>22.475006400000016</v>
      </c>
      <c r="AE4321" s="190"/>
      <c r="AF4321" s="191"/>
      <c r="AG4321" s="191"/>
      <c r="AH4321" s="191"/>
      <c r="AI4321" s="186"/>
      <c r="AK4321" s="171"/>
    </row>
    <row r="4322" spans="1:37" s="102" customFormat="1" ht="19.899999999999999" customHeight="1" x14ac:dyDescent="0.25">
      <c r="A4322" s="45"/>
      <c r="B4322" s="59"/>
      <c r="C4322" s="137"/>
      <c r="D4322" s="59"/>
      <c r="E4322" s="116"/>
      <c r="F4322" s="120"/>
      <c r="G4322" s="120"/>
      <c r="H4322" s="120"/>
      <c r="I4322" s="60"/>
      <c r="J4322" s="116"/>
      <c r="K4322" s="213"/>
      <c r="L4322" s="120"/>
      <c r="M4322" s="120"/>
      <c r="N4322" s="167"/>
      <c r="O4322" s="120"/>
      <c r="P4322" s="120"/>
      <c r="Q4322" s="120"/>
      <c r="R4322" s="120"/>
      <c r="S4322" s="120"/>
      <c r="T4322" s="221"/>
      <c r="U4322" s="89"/>
      <c r="V4322" s="61"/>
      <c r="W4322" s="92" t="s">
        <v>65</v>
      </c>
      <c r="X4322" s="93" t="s">
        <v>30</v>
      </c>
      <c r="Y4322" s="93" t="s">
        <v>1011</v>
      </c>
      <c r="Z4322" s="134">
        <f>VLOOKUP(W4322,Sheet2!$B:$D,3,FALSE)</f>
        <v>1.76</v>
      </c>
      <c r="AA4322" s="93">
        <f>AA4321/14</f>
        <v>1.3605442176870748</v>
      </c>
      <c r="AB4322" s="93">
        <f>AD4322/AC4320</f>
        <v>1.2935999999999999</v>
      </c>
      <c r="AC4322" s="93">
        <f>AC4320/AA4322</f>
        <v>5.618751600000004</v>
      </c>
      <c r="AD4322" s="94">
        <f t="shared" si="3161"/>
        <v>9.8890028160000067</v>
      </c>
      <c r="AE4322" s="190"/>
      <c r="AF4322" s="191"/>
      <c r="AG4322" s="191"/>
      <c r="AH4322" s="191"/>
      <c r="AI4322" s="186"/>
      <c r="AK4322" s="171"/>
    </row>
    <row r="4323" spans="1:37" s="102" customFormat="1" ht="19.899999999999999" customHeight="1" x14ac:dyDescent="0.25">
      <c r="A4323" s="45"/>
      <c r="B4323" s="59"/>
      <c r="C4323" s="137"/>
      <c r="D4323" s="59"/>
      <c r="E4323" s="116"/>
      <c r="F4323" s="120"/>
      <c r="G4323" s="120"/>
      <c r="H4323" s="120"/>
      <c r="I4323" s="60"/>
      <c r="J4323" s="116"/>
      <c r="K4323" s="213"/>
      <c r="L4323" s="120"/>
      <c r="M4323" s="120"/>
      <c r="N4323" s="167"/>
      <c r="O4323" s="120"/>
      <c r="P4323" s="120"/>
      <c r="Q4323" s="120"/>
      <c r="R4323" s="120"/>
      <c r="S4323" s="120"/>
      <c r="T4323" s="221"/>
      <c r="U4323" s="89"/>
      <c r="V4323" s="61"/>
      <c r="W4323" s="92" t="s">
        <v>161</v>
      </c>
      <c r="X4323" s="93" t="s">
        <v>29</v>
      </c>
      <c r="Y4323" s="93" t="s">
        <v>93</v>
      </c>
      <c r="Z4323" s="134">
        <f>VLOOKUP(W4323,Sheet2!$B:$D,3,FALSE)</f>
        <v>48</v>
      </c>
      <c r="AA4323" s="93">
        <f>(16*0.85*1.5)/(1.5*3.5)</f>
        <v>3.8857142857142852</v>
      </c>
      <c r="AB4323" s="93">
        <f>AD4323/AC4320</f>
        <v>12.352941176470591</v>
      </c>
      <c r="AC4323" s="93">
        <f>AC4320/AA4323</f>
        <v>1.9673500000000017</v>
      </c>
      <c r="AD4323" s="94">
        <f>AC4323*Z4323</f>
        <v>94.432800000000086</v>
      </c>
      <c r="AE4323" s="190"/>
      <c r="AF4323" s="191"/>
      <c r="AG4323" s="191"/>
      <c r="AH4323" s="191"/>
      <c r="AI4323" s="186"/>
      <c r="AK4323" s="171"/>
    </row>
    <row r="4324" spans="1:37" s="102" customFormat="1" ht="19.899999999999999" customHeight="1" x14ac:dyDescent="0.25">
      <c r="A4324" s="45"/>
      <c r="B4324" s="59"/>
      <c r="C4324" s="137"/>
      <c r="D4324" s="59"/>
      <c r="E4324" s="116"/>
      <c r="F4324" s="120"/>
      <c r="G4324" s="120"/>
      <c r="H4324" s="120"/>
      <c r="I4324" s="60"/>
      <c r="J4324" s="116"/>
      <c r="K4324" s="213"/>
      <c r="L4324" s="120"/>
      <c r="M4324" s="120"/>
      <c r="N4324" s="167"/>
      <c r="O4324" s="120"/>
      <c r="P4324" s="120"/>
      <c r="Q4324" s="120"/>
      <c r="R4324" s="120"/>
      <c r="S4324" s="120"/>
      <c r="T4324" s="221"/>
      <c r="U4324" s="89"/>
      <c r="V4324" s="61"/>
      <c r="W4324" s="92" t="s">
        <v>65</v>
      </c>
      <c r="X4324" s="93" t="s">
        <v>30</v>
      </c>
      <c r="Y4324" s="93" t="s">
        <v>1011</v>
      </c>
      <c r="Z4324" s="134">
        <f>VLOOKUP(W4324,Sheet2!$B:$D,3,FALSE)</f>
        <v>1.76</v>
      </c>
      <c r="AA4324" s="93">
        <f>AA4323/10</f>
        <v>0.38857142857142851</v>
      </c>
      <c r="AB4324" s="93">
        <f>AD4324/AC4320</f>
        <v>4.529411764705884</v>
      </c>
      <c r="AC4324" s="93">
        <f>AC4320/AA4324</f>
        <v>19.673500000000018</v>
      </c>
      <c r="AD4324" s="94">
        <f>AC4324*Z4324</f>
        <v>34.625360000000036</v>
      </c>
      <c r="AE4324" s="190"/>
      <c r="AF4324" s="191"/>
      <c r="AG4324" s="191"/>
      <c r="AH4324" s="191"/>
      <c r="AI4324" s="186"/>
      <c r="AK4324" s="171"/>
    </row>
    <row r="4325" spans="1:37" s="102" customFormat="1" ht="19.899999999999999" customHeight="1" x14ac:dyDescent="0.25">
      <c r="A4325" s="45"/>
      <c r="B4325" s="59"/>
      <c r="C4325" s="137"/>
      <c r="D4325" s="59"/>
      <c r="E4325" s="116"/>
      <c r="F4325" s="120"/>
      <c r="G4325" s="120"/>
      <c r="H4325" s="120"/>
      <c r="I4325" s="60"/>
      <c r="J4325" s="116"/>
      <c r="K4325" s="213"/>
      <c r="L4325" s="120"/>
      <c r="M4325" s="120"/>
      <c r="N4325" s="167"/>
      <c r="O4325" s="120"/>
      <c r="P4325" s="120"/>
      <c r="Q4325" s="120"/>
      <c r="R4325" s="120"/>
      <c r="S4325" s="120"/>
      <c r="T4325" s="221"/>
      <c r="U4325" s="89"/>
      <c r="V4325" s="61"/>
      <c r="W4325" s="92" t="s">
        <v>1030</v>
      </c>
      <c r="X4325" s="93" t="s">
        <v>29</v>
      </c>
      <c r="Y4325" s="93" t="s">
        <v>93</v>
      </c>
      <c r="Z4325" s="134">
        <f>VLOOKUP(W4325,Sheet2!$B:$D,3,FALSE)</f>
        <v>23</v>
      </c>
      <c r="AA4325" s="93">
        <v>50</v>
      </c>
      <c r="AB4325" s="93">
        <f>AD4325/AC4320</f>
        <v>0.46</v>
      </c>
      <c r="AC4325" s="93">
        <f>AC4320/AA4325</f>
        <v>0.15289120000000012</v>
      </c>
      <c r="AD4325" s="94">
        <f t="shared" ref="AD4325:AD4329" si="3162">AC4325*Z4325</f>
        <v>3.5164976000000028</v>
      </c>
      <c r="AE4325" s="190"/>
      <c r="AF4325" s="191"/>
      <c r="AG4325" s="191"/>
      <c r="AH4325" s="191"/>
      <c r="AI4325" s="186"/>
      <c r="AK4325" s="171"/>
    </row>
    <row r="4326" spans="1:37" s="102" customFormat="1" ht="19.899999999999999" customHeight="1" x14ac:dyDescent="0.25">
      <c r="A4326" s="45"/>
      <c r="B4326" s="59"/>
      <c r="C4326" s="137"/>
      <c r="D4326" s="59"/>
      <c r="E4326" s="116"/>
      <c r="F4326" s="120"/>
      <c r="G4326" s="120"/>
      <c r="H4326" s="120"/>
      <c r="I4326" s="60"/>
      <c r="J4326" s="116"/>
      <c r="K4326" s="213"/>
      <c r="L4326" s="120"/>
      <c r="M4326" s="120"/>
      <c r="N4326" s="167"/>
      <c r="O4326" s="120"/>
      <c r="P4326" s="120"/>
      <c r="Q4326" s="120"/>
      <c r="R4326" s="120"/>
      <c r="S4326" s="120"/>
      <c r="T4326" s="221"/>
      <c r="U4326" s="89"/>
      <c r="V4326" s="61"/>
      <c r="W4326" s="92" t="s">
        <v>65</v>
      </c>
      <c r="X4326" s="93" t="s">
        <v>30</v>
      </c>
      <c r="Y4326" s="93" t="s">
        <v>1011</v>
      </c>
      <c r="Z4326" s="134">
        <f>VLOOKUP(W4326,Sheet2!$B:$D,3,FALSE)</f>
        <v>1.76</v>
      </c>
      <c r="AA4326" s="93">
        <f>AA4325/3</f>
        <v>16.666666666666668</v>
      </c>
      <c r="AB4326" s="93">
        <f>AD4326/AC4320</f>
        <v>0.10559999999999999</v>
      </c>
      <c r="AC4326" s="93">
        <f>AC4320/AA4326</f>
        <v>0.45867360000000029</v>
      </c>
      <c r="AD4326" s="94">
        <f t="shared" si="3162"/>
        <v>0.80726553600000051</v>
      </c>
      <c r="AE4326" s="190"/>
      <c r="AF4326" s="191"/>
      <c r="AG4326" s="191"/>
      <c r="AH4326" s="191"/>
      <c r="AI4326" s="186"/>
      <c r="AK4326" s="171"/>
    </row>
    <row r="4327" spans="1:37" s="102" customFormat="1" ht="19.899999999999999" customHeight="1" x14ac:dyDescent="0.25">
      <c r="A4327" s="45"/>
      <c r="B4327" s="59"/>
      <c r="C4327" s="137"/>
      <c r="D4327" s="59"/>
      <c r="E4327" s="116"/>
      <c r="F4327" s="120"/>
      <c r="G4327" s="120"/>
      <c r="H4327" s="120"/>
      <c r="I4327" s="60"/>
      <c r="J4327" s="116"/>
      <c r="K4327" s="213"/>
      <c r="L4327" s="120"/>
      <c r="M4327" s="120"/>
      <c r="N4327" s="167"/>
      <c r="O4327" s="120"/>
      <c r="P4327" s="120"/>
      <c r="Q4327" s="120"/>
      <c r="R4327" s="120"/>
      <c r="S4327" s="120"/>
      <c r="T4327" s="221"/>
      <c r="U4327" s="89"/>
      <c r="V4327" s="61"/>
      <c r="W4327" s="92" t="s">
        <v>148</v>
      </c>
      <c r="X4327" s="93" t="s">
        <v>29</v>
      </c>
      <c r="Y4327" s="93" t="s">
        <v>93</v>
      </c>
      <c r="Z4327" s="134">
        <f>VLOOKUP(W4327,Sheet2!$B:$D,3,FALSE)</f>
        <v>48</v>
      </c>
      <c r="AA4327" s="93">
        <f>AA4321</f>
        <v>19.047619047619047</v>
      </c>
      <c r="AB4327" s="93">
        <f>AD4327/AC4320</f>
        <v>2.52</v>
      </c>
      <c r="AC4327" s="93">
        <f>AC4320/AA4327</f>
        <v>0.40133940000000029</v>
      </c>
      <c r="AD4327" s="94">
        <f t="shared" si="3162"/>
        <v>19.264291200000013</v>
      </c>
      <c r="AE4327" s="190"/>
      <c r="AF4327" s="191"/>
      <c r="AG4327" s="191"/>
      <c r="AH4327" s="191"/>
      <c r="AI4327" s="186"/>
      <c r="AK4327" s="171"/>
    </row>
    <row r="4328" spans="1:37" s="102" customFormat="1" ht="19.899999999999999" customHeight="1" x14ac:dyDescent="0.25">
      <c r="A4328" s="45"/>
      <c r="B4328" s="59"/>
      <c r="C4328" s="137"/>
      <c r="D4328" s="59"/>
      <c r="E4328" s="116"/>
      <c r="F4328" s="120"/>
      <c r="G4328" s="120"/>
      <c r="H4328" s="120"/>
      <c r="I4328" s="60"/>
      <c r="J4328" s="116"/>
      <c r="K4328" s="213"/>
      <c r="L4328" s="120"/>
      <c r="M4328" s="120"/>
      <c r="N4328" s="167"/>
      <c r="O4328" s="120"/>
      <c r="P4328" s="120"/>
      <c r="Q4328" s="120"/>
      <c r="R4328" s="120"/>
      <c r="S4328" s="120"/>
      <c r="T4328" s="221"/>
      <c r="U4328" s="89"/>
      <c r="V4328" s="61"/>
      <c r="W4328" s="92" t="s">
        <v>65</v>
      </c>
      <c r="X4328" s="93" t="s">
        <v>30</v>
      </c>
      <c r="Y4328" s="93" t="s">
        <v>1011</v>
      </c>
      <c r="Z4328" s="134">
        <f>VLOOKUP(W4328,Sheet2!$B:$D,3,FALSE)</f>
        <v>1.76</v>
      </c>
      <c r="AA4328" s="93">
        <f>AA4327/10</f>
        <v>1.9047619047619047</v>
      </c>
      <c r="AB4328" s="93">
        <f>AD4328/AC4320</f>
        <v>0.92400000000000015</v>
      </c>
      <c r="AC4328" s="93">
        <f>AC4320/AA4328</f>
        <v>4.0133940000000035</v>
      </c>
      <c r="AD4328" s="94">
        <f t="shared" si="3162"/>
        <v>7.0635734400000061</v>
      </c>
      <c r="AE4328" s="190"/>
      <c r="AF4328" s="191"/>
      <c r="AG4328" s="191"/>
      <c r="AH4328" s="191"/>
      <c r="AI4328" s="186"/>
      <c r="AK4328" s="171"/>
    </row>
    <row r="4329" spans="1:37" s="102" customFormat="1" ht="19.899999999999999" customHeight="1" x14ac:dyDescent="0.25">
      <c r="A4329" s="45"/>
      <c r="B4329" s="59"/>
      <c r="C4329" s="137"/>
      <c r="D4329" s="59"/>
      <c r="E4329" s="116"/>
      <c r="F4329" s="120"/>
      <c r="G4329" s="120"/>
      <c r="H4329" s="120"/>
      <c r="I4329" s="60"/>
      <c r="J4329" s="116"/>
      <c r="K4329" s="213"/>
      <c r="L4329" s="120"/>
      <c r="M4329" s="120"/>
      <c r="N4329" s="167"/>
      <c r="O4329" s="120"/>
      <c r="P4329" s="120"/>
      <c r="Q4329" s="120"/>
      <c r="R4329" s="120"/>
      <c r="S4329" s="120"/>
      <c r="T4329" s="221"/>
      <c r="U4329" s="89"/>
      <c r="V4329" s="61"/>
      <c r="W4329" s="92" t="s">
        <v>1049</v>
      </c>
      <c r="X4329" s="93" t="s">
        <v>30</v>
      </c>
      <c r="Y4329" s="93" t="s">
        <v>68</v>
      </c>
      <c r="Z4329" s="134">
        <f>VLOOKUP(W4329,Sheet2!$B:$D,3,FALSE)</f>
        <v>60</v>
      </c>
      <c r="AA4329" s="93">
        <v>1</v>
      </c>
      <c r="AB4329" s="93">
        <f>AD4329/AC4320</f>
        <v>59.999999999999993</v>
      </c>
      <c r="AC4329" s="93">
        <f>AC4320/AA4329</f>
        <v>7.6445600000000056</v>
      </c>
      <c r="AD4329" s="94">
        <f t="shared" si="3162"/>
        <v>458.67360000000031</v>
      </c>
      <c r="AE4329" s="190"/>
      <c r="AF4329" s="191"/>
      <c r="AG4329" s="191"/>
      <c r="AH4329" s="191"/>
      <c r="AI4329" s="186"/>
      <c r="AK4329" s="171"/>
    </row>
    <row r="4330" spans="1:37" s="103" customFormat="1" ht="19.899999999999999" customHeight="1" x14ac:dyDescent="0.25">
      <c r="A4330" s="51"/>
      <c r="B4330" s="52"/>
      <c r="C4330" s="165"/>
      <c r="D4330" s="52"/>
      <c r="E4330" s="115"/>
      <c r="F4330" s="58"/>
      <c r="G4330" s="58"/>
      <c r="H4330" s="58"/>
      <c r="I4330" s="55"/>
      <c r="J4330" s="113">
        <f>J4319</f>
        <v>7.6445600000000056</v>
      </c>
      <c r="K4330" s="212">
        <f>K4319</f>
        <v>7.6445600000000056</v>
      </c>
      <c r="L4330" s="58"/>
      <c r="M4330" s="58">
        <f>K4330-L4330</f>
        <v>7.6445600000000056</v>
      </c>
      <c r="N4330" s="166"/>
      <c r="O4330" s="58"/>
      <c r="P4330" s="58"/>
      <c r="Q4330" s="58"/>
      <c r="R4330" s="58"/>
      <c r="S4330" s="58"/>
      <c r="T4330" s="220"/>
      <c r="U4330" s="88"/>
      <c r="V4330" s="56"/>
      <c r="W4330" s="57" t="s">
        <v>1036</v>
      </c>
      <c r="X4330" s="53"/>
      <c r="Y4330" s="91" t="s">
        <v>68</v>
      </c>
      <c r="Z4330" s="136">
        <f>AD4330/AC4330</f>
        <v>460.58333333333337</v>
      </c>
      <c r="AA4330" s="58"/>
      <c r="AB4330" s="53">
        <f>AD4330/AC4330</f>
        <v>460.58333333333337</v>
      </c>
      <c r="AC4330" s="53">
        <f>M4330+$AE$10</f>
        <v>7.6445600000000056</v>
      </c>
      <c r="AD4330" s="54">
        <f>SUM(AD4331:AD4335)</f>
        <v>3520.9569266666695</v>
      </c>
      <c r="AE4330" s="184">
        <f>SUMIFS($AD$37:$AD$12971,$V$37:$V$12971,$V4330,$X$37:$X$12971,AE$13)</f>
        <v>0</v>
      </c>
      <c r="AF4330" s="185">
        <f>SUMIFS($AD$37:$AD$12971,$V$37:$V$12971,$V4330,$X$37:$X$12971,AF$13)</f>
        <v>0</v>
      </c>
      <c r="AG4330" s="185">
        <f>SUMIFS($AD$37:$AD$12971,$V$37:$V$12971,$V4330,$X$37:$X$12971,AG$13)</f>
        <v>0</v>
      </c>
      <c r="AH4330" s="187">
        <f>SUMIFS($AD$37:$AD$12971,$V$37:$V$12971,$V4330,$X$37:$X$12971,AH$13)</f>
        <v>0</v>
      </c>
      <c r="AI4330" s="161">
        <f t="shared" ref="AI4330" si="3163">SUM(AE4330:AH4330)</f>
        <v>0</v>
      </c>
      <c r="AK4330" s="172"/>
    </row>
    <row r="4331" spans="1:37" s="102" customFormat="1" ht="19.899999999999999" customHeight="1" x14ac:dyDescent="0.25">
      <c r="A4331" s="45"/>
      <c r="B4331" s="59"/>
      <c r="C4331" s="137"/>
      <c r="D4331" s="59"/>
      <c r="E4331" s="116"/>
      <c r="F4331" s="120"/>
      <c r="G4331" s="120"/>
      <c r="H4331" s="120"/>
      <c r="I4331" s="60"/>
      <c r="J4331" s="116"/>
      <c r="K4331" s="213"/>
      <c r="L4331" s="120"/>
      <c r="M4331" s="120"/>
      <c r="N4331" s="167"/>
      <c r="O4331" s="120"/>
      <c r="P4331" s="120"/>
      <c r="Q4331" s="120"/>
      <c r="R4331" s="120"/>
      <c r="S4331" s="120"/>
      <c r="T4331" s="221"/>
      <c r="U4331" s="89"/>
      <c r="V4331" s="61"/>
      <c r="W4331" s="92" t="s">
        <v>1255</v>
      </c>
      <c r="X4331" s="93" t="s">
        <v>30</v>
      </c>
      <c r="Y4331" s="93" t="s">
        <v>68</v>
      </c>
      <c r="Z4331" s="134">
        <f>VLOOKUP(W4331,Sheet2!$B:$D,3,FALSE)</f>
        <v>345</v>
      </c>
      <c r="AA4331" s="93">
        <v>1</v>
      </c>
      <c r="AB4331" s="93">
        <f>AD4331/AC4330</f>
        <v>345</v>
      </c>
      <c r="AC4331" s="93">
        <f>AC4330/AA4331</f>
        <v>7.6445600000000056</v>
      </c>
      <c r="AD4331" s="94">
        <f t="shared" ref="AD4331" si="3164">AC4331*Z4331</f>
        <v>2637.3732000000018</v>
      </c>
      <c r="AE4331" s="190"/>
      <c r="AF4331" s="191"/>
      <c r="AG4331" s="191"/>
      <c r="AH4331" s="191"/>
      <c r="AI4331" s="186"/>
      <c r="AK4331" s="171"/>
    </row>
    <row r="4332" spans="1:37" s="102" customFormat="1" ht="19.899999999999999" customHeight="1" x14ac:dyDescent="0.25">
      <c r="A4332" s="45"/>
      <c r="B4332" s="59"/>
      <c r="C4332" s="137"/>
      <c r="D4332" s="59"/>
      <c r="E4332" s="116"/>
      <c r="F4332" s="120"/>
      <c r="G4332" s="120"/>
      <c r="H4332" s="120"/>
      <c r="I4332" s="60"/>
      <c r="J4332" s="116"/>
      <c r="K4332" s="213"/>
      <c r="L4332" s="120"/>
      <c r="M4332" s="120"/>
      <c r="N4332" s="167"/>
      <c r="O4332" s="120"/>
      <c r="P4332" s="120"/>
      <c r="Q4332" s="120"/>
      <c r="R4332" s="120"/>
      <c r="S4332" s="120"/>
      <c r="T4332" s="221"/>
      <c r="U4332" s="89"/>
      <c r="V4332" s="61"/>
      <c r="W4332" s="92" t="s">
        <v>1256</v>
      </c>
      <c r="X4332" s="93" t="s">
        <v>32</v>
      </c>
      <c r="Y4332" s="93" t="s">
        <v>68</v>
      </c>
      <c r="Z4332" s="134">
        <f>VLOOKUP(W4332,Sheet2!$B:$D,3,FALSE)</f>
        <v>55</v>
      </c>
      <c r="AA4332" s="93">
        <v>1</v>
      </c>
      <c r="AB4332" s="93">
        <f>AD4332/AC4330</f>
        <v>55</v>
      </c>
      <c r="AC4332" s="93">
        <f>AC4330/AA4332</f>
        <v>7.6445600000000056</v>
      </c>
      <c r="AD4332" s="94">
        <f>AC4332*Z4332</f>
        <v>420.4508000000003</v>
      </c>
      <c r="AE4332" s="190"/>
      <c r="AF4332" s="191"/>
      <c r="AG4332" s="191"/>
      <c r="AH4332" s="191"/>
      <c r="AI4332" s="186"/>
      <c r="AK4332" s="171"/>
    </row>
    <row r="4333" spans="1:37" s="102" customFormat="1" ht="19.899999999999999" customHeight="1" x14ac:dyDescent="0.25">
      <c r="A4333" s="45"/>
      <c r="B4333" s="59"/>
      <c r="C4333" s="137"/>
      <c r="D4333" s="59"/>
      <c r="E4333" s="116"/>
      <c r="F4333" s="120"/>
      <c r="G4333" s="120"/>
      <c r="H4333" s="120"/>
      <c r="I4333" s="60"/>
      <c r="J4333" s="116"/>
      <c r="K4333" s="213"/>
      <c r="L4333" s="120"/>
      <c r="M4333" s="120"/>
      <c r="N4333" s="167"/>
      <c r="O4333" s="120"/>
      <c r="P4333" s="120"/>
      <c r="Q4333" s="120"/>
      <c r="R4333" s="120"/>
      <c r="S4333" s="120"/>
      <c r="T4333" s="221"/>
      <c r="U4333" s="89"/>
      <c r="V4333" s="61"/>
      <c r="W4333" s="92" t="s">
        <v>1032</v>
      </c>
      <c r="X4333" s="93" t="s">
        <v>30</v>
      </c>
      <c r="Y4333" s="93" t="s">
        <v>66</v>
      </c>
      <c r="Z4333" s="134">
        <f>VLOOKUP(W4333,Sheet2!$B:$D,3,FALSE)</f>
        <v>250</v>
      </c>
      <c r="AA4333" s="93">
        <f>1/(1.5*0.1)</f>
        <v>6.6666666666666661</v>
      </c>
      <c r="AB4333" s="93">
        <f>AD4333/AC4330</f>
        <v>37.5</v>
      </c>
      <c r="AC4333" s="93">
        <f>AC4330/AA4333</f>
        <v>1.1466840000000009</v>
      </c>
      <c r="AD4333" s="94">
        <f>AC4333*Z4333</f>
        <v>286.67100000000022</v>
      </c>
      <c r="AE4333" s="190"/>
      <c r="AF4333" s="191"/>
      <c r="AG4333" s="191"/>
      <c r="AH4333" s="191"/>
      <c r="AI4333" s="186"/>
      <c r="AK4333" s="171"/>
    </row>
    <row r="4334" spans="1:37" s="102" customFormat="1" ht="19.899999999999999" customHeight="1" x14ac:dyDescent="0.25">
      <c r="A4334" s="45"/>
      <c r="B4334" s="59"/>
      <c r="C4334" s="137"/>
      <c r="D4334" s="59"/>
      <c r="E4334" s="116"/>
      <c r="F4334" s="120"/>
      <c r="G4334" s="120"/>
      <c r="H4334" s="120"/>
      <c r="I4334" s="60"/>
      <c r="J4334" s="116"/>
      <c r="K4334" s="213"/>
      <c r="L4334" s="120"/>
      <c r="M4334" s="120"/>
      <c r="N4334" s="167"/>
      <c r="O4334" s="120"/>
      <c r="P4334" s="120"/>
      <c r="Q4334" s="120"/>
      <c r="R4334" s="120"/>
      <c r="S4334" s="120"/>
      <c r="T4334" s="221"/>
      <c r="U4334" s="89"/>
      <c r="V4334" s="61"/>
      <c r="W4334" s="92" t="s">
        <v>1035</v>
      </c>
      <c r="X4334" s="93" t="s">
        <v>32</v>
      </c>
      <c r="Y4334" s="93" t="s">
        <v>66</v>
      </c>
      <c r="Z4334" s="134">
        <f>VLOOKUP(W4334,Sheet2!$B:$D,3,FALSE)</f>
        <v>150</v>
      </c>
      <c r="AA4334" s="93">
        <f>AA4333</f>
        <v>6.6666666666666661</v>
      </c>
      <c r="AB4334" s="93">
        <f>AD4334/AC4330</f>
        <v>22.500000000000004</v>
      </c>
      <c r="AC4334" s="93">
        <f>AC4330/AA4334</f>
        <v>1.1466840000000009</v>
      </c>
      <c r="AD4334" s="94">
        <f t="shared" ref="AD4334:AD4335" si="3165">AC4334*Z4334</f>
        <v>172.00260000000014</v>
      </c>
      <c r="AE4334" s="190"/>
      <c r="AF4334" s="191"/>
      <c r="AG4334" s="191"/>
      <c r="AH4334" s="191"/>
      <c r="AI4334" s="186"/>
      <c r="AK4334" s="171"/>
    </row>
    <row r="4335" spans="1:37" s="102" customFormat="1" ht="19.899999999999999" customHeight="1" x14ac:dyDescent="0.25">
      <c r="A4335" s="45"/>
      <c r="B4335" s="59"/>
      <c r="C4335" s="137"/>
      <c r="D4335" s="59"/>
      <c r="E4335" s="116"/>
      <c r="F4335" s="120"/>
      <c r="G4335" s="120"/>
      <c r="H4335" s="120"/>
      <c r="I4335" s="60"/>
      <c r="J4335" s="116"/>
      <c r="K4335" s="213"/>
      <c r="L4335" s="120"/>
      <c r="M4335" s="120"/>
      <c r="N4335" s="167"/>
      <c r="O4335" s="120"/>
      <c r="P4335" s="120"/>
      <c r="Q4335" s="120"/>
      <c r="R4335" s="120"/>
      <c r="S4335" s="120"/>
      <c r="T4335" s="221"/>
      <c r="U4335" s="89"/>
      <c r="V4335" s="61"/>
      <c r="W4335" s="92" t="s">
        <v>1037</v>
      </c>
      <c r="X4335" s="93" t="s">
        <v>30</v>
      </c>
      <c r="Y4335" s="93" t="s">
        <v>1038</v>
      </c>
      <c r="Z4335" s="134">
        <f>VLOOKUP(W4335,Sheet2!$B:$D,3,FALSE)</f>
        <v>175</v>
      </c>
      <c r="AA4335" s="93">
        <v>300</v>
      </c>
      <c r="AB4335" s="93">
        <f>AD4335/AC4330</f>
        <v>0.58333333333333337</v>
      </c>
      <c r="AC4335" s="93">
        <f>AC4330/AA4335</f>
        <v>2.5481866666666686E-2</v>
      </c>
      <c r="AD4335" s="94">
        <f t="shared" si="3165"/>
        <v>4.4593266666666702</v>
      </c>
      <c r="AE4335" s="190"/>
      <c r="AF4335" s="191"/>
      <c r="AG4335" s="191"/>
      <c r="AH4335" s="191"/>
      <c r="AI4335" s="186"/>
      <c r="AK4335" s="171"/>
    </row>
    <row r="4336" spans="1:37" s="103" customFormat="1" ht="19.899999999999999" customHeight="1" x14ac:dyDescent="0.25">
      <c r="A4336" s="51"/>
      <c r="B4336" s="52"/>
      <c r="C4336" s="165"/>
      <c r="D4336" s="52"/>
      <c r="E4336" s="115"/>
      <c r="F4336" s="58"/>
      <c r="G4336" s="58"/>
      <c r="H4336" s="58"/>
      <c r="I4336" s="55"/>
      <c r="J4336" s="113">
        <f>J4319</f>
        <v>7.6445600000000056</v>
      </c>
      <c r="K4336" s="212">
        <f>K4319</f>
        <v>7.6445600000000056</v>
      </c>
      <c r="L4336" s="58"/>
      <c r="M4336" s="58">
        <f>K4336-L4336</f>
        <v>7.6445600000000056</v>
      </c>
      <c r="N4336" s="166"/>
      <c r="O4336" s="58"/>
      <c r="P4336" s="58"/>
      <c r="Q4336" s="58"/>
      <c r="R4336" s="58"/>
      <c r="S4336" s="58"/>
      <c r="T4336" s="220"/>
      <c r="U4336" s="88"/>
      <c r="V4336" s="56"/>
      <c r="W4336" s="57" t="s">
        <v>1040</v>
      </c>
      <c r="X4336" s="53"/>
      <c r="Y4336" s="91" t="s">
        <v>68</v>
      </c>
      <c r="Z4336" s="136">
        <f>AD4336/AC4336</f>
        <v>5</v>
      </c>
      <c r="AA4336" s="58"/>
      <c r="AB4336" s="53">
        <f>AD4336/AC4336</f>
        <v>5</v>
      </c>
      <c r="AC4336" s="53">
        <f>M4336+$AE$10</f>
        <v>7.6445600000000056</v>
      </c>
      <c r="AD4336" s="54">
        <f>SUM(AD4337)</f>
        <v>38.222800000000028</v>
      </c>
      <c r="AE4336" s="184">
        <f>SUMIFS($AD$37:$AD$12971,$V$37:$V$12971,$V4336,$X$37:$X$12971,AE$13)</f>
        <v>0</v>
      </c>
      <c r="AF4336" s="185">
        <f>SUMIFS($AD$37:$AD$12971,$V$37:$V$12971,$V4336,$X$37:$X$12971,AF$13)</f>
        <v>0</v>
      </c>
      <c r="AG4336" s="185">
        <f>SUMIFS($AD$37:$AD$12971,$V$37:$V$12971,$V4336,$X$37:$X$12971,AG$13)</f>
        <v>0</v>
      </c>
      <c r="AH4336" s="187">
        <f>SUMIFS($AD$37:$AD$12971,$V$37:$V$12971,$V4336,$X$37:$X$12971,AH$13)</f>
        <v>0</v>
      </c>
      <c r="AI4336" s="161">
        <f t="shared" ref="AI4336" si="3166">SUM(AE4336:AH4336)</f>
        <v>0</v>
      </c>
      <c r="AK4336" s="172"/>
    </row>
    <row r="4337" spans="1:41" s="102" customFormat="1" ht="19.899999999999999" customHeight="1" x14ac:dyDescent="0.25">
      <c r="A4337" s="45"/>
      <c r="B4337" s="59"/>
      <c r="C4337" s="137"/>
      <c r="D4337" s="59"/>
      <c r="E4337" s="116"/>
      <c r="F4337" s="120"/>
      <c r="G4337" s="120"/>
      <c r="H4337" s="120"/>
      <c r="I4337" s="60"/>
      <c r="J4337" s="116"/>
      <c r="K4337" s="213"/>
      <c r="L4337" s="120"/>
      <c r="M4337" s="120"/>
      <c r="N4337" s="167"/>
      <c r="O4337" s="120"/>
      <c r="P4337" s="120"/>
      <c r="Q4337" s="120"/>
      <c r="R4337" s="120"/>
      <c r="S4337" s="120"/>
      <c r="T4337" s="221"/>
      <c r="U4337" s="89"/>
      <c r="V4337" s="61"/>
      <c r="W4337" s="92" t="s">
        <v>1039</v>
      </c>
      <c r="X4337" s="93" t="s">
        <v>32</v>
      </c>
      <c r="Y4337" s="93" t="s">
        <v>68</v>
      </c>
      <c r="Z4337" s="134">
        <f>VLOOKUP(W4337,Sheet2!$B:$D,3,FALSE)</f>
        <v>5</v>
      </c>
      <c r="AA4337" s="93">
        <v>1</v>
      </c>
      <c r="AB4337" s="93">
        <f>AD4337/AC4336</f>
        <v>5</v>
      </c>
      <c r="AC4337" s="93">
        <f>AC4336/AA4337</f>
        <v>7.6445600000000056</v>
      </c>
      <c r="AD4337" s="94">
        <f t="shared" ref="AD4337" si="3167">AC4337*Z4337</f>
        <v>38.222800000000028</v>
      </c>
      <c r="AE4337" s="190"/>
      <c r="AF4337" s="191"/>
      <c r="AG4337" s="191"/>
      <c r="AH4337" s="191"/>
      <c r="AI4337" s="186"/>
      <c r="AK4337" s="171"/>
    </row>
    <row r="4338" spans="1:41" ht="20.100000000000001" customHeight="1" x14ac:dyDescent="0.25">
      <c r="A4338" s="277" t="s">
        <v>491</v>
      </c>
      <c r="B4338" s="278"/>
      <c r="C4338" s="64" t="s">
        <v>1202</v>
      </c>
      <c r="D4338" s="46" t="s">
        <v>97</v>
      </c>
      <c r="E4338" s="114">
        <v>11.618039999999979</v>
      </c>
      <c r="F4338" s="44">
        <v>1460</v>
      </c>
      <c r="G4338" s="44">
        <f t="shared" si="2434"/>
        <v>16962.338399999971</v>
      </c>
      <c r="H4338" s="44">
        <f t="shared" si="2435"/>
        <v>554.21745098039219</v>
      </c>
      <c r="I4338" s="43">
        <f t="shared" si="2436"/>
        <v>6438.9205141882239</v>
      </c>
      <c r="J4338" s="112">
        <f t="shared" si="2437"/>
        <v>11.618039999999979</v>
      </c>
      <c r="K4338" s="211">
        <f t="shared" si="2438"/>
        <v>11.618039999999979</v>
      </c>
      <c r="L4338" s="44"/>
      <c r="M4338" s="44">
        <f t="shared" si="2458"/>
        <v>11.618039999999979</v>
      </c>
      <c r="N4338" s="173">
        <f t="shared" si="2439"/>
        <v>1</v>
      </c>
      <c r="O4338" s="44">
        <f t="shared" si="2440"/>
        <v>1460</v>
      </c>
      <c r="P4338" s="44">
        <f t="shared" si="2441"/>
        <v>16962.338399999971</v>
      </c>
      <c r="Q4338" s="44">
        <f t="shared" si="2442"/>
        <v>554.21745098039219</v>
      </c>
      <c r="R4338" s="44">
        <f t="shared" si="2459"/>
        <v>6438.9205141882239</v>
      </c>
      <c r="S4338" s="123"/>
      <c r="T4338" s="219">
        <f t="shared" si="2460"/>
        <v>6438.9205141882239</v>
      </c>
      <c r="U4338" s="87"/>
      <c r="V4338" s="47"/>
      <c r="W4338" s="48"/>
      <c r="X4338" s="48"/>
      <c r="Y4338" s="48"/>
      <c r="Z4338" s="135"/>
      <c r="AA4338" s="49"/>
      <c r="AB4338" s="50">
        <f t="shared" si="2443"/>
        <v>554.21745098039219</v>
      </c>
      <c r="AC4338" s="42">
        <f t="shared" si="2461"/>
        <v>11.618039999999979</v>
      </c>
      <c r="AD4338" s="90">
        <f>AD4339+AD4349+AD4355</f>
        <v>6438.9205141882239</v>
      </c>
      <c r="AE4338" s="188">
        <f t="shared" ref="AE4338" si="3168">AE4339+AE4349+AE4355</f>
        <v>0</v>
      </c>
      <c r="AF4338" s="189">
        <f t="shared" ref="AF4338" si="3169">AF4339+AF4349+AF4355</f>
        <v>0</v>
      </c>
      <c r="AG4338" s="189">
        <f t="shared" ref="AG4338" si="3170">AG4339+AG4349+AG4355</f>
        <v>0</v>
      </c>
      <c r="AH4338" s="189">
        <f t="shared" ref="AH4338" si="3171">AH4339+AH4349+AH4355</f>
        <v>0</v>
      </c>
      <c r="AI4338" s="161">
        <f t="shared" ref="AI4338" si="3172">SUM(AE4338:AH4338)</f>
        <v>0</v>
      </c>
      <c r="AK4338" s="169">
        <v>5</v>
      </c>
      <c r="AO4338" s="19" t="s">
        <v>63</v>
      </c>
    </row>
    <row r="4339" spans="1:41" s="103" customFormat="1" ht="19.899999999999999" customHeight="1" x14ac:dyDescent="0.25">
      <c r="A4339" s="51"/>
      <c r="B4339" s="52"/>
      <c r="C4339" s="165"/>
      <c r="D4339" s="52"/>
      <c r="E4339" s="115"/>
      <c r="F4339" s="58"/>
      <c r="G4339" s="58"/>
      <c r="H4339" s="58"/>
      <c r="I4339" s="55"/>
      <c r="J4339" s="113">
        <f>J4338</f>
        <v>11.618039999999979</v>
      </c>
      <c r="K4339" s="212">
        <f>K4338</f>
        <v>11.618039999999979</v>
      </c>
      <c r="L4339" s="58"/>
      <c r="M4339" s="58">
        <f>K4339-L4339</f>
        <v>11.618039999999979</v>
      </c>
      <c r="N4339" s="166"/>
      <c r="O4339" s="58"/>
      <c r="P4339" s="58"/>
      <c r="Q4339" s="58"/>
      <c r="R4339" s="58"/>
      <c r="S4339" s="58"/>
      <c r="T4339" s="220"/>
      <c r="U4339" s="88"/>
      <c r="V4339" s="56"/>
      <c r="W4339" s="57" t="s">
        <v>1087</v>
      </c>
      <c r="X4339" s="53"/>
      <c r="Y4339" s="91" t="s">
        <v>68</v>
      </c>
      <c r="Z4339" s="136">
        <f>AD4339/AC4339</f>
        <v>88.634117647058829</v>
      </c>
      <c r="AA4339" s="58"/>
      <c r="AB4339" s="53">
        <f>AD4339/AC4339</f>
        <v>88.634117647058829</v>
      </c>
      <c r="AC4339" s="53">
        <f>M4339+$AE$10</f>
        <v>11.618039999999979</v>
      </c>
      <c r="AD4339" s="54">
        <f>SUM(AD4340:AD4348)</f>
        <v>1029.7547241882335</v>
      </c>
      <c r="AE4339" s="184">
        <f>SUMIFS($AD$37:$AD$12971,$V$37:$V$12971,$V4339,$X$37:$X$12971,AE$13)</f>
        <v>0</v>
      </c>
      <c r="AF4339" s="185">
        <f>SUMIFS($AD$37:$AD$12971,$V$37:$V$12971,$V4339,$X$37:$X$12971,AF$13)</f>
        <v>0</v>
      </c>
      <c r="AG4339" s="185">
        <f>SUMIFS($AD$37:$AD$12971,$V$37:$V$12971,$V4339,$X$37:$X$12971,AG$13)</f>
        <v>0</v>
      </c>
      <c r="AH4339" s="187">
        <f>SUMIFS($AD$37:$AD$12971,$V$37:$V$12971,$V4339,$X$37:$X$12971,AH$13)</f>
        <v>0</v>
      </c>
      <c r="AI4339" s="161">
        <f t="shared" ref="AI4339" si="3173">SUM(AE4339:AH4339)</f>
        <v>0</v>
      </c>
      <c r="AK4339" s="172"/>
    </row>
    <row r="4340" spans="1:41" s="102" customFormat="1" ht="19.899999999999999" customHeight="1" x14ac:dyDescent="0.25">
      <c r="A4340" s="45"/>
      <c r="B4340" s="59"/>
      <c r="C4340" s="137"/>
      <c r="D4340" s="59"/>
      <c r="E4340" s="116"/>
      <c r="F4340" s="120"/>
      <c r="G4340" s="120"/>
      <c r="H4340" s="120"/>
      <c r="I4340" s="60"/>
      <c r="J4340" s="116"/>
      <c r="K4340" s="213"/>
      <c r="L4340" s="120"/>
      <c r="M4340" s="120"/>
      <c r="N4340" s="167"/>
      <c r="O4340" s="120"/>
      <c r="P4340" s="120"/>
      <c r="Q4340" s="120"/>
      <c r="R4340" s="120"/>
      <c r="S4340" s="120"/>
      <c r="T4340" s="221"/>
      <c r="U4340" s="89"/>
      <c r="V4340" s="61"/>
      <c r="W4340" s="92" t="s">
        <v>129</v>
      </c>
      <c r="X4340" s="93" t="s">
        <v>29</v>
      </c>
      <c r="Y4340" s="93" t="s">
        <v>93</v>
      </c>
      <c r="Z4340" s="134">
        <f>VLOOKUP(W4340,Sheet2!$B:$D,3,FALSE)</f>
        <v>56</v>
      </c>
      <c r="AA4340" s="93">
        <f>100/(1.5*4)</f>
        <v>16.666666666666668</v>
      </c>
      <c r="AB4340" s="93">
        <f t="shared" ref="AB4340" si="3174">AD4340/AC4339</f>
        <v>3.36</v>
      </c>
      <c r="AC4340" s="93">
        <f>AC4339/AA4340</f>
        <v>0.69708239999999866</v>
      </c>
      <c r="AD4340" s="94">
        <f t="shared" ref="AD4340:AD4341" si="3175">AC4340*Z4340</f>
        <v>39.036614399999927</v>
      </c>
      <c r="AE4340" s="190"/>
      <c r="AF4340" s="191"/>
      <c r="AG4340" s="191"/>
      <c r="AH4340" s="191"/>
      <c r="AI4340" s="186"/>
      <c r="AK4340" s="171"/>
    </row>
    <row r="4341" spans="1:41" s="102" customFormat="1" ht="19.899999999999999" customHeight="1" x14ac:dyDescent="0.25">
      <c r="A4341" s="45"/>
      <c r="B4341" s="59"/>
      <c r="C4341" s="137"/>
      <c r="D4341" s="59"/>
      <c r="E4341" s="116"/>
      <c r="F4341" s="120"/>
      <c r="G4341" s="120"/>
      <c r="H4341" s="120"/>
      <c r="I4341" s="60"/>
      <c r="J4341" s="116"/>
      <c r="K4341" s="213"/>
      <c r="L4341" s="120"/>
      <c r="M4341" s="120"/>
      <c r="N4341" s="167"/>
      <c r="O4341" s="120"/>
      <c r="P4341" s="120"/>
      <c r="Q4341" s="120"/>
      <c r="R4341" s="120"/>
      <c r="S4341" s="120"/>
      <c r="T4341" s="221"/>
      <c r="U4341" s="89"/>
      <c r="V4341" s="61"/>
      <c r="W4341" s="92" t="s">
        <v>65</v>
      </c>
      <c r="X4341" s="93" t="s">
        <v>30</v>
      </c>
      <c r="Y4341" s="93" t="s">
        <v>1011</v>
      </c>
      <c r="Z4341" s="134">
        <f>VLOOKUP(W4341,Sheet2!$B:$D,3,FALSE)</f>
        <v>1.76</v>
      </c>
      <c r="AA4341" s="93">
        <f>AA4340/14</f>
        <v>1.1904761904761905</v>
      </c>
      <c r="AB4341" s="93">
        <f>AD4341/AC4339</f>
        <v>1.4784000000000002</v>
      </c>
      <c r="AC4341" s="93">
        <f>AC4339/AA4341</f>
        <v>9.7591535999999834</v>
      </c>
      <c r="AD4341" s="94">
        <f t="shared" si="3175"/>
        <v>17.176110335999972</v>
      </c>
      <c r="AE4341" s="190"/>
      <c r="AF4341" s="191"/>
      <c r="AG4341" s="191"/>
      <c r="AH4341" s="191"/>
      <c r="AI4341" s="186"/>
      <c r="AK4341" s="171"/>
    </row>
    <row r="4342" spans="1:41" s="102" customFormat="1" ht="19.899999999999999" customHeight="1" x14ac:dyDescent="0.25">
      <c r="A4342" s="45"/>
      <c r="B4342" s="59"/>
      <c r="C4342" s="137"/>
      <c r="D4342" s="59"/>
      <c r="E4342" s="116"/>
      <c r="F4342" s="120"/>
      <c r="G4342" s="120"/>
      <c r="H4342" s="120"/>
      <c r="I4342" s="60"/>
      <c r="J4342" s="116"/>
      <c r="K4342" s="213"/>
      <c r="L4342" s="120"/>
      <c r="M4342" s="120"/>
      <c r="N4342" s="167"/>
      <c r="O4342" s="120"/>
      <c r="P4342" s="120"/>
      <c r="Q4342" s="120"/>
      <c r="R4342" s="120"/>
      <c r="S4342" s="120"/>
      <c r="T4342" s="221"/>
      <c r="U4342" s="89"/>
      <c r="V4342" s="61"/>
      <c r="W4342" s="92" t="s">
        <v>161</v>
      </c>
      <c r="X4342" s="93" t="s">
        <v>29</v>
      </c>
      <c r="Y4342" s="93" t="s">
        <v>93</v>
      </c>
      <c r="Z4342" s="134">
        <f>VLOOKUP(W4342,Sheet2!$B:$D,3,FALSE)</f>
        <v>48</v>
      </c>
      <c r="AA4342" s="93">
        <f>(16*0.85*1.5)/(1.5*4)</f>
        <v>3.4</v>
      </c>
      <c r="AB4342" s="93">
        <f>AD4342/AC4339</f>
        <v>14.117647058823531</v>
      </c>
      <c r="AC4342" s="93">
        <f>AC4339/AA4342</f>
        <v>3.4170705882352883</v>
      </c>
      <c r="AD4342" s="94">
        <f>AC4342*Z4342</f>
        <v>164.01938823529383</v>
      </c>
      <c r="AE4342" s="190"/>
      <c r="AF4342" s="191"/>
      <c r="AG4342" s="191"/>
      <c r="AH4342" s="191"/>
      <c r="AI4342" s="186"/>
      <c r="AK4342" s="171"/>
    </row>
    <row r="4343" spans="1:41" s="102" customFormat="1" ht="19.899999999999999" customHeight="1" x14ac:dyDescent="0.25">
      <c r="A4343" s="45"/>
      <c r="B4343" s="59"/>
      <c r="C4343" s="137"/>
      <c r="D4343" s="59"/>
      <c r="E4343" s="116"/>
      <c r="F4343" s="120"/>
      <c r="G4343" s="120"/>
      <c r="H4343" s="120"/>
      <c r="I4343" s="60"/>
      <c r="J4343" s="116"/>
      <c r="K4343" s="213"/>
      <c r="L4343" s="120"/>
      <c r="M4343" s="120"/>
      <c r="N4343" s="167"/>
      <c r="O4343" s="120"/>
      <c r="P4343" s="120"/>
      <c r="Q4343" s="120"/>
      <c r="R4343" s="120"/>
      <c r="S4343" s="120"/>
      <c r="T4343" s="221"/>
      <c r="U4343" s="89"/>
      <c r="V4343" s="61"/>
      <c r="W4343" s="92" t="s">
        <v>65</v>
      </c>
      <c r="X4343" s="93" t="s">
        <v>30</v>
      </c>
      <c r="Y4343" s="93" t="s">
        <v>1011</v>
      </c>
      <c r="Z4343" s="134">
        <f>VLOOKUP(W4343,Sheet2!$B:$D,3,FALSE)</f>
        <v>1.76</v>
      </c>
      <c r="AA4343" s="93">
        <f>AA4342/10</f>
        <v>0.33999999999999997</v>
      </c>
      <c r="AB4343" s="93">
        <f>AD4343/AC4339</f>
        <v>5.1764705882352953</v>
      </c>
      <c r="AC4343" s="93">
        <f>AC4339/AA4343</f>
        <v>34.170705882352884</v>
      </c>
      <c r="AD4343" s="94">
        <f>AC4343*Z4343</f>
        <v>60.140442352941079</v>
      </c>
      <c r="AE4343" s="190"/>
      <c r="AF4343" s="191"/>
      <c r="AG4343" s="191"/>
      <c r="AH4343" s="191"/>
      <c r="AI4343" s="186"/>
      <c r="AK4343" s="171"/>
    </row>
    <row r="4344" spans="1:41" s="102" customFormat="1" ht="19.899999999999999" customHeight="1" x14ac:dyDescent="0.25">
      <c r="A4344" s="45"/>
      <c r="B4344" s="59"/>
      <c r="C4344" s="137"/>
      <c r="D4344" s="59"/>
      <c r="E4344" s="116"/>
      <c r="F4344" s="120"/>
      <c r="G4344" s="120"/>
      <c r="H4344" s="120"/>
      <c r="I4344" s="60"/>
      <c r="J4344" s="116"/>
      <c r="K4344" s="213"/>
      <c r="L4344" s="120"/>
      <c r="M4344" s="120"/>
      <c r="N4344" s="167"/>
      <c r="O4344" s="120"/>
      <c r="P4344" s="120"/>
      <c r="Q4344" s="120"/>
      <c r="R4344" s="120"/>
      <c r="S4344" s="120"/>
      <c r="T4344" s="221"/>
      <c r="U4344" s="89"/>
      <c r="V4344" s="61"/>
      <c r="W4344" s="92" t="s">
        <v>1030</v>
      </c>
      <c r="X4344" s="93" t="s">
        <v>29</v>
      </c>
      <c r="Y4344" s="93" t="s">
        <v>93</v>
      </c>
      <c r="Z4344" s="134">
        <f>VLOOKUP(W4344,Sheet2!$B:$D,3,FALSE)</f>
        <v>23</v>
      </c>
      <c r="AA4344" s="93">
        <v>50</v>
      </c>
      <c r="AB4344" s="93">
        <f>AD4344/AC4339</f>
        <v>0.46</v>
      </c>
      <c r="AC4344" s="93">
        <f>AC4339/AA4344</f>
        <v>0.23236079999999959</v>
      </c>
      <c r="AD4344" s="94">
        <f t="shared" ref="AD4344:AD4348" si="3176">AC4344*Z4344</f>
        <v>5.3442983999999907</v>
      </c>
      <c r="AE4344" s="190"/>
      <c r="AF4344" s="191"/>
      <c r="AG4344" s="191"/>
      <c r="AH4344" s="191"/>
      <c r="AI4344" s="186"/>
      <c r="AK4344" s="171"/>
    </row>
    <row r="4345" spans="1:41" s="102" customFormat="1" ht="19.899999999999999" customHeight="1" x14ac:dyDescent="0.25">
      <c r="A4345" s="45"/>
      <c r="B4345" s="59"/>
      <c r="C4345" s="137"/>
      <c r="D4345" s="59"/>
      <c r="E4345" s="116"/>
      <c r="F4345" s="120"/>
      <c r="G4345" s="120"/>
      <c r="H4345" s="120"/>
      <c r="I4345" s="60"/>
      <c r="J4345" s="116"/>
      <c r="K4345" s="213"/>
      <c r="L4345" s="120"/>
      <c r="M4345" s="120"/>
      <c r="N4345" s="167"/>
      <c r="O4345" s="120"/>
      <c r="P4345" s="120"/>
      <c r="Q4345" s="120"/>
      <c r="R4345" s="120"/>
      <c r="S4345" s="120"/>
      <c r="T4345" s="221"/>
      <c r="U4345" s="89"/>
      <c r="V4345" s="61"/>
      <c r="W4345" s="92" t="s">
        <v>65</v>
      </c>
      <c r="X4345" s="93" t="s">
        <v>30</v>
      </c>
      <c r="Y4345" s="93" t="s">
        <v>1011</v>
      </c>
      <c r="Z4345" s="134">
        <f>VLOOKUP(W4345,Sheet2!$B:$D,3,FALSE)</f>
        <v>1.76</v>
      </c>
      <c r="AA4345" s="93">
        <f>AA4344/3</f>
        <v>16.666666666666668</v>
      </c>
      <c r="AB4345" s="93">
        <f>AD4345/AC4339</f>
        <v>0.10559999999999999</v>
      </c>
      <c r="AC4345" s="93">
        <f>AC4339/AA4345</f>
        <v>0.69708239999999866</v>
      </c>
      <c r="AD4345" s="94">
        <f t="shared" si="3176"/>
        <v>1.2268650239999976</v>
      </c>
      <c r="AE4345" s="190"/>
      <c r="AF4345" s="191"/>
      <c r="AG4345" s="191"/>
      <c r="AH4345" s="191"/>
      <c r="AI4345" s="186"/>
      <c r="AK4345" s="171"/>
    </row>
    <row r="4346" spans="1:41" s="102" customFormat="1" ht="19.899999999999999" customHeight="1" x14ac:dyDescent="0.25">
      <c r="A4346" s="45"/>
      <c r="B4346" s="59"/>
      <c r="C4346" s="137"/>
      <c r="D4346" s="59"/>
      <c r="E4346" s="116"/>
      <c r="F4346" s="120"/>
      <c r="G4346" s="120"/>
      <c r="H4346" s="120"/>
      <c r="I4346" s="60"/>
      <c r="J4346" s="116"/>
      <c r="K4346" s="213"/>
      <c r="L4346" s="120"/>
      <c r="M4346" s="120"/>
      <c r="N4346" s="167"/>
      <c r="O4346" s="120"/>
      <c r="P4346" s="120"/>
      <c r="Q4346" s="120"/>
      <c r="R4346" s="120"/>
      <c r="S4346" s="120"/>
      <c r="T4346" s="221"/>
      <c r="U4346" s="89"/>
      <c r="V4346" s="61"/>
      <c r="W4346" s="92" t="s">
        <v>148</v>
      </c>
      <c r="X4346" s="93" t="s">
        <v>29</v>
      </c>
      <c r="Y4346" s="93" t="s">
        <v>93</v>
      </c>
      <c r="Z4346" s="134">
        <f>VLOOKUP(W4346,Sheet2!$B:$D,3,FALSE)</f>
        <v>48</v>
      </c>
      <c r="AA4346" s="93">
        <f>AA4340</f>
        <v>16.666666666666668</v>
      </c>
      <c r="AB4346" s="93">
        <f>AD4346/AC4339</f>
        <v>2.88</v>
      </c>
      <c r="AC4346" s="93">
        <f>AC4339/AA4346</f>
        <v>0.69708239999999866</v>
      </c>
      <c r="AD4346" s="94">
        <f t="shared" si="3176"/>
        <v>33.459955199999939</v>
      </c>
      <c r="AE4346" s="190"/>
      <c r="AF4346" s="191"/>
      <c r="AG4346" s="191"/>
      <c r="AH4346" s="191"/>
      <c r="AI4346" s="186"/>
      <c r="AK4346" s="171"/>
    </row>
    <row r="4347" spans="1:41" s="102" customFormat="1" ht="19.899999999999999" customHeight="1" x14ac:dyDescent="0.25">
      <c r="A4347" s="45"/>
      <c r="B4347" s="59"/>
      <c r="C4347" s="137"/>
      <c r="D4347" s="59"/>
      <c r="E4347" s="116"/>
      <c r="F4347" s="120"/>
      <c r="G4347" s="120"/>
      <c r="H4347" s="120"/>
      <c r="I4347" s="60"/>
      <c r="J4347" s="116"/>
      <c r="K4347" s="213"/>
      <c r="L4347" s="120"/>
      <c r="M4347" s="120"/>
      <c r="N4347" s="167"/>
      <c r="O4347" s="120"/>
      <c r="P4347" s="120"/>
      <c r="Q4347" s="120"/>
      <c r="R4347" s="120"/>
      <c r="S4347" s="120"/>
      <c r="T4347" s="221"/>
      <c r="U4347" s="89"/>
      <c r="V4347" s="61"/>
      <c r="W4347" s="92" t="s">
        <v>65</v>
      </c>
      <c r="X4347" s="93" t="s">
        <v>30</v>
      </c>
      <c r="Y4347" s="93" t="s">
        <v>1011</v>
      </c>
      <c r="Z4347" s="134">
        <f>VLOOKUP(W4347,Sheet2!$B:$D,3,FALSE)</f>
        <v>1.76</v>
      </c>
      <c r="AA4347" s="93">
        <f>AA4346/10</f>
        <v>1.6666666666666667</v>
      </c>
      <c r="AB4347" s="93">
        <f>AD4347/AC4339</f>
        <v>1.0559999999999998</v>
      </c>
      <c r="AC4347" s="93">
        <f>AC4339/AA4347</f>
        <v>6.970823999999987</v>
      </c>
      <c r="AD4347" s="94">
        <f t="shared" si="3176"/>
        <v>12.268650239999976</v>
      </c>
      <c r="AE4347" s="190"/>
      <c r="AF4347" s="191"/>
      <c r="AG4347" s="191"/>
      <c r="AH4347" s="191"/>
      <c r="AI4347" s="186"/>
      <c r="AK4347" s="171"/>
    </row>
    <row r="4348" spans="1:41" s="102" customFormat="1" ht="19.899999999999999" customHeight="1" x14ac:dyDescent="0.25">
      <c r="A4348" s="45"/>
      <c r="B4348" s="59"/>
      <c r="C4348" s="137"/>
      <c r="D4348" s="59"/>
      <c r="E4348" s="116"/>
      <c r="F4348" s="120"/>
      <c r="G4348" s="120"/>
      <c r="H4348" s="120"/>
      <c r="I4348" s="60"/>
      <c r="J4348" s="116"/>
      <c r="K4348" s="213"/>
      <c r="L4348" s="120"/>
      <c r="M4348" s="120"/>
      <c r="N4348" s="167"/>
      <c r="O4348" s="120"/>
      <c r="P4348" s="120"/>
      <c r="Q4348" s="120"/>
      <c r="R4348" s="120"/>
      <c r="S4348" s="120"/>
      <c r="T4348" s="221"/>
      <c r="U4348" s="89"/>
      <c r="V4348" s="61"/>
      <c r="W4348" s="92" t="s">
        <v>1049</v>
      </c>
      <c r="X4348" s="93" t="s">
        <v>30</v>
      </c>
      <c r="Y4348" s="93" t="s">
        <v>68</v>
      </c>
      <c r="Z4348" s="134">
        <f>VLOOKUP(W4348,Sheet2!$B:$D,3,FALSE)</f>
        <v>60</v>
      </c>
      <c r="AA4348" s="93">
        <v>1</v>
      </c>
      <c r="AB4348" s="93">
        <f>AD4348/AC4339</f>
        <v>60</v>
      </c>
      <c r="AC4348" s="93">
        <f>AC4339/AA4348</f>
        <v>11.618039999999979</v>
      </c>
      <c r="AD4348" s="94">
        <f t="shared" si="3176"/>
        <v>697.08239999999876</v>
      </c>
      <c r="AE4348" s="190"/>
      <c r="AF4348" s="191"/>
      <c r="AG4348" s="191"/>
      <c r="AH4348" s="191"/>
      <c r="AI4348" s="186"/>
      <c r="AK4348" s="171"/>
    </row>
    <row r="4349" spans="1:41" s="103" customFormat="1" ht="19.899999999999999" customHeight="1" x14ac:dyDescent="0.25">
      <c r="A4349" s="51"/>
      <c r="B4349" s="52"/>
      <c r="C4349" s="165"/>
      <c r="D4349" s="52"/>
      <c r="E4349" s="115"/>
      <c r="F4349" s="58"/>
      <c r="G4349" s="58"/>
      <c r="H4349" s="58"/>
      <c r="I4349" s="55"/>
      <c r="J4349" s="113">
        <f>J4338</f>
        <v>11.618039999999979</v>
      </c>
      <c r="K4349" s="212">
        <f>K4338</f>
        <v>11.618039999999979</v>
      </c>
      <c r="L4349" s="58"/>
      <c r="M4349" s="58">
        <f>K4349-L4349</f>
        <v>11.618039999999979</v>
      </c>
      <c r="N4349" s="166"/>
      <c r="O4349" s="58"/>
      <c r="P4349" s="58"/>
      <c r="Q4349" s="58"/>
      <c r="R4349" s="58"/>
      <c r="S4349" s="58"/>
      <c r="T4349" s="220"/>
      <c r="U4349" s="88"/>
      <c r="V4349" s="56"/>
      <c r="W4349" s="57" t="s">
        <v>1036</v>
      </c>
      <c r="X4349" s="53"/>
      <c r="Y4349" s="91" t="s">
        <v>68</v>
      </c>
      <c r="Z4349" s="136">
        <f>AD4349/AC4349</f>
        <v>460.58333333333343</v>
      </c>
      <c r="AA4349" s="58"/>
      <c r="AB4349" s="53">
        <f>AD4349/AC4349</f>
        <v>460.58333333333343</v>
      </c>
      <c r="AC4349" s="53">
        <f>M4349+$AE$10</f>
        <v>11.618039999999979</v>
      </c>
      <c r="AD4349" s="54">
        <f>SUM(AD4350:AD4354)</f>
        <v>5351.0755899999913</v>
      </c>
      <c r="AE4349" s="184">
        <f>SUMIFS($AD$37:$AD$12971,$V$37:$V$12971,$V4349,$X$37:$X$12971,AE$13)</f>
        <v>0</v>
      </c>
      <c r="AF4349" s="185">
        <f>SUMIFS($AD$37:$AD$12971,$V$37:$V$12971,$V4349,$X$37:$X$12971,AF$13)</f>
        <v>0</v>
      </c>
      <c r="AG4349" s="185">
        <f>SUMIFS($AD$37:$AD$12971,$V$37:$V$12971,$V4349,$X$37:$X$12971,AG$13)</f>
        <v>0</v>
      </c>
      <c r="AH4349" s="187">
        <f>SUMIFS($AD$37:$AD$12971,$V$37:$V$12971,$V4349,$X$37:$X$12971,AH$13)</f>
        <v>0</v>
      </c>
      <c r="AI4349" s="161">
        <f t="shared" ref="AI4349" si="3177">SUM(AE4349:AH4349)</f>
        <v>0</v>
      </c>
      <c r="AK4349" s="172"/>
    </row>
    <row r="4350" spans="1:41" s="102" customFormat="1" ht="19.899999999999999" customHeight="1" x14ac:dyDescent="0.25">
      <c r="A4350" s="45"/>
      <c r="B4350" s="59"/>
      <c r="C4350" s="137"/>
      <c r="D4350" s="59"/>
      <c r="E4350" s="116"/>
      <c r="F4350" s="120"/>
      <c r="G4350" s="120"/>
      <c r="H4350" s="120"/>
      <c r="I4350" s="60"/>
      <c r="J4350" s="116"/>
      <c r="K4350" s="213"/>
      <c r="L4350" s="120"/>
      <c r="M4350" s="120"/>
      <c r="N4350" s="167"/>
      <c r="O4350" s="120"/>
      <c r="P4350" s="120"/>
      <c r="Q4350" s="120"/>
      <c r="R4350" s="120"/>
      <c r="S4350" s="120"/>
      <c r="T4350" s="221"/>
      <c r="U4350" s="89"/>
      <c r="V4350" s="61"/>
      <c r="W4350" s="92" t="s">
        <v>1255</v>
      </c>
      <c r="X4350" s="93" t="s">
        <v>30</v>
      </c>
      <c r="Y4350" s="93" t="s">
        <v>68</v>
      </c>
      <c r="Z4350" s="134">
        <f>VLOOKUP(W4350,Sheet2!$B:$D,3,FALSE)</f>
        <v>345</v>
      </c>
      <c r="AA4350" s="93">
        <v>1</v>
      </c>
      <c r="AB4350" s="93">
        <f>AD4350/AC4349</f>
        <v>345</v>
      </c>
      <c r="AC4350" s="93">
        <f>AC4349/AA4350</f>
        <v>11.618039999999979</v>
      </c>
      <c r="AD4350" s="94">
        <f t="shared" ref="AD4350" si="3178">AC4350*Z4350</f>
        <v>4008.2237999999929</v>
      </c>
      <c r="AE4350" s="190"/>
      <c r="AF4350" s="191"/>
      <c r="AG4350" s="191"/>
      <c r="AH4350" s="191"/>
      <c r="AI4350" s="186"/>
      <c r="AK4350" s="171"/>
    </row>
    <row r="4351" spans="1:41" s="102" customFormat="1" ht="19.899999999999999" customHeight="1" x14ac:dyDescent="0.25">
      <c r="A4351" s="45"/>
      <c r="B4351" s="59"/>
      <c r="C4351" s="137"/>
      <c r="D4351" s="59"/>
      <c r="E4351" s="116"/>
      <c r="F4351" s="120"/>
      <c r="G4351" s="120"/>
      <c r="H4351" s="120"/>
      <c r="I4351" s="60"/>
      <c r="J4351" s="116"/>
      <c r="K4351" s="213"/>
      <c r="L4351" s="120"/>
      <c r="M4351" s="120"/>
      <c r="N4351" s="167"/>
      <c r="O4351" s="120"/>
      <c r="P4351" s="120"/>
      <c r="Q4351" s="120"/>
      <c r="R4351" s="120"/>
      <c r="S4351" s="120"/>
      <c r="T4351" s="221"/>
      <c r="U4351" s="89"/>
      <c r="V4351" s="61"/>
      <c r="W4351" s="92" t="s">
        <v>1256</v>
      </c>
      <c r="X4351" s="93" t="s">
        <v>32</v>
      </c>
      <c r="Y4351" s="93" t="s">
        <v>68</v>
      </c>
      <c r="Z4351" s="134">
        <f>VLOOKUP(W4351,Sheet2!$B:$D,3,FALSE)</f>
        <v>55</v>
      </c>
      <c r="AA4351" s="93">
        <v>1</v>
      </c>
      <c r="AB4351" s="93">
        <f>AD4351/AC4349</f>
        <v>55</v>
      </c>
      <c r="AC4351" s="93">
        <f>AC4349/AA4351</f>
        <v>11.618039999999979</v>
      </c>
      <c r="AD4351" s="94">
        <f>AC4351*Z4351</f>
        <v>638.99219999999889</v>
      </c>
      <c r="AE4351" s="190"/>
      <c r="AF4351" s="191"/>
      <c r="AG4351" s="191"/>
      <c r="AH4351" s="191"/>
      <c r="AI4351" s="186"/>
      <c r="AK4351" s="171"/>
    </row>
    <row r="4352" spans="1:41" s="102" customFormat="1" ht="19.899999999999999" customHeight="1" x14ac:dyDescent="0.25">
      <c r="A4352" s="45"/>
      <c r="B4352" s="59"/>
      <c r="C4352" s="137"/>
      <c r="D4352" s="59"/>
      <c r="E4352" s="116"/>
      <c r="F4352" s="120"/>
      <c r="G4352" s="120"/>
      <c r="H4352" s="120"/>
      <c r="I4352" s="60"/>
      <c r="J4352" s="116"/>
      <c r="K4352" s="213"/>
      <c r="L4352" s="120"/>
      <c r="M4352" s="120"/>
      <c r="N4352" s="167"/>
      <c r="O4352" s="120"/>
      <c r="P4352" s="120"/>
      <c r="Q4352" s="120"/>
      <c r="R4352" s="120"/>
      <c r="S4352" s="120"/>
      <c r="T4352" s="221"/>
      <c r="U4352" s="89"/>
      <c r="V4352" s="61"/>
      <c r="W4352" s="92" t="s">
        <v>1032</v>
      </c>
      <c r="X4352" s="93" t="s">
        <v>30</v>
      </c>
      <c r="Y4352" s="93" t="s">
        <v>66</v>
      </c>
      <c r="Z4352" s="134">
        <f>VLOOKUP(W4352,Sheet2!$B:$D,3,FALSE)</f>
        <v>250</v>
      </c>
      <c r="AA4352" s="93">
        <f>1/(1.5*0.1)</f>
        <v>6.6666666666666661</v>
      </c>
      <c r="AB4352" s="93">
        <f>AD4352/AC4349</f>
        <v>37.5</v>
      </c>
      <c r="AC4352" s="93">
        <f>AC4349/AA4352</f>
        <v>1.742705999999997</v>
      </c>
      <c r="AD4352" s="94">
        <f>AC4352*Z4352</f>
        <v>435.67649999999924</v>
      </c>
      <c r="AE4352" s="190"/>
      <c r="AF4352" s="191"/>
      <c r="AG4352" s="191"/>
      <c r="AH4352" s="191"/>
      <c r="AI4352" s="186"/>
      <c r="AK4352" s="171"/>
    </row>
    <row r="4353" spans="1:41" s="102" customFormat="1" ht="19.899999999999999" customHeight="1" x14ac:dyDescent="0.25">
      <c r="A4353" s="45"/>
      <c r="B4353" s="59"/>
      <c r="C4353" s="137"/>
      <c r="D4353" s="59"/>
      <c r="E4353" s="116"/>
      <c r="F4353" s="120"/>
      <c r="G4353" s="120"/>
      <c r="H4353" s="120"/>
      <c r="I4353" s="60"/>
      <c r="J4353" s="116"/>
      <c r="K4353" s="213"/>
      <c r="L4353" s="120"/>
      <c r="M4353" s="120"/>
      <c r="N4353" s="167"/>
      <c r="O4353" s="120"/>
      <c r="P4353" s="120"/>
      <c r="Q4353" s="120"/>
      <c r="R4353" s="120"/>
      <c r="S4353" s="120"/>
      <c r="T4353" s="221"/>
      <c r="U4353" s="89"/>
      <c r="V4353" s="61"/>
      <c r="W4353" s="92" t="s">
        <v>1035</v>
      </c>
      <c r="X4353" s="93" t="s">
        <v>32</v>
      </c>
      <c r="Y4353" s="93" t="s">
        <v>66</v>
      </c>
      <c r="Z4353" s="134">
        <f>VLOOKUP(W4353,Sheet2!$B:$D,3,FALSE)</f>
        <v>150</v>
      </c>
      <c r="AA4353" s="93">
        <f>AA4352</f>
        <v>6.6666666666666661</v>
      </c>
      <c r="AB4353" s="93">
        <f>AD4353/AC4349</f>
        <v>22.5</v>
      </c>
      <c r="AC4353" s="93">
        <f>AC4349/AA4353</f>
        <v>1.742705999999997</v>
      </c>
      <c r="AD4353" s="94">
        <f t="shared" ref="AD4353:AD4354" si="3179">AC4353*Z4353</f>
        <v>261.40589999999952</v>
      </c>
      <c r="AE4353" s="190"/>
      <c r="AF4353" s="191"/>
      <c r="AG4353" s="191"/>
      <c r="AH4353" s="191"/>
      <c r="AI4353" s="186"/>
      <c r="AK4353" s="171"/>
    </row>
    <row r="4354" spans="1:41" s="102" customFormat="1" ht="19.899999999999999" customHeight="1" x14ac:dyDescent="0.25">
      <c r="A4354" s="45"/>
      <c r="B4354" s="59"/>
      <c r="C4354" s="137"/>
      <c r="D4354" s="59"/>
      <c r="E4354" s="116"/>
      <c r="F4354" s="120"/>
      <c r="G4354" s="120"/>
      <c r="H4354" s="120"/>
      <c r="I4354" s="60"/>
      <c r="J4354" s="116"/>
      <c r="K4354" s="213"/>
      <c r="L4354" s="120"/>
      <c r="M4354" s="120"/>
      <c r="N4354" s="167"/>
      <c r="O4354" s="120"/>
      <c r="P4354" s="120"/>
      <c r="Q4354" s="120"/>
      <c r="R4354" s="120"/>
      <c r="S4354" s="120"/>
      <c r="T4354" s="221"/>
      <c r="U4354" s="89"/>
      <c r="V4354" s="61"/>
      <c r="W4354" s="92" t="s">
        <v>1037</v>
      </c>
      <c r="X4354" s="93" t="s">
        <v>30</v>
      </c>
      <c r="Y4354" s="93" t="s">
        <v>1038</v>
      </c>
      <c r="Z4354" s="134">
        <f>VLOOKUP(W4354,Sheet2!$B:$D,3,FALSE)</f>
        <v>175</v>
      </c>
      <c r="AA4354" s="93">
        <v>300</v>
      </c>
      <c r="AB4354" s="93">
        <f>AD4354/AC4349</f>
        <v>0.58333333333333326</v>
      </c>
      <c r="AC4354" s="93">
        <f>AC4349/AA4354</f>
        <v>3.8726799999999929E-2</v>
      </c>
      <c r="AD4354" s="94">
        <f t="shared" si="3179"/>
        <v>6.7771899999999876</v>
      </c>
      <c r="AE4354" s="190"/>
      <c r="AF4354" s="191"/>
      <c r="AG4354" s="191"/>
      <c r="AH4354" s="191"/>
      <c r="AI4354" s="186"/>
      <c r="AK4354" s="171"/>
    </row>
    <row r="4355" spans="1:41" s="103" customFormat="1" ht="19.899999999999999" customHeight="1" x14ac:dyDescent="0.25">
      <c r="A4355" s="51"/>
      <c r="B4355" s="52"/>
      <c r="C4355" s="165"/>
      <c r="D4355" s="52"/>
      <c r="E4355" s="115"/>
      <c r="F4355" s="58"/>
      <c r="G4355" s="58"/>
      <c r="H4355" s="58"/>
      <c r="I4355" s="55"/>
      <c r="J4355" s="113">
        <f>J4338</f>
        <v>11.618039999999979</v>
      </c>
      <c r="K4355" s="212">
        <f>K4338</f>
        <v>11.618039999999979</v>
      </c>
      <c r="L4355" s="58"/>
      <c r="M4355" s="58">
        <f>K4355-L4355</f>
        <v>11.618039999999979</v>
      </c>
      <c r="N4355" s="166"/>
      <c r="O4355" s="58"/>
      <c r="P4355" s="58"/>
      <c r="Q4355" s="58"/>
      <c r="R4355" s="58"/>
      <c r="S4355" s="58"/>
      <c r="T4355" s="220"/>
      <c r="U4355" s="88"/>
      <c r="V4355" s="56"/>
      <c r="W4355" s="57" t="s">
        <v>1040</v>
      </c>
      <c r="X4355" s="53"/>
      <c r="Y4355" s="91" t="s">
        <v>68</v>
      </c>
      <c r="Z4355" s="136">
        <f>AD4355/AC4355</f>
        <v>5</v>
      </c>
      <c r="AA4355" s="58"/>
      <c r="AB4355" s="53">
        <f>AD4355/AC4355</f>
        <v>5</v>
      </c>
      <c r="AC4355" s="53">
        <f>M4355+$AE$10</f>
        <v>11.618039999999979</v>
      </c>
      <c r="AD4355" s="54">
        <f>SUM(AD4356)</f>
        <v>58.090199999999896</v>
      </c>
      <c r="AE4355" s="184">
        <f>SUMIFS($AD$37:$AD$12971,$V$37:$V$12971,$V4355,$X$37:$X$12971,AE$13)</f>
        <v>0</v>
      </c>
      <c r="AF4355" s="185">
        <f>SUMIFS($AD$37:$AD$12971,$V$37:$V$12971,$V4355,$X$37:$X$12971,AF$13)</f>
        <v>0</v>
      </c>
      <c r="AG4355" s="185">
        <f>SUMIFS($AD$37:$AD$12971,$V$37:$V$12971,$V4355,$X$37:$X$12971,AG$13)</f>
        <v>0</v>
      </c>
      <c r="AH4355" s="187">
        <f>SUMIFS($AD$37:$AD$12971,$V$37:$V$12971,$V4355,$X$37:$X$12971,AH$13)</f>
        <v>0</v>
      </c>
      <c r="AI4355" s="161">
        <f t="shared" ref="AI4355" si="3180">SUM(AE4355:AH4355)</f>
        <v>0</v>
      </c>
      <c r="AK4355" s="172"/>
    </row>
    <row r="4356" spans="1:41" s="102" customFormat="1" ht="19.899999999999999" customHeight="1" x14ac:dyDescent="0.25">
      <c r="A4356" s="45"/>
      <c r="B4356" s="59"/>
      <c r="C4356" s="137"/>
      <c r="D4356" s="59"/>
      <c r="E4356" s="116"/>
      <c r="F4356" s="120"/>
      <c r="G4356" s="120"/>
      <c r="H4356" s="120"/>
      <c r="I4356" s="60"/>
      <c r="J4356" s="116"/>
      <c r="K4356" s="213"/>
      <c r="L4356" s="120"/>
      <c r="M4356" s="120"/>
      <c r="N4356" s="167"/>
      <c r="O4356" s="120"/>
      <c r="P4356" s="120"/>
      <c r="Q4356" s="120"/>
      <c r="R4356" s="120"/>
      <c r="S4356" s="120"/>
      <c r="T4356" s="221"/>
      <c r="U4356" s="89"/>
      <c r="V4356" s="61"/>
      <c r="W4356" s="92" t="s">
        <v>1039</v>
      </c>
      <c r="X4356" s="93" t="s">
        <v>32</v>
      </c>
      <c r="Y4356" s="93" t="s">
        <v>68</v>
      </c>
      <c r="Z4356" s="134">
        <f>VLOOKUP(W4356,Sheet2!$B:$D,3,FALSE)</f>
        <v>5</v>
      </c>
      <c r="AA4356" s="93">
        <v>1</v>
      </c>
      <c r="AB4356" s="93">
        <f>AD4356/AC4355</f>
        <v>5</v>
      </c>
      <c r="AC4356" s="93">
        <f>AC4355/AA4356</f>
        <v>11.618039999999979</v>
      </c>
      <c r="AD4356" s="94">
        <f t="shared" ref="AD4356" si="3181">AC4356*Z4356</f>
        <v>58.090199999999896</v>
      </c>
      <c r="AE4356" s="190"/>
      <c r="AF4356" s="191"/>
      <c r="AG4356" s="191"/>
      <c r="AH4356" s="191"/>
      <c r="AI4356" s="186"/>
      <c r="AK4356" s="171"/>
    </row>
    <row r="4357" spans="1:41" s="102" customFormat="1" ht="63" x14ac:dyDescent="0.25">
      <c r="A4357" s="45" t="s">
        <v>491</v>
      </c>
      <c r="B4357" s="276"/>
      <c r="C4357" s="285" t="s">
        <v>504</v>
      </c>
      <c r="D4357" s="59"/>
      <c r="E4357" s="116"/>
      <c r="F4357" s="120"/>
      <c r="G4357" s="120">
        <f t="shared" si="2434"/>
        <v>0</v>
      </c>
      <c r="H4357" s="120">
        <f t="shared" si="2435"/>
        <v>0</v>
      </c>
      <c r="I4357" s="60">
        <f t="shared" si="2436"/>
        <v>0</v>
      </c>
      <c r="J4357" s="116">
        <f t="shared" si="2437"/>
        <v>0</v>
      </c>
      <c r="K4357" s="213">
        <f t="shared" si="2438"/>
        <v>0</v>
      </c>
      <c r="L4357" s="120"/>
      <c r="M4357" s="120">
        <f t="shared" si="2458"/>
        <v>0</v>
      </c>
      <c r="N4357" s="167">
        <f t="shared" si="2439"/>
        <v>0</v>
      </c>
      <c r="O4357" s="120">
        <f t="shared" si="2440"/>
        <v>0</v>
      </c>
      <c r="P4357" s="120">
        <f t="shared" si="2441"/>
        <v>0</v>
      </c>
      <c r="Q4357" s="120">
        <f t="shared" si="2442"/>
        <v>0</v>
      </c>
      <c r="R4357" s="120">
        <f t="shared" si="2459"/>
        <v>0</v>
      </c>
      <c r="S4357" s="120"/>
      <c r="T4357" s="221">
        <f t="shared" si="2460"/>
        <v>0</v>
      </c>
      <c r="U4357" s="89"/>
      <c r="V4357" s="61"/>
      <c r="W4357" s="92"/>
      <c r="X4357" s="38"/>
      <c r="Y4357" s="93"/>
      <c r="Z4357" s="134"/>
      <c r="AA4357" s="93"/>
      <c r="AB4357" s="93">
        <f t="shared" si="2443"/>
        <v>0</v>
      </c>
      <c r="AC4357" s="93">
        <f t="shared" si="2461"/>
        <v>9.9999999999999998E-20</v>
      </c>
      <c r="AD4357" s="94"/>
      <c r="AE4357" s="190"/>
      <c r="AF4357" s="191"/>
      <c r="AG4357" s="191"/>
      <c r="AH4357" s="191"/>
      <c r="AI4357" s="186"/>
      <c r="AK4357" s="171"/>
    </row>
    <row r="4358" spans="1:41" ht="20.100000000000001" customHeight="1" x14ac:dyDescent="0.25">
      <c r="A4358" s="277" t="s">
        <v>491</v>
      </c>
      <c r="B4358" s="278"/>
      <c r="C4358" s="64" t="s">
        <v>505</v>
      </c>
      <c r="D4358" s="46" t="s">
        <v>328</v>
      </c>
      <c r="E4358" s="114"/>
      <c r="F4358" s="44"/>
      <c r="G4358" s="44">
        <f t="shared" si="2434"/>
        <v>0</v>
      </c>
      <c r="H4358" s="44">
        <f t="shared" si="2435"/>
        <v>0</v>
      </c>
      <c r="I4358" s="43">
        <f t="shared" si="2436"/>
        <v>0</v>
      </c>
      <c r="J4358" s="112">
        <f t="shared" si="2437"/>
        <v>0</v>
      </c>
      <c r="K4358" s="211">
        <f t="shared" si="2438"/>
        <v>0</v>
      </c>
      <c r="L4358" s="44"/>
      <c r="M4358" s="44">
        <f t="shared" si="2458"/>
        <v>0</v>
      </c>
      <c r="N4358" s="173">
        <f t="shared" si="2439"/>
        <v>0</v>
      </c>
      <c r="O4358" s="44">
        <f t="shared" si="2440"/>
        <v>0</v>
      </c>
      <c r="P4358" s="44">
        <f t="shared" si="2441"/>
        <v>0</v>
      </c>
      <c r="Q4358" s="44">
        <f t="shared" si="2442"/>
        <v>0</v>
      </c>
      <c r="R4358" s="44">
        <f t="shared" si="2459"/>
        <v>0</v>
      </c>
      <c r="S4358" s="123"/>
      <c r="T4358" s="219">
        <f t="shared" si="2460"/>
        <v>0</v>
      </c>
      <c r="U4358" s="87"/>
      <c r="V4358" s="47"/>
      <c r="W4358" s="48"/>
      <c r="X4358" s="48"/>
      <c r="Y4358" s="48"/>
      <c r="Z4358" s="135"/>
      <c r="AA4358" s="49"/>
      <c r="AB4358" s="50">
        <f t="shared" si="2443"/>
        <v>0</v>
      </c>
      <c r="AC4358" s="42">
        <f t="shared" si="2461"/>
        <v>9.9999999999999998E-20</v>
      </c>
      <c r="AD4358" s="90"/>
      <c r="AE4358" s="188"/>
      <c r="AF4358" s="189"/>
      <c r="AG4358" s="189"/>
      <c r="AH4358" s="189"/>
      <c r="AI4358" s="161"/>
    </row>
    <row r="4359" spans="1:41" ht="20.100000000000001" customHeight="1" x14ac:dyDescent="0.25">
      <c r="A4359" s="277" t="s">
        <v>491</v>
      </c>
      <c r="B4359" s="278"/>
      <c r="C4359" s="64" t="s">
        <v>506</v>
      </c>
      <c r="D4359" s="46" t="s">
        <v>328</v>
      </c>
      <c r="E4359" s="114"/>
      <c r="F4359" s="44"/>
      <c r="G4359" s="44">
        <f t="shared" si="2434"/>
        <v>0</v>
      </c>
      <c r="H4359" s="44">
        <f t="shared" si="2435"/>
        <v>0</v>
      </c>
      <c r="I4359" s="43">
        <f t="shared" si="2436"/>
        <v>0</v>
      </c>
      <c r="J4359" s="112">
        <f t="shared" si="2437"/>
        <v>0</v>
      </c>
      <c r="K4359" s="211">
        <f t="shared" si="2438"/>
        <v>0</v>
      </c>
      <c r="L4359" s="44"/>
      <c r="M4359" s="44">
        <f t="shared" si="2458"/>
        <v>0</v>
      </c>
      <c r="N4359" s="173">
        <f t="shared" si="2439"/>
        <v>0</v>
      </c>
      <c r="O4359" s="44">
        <f t="shared" si="2440"/>
        <v>0</v>
      </c>
      <c r="P4359" s="44">
        <f t="shared" si="2441"/>
        <v>0</v>
      </c>
      <c r="Q4359" s="44">
        <f t="shared" si="2442"/>
        <v>0</v>
      </c>
      <c r="R4359" s="44">
        <f t="shared" si="2459"/>
        <v>0</v>
      </c>
      <c r="S4359" s="123"/>
      <c r="T4359" s="219">
        <f t="shared" si="2460"/>
        <v>0</v>
      </c>
      <c r="U4359" s="87"/>
      <c r="V4359" s="47"/>
      <c r="W4359" s="48"/>
      <c r="X4359" s="48"/>
      <c r="Y4359" s="48"/>
      <c r="Z4359" s="135"/>
      <c r="AA4359" s="49"/>
      <c r="AB4359" s="50">
        <f t="shared" si="2443"/>
        <v>0</v>
      </c>
      <c r="AC4359" s="42">
        <f t="shared" si="2461"/>
        <v>9.9999999999999998E-20</v>
      </c>
      <c r="AD4359" s="90"/>
      <c r="AE4359" s="188"/>
      <c r="AF4359" s="189"/>
      <c r="AG4359" s="189"/>
      <c r="AH4359" s="189"/>
      <c r="AI4359" s="161"/>
    </row>
    <row r="4360" spans="1:41" ht="20.100000000000001" customHeight="1" x14ac:dyDescent="0.25">
      <c r="A4360" s="277" t="s">
        <v>491</v>
      </c>
      <c r="B4360" s="278"/>
      <c r="C4360" s="64" t="s">
        <v>507</v>
      </c>
      <c r="D4360" s="46" t="s">
        <v>328</v>
      </c>
      <c r="E4360" s="114">
        <v>1.0750000000000002</v>
      </c>
      <c r="F4360" s="44">
        <v>2002</v>
      </c>
      <c r="G4360" s="44">
        <f t="shared" si="2434"/>
        <v>2152.1500000000005</v>
      </c>
      <c r="H4360" s="44">
        <f t="shared" si="2435"/>
        <v>915.71428571428567</v>
      </c>
      <c r="I4360" s="43">
        <f t="shared" si="2436"/>
        <v>984.39285714285722</v>
      </c>
      <c r="J4360" s="112">
        <f t="shared" si="2437"/>
        <v>1.0750000000000002</v>
      </c>
      <c r="K4360" s="211">
        <f t="shared" si="2438"/>
        <v>1.0750000000000002</v>
      </c>
      <c r="L4360" s="44"/>
      <c r="M4360" s="44">
        <f t="shared" si="2458"/>
        <v>1.0750000000000002</v>
      </c>
      <c r="N4360" s="173">
        <f t="shared" si="2439"/>
        <v>1</v>
      </c>
      <c r="O4360" s="44">
        <f t="shared" si="2440"/>
        <v>2002</v>
      </c>
      <c r="P4360" s="44">
        <f t="shared" si="2441"/>
        <v>2152.1500000000005</v>
      </c>
      <c r="Q4360" s="44">
        <f t="shared" si="2442"/>
        <v>915.71428571428567</v>
      </c>
      <c r="R4360" s="44">
        <f t="shared" si="2459"/>
        <v>984.39285714285722</v>
      </c>
      <c r="S4360" s="123"/>
      <c r="T4360" s="219">
        <f t="shared" si="2460"/>
        <v>984.39285714285722</v>
      </c>
      <c r="U4360" s="87"/>
      <c r="V4360" s="47"/>
      <c r="W4360" s="48"/>
      <c r="X4360" s="48"/>
      <c r="Y4360" s="48"/>
      <c r="Z4360" s="135"/>
      <c r="AA4360" s="49"/>
      <c r="AB4360" s="50">
        <f t="shared" si="2443"/>
        <v>915.71428571428567</v>
      </c>
      <c r="AC4360" s="42">
        <f t="shared" si="2461"/>
        <v>1.0750000000000002</v>
      </c>
      <c r="AD4360" s="90">
        <f>AD4361</f>
        <v>984.39285714285722</v>
      </c>
      <c r="AE4360" s="188">
        <f t="shared" ref="AE4360:AH4360" si="3182">AE4361</f>
        <v>0</v>
      </c>
      <c r="AF4360" s="189">
        <f t="shared" si="3182"/>
        <v>0</v>
      </c>
      <c r="AG4360" s="189">
        <f t="shared" si="3182"/>
        <v>0</v>
      </c>
      <c r="AH4360" s="189">
        <f t="shared" si="3182"/>
        <v>0</v>
      </c>
      <c r="AI4360" s="161">
        <f t="shared" ref="AI4360" si="3183">SUM(AE4360:AH4360)</f>
        <v>0</v>
      </c>
      <c r="AK4360" s="169">
        <v>5</v>
      </c>
      <c r="AO4360" s="19" t="s">
        <v>63</v>
      </c>
    </row>
    <row r="4361" spans="1:41" s="103" customFormat="1" ht="19.899999999999999" customHeight="1" x14ac:dyDescent="0.25">
      <c r="A4361" s="51"/>
      <c r="B4361" s="52"/>
      <c r="C4361" s="165"/>
      <c r="D4361" s="52"/>
      <c r="E4361" s="115"/>
      <c r="F4361" s="58"/>
      <c r="G4361" s="58"/>
      <c r="H4361" s="58"/>
      <c r="I4361" s="55"/>
      <c r="J4361" s="113">
        <f>J4360</f>
        <v>1.0750000000000002</v>
      </c>
      <c r="K4361" s="212">
        <f>K4360</f>
        <v>1.0750000000000002</v>
      </c>
      <c r="L4361" s="58"/>
      <c r="M4361" s="58">
        <f>K4361-L4361</f>
        <v>1.0750000000000002</v>
      </c>
      <c r="N4361" s="166"/>
      <c r="O4361" s="58"/>
      <c r="P4361" s="58"/>
      <c r="Q4361" s="58"/>
      <c r="R4361" s="58"/>
      <c r="S4361" s="58"/>
      <c r="T4361" s="220"/>
      <c r="U4361" s="88"/>
      <c r="V4361" s="56"/>
      <c r="W4361" s="57" t="s">
        <v>1294</v>
      </c>
      <c r="X4361" s="53"/>
      <c r="Y4361" s="91" t="s">
        <v>35</v>
      </c>
      <c r="Z4361" s="136">
        <f>AD4361/AC4361</f>
        <v>915.71428571428567</v>
      </c>
      <c r="AA4361" s="58"/>
      <c r="AB4361" s="53">
        <f>AD4361/AC4361</f>
        <v>915.71428571428567</v>
      </c>
      <c r="AC4361" s="53">
        <f>M4361+$AE$10</f>
        <v>1.0750000000000002</v>
      </c>
      <c r="AD4361" s="54">
        <f>SUM(AD4362:AD4364)</f>
        <v>984.39285714285722</v>
      </c>
      <c r="AE4361" s="184">
        <f>SUMIFS($AD$37:$AD$12971,$V$37:$V$12971,$V4361,$X$37:$X$12971,AE$13)</f>
        <v>0</v>
      </c>
      <c r="AF4361" s="185">
        <f>SUMIFS($AD$37:$AD$12971,$V$37:$V$12971,$V4361,$X$37:$X$12971,AF$13)</f>
        <v>0</v>
      </c>
      <c r="AG4361" s="185">
        <f>SUMIFS($AD$37:$AD$12971,$V$37:$V$12971,$V4361,$X$37:$X$12971,AG$13)</f>
        <v>0</v>
      </c>
      <c r="AH4361" s="187">
        <f>SUMIFS($AD$37:$AD$12971,$V$37:$V$12971,$V4361,$X$37:$X$12971,AH$13)</f>
        <v>0</v>
      </c>
      <c r="AI4361" s="161">
        <f t="shared" ref="AI4361" si="3184">SUM(AE4361:AH4361)</f>
        <v>0</v>
      </c>
      <c r="AK4361" s="172"/>
    </row>
    <row r="4362" spans="1:41" s="102" customFormat="1" ht="19.899999999999999" customHeight="1" x14ac:dyDescent="0.25">
      <c r="A4362" s="45"/>
      <c r="B4362" s="59"/>
      <c r="C4362" s="137"/>
      <c r="D4362" s="59"/>
      <c r="E4362" s="116"/>
      <c r="F4362" s="120"/>
      <c r="G4362" s="120"/>
      <c r="H4362" s="120"/>
      <c r="I4362" s="60"/>
      <c r="J4362" s="116"/>
      <c r="K4362" s="213"/>
      <c r="L4362" s="120"/>
      <c r="M4362" s="120"/>
      <c r="N4362" s="167"/>
      <c r="O4362" s="120"/>
      <c r="P4362" s="120"/>
      <c r="Q4362" s="120"/>
      <c r="R4362" s="120"/>
      <c r="S4362" s="120"/>
      <c r="T4362" s="221"/>
      <c r="U4362" s="89"/>
      <c r="V4362" s="61"/>
      <c r="W4362" s="92" t="s">
        <v>1470</v>
      </c>
      <c r="X4362" s="93" t="s">
        <v>30</v>
      </c>
      <c r="Y4362" s="93" t="s">
        <v>35</v>
      </c>
      <c r="Z4362" s="134">
        <f>VLOOKUP(W4362,Sheet2!$B:$D,3,FALSE)</f>
        <v>830</v>
      </c>
      <c r="AA4362" s="93">
        <v>1</v>
      </c>
      <c r="AB4362" s="93">
        <f t="shared" ref="AB4362" si="3185">AD4362/AC4361</f>
        <v>830</v>
      </c>
      <c r="AC4362" s="93">
        <f>AC4361/AA4362</f>
        <v>1.0750000000000002</v>
      </c>
      <c r="AD4362" s="94">
        <f t="shared" ref="AD4362:AD4363" si="3186">AC4362*Z4362</f>
        <v>892.25000000000011</v>
      </c>
      <c r="AE4362" s="190"/>
      <c r="AF4362" s="191"/>
      <c r="AG4362" s="191"/>
      <c r="AH4362" s="191"/>
      <c r="AI4362" s="186"/>
      <c r="AK4362" s="171"/>
    </row>
    <row r="4363" spans="1:41" s="102" customFormat="1" ht="19.899999999999999" customHeight="1" x14ac:dyDescent="0.25">
      <c r="A4363" s="45"/>
      <c r="B4363" s="59"/>
      <c r="C4363" s="137"/>
      <c r="D4363" s="59"/>
      <c r="E4363" s="116"/>
      <c r="F4363" s="120"/>
      <c r="G4363" s="120"/>
      <c r="H4363" s="120"/>
      <c r="I4363" s="60"/>
      <c r="J4363" s="116"/>
      <c r="K4363" s="213"/>
      <c r="L4363" s="120"/>
      <c r="M4363" s="120"/>
      <c r="N4363" s="167"/>
      <c r="O4363" s="120"/>
      <c r="P4363" s="120"/>
      <c r="Q4363" s="120"/>
      <c r="R4363" s="120"/>
      <c r="S4363" s="120"/>
      <c r="T4363" s="221"/>
      <c r="U4363" s="89"/>
      <c r="V4363" s="61"/>
      <c r="W4363" s="92" t="s">
        <v>107</v>
      </c>
      <c r="X4363" s="93" t="s">
        <v>31</v>
      </c>
      <c r="Y4363" s="93" t="s">
        <v>93</v>
      </c>
      <c r="Z4363" s="134">
        <f>VLOOKUP(W4363,Sheet2!$B:$D,3,FALSE)</f>
        <v>17</v>
      </c>
      <c r="AA4363" s="93">
        <v>0.35</v>
      </c>
      <c r="AB4363" s="93">
        <f>AD4363/AC4361</f>
        <v>48.571428571428569</v>
      </c>
      <c r="AC4363" s="93">
        <f>AC4361/AA4363</f>
        <v>3.0714285714285721</v>
      </c>
      <c r="AD4363" s="94">
        <f t="shared" si="3186"/>
        <v>52.214285714285722</v>
      </c>
      <c r="AE4363" s="190"/>
      <c r="AF4363" s="191"/>
      <c r="AG4363" s="191"/>
      <c r="AH4363" s="191"/>
      <c r="AI4363" s="186"/>
      <c r="AK4363" s="171"/>
    </row>
    <row r="4364" spans="1:41" s="102" customFormat="1" ht="19.899999999999999" customHeight="1" x14ac:dyDescent="0.25">
      <c r="A4364" s="45"/>
      <c r="B4364" s="59"/>
      <c r="C4364" s="137"/>
      <c r="D4364" s="59"/>
      <c r="E4364" s="116"/>
      <c r="F4364" s="120"/>
      <c r="G4364" s="120"/>
      <c r="H4364" s="120"/>
      <c r="I4364" s="60"/>
      <c r="J4364" s="116"/>
      <c r="K4364" s="213"/>
      <c r="L4364" s="120"/>
      <c r="M4364" s="120"/>
      <c r="N4364" s="167"/>
      <c r="O4364" s="120"/>
      <c r="P4364" s="120"/>
      <c r="Q4364" s="120"/>
      <c r="R4364" s="120"/>
      <c r="S4364" s="120"/>
      <c r="T4364" s="221"/>
      <c r="U4364" s="89"/>
      <c r="V4364" s="61"/>
      <c r="W4364" s="92" t="s">
        <v>112</v>
      </c>
      <c r="X4364" s="93" t="s">
        <v>31</v>
      </c>
      <c r="Y4364" s="93" t="s">
        <v>93</v>
      </c>
      <c r="Z4364" s="134">
        <f>VLOOKUP(W4364,Sheet2!$B:$D,3,FALSE)</f>
        <v>13</v>
      </c>
      <c r="AA4364" s="93">
        <f>AA4363</f>
        <v>0.35</v>
      </c>
      <c r="AB4364" s="93">
        <f>AD4364/AC4361</f>
        <v>37.142857142857146</v>
      </c>
      <c r="AC4364" s="93">
        <f>AC4361/AA4364</f>
        <v>3.0714285714285721</v>
      </c>
      <c r="AD4364" s="94">
        <f>AC4364*Z4364</f>
        <v>39.928571428571438</v>
      </c>
      <c r="AE4364" s="190"/>
      <c r="AF4364" s="191"/>
      <c r="AG4364" s="191"/>
      <c r="AH4364" s="191"/>
      <c r="AI4364" s="186"/>
      <c r="AK4364" s="171"/>
    </row>
    <row r="4365" spans="1:41" ht="20.100000000000001" customHeight="1" x14ac:dyDescent="0.25">
      <c r="A4365" s="277" t="s">
        <v>491</v>
      </c>
      <c r="B4365" s="278"/>
      <c r="C4365" s="64" t="s">
        <v>508</v>
      </c>
      <c r="D4365" s="46" t="s">
        <v>328</v>
      </c>
      <c r="E4365" s="114"/>
      <c r="F4365" s="44"/>
      <c r="G4365" s="44">
        <f t="shared" si="2434"/>
        <v>0</v>
      </c>
      <c r="H4365" s="44">
        <f t="shared" si="2435"/>
        <v>0</v>
      </c>
      <c r="I4365" s="43">
        <f t="shared" si="2436"/>
        <v>0</v>
      </c>
      <c r="J4365" s="112">
        <f t="shared" si="2437"/>
        <v>0</v>
      </c>
      <c r="K4365" s="211">
        <f t="shared" si="2438"/>
        <v>0</v>
      </c>
      <c r="L4365" s="44"/>
      <c r="M4365" s="44">
        <f t="shared" si="2458"/>
        <v>0</v>
      </c>
      <c r="N4365" s="173">
        <f t="shared" si="2439"/>
        <v>0</v>
      </c>
      <c r="O4365" s="44">
        <f t="shared" si="2440"/>
        <v>0</v>
      </c>
      <c r="P4365" s="44">
        <f t="shared" si="2441"/>
        <v>0</v>
      </c>
      <c r="Q4365" s="44">
        <f t="shared" si="2442"/>
        <v>0</v>
      </c>
      <c r="R4365" s="44">
        <f t="shared" si="2459"/>
        <v>0</v>
      </c>
      <c r="S4365" s="123"/>
      <c r="T4365" s="219">
        <f t="shared" si="2460"/>
        <v>0</v>
      </c>
      <c r="U4365" s="87"/>
      <c r="V4365" s="47"/>
      <c r="W4365" s="48"/>
      <c r="X4365" s="48"/>
      <c r="Y4365" s="48"/>
      <c r="Z4365" s="135"/>
      <c r="AA4365" s="49"/>
      <c r="AB4365" s="50">
        <f t="shared" si="2443"/>
        <v>0</v>
      </c>
      <c r="AC4365" s="42">
        <f t="shared" si="2461"/>
        <v>9.9999999999999998E-20</v>
      </c>
      <c r="AD4365" s="90"/>
      <c r="AE4365" s="188"/>
      <c r="AF4365" s="189"/>
      <c r="AG4365" s="189"/>
      <c r="AH4365" s="189"/>
      <c r="AI4365" s="161"/>
    </row>
    <row r="4366" spans="1:41" ht="20.100000000000001" customHeight="1" x14ac:dyDescent="0.25">
      <c r="A4366" s="277" t="s">
        <v>491</v>
      </c>
      <c r="B4366" s="278"/>
      <c r="C4366" s="64" t="s">
        <v>509</v>
      </c>
      <c r="D4366" s="46" t="s">
        <v>328</v>
      </c>
      <c r="E4366" s="114"/>
      <c r="F4366" s="44"/>
      <c r="G4366" s="44">
        <f t="shared" si="2434"/>
        <v>0</v>
      </c>
      <c r="H4366" s="44">
        <f t="shared" si="2435"/>
        <v>0</v>
      </c>
      <c r="I4366" s="43">
        <f t="shared" si="2436"/>
        <v>0</v>
      </c>
      <c r="J4366" s="112">
        <f t="shared" si="2437"/>
        <v>0</v>
      </c>
      <c r="K4366" s="211">
        <f t="shared" si="2438"/>
        <v>0</v>
      </c>
      <c r="L4366" s="44"/>
      <c r="M4366" s="44">
        <f t="shared" si="2458"/>
        <v>0</v>
      </c>
      <c r="N4366" s="173">
        <f t="shared" si="2439"/>
        <v>0</v>
      </c>
      <c r="O4366" s="44">
        <f t="shared" si="2440"/>
        <v>0</v>
      </c>
      <c r="P4366" s="44">
        <f t="shared" si="2441"/>
        <v>0</v>
      </c>
      <c r="Q4366" s="44">
        <f t="shared" si="2442"/>
        <v>0</v>
      </c>
      <c r="R4366" s="44">
        <f t="shared" si="2459"/>
        <v>0</v>
      </c>
      <c r="S4366" s="123"/>
      <c r="T4366" s="219">
        <f t="shared" si="2460"/>
        <v>0</v>
      </c>
      <c r="U4366" s="87"/>
      <c r="V4366" s="47"/>
      <c r="W4366" s="48"/>
      <c r="X4366" s="48"/>
      <c r="Y4366" s="48"/>
      <c r="Z4366" s="135"/>
      <c r="AA4366" s="49"/>
      <c r="AB4366" s="50">
        <f t="shared" si="2443"/>
        <v>0</v>
      </c>
      <c r="AC4366" s="42">
        <f t="shared" si="2461"/>
        <v>9.9999999999999998E-20</v>
      </c>
      <c r="AD4366" s="90"/>
      <c r="AE4366" s="188"/>
      <c r="AF4366" s="189"/>
      <c r="AG4366" s="189"/>
      <c r="AH4366" s="189"/>
      <c r="AI4366" s="161"/>
    </row>
    <row r="4367" spans="1:41" ht="20.100000000000001" customHeight="1" x14ac:dyDescent="0.25">
      <c r="A4367" s="277" t="s">
        <v>491</v>
      </c>
      <c r="B4367" s="278"/>
      <c r="C4367" s="64" t="s">
        <v>510</v>
      </c>
      <c r="D4367" s="46" t="s">
        <v>328</v>
      </c>
      <c r="E4367" s="114">
        <v>0.15000000000000013</v>
      </c>
      <c r="F4367" s="44">
        <v>3562</v>
      </c>
      <c r="G4367" s="44">
        <f t="shared" si="2434"/>
        <v>534.30000000000052</v>
      </c>
      <c r="H4367" s="44">
        <f t="shared" si="2435"/>
        <v>2520</v>
      </c>
      <c r="I4367" s="43">
        <f t="shared" si="2436"/>
        <v>378.00000000000034</v>
      </c>
      <c r="J4367" s="112">
        <f t="shared" si="2437"/>
        <v>0.15000000000000013</v>
      </c>
      <c r="K4367" s="211">
        <f t="shared" si="2438"/>
        <v>0.15000000000000013</v>
      </c>
      <c r="L4367" s="44"/>
      <c r="M4367" s="44">
        <f t="shared" si="2458"/>
        <v>0.15000000000000013</v>
      </c>
      <c r="N4367" s="173">
        <f t="shared" si="2439"/>
        <v>1</v>
      </c>
      <c r="O4367" s="44">
        <f t="shared" si="2440"/>
        <v>3562</v>
      </c>
      <c r="P4367" s="44">
        <f t="shared" si="2441"/>
        <v>534.30000000000052</v>
      </c>
      <c r="Q4367" s="44">
        <f t="shared" si="2442"/>
        <v>2520</v>
      </c>
      <c r="R4367" s="44">
        <f t="shared" si="2459"/>
        <v>378.00000000000034</v>
      </c>
      <c r="S4367" s="123"/>
      <c r="T4367" s="219">
        <f t="shared" si="2460"/>
        <v>378.00000000000034</v>
      </c>
      <c r="U4367" s="87"/>
      <c r="V4367" s="47"/>
      <c r="W4367" s="48"/>
      <c r="X4367" s="48"/>
      <c r="Y4367" s="48"/>
      <c r="Z4367" s="135"/>
      <c r="AA4367" s="49"/>
      <c r="AB4367" s="50">
        <f t="shared" si="2443"/>
        <v>2520</v>
      </c>
      <c r="AC4367" s="42">
        <f t="shared" si="2461"/>
        <v>0.15000000000000013</v>
      </c>
      <c r="AD4367" s="90">
        <f>AD4368</f>
        <v>378.00000000000034</v>
      </c>
      <c r="AE4367" s="188">
        <f t="shared" ref="AE4367" si="3187">AE4368</f>
        <v>0</v>
      </c>
      <c r="AF4367" s="189">
        <f t="shared" ref="AF4367" si="3188">AF4368</f>
        <v>0</v>
      </c>
      <c r="AG4367" s="189">
        <f t="shared" ref="AG4367" si="3189">AG4368</f>
        <v>0</v>
      </c>
      <c r="AH4367" s="189">
        <f t="shared" ref="AH4367" si="3190">AH4368</f>
        <v>0</v>
      </c>
      <c r="AI4367" s="161">
        <f t="shared" ref="AI4367:AI4368" si="3191">SUM(AE4367:AH4367)</f>
        <v>0</v>
      </c>
      <c r="AK4367" s="169">
        <v>5</v>
      </c>
      <c r="AO4367" s="19" t="s">
        <v>63</v>
      </c>
    </row>
    <row r="4368" spans="1:41" s="103" customFormat="1" ht="19.899999999999999" customHeight="1" x14ac:dyDescent="0.25">
      <c r="A4368" s="51"/>
      <c r="B4368" s="52"/>
      <c r="C4368" s="165"/>
      <c r="D4368" s="52"/>
      <c r="E4368" s="115"/>
      <c r="F4368" s="58"/>
      <c r="G4368" s="58"/>
      <c r="H4368" s="58"/>
      <c r="I4368" s="55"/>
      <c r="J4368" s="113">
        <f>J4367</f>
        <v>0.15000000000000013</v>
      </c>
      <c r="K4368" s="212">
        <f>K4367</f>
        <v>0.15000000000000013</v>
      </c>
      <c r="L4368" s="58"/>
      <c r="M4368" s="58">
        <f>K4368-L4368</f>
        <v>0.15000000000000013</v>
      </c>
      <c r="N4368" s="166"/>
      <c r="O4368" s="58"/>
      <c r="P4368" s="58"/>
      <c r="Q4368" s="58"/>
      <c r="R4368" s="58"/>
      <c r="S4368" s="58"/>
      <c r="T4368" s="220"/>
      <c r="U4368" s="88"/>
      <c r="V4368" s="56"/>
      <c r="W4368" s="57" t="s">
        <v>1294</v>
      </c>
      <c r="X4368" s="53"/>
      <c r="Y4368" s="91" t="s">
        <v>35</v>
      </c>
      <c r="Z4368" s="136">
        <f>AD4368/AC4368</f>
        <v>2520</v>
      </c>
      <c r="AA4368" s="58"/>
      <c r="AB4368" s="53">
        <f>AD4368/AC4368</f>
        <v>2520</v>
      </c>
      <c r="AC4368" s="53">
        <f>M4368+$AE$10</f>
        <v>0.15000000000000013</v>
      </c>
      <c r="AD4368" s="54">
        <f>SUM(AD4369:AD4371)</f>
        <v>378.00000000000034</v>
      </c>
      <c r="AE4368" s="184">
        <f>SUMIFS($AD$37:$AD$12971,$V$37:$V$12971,$V4368,$X$37:$X$12971,AE$13)</f>
        <v>0</v>
      </c>
      <c r="AF4368" s="185">
        <f>SUMIFS($AD$37:$AD$12971,$V$37:$V$12971,$V4368,$X$37:$X$12971,AF$13)</f>
        <v>0</v>
      </c>
      <c r="AG4368" s="185">
        <f>SUMIFS($AD$37:$AD$12971,$V$37:$V$12971,$V4368,$X$37:$X$12971,AG$13)</f>
        <v>0</v>
      </c>
      <c r="AH4368" s="187">
        <f>SUMIFS($AD$37:$AD$12971,$V$37:$V$12971,$V4368,$X$37:$X$12971,AH$13)</f>
        <v>0</v>
      </c>
      <c r="AI4368" s="161">
        <f t="shared" si="3191"/>
        <v>0</v>
      </c>
      <c r="AK4368" s="172"/>
    </row>
    <row r="4369" spans="1:41" s="102" customFormat="1" ht="19.899999999999999" customHeight="1" x14ac:dyDescent="0.25">
      <c r="A4369" s="45"/>
      <c r="B4369" s="59"/>
      <c r="C4369" s="137"/>
      <c r="D4369" s="59"/>
      <c r="E4369" s="116"/>
      <c r="F4369" s="120"/>
      <c r="G4369" s="120"/>
      <c r="H4369" s="120"/>
      <c r="I4369" s="60"/>
      <c r="J4369" s="116"/>
      <c r="K4369" s="213"/>
      <c r="L4369" s="120"/>
      <c r="M4369" s="120"/>
      <c r="N4369" s="167"/>
      <c r="O4369" s="120"/>
      <c r="P4369" s="120"/>
      <c r="Q4369" s="120"/>
      <c r="R4369" s="120"/>
      <c r="S4369" s="120"/>
      <c r="T4369" s="221"/>
      <c r="U4369" s="89"/>
      <c r="V4369" s="61"/>
      <c r="W4369" s="92" t="s">
        <v>1422</v>
      </c>
      <c r="X4369" s="93" t="s">
        <v>30</v>
      </c>
      <c r="Y4369" s="93" t="s">
        <v>35</v>
      </c>
      <c r="Z4369" s="134">
        <f>VLOOKUP(W4369,Sheet2!$B:$D,3,FALSE)</f>
        <v>2370</v>
      </c>
      <c r="AA4369" s="93">
        <v>1</v>
      </c>
      <c r="AB4369" s="93">
        <f t="shared" ref="AB4369" si="3192">AD4369/AC4368</f>
        <v>2370</v>
      </c>
      <c r="AC4369" s="93">
        <f>AC4368/AA4369</f>
        <v>0.15000000000000013</v>
      </c>
      <c r="AD4369" s="94">
        <f t="shared" ref="AD4369:AD4370" si="3193">AC4369*Z4369</f>
        <v>355.50000000000034</v>
      </c>
      <c r="AE4369" s="190"/>
      <c r="AF4369" s="191"/>
      <c r="AG4369" s="191"/>
      <c r="AH4369" s="191"/>
      <c r="AI4369" s="186"/>
      <c r="AK4369" s="171"/>
    </row>
    <row r="4370" spans="1:41" s="102" customFormat="1" ht="19.899999999999999" customHeight="1" x14ac:dyDescent="0.25">
      <c r="A4370" s="45"/>
      <c r="B4370" s="59"/>
      <c r="C4370" s="137"/>
      <c r="D4370" s="59"/>
      <c r="E4370" s="116"/>
      <c r="F4370" s="120"/>
      <c r="G4370" s="120"/>
      <c r="H4370" s="120"/>
      <c r="I4370" s="60"/>
      <c r="J4370" s="116"/>
      <c r="K4370" s="213"/>
      <c r="L4370" s="120"/>
      <c r="M4370" s="120"/>
      <c r="N4370" s="167"/>
      <c r="O4370" s="120"/>
      <c r="P4370" s="120"/>
      <c r="Q4370" s="120"/>
      <c r="R4370" s="120"/>
      <c r="S4370" s="120"/>
      <c r="T4370" s="221"/>
      <c r="U4370" s="89"/>
      <c r="V4370" s="61"/>
      <c r="W4370" s="92" t="s">
        <v>107</v>
      </c>
      <c r="X4370" s="93" t="s">
        <v>31</v>
      </c>
      <c r="Y4370" s="93" t="s">
        <v>93</v>
      </c>
      <c r="Z4370" s="134">
        <f>VLOOKUP(W4370,Sheet2!$B:$D,3,FALSE)</f>
        <v>17</v>
      </c>
      <c r="AA4370" s="93">
        <v>0.2</v>
      </c>
      <c r="AB4370" s="93">
        <f>AD4370/AC4368</f>
        <v>85</v>
      </c>
      <c r="AC4370" s="93">
        <f>AC4368/AA4370</f>
        <v>0.75000000000000067</v>
      </c>
      <c r="AD4370" s="94">
        <f t="shared" si="3193"/>
        <v>12.750000000000011</v>
      </c>
      <c r="AE4370" s="190"/>
      <c r="AF4370" s="191"/>
      <c r="AG4370" s="191"/>
      <c r="AH4370" s="191"/>
      <c r="AI4370" s="186"/>
      <c r="AK4370" s="171"/>
    </row>
    <row r="4371" spans="1:41" s="102" customFormat="1" ht="19.899999999999999" customHeight="1" x14ac:dyDescent="0.25">
      <c r="A4371" s="45"/>
      <c r="B4371" s="59"/>
      <c r="C4371" s="137"/>
      <c r="D4371" s="59"/>
      <c r="E4371" s="116"/>
      <c r="F4371" s="120"/>
      <c r="G4371" s="120"/>
      <c r="H4371" s="120"/>
      <c r="I4371" s="60"/>
      <c r="J4371" s="116"/>
      <c r="K4371" s="213"/>
      <c r="L4371" s="120"/>
      <c r="M4371" s="120"/>
      <c r="N4371" s="167"/>
      <c r="O4371" s="120"/>
      <c r="P4371" s="120"/>
      <c r="Q4371" s="120"/>
      <c r="R4371" s="120"/>
      <c r="S4371" s="120"/>
      <c r="T4371" s="221"/>
      <c r="U4371" s="89"/>
      <c r="V4371" s="61"/>
      <c r="W4371" s="92" t="s">
        <v>112</v>
      </c>
      <c r="X4371" s="93" t="s">
        <v>31</v>
      </c>
      <c r="Y4371" s="93" t="s">
        <v>93</v>
      </c>
      <c r="Z4371" s="134">
        <f>VLOOKUP(W4371,Sheet2!$B:$D,3,FALSE)</f>
        <v>13</v>
      </c>
      <c r="AA4371" s="93">
        <f>AA4370</f>
        <v>0.2</v>
      </c>
      <c r="AB4371" s="93">
        <f>AD4371/AC4368</f>
        <v>65</v>
      </c>
      <c r="AC4371" s="93">
        <f>AC4368/AA4371</f>
        <v>0.75000000000000067</v>
      </c>
      <c r="AD4371" s="94">
        <f>AC4371*Z4371</f>
        <v>9.7500000000000089</v>
      </c>
      <c r="AE4371" s="190"/>
      <c r="AF4371" s="191"/>
      <c r="AG4371" s="191"/>
      <c r="AH4371" s="191"/>
      <c r="AI4371" s="186"/>
      <c r="AK4371" s="171"/>
    </row>
    <row r="4372" spans="1:41" ht="20.100000000000001" customHeight="1" x14ac:dyDescent="0.25">
      <c r="A4372" s="277" t="s">
        <v>491</v>
      </c>
      <c r="B4372" s="278"/>
      <c r="C4372" s="64" t="s">
        <v>511</v>
      </c>
      <c r="D4372" s="46" t="s">
        <v>328</v>
      </c>
      <c r="E4372" s="114"/>
      <c r="F4372" s="44"/>
      <c r="G4372" s="44">
        <f t="shared" si="2434"/>
        <v>0</v>
      </c>
      <c r="H4372" s="44">
        <f t="shared" si="2435"/>
        <v>0</v>
      </c>
      <c r="I4372" s="43">
        <f t="shared" si="2436"/>
        <v>0</v>
      </c>
      <c r="J4372" s="112">
        <f t="shared" si="2437"/>
        <v>0</v>
      </c>
      <c r="K4372" s="211">
        <f t="shared" si="2438"/>
        <v>0</v>
      </c>
      <c r="L4372" s="44"/>
      <c r="M4372" s="44">
        <f t="shared" si="2458"/>
        <v>0</v>
      </c>
      <c r="N4372" s="173">
        <f t="shared" si="2439"/>
        <v>0</v>
      </c>
      <c r="O4372" s="44">
        <f t="shared" si="2440"/>
        <v>0</v>
      </c>
      <c r="P4372" s="44">
        <f t="shared" si="2441"/>
        <v>0</v>
      </c>
      <c r="Q4372" s="44">
        <f t="shared" si="2442"/>
        <v>0</v>
      </c>
      <c r="R4372" s="44">
        <f t="shared" si="2459"/>
        <v>0</v>
      </c>
      <c r="S4372" s="123"/>
      <c r="T4372" s="219">
        <f t="shared" si="2460"/>
        <v>0</v>
      </c>
      <c r="U4372" s="87"/>
      <c r="V4372" s="47"/>
      <c r="W4372" s="48"/>
      <c r="X4372" s="48"/>
      <c r="Y4372" s="48"/>
      <c r="Z4372" s="135"/>
      <c r="AA4372" s="49"/>
      <c r="AB4372" s="50">
        <f t="shared" si="2443"/>
        <v>0</v>
      </c>
      <c r="AC4372" s="42">
        <f t="shared" si="2461"/>
        <v>9.9999999999999998E-20</v>
      </c>
      <c r="AD4372" s="90"/>
      <c r="AE4372" s="188"/>
      <c r="AF4372" s="189"/>
      <c r="AG4372" s="189"/>
      <c r="AH4372" s="189"/>
      <c r="AI4372" s="161"/>
    </row>
    <row r="4373" spans="1:41" ht="20.100000000000001" customHeight="1" x14ac:dyDescent="0.25">
      <c r="A4373" s="277" t="s">
        <v>491</v>
      </c>
      <c r="B4373" s="278"/>
      <c r="C4373" s="64" t="s">
        <v>512</v>
      </c>
      <c r="D4373" s="46" t="s">
        <v>328</v>
      </c>
      <c r="E4373" s="114"/>
      <c r="F4373" s="44"/>
      <c r="G4373" s="44">
        <f t="shared" si="2434"/>
        <v>0</v>
      </c>
      <c r="H4373" s="44">
        <f t="shared" si="2435"/>
        <v>0</v>
      </c>
      <c r="I4373" s="43">
        <f t="shared" si="2436"/>
        <v>0</v>
      </c>
      <c r="J4373" s="112">
        <f t="shared" si="2437"/>
        <v>0</v>
      </c>
      <c r="K4373" s="211">
        <f t="shared" si="2438"/>
        <v>0</v>
      </c>
      <c r="L4373" s="44"/>
      <c r="M4373" s="44">
        <f t="shared" si="2458"/>
        <v>0</v>
      </c>
      <c r="N4373" s="173">
        <f t="shared" si="2439"/>
        <v>0</v>
      </c>
      <c r="O4373" s="44">
        <f t="shared" si="2440"/>
        <v>0</v>
      </c>
      <c r="P4373" s="44">
        <f t="shared" si="2441"/>
        <v>0</v>
      </c>
      <c r="Q4373" s="44">
        <f t="shared" si="2442"/>
        <v>0</v>
      </c>
      <c r="R4373" s="44">
        <f t="shared" si="2459"/>
        <v>0</v>
      </c>
      <c r="S4373" s="123"/>
      <c r="T4373" s="219">
        <f t="shared" si="2460"/>
        <v>0</v>
      </c>
      <c r="U4373" s="87"/>
      <c r="V4373" s="47"/>
      <c r="W4373" s="48"/>
      <c r="X4373" s="48"/>
      <c r="Y4373" s="48"/>
      <c r="Z4373" s="135"/>
      <c r="AA4373" s="49"/>
      <c r="AB4373" s="50">
        <f t="shared" si="2443"/>
        <v>0</v>
      </c>
      <c r="AC4373" s="42">
        <f t="shared" si="2461"/>
        <v>9.9999999999999998E-20</v>
      </c>
      <c r="AD4373" s="90"/>
      <c r="AE4373" s="188"/>
      <c r="AF4373" s="189"/>
      <c r="AG4373" s="189"/>
      <c r="AH4373" s="189"/>
      <c r="AI4373" s="161"/>
    </row>
    <row r="4374" spans="1:41" ht="20.100000000000001" customHeight="1" x14ac:dyDescent="0.25">
      <c r="A4374" s="277" t="s">
        <v>491</v>
      </c>
      <c r="B4374" s="278"/>
      <c r="C4374" s="64" t="s">
        <v>513</v>
      </c>
      <c r="D4374" s="46" t="s">
        <v>328</v>
      </c>
      <c r="E4374" s="114"/>
      <c r="F4374" s="44"/>
      <c r="G4374" s="44">
        <f t="shared" si="2434"/>
        <v>0</v>
      </c>
      <c r="H4374" s="44">
        <f t="shared" si="2435"/>
        <v>0</v>
      </c>
      <c r="I4374" s="43">
        <f t="shared" si="2436"/>
        <v>0</v>
      </c>
      <c r="J4374" s="112">
        <f t="shared" si="2437"/>
        <v>0</v>
      </c>
      <c r="K4374" s="211">
        <f t="shared" si="2438"/>
        <v>0</v>
      </c>
      <c r="L4374" s="44"/>
      <c r="M4374" s="44">
        <f t="shared" si="2458"/>
        <v>0</v>
      </c>
      <c r="N4374" s="173">
        <f t="shared" si="2439"/>
        <v>0</v>
      </c>
      <c r="O4374" s="44">
        <f t="shared" si="2440"/>
        <v>0</v>
      </c>
      <c r="P4374" s="44">
        <f t="shared" si="2441"/>
        <v>0</v>
      </c>
      <c r="Q4374" s="44">
        <f t="shared" si="2442"/>
        <v>0</v>
      </c>
      <c r="R4374" s="44">
        <f t="shared" si="2459"/>
        <v>0</v>
      </c>
      <c r="S4374" s="123"/>
      <c r="T4374" s="219">
        <f t="shared" si="2460"/>
        <v>0</v>
      </c>
      <c r="U4374" s="87"/>
      <c r="V4374" s="47"/>
      <c r="W4374" s="48"/>
      <c r="X4374" s="48"/>
      <c r="Y4374" s="48"/>
      <c r="Z4374" s="135"/>
      <c r="AA4374" s="49"/>
      <c r="AB4374" s="50">
        <f t="shared" si="2443"/>
        <v>0</v>
      </c>
      <c r="AC4374" s="42">
        <f t="shared" si="2461"/>
        <v>9.9999999999999998E-20</v>
      </c>
      <c r="AD4374" s="90"/>
      <c r="AE4374" s="188"/>
      <c r="AF4374" s="189"/>
      <c r="AG4374" s="189"/>
      <c r="AH4374" s="189"/>
      <c r="AI4374" s="161"/>
    </row>
    <row r="4375" spans="1:41" ht="20.100000000000001" customHeight="1" x14ac:dyDescent="0.25">
      <c r="A4375" s="277" t="s">
        <v>491</v>
      </c>
      <c r="B4375" s="278"/>
      <c r="C4375" s="64" t="s">
        <v>514</v>
      </c>
      <c r="D4375" s="46" t="s">
        <v>328</v>
      </c>
      <c r="E4375" s="114">
        <v>4.8999999999999986</v>
      </c>
      <c r="F4375" s="44">
        <v>1743</v>
      </c>
      <c r="G4375" s="44">
        <f t="shared" si="2434"/>
        <v>8540.6999999999971</v>
      </c>
      <c r="H4375" s="44">
        <f t="shared" si="2435"/>
        <v>879.99999999999989</v>
      </c>
      <c r="I4375" s="43">
        <f t="shared" si="2436"/>
        <v>4311.9999999999982</v>
      </c>
      <c r="J4375" s="112">
        <f t="shared" si="2437"/>
        <v>4.8999999999999986</v>
      </c>
      <c r="K4375" s="211">
        <f t="shared" si="2438"/>
        <v>4.8999999999999986</v>
      </c>
      <c r="L4375" s="44"/>
      <c r="M4375" s="44">
        <f t="shared" si="2458"/>
        <v>4.8999999999999986</v>
      </c>
      <c r="N4375" s="173">
        <f t="shared" si="2439"/>
        <v>1</v>
      </c>
      <c r="O4375" s="44">
        <f t="shared" si="2440"/>
        <v>1743</v>
      </c>
      <c r="P4375" s="44">
        <f t="shared" si="2441"/>
        <v>8540.6999999999971</v>
      </c>
      <c r="Q4375" s="44">
        <f t="shared" si="2442"/>
        <v>879.99999999999989</v>
      </c>
      <c r="R4375" s="44">
        <f t="shared" si="2459"/>
        <v>4311.9999999999982</v>
      </c>
      <c r="S4375" s="123"/>
      <c r="T4375" s="219">
        <f t="shared" si="2460"/>
        <v>4311.9999999999982</v>
      </c>
      <c r="U4375" s="87"/>
      <c r="V4375" s="47"/>
      <c r="W4375" s="48"/>
      <c r="X4375" s="48"/>
      <c r="Y4375" s="48"/>
      <c r="Z4375" s="135"/>
      <c r="AA4375" s="49"/>
      <c r="AB4375" s="50">
        <f t="shared" si="2443"/>
        <v>879.99999999999989</v>
      </c>
      <c r="AC4375" s="42">
        <f t="shared" si="2461"/>
        <v>4.8999999999999986</v>
      </c>
      <c r="AD4375" s="90">
        <f>AD4376</f>
        <v>4311.9999999999982</v>
      </c>
      <c r="AE4375" s="188">
        <f t="shared" ref="AE4375" si="3194">AE4376</f>
        <v>0</v>
      </c>
      <c r="AF4375" s="189">
        <f t="shared" ref="AF4375" si="3195">AF4376</f>
        <v>0</v>
      </c>
      <c r="AG4375" s="189">
        <f t="shared" ref="AG4375" si="3196">AG4376</f>
        <v>0</v>
      </c>
      <c r="AH4375" s="189">
        <f t="shared" ref="AH4375" si="3197">AH4376</f>
        <v>0</v>
      </c>
      <c r="AI4375" s="161">
        <f t="shared" ref="AI4375:AI4376" si="3198">SUM(AE4375:AH4375)</f>
        <v>0</v>
      </c>
      <c r="AK4375" s="169">
        <v>5</v>
      </c>
      <c r="AO4375" s="19" t="s">
        <v>63</v>
      </c>
    </row>
    <row r="4376" spans="1:41" s="103" customFormat="1" ht="19.899999999999999" customHeight="1" x14ac:dyDescent="0.25">
      <c r="A4376" s="51"/>
      <c r="B4376" s="52"/>
      <c r="C4376" s="165"/>
      <c r="D4376" s="52"/>
      <c r="E4376" s="115"/>
      <c r="F4376" s="58"/>
      <c r="G4376" s="58"/>
      <c r="H4376" s="58"/>
      <c r="I4376" s="55"/>
      <c r="J4376" s="113">
        <f>J4375</f>
        <v>4.8999999999999986</v>
      </c>
      <c r="K4376" s="212">
        <f>K4375</f>
        <v>4.8999999999999986</v>
      </c>
      <c r="L4376" s="58"/>
      <c r="M4376" s="58">
        <f>K4376-L4376</f>
        <v>4.8999999999999986</v>
      </c>
      <c r="N4376" s="166"/>
      <c r="O4376" s="58"/>
      <c r="P4376" s="58"/>
      <c r="Q4376" s="58"/>
      <c r="R4376" s="58"/>
      <c r="S4376" s="58"/>
      <c r="T4376" s="220"/>
      <c r="U4376" s="88"/>
      <c r="V4376" s="56"/>
      <c r="W4376" s="57" t="s">
        <v>1294</v>
      </c>
      <c r="X4376" s="53"/>
      <c r="Y4376" s="91" t="s">
        <v>35</v>
      </c>
      <c r="Z4376" s="136">
        <f>AD4376/AC4376</f>
        <v>879.99999999999989</v>
      </c>
      <c r="AA4376" s="58"/>
      <c r="AB4376" s="53">
        <f>AD4376/AC4376</f>
        <v>879.99999999999989</v>
      </c>
      <c r="AC4376" s="53">
        <f>M4376+$AE$10</f>
        <v>4.8999999999999986</v>
      </c>
      <c r="AD4376" s="54">
        <f>SUM(AD4377:AD4379)</f>
        <v>4311.9999999999982</v>
      </c>
      <c r="AE4376" s="184">
        <f>SUMIFS($AD$37:$AD$12971,$V$37:$V$12971,$V4376,$X$37:$X$12971,AE$13)</f>
        <v>0</v>
      </c>
      <c r="AF4376" s="185">
        <f>SUMIFS($AD$37:$AD$12971,$V$37:$V$12971,$V4376,$X$37:$X$12971,AF$13)</f>
        <v>0</v>
      </c>
      <c r="AG4376" s="185">
        <f>SUMIFS($AD$37:$AD$12971,$V$37:$V$12971,$V4376,$X$37:$X$12971,AG$13)</f>
        <v>0</v>
      </c>
      <c r="AH4376" s="187">
        <f>SUMIFS($AD$37:$AD$12971,$V$37:$V$12971,$V4376,$X$37:$X$12971,AH$13)</f>
        <v>0</v>
      </c>
      <c r="AI4376" s="161">
        <f t="shared" si="3198"/>
        <v>0</v>
      </c>
      <c r="AK4376" s="172"/>
    </row>
    <row r="4377" spans="1:41" s="102" customFormat="1" ht="19.899999999999999" customHeight="1" x14ac:dyDescent="0.25">
      <c r="A4377" s="45"/>
      <c r="B4377" s="59"/>
      <c r="C4377" s="137"/>
      <c r="D4377" s="59"/>
      <c r="E4377" s="116"/>
      <c r="F4377" s="120"/>
      <c r="G4377" s="120"/>
      <c r="H4377" s="120"/>
      <c r="I4377" s="60"/>
      <c r="J4377" s="116"/>
      <c r="K4377" s="213"/>
      <c r="L4377" s="120"/>
      <c r="M4377" s="120"/>
      <c r="N4377" s="167"/>
      <c r="O4377" s="120"/>
      <c r="P4377" s="120"/>
      <c r="Q4377" s="120"/>
      <c r="R4377" s="120"/>
      <c r="S4377" s="120"/>
      <c r="T4377" s="221"/>
      <c r="U4377" s="89"/>
      <c r="V4377" s="61"/>
      <c r="W4377" s="92" t="s">
        <v>1418</v>
      </c>
      <c r="X4377" s="93" t="s">
        <v>30</v>
      </c>
      <c r="Y4377" s="93" t="s">
        <v>35</v>
      </c>
      <c r="Z4377" s="134">
        <f>VLOOKUP(W4377,Sheet2!$B:$D,3,FALSE)</f>
        <v>820</v>
      </c>
      <c r="AA4377" s="93">
        <v>1</v>
      </c>
      <c r="AB4377" s="93">
        <f t="shared" ref="AB4377" si="3199">AD4377/AC4376</f>
        <v>820</v>
      </c>
      <c r="AC4377" s="93">
        <f>AC4376/AA4377</f>
        <v>4.8999999999999986</v>
      </c>
      <c r="AD4377" s="94">
        <f t="shared" ref="AD4377:AD4378" si="3200">AC4377*Z4377</f>
        <v>4017.9999999999986</v>
      </c>
      <c r="AE4377" s="190"/>
      <c r="AF4377" s="191"/>
      <c r="AG4377" s="191"/>
      <c r="AH4377" s="191"/>
      <c r="AI4377" s="186"/>
      <c r="AK4377" s="171"/>
    </row>
    <row r="4378" spans="1:41" s="102" customFormat="1" ht="19.899999999999999" customHeight="1" x14ac:dyDescent="0.25">
      <c r="A4378" s="45"/>
      <c r="B4378" s="59"/>
      <c r="C4378" s="137"/>
      <c r="D4378" s="59"/>
      <c r="E4378" s="116"/>
      <c r="F4378" s="120"/>
      <c r="G4378" s="120"/>
      <c r="H4378" s="120"/>
      <c r="I4378" s="60"/>
      <c r="J4378" s="116"/>
      <c r="K4378" s="213"/>
      <c r="L4378" s="120"/>
      <c r="M4378" s="120"/>
      <c r="N4378" s="167"/>
      <c r="O4378" s="120"/>
      <c r="P4378" s="120"/>
      <c r="Q4378" s="120"/>
      <c r="R4378" s="120"/>
      <c r="S4378" s="120"/>
      <c r="T4378" s="221"/>
      <c r="U4378" s="89"/>
      <c r="V4378" s="61"/>
      <c r="W4378" s="92" t="s">
        <v>107</v>
      </c>
      <c r="X4378" s="93" t="s">
        <v>31</v>
      </c>
      <c r="Y4378" s="93" t="s">
        <v>93</v>
      </c>
      <c r="Z4378" s="134">
        <f>VLOOKUP(W4378,Sheet2!$B:$D,3,FALSE)</f>
        <v>17</v>
      </c>
      <c r="AA4378" s="93">
        <v>0.5</v>
      </c>
      <c r="AB4378" s="93">
        <f>AD4378/AC4376</f>
        <v>34</v>
      </c>
      <c r="AC4378" s="93">
        <f>AC4376/AA4378</f>
        <v>9.7999999999999972</v>
      </c>
      <c r="AD4378" s="94">
        <f t="shared" si="3200"/>
        <v>166.59999999999997</v>
      </c>
      <c r="AE4378" s="190"/>
      <c r="AF4378" s="191"/>
      <c r="AG4378" s="191"/>
      <c r="AH4378" s="191"/>
      <c r="AI4378" s="186"/>
      <c r="AK4378" s="171"/>
    </row>
    <row r="4379" spans="1:41" s="102" customFormat="1" ht="19.899999999999999" customHeight="1" x14ac:dyDescent="0.25">
      <c r="A4379" s="45"/>
      <c r="B4379" s="59"/>
      <c r="C4379" s="137"/>
      <c r="D4379" s="59"/>
      <c r="E4379" s="116"/>
      <c r="F4379" s="120"/>
      <c r="G4379" s="120"/>
      <c r="H4379" s="120"/>
      <c r="I4379" s="60"/>
      <c r="J4379" s="116"/>
      <c r="K4379" s="213"/>
      <c r="L4379" s="120"/>
      <c r="M4379" s="120"/>
      <c r="N4379" s="167"/>
      <c r="O4379" s="120"/>
      <c r="P4379" s="120"/>
      <c r="Q4379" s="120"/>
      <c r="R4379" s="120"/>
      <c r="S4379" s="120"/>
      <c r="T4379" s="221"/>
      <c r="U4379" s="89"/>
      <c r="V4379" s="61"/>
      <c r="W4379" s="92" t="s">
        <v>112</v>
      </c>
      <c r="X4379" s="93" t="s">
        <v>31</v>
      </c>
      <c r="Y4379" s="93" t="s">
        <v>93</v>
      </c>
      <c r="Z4379" s="134">
        <f>VLOOKUP(W4379,Sheet2!$B:$D,3,FALSE)</f>
        <v>13</v>
      </c>
      <c r="AA4379" s="93">
        <f>AA4378</f>
        <v>0.5</v>
      </c>
      <c r="AB4379" s="93">
        <f>AD4379/AC4376</f>
        <v>26</v>
      </c>
      <c r="AC4379" s="93">
        <f>AC4376/AA4379</f>
        <v>9.7999999999999972</v>
      </c>
      <c r="AD4379" s="94">
        <f>AC4379*Z4379</f>
        <v>127.39999999999996</v>
      </c>
      <c r="AE4379" s="190"/>
      <c r="AF4379" s="191"/>
      <c r="AG4379" s="191"/>
      <c r="AH4379" s="191"/>
      <c r="AI4379" s="186"/>
      <c r="AK4379" s="171"/>
    </row>
    <row r="4380" spans="1:41" ht="20.100000000000001" customHeight="1" x14ac:dyDescent="0.25">
      <c r="A4380" s="277" t="s">
        <v>491</v>
      </c>
      <c r="B4380" s="278"/>
      <c r="C4380" s="64" t="s">
        <v>515</v>
      </c>
      <c r="D4380" s="46" t="s">
        <v>328</v>
      </c>
      <c r="E4380" s="114">
        <v>2.1500000000000004</v>
      </c>
      <c r="F4380" s="44">
        <v>1806</v>
      </c>
      <c r="G4380" s="44">
        <f t="shared" si="2434"/>
        <v>3882.9000000000005</v>
      </c>
      <c r="H4380" s="44">
        <f t="shared" si="2435"/>
        <v>921</v>
      </c>
      <c r="I4380" s="43">
        <f t="shared" si="2436"/>
        <v>1980.1500000000003</v>
      </c>
      <c r="J4380" s="112">
        <f t="shared" si="2437"/>
        <v>2.1500000000000004</v>
      </c>
      <c r="K4380" s="211">
        <f t="shared" si="2438"/>
        <v>2.1500000000000004</v>
      </c>
      <c r="L4380" s="44"/>
      <c r="M4380" s="44">
        <f t="shared" si="2458"/>
        <v>2.1500000000000004</v>
      </c>
      <c r="N4380" s="173">
        <f t="shared" si="2439"/>
        <v>1</v>
      </c>
      <c r="O4380" s="44">
        <f t="shared" si="2440"/>
        <v>1806</v>
      </c>
      <c r="P4380" s="44">
        <f t="shared" si="2441"/>
        <v>3882.9000000000005</v>
      </c>
      <c r="Q4380" s="44">
        <f t="shared" si="2442"/>
        <v>921</v>
      </c>
      <c r="R4380" s="44">
        <f t="shared" si="2459"/>
        <v>1980.1500000000003</v>
      </c>
      <c r="S4380" s="123"/>
      <c r="T4380" s="219">
        <f t="shared" si="2460"/>
        <v>1980.1500000000003</v>
      </c>
      <c r="U4380" s="87"/>
      <c r="V4380" s="47"/>
      <c r="W4380" s="48"/>
      <c r="X4380" s="48"/>
      <c r="Y4380" s="48"/>
      <c r="Z4380" s="135"/>
      <c r="AA4380" s="49"/>
      <c r="AB4380" s="50">
        <f t="shared" si="2443"/>
        <v>921</v>
      </c>
      <c r="AC4380" s="42">
        <f t="shared" si="2461"/>
        <v>2.1500000000000004</v>
      </c>
      <c r="AD4380" s="90">
        <f>AD4381</f>
        <v>1980.1500000000003</v>
      </c>
      <c r="AE4380" s="188">
        <f t="shared" ref="AE4380" si="3201">AE4381</f>
        <v>0</v>
      </c>
      <c r="AF4380" s="189">
        <f t="shared" ref="AF4380" si="3202">AF4381</f>
        <v>0</v>
      </c>
      <c r="AG4380" s="189">
        <f t="shared" ref="AG4380" si="3203">AG4381</f>
        <v>0</v>
      </c>
      <c r="AH4380" s="189">
        <f t="shared" ref="AH4380" si="3204">AH4381</f>
        <v>0</v>
      </c>
      <c r="AI4380" s="161">
        <f t="shared" ref="AI4380:AI4381" si="3205">SUM(AE4380:AH4380)</f>
        <v>0</v>
      </c>
      <c r="AK4380" s="169">
        <v>5</v>
      </c>
      <c r="AO4380" s="19" t="s">
        <v>63</v>
      </c>
    </row>
    <row r="4381" spans="1:41" s="103" customFormat="1" ht="19.899999999999999" customHeight="1" x14ac:dyDescent="0.25">
      <c r="A4381" s="51"/>
      <c r="B4381" s="52"/>
      <c r="C4381" s="165"/>
      <c r="D4381" s="52"/>
      <c r="E4381" s="115"/>
      <c r="F4381" s="58"/>
      <c r="G4381" s="58"/>
      <c r="H4381" s="58"/>
      <c r="I4381" s="55"/>
      <c r="J4381" s="113">
        <f>J4380</f>
        <v>2.1500000000000004</v>
      </c>
      <c r="K4381" s="212">
        <f>K4380</f>
        <v>2.1500000000000004</v>
      </c>
      <c r="L4381" s="58"/>
      <c r="M4381" s="58">
        <f>K4381-L4381</f>
        <v>2.1500000000000004</v>
      </c>
      <c r="N4381" s="166"/>
      <c r="O4381" s="58"/>
      <c r="P4381" s="58"/>
      <c r="Q4381" s="58"/>
      <c r="R4381" s="58"/>
      <c r="S4381" s="58"/>
      <c r="T4381" s="220"/>
      <c r="U4381" s="88"/>
      <c r="V4381" s="56"/>
      <c r="W4381" s="57" t="s">
        <v>1294</v>
      </c>
      <c r="X4381" s="53"/>
      <c r="Y4381" s="91" t="s">
        <v>35</v>
      </c>
      <c r="Z4381" s="136">
        <f>AD4381/AC4381</f>
        <v>921</v>
      </c>
      <c r="AA4381" s="58"/>
      <c r="AB4381" s="53">
        <f>AD4381/AC4381</f>
        <v>921</v>
      </c>
      <c r="AC4381" s="53">
        <f>M4381+$AE$10</f>
        <v>2.1500000000000004</v>
      </c>
      <c r="AD4381" s="54">
        <f>SUM(AD4382:AD4384)</f>
        <v>1980.1500000000003</v>
      </c>
      <c r="AE4381" s="184">
        <f>SUMIFS($AD$37:$AD$12971,$V$37:$V$12971,$V4381,$X$37:$X$12971,AE$13)</f>
        <v>0</v>
      </c>
      <c r="AF4381" s="185">
        <f>SUMIFS($AD$37:$AD$12971,$V$37:$V$12971,$V4381,$X$37:$X$12971,AF$13)</f>
        <v>0</v>
      </c>
      <c r="AG4381" s="185">
        <f>SUMIFS($AD$37:$AD$12971,$V$37:$V$12971,$V4381,$X$37:$X$12971,AG$13)</f>
        <v>0</v>
      </c>
      <c r="AH4381" s="187">
        <f>SUMIFS($AD$37:$AD$12971,$V$37:$V$12971,$V4381,$X$37:$X$12971,AH$13)</f>
        <v>0</v>
      </c>
      <c r="AI4381" s="161">
        <f t="shared" si="3205"/>
        <v>0</v>
      </c>
      <c r="AK4381" s="172"/>
    </row>
    <row r="4382" spans="1:41" s="102" customFormat="1" ht="19.899999999999999" customHeight="1" x14ac:dyDescent="0.25">
      <c r="A4382" s="45"/>
      <c r="B4382" s="59"/>
      <c r="C4382" s="137"/>
      <c r="D4382" s="59"/>
      <c r="E4382" s="116"/>
      <c r="F4382" s="120"/>
      <c r="G4382" s="120"/>
      <c r="H4382" s="120"/>
      <c r="I4382" s="60"/>
      <c r="J4382" s="116"/>
      <c r="K4382" s="213"/>
      <c r="L4382" s="120"/>
      <c r="M4382" s="120"/>
      <c r="N4382" s="167"/>
      <c r="O4382" s="120"/>
      <c r="P4382" s="120"/>
      <c r="Q4382" s="120"/>
      <c r="R4382" s="120"/>
      <c r="S4382" s="120"/>
      <c r="T4382" s="221"/>
      <c r="U4382" s="89"/>
      <c r="V4382" s="61"/>
      <c r="W4382" s="92" t="s">
        <v>1421</v>
      </c>
      <c r="X4382" s="93" t="s">
        <v>30</v>
      </c>
      <c r="Y4382" s="93" t="s">
        <v>35</v>
      </c>
      <c r="Z4382" s="134">
        <f>VLOOKUP(W4382,Sheet2!$B:$D,3,FALSE)</f>
        <v>861</v>
      </c>
      <c r="AA4382" s="93">
        <v>1</v>
      </c>
      <c r="AB4382" s="93">
        <f t="shared" ref="AB4382" si="3206">AD4382/AC4381</f>
        <v>861</v>
      </c>
      <c r="AC4382" s="93">
        <f>AC4381/AA4382</f>
        <v>2.1500000000000004</v>
      </c>
      <c r="AD4382" s="94">
        <f t="shared" ref="AD4382:AD4383" si="3207">AC4382*Z4382</f>
        <v>1851.1500000000003</v>
      </c>
      <c r="AE4382" s="190"/>
      <c r="AF4382" s="191"/>
      <c r="AG4382" s="191"/>
      <c r="AH4382" s="191"/>
      <c r="AI4382" s="186"/>
      <c r="AK4382" s="171"/>
    </row>
    <row r="4383" spans="1:41" s="102" customFormat="1" ht="19.899999999999999" customHeight="1" x14ac:dyDescent="0.25">
      <c r="A4383" s="45"/>
      <c r="B4383" s="59"/>
      <c r="C4383" s="137"/>
      <c r="D4383" s="59"/>
      <c r="E4383" s="116"/>
      <c r="F4383" s="120"/>
      <c r="G4383" s="120"/>
      <c r="H4383" s="120"/>
      <c r="I4383" s="60"/>
      <c r="J4383" s="116"/>
      <c r="K4383" s="213"/>
      <c r="L4383" s="120"/>
      <c r="M4383" s="120"/>
      <c r="N4383" s="167"/>
      <c r="O4383" s="120"/>
      <c r="P4383" s="120"/>
      <c r="Q4383" s="120"/>
      <c r="R4383" s="120"/>
      <c r="S4383" s="120"/>
      <c r="T4383" s="221"/>
      <c r="U4383" s="89"/>
      <c r="V4383" s="61"/>
      <c r="W4383" s="92" t="s">
        <v>107</v>
      </c>
      <c r="X4383" s="93" t="s">
        <v>31</v>
      </c>
      <c r="Y4383" s="93" t="s">
        <v>93</v>
      </c>
      <c r="Z4383" s="134">
        <f>VLOOKUP(W4383,Sheet2!$B:$D,3,FALSE)</f>
        <v>17</v>
      </c>
      <c r="AA4383" s="93">
        <v>0.5</v>
      </c>
      <c r="AB4383" s="93">
        <f>AD4383/AC4381</f>
        <v>34</v>
      </c>
      <c r="AC4383" s="93">
        <f>AC4381/AA4383</f>
        <v>4.3000000000000007</v>
      </c>
      <c r="AD4383" s="94">
        <f t="shared" si="3207"/>
        <v>73.100000000000009</v>
      </c>
      <c r="AE4383" s="190"/>
      <c r="AF4383" s="191"/>
      <c r="AG4383" s="191"/>
      <c r="AH4383" s="191"/>
      <c r="AI4383" s="186"/>
      <c r="AK4383" s="171"/>
    </row>
    <row r="4384" spans="1:41" s="102" customFormat="1" ht="19.899999999999999" customHeight="1" x14ac:dyDescent="0.25">
      <c r="A4384" s="45"/>
      <c r="B4384" s="59"/>
      <c r="C4384" s="137"/>
      <c r="D4384" s="59"/>
      <c r="E4384" s="116"/>
      <c r="F4384" s="120"/>
      <c r="G4384" s="120"/>
      <c r="H4384" s="120"/>
      <c r="I4384" s="60"/>
      <c r="J4384" s="116"/>
      <c r="K4384" s="213"/>
      <c r="L4384" s="120"/>
      <c r="M4384" s="120"/>
      <c r="N4384" s="167"/>
      <c r="O4384" s="120"/>
      <c r="P4384" s="120"/>
      <c r="Q4384" s="120"/>
      <c r="R4384" s="120"/>
      <c r="S4384" s="120"/>
      <c r="T4384" s="221"/>
      <c r="U4384" s="89"/>
      <c r="V4384" s="61"/>
      <c r="W4384" s="92" t="s">
        <v>112</v>
      </c>
      <c r="X4384" s="93" t="s">
        <v>31</v>
      </c>
      <c r="Y4384" s="93" t="s">
        <v>93</v>
      </c>
      <c r="Z4384" s="134">
        <f>VLOOKUP(W4384,Sheet2!$B:$D,3,FALSE)</f>
        <v>13</v>
      </c>
      <c r="AA4384" s="93">
        <f>AA4383</f>
        <v>0.5</v>
      </c>
      <c r="AB4384" s="93">
        <f>AD4384/AC4381</f>
        <v>26</v>
      </c>
      <c r="AC4384" s="93">
        <f>AC4381/AA4384</f>
        <v>4.3000000000000007</v>
      </c>
      <c r="AD4384" s="94">
        <f>AC4384*Z4384</f>
        <v>55.900000000000006</v>
      </c>
      <c r="AE4384" s="190"/>
      <c r="AF4384" s="191"/>
      <c r="AG4384" s="191"/>
      <c r="AH4384" s="191"/>
      <c r="AI4384" s="186"/>
      <c r="AK4384" s="171"/>
    </row>
    <row r="4385" spans="1:41" ht="20.100000000000001" customHeight="1" x14ac:dyDescent="0.25">
      <c r="A4385" s="277" t="s">
        <v>491</v>
      </c>
      <c r="B4385" s="278"/>
      <c r="C4385" s="64" t="s">
        <v>516</v>
      </c>
      <c r="D4385" s="46" t="s">
        <v>328</v>
      </c>
      <c r="E4385" s="114">
        <v>12</v>
      </c>
      <c r="F4385" s="44">
        <v>1567</v>
      </c>
      <c r="G4385" s="44">
        <f t="shared" si="2434"/>
        <v>18804</v>
      </c>
      <c r="H4385" s="44">
        <f t="shared" si="2435"/>
        <v>360</v>
      </c>
      <c r="I4385" s="43">
        <f t="shared" si="2436"/>
        <v>4320</v>
      </c>
      <c r="J4385" s="112">
        <f t="shared" si="2437"/>
        <v>12</v>
      </c>
      <c r="K4385" s="211">
        <f t="shared" si="2438"/>
        <v>12</v>
      </c>
      <c r="L4385" s="44"/>
      <c r="M4385" s="44">
        <f t="shared" si="2458"/>
        <v>12</v>
      </c>
      <c r="N4385" s="173">
        <f t="shared" si="2439"/>
        <v>1</v>
      </c>
      <c r="O4385" s="44">
        <f t="shared" si="2440"/>
        <v>1567</v>
      </c>
      <c r="P4385" s="44">
        <f t="shared" si="2441"/>
        <v>18804</v>
      </c>
      <c r="Q4385" s="44">
        <f t="shared" si="2442"/>
        <v>360</v>
      </c>
      <c r="R4385" s="44">
        <f t="shared" si="2459"/>
        <v>4320</v>
      </c>
      <c r="S4385" s="123"/>
      <c r="T4385" s="219">
        <f t="shared" si="2460"/>
        <v>4320</v>
      </c>
      <c r="U4385" s="87"/>
      <c r="V4385" s="47"/>
      <c r="W4385" s="48"/>
      <c r="X4385" s="48"/>
      <c r="Y4385" s="48"/>
      <c r="Z4385" s="135"/>
      <c r="AA4385" s="49"/>
      <c r="AB4385" s="50">
        <f t="shared" si="2443"/>
        <v>360</v>
      </c>
      <c r="AC4385" s="42">
        <f t="shared" si="2461"/>
        <v>12</v>
      </c>
      <c r="AD4385" s="90">
        <f>AD4386</f>
        <v>4320</v>
      </c>
      <c r="AE4385" s="188">
        <f t="shared" ref="AE4385" si="3208">AE4386</f>
        <v>0</v>
      </c>
      <c r="AF4385" s="189">
        <f t="shared" ref="AF4385" si="3209">AF4386</f>
        <v>0</v>
      </c>
      <c r="AG4385" s="189">
        <f t="shared" ref="AG4385" si="3210">AG4386</f>
        <v>0</v>
      </c>
      <c r="AH4385" s="189">
        <f t="shared" ref="AH4385" si="3211">AH4386</f>
        <v>0</v>
      </c>
      <c r="AI4385" s="161">
        <f t="shared" ref="AI4385:AI4386" si="3212">SUM(AE4385:AH4385)</f>
        <v>0</v>
      </c>
      <c r="AK4385" s="169">
        <v>5</v>
      </c>
      <c r="AO4385" s="19" t="s">
        <v>63</v>
      </c>
    </row>
    <row r="4386" spans="1:41" s="103" customFormat="1" ht="19.899999999999999" customHeight="1" x14ac:dyDescent="0.25">
      <c r="A4386" s="51"/>
      <c r="B4386" s="52"/>
      <c r="C4386" s="165"/>
      <c r="D4386" s="52"/>
      <c r="E4386" s="115"/>
      <c r="F4386" s="58"/>
      <c r="G4386" s="58"/>
      <c r="H4386" s="58"/>
      <c r="I4386" s="55"/>
      <c r="J4386" s="113">
        <f>J4385</f>
        <v>12</v>
      </c>
      <c r="K4386" s="212">
        <f>K4385</f>
        <v>12</v>
      </c>
      <c r="L4386" s="58"/>
      <c r="M4386" s="58">
        <f>K4386-L4386</f>
        <v>12</v>
      </c>
      <c r="N4386" s="166"/>
      <c r="O4386" s="58"/>
      <c r="P4386" s="58"/>
      <c r="Q4386" s="58"/>
      <c r="R4386" s="58"/>
      <c r="S4386" s="58"/>
      <c r="T4386" s="220"/>
      <c r="U4386" s="88"/>
      <c r="V4386" s="56"/>
      <c r="W4386" s="57" t="s">
        <v>1294</v>
      </c>
      <c r="X4386" s="53"/>
      <c r="Y4386" s="91" t="s">
        <v>35</v>
      </c>
      <c r="Z4386" s="136">
        <f>AD4386/AC4386</f>
        <v>360</v>
      </c>
      <c r="AA4386" s="58"/>
      <c r="AB4386" s="53">
        <f>AD4386/AC4386</f>
        <v>360</v>
      </c>
      <c r="AC4386" s="53">
        <f>M4386+$AE$10</f>
        <v>12</v>
      </c>
      <c r="AD4386" s="54">
        <f>SUM(AD4387:AD4389)</f>
        <v>4320</v>
      </c>
      <c r="AE4386" s="184">
        <f>SUMIFS($AD$37:$AD$12971,$V$37:$V$12971,$V4386,$X$37:$X$12971,AE$13)</f>
        <v>0</v>
      </c>
      <c r="AF4386" s="185">
        <f>SUMIFS($AD$37:$AD$12971,$V$37:$V$12971,$V4386,$X$37:$X$12971,AF$13)</f>
        <v>0</v>
      </c>
      <c r="AG4386" s="185">
        <f>SUMIFS($AD$37:$AD$12971,$V$37:$V$12971,$V4386,$X$37:$X$12971,AG$13)</f>
        <v>0</v>
      </c>
      <c r="AH4386" s="187">
        <f>SUMIFS($AD$37:$AD$12971,$V$37:$V$12971,$V4386,$X$37:$X$12971,AH$13)</f>
        <v>0</v>
      </c>
      <c r="AI4386" s="161">
        <f t="shared" si="3212"/>
        <v>0</v>
      </c>
      <c r="AK4386" s="172"/>
    </row>
    <row r="4387" spans="1:41" s="102" customFormat="1" ht="19.899999999999999" customHeight="1" x14ac:dyDescent="0.25">
      <c r="A4387" s="45"/>
      <c r="B4387" s="59"/>
      <c r="C4387" s="137"/>
      <c r="D4387" s="59"/>
      <c r="E4387" s="116"/>
      <c r="F4387" s="120"/>
      <c r="G4387" s="120"/>
      <c r="H4387" s="120"/>
      <c r="I4387" s="60"/>
      <c r="J4387" s="116"/>
      <c r="K4387" s="213"/>
      <c r="L4387" s="120"/>
      <c r="M4387" s="120"/>
      <c r="N4387" s="167"/>
      <c r="O4387" s="120"/>
      <c r="P4387" s="120"/>
      <c r="Q4387" s="120"/>
      <c r="R4387" s="120"/>
      <c r="S4387" s="120"/>
      <c r="T4387" s="221"/>
      <c r="U4387" s="89"/>
      <c r="V4387" s="61"/>
      <c r="W4387" s="92" t="s">
        <v>1471</v>
      </c>
      <c r="X4387" s="93" t="s">
        <v>30</v>
      </c>
      <c r="Y4387" s="93" t="s">
        <v>35</v>
      </c>
      <c r="Z4387" s="134">
        <f>VLOOKUP(W4387,Sheet2!$B:$D,3,FALSE)</f>
        <v>300</v>
      </c>
      <c r="AA4387" s="93">
        <v>1</v>
      </c>
      <c r="AB4387" s="93">
        <f t="shared" ref="AB4387" si="3213">AD4387/AC4386</f>
        <v>300</v>
      </c>
      <c r="AC4387" s="93">
        <f>AC4386/AA4387</f>
        <v>12</v>
      </c>
      <c r="AD4387" s="94">
        <f t="shared" ref="AD4387:AD4388" si="3214">AC4387*Z4387</f>
        <v>3600</v>
      </c>
      <c r="AE4387" s="190"/>
      <c r="AF4387" s="191"/>
      <c r="AG4387" s="191"/>
      <c r="AH4387" s="191"/>
      <c r="AI4387" s="186"/>
      <c r="AK4387" s="171"/>
    </row>
    <row r="4388" spans="1:41" s="102" customFormat="1" ht="19.899999999999999" customHeight="1" x14ac:dyDescent="0.25">
      <c r="A4388" s="45"/>
      <c r="B4388" s="59"/>
      <c r="C4388" s="137"/>
      <c r="D4388" s="59"/>
      <c r="E4388" s="116"/>
      <c r="F4388" s="120"/>
      <c r="G4388" s="120"/>
      <c r="H4388" s="120"/>
      <c r="I4388" s="60"/>
      <c r="J4388" s="116"/>
      <c r="K4388" s="213"/>
      <c r="L4388" s="120"/>
      <c r="M4388" s="120"/>
      <c r="N4388" s="167"/>
      <c r="O4388" s="120"/>
      <c r="P4388" s="120"/>
      <c r="Q4388" s="120"/>
      <c r="R4388" s="120"/>
      <c r="S4388" s="120"/>
      <c r="T4388" s="221"/>
      <c r="U4388" s="89"/>
      <c r="V4388" s="61"/>
      <c r="W4388" s="92" t="s">
        <v>107</v>
      </c>
      <c r="X4388" s="93" t="s">
        <v>31</v>
      </c>
      <c r="Y4388" s="93" t="s">
        <v>93</v>
      </c>
      <c r="Z4388" s="134">
        <f>VLOOKUP(W4388,Sheet2!$B:$D,3,FALSE)</f>
        <v>17</v>
      </c>
      <c r="AA4388" s="93">
        <v>0.5</v>
      </c>
      <c r="AB4388" s="93">
        <f>AD4388/AC4386</f>
        <v>34</v>
      </c>
      <c r="AC4388" s="93">
        <f>AC4386/AA4388</f>
        <v>24</v>
      </c>
      <c r="AD4388" s="94">
        <f t="shared" si="3214"/>
        <v>408</v>
      </c>
      <c r="AE4388" s="190"/>
      <c r="AF4388" s="191"/>
      <c r="AG4388" s="191"/>
      <c r="AH4388" s="191"/>
      <c r="AI4388" s="186"/>
      <c r="AK4388" s="171"/>
    </row>
    <row r="4389" spans="1:41" s="102" customFormat="1" ht="19.899999999999999" customHeight="1" x14ac:dyDescent="0.25">
      <c r="A4389" s="45"/>
      <c r="B4389" s="59"/>
      <c r="C4389" s="137"/>
      <c r="D4389" s="59"/>
      <c r="E4389" s="116"/>
      <c r="F4389" s="120"/>
      <c r="G4389" s="120"/>
      <c r="H4389" s="120"/>
      <c r="I4389" s="60"/>
      <c r="J4389" s="116"/>
      <c r="K4389" s="213"/>
      <c r="L4389" s="120"/>
      <c r="M4389" s="120"/>
      <c r="N4389" s="167"/>
      <c r="O4389" s="120"/>
      <c r="P4389" s="120"/>
      <c r="Q4389" s="120"/>
      <c r="R4389" s="120"/>
      <c r="S4389" s="120"/>
      <c r="T4389" s="221"/>
      <c r="U4389" s="89"/>
      <c r="V4389" s="61"/>
      <c r="W4389" s="92" t="s">
        <v>112</v>
      </c>
      <c r="X4389" s="93" t="s">
        <v>31</v>
      </c>
      <c r="Y4389" s="93" t="s">
        <v>93</v>
      </c>
      <c r="Z4389" s="134">
        <f>VLOOKUP(W4389,Sheet2!$B:$D,3,FALSE)</f>
        <v>13</v>
      </c>
      <c r="AA4389" s="93">
        <f>AA4388</f>
        <v>0.5</v>
      </c>
      <c r="AB4389" s="93">
        <f>AD4389/AC4386</f>
        <v>26</v>
      </c>
      <c r="AC4389" s="93">
        <f>AC4386/AA4389</f>
        <v>24</v>
      </c>
      <c r="AD4389" s="94">
        <f>AC4389*Z4389</f>
        <v>312</v>
      </c>
      <c r="AE4389" s="190"/>
      <c r="AF4389" s="191"/>
      <c r="AG4389" s="191"/>
      <c r="AH4389" s="191"/>
      <c r="AI4389" s="186"/>
      <c r="AK4389" s="171"/>
    </row>
    <row r="4390" spans="1:41" ht="20.100000000000001" customHeight="1" x14ac:dyDescent="0.25">
      <c r="A4390" s="277" t="s">
        <v>491</v>
      </c>
      <c r="B4390" s="278"/>
      <c r="C4390" s="64" t="s">
        <v>517</v>
      </c>
      <c r="D4390" s="46" t="s">
        <v>328</v>
      </c>
      <c r="E4390" s="114"/>
      <c r="F4390" s="44"/>
      <c r="G4390" s="44">
        <f t="shared" si="2434"/>
        <v>0</v>
      </c>
      <c r="H4390" s="44">
        <f t="shared" si="2435"/>
        <v>0</v>
      </c>
      <c r="I4390" s="43">
        <f t="shared" si="2436"/>
        <v>0</v>
      </c>
      <c r="J4390" s="112">
        <f t="shared" si="2437"/>
        <v>0</v>
      </c>
      <c r="K4390" s="211">
        <f t="shared" si="2438"/>
        <v>0</v>
      </c>
      <c r="L4390" s="44"/>
      <c r="M4390" s="44">
        <f t="shared" si="2458"/>
        <v>0</v>
      </c>
      <c r="N4390" s="173">
        <f t="shared" si="2439"/>
        <v>0</v>
      </c>
      <c r="O4390" s="44">
        <f t="shared" si="2440"/>
        <v>0</v>
      </c>
      <c r="P4390" s="44">
        <f t="shared" si="2441"/>
        <v>0</v>
      </c>
      <c r="Q4390" s="44">
        <f t="shared" si="2442"/>
        <v>0</v>
      </c>
      <c r="R4390" s="44">
        <f t="shared" si="2459"/>
        <v>0</v>
      </c>
      <c r="S4390" s="123"/>
      <c r="T4390" s="219">
        <f t="shared" si="2460"/>
        <v>0</v>
      </c>
      <c r="U4390" s="87"/>
      <c r="V4390" s="47"/>
      <c r="W4390" s="48"/>
      <c r="X4390" s="48"/>
      <c r="Y4390" s="48"/>
      <c r="Z4390" s="135"/>
      <c r="AA4390" s="49"/>
      <c r="AB4390" s="50">
        <f t="shared" si="2443"/>
        <v>0</v>
      </c>
      <c r="AC4390" s="42">
        <f t="shared" si="2461"/>
        <v>9.9999999999999998E-20</v>
      </c>
      <c r="AD4390" s="90"/>
      <c r="AE4390" s="188"/>
      <c r="AF4390" s="189"/>
      <c r="AG4390" s="189"/>
      <c r="AH4390" s="189"/>
      <c r="AI4390" s="161"/>
    </row>
    <row r="4391" spans="1:41" ht="20.100000000000001" customHeight="1" x14ac:dyDescent="0.25">
      <c r="A4391" s="277" t="s">
        <v>491</v>
      </c>
      <c r="B4391" s="278"/>
      <c r="C4391" s="64" t="s">
        <v>518</v>
      </c>
      <c r="D4391" s="46" t="s">
        <v>328</v>
      </c>
      <c r="E4391" s="114">
        <v>3.1</v>
      </c>
      <c r="F4391" s="44">
        <v>1567</v>
      </c>
      <c r="G4391" s="44">
        <f t="shared" si="2434"/>
        <v>4857.7</v>
      </c>
      <c r="H4391" s="44">
        <f t="shared" si="2435"/>
        <v>415</v>
      </c>
      <c r="I4391" s="43">
        <f t="shared" si="2436"/>
        <v>1286.5</v>
      </c>
      <c r="J4391" s="112">
        <f t="shared" si="2437"/>
        <v>3.1</v>
      </c>
      <c r="K4391" s="211">
        <f t="shared" si="2438"/>
        <v>3.1</v>
      </c>
      <c r="L4391" s="44"/>
      <c r="M4391" s="44">
        <f t="shared" si="2458"/>
        <v>3.1</v>
      </c>
      <c r="N4391" s="173">
        <f t="shared" si="2439"/>
        <v>1</v>
      </c>
      <c r="O4391" s="44">
        <f t="shared" si="2440"/>
        <v>1567</v>
      </c>
      <c r="P4391" s="44">
        <f t="shared" si="2441"/>
        <v>4857.7</v>
      </c>
      <c r="Q4391" s="44">
        <f t="shared" si="2442"/>
        <v>415</v>
      </c>
      <c r="R4391" s="44">
        <f t="shared" si="2459"/>
        <v>1286.5</v>
      </c>
      <c r="S4391" s="123"/>
      <c r="T4391" s="219">
        <f t="shared" si="2460"/>
        <v>1286.5</v>
      </c>
      <c r="U4391" s="87"/>
      <c r="V4391" s="47"/>
      <c r="W4391" s="48"/>
      <c r="X4391" s="48"/>
      <c r="Y4391" s="48"/>
      <c r="Z4391" s="135"/>
      <c r="AA4391" s="49"/>
      <c r="AB4391" s="50">
        <f t="shared" si="2443"/>
        <v>415</v>
      </c>
      <c r="AC4391" s="42">
        <f t="shared" si="2461"/>
        <v>3.1</v>
      </c>
      <c r="AD4391" s="90">
        <f>AD4392</f>
        <v>1286.5</v>
      </c>
      <c r="AE4391" s="188">
        <f t="shared" ref="AE4391" si="3215">AE4392</f>
        <v>0</v>
      </c>
      <c r="AF4391" s="189">
        <f t="shared" ref="AF4391" si="3216">AF4392</f>
        <v>0</v>
      </c>
      <c r="AG4391" s="189">
        <f t="shared" ref="AG4391" si="3217">AG4392</f>
        <v>0</v>
      </c>
      <c r="AH4391" s="189">
        <f t="shared" ref="AH4391" si="3218">AH4392</f>
        <v>0</v>
      </c>
      <c r="AI4391" s="161">
        <f t="shared" ref="AI4391:AI4392" si="3219">SUM(AE4391:AH4391)</f>
        <v>0</v>
      </c>
      <c r="AK4391" s="169">
        <v>5</v>
      </c>
      <c r="AO4391" s="19" t="s">
        <v>63</v>
      </c>
    </row>
    <row r="4392" spans="1:41" s="103" customFormat="1" ht="19.899999999999999" customHeight="1" x14ac:dyDescent="0.25">
      <c r="A4392" s="51"/>
      <c r="B4392" s="52"/>
      <c r="C4392" s="165"/>
      <c r="D4392" s="52"/>
      <c r="E4392" s="115"/>
      <c r="F4392" s="58"/>
      <c r="G4392" s="58"/>
      <c r="H4392" s="58"/>
      <c r="I4392" s="55"/>
      <c r="J4392" s="113">
        <f>J4391</f>
        <v>3.1</v>
      </c>
      <c r="K4392" s="212">
        <f>K4391</f>
        <v>3.1</v>
      </c>
      <c r="L4392" s="58"/>
      <c r="M4392" s="58">
        <f>K4392-L4392</f>
        <v>3.1</v>
      </c>
      <c r="N4392" s="166"/>
      <c r="O4392" s="58"/>
      <c r="P4392" s="58"/>
      <c r="Q4392" s="58"/>
      <c r="R4392" s="58"/>
      <c r="S4392" s="58"/>
      <c r="T4392" s="220"/>
      <c r="U4392" s="88"/>
      <c r="V4392" s="56"/>
      <c r="W4392" s="57" t="s">
        <v>1294</v>
      </c>
      <c r="X4392" s="53"/>
      <c r="Y4392" s="91" t="s">
        <v>35</v>
      </c>
      <c r="Z4392" s="136">
        <f>AD4392/AC4392</f>
        <v>415</v>
      </c>
      <c r="AA4392" s="58"/>
      <c r="AB4392" s="53">
        <f>AD4392/AC4392</f>
        <v>415</v>
      </c>
      <c r="AC4392" s="53">
        <f>M4392+$AE$10</f>
        <v>3.1</v>
      </c>
      <c r="AD4392" s="54">
        <f>SUM(AD4393:AD4395)</f>
        <v>1286.5</v>
      </c>
      <c r="AE4392" s="184">
        <f>SUMIFS($AD$37:$AD$12971,$V$37:$V$12971,$V4392,$X$37:$X$12971,AE$13)</f>
        <v>0</v>
      </c>
      <c r="AF4392" s="185">
        <f>SUMIFS($AD$37:$AD$12971,$V$37:$V$12971,$V4392,$X$37:$X$12971,AF$13)</f>
        <v>0</v>
      </c>
      <c r="AG4392" s="185">
        <f>SUMIFS($AD$37:$AD$12971,$V$37:$V$12971,$V4392,$X$37:$X$12971,AG$13)</f>
        <v>0</v>
      </c>
      <c r="AH4392" s="187">
        <f>SUMIFS($AD$37:$AD$12971,$V$37:$V$12971,$V4392,$X$37:$X$12971,AH$13)</f>
        <v>0</v>
      </c>
      <c r="AI4392" s="161">
        <f t="shared" si="3219"/>
        <v>0</v>
      </c>
      <c r="AK4392" s="172"/>
    </row>
    <row r="4393" spans="1:41" s="102" customFormat="1" ht="19.899999999999999" customHeight="1" x14ac:dyDescent="0.25">
      <c r="A4393" s="45"/>
      <c r="B4393" s="59"/>
      <c r="C4393" s="137"/>
      <c r="D4393" s="59"/>
      <c r="E4393" s="116"/>
      <c r="F4393" s="120"/>
      <c r="G4393" s="120"/>
      <c r="H4393" s="120"/>
      <c r="I4393" s="60"/>
      <c r="J4393" s="116"/>
      <c r="K4393" s="213"/>
      <c r="L4393" s="120"/>
      <c r="M4393" s="120"/>
      <c r="N4393" s="167"/>
      <c r="O4393" s="120"/>
      <c r="P4393" s="120"/>
      <c r="Q4393" s="120"/>
      <c r="R4393" s="120"/>
      <c r="S4393" s="120"/>
      <c r="T4393" s="221"/>
      <c r="U4393" s="89"/>
      <c r="V4393" s="61"/>
      <c r="W4393" s="92" t="s">
        <v>1299</v>
      </c>
      <c r="X4393" s="93" t="s">
        <v>30</v>
      </c>
      <c r="Y4393" s="93" t="s">
        <v>35</v>
      </c>
      <c r="Z4393" s="134">
        <f>VLOOKUP(W4393,Sheet2!$B:$D,3,FALSE)</f>
        <v>355</v>
      </c>
      <c r="AA4393" s="93">
        <v>1</v>
      </c>
      <c r="AB4393" s="93">
        <f t="shared" ref="AB4393" si="3220">AD4393/AC4392</f>
        <v>355</v>
      </c>
      <c r="AC4393" s="93">
        <f>AC4392/AA4393</f>
        <v>3.1</v>
      </c>
      <c r="AD4393" s="94">
        <f t="shared" ref="AD4393:AD4394" si="3221">AC4393*Z4393</f>
        <v>1100.5</v>
      </c>
      <c r="AE4393" s="190"/>
      <c r="AF4393" s="191"/>
      <c r="AG4393" s="191"/>
      <c r="AH4393" s="191"/>
      <c r="AI4393" s="186"/>
      <c r="AK4393" s="171"/>
    </row>
    <row r="4394" spans="1:41" s="102" customFormat="1" ht="19.899999999999999" customHeight="1" x14ac:dyDescent="0.25">
      <c r="A4394" s="45"/>
      <c r="B4394" s="59"/>
      <c r="C4394" s="137"/>
      <c r="D4394" s="59"/>
      <c r="E4394" s="116"/>
      <c r="F4394" s="120"/>
      <c r="G4394" s="120"/>
      <c r="H4394" s="120"/>
      <c r="I4394" s="60"/>
      <c r="J4394" s="116"/>
      <c r="K4394" s="213"/>
      <c r="L4394" s="120"/>
      <c r="M4394" s="120"/>
      <c r="N4394" s="167"/>
      <c r="O4394" s="120"/>
      <c r="P4394" s="120"/>
      <c r="Q4394" s="120"/>
      <c r="R4394" s="120"/>
      <c r="S4394" s="120"/>
      <c r="T4394" s="221"/>
      <c r="U4394" s="89"/>
      <c r="V4394" s="61"/>
      <c r="W4394" s="92" t="s">
        <v>107</v>
      </c>
      <c r="X4394" s="93" t="s">
        <v>31</v>
      </c>
      <c r="Y4394" s="93" t="s">
        <v>93</v>
      </c>
      <c r="Z4394" s="134">
        <f>VLOOKUP(W4394,Sheet2!$B:$D,3,FALSE)</f>
        <v>17</v>
      </c>
      <c r="AA4394" s="93">
        <v>0.5</v>
      </c>
      <c r="AB4394" s="93">
        <f>AD4394/AC4392</f>
        <v>34</v>
      </c>
      <c r="AC4394" s="93">
        <f>AC4392/AA4394</f>
        <v>6.2</v>
      </c>
      <c r="AD4394" s="94">
        <f t="shared" si="3221"/>
        <v>105.4</v>
      </c>
      <c r="AE4394" s="190"/>
      <c r="AF4394" s="191"/>
      <c r="AG4394" s="191"/>
      <c r="AH4394" s="191"/>
      <c r="AI4394" s="186"/>
      <c r="AK4394" s="171"/>
    </row>
    <row r="4395" spans="1:41" s="102" customFormat="1" ht="19.899999999999999" customHeight="1" x14ac:dyDescent="0.25">
      <c r="A4395" s="45"/>
      <c r="B4395" s="59"/>
      <c r="C4395" s="137"/>
      <c r="D4395" s="59"/>
      <c r="E4395" s="116"/>
      <c r="F4395" s="120"/>
      <c r="G4395" s="120"/>
      <c r="H4395" s="120"/>
      <c r="I4395" s="60"/>
      <c r="J4395" s="116"/>
      <c r="K4395" s="213"/>
      <c r="L4395" s="120"/>
      <c r="M4395" s="120"/>
      <c r="N4395" s="167"/>
      <c r="O4395" s="120"/>
      <c r="P4395" s="120"/>
      <c r="Q4395" s="120"/>
      <c r="R4395" s="120"/>
      <c r="S4395" s="120"/>
      <c r="T4395" s="221"/>
      <c r="U4395" s="89"/>
      <c r="V4395" s="61"/>
      <c r="W4395" s="92" t="s">
        <v>112</v>
      </c>
      <c r="X4395" s="93" t="s">
        <v>31</v>
      </c>
      <c r="Y4395" s="93" t="s">
        <v>93</v>
      </c>
      <c r="Z4395" s="134">
        <f>VLOOKUP(W4395,Sheet2!$B:$D,3,FALSE)</f>
        <v>13</v>
      </c>
      <c r="AA4395" s="93">
        <f>AA4394</f>
        <v>0.5</v>
      </c>
      <c r="AB4395" s="93">
        <f>AD4395/AC4392</f>
        <v>26.000000000000004</v>
      </c>
      <c r="AC4395" s="93">
        <f>AC4392/AA4395</f>
        <v>6.2</v>
      </c>
      <c r="AD4395" s="94">
        <f>AC4395*Z4395</f>
        <v>80.600000000000009</v>
      </c>
      <c r="AE4395" s="190"/>
      <c r="AF4395" s="191"/>
      <c r="AG4395" s="191"/>
      <c r="AH4395" s="191"/>
      <c r="AI4395" s="186"/>
      <c r="AK4395" s="171"/>
    </row>
    <row r="4396" spans="1:41" ht="20.100000000000001" customHeight="1" x14ac:dyDescent="0.25">
      <c r="A4396" s="277" t="s">
        <v>491</v>
      </c>
      <c r="B4396" s="278"/>
      <c r="C4396" s="64" t="s">
        <v>519</v>
      </c>
      <c r="D4396" s="46" t="s">
        <v>328</v>
      </c>
      <c r="E4396" s="114"/>
      <c r="F4396" s="44"/>
      <c r="G4396" s="44">
        <f t="shared" si="2434"/>
        <v>0</v>
      </c>
      <c r="H4396" s="44">
        <f t="shared" si="2435"/>
        <v>0</v>
      </c>
      <c r="I4396" s="43">
        <f t="shared" si="2436"/>
        <v>0</v>
      </c>
      <c r="J4396" s="112">
        <f t="shared" si="2437"/>
        <v>0</v>
      </c>
      <c r="K4396" s="211">
        <f t="shared" si="2438"/>
        <v>0</v>
      </c>
      <c r="L4396" s="44"/>
      <c r="M4396" s="44">
        <f t="shared" si="2458"/>
        <v>0</v>
      </c>
      <c r="N4396" s="173">
        <f t="shared" si="2439"/>
        <v>0</v>
      </c>
      <c r="O4396" s="44">
        <f t="shared" si="2440"/>
        <v>0</v>
      </c>
      <c r="P4396" s="44">
        <f t="shared" si="2441"/>
        <v>0</v>
      </c>
      <c r="Q4396" s="44">
        <f t="shared" si="2442"/>
        <v>0</v>
      </c>
      <c r="R4396" s="44">
        <f t="shared" si="2459"/>
        <v>0</v>
      </c>
      <c r="S4396" s="123"/>
      <c r="T4396" s="219">
        <f t="shared" si="2460"/>
        <v>0</v>
      </c>
      <c r="U4396" s="87"/>
      <c r="V4396" s="47"/>
      <c r="W4396" s="48"/>
      <c r="X4396" s="48"/>
      <c r="Y4396" s="48"/>
      <c r="Z4396" s="135"/>
      <c r="AA4396" s="49"/>
      <c r="AB4396" s="50">
        <f t="shared" si="2443"/>
        <v>0</v>
      </c>
      <c r="AC4396" s="42">
        <f t="shared" si="2461"/>
        <v>9.9999999999999998E-20</v>
      </c>
      <c r="AD4396" s="90"/>
      <c r="AE4396" s="188"/>
      <c r="AF4396" s="189"/>
      <c r="AG4396" s="189"/>
      <c r="AH4396" s="189"/>
      <c r="AI4396" s="161"/>
    </row>
    <row r="4397" spans="1:41" ht="20.100000000000001" customHeight="1" x14ac:dyDescent="0.25">
      <c r="A4397" s="277" t="s">
        <v>491</v>
      </c>
      <c r="B4397" s="278"/>
      <c r="C4397" s="64" t="s">
        <v>520</v>
      </c>
      <c r="D4397" s="46" t="s">
        <v>328</v>
      </c>
      <c r="E4397" s="114"/>
      <c r="F4397" s="44"/>
      <c r="G4397" s="44">
        <f t="shared" si="2434"/>
        <v>0</v>
      </c>
      <c r="H4397" s="44">
        <f t="shared" si="2435"/>
        <v>0</v>
      </c>
      <c r="I4397" s="43">
        <f t="shared" si="2436"/>
        <v>0</v>
      </c>
      <c r="J4397" s="112">
        <f t="shared" si="2437"/>
        <v>0</v>
      </c>
      <c r="K4397" s="211">
        <f t="shared" si="2438"/>
        <v>0</v>
      </c>
      <c r="L4397" s="44"/>
      <c r="M4397" s="44">
        <f t="shared" si="2458"/>
        <v>0</v>
      </c>
      <c r="N4397" s="173">
        <f t="shared" si="2439"/>
        <v>0</v>
      </c>
      <c r="O4397" s="44">
        <f t="shared" si="2440"/>
        <v>0</v>
      </c>
      <c r="P4397" s="44">
        <f t="shared" si="2441"/>
        <v>0</v>
      </c>
      <c r="Q4397" s="44">
        <f t="shared" si="2442"/>
        <v>0</v>
      </c>
      <c r="R4397" s="44">
        <f t="shared" si="2459"/>
        <v>0</v>
      </c>
      <c r="S4397" s="123"/>
      <c r="T4397" s="219">
        <f t="shared" si="2460"/>
        <v>0</v>
      </c>
      <c r="U4397" s="87"/>
      <c r="V4397" s="47"/>
      <c r="W4397" s="48"/>
      <c r="X4397" s="48"/>
      <c r="Y4397" s="48"/>
      <c r="Z4397" s="135"/>
      <c r="AA4397" s="49"/>
      <c r="AB4397" s="50">
        <f t="shared" si="2443"/>
        <v>0</v>
      </c>
      <c r="AC4397" s="42">
        <f t="shared" si="2461"/>
        <v>9.9999999999999998E-20</v>
      </c>
      <c r="AD4397" s="90"/>
      <c r="AE4397" s="188"/>
      <c r="AF4397" s="189"/>
      <c r="AG4397" s="189"/>
      <c r="AH4397" s="189"/>
      <c r="AI4397" s="161"/>
    </row>
    <row r="4398" spans="1:41" ht="20.100000000000001" customHeight="1" x14ac:dyDescent="0.25">
      <c r="A4398" s="277" t="s">
        <v>491</v>
      </c>
      <c r="B4398" s="278"/>
      <c r="C4398" s="64" t="s">
        <v>521</v>
      </c>
      <c r="D4398" s="46" t="s">
        <v>328</v>
      </c>
      <c r="E4398" s="114"/>
      <c r="F4398" s="44"/>
      <c r="G4398" s="44">
        <f t="shared" si="2434"/>
        <v>0</v>
      </c>
      <c r="H4398" s="44">
        <f t="shared" si="2435"/>
        <v>0</v>
      </c>
      <c r="I4398" s="43">
        <f t="shared" si="2436"/>
        <v>0</v>
      </c>
      <c r="J4398" s="112">
        <f t="shared" si="2437"/>
        <v>0</v>
      </c>
      <c r="K4398" s="211">
        <f t="shared" si="2438"/>
        <v>0</v>
      </c>
      <c r="L4398" s="44"/>
      <c r="M4398" s="44">
        <f t="shared" si="2458"/>
        <v>0</v>
      </c>
      <c r="N4398" s="173">
        <f t="shared" si="2439"/>
        <v>0</v>
      </c>
      <c r="O4398" s="44">
        <f t="shared" si="2440"/>
        <v>0</v>
      </c>
      <c r="P4398" s="44">
        <f t="shared" si="2441"/>
        <v>0</v>
      </c>
      <c r="Q4398" s="44">
        <f t="shared" si="2442"/>
        <v>0</v>
      </c>
      <c r="R4398" s="44">
        <f t="shared" si="2459"/>
        <v>0</v>
      </c>
      <c r="S4398" s="123"/>
      <c r="T4398" s="219">
        <f t="shared" si="2460"/>
        <v>0</v>
      </c>
      <c r="U4398" s="87"/>
      <c r="V4398" s="47"/>
      <c r="W4398" s="48"/>
      <c r="X4398" s="48"/>
      <c r="Y4398" s="48"/>
      <c r="Z4398" s="135"/>
      <c r="AA4398" s="49"/>
      <c r="AB4398" s="50">
        <f t="shared" si="2443"/>
        <v>0</v>
      </c>
      <c r="AC4398" s="42">
        <f t="shared" si="2461"/>
        <v>9.9999999999999998E-20</v>
      </c>
      <c r="AD4398" s="90"/>
      <c r="AE4398" s="188"/>
      <c r="AF4398" s="189"/>
      <c r="AG4398" s="189"/>
      <c r="AH4398" s="189"/>
      <c r="AI4398" s="161"/>
    </row>
    <row r="4399" spans="1:41" ht="20.100000000000001" customHeight="1" x14ac:dyDescent="0.25">
      <c r="A4399" s="277" t="s">
        <v>491</v>
      </c>
      <c r="B4399" s="278"/>
      <c r="C4399" s="64" t="s">
        <v>522</v>
      </c>
      <c r="D4399" s="46" t="s">
        <v>328</v>
      </c>
      <c r="E4399" s="114">
        <v>1.0499999999999972</v>
      </c>
      <c r="F4399" s="44">
        <v>3499</v>
      </c>
      <c r="G4399" s="44">
        <f t="shared" si="2434"/>
        <v>3673.9499999999903</v>
      </c>
      <c r="H4399" s="44">
        <f t="shared" si="2435"/>
        <v>1957</v>
      </c>
      <c r="I4399" s="43">
        <f t="shared" si="2436"/>
        <v>2054.8499999999945</v>
      </c>
      <c r="J4399" s="112">
        <f t="shared" si="2437"/>
        <v>1.0499999999999972</v>
      </c>
      <c r="K4399" s="211">
        <f t="shared" si="2438"/>
        <v>1.0499999999999972</v>
      </c>
      <c r="L4399" s="44"/>
      <c r="M4399" s="44">
        <f t="shared" si="2458"/>
        <v>1.0499999999999972</v>
      </c>
      <c r="N4399" s="173">
        <f t="shared" si="2439"/>
        <v>1</v>
      </c>
      <c r="O4399" s="44">
        <f t="shared" si="2440"/>
        <v>3499</v>
      </c>
      <c r="P4399" s="44">
        <f t="shared" si="2441"/>
        <v>3673.9499999999903</v>
      </c>
      <c r="Q4399" s="44">
        <f t="shared" si="2442"/>
        <v>1957</v>
      </c>
      <c r="R4399" s="44">
        <f t="shared" si="2459"/>
        <v>2054.8499999999945</v>
      </c>
      <c r="S4399" s="123"/>
      <c r="T4399" s="219">
        <f t="shared" si="2460"/>
        <v>2054.8499999999945</v>
      </c>
      <c r="U4399" s="87"/>
      <c r="V4399" s="47"/>
      <c r="W4399" s="48"/>
      <c r="X4399" s="48"/>
      <c r="Y4399" s="48"/>
      <c r="Z4399" s="135"/>
      <c r="AA4399" s="49"/>
      <c r="AB4399" s="50">
        <f t="shared" si="2443"/>
        <v>1957</v>
      </c>
      <c r="AC4399" s="42">
        <f t="shared" si="2461"/>
        <v>1.0499999999999972</v>
      </c>
      <c r="AD4399" s="90">
        <f>AD4400</f>
        <v>2054.8499999999945</v>
      </c>
      <c r="AE4399" s="188">
        <f t="shared" ref="AE4399" si="3222">AE4400</f>
        <v>0</v>
      </c>
      <c r="AF4399" s="189">
        <f t="shared" ref="AF4399" si="3223">AF4400</f>
        <v>0</v>
      </c>
      <c r="AG4399" s="189">
        <f t="shared" ref="AG4399" si="3224">AG4400</f>
        <v>0</v>
      </c>
      <c r="AH4399" s="189">
        <f t="shared" ref="AH4399" si="3225">AH4400</f>
        <v>0</v>
      </c>
      <c r="AI4399" s="161">
        <f t="shared" ref="AI4399:AI4410" si="3226">SUM(AE4399:AH4399)</f>
        <v>0</v>
      </c>
      <c r="AK4399" s="169">
        <v>5</v>
      </c>
      <c r="AO4399" s="19" t="s">
        <v>63</v>
      </c>
    </row>
    <row r="4400" spans="1:41" s="103" customFormat="1" ht="19.899999999999999" customHeight="1" x14ac:dyDescent="0.25">
      <c r="A4400" s="51"/>
      <c r="B4400" s="52"/>
      <c r="C4400" s="165"/>
      <c r="D4400" s="52"/>
      <c r="E4400" s="115"/>
      <c r="F4400" s="58"/>
      <c r="G4400" s="58"/>
      <c r="H4400" s="58"/>
      <c r="I4400" s="55"/>
      <c r="J4400" s="113">
        <f>J4399</f>
        <v>1.0499999999999972</v>
      </c>
      <c r="K4400" s="212">
        <f>K4399</f>
        <v>1.0499999999999972</v>
      </c>
      <c r="L4400" s="58"/>
      <c r="M4400" s="58">
        <f>K4400-L4400</f>
        <v>1.0499999999999972</v>
      </c>
      <c r="N4400" s="166"/>
      <c r="O4400" s="58"/>
      <c r="P4400" s="58"/>
      <c r="Q4400" s="58"/>
      <c r="R4400" s="58"/>
      <c r="S4400" s="58"/>
      <c r="T4400" s="220"/>
      <c r="U4400" s="88"/>
      <c r="V4400" s="56"/>
      <c r="W4400" s="57" t="s">
        <v>1294</v>
      </c>
      <c r="X4400" s="53"/>
      <c r="Y4400" s="91" t="s">
        <v>35</v>
      </c>
      <c r="Z4400" s="136">
        <f>AD4400/AC4400</f>
        <v>1957</v>
      </c>
      <c r="AA4400" s="58"/>
      <c r="AB4400" s="53">
        <f>AD4400/AC4400</f>
        <v>1957</v>
      </c>
      <c r="AC4400" s="53">
        <f>M4400+$AE$10</f>
        <v>1.0499999999999972</v>
      </c>
      <c r="AD4400" s="54">
        <f>SUM(AD4401:AD4403)</f>
        <v>2054.8499999999945</v>
      </c>
      <c r="AE4400" s="184">
        <f>SUMIFS($AD$37:$AD$12971,$V$37:$V$12971,$V4400,$X$37:$X$12971,AE$13)</f>
        <v>0</v>
      </c>
      <c r="AF4400" s="185">
        <f>SUMIFS($AD$37:$AD$12971,$V$37:$V$12971,$V4400,$X$37:$X$12971,AF$13)</f>
        <v>0</v>
      </c>
      <c r="AG4400" s="185">
        <f>SUMIFS($AD$37:$AD$12971,$V$37:$V$12971,$V4400,$X$37:$X$12971,AG$13)</f>
        <v>0</v>
      </c>
      <c r="AH4400" s="187">
        <f>SUMIFS($AD$37:$AD$12971,$V$37:$V$12971,$V4400,$X$37:$X$12971,AH$13)</f>
        <v>0</v>
      </c>
      <c r="AI4400" s="161">
        <f t="shared" si="3226"/>
        <v>0</v>
      </c>
      <c r="AK4400" s="172"/>
    </row>
    <row r="4401" spans="1:41" s="102" customFormat="1" ht="19.899999999999999" customHeight="1" x14ac:dyDescent="0.25">
      <c r="A4401" s="45"/>
      <c r="B4401" s="59"/>
      <c r="C4401" s="137"/>
      <c r="D4401" s="59"/>
      <c r="E4401" s="116"/>
      <c r="F4401" s="120"/>
      <c r="G4401" s="120"/>
      <c r="H4401" s="120"/>
      <c r="I4401" s="60"/>
      <c r="J4401" s="116"/>
      <c r="K4401" s="213"/>
      <c r="L4401" s="120"/>
      <c r="M4401" s="120"/>
      <c r="N4401" s="167"/>
      <c r="O4401" s="120"/>
      <c r="P4401" s="120"/>
      <c r="Q4401" s="120"/>
      <c r="R4401" s="120"/>
      <c r="S4401" s="120"/>
      <c r="T4401" s="221"/>
      <c r="U4401" s="89"/>
      <c r="V4401" s="61"/>
      <c r="W4401" s="92" t="s">
        <v>1419</v>
      </c>
      <c r="X4401" s="93" t="s">
        <v>30</v>
      </c>
      <c r="Y4401" s="93" t="s">
        <v>35</v>
      </c>
      <c r="Z4401" s="134">
        <f>VLOOKUP(W4401,Sheet2!$B:$D,3,FALSE)</f>
        <v>1857</v>
      </c>
      <c r="AA4401" s="93">
        <v>1</v>
      </c>
      <c r="AB4401" s="93">
        <f t="shared" ref="AB4401" si="3227">AD4401/AC4400</f>
        <v>1857</v>
      </c>
      <c r="AC4401" s="93">
        <f>AC4400/AA4401</f>
        <v>1.0499999999999972</v>
      </c>
      <c r="AD4401" s="94">
        <f t="shared" ref="AD4401:AD4402" si="3228">AC4401*Z4401</f>
        <v>1949.8499999999947</v>
      </c>
      <c r="AE4401" s="190"/>
      <c r="AF4401" s="191"/>
      <c r="AG4401" s="191"/>
      <c r="AH4401" s="191"/>
      <c r="AI4401" s="186"/>
      <c r="AK4401" s="171"/>
    </row>
    <row r="4402" spans="1:41" s="102" customFormat="1" ht="19.899999999999999" customHeight="1" x14ac:dyDescent="0.25">
      <c r="A4402" s="45"/>
      <c r="B4402" s="59"/>
      <c r="C4402" s="137"/>
      <c r="D4402" s="59"/>
      <c r="E4402" s="116"/>
      <c r="F4402" s="120"/>
      <c r="G4402" s="120"/>
      <c r="H4402" s="120"/>
      <c r="I4402" s="60"/>
      <c r="J4402" s="116"/>
      <c r="K4402" s="213"/>
      <c r="L4402" s="120"/>
      <c r="M4402" s="120"/>
      <c r="N4402" s="167"/>
      <c r="O4402" s="120"/>
      <c r="P4402" s="120"/>
      <c r="Q4402" s="120"/>
      <c r="R4402" s="120"/>
      <c r="S4402" s="120"/>
      <c r="T4402" s="221"/>
      <c r="U4402" s="89"/>
      <c r="V4402" s="61"/>
      <c r="W4402" s="92" t="s">
        <v>107</v>
      </c>
      <c r="X4402" s="93" t="s">
        <v>31</v>
      </c>
      <c r="Y4402" s="93" t="s">
        <v>93</v>
      </c>
      <c r="Z4402" s="134">
        <f>VLOOKUP(W4402,Sheet2!$B:$D,3,FALSE)</f>
        <v>17</v>
      </c>
      <c r="AA4402" s="93">
        <v>0.3</v>
      </c>
      <c r="AB4402" s="93">
        <f>AD4402/AC4400</f>
        <v>56.666666666666671</v>
      </c>
      <c r="AC4402" s="93">
        <f>AC4400/AA4402</f>
        <v>3.4999999999999907</v>
      </c>
      <c r="AD4402" s="94">
        <f t="shared" si="3228"/>
        <v>59.499999999999844</v>
      </c>
      <c r="AE4402" s="190"/>
      <c r="AF4402" s="191"/>
      <c r="AG4402" s="191"/>
      <c r="AH4402" s="191"/>
      <c r="AI4402" s="186"/>
      <c r="AK4402" s="171"/>
    </row>
    <row r="4403" spans="1:41" s="102" customFormat="1" ht="19.899999999999999" customHeight="1" x14ac:dyDescent="0.25">
      <c r="A4403" s="45"/>
      <c r="B4403" s="59"/>
      <c r="C4403" s="137"/>
      <c r="D4403" s="59"/>
      <c r="E4403" s="116"/>
      <c r="F4403" s="120"/>
      <c r="G4403" s="120"/>
      <c r="H4403" s="120"/>
      <c r="I4403" s="60"/>
      <c r="J4403" s="116"/>
      <c r="K4403" s="213"/>
      <c r="L4403" s="120"/>
      <c r="M4403" s="120"/>
      <c r="N4403" s="167"/>
      <c r="O4403" s="120"/>
      <c r="P4403" s="120"/>
      <c r="Q4403" s="120"/>
      <c r="R4403" s="120"/>
      <c r="S4403" s="120"/>
      <c r="T4403" s="221"/>
      <c r="U4403" s="89"/>
      <c r="V4403" s="61"/>
      <c r="W4403" s="92" t="s">
        <v>112</v>
      </c>
      <c r="X4403" s="93" t="s">
        <v>31</v>
      </c>
      <c r="Y4403" s="93" t="s">
        <v>93</v>
      </c>
      <c r="Z4403" s="134">
        <f>VLOOKUP(W4403,Sheet2!$B:$D,3,FALSE)</f>
        <v>13</v>
      </c>
      <c r="AA4403" s="93">
        <f>AA4402</f>
        <v>0.3</v>
      </c>
      <c r="AB4403" s="93">
        <f>AD4403/AC4400</f>
        <v>43.333333333333336</v>
      </c>
      <c r="AC4403" s="93">
        <f>AC4400/AA4403</f>
        <v>3.4999999999999907</v>
      </c>
      <c r="AD4403" s="94">
        <f>AC4403*Z4403</f>
        <v>45.499999999999879</v>
      </c>
      <c r="AE4403" s="190"/>
      <c r="AF4403" s="191"/>
      <c r="AG4403" s="191"/>
      <c r="AH4403" s="191"/>
      <c r="AI4403" s="186"/>
      <c r="AK4403" s="171"/>
    </row>
    <row r="4404" spans="1:41" ht="20.100000000000001" customHeight="1" x14ac:dyDescent="0.25">
      <c r="A4404" s="277" t="s">
        <v>491</v>
      </c>
      <c r="B4404" s="278"/>
      <c r="C4404" s="64" t="s">
        <v>523</v>
      </c>
      <c r="D4404" s="46" t="s">
        <v>328</v>
      </c>
      <c r="E4404" s="114">
        <v>0.15000000000000013</v>
      </c>
      <c r="F4404" s="44">
        <v>3537</v>
      </c>
      <c r="G4404" s="44">
        <f t="shared" si="2434"/>
        <v>530.55000000000052</v>
      </c>
      <c r="H4404" s="44">
        <f t="shared" si="2435"/>
        <v>1999.9999999999998</v>
      </c>
      <c r="I4404" s="43">
        <f t="shared" si="2436"/>
        <v>300.00000000000023</v>
      </c>
      <c r="J4404" s="112">
        <f t="shared" si="2437"/>
        <v>0.15000000000000013</v>
      </c>
      <c r="K4404" s="211">
        <f t="shared" si="2438"/>
        <v>0.15000000000000013</v>
      </c>
      <c r="L4404" s="44"/>
      <c r="M4404" s="44">
        <f t="shared" si="2458"/>
        <v>0.15000000000000013</v>
      </c>
      <c r="N4404" s="173">
        <f t="shared" si="2439"/>
        <v>1</v>
      </c>
      <c r="O4404" s="44">
        <f t="shared" si="2440"/>
        <v>3537</v>
      </c>
      <c r="P4404" s="44">
        <f t="shared" si="2441"/>
        <v>530.55000000000052</v>
      </c>
      <c r="Q4404" s="44">
        <f t="shared" si="2442"/>
        <v>1999.9999999999998</v>
      </c>
      <c r="R4404" s="44">
        <f t="shared" si="2459"/>
        <v>300.00000000000023</v>
      </c>
      <c r="S4404" s="123"/>
      <c r="T4404" s="219">
        <f t="shared" si="2460"/>
        <v>300.00000000000023</v>
      </c>
      <c r="U4404" s="87"/>
      <c r="V4404" s="47"/>
      <c r="W4404" s="48"/>
      <c r="X4404" s="48"/>
      <c r="Y4404" s="48"/>
      <c r="Z4404" s="135"/>
      <c r="AA4404" s="49"/>
      <c r="AB4404" s="50">
        <f t="shared" si="2443"/>
        <v>1999.9999999999998</v>
      </c>
      <c r="AC4404" s="42">
        <f t="shared" si="2461"/>
        <v>0.15000000000000013</v>
      </c>
      <c r="AD4404" s="90">
        <f>AD4405</f>
        <v>300.00000000000023</v>
      </c>
      <c r="AE4404" s="188">
        <f t="shared" ref="AE4404" si="3229">AE4405</f>
        <v>0</v>
      </c>
      <c r="AF4404" s="189">
        <f t="shared" ref="AF4404" si="3230">AF4405</f>
        <v>0</v>
      </c>
      <c r="AG4404" s="189">
        <f t="shared" ref="AG4404" si="3231">AG4405</f>
        <v>0</v>
      </c>
      <c r="AH4404" s="189">
        <f t="shared" ref="AH4404" si="3232">AH4405</f>
        <v>0</v>
      </c>
      <c r="AI4404" s="161">
        <f t="shared" si="3226"/>
        <v>0</v>
      </c>
      <c r="AK4404" s="169">
        <v>5</v>
      </c>
      <c r="AO4404" s="19" t="s">
        <v>63</v>
      </c>
    </row>
    <row r="4405" spans="1:41" s="103" customFormat="1" ht="19.899999999999999" customHeight="1" x14ac:dyDescent="0.25">
      <c r="A4405" s="51"/>
      <c r="B4405" s="52"/>
      <c r="C4405" s="165"/>
      <c r="D4405" s="52"/>
      <c r="E4405" s="115"/>
      <c r="F4405" s="58"/>
      <c r="G4405" s="58"/>
      <c r="H4405" s="58"/>
      <c r="I4405" s="55"/>
      <c r="J4405" s="113">
        <f>J4404</f>
        <v>0.15000000000000013</v>
      </c>
      <c r="K4405" s="212">
        <f>K4404</f>
        <v>0.15000000000000013</v>
      </c>
      <c r="L4405" s="58"/>
      <c r="M4405" s="58">
        <f>K4405-L4405</f>
        <v>0.15000000000000013</v>
      </c>
      <c r="N4405" s="166"/>
      <c r="O4405" s="58"/>
      <c r="P4405" s="58"/>
      <c r="Q4405" s="58"/>
      <c r="R4405" s="58"/>
      <c r="S4405" s="58"/>
      <c r="T4405" s="220"/>
      <c r="U4405" s="88"/>
      <c r="V4405" s="56"/>
      <c r="W4405" s="57" t="s">
        <v>1294</v>
      </c>
      <c r="X4405" s="53"/>
      <c r="Y4405" s="91" t="s">
        <v>35</v>
      </c>
      <c r="Z4405" s="136">
        <f>AD4405/AC4405</f>
        <v>1999.9999999999998</v>
      </c>
      <c r="AA4405" s="58"/>
      <c r="AB4405" s="53">
        <f>AD4405/AC4405</f>
        <v>1999.9999999999998</v>
      </c>
      <c r="AC4405" s="53">
        <f>M4405+$AE$10</f>
        <v>0.15000000000000013</v>
      </c>
      <c r="AD4405" s="54">
        <f>SUM(AD4406:AD4408)</f>
        <v>300.00000000000023</v>
      </c>
      <c r="AE4405" s="184">
        <f>SUMIFS($AD$37:$AD$12971,$V$37:$V$12971,$V4405,$X$37:$X$12971,AE$13)</f>
        <v>0</v>
      </c>
      <c r="AF4405" s="185">
        <f>SUMIFS($AD$37:$AD$12971,$V$37:$V$12971,$V4405,$X$37:$X$12971,AF$13)</f>
        <v>0</v>
      </c>
      <c r="AG4405" s="185">
        <f>SUMIFS($AD$37:$AD$12971,$V$37:$V$12971,$V4405,$X$37:$X$12971,AG$13)</f>
        <v>0</v>
      </c>
      <c r="AH4405" s="187">
        <f>SUMIFS($AD$37:$AD$12971,$V$37:$V$12971,$V4405,$X$37:$X$12971,AH$13)</f>
        <v>0</v>
      </c>
      <c r="AI4405" s="161">
        <f t="shared" ref="AI4405" si="3233">SUM(AE4405:AH4405)</f>
        <v>0</v>
      </c>
      <c r="AK4405" s="172"/>
    </row>
    <row r="4406" spans="1:41" s="102" customFormat="1" ht="19.899999999999999" customHeight="1" x14ac:dyDescent="0.25">
      <c r="A4406" s="45"/>
      <c r="B4406" s="59"/>
      <c r="C4406" s="137"/>
      <c r="D4406" s="59"/>
      <c r="E4406" s="116"/>
      <c r="F4406" s="120"/>
      <c r="G4406" s="120"/>
      <c r="H4406" s="120"/>
      <c r="I4406" s="60"/>
      <c r="J4406" s="116"/>
      <c r="K4406" s="213"/>
      <c r="L4406" s="120"/>
      <c r="M4406" s="120"/>
      <c r="N4406" s="167"/>
      <c r="O4406" s="120"/>
      <c r="P4406" s="120"/>
      <c r="Q4406" s="120"/>
      <c r="R4406" s="120"/>
      <c r="S4406" s="120"/>
      <c r="T4406" s="221"/>
      <c r="U4406" s="89"/>
      <c r="V4406" s="61"/>
      <c r="W4406" s="92" t="s">
        <v>1472</v>
      </c>
      <c r="X4406" s="93" t="s">
        <v>30</v>
      </c>
      <c r="Y4406" s="93" t="s">
        <v>35</v>
      </c>
      <c r="Z4406" s="134">
        <f>VLOOKUP(W4406,Sheet2!$B:$D,3,FALSE)</f>
        <v>1900</v>
      </c>
      <c r="AA4406" s="93">
        <v>1</v>
      </c>
      <c r="AB4406" s="93">
        <f t="shared" ref="AB4406" si="3234">AD4406/AC4405</f>
        <v>1899.9999999999998</v>
      </c>
      <c r="AC4406" s="93">
        <f>AC4405/AA4406</f>
        <v>0.15000000000000013</v>
      </c>
      <c r="AD4406" s="94">
        <f t="shared" ref="AD4406:AD4407" si="3235">AC4406*Z4406</f>
        <v>285.00000000000023</v>
      </c>
      <c r="AE4406" s="190"/>
      <c r="AF4406" s="191"/>
      <c r="AG4406" s="191"/>
      <c r="AH4406" s="191"/>
      <c r="AI4406" s="186"/>
      <c r="AK4406" s="171"/>
    </row>
    <row r="4407" spans="1:41" s="102" customFormat="1" ht="19.899999999999999" customHeight="1" x14ac:dyDescent="0.25">
      <c r="A4407" s="45"/>
      <c r="B4407" s="59"/>
      <c r="C4407" s="137"/>
      <c r="D4407" s="59"/>
      <c r="E4407" s="116"/>
      <c r="F4407" s="120"/>
      <c r="G4407" s="120"/>
      <c r="H4407" s="120"/>
      <c r="I4407" s="60"/>
      <c r="J4407" s="116"/>
      <c r="K4407" s="213"/>
      <c r="L4407" s="120"/>
      <c r="M4407" s="120"/>
      <c r="N4407" s="167"/>
      <c r="O4407" s="120"/>
      <c r="P4407" s="120"/>
      <c r="Q4407" s="120"/>
      <c r="R4407" s="120"/>
      <c r="S4407" s="120"/>
      <c r="T4407" s="221"/>
      <c r="U4407" s="89"/>
      <c r="V4407" s="61"/>
      <c r="W4407" s="92" t="s">
        <v>107</v>
      </c>
      <c r="X4407" s="93" t="s">
        <v>31</v>
      </c>
      <c r="Y4407" s="93" t="s">
        <v>93</v>
      </c>
      <c r="Z4407" s="134">
        <f>VLOOKUP(W4407,Sheet2!$B:$D,3,FALSE)</f>
        <v>17</v>
      </c>
      <c r="AA4407" s="93">
        <v>0.3</v>
      </c>
      <c r="AB4407" s="93">
        <f>AD4407/AC4405</f>
        <v>56.666666666666664</v>
      </c>
      <c r="AC4407" s="93">
        <f>AC4405/AA4407</f>
        <v>0.50000000000000044</v>
      </c>
      <c r="AD4407" s="94">
        <f t="shared" si="3235"/>
        <v>8.5000000000000071</v>
      </c>
      <c r="AE4407" s="190"/>
      <c r="AF4407" s="191"/>
      <c r="AG4407" s="191"/>
      <c r="AH4407" s="191"/>
      <c r="AI4407" s="186"/>
      <c r="AK4407" s="171"/>
    </row>
    <row r="4408" spans="1:41" s="102" customFormat="1" ht="19.899999999999999" customHeight="1" x14ac:dyDescent="0.25">
      <c r="A4408" s="45"/>
      <c r="B4408" s="59"/>
      <c r="C4408" s="137"/>
      <c r="D4408" s="59"/>
      <c r="E4408" s="116"/>
      <c r="F4408" s="120"/>
      <c r="G4408" s="120"/>
      <c r="H4408" s="120"/>
      <c r="I4408" s="60"/>
      <c r="J4408" s="116"/>
      <c r="K4408" s="213"/>
      <c r="L4408" s="120"/>
      <c r="M4408" s="120"/>
      <c r="N4408" s="167"/>
      <c r="O4408" s="120"/>
      <c r="P4408" s="120"/>
      <c r="Q4408" s="120"/>
      <c r="R4408" s="120"/>
      <c r="S4408" s="120"/>
      <c r="T4408" s="221"/>
      <c r="U4408" s="89"/>
      <c r="V4408" s="61"/>
      <c r="W4408" s="92" t="s">
        <v>112</v>
      </c>
      <c r="X4408" s="93" t="s">
        <v>31</v>
      </c>
      <c r="Y4408" s="93" t="s">
        <v>93</v>
      </c>
      <c r="Z4408" s="134">
        <f>VLOOKUP(W4408,Sheet2!$B:$D,3,FALSE)</f>
        <v>13</v>
      </c>
      <c r="AA4408" s="93">
        <f>AA4407</f>
        <v>0.3</v>
      </c>
      <c r="AB4408" s="93">
        <f>AD4408/AC4405</f>
        <v>43.333333333333329</v>
      </c>
      <c r="AC4408" s="93">
        <f>AC4405/AA4408</f>
        <v>0.50000000000000044</v>
      </c>
      <c r="AD4408" s="94">
        <f>AC4408*Z4408</f>
        <v>6.5000000000000053</v>
      </c>
      <c r="AE4408" s="190"/>
      <c r="AF4408" s="191"/>
      <c r="AG4408" s="191"/>
      <c r="AH4408" s="191"/>
      <c r="AI4408" s="186"/>
      <c r="AK4408" s="171"/>
    </row>
    <row r="4409" spans="1:41" ht="25.5" x14ac:dyDescent="0.25">
      <c r="A4409" s="277" t="s">
        <v>491</v>
      </c>
      <c r="B4409" s="278"/>
      <c r="C4409" s="64" t="s">
        <v>524</v>
      </c>
      <c r="D4409" s="46" t="s">
        <v>328</v>
      </c>
      <c r="E4409" s="114">
        <v>12</v>
      </c>
      <c r="F4409" s="44">
        <v>1598</v>
      </c>
      <c r="G4409" s="44">
        <f t="shared" si="2434"/>
        <v>19176</v>
      </c>
      <c r="H4409" s="44">
        <f t="shared" si="2435"/>
        <v>395.40000000000003</v>
      </c>
      <c r="I4409" s="43">
        <f t="shared" si="2436"/>
        <v>4744.8</v>
      </c>
      <c r="J4409" s="112">
        <f t="shared" si="2437"/>
        <v>12</v>
      </c>
      <c r="K4409" s="211">
        <f t="shared" si="2438"/>
        <v>12</v>
      </c>
      <c r="L4409" s="44"/>
      <c r="M4409" s="44">
        <f t="shared" si="2458"/>
        <v>12</v>
      </c>
      <c r="N4409" s="173">
        <f t="shared" si="2439"/>
        <v>1</v>
      </c>
      <c r="O4409" s="44">
        <f t="shared" si="2440"/>
        <v>1598</v>
      </c>
      <c r="P4409" s="44">
        <f t="shared" si="2441"/>
        <v>19176</v>
      </c>
      <c r="Q4409" s="44">
        <f t="shared" si="2442"/>
        <v>395.40000000000003</v>
      </c>
      <c r="R4409" s="44">
        <f t="shared" si="2459"/>
        <v>4744.8</v>
      </c>
      <c r="S4409" s="123"/>
      <c r="T4409" s="219">
        <f t="shared" si="2460"/>
        <v>4744.8</v>
      </c>
      <c r="U4409" s="87"/>
      <c r="V4409" s="47"/>
      <c r="W4409" s="48"/>
      <c r="X4409" s="48"/>
      <c r="Y4409" s="48"/>
      <c r="Z4409" s="135"/>
      <c r="AA4409" s="49"/>
      <c r="AB4409" s="50">
        <f t="shared" si="2443"/>
        <v>395.40000000000003</v>
      </c>
      <c r="AC4409" s="42">
        <f t="shared" si="2461"/>
        <v>12</v>
      </c>
      <c r="AD4409" s="90">
        <f>AD4410</f>
        <v>4744.8</v>
      </c>
      <c r="AE4409" s="188">
        <f t="shared" ref="AE4409" si="3236">AE4410</f>
        <v>0</v>
      </c>
      <c r="AF4409" s="189">
        <f t="shared" ref="AF4409" si="3237">AF4410</f>
        <v>0</v>
      </c>
      <c r="AG4409" s="189">
        <f t="shared" ref="AG4409" si="3238">AG4410</f>
        <v>0</v>
      </c>
      <c r="AH4409" s="189">
        <f t="shared" ref="AH4409" si="3239">AH4410</f>
        <v>0</v>
      </c>
      <c r="AI4409" s="161">
        <f t="shared" si="3226"/>
        <v>0</v>
      </c>
      <c r="AK4409" s="169">
        <v>5</v>
      </c>
      <c r="AO4409" s="19" t="s">
        <v>63</v>
      </c>
    </row>
    <row r="4410" spans="1:41" s="103" customFormat="1" ht="19.899999999999999" customHeight="1" x14ac:dyDescent="0.25">
      <c r="A4410" s="51"/>
      <c r="B4410" s="52"/>
      <c r="C4410" s="165"/>
      <c r="D4410" s="52"/>
      <c r="E4410" s="115"/>
      <c r="F4410" s="58"/>
      <c r="G4410" s="58"/>
      <c r="H4410" s="58"/>
      <c r="I4410" s="55"/>
      <c r="J4410" s="113">
        <f>J4409</f>
        <v>12</v>
      </c>
      <c r="K4410" s="212">
        <f>K4409</f>
        <v>12</v>
      </c>
      <c r="L4410" s="58"/>
      <c r="M4410" s="58">
        <f>K4410-L4410</f>
        <v>12</v>
      </c>
      <c r="N4410" s="166"/>
      <c r="O4410" s="58"/>
      <c r="P4410" s="58"/>
      <c r="Q4410" s="58"/>
      <c r="R4410" s="58"/>
      <c r="S4410" s="58"/>
      <c r="T4410" s="220"/>
      <c r="U4410" s="88"/>
      <c r="V4410" s="56"/>
      <c r="W4410" s="57" t="s">
        <v>1294</v>
      </c>
      <c r="X4410" s="53"/>
      <c r="Y4410" s="91" t="s">
        <v>35</v>
      </c>
      <c r="Z4410" s="136">
        <f>AD4410/AC4410</f>
        <v>395.40000000000003</v>
      </c>
      <c r="AA4410" s="58"/>
      <c r="AB4410" s="53">
        <f>AD4410/AC4410</f>
        <v>395.40000000000003</v>
      </c>
      <c r="AC4410" s="53">
        <f>M4410+$AE$10</f>
        <v>12</v>
      </c>
      <c r="AD4410" s="54">
        <f>SUM(AD4411:AD4413)</f>
        <v>4744.8</v>
      </c>
      <c r="AE4410" s="184">
        <f>SUMIFS($AD$37:$AD$12971,$V$37:$V$12971,$V4410,$X$37:$X$12971,AE$13)</f>
        <v>0</v>
      </c>
      <c r="AF4410" s="185">
        <f>SUMIFS($AD$37:$AD$12971,$V$37:$V$12971,$V4410,$X$37:$X$12971,AF$13)</f>
        <v>0</v>
      </c>
      <c r="AG4410" s="185">
        <f>SUMIFS($AD$37:$AD$12971,$V$37:$V$12971,$V4410,$X$37:$X$12971,AG$13)</f>
        <v>0</v>
      </c>
      <c r="AH4410" s="187">
        <f>SUMIFS($AD$37:$AD$12971,$V$37:$V$12971,$V4410,$X$37:$X$12971,AH$13)</f>
        <v>0</v>
      </c>
      <c r="AI4410" s="161">
        <f t="shared" si="3226"/>
        <v>0</v>
      </c>
      <c r="AK4410" s="172"/>
    </row>
    <row r="4411" spans="1:41" s="102" customFormat="1" ht="19.899999999999999" customHeight="1" x14ac:dyDescent="0.25">
      <c r="A4411" s="45"/>
      <c r="B4411" s="59"/>
      <c r="C4411" s="137"/>
      <c r="D4411" s="59"/>
      <c r="E4411" s="116"/>
      <c r="F4411" s="120"/>
      <c r="G4411" s="120"/>
      <c r="H4411" s="120"/>
      <c r="I4411" s="60"/>
      <c r="J4411" s="116"/>
      <c r="K4411" s="213"/>
      <c r="L4411" s="120"/>
      <c r="M4411" s="120"/>
      <c r="N4411" s="167"/>
      <c r="O4411" s="120"/>
      <c r="P4411" s="120"/>
      <c r="Q4411" s="120"/>
      <c r="R4411" s="120"/>
      <c r="S4411" s="120"/>
      <c r="T4411" s="221"/>
      <c r="U4411" s="89"/>
      <c r="V4411" s="61"/>
      <c r="W4411" s="92" t="s">
        <v>1297</v>
      </c>
      <c r="X4411" s="93" t="s">
        <v>30</v>
      </c>
      <c r="Y4411" s="93" t="s">
        <v>35</v>
      </c>
      <c r="Z4411" s="134">
        <f>VLOOKUP(W4411,Sheet2!$B:$D,3,FALSE)</f>
        <v>335.40000000000003</v>
      </c>
      <c r="AA4411" s="93">
        <v>1</v>
      </c>
      <c r="AB4411" s="93">
        <f t="shared" ref="AB4411" si="3240">AD4411/AC4410</f>
        <v>335.40000000000003</v>
      </c>
      <c r="AC4411" s="93">
        <f>AC4410/AA4411</f>
        <v>12</v>
      </c>
      <c r="AD4411" s="94">
        <f t="shared" ref="AD4411:AD4412" si="3241">AC4411*Z4411</f>
        <v>4024.8</v>
      </c>
      <c r="AE4411" s="190"/>
      <c r="AF4411" s="191"/>
      <c r="AG4411" s="191"/>
      <c r="AH4411" s="191"/>
      <c r="AI4411" s="186"/>
      <c r="AK4411" s="171"/>
    </row>
    <row r="4412" spans="1:41" s="102" customFormat="1" ht="19.899999999999999" customHeight="1" x14ac:dyDescent="0.25">
      <c r="A4412" s="45"/>
      <c r="B4412" s="59"/>
      <c r="C4412" s="137"/>
      <c r="D4412" s="59"/>
      <c r="E4412" s="116"/>
      <c r="F4412" s="120"/>
      <c r="G4412" s="120"/>
      <c r="H4412" s="120"/>
      <c r="I4412" s="60"/>
      <c r="J4412" s="116"/>
      <c r="K4412" s="213"/>
      <c r="L4412" s="120"/>
      <c r="M4412" s="120"/>
      <c r="N4412" s="167"/>
      <c r="O4412" s="120"/>
      <c r="P4412" s="120"/>
      <c r="Q4412" s="120"/>
      <c r="R4412" s="120"/>
      <c r="S4412" s="120"/>
      <c r="T4412" s="221"/>
      <c r="U4412" s="89"/>
      <c r="V4412" s="61"/>
      <c r="W4412" s="92" t="s">
        <v>107</v>
      </c>
      <c r="X4412" s="93" t="s">
        <v>31</v>
      </c>
      <c r="Y4412" s="93" t="s">
        <v>93</v>
      </c>
      <c r="Z4412" s="134">
        <f>VLOOKUP(W4412,Sheet2!$B:$D,3,FALSE)</f>
        <v>17</v>
      </c>
      <c r="AA4412" s="93">
        <v>0.5</v>
      </c>
      <c r="AB4412" s="93">
        <f>AD4412/AC4410</f>
        <v>34</v>
      </c>
      <c r="AC4412" s="93">
        <f>AC4410/AA4412</f>
        <v>24</v>
      </c>
      <c r="AD4412" s="94">
        <f t="shared" si="3241"/>
        <v>408</v>
      </c>
      <c r="AE4412" s="190"/>
      <c r="AF4412" s="191"/>
      <c r="AG4412" s="191"/>
      <c r="AH4412" s="191"/>
      <c r="AI4412" s="186"/>
      <c r="AK4412" s="171"/>
    </row>
    <row r="4413" spans="1:41" s="102" customFormat="1" ht="19.899999999999999" customHeight="1" x14ac:dyDescent="0.25">
      <c r="A4413" s="45"/>
      <c r="B4413" s="59"/>
      <c r="C4413" s="137"/>
      <c r="D4413" s="59"/>
      <c r="E4413" s="116"/>
      <c r="F4413" s="120"/>
      <c r="G4413" s="120"/>
      <c r="H4413" s="120"/>
      <c r="I4413" s="60"/>
      <c r="J4413" s="116"/>
      <c r="K4413" s="213"/>
      <c r="L4413" s="120"/>
      <c r="M4413" s="120"/>
      <c r="N4413" s="167"/>
      <c r="O4413" s="120"/>
      <c r="P4413" s="120"/>
      <c r="Q4413" s="120"/>
      <c r="R4413" s="120"/>
      <c r="S4413" s="120"/>
      <c r="T4413" s="221"/>
      <c r="U4413" s="89"/>
      <c r="V4413" s="61"/>
      <c r="W4413" s="92" t="s">
        <v>112</v>
      </c>
      <c r="X4413" s="93" t="s">
        <v>31</v>
      </c>
      <c r="Y4413" s="93" t="s">
        <v>93</v>
      </c>
      <c r="Z4413" s="134">
        <f>VLOOKUP(W4413,Sheet2!$B:$D,3,FALSE)</f>
        <v>13</v>
      </c>
      <c r="AA4413" s="93">
        <f>AA4412</f>
        <v>0.5</v>
      </c>
      <c r="AB4413" s="93">
        <f>AD4413/AC4410</f>
        <v>26</v>
      </c>
      <c r="AC4413" s="93">
        <f>AC4410/AA4413</f>
        <v>24</v>
      </c>
      <c r="AD4413" s="94">
        <f>AC4413*Z4413</f>
        <v>312</v>
      </c>
      <c r="AE4413" s="190"/>
      <c r="AF4413" s="191"/>
      <c r="AG4413" s="191"/>
      <c r="AH4413" s="191"/>
      <c r="AI4413" s="186"/>
      <c r="AK4413" s="171"/>
    </row>
    <row r="4414" spans="1:41" ht="20.100000000000001" customHeight="1" x14ac:dyDescent="0.25">
      <c r="A4414" s="277" t="s">
        <v>491</v>
      </c>
      <c r="B4414" s="278"/>
      <c r="C4414" s="64" t="s">
        <v>525</v>
      </c>
      <c r="D4414" s="46" t="s">
        <v>328</v>
      </c>
      <c r="E4414" s="114"/>
      <c r="F4414" s="44"/>
      <c r="G4414" s="44">
        <f t="shared" si="2434"/>
        <v>0</v>
      </c>
      <c r="H4414" s="44">
        <f t="shared" si="2435"/>
        <v>0</v>
      </c>
      <c r="I4414" s="43">
        <f t="shared" si="2436"/>
        <v>0</v>
      </c>
      <c r="J4414" s="112">
        <f t="shared" si="2437"/>
        <v>0</v>
      </c>
      <c r="K4414" s="211">
        <f t="shared" si="2438"/>
        <v>0</v>
      </c>
      <c r="L4414" s="44"/>
      <c r="M4414" s="44">
        <f t="shared" si="2458"/>
        <v>0</v>
      </c>
      <c r="N4414" s="173">
        <f t="shared" si="2439"/>
        <v>0</v>
      </c>
      <c r="O4414" s="44">
        <f t="shared" si="2440"/>
        <v>0</v>
      </c>
      <c r="P4414" s="44">
        <f t="shared" si="2441"/>
        <v>0</v>
      </c>
      <c r="Q4414" s="44">
        <f t="shared" si="2442"/>
        <v>0</v>
      </c>
      <c r="R4414" s="44">
        <f t="shared" si="2459"/>
        <v>0</v>
      </c>
      <c r="S4414" s="123"/>
      <c r="T4414" s="219">
        <f t="shared" si="2460"/>
        <v>0</v>
      </c>
      <c r="U4414" s="87"/>
      <c r="V4414" s="47"/>
      <c r="W4414" s="48"/>
      <c r="X4414" s="48"/>
      <c r="Y4414" s="48"/>
      <c r="Z4414" s="135"/>
      <c r="AA4414" s="49"/>
      <c r="AB4414" s="50">
        <f t="shared" si="2443"/>
        <v>0</v>
      </c>
      <c r="AC4414" s="42">
        <f t="shared" si="2461"/>
        <v>9.9999999999999998E-20</v>
      </c>
      <c r="AD4414" s="90"/>
      <c r="AE4414" s="188"/>
      <c r="AF4414" s="189"/>
      <c r="AG4414" s="189"/>
      <c r="AH4414" s="189"/>
      <c r="AI4414" s="161"/>
    </row>
    <row r="4415" spans="1:41" s="102" customFormat="1" ht="78.75" x14ac:dyDescent="0.25">
      <c r="A4415" s="45" t="s">
        <v>491</v>
      </c>
      <c r="B4415" s="276"/>
      <c r="C4415" s="285" t="s">
        <v>526</v>
      </c>
      <c r="D4415" s="59"/>
      <c r="E4415" s="116"/>
      <c r="F4415" s="120"/>
      <c r="G4415" s="120">
        <f t="shared" si="2434"/>
        <v>0</v>
      </c>
      <c r="H4415" s="120">
        <f t="shared" si="2435"/>
        <v>0</v>
      </c>
      <c r="I4415" s="60">
        <f t="shared" si="2436"/>
        <v>0</v>
      </c>
      <c r="J4415" s="116">
        <f t="shared" si="2437"/>
        <v>0</v>
      </c>
      <c r="K4415" s="213">
        <f t="shared" si="2438"/>
        <v>0</v>
      </c>
      <c r="L4415" s="120"/>
      <c r="M4415" s="120">
        <f t="shared" si="2458"/>
        <v>0</v>
      </c>
      <c r="N4415" s="167">
        <f t="shared" si="2439"/>
        <v>0</v>
      </c>
      <c r="O4415" s="120">
        <f t="shared" si="2440"/>
        <v>0</v>
      </c>
      <c r="P4415" s="120">
        <f t="shared" si="2441"/>
        <v>0</v>
      </c>
      <c r="Q4415" s="120">
        <f t="shared" si="2442"/>
        <v>0</v>
      </c>
      <c r="R4415" s="120">
        <f t="shared" si="2459"/>
        <v>0</v>
      </c>
      <c r="S4415" s="120"/>
      <c r="T4415" s="221">
        <f t="shared" si="2460"/>
        <v>0</v>
      </c>
      <c r="U4415" s="89"/>
      <c r="V4415" s="61"/>
      <c r="W4415" s="92"/>
      <c r="X4415" s="38"/>
      <c r="Y4415" s="93"/>
      <c r="Z4415" s="134"/>
      <c r="AA4415" s="93"/>
      <c r="AB4415" s="93">
        <f t="shared" si="2443"/>
        <v>0</v>
      </c>
      <c r="AC4415" s="93">
        <f t="shared" si="2461"/>
        <v>9.9999999999999998E-20</v>
      </c>
      <c r="AD4415" s="94"/>
      <c r="AE4415" s="190"/>
      <c r="AF4415" s="191"/>
      <c r="AG4415" s="191"/>
      <c r="AH4415" s="191"/>
      <c r="AI4415" s="186"/>
      <c r="AK4415" s="171"/>
    </row>
    <row r="4416" spans="1:41" ht="20.100000000000001" customHeight="1" x14ac:dyDescent="0.25">
      <c r="A4416" s="277" t="s">
        <v>491</v>
      </c>
      <c r="B4416" s="278"/>
      <c r="C4416" s="64" t="s">
        <v>527</v>
      </c>
      <c r="D4416" s="46" t="s">
        <v>328</v>
      </c>
      <c r="E4416" s="114">
        <v>0.19999999999999996</v>
      </c>
      <c r="F4416" s="44">
        <v>6218</v>
      </c>
      <c r="G4416" s="44">
        <f t="shared" si="2434"/>
        <v>1243.5999999999997</v>
      </c>
      <c r="H4416" s="44">
        <f t="shared" si="2435"/>
        <v>2620</v>
      </c>
      <c r="I4416" s="43">
        <f t="shared" si="2436"/>
        <v>523.99999999999989</v>
      </c>
      <c r="J4416" s="112">
        <f t="shared" si="2437"/>
        <v>0.19999999999999996</v>
      </c>
      <c r="K4416" s="211">
        <f t="shared" si="2438"/>
        <v>0.19999999999999996</v>
      </c>
      <c r="L4416" s="44"/>
      <c r="M4416" s="44">
        <f t="shared" si="2458"/>
        <v>0.19999999999999996</v>
      </c>
      <c r="N4416" s="173">
        <f t="shared" si="2439"/>
        <v>1</v>
      </c>
      <c r="O4416" s="44">
        <f t="shared" si="2440"/>
        <v>6218</v>
      </c>
      <c r="P4416" s="44">
        <f t="shared" si="2441"/>
        <v>1243.5999999999997</v>
      </c>
      <c r="Q4416" s="44">
        <f t="shared" si="2442"/>
        <v>2620</v>
      </c>
      <c r="R4416" s="44">
        <f t="shared" si="2459"/>
        <v>523.99999999999989</v>
      </c>
      <c r="S4416" s="123"/>
      <c r="T4416" s="219">
        <f t="shared" si="2460"/>
        <v>523.99999999999989</v>
      </c>
      <c r="U4416" s="87"/>
      <c r="V4416" s="47"/>
      <c r="W4416" s="48"/>
      <c r="X4416" s="48"/>
      <c r="Y4416" s="48"/>
      <c r="Z4416" s="135"/>
      <c r="AA4416" s="49"/>
      <c r="AB4416" s="50">
        <f t="shared" si="2443"/>
        <v>2620</v>
      </c>
      <c r="AC4416" s="42">
        <f t="shared" si="2461"/>
        <v>0.19999999999999996</v>
      </c>
      <c r="AD4416" s="90">
        <f>AD4417</f>
        <v>523.99999999999989</v>
      </c>
      <c r="AE4416" s="188">
        <f t="shared" ref="AE4416:AH4416" si="3242">AE4417</f>
        <v>0</v>
      </c>
      <c r="AF4416" s="189">
        <f t="shared" si="3242"/>
        <v>0</v>
      </c>
      <c r="AG4416" s="189">
        <f t="shared" si="3242"/>
        <v>0</v>
      </c>
      <c r="AH4416" s="189">
        <f t="shared" si="3242"/>
        <v>0</v>
      </c>
      <c r="AI4416" s="161">
        <f t="shared" ref="AI4416:AI4417" si="3243">SUM(AE4416:AH4416)</f>
        <v>0</v>
      </c>
      <c r="AK4416" s="169">
        <v>5</v>
      </c>
      <c r="AO4416" s="19" t="s">
        <v>63</v>
      </c>
    </row>
    <row r="4417" spans="1:41" s="103" customFormat="1" ht="19.899999999999999" customHeight="1" x14ac:dyDescent="0.25">
      <c r="A4417" s="51"/>
      <c r="B4417" s="52"/>
      <c r="C4417" s="165"/>
      <c r="D4417" s="52"/>
      <c r="E4417" s="115"/>
      <c r="F4417" s="58"/>
      <c r="G4417" s="58"/>
      <c r="H4417" s="58"/>
      <c r="I4417" s="55"/>
      <c r="J4417" s="113">
        <f>J4416</f>
        <v>0.19999999999999996</v>
      </c>
      <c r="K4417" s="212">
        <f>K4416</f>
        <v>0.19999999999999996</v>
      </c>
      <c r="L4417" s="58"/>
      <c r="M4417" s="58">
        <f>K4417-L4417</f>
        <v>0.19999999999999996</v>
      </c>
      <c r="N4417" s="166"/>
      <c r="O4417" s="58"/>
      <c r="P4417" s="58"/>
      <c r="Q4417" s="58"/>
      <c r="R4417" s="58"/>
      <c r="S4417" s="58"/>
      <c r="T4417" s="220"/>
      <c r="U4417" s="88"/>
      <c r="V4417" s="56"/>
      <c r="W4417" s="57" t="s">
        <v>1329</v>
      </c>
      <c r="X4417" s="53"/>
      <c r="Y4417" s="91" t="s">
        <v>35</v>
      </c>
      <c r="Z4417" s="136">
        <f>AD4417/AC4417</f>
        <v>2620</v>
      </c>
      <c r="AA4417" s="58"/>
      <c r="AB4417" s="53">
        <f>AD4417/AC4417</f>
        <v>2620</v>
      </c>
      <c r="AC4417" s="53">
        <f>M4417+$AE$10</f>
        <v>0.19999999999999996</v>
      </c>
      <c r="AD4417" s="54">
        <f>SUM(AD4418:AD4420)</f>
        <v>523.99999999999989</v>
      </c>
      <c r="AE4417" s="184">
        <f>SUMIFS($AD$37:$AD$12971,$V$37:$V$12971,$V4417,$X$37:$X$12971,AE$13)</f>
        <v>0</v>
      </c>
      <c r="AF4417" s="185">
        <f>SUMIFS($AD$37:$AD$12971,$V$37:$V$12971,$V4417,$X$37:$X$12971,AF$13)</f>
        <v>0</v>
      </c>
      <c r="AG4417" s="185">
        <f>SUMIFS($AD$37:$AD$12971,$V$37:$V$12971,$V4417,$X$37:$X$12971,AG$13)</f>
        <v>0</v>
      </c>
      <c r="AH4417" s="187">
        <f>SUMIFS($AD$37:$AD$12971,$V$37:$V$12971,$V4417,$X$37:$X$12971,AH$13)</f>
        <v>0</v>
      </c>
      <c r="AI4417" s="161">
        <f t="shared" si="3243"/>
        <v>0</v>
      </c>
      <c r="AK4417" s="172"/>
    </row>
    <row r="4418" spans="1:41" s="102" customFormat="1" ht="19.899999999999999" customHeight="1" x14ac:dyDescent="0.25">
      <c r="A4418" s="45"/>
      <c r="B4418" s="59"/>
      <c r="C4418" s="137"/>
      <c r="D4418" s="59"/>
      <c r="E4418" s="116"/>
      <c r="F4418" s="120"/>
      <c r="G4418" s="120"/>
      <c r="H4418" s="120"/>
      <c r="I4418" s="60"/>
      <c r="J4418" s="116"/>
      <c r="K4418" s="213"/>
      <c r="L4418" s="120"/>
      <c r="M4418" s="120"/>
      <c r="N4418" s="167"/>
      <c r="O4418" s="120"/>
      <c r="P4418" s="120"/>
      <c r="Q4418" s="120"/>
      <c r="R4418" s="120"/>
      <c r="S4418" s="120"/>
      <c r="T4418" s="221"/>
      <c r="U4418" s="89"/>
      <c r="V4418" s="61"/>
      <c r="W4418" s="92" t="s">
        <v>1473</v>
      </c>
      <c r="X4418" s="93" t="s">
        <v>30</v>
      </c>
      <c r="Y4418" s="93" t="s">
        <v>35</v>
      </c>
      <c r="Z4418" s="134">
        <f>VLOOKUP(W4418,Sheet2!$B:$D,3,FALSE)</f>
        <v>2200</v>
      </c>
      <c r="AA4418" s="93">
        <v>1</v>
      </c>
      <c r="AB4418" s="93">
        <f t="shared" ref="AB4418" si="3244">AD4418/AC4417</f>
        <v>2200</v>
      </c>
      <c r="AC4418" s="93">
        <f>AC4417/AA4418</f>
        <v>0.19999999999999996</v>
      </c>
      <c r="AD4418" s="94">
        <f t="shared" ref="AD4418:AD4419" si="3245">AC4418*Z4418</f>
        <v>439.99999999999989</v>
      </c>
      <c r="AE4418" s="190"/>
      <c r="AF4418" s="191"/>
      <c r="AG4418" s="191"/>
      <c r="AH4418" s="191"/>
      <c r="AI4418" s="186"/>
      <c r="AK4418" s="171"/>
    </row>
    <row r="4419" spans="1:41" s="102" customFormat="1" ht="19.899999999999999" customHeight="1" x14ac:dyDescent="0.25">
      <c r="A4419" s="45"/>
      <c r="B4419" s="59"/>
      <c r="C4419" s="137"/>
      <c r="D4419" s="59"/>
      <c r="E4419" s="116"/>
      <c r="F4419" s="120"/>
      <c r="G4419" s="120"/>
      <c r="H4419" s="120"/>
      <c r="I4419" s="60"/>
      <c r="J4419" s="116"/>
      <c r="K4419" s="213"/>
      <c r="L4419" s="120"/>
      <c r="M4419" s="120"/>
      <c r="N4419" s="167"/>
      <c r="O4419" s="120"/>
      <c r="P4419" s="120"/>
      <c r="Q4419" s="120"/>
      <c r="R4419" s="120"/>
      <c r="S4419" s="120"/>
      <c r="T4419" s="221"/>
      <c r="U4419" s="89"/>
      <c r="V4419" s="61"/>
      <c r="W4419" s="92" t="s">
        <v>1474</v>
      </c>
      <c r="X4419" s="93" t="s">
        <v>30</v>
      </c>
      <c r="Y4419" s="93" t="s">
        <v>35</v>
      </c>
      <c r="Z4419" s="134">
        <f>VLOOKUP(W4419,Sheet2!$B:$D,3,FALSE)</f>
        <v>220</v>
      </c>
      <c r="AA4419" s="93">
        <v>1</v>
      </c>
      <c r="AB4419" s="93">
        <f>AD4419/AC4417</f>
        <v>220</v>
      </c>
      <c r="AC4419" s="93">
        <f>AC4417/AA4419</f>
        <v>0.19999999999999996</v>
      </c>
      <c r="AD4419" s="94">
        <f t="shared" si="3245"/>
        <v>43.999999999999993</v>
      </c>
      <c r="AE4419" s="190"/>
      <c r="AF4419" s="191"/>
      <c r="AG4419" s="191"/>
      <c r="AH4419" s="191"/>
      <c r="AI4419" s="186"/>
      <c r="AK4419" s="171"/>
    </row>
    <row r="4420" spans="1:41" s="102" customFormat="1" ht="19.899999999999999" customHeight="1" x14ac:dyDescent="0.25">
      <c r="A4420" s="45"/>
      <c r="B4420" s="59"/>
      <c r="C4420" s="137"/>
      <c r="D4420" s="59"/>
      <c r="E4420" s="116"/>
      <c r="F4420" s="120"/>
      <c r="G4420" s="120"/>
      <c r="H4420" s="120"/>
      <c r="I4420" s="60"/>
      <c r="J4420" s="116"/>
      <c r="K4420" s="213"/>
      <c r="L4420" s="120"/>
      <c r="M4420" s="120"/>
      <c r="N4420" s="167"/>
      <c r="O4420" s="120"/>
      <c r="P4420" s="120"/>
      <c r="Q4420" s="120"/>
      <c r="R4420" s="120"/>
      <c r="S4420" s="120"/>
      <c r="T4420" s="221"/>
      <c r="U4420" s="89"/>
      <c r="V4420" s="61"/>
      <c r="W4420" s="92" t="s">
        <v>1475</v>
      </c>
      <c r="X4420" s="93" t="s">
        <v>32</v>
      </c>
      <c r="Y4420" s="93" t="s">
        <v>35</v>
      </c>
      <c r="Z4420" s="134">
        <f>VLOOKUP(W4420,Sheet2!$B:$D,3,FALSE)</f>
        <v>200</v>
      </c>
      <c r="AA4420" s="93">
        <v>1</v>
      </c>
      <c r="AB4420" s="93">
        <f>AD4420/AC4417</f>
        <v>200</v>
      </c>
      <c r="AC4420" s="93">
        <f>AC4417/AA4420</f>
        <v>0.19999999999999996</v>
      </c>
      <c r="AD4420" s="94">
        <f>AC4420*Z4420</f>
        <v>39.999999999999993</v>
      </c>
      <c r="AE4420" s="190"/>
      <c r="AF4420" s="191"/>
      <c r="AG4420" s="191"/>
      <c r="AH4420" s="191"/>
      <c r="AI4420" s="186"/>
      <c r="AK4420" s="171"/>
    </row>
    <row r="4421" spans="1:41" ht="20.100000000000001" customHeight="1" x14ac:dyDescent="0.25">
      <c r="A4421" s="277" t="s">
        <v>491</v>
      </c>
      <c r="B4421" s="278"/>
      <c r="C4421" s="64" t="s">
        <v>528</v>
      </c>
      <c r="D4421" s="46" t="s">
        <v>328</v>
      </c>
      <c r="E4421" s="114">
        <v>2</v>
      </c>
      <c r="F4421" s="44">
        <v>9328</v>
      </c>
      <c r="G4421" s="44">
        <f t="shared" si="2434"/>
        <v>18656</v>
      </c>
      <c r="H4421" s="44">
        <f t="shared" si="2435"/>
        <v>9431</v>
      </c>
      <c r="I4421" s="43">
        <f t="shared" si="2436"/>
        <v>18862</v>
      </c>
      <c r="J4421" s="112">
        <f t="shared" si="2437"/>
        <v>2</v>
      </c>
      <c r="K4421" s="211">
        <f t="shared" si="2438"/>
        <v>2</v>
      </c>
      <c r="L4421" s="44"/>
      <c r="M4421" s="44">
        <f t="shared" si="2458"/>
        <v>2</v>
      </c>
      <c r="N4421" s="173">
        <f t="shared" si="2439"/>
        <v>1</v>
      </c>
      <c r="O4421" s="44">
        <f t="shared" si="2440"/>
        <v>9328</v>
      </c>
      <c r="P4421" s="44">
        <f t="shared" si="2441"/>
        <v>18656</v>
      </c>
      <c r="Q4421" s="44">
        <f t="shared" si="2442"/>
        <v>9431</v>
      </c>
      <c r="R4421" s="44">
        <f t="shared" si="2459"/>
        <v>18862</v>
      </c>
      <c r="S4421" s="123"/>
      <c r="T4421" s="219">
        <f t="shared" si="2460"/>
        <v>18862</v>
      </c>
      <c r="U4421" s="87"/>
      <c r="V4421" s="47"/>
      <c r="W4421" s="48"/>
      <c r="X4421" s="48"/>
      <c r="Y4421" s="48"/>
      <c r="Z4421" s="135"/>
      <c r="AA4421" s="49"/>
      <c r="AB4421" s="50">
        <f t="shared" si="2443"/>
        <v>9431</v>
      </c>
      <c r="AC4421" s="42">
        <f t="shared" si="2461"/>
        <v>2</v>
      </c>
      <c r="AD4421" s="90">
        <f>AD4422</f>
        <v>18862</v>
      </c>
      <c r="AE4421" s="188">
        <f t="shared" ref="AE4421" si="3246">AE4422</f>
        <v>0</v>
      </c>
      <c r="AF4421" s="189">
        <f t="shared" ref="AF4421" si="3247">AF4422</f>
        <v>0</v>
      </c>
      <c r="AG4421" s="189">
        <f t="shared" ref="AG4421" si="3248">AG4422</f>
        <v>0</v>
      </c>
      <c r="AH4421" s="189">
        <f t="shared" ref="AH4421" si="3249">AH4422</f>
        <v>0</v>
      </c>
      <c r="AI4421" s="161">
        <f t="shared" ref="AI4421:AI4422" si="3250">SUM(AE4421:AH4421)</f>
        <v>0</v>
      </c>
      <c r="AK4421" s="169">
        <v>5</v>
      </c>
      <c r="AO4421" s="19" t="s">
        <v>63</v>
      </c>
    </row>
    <row r="4422" spans="1:41" s="103" customFormat="1" ht="19.899999999999999" customHeight="1" x14ac:dyDescent="0.25">
      <c r="A4422" s="51"/>
      <c r="B4422" s="52"/>
      <c r="C4422" s="165"/>
      <c r="D4422" s="52"/>
      <c r="E4422" s="115"/>
      <c r="F4422" s="58"/>
      <c r="G4422" s="58"/>
      <c r="H4422" s="58"/>
      <c r="I4422" s="55"/>
      <c r="J4422" s="113">
        <f>J4421</f>
        <v>2</v>
      </c>
      <c r="K4422" s="212">
        <f>K4421</f>
        <v>2</v>
      </c>
      <c r="L4422" s="58"/>
      <c r="M4422" s="58">
        <f>K4422-L4422</f>
        <v>2</v>
      </c>
      <c r="N4422" s="166"/>
      <c r="O4422" s="58"/>
      <c r="P4422" s="58"/>
      <c r="Q4422" s="58"/>
      <c r="R4422" s="58"/>
      <c r="S4422" s="58"/>
      <c r="T4422" s="220"/>
      <c r="U4422" s="88"/>
      <c r="V4422" s="56"/>
      <c r="W4422" s="57" t="s">
        <v>1329</v>
      </c>
      <c r="X4422" s="53"/>
      <c r="Y4422" s="91" t="s">
        <v>35</v>
      </c>
      <c r="Z4422" s="136">
        <f>AD4422/AC4422</f>
        <v>9431</v>
      </c>
      <c r="AA4422" s="58"/>
      <c r="AB4422" s="53">
        <f>AD4422/AC4422</f>
        <v>9431</v>
      </c>
      <c r="AC4422" s="53">
        <f>M4422+$AE$10</f>
        <v>2</v>
      </c>
      <c r="AD4422" s="54">
        <f>SUM(AD4423:AD4425)</f>
        <v>18862</v>
      </c>
      <c r="AE4422" s="184">
        <f>SUMIFS($AD$37:$AD$12971,$V$37:$V$12971,$V4422,$X$37:$X$12971,AE$13)</f>
        <v>0</v>
      </c>
      <c r="AF4422" s="185">
        <f>SUMIFS($AD$37:$AD$12971,$V$37:$V$12971,$V4422,$X$37:$X$12971,AF$13)</f>
        <v>0</v>
      </c>
      <c r="AG4422" s="185">
        <f>SUMIFS($AD$37:$AD$12971,$V$37:$V$12971,$V4422,$X$37:$X$12971,AG$13)</f>
        <v>0</v>
      </c>
      <c r="AH4422" s="187">
        <f>SUMIFS($AD$37:$AD$12971,$V$37:$V$12971,$V4422,$X$37:$X$12971,AH$13)</f>
        <v>0</v>
      </c>
      <c r="AI4422" s="161">
        <f t="shared" si="3250"/>
        <v>0</v>
      </c>
      <c r="AK4422" s="172"/>
    </row>
    <row r="4423" spans="1:41" s="102" customFormat="1" ht="19.899999999999999" customHeight="1" x14ac:dyDescent="0.25">
      <c r="A4423" s="45"/>
      <c r="B4423" s="59"/>
      <c r="C4423" s="137"/>
      <c r="D4423" s="59"/>
      <c r="E4423" s="116"/>
      <c r="F4423" s="120"/>
      <c r="G4423" s="120"/>
      <c r="H4423" s="120"/>
      <c r="I4423" s="60"/>
      <c r="J4423" s="116"/>
      <c r="K4423" s="213"/>
      <c r="L4423" s="120"/>
      <c r="M4423" s="120"/>
      <c r="N4423" s="167"/>
      <c r="O4423" s="120"/>
      <c r="P4423" s="120"/>
      <c r="Q4423" s="120"/>
      <c r="R4423" s="120"/>
      <c r="S4423" s="120"/>
      <c r="T4423" s="221"/>
      <c r="U4423" s="89"/>
      <c r="V4423" s="61"/>
      <c r="W4423" s="92" t="s">
        <v>1454</v>
      </c>
      <c r="X4423" s="93" t="s">
        <v>30</v>
      </c>
      <c r="Y4423" s="93" t="s">
        <v>35</v>
      </c>
      <c r="Z4423" s="134">
        <f>VLOOKUP(W4423,Sheet2!$B:$D,3,FALSE)</f>
        <v>7210</v>
      </c>
      <c r="AA4423" s="93">
        <v>1</v>
      </c>
      <c r="AB4423" s="93">
        <f t="shared" ref="AB4423" si="3251">AD4423/AC4422</f>
        <v>7210</v>
      </c>
      <c r="AC4423" s="93">
        <f>AC4422/AA4423</f>
        <v>2</v>
      </c>
      <c r="AD4423" s="94">
        <f t="shared" ref="AD4423:AD4424" si="3252">AC4423*Z4423</f>
        <v>14420</v>
      </c>
      <c r="AE4423" s="190"/>
      <c r="AF4423" s="191"/>
      <c r="AG4423" s="191"/>
      <c r="AH4423" s="191"/>
      <c r="AI4423" s="186"/>
      <c r="AK4423" s="171"/>
    </row>
    <row r="4424" spans="1:41" s="102" customFormat="1" ht="19.899999999999999" customHeight="1" x14ac:dyDescent="0.25">
      <c r="A4424" s="45"/>
      <c r="B4424" s="59"/>
      <c r="C4424" s="137"/>
      <c r="D4424" s="59"/>
      <c r="E4424" s="116"/>
      <c r="F4424" s="120"/>
      <c r="G4424" s="120"/>
      <c r="H4424" s="120"/>
      <c r="I4424" s="60"/>
      <c r="J4424" s="116"/>
      <c r="K4424" s="213"/>
      <c r="L4424" s="120"/>
      <c r="M4424" s="120"/>
      <c r="N4424" s="167"/>
      <c r="O4424" s="120"/>
      <c r="P4424" s="120"/>
      <c r="Q4424" s="120"/>
      <c r="R4424" s="120"/>
      <c r="S4424" s="120"/>
      <c r="T4424" s="221"/>
      <c r="U4424" s="89"/>
      <c r="V4424" s="61"/>
      <c r="W4424" s="92" t="s">
        <v>1455</v>
      </c>
      <c r="X4424" s="93" t="s">
        <v>30</v>
      </c>
      <c r="Y4424" s="93" t="s">
        <v>35</v>
      </c>
      <c r="Z4424" s="134">
        <f>VLOOKUP(W4424,Sheet2!$B:$D,3,FALSE)</f>
        <v>721</v>
      </c>
      <c r="AA4424" s="93">
        <v>1</v>
      </c>
      <c r="AB4424" s="93">
        <f>AD4424/AC4422</f>
        <v>721</v>
      </c>
      <c r="AC4424" s="93">
        <f>AC4422/AA4424</f>
        <v>2</v>
      </c>
      <c r="AD4424" s="94">
        <f t="shared" si="3252"/>
        <v>1442</v>
      </c>
      <c r="AE4424" s="190"/>
      <c r="AF4424" s="191"/>
      <c r="AG4424" s="191"/>
      <c r="AH4424" s="191"/>
      <c r="AI4424" s="186"/>
      <c r="AK4424" s="171"/>
    </row>
    <row r="4425" spans="1:41" s="102" customFormat="1" ht="19.899999999999999" customHeight="1" x14ac:dyDescent="0.25">
      <c r="A4425" s="45"/>
      <c r="B4425" s="59"/>
      <c r="C4425" s="137"/>
      <c r="D4425" s="59"/>
      <c r="E4425" s="116"/>
      <c r="F4425" s="120"/>
      <c r="G4425" s="120"/>
      <c r="H4425" s="120"/>
      <c r="I4425" s="60"/>
      <c r="J4425" s="116"/>
      <c r="K4425" s="213"/>
      <c r="L4425" s="120"/>
      <c r="M4425" s="120"/>
      <c r="N4425" s="167"/>
      <c r="O4425" s="120"/>
      <c r="P4425" s="120"/>
      <c r="Q4425" s="120"/>
      <c r="R4425" s="120"/>
      <c r="S4425" s="120"/>
      <c r="T4425" s="221"/>
      <c r="U4425" s="89"/>
      <c r="V4425" s="61"/>
      <c r="W4425" s="92" t="s">
        <v>1456</v>
      </c>
      <c r="X4425" s="93" t="s">
        <v>32</v>
      </c>
      <c r="Y4425" s="93" t="s">
        <v>35</v>
      </c>
      <c r="Z4425" s="134">
        <f>VLOOKUP(W4425,Sheet2!$B:$D,3,FALSE)</f>
        <v>1500</v>
      </c>
      <c r="AA4425" s="93">
        <v>1</v>
      </c>
      <c r="AB4425" s="93">
        <f>AD4425/AC4422</f>
        <v>1500</v>
      </c>
      <c r="AC4425" s="93">
        <f>AC4422/AA4425</f>
        <v>2</v>
      </c>
      <c r="AD4425" s="94">
        <f>AC4425*Z4425</f>
        <v>3000</v>
      </c>
      <c r="AE4425" s="190"/>
      <c r="AF4425" s="191"/>
      <c r="AG4425" s="191"/>
      <c r="AH4425" s="191"/>
      <c r="AI4425" s="186"/>
      <c r="AK4425" s="171"/>
    </row>
    <row r="4426" spans="1:41" ht="20.100000000000001" customHeight="1" x14ac:dyDescent="0.25">
      <c r="A4426" s="277" t="s">
        <v>491</v>
      </c>
      <c r="B4426" s="278"/>
      <c r="C4426" s="64" t="s">
        <v>529</v>
      </c>
      <c r="D4426" s="46" t="s">
        <v>328</v>
      </c>
      <c r="E4426" s="114">
        <v>2</v>
      </c>
      <c r="F4426" s="44">
        <v>10070</v>
      </c>
      <c r="G4426" s="44">
        <f t="shared" si="2434"/>
        <v>20140</v>
      </c>
      <c r="H4426" s="44">
        <f t="shared" si="2435"/>
        <v>12225</v>
      </c>
      <c r="I4426" s="43">
        <f t="shared" si="2436"/>
        <v>24450</v>
      </c>
      <c r="J4426" s="112">
        <f t="shared" si="2437"/>
        <v>2</v>
      </c>
      <c r="K4426" s="211">
        <f t="shared" si="2438"/>
        <v>2</v>
      </c>
      <c r="L4426" s="44"/>
      <c r="M4426" s="44">
        <f t="shared" si="2458"/>
        <v>2</v>
      </c>
      <c r="N4426" s="173">
        <f t="shared" si="2439"/>
        <v>1</v>
      </c>
      <c r="O4426" s="44">
        <f t="shared" si="2440"/>
        <v>10070</v>
      </c>
      <c r="P4426" s="44">
        <f t="shared" si="2441"/>
        <v>20140</v>
      </c>
      <c r="Q4426" s="44">
        <f t="shared" si="2442"/>
        <v>12225</v>
      </c>
      <c r="R4426" s="44">
        <f t="shared" si="2459"/>
        <v>24450</v>
      </c>
      <c r="S4426" s="123"/>
      <c r="T4426" s="219">
        <f t="shared" si="2460"/>
        <v>24450</v>
      </c>
      <c r="U4426" s="87"/>
      <c r="V4426" s="47"/>
      <c r="W4426" s="48"/>
      <c r="X4426" s="48"/>
      <c r="Y4426" s="48"/>
      <c r="Z4426" s="135"/>
      <c r="AA4426" s="49"/>
      <c r="AB4426" s="50">
        <f t="shared" si="2443"/>
        <v>12225</v>
      </c>
      <c r="AC4426" s="42">
        <f t="shared" si="2461"/>
        <v>2</v>
      </c>
      <c r="AD4426" s="90">
        <f>AD4427</f>
        <v>24450</v>
      </c>
      <c r="AE4426" s="188">
        <f t="shared" ref="AE4426" si="3253">AE4427</f>
        <v>0</v>
      </c>
      <c r="AF4426" s="189">
        <f t="shared" ref="AF4426" si="3254">AF4427</f>
        <v>0</v>
      </c>
      <c r="AG4426" s="189">
        <f t="shared" ref="AG4426" si="3255">AG4427</f>
        <v>0</v>
      </c>
      <c r="AH4426" s="189">
        <f t="shared" ref="AH4426" si="3256">AH4427</f>
        <v>0</v>
      </c>
      <c r="AI4426" s="161">
        <f t="shared" ref="AI4426:AI4427" si="3257">SUM(AE4426:AH4426)</f>
        <v>0</v>
      </c>
      <c r="AK4426" s="169">
        <v>5</v>
      </c>
      <c r="AO4426" s="19" t="s">
        <v>63</v>
      </c>
    </row>
    <row r="4427" spans="1:41" s="103" customFormat="1" ht="19.899999999999999" customHeight="1" x14ac:dyDescent="0.25">
      <c r="A4427" s="51"/>
      <c r="B4427" s="52"/>
      <c r="C4427" s="165"/>
      <c r="D4427" s="52"/>
      <c r="E4427" s="115"/>
      <c r="F4427" s="58"/>
      <c r="G4427" s="58"/>
      <c r="H4427" s="58"/>
      <c r="I4427" s="55"/>
      <c r="J4427" s="113">
        <f>J4426</f>
        <v>2</v>
      </c>
      <c r="K4427" s="212">
        <f>K4426</f>
        <v>2</v>
      </c>
      <c r="L4427" s="58"/>
      <c r="M4427" s="58">
        <f>K4427-L4427</f>
        <v>2</v>
      </c>
      <c r="N4427" s="166"/>
      <c r="O4427" s="58"/>
      <c r="P4427" s="58"/>
      <c r="Q4427" s="58"/>
      <c r="R4427" s="58"/>
      <c r="S4427" s="58"/>
      <c r="T4427" s="220"/>
      <c r="U4427" s="88"/>
      <c r="V4427" s="56"/>
      <c r="W4427" s="57" t="s">
        <v>1329</v>
      </c>
      <c r="X4427" s="53"/>
      <c r="Y4427" s="91" t="s">
        <v>35</v>
      </c>
      <c r="Z4427" s="136">
        <f>AD4427/AC4427</f>
        <v>12225</v>
      </c>
      <c r="AA4427" s="58"/>
      <c r="AB4427" s="53">
        <f>AD4427/AC4427</f>
        <v>12225</v>
      </c>
      <c r="AC4427" s="53">
        <f>M4427+$AE$10</f>
        <v>2</v>
      </c>
      <c r="AD4427" s="54">
        <f>SUM(AD4428:AD4430)</f>
        <v>24450</v>
      </c>
      <c r="AE4427" s="184">
        <f>SUMIFS($AD$37:$AD$12971,$V$37:$V$12971,$V4427,$X$37:$X$12971,AE$13)</f>
        <v>0</v>
      </c>
      <c r="AF4427" s="185">
        <f>SUMIFS($AD$37:$AD$12971,$V$37:$V$12971,$V4427,$X$37:$X$12971,AF$13)</f>
        <v>0</v>
      </c>
      <c r="AG4427" s="185">
        <f>SUMIFS($AD$37:$AD$12971,$V$37:$V$12971,$V4427,$X$37:$X$12971,AG$13)</f>
        <v>0</v>
      </c>
      <c r="AH4427" s="187">
        <f>SUMIFS($AD$37:$AD$12971,$V$37:$V$12971,$V4427,$X$37:$X$12971,AH$13)</f>
        <v>0</v>
      </c>
      <c r="AI4427" s="161">
        <f t="shared" si="3257"/>
        <v>0</v>
      </c>
      <c r="AK4427" s="172"/>
    </row>
    <row r="4428" spans="1:41" s="102" customFormat="1" ht="19.899999999999999" customHeight="1" x14ac:dyDescent="0.25">
      <c r="A4428" s="45"/>
      <c r="B4428" s="59"/>
      <c r="C4428" s="137"/>
      <c r="D4428" s="59"/>
      <c r="E4428" s="116"/>
      <c r="F4428" s="120"/>
      <c r="G4428" s="120"/>
      <c r="H4428" s="120"/>
      <c r="I4428" s="60"/>
      <c r="J4428" s="116"/>
      <c r="K4428" s="213"/>
      <c r="L4428" s="120"/>
      <c r="M4428" s="120"/>
      <c r="N4428" s="167"/>
      <c r="O4428" s="120"/>
      <c r="P4428" s="120"/>
      <c r="Q4428" s="120"/>
      <c r="R4428" s="120"/>
      <c r="S4428" s="120"/>
      <c r="T4428" s="221"/>
      <c r="U4428" s="89"/>
      <c r="V4428" s="61"/>
      <c r="W4428" s="92" t="s">
        <v>1457</v>
      </c>
      <c r="X4428" s="93" t="s">
        <v>30</v>
      </c>
      <c r="Y4428" s="93" t="s">
        <v>35</v>
      </c>
      <c r="Z4428" s="134">
        <f>VLOOKUP(W4428,Sheet2!$B:$D,3,FALSE)</f>
        <v>9750</v>
      </c>
      <c r="AA4428" s="93">
        <v>1</v>
      </c>
      <c r="AB4428" s="93">
        <f t="shared" ref="AB4428" si="3258">AD4428/AC4427</f>
        <v>9750</v>
      </c>
      <c r="AC4428" s="93">
        <f>AC4427/AA4428</f>
        <v>2</v>
      </c>
      <c r="AD4428" s="94">
        <f t="shared" ref="AD4428:AD4429" si="3259">AC4428*Z4428</f>
        <v>19500</v>
      </c>
      <c r="AE4428" s="190"/>
      <c r="AF4428" s="191"/>
      <c r="AG4428" s="191"/>
      <c r="AH4428" s="191"/>
      <c r="AI4428" s="186"/>
      <c r="AK4428" s="171"/>
    </row>
    <row r="4429" spans="1:41" s="102" customFormat="1" ht="19.899999999999999" customHeight="1" x14ac:dyDescent="0.25">
      <c r="A4429" s="45"/>
      <c r="B4429" s="59"/>
      <c r="C4429" s="137"/>
      <c r="D4429" s="59"/>
      <c r="E4429" s="116"/>
      <c r="F4429" s="120"/>
      <c r="G4429" s="120"/>
      <c r="H4429" s="120"/>
      <c r="I4429" s="60"/>
      <c r="J4429" s="116"/>
      <c r="K4429" s="213"/>
      <c r="L4429" s="120"/>
      <c r="M4429" s="120"/>
      <c r="N4429" s="167"/>
      <c r="O4429" s="120"/>
      <c r="P4429" s="120"/>
      <c r="Q4429" s="120"/>
      <c r="R4429" s="120"/>
      <c r="S4429" s="120"/>
      <c r="T4429" s="221"/>
      <c r="U4429" s="89"/>
      <c r="V4429" s="61"/>
      <c r="W4429" s="92" t="s">
        <v>1458</v>
      </c>
      <c r="X4429" s="93" t="s">
        <v>30</v>
      </c>
      <c r="Y4429" s="93" t="s">
        <v>35</v>
      </c>
      <c r="Z4429" s="134">
        <f>VLOOKUP(W4429,Sheet2!$B:$D,3,FALSE)</f>
        <v>975</v>
      </c>
      <c r="AA4429" s="93">
        <v>1</v>
      </c>
      <c r="AB4429" s="93">
        <f>AD4429/AC4427</f>
        <v>975</v>
      </c>
      <c r="AC4429" s="93">
        <f>AC4427/AA4429</f>
        <v>2</v>
      </c>
      <c r="AD4429" s="94">
        <f t="shared" si="3259"/>
        <v>1950</v>
      </c>
      <c r="AE4429" s="190"/>
      <c r="AF4429" s="191"/>
      <c r="AG4429" s="191"/>
      <c r="AH4429" s="191"/>
      <c r="AI4429" s="186"/>
      <c r="AK4429" s="171"/>
    </row>
    <row r="4430" spans="1:41" s="102" customFormat="1" ht="19.899999999999999" customHeight="1" x14ac:dyDescent="0.25">
      <c r="A4430" s="45"/>
      <c r="B4430" s="59"/>
      <c r="C4430" s="137"/>
      <c r="D4430" s="59"/>
      <c r="E4430" s="116"/>
      <c r="F4430" s="120"/>
      <c r="G4430" s="120"/>
      <c r="H4430" s="120"/>
      <c r="I4430" s="60"/>
      <c r="J4430" s="116"/>
      <c r="K4430" s="213"/>
      <c r="L4430" s="120"/>
      <c r="M4430" s="120"/>
      <c r="N4430" s="167"/>
      <c r="O4430" s="120"/>
      <c r="P4430" s="120"/>
      <c r="Q4430" s="120"/>
      <c r="R4430" s="120"/>
      <c r="S4430" s="120"/>
      <c r="T4430" s="221"/>
      <c r="U4430" s="89"/>
      <c r="V4430" s="61"/>
      <c r="W4430" s="92" t="s">
        <v>1459</v>
      </c>
      <c r="X4430" s="93" t="s">
        <v>32</v>
      </c>
      <c r="Y4430" s="93" t="s">
        <v>35</v>
      </c>
      <c r="Z4430" s="134">
        <f>VLOOKUP(W4430,Sheet2!$B:$D,3,FALSE)</f>
        <v>1500</v>
      </c>
      <c r="AA4430" s="93">
        <v>1</v>
      </c>
      <c r="AB4430" s="93">
        <f>AD4430/AC4427</f>
        <v>1500</v>
      </c>
      <c r="AC4430" s="93">
        <f>AC4427/AA4430</f>
        <v>2</v>
      </c>
      <c r="AD4430" s="94">
        <f>AC4430*Z4430</f>
        <v>3000</v>
      </c>
      <c r="AE4430" s="190"/>
      <c r="AF4430" s="191"/>
      <c r="AG4430" s="191"/>
      <c r="AH4430" s="191"/>
      <c r="AI4430" s="186"/>
      <c r="AK4430" s="171"/>
    </row>
    <row r="4431" spans="1:41" ht="20.100000000000001" customHeight="1" x14ac:dyDescent="0.25">
      <c r="A4431" s="277" t="s">
        <v>491</v>
      </c>
      <c r="B4431" s="278"/>
      <c r="C4431" s="64" t="s">
        <v>530</v>
      </c>
      <c r="D4431" s="46" t="s">
        <v>328</v>
      </c>
      <c r="E4431" s="114">
        <v>1</v>
      </c>
      <c r="F4431" s="44">
        <v>3940</v>
      </c>
      <c r="G4431" s="44">
        <f t="shared" si="2434"/>
        <v>3940</v>
      </c>
      <c r="H4431" s="44">
        <f t="shared" si="2435"/>
        <v>2020</v>
      </c>
      <c r="I4431" s="43">
        <f t="shared" si="2436"/>
        <v>2020</v>
      </c>
      <c r="J4431" s="112">
        <f t="shared" si="2437"/>
        <v>1</v>
      </c>
      <c r="K4431" s="211">
        <f t="shared" si="2438"/>
        <v>1</v>
      </c>
      <c r="L4431" s="44"/>
      <c r="M4431" s="44">
        <f t="shared" si="2458"/>
        <v>1</v>
      </c>
      <c r="N4431" s="173">
        <f t="shared" si="2439"/>
        <v>1</v>
      </c>
      <c r="O4431" s="44">
        <f t="shared" si="2440"/>
        <v>3940</v>
      </c>
      <c r="P4431" s="44">
        <f t="shared" si="2441"/>
        <v>3940</v>
      </c>
      <c r="Q4431" s="44">
        <f t="shared" si="2442"/>
        <v>2020</v>
      </c>
      <c r="R4431" s="44">
        <f t="shared" si="2459"/>
        <v>2020</v>
      </c>
      <c r="S4431" s="123"/>
      <c r="T4431" s="219">
        <f t="shared" si="2460"/>
        <v>2020</v>
      </c>
      <c r="U4431" s="87"/>
      <c r="V4431" s="47"/>
      <c r="W4431" s="48"/>
      <c r="X4431" s="48"/>
      <c r="Y4431" s="48"/>
      <c r="Z4431" s="135"/>
      <c r="AA4431" s="49"/>
      <c r="AB4431" s="50">
        <f t="shared" si="2443"/>
        <v>2020</v>
      </c>
      <c r="AC4431" s="42">
        <f t="shared" si="2461"/>
        <v>1</v>
      </c>
      <c r="AD4431" s="90">
        <f>AD4432</f>
        <v>2020</v>
      </c>
      <c r="AE4431" s="188">
        <f t="shared" ref="AE4431" si="3260">AE4432</f>
        <v>0</v>
      </c>
      <c r="AF4431" s="189">
        <f t="shared" ref="AF4431" si="3261">AF4432</f>
        <v>0</v>
      </c>
      <c r="AG4431" s="189">
        <f t="shared" ref="AG4431" si="3262">AG4432</f>
        <v>0</v>
      </c>
      <c r="AH4431" s="189">
        <f t="shared" ref="AH4431" si="3263">AH4432</f>
        <v>0</v>
      </c>
      <c r="AI4431" s="161">
        <f t="shared" ref="AI4431:AI4432" si="3264">SUM(AE4431:AH4431)</f>
        <v>0</v>
      </c>
      <c r="AK4431" s="169">
        <v>5</v>
      </c>
      <c r="AO4431" s="19" t="s">
        <v>63</v>
      </c>
    </row>
    <row r="4432" spans="1:41" s="103" customFormat="1" ht="19.899999999999999" customHeight="1" x14ac:dyDescent="0.25">
      <c r="A4432" s="51"/>
      <c r="B4432" s="52"/>
      <c r="C4432" s="165"/>
      <c r="D4432" s="52"/>
      <c r="E4432" s="115"/>
      <c r="F4432" s="58"/>
      <c r="G4432" s="58"/>
      <c r="H4432" s="58"/>
      <c r="I4432" s="55"/>
      <c r="J4432" s="113">
        <f>J4431</f>
        <v>1</v>
      </c>
      <c r="K4432" s="212">
        <f>K4431</f>
        <v>1</v>
      </c>
      <c r="L4432" s="58"/>
      <c r="M4432" s="58">
        <f>K4432-L4432</f>
        <v>1</v>
      </c>
      <c r="N4432" s="166"/>
      <c r="O4432" s="58"/>
      <c r="P4432" s="58"/>
      <c r="Q4432" s="58"/>
      <c r="R4432" s="58"/>
      <c r="S4432" s="58"/>
      <c r="T4432" s="220"/>
      <c r="U4432" s="88"/>
      <c r="V4432" s="56"/>
      <c r="W4432" s="57" t="s">
        <v>1329</v>
      </c>
      <c r="X4432" s="53"/>
      <c r="Y4432" s="91" t="s">
        <v>35</v>
      </c>
      <c r="Z4432" s="136">
        <f>AD4432/AC4432</f>
        <v>2020</v>
      </c>
      <c r="AA4432" s="58"/>
      <c r="AB4432" s="53">
        <f>AD4432/AC4432</f>
        <v>2020</v>
      </c>
      <c r="AC4432" s="53">
        <f>M4432+$AE$10</f>
        <v>1</v>
      </c>
      <c r="AD4432" s="54">
        <f>SUM(AD4433:AD4435)</f>
        <v>2020</v>
      </c>
      <c r="AE4432" s="184">
        <f>SUMIFS($AD$37:$AD$12971,$V$37:$V$12971,$V4432,$X$37:$X$12971,AE$13)</f>
        <v>0</v>
      </c>
      <c r="AF4432" s="185">
        <f>SUMIFS($AD$37:$AD$12971,$V$37:$V$12971,$V4432,$X$37:$X$12971,AF$13)</f>
        <v>0</v>
      </c>
      <c r="AG4432" s="185">
        <f>SUMIFS($AD$37:$AD$12971,$V$37:$V$12971,$V4432,$X$37:$X$12971,AG$13)</f>
        <v>0</v>
      </c>
      <c r="AH4432" s="187">
        <f>SUMIFS($AD$37:$AD$12971,$V$37:$V$12971,$V4432,$X$37:$X$12971,AH$13)</f>
        <v>0</v>
      </c>
      <c r="AI4432" s="161">
        <f t="shared" si="3264"/>
        <v>0</v>
      </c>
      <c r="AK4432" s="172"/>
    </row>
    <row r="4433" spans="1:41" s="102" customFormat="1" ht="19.899999999999999" customHeight="1" x14ac:dyDescent="0.25">
      <c r="A4433" s="45"/>
      <c r="B4433" s="59"/>
      <c r="C4433" s="137"/>
      <c r="D4433" s="59"/>
      <c r="E4433" s="116"/>
      <c r="F4433" s="120"/>
      <c r="G4433" s="120"/>
      <c r="H4433" s="120"/>
      <c r="I4433" s="60"/>
      <c r="J4433" s="116"/>
      <c r="K4433" s="213"/>
      <c r="L4433" s="120"/>
      <c r="M4433" s="120"/>
      <c r="N4433" s="167"/>
      <c r="O4433" s="120"/>
      <c r="P4433" s="120"/>
      <c r="Q4433" s="120"/>
      <c r="R4433" s="120"/>
      <c r="S4433" s="120"/>
      <c r="T4433" s="221"/>
      <c r="U4433" s="89"/>
      <c r="V4433" s="61"/>
      <c r="W4433" s="92" t="s">
        <v>1332</v>
      </c>
      <c r="X4433" s="93" t="s">
        <v>30</v>
      </c>
      <c r="Y4433" s="93" t="s">
        <v>35</v>
      </c>
      <c r="Z4433" s="134">
        <f>VLOOKUP(W4433,Sheet2!$B:$D,3,FALSE)</f>
        <v>1700</v>
      </c>
      <c r="AA4433" s="93">
        <v>1</v>
      </c>
      <c r="AB4433" s="93">
        <f t="shared" ref="AB4433" si="3265">AD4433/AC4432</f>
        <v>1700</v>
      </c>
      <c r="AC4433" s="93">
        <f>AC4432/AA4433</f>
        <v>1</v>
      </c>
      <c r="AD4433" s="94">
        <f t="shared" ref="AD4433:AD4434" si="3266">AC4433*Z4433</f>
        <v>1700</v>
      </c>
      <c r="AE4433" s="190"/>
      <c r="AF4433" s="191"/>
      <c r="AG4433" s="191"/>
      <c r="AH4433" s="191"/>
      <c r="AI4433" s="186"/>
      <c r="AK4433" s="171"/>
    </row>
    <row r="4434" spans="1:41" s="102" customFormat="1" ht="19.899999999999999" customHeight="1" x14ac:dyDescent="0.25">
      <c r="A4434" s="45"/>
      <c r="B4434" s="59"/>
      <c r="C4434" s="137"/>
      <c r="D4434" s="59"/>
      <c r="E4434" s="116"/>
      <c r="F4434" s="120"/>
      <c r="G4434" s="120"/>
      <c r="H4434" s="120"/>
      <c r="I4434" s="60"/>
      <c r="J4434" s="116"/>
      <c r="K4434" s="213"/>
      <c r="L4434" s="120"/>
      <c r="M4434" s="120"/>
      <c r="N4434" s="167"/>
      <c r="O4434" s="120"/>
      <c r="P4434" s="120"/>
      <c r="Q4434" s="120"/>
      <c r="R4434" s="120"/>
      <c r="S4434" s="120"/>
      <c r="T4434" s="221"/>
      <c r="U4434" s="89"/>
      <c r="V4434" s="61"/>
      <c r="W4434" s="92" t="s">
        <v>1344</v>
      </c>
      <c r="X4434" s="93" t="s">
        <v>30</v>
      </c>
      <c r="Y4434" s="93" t="s">
        <v>35</v>
      </c>
      <c r="Z4434" s="134">
        <f>VLOOKUP(W4434,Sheet2!$B:$D,3,FALSE)</f>
        <v>170</v>
      </c>
      <c r="AA4434" s="93">
        <v>1</v>
      </c>
      <c r="AB4434" s="93">
        <f>AD4434/AC4432</f>
        <v>170</v>
      </c>
      <c r="AC4434" s="93">
        <f>AC4432/AA4434</f>
        <v>1</v>
      </c>
      <c r="AD4434" s="94">
        <f t="shared" si="3266"/>
        <v>170</v>
      </c>
      <c r="AE4434" s="190"/>
      <c r="AF4434" s="191"/>
      <c r="AG4434" s="191"/>
      <c r="AH4434" s="191"/>
      <c r="AI4434" s="186"/>
      <c r="AK4434" s="171"/>
    </row>
    <row r="4435" spans="1:41" s="102" customFormat="1" ht="19.899999999999999" customHeight="1" x14ac:dyDescent="0.25">
      <c r="A4435" s="45"/>
      <c r="B4435" s="59"/>
      <c r="C4435" s="137"/>
      <c r="D4435" s="59"/>
      <c r="E4435" s="116"/>
      <c r="F4435" s="120"/>
      <c r="G4435" s="120"/>
      <c r="H4435" s="120"/>
      <c r="I4435" s="60"/>
      <c r="J4435" s="116"/>
      <c r="K4435" s="213"/>
      <c r="L4435" s="120"/>
      <c r="M4435" s="120"/>
      <c r="N4435" s="167"/>
      <c r="O4435" s="120"/>
      <c r="P4435" s="120"/>
      <c r="Q4435" s="120"/>
      <c r="R4435" s="120"/>
      <c r="S4435" s="120"/>
      <c r="T4435" s="221"/>
      <c r="U4435" s="89"/>
      <c r="V4435" s="61"/>
      <c r="W4435" s="92" t="s">
        <v>1333</v>
      </c>
      <c r="X4435" s="93" t="s">
        <v>32</v>
      </c>
      <c r="Y4435" s="93" t="s">
        <v>35</v>
      </c>
      <c r="Z4435" s="134">
        <f>VLOOKUP(W4435,Sheet2!$B:$D,3,FALSE)</f>
        <v>150</v>
      </c>
      <c r="AA4435" s="93">
        <v>1</v>
      </c>
      <c r="AB4435" s="93">
        <f>AD4435/AC4432</f>
        <v>150</v>
      </c>
      <c r="AC4435" s="93">
        <f>AC4432/AA4435</f>
        <v>1</v>
      </c>
      <c r="AD4435" s="94">
        <f>AC4435*Z4435</f>
        <v>150</v>
      </c>
      <c r="AE4435" s="190"/>
      <c r="AF4435" s="191"/>
      <c r="AG4435" s="191"/>
      <c r="AH4435" s="191"/>
      <c r="AI4435" s="186"/>
      <c r="AK4435" s="171"/>
    </row>
    <row r="4436" spans="1:41" ht="20.100000000000001" customHeight="1" x14ac:dyDescent="0.25">
      <c r="A4436" s="277" t="s">
        <v>491</v>
      </c>
      <c r="B4436" s="278"/>
      <c r="C4436" s="64" t="s">
        <v>531</v>
      </c>
      <c r="D4436" s="46" t="s">
        <v>328</v>
      </c>
      <c r="E4436" s="114"/>
      <c r="F4436" s="44"/>
      <c r="G4436" s="44">
        <f t="shared" si="2434"/>
        <v>0</v>
      </c>
      <c r="H4436" s="44">
        <f t="shared" si="2435"/>
        <v>0</v>
      </c>
      <c r="I4436" s="43">
        <f t="shared" si="2436"/>
        <v>0</v>
      </c>
      <c r="J4436" s="112">
        <f t="shared" si="2437"/>
        <v>0</v>
      </c>
      <c r="K4436" s="211">
        <f t="shared" si="2438"/>
        <v>0</v>
      </c>
      <c r="L4436" s="44"/>
      <c r="M4436" s="44">
        <f t="shared" si="2458"/>
        <v>0</v>
      </c>
      <c r="N4436" s="173">
        <f t="shared" si="2439"/>
        <v>0</v>
      </c>
      <c r="O4436" s="44">
        <f t="shared" si="2440"/>
        <v>0</v>
      </c>
      <c r="P4436" s="44">
        <f t="shared" si="2441"/>
        <v>0</v>
      </c>
      <c r="Q4436" s="44">
        <f t="shared" si="2442"/>
        <v>0</v>
      </c>
      <c r="R4436" s="44">
        <f t="shared" si="2459"/>
        <v>0</v>
      </c>
      <c r="S4436" s="123"/>
      <c r="T4436" s="219">
        <f t="shared" si="2460"/>
        <v>0</v>
      </c>
      <c r="U4436" s="87"/>
      <c r="V4436" s="47"/>
      <c r="W4436" s="48"/>
      <c r="X4436" s="48"/>
      <c r="Y4436" s="48"/>
      <c r="Z4436" s="135"/>
      <c r="AA4436" s="49"/>
      <c r="AB4436" s="50">
        <f t="shared" si="2443"/>
        <v>0</v>
      </c>
      <c r="AC4436" s="42">
        <f t="shared" si="2461"/>
        <v>9.9999999999999998E-20</v>
      </c>
      <c r="AD4436" s="90"/>
      <c r="AE4436" s="188"/>
      <c r="AF4436" s="189"/>
      <c r="AG4436" s="189"/>
      <c r="AH4436" s="189"/>
      <c r="AI4436" s="161"/>
    </row>
    <row r="4437" spans="1:41" ht="20.100000000000001" customHeight="1" x14ac:dyDescent="0.25">
      <c r="A4437" s="277" t="s">
        <v>491</v>
      </c>
      <c r="B4437" s="278"/>
      <c r="C4437" s="64" t="s">
        <v>532</v>
      </c>
      <c r="D4437" s="46" t="s">
        <v>328</v>
      </c>
      <c r="E4437" s="114"/>
      <c r="F4437" s="44"/>
      <c r="G4437" s="44">
        <f t="shared" si="2434"/>
        <v>0</v>
      </c>
      <c r="H4437" s="44">
        <f t="shared" si="2435"/>
        <v>0</v>
      </c>
      <c r="I4437" s="43">
        <f t="shared" si="2436"/>
        <v>0</v>
      </c>
      <c r="J4437" s="112">
        <f t="shared" si="2437"/>
        <v>0</v>
      </c>
      <c r="K4437" s="211">
        <f t="shared" si="2438"/>
        <v>0</v>
      </c>
      <c r="L4437" s="44"/>
      <c r="M4437" s="44">
        <f t="shared" si="2458"/>
        <v>0</v>
      </c>
      <c r="N4437" s="173">
        <f t="shared" si="2439"/>
        <v>0</v>
      </c>
      <c r="O4437" s="44">
        <f t="shared" si="2440"/>
        <v>0</v>
      </c>
      <c r="P4437" s="44">
        <f t="shared" si="2441"/>
        <v>0</v>
      </c>
      <c r="Q4437" s="44">
        <f t="shared" si="2442"/>
        <v>0</v>
      </c>
      <c r="R4437" s="44">
        <f t="shared" si="2459"/>
        <v>0</v>
      </c>
      <c r="S4437" s="123"/>
      <c r="T4437" s="219">
        <f t="shared" si="2460"/>
        <v>0</v>
      </c>
      <c r="U4437" s="87"/>
      <c r="V4437" s="47"/>
      <c r="W4437" s="48"/>
      <c r="X4437" s="48"/>
      <c r="Y4437" s="48"/>
      <c r="Z4437" s="135"/>
      <c r="AA4437" s="49"/>
      <c r="AB4437" s="50">
        <f t="shared" si="2443"/>
        <v>0</v>
      </c>
      <c r="AC4437" s="42">
        <f t="shared" si="2461"/>
        <v>9.9999999999999998E-20</v>
      </c>
      <c r="AD4437" s="90"/>
      <c r="AE4437" s="188"/>
      <c r="AF4437" s="189"/>
      <c r="AG4437" s="189"/>
      <c r="AH4437" s="189"/>
      <c r="AI4437" s="161"/>
    </row>
    <row r="4438" spans="1:41" ht="20.100000000000001" customHeight="1" x14ac:dyDescent="0.25">
      <c r="A4438" s="277" t="s">
        <v>491</v>
      </c>
      <c r="B4438" s="278"/>
      <c r="C4438" s="64" t="s">
        <v>533</v>
      </c>
      <c r="D4438" s="46" t="s">
        <v>328</v>
      </c>
      <c r="E4438" s="114">
        <v>1</v>
      </c>
      <c r="F4438" s="44">
        <v>6169</v>
      </c>
      <c r="G4438" s="44">
        <f t="shared" si="2434"/>
        <v>6169</v>
      </c>
      <c r="H4438" s="44">
        <f t="shared" si="2435"/>
        <v>2620</v>
      </c>
      <c r="I4438" s="43">
        <f t="shared" si="2436"/>
        <v>2620</v>
      </c>
      <c r="J4438" s="112">
        <f t="shared" si="2437"/>
        <v>1</v>
      </c>
      <c r="K4438" s="211">
        <f t="shared" si="2438"/>
        <v>1</v>
      </c>
      <c r="L4438" s="44"/>
      <c r="M4438" s="44">
        <f t="shared" si="2458"/>
        <v>1</v>
      </c>
      <c r="N4438" s="173">
        <f t="shared" si="2439"/>
        <v>1</v>
      </c>
      <c r="O4438" s="44">
        <f t="shared" si="2440"/>
        <v>6169</v>
      </c>
      <c r="P4438" s="44">
        <f t="shared" si="2441"/>
        <v>6169</v>
      </c>
      <c r="Q4438" s="44">
        <f t="shared" si="2442"/>
        <v>2620</v>
      </c>
      <c r="R4438" s="44">
        <f t="shared" si="2459"/>
        <v>2620</v>
      </c>
      <c r="S4438" s="123"/>
      <c r="T4438" s="219">
        <f t="shared" si="2460"/>
        <v>2620</v>
      </c>
      <c r="U4438" s="87"/>
      <c r="V4438" s="47"/>
      <c r="W4438" s="48"/>
      <c r="X4438" s="48"/>
      <c r="Y4438" s="48"/>
      <c r="Z4438" s="135"/>
      <c r="AA4438" s="49"/>
      <c r="AB4438" s="50">
        <f t="shared" si="2443"/>
        <v>2620</v>
      </c>
      <c r="AC4438" s="42">
        <f t="shared" si="2461"/>
        <v>1</v>
      </c>
      <c r="AD4438" s="90">
        <f>AD4439</f>
        <v>2620</v>
      </c>
      <c r="AE4438" s="188">
        <f t="shared" ref="AE4438" si="3267">AE4439</f>
        <v>0</v>
      </c>
      <c r="AF4438" s="189">
        <f t="shared" ref="AF4438" si="3268">AF4439</f>
        <v>0</v>
      </c>
      <c r="AG4438" s="189">
        <f t="shared" ref="AG4438" si="3269">AG4439</f>
        <v>0</v>
      </c>
      <c r="AH4438" s="189">
        <f t="shared" ref="AH4438" si="3270">AH4439</f>
        <v>0</v>
      </c>
      <c r="AI4438" s="161">
        <f t="shared" ref="AI4438:AI4439" si="3271">SUM(AE4438:AH4438)</f>
        <v>0</v>
      </c>
      <c r="AK4438" s="169">
        <v>5</v>
      </c>
      <c r="AO4438" s="19" t="s">
        <v>63</v>
      </c>
    </row>
    <row r="4439" spans="1:41" s="103" customFormat="1" ht="19.899999999999999" customHeight="1" x14ac:dyDescent="0.25">
      <c r="A4439" s="51"/>
      <c r="B4439" s="52"/>
      <c r="C4439" s="165"/>
      <c r="D4439" s="52"/>
      <c r="E4439" s="115"/>
      <c r="F4439" s="58"/>
      <c r="G4439" s="58"/>
      <c r="H4439" s="58"/>
      <c r="I4439" s="55"/>
      <c r="J4439" s="113">
        <f>J4438</f>
        <v>1</v>
      </c>
      <c r="K4439" s="212">
        <f>K4438</f>
        <v>1</v>
      </c>
      <c r="L4439" s="58"/>
      <c r="M4439" s="58">
        <f>K4439-L4439</f>
        <v>1</v>
      </c>
      <c r="N4439" s="166"/>
      <c r="O4439" s="58"/>
      <c r="P4439" s="58"/>
      <c r="Q4439" s="58"/>
      <c r="R4439" s="58"/>
      <c r="S4439" s="58"/>
      <c r="T4439" s="220"/>
      <c r="U4439" s="88"/>
      <c r="V4439" s="56"/>
      <c r="W4439" s="57" t="s">
        <v>1329</v>
      </c>
      <c r="X4439" s="53"/>
      <c r="Y4439" s="91" t="s">
        <v>35</v>
      </c>
      <c r="Z4439" s="136">
        <f>AD4439/AC4439</f>
        <v>2620</v>
      </c>
      <c r="AA4439" s="58"/>
      <c r="AB4439" s="53">
        <f>AD4439/AC4439</f>
        <v>2620</v>
      </c>
      <c r="AC4439" s="53">
        <f>M4439+$AE$10</f>
        <v>1</v>
      </c>
      <c r="AD4439" s="54">
        <f>SUM(AD4440:AD4442)</f>
        <v>2620</v>
      </c>
      <c r="AE4439" s="184">
        <f>SUMIFS($AD$37:$AD$12971,$V$37:$V$12971,$V4439,$X$37:$X$12971,AE$13)</f>
        <v>0</v>
      </c>
      <c r="AF4439" s="185">
        <f>SUMIFS($AD$37:$AD$12971,$V$37:$V$12971,$V4439,$X$37:$X$12971,AF$13)</f>
        <v>0</v>
      </c>
      <c r="AG4439" s="185">
        <f>SUMIFS($AD$37:$AD$12971,$V$37:$V$12971,$V4439,$X$37:$X$12971,AG$13)</f>
        <v>0</v>
      </c>
      <c r="AH4439" s="187">
        <f>SUMIFS($AD$37:$AD$12971,$V$37:$V$12971,$V4439,$X$37:$X$12971,AH$13)</f>
        <v>0</v>
      </c>
      <c r="AI4439" s="161">
        <f t="shared" si="3271"/>
        <v>0</v>
      </c>
      <c r="AK4439" s="172"/>
    </row>
    <row r="4440" spans="1:41" s="102" customFormat="1" ht="19.899999999999999" customHeight="1" x14ac:dyDescent="0.25">
      <c r="A4440" s="45"/>
      <c r="B4440" s="59"/>
      <c r="C4440" s="137"/>
      <c r="D4440" s="59"/>
      <c r="E4440" s="116"/>
      <c r="F4440" s="120"/>
      <c r="G4440" s="120"/>
      <c r="H4440" s="120"/>
      <c r="I4440" s="60"/>
      <c r="J4440" s="116"/>
      <c r="K4440" s="213"/>
      <c r="L4440" s="120"/>
      <c r="M4440" s="120"/>
      <c r="N4440" s="167"/>
      <c r="O4440" s="120"/>
      <c r="P4440" s="120"/>
      <c r="Q4440" s="120"/>
      <c r="R4440" s="120"/>
      <c r="S4440" s="120"/>
      <c r="T4440" s="221"/>
      <c r="U4440" s="89"/>
      <c r="V4440" s="61"/>
      <c r="W4440" s="92" t="s">
        <v>1473</v>
      </c>
      <c r="X4440" s="93" t="s">
        <v>30</v>
      </c>
      <c r="Y4440" s="93" t="s">
        <v>35</v>
      </c>
      <c r="Z4440" s="134">
        <f>VLOOKUP(W4440,Sheet2!$B:$D,3,FALSE)</f>
        <v>2200</v>
      </c>
      <c r="AA4440" s="93">
        <v>1</v>
      </c>
      <c r="AB4440" s="93">
        <f t="shared" ref="AB4440" si="3272">AD4440/AC4439</f>
        <v>2200</v>
      </c>
      <c r="AC4440" s="93">
        <f>AC4439/AA4440</f>
        <v>1</v>
      </c>
      <c r="AD4440" s="94">
        <f t="shared" ref="AD4440:AD4441" si="3273">AC4440*Z4440</f>
        <v>2200</v>
      </c>
      <c r="AE4440" s="190"/>
      <c r="AF4440" s="191"/>
      <c r="AG4440" s="191"/>
      <c r="AH4440" s="191"/>
      <c r="AI4440" s="186"/>
      <c r="AK4440" s="171"/>
    </row>
    <row r="4441" spans="1:41" s="102" customFormat="1" ht="19.899999999999999" customHeight="1" x14ac:dyDescent="0.25">
      <c r="A4441" s="45"/>
      <c r="B4441" s="59"/>
      <c r="C4441" s="137"/>
      <c r="D4441" s="59"/>
      <c r="E4441" s="116"/>
      <c r="F4441" s="120"/>
      <c r="G4441" s="120"/>
      <c r="H4441" s="120"/>
      <c r="I4441" s="60"/>
      <c r="J4441" s="116"/>
      <c r="K4441" s="213"/>
      <c r="L4441" s="120"/>
      <c r="M4441" s="120"/>
      <c r="N4441" s="167"/>
      <c r="O4441" s="120"/>
      <c r="P4441" s="120"/>
      <c r="Q4441" s="120"/>
      <c r="R4441" s="120"/>
      <c r="S4441" s="120"/>
      <c r="T4441" s="221"/>
      <c r="U4441" s="89"/>
      <c r="V4441" s="61"/>
      <c r="W4441" s="92" t="s">
        <v>1474</v>
      </c>
      <c r="X4441" s="93" t="s">
        <v>30</v>
      </c>
      <c r="Y4441" s="93" t="s">
        <v>35</v>
      </c>
      <c r="Z4441" s="134">
        <f>VLOOKUP(W4441,Sheet2!$B:$D,3,FALSE)</f>
        <v>220</v>
      </c>
      <c r="AA4441" s="93">
        <v>1</v>
      </c>
      <c r="AB4441" s="93">
        <f>AD4441/AC4439</f>
        <v>220</v>
      </c>
      <c r="AC4441" s="93">
        <f>AC4439/AA4441</f>
        <v>1</v>
      </c>
      <c r="AD4441" s="94">
        <f t="shared" si="3273"/>
        <v>220</v>
      </c>
      <c r="AE4441" s="190"/>
      <c r="AF4441" s="191"/>
      <c r="AG4441" s="191"/>
      <c r="AH4441" s="191"/>
      <c r="AI4441" s="186"/>
      <c r="AK4441" s="171"/>
    </row>
    <row r="4442" spans="1:41" s="102" customFormat="1" ht="19.899999999999999" customHeight="1" x14ac:dyDescent="0.25">
      <c r="A4442" s="45"/>
      <c r="B4442" s="59"/>
      <c r="C4442" s="137"/>
      <c r="D4442" s="59"/>
      <c r="E4442" s="116"/>
      <c r="F4442" s="120"/>
      <c r="G4442" s="120"/>
      <c r="H4442" s="120"/>
      <c r="I4442" s="60"/>
      <c r="J4442" s="116"/>
      <c r="K4442" s="213"/>
      <c r="L4442" s="120"/>
      <c r="M4442" s="120"/>
      <c r="N4442" s="167"/>
      <c r="O4442" s="120"/>
      <c r="P4442" s="120"/>
      <c r="Q4442" s="120"/>
      <c r="R4442" s="120"/>
      <c r="S4442" s="120"/>
      <c r="T4442" s="221"/>
      <c r="U4442" s="89"/>
      <c r="V4442" s="61"/>
      <c r="W4442" s="92" t="s">
        <v>1475</v>
      </c>
      <c r="X4442" s="93" t="s">
        <v>32</v>
      </c>
      <c r="Y4442" s="93" t="s">
        <v>35</v>
      </c>
      <c r="Z4442" s="134">
        <f>VLOOKUP(W4442,Sheet2!$B:$D,3,FALSE)</f>
        <v>200</v>
      </c>
      <c r="AA4442" s="93">
        <v>1</v>
      </c>
      <c r="AB4442" s="93">
        <f>AD4442/AC4439</f>
        <v>200</v>
      </c>
      <c r="AC4442" s="93">
        <f>AC4439/AA4442</f>
        <v>1</v>
      </c>
      <c r="AD4442" s="94">
        <f>AC4442*Z4442</f>
        <v>200</v>
      </c>
      <c r="AE4442" s="190"/>
      <c r="AF4442" s="191"/>
      <c r="AG4442" s="191"/>
      <c r="AH4442" s="191"/>
      <c r="AI4442" s="186"/>
      <c r="AK4442" s="171"/>
    </row>
    <row r="4443" spans="1:41" ht="20.100000000000001" customHeight="1" x14ac:dyDescent="0.25">
      <c r="A4443" s="277" t="s">
        <v>491</v>
      </c>
      <c r="B4443" s="278"/>
      <c r="C4443" s="64" t="s">
        <v>534</v>
      </c>
      <c r="D4443" s="46" t="s">
        <v>328</v>
      </c>
      <c r="E4443" s="114">
        <v>0.39999999999999991</v>
      </c>
      <c r="F4443" s="44">
        <v>9945</v>
      </c>
      <c r="G4443" s="44">
        <f t="shared" si="2434"/>
        <v>3977.9999999999991</v>
      </c>
      <c r="H4443" s="44">
        <f t="shared" si="2435"/>
        <v>12225</v>
      </c>
      <c r="I4443" s="43">
        <f t="shared" si="2436"/>
        <v>4889.9999999999991</v>
      </c>
      <c r="J4443" s="112">
        <f t="shared" si="2437"/>
        <v>0.39999999999999991</v>
      </c>
      <c r="K4443" s="211">
        <f t="shared" si="2438"/>
        <v>0.39999999999999991</v>
      </c>
      <c r="L4443" s="44"/>
      <c r="M4443" s="44">
        <f t="shared" si="2458"/>
        <v>0.39999999999999991</v>
      </c>
      <c r="N4443" s="173">
        <f t="shared" si="2439"/>
        <v>1</v>
      </c>
      <c r="O4443" s="44">
        <f t="shared" si="2440"/>
        <v>9945</v>
      </c>
      <c r="P4443" s="44">
        <f t="shared" si="2441"/>
        <v>3977.9999999999991</v>
      </c>
      <c r="Q4443" s="44">
        <f t="shared" si="2442"/>
        <v>12225</v>
      </c>
      <c r="R4443" s="44">
        <f t="shared" si="2459"/>
        <v>4889.9999999999991</v>
      </c>
      <c r="S4443" s="123"/>
      <c r="T4443" s="219">
        <f t="shared" si="2460"/>
        <v>4889.9999999999991</v>
      </c>
      <c r="U4443" s="87"/>
      <c r="V4443" s="47"/>
      <c r="W4443" s="48"/>
      <c r="X4443" s="48"/>
      <c r="Y4443" s="48"/>
      <c r="Z4443" s="135"/>
      <c r="AA4443" s="49"/>
      <c r="AB4443" s="50">
        <f t="shared" si="2443"/>
        <v>12225</v>
      </c>
      <c r="AC4443" s="42">
        <f t="shared" si="2461"/>
        <v>0.39999999999999991</v>
      </c>
      <c r="AD4443" s="90">
        <f>AD4444</f>
        <v>4889.9999999999991</v>
      </c>
      <c r="AE4443" s="188">
        <f t="shared" ref="AE4443" si="3274">AE4444</f>
        <v>0</v>
      </c>
      <c r="AF4443" s="189">
        <f t="shared" ref="AF4443" si="3275">AF4444</f>
        <v>0</v>
      </c>
      <c r="AG4443" s="189">
        <f t="shared" ref="AG4443" si="3276">AG4444</f>
        <v>0</v>
      </c>
      <c r="AH4443" s="189">
        <f t="shared" ref="AH4443" si="3277">AH4444</f>
        <v>0</v>
      </c>
      <c r="AI4443" s="161">
        <f t="shared" ref="AI4443:AI4444" si="3278">SUM(AE4443:AH4443)</f>
        <v>0</v>
      </c>
      <c r="AK4443" s="169">
        <v>5</v>
      </c>
      <c r="AO4443" s="19" t="s">
        <v>63</v>
      </c>
    </row>
    <row r="4444" spans="1:41" s="103" customFormat="1" ht="19.899999999999999" customHeight="1" x14ac:dyDescent="0.25">
      <c r="A4444" s="51"/>
      <c r="B4444" s="52"/>
      <c r="C4444" s="165"/>
      <c r="D4444" s="52"/>
      <c r="E4444" s="115"/>
      <c r="F4444" s="58"/>
      <c r="G4444" s="58"/>
      <c r="H4444" s="58"/>
      <c r="I4444" s="55"/>
      <c r="J4444" s="113">
        <f>J4443</f>
        <v>0.39999999999999991</v>
      </c>
      <c r="K4444" s="212">
        <f>K4443</f>
        <v>0.39999999999999991</v>
      </c>
      <c r="L4444" s="58"/>
      <c r="M4444" s="58">
        <f>K4444-L4444</f>
        <v>0.39999999999999991</v>
      </c>
      <c r="N4444" s="166"/>
      <c r="O4444" s="58"/>
      <c r="P4444" s="58"/>
      <c r="Q4444" s="58"/>
      <c r="R4444" s="58"/>
      <c r="S4444" s="58"/>
      <c r="T4444" s="220"/>
      <c r="U4444" s="88"/>
      <c r="V4444" s="56"/>
      <c r="W4444" s="57" t="s">
        <v>1329</v>
      </c>
      <c r="X4444" s="53"/>
      <c r="Y4444" s="91" t="s">
        <v>35</v>
      </c>
      <c r="Z4444" s="136">
        <f>AD4444/AC4444</f>
        <v>12225</v>
      </c>
      <c r="AA4444" s="58"/>
      <c r="AB4444" s="53">
        <f>AD4444/AC4444</f>
        <v>12225</v>
      </c>
      <c r="AC4444" s="53">
        <f>M4444+$AE$10</f>
        <v>0.39999999999999991</v>
      </c>
      <c r="AD4444" s="54">
        <f>SUM(AD4445:AD4447)</f>
        <v>4889.9999999999991</v>
      </c>
      <c r="AE4444" s="184">
        <f>SUMIFS($AD$37:$AD$12971,$V$37:$V$12971,$V4444,$X$37:$X$12971,AE$13)</f>
        <v>0</v>
      </c>
      <c r="AF4444" s="185">
        <f>SUMIFS($AD$37:$AD$12971,$V$37:$V$12971,$V4444,$X$37:$X$12971,AF$13)</f>
        <v>0</v>
      </c>
      <c r="AG4444" s="185">
        <f>SUMIFS($AD$37:$AD$12971,$V$37:$V$12971,$V4444,$X$37:$X$12971,AG$13)</f>
        <v>0</v>
      </c>
      <c r="AH4444" s="187">
        <f>SUMIFS($AD$37:$AD$12971,$V$37:$V$12971,$V4444,$X$37:$X$12971,AH$13)</f>
        <v>0</v>
      </c>
      <c r="AI4444" s="161">
        <f t="shared" si="3278"/>
        <v>0</v>
      </c>
      <c r="AK4444" s="172"/>
    </row>
    <row r="4445" spans="1:41" s="102" customFormat="1" ht="19.899999999999999" customHeight="1" x14ac:dyDescent="0.25">
      <c r="A4445" s="45"/>
      <c r="B4445" s="59"/>
      <c r="C4445" s="137"/>
      <c r="D4445" s="59"/>
      <c r="E4445" s="116"/>
      <c r="F4445" s="120"/>
      <c r="G4445" s="120"/>
      <c r="H4445" s="120"/>
      <c r="I4445" s="60"/>
      <c r="J4445" s="116"/>
      <c r="K4445" s="213"/>
      <c r="L4445" s="120"/>
      <c r="M4445" s="120"/>
      <c r="N4445" s="167"/>
      <c r="O4445" s="120"/>
      <c r="P4445" s="120"/>
      <c r="Q4445" s="120"/>
      <c r="R4445" s="120"/>
      <c r="S4445" s="120"/>
      <c r="T4445" s="221"/>
      <c r="U4445" s="89"/>
      <c r="V4445" s="61"/>
      <c r="W4445" s="92" t="s">
        <v>1457</v>
      </c>
      <c r="X4445" s="93" t="s">
        <v>30</v>
      </c>
      <c r="Y4445" s="93" t="s">
        <v>35</v>
      </c>
      <c r="Z4445" s="134">
        <f>VLOOKUP(W4445,Sheet2!$B:$D,3,FALSE)</f>
        <v>9750</v>
      </c>
      <c r="AA4445" s="93">
        <v>1</v>
      </c>
      <c r="AB4445" s="93">
        <f t="shared" ref="AB4445" si="3279">AD4445/AC4444</f>
        <v>9750</v>
      </c>
      <c r="AC4445" s="93">
        <f>AC4444/AA4445</f>
        <v>0.39999999999999991</v>
      </c>
      <c r="AD4445" s="94">
        <f t="shared" ref="AD4445:AD4446" si="3280">AC4445*Z4445</f>
        <v>3899.9999999999991</v>
      </c>
      <c r="AE4445" s="190"/>
      <c r="AF4445" s="191"/>
      <c r="AG4445" s="191"/>
      <c r="AH4445" s="191"/>
      <c r="AI4445" s="186"/>
      <c r="AK4445" s="171"/>
    </row>
    <row r="4446" spans="1:41" s="102" customFormat="1" ht="19.899999999999999" customHeight="1" x14ac:dyDescent="0.25">
      <c r="A4446" s="45"/>
      <c r="B4446" s="59"/>
      <c r="C4446" s="137"/>
      <c r="D4446" s="59"/>
      <c r="E4446" s="116"/>
      <c r="F4446" s="120"/>
      <c r="G4446" s="120"/>
      <c r="H4446" s="120"/>
      <c r="I4446" s="60"/>
      <c r="J4446" s="116"/>
      <c r="K4446" s="213"/>
      <c r="L4446" s="120"/>
      <c r="M4446" s="120"/>
      <c r="N4446" s="167"/>
      <c r="O4446" s="120"/>
      <c r="P4446" s="120"/>
      <c r="Q4446" s="120"/>
      <c r="R4446" s="120"/>
      <c r="S4446" s="120"/>
      <c r="T4446" s="221"/>
      <c r="U4446" s="89"/>
      <c r="V4446" s="61"/>
      <c r="W4446" s="92" t="s">
        <v>1458</v>
      </c>
      <c r="X4446" s="93" t="s">
        <v>30</v>
      </c>
      <c r="Y4446" s="93" t="s">
        <v>35</v>
      </c>
      <c r="Z4446" s="134">
        <f>VLOOKUP(W4446,Sheet2!$B:$D,3,FALSE)</f>
        <v>975</v>
      </c>
      <c r="AA4446" s="93">
        <v>1</v>
      </c>
      <c r="AB4446" s="93">
        <f>AD4446/AC4444</f>
        <v>974.99999999999989</v>
      </c>
      <c r="AC4446" s="93">
        <f>AC4444/AA4446</f>
        <v>0.39999999999999991</v>
      </c>
      <c r="AD4446" s="94">
        <f t="shared" si="3280"/>
        <v>389.99999999999989</v>
      </c>
      <c r="AE4446" s="190"/>
      <c r="AF4446" s="191"/>
      <c r="AG4446" s="191"/>
      <c r="AH4446" s="191"/>
      <c r="AI4446" s="186"/>
      <c r="AK4446" s="171"/>
    </row>
    <row r="4447" spans="1:41" s="102" customFormat="1" ht="19.899999999999999" customHeight="1" x14ac:dyDescent="0.25">
      <c r="A4447" s="45"/>
      <c r="B4447" s="59"/>
      <c r="C4447" s="137"/>
      <c r="D4447" s="59"/>
      <c r="E4447" s="116"/>
      <c r="F4447" s="120"/>
      <c r="G4447" s="120"/>
      <c r="H4447" s="120"/>
      <c r="I4447" s="60"/>
      <c r="J4447" s="116"/>
      <c r="K4447" s="213"/>
      <c r="L4447" s="120"/>
      <c r="M4447" s="120"/>
      <c r="N4447" s="167"/>
      <c r="O4447" s="120"/>
      <c r="P4447" s="120"/>
      <c r="Q4447" s="120"/>
      <c r="R4447" s="120"/>
      <c r="S4447" s="120"/>
      <c r="T4447" s="221"/>
      <c r="U4447" s="89"/>
      <c r="V4447" s="61"/>
      <c r="W4447" s="92" t="s">
        <v>1459</v>
      </c>
      <c r="X4447" s="93" t="s">
        <v>32</v>
      </c>
      <c r="Y4447" s="93" t="s">
        <v>35</v>
      </c>
      <c r="Z4447" s="134">
        <f>VLOOKUP(W4447,Sheet2!$B:$D,3,FALSE)</f>
        <v>1500</v>
      </c>
      <c r="AA4447" s="93">
        <v>1</v>
      </c>
      <c r="AB4447" s="93">
        <f>AD4447/AC4444</f>
        <v>1500</v>
      </c>
      <c r="AC4447" s="93">
        <f>AC4444/AA4447</f>
        <v>0.39999999999999991</v>
      </c>
      <c r="AD4447" s="94">
        <f>AC4447*Z4447</f>
        <v>599.99999999999989</v>
      </c>
      <c r="AE4447" s="190"/>
      <c r="AF4447" s="191"/>
      <c r="AG4447" s="191"/>
      <c r="AH4447" s="191"/>
      <c r="AI4447" s="186"/>
      <c r="AK4447" s="171"/>
    </row>
    <row r="4448" spans="1:41" ht="20.100000000000001" customHeight="1" x14ac:dyDescent="0.25">
      <c r="A4448" s="277" t="s">
        <v>491</v>
      </c>
      <c r="B4448" s="278"/>
      <c r="C4448" s="64" t="s">
        <v>535</v>
      </c>
      <c r="D4448" s="46" t="s">
        <v>328</v>
      </c>
      <c r="E4448" s="114">
        <v>0.39999999999999991</v>
      </c>
      <c r="F4448" s="44">
        <v>9189</v>
      </c>
      <c r="G4448" s="44">
        <f t="shared" si="2434"/>
        <v>3675.599999999999</v>
      </c>
      <c r="H4448" s="44">
        <f t="shared" si="2435"/>
        <v>9431.0000000000018</v>
      </c>
      <c r="I4448" s="43">
        <f t="shared" si="2436"/>
        <v>3772.4</v>
      </c>
      <c r="J4448" s="112">
        <f t="shared" si="2437"/>
        <v>0.39999999999999991</v>
      </c>
      <c r="K4448" s="211">
        <f t="shared" si="2438"/>
        <v>0.39999999999999991</v>
      </c>
      <c r="L4448" s="44"/>
      <c r="M4448" s="44">
        <f t="shared" si="2458"/>
        <v>0.39999999999999991</v>
      </c>
      <c r="N4448" s="173">
        <f t="shared" si="2439"/>
        <v>1</v>
      </c>
      <c r="O4448" s="44">
        <f t="shared" si="2440"/>
        <v>9189</v>
      </c>
      <c r="P4448" s="44">
        <f t="shared" si="2441"/>
        <v>3675.599999999999</v>
      </c>
      <c r="Q4448" s="44">
        <f t="shared" si="2442"/>
        <v>9431.0000000000018</v>
      </c>
      <c r="R4448" s="44">
        <f t="shared" si="2459"/>
        <v>3772.4</v>
      </c>
      <c r="S4448" s="123"/>
      <c r="T4448" s="219">
        <f t="shared" si="2460"/>
        <v>3772.4</v>
      </c>
      <c r="U4448" s="87"/>
      <c r="V4448" s="47"/>
      <c r="W4448" s="48"/>
      <c r="X4448" s="48"/>
      <c r="Y4448" s="48"/>
      <c r="Z4448" s="135"/>
      <c r="AA4448" s="49"/>
      <c r="AB4448" s="50">
        <f t="shared" si="2443"/>
        <v>9431.0000000000018</v>
      </c>
      <c r="AC4448" s="42">
        <f t="shared" si="2461"/>
        <v>0.39999999999999991</v>
      </c>
      <c r="AD4448" s="90">
        <f>AD4449</f>
        <v>3772.3999999999996</v>
      </c>
      <c r="AE4448" s="188">
        <f t="shared" ref="AE4448" si="3281">AE4449</f>
        <v>0</v>
      </c>
      <c r="AF4448" s="189">
        <f t="shared" ref="AF4448" si="3282">AF4449</f>
        <v>0</v>
      </c>
      <c r="AG4448" s="189">
        <f t="shared" ref="AG4448" si="3283">AG4449</f>
        <v>0</v>
      </c>
      <c r="AH4448" s="189">
        <f t="shared" ref="AH4448" si="3284">AH4449</f>
        <v>0</v>
      </c>
      <c r="AI4448" s="161">
        <f t="shared" ref="AI4448:AI4449" si="3285">SUM(AE4448:AH4448)</f>
        <v>0</v>
      </c>
      <c r="AK4448" s="169">
        <v>5</v>
      </c>
      <c r="AO4448" s="19" t="s">
        <v>63</v>
      </c>
    </row>
    <row r="4449" spans="1:41" s="103" customFormat="1" ht="19.899999999999999" customHeight="1" x14ac:dyDescent="0.25">
      <c r="A4449" s="51"/>
      <c r="B4449" s="52"/>
      <c r="C4449" s="165"/>
      <c r="D4449" s="52"/>
      <c r="E4449" s="115"/>
      <c r="F4449" s="58"/>
      <c r="G4449" s="58"/>
      <c r="H4449" s="58"/>
      <c r="I4449" s="55"/>
      <c r="J4449" s="113">
        <f>J4448</f>
        <v>0.39999999999999991</v>
      </c>
      <c r="K4449" s="212">
        <f>K4448</f>
        <v>0.39999999999999991</v>
      </c>
      <c r="L4449" s="58"/>
      <c r="M4449" s="58">
        <f>K4449-L4449</f>
        <v>0.39999999999999991</v>
      </c>
      <c r="N4449" s="166"/>
      <c r="O4449" s="58"/>
      <c r="P4449" s="58"/>
      <c r="Q4449" s="58"/>
      <c r="R4449" s="58"/>
      <c r="S4449" s="58"/>
      <c r="T4449" s="220"/>
      <c r="U4449" s="88"/>
      <c r="V4449" s="56"/>
      <c r="W4449" s="57" t="s">
        <v>1329</v>
      </c>
      <c r="X4449" s="53"/>
      <c r="Y4449" s="91" t="s">
        <v>35</v>
      </c>
      <c r="Z4449" s="136">
        <f>AD4449/AC4449</f>
        <v>9431.0000000000018</v>
      </c>
      <c r="AA4449" s="58"/>
      <c r="AB4449" s="53">
        <f>AD4449/AC4449</f>
        <v>9431.0000000000018</v>
      </c>
      <c r="AC4449" s="53">
        <f>M4449+$AE$10</f>
        <v>0.39999999999999991</v>
      </c>
      <c r="AD4449" s="54">
        <f>SUM(AD4450:AD4452)</f>
        <v>3772.3999999999996</v>
      </c>
      <c r="AE4449" s="184">
        <f>SUMIFS($AD$37:$AD$12971,$V$37:$V$12971,$V4449,$X$37:$X$12971,AE$13)</f>
        <v>0</v>
      </c>
      <c r="AF4449" s="185">
        <f>SUMIFS($AD$37:$AD$12971,$V$37:$V$12971,$V4449,$X$37:$X$12971,AF$13)</f>
        <v>0</v>
      </c>
      <c r="AG4449" s="185">
        <f>SUMIFS($AD$37:$AD$12971,$V$37:$V$12971,$V4449,$X$37:$X$12971,AG$13)</f>
        <v>0</v>
      </c>
      <c r="AH4449" s="187">
        <f>SUMIFS($AD$37:$AD$12971,$V$37:$V$12971,$V4449,$X$37:$X$12971,AH$13)</f>
        <v>0</v>
      </c>
      <c r="AI4449" s="161">
        <f t="shared" si="3285"/>
        <v>0</v>
      </c>
      <c r="AK4449" s="172"/>
    </row>
    <row r="4450" spans="1:41" s="102" customFormat="1" ht="19.899999999999999" customHeight="1" x14ac:dyDescent="0.25">
      <c r="A4450" s="45"/>
      <c r="B4450" s="59"/>
      <c r="C4450" s="137"/>
      <c r="D4450" s="59"/>
      <c r="E4450" s="116"/>
      <c r="F4450" s="120"/>
      <c r="G4450" s="120"/>
      <c r="H4450" s="120"/>
      <c r="I4450" s="60"/>
      <c r="J4450" s="116"/>
      <c r="K4450" s="213"/>
      <c r="L4450" s="120"/>
      <c r="M4450" s="120"/>
      <c r="N4450" s="167"/>
      <c r="O4450" s="120"/>
      <c r="P4450" s="120"/>
      <c r="Q4450" s="120"/>
      <c r="R4450" s="120"/>
      <c r="S4450" s="120"/>
      <c r="T4450" s="221"/>
      <c r="U4450" s="89"/>
      <c r="V4450" s="61"/>
      <c r="W4450" s="92" t="s">
        <v>1454</v>
      </c>
      <c r="X4450" s="93" t="s">
        <v>30</v>
      </c>
      <c r="Y4450" s="93" t="s">
        <v>35</v>
      </c>
      <c r="Z4450" s="134">
        <f>VLOOKUP(W4450,Sheet2!$B:$D,3,FALSE)</f>
        <v>7210</v>
      </c>
      <c r="AA4450" s="93">
        <v>1</v>
      </c>
      <c r="AB4450" s="93">
        <f t="shared" ref="AB4450" si="3286">AD4450/AC4449</f>
        <v>7210.0000000000009</v>
      </c>
      <c r="AC4450" s="93">
        <f>AC4449/AA4450</f>
        <v>0.39999999999999991</v>
      </c>
      <c r="AD4450" s="94">
        <f t="shared" ref="AD4450:AD4451" si="3287">AC4450*Z4450</f>
        <v>2883.9999999999995</v>
      </c>
      <c r="AE4450" s="190"/>
      <c r="AF4450" s="191"/>
      <c r="AG4450" s="191"/>
      <c r="AH4450" s="191"/>
      <c r="AI4450" s="186"/>
      <c r="AK4450" s="171"/>
    </row>
    <row r="4451" spans="1:41" s="102" customFormat="1" ht="19.899999999999999" customHeight="1" x14ac:dyDescent="0.25">
      <c r="A4451" s="45"/>
      <c r="B4451" s="59"/>
      <c r="C4451" s="137"/>
      <c r="D4451" s="59"/>
      <c r="E4451" s="116"/>
      <c r="F4451" s="120"/>
      <c r="G4451" s="120"/>
      <c r="H4451" s="120"/>
      <c r="I4451" s="60"/>
      <c r="J4451" s="116"/>
      <c r="K4451" s="213"/>
      <c r="L4451" s="120"/>
      <c r="M4451" s="120"/>
      <c r="N4451" s="167"/>
      <c r="O4451" s="120"/>
      <c r="P4451" s="120"/>
      <c r="Q4451" s="120"/>
      <c r="R4451" s="120"/>
      <c r="S4451" s="120"/>
      <c r="T4451" s="221"/>
      <c r="U4451" s="89"/>
      <c r="V4451" s="61"/>
      <c r="W4451" s="92" t="s">
        <v>1455</v>
      </c>
      <c r="X4451" s="93" t="s">
        <v>30</v>
      </c>
      <c r="Y4451" s="93" t="s">
        <v>35</v>
      </c>
      <c r="Z4451" s="134">
        <f>VLOOKUP(W4451,Sheet2!$B:$D,3,FALSE)</f>
        <v>721</v>
      </c>
      <c r="AA4451" s="93">
        <v>1</v>
      </c>
      <c r="AB4451" s="93">
        <f>AD4451/AC4449</f>
        <v>721</v>
      </c>
      <c r="AC4451" s="93">
        <f>AC4449/AA4451</f>
        <v>0.39999999999999991</v>
      </c>
      <c r="AD4451" s="94">
        <f t="shared" si="3287"/>
        <v>288.39999999999992</v>
      </c>
      <c r="AE4451" s="190"/>
      <c r="AF4451" s="191"/>
      <c r="AG4451" s="191"/>
      <c r="AH4451" s="191"/>
      <c r="AI4451" s="186"/>
      <c r="AK4451" s="171"/>
    </row>
    <row r="4452" spans="1:41" s="102" customFormat="1" ht="19.899999999999999" customHeight="1" x14ac:dyDescent="0.25">
      <c r="A4452" s="45"/>
      <c r="B4452" s="59"/>
      <c r="C4452" s="137"/>
      <c r="D4452" s="59"/>
      <c r="E4452" s="116"/>
      <c r="F4452" s="120"/>
      <c r="G4452" s="120"/>
      <c r="H4452" s="120"/>
      <c r="I4452" s="60"/>
      <c r="J4452" s="116"/>
      <c r="K4452" s="213"/>
      <c r="L4452" s="120"/>
      <c r="M4452" s="120"/>
      <c r="N4452" s="167"/>
      <c r="O4452" s="120"/>
      <c r="P4452" s="120"/>
      <c r="Q4452" s="120"/>
      <c r="R4452" s="120"/>
      <c r="S4452" s="120"/>
      <c r="T4452" s="221"/>
      <c r="U4452" s="89"/>
      <c r="V4452" s="61"/>
      <c r="W4452" s="92" t="s">
        <v>1456</v>
      </c>
      <c r="X4452" s="93" t="s">
        <v>32</v>
      </c>
      <c r="Y4452" s="93" t="s">
        <v>35</v>
      </c>
      <c r="Z4452" s="134">
        <f>VLOOKUP(W4452,Sheet2!$B:$D,3,FALSE)</f>
        <v>1500</v>
      </c>
      <c r="AA4452" s="93">
        <v>1</v>
      </c>
      <c r="AB4452" s="93">
        <f>AD4452/AC4449</f>
        <v>1500</v>
      </c>
      <c r="AC4452" s="93">
        <f>AC4449/AA4452</f>
        <v>0.39999999999999991</v>
      </c>
      <c r="AD4452" s="94">
        <f>AC4452*Z4452</f>
        <v>599.99999999999989</v>
      </c>
      <c r="AE4452" s="190"/>
      <c r="AF4452" s="191"/>
      <c r="AG4452" s="191"/>
      <c r="AH4452" s="191"/>
      <c r="AI4452" s="186"/>
      <c r="AK4452" s="171"/>
    </row>
    <row r="4453" spans="1:41" ht="20.100000000000001" customHeight="1" x14ac:dyDescent="0.25">
      <c r="A4453" s="277" t="s">
        <v>491</v>
      </c>
      <c r="B4453" s="278"/>
      <c r="C4453" s="64" t="s">
        <v>536</v>
      </c>
      <c r="D4453" s="46" t="s">
        <v>328</v>
      </c>
      <c r="E4453" s="114">
        <v>3</v>
      </c>
      <c r="F4453" s="44">
        <v>3991</v>
      </c>
      <c r="G4453" s="44">
        <f t="shared" si="2434"/>
        <v>11973</v>
      </c>
      <c r="H4453" s="44">
        <f t="shared" si="2435"/>
        <v>2020</v>
      </c>
      <c r="I4453" s="43">
        <f t="shared" si="2436"/>
        <v>6060</v>
      </c>
      <c r="J4453" s="112">
        <f t="shared" si="2437"/>
        <v>3</v>
      </c>
      <c r="K4453" s="211">
        <f t="shared" si="2438"/>
        <v>3</v>
      </c>
      <c r="L4453" s="44"/>
      <c r="M4453" s="44">
        <f t="shared" si="2458"/>
        <v>3</v>
      </c>
      <c r="N4453" s="173">
        <f t="shared" si="2439"/>
        <v>1</v>
      </c>
      <c r="O4453" s="44">
        <f t="shared" si="2440"/>
        <v>3991</v>
      </c>
      <c r="P4453" s="44">
        <f t="shared" si="2441"/>
        <v>11973</v>
      </c>
      <c r="Q4453" s="44">
        <f t="shared" si="2442"/>
        <v>2020</v>
      </c>
      <c r="R4453" s="44">
        <f t="shared" si="2459"/>
        <v>6060</v>
      </c>
      <c r="S4453" s="123"/>
      <c r="T4453" s="219">
        <f t="shared" si="2460"/>
        <v>6060</v>
      </c>
      <c r="U4453" s="87"/>
      <c r="V4453" s="47"/>
      <c r="W4453" s="48"/>
      <c r="X4453" s="48"/>
      <c r="Y4453" s="48"/>
      <c r="Z4453" s="135"/>
      <c r="AA4453" s="49"/>
      <c r="AB4453" s="50">
        <f t="shared" si="2443"/>
        <v>2020</v>
      </c>
      <c r="AC4453" s="42">
        <f t="shared" si="2461"/>
        <v>3</v>
      </c>
      <c r="AD4453" s="90">
        <f>AD4454</f>
        <v>6060</v>
      </c>
      <c r="AE4453" s="188">
        <f t="shared" ref="AE4453" si="3288">AE4454</f>
        <v>0</v>
      </c>
      <c r="AF4453" s="189">
        <f t="shared" ref="AF4453" si="3289">AF4454</f>
        <v>0</v>
      </c>
      <c r="AG4453" s="189">
        <f t="shared" ref="AG4453" si="3290">AG4454</f>
        <v>0</v>
      </c>
      <c r="AH4453" s="189">
        <f t="shared" ref="AH4453" si="3291">AH4454</f>
        <v>0</v>
      </c>
      <c r="AI4453" s="161">
        <f t="shared" ref="AI4453:AI4459" si="3292">SUM(AE4453:AH4453)</f>
        <v>0</v>
      </c>
      <c r="AK4453" s="169">
        <v>5</v>
      </c>
      <c r="AO4453" s="19" t="s">
        <v>63</v>
      </c>
    </row>
    <row r="4454" spans="1:41" s="103" customFormat="1" ht="19.899999999999999" customHeight="1" x14ac:dyDescent="0.25">
      <c r="A4454" s="51"/>
      <c r="B4454" s="52"/>
      <c r="C4454" s="165"/>
      <c r="D4454" s="52"/>
      <c r="E4454" s="115"/>
      <c r="F4454" s="58"/>
      <c r="G4454" s="58"/>
      <c r="H4454" s="58"/>
      <c r="I4454" s="55"/>
      <c r="J4454" s="113">
        <f>J4453</f>
        <v>3</v>
      </c>
      <c r="K4454" s="212">
        <f>K4453</f>
        <v>3</v>
      </c>
      <c r="L4454" s="58"/>
      <c r="M4454" s="58">
        <f>K4454-L4454</f>
        <v>3</v>
      </c>
      <c r="N4454" s="166"/>
      <c r="O4454" s="58"/>
      <c r="P4454" s="58"/>
      <c r="Q4454" s="58"/>
      <c r="R4454" s="58"/>
      <c r="S4454" s="58"/>
      <c r="T4454" s="220"/>
      <c r="U4454" s="88"/>
      <c r="V4454" s="56"/>
      <c r="W4454" s="57" t="s">
        <v>1329</v>
      </c>
      <c r="X4454" s="53"/>
      <c r="Y4454" s="91" t="s">
        <v>35</v>
      </c>
      <c r="Z4454" s="136">
        <f>AD4454/AC4454</f>
        <v>2020</v>
      </c>
      <c r="AA4454" s="58"/>
      <c r="AB4454" s="53">
        <f>AD4454/AC4454</f>
        <v>2020</v>
      </c>
      <c r="AC4454" s="53">
        <f>M4454+$AE$10</f>
        <v>3</v>
      </c>
      <c r="AD4454" s="54">
        <f>SUM(AD4455:AD4457)</f>
        <v>6060</v>
      </c>
      <c r="AE4454" s="184">
        <f>SUMIFS($AD$37:$AD$12971,$V$37:$V$12971,$V4454,$X$37:$X$12971,AE$13)</f>
        <v>0</v>
      </c>
      <c r="AF4454" s="185">
        <f>SUMIFS($AD$37:$AD$12971,$V$37:$V$12971,$V4454,$X$37:$X$12971,AF$13)</f>
        <v>0</v>
      </c>
      <c r="AG4454" s="185">
        <f>SUMIFS($AD$37:$AD$12971,$V$37:$V$12971,$V4454,$X$37:$X$12971,AG$13)</f>
        <v>0</v>
      </c>
      <c r="AH4454" s="187">
        <f>SUMIFS($AD$37:$AD$12971,$V$37:$V$12971,$V4454,$X$37:$X$12971,AH$13)</f>
        <v>0</v>
      </c>
      <c r="AI4454" s="161">
        <f t="shared" si="3292"/>
        <v>0</v>
      </c>
      <c r="AK4454" s="172"/>
    </row>
    <row r="4455" spans="1:41" s="102" customFormat="1" ht="19.899999999999999" customHeight="1" x14ac:dyDescent="0.25">
      <c r="A4455" s="45"/>
      <c r="B4455" s="59"/>
      <c r="C4455" s="137"/>
      <c r="D4455" s="59"/>
      <c r="E4455" s="116"/>
      <c r="F4455" s="120"/>
      <c r="G4455" s="120"/>
      <c r="H4455" s="120"/>
      <c r="I4455" s="60"/>
      <c r="J4455" s="116"/>
      <c r="K4455" s="213"/>
      <c r="L4455" s="120"/>
      <c r="M4455" s="120"/>
      <c r="N4455" s="167"/>
      <c r="O4455" s="120"/>
      <c r="P4455" s="120"/>
      <c r="Q4455" s="120"/>
      <c r="R4455" s="120"/>
      <c r="S4455" s="120"/>
      <c r="T4455" s="221"/>
      <c r="U4455" s="89"/>
      <c r="V4455" s="61"/>
      <c r="W4455" s="92" t="s">
        <v>1332</v>
      </c>
      <c r="X4455" s="93" t="s">
        <v>30</v>
      </c>
      <c r="Y4455" s="93" t="s">
        <v>35</v>
      </c>
      <c r="Z4455" s="134">
        <f>VLOOKUP(W4455,Sheet2!$B:$D,3,FALSE)</f>
        <v>1700</v>
      </c>
      <c r="AA4455" s="93">
        <v>1</v>
      </c>
      <c r="AB4455" s="93">
        <f t="shared" ref="AB4455" si="3293">AD4455/AC4454</f>
        <v>1700</v>
      </c>
      <c r="AC4455" s="93">
        <f>AC4454/AA4455</f>
        <v>3</v>
      </c>
      <c r="AD4455" s="94">
        <f t="shared" ref="AD4455:AD4456" si="3294">AC4455*Z4455</f>
        <v>5100</v>
      </c>
      <c r="AE4455" s="190"/>
      <c r="AF4455" s="191"/>
      <c r="AG4455" s="191"/>
      <c r="AH4455" s="191"/>
      <c r="AI4455" s="186"/>
      <c r="AK4455" s="171"/>
    </row>
    <row r="4456" spans="1:41" s="102" customFormat="1" ht="19.899999999999999" customHeight="1" x14ac:dyDescent="0.25">
      <c r="A4456" s="45"/>
      <c r="B4456" s="59"/>
      <c r="C4456" s="137"/>
      <c r="D4456" s="59"/>
      <c r="E4456" s="116"/>
      <c r="F4456" s="120"/>
      <c r="G4456" s="120"/>
      <c r="H4456" s="120"/>
      <c r="I4456" s="60"/>
      <c r="J4456" s="116"/>
      <c r="K4456" s="213"/>
      <c r="L4456" s="120"/>
      <c r="M4456" s="120"/>
      <c r="N4456" s="167"/>
      <c r="O4456" s="120"/>
      <c r="P4456" s="120"/>
      <c r="Q4456" s="120"/>
      <c r="R4456" s="120"/>
      <c r="S4456" s="120"/>
      <c r="T4456" s="221"/>
      <c r="U4456" s="89"/>
      <c r="V4456" s="61"/>
      <c r="W4456" s="92" t="s">
        <v>1344</v>
      </c>
      <c r="X4456" s="93" t="s">
        <v>30</v>
      </c>
      <c r="Y4456" s="93" t="s">
        <v>35</v>
      </c>
      <c r="Z4456" s="134">
        <f>VLOOKUP(W4456,Sheet2!$B:$D,3,FALSE)</f>
        <v>170</v>
      </c>
      <c r="AA4456" s="93">
        <v>1</v>
      </c>
      <c r="AB4456" s="93">
        <f>AD4456/AC4454</f>
        <v>170</v>
      </c>
      <c r="AC4456" s="93">
        <f>AC4454/AA4456</f>
        <v>3</v>
      </c>
      <c r="AD4456" s="94">
        <f t="shared" si="3294"/>
        <v>510</v>
      </c>
      <c r="AE4456" s="190"/>
      <c r="AF4456" s="191"/>
      <c r="AG4456" s="191"/>
      <c r="AH4456" s="191"/>
      <c r="AI4456" s="186"/>
      <c r="AK4456" s="171"/>
    </row>
    <row r="4457" spans="1:41" s="102" customFormat="1" ht="19.899999999999999" customHeight="1" x14ac:dyDescent="0.25">
      <c r="A4457" s="45"/>
      <c r="B4457" s="59"/>
      <c r="C4457" s="137"/>
      <c r="D4457" s="59"/>
      <c r="E4457" s="116"/>
      <c r="F4457" s="120"/>
      <c r="G4457" s="120"/>
      <c r="H4457" s="120"/>
      <c r="I4457" s="60"/>
      <c r="J4457" s="116"/>
      <c r="K4457" s="213"/>
      <c r="L4457" s="120"/>
      <c r="M4457" s="120"/>
      <c r="N4457" s="167"/>
      <c r="O4457" s="120"/>
      <c r="P4457" s="120"/>
      <c r="Q4457" s="120"/>
      <c r="R4457" s="120"/>
      <c r="S4457" s="120"/>
      <c r="T4457" s="221"/>
      <c r="U4457" s="89"/>
      <c r="V4457" s="61"/>
      <c r="W4457" s="92" t="s">
        <v>1333</v>
      </c>
      <c r="X4457" s="93" t="s">
        <v>32</v>
      </c>
      <c r="Y4457" s="93" t="s">
        <v>35</v>
      </c>
      <c r="Z4457" s="134">
        <f>VLOOKUP(W4457,Sheet2!$B:$D,3,FALSE)</f>
        <v>150</v>
      </c>
      <c r="AA4457" s="93">
        <v>1</v>
      </c>
      <c r="AB4457" s="93">
        <f>AD4457/AC4454</f>
        <v>150</v>
      </c>
      <c r="AC4457" s="93">
        <f>AC4454/AA4457</f>
        <v>3</v>
      </c>
      <c r="AD4457" s="94">
        <f>AC4457*Z4457</f>
        <v>450</v>
      </c>
      <c r="AE4457" s="190"/>
      <c r="AF4457" s="191"/>
      <c r="AG4457" s="191"/>
      <c r="AH4457" s="191"/>
      <c r="AI4457" s="186"/>
      <c r="AK4457" s="171"/>
    </row>
    <row r="4458" spans="1:41" ht="20.100000000000001" customHeight="1" x14ac:dyDescent="0.25">
      <c r="A4458" s="277" t="s">
        <v>491</v>
      </c>
      <c r="B4458" s="278"/>
      <c r="C4458" s="64" t="s">
        <v>537</v>
      </c>
      <c r="D4458" s="46" t="s">
        <v>328</v>
      </c>
      <c r="E4458" s="114"/>
      <c r="F4458" s="44"/>
      <c r="G4458" s="44">
        <f t="shared" si="2434"/>
        <v>0</v>
      </c>
      <c r="H4458" s="44">
        <f t="shared" si="2435"/>
        <v>0</v>
      </c>
      <c r="I4458" s="43">
        <f t="shared" si="2436"/>
        <v>0</v>
      </c>
      <c r="J4458" s="112">
        <f t="shared" si="2437"/>
        <v>0</v>
      </c>
      <c r="K4458" s="211">
        <f t="shared" si="2438"/>
        <v>0</v>
      </c>
      <c r="L4458" s="44"/>
      <c r="M4458" s="44">
        <f t="shared" si="2458"/>
        <v>0</v>
      </c>
      <c r="N4458" s="173">
        <f t="shared" si="2439"/>
        <v>0</v>
      </c>
      <c r="O4458" s="44">
        <f t="shared" si="2440"/>
        <v>0</v>
      </c>
      <c r="P4458" s="44">
        <f t="shared" si="2441"/>
        <v>0</v>
      </c>
      <c r="Q4458" s="44">
        <f t="shared" si="2442"/>
        <v>0</v>
      </c>
      <c r="R4458" s="44">
        <f t="shared" si="2459"/>
        <v>0</v>
      </c>
      <c r="S4458" s="123"/>
      <c r="T4458" s="219">
        <f t="shared" si="2460"/>
        <v>0</v>
      </c>
      <c r="U4458" s="87"/>
      <c r="V4458" s="47"/>
      <c r="W4458" s="48"/>
      <c r="X4458" s="48"/>
      <c r="Y4458" s="48"/>
      <c r="Z4458" s="135"/>
      <c r="AA4458" s="49"/>
      <c r="AB4458" s="50">
        <f t="shared" si="2443"/>
        <v>0</v>
      </c>
      <c r="AC4458" s="42">
        <f t="shared" si="2461"/>
        <v>9.9999999999999998E-20</v>
      </c>
      <c r="AD4458" s="90"/>
      <c r="AE4458" s="188"/>
      <c r="AF4458" s="189"/>
      <c r="AG4458" s="189"/>
      <c r="AH4458" s="189"/>
      <c r="AI4458" s="161"/>
    </row>
    <row r="4459" spans="1:41" ht="20.100000000000001" customHeight="1" x14ac:dyDescent="0.25">
      <c r="A4459" s="277" t="s">
        <v>491</v>
      </c>
      <c r="B4459" s="278"/>
      <c r="C4459" s="64" t="s">
        <v>538</v>
      </c>
      <c r="D4459" s="46" t="s">
        <v>328</v>
      </c>
      <c r="E4459" s="114">
        <v>2.4</v>
      </c>
      <c r="F4459" s="44">
        <v>5917</v>
      </c>
      <c r="G4459" s="44">
        <f t="shared" si="2434"/>
        <v>14200.8</v>
      </c>
      <c r="H4459" s="44">
        <f t="shared" si="2435"/>
        <v>2240</v>
      </c>
      <c r="I4459" s="43">
        <f t="shared" si="2436"/>
        <v>5376</v>
      </c>
      <c r="J4459" s="112">
        <f t="shared" si="2437"/>
        <v>2.4</v>
      </c>
      <c r="K4459" s="211">
        <f t="shared" si="2438"/>
        <v>2.4</v>
      </c>
      <c r="L4459" s="44"/>
      <c r="M4459" s="44">
        <f t="shared" si="2458"/>
        <v>2.4</v>
      </c>
      <c r="N4459" s="173">
        <f t="shared" si="2439"/>
        <v>1</v>
      </c>
      <c r="O4459" s="44">
        <f t="shared" si="2440"/>
        <v>5917</v>
      </c>
      <c r="P4459" s="44">
        <f t="shared" si="2441"/>
        <v>14200.8</v>
      </c>
      <c r="Q4459" s="44">
        <f t="shared" si="2442"/>
        <v>2240</v>
      </c>
      <c r="R4459" s="44">
        <f t="shared" si="2459"/>
        <v>5376</v>
      </c>
      <c r="S4459" s="123"/>
      <c r="T4459" s="219">
        <f t="shared" si="2460"/>
        <v>5376</v>
      </c>
      <c r="U4459" s="87"/>
      <c r="V4459" s="47"/>
      <c r="W4459" s="48"/>
      <c r="X4459" s="48"/>
      <c r="Y4459" s="48"/>
      <c r="Z4459" s="135"/>
      <c r="AA4459" s="49"/>
      <c r="AB4459" s="50">
        <f t="shared" si="2443"/>
        <v>2240</v>
      </c>
      <c r="AC4459" s="42">
        <f t="shared" si="2461"/>
        <v>2.4</v>
      </c>
      <c r="AD4459" s="90">
        <f>AD4460</f>
        <v>5376</v>
      </c>
      <c r="AE4459" s="188">
        <f t="shared" ref="AE4459" si="3295">AE4460</f>
        <v>0</v>
      </c>
      <c r="AF4459" s="189">
        <f t="shared" ref="AF4459" si="3296">AF4460</f>
        <v>0</v>
      </c>
      <c r="AG4459" s="189">
        <f t="shared" ref="AG4459" si="3297">AG4460</f>
        <v>0</v>
      </c>
      <c r="AH4459" s="189">
        <f t="shared" ref="AH4459" si="3298">AH4460</f>
        <v>0</v>
      </c>
      <c r="AI4459" s="161">
        <f t="shared" si="3292"/>
        <v>0</v>
      </c>
      <c r="AK4459" s="169">
        <v>5</v>
      </c>
      <c r="AO4459" s="19" t="s">
        <v>63</v>
      </c>
    </row>
    <row r="4460" spans="1:41" s="103" customFormat="1" ht="19.899999999999999" customHeight="1" x14ac:dyDescent="0.25">
      <c r="A4460" s="51"/>
      <c r="B4460" s="52"/>
      <c r="C4460" s="165"/>
      <c r="D4460" s="52"/>
      <c r="E4460" s="115"/>
      <c r="F4460" s="58"/>
      <c r="G4460" s="58"/>
      <c r="H4460" s="58"/>
      <c r="I4460" s="55"/>
      <c r="J4460" s="113">
        <f>J4459</f>
        <v>2.4</v>
      </c>
      <c r="K4460" s="212">
        <f>K4459</f>
        <v>2.4</v>
      </c>
      <c r="L4460" s="58"/>
      <c r="M4460" s="58">
        <f>K4460-L4460</f>
        <v>2.4</v>
      </c>
      <c r="N4460" s="166"/>
      <c r="O4460" s="58"/>
      <c r="P4460" s="58"/>
      <c r="Q4460" s="58"/>
      <c r="R4460" s="58"/>
      <c r="S4460" s="58"/>
      <c r="T4460" s="220"/>
      <c r="U4460" s="88"/>
      <c r="V4460" s="56"/>
      <c r="W4460" s="57" t="s">
        <v>1329</v>
      </c>
      <c r="X4460" s="53"/>
      <c r="Y4460" s="91" t="s">
        <v>35</v>
      </c>
      <c r="Z4460" s="136">
        <f>AD4460/AC4460</f>
        <v>2240</v>
      </c>
      <c r="AA4460" s="58"/>
      <c r="AB4460" s="53">
        <f>AD4460/AC4460</f>
        <v>2240</v>
      </c>
      <c r="AC4460" s="53">
        <f>M4460+$AE$10</f>
        <v>2.4</v>
      </c>
      <c r="AD4460" s="54">
        <f>SUM(AD4461:AD4463)</f>
        <v>5376</v>
      </c>
      <c r="AE4460" s="184">
        <f>SUMIFS($AD$37:$AD$12971,$V$37:$V$12971,$V4460,$X$37:$X$12971,AE$13)</f>
        <v>0</v>
      </c>
      <c r="AF4460" s="185">
        <f>SUMIFS($AD$37:$AD$12971,$V$37:$V$12971,$V4460,$X$37:$X$12971,AF$13)</f>
        <v>0</v>
      </c>
      <c r="AG4460" s="185">
        <f>SUMIFS($AD$37:$AD$12971,$V$37:$V$12971,$V4460,$X$37:$X$12971,AG$13)</f>
        <v>0</v>
      </c>
      <c r="AH4460" s="187">
        <f>SUMIFS($AD$37:$AD$12971,$V$37:$V$12971,$V4460,$X$37:$X$12971,AH$13)</f>
        <v>0</v>
      </c>
      <c r="AI4460" s="161">
        <f t="shared" ref="AI4460" si="3299">SUM(AE4460:AH4460)</f>
        <v>0</v>
      </c>
      <c r="AK4460" s="172"/>
    </row>
    <row r="4461" spans="1:41" s="102" customFormat="1" ht="19.899999999999999" customHeight="1" x14ac:dyDescent="0.25">
      <c r="A4461" s="45"/>
      <c r="B4461" s="59"/>
      <c r="C4461" s="137"/>
      <c r="D4461" s="59"/>
      <c r="E4461" s="116"/>
      <c r="F4461" s="120"/>
      <c r="G4461" s="120"/>
      <c r="H4461" s="120"/>
      <c r="I4461" s="60"/>
      <c r="J4461" s="116"/>
      <c r="K4461" s="213"/>
      <c r="L4461" s="120"/>
      <c r="M4461" s="120"/>
      <c r="N4461" s="167"/>
      <c r="O4461" s="120"/>
      <c r="P4461" s="120"/>
      <c r="Q4461" s="120"/>
      <c r="R4461" s="120"/>
      <c r="S4461" s="120"/>
      <c r="T4461" s="221"/>
      <c r="U4461" s="89"/>
      <c r="V4461" s="61"/>
      <c r="W4461" s="92" t="s">
        <v>1451</v>
      </c>
      <c r="X4461" s="93" t="s">
        <v>30</v>
      </c>
      <c r="Y4461" s="93" t="s">
        <v>35</v>
      </c>
      <c r="Z4461" s="134">
        <f>VLOOKUP(W4461,Sheet2!$B:$D,3,FALSE)</f>
        <v>1870</v>
      </c>
      <c r="AA4461" s="93">
        <v>1</v>
      </c>
      <c r="AB4461" s="93">
        <f t="shared" ref="AB4461" si="3300">AD4461/AC4460</f>
        <v>1870</v>
      </c>
      <c r="AC4461" s="93">
        <f>AC4460/AA4461</f>
        <v>2.4</v>
      </c>
      <c r="AD4461" s="94">
        <f t="shared" ref="AD4461:AD4462" si="3301">AC4461*Z4461</f>
        <v>4488</v>
      </c>
      <c r="AE4461" s="190"/>
      <c r="AF4461" s="191"/>
      <c r="AG4461" s="191"/>
      <c r="AH4461" s="191"/>
      <c r="AI4461" s="186"/>
      <c r="AK4461" s="171"/>
    </row>
    <row r="4462" spans="1:41" s="102" customFormat="1" ht="19.899999999999999" customHeight="1" x14ac:dyDescent="0.25">
      <c r="A4462" s="45"/>
      <c r="B4462" s="59"/>
      <c r="C4462" s="137"/>
      <c r="D4462" s="59"/>
      <c r="E4462" s="116"/>
      <c r="F4462" s="120"/>
      <c r="G4462" s="120"/>
      <c r="H4462" s="120"/>
      <c r="I4462" s="60"/>
      <c r="J4462" s="116"/>
      <c r="K4462" s="213"/>
      <c r="L4462" s="120"/>
      <c r="M4462" s="120"/>
      <c r="N4462" s="167"/>
      <c r="O4462" s="120"/>
      <c r="P4462" s="120"/>
      <c r="Q4462" s="120"/>
      <c r="R4462" s="120"/>
      <c r="S4462" s="120"/>
      <c r="T4462" s="221"/>
      <c r="U4462" s="89"/>
      <c r="V4462" s="61"/>
      <c r="W4462" s="92" t="s">
        <v>1452</v>
      </c>
      <c r="X4462" s="93" t="s">
        <v>30</v>
      </c>
      <c r="Y4462" s="93" t="s">
        <v>35</v>
      </c>
      <c r="Z4462" s="134">
        <f>VLOOKUP(W4462,Sheet2!$B:$D,3,FALSE)</f>
        <v>170</v>
      </c>
      <c r="AA4462" s="93">
        <v>1</v>
      </c>
      <c r="AB4462" s="93">
        <f>AD4462/AC4460</f>
        <v>170</v>
      </c>
      <c r="AC4462" s="93">
        <f>AC4460/AA4462</f>
        <v>2.4</v>
      </c>
      <c r="AD4462" s="94">
        <f t="shared" si="3301"/>
        <v>408</v>
      </c>
      <c r="AE4462" s="190"/>
      <c r="AF4462" s="191"/>
      <c r="AG4462" s="191"/>
      <c r="AH4462" s="191"/>
      <c r="AI4462" s="186"/>
      <c r="AK4462" s="171"/>
    </row>
    <row r="4463" spans="1:41" s="102" customFormat="1" ht="19.899999999999999" customHeight="1" x14ac:dyDescent="0.25">
      <c r="A4463" s="45"/>
      <c r="B4463" s="59"/>
      <c r="C4463" s="137"/>
      <c r="D4463" s="59"/>
      <c r="E4463" s="116"/>
      <c r="F4463" s="120"/>
      <c r="G4463" s="120"/>
      <c r="H4463" s="120"/>
      <c r="I4463" s="60"/>
      <c r="J4463" s="116"/>
      <c r="K4463" s="213"/>
      <c r="L4463" s="120"/>
      <c r="M4463" s="120"/>
      <c r="N4463" s="167"/>
      <c r="O4463" s="120"/>
      <c r="P4463" s="120"/>
      <c r="Q4463" s="120"/>
      <c r="R4463" s="120"/>
      <c r="S4463" s="120"/>
      <c r="T4463" s="221"/>
      <c r="U4463" s="89"/>
      <c r="V4463" s="61"/>
      <c r="W4463" s="92" t="s">
        <v>1453</v>
      </c>
      <c r="X4463" s="93" t="s">
        <v>32</v>
      </c>
      <c r="Y4463" s="93" t="s">
        <v>35</v>
      </c>
      <c r="Z4463" s="134">
        <f>VLOOKUP(W4463,Sheet2!$B:$D,3,FALSE)</f>
        <v>200</v>
      </c>
      <c r="AA4463" s="93">
        <v>1</v>
      </c>
      <c r="AB4463" s="93">
        <f>AD4463/AC4460</f>
        <v>200</v>
      </c>
      <c r="AC4463" s="93">
        <f>AC4460/AA4463</f>
        <v>2.4</v>
      </c>
      <c r="AD4463" s="94">
        <f>AC4463*Z4463</f>
        <v>480</v>
      </c>
      <c r="AE4463" s="190"/>
      <c r="AF4463" s="191"/>
      <c r="AG4463" s="191"/>
      <c r="AH4463" s="191"/>
      <c r="AI4463" s="186"/>
      <c r="AK4463" s="171"/>
    </row>
    <row r="4464" spans="1:41" ht="20.100000000000001" customHeight="1" x14ac:dyDescent="0.25">
      <c r="A4464" s="277" t="s">
        <v>491</v>
      </c>
      <c r="B4464" s="278"/>
      <c r="C4464" s="64" t="s">
        <v>539</v>
      </c>
      <c r="D4464" s="46" t="s">
        <v>328</v>
      </c>
      <c r="E4464" s="114"/>
      <c r="F4464" s="44"/>
      <c r="G4464" s="44">
        <f t="shared" si="2434"/>
        <v>0</v>
      </c>
      <c r="H4464" s="44">
        <f t="shared" si="2435"/>
        <v>0</v>
      </c>
      <c r="I4464" s="43">
        <f t="shared" si="2436"/>
        <v>0</v>
      </c>
      <c r="J4464" s="112">
        <f t="shared" si="2437"/>
        <v>0</v>
      </c>
      <c r="K4464" s="211">
        <f t="shared" si="2438"/>
        <v>0</v>
      </c>
      <c r="L4464" s="44"/>
      <c r="M4464" s="44">
        <f t="shared" si="2458"/>
        <v>0</v>
      </c>
      <c r="N4464" s="173">
        <f t="shared" si="2439"/>
        <v>0</v>
      </c>
      <c r="O4464" s="44">
        <f t="shared" si="2440"/>
        <v>0</v>
      </c>
      <c r="P4464" s="44">
        <f t="shared" si="2441"/>
        <v>0</v>
      </c>
      <c r="Q4464" s="44">
        <f t="shared" si="2442"/>
        <v>0</v>
      </c>
      <c r="R4464" s="44">
        <f t="shared" si="2459"/>
        <v>0</v>
      </c>
      <c r="S4464" s="123"/>
      <c r="T4464" s="219">
        <f t="shared" si="2460"/>
        <v>0</v>
      </c>
      <c r="U4464" s="87"/>
      <c r="V4464" s="47"/>
      <c r="W4464" s="48"/>
      <c r="X4464" s="48"/>
      <c r="Y4464" s="48"/>
      <c r="Z4464" s="135"/>
      <c r="AA4464" s="49"/>
      <c r="AB4464" s="50">
        <f t="shared" si="2443"/>
        <v>0</v>
      </c>
      <c r="AC4464" s="42">
        <f t="shared" si="2461"/>
        <v>9.9999999999999998E-20</v>
      </c>
      <c r="AD4464" s="90"/>
      <c r="AE4464" s="188"/>
      <c r="AF4464" s="189"/>
      <c r="AG4464" s="189"/>
      <c r="AH4464" s="189"/>
      <c r="AI4464" s="161"/>
    </row>
    <row r="4465" spans="1:41" ht="20.100000000000001" customHeight="1" x14ac:dyDescent="0.25">
      <c r="A4465" s="277" t="s">
        <v>491</v>
      </c>
      <c r="B4465" s="278"/>
      <c r="C4465" s="64" t="s">
        <v>540</v>
      </c>
      <c r="D4465" s="46" t="s">
        <v>328</v>
      </c>
      <c r="E4465" s="114">
        <v>1</v>
      </c>
      <c r="F4465" s="44">
        <v>9347</v>
      </c>
      <c r="G4465" s="44">
        <f t="shared" si="2434"/>
        <v>9347</v>
      </c>
      <c r="H4465" s="44">
        <f t="shared" si="2435"/>
        <v>3245</v>
      </c>
      <c r="I4465" s="43">
        <f t="shared" si="2436"/>
        <v>3245</v>
      </c>
      <c r="J4465" s="112">
        <f t="shared" si="2437"/>
        <v>1</v>
      </c>
      <c r="K4465" s="211">
        <f t="shared" si="2438"/>
        <v>1</v>
      </c>
      <c r="L4465" s="44"/>
      <c r="M4465" s="44">
        <f t="shared" si="2458"/>
        <v>1</v>
      </c>
      <c r="N4465" s="173">
        <f t="shared" si="2439"/>
        <v>1</v>
      </c>
      <c r="O4465" s="44">
        <f t="shared" si="2440"/>
        <v>9347</v>
      </c>
      <c r="P4465" s="44">
        <f t="shared" si="2441"/>
        <v>9347</v>
      </c>
      <c r="Q4465" s="44">
        <f t="shared" si="2442"/>
        <v>3245</v>
      </c>
      <c r="R4465" s="44">
        <f t="shared" si="2459"/>
        <v>3245</v>
      </c>
      <c r="S4465" s="123"/>
      <c r="T4465" s="219">
        <f t="shared" si="2460"/>
        <v>3245</v>
      </c>
      <c r="U4465" s="87"/>
      <c r="V4465" s="47"/>
      <c r="W4465" s="48"/>
      <c r="X4465" s="48"/>
      <c r="Y4465" s="48"/>
      <c r="Z4465" s="135"/>
      <c r="AA4465" s="49"/>
      <c r="AB4465" s="50">
        <f t="shared" si="2443"/>
        <v>3245</v>
      </c>
      <c r="AC4465" s="42">
        <f t="shared" si="2461"/>
        <v>1</v>
      </c>
      <c r="AD4465" s="90">
        <f>AD4466</f>
        <v>3245</v>
      </c>
      <c r="AE4465" s="188">
        <f t="shared" ref="AE4465" si="3302">AE4466</f>
        <v>0</v>
      </c>
      <c r="AF4465" s="189">
        <f t="shared" ref="AF4465" si="3303">AF4466</f>
        <v>0</v>
      </c>
      <c r="AG4465" s="189">
        <f t="shared" ref="AG4465" si="3304">AG4466</f>
        <v>0</v>
      </c>
      <c r="AH4465" s="189">
        <f t="shared" ref="AH4465" si="3305">AH4466</f>
        <v>0</v>
      </c>
      <c r="AI4465" s="161">
        <f t="shared" ref="AI4465:AI4466" si="3306">SUM(AE4465:AH4465)</f>
        <v>0</v>
      </c>
      <c r="AK4465" s="169">
        <v>5</v>
      </c>
      <c r="AO4465" s="19" t="s">
        <v>63</v>
      </c>
    </row>
    <row r="4466" spans="1:41" s="103" customFormat="1" ht="19.899999999999999" customHeight="1" x14ac:dyDescent="0.25">
      <c r="A4466" s="51"/>
      <c r="B4466" s="52"/>
      <c r="C4466" s="165"/>
      <c r="D4466" s="52"/>
      <c r="E4466" s="115"/>
      <c r="F4466" s="58"/>
      <c r="G4466" s="58"/>
      <c r="H4466" s="58"/>
      <c r="I4466" s="55"/>
      <c r="J4466" s="113">
        <f>J4465</f>
        <v>1</v>
      </c>
      <c r="K4466" s="212">
        <f>K4465</f>
        <v>1</v>
      </c>
      <c r="L4466" s="58"/>
      <c r="M4466" s="58">
        <f>K4466-L4466</f>
        <v>1</v>
      </c>
      <c r="N4466" s="166"/>
      <c r="O4466" s="58"/>
      <c r="P4466" s="58"/>
      <c r="Q4466" s="58"/>
      <c r="R4466" s="58"/>
      <c r="S4466" s="58"/>
      <c r="T4466" s="220"/>
      <c r="U4466" s="88"/>
      <c r="V4466" s="56"/>
      <c r="W4466" s="57" t="s">
        <v>1329</v>
      </c>
      <c r="X4466" s="53"/>
      <c r="Y4466" s="91" t="s">
        <v>35</v>
      </c>
      <c r="Z4466" s="136">
        <f>AD4466/AC4466</f>
        <v>3245</v>
      </c>
      <c r="AA4466" s="58"/>
      <c r="AB4466" s="53">
        <f>AD4466/AC4466</f>
        <v>3245</v>
      </c>
      <c r="AC4466" s="53">
        <f>M4466+$AE$10</f>
        <v>1</v>
      </c>
      <c r="AD4466" s="54">
        <f>SUM(AD4467:AD4469)</f>
        <v>3245</v>
      </c>
      <c r="AE4466" s="184">
        <f>SUMIFS($AD$37:$AD$12971,$V$37:$V$12971,$V4466,$X$37:$X$12971,AE$13)</f>
        <v>0</v>
      </c>
      <c r="AF4466" s="185">
        <f>SUMIFS($AD$37:$AD$12971,$V$37:$V$12971,$V4466,$X$37:$X$12971,AF$13)</f>
        <v>0</v>
      </c>
      <c r="AG4466" s="185">
        <f>SUMIFS($AD$37:$AD$12971,$V$37:$V$12971,$V4466,$X$37:$X$12971,AG$13)</f>
        <v>0</v>
      </c>
      <c r="AH4466" s="187">
        <f>SUMIFS($AD$37:$AD$12971,$V$37:$V$12971,$V4466,$X$37:$X$12971,AH$13)</f>
        <v>0</v>
      </c>
      <c r="AI4466" s="161">
        <f t="shared" si="3306"/>
        <v>0</v>
      </c>
      <c r="AK4466" s="172"/>
    </row>
    <row r="4467" spans="1:41" s="102" customFormat="1" ht="19.899999999999999" customHeight="1" x14ac:dyDescent="0.25">
      <c r="A4467" s="45"/>
      <c r="B4467" s="59"/>
      <c r="C4467" s="137"/>
      <c r="D4467" s="59"/>
      <c r="E4467" s="116"/>
      <c r="F4467" s="120"/>
      <c r="G4467" s="120"/>
      <c r="H4467" s="120"/>
      <c r="I4467" s="60"/>
      <c r="J4467" s="116"/>
      <c r="K4467" s="213"/>
      <c r="L4467" s="120"/>
      <c r="M4467" s="120"/>
      <c r="N4467" s="167"/>
      <c r="O4467" s="120"/>
      <c r="P4467" s="120"/>
      <c r="Q4467" s="120"/>
      <c r="R4467" s="120"/>
      <c r="S4467" s="120"/>
      <c r="T4467" s="221"/>
      <c r="U4467" s="89"/>
      <c r="V4467" s="61"/>
      <c r="W4467" s="92" t="s">
        <v>1479</v>
      </c>
      <c r="X4467" s="93" t="s">
        <v>30</v>
      </c>
      <c r="Y4467" s="93" t="s">
        <v>35</v>
      </c>
      <c r="Z4467" s="134">
        <f>VLOOKUP(W4467,Sheet2!$B:$D,3,FALSE)</f>
        <v>2825</v>
      </c>
      <c r="AA4467" s="93">
        <v>1</v>
      </c>
      <c r="AB4467" s="93">
        <f t="shared" ref="AB4467" si="3307">AD4467/AC4466</f>
        <v>2825</v>
      </c>
      <c r="AC4467" s="93">
        <f>AC4466/AA4467</f>
        <v>1</v>
      </c>
      <c r="AD4467" s="94">
        <f t="shared" ref="AD4467:AD4468" si="3308">AC4467*Z4467</f>
        <v>2825</v>
      </c>
      <c r="AE4467" s="190"/>
      <c r="AF4467" s="191"/>
      <c r="AG4467" s="191"/>
      <c r="AH4467" s="191"/>
      <c r="AI4467" s="186"/>
      <c r="AK4467" s="171"/>
    </row>
    <row r="4468" spans="1:41" s="102" customFormat="1" ht="19.899999999999999" customHeight="1" x14ac:dyDescent="0.25">
      <c r="A4468" s="45"/>
      <c r="B4468" s="59"/>
      <c r="C4468" s="137"/>
      <c r="D4468" s="59"/>
      <c r="E4468" s="116"/>
      <c r="F4468" s="120"/>
      <c r="G4468" s="120"/>
      <c r="H4468" s="120"/>
      <c r="I4468" s="60"/>
      <c r="J4468" s="116"/>
      <c r="K4468" s="213"/>
      <c r="L4468" s="120"/>
      <c r="M4468" s="120"/>
      <c r="N4468" s="167"/>
      <c r="O4468" s="120"/>
      <c r="P4468" s="120"/>
      <c r="Q4468" s="120"/>
      <c r="R4468" s="120"/>
      <c r="S4468" s="120"/>
      <c r="T4468" s="221"/>
      <c r="U4468" s="89"/>
      <c r="V4468" s="61"/>
      <c r="W4468" s="92" t="s">
        <v>1474</v>
      </c>
      <c r="X4468" s="93" t="s">
        <v>30</v>
      </c>
      <c r="Y4468" s="93" t="s">
        <v>35</v>
      </c>
      <c r="Z4468" s="134">
        <f>VLOOKUP(W4468,Sheet2!$B:$D,3,FALSE)</f>
        <v>220</v>
      </c>
      <c r="AA4468" s="93">
        <v>1</v>
      </c>
      <c r="AB4468" s="93">
        <f>AD4468/AC4466</f>
        <v>220</v>
      </c>
      <c r="AC4468" s="93">
        <f>AC4466/AA4468</f>
        <v>1</v>
      </c>
      <c r="AD4468" s="94">
        <f t="shared" si="3308"/>
        <v>220</v>
      </c>
      <c r="AE4468" s="190"/>
      <c r="AF4468" s="191"/>
      <c r="AG4468" s="191"/>
      <c r="AH4468" s="191"/>
      <c r="AI4468" s="186"/>
      <c r="AK4468" s="171"/>
    </row>
    <row r="4469" spans="1:41" s="102" customFormat="1" ht="19.899999999999999" customHeight="1" x14ac:dyDescent="0.25">
      <c r="A4469" s="45"/>
      <c r="B4469" s="59"/>
      <c r="C4469" s="137"/>
      <c r="D4469" s="59"/>
      <c r="E4469" s="116"/>
      <c r="F4469" s="120"/>
      <c r="G4469" s="120"/>
      <c r="H4469" s="120"/>
      <c r="I4469" s="60"/>
      <c r="J4469" s="116"/>
      <c r="K4469" s="213"/>
      <c r="L4469" s="120"/>
      <c r="M4469" s="120"/>
      <c r="N4469" s="167"/>
      <c r="O4469" s="120"/>
      <c r="P4469" s="120"/>
      <c r="Q4469" s="120"/>
      <c r="R4469" s="120"/>
      <c r="S4469" s="120"/>
      <c r="T4469" s="221"/>
      <c r="U4469" s="89"/>
      <c r="V4469" s="61"/>
      <c r="W4469" s="92" t="s">
        <v>1475</v>
      </c>
      <c r="X4469" s="93" t="s">
        <v>32</v>
      </c>
      <c r="Y4469" s="93" t="s">
        <v>35</v>
      </c>
      <c r="Z4469" s="134">
        <f>VLOOKUP(W4469,Sheet2!$B:$D,3,FALSE)</f>
        <v>200</v>
      </c>
      <c r="AA4469" s="93">
        <v>1</v>
      </c>
      <c r="AB4469" s="93">
        <f>AD4469/AC4466</f>
        <v>200</v>
      </c>
      <c r="AC4469" s="93">
        <f>AC4466/AA4469</f>
        <v>1</v>
      </c>
      <c r="AD4469" s="94">
        <f>AC4469*Z4469</f>
        <v>200</v>
      </c>
      <c r="AE4469" s="190"/>
      <c r="AF4469" s="191"/>
      <c r="AG4469" s="191"/>
      <c r="AH4469" s="191"/>
      <c r="AI4469" s="186"/>
      <c r="AK4469" s="171"/>
    </row>
    <row r="4470" spans="1:41" ht="20.100000000000001" customHeight="1" x14ac:dyDescent="0.25">
      <c r="A4470" s="277" t="s">
        <v>491</v>
      </c>
      <c r="B4470" s="278"/>
      <c r="C4470" s="64" t="s">
        <v>541</v>
      </c>
      <c r="D4470" s="46" t="s">
        <v>328</v>
      </c>
      <c r="E4470" s="114">
        <v>2</v>
      </c>
      <c r="F4470" s="44">
        <v>13255</v>
      </c>
      <c r="G4470" s="44">
        <f t="shared" si="2434"/>
        <v>26510</v>
      </c>
      <c r="H4470" s="44">
        <f t="shared" si="2435"/>
        <v>12625</v>
      </c>
      <c r="I4470" s="43">
        <f t="shared" si="2436"/>
        <v>25250</v>
      </c>
      <c r="J4470" s="112">
        <f t="shared" si="2437"/>
        <v>2</v>
      </c>
      <c r="K4470" s="211">
        <f t="shared" si="2438"/>
        <v>2</v>
      </c>
      <c r="L4470" s="44"/>
      <c r="M4470" s="44">
        <f t="shared" si="2458"/>
        <v>2</v>
      </c>
      <c r="N4470" s="173">
        <f t="shared" si="2439"/>
        <v>1</v>
      </c>
      <c r="O4470" s="44">
        <f t="shared" si="2440"/>
        <v>13255</v>
      </c>
      <c r="P4470" s="44">
        <f t="shared" si="2441"/>
        <v>26510</v>
      </c>
      <c r="Q4470" s="44">
        <f t="shared" si="2442"/>
        <v>12625</v>
      </c>
      <c r="R4470" s="44">
        <f t="shared" si="2459"/>
        <v>25250</v>
      </c>
      <c r="S4470" s="123"/>
      <c r="T4470" s="219">
        <f t="shared" si="2460"/>
        <v>25250</v>
      </c>
      <c r="U4470" s="87"/>
      <c r="V4470" s="47"/>
      <c r="W4470" s="48"/>
      <c r="X4470" s="48"/>
      <c r="Y4470" s="48"/>
      <c r="Z4470" s="135"/>
      <c r="AA4470" s="49"/>
      <c r="AB4470" s="50">
        <f t="shared" si="2443"/>
        <v>12625</v>
      </c>
      <c r="AC4470" s="42">
        <f t="shared" si="2461"/>
        <v>2</v>
      </c>
      <c r="AD4470" s="90">
        <f>AD4471</f>
        <v>25250</v>
      </c>
      <c r="AE4470" s="188">
        <f t="shared" ref="AE4470" si="3309">AE4471</f>
        <v>0</v>
      </c>
      <c r="AF4470" s="189">
        <f t="shared" ref="AF4470" si="3310">AF4471</f>
        <v>0</v>
      </c>
      <c r="AG4470" s="189">
        <f t="shared" ref="AG4470" si="3311">AG4471</f>
        <v>0</v>
      </c>
      <c r="AH4470" s="189">
        <f t="shared" ref="AH4470" si="3312">AH4471</f>
        <v>0</v>
      </c>
      <c r="AI4470" s="161">
        <f t="shared" ref="AI4470:AI4475" si="3313">SUM(AE4470:AH4470)</f>
        <v>0</v>
      </c>
      <c r="AK4470" s="169">
        <v>5</v>
      </c>
      <c r="AO4470" s="19" t="s">
        <v>63</v>
      </c>
    </row>
    <row r="4471" spans="1:41" s="103" customFormat="1" ht="19.899999999999999" customHeight="1" x14ac:dyDescent="0.25">
      <c r="A4471" s="51"/>
      <c r="B4471" s="52"/>
      <c r="C4471" s="165"/>
      <c r="D4471" s="52"/>
      <c r="E4471" s="115"/>
      <c r="F4471" s="58"/>
      <c r="G4471" s="58"/>
      <c r="H4471" s="58"/>
      <c r="I4471" s="55"/>
      <c r="J4471" s="113">
        <f>J4470</f>
        <v>2</v>
      </c>
      <c r="K4471" s="212">
        <f>K4470</f>
        <v>2</v>
      </c>
      <c r="L4471" s="58"/>
      <c r="M4471" s="58">
        <f>K4471-L4471</f>
        <v>2</v>
      </c>
      <c r="N4471" s="166"/>
      <c r="O4471" s="58"/>
      <c r="P4471" s="58"/>
      <c r="Q4471" s="58"/>
      <c r="R4471" s="58"/>
      <c r="S4471" s="58"/>
      <c r="T4471" s="220"/>
      <c r="U4471" s="88"/>
      <c r="V4471" s="56"/>
      <c r="W4471" s="57" t="s">
        <v>1329</v>
      </c>
      <c r="X4471" s="53"/>
      <c r="Y4471" s="91" t="s">
        <v>35</v>
      </c>
      <c r="Z4471" s="136">
        <f>AD4471/AC4471</f>
        <v>12625</v>
      </c>
      <c r="AA4471" s="58"/>
      <c r="AB4471" s="53">
        <f>AD4471/AC4471</f>
        <v>12625</v>
      </c>
      <c r="AC4471" s="53">
        <f>M4471+$AE$10</f>
        <v>2</v>
      </c>
      <c r="AD4471" s="54">
        <f>SUM(AD4472:AD4474)</f>
        <v>25250</v>
      </c>
      <c r="AE4471" s="184">
        <f>SUMIFS($AD$37:$AD$12971,$V$37:$V$12971,$V4471,$X$37:$X$12971,AE$13)</f>
        <v>0</v>
      </c>
      <c r="AF4471" s="185">
        <f>SUMIFS($AD$37:$AD$12971,$V$37:$V$12971,$V4471,$X$37:$X$12971,AF$13)</f>
        <v>0</v>
      </c>
      <c r="AG4471" s="185">
        <f>SUMIFS($AD$37:$AD$12971,$V$37:$V$12971,$V4471,$X$37:$X$12971,AG$13)</f>
        <v>0</v>
      </c>
      <c r="AH4471" s="187">
        <f>SUMIFS($AD$37:$AD$12971,$V$37:$V$12971,$V4471,$X$37:$X$12971,AH$13)</f>
        <v>0</v>
      </c>
      <c r="AI4471" s="161">
        <f t="shared" si="3313"/>
        <v>0</v>
      </c>
      <c r="AK4471" s="172"/>
    </row>
    <row r="4472" spans="1:41" s="102" customFormat="1" ht="19.899999999999999" customHeight="1" x14ac:dyDescent="0.25">
      <c r="A4472" s="45"/>
      <c r="B4472" s="59"/>
      <c r="C4472" s="137"/>
      <c r="D4472" s="59"/>
      <c r="E4472" s="116"/>
      <c r="F4472" s="120"/>
      <c r="G4472" s="120"/>
      <c r="H4472" s="120"/>
      <c r="I4472" s="60"/>
      <c r="J4472" s="116"/>
      <c r="K4472" s="213"/>
      <c r="L4472" s="120"/>
      <c r="M4472" s="120"/>
      <c r="N4472" s="167"/>
      <c r="O4472" s="120"/>
      <c r="P4472" s="120"/>
      <c r="Q4472" s="120"/>
      <c r="R4472" s="120"/>
      <c r="S4472" s="120"/>
      <c r="T4472" s="221"/>
      <c r="U4472" s="89"/>
      <c r="V4472" s="61"/>
      <c r="W4472" s="92" t="s">
        <v>1481</v>
      </c>
      <c r="X4472" s="93" t="s">
        <v>30</v>
      </c>
      <c r="Y4472" s="93" t="s">
        <v>35</v>
      </c>
      <c r="Z4472" s="134">
        <f>VLOOKUP(W4472,Sheet2!$B:$D,3,FALSE)</f>
        <v>10150</v>
      </c>
      <c r="AA4472" s="93">
        <v>1</v>
      </c>
      <c r="AB4472" s="93">
        <f t="shared" ref="AB4472" si="3314">AD4472/AC4471</f>
        <v>10150</v>
      </c>
      <c r="AC4472" s="93">
        <f>AC4471/AA4472</f>
        <v>2</v>
      </c>
      <c r="AD4472" s="94">
        <f t="shared" ref="AD4472:AD4473" si="3315">AC4472*Z4472</f>
        <v>20300</v>
      </c>
      <c r="AE4472" s="190"/>
      <c r="AF4472" s="191"/>
      <c r="AG4472" s="191"/>
      <c r="AH4472" s="191"/>
      <c r="AI4472" s="186"/>
      <c r="AK4472" s="171"/>
    </row>
    <row r="4473" spans="1:41" s="102" customFormat="1" ht="19.899999999999999" customHeight="1" x14ac:dyDescent="0.25">
      <c r="A4473" s="45"/>
      <c r="B4473" s="59"/>
      <c r="C4473" s="137"/>
      <c r="D4473" s="59"/>
      <c r="E4473" s="116"/>
      <c r="F4473" s="120"/>
      <c r="G4473" s="120"/>
      <c r="H4473" s="120"/>
      <c r="I4473" s="60"/>
      <c r="J4473" s="116"/>
      <c r="K4473" s="213"/>
      <c r="L4473" s="120"/>
      <c r="M4473" s="120"/>
      <c r="N4473" s="167"/>
      <c r="O4473" s="120"/>
      <c r="P4473" s="120"/>
      <c r="Q4473" s="120"/>
      <c r="R4473" s="120"/>
      <c r="S4473" s="120"/>
      <c r="T4473" s="221"/>
      <c r="U4473" s="89"/>
      <c r="V4473" s="61"/>
      <c r="W4473" s="92" t="s">
        <v>1458</v>
      </c>
      <c r="X4473" s="93" t="s">
        <v>30</v>
      </c>
      <c r="Y4473" s="93" t="s">
        <v>35</v>
      </c>
      <c r="Z4473" s="134">
        <f>VLOOKUP(W4473,Sheet2!$B:$D,3,FALSE)</f>
        <v>975</v>
      </c>
      <c r="AA4473" s="93">
        <v>1</v>
      </c>
      <c r="AB4473" s="93">
        <f>AD4473/AC4471</f>
        <v>975</v>
      </c>
      <c r="AC4473" s="93">
        <f>AC4471/AA4473</f>
        <v>2</v>
      </c>
      <c r="AD4473" s="94">
        <f t="shared" si="3315"/>
        <v>1950</v>
      </c>
      <c r="AE4473" s="190"/>
      <c r="AF4473" s="191"/>
      <c r="AG4473" s="191"/>
      <c r="AH4473" s="191"/>
      <c r="AI4473" s="186"/>
      <c r="AK4473" s="171"/>
    </row>
    <row r="4474" spans="1:41" s="102" customFormat="1" ht="19.899999999999999" customHeight="1" x14ac:dyDescent="0.25">
      <c r="A4474" s="45"/>
      <c r="B4474" s="59"/>
      <c r="C4474" s="137"/>
      <c r="D4474" s="59"/>
      <c r="E4474" s="116"/>
      <c r="F4474" s="120"/>
      <c r="G4474" s="120"/>
      <c r="H4474" s="120"/>
      <c r="I4474" s="60"/>
      <c r="J4474" s="116"/>
      <c r="K4474" s="213"/>
      <c r="L4474" s="120"/>
      <c r="M4474" s="120"/>
      <c r="N4474" s="167"/>
      <c r="O4474" s="120"/>
      <c r="P4474" s="120"/>
      <c r="Q4474" s="120"/>
      <c r="R4474" s="120"/>
      <c r="S4474" s="120"/>
      <c r="T4474" s="221"/>
      <c r="U4474" s="89"/>
      <c r="V4474" s="61"/>
      <c r="W4474" s="92" t="s">
        <v>1459</v>
      </c>
      <c r="X4474" s="93" t="s">
        <v>32</v>
      </c>
      <c r="Y4474" s="93" t="s">
        <v>35</v>
      </c>
      <c r="Z4474" s="134">
        <f>VLOOKUP(W4474,Sheet2!$B:$D,3,FALSE)</f>
        <v>1500</v>
      </c>
      <c r="AA4474" s="93">
        <v>1</v>
      </c>
      <c r="AB4474" s="93">
        <f>AD4474/AC4471</f>
        <v>1500</v>
      </c>
      <c r="AC4474" s="93">
        <f>AC4471/AA4474</f>
        <v>2</v>
      </c>
      <c r="AD4474" s="94">
        <f>AC4474*Z4474</f>
        <v>3000</v>
      </c>
      <c r="AE4474" s="190"/>
      <c r="AF4474" s="191"/>
      <c r="AG4474" s="191"/>
      <c r="AH4474" s="191"/>
      <c r="AI4474" s="186"/>
      <c r="AK4474" s="171"/>
    </row>
    <row r="4475" spans="1:41" ht="20.100000000000001" customHeight="1" x14ac:dyDescent="0.25">
      <c r="A4475" s="277" t="s">
        <v>491</v>
      </c>
      <c r="B4475" s="278"/>
      <c r="C4475" s="64" t="s">
        <v>542</v>
      </c>
      <c r="D4475" s="46" t="s">
        <v>328</v>
      </c>
      <c r="E4475" s="114">
        <v>2</v>
      </c>
      <c r="F4475" s="44">
        <v>12236</v>
      </c>
      <c r="G4475" s="44">
        <f t="shared" si="2434"/>
        <v>24472</v>
      </c>
      <c r="H4475" s="44">
        <f t="shared" si="2435"/>
        <v>9971</v>
      </c>
      <c r="I4475" s="43">
        <f t="shared" si="2436"/>
        <v>19942</v>
      </c>
      <c r="J4475" s="112">
        <f t="shared" si="2437"/>
        <v>2</v>
      </c>
      <c r="K4475" s="211">
        <f t="shared" si="2438"/>
        <v>2</v>
      </c>
      <c r="L4475" s="44"/>
      <c r="M4475" s="44">
        <f t="shared" si="2458"/>
        <v>2</v>
      </c>
      <c r="N4475" s="173">
        <f t="shared" si="2439"/>
        <v>1</v>
      </c>
      <c r="O4475" s="44">
        <f t="shared" si="2440"/>
        <v>12236</v>
      </c>
      <c r="P4475" s="44">
        <f t="shared" si="2441"/>
        <v>24472</v>
      </c>
      <c r="Q4475" s="44">
        <f t="shared" si="2442"/>
        <v>9971</v>
      </c>
      <c r="R4475" s="44">
        <f t="shared" si="2459"/>
        <v>19942</v>
      </c>
      <c r="S4475" s="123"/>
      <c r="T4475" s="219">
        <f t="shared" si="2460"/>
        <v>19942</v>
      </c>
      <c r="U4475" s="87"/>
      <c r="V4475" s="47"/>
      <c r="W4475" s="48"/>
      <c r="X4475" s="48"/>
      <c r="Y4475" s="48"/>
      <c r="Z4475" s="135"/>
      <c r="AA4475" s="49"/>
      <c r="AB4475" s="50">
        <f t="shared" si="2443"/>
        <v>9971</v>
      </c>
      <c r="AC4475" s="42">
        <f t="shared" si="2461"/>
        <v>2</v>
      </c>
      <c r="AD4475" s="90">
        <f>AD4476</f>
        <v>19942</v>
      </c>
      <c r="AE4475" s="188">
        <f t="shared" ref="AE4475" si="3316">AE4476</f>
        <v>0</v>
      </c>
      <c r="AF4475" s="189">
        <f t="shared" ref="AF4475" si="3317">AF4476</f>
        <v>0</v>
      </c>
      <c r="AG4475" s="189">
        <f t="shared" ref="AG4475" si="3318">AG4476</f>
        <v>0</v>
      </c>
      <c r="AH4475" s="189">
        <f t="shared" ref="AH4475" si="3319">AH4476</f>
        <v>0</v>
      </c>
      <c r="AI4475" s="161">
        <f t="shared" si="3313"/>
        <v>0</v>
      </c>
      <c r="AK4475" s="169">
        <v>5</v>
      </c>
      <c r="AO4475" s="19" t="s">
        <v>63</v>
      </c>
    </row>
    <row r="4476" spans="1:41" s="103" customFormat="1" ht="19.899999999999999" customHeight="1" x14ac:dyDescent="0.25">
      <c r="A4476" s="51"/>
      <c r="B4476" s="52"/>
      <c r="C4476" s="165"/>
      <c r="D4476" s="52"/>
      <c r="E4476" s="115"/>
      <c r="F4476" s="58"/>
      <c r="G4476" s="58"/>
      <c r="H4476" s="58"/>
      <c r="I4476" s="55"/>
      <c r="J4476" s="113">
        <f>J4475</f>
        <v>2</v>
      </c>
      <c r="K4476" s="212">
        <f>K4475</f>
        <v>2</v>
      </c>
      <c r="L4476" s="58"/>
      <c r="M4476" s="58">
        <f>K4476-L4476</f>
        <v>2</v>
      </c>
      <c r="N4476" s="166"/>
      <c r="O4476" s="58"/>
      <c r="P4476" s="58"/>
      <c r="Q4476" s="58"/>
      <c r="R4476" s="58"/>
      <c r="S4476" s="58"/>
      <c r="T4476" s="220"/>
      <c r="U4476" s="88"/>
      <c r="V4476" s="56"/>
      <c r="W4476" s="57" t="s">
        <v>1329</v>
      </c>
      <c r="X4476" s="53"/>
      <c r="Y4476" s="91" t="s">
        <v>35</v>
      </c>
      <c r="Z4476" s="136">
        <f>AD4476/AC4476</f>
        <v>9971</v>
      </c>
      <c r="AA4476" s="58"/>
      <c r="AB4476" s="53">
        <f>AD4476/AC4476</f>
        <v>9971</v>
      </c>
      <c r="AC4476" s="53">
        <f>M4476+$AE$10</f>
        <v>2</v>
      </c>
      <c r="AD4476" s="54">
        <f>SUM(AD4477:AD4479)</f>
        <v>19942</v>
      </c>
      <c r="AE4476" s="184">
        <f>SUMIFS($AD$37:$AD$12971,$V$37:$V$12971,$V4476,$X$37:$X$12971,AE$13)</f>
        <v>0</v>
      </c>
      <c r="AF4476" s="185">
        <f>SUMIFS($AD$37:$AD$12971,$V$37:$V$12971,$V4476,$X$37:$X$12971,AF$13)</f>
        <v>0</v>
      </c>
      <c r="AG4476" s="185">
        <f>SUMIFS($AD$37:$AD$12971,$V$37:$V$12971,$V4476,$X$37:$X$12971,AG$13)</f>
        <v>0</v>
      </c>
      <c r="AH4476" s="187">
        <f>SUMIFS($AD$37:$AD$12971,$V$37:$V$12971,$V4476,$X$37:$X$12971,AH$13)</f>
        <v>0</v>
      </c>
      <c r="AI4476" s="161">
        <f t="shared" ref="AI4476" si="3320">SUM(AE4476:AH4476)</f>
        <v>0</v>
      </c>
      <c r="AK4476" s="172"/>
    </row>
    <row r="4477" spans="1:41" s="102" customFormat="1" ht="19.899999999999999" customHeight="1" x14ac:dyDescent="0.25">
      <c r="A4477" s="45"/>
      <c r="B4477" s="59"/>
      <c r="C4477" s="137"/>
      <c r="D4477" s="59"/>
      <c r="E4477" s="116"/>
      <c r="F4477" s="120"/>
      <c r="G4477" s="120"/>
      <c r="H4477" s="120"/>
      <c r="I4477" s="60"/>
      <c r="J4477" s="116"/>
      <c r="K4477" s="213"/>
      <c r="L4477" s="120"/>
      <c r="M4477" s="120"/>
      <c r="N4477" s="167"/>
      <c r="O4477" s="120"/>
      <c r="P4477" s="120"/>
      <c r="Q4477" s="120"/>
      <c r="R4477" s="120"/>
      <c r="S4477" s="120"/>
      <c r="T4477" s="221"/>
      <c r="U4477" s="89"/>
      <c r="V4477" s="61"/>
      <c r="W4477" s="92" t="s">
        <v>1480</v>
      </c>
      <c r="X4477" s="93" t="s">
        <v>30</v>
      </c>
      <c r="Y4477" s="93" t="s">
        <v>35</v>
      </c>
      <c r="Z4477" s="134">
        <f>VLOOKUP(W4477,Sheet2!$B:$D,3,FALSE)</f>
        <v>7750</v>
      </c>
      <c r="AA4477" s="93">
        <v>1</v>
      </c>
      <c r="AB4477" s="93">
        <f t="shared" ref="AB4477" si="3321">AD4477/AC4476</f>
        <v>7750</v>
      </c>
      <c r="AC4477" s="93">
        <f>AC4476/AA4477</f>
        <v>2</v>
      </c>
      <c r="AD4477" s="94">
        <f t="shared" ref="AD4477:AD4478" si="3322">AC4477*Z4477</f>
        <v>15500</v>
      </c>
      <c r="AE4477" s="190"/>
      <c r="AF4477" s="191"/>
      <c r="AG4477" s="191"/>
      <c r="AH4477" s="191"/>
      <c r="AI4477" s="186"/>
      <c r="AK4477" s="171"/>
    </row>
    <row r="4478" spans="1:41" s="102" customFormat="1" ht="19.899999999999999" customHeight="1" x14ac:dyDescent="0.25">
      <c r="A4478" s="45"/>
      <c r="B4478" s="59"/>
      <c r="C4478" s="137"/>
      <c r="D4478" s="59"/>
      <c r="E4478" s="116"/>
      <c r="F4478" s="120"/>
      <c r="G4478" s="120"/>
      <c r="H4478" s="120"/>
      <c r="I4478" s="60"/>
      <c r="J4478" s="116"/>
      <c r="K4478" s="213"/>
      <c r="L4478" s="120"/>
      <c r="M4478" s="120"/>
      <c r="N4478" s="167"/>
      <c r="O4478" s="120"/>
      <c r="P4478" s="120"/>
      <c r="Q4478" s="120"/>
      <c r="R4478" s="120"/>
      <c r="S4478" s="120"/>
      <c r="T4478" s="221"/>
      <c r="U4478" s="89"/>
      <c r="V4478" s="61"/>
      <c r="W4478" s="92" t="s">
        <v>1455</v>
      </c>
      <c r="X4478" s="93" t="s">
        <v>30</v>
      </c>
      <c r="Y4478" s="93" t="s">
        <v>35</v>
      </c>
      <c r="Z4478" s="134">
        <f>VLOOKUP(W4478,Sheet2!$B:$D,3,FALSE)</f>
        <v>721</v>
      </c>
      <c r="AA4478" s="93">
        <v>1</v>
      </c>
      <c r="AB4478" s="93">
        <f>AD4478/AC4476</f>
        <v>721</v>
      </c>
      <c r="AC4478" s="93">
        <f>AC4476/AA4478</f>
        <v>2</v>
      </c>
      <c r="AD4478" s="94">
        <f t="shared" si="3322"/>
        <v>1442</v>
      </c>
      <c r="AE4478" s="190"/>
      <c r="AF4478" s="191"/>
      <c r="AG4478" s="191"/>
      <c r="AH4478" s="191"/>
      <c r="AI4478" s="186"/>
      <c r="AK4478" s="171"/>
    </row>
    <row r="4479" spans="1:41" s="102" customFormat="1" ht="19.899999999999999" customHeight="1" x14ac:dyDescent="0.25">
      <c r="A4479" s="45"/>
      <c r="B4479" s="59"/>
      <c r="C4479" s="137"/>
      <c r="D4479" s="59"/>
      <c r="E4479" s="116"/>
      <c r="F4479" s="120"/>
      <c r="G4479" s="120"/>
      <c r="H4479" s="120"/>
      <c r="I4479" s="60"/>
      <c r="J4479" s="116"/>
      <c r="K4479" s="213"/>
      <c r="L4479" s="120"/>
      <c r="M4479" s="120"/>
      <c r="N4479" s="167"/>
      <c r="O4479" s="120"/>
      <c r="P4479" s="120"/>
      <c r="Q4479" s="120"/>
      <c r="R4479" s="120"/>
      <c r="S4479" s="120"/>
      <c r="T4479" s="221"/>
      <c r="U4479" s="89"/>
      <c r="V4479" s="61"/>
      <c r="W4479" s="92" t="s">
        <v>1456</v>
      </c>
      <c r="X4479" s="93" t="s">
        <v>32</v>
      </c>
      <c r="Y4479" s="93" t="s">
        <v>35</v>
      </c>
      <c r="Z4479" s="134">
        <f>VLOOKUP(W4479,Sheet2!$B:$D,3,FALSE)</f>
        <v>1500</v>
      </c>
      <c r="AA4479" s="93">
        <v>1</v>
      </c>
      <c r="AB4479" s="93">
        <f>AD4479/AC4476</f>
        <v>1500</v>
      </c>
      <c r="AC4479" s="93">
        <f>AC4476/AA4479</f>
        <v>2</v>
      </c>
      <c r="AD4479" s="94">
        <f>AC4479*Z4479</f>
        <v>3000</v>
      </c>
      <c r="AE4479" s="190"/>
      <c r="AF4479" s="191"/>
      <c r="AG4479" s="191"/>
      <c r="AH4479" s="191"/>
      <c r="AI4479" s="186"/>
      <c r="AK4479" s="171"/>
    </row>
    <row r="4480" spans="1:41" ht="20.100000000000001" customHeight="1" x14ac:dyDescent="0.25">
      <c r="A4480" s="277" t="s">
        <v>491</v>
      </c>
      <c r="B4480" s="278"/>
      <c r="C4480" s="64" t="s">
        <v>543</v>
      </c>
      <c r="D4480" s="46" t="s">
        <v>328</v>
      </c>
      <c r="E4480" s="114">
        <v>2</v>
      </c>
      <c r="F4480" s="44">
        <v>11556</v>
      </c>
      <c r="G4480" s="44">
        <f t="shared" si="2434"/>
        <v>23112</v>
      </c>
      <c r="H4480" s="44">
        <f t="shared" si="2435"/>
        <v>2190</v>
      </c>
      <c r="I4480" s="43">
        <f t="shared" si="2436"/>
        <v>4380</v>
      </c>
      <c r="J4480" s="112">
        <f t="shared" si="2437"/>
        <v>2</v>
      </c>
      <c r="K4480" s="211">
        <f t="shared" si="2438"/>
        <v>2</v>
      </c>
      <c r="L4480" s="44"/>
      <c r="M4480" s="44">
        <f t="shared" si="2458"/>
        <v>2</v>
      </c>
      <c r="N4480" s="173">
        <f t="shared" si="2439"/>
        <v>1</v>
      </c>
      <c r="O4480" s="44">
        <f t="shared" si="2440"/>
        <v>11556</v>
      </c>
      <c r="P4480" s="44">
        <f t="shared" si="2441"/>
        <v>23112</v>
      </c>
      <c r="Q4480" s="44">
        <f t="shared" si="2442"/>
        <v>2190</v>
      </c>
      <c r="R4480" s="44">
        <f t="shared" si="2459"/>
        <v>4380</v>
      </c>
      <c r="S4480" s="123"/>
      <c r="T4480" s="219">
        <f t="shared" si="2460"/>
        <v>4380</v>
      </c>
      <c r="U4480" s="87"/>
      <c r="V4480" s="47"/>
      <c r="W4480" s="48"/>
      <c r="X4480" s="48"/>
      <c r="Y4480" s="48"/>
      <c r="Z4480" s="135"/>
      <c r="AA4480" s="49"/>
      <c r="AB4480" s="50">
        <f t="shared" si="2443"/>
        <v>2190</v>
      </c>
      <c r="AC4480" s="42">
        <f t="shared" si="2461"/>
        <v>2</v>
      </c>
      <c r="AD4480" s="90">
        <f>AD4481</f>
        <v>4380</v>
      </c>
      <c r="AE4480" s="188">
        <f t="shared" ref="AE4480" si="3323">AE4481</f>
        <v>0</v>
      </c>
      <c r="AF4480" s="189">
        <f t="shared" ref="AF4480" si="3324">AF4481</f>
        <v>0</v>
      </c>
      <c r="AG4480" s="189">
        <f t="shared" ref="AG4480" si="3325">AG4481</f>
        <v>0</v>
      </c>
      <c r="AH4480" s="189">
        <f t="shared" ref="AH4480" si="3326">AH4481</f>
        <v>0</v>
      </c>
      <c r="AI4480" s="161">
        <f t="shared" ref="AI4480:AI4481" si="3327">SUM(AE4480:AH4480)</f>
        <v>0</v>
      </c>
      <c r="AK4480" s="169">
        <v>5</v>
      </c>
      <c r="AO4480" s="19" t="s">
        <v>63</v>
      </c>
    </row>
    <row r="4481" spans="1:41" s="103" customFormat="1" ht="19.899999999999999" customHeight="1" x14ac:dyDescent="0.25">
      <c r="A4481" s="51"/>
      <c r="B4481" s="52"/>
      <c r="C4481" s="165"/>
      <c r="D4481" s="52"/>
      <c r="E4481" s="115"/>
      <c r="F4481" s="58"/>
      <c r="G4481" s="58"/>
      <c r="H4481" s="58"/>
      <c r="I4481" s="55"/>
      <c r="J4481" s="113">
        <f>J4480</f>
        <v>2</v>
      </c>
      <c r="K4481" s="212">
        <f>K4480</f>
        <v>2</v>
      </c>
      <c r="L4481" s="58"/>
      <c r="M4481" s="58">
        <f>K4481-L4481</f>
        <v>2</v>
      </c>
      <c r="N4481" s="166"/>
      <c r="O4481" s="58"/>
      <c r="P4481" s="58"/>
      <c r="Q4481" s="58"/>
      <c r="R4481" s="58"/>
      <c r="S4481" s="58"/>
      <c r="T4481" s="220"/>
      <c r="U4481" s="88"/>
      <c r="V4481" s="56"/>
      <c r="W4481" s="57" t="s">
        <v>1329</v>
      </c>
      <c r="X4481" s="53"/>
      <c r="Y4481" s="91" t="s">
        <v>35</v>
      </c>
      <c r="Z4481" s="136">
        <f>AD4481/AC4481</f>
        <v>2190</v>
      </c>
      <c r="AA4481" s="58"/>
      <c r="AB4481" s="53">
        <f>AD4481/AC4481</f>
        <v>2190</v>
      </c>
      <c r="AC4481" s="53">
        <f>M4481+$AE$10</f>
        <v>2</v>
      </c>
      <c r="AD4481" s="54">
        <f>SUM(AD4482:AD4484)</f>
        <v>4380</v>
      </c>
      <c r="AE4481" s="184">
        <f>SUMIFS($AD$37:$AD$12971,$V$37:$V$12971,$V4481,$X$37:$X$12971,AE$13)</f>
        <v>0</v>
      </c>
      <c r="AF4481" s="185">
        <f>SUMIFS($AD$37:$AD$12971,$V$37:$V$12971,$V4481,$X$37:$X$12971,AF$13)</f>
        <v>0</v>
      </c>
      <c r="AG4481" s="185">
        <f>SUMIFS($AD$37:$AD$12971,$V$37:$V$12971,$V4481,$X$37:$X$12971,AG$13)</f>
        <v>0</v>
      </c>
      <c r="AH4481" s="187">
        <f>SUMIFS($AD$37:$AD$12971,$V$37:$V$12971,$V4481,$X$37:$X$12971,AH$13)</f>
        <v>0</v>
      </c>
      <c r="AI4481" s="161">
        <f t="shared" si="3327"/>
        <v>0</v>
      </c>
      <c r="AK4481" s="172"/>
    </row>
    <row r="4482" spans="1:41" s="102" customFormat="1" ht="19.899999999999999" customHeight="1" x14ac:dyDescent="0.25">
      <c r="A4482" s="45"/>
      <c r="B4482" s="59"/>
      <c r="C4482" s="137"/>
      <c r="D4482" s="59"/>
      <c r="E4482" s="116"/>
      <c r="F4482" s="120"/>
      <c r="G4482" s="120"/>
      <c r="H4482" s="120"/>
      <c r="I4482" s="60"/>
      <c r="J4482" s="116"/>
      <c r="K4482" s="213"/>
      <c r="L4482" s="120"/>
      <c r="M4482" s="120"/>
      <c r="N4482" s="167"/>
      <c r="O4482" s="120"/>
      <c r="P4482" s="120"/>
      <c r="Q4482" s="120"/>
      <c r="R4482" s="120"/>
      <c r="S4482" s="120"/>
      <c r="T4482" s="221"/>
      <c r="U4482" s="89"/>
      <c r="V4482" s="61"/>
      <c r="W4482" s="92" t="s">
        <v>1477</v>
      </c>
      <c r="X4482" s="93" t="s">
        <v>30</v>
      </c>
      <c r="Y4482" s="93" t="s">
        <v>35</v>
      </c>
      <c r="Z4482" s="134">
        <f>VLOOKUP(W4482,Sheet2!$B:$D,3,FALSE)</f>
        <v>1870</v>
      </c>
      <c r="AA4482" s="93">
        <v>1</v>
      </c>
      <c r="AB4482" s="93">
        <f t="shared" ref="AB4482" si="3328">AD4482/AC4481</f>
        <v>1870</v>
      </c>
      <c r="AC4482" s="93">
        <f>AC4481/AA4482</f>
        <v>2</v>
      </c>
      <c r="AD4482" s="94">
        <f t="shared" ref="AD4482:AD4483" si="3329">AC4482*Z4482</f>
        <v>3740</v>
      </c>
      <c r="AE4482" s="190"/>
      <c r="AF4482" s="191"/>
      <c r="AG4482" s="191"/>
      <c r="AH4482" s="191"/>
      <c r="AI4482" s="186"/>
      <c r="AK4482" s="171"/>
    </row>
    <row r="4483" spans="1:41" s="102" customFormat="1" ht="19.899999999999999" customHeight="1" x14ac:dyDescent="0.25">
      <c r="A4483" s="45"/>
      <c r="B4483" s="59"/>
      <c r="C4483" s="137"/>
      <c r="D4483" s="59"/>
      <c r="E4483" s="116"/>
      <c r="F4483" s="120"/>
      <c r="G4483" s="120"/>
      <c r="H4483" s="120"/>
      <c r="I4483" s="60"/>
      <c r="J4483" s="116"/>
      <c r="K4483" s="213"/>
      <c r="L4483" s="120"/>
      <c r="M4483" s="120"/>
      <c r="N4483" s="167"/>
      <c r="O4483" s="120"/>
      <c r="P4483" s="120"/>
      <c r="Q4483" s="120"/>
      <c r="R4483" s="120"/>
      <c r="S4483" s="120"/>
      <c r="T4483" s="221"/>
      <c r="U4483" s="89"/>
      <c r="V4483" s="61"/>
      <c r="W4483" s="92" t="s">
        <v>1344</v>
      </c>
      <c r="X4483" s="93" t="s">
        <v>30</v>
      </c>
      <c r="Y4483" s="93" t="s">
        <v>35</v>
      </c>
      <c r="Z4483" s="134">
        <f>VLOOKUP(W4483,Sheet2!$B:$D,3,FALSE)</f>
        <v>170</v>
      </c>
      <c r="AA4483" s="93">
        <v>1</v>
      </c>
      <c r="AB4483" s="93">
        <f>AD4483/AC4481</f>
        <v>170</v>
      </c>
      <c r="AC4483" s="93">
        <f>AC4481/AA4483</f>
        <v>2</v>
      </c>
      <c r="AD4483" s="94">
        <f t="shared" si="3329"/>
        <v>340</v>
      </c>
      <c r="AE4483" s="190"/>
      <c r="AF4483" s="191"/>
      <c r="AG4483" s="191"/>
      <c r="AH4483" s="191"/>
      <c r="AI4483" s="186"/>
      <c r="AK4483" s="171"/>
    </row>
    <row r="4484" spans="1:41" s="102" customFormat="1" ht="19.899999999999999" customHeight="1" x14ac:dyDescent="0.25">
      <c r="A4484" s="45"/>
      <c r="B4484" s="59"/>
      <c r="C4484" s="137"/>
      <c r="D4484" s="59"/>
      <c r="E4484" s="116"/>
      <c r="F4484" s="120"/>
      <c r="G4484" s="120"/>
      <c r="H4484" s="120"/>
      <c r="I4484" s="60"/>
      <c r="J4484" s="116"/>
      <c r="K4484" s="213"/>
      <c r="L4484" s="120"/>
      <c r="M4484" s="120"/>
      <c r="N4484" s="167"/>
      <c r="O4484" s="120"/>
      <c r="P4484" s="120"/>
      <c r="Q4484" s="120"/>
      <c r="R4484" s="120"/>
      <c r="S4484" s="120"/>
      <c r="T4484" s="221"/>
      <c r="U4484" s="89"/>
      <c r="V4484" s="61"/>
      <c r="W4484" s="92" t="s">
        <v>1333</v>
      </c>
      <c r="X4484" s="93" t="s">
        <v>32</v>
      </c>
      <c r="Y4484" s="93" t="s">
        <v>35</v>
      </c>
      <c r="Z4484" s="134">
        <f>VLOOKUP(W4484,Sheet2!$B:$D,3,FALSE)</f>
        <v>150</v>
      </c>
      <c r="AA4484" s="93">
        <v>1</v>
      </c>
      <c r="AB4484" s="93">
        <f>AD4484/AC4481</f>
        <v>150</v>
      </c>
      <c r="AC4484" s="93">
        <f>AC4481/AA4484</f>
        <v>2</v>
      </c>
      <c r="AD4484" s="94">
        <f>AC4484*Z4484</f>
        <v>300</v>
      </c>
      <c r="AE4484" s="190"/>
      <c r="AF4484" s="191"/>
      <c r="AG4484" s="191"/>
      <c r="AH4484" s="191"/>
      <c r="AI4484" s="186"/>
      <c r="AK4484" s="171"/>
    </row>
    <row r="4485" spans="1:41" ht="20.100000000000001" customHeight="1" x14ac:dyDescent="0.25">
      <c r="A4485" s="277" t="s">
        <v>491</v>
      </c>
      <c r="B4485" s="278"/>
      <c r="C4485" s="64" t="s">
        <v>544</v>
      </c>
      <c r="D4485" s="46" t="s">
        <v>328</v>
      </c>
      <c r="E4485" s="114"/>
      <c r="F4485" s="44"/>
      <c r="G4485" s="44">
        <f t="shared" si="2434"/>
        <v>0</v>
      </c>
      <c r="H4485" s="44">
        <f t="shared" si="2435"/>
        <v>0</v>
      </c>
      <c r="I4485" s="43">
        <f t="shared" si="2436"/>
        <v>0</v>
      </c>
      <c r="J4485" s="112">
        <f t="shared" si="2437"/>
        <v>0</v>
      </c>
      <c r="K4485" s="211">
        <f t="shared" si="2438"/>
        <v>0</v>
      </c>
      <c r="L4485" s="44"/>
      <c r="M4485" s="44">
        <f t="shared" si="2458"/>
        <v>0</v>
      </c>
      <c r="N4485" s="173">
        <f t="shared" si="2439"/>
        <v>0</v>
      </c>
      <c r="O4485" s="44">
        <f t="shared" si="2440"/>
        <v>0</v>
      </c>
      <c r="P4485" s="44">
        <f t="shared" si="2441"/>
        <v>0</v>
      </c>
      <c r="Q4485" s="44">
        <f t="shared" si="2442"/>
        <v>0</v>
      </c>
      <c r="R4485" s="44">
        <f t="shared" si="2459"/>
        <v>0</v>
      </c>
      <c r="S4485" s="123"/>
      <c r="T4485" s="219">
        <f t="shared" si="2460"/>
        <v>0</v>
      </c>
      <c r="U4485" s="87"/>
      <c r="V4485" s="47"/>
      <c r="W4485" s="48"/>
      <c r="X4485" s="48"/>
      <c r="Y4485" s="48"/>
      <c r="Z4485" s="135"/>
      <c r="AA4485" s="49"/>
      <c r="AB4485" s="50">
        <f t="shared" si="2443"/>
        <v>0</v>
      </c>
      <c r="AC4485" s="42">
        <f t="shared" si="2461"/>
        <v>9.9999999999999998E-20</v>
      </c>
      <c r="AD4485" s="90"/>
      <c r="AE4485" s="188"/>
      <c r="AF4485" s="189"/>
      <c r="AG4485" s="189"/>
      <c r="AH4485" s="189"/>
      <c r="AI4485" s="161"/>
    </row>
    <row r="4486" spans="1:41" ht="20.100000000000001" customHeight="1" x14ac:dyDescent="0.25">
      <c r="A4486" s="277" t="s">
        <v>491</v>
      </c>
      <c r="B4486" s="278"/>
      <c r="C4486" s="64" t="s">
        <v>545</v>
      </c>
      <c r="D4486" s="46" t="s">
        <v>328</v>
      </c>
      <c r="E4486" s="114">
        <v>2</v>
      </c>
      <c r="F4486" s="44">
        <v>11046</v>
      </c>
      <c r="G4486" s="44">
        <f t="shared" si="2434"/>
        <v>22092</v>
      </c>
      <c r="H4486" s="44">
        <f t="shared" si="2435"/>
        <v>2530</v>
      </c>
      <c r="I4486" s="43">
        <f t="shared" si="2436"/>
        <v>5060</v>
      </c>
      <c r="J4486" s="112">
        <f t="shared" si="2437"/>
        <v>2</v>
      </c>
      <c r="K4486" s="211">
        <f t="shared" si="2438"/>
        <v>2</v>
      </c>
      <c r="L4486" s="44"/>
      <c r="M4486" s="44">
        <f t="shared" si="2458"/>
        <v>2</v>
      </c>
      <c r="N4486" s="173">
        <f t="shared" si="2439"/>
        <v>1</v>
      </c>
      <c r="O4486" s="44">
        <f t="shared" si="2440"/>
        <v>11046</v>
      </c>
      <c r="P4486" s="44">
        <f t="shared" si="2441"/>
        <v>22092</v>
      </c>
      <c r="Q4486" s="44">
        <f t="shared" si="2442"/>
        <v>2530</v>
      </c>
      <c r="R4486" s="44">
        <f t="shared" si="2459"/>
        <v>5060</v>
      </c>
      <c r="S4486" s="123"/>
      <c r="T4486" s="219">
        <f t="shared" si="2460"/>
        <v>5060</v>
      </c>
      <c r="U4486" s="87"/>
      <c r="V4486" s="47"/>
      <c r="W4486" s="48"/>
      <c r="X4486" s="48"/>
      <c r="Y4486" s="48"/>
      <c r="Z4486" s="135"/>
      <c r="AA4486" s="49"/>
      <c r="AB4486" s="50">
        <f t="shared" si="2443"/>
        <v>2530</v>
      </c>
      <c r="AC4486" s="42">
        <f t="shared" si="2461"/>
        <v>2</v>
      </c>
      <c r="AD4486" s="90">
        <f>AD4487</f>
        <v>5060</v>
      </c>
      <c r="AE4486" s="188">
        <f t="shared" ref="AE4486" si="3330">AE4487</f>
        <v>0</v>
      </c>
      <c r="AF4486" s="189">
        <f t="shared" ref="AF4486" si="3331">AF4487</f>
        <v>0</v>
      </c>
      <c r="AG4486" s="189">
        <f t="shared" ref="AG4486" si="3332">AG4487</f>
        <v>0</v>
      </c>
      <c r="AH4486" s="189">
        <f t="shared" ref="AH4486" si="3333">AH4487</f>
        <v>0</v>
      </c>
      <c r="AI4486" s="161">
        <f t="shared" ref="AI4486:AI4487" si="3334">SUM(AE4486:AH4486)</f>
        <v>0</v>
      </c>
      <c r="AK4486" s="169">
        <v>5</v>
      </c>
      <c r="AO4486" s="19" t="s">
        <v>63</v>
      </c>
    </row>
    <row r="4487" spans="1:41" s="103" customFormat="1" ht="19.899999999999999" customHeight="1" x14ac:dyDescent="0.25">
      <c r="A4487" s="51"/>
      <c r="B4487" s="52"/>
      <c r="C4487" s="165"/>
      <c r="D4487" s="52"/>
      <c r="E4487" s="115"/>
      <c r="F4487" s="58"/>
      <c r="G4487" s="58"/>
      <c r="H4487" s="58"/>
      <c r="I4487" s="55"/>
      <c r="J4487" s="113">
        <f>J4486</f>
        <v>2</v>
      </c>
      <c r="K4487" s="212">
        <f>K4486</f>
        <v>2</v>
      </c>
      <c r="L4487" s="58"/>
      <c r="M4487" s="58">
        <f>K4487-L4487</f>
        <v>2</v>
      </c>
      <c r="N4487" s="166"/>
      <c r="O4487" s="58"/>
      <c r="P4487" s="58"/>
      <c r="Q4487" s="58"/>
      <c r="R4487" s="58"/>
      <c r="S4487" s="58"/>
      <c r="T4487" s="220"/>
      <c r="U4487" s="88"/>
      <c r="V4487" s="56"/>
      <c r="W4487" s="57" t="s">
        <v>1329</v>
      </c>
      <c r="X4487" s="53"/>
      <c r="Y4487" s="91" t="s">
        <v>35</v>
      </c>
      <c r="Z4487" s="136">
        <f>AD4487/AC4487</f>
        <v>2530</v>
      </c>
      <c r="AA4487" s="58"/>
      <c r="AB4487" s="53">
        <f>AD4487/AC4487</f>
        <v>2530</v>
      </c>
      <c r="AC4487" s="53">
        <f>M4487+$AE$10</f>
        <v>2</v>
      </c>
      <c r="AD4487" s="54">
        <f>SUM(AD4488:AD4490)</f>
        <v>5060</v>
      </c>
      <c r="AE4487" s="184">
        <f>SUMIFS($AD$37:$AD$12971,$V$37:$V$12971,$V4487,$X$37:$X$12971,AE$13)</f>
        <v>0</v>
      </c>
      <c r="AF4487" s="185">
        <f>SUMIFS($AD$37:$AD$12971,$V$37:$V$12971,$V4487,$X$37:$X$12971,AF$13)</f>
        <v>0</v>
      </c>
      <c r="AG4487" s="185">
        <f>SUMIFS($AD$37:$AD$12971,$V$37:$V$12971,$V4487,$X$37:$X$12971,AG$13)</f>
        <v>0</v>
      </c>
      <c r="AH4487" s="187">
        <f>SUMIFS($AD$37:$AD$12971,$V$37:$V$12971,$V4487,$X$37:$X$12971,AH$13)</f>
        <v>0</v>
      </c>
      <c r="AI4487" s="161">
        <f t="shared" si="3334"/>
        <v>0</v>
      </c>
      <c r="AK4487" s="172"/>
    </row>
    <row r="4488" spans="1:41" s="102" customFormat="1" ht="19.899999999999999" customHeight="1" x14ac:dyDescent="0.25">
      <c r="A4488" s="45"/>
      <c r="B4488" s="59"/>
      <c r="C4488" s="137"/>
      <c r="D4488" s="59"/>
      <c r="E4488" s="116"/>
      <c r="F4488" s="120"/>
      <c r="G4488" s="120"/>
      <c r="H4488" s="120"/>
      <c r="I4488" s="60"/>
      <c r="J4488" s="116"/>
      <c r="K4488" s="213"/>
      <c r="L4488" s="120"/>
      <c r="M4488" s="120"/>
      <c r="N4488" s="167"/>
      <c r="O4488" s="120"/>
      <c r="P4488" s="120"/>
      <c r="Q4488" s="120"/>
      <c r="R4488" s="120"/>
      <c r="S4488" s="120"/>
      <c r="T4488" s="221"/>
      <c r="U4488" s="89"/>
      <c r="V4488" s="61"/>
      <c r="W4488" s="92" t="s">
        <v>1478</v>
      </c>
      <c r="X4488" s="93" t="s">
        <v>30</v>
      </c>
      <c r="Y4488" s="93" t="s">
        <v>35</v>
      </c>
      <c r="Z4488" s="134">
        <f>VLOOKUP(W4488,Sheet2!$B:$D,3,FALSE)</f>
        <v>2160</v>
      </c>
      <c r="AA4488" s="93">
        <v>1</v>
      </c>
      <c r="AB4488" s="93">
        <f t="shared" ref="AB4488" si="3335">AD4488/AC4487</f>
        <v>2160</v>
      </c>
      <c r="AC4488" s="93">
        <f>AC4487/AA4488</f>
        <v>2</v>
      </c>
      <c r="AD4488" s="94">
        <f t="shared" ref="AD4488:AD4489" si="3336">AC4488*Z4488</f>
        <v>4320</v>
      </c>
      <c r="AE4488" s="190"/>
      <c r="AF4488" s="191"/>
      <c r="AG4488" s="191"/>
      <c r="AH4488" s="191"/>
      <c r="AI4488" s="186"/>
      <c r="AK4488" s="171"/>
    </row>
    <row r="4489" spans="1:41" s="102" customFormat="1" ht="19.899999999999999" customHeight="1" x14ac:dyDescent="0.25">
      <c r="A4489" s="45"/>
      <c r="B4489" s="59"/>
      <c r="C4489" s="137"/>
      <c r="D4489" s="59"/>
      <c r="E4489" s="116"/>
      <c r="F4489" s="120"/>
      <c r="G4489" s="120"/>
      <c r="H4489" s="120"/>
      <c r="I4489" s="60"/>
      <c r="J4489" s="116"/>
      <c r="K4489" s="213"/>
      <c r="L4489" s="120"/>
      <c r="M4489" s="120"/>
      <c r="N4489" s="167"/>
      <c r="O4489" s="120"/>
      <c r="P4489" s="120"/>
      <c r="Q4489" s="120"/>
      <c r="R4489" s="120"/>
      <c r="S4489" s="120"/>
      <c r="T4489" s="221"/>
      <c r="U4489" s="89"/>
      <c r="V4489" s="61"/>
      <c r="W4489" s="92" t="s">
        <v>1452</v>
      </c>
      <c r="X4489" s="93" t="s">
        <v>30</v>
      </c>
      <c r="Y4489" s="93" t="s">
        <v>35</v>
      </c>
      <c r="Z4489" s="134">
        <f>VLOOKUP(W4489,Sheet2!$B:$D,3,FALSE)</f>
        <v>170</v>
      </c>
      <c r="AA4489" s="93">
        <v>1</v>
      </c>
      <c r="AB4489" s="93">
        <f>AD4489/AC4487</f>
        <v>170</v>
      </c>
      <c r="AC4489" s="93">
        <f>AC4487/AA4489</f>
        <v>2</v>
      </c>
      <c r="AD4489" s="94">
        <f t="shared" si="3336"/>
        <v>340</v>
      </c>
      <c r="AE4489" s="190"/>
      <c r="AF4489" s="191"/>
      <c r="AG4489" s="191"/>
      <c r="AH4489" s="191"/>
      <c r="AI4489" s="186"/>
      <c r="AK4489" s="171"/>
    </row>
    <row r="4490" spans="1:41" s="102" customFormat="1" ht="19.899999999999999" customHeight="1" x14ac:dyDescent="0.25">
      <c r="A4490" s="45"/>
      <c r="B4490" s="59"/>
      <c r="C4490" s="137"/>
      <c r="D4490" s="59"/>
      <c r="E4490" s="116"/>
      <c r="F4490" s="120"/>
      <c r="G4490" s="120"/>
      <c r="H4490" s="120"/>
      <c r="I4490" s="60"/>
      <c r="J4490" s="116"/>
      <c r="K4490" s="213"/>
      <c r="L4490" s="120"/>
      <c r="M4490" s="120"/>
      <c r="N4490" s="167"/>
      <c r="O4490" s="120"/>
      <c r="P4490" s="120"/>
      <c r="Q4490" s="120"/>
      <c r="R4490" s="120"/>
      <c r="S4490" s="120"/>
      <c r="T4490" s="221"/>
      <c r="U4490" s="89"/>
      <c r="V4490" s="61"/>
      <c r="W4490" s="92" t="s">
        <v>1453</v>
      </c>
      <c r="X4490" s="93" t="s">
        <v>32</v>
      </c>
      <c r="Y4490" s="93" t="s">
        <v>35</v>
      </c>
      <c r="Z4490" s="134">
        <f>VLOOKUP(W4490,Sheet2!$B:$D,3,FALSE)</f>
        <v>200</v>
      </c>
      <c r="AA4490" s="93">
        <v>1</v>
      </c>
      <c r="AB4490" s="93">
        <f>AD4490/AC4487</f>
        <v>200</v>
      </c>
      <c r="AC4490" s="93">
        <f>AC4487/AA4490</f>
        <v>2</v>
      </c>
      <c r="AD4490" s="94">
        <f>AC4490*Z4490</f>
        <v>400</v>
      </c>
      <c r="AE4490" s="190"/>
      <c r="AF4490" s="191"/>
      <c r="AG4490" s="191"/>
      <c r="AH4490" s="191"/>
      <c r="AI4490" s="186"/>
      <c r="AK4490" s="171"/>
    </row>
    <row r="4491" spans="1:41" ht="20.100000000000001" customHeight="1" x14ac:dyDescent="0.25">
      <c r="A4491" s="277" t="s">
        <v>491</v>
      </c>
      <c r="B4491" s="278"/>
      <c r="C4491" s="64" t="s">
        <v>546</v>
      </c>
      <c r="D4491" s="46" t="s">
        <v>328</v>
      </c>
      <c r="E4491" s="114"/>
      <c r="F4491" s="44"/>
      <c r="G4491" s="44">
        <f t="shared" si="2434"/>
        <v>0</v>
      </c>
      <c r="H4491" s="44">
        <f t="shared" si="2435"/>
        <v>0</v>
      </c>
      <c r="I4491" s="43">
        <f t="shared" si="2436"/>
        <v>0</v>
      </c>
      <c r="J4491" s="112">
        <f t="shared" si="2437"/>
        <v>0</v>
      </c>
      <c r="K4491" s="211">
        <f t="shared" si="2438"/>
        <v>0</v>
      </c>
      <c r="L4491" s="44"/>
      <c r="M4491" s="44">
        <f t="shared" si="2458"/>
        <v>0</v>
      </c>
      <c r="N4491" s="173">
        <f t="shared" si="2439"/>
        <v>0</v>
      </c>
      <c r="O4491" s="44">
        <f t="shared" si="2440"/>
        <v>0</v>
      </c>
      <c r="P4491" s="44">
        <f t="shared" si="2441"/>
        <v>0</v>
      </c>
      <c r="Q4491" s="44">
        <f t="shared" si="2442"/>
        <v>0</v>
      </c>
      <c r="R4491" s="44">
        <f t="shared" si="2459"/>
        <v>0</v>
      </c>
      <c r="S4491" s="123"/>
      <c r="T4491" s="219">
        <f t="shared" si="2460"/>
        <v>0</v>
      </c>
      <c r="U4491" s="87"/>
      <c r="V4491" s="47"/>
      <c r="W4491" s="48"/>
      <c r="X4491" s="48"/>
      <c r="Y4491" s="48"/>
      <c r="Z4491" s="135"/>
      <c r="AA4491" s="49"/>
      <c r="AB4491" s="50">
        <f t="shared" si="2443"/>
        <v>0</v>
      </c>
      <c r="AC4491" s="42">
        <f t="shared" si="2461"/>
        <v>9.9999999999999998E-20</v>
      </c>
      <c r="AD4491" s="90"/>
      <c r="AE4491" s="188"/>
      <c r="AF4491" s="189"/>
      <c r="AG4491" s="189"/>
      <c r="AH4491" s="189"/>
      <c r="AI4491" s="161"/>
    </row>
    <row r="4492" spans="1:41" s="102" customFormat="1" ht="20.100000000000001" customHeight="1" x14ac:dyDescent="0.25">
      <c r="A4492" s="45" t="s">
        <v>491</v>
      </c>
      <c r="B4492" s="276"/>
      <c r="C4492" s="285" t="s">
        <v>547</v>
      </c>
      <c r="D4492" s="59"/>
      <c r="E4492" s="116"/>
      <c r="F4492" s="120"/>
      <c r="G4492" s="120">
        <f t="shared" si="2434"/>
        <v>0</v>
      </c>
      <c r="H4492" s="120">
        <f t="shared" si="2435"/>
        <v>0</v>
      </c>
      <c r="I4492" s="60">
        <f t="shared" si="2436"/>
        <v>0</v>
      </c>
      <c r="J4492" s="116">
        <f t="shared" si="2437"/>
        <v>0</v>
      </c>
      <c r="K4492" s="213">
        <f t="shared" si="2438"/>
        <v>0</v>
      </c>
      <c r="L4492" s="120"/>
      <c r="M4492" s="120">
        <f t="shared" si="2458"/>
        <v>0</v>
      </c>
      <c r="N4492" s="167">
        <f t="shared" si="2439"/>
        <v>0</v>
      </c>
      <c r="O4492" s="120">
        <f t="shared" si="2440"/>
        <v>0</v>
      </c>
      <c r="P4492" s="120">
        <f t="shared" si="2441"/>
        <v>0</v>
      </c>
      <c r="Q4492" s="120">
        <f t="shared" si="2442"/>
        <v>0</v>
      </c>
      <c r="R4492" s="120">
        <f t="shared" si="2459"/>
        <v>0</v>
      </c>
      <c r="S4492" s="120"/>
      <c r="T4492" s="221">
        <f t="shared" si="2460"/>
        <v>0</v>
      </c>
      <c r="U4492" s="89"/>
      <c r="V4492" s="61"/>
      <c r="W4492" s="92"/>
      <c r="X4492" s="38"/>
      <c r="Y4492" s="93"/>
      <c r="Z4492" s="134"/>
      <c r="AA4492" s="93"/>
      <c r="AB4492" s="93">
        <f t="shared" si="2443"/>
        <v>0</v>
      </c>
      <c r="AC4492" s="93">
        <f t="shared" si="2461"/>
        <v>9.9999999999999998E-20</v>
      </c>
      <c r="AD4492" s="94"/>
      <c r="AE4492" s="190"/>
      <c r="AF4492" s="191"/>
      <c r="AG4492" s="191"/>
      <c r="AH4492" s="191"/>
      <c r="AI4492" s="186"/>
      <c r="AK4492" s="171"/>
    </row>
    <row r="4493" spans="1:41" s="102" customFormat="1" ht="20.100000000000001" customHeight="1" x14ac:dyDescent="0.25">
      <c r="A4493" s="45" t="s">
        <v>491</v>
      </c>
      <c r="B4493" s="276"/>
      <c r="C4493" s="285" t="s">
        <v>548</v>
      </c>
      <c r="D4493" s="59"/>
      <c r="E4493" s="116"/>
      <c r="F4493" s="120"/>
      <c r="G4493" s="120">
        <f t="shared" si="2434"/>
        <v>0</v>
      </c>
      <c r="H4493" s="120">
        <f t="shared" si="2435"/>
        <v>0</v>
      </c>
      <c r="I4493" s="60">
        <f t="shared" si="2436"/>
        <v>0</v>
      </c>
      <c r="J4493" s="116">
        <f t="shared" si="2437"/>
        <v>0</v>
      </c>
      <c r="K4493" s="213">
        <f t="shared" si="2438"/>
        <v>0</v>
      </c>
      <c r="L4493" s="120"/>
      <c r="M4493" s="120">
        <f t="shared" si="2458"/>
        <v>0</v>
      </c>
      <c r="N4493" s="167">
        <f t="shared" si="2439"/>
        <v>0</v>
      </c>
      <c r="O4493" s="120">
        <f t="shared" si="2440"/>
        <v>0</v>
      </c>
      <c r="P4493" s="120">
        <f t="shared" si="2441"/>
        <v>0</v>
      </c>
      <c r="Q4493" s="120">
        <f t="shared" si="2442"/>
        <v>0</v>
      </c>
      <c r="R4493" s="120">
        <f t="shared" si="2459"/>
        <v>0</v>
      </c>
      <c r="S4493" s="120"/>
      <c r="T4493" s="221">
        <f t="shared" si="2460"/>
        <v>0</v>
      </c>
      <c r="U4493" s="89"/>
      <c r="V4493" s="61"/>
      <c r="W4493" s="92"/>
      <c r="X4493" s="38"/>
      <c r="Y4493" s="93"/>
      <c r="Z4493" s="134"/>
      <c r="AA4493" s="93"/>
      <c r="AB4493" s="93">
        <f t="shared" si="2443"/>
        <v>0</v>
      </c>
      <c r="AC4493" s="93">
        <f t="shared" si="2461"/>
        <v>9.9999999999999998E-20</v>
      </c>
      <c r="AD4493" s="94"/>
      <c r="AE4493" s="190"/>
      <c r="AF4493" s="191"/>
      <c r="AG4493" s="191"/>
      <c r="AH4493" s="191"/>
      <c r="AI4493" s="186"/>
      <c r="AK4493" s="171"/>
    </row>
    <row r="4494" spans="1:41" s="102" customFormat="1" ht="126" x14ac:dyDescent="0.25">
      <c r="A4494" s="45" t="s">
        <v>491</v>
      </c>
      <c r="B4494" s="276"/>
      <c r="C4494" s="285" t="s">
        <v>549</v>
      </c>
      <c r="D4494" s="59"/>
      <c r="E4494" s="116"/>
      <c r="F4494" s="120"/>
      <c r="G4494" s="120">
        <f t="shared" si="2434"/>
        <v>0</v>
      </c>
      <c r="H4494" s="120">
        <f t="shared" si="2435"/>
        <v>0</v>
      </c>
      <c r="I4494" s="60">
        <f t="shared" si="2436"/>
        <v>0</v>
      </c>
      <c r="J4494" s="116">
        <f t="shared" si="2437"/>
        <v>0</v>
      </c>
      <c r="K4494" s="213">
        <f t="shared" si="2438"/>
        <v>0</v>
      </c>
      <c r="L4494" s="120"/>
      <c r="M4494" s="120">
        <f t="shared" si="2458"/>
        <v>0</v>
      </c>
      <c r="N4494" s="167">
        <f t="shared" si="2439"/>
        <v>0</v>
      </c>
      <c r="O4494" s="120">
        <f t="shared" si="2440"/>
        <v>0</v>
      </c>
      <c r="P4494" s="120">
        <f t="shared" si="2441"/>
        <v>0</v>
      </c>
      <c r="Q4494" s="120">
        <f t="shared" si="2442"/>
        <v>0</v>
      </c>
      <c r="R4494" s="120">
        <f t="shared" si="2459"/>
        <v>0</v>
      </c>
      <c r="S4494" s="120"/>
      <c r="T4494" s="221">
        <f t="shared" si="2460"/>
        <v>0</v>
      </c>
      <c r="U4494" s="89"/>
      <c r="V4494" s="61"/>
      <c r="W4494" s="92"/>
      <c r="X4494" s="38"/>
      <c r="Y4494" s="93"/>
      <c r="Z4494" s="134"/>
      <c r="AA4494" s="93"/>
      <c r="AB4494" s="93">
        <f t="shared" si="2443"/>
        <v>0</v>
      </c>
      <c r="AC4494" s="93">
        <f t="shared" si="2461"/>
        <v>9.9999999999999998E-20</v>
      </c>
      <c r="AD4494" s="94"/>
      <c r="AE4494" s="190"/>
      <c r="AF4494" s="191"/>
      <c r="AG4494" s="191"/>
      <c r="AH4494" s="191"/>
      <c r="AI4494" s="186"/>
      <c r="AK4494" s="171"/>
    </row>
    <row r="4495" spans="1:41" ht="20.100000000000001" customHeight="1" x14ac:dyDescent="0.25">
      <c r="A4495" s="277" t="s">
        <v>491</v>
      </c>
      <c r="B4495" s="278"/>
      <c r="C4495" s="64" t="s">
        <v>550</v>
      </c>
      <c r="D4495" s="46" t="s">
        <v>328</v>
      </c>
      <c r="E4495" s="114">
        <v>0.19999999999999996</v>
      </c>
      <c r="F4495" s="44">
        <v>33107</v>
      </c>
      <c r="G4495" s="44">
        <f t="shared" si="2434"/>
        <v>6621.3999999999987</v>
      </c>
      <c r="H4495" s="44">
        <f t="shared" si="2435"/>
        <v>12286.179576470586</v>
      </c>
      <c r="I4495" s="43">
        <f t="shared" si="2436"/>
        <v>2457.2359152941167</v>
      </c>
      <c r="J4495" s="112">
        <f t="shared" si="2437"/>
        <v>0.19999999999999996</v>
      </c>
      <c r="K4495" s="211">
        <f t="shared" si="2438"/>
        <v>0.19999999999999996</v>
      </c>
      <c r="L4495" s="44"/>
      <c r="M4495" s="44">
        <f t="shared" si="2458"/>
        <v>0.19999999999999996</v>
      </c>
      <c r="N4495" s="173">
        <f t="shared" si="2439"/>
        <v>1</v>
      </c>
      <c r="O4495" s="44">
        <f t="shared" si="2440"/>
        <v>33107</v>
      </c>
      <c r="P4495" s="44">
        <f t="shared" si="2441"/>
        <v>6621.3999999999987</v>
      </c>
      <c r="Q4495" s="44">
        <f t="shared" si="2442"/>
        <v>12286.179576470586</v>
      </c>
      <c r="R4495" s="44">
        <f t="shared" si="2459"/>
        <v>2457.2359152941167</v>
      </c>
      <c r="S4495" s="123"/>
      <c r="T4495" s="219">
        <f t="shared" si="2460"/>
        <v>2457.2359152941167</v>
      </c>
      <c r="U4495" s="87"/>
      <c r="V4495" s="47"/>
      <c r="W4495" s="48"/>
      <c r="X4495" s="48"/>
      <c r="Y4495" s="48"/>
      <c r="Z4495" s="135"/>
      <c r="AA4495" s="49"/>
      <c r="AB4495" s="50">
        <f t="shared" si="2443"/>
        <v>12286.179576470586</v>
      </c>
      <c r="AC4495" s="42">
        <f t="shared" si="2461"/>
        <v>0.19999999999999996</v>
      </c>
      <c r="AD4495" s="90">
        <f>AD4496+AD4501+AD4513+AD4516</f>
        <v>2457.2359152941167</v>
      </c>
      <c r="AE4495" s="188">
        <f t="shared" ref="AE4495:AH4495" si="3337">AE4496+AE4501+AE4513+AE4516</f>
        <v>0</v>
      </c>
      <c r="AF4495" s="189">
        <f t="shared" si="3337"/>
        <v>0</v>
      </c>
      <c r="AG4495" s="189">
        <f t="shared" si="3337"/>
        <v>0</v>
      </c>
      <c r="AH4495" s="189">
        <f t="shared" si="3337"/>
        <v>0</v>
      </c>
      <c r="AI4495" s="161">
        <f t="shared" ref="AI4495:AI4558" si="3338">SUM(AE4495:AH4495)</f>
        <v>0</v>
      </c>
      <c r="AK4495" s="169">
        <v>5</v>
      </c>
      <c r="AO4495" s="19" t="s">
        <v>63</v>
      </c>
    </row>
    <row r="4496" spans="1:41" s="103" customFormat="1" ht="19.899999999999999" customHeight="1" x14ac:dyDescent="0.25">
      <c r="A4496" s="51"/>
      <c r="B4496" s="52"/>
      <c r="C4496" s="165"/>
      <c r="D4496" s="52"/>
      <c r="E4496" s="115"/>
      <c r="F4496" s="58"/>
      <c r="G4496" s="58"/>
      <c r="H4496" s="58"/>
      <c r="I4496" s="55"/>
      <c r="J4496" s="113">
        <f>J4495</f>
        <v>0.19999999999999996</v>
      </c>
      <c r="K4496" s="212">
        <f>K4495</f>
        <v>0.19999999999999996</v>
      </c>
      <c r="L4496" s="58"/>
      <c r="M4496" s="58">
        <f>K4496-L4496</f>
        <v>0.19999999999999996</v>
      </c>
      <c r="N4496" s="166"/>
      <c r="O4496" s="58"/>
      <c r="P4496" s="58"/>
      <c r="Q4496" s="58"/>
      <c r="R4496" s="58"/>
      <c r="S4496" s="58"/>
      <c r="T4496" s="220"/>
      <c r="U4496" s="88"/>
      <c r="V4496" s="56"/>
      <c r="W4496" s="57" t="s">
        <v>1351</v>
      </c>
      <c r="X4496" s="53"/>
      <c r="Y4496" s="91" t="s">
        <v>35</v>
      </c>
      <c r="Z4496" s="136">
        <f>AD4496/AC4496</f>
        <v>90.496941176470585</v>
      </c>
      <c r="AA4496" s="58"/>
      <c r="AB4496" s="53">
        <f>AD4496/AC4496</f>
        <v>90.496941176470585</v>
      </c>
      <c r="AC4496" s="53">
        <f>M4496+$AE$10</f>
        <v>0.19999999999999996</v>
      </c>
      <c r="AD4496" s="54">
        <f>SUM(AD4497:AD4500)</f>
        <v>18.099388235294114</v>
      </c>
      <c r="AE4496" s="184">
        <f>SUMIFS($AD$37:$AD$12971,$V$37:$V$12971,$V4496,$X$37:$X$12971,AE$13)</f>
        <v>0</v>
      </c>
      <c r="AF4496" s="185">
        <f>SUMIFS($AD$37:$AD$12971,$V$37:$V$12971,$V4496,$X$37:$X$12971,AF$13)</f>
        <v>0</v>
      </c>
      <c r="AG4496" s="185">
        <f>SUMIFS($AD$37:$AD$12971,$V$37:$V$12971,$V4496,$X$37:$X$12971,AG$13)</f>
        <v>0</v>
      </c>
      <c r="AH4496" s="187">
        <f>SUMIFS($AD$37:$AD$12971,$V$37:$V$12971,$V4496,$X$37:$X$12971,AH$13)</f>
        <v>0</v>
      </c>
      <c r="AI4496" s="161">
        <f t="shared" si="3338"/>
        <v>0</v>
      </c>
      <c r="AK4496" s="172"/>
    </row>
    <row r="4497" spans="1:37" s="102" customFormat="1" ht="19.899999999999999" customHeight="1" x14ac:dyDescent="0.25">
      <c r="A4497" s="45"/>
      <c r="B4497" s="59"/>
      <c r="C4497" s="137"/>
      <c r="D4497" s="59"/>
      <c r="E4497" s="116"/>
      <c r="F4497" s="120"/>
      <c r="G4497" s="120"/>
      <c r="H4497" s="120"/>
      <c r="I4497" s="60"/>
      <c r="J4497" s="116"/>
      <c r="K4497" s="213"/>
      <c r="L4497" s="120"/>
      <c r="M4497" s="120"/>
      <c r="N4497" s="167"/>
      <c r="O4497" s="120"/>
      <c r="P4497" s="120"/>
      <c r="Q4497" s="120"/>
      <c r="R4497" s="120"/>
      <c r="S4497" s="120"/>
      <c r="T4497" s="221"/>
      <c r="U4497" s="89"/>
      <c r="V4497" s="61"/>
      <c r="W4497" s="92" t="s">
        <v>129</v>
      </c>
      <c r="X4497" s="93" t="s">
        <v>29</v>
      </c>
      <c r="Y4497" s="93" t="s">
        <v>93</v>
      </c>
      <c r="Z4497" s="134">
        <f>VLOOKUP(W4497,Sheet2!$B:$D,3,FALSE)</f>
        <v>56</v>
      </c>
      <c r="AA4497" s="93">
        <f>100/(3*3*2.5)</f>
        <v>4.4444444444444446</v>
      </c>
      <c r="AB4497" s="93">
        <f t="shared" ref="AB4497" si="3339">AD4497/AC4496</f>
        <v>12.600000000000001</v>
      </c>
      <c r="AC4497" s="93">
        <f>AC4496/AA4497</f>
        <v>4.4999999999999991E-2</v>
      </c>
      <c r="AD4497" s="94">
        <f t="shared" ref="AD4497:AD4498" si="3340">AC4497*Z4497</f>
        <v>2.5199999999999996</v>
      </c>
      <c r="AE4497" s="190"/>
      <c r="AF4497" s="191"/>
      <c r="AG4497" s="191"/>
      <c r="AH4497" s="191"/>
      <c r="AI4497" s="186"/>
      <c r="AK4497" s="171"/>
    </row>
    <row r="4498" spans="1:37" s="102" customFormat="1" ht="19.899999999999999" customHeight="1" x14ac:dyDescent="0.25">
      <c r="A4498" s="45"/>
      <c r="B4498" s="59"/>
      <c r="C4498" s="137"/>
      <c r="D4498" s="59"/>
      <c r="E4498" s="116"/>
      <c r="F4498" s="120"/>
      <c r="G4498" s="120"/>
      <c r="H4498" s="120"/>
      <c r="I4498" s="60"/>
      <c r="J4498" s="116"/>
      <c r="K4498" s="213"/>
      <c r="L4498" s="120"/>
      <c r="M4498" s="120"/>
      <c r="N4498" s="167"/>
      <c r="O4498" s="120"/>
      <c r="P4498" s="120"/>
      <c r="Q4498" s="120"/>
      <c r="R4498" s="120"/>
      <c r="S4498" s="120"/>
      <c r="T4498" s="221"/>
      <c r="U4498" s="89"/>
      <c r="V4498" s="61"/>
      <c r="W4498" s="92" t="s">
        <v>65</v>
      </c>
      <c r="X4498" s="93" t="s">
        <v>30</v>
      </c>
      <c r="Y4498" s="93" t="s">
        <v>1011</v>
      </c>
      <c r="Z4498" s="134">
        <f>VLOOKUP(W4498,Sheet2!$B:$D,3,FALSE)</f>
        <v>1.76</v>
      </c>
      <c r="AA4498" s="93">
        <f>AA4497/14</f>
        <v>0.3174603174603175</v>
      </c>
      <c r="AB4498" s="93">
        <f>AD4498/AC4496</f>
        <v>5.5439999999999987</v>
      </c>
      <c r="AC4498" s="93">
        <f>AC4496/AA4498</f>
        <v>0.62999999999999978</v>
      </c>
      <c r="AD4498" s="94">
        <f t="shared" si="3340"/>
        <v>1.1087999999999996</v>
      </c>
      <c r="AE4498" s="190"/>
      <c r="AF4498" s="191"/>
      <c r="AG4498" s="191"/>
      <c r="AH4498" s="191"/>
      <c r="AI4498" s="186"/>
      <c r="AK4498" s="171"/>
    </row>
    <row r="4499" spans="1:37" s="102" customFormat="1" ht="19.899999999999999" customHeight="1" x14ac:dyDescent="0.25">
      <c r="A4499" s="45"/>
      <c r="B4499" s="59"/>
      <c r="C4499" s="137"/>
      <c r="D4499" s="59"/>
      <c r="E4499" s="116"/>
      <c r="F4499" s="120"/>
      <c r="G4499" s="120"/>
      <c r="H4499" s="120"/>
      <c r="I4499" s="60"/>
      <c r="J4499" s="116"/>
      <c r="K4499" s="213"/>
      <c r="L4499" s="120"/>
      <c r="M4499" s="120"/>
      <c r="N4499" s="167"/>
      <c r="O4499" s="120"/>
      <c r="P4499" s="120"/>
      <c r="Q4499" s="120"/>
      <c r="R4499" s="120"/>
      <c r="S4499" s="120"/>
      <c r="T4499" s="221"/>
      <c r="U4499" s="89"/>
      <c r="V4499" s="61"/>
      <c r="W4499" s="92" t="s">
        <v>161</v>
      </c>
      <c r="X4499" s="93" t="s">
        <v>29</v>
      </c>
      <c r="Y4499" s="93" t="s">
        <v>93</v>
      </c>
      <c r="Z4499" s="134">
        <f>VLOOKUP(W4499,Sheet2!$B:$D,3,FALSE)</f>
        <v>48</v>
      </c>
      <c r="AA4499" s="93">
        <f>(16*0.85*1.5)/(3*3*2.5)</f>
        <v>0.90666666666666662</v>
      </c>
      <c r="AB4499" s="93">
        <f>AD4499/AC4496</f>
        <v>52.941176470588239</v>
      </c>
      <c r="AC4499" s="93">
        <f>AC4496/AA4499</f>
        <v>0.22058823529411761</v>
      </c>
      <c r="AD4499" s="94">
        <f>AC4499*Z4499</f>
        <v>10.588235294117645</v>
      </c>
      <c r="AE4499" s="190"/>
      <c r="AF4499" s="191"/>
      <c r="AG4499" s="191"/>
      <c r="AH4499" s="191"/>
      <c r="AI4499" s="186"/>
      <c r="AK4499" s="171"/>
    </row>
    <row r="4500" spans="1:37" s="102" customFormat="1" ht="19.899999999999999" customHeight="1" x14ac:dyDescent="0.25">
      <c r="A4500" s="45"/>
      <c r="B4500" s="59"/>
      <c r="C4500" s="137"/>
      <c r="D4500" s="59"/>
      <c r="E4500" s="116"/>
      <c r="F4500" s="120"/>
      <c r="G4500" s="120"/>
      <c r="H4500" s="120"/>
      <c r="I4500" s="60"/>
      <c r="J4500" s="116"/>
      <c r="K4500" s="213"/>
      <c r="L4500" s="120"/>
      <c r="M4500" s="120"/>
      <c r="N4500" s="167"/>
      <c r="O4500" s="120"/>
      <c r="P4500" s="120"/>
      <c r="Q4500" s="120"/>
      <c r="R4500" s="120"/>
      <c r="S4500" s="120"/>
      <c r="T4500" s="221"/>
      <c r="U4500" s="89"/>
      <c r="V4500" s="61"/>
      <c r="W4500" s="92" t="s">
        <v>65</v>
      </c>
      <c r="X4500" s="93" t="s">
        <v>30</v>
      </c>
      <c r="Y4500" s="93" t="s">
        <v>1011</v>
      </c>
      <c r="Z4500" s="134">
        <f>VLOOKUP(W4500,Sheet2!$B:$D,3,FALSE)</f>
        <v>1.76</v>
      </c>
      <c r="AA4500" s="93">
        <f>AA4499/10</f>
        <v>9.0666666666666659E-2</v>
      </c>
      <c r="AB4500" s="93">
        <f>AD4500/AC4496</f>
        <v>19.411764705882355</v>
      </c>
      <c r="AC4500" s="93">
        <f>AC4496/AA4500</f>
        <v>2.2058823529411762</v>
      </c>
      <c r="AD4500" s="94">
        <f>AC4500*Z4500</f>
        <v>3.8823529411764701</v>
      </c>
      <c r="AE4500" s="190"/>
      <c r="AF4500" s="191"/>
      <c r="AG4500" s="191"/>
      <c r="AH4500" s="191"/>
      <c r="AI4500" s="186"/>
      <c r="AK4500" s="171"/>
    </row>
    <row r="4501" spans="1:37" s="103" customFormat="1" ht="19.899999999999999" customHeight="1" x14ac:dyDescent="0.25">
      <c r="A4501" s="51"/>
      <c r="B4501" s="52"/>
      <c r="C4501" s="165"/>
      <c r="D4501" s="52"/>
      <c r="E4501" s="115"/>
      <c r="F4501" s="58"/>
      <c r="G4501" s="58"/>
      <c r="H4501" s="58"/>
      <c r="I4501" s="55"/>
      <c r="J4501" s="113">
        <f>J4495</f>
        <v>0.19999999999999996</v>
      </c>
      <c r="K4501" s="212">
        <f>K4495</f>
        <v>0.19999999999999996</v>
      </c>
      <c r="L4501" s="58"/>
      <c r="M4501" s="58">
        <f>K4501-L4501</f>
        <v>0.19999999999999996</v>
      </c>
      <c r="N4501" s="166"/>
      <c r="O4501" s="58"/>
      <c r="P4501" s="58"/>
      <c r="Q4501" s="58"/>
      <c r="R4501" s="58"/>
      <c r="S4501" s="58"/>
      <c r="T4501" s="220"/>
      <c r="U4501" s="88"/>
      <c r="V4501" s="56"/>
      <c r="W4501" s="57" t="s">
        <v>1352</v>
      </c>
      <c r="X4501" s="53"/>
      <c r="Y4501" s="91" t="s">
        <v>35</v>
      </c>
      <c r="Z4501" s="136">
        <f>AD4501/AC4501</f>
        <v>9186.5999999999985</v>
      </c>
      <c r="AA4501" s="58"/>
      <c r="AB4501" s="53">
        <f>AD4501/AC4501</f>
        <v>9186.5999999999985</v>
      </c>
      <c r="AC4501" s="53">
        <f>M4501+$AE$10</f>
        <v>0.19999999999999996</v>
      </c>
      <c r="AD4501" s="54">
        <f>SUM(AD4502:AD4512)</f>
        <v>1837.3199999999995</v>
      </c>
      <c r="AE4501" s="184">
        <f>SUMIFS($AD$37:$AD$12971,$V$37:$V$12971,$V4501,$X$37:$X$12971,AE$13)</f>
        <v>0</v>
      </c>
      <c r="AF4501" s="185">
        <f>SUMIFS($AD$37:$AD$12971,$V$37:$V$12971,$V4501,$X$37:$X$12971,AF$13)</f>
        <v>0</v>
      </c>
      <c r="AG4501" s="185">
        <f>SUMIFS($AD$37:$AD$12971,$V$37:$V$12971,$V4501,$X$37:$X$12971,AG$13)</f>
        <v>0</v>
      </c>
      <c r="AH4501" s="187">
        <f>SUMIFS($AD$37:$AD$12971,$V$37:$V$12971,$V4501,$X$37:$X$12971,AH$13)</f>
        <v>0</v>
      </c>
      <c r="AI4501" s="161">
        <f t="shared" ref="AI4501" si="3341">SUM(AE4501:AH4501)</f>
        <v>0</v>
      </c>
      <c r="AK4501" s="172"/>
    </row>
    <row r="4502" spans="1:37" s="102" customFormat="1" ht="19.899999999999999" customHeight="1" x14ac:dyDescent="0.25">
      <c r="A4502" s="45"/>
      <c r="B4502" s="59"/>
      <c r="C4502" s="137"/>
      <c r="D4502" s="59"/>
      <c r="E4502" s="116"/>
      <c r="F4502" s="120"/>
      <c r="G4502" s="120"/>
      <c r="H4502" s="120"/>
      <c r="I4502" s="60"/>
      <c r="J4502" s="116"/>
      <c r="K4502" s="213"/>
      <c r="L4502" s="120"/>
      <c r="M4502" s="120"/>
      <c r="N4502" s="167"/>
      <c r="O4502" s="120"/>
      <c r="P4502" s="120"/>
      <c r="Q4502" s="120"/>
      <c r="R4502" s="120"/>
      <c r="S4502" s="120"/>
      <c r="T4502" s="221"/>
      <c r="U4502" s="89"/>
      <c r="V4502" s="61"/>
      <c r="W4502" s="92" t="s">
        <v>1032</v>
      </c>
      <c r="X4502" s="93" t="s">
        <v>30</v>
      </c>
      <c r="Y4502" s="93" t="s">
        <v>66</v>
      </c>
      <c r="Z4502" s="134">
        <f>VLOOKUP(W4502,Sheet2!$B:$D,3,FALSE)</f>
        <v>250</v>
      </c>
      <c r="AA4502" s="93">
        <f>1/(3*3*0.1)</f>
        <v>1.1111111111111112</v>
      </c>
      <c r="AB4502" s="93">
        <f t="shared" ref="AB4502" si="3342">AD4502/AC4501</f>
        <v>225.00000000000003</v>
      </c>
      <c r="AC4502" s="93">
        <f>AC4501/AA4502</f>
        <v>0.17999999999999997</v>
      </c>
      <c r="AD4502" s="94">
        <f t="shared" ref="AD4502:AD4504" si="3343">AC4502*Z4502</f>
        <v>44.999999999999993</v>
      </c>
      <c r="AE4502" s="190"/>
      <c r="AF4502" s="191"/>
      <c r="AG4502" s="191"/>
      <c r="AH4502" s="191"/>
      <c r="AI4502" s="186"/>
      <c r="AK4502" s="171"/>
    </row>
    <row r="4503" spans="1:37" s="102" customFormat="1" ht="19.899999999999999" customHeight="1" x14ac:dyDescent="0.25">
      <c r="A4503" s="45"/>
      <c r="B4503" s="59"/>
      <c r="C4503" s="137"/>
      <c r="D4503" s="59"/>
      <c r="E4503" s="116"/>
      <c r="F4503" s="120"/>
      <c r="G4503" s="120"/>
      <c r="H4503" s="120"/>
      <c r="I4503" s="60"/>
      <c r="J4503" s="116"/>
      <c r="K4503" s="213"/>
      <c r="L4503" s="120"/>
      <c r="M4503" s="120"/>
      <c r="N4503" s="167"/>
      <c r="O4503" s="120"/>
      <c r="P4503" s="120"/>
      <c r="Q4503" s="120"/>
      <c r="R4503" s="120"/>
      <c r="S4503" s="120"/>
      <c r="T4503" s="221"/>
      <c r="U4503" s="89"/>
      <c r="V4503" s="61"/>
      <c r="W4503" s="92" t="s">
        <v>1353</v>
      </c>
      <c r="X4503" s="93" t="s">
        <v>30</v>
      </c>
      <c r="Y4503" s="93" t="s">
        <v>66</v>
      </c>
      <c r="Z4503" s="134">
        <f>VLOOKUP(W4503,Sheet2!$B:$D,3,FALSE)</f>
        <v>350</v>
      </c>
      <c r="AA4503" s="93">
        <f>1/(2*2*0.25*5)</f>
        <v>0.2</v>
      </c>
      <c r="AB4503" s="93">
        <f>AD4503/AC4501</f>
        <v>1750</v>
      </c>
      <c r="AC4503" s="93">
        <f>AC4501/AA4503</f>
        <v>0.99999999999999978</v>
      </c>
      <c r="AD4503" s="94">
        <f t="shared" si="3343"/>
        <v>349.99999999999994</v>
      </c>
      <c r="AE4503" s="190"/>
      <c r="AF4503" s="191"/>
      <c r="AG4503" s="191"/>
      <c r="AH4503" s="191"/>
      <c r="AI4503" s="186"/>
      <c r="AK4503" s="171"/>
    </row>
    <row r="4504" spans="1:37" s="102" customFormat="1" ht="19.899999999999999" customHeight="1" x14ac:dyDescent="0.25">
      <c r="A4504" s="45"/>
      <c r="B4504" s="59"/>
      <c r="C4504" s="137"/>
      <c r="D4504" s="59"/>
      <c r="E4504" s="116"/>
      <c r="F4504" s="120"/>
      <c r="G4504" s="120"/>
      <c r="H4504" s="120"/>
      <c r="I4504" s="60"/>
      <c r="J4504" s="116"/>
      <c r="K4504" s="213"/>
      <c r="L4504" s="120"/>
      <c r="M4504" s="120"/>
      <c r="N4504" s="167"/>
      <c r="O4504" s="120"/>
      <c r="P4504" s="120"/>
      <c r="Q4504" s="120"/>
      <c r="R4504" s="120"/>
      <c r="S4504" s="120"/>
      <c r="T4504" s="221"/>
      <c r="U4504" s="89"/>
      <c r="V4504" s="61"/>
      <c r="W4504" s="92" t="s">
        <v>99</v>
      </c>
      <c r="X4504" s="93" t="s">
        <v>30</v>
      </c>
      <c r="Y4504" s="93" t="s">
        <v>67</v>
      </c>
      <c r="Z4504" s="134">
        <f>VLOOKUP(W4504,Sheet2!$B:$D,3,FALSE)</f>
        <v>2500</v>
      </c>
      <c r="AA4504" s="93">
        <f>1/(2*2*0.25*5*0.08)</f>
        <v>2.5</v>
      </c>
      <c r="AB4504" s="93">
        <f>AD4504/AC4501</f>
        <v>1000.0000000000001</v>
      </c>
      <c r="AC4504" s="93">
        <f>AC4501/AA4504</f>
        <v>7.9999999999999988E-2</v>
      </c>
      <c r="AD4504" s="94">
        <f t="shared" si="3343"/>
        <v>199.99999999999997</v>
      </c>
      <c r="AE4504" s="190"/>
      <c r="AF4504" s="191"/>
      <c r="AG4504" s="191"/>
      <c r="AH4504" s="191"/>
      <c r="AI4504" s="186"/>
      <c r="AK4504" s="171"/>
    </row>
    <row r="4505" spans="1:37" s="102" customFormat="1" ht="19.899999999999999" customHeight="1" x14ac:dyDescent="0.25">
      <c r="A4505" s="45"/>
      <c r="B4505" s="59"/>
      <c r="C4505" s="137"/>
      <c r="D4505" s="59"/>
      <c r="E4505" s="116"/>
      <c r="F4505" s="120"/>
      <c r="G4505" s="120"/>
      <c r="H4505" s="120"/>
      <c r="I4505" s="60"/>
      <c r="J4505" s="116"/>
      <c r="K4505" s="213"/>
      <c r="L4505" s="120"/>
      <c r="M4505" s="120"/>
      <c r="N4505" s="167"/>
      <c r="O4505" s="120"/>
      <c r="P4505" s="120"/>
      <c r="Q4505" s="120"/>
      <c r="R4505" s="120"/>
      <c r="S4505" s="120"/>
      <c r="T4505" s="221"/>
      <c r="U4505" s="89"/>
      <c r="V4505" s="61"/>
      <c r="W4505" s="92" t="s">
        <v>1354</v>
      </c>
      <c r="X4505" s="93" t="s">
        <v>32</v>
      </c>
      <c r="Y4505" s="93" t="s">
        <v>66</v>
      </c>
      <c r="Z4505" s="134">
        <f>VLOOKUP(W4505,Sheet2!$B:$D,3,FALSE)</f>
        <v>150</v>
      </c>
      <c r="AA4505" s="93">
        <f>AA4502</f>
        <v>1.1111111111111112</v>
      </c>
      <c r="AB4505" s="93">
        <f>AD4505/AC4501</f>
        <v>135</v>
      </c>
      <c r="AC4505" s="93">
        <f>AC4501/AA4505</f>
        <v>0.17999999999999997</v>
      </c>
      <c r="AD4505" s="94">
        <f>AC4505*Z4505</f>
        <v>26.999999999999996</v>
      </c>
      <c r="AE4505" s="190"/>
      <c r="AF4505" s="191"/>
      <c r="AG4505" s="191"/>
      <c r="AH4505" s="191"/>
      <c r="AI4505" s="186"/>
      <c r="AK4505" s="171"/>
    </row>
    <row r="4506" spans="1:37" s="102" customFormat="1" ht="19.899999999999999" customHeight="1" x14ac:dyDescent="0.25">
      <c r="A4506" s="45"/>
      <c r="B4506" s="59"/>
      <c r="C4506" s="137"/>
      <c r="D4506" s="59"/>
      <c r="E4506" s="116"/>
      <c r="F4506" s="120"/>
      <c r="G4506" s="120"/>
      <c r="H4506" s="120"/>
      <c r="I4506" s="60"/>
      <c r="J4506" s="116"/>
      <c r="K4506" s="213"/>
      <c r="L4506" s="120"/>
      <c r="M4506" s="120"/>
      <c r="N4506" s="167"/>
      <c r="O4506" s="120"/>
      <c r="P4506" s="120"/>
      <c r="Q4506" s="120"/>
      <c r="R4506" s="120"/>
      <c r="S4506" s="120"/>
      <c r="T4506" s="221"/>
      <c r="U4506" s="89"/>
      <c r="V4506" s="61"/>
      <c r="W4506" s="92" t="s">
        <v>1355</v>
      </c>
      <c r="X4506" s="93" t="s">
        <v>32</v>
      </c>
      <c r="Y4506" s="93" t="s">
        <v>66</v>
      </c>
      <c r="Z4506" s="134">
        <f>VLOOKUP(W4506,Sheet2!$B:$D,3,FALSE)</f>
        <v>450</v>
      </c>
      <c r="AA4506" s="93">
        <f>AA4503</f>
        <v>0.2</v>
      </c>
      <c r="AB4506" s="93">
        <f>AD4506/AC4501</f>
        <v>2250</v>
      </c>
      <c r="AC4506" s="93">
        <f>AC4501/AA4506</f>
        <v>0.99999999999999978</v>
      </c>
      <c r="AD4506" s="94">
        <f>AC4506*Z4506</f>
        <v>449.99999999999989</v>
      </c>
      <c r="AE4506" s="190"/>
      <c r="AF4506" s="191"/>
      <c r="AG4506" s="191"/>
      <c r="AH4506" s="191"/>
      <c r="AI4506" s="186"/>
      <c r="AK4506" s="171"/>
    </row>
    <row r="4507" spans="1:37" s="102" customFormat="1" ht="19.899999999999999" customHeight="1" x14ac:dyDescent="0.25">
      <c r="A4507" s="45"/>
      <c r="B4507" s="59"/>
      <c r="C4507" s="137"/>
      <c r="D4507" s="59"/>
      <c r="E4507" s="116"/>
      <c r="F4507" s="120"/>
      <c r="G4507" s="120"/>
      <c r="H4507" s="120"/>
      <c r="I4507" s="60"/>
      <c r="J4507" s="116"/>
      <c r="K4507" s="213"/>
      <c r="L4507" s="120"/>
      <c r="M4507" s="120"/>
      <c r="N4507" s="167"/>
      <c r="O4507" s="120"/>
      <c r="P4507" s="120"/>
      <c r="Q4507" s="120"/>
      <c r="R4507" s="120"/>
      <c r="S4507" s="120"/>
      <c r="T4507" s="221"/>
      <c r="U4507" s="89"/>
      <c r="V4507" s="61"/>
      <c r="W4507" s="92" t="s">
        <v>1356</v>
      </c>
      <c r="X4507" s="93" t="s">
        <v>30</v>
      </c>
      <c r="Y4507" s="93" t="s">
        <v>35</v>
      </c>
      <c r="Z4507" s="134">
        <f>VLOOKUP(W4507,Sheet2!$B:$D,3,FALSE)</f>
        <v>3500</v>
      </c>
      <c r="AA4507" s="93">
        <v>1</v>
      </c>
      <c r="AB4507" s="93">
        <f>AD4507/AC4501</f>
        <v>3500</v>
      </c>
      <c r="AC4507" s="93">
        <f>AC4501/AA4507</f>
        <v>0.19999999999999996</v>
      </c>
      <c r="AD4507" s="94">
        <f t="shared" ref="AD4507:AD4508" si="3344">AC4507*Z4507</f>
        <v>699.99999999999989</v>
      </c>
      <c r="AE4507" s="190"/>
      <c r="AF4507" s="191"/>
      <c r="AG4507" s="191"/>
      <c r="AH4507" s="191"/>
      <c r="AI4507" s="186"/>
      <c r="AK4507" s="171"/>
    </row>
    <row r="4508" spans="1:37" s="102" customFormat="1" ht="19.899999999999999" customHeight="1" x14ac:dyDescent="0.25">
      <c r="A4508" s="45"/>
      <c r="B4508" s="59"/>
      <c r="C4508" s="137"/>
      <c r="D4508" s="59"/>
      <c r="E4508" s="116"/>
      <c r="F4508" s="120"/>
      <c r="G4508" s="120"/>
      <c r="H4508" s="120"/>
      <c r="I4508" s="60"/>
      <c r="J4508" s="116"/>
      <c r="K4508" s="213"/>
      <c r="L4508" s="120"/>
      <c r="M4508" s="120"/>
      <c r="N4508" s="167"/>
      <c r="O4508" s="120"/>
      <c r="P4508" s="120"/>
      <c r="Q4508" s="120"/>
      <c r="R4508" s="120"/>
      <c r="S4508" s="120"/>
      <c r="T4508" s="221"/>
      <c r="U4508" s="89"/>
      <c r="V4508" s="61"/>
      <c r="W4508" s="92" t="s">
        <v>174</v>
      </c>
      <c r="X4508" s="93" t="s">
        <v>29</v>
      </c>
      <c r="Y4508" s="93" t="s">
        <v>93</v>
      </c>
      <c r="Z4508" s="134">
        <f>VLOOKUP(W4508,Sheet2!$B:$D,3,FALSE)</f>
        <v>80</v>
      </c>
      <c r="AA4508" s="93">
        <v>4</v>
      </c>
      <c r="AB4508" s="93">
        <f>AD4508/AC4501</f>
        <v>20</v>
      </c>
      <c r="AC4508" s="93">
        <f>AC4501/AA4508</f>
        <v>4.9999999999999989E-2</v>
      </c>
      <c r="AD4508" s="94">
        <f t="shared" si="3344"/>
        <v>3.9999999999999991</v>
      </c>
      <c r="AE4508" s="190"/>
      <c r="AF4508" s="191"/>
      <c r="AG4508" s="191"/>
      <c r="AH4508" s="191"/>
      <c r="AI4508" s="186"/>
      <c r="AK4508" s="171"/>
    </row>
    <row r="4509" spans="1:37" s="102" customFormat="1" ht="19.899999999999999" customHeight="1" x14ac:dyDescent="0.25">
      <c r="A4509" s="45"/>
      <c r="B4509" s="59"/>
      <c r="C4509" s="137"/>
      <c r="D4509" s="59"/>
      <c r="E4509" s="116"/>
      <c r="F4509" s="120"/>
      <c r="G4509" s="120"/>
      <c r="H4509" s="120"/>
      <c r="I4509" s="60"/>
      <c r="J4509" s="116"/>
      <c r="K4509" s="213"/>
      <c r="L4509" s="120"/>
      <c r="M4509" s="120"/>
      <c r="N4509" s="167"/>
      <c r="O4509" s="120"/>
      <c r="P4509" s="120"/>
      <c r="Q4509" s="120"/>
      <c r="R4509" s="120"/>
      <c r="S4509" s="120"/>
      <c r="T4509" s="221"/>
      <c r="U4509" s="89"/>
      <c r="V4509" s="61"/>
      <c r="W4509" s="92" t="s">
        <v>65</v>
      </c>
      <c r="X4509" s="93" t="s">
        <v>30</v>
      </c>
      <c r="Y4509" s="93" t="s">
        <v>93</v>
      </c>
      <c r="Z4509" s="134">
        <f>VLOOKUP(W4509,Sheet2!$B:$D,3,FALSE)</f>
        <v>1.76</v>
      </c>
      <c r="AA4509" s="93">
        <f>AA4508/15</f>
        <v>0.26666666666666666</v>
      </c>
      <c r="AB4509" s="93">
        <f>AD4509/AC4501</f>
        <v>6.6000000000000005</v>
      </c>
      <c r="AC4509" s="93">
        <f>AC4501/AA4509</f>
        <v>0.74999999999999989</v>
      </c>
      <c r="AD4509" s="94">
        <f>AC4509*Z4509</f>
        <v>1.3199999999999998</v>
      </c>
      <c r="AE4509" s="190"/>
      <c r="AF4509" s="191"/>
      <c r="AG4509" s="191"/>
      <c r="AH4509" s="191"/>
      <c r="AI4509" s="186"/>
      <c r="AK4509" s="171"/>
    </row>
    <row r="4510" spans="1:37" s="102" customFormat="1" ht="19.899999999999999" customHeight="1" x14ac:dyDescent="0.25">
      <c r="A4510" s="45"/>
      <c r="B4510" s="59"/>
      <c r="C4510" s="137"/>
      <c r="D4510" s="59"/>
      <c r="E4510" s="116"/>
      <c r="F4510" s="120"/>
      <c r="G4510" s="120"/>
      <c r="H4510" s="120"/>
      <c r="I4510" s="60"/>
      <c r="J4510" s="116"/>
      <c r="K4510" s="213"/>
      <c r="L4510" s="120"/>
      <c r="M4510" s="120"/>
      <c r="N4510" s="167"/>
      <c r="O4510" s="120"/>
      <c r="P4510" s="120"/>
      <c r="Q4510" s="120"/>
      <c r="R4510" s="120"/>
      <c r="S4510" s="120"/>
      <c r="T4510" s="221"/>
      <c r="U4510" s="89"/>
      <c r="V4510" s="61"/>
      <c r="W4510" s="92" t="s">
        <v>1357</v>
      </c>
      <c r="X4510" s="93" t="s">
        <v>30</v>
      </c>
      <c r="Y4510" s="93" t="s">
        <v>1349</v>
      </c>
      <c r="Z4510" s="134">
        <f>VLOOKUP(W4510,Sheet2!$B:$D,3,FALSE)</f>
        <v>150</v>
      </c>
      <c r="AA4510" s="93">
        <v>1</v>
      </c>
      <c r="AB4510" s="93">
        <f>AD4510/AC4501</f>
        <v>150</v>
      </c>
      <c r="AC4510" s="93">
        <f>AC4501/AA4510</f>
        <v>0.19999999999999996</v>
      </c>
      <c r="AD4510" s="94">
        <f>AC4510*Z4510</f>
        <v>29.999999999999993</v>
      </c>
      <c r="AE4510" s="190"/>
      <c r="AF4510" s="191"/>
      <c r="AG4510" s="191"/>
      <c r="AH4510" s="191"/>
      <c r="AI4510" s="186"/>
      <c r="AK4510" s="171"/>
    </row>
    <row r="4511" spans="1:37" s="102" customFormat="1" ht="19.899999999999999" customHeight="1" x14ac:dyDescent="0.25">
      <c r="A4511" s="45"/>
      <c r="B4511" s="59"/>
      <c r="C4511" s="137"/>
      <c r="D4511" s="59"/>
      <c r="E4511" s="116"/>
      <c r="F4511" s="120"/>
      <c r="G4511" s="120"/>
      <c r="H4511" s="120"/>
      <c r="I4511" s="60"/>
      <c r="J4511" s="116"/>
      <c r="K4511" s="213"/>
      <c r="L4511" s="120"/>
      <c r="M4511" s="120"/>
      <c r="N4511" s="167"/>
      <c r="O4511" s="120"/>
      <c r="P4511" s="120"/>
      <c r="Q4511" s="120"/>
      <c r="R4511" s="120"/>
      <c r="S4511" s="120"/>
      <c r="T4511" s="221"/>
      <c r="U4511" s="89"/>
      <c r="V4511" s="61"/>
      <c r="W4511" s="92" t="s">
        <v>107</v>
      </c>
      <c r="X4511" s="93" t="s">
        <v>31</v>
      </c>
      <c r="Y4511" s="93" t="s">
        <v>93</v>
      </c>
      <c r="Z4511" s="134">
        <f>VLOOKUP(W4511,Sheet2!$B:$D,3,FALSE)</f>
        <v>17</v>
      </c>
      <c r="AA4511" s="93">
        <f>1/5</f>
        <v>0.2</v>
      </c>
      <c r="AB4511" s="93">
        <f>AD4511/AC4501</f>
        <v>85</v>
      </c>
      <c r="AC4511" s="93">
        <f>AC4501/AA4511</f>
        <v>0.99999999999999978</v>
      </c>
      <c r="AD4511" s="94">
        <f>AC4511*Z4511</f>
        <v>16.999999999999996</v>
      </c>
      <c r="AE4511" s="190"/>
      <c r="AF4511" s="191"/>
      <c r="AG4511" s="191"/>
      <c r="AH4511" s="191"/>
      <c r="AI4511" s="186"/>
      <c r="AK4511" s="171"/>
    </row>
    <row r="4512" spans="1:37" s="102" customFormat="1" ht="19.899999999999999" customHeight="1" x14ac:dyDescent="0.25">
      <c r="A4512" s="45"/>
      <c r="B4512" s="59"/>
      <c r="C4512" s="137"/>
      <c r="D4512" s="59"/>
      <c r="E4512" s="116"/>
      <c r="F4512" s="120"/>
      <c r="G4512" s="120"/>
      <c r="H4512" s="120"/>
      <c r="I4512" s="60"/>
      <c r="J4512" s="116"/>
      <c r="K4512" s="213"/>
      <c r="L4512" s="120"/>
      <c r="M4512" s="120"/>
      <c r="N4512" s="167"/>
      <c r="O4512" s="120"/>
      <c r="P4512" s="120"/>
      <c r="Q4512" s="120"/>
      <c r="R4512" s="120"/>
      <c r="S4512" s="120"/>
      <c r="T4512" s="221"/>
      <c r="U4512" s="89"/>
      <c r="V4512" s="61"/>
      <c r="W4512" s="92" t="s">
        <v>112</v>
      </c>
      <c r="X4512" s="93" t="s">
        <v>31</v>
      </c>
      <c r="Y4512" s="93" t="s">
        <v>93</v>
      </c>
      <c r="Z4512" s="134">
        <f>VLOOKUP(W4512,Sheet2!$B:$D,3,FALSE)</f>
        <v>13</v>
      </c>
      <c r="AA4512" s="93">
        <f>AA4511</f>
        <v>0.2</v>
      </c>
      <c r="AB4512" s="93">
        <f>AD4512/AC4501</f>
        <v>65</v>
      </c>
      <c r="AC4512" s="93">
        <f>AC4501/AA4512</f>
        <v>0.99999999999999978</v>
      </c>
      <c r="AD4512" s="94">
        <f>AC4512*Z4512</f>
        <v>12.999999999999996</v>
      </c>
      <c r="AE4512" s="190"/>
      <c r="AF4512" s="191"/>
      <c r="AG4512" s="191"/>
      <c r="AH4512" s="191"/>
      <c r="AI4512" s="186"/>
      <c r="AK4512" s="171"/>
    </row>
    <row r="4513" spans="1:41" s="103" customFormat="1" ht="19.899999999999999" customHeight="1" x14ac:dyDescent="0.25">
      <c r="A4513" s="51"/>
      <c r="B4513" s="52"/>
      <c r="C4513" s="165"/>
      <c r="D4513" s="52"/>
      <c r="E4513" s="115"/>
      <c r="F4513" s="58"/>
      <c r="G4513" s="58"/>
      <c r="H4513" s="58"/>
      <c r="I4513" s="55"/>
      <c r="J4513" s="113">
        <f>J4495</f>
        <v>0.19999999999999996</v>
      </c>
      <c r="K4513" s="212">
        <f>K4495</f>
        <v>0.19999999999999996</v>
      </c>
      <c r="L4513" s="58"/>
      <c r="M4513" s="58">
        <f>K4513-L4513</f>
        <v>0.19999999999999996</v>
      </c>
      <c r="N4513" s="166"/>
      <c r="O4513" s="58"/>
      <c r="P4513" s="58"/>
      <c r="Q4513" s="58"/>
      <c r="R4513" s="58"/>
      <c r="S4513" s="58"/>
      <c r="T4513" s="220"/>
      <c r="U4513" s="88"/>
      <c r="V4513" s="56"/>
      <c r="W4513" s="57" t="s">
        <v>1358</v>
      </c>
      <c r="X4513" s="53"/>
      <c r="Y4513" s="91" t="s">
        <v>35</v>
      </c>
      <c r="Z4513" s="136">
        <f>AD4513/AC4513</f>
        <v>2800</v>
      </c>
      <c r="AA4513" s="58"/>
      <c r="AB4513" s="53">
        <f>AD4513/AC4513</f>
        <v>2800</v>
      </c>
      <c r="AC4513" s="53">
        <f>M4513+$AE$10</f>
        <v>0.19999999999999996</v>
      </c>
      <c r="AD4513" s="54">
        <f>SUM(AD4514:AD4515)</f>
        <v>559.99999999999989</v>
      </c>
      <c r="AE4513" s="184">
        <f>SUMIFS($AD$37:$AD$12971,$V$37:$V$12971,$V4513,$X$37:$X$12971,AE$13)</f>
        <v>0</v>
      </c>
      <c r="AF4513" s="185">
        <f>SUMIFS($AD$37:$AD$12971,$V$37:$V$12971,$V4513,$X$37:$X$12971,AF$13)</f>
        <v>0</v>
      </c>
      <c r="AG4513" s="185">
        <f>SUMIFS($AD$37:$AD$12971,$V$37:$V$12971,$V4513,$X$37:$X$12971,AG$13)</f>
        <v>0</v>
      </c>
      <c r="AH4513" s="187">
        <f>SUMIFS($AD$37:$AD$12971,$V$37:$V$12971,$V4513,$X$37:$X$12971,AH$13)</f>
        <v>0</v>
      </c>
      <c r="AI4513" s="161">
        <f t="shared" ref="AI4513" si="3345">SUM(AE4513:AH4513)</f>
        <v>0</v>
      </c>
      <c r="AK4513" s="172"/>
    </row>
    <row r="4514" spans="1:41" s="102" customFormat="1" ht="19.899999999999999" customHeight="1" x14ac:dyDescent="0.25">
      <c r="A4514" s="45"/>
      <c r="B4514" s="59"/>
      <c r="C4514" s="137"/>
      <c r="D4514" s="59"/>
      <c r="E4514" s="116"/>
      <c r="F4514" s="120"/>
      <c r="G4514" s="120"/>
      <c r="H4514" s="120"/>
      <c r="I4514" s="60"/>
      <c r="J4514" s="116"/>
      <c r="K4514" s="213"/>
      <c r="L4514" s="120"/>
      <c r="M4514" s="120"/>
      <c r="N4514" s="167"/>
      <c r="O4514" s="120"/>
      <c r="P4514" s="120"/>
      <c r="Q4514" s="120"/>
      <c r="R4514" s="120"/>
      <c r="S4514" s="120"/>
      <c r="T4514" s="221"/>
      <c r="U4514" s="89"/>
      <c r="V4514" s="61"/>
      <c r="W4514" s="92" t="s">
        <v>1359</v>
      </c>
      <c r="X4514" s="93" t="s">
        <v>32</v>
      </c>
      <c r="Y4514" s="93" t="s">
        <v>64</v>
      </c>
      <c r="Z4514" s="134">
        <f>VLOOKUP(W4514,Sheet2!$B:$D,3,FALSE)</f>
        <v>40</v>
      </c>
      <c r="AA4514" s="93">
        <f>1/40</f>
        <v>2.5000000000000001E-2</v>
      </c>
      <c r="AB4514" s="93">
        <f t="shared" ref="AB4514" si="3346">AD4514/AC4513</f>
        <v>1600</v>
      </c>
      <c r="AC4514" s="93">
        <f>AC4513/AA4514</f>
        <v>7.9999999999999982</v>
      </c>
      <c r="AD4514" s="94">
        <f t="shared" ref="AD4514:AD4515" si="3347">AC4514*Z4514</f>
        <v>319.99999999999994</v>
      </c>
      <c r="AE4514" s="190"/>
      <c r="AF4514" s="191"/>
      <c r="AG4514" s="191"/>
      <c r="AH4514" s="191"/>
      <c r="AI4514" s="186"/>
      <c r="AK4514" s="171"/>
    </row>
    <row r="4515" spans="1:41" s="102" customFormat="1" ht="19.899999999999999" customHeight="1" x14ac:dyDescent="0.25">
      <c r="A4515" s="45"/>
      <c r="B4515" s="59"/>
      <c r="C4515" s="137"/>
      <c r="D4515" s="59"/>
      <c r="E4515" s="116"/>
      <c r="F4515" s="120"/>
      <c r="G4515" s="120"/>
      <c r="H4515" s="120"/>
      <c r="I4515" s="60"/>
      <c r="J4515" s="116"/>
      <c r="K4515" s="213"/>
      <c r="L4515" s="120"/>
      <c r="M4515" s="120"/>
      <c r="N4515" s="167"/>
      <c r="O4515" s="120"/>
      <c r="P4515" s="120"/>
      <c r="Q4515" s="120"/>
      <c r="R4515" s="120"/>
      <c r="S4515" s="120"/>
      <c r="T4515" s="221"/>
      <c r="U4515" s="89"/>
      <c r="V4515" s="61"/>
      <c r="W4515" s="92" t="s">
        <v>1360</v>
      </c>
      <c r="X4515" s="93" t="s">
        <v>32</v>
      </c>
      <c r="Y4515" s="93" t="s">
        <v>64</v>
      </c>
      <c r="Z4515" s="134">
        <f>VLOOKUP(W4515,Sheet2!$B:$D,3,FALSE)</f>
        <v>30</v>
      </c>
      <c r="AA4515" s="93">
        <f>AA4514</f>
        <v>2.5000000000000001E-2</v>
      </c>
      <c r="AB4515" s="93">
        <f>AD4515/AC4513</f>
        <v>1200</v>
      </c>
      <c r="AC4515" s="93">
        <f>AC4513/AA4515</f>
        <v>7.9999999999999982</v>
      </c>
      <c r="AD4515" s="94">
        <f t="shared" si="3347"/>
        <v>239.99999999999994</v>
      </c>
      <c r="AE4515" s="190"/>
      <c r="AF4515" s="191"/>
      <c r="AG4515" s="191"/>
      <c r="AH4515" s="191"/>
      <c r="AI4515" s="186"/>
      <c r="AK4515" s="171"/>
    </row>
    <row r="4516" spans="1:41" s="103" customFormat="1" ht="19.899999999999999" customHeight="1" x14ac:dyDescent="0.25">
      <c r="A4516" s="51"/>
      <c r="B4516" s="52"/>
      <c r="C4516" s="165"/>
      <c r="D4516" s="52"/>
      <c r="E4516" s="115"/>
      <c r="F4516" s="58"/>
      <c r="G4516" s="58"/>
      <c r="H4516" s="58"/>
      <c r="I4516" s="55"/>
      <c r="J4516" s="113">
        <f>J4495</f>
        <v>0.19999999999999996</v>
      </c>
      <c r="K4516" s="212">
        <f>K4495</f>
        <v>0.19999999999999996</v>
      </c>
      <c r="L4516" s="58"/>
      <c r="M4516" s="58">
        <f>K4516-L4516</f>
        <v>0.19999999999999996</v>
      </c>
      <c r="N4516" s="166"/>
      <c r="O4516" s="58"/>
      <c r="P4516" s="58"/>
      <c r="Q4516" s="58"/>
      <c r="R4516" s="58"/>
      <c r="S4516" s="58"/>
      <c r="T4516" s="220"/>
      <c r="U4516" s="88"/>
      <c r="V4516" s="56"/>
      <c r="W4516" s="57" t="s">
        <v>1272</v>
      </c>
      <c r="X4516" s="53"/>
      <c r="Y4516" s="91" t="s">
        <v>35</v>
      </c>
      <c r="Z4516" s="136">
        <f>AD4516/AC4516</f>
        <v>209.08263529411764</v>
      </c>
      <c r="AA4516" s="58"/>
      <c r="AB4516" s="53">
        <f>AD4516/AC4516</f>
        <v>209.08263529411764</v>
      </c>
      <c r="AC4516" s="53">
        <f>M4516+$AE$10</f>
        <v>0.19999999999999996</v>
      </c>
      <c r="AD4516" s="54">
        <f>SUM(AD4517:AD4525)</f>
        <v>41.816527058823517</v>
      </c>
      <c r="AE4516" s="184">
        <f>SUMIFS($AD$37:$AD$12971,$V$37:$V$12971,$V4516,$X$37:$X$12971,AE$13)</f>
        <v>0</v>
      </c>
      <c r="AF4516" s="185">
        <f>SUMIFS($AD$37:$AD$12971,$V$37:$V$12971,$V4516,$X$37:$X$12971,AF$13)</f>
        <v>0</v>
      </c>
      <c r="AG4516" s="185">
        <f>SUMIFS($AD$37:$AD$12971,$V$37:$V$12971,$V4516,$X$37:$X$12971,AG$13)</f>
        <v>0</v>
      </c>
      <c r="AH4516" s="187">
        <f>SUMIFS($AD$37:$AD$12971,$V$37:$V$12971,$V4516,$X$37:$X$12971,AH$13)</f>
        <v>0</v>
      </c>
      <c r="AI4516" s="161">
        <f t="shared" ref="AI4516" si="3348">SUM(AE4516:AH4516)</f>
        <v>0</v>
      </c>
      <c r="AK4516" s="172"/>
    </row>
    <row r="4517" spans="1:41" s="102" customFormat="1" ht="19.899999999999999" customHeight="1" x14ac:dyDescent="0.25">
      <c r="A4517" s="45"/>
      <c r="B4517" s="59"/>
      <c r="C4517" s="137"/>
      <c r="D4517" s="59"/>
      <c r="E4517" s="116"/>
      <c r="F4517" s="120"/>
      <c r="G4517" s="120"/>
      <c r="H4517" s="120"/>
      <c r="I4517" s="60"/>
      <c r="J4517" s="116"/>
      <c r="K4517" s="213"/>
      <c r="L4517" s="120"/>
      <c r="M4517" s="120"/>
      <c r="N4517" s="167"/>
      <c r="O4517" s="120"/>
      <c r="P4517" s="120"/>
      <c r="Q4517" s="120"/>
      <c r="R4517" s="120"/>
      <c r="S4517" s="120"/>
      <c r="T4517" s="221"/>
      <c r="U4517" s="89"/>
      <c r="V4517" s="61"/>
      <c r="W4517" s="92" t="s">
        <v>1273</v>
      </c>
      <c r="X4517" s="93" t="s">
        <v>30</v>
      </c>
      <c r="Y4517" s="93" t="s">
        <v>66</v>
      </c>
      <c r="Z4517" s="134">
        <f>VLOOKUP(W4517,Sheet2!$B:$D,3,FALSE)</f>
        <v>10</v>
      </c>
      <c r="AA4517" s="93">
        <f>1/(2.5*2.4*0.5*4)</f>
        <v>8.3333333333333329E-2</v>
      </c>
      <c r="AB4517" s="93">
        <f>AD4517/AC4516</f>
        <v>119.99999999999999</v>
      </c>
      <c r="AC4517" s="93">
        <f>AC4516/AA4517</f>
        <v>2.3999999999999995</v>
      </c>
      <c r="AD4517" s="94">
        <f t="shared" ref="AD4517:AD4519" si="3349">AC4517*Z4517</f>
        <v>23.999999999999993</v>
      </c>
      <c r="AE4517" s="190"/>
      <c r="AF4517" s="191"/>
      <c r="AG4517" s="191"/>
      <c r="AH4517" s="191"/>
      <c r="AI4517" s="186"/>
      <c r="AK4517" s="171"/>
    </row>
    <row r="4518" spans="1:41" s="102" customFormat="1" ht="19.899999999999999" customHeight="1" x14ac:dyDescent="0.25">
      <c r="A4518" s="45"/>
      <c r="B4518" s="59"/>
      <c r="C4518" s="137"/>
      <c r="D4518" s="59"/>
      <c r="E4518" s="116"/>
      <c r="F4518" s="120"/>
      <c r="G4518" s="120"/>
      <c r="H4518" s="120"/>
      <c r="I4518" s="60"/>
      <c r="J4518" s="116"/>
      <c r="K4518" s="213"/>
      <c r="L4518" s="120"/>
      <c r="M4518" s="120"/>
      <c r="N4518" s="167"/>
      <c r="O4518" s="120"/>
      <c r="P4518" s="120"/>
      <c r="Q4518" s="120"/>
      <c r="R4518" s="120"/>
      <c r="S4518" s="120"/>
      <c r="T4518" s="221"/>
      <c r="U4518" s="89"/>
      <c r="V4518" s="61"/>
      <c r="W4518" s="92" t="s">
        <v>134</v>
      </c>
      <c r="X4518" s="93" t="s">
        <v>29</v>
      </c>
      <c r="Y4518" s="93" t="s">
        <v>93</v>
      </c>
      <c r="Z4518" s="134">
        <f>VLOOKUP(W4518,Sheet2!$B:$D,3,FALSE)</f>
        <v>65.599999999999994</v>
      </c>
      <c r="AA4518" s="93">
        <f>100/(2.5*2.4*0.5*4)</f>
        <v>8.3333333333333339</v>
      </c>
      <c r="AB4518" s="93">
        <f t="shared" ref="AB4518" si="3350">AD4518/AC4516</f>
        <v>7.8719999999999981</v>
      </c>
      <c r="AC4518" s="93">
        <f>AC4516/AA4518</f>
        <v>2.3999999999999994E-2</v>
      </c>
      <c r="AD4518" s="94">
        <f t="shared" si="3349"/>
        <v>1.5743999999999994</v>
      </c>
      <c r="AE4518" s="190"/>
      <c r="AF4518" s="191"/>
      <c r="AG4518" s="191"/>
      <c r="AH4518" s="191"/>
      <c r="AI4518" s="186"/>
      <c r="AK4518" s="171"/>
    </row>
    <row r="4519" spans="1:41" s="102" customFormat="1" ht="19.899999999999999" customHeight="1" x14ac:dyDescent="0.25">
      <c r="A4519" s="45"/>
      <c r="B4519" s="59"/>
      <c r="C4519" s="137"/>
      <c r="D4519" s="59"/>
      <c r="E4519" s="116"/>
      <c r="F4519" s="120"/>
      <c r="G4519" s="120"/>
      <c r="H4519" s="120"/>
      <c r="I4519" s="60"/>
      <c r="J4519" s="116"/>
      <c r="K4519" s="213"/>
      <c r="L4519" s="120"/>
      <c r="M4519" s="120"/>
      <c r="N4519" s="167"/>
      <c r="O4519" s="120"/>
      <c r="P4519" s="120"/>
      <c r="Q4519" s="120"/>
      <c r="R4519" s="120"/>
      <c r="S4519" s="120"/>
      <c r="T4519" s="221"/>
      <c r="U4519" s="89"/>
      <c r="V4519" s="61"/>
      <c r="W4519" s="92" t="s">
        <v>65</v>
      </c>
      <c r="X4519" s="93" t="s">
        <v>30</v>
      </c>
      <c r="Y4519" s="93" t="s">
        <v>1011</v>
      </c>
      <c r="Z4519" s="134">
        <f>VLOOKUP(W4519,Sheet2!$B:$D,3,FALSE)</f>
        <v>1.76</v>
      </c>
      <c r="AA4519" s="93">
        <f>AA4518/9</f>
        <v>0.92592592592592604</v>
      </c>
      <c r="AB4519" s="93">
        <f>AD4519/AC4516</f>
        <v>1.9007999999999996</v>
      </c>
      <c r="AC4519" s="93">
        <f>AC4516/AA4519</f>
        <v>0.21599999999999991</v>
      </c>
      <c r="AD4519" s="94">
        <f t="shared" si="3349"/>
        <v>0.38015999999999983</v>
      </c>
      <c r="AE4519" s="190"/>
      <c r="AF4519" s="191"/>
      <c r="AG4519" s="191"/>
      <c r="AH4519" s="191"/>
      <c r="AI4519" s="186"/>
      <c r="AK4519" s="171"/>
    </row>
    <row r="4520" spans="1:41" s="102" customFormat="1" ht="19.899999999999999" customHeight="1" x14ac:dyDescent="0.25">
      <c r="A4520" s="45"/>
      <c r="B4520" s="59"/>
      <c r="C4520" s="137"/>
      <c r="D4520" s="59"/>
      <c r="E4520" s="116"/>
      <c r="F4520" s="120"/>
      <c r="G4520" s="120"/>
      <c r="H4520" s="120"/>
      <c r="I4520" s="60"/>
      <c r="J4520" s="116"/>
      <c r="K4520" s="213"/>
      <c r="L4520" s="120"/>
      <c r="M4520" s="120"/>
      <c r="N4520" s="167"/>
      <c r="O4520" s="120"/>
      <c r="P4520" s="120"/>
      <c r="Q4520" s="120"/>
      <c r="R4520" s="120"/>
      <c r="S4520" s="120"/>
      <c r="T4520" s="221"/>
      <c r="U4520" s="89"/>
      <c r="V4520" s="61"/>
      <c r="W4520" s="92" t="s">
        <v>161</v>
      </c>
      <c r="X4520" s="93" t="s">
        <v>29</v>
      </c>
      <c r="Y4520" s="93" t="s">
        <v>93</v>
      </c>
      <c r="Z4520" s="134">
        <f>VLOOKUP(W4520,Sheet2!$B:$D,3,FALSE)</f>
        <v>48</v>
      </c>
      <c r="AA4520" s="93">
        <f>(16*0.85*1.5)/(2.5*2.4*0.5*4)</f>
        <v>1.7</v>
      </c>
      <c r="AB4520" s="93">
        <f>AD4520/AC4516</f>
        <v>28.235294117647058</v>
      </c>
      <c r="AC4520" s="93">
        <f>AC4516/AA4520</f>
        <v>0.11764705882352938</v>
      </c>
      <c r="AD4520" s="94">
        <f>AC4520*Z4520</f>
        <v>5.6470588235294104</v>
      </c>
      <c r="AE4520" s="190"/>
      <c r="AF4520" s="191"/>
      <c r="AG4520" s="191"/>
      <c r="AH4520" s="191"/>
      <c r="AI4520" s="186"/>
      <c r="AK4520" s="171"/>
    </row>
    <row r="4521" spans="1:41" s="102" customFormat="1" ht="19.899999999999999" customHeight="1" x14ac:dyDescent="0.25">
      <c r="A4521" s="45"/>
      <c r="B4521" s="59"/>
      <c r="C4521" s="137"/>
      <c r="D4521" s="59"/>
      <c r="E4521" s="116"/>
      <c r="F4521" s="120"/>
      <c r="G4521" s="120"/>
      <c r="H4521" s="120"/>
      <c r="I4521" s="60"/>
      <c r="J4521" s="116"/>
      <c r="K4521" s="213"/>
      <c r="L4521" s="120"/>
      <c r="M4521" s="120"/>
      <c r="N4521" s="167"/>
      <c r="O4521" s="120"/>
      <c r="P4521" s="120"/>
      <c r="Q4521" s="120"/>
      <c r="R4521" s="120"/>
      <c r="S4521" s="120"/>
      <c r="T4521" s="221"/>
      <c r="U4521" s="89"/>
      <c r="V4521" s="61"/>
      <c r="W4521" s="92" t="s">
        <v>65</v>
      </c>
      <c r="X4521" s="93" t="s">
        <v>30</v>
      </c>
      <c r="Y4521" s="93" t="s">
        <v>1011</v>
      </c>
      <c r="Z4521" s="134">
        <f>VLOOKUP(W4521,Sheet2!$B:$D,3,FALSE)</f>
        <v>1.76</v>
      </c>
      <c r="AA4521" s="93">
        <f>AA4520/10</f>
        <v>0.16999999999999998</v>
      </c>
      <c r="AB4521" s="93">
        <f>AD4521/AC4516</f>
        <v>10.352941176470589</v>
      </c>
      <c r="AC4521" s="93">
        <f>AC4516/AA4521</f>
        <v>1.1764705882352939</v>
      </c>
      <c r="AD4521" s="94">
        <f>AC4521*Z4521</f>
        <v>2.0705882352941174</v>
      </c>
      <c r="AE4521" s="190"/>
      <c r="AF4521" s="191"/>
      <c r="AG4521" s="191"/>
      <c r="AH4521" s="191"/>
      <c r="AI4521" s="186"/>
      <c r="AK4521" s="171"/>
    </row>
    <row r="4522" spans="1:41" s="102" customFormat="1" ht="19.899999999999999" customHeight="1" x14ac:dyDescent="0.25">
      <c r="A4522" s="45"/>
      <c r="B4522" s="59"/>
      <c r="C4522" s="137"/>
      <c r="D4522" s="59"/>
      <c r="E4522" s="116"/>
      <c r="F4522" s="120"/>
      <c r="G4522" s="120"/>
      <c r="H4522" s="120"/>
      <c r="I4522" s="60"/>
      <c r="J4522" s="116"/>
      <c r="K4522" s="213"/>
      <c r="L4522" s="120"/>
      <c r="M4522" s="120"/>
      <c r="N4522" s="167"/>
      <c r="O4522" s="120"/>
      <c r="P4522" s="120"/>
      <c r="Q4522" s="120"/>
      <c r="R4522" s="120"/>
      <c r="S4522" s="120"/>
      <c r="T4522" s="221"/>
      <c r="U4522" s="89"/>
      <c r="V4522" s="61"/>
      <c r="W4522" s="92" t="s">
        <v>173</v>
      </c>
      <c r="X4522" s="93" t="s">
        <v>29</v>
      </c>
      <c r="Y4522" s="93" t="s">
        <v>93</v>
      </c>
      <c r="Z4522" s="134">
        <f>VLOOKUP(W4522,Sheet2!$B:$D,3,FALSE)</f>
        <v>36</v>
      </c>
      <c r="AA4522" s="93">
        <f>50/(2.5*2.4*0.5*4)</f>
        <v>4.166666666666667</v>
      </c>
      <c r="AB4522" s="93">
        <f>AD4522/AC4516</f>
        <v>8.6399999999999988</v>
      </c>
      <c r="AC4522" s="93">
        <f>AC4516/AA4522</f>
        <v>4.7999999999999987E-2</v>
      </c>
      <c r="AD4522" s="94">
        <f>AC4522*Z4522</f>
        <v>1.7279999999999995</v>
      </c>
      <c r="AE4522" s="190"/>
      <c r="AF4522" s="191"/>
      <c r="AG4522" s="191"/>
      <c r="AH4522" s="191"/>
      <c r="AI4522" s="186"/>
      <c r="AK4522" s="171"/>
    </row>
    <row r="4523" spans="1:41" s="102" customFormat="1" ht="19.899999999999999" customHeight="1" x14ac:dyDescent="0.25">
      <c r="A4523" s="45"/>
      <c r="B4523" s="59"/>
      <c r="C4523" s="137"/>
      <c r="D4523" s="59"/>
      <c r="E4523" s="116"/>
      <c r="F4523" s="120"/>
      <c r="G4523" s="120"/>
      <c r="H4523" s="120"/>
      <c r="I4523" s="60"/>
      <c r="J4523" s="116"/>
      <c r="K4523" s="213"/>
      <c r="L4523" s="120"/>
      <c r="M4523" s="120"/>
      <c r="N4523" s="167"/>
      <c r="O4523" s="120"/>
      <c r="P4523" s="120"/>
      <c r="Q4523" s="120"/>
      <c r="R4523" s="120"/>
      <c r="S4523" s="120"/>
      <c r="T4523" s="221"/>
      <c r="U4523" s="89"/>
      <c r="V4523" s="61"/>
      <c r="W4523" s="92" t="s">
        <v>65</v>
      </c>
      <c r="X4523" s="93" t="s">
        <v>30</v>
      </c>
      <c r="Y4523" s="93" t="s">
        <v>1011</v>
      </c>
      <c r="Z4523" s="134">
        <f>VLOOKUP(W4523,Sheet2!$B:$D,3,FALSE)</f>
        <v>1.76</v>
      </c>
      <c r="AA4523" s="93">
        <f>AA4522/9</f>
        <v>0.46296296296296302</v>
      </c>
      <c r="AB4523" s="93">
        <f>AD4523/AC4516</f>
        <v>3.8015999999999992</v>
      </c>
      <c r="AC4523" s="93">
        <f>AC4516/AA4523</f>
        <v>0.43199999999999983</v>
      </c>
      <c r="AD4523" s="94">
        <f>AC4523*Z4523</f>
        <v>0.76031999999999966</v>
      </c>
      <c r="AE4523" s="190"/>
      <c r="AF4523" s="191"/>
      <c r="AG4523" s="191"/>
      <c r="AH4523" s="191"/>
      <c r="AI4523" s="186"/>
      <c r="AK4523" s="171"/>
    </row>
    <row r="4524" spans="1:41" s="102" customFormat="1" ht="19.899999999999999" customHeight="1" x14ac:dyDescent="0.25">
      <c r="A4524" s="45"/>
      <c r="B4524" s="59"/>
      <c r="C4524" s="137"/>
      <c r="D4524" s="59"/>
      <c r="E4524" s="116"/>
      <c r="F4524" s="120"/>
      <c r="G4524" s="120"/>
      <c r="H4524" s="120"/>
      <c r="I4524" s="60"/>
      <c r="J4524" s="116"/>
      <c r="K4524" s="213"/>
      <c r="L4524" s="120"/>
      <c r="M4524" s="120"/>
      <c r="N4524" s="167"/>
      <c r="O4524" s="120"/>
      <c r="P4524" s="120"/>
      <c r="Q4524" s="120"/>
      <c r="R4524" s="120"/>
      <c r="S4524" s="120"/>
      <c r="T4524" s="221"/>
      <c r="U4524" s="89"/>
      <c r="V4524" s="61"/>
      <c r="W4524" s="92" t="s">
        <v>1030</v>
      </c>
      <c r="X4524" s="93" t="s">
        <v>29</v>
      </c>
      <c r="Y4524" s="93" t="s">
        <v>93</v>
      </c>
      <c r="Z4524" s="134">
        <f>VLOOKUP(W4524,Sheet2!$B:$D,3,FALSE)</f>
        <v>23</v>
      </c>
      <c r="AA4524" s="93">
        <v>1</v>
      </c>
      <c r="AB4524" s="93">
        <f>AD4524/AC4516</f>
        <v>23</v>
      </c>
      <c r="AC4524" s="93">
        <f>AC4516/AA4524</f>
        <v>0.19999999999999996</v>
      </c>
      <c r="AD4524" s="94">
        <f t="shared" ref="AD4524:AD4525" si="3351">AC4524*Z4524</f>
        <v>4.5999999999999988</v>
      </c>
      <c r="AE4524" s="190"/>
      <c r="AF4524" s="191"/>
      <c r="AG4524" s="191"/>
      <c r="AH4524" s="191"/>
      <c r="AI4524" s="186"/>
      <c r="AK4524" s="171"/>
    </row>
    <row r="4525" spans="1:41" s="102" customFormat="1" ht="19.899999999999999" customHeight="1" x14ac:dyDescent="0.25">
      <c r="A4525" s="45"/>
      <c r="B4525" s="59"/>
      <c r="C4525" s="137"/>
      <c r="D4525" s="59"/>
      <c r="E4525" s="116"/>
      <c r="F4525" s="120"/>
      <c r="G4525" s="120"/>
      <c r="H4525" s="120"/>
      <c r="I4525" s="60"/>
      <c r="J4525" s="116"/>
      <c r="K4525" s="213"/>
      <c r="L4525" s="120"/>
      <c r="M4525" s="120"/>
      <c r="N4525" s="167"/>
      <c r="O4525" s="120"/>
      <c r="P4525" s="120"/>
      <c r="Q4525" s="120"/>
      <c r="R4525" s="120"/>
      <c r="S4525" s="120"/>
      <c r="T4525" s="221"/>
      <c r="U4525" s="89"/>
      <c r="V4525" s="61"/>
      <c r="W4525" s="92" t="s">
        <v>65</v>
      </c>
      <c r="X4525" s="93" t="s">
        <v>30</v>
      </c>
      <c r="Y4525" s="93" t="s">
        <v>1011</v>
      </c>
      <c r="Z4525" s="134">
        <f>VLOOKUP(W4525,Sheet2!$B:$D,3,FALSE)</f>
        <v>1.76</v>
      </c>
      <c r="AA4525" s="93">
        <f>AA4524/3</f>
        <v>0.33333333333333331</v>
      </c>
      <c r="AB4525" s="93">
        <f>AD4525/AC4516</f>
        <v>5.28</v>
      </c>
      <c r="AC4525" s="93">
        <f>AC4516/AA4525</f>
        <v>0.59999999999999987</v>
      </c>
      <c r="AD4525" s="94">
        <f t="shared" si="3351"/>
        <v>1.0559999999999998</v>
      </c>
      <c r="AE4525" s="190"/>
      <c r="AF4525" s="191"/>
      <c r="AG4525" s="191"/>
      <c r="AH4525" s="191"/>
      <c r="AI4525" s="186"/>
      <c r="AK4525" s="171"/>
    </row>
    <row r="4526" spans="1:41" ht="20.100000000000001" customHeight="1" x14ac:dyDescent="0.25">
      <c r="A4526" s="277" t="s">
        <v>491</v>
      </c>
      <c r="B4526" s="278"/>
      <c r="C4526" s="64" t="s">
        <v>551</v>
      </c>
      <c r="D4526" s="46" t="s">
        <v>328</v>
      </c>
      <c r="E4526" s="114">
        <v>0.64999999999999991</v>
      </c>
      <c r="F4526" s="44">
        <v>39904</v>
      </c>
      <c r="G4526" s="44">
        <f t="shared" si="2434"/>
        <v>25937.599999999995</v>
      </c>
      <c r="H4526" s="44">
        <f t="shared" si="2435"/>
        <v>12286.179576470588</v>
      </c>
      <c r="I4526" s="43">
        <f t="shared" si="2436"/>
        <v>7986.0167247058807</v>
      </c>
      <c r="J4526" s="112">
        <f t="shared" si="2437"/>
        <v>0.64999999999999991</v>
      </c>
      <c r="K4526" s="211">
        <f t="shared" si="2438"/>
        <v>0.64999999999999991</v>
      </c>
      <c r="L4526" s="44"/>
      <c r="M4526" s="44">
        <f t="shared" si="2458"/>
        <v>0.64999999999999991</v>
      </c>
      <c r="N4526" s="173">
        <f t="shared" si="2439"/>
        <v>1</v>
      </c>
      <c r="O4526" s="44">
        <f t="shared" si="2440"/>
        <v>39904</v>
      </c>
      <c r="P4526" s="44">
        <f t="shared" si="2441"/>
        <v>25937.599999999995</v>
      </c>
      <c r="Q4526" s="44">
        <f t="shared" si="2442"/>
        <v>12286.179576470588</v>
      </c>
      <c r="R4526" s="44">
        <f t="shared" si="2459"/>
        <v>7986.0167247058807</v>
      </c>
      <c r="S4526" s="123"/>
      <c r="T4526" s="219">
        <f t="shared" si="2460"/>
        <v>7986.0167247058807</v>
      </c>
      <c r="U4526" s="87"/>
      <c r="V4526" s="47"/>
      <c r="W4526" s="48"/>
      <c r="X4526" s="48"/>
      <c r="Y4526" s="48"/>
      <c r="Z4526" s="135"/>
      <c r="AA4526" s="49"/>
      <c r="AB4526" s="50">
        <f t="shared" si="2443"/>
        <v>12286.179576470588</v>
      </c>
      <c r="AC4526" s="42">
        <f t="shared" si="2461"/>
        <v>0.64999999999999991</v>
      </c>
      <c r="AD4526" s="90">
        <f>AD4527+AD4532+AD4544+AD4547</f>
        <v>7986.0167247058807</v>
      </c>
      <c r="AE4526" s="188">
        <f t="shared" ref="AE4526" si="3352">AE4527+AE4532+AE4544+AE4547</f>
        <v>0</v>
      </c>
      <c r="AF4526" s="189">
        <f t="shared" ref="AF4526" si="3353">AF4527+AF4532+AF4544+AF4547</f>
        <v>0</v>
      </c>
      <c r="AG4526" s="189">
        <f t="shared" ref="AG4526" si="3354">AG4527+AG4532+AG4544+AG4547</f>
        <v>0</v>
      </c>
      <c r="AH4526" s="189">
        <f t="shared" ref="AH4526" si="3355">AH4527+AH4532+AH4544+AH4547</f>
        <v>0</v>
      </c>
      <c r="AI4526" s="161">
        <f t="shared" si="3338"/>
        <v>0</v>
      </c>
      <c r="AK4526" s="169">
        <v>5</v>
      </c>
      <c r="AO4526" s="19" t="s">
        <v>63</v>
      </c>
    </row>
    <row r="4527" spans="1:41" s="103" customFormat="1" ht="19.899999999999999" customHeight="1" x14ac:dyDescent="0.25">
      <c r="A4527" s="51"/>
      <c r="B4527" s="52"/>
      <c r="C4527" s="165"/>
      <c r="D4527" s="52"/>
      <c r="E4527" s="115"/>
      <c r="F4527" s="58"/>
      <c r="G4527" s="58"/>
      <c r="H4527" s="58"/>
      <c r="I4527" s="55"/>
      <c r="J4527" s="113">
        <f>J4526</f>
        <v>0.64999999999999991</v>
      </c>
      <c r="K4527" s="212">
        <f>K4526</f>
        <v>0.64999999999999991</v>
      </c>
      <c r="L4527" s="58"/>
      <c r="M4527" s="58">
        <f>K4527-L4527</f>
        <v>0.64999999999999991</v>
      </c>
      <c r="N4527" s="166"/>
      <c r="O4527" s="58"/>
      <c r="P4527" s="58"/>
      <c r="Q4527" s="58"/>
      <c r="R4527" s="58"/>
      <c r="S4527" s="58"/>
      <c r="T4527" s="220"/>
      <c r="U4527" s="88"/>
      <c r="V4527" s="56"/>
      <c r="W4527" s="57" t="s">
        <v>1351</v>
      </c>
      <c r="X4527" s="53"/>
      <c r="Y4527" s="91" t="s">
        <v>35</v>
      </c>
      <c r="Z4527" s="136">
        <f>AD4527/AC4527</f>
        <v>90.496941176470585</v>
      </c>
      <c r="AA4527" s="58"/>
      <c r="AB4527" s="53">
        <f>AD4527/AC4527</f>
        <v>90.496941176470585</v>
      </c>
      <c r="AC4527" s="53">
        <f>M4527+$AE$10</f>
        <v>0.64999999999999991</v>
      </c>
      <c r="AD4527" s="54">
        <f>SUM(AD4528:AD4531)</f>
        <v>58.823011764705875</v>
      </c>
      <c r="AE4527" s="184">
        <f>SUMIFS($AD$37:$AD$12971,$V$37:$V$12971,$V4527,$X$37:$X$12971,AE$13)</f>
        <v>0</v>
      </c>
      <c r="AF4527" s="185">
        <f>SUMIFS($AD$37:$AD$12971,$V$37:$V$12971,$V4527,$X$37:$X$12971,AF$13)</f>
        <v>0</v>
      </c>
      <c r="AG4527" s="185">
        <f>SUMIFS($AD$37:$AD$12971,$V$37:$V$12971,$V4527,$X$37:$X$12971,AG$13)</f>
        <v>0</v>
      </c>
      <c r="AH4527" s="187">
        <f>SUMIFS($AD$37:$AD$12971,$V$37:$V$12971,$V4527,$X$37:$X$12971,AH$13)</f>
        <v>0</v>
      </c>
      <c r="AI4527" s="161">
        <f t="shared" ref="AI4527" si="3356">SUM(AE4527:AH4527)</f>
        <v>0</v>
      </c>
      <c r="AK4527" s="172"/>
    </row>
    <row r="4528" spans="1:41" s="102" customFormat="1" ht="19.899999999999999" customHeight="1" x14ac:dyDescent="0.25">
      <c r="A4528" s="45"/>
      <c r="B4528" s="59"/>
      <c r="C4528" s="137"/>
      <c r="D4528" s="59"/>
      <c r="E4528" s="116"/>
      <c r="F4528" s="120"/>
      <c r="G4528" s="120"/>
      <c r="H4528" s="120"/>
      <c r="I4528" s="60"/>
      <c r="J4528" s="116"/>
      <c r="K4528" s="213"/>
      <c r="L4528" s="120"/>
      <c r="M4528" s="120"/>
      <c r="N4528" s="167"/>
      <c r="O4528" s="120"/>
      <c r="P4528" s="120"/>
      <c r="Q4528" s="120"/>
      <c r="R4528" s="120"/>
      <c r="S4528" s="120"/>
      <c r="T4528" s="221"/>
      <c r="U4528" s="89"/>
      <c r="V4528" s="61"/>
      <c r="W4528" s="92" t="s">
        <v>129</v>
      </c>
      <c r="X4528" s="93" t="s">
        <v>29</v>
      </c>
      <c r="Y4528" s="93" t="s">
        <v>93</v>
      </c>
      <c r="Z4528" s="134">
        <f>VLOOKUP(W4528,Sheet2!$B:$D,3,FALSE)</f>
        <v>56</v>
      </c>
      <c r="AA4528" s="93">
        <f>100/(3*3*2.5)</f>
        <v>4.4444444444444446</v>
      </c>
      <c r="AB4528" s="93">
        <f t="shared" ref="AB4528" si="3357">AD4528/AC4527</f>
        <v>12.599999999999998</v>
      </c>
      <c r="AC4528" s="93">
        <f>AC4527/AA4528</f>
        <v>0.14624999999999996</v>
      </c>
      <c r="AD4528" s="94">
        <f t="shared" ref="AD4528:AD4529" si="3358">AC4528*Z4528</f>
        <v>8.1899999999999977</v>
      </c>
      <c r="AE4528" s="190"/>
      <c r="AF4528" s="191"/>
      <c r="AG4528" s="191"/>
      <c r="AH4528" s="191"/>
      <c r="AI4528" s="186"/>
      <c r="AK4528" s="171"/>
    </row>
    <row r="4529" spans="1:37" s="102" customFormat="1" ht="19.899999999999999" customHeight="1" x14ac:dyDescent="0.25">
      <c r="A4529" s="45"/>
      <c r="B4529" s="59"/>
      <c r="C4529" s="137"/>
      <c r="D4529" s="59"/>
      <c r="E4529" s="116"/>
      <c r="F4529" s="120"/>
      <c r="G4529" s="120"/>
      <c r="H4529" s="120"/>
      <c r="I4529" s="60"/>
      <c r="J4529" s="116"/>
      <c r="K4529" s="213"/>
      <c r="L4529" s="120"/>
      <c r="M4529" s="120"/>
      <c r="N4529" s="167"/>
      <c r="O4529" s="120"/>
      <c r="P4529" s="120"/>
      <c r="Q4529" s="120"/>
      <c r="R4529" s="120"/>
      <c r="S4529" s="120"/>
      <c r="T4529" s="221"/>
      <c r="U4529" s="89"/>
      <c r="V4529" s="61"/>
      <c r="W4529" s="92" t="s">
        <v>65</v>
      </c>
      <c r="X4529" s="93" t="s">
        <v>30</v>
      </c>
      <c r="Y4529" s="93" t="s">
        <v>1011</v>
      </c>
      <c r="Z4529" s="134">
        <f>VLOOKUP(W4529,Sheet2!$B:$D,3,FALSE)</f>
        <v>1.76</v>
      </c>
      <c r="AA4529" s="93">
        <f>AA4528/14</f>
        <v>0.3174603174603175</v>
      </c>
      <c r="AB4529" s="93">
        <f>AD4529/AC4527</f>
        <v>5.5439999999999987</v>
      </c>
      <c r="AC4529" s="93">
        <f>AC4527/AA4529</f>
        <v>2.0474999999999994</v>
      </c>
      <c r="AD4529" s="94">
        <f t="shared" si="3358"/>
        <v>3.6035999999999988</v>
      </c>
      <c r="AE4529" s="190"/>
      <c r="AF4529" s="191"/>
      <c r="AG4529" s="191"/>
      <c r="AH4529" s="191"/>
      <c r="AI4529" s="186"/>
      <c r="AK4529" s="171"/>
    </row>
    <row r="4530" spans="1:37" s="102" customFormat="1" ht="19.899999999999999" customHeight="1" x14ac:dyDescent="0.25">
      <c r="A4530" s="45"/>
      <c r="B4530" s="59"/>
      <c r="C4530" s="137"/>
      <c r="D4530" s="59"/>
      <c r="E4530" s="116"/>
      <c r="F4530" s="120"/>
      <c r="G4530" s="120"/>
      <c r="H4530" s="120"/>
      <c r="I4530" s="60"/>
      <c r="J4530" s="116"/>
      <c r="K4530" s="213"/>
      <c r="L4530" s="120"/>
      <c r="M4530" s="120"/>
      <c r="N4530" s="167"/>
      <c r="O4530" s="120"/>
      <c r="P4530" s="120"/>
      <c r="Q4530" s="120"/>
      <c r="R4530" s="120"/>
      <c r="S4530" s="120"/>
      <c r="T4530" s="221"/>
      <c r="U4530" s="89"/>
      <c r="V4530" s="61"/>
      <c r="W4530" s="92" t="s">
        <v>161</v>
      </c>
      <c r="X4530" s="93" t="s">
        <v>29</v>
      </c>
      <c r="Y4530" s="93" t="s">
        <v>93</v>
      </c>
      <c r="Z4530" s="134">
        <f>VLOOKUP(W4530,Sheet2!$B:$D,3,FALSE)</f>
        <v>48</v>
      </c>
      <c r="AA4530" s="93">
        <f>(16*0.85*1.5)/(3*3*2.5)</f>
        <v>0.90666666666666662</v>
      </c>
      <c r="AB4530" s="93">
        <f>AD4530/AC4527</f>
        <v>52.941176470588232</v>
      </c>
      <c r="AC4530" s="93">
        <f>AC4527/AA4530</f>
        <v>0.71691176470588225</v>
      </c>
      <c r="AD4530" s="94">
        <f>AC4530*Z4530</f>
        <v>34.411764705882348</v>
      </c>
      <c r="AE4530" s="190"/>
      <c r="AF4530" s="191"/>
      <c r="AG4530" s="191"/>
      <c r="AH4530" s="191"/>
      <c r="AI4530" s="186"/>
      <c r="AK4530" s="171"/>
    </row>
    <row r="4531" spans="1:37" s="102" customFormat="1" ht="19.899999999999999" customHeight="1" x14ac:dyDescent="0.25">
      <c r="A4531" s="45"/>
      <c r="B4531" s="59"/>
      <c r="C4531" s="137"/>
      <c r="D4531" s="59"/>
      <c r="E4531" s="116"/>
      <c r="F4531" s="120"/>
      <c r="G4531" s="120"/>
      <c r="H4531" s="120"/>
      <c r="I4531" s="60"/>
      <c r="J4531" s="116"/>
      <c r="K4531" s="213"/>
      <c r="L4531" s="120"/>
      <c r="M4531" s="120"/>
      <c r="N4531" s="167"/>
      <c r="O4531" s="120"/>
      <c r="P4531" s="120"/>
      <c r="Q4531" s="120"/>
      <c r="R4531" s="120"/>
      <c r="S4531" s="120"/>
      <c r="T4531" s="221"/>
      <c r="U4531" s="89"/>
      <c r="V4531" s="61"/>
      <c r="W4531" s="92" t="s">
        <v>65</v>
      </c>
      <c r="X4531" s="93" t="s">
        <v>30</v>
      </c>
      <c r="Y4531" s="93" t="s">
        <v>1011</v>
      </c>
      <c r="Z4531" s="134">
        <f>VLOOKUP(W4531,Sheet2!$B:$D,3,FALSE)</f>
        <v>1.76</v>
      </c>
      <c r="AA4531" s="93">
        <f>AA4530/10</f>
        <v>9.0666666666666659E-2</v>
      </c>
      <c r="AB4531" s="93">
        <f>AD4531/AC4527</f>
        <v>19.411764705882355</v>
      </c>
      <c r="AC4531" s="93">
        <f>AC4527/AA4531</f>
        <v>7.1691176470588234</v>
      </c>
      <c r="AD4531" s="94">
        <f>AC4531*Z4531</f>
        <v>12.617647058823529</v>
      </c>
      <c r="AE4531" s="190"/>
      <c r="AF4531" s="191"/>
      <c r="AG4531" s="191"/>
      <c r="AH4531" s="191"/>
      <c r="AI4531" s="186"/>
      <c r="AK4531" s="171"/>
    </row>
    <row r="4532" spans="1:37" s="103" customFormat="1" ht="19.899999999999999" customHeight="1" x14ac:dyDescent="0.25">
      <c r="A4532" s="51"/>
      <c r="B4532" s="52"/>
      <c r="C4532" s="165"/>
      <c r="D4532" s="52"/>
      <c r="E4532" s="115"/>
      <c r="F4532" s="58"/>
      <c r="G4532" s="58"/>
      <c r="H4532" s="58"/>
      <c r="I4532" s="55"/>
      <c r="J4532" s="113">
        <f>J4526</f>
        <v>0.64999999999999991</v>
      </c>
      <c r="K4532" s="212">
        <f>K4526</f>
        <v>0.64999999999999991</v>
      </c>
      <c r="L4532" s="58"/>
      <c r="M4532" s="58">
        <f>K4532-L4532</f>
        <v>0.64999999999999991</v>
      </c>
      <c r="N4532" s="166"/>
      <c r="O4532" s="58"/>
      <c r="P4532" s="58"/>
      <c r="Q4532" s="58"/>
      <c r="R4532" s="58"/>
      <c r="S4532" s="58"/>
      <c r="T4532" s="220"/>
      <c r="U4532" s="88"/>
      <c r="V4532" s="56"/>
      <c r="W4532" s="57" t="s">
        <v>1352</v>
      </c>
      <c r="X4532" s="53"/>
      <c r="Y4532" s="91" t="s">
        <v>35</v>
      </c>
      <c r="Z4532" s="136">
        <f>AD4532/AC4532</f>
        <v>9186.5999999999985</v>
      </c>
      <c r="AA4532" s="58"/>
      <c r="AB4532" s="53">
        <f>AD4532/AC4532</f>
        <v>9186.5999999999985</v>
      </c>
      <c r="AC4532" s="53">
        <f>M4532+$AE$10</f>
        <v>0.64999999999999991</v>
      </c>
      <c r="AD4532" s="54">
        <f>SUM(AD4533:AD4543)</f>
        <v>5971.2899999999981</v>
      </c>
      <c r="AE4532" s="184">
        <f>SUMIFS($AD$37:$AD$12971,$V$37:$V$12971,$V4532,$X$37:$X$12971,AE$13)</f>
        <v>0</v>
      </c>
      <c r="AF4532" s="185">
        <f>SUMIFS($AD$37:$AD$12971,$V$37:$V$12971,$V4532,$X$37:$X$12971,AF$13)</f>
        <v>0</v>
      </c>
      <c r="AG4532" s="185">
        <f>SUMIFS($AD$37:$AD$12971,$V$37:$V$12971,$V4532,$X$37:$X$12971,AG$13)</f>
        <v>0</v>
      </c>
      <c r="AH4532" s="187">
        <f>SUMIFS($AD$37:$AD$12971,$V$37:$V$12971,$V4532,$X$37:$X$12971,AH$13)</f>
        <v>0</v>
      </c>
      <c r="AI4532" s="161">
        <f t="shared" ref="AI4532" si="3359">SUM(AE4532:AH4532)</f>
        <v>0</v>
      </c>
      <c r="AK4532" s="172"/>
    </row>
    <row r="4533" spans="1:37" s="102" customFormat="1" ht="19.899999999999999" customHeight="1" x14ac:dyDescent="0.25">
      <c r="A4533" s="45"/>
      <c r="B4533" s="59"/>
      <c r="C4533" s="137"/>
      <c r="D4533" s="59"/>
      <c r="E4533" s="116"/>
      <c r="F4533" s="120"/>
      <c r="G4533" s="120"/>
      <c r="H4533" s="120"/>
      <c r="I4533" s="60"/>
      <c r="J4533" s="116"/>
      <c r="K4533" s="213"/>
      <c r="L4533" s="120"/>
      <c r="M4533" s="120"/>
      <c r="N4533" s="167"/>
      <c r="O4533" s="120"/>
      <c r="P4533" s="120"/>
      <c r="Q4533" s="120"/>
      <c r="R4533" s="120"/>
      <c r="S4533" s="120"/>
      <c r="T4533" s="221"/>
      <c r="U4533" s="89"/>
      <c r="V4533" s="61"/>
      <c r="W4533" s="92" t="s">
        <v>1032</v>
      </c>
      <c r="X4533" s="93" t="s">
        <v>30</v>
      </c>
      <c r="Y4533" s="93" t="s">
        <v>66</v>
      </c>
      <c r="Z4533" s="134">
        <f>VLOOKUP(W4533,Sheet2!$B:$D,3,FALSE)</f>
        <v>250</v>
      </c>
      <c r="AA4533" s="93">
        <f>1/(3*3*0.1)</f>
        <v>1.1111111111111112</v>
      </c>
      <c r="AB4533" s="93">
        <f t="shared" ref="AB4533" si="3360">AD4533/AC4532</f>
        <v>225</v>
      </c>
      <c r="AC4533" s="93">
        <f>AC4532/AA4533</f>
        <v>0.58499999999999985</v>
      </c>
      <c r="AD4533" s="94">
        <f t="shared" ref="AD4533:AD4535" si="3361">AC4533*Z4533</f>
        <v>146.24999999999997</v>
      </c>
      <c r="AE4533" s="190"/>
      <c r="AF4533" s="191"/>
      <c r="AG4533" s="191"/>
      <c r="AH4533" s="191"/>
      <c r="AI4533" s="186"/>
      <c r="AK4533" s="171"/>
    </row>
    <row r="4534" spans="1:37" s="102" customFormat="1" ht="19.899999999999999" customHeight="1" x14ac:dyDescent="0.25">
      <c r="A4534" s="45"/>
      <c r="B4534" s="59"/>
      <c r="C4534" s="137"/>
      <c r="D4534" s="59"/>
      <c r="E4534" s="116"/>
      <c r="F4534" s="120"/>
      <c r="G4534" s="120"/>
      <c r="H4534" s="120"/>
      <c r="I4534" s="60"/>
      <c r="J4534" s="116"/>
      <c r="K4534" s="213"/>
      <c r="L4534" s="120"/>
      <c r="M4534" s="120"/>
      <c r="N4534" s="167"/>
      <c r="O4534" s="120"/>
      <c r="P4534" s="120"/>
      <c r="Q4534" s="120"/>
      <c r="R4534" s="120"/>
      <c r="S4534" s="120"/>
      <c r="T4534" s="221"/>
      <c r="U4534" s="89"/>
      <c r="V4534" s="61"/>
      <c r="W4534" s="92" t="s">
        <v>1353</v>
      </c>
      <c r="X4534" s="93" t="s">
        <v>30</v>
      </c>
      <c r="Y4534" s="93" t="s">
        <v>66</v>
      </c>
      <c r="Z4534" s="134">
        <f>VLOOKUP(W4534,Sheet2!$B:$D,3,FALSE)</f>
        <v>350</v>
      </c>
      <c r="AA4534" s="93">
        <f>1/(2*2*0.25*5)</f>
        <v>0.2</v>
      </c>
      <c r="AB4534" s="93">
        <f>AD4534/AC4532</f>
        <v>1750</v>
      </c>
      <c r="AC4534" s="93">
        <f>AC4532/AA4534</f>
        <v>3.2499999999999996</v>
      </c>
      <c r="AD4534" s="94">
        <f t="shared" si="3361"/>
        <v>1137.4999999999998</v>
      </c>
      <c r="AE4534" s="190"/>
      <c r="AF4534" s="191"/>
      <c r="AG4534" s="191"/>
      <c r="AH4534" s="191"/>
      <c r="AI4534" s="186"/>
      <c r="AK4534" s="171"/>
    </row>
    <row r="4535" spans="1:37" s="102" customFormat="1" ht="19.899999999999999" customHeight="1" x14ac:dyDescent="0.25">
      <c r="A4535" s="45"/>
      <c r="B4535" s="59"/>
      <c r="C4535" s="137"/>
      <c r="D4535" s="59"/>
      <c r="E4535" s="116"/>
      <c r="F4535" s="120"/>
      <c r="G4535" s="120"/>
      <c r="H4535" s="120"/>
      <c r="I4535" s="60"/>
      <c r="J4535" s="116"/>
      <c r="K4535" s="213"/>
      <c r="L4535" s="120"/>
      <c r="M4535" s="120"/>
      <c r="N4535" s="167"/>
      <c r="O4535" s="120"/>
      <c r="P4535" s="120"/>
      <c r="Q4535" s="120"/>
      <c r="R4535" s="120"/>
      <c r="S4535" s="120"/>
      <c r="T4535" s="221"/>
      <c r="U4535" s="89"/>
      <c r="V4535" s="61"/>
      <c r="W4535" s="92" t="s">
        <v>99</v>
      </c>
      <c r="X4535" s="93" t="s">
        <v>30</v>
      </c>
      <c r="Y4535" s="93" t="s">
        <v>67</v>
      </c>
      <c r="Z4535" s="134">
        <f>VLOOKUP(W4535,Sheet2!$B:$D,3,FALSE)</f>
        <v>2500</v>
      </c>
      <c r="AA4535" s="93">
        <f>1/(2*2*0.25*5*0.08)</f>
        <v>2.5</v>
      </c>
      <c r="AB4535" s="93">
        <f>AD4535/AC4532</f>
        <v>1000</v>
      </c>
      <c r="AC4535" s="93">
        <f>AC4532/AA4535</f>
        <v>0.25999999999999995</v>
      </c>
      <c r="AD4535" s="94">
        <f t="shared" si="3361"/>
        <v>649.99999999999989</v>
      </c>
      <c r="AE4535" s="190"/>
      <c r="AF4535" s="191"/>
      <c r="AG4535" s="191"/>
      <c r="AH4535" s="191"/>
      <c r="AI4535" s="186"/>
      <c r="AK4535" s="171"/>
    </row>
    <row r="4536" spans="1:37" s="102" customFormat="1" ht="19.899999999999999" customHeight="1" x14ac:dyDescent="0.25">
      <c r="A4536" s="45"/>
      <c r="B4536" s="59"/>
      <c r="C4536" s="137"/>
      <c r="D4536" s="59"/>
      <c r="E4536" s="116"/>
      <c r="F4536" s="120"/>
      <c r="G4536" s="120"/>
      <c r="H4536" s="120"/>
      <c r="I4536" s="60"/>
      <c r="J4536" s="116"/>
      <c r="K4536" s="213"/>
      <c r="L4536" s="120"/>
      <c r="M4536" s="120"/>
      <c r="N4536" s="167"/>
      <c r="O4536" s="120"/>
      <c r="P4536" s="120"/>
      <c r="Q4536" s="120"/>
      <c r="R4536" s="120"/>
      <c r="S4536" s="120"/>
      <c r="T4536" s="221"/>
      <c r="U4536" s="89"/>
      <c r="V4536" s="61"/>
      <c r="W4536" s="92" t="s">
        <v>1354</v>
      </c>
      <c r="X4536" s="93" t="s">
        <v>32</v>
      </c>
      <c r="Y4536" s="93" t="s">
        <v>66</v>
      </c>
      <c r="Z4536" s="134">
        <f>VLOOKUP(W4536,Sheet2!$B:$D,3,FALSE)</f>
        <v>150</v>
      </c>
      <c r="AA4536" s="93">
        <f>AA4533</f>
        <v>1.1111111111111112</v>
      </c>
      <c r="AB4536" s="93">
        <f>AD4536/AC4532</f>
        <v>134.99999999999997</v>
      </c>
      <c r="AC4536" s="93">
        <f>AC4532/AA4536</f>
        <v>0.58499999999999985</v>
      </c>
      <c r="AD4536" s="94">
        <f>AC4536*Z4536</f>
        <v>87.749999999999972</v>
      </c>
      <c r="AE4536" s="190"/>
      <c r="AF4536" s="191"/>
      <c r="AG4536" s="191"/>
      <c r="AH4536" s="191"/>
      <c r="AI4536" s="186"/>
      <c r="AK4536" s="171"/>
    </row>
    <row r="4537" spans="1:37" s="102" customFormat="1" ht="19.899999999999999" customHeight="1" x14ac:dyDescent="0.25">
      <c r="A4537" s="45"/>
      <c r="B4537" s="59"/>
      <c r="C4537" s="137"/>
      <c r="D4537" s="59"/>
      <c r="E4537" s="116"/>
      <c r="F4537" s="120"/>
      <c r="G4537" s="120"/>
      <c r="H4537" s="120"/>
      <c r="I4537" s="60"/>
      <c r="J4537" s="116"/>
      <c r="K4537" s="213"/>
      <c r="L4537" s="120"/>
      <c r="M4537" s="120"/>
      <c r="N4537" s="167"/>
      <c r="O4537" s="120"/>
      <c r="P4537" s="120"/>
      <c r="Q4537" s="120"/>
      <c r="R4537" s="120"/>
      <c r="S4537" s="120"/>
      <c r="T4537" s="221"/>
      <c r="U4537" s="89"/>
      <c r="V4537" s="61"/>
      <c r="W4537" s="92" t="s">
        <v>1355</v>
      </c>
      <c r="X4537" s="93" t="s">
        <v>32</v>
      </c>
      <c r="Y4537" s="93" t="s">
        <v>66</v>
      </c>
      <c r="Z4537" s="134">
        <f>VLOOKUP(W4537,Sheet2!$B:$D,3,FALSE)</f>
        <v>450</v>
      </c>
      <c r="AA4537" s="93">
        <f>AA4534</f>
        <v>0.2</v>
      </c>
      <c r="AB4537" s="93">
        <f>AD4537/AC4532</f>
        <v>2250</v>
      </c>
      <c r="AC4537" s="93">
        <f>AC4532/AA4537</f>
        <v>3.2499999999999996</v>
      </c>
      <c r="AD4537" s="94">
        <f>AC4537*Z4537</f>
        <v>1462.4999999999998</v>
      </c>
      <c r="AE4537" s="190"/>
      <c r="AF4537" s="191"/>
      <c r="AG4537" s="191"/>
      <c r="AH4537" s="191"/>
      <c r="AI4537" s="186"/>
      <c r="AK4537" s="171"/>
    </row>
    <row r="4538" spans="1:37" s="102" customFormat="1" ht="19.899999999999999" customHeight="1" x14ac:dyDescent="0.25">
      <c r="A4538" s="45"/>
      <c r="B4538" s="59"/>
      <c r="C4538" s="137"/>
      <c r="D4538" s="59"/>
      <c r="E4538" s="116"/>
      <c r="F4538" s="120"/>
      <c r="G4538" s="120"/>
      <c r="H4538" s="120"/>
      <c r="I4538" s="60"/>
      <c r="J4538" s="116"/>
      <c r="K4538" s="213"/>
      <c r="L4538" s="120"/>
      <c r="M4538" s="120"/>
      <c r="N4538" s="167"/>
      <c r="O4538" s="120"/>
      <c r="P4538" s="120"/>
      <c r="Q4538" s="120"/>
      <c r="R4538" s="120"/>
      <c r="S4538" s="120"/>
      <c r="T4538" s="221"/>
      <c r="U4538" s="89"/>
      <c r="V4538" s="61"/>
      <c r="W4538" s="92" t="s">
        <v>1356</v>
      </c>
      <c r="X4538" s="93" t="s">
        <v>30</v>
      </c>
      <c r="Y4538" s="93" t="s">
        <v>35</v>
      </c>
      <c r="Z4538" s="134">
        <f>VLOOKUP(W4538,Sheet2!$B:$D,3,FALSE)</f>
        <v>3500</v>
      </c>
      <c r="AA4538" s="93">
        <v>1</v>
      </c>
      <c r="AB4538" s="93">
        <f>AD4538/AC4532</f>
        <v>3500</v>
      </c>
      <c r="AC4538" s="93">
        <f>AC4532/AA4538</f>
        <v>0.64999999999999991</v>
      </c>
      <c r="AD4538" s="94">
        <f t="shared" ref="AD4538:AD4539" si="3362">AC4538*Z4538</f>
        <v>2274.9999999999995</v>
      </c>
      <c r="AE4538" s="190"/>
      <c r="AF4538" s="191"/>
      <c r="AG4538" s="191"/>
      <c r="AH4538" s="191"/>
      <c r="AI4538" s="186"/>
      <c r="AK4538" s="171"/>
    </row>
    <row r="4539" spans="1:37" s="102" customFormat="1" ht="19.899999999999999" customHeight="1" x14ac:dyDescent="0.25">
      <c r="A4539" s="45"/>
      <c r="B4539" s="59"/>
      <c r="C4539" s="137"/>
      <c r="D4539" s="59"/>
      <c r="E4539" s="116"/>
      <c r="F4539" s="120"/>
      <c r="G4539" s="120"/>
      <c r="H4539" s="120"/>
      <c r="I4539" s="60"/>
      <c r="J4539" s="116"/>
      <c r="K4539" s="213"/>
      <c r="L4539" s="120"/>
      <c r="M4539" s="120"/>
      <c r="N4539" s="167"/>
      <c r="O4539" s="120"/>
      <c r="P4539" s="120"/>
      <c r="Q4539" s="120"/>
      <c r="R4539" s="120"/>
      <c r="S4539" s="120"/>
      <c r="T4539" s="221"/>
      <c r="U4539" s="89"/>
      <c r="V4539" s="61"/>
      <c r="W4539" s="92" t="s">
        <v>174</v>
      </c>
      <c r="X4539" s="93" t="s">
        <v>29</v>
      </c>
      <c r="Y4539" s="93" t="s">
        <v>93</v>
      </c>
      <c r="Z4539" s="134">
        <f>VLOOKUP(W4539,Sheet2!$B:$D,3,FALSE)</f>
        <v>80</v>
      </c>
      <c r="AA4539" s="93">
        <v>4</v>
      </c>
      <c r="AB4539" s="93">
        <f>AD4539/AC4532</f>
        <v>20</v>
      </c>
      <c r="AC4539" s="93">
        <f>AC4532/AA4539</f>
        <v>0.16249999999999998</v>
      </c>
      <c r="AD4539" s="94">
        <f t="shared" si="3362"/>
        <v>12.999999999999998</v>
      </c>
      <c r="AE4539" s="190"/>
      <c r="AF4539" s="191"/>
      <c r="AG4539" s="191"/>
      <c r="AH4539" s="191"/>
      <c r="AI4539" s="186"/>
      <c r="AK4539" s="171"/>
    </row>
    <row r="4540" spans="1:37" s="102" customFormat="1" ht="19.899999999999999" customHeight="1" x14ac:dyDescent="0.25">
      <c r="A4540" s="45"/>
      <c r="B4540" s="59"/>
      <c r="C4540" s="137"/>
      <c r="D4540" s="59"/>
      <c r="E4540" s="116"/>
      <c r="F4540" s="120"/>
      <c r="G4540" s="120"/>
      <c r="H4540" s="120"/>
      <c r="I4540" s="60"/>
      <c r="J4540" s="116"/>
      <c r="K4540" s="213"/>
      <c r="L4540" s="120"/>
      <c r="M4540" s="120"/>
      <c r="N4540" s="167"/>
      <c r="O4540" s="120"/>
      <c r="P4540" s="120"/>
      <c r="Q4540" s="120"/>
      <c r="R4540" s="120"/>
      <c r="S4540" s="120"/>
      <c r="T4540" s="221"/>
      <c r="U4540" s="89"/>
      <c r="V4540" s="61"/>
      <c r="W4540" s="92" t="s">
        <v>65</v>
      </c>
      <c r="X4540" s="93" t="s">
        <v>30</v>
      </c>
      <c r="Y4540" s="93" t="s">
        <v>93</v>
      </c>
      <c r="Z4540" s="134">
        <f>VLOOKUP(W4540,Sheet2!$B:$D,3,FALSE)</f>
        <v>1.76</v>
      </c>
      <c r="AA4540" s="93">
        <f>AA4539/15</f>
        <v>0.26666666666666666</v>
      </c>
      <c r="AB4540" s="93">
        <f>AD4540/AC4532</f>
        <v>6.6</v>
      </c>
      <c r="AC4540" s="93">
        <f>AC4532/AA4540</f>
        <v>2.4374999999999996</v>
      </c>
      <c r="AD4540" s="94">
        <f>AC4540*Z4540</f>
        <v>4.2899999999999991</v>
      </c>
      <c r="AE4540" s="190"/>
      <c r="AF4540" s="191"/>
      <c r="AG4540" s="191"/>
      <c r="AH4540" s="191"/>
      <c r="AI4540" s="186"/>
      <c r="AK4540" s="171"/>
    </row>
    <row r="4541" spans="1:37" s="102" customFormat="1" ht="19.899999999999999" customHeight="1" x14ac:dyDescent="0.25">
      <c r="A4541" s="45"/>
      <c r="B4541" s="59"/>
      <c r="C4541" s="137"/>
      <c r="D4541" s="59"/>
      <c r="E4541" s="116"/>
      <c r="F4541" s="120"/>
      <c r="G4541" s="120"/>
      <c r="H4541" s="120"/>
      <c r="I4541" s="60"/>
      <c r="J4541" s="116"/>
      <c r="K4541" s="213"/>
      <c r="L4541" s="120"/>
      <c r="M4541" s="120"/>
      <c r="N4541" s="167"/>
      <c r="O4541" s="120"/>
      <c r="P4541" s="120"/>
      <c r="Q4541" s="120"/>
      <c r="R4541" s="120"/>
      <c r="S4541" s="120"/>
      <c r="T4541" s="221"/>
      <c r="U4541" s="89"/>
      <c r="V4541" s="61"/>
      <c r="W4541" s="92" t="s">
        <v>1357</v>
      </c>
      <c r="X4541" s="93" t="s">
        <v>30</v>
      </c>
      <c r="Y4541" s="93" t="s">
        <v>1349</v>
      </c>
      <c r="Z4541" s="134">
        <f>VLOOKUP(W4541,Sheet2!$B:$D,3,FALSE)</f>
        <v>150</v>
      </c>
      <c r="AA4541" s="93">
        <v>1</v>
      </c>
      <c r="AB4541" s="93">
        <f>AD4541/AC4532</f>
        <v>150</v>
      </c>
      <c r="AC4541" s="93">
        <f>AC4532/AA4541</f>
        <v>0.64999999999999991</v>
      </c>
      <c r="AD4541" s="94">
        <f>AC4541*Z4541</f>
        <v>97.499999999999986</v>
      </c>
      <c r="AE4541" s="190"/>
      <c r="AF4541" s="191"/>
      <c r="AG4541" s="191"/>
      <c r="AH4541" s="191"/>
      <c r="AI4541" s="186"/>
      <c r="AK4541" s="171"/>
    </row>
    <row r="4542" spans="1:37" s="102" customFormat="1" ht="19.899999999999999" customHeight="1" x14ac:dyDescent="0.25">
      <c r="A4542" s="45"/>
      <c r="B4542" s="59"/>
      <c r="C4542" s="137"/>
      <c r="D4542" s="59"/>
      <c r="E4542" s="116"/>
      <c r="F4542" s="120"/>
      <c r="G4542" s="120"/>
      <c r="H4542" s="120"/>
      <c r="I4542" s="60"/>
      <c r="J4542" s="116"/>
      <c r="K4542" s="213"/>
      <c r="L4542" s="120"/>
      <c r="M4542" s="120"/>
      <c r="N4542" s="167"/>
      <c r="O4542" s="120"/>
      <c r="P4542" s="120"/>
      <c r="Q4542" s="120"/>
      <c r="R4542" s="120"/>
      <c r="S4542" s="120"/>
      <c r="T4542" s="221"/>
      <c r="U4542" s="89"/>
      <c r="V4542" s="61"/>
      <c r="W4542" s="92" t="s">
        <v>107</v>
      </c>
      <c r="X4542" s="93" t="s">
        <v>31</v>
      </c>
      <c r="Y4542" s="93" t="s">
        <v>93</v>
      </c>
      <c r="Z4542" s="134">
        <f>VLOOKUP(W4542,Sheet2!$B:$D,3,FALSE)</f>
        <v>17</v>
      </c>
      <c r="AA4542" s="93">
        <f>1/5</f>
        <v>0.2</v>
      </c>
      <c r="AB4542" s="93">
        <f>AD4542/AC4532</f>
        <v>85</v>
      </c>
      <c r="AC4542" s="93">
        <f>AC4532/AA4542</f>
        <v>3.2499999999999996</v>
      </c>
      <c r="AD4542" s="94">
        <f>AC4542*Z4542</f>
        <v>55.249999999999993</v>
      </c>
      <c r="AE4542" s="190"/>
      <c r="AF4542" s="191"/>
      <c r="AG4542" s="191"/>
      <c r="AH4542" s="191"/>
      <c r="AI4542" s="186"/>
      <c r="AK4542" s="171"/>
    </row>
    <row r="4543" spans="1:37" s="102" customFormat="1" ht="19.899999999999999" customHeight="1" x14ac:dyDescent="0.25">
      <c r="A4543" s="45"/>
      <c r="B4543" s="59"/>
      <c r="C4543" s="137"/>
      <c r="D4543" s="59"/>
      <c r="E4543" s="116"/>
      <c r="F4543" s="120"/>
      <c r="G4543" s="120"/>
      <c r="H4543" s="120"/>
      <c r="I4543" s="60"/>
      <c r="J4543" s="116"/>
      <c r="K4543" s="213"/>
      <c r="L4543" s="120"/>
      <c r="M4543" s="120"/>
      <c r="N4543" s="167"/>
      <c r="O4543" s="120"/>
      <c r="P4543" s="120"/>
      <c r="Q4543" s="120"/>
      <c r="R4543" s="120"/>
      <c r="S4543" s="120"/>
      <c r="T4543" s="221"/>
      <c r="U4543" s="89"/>
      <c r="V4543" s="61"/>
      <c r="W4543" s="92" t="s">
        <v>112</v>
      </c>
      <c r="X4543" s="93" t="s">
        <v>31</v>
      </c>
      <c r="Y4543" s="93" t="s">
        <v>93</v>
      </c>
      <c r="Z4543" s="134">
        <f>VLOOKUP(W4543,Sheet2!$B:$D,3,FALSE)</f>
        <v>13</v>
      </c>
      <c r="AA4543" s="93">
        <f>AA4542</f>
        <v>0.2</v>
      </c>
      <c r="AB4543" s="93">
        <f>AD4543/AC4532</f>
        <v>65</v>
      </c>
      <c r="AC4543" s="93">
        <f>AC4532/AA4543</f>
        <v>3.2499999999999996</v>
      </c>
      <c r="AD4543" s="94">
        <f>AC4543*Z4543</f>
        <v>42.249999999999993</v>
      </c>
      <c r="AE4543" s="190"/>
      <c r="AF4543" s="191"/>
      <c r="AG4543" s="191"/>
      <c r="AH4543" s="191"/>
      <c r="AI4543" s="186"/>
      <c r="AK4543" s="171"/>
    </row>
    <row r="4544" spans="1:37" s="103" customFormat="1" ht="19.899999999999999" customHeight="1" x14ac:dyDescent="0.25">
      <c r="A4544" s="51"/>
      <c r="B4544" s="52"/>
      <c r="C4544" s="165"/>
      <c r="D4544" s="52"/>
      <c r="E4544" s="115"/>
      <c r="F4544" s="58"/>
      <c r="G4544" s="58"/>
      <c r="H4544" s="58"/>
      <c r="I4544" s="55"/>
      <c r="J4544" s="113">
        <f>J4526</f>
        <v>0.64999999999999991</v>
      </c>
      <c r="K4544" s="212">
        <f>K4526</f>
        <v>0.64999999999999991</v>
      </c>
      <c r="L4544" s="58"/>
      <c r="M4544" s="58">
        <f>K4544-L4544</f>
        <v>0.64999999999999991</v>
      </c>
      <c r="N4544" s="166"/>
      <c r="O4544" s="58"/>
      <c r="P4544" s="58"/>
      <c r="Q4544" s="58"/>
      <c r="R4544" s="58"/>
      <c r="S4544" s="58"/>
      <c r="T4544" s="220"/>
      <c r="U4544" s="88"/>
      <c r="V4544" s="56"/>
      <c r="W4544" s="57" t="s">
        <v>1358</v>
      </c>
      <c r="X4544" s="53"/>
      <c r="Y4544" s="91" t="s">
        <v>35</v>
      </c>
      <c r="Z4544" s="136">
        <f>AD4544/AC4544</f>
        <v>2799.9999999999995</v>
      </c>
      <c r="AA4544" s="58"/>
      <c r="AB4544" s="53">
        <f>AD4544/AC4544</f>
        <v>2799.9999999999995</v>
      </c>
      <c r="AC4544" s="53">
        <f>M4544+$AE$10</f>
        <v>0.64999999999999991</v>
      </c>
      <c r="AD4544" s="54">
        <f>SUM(AD4545:AD4546)</f>
        <v>1819.9999999999995</v>
      </c>
      <c r="AE4544" s="184">
        <f>SUMIFS($AD$37:$AD$12971,$V$37:$V$12971,$V4544,$X$37:$X$12971,AE$13)</f>
        <v>0</v>
      </c>
      <c r="AF4544" s="185">
        <f>SUMIFS($AD$37:$AD$12971,$V$37:$V$12971,$V4544,$X$37:$X$12971,AF$13)</f>
        <v>0</v>
      </c>
      <c r="AG4544" s="185">
        <f>SUMIFS($AD$37:$AD$12971,$V$37:$V$12971,$V4544,$X$37:$X$12971,AG$13)</f>
        <v>0</v>
      </c>
      <c r="AH4544" s="187">
        <f>SUMIFS($AD$37:$AD$12971,$V$37:$V$12971,$V4544,$X$37:$X$12971,AH$13)</f>
        <v>0</v>
      </c>
      <c r="AI4544" s="161">
        <f t="shared" ref="AI4544" si="3363">SUM(AE4544:AH4544)</f>
        <v>0</v>
      </c>
      <c r="AK4544" s="172"/>
    </row>
    <row r="4545" spans="1:41" s="102" customFormat="1" ht="19.899999999999999" customHeight="1" x14ac:dyDescent="0.25">
      <c r="A4545" s="45"/>
      <c r="B4545" s="59"/>
      <c r="C4545" s="137"/>
      <c r="D4545" s="59"/>
      <c r="E4545" s="116"/>
      <c r="F4545" s="120"/>
      <c r="G4545" s="120"/>
      <c r="H4545" s="120"/>
      <c r="I4545" s="60"/>
      <c r="J4545" s="116"/>
      <c r="K4545" s="213"/>
      <c r="L4545" s="120"/>
      <c r="M4545" s="120"/>
      <c r="N4545" s="167"/>
      <c r="O4545" s="120"/>
      <c r="P4545" s="120"/>
      <c r="Q4545" s="120"/>
      <c r="R4545" s="120"/>
      <c r="S4545" s="120"/>
      <c r="T4545" s="221"/>
      <c r="U4545" s="89"/>
      <c r="V4545" s="61"/>
      <c r="W4545" s="92" t="s">
        <v>1359</v>
      </c>
      <c r="X4545" s="93" t="s">
        <v>32</v>
      </c>
      <c r="Y4545" s="93" t="s">
        <v>64</v>
      </c>
      <c r="Z4545" s="134">
        <f>VLOOKUP(W4545,Sheet2!$B:$D,3,FALSE)</f>
        <v>40</v>
      </c>
      <c r="AA4545" s="93">
        <f>1/40</f>
        <v>2.5000000000000001E-2</v>
      </c>
      <c r="AB4545" s="93">
        <f t="shared" ref="AB4545" si="3364">AD4545/AC4544</f>
        <v>1599.9999999999998</v>
      </c>
      <c r="AC4545" s="93">
        <f>AC4544/AA4545</f>
        <v>25.999999999999996</v>
      </c>
      <c r="AD4545" s="94">
        <f t="shared" ref="AD4545:AD4546" si="3365">AC4545*Z4545</f>
        <v>1039.9999999999998</v>
      </c>
      <c r="AE4545" s="190"/>
      <c r="AF4545" s="191"/>
      <c r="AG4545" s="191"/>
      <c r="AH4545" s="191"/>
      <c r="AI4545" s="186"/>
      <c r="AK4545" s="171"/>
    </row>
    <row r="4546" spans="1:41" s="102" customFormat="1" ht="19.899999999999999" customHeight="1" x14ac:dyDescent="0.25">
      <c r="A4546" s="45"/>
      <c r="B4546" s="59"/>
      <c r="C4546" s="137"/>
      <c r="D4546" s="59"/>
      <c r="E4546" s="116"/>
      <c r="F4546" s="120"/>
      <c r="G4546" s="120"/>
      <c r="H4546" s="120"/>
      <c r="I4546" s="60"/>
      <c r="J4546" s="116"/>
      <c r="K4546" s="213"/>
      <c r="L4546" s="120"/>
      <c r="M4546" s="120"/>
      <c r="N4546" s="167"/>
      <c r="O4546" s="120"/>
      <c r="P4546" s="120"/>
      <c r="Q4546" s="120"/>
      <c r="R4546" s="120"/>
      <c r="S4546" s="120"/>
      <c r="T4546" s="221"/>
      <c r="U4546" s="89"/>
      <c r="V4546" s="61"/>
      <c r="W4546" s="92" t="s">
        <v>1360</v>
      </c>
      <c r="X4546" s="93" t="s">
        <v>32</v>
      </c>
      <c r="Y4546" s="93" t="s">
        <v>64</v>
      </c>
      <c r="Z4546" s="134">
        <f>VLOOKUP(W4546,Sheet2!$B:$D,3,FALSE)</f>
        <v>30</v>
      </c>
      <c r="AA4546" s="93">
        <f>AA4545</f>
        <v>2.5000000000000001E-2</v>
      </c>
      <c r="AB4546" s="93">
        <f>AD4546/AC4544</f>
        <v>1200</v>
      </c>
      <c r="AC4546" s="93">
        <f>AC4544/AA4546</f>
        <v>25.999999999999996</v>
      </c>
      <c r="AD4546" s="94">
        <f t="shared" si="3365"/>
        <v>779.99999999999989</v>
      </c>
      <c r="AE4546" s="190"/>
      <c r="AF4546" s="191"/>
      <c r="AG4546" s="191"/>
      <c r="AH4546" s="191"/>
      <c r="AI4546" s="186"/>
      <c r="AK4546" s="171"/>
    </row>
    <row r="4547" spans="1:41" s="103" customFormat="1" ht="19.899999999999999" customHeight="1" x14ac:dyDescent="0.25">
      <c r="A4547" s="51"/>
      <c r="B4547" s="52"/>
      <c r="C4547" s="165"/>
      <c r="D4547" s="52"/>
      <c r="E4547" s="115"/>
      <c r="F4547" s="58"/>
      <c r="G4547" s="58"/>
      <c r="H4547" s="58"/>
      <c r="I4547" s="55"/>
      <c r="J4547" s="113">
        <f>J4526</f>
        <v>0.64999999999999991</v>
      </c>
      <c r="K4547" s="212">
        <f>K4526</f>
        <v>0.64999999999999991</v>
      </c>
      <c r="L4547" s="58"/>
      <c r="M4547" s="58">
        <f>K4547-L4547</f>
        <v>0.64999999999999991</v>
      </c>
      <c r="N4547" s="166"/>
      <c r="O4547" s="58"/>
      <c r="P4547" s="58"/>
      <c r="Q4547" s="58"/>
      <c r="R4547" s="58"/>
      <c r="S4547" s="58"/>
      <c r="T4547" s="220"/>
      <c r="U4547" s="88"/>
      <c r="V4547" s="56"/>
      <c r="W4547" s="57" t="s">
        <v>1272</v>
      </c>
      <c r="X4547" s="53"/>
      <c r="Y4547" s="91" t="s">
        <v>35</v>
      </c>
      <c r="Z4547" s="136">
        <f>AD4547/AC4547</f>
        <v>209.08263529411764</v>
      </c>
      <c r="AA4547" s="58"/>
      <c r="AB4547" s="53">
        <f>AD4547/AC4547</f>
        <v>209.08263529411764</v>
      </c>
      <c r="AC4547" s="53">
        <f>M4547+$AE$10</f>
        <v>0.64999999999999991</v>
      </c>
      <c r="AD4547" s="54">
        <f>SUM(AD4548:AD4556)</f>
        <v>135.90371294117645</v>
      </c>
      <c r="AE4547" s="184">
        <f>SUMIFS($AD$37:$AD$12971,$V$37:$V$12971,$V4547,$X$37:$X$12971,AE$13)</f>
        <v>0</v>
      </c>
      <c r="AF4547" s="185">
        <f>SUMIFS($AD$37:$AD$12971,$V$37:$V$12971,$V4547,$X$37:$X$12971,AF$13)</f>
        <v>0</v>
      </c>
      <c r="AG4547" s="185">
        <f>SUMIFS($AD$37:$AD$12971,$V$37:$V$12971,$V4547,$X$37:$X$12971,AG$13)</f>
        <v>0</v>
      </c>
      <c r="AH4547" s="187">
        <f>SUMIFS($AD$37:$AD$12971,$V$37:$V$12971,$V4547,$X$37:$X$12971,AH$13)</f>
        <v>0</v>
      </c>
      <c r="AI4547" s="161">
        <f t="shared" ref="AI4547" si="3366">SUM(AE4547:AH4547)</f>
        <v>0</v>
      </c>
      <c r="AK4547" s="172"/>
    </row>
    <row r="4548" spans="1:41" s="102" customFormat="1" ht="19.899999999999999" customHeight="1" x14ac:dyDescent="0.25">
      <c r="A4548" s="45"/>
      <c r="B4548" s="59"/>
      <c r="C4548" s="137"/>
      <c r="D4548" s="59"/>
      <c r="E4548" s="116"/>
      <c r="F4548" s="120"/>
      <c r="G4548" s="120"/>
      <c r="H4548" s="120"/>
      <c r="I4548" s="60"/>
      <c r="J4548" s="116"/>
      <c r="K4548" s="213"/>
      <c r="L4548" s="120"/>
      <c r="M4548" s="120"/>
      <c r="N4548" s="167"/>
      <c r="O4548" s="120"/>
      <c r="P4548" s="120"/>
      <c r="Q4548" s="120"/>
      <c r="R4548" s="120"/>
      <c r="S4548" s="120"/>
      <c r="T4548" s="221"/>
      <c r="U4548" s="89"/>
      <c r="V4548" s="61"/>
      <c r="W4548" s="92" t="s">
        <v>1273</v>
      </c>
      <c r="X4548" s="93" t="s">
        <v>30</v>
      </c>
      <c r="Y4548" s="93" t="s">
        <v>66</v>
      </c>
      <c r="Z4548" s="134">
        <f>VLOOKUP(W4548,Sheet2!$B:$D,3,FALSE)</f>
        <v>10</v>
      </c>
      <c r="AA4548" s="93">
        <f>1/(2.5*2.4*0.5*4)</f>
        <v>8.3333333333333329E-2</v>
      </c>
      <c r="AB4548" s="93">
        <f>AD4548/AC4547</f>
        <v>120</v>
      </c>
      <c r="AC4548" s="93">
        <f>AC4547/AA4548</f>
        <v>7.7999999999999989</v>
      </c>
      <c r="AD4548" s="94">
        <f t="shared" ref="AD4548:AD4550" si="3367">AC4548*Z4548</f>
        <v>77.999999999999986</v>
      </c>
      <c r="AE4548" s="190"/>
      <c r="AF4548" s="191"/>
      <c r="AG4548" s="191"/>
      <c r="AH4548" s="191"/>
      <c r="AI4548" s="186"/>
      <c r="AK4548" s="171"/>
    </row>
    <row r="4549" spans="1:41" s="102" customFormat="1" ht="19.899999999999999" customHeight="1" x14ac:dyDescent="0.25">
      <c r="A4549" s="45"/>
      <c r="B4549" s="59"/>
      <c r="C4549" s="137"/>
      <c r="D4549" s="59"/>
      <c r="E4549" s="116"/>
      <c r="F4549" s="120"/>
      <c r="G4549" s="120"/>
      <c r="H4549" s="120"/>
      <c r="I4549" s="60"/>
      <c r="J4549" s="116"/>
      <c r="K4549" s="213"/>
      <c r="L4549" s="120"/>
      <c r="M4549" s="120"/>
      <c r="N4549" s="167"/>
      <c r="O4549" s="120"/>
      <c r="P4549" s="120"/>
      <c r="Q4549" s="120"/>
      <c r="R4549" s="120"/>
      <c r="S4549" s="120"/>
      <c r="T4549" s="221"/>
      <c r="U4549" s="89"/>
      <c r="V4549" s="61"/>
      <c r="W4549" s="92" t="s">
        <v>134</v>
      </c>
      <c r="X4549" s="93" t="s">
        <v>29</v>
      </c>
      <c r="Y4549" s="93" t="s">
        <v>93</v>
      </c>
      <c r="Z4549" s="134">
        <f>VLOOKUP(W4549,Sheet2!$B:$D,3,FALSE)</f>
        <v>65.599999999999994</v>
      </c>
      <c r="AA4549" s="93">
        <f>100/(2.5*2.4*0.5*4)</f>
        <v>8.3333333333333339</v>
      </c>
      <c r="AB4549" s="93">
        <f t="shared" ref="AB4549" si="3368">AD4549/AC4547</f>
        <v>7.871999999999999</v>
      </c>
      <c r="AC4549" s="93">
        <f>AC4547/AA4549</f>
        <v>7.7999999999999986E-2</v>
      </c>
      <c r="AD4549" s="94">
        <f t="shared" si="3367"/>
        <v>5.1167999999999987</v>
      </c>
      <c r="AE4549" s="190"/>
      <c r="AF4549" s="191"/>
      <c r="AG4549" s="191"/>
      <c r="AH4549" s="191"/>
      <c r="AI4549" s="186"/>
      <c r="AK4549" s="171"/>
    </row>
    <row r="4550" spans="1:41" s="102" customFormat="1" ht="19.899999999999999" customHeight="1" x14ac:dyDescent="0.25">
      <c r="A4550" s="45"/>
      <c r="B4550" s="59"/>
      <c r="C4550" s="137"/>
      <c r="D4550" s="59"/>
      <c r="E4550" s="116"/>
      <c r="F4550" s="120"/>
      <c r="G4550" s="120"/>
      <c r="H4550" s="120"/>
      <c r="I4550" s="60"/>
      <c r="J4550" s="116"/>
      <c r="K4550" s="213"/>
      <c r="L4550" s="120"/>
      <c r="M4550" s="120"/>
      <c r="N4550" s="167"/>
      <c r="O4550" s="120"/>
      <c r="P4550" s="120"/>
      <c r="Q4550" s="120"/>
      <c r="R4550" s="120"/>
      <c r="S4550" s="120"/>
      <c r="T4550" s="221"/>
      <c r="U4550" s="89"/>
      <c r="V4550" s="61"/>
      <c r="W4550" s="92" t="s">
        <v>65</v>
      </c>
      <c r="X4550" s="93" t="s">
        <v>30</v>
      </c>
      <c r="Y4550" s="93" t="s">
        <v>1011</v>
      </c>
      <c r="Z4550" s="134">
        <f>VLOOKUP(W4550,Sheet2!$B:$D,3,FALSE)</f>
        <v>1.76</v>
      </c>
      <c r="AA4550" s="93">
        <f>AA4549/9</f>
        <v>0.92592592592592604</v>
      </c>
      <c r="AB4550" s="93">
        <f>AD4550/AC4547</f>
        <v>1.9007999999999998</v>
      </c>
      <c r="AC4550" s="93">
        <f>AC4547/AA4550</f>
        <v>0.70199999999999985</v>
      </c>
      <c r="AD4550" s="94">
        <f t="shared" si="3367"/>
        <v>1.2355199999999997</v>
      </c>
      <c r="AE4550" s="190"/>
      <c r="AF4550" s="191"/>
      <c r="AG4550" s="191"/>
      <c r="AH4550" s="191"/>
      <c r="AI4550" s="186"/>
      <c r="AK4550" s="171"/>
    </row>
    <row r="4551" spans="1:41" s="102" customFormat="1" ht="19.899999999999999" customHeight="1" x14ac:dyDescent="0.25">
      <c r="A4551" s="45"/>
      <c r="B4551" s="59"/>
      <c r="C4551" s="137"/>
      <c r="D4551" s="59"/>
      <c r="E4551" s="116"/>
      <c r="F4551" s="120"/>
      <c r="G4551" s="120"/>
      <c r="H4551" s="120"/>
      <c r="I4551" s="60"/>
      <c r="J4551" s="116"/>
      <c r="K4551" s="213"/>
      <c r="L4551" s="120"/>
      <c r="M4551" s="120"/>
      <c r="N4551" s="167"/>
      <c r="O4551" s="120"/>
      <c r="P4551" s="120"/>
      <c r="Q4551" s="120"/>
      <c r="R4551" s="120"/>
      <c r="S4551" s="120"/>
      <c r="T4551" s="221"/>
      <c r="U4551" s="89"/>
      <c r="V4551" s="61"/>
      <c r="W4551" s="92" t="s">
        <v>161</v>
      </c>
      <c r="X4551" s="93" t="s">
        <v>29</v>
      </c>
      <c r="Y4551" s="93" t="s">
        <v>93</v>
      </c>
      <c r="Z4551" s="134">
        <f>VLOOKUP(W4551,Sheet2!$B:$D,3,FALSE)</f>
        <v>48</v>
      </c>
      <c r="AA4551" s="93">
        <f>(16*0.85*1.5)/(2.5*2.4*0.5*4)</f>
        <v>1.7</v>
      </c>
      <c r="AB4551" s="93">
        <f>AD4551/AC4547</f>
        <v>28.235294117647062</v>
      </c>
      <c r="AC4551" s="93">
        <f>AC4547/AA4551</f>
        <v>0.38235294117647056</v>
      </c>
      <c r="AD4551" s="94">
        <f>AC4551*Z4551</f>
        <v>18.352941176470587</v>
      </c>
      <c r="AE4551" s="190"/>
      <c r="AF4551" s="191"/>
      <c r="AG4551" s="191"/>
      <c r="AH4551" s="191"/>
      <c r="AI4551" s="186"/>
      <c r="AK4551" s="171"/>
    </row>
    <row r="4552" spans="1:41" s="102" customFormat="1" ht="19.899999999999999" customHeight="1" x14ac:dyDescent="0.25">
      <c r="A4552" s="45"/>
      <c r="B4552" s="59"/>
      <c r="C4552" s="137"/>
      <c r="D4552" s="59"/>
      <c r="E4552" s="116"/>
      <c r="F4552" s="120"/>
      <c r="G4552" s="120"/>
      <c r="H4552" s="120"/>
      <c r="I4552" s="60"/>
      <c r="J4552" s="116"/>
      <c r="K4552" s="213"/>
      <c r="L4552" s="120"/>
      <c r="M4552" s="120"/>
      <c r="N4552" s="167"/>
      <c r="O4552" s="120"/>
      <c r="P4552" s="120"/>
      <c r="Q4552" s="120"/>
      <c r="R4552" s="120"/>
      <c r="S4552" s="120"/>
      <c r="T4552" s="221"/>
      <c r="U4552" s="89"/>
      <c r="V4552" s="61"/>
      <c r="W4552" s="92" t="s">
        <v>65</v>
      </c>
      <c r="X4552" s="93" t="s">
        <v>30</v>
      </c>
      <c r="Y4552" s="93" t="s">
        <v>1011</v>
      </c>
      <c r="Z4552" s="134">
        <f>VLOOKUP(W4552,Sheet2!$B:$D,3,FALSE)</f>
        <v>1.76</v>
      </c>
      <c r="AA4552" s="93">
        <f>AA4551/10</f>
        <v>0.16999999999999998</v>
      </c>
      <c r="AB4552" s="93">
        <f>AD4552/AC4547</f>
        <v>10.352941176470589</v>
      </c>
      <c r="AC4552" s="93">
        <f>AC4547/AA4552</f>
        <v>3.8235294117647056</v>
      </c>
      <c r="AD4552" s="94">
        <f>AC4552*Z4552</f>
        <v>6.7294117647058815</v>
      </c>
      <c r="AE4552" s="190"/>
      <c r="AF4552" s="191"/>
      <c r="AG4552" s="191"/>
      <c r="AH4552" s="191"/>
      <c r="AI4552" s="186"/>
      <c r="AK4552" s="171"/>
    </row>
    <row r="4553" spans="1:41" s="102" customFormat="1" ht="19.899999999999999" customHeight="1" x14ac:dyDescent="0.25">
      <c r="A4553" s="45"/>
      <c r="B4553" s="59"/>
      <c r="C4553" s="137"/>
      <c r="D4553" s="59"/>
      <c r="E4553" s="116"/>
      <c r="F4553" s="120"/>
      <c r="G4553" s="120"/>
      <c r="H4553" s="120"/>
      <c r="I4553" s="60"/>
      <c r="J4553" s="116"/>
      <c r="K4553" s="213"/>
      <c r="L4553" s="120"/>
      <c r="M4553" s="120"/>
      <c r="N4553" s="167"/>
      <c r="O4553" s="120"/>
      <c r="P4553" s="120"/>
      <c r="Q4553" s="120"/>
      <c r="R4553" s="120"/>
      <c r="S4553" s="120"/>
      <c r="T4553" s="221"/>
      <c r="U4553" s="89"/>
      <c r="V4553" s="61"/>
      <c r="W4553" s="92" t="s">
        <v>173</v>
      </c>
      <c r="X4553" s="93" t="s">
        <v>29</v>
      </c>
      <c r="Y4553" s="93" t="s">
        <v>93</v>
      </c>
      <c r="Z4553" s="134">
        <f>VLOOKUP(W4553,Sheet2!$B:$D,3,FALSE)</f>
        <v>36</v>
      </c>
      <c r="AA4553" s="93">
        <f>50/(2.5*2.4*0.5*4)</f>
        <v>4.166666666666667</v>
      </c>
      <c r="AB4553" s="93">
        <f>AD4553/AC4547</f>
        <v>8.6399999999999988</v>
      </c>
      <c r="AC4553" s="93">
        <f>AC4547/AA4553</f>
        <v>0.15599999999999997</v>
      </c>
      <c r="AD4553" s="94">
        <f>AC4553*Z4553</f>
        <v>5.6159999999999988</v>
      </c>
      <c r="AE4553" s="190"/>
      <c r="AF4553" s="191"/>
      <c r="AG4553" s="191"/>
      <c r="AH4553" s="191"/>
      <c r="AI4553" s="186"/>
      <c r="AK4553" s="171"/>
    </row>
    <row r="4554" spans="1:41" s="102" customFormat="1" ht="19.899999999999999" customHeight="1" x14ac:dyDescent="0.25">
      <c r="A4554" s="45"/>
      <c r="B4554" s="59"/>
      <c r="C4554" s="137"/>
      <c r="D4554" s="59"/>
      <c r="E4554" s="116"/>
      <c r="F4554" s="120"/>
      <c r="G4554" s="120"/>
      <c r="H4554" s="120"/>
      <c r="I4554" s="60"/>
      <c r="J4554" s="116"/>
      <c r="K4554" s="213"/>
      <c r="L4554" s="120"/>
      <c r="M4554" s="120"/>
      <c r="N4554" s="167"/>
      <c r="O4554" s="120"/>
      <c r="P4554" s="120"/>
      <c r="Q4554" s="120"/>
      <c r="R4554" s="120"/>
      <c r="S4554" s="120"/>
      <c r="T4554" s="221"/>
      <c r="U4554" s="89"/>
      <c r="V4554" s="61"/>
      <c r="W4554" s="92" t="s">
        <v>65</v>
      </c>
      <c r="X4554" s="93" t="s">
        <v>30</v>
      </c>
      <c r="Y4554" s="93" t="s">
        <v>1011</v>
      </c>
      <c r="Z4554" s="134">
        <f>VLOOKUP(W4554,Sheet2!$B:$D,3,FALSE)</f>
        <v>1.76</v>
      </c>
      <c r="AA4554" s="93">
        <f>AA4553/9</f>
        <v>0.46296296296296302</v>
      </c>
      <c r="AB4554" s="93">
        <f>AD4554/AC4547</f>
        <v>3.8015999999999996</v>
      </c>
      <c r="AC4554" s="93">
        <f>AC4547/AA4554</f>
        <v>1.4039999999999997</v>
      </c>
      <c r="AD4554" s="94">
        <f>AC4554*Z4554</f>
        <v>2.4710399999999995</v>
      </c>
      <c r="AE4554" s="190"/>
      <c r="AF4554" s="191"/>
      <c r="AG4554" s="191"/>
      <c r="AH4554" s="191"/>
      <c r="AI4554" s="186"/>
      <c r="AK4554" s="171"/>
    </row>
    <row r="4555" spans="1:41" s="102" customFormat="1" ht="19.899999999999999" customHeight="1" x14ac:dyDescent="0.25">
      <c r="A4555" s="45"/>
      <c r="B4555" s="59"/>
      <c r="C4555" s="137"/>
      <c r="D4555" s="59"/>
      <c r="E4555" s="116"/>
      <c r="F4555" s="120"/>
      <c r="G4555" s="120"/>
      <c r="H4555" s="120"/>
      <c r="I4555" s="60"/>
      <c r="J4555" s="116"/>
      <c r="K4555" s="213"/>
      <c r="L4555" s="120"/>
      <c r="M4555" s="120"/>
      <c r="N4555" s="167"/>
      <c r="O4555" s="120"/>
      <c r="P4555" s="120"/>
      <c r="Q4555" s="120"/>
      <c r="R4555" s="120"/>
      <c r="S4555" s="120"/>
      <c r="T4555" s="221"/>
      <c r="U4555" s="89"/>
      <c r="V4555" s="61"/>
      <c r="W4555" s="92" t="s">
        <v>1030</v>
      </c>
      <c r="X4555" s="93" t="s">
        <v>29</v>
      </c>
      <c r="Y4555" s="93" t="s">
        <v>93</v>
      </c>
      <c r="Z4555" s="134">
        <f>VLOOKUP(W4555,Sheet2!$B:$D,3,FALSE)</f>
        <v>23</v>
      </c>
      <c r="AA4555" s="93">
        <v>1</v>
      </c>
      <c r="AB4555" s="93">
        <f>AD4555/AC4547</f>
        <v>23</v>
      </c>
      <c r="AC4555" s="93">
        <f>AC4547/AA4555</f>
        <v>0.64999999999999991</v>
      </c>
      <c r="AD4555" s="94">
        <f t="shared" ref="AD4555:AD4556" si="3369">AC4555*Z4555</f>
        <v>14.949999999999998</v>
      </c>
      <c r="AE4555" s="190"/>
      <c r="AF4555" s="191"/>
      <c r="AG4555" s="191"/>
      <c r="AH4555" s="191"/>
      <c r="AI4555" s="186"/>
      <c r="AK4555" s="171"/>
    </row>
    <row r="4556" spans="1:41" s="102" customFormat="1" ht="19.899999999999999" customHeight="1" x14ac:dyDescent="0.25">
      <c r="A4556" s="45"/>
      <c r="B4556" s="59"/>
      <c r="C4556" s="137"/>
      <c r="D4556" s="59"/>
      <c r="E4556" s="116"/>
      <c r="F4556" s="120"/>
      <c r="G4556" s="120"/>
      <c r="H4556" s="120"/>
      <c r="I4556" s="60"/>
      <c r="J4556" s="116"/>
      <c r="K4556" s="213"/>
      <c r="L4556" s="120"/>
      <c r="M4556" s="120"/>
      <c r="N4556" s="167"/>
      <c r="O4556" s="120"/>
      <c r="P4556" s="120"/>
      <c r="Q4556" s="120"/>
      <c r="R4556" s="120"/>
      <c r="S4556" s="120"/>
      <c r="T4556" s="221"/>
      <c r="U4556" s="89"/>
      <c r="V4556" s="61"/>
      <c r="W4556" s="92" t="s">
        <v>65</v>
      </c>
      <c r="X4556" s="93" t="s">
        <v>30</v>
      </c>
      <c r="Y4556" s="93" t="s">
        <v>1011</v>
      </c>
      <c r="Z4556" s="134">
        <f>VLOOKUP(W4556,Sheet2!$B:$D,3,FALSE)</f>
        <v>1.76</v>
      </c>
      <c r="AA4556" s="93">
        <f>AA4555/3</f>
        <v>0.33333333333333331</v>
      </c>
      <c r="AB4556" s="93">
        <f>AD4556/AC4547</f>
        <v>5.28</v>
      </c>
      <c r="AC4556" s="93">
        <f>AC4547/AA4556</f>
        <v>1.9499999999999997</v>
      </c>
      <c r="AD4556" s="94">
        <f t="shared" si="3369"/>
        <v>3.4319999999999995</v>
      </c>
      <c r="AE4556" s="190"/>
      <c r="AF4556" s="191"/>
      <c r="AG4556" s="191"/>
      <c r="AH4556" s="191"/>
      <c r="AI4556" s="186"/>
      <c r="AK4556" s="171"/>
    </row>
    <row r="4557" spans="1:41" ht="20.100000000000001" customHeight="1" x14ac:dyDescent="0.25">
      <c r="A4557" s="277" t="s">
        <v>491</v>
      </c>
      <c r="B4557" s="278"/>
      <c r="C4557" s="64" t="s">
        <v>552</v>
      </c>
      <c r="D4557" s="46" t="s">
        <v>328</v>
      </c>
      <c r="E4557" s="114">
        <v>1</v>
      </c>
      <c r="F4557" s="44">
        <v>30211</v>
      </c>
      <c r="G4557" s="44">
        <f t="shared" si="2434"/>
        <v>30211</v>
      </c>
      <c r="H4557" s="44">
        <f t="shared" si="2435"/>
        <v>12286.179576470589</v>
      </c>
      <c r="I4557" s="43">
        <f t="shared" si="2436"/>
        <v>12286.179576470589</v>
      </c>
      <c r="J4557" s="112">
        <f t="shared" si="2437"/>
        <v>1</v>
      </c>
      <c r="K4557" s="211">
        <f t="shared" si="2438"/>
        <v>1</v>
      </c>
      <c r="L4557" s="44"/>
      <c r="M4557" s="44">
        <f t="shared" si="2458"/>
        <v>1</v>
      </c>
      <c r="N4557" s="173">
        <f t="shared" si="2439"/>
        <v>1</v>
      </c>
      <c r="O4557" s="44">
        <f t="shared" si="2440"/>
        <v>30211</v>
      </c>
      <c r="P4557" s="44">
        <f t="shared" si="2441"/>
        <v>30211</v>
      </c>
      <c r="Q4557" s="44">
        <f t="shared" si="2442"/>
        <v>12286.179576470589</v>
      </c>
      <c r="R4557" s="44">
        <f t="shared" si="2459"/>
        <v>12286.179576470589</v>
      </c>
      <c r="S4557" s="123"/>
      <c r="T4557" s="219">
        <f t="shared" si="2460"/>
        <v>12286.179576470589</v>
      </c>
      <c r="U4557" s="87"/>
      <c r="V4557" s="47"/>
      <c r="W4557" s="48"/>
      <c r="X4557" s="48"/>
      <c r="Y4557" s="48"/>
      <c r="Z4557" s="135"/>
      <c r="AA4557" s="49"/>
      <c r="AB4557" s="50">
        <f t="shared" si="2443"/>
        <v>12286.179576470589</v>
      </c>
      <c r="AC4557" s="42">
        <f t="shared" si="2461"/>
        <v>1</v>
      </c>
      <c r="AD4557" s="90">
        <f>AD4558+AD4563+AD4575+AD4578</f>
        <v>12286.179576470589</v>
      </c>
      <c r="AE4557" s="188">
        <f t="shared" ref="AE4557" si="3370">AE4558+AE4563+AE4575+AE4578</f>
        <v>0</v>
      </c>
      <c r="AF4557" s="189">
        <f t="shared" ref="AF4557" si="3371">AF4558+AF4563+AF4575+AF4578</f>
        <v>0</v>
      </c>
      <c r="AG4557" s="189">
        <f t="shared" ref="AG4557" si="3372">AG4558+AG4563+AG4575+AG4578</f>
        <v>0</v>
      </c>
      <c r="AH4557" s="189">
        <f t="shared" ref="AH4557" si="3373">AH4558+AH4563+AH4575+AH4578</f>
        <v>0</v>
      </c>
      <c r="AI4557" s="161">
        <f t="shared" si="3338"/>
        <v>0</v>
      </c>
      <c r="AK4557" s="169">
        <v>5</v>
      </c>
      <c r="AO4557" s="19" t="s">
        <v>63</v>
      </c>
    </row>
    <row r="4558" spans="1:41" s="103" customFormat="1" ht="19.899999999999999" customHeight="1" x14ac:dyDescent="0.25">
      <c r="A4558" s="51"/>
      <c r="B4558" s="52"/>
      <c r="C4558" s="165"/>
      <c r="D4558" s="52"/>
      <c r="E4558" s="115"/>
      <c r="F4558" s="58"/>
      <c r="G4558" s="58"/>
      <c r="H4558" s="58"/>
      <c r="I4558" s="55"/>
      <c r="J4558" s="113">
        <f>J4557</f>
        <v>1</v>
      </c>
      <c r="K4558" s="212">
        <f>K4557</f>
        <v>1</v>
      </c>
      <c r="L4558" s="58"/>
      <c r="M4558" s="58">
        <f>K4558-L4558</f>
        <v>1</v>
      </c>
      <c r="N4558" s="166"/>
      <c r="O4558" s="58"/>
      <c r="P4558" s="58"/>
      <c r="Q4558" s="58"/>
      <c r="R4558" s="58"/>
      <c r="S4558" s="58"/>
      <c r="T4558" s="220"/>
      <c r="U4558" s="88"/>
      <c r="V4558" s="56"/>
      <c r="W4558" s="57" t="s">
        <v>1351</v>
      </c>
      <c r="X4558" s="53"/>
      <c r="Y4558" s="91" t="s">
        <v>35</v>
      </c>
      <c r="Z4558" s="136">
        <f>AD4558/AC4558</f>
        <v>90.496941176470585</v>
      </c>
      <c r="AA4558" s="58"/>
      <c r="AB4558" s="53">
        <f>AD4558/AC4558</f>
        <v>90.496941176470585</v>
      </c>
      <c r="AC4558" s="53">
        <f>M4558+$AE$10</f>
        <v>1</v>
      </c>
      <c r="AD4558" s="54">
        <f>SUM(AD4559:AD4562)</f>
        <v>90.496941176470585</v>
      </c>
      <c r="AE4558" s="184">
        <f>SUMIFS($AD$37:$AD$12971,$V$37:$V$12971,$V4558,$X$37:$X$12971,AE$13)</f>
        <v>0</v>
      </c>
      <c r="AF4558" s="185">
        <f>SUMIFS($AD$37:$AD$12971,$V$37:$V$12971,$V4558,$X$37:$X$12971,AF$13)</f>
        <v>0</v>
      </c>
      <c r="AG4558" s="185">
        <f>SUMIFS($AD$37:$AD$12971,$V$37:$V$12971,$V4558,$X$37:$X$12971,AG$13)</f>
        <v>0</v>
      </c>
      <c r="AH4558" s="187">
        <f>SUMIFS($AD$37:$AD$12971,$V$37:$V$12971,$V4558,$X$37:$X$12971,AH$13)</f>
        <v>0</v>
      </c>
      <c r="AI4558" s="161">
        <f t="shared" si="3338"/>
        <v>0</v>
      </c>
      <c r="AK4558" s="172"/>
    </row>
    <row r="4559" spans="1:41" s="102" customFormat="1" ht="19.899999999999999" customHeight="1" x14ac:dyDescent="0.25">
      <c r="A4559" s="45"/>
      <c r="B4559" s="59"/>
      <c r="C4559" s="137"/>
      <c r="D4559" s="59"/>
      <c r="E4559" s="116"/>
      <c r="F4559" s="120"/>
      <c r="G4559" s="120"/>
      <c r="H4559" s="120"/>
      <c r="I4559" s="60"/>
      <c r="J4559" s="116"/>
      <c r="K4559" s="213"/>
      <c r="L4559" s="120"/>
      <c r="M4559" s="120"/>
      <c r="N4559" s="167"/>
      <c r="O4559" s="120"/>
      <c r="P4559" s="120"/>
      <c r="Q4559" s="120"/>
      <c r="R4559" s="120"/>
      <c r="S4559" s="120"/>
      <c r="T4559" s="221"/>
      <c r="U4559" s="89"/>
      <c r="V4559" s="61"/>
      <c r="W4559" s="92" t="s">
        <v>129</v>
      </c>
      <c r="X4559" s="93" t="s">
        <v>29</v>
      </c>
      <c r="Y4559" s="93" t="s">
        <v>93</v>
      </c>
      <c r="Z4559" s="134">
        <f>VLOOKUP(W4559,Sheet2!$B:$D,3,FALSE)</f>
        <v>56</v>
      </c>
      <c r="AA4559" s="93">
        <f>100/(3*3*2.5)</f>
        <v>4.4444444444444446</v>
      </c>
      <c r="AB4559" s="93">
        <f t="shared" ref="AB4559" si="3374">AD4559/AC4558</f>
        <v>12.599999999999998</v>
      </c>
      <c r="AC4559" s="93">
        <f>AC4558/AA4559</f>
        <v>0.22499999999999998</v>
      </c>
      <c r="AD4559" s="94">
        <f t="shared" ref="AD4559:AD4560" si="3375">AC4559*Z4559</f>
        <v>12.599999999999998</v>
      </c>
      <c r="AE4559" s="190"/>
      <c r="AF4559" s="191"/>
      <c r="AG4559" s="191"/>
      <c r="AH4559" s="191"/>
      <c r="AI4559" s="186"/>
      <c r="AK4559" s="171"/>
    </row>
    <row r="4560" spans="1:41" s="102" customFormat="1" ht="19.899999999999999" customHeight="1" x14ac:dyDescent="0.25">
      <c r="A4560" s="45"/>
      <c r="B4560" s="59"/>
      <c r="C4560" s="137"/>
      <c r="D4560" s="59"/>
      <c r="E4560" s="116"/>
      <c r="F4560" s="120"/>
      <c r="G4560" s="120"/>
      <c r="H4560" s="120"/>
      <c r="I4560" s="60"/>
      <c r="J4560" s="116"/>
      <c r="K4560" s="213"/>
      <c r="L4560" s="120"/>
      <c r="M4560" s="120"/>
      <c r="N4560" s="167"/>
      <c r="O4560" s="120"/>
      <c r="P4560" s="120"/>
      <c r="Q4560" s="120"/>
      <c r="R4560" s="120"/>
      <c r="S4560" s="120"/>
      <c r="T4560" s="221"/>
      <c r="U4560" s="89"/>
      <c r="V4560" s="61"/>
      <c r="W4560" s="92" t="s">
        <v>65</v>
      </c>
      <c r="X4560" s="93" t="s">
        <v>30</v>
      </c>
      <c r="Y4560" s="93" t="s">
        <v>1011</v>
      </c>
      <c r="Z4560" s="134">
        <f>VLOOKUP(W4560,Sheet2!$B:$D,3,FALSE)</f>
        <v>1.76</v>
      </c>
      <c r="AA4560" s="93">
        <f>AA4559/14</f>
        <v>0.3174603174603175</v>
      </c>
      <c r="AB4560" s="93">
        <f>AD4560/AC4558</f>
        <v>5.5439999999999987</v>
      </c>
      <c r="AC4560" s="93">
        <f>AC4558/AA4560</f>
        <v>3.1499999999999995</v>
      </c>
      <c r="AD4560" s="94">
        <f t="shared" si="3375"/>
        <v>5.5439999999999987</v>
      </c>
      <c r="AE4560" s="190"/>
      <c r="AF4560" s="191"/>
      <c r="AG4560" s="191"/>
      <c r="AH4560" s="191"/>
      <c r="AI4560" s="186"/>
      <c r="AK4560" s="171"/>
    </row>
    <row r="4561" spans="1:37" s="102" customFormat="1" ht="19.899999999999999" customHeight="1" x14ac:dyDescent="0.25">
      <c r="A4561" s="45"/>
      <c r="B4561" s="59"/>
      <c r="C4561" s="137"/>
      <c r="D4561" s="59"/>
      <c r="E4561" s="116"/>
      <c r="F4561" s="120"/>
      <c r="G4561" s="120"/>
      <c r="H4561" s="120"/>
      <c r="I4561" s="60"/>
      <c r="J4561" s="116"/>
      <c r="K4561" s="213"/>
      <c r="L4561" s="120"/>
      <c r="M4561" s="120"/>
      <c r="N4561" s="167"/>
      <c r="O4561" s="120"/>
      <c r="P4561" s="120"/>
      <c r="Q4561" s="120"/>
      <c r="R4561" s="120"/>
      <c r="S4561" s="120"/>
      <c r="T4561" s="221"/>
      <c r="U4561" s="89"/>
      <c r="V4561" s="61"/>
      <c r="W4561" s="92" t="s">
        <v>161</v>
      </c>
      <c r="X4561" s="93" t="s">
        <v>29</v>
      </c>
      <c r="Y4561" s="93" t="s">
        <v>93</v>
      </c>
      <c r="Z4561" s="134">
        <f>VLOOKUP(W4561,Sheet2!$B:$D,3,FALSE)</f>
        <v>48</v>
      </c>
      <c r="AA4561" s="93">
        <f>(16*0.85*1.5)/(3*3*2.5)</f>
        <v>0.90666666666666662</v>
      </c>
      <c r="AB4561" s="93">
        <f>AD4561/AC4558</f>
        <v>52.941176470588239</v>
      </c>
      <c r="AC4561" s="93">
        <f>AC4558/AA4561</f>
        <v>1.1029411764705883</v>
      </c>
      <c r="AD4561" s="94">
        <f>AC4561*Z4561</f>
        <v>52.941176470588239</v>
      </c>
      <c r="AE4561" s="190"/>
      <c r="AF4561" s="191"/>
      <c r="AG4561" s="191"/>
      <c r="AH4561" s="191"/>
      <c r="AI4561" s="186"/>
      <c r="AK4561" s="171"/>
    </row>
    <row r="4562" spans="1:37" s="102" customFormat="1" ht="19.899999999999999" customHeight="1" x14ac:dyDescent="0.25">
      <c r="A4562" s="45"/>
      <c r="B4562" s="59"/>
      <c r="C4562" s="137"/>
      <c r="D4562" s="59"/>
      <c r="E4562" s="116"/>
      <c r="F4562" s="120"/>
      <c r="G4562" s="120"/>
      <c r="H4562" s="120"/>
      <c r="I4562" s="60"/>
      <c r="J4562" s="116"/>
      <c r="K4562" s="213"/>
      <c r="L4562" s="120"/>
      <c r="M4562" s="120"/>
      <c r="N4562" s="167"/>
      <c r="O4562" s="120"/>
      <c r="P4562" s="120"/>
      <c r="Q4562" s="120"/>
      <c r="R4562" s="120"/>
      <c r="S4562" s="120"/>
      <c r="T4562" s="221"/>
      <c r="U4562" s="89"/>
      <c r="V4562" s="61"/>
      <c r="W4562" s="92" t="s">
        <v>65</v>
      </c>
      <c r="X4562" s="93" t="s">
        <v>30</v>
      </c>
      <c r="Y4562" s="93" t="s">
        <v>1011</v>
      </c>
      <c r="Z4562" s="134">
        <f>VLOOKUP(W4562,Sheet2!$B:$D,3,FALSE)</f>
        <v>1.76</v>
      </c>
      <c r="AA4562" s="93">
        <f>AA4561/10</f>
        <v>9.0666666666666659E-2</v>
      </c>
      <c r="AB4562" s="93">
        <f>AD4562/AC4558</f>
        <v>19.411764705882355</v>
      </c>
      <c r="AC4562" s="93">
        <f>AC4558/AA4562</f>
        <v>11.029411764705884</v>
      </c>
      <c r="AD4562" s="94">
        <f>AC4562*Z4562</f>
        <v>19.411764705882355</v>
      </c>
      <c r="AE4562" s="190"/>
      <c r="AF4562" s="191"/>
      <c r="AG4562" s="191"/>
      <c r="AH4562" s="191"/>
      <c r="AI4562" s="186"/>
      <c r="AK4562" s="171"/>
    </row>
    <row r="4563" spans="1:37" s="103" customFormat="1" ht="19.899999999999999" customHeight="1" x14ac:dyDescent="0.25">
      <c r="A4563" s="51"/>
      <c r="B4563" s="52"/>
      <c r="C4563" s="165"/>
      <c r="D4563" s="52"/>
      <c r="E4563" s="115"/>
      <c r="F4563" s="58"/>
      <c r="G4563" s="58"/>
      <c r="H4563" s="58"/>
      <c r="I4563" s="55"/>
      <c r="J4563" s="113">
        <f>J4557</f>
        <v>1</v>
      </c>
      <c r="K4563" s="212">
        <f>K4557</f>
        <v>1</v>
      </c>
      <c r="L4563" s="58"/>
      <c r="M4563" s="58">
        <f>K4563-L4563</f>
        <v>1</v>
      </c>
      <c r="N4563" s="166"/>
      <c r="O4563" s="58"/>
      <c r="P4563" s="58"/>
      <c r="Q4563" s="58"/>
      <c r="R4563" s="58"/>
      <c r="S4563" s="58"/>
      <c r="T4563" s="220"/>
      <c r="U4563" s="88"/>
      <c r="V4563" s="56"/>
      <c r="W4563" s="57" t="s">
        <v>1352</v>
      </c>
      <c r="X4563" s="53"/>
      <c r="Y4563" s="91" t="s">
        <v>35</v>
      </c>
      <c r="Z4563" s="136">
        <f>AD4563/AC4563</f>
        <v>9186.6</v>
      </c>
      <c r="AA4563" s="58"/>
      <c r="AB4563" s="53">
        <f>AD4563/AC4563</f>
        <v>9186.6</v>
      </c>
      <c r="AC4563" s="53">
        <f>M4563+$AE$10</f>
        <v>1</v>
      </c>
      <c r="AD4563" s="54">
        <f>SUM(AD4564:AD4574)</f>
        <v>9186.6</v>
      </c>
      <c r="AE4563" s="184">
        <f>SUMIFS($AD$37:$AD$12971,$V$37:$V$12971,$V4563,$X$37:$X$12971,AE$13)</f>
        <v>0</v>
      </c>
      <c r="AF4563" s="185">
        <f>SUMIFS($AD$37:$AD$12971,$V$37:$V$12971,$V4563,$X$37:$X$12971,AF$13)</f>
        <v>0</v>
      </c>
      <c r="AG4563" s="185">
        <f>SUMIFS($AD$37:$AD$12971,$V$37:$V$12971,$V4563,$X$37:$X$12971,AG$13)</f>
        <v>0</v>
      </c>
      <c r="AH4563" s="187">
        <f>SUMIFS($AD$37:$AD$12971,$V$37:$V$12971,$V4563,$X$37:$X$12971,AH$13)</f>
        <v>0</v>
      </c>
      <c r="AI4563" s="161">
        <f t="shared" ref="AI4563" si="3376">SUM(AE4563:AH4563)</f>
        <v>0</v>
      </c>
      <c r="AK4563" s="172"/>
    </row>
    <row r="4564" spans="1:37" s="102" customFormat="1" ht="19.899999999999999" customHeight="1" x14ac:dyDescent="0.25">
      <c r="A4564" s="45"/>
      <c r="B4564" s="59"/>
      <c r="C4564" s="137"/>
      <c r="D4564" s="59"/>
      <c r="E4564" s="116"/>
      <c r="F4564" s="120"/>
      <c r="G4564" s="120"/>
      <c r="H4564" s="120"/>
      <c r="I4564" s="60"/>
      <c r="J4564" s="116"/>
      <c r="K4564" s="213"/>
      <c r="L4564" s="120"/>
      <c r="M4564" s="120"/>
      <c r="N4564" s="167"/>
      <c r="O4564" s="120"/>
      <c r="P4564" s="120"/>
      <c r="Q4564" s="120"/>
      <c r="R4564" s="120"/>
      <c r="S4564" s="120"/>
      <c r="T4564" s="221"/>
      <c r="U4564" s="89"/>
      <c r="V4564" s="61"/>
      <c r="W4564" s="92" t="s">
        <v>1032</v>
      </c>
      <c r="X4564" s="93" t="s">
        <v>30</v>
      </c>
      <c r="Y4564" s="93" t="s">
        <v>66</v>
      </c>
      <c r="Z4564" s="134">
        <f>VLOOKUP(W4564,Sheet2!$B:$D,3,FALSE)</f>
        <v>250</v>
      </c>
      <c r="AA4564" s="93">
        <f>1/(3*3*0.1)</f>
        <v>1.1111111111111112</v>
      </c>
      <c r="AB4564" s="93">
        <f t="shared" ref="AB4564" si="3377">AD4564/AC4563</f>
        <v>224.99999999999997</v>
      </c>
      <c r="AC4564" s="93">
        <f>AC4563/AA4564</f>
        <v>0.89999999999999991</v>
      </c>
      <c r="AD4564" s="94">
        <f t="shared" ref="AD4564:AD4566" si="3378">AC4564*Z4564</f>
        <v>224.99999999999997</v>
      </c>
      <c r="AE4564" s="190"/>
      <c r="AF4564" s="191"/>
      <c r="AG4564" s="191"/>
      <c r="AH4564" s="191"/>
      <c r="AI4564" s="186"/>
      <c r="AK4564" s="171"/>
    </row>
    <row r="4565" spans="1:37" s="102" customFormat="1" ht="19.899999999999999" customHeight="1" x14ac:dyDescent="0.25">
      <c r="A4565" s="45"/>
      <c r="B4565" s="59"/>
      <c r="C4565" s="137"/>
      <c r="D4565" s="59"/>
      <c r="E4565" s="116"/>
      <c r="F4565" s="120"/>
      <c r="G4565" s="120"/>
      <c r="H4565" s="120"/>
      <c r="I4565" s="60"/>
      <c r="J4565" s="116"/>
      <c r="K4565" s="213"/>
      <c r="L4565" s="120"/>
      <c r="M4565" s="120"/>
      <c r="N4565" s="167"/>
      <c r="O4565" s="120"/>
      <c r="P4565" s="120"/>
      <c r="Q4565" s="120"/>
      <c r="R4565" s="120"/>
      <c r="S4565" s="120"/>
      <c r="T4565" s="221"/>
      <c r="U4565" s="89"/>
      <c r="V4565" s="61"/>
      <c r="W4565" s="92" t="s">
        <v>1353</v>
      </c>
      <c r="X4565" s="93" t="s">
        <v>30</v>
      </c>
      <c r="Y4565" s="93" t="s">
        <v>66</v>
      </c>
      <c r="Z4565" s="134">
        <f>VLOOKUP(W4565,Sheet2!$B:$D,3,FALSE)</f>
        <v>350</v>
      </c>
      <c r="AA4565" s="93">
        <f>1/(2*2*0.25*5)</f>
        <v>0.2</v>
      </c>
      <c r="AB4565" s="93">
        <f>AD4565/AC4563</f>
        <v>1750</v>
      </c>
      <c r="AC4565" s="93">
        <f>AC4563/AA4565</f>
        <v>5</v>
      </c>
      <c r="AD4565" s="94">
        <f t="shared" si="3378"/>
        <v>1750</v>
      </c>
      <c r="AE4565" s="190"/>
      <c r="AF4565" s="191"/>
      <c r="AG4565" s="191"/>
      <c r="AH4565" s="191"/>
      <c r="AI4565" s="186"/>
      <c r="AK4565" s="171"/>
    </row>
    <row r="4566" spans="1:37" s="102" customFormat="1" ht="19.899999999999999" customHeight="1" x14ac:dyDescent="0.25">
      <c r="A4566" s="45"/>
      <c r="B4566" s="59"/>
      <c r="C4566" s="137"/>
      <c r="D4566" s="59"/>
      <c r="E4566" s="116"/>
      <c r="F4566" s="120"/>
      <c r="G4566" s="120"/>
      <c r="H4566" s="120"/>
      <c r="I4566" s="60"/>
      <c r="J4566" s="116"/>
      <c r="K4566" s="213"/>
      <c r="L4566" s="120"/>
      <c r="M4566" s="120"/>
      <c r="N4566" s="167"/>
      <c r="O4566" s="120"/>
      <c r="P4566" s="120"/>
      <c r="Q4566" s="120"/>
      <c r="R4566" s="120"/>
      <c r="S4566" s="120"/>
      <c r="T4566" s="221"/>
      <c r="U4566" s="89"/>
      <c r="V4566" s="61"/>
      <c r="W4566" s="92" t="s">
        <v>99</v>
      </c>
      <c r="X4566" s="93" t="s">
        <v>30</v>
      </c>
      <c r="Y4566" s="93" t="s">
        <v>67</v>
      </c>
      <c r="Z4566" s="134">
        <f>VLOOKUP(W4566,Sheet2!$B:$D,3,FALSE)</f>
        <v>2500</v>
      </c>
      <c r="AA4566" s="93">
        <f>1/(2*2*0.25*5*0.08)</f>
        <v>2.5</v>
      </c>
      <c r="AB4566" s="93">
        <f>AD4566/AC4563</f>
        <v>1000</v>
      </c>
      <c r="AC4566" s="93">
        <f>AC4563/AA4566</f>
        <v>0.4</v>
      </c>
      <c r="AD4566" s="94">
        <f t="shared" si="3378"/>
        <v>1000</v>
      </c>
      <c r="AE4566" s="190"/>
      <c r="AF4566" s="191"/>
      <c r="AG4566" s="191"/>
      <c r="AH4566" s="191"/>
      <c r="AI4566" s="186"/>
      <c r="AK4566" s="171"/>
    </row>
    <row r="4567" spans="1:37" s="102" customFormat="1" ht="19.899999999999999" customHeight="1" x14ac:dyDescent="0.25">
      <c r="A4567" s="45"/>
      <c r="B4567" s="59"/>
      <c r="C4567" s="137"/>
      <c r="D4567" s="59"/>
      <c r="E4567" s="116"/>
      <c r="F4567" s="120"/>
      <c r="G4567" s="120"/>
      <c r="H4567" s="120"/>
      <c r="I4567" s="60"/>
      <c r="J4567" s="116"/>
      <c r="K4567" s="213"/>
      <c r="L4567" s="120"/>
      <c r="M4567" s="120"/>
      <c r="N4567" s="167"/>
      <c r="O4567" s="120"/>
      <c r="P4567" s="120"/>
      <c r="Q4567" s="120"/>
      <c r="R4567" s="120"/>
      <c r="S4567" s="120"/>
      <c r="T4567" s="221"/>
      <c r="U4567" s="89"/>
      <c r="V4567" s="61"/>
      <c r="W4567" s="92" t="s">
        <v>1354</v>
      </c>
      <c r="X4567" s="93" t="s">
        <v>32</v>
      </c>
      <c r="Y4567" s="93" t="s">
        <v>66</v>
      </c>
      <c r="Z4567" s="134">
        <f>VLOOKUP(W4567,Sheet2!$B:$D,3,FALSE)</f>
        <v>150</v>
      </c>
      <c r="AA4567" s="93">
        <f>AA4564</f>
        <v>1.1111111111111112</v>
      </c>
      <c r="AB4567" s="93">
        <f>AD4567/AC4563</f>
        <v>135</v>
      </c>
      <c r="AC4567" s="93">
        <f>AC4563/AA4567</f>
        <v>0.89999999999999991</v>
      </c>
      <c r="AD4567" s="94">
        <f>AC4567*Z4567</f>
        <v>135</v>
      </c>
      <c r="AE4567" s="190"/>
      <c r="AF4567" s="191"/>
      <c r="AG4567" s="191"/>
      <c r="AH4567" s="191"/>
      <c r="AI4567" s="186"/>
      <c r="AK4567" s="171"/>
    </row>
    <row r="4568" spans="1:37" s="102" customFormat="1" ht="19.899999999999999" customHeight="1" x14ac:dyDescent="0.25">
      <c r="A4568" s="45"/>
      <c r="B4568" s="59"/>
      <c r="C4568" s="137"/>
      <c r="D4568" s="59"/>
      <c r="E4568" s="116"/>
      <c r="F4568" s="120"/>
      <c r="G4568" s="120"/>
      <c r="H4568" s="120"/>
      <c r="I4568" s="60"/>
      <c r="J4568" s="116"/>
      <c r="K4568" s="213"/>
      <c r="L4568" s="120"/>
      <c r="M4568" s="120"/>
      <c r="N4568" s="167"/>
      <c r="O4568" s="120"/>
      <c r="P4568" s="120"/>
      <c r="Q4568" s="120"/>
      <c r="R4568" s="120"/>
      <c r="S4568" s="120"/>
      <c r="T4568" s="221"/>
      <c r="U4568" s="89"/>
      <c r="V4568" s="61"/>
      <c r="W4568" s="92" t="s">
        <v>1355</v>
      </c>
      <c r="X4568" s="93" t="s">
        <v>32</v>
      </c>
      <c r="Y4568" s="93" t="s">
        <v>66</v>
      </c>
      <c r="Z4568" s="134">
        <f>VLOOKUP(W4568,Sheet2!$B:$D,3,FALSE)</f>
        <v>450</v>
      </c>
      <c r="AA4568" s="93">
        <f>AA4565</f>
        <v>0.2</v>
      </c>
      <c r="AB4568" s="93">
        <f>AD4568/AC4563</f>
        <v>2250</v>
      </c>
      <c r="AC4568" s="93">
        <f>AC4563/AA4568</f>
        <v>5</v>
      </c>
      <c r="AD4568" s="94">
        <f>AC4568*Z4568</f>
        <v>2250</v>
      </c>
      <c r="AE4568" s="190"/>
      <c r="AF4568" s="191"/>
      <c r="AG4568" s="191"/>
      <c r="AH4568" s="191"/>
      <c r="AI4568" s="186"/>
      <c r="AK4568" s="171"/>
    </row>
    <row r="4569" spans="1:37" s="102" customFormat="1" ht="19.899999999999999" customHeight="1" x14ac:dyDescent="0.25">
      <c r="A4569" s="45"/>
      <c r="B4569" s="59"/>
      <c r="C4569" s="137"/>
      <c r="D4569" s="59"/>
      <c r="E4569" s="116"/>
      <c r="F4569" s="120"/>
      <c r="G4569" s="120"/>
      <c r="H4569" s="120"/>
      <c r="I4569" s="60"/>
      <c r="J4569" s="116"/>
      <c r="K4569" s="213"/>
      <c r="L4569" s="120"/>
      <c r="M4569" s="120"/>
      <c r="N4569" s="167"/>
      <c r="O4569" s="120"/>
      <c r="P4569" s="120"/>
      <c r="Q4569" s="120"/>
      <c r="R4569" s="120"/>
      <c r="S4569" s="120"/>
      <c r="T4569" s="221"/>
      <c r="U4569" s="89"/>
      <c r="V4569" s="61"/>
      <c r="W4569" s="92" t="s">
        <v>1356</v>
      </c>
      <c r="X4569" s="93" t="s">
        <v>30</v>
      </c>
      <c r="Y4569" s="93" t="s">
        <v>35</v>
      </c>
      <c r="Z4569" s="134">
        <f>VLOOKUP(W4569,Sheet2!$B:$D,3,FALSE)</f>
        <v>3500</v>
      </c>
      <c r="AA4569" s="93">
        <v>1</v>
      </c>
      <c r="AB4569" s="93">
        <f>AD4569/AC4563</f>
        <v>3500</v>
      </c>
      <c r="AC4569" s="93">
        <f>AC4563/AA4569</f>
        <v>1</v>
      </c>
      <c r="AD4569" s="94">
        <f t="shared" ref="AD4569:AD4570" si="3379">AC4569*Z4569</f>
        <v>3500</v>
      </c>
      <c r="AE4569" s="190"/>
      <c r="AF4569" s="191"/>
      <c r="AG4569" s="191"/>
      <c r="AH4569" s="191"/>
      <c r="AI4569" s="186"/>
      <c r="AK4569" s="171"/>
    </row>
    <row r="4570" spans="1:37" s="102" customFormat="1" ht="19.899999999999999" customHeight="1" x14ac:dyDescent="0.25">
      <c r="A4570" s="45"/>
      <c r="B4570" s="59"/>
      <c r="C4570" s="137"/>
      <c r="D4570" s="59"/>
      <c r="E4570" s="116"/>
      <c r="F4570" s="120"/>
      <c r="G4570" s="120"/>
      <c r="H4570" s="120"/>
      <c r="I4570" s="60"/>
      <c r="J4570" s="116"/>
      <c r="K4570" s="213"/>
      <c r="L4570" s="120"/>
      <c r="M4570" s="120"/>
      <c r="N4570" s="167"/>
      <c r="O4570" s="120"/>
      <c r="P4570" s="120"/>
      <c r="Q4570" s="120"/>
      <c r="R4570" s="120"/>
      <c r="S4570" s="120"/>
      <c r="T4570" s="221"/>
      <c r="U4570" s="89"/>
      <c r="V4570" s="61"/>
      <c r="W4570" s="92" t="s">
        <v>174</v>
      </c>
      <c r="X4570" s="93" t="s">
        <v>29</v>
      </c>
      <c r="Y4570" s="93" t="s">
        <v>93</v>
      </c>
      <c r="Z4570" s="134">
        <f>VLOOKUP(W4570,Sheet2!$B:$D,3,FALSE)</f>
        <v>80</v>
      </c>
      <c r="AA4570" s="93">
        <v>4</v>
      </c>
      <c r="AB4570" s="93">
        <f>AD4570/AC4563</f>
        <v>20</v>
      </c>
      <c r="AC4570" s="93">
        <f>AC4563/AA4570</f>
        <v>0.25</v>
      </c>
      <c r="AD4570" s="94">
        <f t="shared" si="3379"/>
        <v>20</v>
      </c>
      <c r="AE4570" s="190"/>
      <c r="AF4570" s="191"/>
      <c r="AG4570" s="191"/>
      <c r="AH4570" s="191"/>
      <c r="AI4570" s="186"/>
      <c r="AK4570" s="171"/>
    </row>
    <row r="4571" spans="1:37" s="102" customFormat="1" ht="19.899999999999999" customHeight="1" x14ac:dyDescent="0.25">
      <c r="A4571" s="45"/>
      <c r="B4571" s="59"/>
      <c r="C4571" s="137"/>
      <c r="D4571" s="59"/>
      <c r="E4571" s="116"/>
      <c r="F4571" s="120"/>
      <c r="G4571" s="120"/>
      <c r="H4571" s="120"/>
      <c r="I4571" s="60"/>
      <c r="J4571" s="116"/>
      <c r="K4571" s="213"/>
      <c r="L4571" s="120"/>
      <c r="M4571" s="120"/>
      <c r="N4571" s="167"/>
      <c r="O4571" s="120"/>
      <c r="P4571" s="120"/>
      <c r="Q4571" s="120"/>
      <c r="R4571" s="120"/>
      <c r="S4571" s="120"/>
      <c r="T4571" s="221"/>
      <c r="U4571" s="89"/>
      <c r="V4571" s="61"/>
      <c r="W4571" s="92" t="s">
        <v>65</v>
      </c>
      <c r="X4571" s="93" t="s">
        <v>30</v>
      </c>
      <c r="Y4571" s="93" t="s">
        <v>93</v>
      </c>
      <c r="Z4571" s="134">
        <f>VLOOKUP(W4571,Sheet2!$B:$D,3,FALSE)</f>
        <v>1.76</v>
      </c>
      <c r="AA4571" s="93">
        <f>AA4570/15</f>
        <v>0.26666666666666666</v>
      </c>
      <c r="AB4571" s="93">
        <f>AD4571/AC4563</f>
        <v>6.6</v>
      </c>
      <c r="AC4571" s="93">
        <f>AC4563/AA4571</f>
        <v>3.75</v>
      </c>
      <c r="AD4571" s="94">
        <f>AC4571*Z4571</f>
        <v>6.6</v>
      </c>
      <c r="AE4571" s="190"/>
      <c r="AF4571" s="191"/>
      <c r="AG4571" s="191"/>
      <c r="AH4571" s="191"/>
      <c r="AI4571" s="186"/>
      <c r="AK4571" s="171"/>
    </row>
    <row r="4572" spans="1:37" s="102" customFormat="1" ht="19.899999999999999" customHeight="1" x14ac:dyDescent="0.25">
      <c r="A4572" s="45"/>
      <c r="B4572" s="59"/>
      <c r="C4572" s="137"/>
      <c r="D4572" s="59"/>
      <c r="E4572" s="116"/>
      <c r="F4572" s="120"/>
      <c r="G4572" s="120"/>
      <c r="H4572" s="120"/>
      <c r="I4572" s="60"/>
      <c r="J4572" s="116"/>
      <c r="K4572" s="213"/>
      <c r="L4572" s="120"/>
      <c r="M4572" s="120"/>
      <c r="N4572" s="167"/>
      <c r="O4572" s="120"/>
      <c r="P4572" s="120"/>
      <c r="Q4572" s="120"/>
      <c r="R4572" s="120"/>
      <c r="S4572" s="120"/>
      <c r="T4572" s="221"/>
      <c r="U4572" s="89"/>
      <c r="V4572" s="61"/>
      <c r="W4572" s="92" t="s">
        <v>1357</v>
      </c>
      <c r="X4572" s="93" t="s">
        <v>30</v>
      </c>
      <c r="Y4572" s="93" t="s">
        <v>1349</v>
      </c>
      <c r="Z4572" s="134">
        <f>VLOOKUP(W4572,Sheet2!$B:$D,3,FALSE)</f>
        <v>150</v>
      </c>
      <c r="AA4572" s="93">
        <v>1</v>
      </c>
      <c r="AB4572" s="93">
        <f>AD4572/AC4563</f>
        <v>150</v>
      </c>
      <c r="AC4572" s="93">
        <f>AC4563/AA4572</f>
        <v>1</v>
      </c>
      <c r="AD4572" s="94">
        <f>AC4572*Z4572</f>
        <v>150</v>
      </c>
      <c r="AE4572" s="190"/>
      <c r="AF4572" s="191"/>
      <c r="AG4572" s="191"/>
      <c r="AH4572" s="191"/>
      <c r="AI4572" s="186"/>
      <c r="AK4572" s="171"/>
    </row>
    <row r="4573" spans="1:37" s="102" customFormat="1" ht="19.899999999999999" customHeight="1" x14ac:dyDescent="0.25">
      <c r="A4573" s="45"/>
      <c r="B4573" s="59"/>
      <c r="C4573" s="137"/>
      <c r="D4573" s="59"/>
      <c r="E4573" s="116"/>
      <c r="F4573" s="120"/>
      <c r="G4573" s="120"/>
      <c r="H4573" s="120"/>
      <c r="I4573" s="60"/>
      <c r="J4573" s="116"/>
      <c r="K4573" s="213"/>
      <c r="L4573" s="120"/>
      <c r="M4573" s="120"/>
      <c r="N4573" s="167"/>
      <c r="O4573" s="120"/>
      <c r="P4573" s="120"/>
      <c r="Q4573" s="120"/>
      <c r="R4573" s="120"/>
      <c r="S4573" s="120"/>
      <c r="T4573" s="221"/>
      <c r="U4573" s="89"/>
      <c r="V4573" s="61"/>
      <c r="W4573" s="92" t="s">
        <v>107</v>
      </c>
      <c r="X4573" s="93" t="s">
        <v>31</v>
      </c>
      <c r="Y4573" s="93" t="s">
        <v>93</v>
      </c>
      <c r="Z4573" s="134">
        <f>VLOOKUP(W4573,Sheet2!$B:$D,3,FALSE)</f>
        <v>17</v>
      </c>
      <c r="AA4573" s="93">
        <f>1/5</f>
        <v>0.2</v>
      </c>
      <c r="AB4573" s="93">
        <f>AD4573/AC4563</f>
        <v>85</v>
      </c>
      <c r="AC4573" s="93">
        <f>AC4563/AA4573</f>
        <v>5</v>
      </c>
      <c r="AD4573" s="94">
        <f>AC4573*Z4573</f>
        <v>85</v>
      </c>
      <c r="AE4573" s="190"/>
      <c r="AF4573" s="191"/>
      <c r="AG4573" s="191"/>
      <c r="AH4573" s="191"/>
      <c r="AI4573" s="186"/>
      <c r="AK4573" s="171"/>
    </row>
    <row r="4574" spans="1:37" s="102" customFormat="1" ht="19.899999999999999" customHeight="1" x14ac:dyDescent="0.25">
      <c r="A4574" s="45"/>
      <c r="B4574" s="59"/>
      <c r="C4574" s="137"/>
      <c r="D4574" s="59"/>
      <c r="E4574" s="116"/>
      <c r="F4574" s="120"/>
      <c r="G4574" s="120"/>
      <c r="H4574" s="120"/>
      <c r="I4574" s="60"/>
      <c r="J4574" s="116"/>
      <c r="K4574" s="213"/>
      <c r="L4574" s="120"/>
      <c r="M4574" s="120"/>
      <c r="N4574" s="167"/>
      <c r="O4574" s="120"/>
      <c r="P4574" s="120"/>
      <c r="Q4574" s="120"/>
      <c r="R4574" s="120"/>
      <c r="S4574" s="120"/>
      <c r="T4574" s="221"/>
      <c r="U4574" s="89"/>
      <c r="V4574" s="61"/>
      <c r="W4574" s="92" t="s">
        <v>112</v>
      </c>
      <c r="X4574" s="93" t="s">
        <v>31</v>
      </c>
      <c r="Y4574" s="93" t="s">
        <v>93</v>
      </c>
      <c r="Z4574" s="134">
        <f>VLOOKUP(W4574,Sheet2!$B:$D,3,FALSE)</f>
        <v>13</v>
      </c>
      <c r="AA4574" s="93">
        <f>AA4573</f>
        <v>0.2</v>
      </c>
      <c r="AB4574" s="93">
        <f>AD4574/AC4563</f>
        <v>65</v>
      </c>
      <c r="AC4574" s="93">
        <f>AC4563/AA4574</f>
        <v>5</v>
      </c>
      <c r="AD4574" s="94">
        <f>AC4574*Z4574</f>
        <v>65</v>
      </c>
      <c r="AE4574" s="190"/>
      <c r="AF4574" s="191"/>
      <c r="AG4574" s="191"/>
      <c r="AH4574" s="191"/>
      <c r="AI4574" s="186"/>
      <c r="AK4574" s="171"/>
    </row>
    <row r="4575" spans="1:37" s="103" customFormat="1" ht="19.899999999999999" customHeight="1" x14ac:dyDescent="0.25">
      <c r="A4575" s="51"/>
      <c r="B4575" s="52"/>
      <c r="C4575" s="165"/>
      <c r="D4575" s="52"/>
      <c r="E4575" s="115"/>
      <c r="F4575" s="58"/>
      <c r="G4575" s="58"/>
      <c r="H4575" s="58"/>
      <c r="I4575" s="55"/>
      <c r="J4575" s="113">
        <f>J4557</f>
        <v>1</v>
      </c>
      <c r="K4575" s="212">
        <f>K4557</f>
        <v>1</v>
      </c>
      <c r="L4575" s="58"/>
      <c r="M4575" s="58">
        <f>K4575-L4575</f>
        <v>1</v>
      </c>
      <c r="N4575" s="166"/>
      <c r="O4575" s="58"/>
      <c r="P4575" s="58"/>
      <c r="Q4575" s="58"/>
      <c r="R4575" s="58"/>
      <c r="S4575" s="58"/>
      <c r="T4575" s="220"/>
      <c r="U4575" s="88"/>
      <c r="V4575" s="56"/>
      <c r="W4575" s="57" t="s">
        <v>1358</v>
      </c>
      <c r="X4575" s="53"/>
      <c r="Y4575" s="91" t="s">
        <v>35</v>
      </c>
      <c r="Z4575" s="136">
        <f>AD4575/AC4575</f>
        <v>2800</v>
      </c>
      <c r="AA4575" s="58"/>
      <c r="AB4575" s="53">
        <f>AD4575/AC4575</f>
        <v>2800</v>
      </c>
      <c r="AC4575" s="53">
        <f>M4575+$AE$10</f>
        <v>1</v>
      </c>
      <c r="AD4575" s="54">
        <f>SUM(AD4576:AD4577)</f>
        <v>2800</v>
      </c>
      <c r="AE4575" s="184">
        <f>SUMIFS($AD$37:$AD$12971,$V$37:$V$12971,$V4575,$X$37:$X$12971,AE$13)</f>
        <v>0</v>
      </c>
      <c r="AF4575" s="185">
        <f>SUMIFS($AD$37:$AD$12971,$V$37:$V$12971,$V4575,$X$37:$X$12971,AF$13)</f>
        <v>0</v>
      </c>
      <c r="AG4575" s="185">
        <f>SUMIFS($AD$37:$AD$12971,$V$37:$V$12971,$V4575,$X$37:$X$12971,AG$13)</f>
        <v>0</v>
      </c>
      <c r="AH4575" s="187">
        <f>SUMIFS($AD$37:$AD$12971,$V$37:$V$12971,$V4575,$X$37:$X$12971,AH$13)</f>
        <v>0</v>
      </c>
      <c r="AI4575" s="161">
        <f t="shared" ref="AI4575" si="3380">SUM(AE4575:AH4575)</f>
        <v>0</v>
      </c>
      <c r="AK4575" s="172"/>
    </row>
    <row r="4576" spans="1:37" s="102" customFormat="1" ht="19.899999999999999" customHeight="1" x14ac:dyDescent="0.25">
      <c r="A4576" s="45"/>
      <c r="B4576" s="59"/>
      <c r="C4576" s="137"/>
      <c r="D4576" s="59"/>
      <c r="E4576" s="116"/>
      <c r="F4576" s="120"/>
      <c r="G4576" s="120"/>
      <c r="H4576" s="120"/>
      <c r="I4576" s="60"/>
      <c r="J4576" s="116"/>
      <c r="K4576" s="213"/>
      <c r="L4576" s="120"/>
      <c r="M4576" s="120"/>
      <c r="N4576" s="167"/>
      <c r="O4576" s="120"/>
      <c r="P4576" s="120"/>
      <c r="Q4576" s="120"/>
      <c r="R4576" s="120"/>
      <c r="S4576" s="120"/>
      <c r="T4576" s="221"/>
      <c r="U4576" s="89"/>
      <c r="V4576" s="61"/>
      <c r="W4576" s="92" t="s">
        <v>1359</v>
      </c>
      <c r="X4576" s="93" t="s">
        <v>32</v>
      </c>
      <c r="Y4576" s="93" t="s">
        <v>64</v>
      </c>
      <c r="Z4576" s="134">
        <f>VLOOKUP(W4576,Sheet2!$B:$D,3,FALSE)</f>
        <v>40</v>
      </c>
      <c r="AA4576" s="93">
        <f>1/40</f>
        <v>2.5000000000000001E-2</v>
      </c>
      <c r="AB4576" s="93">
        <f t="shared" ref="AB4576" si="3381">AD4576/AC4575</f>
        <v>1600</v>
      </c>
      <c r="AC4576" s="93">
        <f>AC4575/AA4576</f>
        <v>40</v>
      </c>
      <c r="AD4576" s="94">
        <f t="shared" ref="AD4576:AD4577" si="3382">AC4576*Z4576</f>
        <v>1600</v>
      </c>
      <c r="AE4576" s="190"/>
      <c r="AF4576" s="191"/>
      <c r="AG4576" s="191"/>
      <c r="AH4576" s="191"/>
      <c r="AI4576" s="186"/>
      <c r="AK4576" s="171"/>
    </row>
    <row r="4577" spans="1:41" s="102" customFormat="1" ht="19.899999999999999" customHeight="1" x14ac:dyDescent="0.25">
      <c r="A4577" s="45"/>
      <c r="B4577" s="59"/>
      <c r="C4577" s="137"/>
      <c r="D4577" s="59"/>
      <c r="E4577" s="116"/>
      <c r="F4577" s="120"/>
      <c r="G4577" s="120"/>
      <c r="H4577" s="120"/>
      <c r="I4577" s="60"/>
      <c r="J4577" s="116"/>
      <c r="K4577" s="213"/>
      <c r="L4577" s="120"/>
      <c r="M4577" s="120"/>
      <c r="N4577" s="167"/>
      <c r="O4577" s="120"/>
      <c r="P4577" s="120"/>
      <c r="Q4577" s="120"/>
      <c r="R4577" s="120"/>
      <c r="S4577" s="120"/>
      <c r="T4577" s="221"/>
      <c r="U4577" s="89"/>
      <c r="V4577" s="61"/>
      <c r="W4577" s="92" t="s">
        <v>1360</v>
      </c>
      <c r="X4577" s="93" t="s">
        <v>32</v>
      </c>
      <c r="Y4577" s="93" t="s">
        <v>64</v>
      </c>
      <c r="Z4577" s="134">
        <f>VLOOKUP(W4577,Sheet2!$B:$D,3,FALSE)</f>
        <v>30</v>
      </c>
      <c r="AA4577" s="93">
        <f>AA4576</f>
        <v>2.5000000000000001E-2</v>
      </c>
      <c r="AB4577" s="93">
        <f>AD4577/AC4575</f>
        <v>1200</v>
      </c>
      <c r="AC4577" s="93">
        <f>AC4575/AA4577</f>
        <v>40</v>
      </c>
      <c r="AD4577" s="94">
        <f t="shared" si="3382"/>
        <v>1200</v>
      </c>
      <c r="AE4577" s="190"/>
      <c r="AF4577" s="191"/>
      <c r="AG4577" s="191"/>
      <c r="AH4577" s="191"/>
      <c r="AI4577" s="186"/>
      <c r="AK4577" s="171"/>
    </row>
    <row r="4578" spans="1:41" s="103" customFormat="1" ht="19.899999999999999" customHeight="1" x14ac:dyDescent="0.25">
      <c r="A4578" s="51"/>
      <c r="B4578" s="52"/>
      <c r="C4578" s="165"/>
      <c r="D4578" s="52"/>
      <c r="E4578" s="115"/>
      <c r="F4578" s="58"/>
      <c r="G4578" s="58"/>
      <c r="H4578" s="58"/>
      <c r="I4578" s="55"/>
      <c r="J4578" s="113">
        <f>J4557</f>
        <v>1</v>
      </c>
      <c r="K4578" s="212">
        <f>K4557</f>
        <v>1</v>
      </c>
      <c r="L4578" s="58"/>
      <c r="M4578" s="58">
        <f>K4578-L4578</f>
        <v>1</v>
      </c>
      <c r="N4578" s="166"/>
      <c r="O4578" s="58"/>
      <c r="P4578" s="58"/>
      <c r="Q4578" s="58"/>
      <c r="R4578" s="58"/>
      <c r="S4578" s="58"/>
      <c r="T4578" s="220"/>
      <c r="U4578" s="88"/>
      <c r="V4578" s="56"/>
      <c r="W4578" s="57" t="s">
        <v>1272</v>
      </c>
      <c r="X4578" s="53"/>
      <c r="Y4578" s="91" t="s">
        <v>35</v>
      </c>
      <c r="Z4578" s="136">
        <f>AD4578/AC4578</f>
        <v>209.08263529411764</v>
      </c>
      <c r="AA4578" s="58"/>
      <c r="AB4578" s="53">
        <f>AD4578/AC4578</f>
        <v>209.08263529411764</v>
      </c>
      <c r="AC4578" s="53">
        <f>M4578+$AE$10</f>
        <v>1</v>
      </c>
      <c r="AD4578" s="54">
        <f>SUM(AD4579:AD4587)</f>
        <v>209.08263529411764</v>
      </c>
      <c r="AE4578" s="184">
        <f>SUMIFS($AD$37:$AD$12971,$V$37:$V$12971,$V4578,$X$37:$X$12971,AE$13)</f>
        <v>0</v>
      </c>
      <c r="AF4578" s="185">
        <f>SUMIFS($AD$37:$AD$12971,$V$37:$V$12971,$V4578,$X$37:$X$12971,AF$13)</f>
        <v>0</v>
      </c>
      <c r="AG4578" s="185">
        <f>SUMIFS($AD$37:$AD$12971,$V$37:$V$12971,$V4578,$X$37:$X$12971,AG$13)</f>
        <v>0</v>
      </c>
      <c r="AH4578" s="187">
        <f>SUMIFS($AD$37:$AD$12971,$V$37:$V$12971,$V4578,$X$37:$X$12971,AH$13)</f>
        <v>0</v>
      </c>
      <c r="AI4578" s="161">
        <f t="shared" ref="AI4578" si="3383">SUM(AE4578:AH4578)</f>
        <v>0</v>
      </c>
      <c r="AK4578" s="172"/>
    </row>
    <row r="4579" spans="1:41" s="102" customFormat="1" ht="19.899999999999999" customHeight="1" x14ac:dyDescent="0.25">
      <c r="A4579" s="45"/>
      <c r="B4579" s="59"/>
      <c r="C4579" s="137"/>
      <c r="D4579" s="59"/>
      <c r="E4579" s="116"/>
      <c r="F4579" s="120"/>
      <c r="G4579" s="120"/>
      <c r="H4579" s="120"/>
      <c r="I4579" s="60"/>
      <c r="J4579" s="116"/>
      <c r="K4579" s="213"/>
      <c r="L4579" s="120"/>
      <c r="M4579" s="120"/>
      <c r="N4579" s="167"/>
      <c r="O4579" s="120"/>
      <c r="P4579" s="120"/>
      <c r="Q4579" s="120"/>
      <c r="R4579" s="120"/>
      <c r="S4579" s="120"/>
      <c r="T4579" s="221"/>
      <c r="U4579" s="89"/>
      <c r="V4579" s="61"/>
      <c r="W4579" s="92" t="s">
        <v>1273</v>
      </c>
      <c r="X4579" s="93" t="s">
        <v>30</v>
      </c>
      <c r="Y4579" s="93" t="s">
        <v>66</v>
      </c>
      <c r="Z4579" s="134">
        <f>VLOOKUP(W4579,Sheet2!$B:$D,3,FALSE)</f>
        <v>10</v>
      </c>
      <c r="AA4579" s="93">
        <f>1/(2.5*2.4*0.5*4)</f>
        <v>8.3333333333333329E-2</v>
      </c>
      <c r="AB4579" s="93">
        <f>AD4579/AC4578</f>
        <v>120</v>
      </c>
      <c r="AC4579" s="93">
        <f>AC4578/AA4579</f>
        <v>12</v>
      </c>
      <c r="AD4579" s="94">
        <f t="shared" ref="AD4579:AD4581" si="3384">AC4579*Z4579</f>
        <v>120</v>
      </c>
      <c r="AE4579" s="190"/>
      <c r="AF4579" s="191"/>
      <c r="AG4579" s="191"/>
      <c r="AH4579" s="191"/>
      <c r="AI4579" s="186"/>
      <c r="AK4579" s="171"/>
    </row>
    <row r="4580" spans="1:41" s="102" customFormat="1" ht="19.899999999999999" customHeight="1" x14ac:dyDescent="0.25">
      <c r="A4580" s="45"/>
      <c r="B4580" s="59"/>
      <c r="C4580" s="137"/>
      <c r="D4580" s="59"/>
      <c r="E4580" s="116"/>
      <c r="F4580" s="120"/>
      <c r="G4580" s="120"/>
      <c r="H4580" s="120"/>
      <c r="I4580" s="60"/>
      <c r="J4580" s="116"/>
      <c r="K4580" s="213"/>
      <c r="L4580" s="120"/>
      <c r="M4580" s="120"/>
      <c r="N4580" s="167"/>
      <c r="O4580" s="120"/>
      <c r="P4580" s="120"/>
      <c r="Q4580" s="120"/>
      <c r="R4580" s="120"/>
      <c r="S4580" s="120"/>
      <c r="T4580" s="221"/>
      <c r="U4580" s="89"/>
      <c r="V4580" s="61"/>
      <c r="W4580" s="92" t="s">
        <v>134</v>
      </c>
      <c r="X4580" s="93" t="s">
        <v>29</v>
      </c>
      <c r="Y4580" s="93" t="s">
        <v>93</v>
      </c>
      <c r="Z4580" s="134">
        <f>VLOOKUP(W4580,Sheet2!$B:$D,3,FALSE)</f>
        <v>65.599999999999994</v>
      </c>
      <c r="AA4580" s="93">
        <f>100/(2.5*2.4*0.5*4)</f>
        <v>8.3333333333333339</v>
      </c>
      <c r="AB4580" s="93">
        <f t="shared" ref="AB4580" si="3385">AD4580/AC4578</f>
        <v>7.871999999999999</v>
      </c>
      <c r="AC4580" s="93">
        <f>AC4578/AA4580</f>
        <v>0.12</v>
      </c>
      <c r="AD4580" s="94">
        <f t="shared" si="3384"/>
        <v>7.871999999999999</v>
      </c>
      <c r="AE4580" s="190"/>
      <c r="AF4580" s="191"/>
      <c r="AG4580" s="191"/>
      <c r="AH4580" s="191"/>
      <c r="AI4580" s="186"/>
      <c r="AK4580" s="171"/>
    </row>
    <row r="4581" spans="1:41" s="102" customFormat="1" ht="19.899999999999999" customHeight="1" x14ac:dyDescent="0.25">
      <c r="A4581" s="45"/>
      <c r="B4581" s="59"/>
      <c r="C4581" s="137"/>
      <c r="D4581" s="59"/>
      <c r="E4581" s="116"/>
      <c r="F4581" s="120"/>
      <c r="G4581" s="120"/>
      <c r="H4581" s="120"/>
      <c r="I4581" s="60"/>
      <c r="J4581" s="116"/>
      <c r="K4581" s="213"/>
      <c r="L4581" s="120"/>
      <c r="M4581" s="120"/>
      <c r="N4581" s="167"/>
      <c r="O4581" s="120"/>
      <c r="P4581" s="120"/>
      <c r="Q4581" s="120"/>
      <c r="R4581" s="120"/>
      <c r="S4581" s="120"/>
      <c r="T4581" s="221"/>
      <c r="U4581" s="89"/>
      <c r="V4581" s="61"/>
      <c r="W4581" s="92" t="s">
        <v>65</v>
      </c>
      <c r="X4581" s="93" t="s">
        <v>30</v>
      </c>
      <c r="Y4581" s="93" t="s">
        <v>1011</v>
      </c>
      <c r="Z4581" s="134">
        <f>VLOOKUP(W4581,Sheet2!$B:$D,3,FALSE)</f>
        <v>1.76</v>
      </c>
      <c r="AA4581" s="93">
        <f>AA4580/9</f>
        <v>0.92592592592592604</v>
      </c>
      <c r="AB4581" s="93">
        <f>AD4581/AC4578</f>
        <v>1.9007999999999998</v>
      </c>
      <c r="AC4581" s="93">
        <f>AC4578/AA4581</f>
        <v>1.0799999999999998</v>
      </c>
      <c r="AD4581" s="94">
        <f t="shared" si="3384"/>
        <v>1.9007999999999998</v>
      </c>
      <c r="AE4581" s="190"/>
      <c r="AF4581" s="191"/>
      <c r="AG4581" s="191"/>
      <c r="AH4581" s="191"/>
      <c r="AI4581" s="186"/>
      <c r="AK4581" s="171"/>
    </row>
    <row r="4582" spans="1:41" s="102" customFormat="1" ht="19.899999999999999" customHeight="1" x14ac:dyDescent="0.25">
      <c r="A4582" s="45"/>
      <c r="B4582" s="59"/>
      <c r="C4582" s="137"/>
      <c r="D4582" s="59"/>
      <c r="E4582" s="116"/>
      <c r="F4582" s="120"/>
      <c r="G4582" s="120"/>
      <c r="H4582" s="120"/>
      <c r="I4582" s="60"/>
      <c r="J4582" s="116"/>
      <c r="K4582" s="213"/>
      <c r="L4582" s="120"/>
      <c r="M4582" s="120"/>
      <c r="N4582" s="167"/>
      <c r="O4582" s="120"/>
      <c r="P4582" s="120"/>
      <c r="Q4582" s="120"/>
      <c r="R4582" s="120"/>
      <c r="S4582" s="120"/>
      <c r="T4582" s="221"/>
      <c r="U4582" s="89"/>
      <c r="V4582" s="61"/>
      <c r="W4582" s="92" t="s">
        <v>161</v>
      </c>
      <c r="X4582" s="93" t="s">
        <v>29</v>
      </c>
      <c r="Y4582" s="93" t="s">
        <v>93</v>
      </c>
      <c r="Z4582" s="134">
        <f>VLOOKUP(W4582,Sheet2!$B:$D,3,FALSE)</f>
        <v>48</v>
      </c>
      <c r="AA4582" s="93">
        <f>(16*0.85*1.5)/(2.5*2.4*0.5*4)</f>
        <v>1.7</v>
      </c>
      <c r="AB4582" s="93">
        <f>AD4582/AC4578</f>
        <v>28.235294117647058</v>
      </c>
      <c r="AC4582" s="93">
        <f>AC4578/AA4582</f>
        <v>0.58823529411764708</v>
      </c>
      <c r="AD4582" s="94">
        <f>AC4582*Z4582</f>
        <v>28.235294117647058</v>
      </c>
      <c r="AE4582" s="190"/>
      <c r="AF4582" s="191"/>
      <c r="AG4582" s="191"/>
      <c r="AH4582" s="191"/>
      <c r="AI4582" s="186"/>
      <c r="AK4582" s="171"/>
    </row>
    <row r="4583" spans="1:41" s="102" customFormat="1" ht="19.899999999999999" customHeight="1" x14ac:dyDescent="0.25">
      <c r="A4583" s="45"/>
      <c r="B4583" s="59"/>
      <c r="C4583" s="137"/>
      <c r="D4583" s="59"/>
      <c r="E4583" s="116"/>
      <c r="F4583" s="120"/>
      <c r="G4583" s="120"/>
      <c r="H4583" s="120"/>
      <c r="I4583" s="60"/>
      <c r="J4583" s="116"/>
      <c r="K4583" s="213"/>
      <c r="L4583" s="120"/>
      <c r="M4583" s="120"/>
      <c r="N4583" s="167"/>
      <c r="O4583" s="120"/>
      <c r="P4583" s="120"/>
      <c r="Q4583" s="120"/>
      <c r="R4583" s="120"/>
      <c r="S4583" s="120"/>
      <c r="T4583" s="221"/>
      <c r="U4583" s="89"/>
      <c r="V4583" s="61"/>
      <c r="W4583" s="92" t="s">
        <v>65</v>
      </c>
      <c r="X4583" s="93" t="s">
        <v>30</v>
      </c>
      <c r="Y4583" s="93" t="s">
        <v>1011</v>
      </c>
      <c r="Z4583" s="134">
        <f>VLOOKUP(W4583,Sheet2!$B:$D,3,FALSE)</f>
        <v>1.76</v>
      </c>
      <c r="AA4583" s="93">
        <f>AA4582/10</f>
        <v>0.16999999999999998</v>
      </c>
      <c r="AB4583" s="93">
        <f>AD4583/AC4578</f>
        <v>10.352941176470589</v>
      </c>
      <c r="AC4583" s="93">
        <f>AC4578/AA4583</f>
        <v>5.882352941176471</v>
      </c>
      <c r="AD4583" s="94">
        <f>AC4583*Z4583</f>
        <v>10.352941176470589</v>
      </c>
      <c r="AE4583" s="190"/>
      <c r="AF4583" s="191"/>
      <c r="AG4583" s="191"/>
      <c r="AH4583" s="191"/>
      <c r="AI4583" s="186"/>
      <c r="AK4583" s="171"/>
    </row>
    <row r="4584" spans="1:41" s="102" customFormat="1" ht="19.899999999999999" customHeight="1" x14ac:dyDescent="0.25">
      <c r="A4584" s="45"/>
      <c r="B4584" s="59"/>
      <c r="C4584" s="137"/>
      <c r="D4584" s="59"/>
      <c r="E4584" s="116"/>
      <c r="F4584" s="120"/>
      <c r="G4584" s="120"/>
      <c r="H4584" s="120"/>
      <c r="I4584" s="60"/>
      <c r="J4584" s="116"/>
      <c r="K4584" s="213"/>
      <c r="L4584" s="120"/>
      <c r="M4584" s="120"/>
      <c r="N4584" s="167"/>
      <c r="O4584" s="120"/>
      <c r="P4584" s="120"/>
      <c r="Q4584" s="120"/>
      <c r="R4584" s="120"/>
      <c r="S4584" s="120"/>
      <c r="T4584" s="221"/>
      <c r="U4584" s="89"/>
      <c r="V4584" s="61"/>
      <c r="W4584" s="92" t="s">
        <v>173</v>
      </c>
      <c r="X4584" s="93" t="s">
        <v>29</v>
      </c>
      <c r="Y4584" s="93" t="s">
        <v>93</v>
      </c>
      <c r="Z4584" s="134">
        <f>VLOOKUP(W4584,Sheet2!$B:$D,3,FALSE)</f>
        <v>36</v>
      </c>
      <c r="AA4584" s="93">
        <f>50/(2.5*2.4*0.5*4)</f>
        <v>4.166666666666667</v>
      </c>
      <c r="AB4584" s="93">
        <f>AD4584/AC4578</f>
        <v>8.64</v>
      </c>
      <c r="AC4584" s="93">
        <f>AC4578/AA4584</f>
        <v>0.24</v>
      </c>
      <c r="AD4584" s="94">
        <f>AC4584*Z4584</f>
        <v>8.64</v>
      </c>
      <c r="AE4584" s="190"/>
      <c r="AF4584" s="191"/>
      <c r="AG4584" s="191"/>
      <c r="AH4584" s="191"/>
      <c r="AI4584" s="186"/>
      <c r="AK4584" s="171"/>
    </row>
    <row r="4585" spans="1:41" s="102" customFormat="1" ht="19.899999999999999" customHeight="1" x14ac:dyDescent="0.25">
      <c r="A4585" s="45"/>
      <c r="B4585" s="59"/>
      <c r="C4585" s="137"/>
      <c r="D4585" s="59"/>
      <c r="E4585" s="116"/>
      <c r="F4585" s="120"/>
      <c r="G4585" s="120"/>
      <c r="H4585" s="120"/>
      <c r="I4585" s="60"/>
      <c r="J4585" s="116"/>
      <c r="K4585" s="213"/>
      <c r="L4585" s="120"/>
      <c r="M4585" s="120"/>
      <c r="N4585" s="167"/>
      <c r="O4585" s="120"/>
      <c r="P4585" s="120"/>
      <c r="Q4585" s="120"/>
      <c r="R4585" s="120"/>
      <c r="S4585" s="120"/>
      <c r="T4585" s="221"/>
      <c r="U4585" s="89"/>
      <c r="V4585" s="61"/>
      <c r="W4585" s="92" t="s">
        <v>65</v>
      </c>
      <c r="X4585" s="93" t="s">
        <v>30</v>
      </c>
      <c r="Y4585" s="93" t="s">
        <v>1011</v>
      </c>
      <c r="Z4585" s="134">
        <f>VLOOKUP(W4585,Sheet2!$B:$D,3,FALSE)</f>
        <v>1.76</v>
      </c>
      <c r="AA4585" s="93">
        <f>AA4584/9</f>
        <v>0.46296296296296302</v>
      </c>
      <c r="AB4585" s="93">
        <f>AD4585/AC4578</f>
        <v>3.8015999999999996</v>
      </c>
      <c r="AC4585" s="93">
        <f>AC4578/AA4585</f>
        <v>2.1599999999999997</v>
      </c>
      <c r="AD4585" s="94">
        <f>AC4585*Z4585</f>
        <v>3.8015999999999996</v>
      </c>
      <c r="AE4585" s="190"/>
      <c r="AF4585" s="191"/>
      <c r="AG4585" s="191"/>
      <c r="AH4585" s="191"/>
      <c r="AI4585" s="186"/>
      <c r="AK4585" s="171"/>
    </row>
    <row r="4586" spans="1:41" s="102" customFormat="1" ht="19.899999999999999" customHeight="1" x14ac:dyDescent="0.25">
      <c r="A4586" s="45"/>
      <c r="B4586" s="59"/>
      <c r="C4586" s="137"/>
      <c r="D4586" s="59"/>
      <c r="E4586" s="116"/>
      <c r="F4586" s="120"/>
      <c r="G4586" s="120"/>
      <c r="H4586" s="120"/>
      <c r="I4586" s="60"/>
      <c r="J4586" s="116"/>
      <c r="K4586" s="213"/>
      <c r="L4586" s="120"/>
      <c r="M4586" s="120"/>
      <c r="N4586" s="167"/>
      <c r="O4586" s="120"/>
      <c r="P4586" s="120"/>
      <c r="Q4586" s="120"/>
      <c r="R4586" s="120"/>
      <c r="S4586" s="120"/>
      <c r="T4586" s="221"/>
      <c r="U4586" s="89"/>
      <c r="V4586" s="61"/>
      <c r="W4586" s="92" t="s">
        <v>1030</v>
      </c>
      <c r="X4586" s="93" t="s">
        <v>29</v>
      </c>
      <c r="Y4586" s="93" t="s">
        <v>93</v>
      </c>
      <c r="Z4586" s="134">
        <f>VLOOKUP(W4586,Sheet2!$B:$D,3,FALSE)</f>
        <v>23</v>
      </c>
      <c r="AA4586" s="93">
        <v>1</v>
      </c>
      <c r="AB4586" s="93">
        <f>AD4586/AC4578</f>
        <v>23</v>
      </c>
      <c r="AC4586" s="93">
        <f>AC4578/AA4586</f>
        <v>1</v>
      </c>
      <c r="AD4586" s="94">
        <f t="shared" ref="AD4586:AD4587" si="3386">AC4586*Z4586</f>
        <v>23</v>
      </c>
      <c r="AE4586" s="190"/>
      <c r="AF4586" s="191"/>
      <c r="AG4586" s="191"/>
      <c r="AH4586" s="191"/>
      <c r="AI4586" s="186"/>
      <c r="AK4586" s="171"/>
    </row>
    <row r="4587" spans="1:41" s="102" customFormat="1" ht="19.899999999999999" customHeight="1" x14ac:dyDescent="0.25">
      <c r="A4587" s="45"/>
      <c r="B4587" s="59"/>
      <c r="C4587" s="137"/>
      <c r="D4587" s="59"/>
      <c r="E4587" s="116"/>
      <c r="F4587" s="120"/>
      <c r="G4587" s="120"/>
      <c r="H4587" s="120"/>
      <c r="I4587" s="60"/>
      <c r="J4587" s="116"/>
      <c r="K4587" s="213"/>
      <c r="L4587" s="120"/>
      <c r="M4587" s="120"/>
      <c r="N4587" s="167"/>
      <c r="O4587" s="120"/>
      <c r="P4587" s="120"/>
      <c r="Q4587" s="120"/>
      <c r="R4587" s="120"/>
      <c r="S4587" s="120"/>
      <c r="T4587" s="221"/>
      <c r="U4587" s="89"/>
      <c r="V4587" s="61"/>
      <c r="W4587" s="92" t="s">
        <v>65</v>
      </c>
      <c r="X4587" s="93" t="s">
        <v>30</v>
      </c>
      <c r="Y4587" s="93" t="s">
        <v>1011</v>
      </c>
      <c r="Z4587" s="134">
        <f>VLOOKUP(W4587,Sheet2!$B:$D,3,FALSE)</f>
        <v>1.76</v>
      </c>
      <c r="AA4587" s="93">
        <f>AA4586/3</f>
        <v>0.33333333333333331</v>
      </c>
      <c r="AB4587" s="93">
        <f>AD4587/AC4578</f>
        <v>5.28</v>
      </c>
      <c r="AC4587" s="93">
        <f>AC4578/AA4587</f>
        <v>3</v>
      </c>
      <c r="AD4587" s="94">
        <f t="shared" si="3386"/>
        <v>5.28</v>
      </c>
      <c r="AE4587" s="190"/>
      <c r="AF4587" s="191"/>
      <c r="AG4587" s="191"/>
      <c r="AH4587" s="191"/>
      <c r="AI4587" s="186"/>
      <c r="AK4587" s="171"/>
    </row>
    <row r="4588" spans="1:41" ht="20.100000000000001" customHeight="1" x14ac:dyDescent="0.25">
      <c r="A4588" s="277" t="s">
        <v>491</v>
      </c>
      <c r="B4588" s="278"/>
      <c r="C4588" s="64" t="s">
        <v>553</v>
      </c>
      <c r="D4588" s="46" t="s">
        <v>328</v>
      </c>
      <c r="E4588" s="114"/>
      <c r="F4588" s="44"/>
      <c r="G4588" s="44">
        <f t="shared" si="2434"/>
        <v>0</v>
      </c>
      <c r="H4588" s="44">
        <f t="shared" si="2435"/>
        <v>0</v>
      </c>
      <c r="I4588" s="43">
        <f t="shared" si="2436"/>
        <v>0</v>
      </c>
      <c r="J4588" s="112">
        <f t="shared" si="2437"/>
        <v>0</v>
      </c>
      <c r="K4588" s="211">
        <f t="shared" si="2438"/>
        <v>0</v>
      </c>
      <c r="L4588" s="44"/>
      <c r="M4588" s="44">
        <f t="shared" si="2458"/>
        <v>0</v>
      </c>
      <c r="N4588" s="173">
        <f t="shared" si="2439"/>
        <v>0</v>
      </c>
      <c r="O4588" s="44">
        <f t="shared" si="2440"/>
        <v>0</v>
      </c>
      <c r="P4588" s="44">
        <f t="shared" si="2441"/>
        <v>0</v>
      </c>
      <c r="Q4588" s="44">
        <f t="shared" si="2442"/>
        <v>0</v>
      </c>
      <c r="R4588" s="44">
        <f t="shared" si="2459"/>
        <v>0</v>
      </c>
      <c r="S4588" s="123"/>
      <c r="T4588" s="219">
        <f t="shared" si="2460"/>
        <v>0</v>
      </c>
      <c r="U4588" s="87"/>
      <c r="V4588" s="47"/>
      <c r="W4588" s="48"/>
      <c r="X4588" s="48"/>
      <c r="Y4588" s="48"/>
      <c r="Z4588" s="135"/>
      <c r="AA4588" s="49"/>
      <c r="AB4588" s="50">
        <f t="shared" si="2443"/>
        <v>0</v>
      </c>
      <c r="AC4588" s="42">
        <f t="shared" si="2461"/>
        <v>9.9999999999999998E-20</v>
      </c>
      <c r="AD4588" s="90"/>
      <c r="AE4588" s="188"/>
      <c r="AF4588" s="189"/>
      <c r="AG4588" s="189"/>
      <c r="AH4588" s="189"/>
      <c r="AI4588" s="161"/>
    </row>
    <row r="4589" spans="1:41" ht="20.100000000000001" customHeight="1" x14ac:dyDescent="0.25">
      <c r="A4589" s="277" t="s">
        <v>491</v>
      </c>
      <c r="B4589" s="278"/>
      <c r="C4589" s="64" t="s">
        <v>554</v>
      </c>
      <c r="D4589" s="46" t="s">
        <v>328</v>
      </c>
      <c r="E4589" s="114"/>
      <c r="F4589" s="44"/>
      <c r="G4589" s="44">
        <f t="shared" si="2434"/>
        <v>0</v>
      </c>
      <c r="H4589" s="44">
        <f t="shared" si="2435"/>
        <v>0</v>
      </c>
      <c r="I4589" s="43">
        <f t="shared" si="2436"/>
        <v>0</v>
      </c>
      <c r="J4589" s="112">
        <f t="shared" si="2437"/>
        <v>0</v>
      </c>
      <c r="K4589" s="211">
        <f t="shared" si="2438"/>
        <v>0</v>
      </c>
      <c r="L4589" s="44"/>
      <c r="M4589" s="44">
        <f t="shared" si="2458"/>
        <v>0</v>
      </c>
      <c r="N4589" s="173">
        <f t="shared" si="2439"/>
        <v>0</v>
      </c>
      <c r="O4589" s="44">
        <f t="shared" si="2440"/>
        <v>0</v>
      </c>
      <c r="P4589" s="44">
        <f t="shared" si="2441"/>
        <v>0</v>
      </c>
      <c r="Q4589" s="44">
        <f t="shared" si="2442"/>
        <v>0</v>
      </c>
      <c r="R4589" s="44">
        <f t="shared" si="2459"/>
        <v>0</v>
      </c>
      <c r="S4589" s="123"/>
      <c r="T4589" s="219">
        <f t="shared" si="2460"/>
        <v>0</v>
      </c>
      <c r="U4589" s="87"/>
      <c r="V4589" s="47"/>
      <c r="W4589" s="48"/>
      <c r="X4589" s="48"/>
      <c r="Y4589" s="48"/>
      <c r="Z4589" s="135"/>
      <c r="AA4589" s="49"/>
      <c r="AB4589" s="50">
        <f t="shared" si="2443"/>
        <v>0</v>
      </c>
      <c r="AC4589" s="42">
        <f t="shared" si="2461"/>
        <v>9.9999999999999998E-20</v>
      </c>
      <c r="AD4589" s="90"/>
      <c r="AE4589" s="188"/>
      <c r="AF4589" s="189"/>
      <c r="AG4589" s="189"/>
      <c r="AH4589" s="189"/>
      <c r="AI4589" s="161"/>
    </row>
    <row r="4590" spans="1:41" ht="20.100000000000001" customHeight="1" x14ac:dyDescent="0.25">
      <c r="A4590" s="277" t="s">
        <v>491</v>
      </c>
      <c r="B4590" s="278"/>
      <c r="C4590" s="64" t="s">
        <v>555</v>
      </c>
      <c r="D4590" s="46" t="s">
        <v>215</v>
      </c>
      <c r="E4590" s="114"/>
      <c r="F4590" s="44"/>
      <c r="G4590" s="44">
        <f t="shared" si="2434"/>
        <v>0</v>
      </c>
      <c r="H4590" s="44">
        <f t="shared" si="2435"/>
        <v>0</v>
      </c>
      <c r="I4590" s="43">
        <f t="shared" si="2436"/>
        <v>0</v>
      </c>
      <c r="J4590" s="112">
        <f t="shared" si="2437"/>
        <v>0</v>
      </c>
      <c r="K4590" s="211">
        <f t="shared" si="2438"/>
        <v>0</v>
      </c>
      <c r="L4590" s="44"/>
      <c r="M4590" s="44">
        <f t="shared" si="2458"/>
        <v>0</v>
      </c>
      <c r="N4590" s="173">
        <f t="shared" si="2439"/>
        <v>0</v>
      </c>
      <c r="O4590" s="44">
        <f t="shared" si="2440"/>
        <v>0</v>
      </c>
      <c r="P4590" s="44">
        <f t="shared" si="2441"/>
        <v>0</v>
      </c>
      <c r="Q4590" s="44">
        <f t="shared" si="2442"/>
        <v>0</v>
      </c>
      <c r="R4590" s="44">
        <f t="shared" si="2459"/>
        <v>0</v>
      </c>
      <c r="S4590" s="123"/>
      <c r="T4590" s="219">
        <f t="shared" si="2460"/>
        <v>0</v>
      </c>
      <c r="U4590" s="87"/>
      <c r="V4590" s="47"/>
      <c r="W4590" s="48"/>
      <c r="X4590" s="48"/>
      <c r="Y4590" s="48"/>
      <c r="Z4590" s="135"/>
      <c r="AA4590" s="49"/>
      <c r="AB4590" s="50">
        <f t="shared" si="2443"/>
        <v>0</v>
      </c>
      <c r="AC4590" s="42">
        <f t="shared" si="2461"/>
        <v>9.9999999999999998E-20</v>
      </c>
      <c r="AD4590" s="90"/>
      <c r="AE4590" s="188"/>
      <c r="AF4590" s="189"/>
      <c r="AG4590" s="189"/>
      <c r="AH4590" s="189"/>
      <c r="AI4590" s="161"/>
    </row>
    <row r="4591" spans="1:41" ht="20.100000000000001" customHeight="1" x14ac:dyDescent="0.25">
      <c r="A4591" s="277" t="s">
        <v>491</v>
      </c>
      <c r="B4591" s="278"/>
      <c r="C4591" s="64" t="s">
        <v>556</v>
      </c>
      <c r="D4591" s="46" t="s">
        <v>328</v>
      </c>
      <c r="E4591" s="114">
        <v>4.75</v>
      </c>
      <c r="F4591" s="44">
        <v>42926</v>
      </c>
      <c r="G4591" s="44">
        <f t="shared" si="2434"/>
        <v>203898.5</v>
      </c>
      <c r="H4591" s="44">
        <f t="shared" si="2435"/>
        <v>12286.179576470588</v>
      </c>
      <c r="I4591" s="43">
        <f t="shared" si="2436"/>
        <v>58359.352988235289</v>
      </c>
      <c r="J4591" s="112">
        <f t="shared" si="2437"/>
        <v>4.75</v>
      </c>
      <c r="K4591" s="211">
        <f t="shared" si="2438"/>
        <v>4.75</v>
      </c>
      <c r="L4591" s="44"/>
      <c r="M4591" s="44">
        <f t="shared" si="2458"/>
        <v>4.75</v>
      </c>
      <c r="N4591" s="173">
        <f t="shared" si="2439"/>
        <v>1</v>
      </c>
      <c r="O4591" s="44">
        <f t="shared" si="2440"/>
        <v>42926</v>
      </c>
      <c r="P4591" s="44">
        <f t="shared" si="2441"/>
        <v>203898.5</v>
      </c>
      <c r="Q4591" s="44">
        <f t="shared" si="2442"/>
        <v>12286.179576470588</v>
      </c>
      <c r="R4591" s="44">
        <f t="shared" si="2459"/>
        <v>58359.352988235289</v>
      </c>
      <c r="S4591" s="123"/>
      <c r="T4591" s="219">
        <f t="shared" si="2460"/>
        <v>58359.352988235289</v>
      </c>
      <c r="U4591" s="87"/>
      <c r="V4591" s="47"/>
      <c r="W4591" s="48"/>
      <c r="X4591" s="48"/>
      <c r="Y4591" s="48"/>
      <c r="Z4591" s="135"/>
      <c r="AA4591" s="49"/>
      <c r="AB4591" s="50">
        <f t="shared" si="2443"/>
        <v>12286.179576470588</v>
      </c>
      <c r="AC4591" s="42">
        <f t="shared" si="2461"/>
        <v>4.75</v>
      </c>
      <c r="AD4591" s="90">
        <f>AD4592+AD4597+AD4609+AD4612</f>
        <v>58359.352988235289</v>
      </c>
      <c r="AE4591" s="188">
        <f t="shared" ref="AE4591" si="3387">AE4592+AE4597+AE4609+AE4612</f>
        <v>0</v>
      </c>
      <c r="AF4591" s="189">
        <f t="shared" ref="AF4591" si="3388">AF4592+AF4597+AF4609+AF4612</f>
        <v>0</v>
      </c>
      <c r="AG4591" s="189">
        <f t="shared" ref="AG4591" si="3389">AG4592+AG4597+AG4609+AG4612</f>
        <v>0</v>
      </c>
      <c r="AH4591" s="189">
        <f t="shared" ref="AH4591" si="3390">AH4592+AH4597+AH4609+AH4612</f>
        <v>0</v>
      </c>
      <c r="AI4591" s="161">
        <f t="shared" ref="AI4591:AI4592" si="3391">SUM(AE4591:AH4591)</f>
        <v>0</v>
      </c>
      <c r="AK4591" s="169">
        <v>5</v>
      </c>
      <c r="AO4591" s="19" t="s">
        <v>63</v>
      </c>
    </row>
    <row r="4592" spans="1:41" s="103" customFormat="1" ht="19.899999999999999" customHeight="1" x14ac:dyDescent="0.25">
      <c r="A4592" s="51"/>
      <c r="B4592" s="52"/>
      <c r="C4592" s="165"/>
      <c r="D4592" s="52"/>
      <c r="E4592" s="115"/>
      <c r="F4592" s="58"/>
      <c r="G4592" s="58"/>
      <c r="H4592" s="58"/>
      <c r="I4592" s="55"/>
      <c r="J4592" s="113">
        <f>J4591</f>
        <v>4.75</v>
      </c>
      <c r="K4592" s="212">
        <f>K4591</f>
        <v>4.75</v>
      </c>
      <c r="L4592" s="58"/>
      <c r="M4592" s="58">
        <f>K4592-L4592</f>
        <v>4.75</v>
      </c>
      <c r="N4592" s="166"/>
      <c r="O4592" s="58"/>
      <c r="P4592" s="58"/>
      <c r="Q4592" s="58"/>
      <c r="R4592" s="58"/>
      <c r="S4592" s="58"/>
      <c r="T4592" s="220"/>
      <c r="U4592" s="88"/>
      <c r="V4592" s="56"/>
      <c r="W4592" s="57" t="s">
        <v>1351</v>
      </c>
      <c r="X4592" s="53"/>
      <c r="Y4592" s="91" t="s">
        <v>35</v>
      </c>
      <c r="Z4592" s="136">
        <f>AD4592/AC4592</f>
        <v>90.496941176470585</v>
      </c>
      <c r="AA4592" s="58"/>
      <c r="AB4592" s="53">
        <f>AD4592/AC4592</f>
        <v>90.496941176470585</v>
      </c>
      <c r="AC4592" s="53">
        <f>M4592+$AE$10</f>
        <v>4.75</v>
      </c>
      <c r="AD4592" s="54">
        <f>SUM(AD4593:AD4596)</f>
        <v>429.86047058823527</v>
      </c>
      <c r="AE4592" s="184">
        <f>SUMIFS($AD$37:$AD$12971,$V$37:$V$12971,$V4592,$X$37:$X$12971,AE$13)</f>
        <v>0</v>
      </c>
      <c r="AF4592" s="185">
        <f>SUMIFS($AD$37:$AD$12971,$V$37:$V$12971,$V4592,$X$37:$X$12971,AF$13)</f>
        <v>0</v>
      </c>
      <c r="AG4592" s="185">
        <f>SUMIFS($AD$37:$AD$12971,$V$37:$V$12971,$V4592,$X$37:$X$12971,AG$13)</f>
        <v>0</v>
      </c>
      <c r="AH4592" s="187">
        <f>SUMIFS($AD$37:$AD$12971,$V$37:$V$12971,$V4592,$X$37:$X$12971,AH$13)</f>
        <v>0</v>
      </c>
      <c r="AI4592" s="161">
        <f t="shared" si="3391"/>
        <v>0</v>
      </c>
      <c r="AK4592" s="172"/>
    </row>
    <row r="4593" spans="1:37" s="102" customFormat="1" ht="19.899999999999999" customHeight="1" x14ac:dyDescent="0.25">
      <c r="A4593" s="45"/>
      <c r="B4593" s="59"/>
      <c r="C4593" s="137"/>
      <c r="D4593" s="59"/>
      <c r="E4593" s="116"/>
      <c r="F4593" s="120"/>
      <c r="G4593" s="120"/>
      <c r="H4593" s="120"/>
      <c r="I4593" s="60"/>
      <c r="J4593" s="116"/>
      <c r="K4593" s="213"/>
      <c r="L4593" s="120"/>
      <c r="M4593" s="120"/>
      <c r="N4593" s="167"/>
      <c r="O4593" s="120"/>
      <c r="P4593" s="120"/>
      <c r="Q4593" s="120"/>
      <c r="R4593" s="120"/>
      <c r="S4593" s="120"/>
      <c r="T4593" s="221"/>
      <c r="U4593" s="89"/>
      <c r="V4593" s="61"/>
      <c r="W4593" s="92" t="s">
        <v>129</v>
      </c>
      <c r="X4593" s="93" t="s">
        <v>29</v>
      </c>
      <c r="Y4593" s="93" t="s">
        <v>93</v>
      </c>
      <c r="Z4593" s="134">
        <f>VLOOKUP(W4593,Sheet2!$B:$D,3,FALSE)</f>
        <v>56</v>
      </c>
      <c r="AA4593" s="93">
        <f>100/(3*3*2.5)</f>
        <v>4.4444444444444446</v>
      </c>
      <c r="AB4593" s="93">
        <f t="shared" ref="AB4593" si="3392">AD4593/AC4592</f>
        <v>12.6</v>
      </c>
      <c r="AC4593" s="93">
        <f>AC4592/AA4593</f>
        <v>1.0687499999999999</v>
      </c>
      <c r="AD4593" s="94">
        <f t="shared" ref="AD4593:AD4594" si="3393">AC4593*Z4593</f>
        <v>59.849999999999994</v>
      </c>
      <c r="AE4593" s="190"/>
      <c r="AF4593" s="191"/>
      <c r="AG4593" s="191"/>
      <c r="AH4593" s="191"/>
      <c r="AI4593" s="186"/>
      <c r="AK4593" s="171"/>
    </row>
    <row r="4594" spans="1:37" s="102" customFormat="1" ht="19.899999999999999" customHeight="1" x14ac:dyDescent="0.25">
      <c r="A4594" s="45"/>
      <c r="B4594" s="59"/>
      <c r="C4594" s="137"/>
      <c r="D4594" s="59"/>
      <c r="E4594" s="116"/>
      <c r="F4594" s="120"/>
      <c r="G4594" s="120"/>
      <c r="H4594" s="120"/>
      <c r="I4594" s="60"/>
      <c r="J4594" s="116"/>
      <c r="K4594" s="213"/>
      <c r="L4594" s="120"/>
      <c r="M4594" s="120"/>
      <c r="N4594" s="167"/>
      <c r="O4594" s="120"/>
      <c r="P4594" s="120"/>
      <c r="Q4594" s="120"/>
      <c r="R4594" s="120"/>
      <c r="S4594" s="120"/>
      <c r="T4594" s="221"/>
      <c r="U4594" s="89"/>
      <c r="V4594" s="61"/>
      <c r="W4594" s="92" t="s">
        <v>65</v>
      </c>
      <c r="X4594" s="93" t="s">
        <v>30</v>
      </c>
      <c r="Y4594" s="93" t="s">
        <v>1011</v>
      </c>
      <c r="Z4594" s="134">
        <f>VLOOKUP(W4594,Sheet2!$B:$D,3,FALSE)</f>
        <v>1.76</v>
      </c>
      <c r="AA4594" s="93">
        <f>AA4593/14</f>
        <v>0.3174603174603175</v>
      </c>
      <c r="AB4594" s="93">
        <f>AD4594/AC4592</f>
        <v>5.5439999999999996</v>
      </c>
      <c r="AC4594" s="93">
        <f>AC4592/AA4594</f>
        <v>14.962499999999999</v>
      </c>
      <c r="AD4594" s="94">
        <f t="shared" si="3393"/>
        <v>26.333999999999996</v>
      </c>
      <c r="AE4594" s="190"/>
      <c r="AF4594" s="191"/>
      <c r="AG4594" s="191"/>
      <c r="AH4594" s="191"/>
      <c r="AI4594" s="186"/>
      <c r="AK4594" s="171"/>
    </row>
    <row r="4595" spans="1:37" s="102" customFormat="1" ht="19.899999999999999" customHeight="1" x14ac:dyDescent="0.25">
      <c r="A4595" s="45"/>
      <c r="B4595" s="59"/>
      <c r="C4595" s="137"/>
      <c r="D4595" s="59"/>
      <c r="E4595" s="116"/>
      <c r="F4595" s="120"/>
      <c r="G4595" s="120"/>
      <c r="H4595" s="120"/>
      <c r="I4595" s="60"/>
      <c r="J4595" s="116"/>
      <c r="K4595" s="213"/>
      <c r="L4595" s="120"/>
      <c r="M4595" s="120"/>
      <c r="N4595" s="167"/>
      <c r="O4595" s="120"/>
      <c r="P4595" s="120"/>
      <c r="Q4595" s="120"/>
      <c r="R4595" s="120"/>
      <c r="S4595" s="120"/>
      <c r="T4595" s="221"/>
      <c r="U4595" s="89"/>
      <c r="V4595" s="61"/>
      <c r="W4595" s="92" t="s">
        <v>161</v>
      </c>
      <c r="X4595" s="93" t="s">
        <v>29</v>
      </c>
      <c r="Y4595" s="93" t="s">
        <v>93</v>
      </c>
      <c r="Z4595" s="134">
        <f>VLOOKUP(W4595,Sheet2!$B:$D,3,FALSE)</f>
        <v>48</v>
      </c>
      <c r="AA4595" s="93">
        <f>(16*0.85*1.5)/(3*3*2.5)</f>
        <v>0.90666666666666662</v>
      </c>
      <c r="AB4595" s="93">
        <f>AD4595/AC4592</f>
        <v>52.941176470588239</v>
      </c>
      <c r="AC4595" s="93">
        <f>AC4592/AA4595</f>
        <v>5.2389705882352944</v>
      </c>
      <c r="AD4595" s="94">
        <f>AC4595*Z4595</f>
        <v>251.47058823529414</v>
      </c>
      <c r="AE4595" s="190"/>
      <c r="AF4595" s="191"/>
      <c r="AG4595" s="191"/>
      <c r="AH4595" s="191"/>
      <c r="AI4595" s="186"/>
      <c r="AK4595" s="171"/>
    </row>
    <row r="4596" spans="1:37" s="102" customFormat="1" ht="19.899999999999999" customHeight="1" x14ac:dyDescent="0.25">
      <c r="A4596" s="45"/>
      <c r="B4596" s="59"/>
      <c r="C4596" s="137"/>
      <c r="D4596" s="59"/>
      <c r="E4596" s="116"/>
      <c r="F4596" s="120"/>
      <c r="G4596" s="120"/>
      <c r="H4596" s="120"/>
      <c r="I4596" s="60"/>
      <c r="J4596" s="116"/>
      <c r="K4596" s="213"/>
      <c r="L4596" s="120"/>
      <c r="M4596" s="120"/>
      <c r="N4596" s="167"/>
      <c r="O4596" s="120"/>
      <c r="P4596" s="120"/>
      <c r="Q4596" s="120"/>
      <c r="R4596" s="120"/>
      <c r="S4596" s="120"/>
      <c r="T4596" s="221"/>
      <c r="U4596" s="89"/>
      <c r="V4596" s="61"/>
      <c r="W4596" s="92" t="s">
        <v>65</v>
      </c>
      <c r="X4596" s="93" t="s">
        <v>30</v>
      </c>
      <c r="Y4596" s="93" t="s">
        <v>1011</v>
      </c>
      <c r="Z4596" s="134">
        <f>VLOOKUP(W4596,Sheet2!$B:$D,3,FALSE)</f>
        <v>1.76</v>
      </c>
      <c r="AA4596" s="93">
        <f>AA4595/10</f>
        <v>9.0666666666666659E-2</v>
      </c>
      <c r="AB4596" s="93">
        <f>AD4596/AC4592</f>
        <v>19.411764705882351</v>
      </c>
      <c r="AC4596" s="93">
        <f>AC4592/AA4596</f>
        <v>52.389705882352942</v>
      </c>
      <c r="AD4596" s="94">
        <f>AC4596*Z4596</f>
        <v>92.205882352941174</v>
      </c>
      <c r="AE4596" s="190"/>
      <c r="AF4596" s="191"/>
      <c r="AG4596" s="191"/>
      <c r="AH4596" s="191"/>
      <c r="AI4596" s="186"/>
      <c r="AK4596" s="171"/>
    </row>
    <row r="4597" spans="1:37" s="103" customFormat="1" ht="19.899999999999999" customHeight="1" x14ac:dyDescent="0.25">
      <c r="A4597" s="51"/>
      <c r="B4597" s="52"/>
      <c r="C4597" s="165"/>
      <c r="D4597" s="52"/>
      <c r="E4597" s="115"/>
      <c r="F4597" s="58"/>
      <c r="G4597" s="58"/>
      <c r="H4597" s="58"/>
      <c r="I4597" s="55"/>
      <c r="J4597" s="113">
        <f>J4591</f>
        <v>4.75</v>
      </c>
      <c r="K4597" s="212">
        <f>K4591</f>
        <v>4.75</v>
      </c>
      <c r="L4597" s="58"/>
      <c r="M4597" s="58">
        <f>K4597-L4597</f>
        <v>4.75</v>
      </c>
      <c r="N4597" s="166"/>
      <c r="O4597" s="58"/>
      <c r="P4597" s="58"/>
      <c r="Q4597" s="58"/>
      <c r="R4597" s="58"/>
      <c r="S4597" s="58"/>
      <c r="T4597" s="220"/>
      <c r="U4597" s="88"/>
      <c r="V4597" s="56"/>
      <c r="W4597" s="57" t="s">
        <v>1352</v>
      </c>
      <c r="X4597" s="53"/>
      <c r="Y4597" s="91" t="s">
        <v>35</v>
      </c>
      <c r="Z4597" s="136">
        <f>AD4597/AC4597</f>
        <v>9186.6</v>
      </c>
      <c r="AA4597" s="58"/>
      <c r="AB4597" s="53">
        <f>AD4597/AC4597</f>
        <v>9186.6</v>
      </c>
      <c r="AC4597" s="53">
        <f>M4597+$AE$10</f>
        <v>4.75</v>
      </c>
      <c r="AD4597" s="54">
        <f>SUM(AD4598:AD4608)</f>
        <v>43636.35</v>
      </c>
      <c r="AE4597" s="184">
        <f>SUMIFS($AD$37:$AD$12971,$V$37:$V$12971,$V4597,$X$37:$X$12971,AE$13)</f>
        <v>0</v>
      </c>
      <c r="AF4597" s="185">
        <f>SUMIFS($AD$37:$AD$12971,$V$37:$V$12971,$V4597,$X$37:$X$12971,AF$13)</f>
        <v>0</v>
      </c>
      <c r="AG4597" s="185">
        <f>SUMIFS($AD$37:$AD$12971,$V$37:$V$12971,$V4597,$X$37:$X$12971,AG$13)</f>
        <v>0</v>
      </c>
      <c r="AH4597" s="187">
        <f>SUMIFS($AD$37:$AD$12971,$V$37:$V$12971,$V4597,$X$37:$X$12971,AH$13)</f>
        <v>0</v>
      </c>
      <c r="AI4597" s="161">
        <f t="shared" ref="AI4597" si="3394">SUM(AE4597:AH4597)</f>
        <v>0</v>
      </c>
      <c r="AK4597" s="172"/>
    </row>
    <row r="4598" spans="1:37" s="102" customFormat="1" ht="19.899999999999999" customHeight="1" x14ac:dyDescent="0.25">
      <c r="A4598" s="45"/>
      <c r="B4598" s="59"/>
      <c r="C4598" s="137"/>
      <c r="D4598" s="59"/>
      <c r="E4598" s="116"/>
      <c r="F4598" s="120"/>
      <c r="G4598" s="120"/>
      <c r="H4598" s="120"/>
      <c r="I4598" s="60"/>
      <c r="J4598" s="116"/>
      <c r="K4598" s="213"/>
      <c r="L4598" s="120"/>
      <c r="M4598" s="120"/>
      <c r="N4598" s="167"/>
      <c r="O4598" s="120"/>
      <c r="P4598" s="120"/>
      <c r="Q4598" s="120"/>
      <c r="R4598" s="120"/>
      <c r="S4598" s="120"/>
      <c r="T4598" s="221"/>
      <c r="U4598" s="89"/>
      <c r="V4598" s="61"/>
      <c r="W4598" s="92" t="s">
        <v>1032</v>
      </c>
      <c r="X4598" s="93" t="s">
        <v>30</v>
      </c>
      <c r="Y4598" s="93" t="s">
        <v>66</v>
      </c>
      <c r="Z4598" s="134">
        <f>VLOOKUP(W4598,Sheet2!$B:$D,3,FALSE)</f>
        <v>250</v>
      </c>
      <c r="AA4598" s="93">
        <f>1/(3*3*0.1)</f>
        <v>1.1111111111111112</v>
      </c>
      <c r="AB4598" s="93">
        <f t="shared" ref="AB4598" si="3395">AD4598/AC4597</f>
        <v>224.99999999999994</v>
      </c>
      <c r="AC4598" s="93">
        <f>AC4597/AA4598</f>
        <v>4.2749999999999995</v>
      </c>
      <c r="AD4598" s="94">
        <f t="shared" ref="AD4598:AD4600" si="3396">AC4598*Z4598</f>
        <v>1068.7499999999998</v>
      </c>
      <c r="AE4598" s="190"/>
      <c r="AF4598" s="191"/>
      <c r="AG4598" s="191"/>
      <c r="AH4598" s="191"/>
      <c r="AI4598" s="186"/>
      <c r="AK4598" s="171"/>
    </row>
    <row r="4599" spans="1:37" s="102" customFormat="1" ht="19.899999999999999" customHeight="1" x14ac:dyDescent="0.25">
      <c r="A4599" s="45"/>
      <c r="B4599" s="59"/>
      <c r="C4599" s="137"/>
      <c r="D4599" s="59"/>
      <c r="E4599" s="116"/>
      <c r="F4599" s="120"/>
      <c r="G4599" s="120"/>
      <c r="H4599" s="120"/>
      <c r="I4599" s="60"/>
      <c r="J4599" s="116"/>
      <c r="K4599" s="213"/>
      <c r="L4599" s="120"/>
      <c r="M4599" s="120"/>
      <c r="N4599" s="167"/>
      <c r="O4599" s="120"/>
      <c r="P4599" s="120"/>
      <c r="Q4599" s="120"/>
      <c r="R4599" s="120"/>
      <c r="S4599" s="120"/>
      <c r="T4599" s="221"/>
      <c r="U4599" s="89"/>
      <c r="V4599" s="61"/>
      <c r="W4599" s="92" t="s">
        <v>1353</v>
      </c>
      <c r="X4599" s="93" t="s">
        <v>30</v>
      </c>
      <c r="Y4599" s="93" t="s">
        <v>66</v>
      </c>
      <c r="Z4599" s="134">
        <f>VLOOKUP(W4599,Sheet2!$B:$D,3,FALSE)</f>
        <v>350</v>
      </c>
      <c r="AA4599" s="93">
        <f>1/(2*2*0.25*5)</f>
        <v>0.2</v>
      </c>
      <c r="AB4599" s="93">
        <f>AD4599/AC4597</f>
        <v>1750</v>
      </c>
      <c r="AC4599" s="93">
        <f>AC4597/AA4599</f>
        <v>23.75</v>
      </c>
      <c r="AD4599" s="94">
        <f t="shared" si="3396"/>
        <v>8312.5</v>
      </c>
      <c r="AE4599" s="190"/>
      <c r="AF4599" s="191"/>
      <c r="AG4599" s="191"/>
      <c r="AH4599" s="191"/>
      <c r="AI4599" s="186"/>
      <c r="AK4599" s="171"/>
    </row>
    <row r="4600" spans="1:37" s="102" customFormat="1" ht="19.899999999999999" customHeight="1" x14ac:dyDescent="0.25">
      <c r="A4600" s="45"/>
      <c r="B4600" s="59"/>
      <c r="C4600" s="137"/>
      <c r="D4600" s="59"/>
      <c r="E4600" s="116"/>
      <c r="F4600" s="120"/>
      <c r="G4600" s="120"/>
      <c r="H4600" s="120"/>
      <c r="I4600" s="60"/>
      <c r="J4600" s="116"/>
      <c r="K4600" s="213"/>
      <c r="L4600" s="120"/>
      <c r="M4600" s="120"/>
      <c r="N4600" s="167"/>
      <c r="O4600" s="120"/>
      <c r="P4600" s="120"/>
      <c r="Q4600" s="120"/>
      <c r="R4600" s="120"/>
      <c r="S4600" s="120"/>
      <c r="T4600" s="221"/>
      <c r="U4600" s="89"/>
      <c r="V4600" s="61"/>
      <c r="W4600" s="92" t="s">
        <v>99</v>
      </c>
      <c r="X4600" s="93" t="s">
        <v>30</v>
      </c>
      <c r="Y4600" s="93" t="s">
        <v>67</v>
      </c>
      <c r="Z4600" s="134">
        <f>VLOOKUP(W4600,Sheet2!$B:$D,3,FALSE)</f>
        <v>2500</v>
      </c>
      <c r="AA4600" s="93">
        <f>1/(2*2*0.25*5*0.08)</f>
        <v>2.5</v>
      </c>
      <c r="AB4600" s="93">
        <f>AD4600/AC4597</f>
        <v>1000</v>
      </c>
      <c r="AC4600" s="93">
        <f>AC4597/AA4600</f>
        <v>1.9</v>
      </c>
      <c r="AD4600" s="94">
        <f t="shared" si="3396"/>
        <v>4750</v>
      </c>
      <c r="AE4600" s="190"/>
      <c r="AF4600" s="191"/>
      <c r="AG4600" s="191"/>
      <c r="AH4600" s="191"/>
      <c r="AI4600" s="186"/>
      <c r="AK4600" s="171"/>
    </row>
    <row r="4601" spans="1:37" s="102" customFormat="1" ht="19.899999999999999" customHeight="1" x14ac:dyDescent="0.25">
      <c r="A4601" s="45"/>
      <c r="B4601" s="59"/>
      <c r="C4601" s="137"/>
      <c r="D4601" s="59"/>
      <c r="E4601" s="116"/>
      <c r="F4601" s="120"/>
      <c r="G4601" s="120"/>
      <c r="H4601" s="120"/>
      <c r="I4601" s="60"/>
      <c r="J4601" s="116"/>
      <c r="K4601" s="213"/>
      <c r="L4601" s="120"/>
      <c r="M4601" s="120"/>
      <c r="N4601" s="167"/>
      <c r="O4601" s="120"/>
      <c r="P4601" s="120"/>
      <c r="Q4601" s="120"/>
      <c r="R4601" s="120"/>
      <c r="S4601" s="120"/>
      <c r="T4601" s="221"/>
      <c r="U4601" s="89"/>
      <c r="V4601" s="61"/>
      <c r="W4601" s="92" t="s">
        <v>1354</v>
      </c>
      <c r="X4601" s="93" t="s">
        <v>32</v>
      </c>
      <c r="Y4601" s="93" t="s">
        <v>66</v>
      </c>
      <c r="Z4601" s="134">
        <f>VLOOKUP(W4601,Sheet2!$B:$D,3,FALSE)</f>
        <v>150</v>
      </c>
      <c r="AA4601" s="93">
        <f>AA4598</f>
        <v>1.1111111111111112</v>
      </c>
      <c r="AB4601" s="93">
        <f>AD4601/AC4597</f>
        <v>134.99999999999997</v>
      </c>
      <c r="AC4601" s="93">
        <f>AC4597/AA4601</f>
        <v>4.2749999999999995</v>
      </c>
      <c r="AD4601" s="94">
        <f>AC4601*Z4601</f>
        <v>641.24999999999989</v>
      </c>
      <c r="AE4601" s="190"/>
      <c r="AF4601" s="191"/>
      <c r="AG4601" s="191"/>
      <c r="AH4601" s="191"/>
      <c r="AI4601" s="186"/>
      <c r="AK4601" s="171"/>
    </row>
    <row r="4602" spans="1:37" s="102" customFormat="1" ht="19.899999999999999" customHeight="1" x14ac:dyDescent="0.25">
      <c r="A4602" s="45"/>
      <c r="B4602" s="59"/>
      <c r="C4602" s="137"/>
      <c r="D4602" s="59"/>
      <c r="E4602" s="116"/>
      <c r="F4602" s="120"/>
      <c r="G4602" s="120"/>
      <c r="H4602" s="120"/>
      <c r="I4602" s="60"/>
      <c r="J4602" s="116"/>
      <c r="K4602" s="213"/>
      <c r="L4602" s="120"/>
      <c r="M4602" s="120"/>
      <c r="N4602" s="167"/>
      <c r="O4602" s="120"/>
      <c r="P4602" s="120"/>
      <c r="Q4602" s="120"/>
      <c r="R4602" s="120"/>
      <c r="S4602" s="120"/>
      <c r="T4602" s="221"/>
      <c r="U4602" s="89"/>
      <c r="V4602" s="61"/>
      <c r="W4602" s="92" t="s">
        <v>1355</v>
      </c>
      <c r="X4602" s="93" t="s">
        <v>32</v>
      </c>
      <c r="Y4602" s="93" t="s">
        <v>66</v>
      </c>
      <c r="Z4602" s="134">
        <f>VLOOKUP(W4602,Sheet2!$B:$D,3,FALSE)</f>
        <v>450</v>
      </c>
      <c r="AA4602" s="93">
        <f>AA4599</f>
        <v>0.2</v>
      </c>
      <c r="AB4602" s="93">
        <f>AD4602/AC4597</f>
        <v>2250</v>
      </c>
      <c r="AC4602" s="93">
        <f>AC4597/AA4602</f>
        <v>23.75</v>
      </c>
      <c r="AD4602" s="94">
        <f>AC4602*Z4602</f>
        <v>10687.5</v>
      </c>
      <c r="AE4602" s="190"/>
      <c r="AF4602" s="191"/>
      <c r="AG4602" s="191"/>
      <c r="AH4602" s="191"/>
      <c r="AI4602" s="186"/>
      <c r="AK4602" s="171"/>
    </row>
    <row r="4603" spans="1:37" s="102" customFormat="1" ht="19.899999999999999" customHeight="1" x14ac:dyDescent="0.25">
      <c r="A4603" s="45"/>
      <c r="B4603" s="59"/>
      <c r="C4603" s="137"/>
      <c r="D4603" s="59"/>
      <c r="E4603" s="116"/>
      <c r="F4603" s="120"/>
      <c r="G4603" s="120"/>
      <c r="H4603" s="120"/>
      <c r="I4603" s="60"/>
      <c r="J4603" s="116"/>
      <c r="K4603" s="213"/>
      <c r="L4603" s="120"/>
      <c r="M4603" s="120"/>
      <c r="N4603" s="167"/>
      <c r="O4603" s="120"/>
      <c r="P4603" s="120"/>
      <c r="Q4603" s="120"/>
      <c r="R4603" s="120"/>
      <c r="S4603" s="120"/>
      <c r="T4603" s="221"/>
      <c r="U4603" s="89"/>
      <c r="V4603" s="61"/>
      <c r="W4603" s="92" t="s">
        <v>1356</v>
      </c>
      <c r="X4603" s="93" t="s">
        <v>30</v>
      </c>
      <c r="Y4603" s="93" t="s">
        <v>35</v>
      </c>
      <c r="Z4603" s="134">
        <f>VLOOKUP(W4603,Sheet2!$B:$D,3,FALSE)</f>
        <v>3500</v>
      </c>
      <c r="AA4603" s="93">
        <v>1</v>
      </c>
      <c r="AB4603" s="93">
        <f>AD4603/AC4597</f>
        <v>3500</v>
      </c>
      <c r="AC4603" s="93">
        <f>AC4597/AA4603</f>
        <v>4.75</v>
      </c>
      <c r="AD4603" s="94">
        <f t="shared" ref="AD4603:AD4604" si="3397">AC4603*Z4603</f>
        <v>16625</v>
      </c>
      <c r="AE4603" s="190"/>
      <c r="AF4603" s="191"/>
      <c r="AG4603" s="191"/>
      <c r="AH4603" s="191"/>
      <c r="AI4603" s="186"/>
      <c r="AK4603" s="171"/>
    </row>
    <row r="4604" spans="1:37" s="102" customFormat="1" ht="19.899999999999999" customHeight="1" x14ac:dyDescent="0.25">
      <c r="A4604" s="45"/>
      <c r="B4604" s="59"/>
      <c r="C4604" s="137"/>
      <c r="D4604" s="59"/>
      <c r="E4604" s="116"/>
      <c r="F4604" s="120"/>
      <c r="G4604" s="120"/>
      <c r="H4604" s="120"/>
      <c r="I4604" s="60"/>
      <c r="J4604" s="116"/>
      <c r="K4604" s="213"/>
      <c r="L4604" s="120"/>
      <c r="M4604" s="120"/>
      <c r="N4604" s="167"/>
      <c r="O4604" s="120"/>
      <c r="P4604" s="120"/>
      <c r="Q4604" s="120"/>
      <c r="R4604" s="120"/>
      <c r="S4604" s="120"/>
      <c r="T4604" s="221"/>
      <c r="U4604" s="89"/>
      <c r="V4604" s="61"/>
      <c r="W4604" s="92" t="s">
        <v>174</v>
      </c>
      <c r="X4604" s="93" t="s">
        <v>29</v>
      </c>
      <c r="Y4604" s="93" t="s">
        <v>93</v>
      </c>
      <c r="Z4604" s="134">
        <f>VLOOKUP(W4604,Sheet2!$B:$D,3,FALSE)</f>
        <v>80</v>
      </c>
      <c r="AA4604" s="93">
        <v>4</v>
      </c>
      <c r="AB4604" s="93">
        <f>AD4604/AC4597</f>
        <v>20</v>
      </c>
      <c r="AC4604" s="93">
        <f>AC4597/AA4604</f>
        <v>1.1875</v>
      </c>
      <c r="AD4604" s="94">
        <f t="shared" si="3397"/>
        <v>95</v>
      </c>
      <c r="AE4604" s="190"/>
      <c r="AF4604" s="191"/>
      <c r="AG4604" s="191"/>
      <c r="AH4604" s="191"/>
      <c r="AI4604" s="186"/>
      <c r="AK4604" s="171"/>
    </row>
    <row r="4605" spans="1:37" s="102" customFormat="1" ht="19.899999999999999" customHeight="1" x14ac:dyDescent="0.25">
      <c r="A4605" s="45"/>
      <c r="B4605" s="59"/>
      <c r="C4605" s="137"/>
      <c r="D4605" s="59"/>
      <c r="E4605" s="116"/>
      <c r="F4605" s="120"/>
      <c r="G4605" s="120"/>
      <c r="H4605" s="120"/>
      <c r="I4605" s="60"/>
      <c r="J4605" s="116"/>
      <c r="K4605" s="213"/>
      <c r="L4605" s="120"/>
      <c r="M4605" s="120"/>
      <c r="N4605" s="167"/>
      <c r="O4605" s="120"/>
      <c r="P4605" s="120"/>
      <c r="Q4605" s="120"/>
      <c r="R4605" s="120"/>
      <c r="S4605" s="120"/>
      <c r="T4605" s="221"/>
      <c r="U4605" s="89"/>
      <c r="V4605" s="61"/>
      <c r="W4605" s="92" t="s">
        <v>65</v>
      </c>
      <c r="X4605" s="93" t="s">
        <v>30</v>
      </c>
      <c r="Y4605" s="93" t="s">
        <v>93</v>
      </c>
      <c r="Z4605" s="134">
        <f>VLOOKUP(W4605,Sheet2!$B:$D,3,FALSE)</f>
        <v>1.76</v>
      </c>
      <c r="AA4605" s="93">
        <f>AA4604/15</f>
        <v>0.26666666666666666</v>
      </c>
      <c r="AB4605" s="93">
        <f>AD4605/AC4597</f>
        <v>6.6000000000000005</v>
      </c>
      <c r="AC4605" s="93">
        <f>AC4597/AA4605</f>
        <v>17.8125</v>
      </c>
      <c r="AD4605" s="94">
        <f>AC4605*Z4605</f>
        <v>31.35</v>
      </c>
      <c r="AE4605" s="190"/>
      <c r="AF4605" s="191"/>
      <c r="AG4605" s="191"/>
      <c r="AH4605" s="191"/>
      <c r="AI4605" s="186"/>
      <c r="AK4605" s="171"/>
    </row>
    <row r="4606" spans="1:37" s="102" customFormat="1" ht="19.899999999999999" customHeight="1" x14ac:dyDescent="0.25">
      <c r="A4606" s="45"/>
      <c r="B4606" s="59"/>
      <c r="C4606" s="137"/>
      <c r="D4606" s="59"/>
      <c r="E4606" s="116"/>
      <c r="F4606" s="120"/>
      <c r="G4606" s="120"/>
      <c r="H4606" s="120"/>
      <c r="I4606" s="60"/>
      <c r="J4606" s="116"/>
      <c r="K4606" s="213"/>
      <c r="L4606" s="120"/>
      <c r="M4606" s="120"/>
      <c r="N4606" s="167"/>
      <c r="O4606" s="120"/>
      <c r="P4606" s="120"/>
      <c r="Q4606" s="120"/>
      <c r="R4606" s="120"/>
      <c r="S4606" s="120"/>
      <c r="T4606" s="221"/>
      <c r="U4606" s="89"/>
      <c r="V4606" s="61"/>
      <c r="W4606" s="92" t="s">
        <v>1357</v>
      </c>
      <c r="X4606" s="93" t="s">
        <v>30</v>
      </c>
      <c r="Y4606" s="93" t="s">
        <v>1349</v>
      </c>
      <c r="Z4606" s="134">
        <f>VLOOKUP(W4606,Sheet2!$B:$D,3,FALSE)</f>
        <v>150</v>
      </c>
      <c r="AA4606" s="93">
        <v>1</v>
      </c>
      <c r="AB4606" s="93">
        <f>AD4606/AC4597</f>
        <v>150</v>
      </c>
      <c r="AC4606" s="93">
        <f>AC4597/AA4606</f>
        <v>4.75</v>
      </c>
      <c r="AD4606" s="94">
        <f>AC4606*Z4606</f>
        <v>712.5</v>
      </c>
      <c r="AE4606" s="190"/>
      <c r="AF4606" s="191"/>
      <c r="AG4606" s="191"/>
      <c r="AH4606" s="191"/>
      <c r="AI4606" s="186"/>
      <c r="AK4606" s="171"/>
    </row>
    <row r="4607" spans="1:37" s="102" customFormat="1" ht="19.899999999999999" customHeight="1" x14ac:dyDescent="0.25">
      <c r="A4607" s="45"/>
      <c r="B4607" s="59"/>
      <c r="C4607" s="137"/>
      <c r="D4607" s="59"/>
      <c r="E4607" s="116"/>
      <c r="F4607" s="120"/>
      <c r="G4607" s="120"/>
      <c r="H4607" s="120"/>
      <c r="I4607" s="60"/>
      <c r="J4607" s="116"/>
      <c r="K4607" s="213"/>
      <c r="L4607" s="120"/>
      <c r="M4607" s="120"/>
      <c r="N4607" s="167"/>
      <c r="O4607" s="120"/>
      <c r="P4607" s="120"/>
      <c r="Q4607" s="120"/>
      <c r="R4607" s="120"/>
      <c r="S4607" s="120"/>
      <c r="T4607" s="221"/>
      <c r="U4607" s="89"/>
      <c r="V4607" s="61"/>
      <c r="W4607" s="92" t="s">
        <v>107</v>
      </c>
      <c r="X4607" s="93" t="s">
        <v>31</v>
      </c>
      <c r="Y4607" s="93" t="s">
        <v>93</v>
      </c>
      <c r="Z4607" s="134">
        <f>VLOOKUP(W4607,Sheet2!$B:$D,3,FALSE)</f>
        <v>17</v>
      </c>
      <c r="AA4607" s="93">
        <f>1/5</f>
        <v>0.2</v>
      </c>
      <c r="AB4607" s="93">
        <f>AD4607/AC4597</f>
        <v>85</v>
      </c>
      <c r="AC4607" s="93">
        <f>AC4597/AA4607</f>
        <v>23.75</v>
      </c>
      <c r="AD4607" s="94">
        <f>AC4607*Z4607</f>
        <v>403.75</v>
      </c>
      <c r="AE4607" s="190"/>
      <c r="AF4607" s="191"/>
      <c r="AG4607" s="191"/>
      <c r="AH4607" s="191"/>
      <c r="AI4607" s="186"/>
      <c r="AK4607" s="171"/>
    </row>
    <row r="4608" spans="1:37" s="102" customFormat="1" ht="19.899999999999999" customHeight="1" x14ac:dyDescent="0.25">
      <c r="A4608" s="45"/>
      <c r="B4608" s="59"/>
      <c r="C4608" s="137"/>
      <c r="D4608" s="59"/>
      <c r="E4608" s="116"/>
      <c r="F4608" s="120"/>
      <c r="G4608" s="120"/>
      <c r="H4608" s="120"/>
      <c r="I4608" s="60"/>
      <c r="J4608" s="116"/>
      <c r="K4608" s="213"/>
      <c r="L4608" s="120"/>
      <c r="M4608" s="120"/>
      <c r="N4608" s="167"/>
      <c r="O4608" s="120"/>
      <c r="P4608" s="120"/>
      <c r="Q4608" s="120"/>
      <c r="R4608" s="120"/>
      <c r="S4608" s="120"/>
      <c r="T4608" s="221"/>
      <c r="U4608" s="89"/>
      <c r="V4608" s="61"/>
      <c r="W4608" s="92" t="s">
        <v>112</v>
      </c>
      <c r="X4608" s="93" t="s">
        <v>31</v>
      </c>
      <c r="Y4608" s="93" t="s">
        <v>93</v>
      </c>
      <c r="Z4608" s="134">
        <f>VLOOKUP(W4608,Sheet2!$B:$D,3,FALSE)</f>
        <v>13</v>
      </c>
      <c r="AA4608" s="93">
        <f>AA4607</f>
        <v>0.2</v>
      </c>
      <c r="AB4608" s="93">
        <f>AD4608/AC4597</f>
        <v>65</v>
      </c>
      <c r="AC4608" s="93">
        <f>AC4597/AA4608</f>
        <v>23.75</v>
      </c>
      <c r="AD4608" s="94">
        <f>AC4608*Z4608</f>
        <v>308.75</v>
      </c>
      <c r="AE4608" s="190"/>
      <c r="AF4608" s="191"/>
      <c r="AG4608" s="191"/>
      <c r="AH4608" s="191"/>
      <c r="AI4608" s="186"/>
      <c r="AK4608" s="171"/>
    </row>
    <row r="4609" spans="1:37" s="103" customFormat="1" ht="19.899999999999999" customHeight="1" x14ac:dyDescent="0.25">
      <c r="A4609" s="51"/>
      <c r="B4609" s="52"/>
      <c r="C4609" s="165"/>
      <c r="D4609" s="52"/>
      <c r="E4609" s="115"/>
      <c r="F4609" s="58"/>
      <c r="G4609" s="58"/>
      <c r="H4609" s="58"/>
      <c r="I4609" s="55"/>
      <c r="J4609" s="113">
        <f>J4591</f>
        <v>4.75</v>
      </c>
      <c r="K4609" s="212">
        <f>K4591</f>
        <v>4.75</v>
      </c>
      <c r="L4609" s="58"/>
      <c r="M4609" s="58">
        <f>K4609-L4609</f>
        <v>4.75</v>
      </c>
      <c r="N4609" s="166"/>
      <c r="O4609" s="58"/>
      <c r="P4609" s="58"/>
      <c r="Q4609" s="58"/>
      <c r="R4609" s="58"/>
      <c r="S4609" s="58"/>
      <c r="T4609" s="220"/>
      <c r="U4609" s="88"/>
      <c r="V4609" s="56"/>
      <c r="W4609" s="57" t="s">
        <v>1358</v>
      </c>
      <c r="X4609" s="53"/>
      <c r="Y4609" s="91" t="s">
        <v>35</v>
      </c>
      <c r="Z4609" s="136">
        <f>AD4609/AC4609</f>
        <v>2800</v>
      </c>
      <c r="AA4609" s="58"/>
      <c r="AB4609" s="53">
        <f>AD4609/AC4609</f>
        <v>2800</v>
      </c>
      <c r="AC4609" s="53">
        <f>M4609+$AE$10</f>
        <v>4.75</v>
      </c>
      <c r="AD4609" s="54">
        <f>SUM(AD4610:AD4611)</f>
        <v>13300</v>
      </c>
      <c r="AE4609" s="184">
        <f>SUMIFS($AD$37:$AD$12971,$V$37:$V$12971,$V4609,$X$37:$X$12971,AE$13)</f>
        <v>0</v>
      </c>
      <c r="AF4609" s="185">
        <f>SUMIFS($AD$37:$AD$12971,$V$37:$V$12971,$V4609,$X$37:$X$12971,AF$13)</f>
        <v>0</v>
      </c>
      <c r="AG4609" s="185">
        <f>SUMIFS($AD$37:$AD$12971,$V$37:$V$12971,$V4609,$X$37:$X$12971,AG$13)</f>
        <v>0</v>
      </c>
      <c r="AH4609" s="187">
        <f>SUMIFS($AD$37:$AD$12971,$V$37:$V$12971,$V4609,$X$37:$X$12971,AH$13)</f>
        <v>0</v>
      </c>
      <c r="AI4609" s="161">
        <f t="shared" ref="AI4609" si="3398">SUM(AE4609:AH4609)</f>
        <v>0</v>
      </c>
      <c r="AK4609" s="172"/>
    </row>
    <row r="4610" spans="1:37" s="102" customFormat="1" ht="19.899999999999999" customHeight="1" x14ac:dyDescent="0.25">
      <c r="A4610" s="45"/>
      <c r="B4610" s="59"/>
      <c r="C4610" s="137"/>
      <c r="D4610" s="59"/>
      <c r="E4610" s="116"/>
      <c r="F4610" s="120"/>
      <c r="G4610" s="120"/>
      <c r="H4610" s="120"/>
      <c r="I4610" s="60"/>
      <c r="J4610" s="116"/>
      <c r="K4610" s="213"/>
      <c r="L4610" s="120"/>
      <c r="M4610" s="120"/>
      <c r="N4610" s="167"/>
      <c r="O4610" s="120"/>
      <c r="P4610" s="120"/>
      <c r="Q4610" s="120"/>
      <c r="R4610" s="120"/>
      <c r="S4610" s="120"/>
      <c r="T4610" s="221"/>
      <c r="U4610" s="89"/>
      <c r="V4610" s="61"/>
      <c r="W4610" s="92" t="s">
        <v>1359</v>
      </c>
      <c r="X4610" s="93" t="s">
        <v>32</v>
      </c>
      <c r="Y4610" s="93" t="s">
        <v>64</v>
      </c>
      <c r="Z4610" s="134">
        <f>VLOOKUP(W4610,Sheet2!$B:$D,3,FALSE)</f>
        <v>40</v>
      </c>
      <c r="AA4610" s="93">
        <f>1/40</f>
        <v>2.5000000000000001E-2</v>
      </c>
      <c r="AB4610" s="93">
        <f t="shared" ref="AB4610" si="3399">AD4610/AC4609</f>
        <v>1600</v>
      </c>
      <c r="AC4610" s="93">
        <f>AC4609/AA4610</f>
        <v>190</v>
      </c>
      <c r="AD4610" s="94">
        <f t="shared" ref="AD4610:AD4611" si="3400">AC4610*Z4610</f>
        <v>7600</v>
      </c>
      <c r="AE4610" s="190"/>
      <c r="AF4610" s="191"/>
      <c r="AG4610" s="191"/>
      <c r="AH4610" s="191"/>
      <c r="AI4610" s="186"/>
      <c r="AK4610" s="171"/>
    </row>
    <row r="4611" spans="1:37" s="102" customFormat="1" ht="19.899999999999999" customHeight="1" x14ac:dyDescent="0.25">
      <c r="A4611" s="45"/>
      <c r="B4611" s="59"/>
      <c r="C4611" s="137"/>
      <c r="D4611" s="59"/>
      <c r="E4611" s="116"/>
      <c r="F4611" s="120"/>
      <c r="G4611" s="120"/>
      <c r="H4611" s="120"/>
      <c r="I4611" s="60"/>
      <c r="J4611" s="116"/>
      <c r="K4611" s="213"/>
      <c r="L4611" s="120"/>
      <c r="M4611" s="120"/>
      <c r="N4611" s="167"/>
      <c r="O4611" s="120"/>
      <c r="P4611" s="120"/>
      <c r="Q4611" s="120"/>
      <c r="R4611" s="120"/>
      <c r="S4611" s="120"/>
      <c r="T4611" s="221"/>
      <c r="U4611" s="89"/>
      <c r="V4611" s="61"/>
      <c r="W4611" s="92" t="s">
        <v>1360</v>
      </c>
      <c r="X4611" s="93" t="s">
        <v>32</v>
      </c>
      <c r="Y4611" s="93" t="s">
        <v>64</v>
      </c>
      <c r="Z4611" s="134">
        <f>VLOOKUP(W4611,Sheet2!$B:$D,3,FALSE)</f>
        <v>30</v>
      </c>
      <c r="AA4611" s="93">
        <f>AA4610</f>
        <v>2.5000000000000001E-2</v>
      </c>
      <c r="AB4611" s="93">
        <f>AD4611/AC4609</f>
        <v>1200</v>
      </c>
      <c r="AC4611" s="93">
        <f>AC4609/AA4611</f>
        <v>190</v>
      </c>
      <c r="AD4611" s="94">
        <f t="shared" si="3400"/>
        <v>5700</v>
      </c>
      <c r="AE4611" s="190"/>
      <c r="AF4611" s="191"/>
      <c r="AG4611" s="191"/>
      <c r="AH4611" s="191"/>
      <c r="AI4611" s="186"/>
      <c r="AK4611" s="171"/>
    </row>
    <row r="4612" spans="1:37" s="103" customFormat="1" ht="19.899999999999999" customHeight="1" x14ac:dyDescent="0.25">
      <c r="A4612" s="51"/>
      <c r="B4612" s="52"/>
      <c r="C4612" s="165"/>
      <c r="D4612" s="52"/>
      <c r="E4612" s="115"/>
      <c r="F4612" s="58"/>
      <c r="G4612" s="58"/>
      <c r="H4612" s="58"/>
      <c r="I4612" s="55"/>
      <c r="J4612" s="113">
        <f>J4591</f>
        <v>4.75</v>
      </c>
      <c r="K4612" s="212">
        <f>K4591</f>
        <v>4.75</v>
      </c>
      <c r="L4612" s="58"/>
      <c r="M4612" s="58">
        <f>K4612-L4612</f>
        <v>4.75</v>
      </c>
      <c r="N4612" s="166"/>
      <c r="O4612" s="58"/>
      <c r="P4612" s="58"/>
      <c r="Q4612" s="58"/>
      <c r="R4612" s="58"/>
      <c r="S4612" s="58"/>
      <c r="T4612" s="220"/>
      <c r="U4612" s="88"/>
      <c r="V4612" s="56"/>
      <c r="W4612" s="57" t="s">
        <v>1272</v>
      </c>
      <c r="X4612" s="53"/>
      <c r="Y4612" s="91" t="s">
        <v>35</v>
      </c>
      <c r="Z4612" s="136">
        <f>AD4612/AC4612</f>
        <v>209.08263529411767</v>
      </c>
      <c r="AA4612" s="58"/>
      <c r="AB4612" s="53">
        <f>AD4612/AC4612</f>
        <v>209.08263529411767</v>
      </c>
      <c r="AC4612" s="53">
        <f>M4612+$AE$10</f>
        <v>4.75</v>
      </c>
      <c r="AD4612" s="54">
        <f>SUM(AD4613:AD4621)</f>
        <v>993.14251764705887</v>
      </c>
      <c r="AE4612" s="184">
        <f>SUMIFS($AD$37:$AD$12971,$V$37:$V$12971,$V4612,$X$37:$X$12971,AE$13)</f>
        <v>0</v>
      </c>
      <c r="AF4612" s="185">
        <f>SUMIFS($AD$37:$AD$12971,$V$37:$V$12971,$V4612,$X$37:$X$12971,AF$13)</f>
        <v>0</v>
      </c>
      <c r="AG4612" s="185">
        <f>SUMIFS($AD$37:$AD$12971,$V$37:$V$12971,$V4612,$X$37:$X$12971,AG$13)</f>
        <v>0</v>
      </c>
      <c r="AH4612" s="187">
        <f>SUMIFS($AD$37:$AD$12971,$V$37:$V$12971,$V4612,$X$37:$X$12971,AH$13)</f>
        <v>0</v>
      </c>
      <c r="AI4612" s="161">
        <f t="shared" ref="AI4612" si="3401">SUM(AE4612:AH4612)</f>
        <v>0</v>
      </c>
      <c r="AK4612" s="172"/>
    </row>
    <row r="4613" spans="1:37" s="102" customFormat="1" ht="19.899999999999999" customHeight="1" x14ac:dyDescent="0.25">
      <c r="A4613" s="45"/>
      <c r="B4613" s="59"/>
      <c r="C4613" s="137"/>
      <c r="D4613" s="59"/>
      <c r="E4613" s="116"/>
      <c r="F4613" s="120"/>
      <c r="G4613" s="120"/>
      <c r="H4613" s="120"/>
      <c r="I4613" s="60"/>
      <c r="J4613" s="116"/>
      <c r="K4613" s="213"/>
      <c r="L4613" s="120"/>
      <c r="M4613" s="120"/>
      <c r="N4613" s="167"/>
      <c r="O4613" s="120"/>
      <c r="P4613" s="120"/>
      <c r="Q4613" s="120"/>
      <c r="R4613" s="120"/>
      <c r="S4613" s="120"/>
      <c r="T4613" s="221"/>
      <c r="U4613" s="89"/>
      <c r="V4613" s="61"/>
      <c r="W4613" s="92" t="s">
        <v>1273</v>
      </c>
      <c r="X4613" s="93" t="s">
        <v>30</v>
      </c>
      <c r="Y4613" s="93" t="s">
        <v>66</v>
      </c>
      <c r="Z4613" s="134">
        <f>VLOOKUP(W4613,Sheet2!$B:$D,3,FALSE)</f>
        <v>10</v>
      </c>
      <c r="AA4613" s="93">
        <f>1/(2.5*2.4*0.5*4)</f>
        <v>8.3333333333333329E-2</v>
      </c>
      <c r="AB4613" s="93">
        <f>AD4613/AC4612</f>
        <v>120</v>
      </c>
      <c r="AC4613" s="93">
        <f>AC4612/AA4613</f>
        <v>57</v>
      </c>
      <c r="AD4613" s="94">
        <f t="shared" ref="AD4613:AD4615" si="3402">AC4613*Z4613</f>
        <v>570</v>
      </c>
      <c r="AE4613" s="190"/>
      <c r="AF4613" s="191"/>
      <c r="AG4613" s="191"/>
      <c r="AH4613" s="191"/>
      <c r="AI4613" s="186"/>
      <c r="AK4613" s="171"/>
    </row>
    <row r="4614" spans="1:37" s="102" customFormat="1" ht="19.899999999999999" customHeight="1" x14ac:dyDescent="0.25">
      <c r="A4614" s="45"/>
      <c r="B4614" s="59"/>
      <c r="C4614" s="137"/>
      <c r="D4614" s="59"/>
      <c r="E4614" s="116"/>
      <c r="F4614" s="120"/>
      <c r="G4614" s="120"/>
      <c r="H4614" s="120"/>
      <c r="I4614" s="60"/>
      <c r="J4614" s="116"/>
      <c r="K4614" s="213"/>
      <c r="L4614" s="120"/>
      <c r="M4614" s="120"/>
      <c r="N4614" s="167"/>
      <c r="O4614" s="120"/>
      <c r="P4614" s="120"/>
      <c r="Q4614" s="120"/>
      <c r="R4614" s="120"/>
      <c r="S4614" s="120"/>
      <c r="T4614" s="221"/>
      <c r="U4614" s="89"/>
      <c r="V4614" s="61"/>
      <c r="W4614" s="92" t="s">
        <v>134</v>
      </c>
      <c r="X4614" s="93" t="s">
        <v>29</v>
      </c>
      <c r="Y4614" s="93" t="s">
        <v>93</v>
      </c>
      <c r="Z4614" s="134">
        <f>VLOOKUP(W4614,Sheet2!$B:$D,3,FALSE)</f>
        <v>65.599999999999994</v>
      </c>
      <c r="AA4614" s="93">
        <f>100/(2.5*2.4*0.5*4)</f>
        <v>8.3333333333333339</v>
      </c>
      <c r="AB4614" s="93">
        <f t="shared" ref="AB4614" si="3403">AD4614/AC4612</f>
        <v>7.871999999999999</v>
      </c>
      <c r="AC4614" s="93">
        <f>AC4612/AA4614</f>
        <v>0.56999999999999995</v>
      </c>
      <c r="AD4614" s="94">
        <f t="shared" si="3402"/>
        <v>37.391999999999996</v>
      </c>
      <c r="AE4614" s="190"/>
      <c r="AF4614" s="191"/>
      <c r="AG4614" s="191"/>
      <c r="AH4614" s="191"/>
      <c r="AI4614" s="186"/>
      <c r="AK4614" s="171"/>
    </row>
    <row r="4615" spans="1:37" s="102" customFormat="1" ht="19.899999999999999" customHeight="1" x14ac:dyDescent="0.25">
      <c r="A4615" s="45"/>
      <c r="B4615" s="59"/>
      <c r="C4615" s="137"/>
      <c r="D4615" s="59"/>
      <c r="E4615" s="116"/>
      <c r="F4615" s="120"/>
      <c r="G4615" s="120"/>
      <c r="H4615" s="120"/>
      <c r="I4615" s="60"/>
      <c r="J4615" s="116"/>
      <c r="K4615" s="213"/>
      <c r="L4615" s="120"/>
      <c r="M4615" s="120"/>
      <c r="N4615" s="167"/>
      <c r="O4615" s="120"/>
      <c r="P4615" s="120"/>
      <c r="Q4615" s="120"/>
      <c r="R4615" s="120"/>
      <c r="S4615" s="120"/>
      <c r="T4615" s="221"/>
      <c r="U4615" s="89"/>
      <c r="V4615" s="61"/>
      <c r="W4615" s="92" t="s">
        <v>65</v>
      </c>
      <c r="X4615" s="93" t="s">
        <v>30</v>
      </c>
      <c r="Y4615" s="93" t="s">
        <v>1011</v>
      </c>
      <c r="Z4615" s="134">
        <f>VLOOKUP(W4615,Sheet2!$B:$D,3,FALSE)</f>
        <v>1.76</v>
      </c>
      <c r="AA4615" s="93">
        <f>AA4614/9</f>
        <v>0.92592592592592604</v>
      </c>
      <c r="AB4615" s="93">
        <f>AD4615/AC4612</f>
        <v>1.9007999999999996</v>
      </c>
      <c r="AC4615" s="93">
        <f>AC4612/AA4615</f>
        <v>5.129999999999999</v>
      </c>
      <c r="AD4615" s="94">
        <f t="shared" si="3402"/>
        <v>9.0287999999999986</v>
      </c>
      <c r="AE4615" s="190"/>
      <c r="AF4615" s="191"/>
      <c r="AG4615" s="191"/>
      <c r="AH4615" s="191"/>
      <c r="AI4615" s="186"/>
      <c r="AK4615" s="171"/>
    </row>
    <row r="4616" spans="1:37" s="102" customFormat="1" ht="19.899999999999999" customHeight="1" x14ac:dyDescent="0.25">
      <c r="A4616" s="45"/>
      <c r="B4616" s="59"/>
      <c r="C4616" s="137"/>
      <c r="D4616" s="59"/>
      <c r="E4616" s="116"/>
      <c r="F4616" s="120"/>
      <c r="G4616" s="120"/>
      <c r="H4616" s="120"/>
      <c r="I4616" s="60"/>
      <c r="J4616" s="116"/>
      <c r="K4616" s="213"/>
      <c r="L4616" s="120"/>
      <c r="M4616" s="120"/>
      <c r="N4616" s="167"/>
      <c r="O4616" s="120"/>
      <c r="P4616" s="120"/>
      <c r="Q4616" s="120"/>
      <c r="R4616" s="120"/>
      <c r="S4616" s="120"/>
      <c r="T4616" s="221"/>
      <c r="U4616" s="89"/>
      <c r="V4616" s="61"/>
      <c r="W4616" s="92" t="s">
        <v>161</v>
      </c>
      <c r="X4616" s="93" t="s">
        <v>29</v>
      </c>
      <c r="Y4616" s="93" t="s">
        <v>93</v>
      </c>
      <c r="Z4616" s="134">
        <f>VLOOKUP(W4616,Sheet2!$B:$D,3,FALSE)</f>
        <v>48</v>
      </c>
      <c r="AA4616" s="93">
        <f>(16*0.85*1.5)/(2.5*2.4*0.5*4)</f>
        <v>1.7</v>
      </c>
      <c r="AB4616" s="93">
        <f>AD4616/AC4612</f>
        <v>28.235294117647062</v>
      </c>
      <c r="AC4616" s="93">
        <f>AC4612/AA4616</f>
        <v>2.7941176470588238</v>
      </c>
      <c r="AD4616" s="94">
        <f>AC4616*Z4616</f>
        <v>134.11764705882354</v>
      </c>
      <c r="AE4616" s="190"/>
      <c r="AF4616" s="191"/>
      <c r="AG4616" s="191"/>
      <c r="AH4616" s="191"/>
      <c r="AI4616" s="186"/>
      <c r="AK4616" s="171"/>
    </row>
    <row r="4617" spans="1:37" s="102" customFormat="1" ht="19.899999999999999" customHeight="1" x14ac:dyDescent="0.25">
      <c r="A4617" s="45"/>
      <c r="B4617" s="59"/>
      <c r="C4617" s="137"/>
      <c r="D4617" s="59"/>
      <c r="E4617" s="116"/>
      <c r="F4617" s="120"/>
      <c r="G4617" s="120"/>
      <c r="H4617" s="120"/>
      <c r="I4617" s="60"/>
      <c r="J4617" s="116"/>
      <c r="K4617" s="213"/>
      <c r="L4617" s="120"/>
      <c r="M4617" s="120"/>
      <c r="N4617" s="167"/>
      <c r="O4617" s="120"/>
      <c r="P4617" s="120"/>
      <c r="Q4617" s="120"/>
      <c r="R4617" s="120"/>
      <c r="S4617" s="120"/>
      <c r="T4617" s="221"/>
      <c r="U4617" s="89"/>
      <c r="V4617" s="61"/>
      <c r="W4617" s="92" t="s">
        <v>65</v>
      </c>
      <c r="X4617" s="93" t="s">
        <v>30</v>
      </c>
      <c r="Y4617" s="93" t="s">
        <v>1011</v>
      </c>
      <c r="Z4617" s="134">
        <f>VLOOKUP(W4617,Sheet2!$B:$D,3,FALSE)</f>
        <v>1.76</v>
      </c>
      <c r="AA4617" s="93">
        <f>AA4616/10</f>
        <v>0.16999999999999998</v>
      </c>
      <c r="AB4617" s="93">
        <f>AD4617/AC4612</f>
        <v>10.352941176470591</v>
      </c>
      <c r="AC4617" s="93">
        <f>AC4612/AA4617</f>
        <v>27.941176470588239</v>
      </c>
      <c r="AD4617" s="94">
        <f>AC4617*Z4617</f>
        <v>49.176470588235304</v>
      </c>
      <c r="AE4617" s="190"/>
      <c r="AF4617" s="191"/>
      <c r="AG4617" s="191"/>
      <c r="AH4617" s="191"/>
      <c r="AI4617" s="186"/>
      <c r="AK4617" s="171"/>
    </row>
    <row r="4618" spans="1:37" s="102" customFormat="1" ht="19.899999999999999" customHeight="1" x14ac:dyDescent="0.25">
      <c r="A4618" s="45"/>
      <c r="B4618" s="59"/>
      <c r="C4618" s="137"/>
      <c r="D4618" s="59"/>
      <c r="E4618" s="116"/>
      <c r="F4618" s="120"/>
      <c r="G4618" s="120"/>
      <c r="H4618" s="120"/>
      <c r="I4618" s="60"/>
      <c r="J4618" s="116"/>
      <c r="K4618" s="213"/>
      <c r="L4618" s="120"/>
      <c r="M4618" s="120"/>
      <c r="N4618" s="167"/>
      <c r="O4618" s="120"/>
      <c r="P4618" s="120"/>
      <c r="Q4618" s="120"/>
      <c r="R4618" s="120"/>
      <c r="S4618" s="120"/>
      <c r="T4618" s="221"/>
      <c r="U4618" s="89"/>
      <c r="V4618" s="61"/>
      <c r="W4618" s="92" t="s">
        <v>173</v>
      </c>
      <c r="X4618" s="93" t="s">
        <v>29</v>
      </c>
      <c r="Y4618" s="93" t="s">
        <v>93</v>
      </c>
      <c r="Z4618" s="134">
        <f>VLOOKUP(W4618,Sheet2!$B:$D,3,FALSE)</f>
        <v>36</v>
      </c>
      <c r="AA4618" s="93">
        <f>50/(2.5*2.4*0.5*4)</f>
        <v>4.166666666666667</v>
      </c>
      <c r="AB4618" s="93">
        <f>AD4618/AC4612</f>
        <v>8.64</v>
      </c>
      <c r="AC4618" s="93">
        <f>AC4612/AA4618</f>
        <v>1.1399999999999999</v>
      </c>
      <c r="AD4618" s="94">
        <f>AC4618*Z4618</f>
        <v>41.04</v>
      </c>
      <c r="AE4618" s="190"/>
      <c r="AF4618" s="191"/>
      <c r="AG4618" s="191"/>
      <c r="AH4618" s="191"/>
      <c r="AI4618" s="186"/>
      <c r="AK4618" s="171"/>
    </row>
    <row r="4619" spans="1:37" s="102" customFormat="1" ht="19.899999999999999" customHeight="1" x14ac:dyDescent="0.25">
      <c r="A4619" s="45"/>
      <c r="B4619" s="59"/>
      <c r="C4619" s="137"/>
      <c r="D4619" s="59"/>
      <c r="E4619" s="116"/>
      <c r="F4619" s="120"/>
      <c r="G4619" s="120"/>
      <c r="H4619" s="120"/>
      <c r="I4619" s="60"/>
      <c r="J4619" s="116"/>
      <c r="K4619" s="213"/>
      <c r="L4619" s="120"/>
      <c r="M4619" s="120"/>
      <c r="N4619" s="167"/>
      <c r="O4619" s="120"/>
      <c r="P4619" s="120"/>
      <c r="Q4619" s="120"/>
      <c r="R4619" s="120"/>
      <c r="S4619" s="120"/>
      <c r="T4619" s="221"/>
      <c r="U4619" s="89"/>
      <c r="V4619" s="61"/>
      <c r="W4619" s="92" t="s">
        <v>65</v>
      </c>
      <c r="X4619" s="93" t="s">
        <v>30</v>
      </c>
      <c r="Y4619" s="93" t="s">
        <v>1011</v>
      </c>
      <c r="Z4619" s="134">
        <f>VLOOKUP(W4619,Sheet2!$B:$D,3,FALSE)</f>
        <v>1.76</v>
      </c>
      <c r="AA4619" s="93">
        <f>AA4618/9</f>
        <v>0.46296296296296302</v>
      </c>
      <c r="AB4619" s="93">
        <f>AD4619/AC4612</f>
        <v>3.8015999999999992</v>
      </c>
      <c r="AC4619" s="93">
        <f>AC4612/AA4619</f>
        <v>10.259999999999998</v>
      </c>
      <c r="AD4619" s="94">
        <f>AC4619*Z4619</f>
        <v>18.057599999999997</v>
      </c>
      <c r="AE4619" s="190"/>
      <c r="AF4619" s="191"/>
      <c r="AG4619" s="191"/>
      <c r="AH4619" s="191"/>
      <c r="AI4619" s="186"/>
      <c r="AK4619" s="171"/>
    </row>
    <row r="4620" spans="1:37" s="102" customFormat="1" ht="19.899999999999999" customHeight="1" x14ac:dyDescent="0.25">
      <c r="A4620" s="45"/>
      <c r="B4620" s="59"/>
      <c r="C4620" s="137"/>
      <c r="D4620" s="59"/>
      <c r="E4620" s="116"/>
      <c r="F4620" s="120"/>
      <c r="G4620" s="120"/>
      <c r="H4620" s="120"/>
      <c r="I4620" s="60"/>
      <c r="J4620" s="116"/>
      <c r="K4620" s="213"/>
      <c r="L4620" s="120"/>
      <c r="M4620" s="120"/>
      <c r="N4620" s="167"/>
      <c r="O4620" s="120"/>
      <c r="P4620" s="120"/>
      <c r="Q4620" s="120"/>
      <c r="R4620" s="120"/>
      <c r="S4620" s="120"/>
      <c r="T4620" s="221"/>
      <c r="U4620" s="89"/>
      <c r="V4620" s="61"/>
      <c r="W4620" s="92" t="s">
        <v>1030</v>
      </c>
      <c r="X4620" s="93" t="s">
        <v>29</v>
      </c>
      <c r="Y4620" s="93" t="s">
        <v>93</v>
      </c>
      <c r="Z4620" s="134">
        <f>VLOOKUP(W4620,Sheet2!$B:$D,3,FALSE)</f>
        <v>23</v>
      </c>
      <c r="AA4620" s="93">
        <v>1</v>
      </c>
      <c r="AB4620" s="93">
        <f>AD4620/AC4612</f>
        <v>23</v>
      </c>
      <c r="AC4620" s="93">
        <f>AC4612/AA4620</f>
        <v>4.75</v>
      </c>
      <c r="AD4620" s="94">
        <f t="shared" ref="AD4620:AD4621" si="3404">AC4620*Z4620</f>
        <v>109.25</v>
      </c>
      <c r="AE4620" s="190"/>
      <c r="AF4620" s="191"/>
      <c r="AG4620" s="191"/>
      <c r="AH4620" s="191"/>
      <c r="AI4620" s="186"/>
      <c r="AK4620" s="171"/>
    </row>
    <row r="4621" spans="1:37" s="102" customFormat="1" ht="19.899999999999999" customHeight="1" x14ac:dyDescent="0.25">
      <c r="A4621" s="45"/>
      <c r="B4621" s="59"/>
      <c r="C4621" s="137"/>
      <c r="D4621" s="59"/>
      <c r="E4621" s="116"/>
      <c r="F4621" s="120"/>
      <c r="G4621" s="120"/>
      <c r="H4621" s="120"/>
      <c r="I4621" s="60"/>
      <c r="J4621" s="116"/>
      <c r="K4621" s="213"/>
      <c r="L4621" s="120"/>
      <c r="M4621" s="120"/>
      <c r="N4621" s="167"/>
      <c r="O4621" s="120"/>
      <c r="P4621" s="120"/>
      <c r="Q4621" s="120"/>
      <c r="R4621" s="120"/>
      <c r="S4621" s="120"/>
      <c r="T4621" s="221"/>
      <c r="U4621" s="89"/>
      <c r="V4621" s="61"/>
      <c r="W4621" s="92" t="s">
        <v>65</v>
      </c>
      <c r="X4621" s="93" t="s">
        <v>30</v>
      </c>
      <c r="Y4621" s="93" t="s">
        <v>1011</v>
      </c>
      <c r="Z4621" s="134">
        <f>VLOOKUP(W4621,Sheet2!$B:$D,3,FALSE)</f>
        <v>1.76</v>
      </c>
      <c r="AA4621" s="93">
        <f>AA4620/3</f>
        <v>0.33333333333333331</v>
      </c>
      <c r="AB4621" s="93">
        <f>AD4621/AC4612</f>
        <v>5.28</v>
      </c>
      <c r="AC4621" s="93">
        <f>AC4612/AA4621</f>
        <v>14.25</v>
      </c>
      <c r="AD4621" s="94">
        <f t="shared" si="3404"/>
        <v>25.080000000000002</v>
      </c>
      <c r="AE4621" s="190"/>
      <c r="AF4621" s="191"/>
      <c r="AG4621" s="191"/>
      <c r="AH4621" s="191"/>
      <c r="AI4621" s="186"/>
      <c r="AK4621" s="171"/>
    </row>
    <row r="4622" spans="1:37" ht="20.100000000000001" customHeight="1" x14ac:dyDescent="0.25">
      <c r="A4622" s="277" t="s">
        <v>491</v>
      </c>
      <c r="B4622" s="278"/>
      <c r="C4622" s="64" t="s">
        <v>557</v>
      </c>
      <c r="D4622" s="46" t="s">
        <v>328</v>
      </c>
      <c r="E4622" s="114">
        <v>3.92</v>
      </c>
      <c r="F4622" s="44">
        <v>0</v>
      </c>
      <c r="G4622" s="44">
        <f t="shared" si="2434"/>
        <v>0</v>
      </c>
      <c r="H4622" s="44">
        <f t="shared" si="2435"/>
        <v>0</v>
      </c>
      <c r="I4622" s="43">
        <f t="shared" si="2436"/>
        <v>0</v>
      </c>
      <c r="J4622" s="112">
        <f t="shared" si="2437"/>
        <v>3.92</v>
      </c>
      <c r="K4622" s="211">
        <f t="shared" si="2438"/>
        <v>3.92</v>
      </c>
      <c r="L4622" s="44"/>
      <c r="M4622" s="44">
        <f t="shared" si="2458"/>
        <v>3.92</v>
      </c>
      <c r="N4622" s="173">
        <f t="shared" si="2439"/>
        <v>1</v>
      </c>
      <c r="O4622" s="44">
        <f t="shared" si="2440"/>
        <v>0</v>
      </c>
      <c r="P4622" s="44">
        <f t="shared" si="2441"/>
        <v>0</v>
      </c>
      <c r="Q4622" s="44">
        <f t="shared" si="2442"/>
        <v>0</v>
      </c>
      <c r="R4622" s="44">
        <f t="shared" si="2459"/>
        <v>0</v>
      </c>
      <c r="S4622" s="123"/>
      <c r="T4622" s="219">
        <f t="shared" si="2460"/>
        <v>0</v>
      </c>
      <c r="U4622" s="87"/>
      <c r="V4622" s="47"/>
      <c r="W4622" s="48"/>
      <c r="X4622" s="48"/>
      <c r="Y4622" s="48"/>
      <c r="Z4622" s="135"/>
      <c r="AA4622" s="49"/>
      <c r="AB4622" s="50">
        <f t="shared" si="2443"/>
        <v>0</v>
      </c>
      <c r="AC4622" s="42">
        <f t="shared" si="2461"/>
        <v>3.92</v>
      </c>
      <c r="AD4622" s="90"/>
      <c r="AE4622" s="188"/>
      <c r="AF4622" s="189"/>
      <c r="AG4622" s="189"/>
      <c r="AH4622" s="189"/>
      <c r="AI4622" s="161"/>
    </row>
    <row r="4623" spans="1:37" s="102" customFormat="1" ht="20.100000000000001" customHeight="1" x14ac:dyDescent="0.25">
      <c r="A4623" s="45" t="s">
        <v>491</v>
      </c>
      <c r="B4623" s="276"/>
      <c r="C4623" s="285" t="s">
        <v>547</v>
      </c>
      <c r="D4623" s="59"/>
      <c r="E4623" s="116"/>
      <c r="F4623" s="120"/>
      <c r="G4623" s="120">
        <f t="shared" si="2434"/>
        <v>0</v>
      </c>
      <c r="H4623" s="120">
        <f t="shared" si="2435"/>
        <v>0</v>
      </c>
      <c r="I4623" s="60">
        <f t="shared" si="2436"/>
        <v>0</v>
      </c>
      <c r="J4623" s="116">
        <f t="shared" si="2437"/>
        <v>0</v>
      </c>
      <c r="K4623" s="213">
        <f t="shared" si="2438"/>
        <v>0</v>
      </c>
      <c r="L4623" s="120"/>
      <c r="M4623" s="120">
        <f t="shared" si="2458"/>
        <v>0</v>
      </c>
      <c r="N4623" s="167">
        <f t="shared" si="2439"/>
        <v>0</v>
      </c>
      <c r="O4623" s="120">
        <f t="shared" si="2440"/>
        <v>0</v>
      </c>
      <c r="P4623" s="120">
        <f t="shared" si="2441"/>
        <v>0</v>
      </c>
      <c r="Q4623" s="120">
        <f t="shared" si="2442"/>
        <v>0</v>
      </c>
      <c r="R4623" s="120">
        <f t="shared" si="2459"/>
        <v>0</v>
      </c>
      <c r="S4623" s="120"/>
      <c r="T4623" s="221">
        <f t="shared" si="2460"/>
        <v>0</v>
      </c>
      <c r="U4623" s="89"/>
      <c r="V4623" s="61"/>
      <c r="W4623" s="92"/>
      <c r="X4623" s="38"/>
      <c r="Y4623" s="93"/>
      <c r="Z4623" s="134"/>
      <c r="AA4623" s="93"/>
      <c r="AB4623" s="93">
        <f t="shared" si="2443"/>
        <v>0</v>
      </c>
      <c r="AC4623" s="93">
        <f t="shared" si="2461"/>
        <v>9.9999999999999998E-20</v>
      </c>
      <c r="AD4623" s="94"/>
      <c r="AE4623" s="190"/>
      <c r="AF4623" s="191"/>
      <c r="AG4623" s="191"/>
      <c r="AH4623" s="191"/>
      <c r="AI4623" s="186"/>
      <c r="AK4623" s="171"/>
    </row>
    <row r="4624" spans="1:37" s="102" customFormat="1" ht="20.100000000000001" customHeight="1" x14ac:dyDescent="0.25">
      <c r="A4624" s="45" t="s">
        <v>491</v>
      </c>
      <c r="B4624" s="276"/>
      <c r="C4624" s="285" t="s">
        <v>558</v>
      </c>
      <c r="D4624" s="59"/>
      <c r="E4624" s="116"/>
      <c r="F4624" s="120"/>
      <c r="G4624" s="120">
        <f t="shared" si="2434"/>
        <v>0</v>
      </c>
      <c r="H4624" s="120">
        <f t="shared" si="2435"/>
        <v>0</v>
      </c>
      <c r="I4624" s="60">
        <f t="shared" si="2436"/>
        <v>0</v>
      </c>
      <c r="J4624" s="116">
        <f t="shared" si="2437"/>
        <v>0</v>
      </c>
      <c r="K4624" s="213">
        <f t="shared" si="2438"/>
        <v>0</v>
      </c>
      <c r="L4624" s="120"/>
      <c r="M4624" s="120">
        <f t="shared" si="2458"/>
        <v>0</v>
      </c>
      <c r="N4624" s="167">
        <f t="shared" si="2439"/>
        <v>0</v>
      </c>
      <c r="O4624" s="120">
        <f t="shared" si="2440"/>
        <v>0</v>
      </c>
      <c r="P4624" s="120">
        <f t="shared" si="2441"/>
        <v>0</v>
      </c>
      <c r="Q4624" s="120">
        <f t="shared" si="2442"/>
        <v>0</v>
      </c>
      <c r="R4624" s="120">
        <f t="shared" si="2459"/>
        <v>0</v>
      </c>
      <c r="S4624" s="120"/>
      <c r="T4624" s="221">
        <f t="shared" si="2460"/>
        <v>0</v>
      </c>
      <c r="U4624" s="89"/>
      <c r="V4624" s="61"/>
      <c r="W4624" s="92"/>
      <c r="X4624" s="38"/>
      <c r="Y4624" s="93"/>
      <c r="Z4624" s="134"/>
      <c r="AA4624" s="93"/>
      <c r="AB4624" s="93">
        <f t="shared" si="2443"/>
        <v>0</v>
      </c>
      <c r="AC4624" s="93">
        <f t="shared" si="2461"/>
        <v>9.9999999999999998E-20</v>
      </c>
      <c r="AD4624" s="94"/>
      <c r="AE4624" s="190"/>
      <c r="AF4624" s="191"/>
      <c r="AG4624" s="191"/>
      <c r="AH4624" s="191"/>
      <c r="AI4624" s="186"/>
      <c r="AK4624" s="171"/>
    </row>
    <row r="4625" spans="1:41" s="102" customFormat="1" ht="126" x14ac:dyDescent="0.25">
      <c r="A4625" s="45" t="s">
        <v>491</v>
      </c>
      <c r="B4625" s="276"/>
      <c r="C4625" s="285" t="s">
        <v>549</v>
      </c>
      <c r="D4625" s="59"/>
      <c r="E4625" s="116"/>
      <c r="F4625" s="120"/>
      <c r="G4625" s="120">
        <f t="shared" si="2434"/>
        <v>0</v>
      </c>
      <c r="H4625" s="120">
        <f t="shared" si="2435"/>
        <v>0</v>
      </c>
      <c r="I4625" s="60">
        <f t="shared" si="2436"/>
        <v>0</v>
      </c>
      <c r="J4625" s="116">
        <f t="shared" si="2437"/>
        <v>0</v>
      </c>
      <c r="K4625" s="213">
        <f t="shared" si="2438"/>
        <v>0</v>
      </c>
      <c r="L4625" s="120"/>
      <c r="M4625" s="120">
        <f t="shared" si="2458"/>
        <v>0</v>
      </c>
      <c r="N4625" s="167">
        <f t="shared" si="2439"/>
        <v>0</v>
      </c>
      <c r="O4625" s="120">
        <f t="shared" si="2440"/>
        <v>0</v>
      </c>
      <c r="P4625" s="120">
        <f t="shared" si="2441"/>
        <v>0</v>
      </c>
      <c r="Q4625" s="120">
        <f t="shared" si="2442"/>
        <v>0</v>
      </c>
      <c r="R4625" s="120">
        <f t="shared" si="2459"/>
        <v>0</v>
      </c>
      <c r="S4625" s="120"/>
      <c r="T4625" s="221">
        <f t="shared" si="2460"/>
        <v>0</v>
      </c>
      <c r="U4625" s="89"/>
      <c r="V4625" s="61"/>
      <c r="W4625" s="92"/>
      <c r="X4625" s="38"/>
      <c r="Y4625" s="93"/>
      <c r="Z4625" s="134"/>
      <c r="AA4625" s="93"/>
      <c r="AB4625" s="93">
        <f t="shared" si="2443"/>
        <v>0</v>
      </c>
      <c r="AC4625" s="93">
        <f t="shared" si="2461"/>
        <v>9.9999999999999998E-20</v>
      </c>
      <c r="AD4625" s="94"/>
      <c r="AE4625" s="190"/>
      <c r="AF4625" s="191"/>
      <c r="AG4625" s="191"/>
      <c r="AH4625" s="191"/>
      <c r="AI4625" s="186"/>
      <c r="AK4625" s="171"/>
    </row>
    <row r="4626" spans="1:41" ht="20.100000000000001" customHeight="1" x14ac:dyDescent="0.25">
      <c r="A4626" s="277" t="s">
        <v>491</v>
      </c>
      <c r="B4626" s="278"/>
      <c r="C4626" s="64" t="s">
        <v>559</v>
      </c>
      <c r="D4626" s="46" t="s">
        <v>215</v>
      </c>
      <c r="E4626" s="114">
        <v>1.5499999999999998</v>
      </c>
      <c r="F4626" s="44">
        <v>91893</v>
      </c>
      <c r="G4626" s="44">
        <f t="shared" si="2434"/>
        <v>142434.15</v>
      </c>
      <c r="H4626" s="44">
        <f t="shared" si="2435"/>
        <v>26496.991793254907</v>
      </c>
      <c r="I4626" s="43">
        <f t="shared" si="2436"/>
        <v>41070.3372795451</v>
      </c>
      <c r="J4626" s="112">
        <f t="shared" si="2437"/>
        <v>1.5499999999999998</v>
      </c>
      <c r="K4626" s="211">
        <f t="shared" si="2438"/>
        <v>1.5499999999999998</v>
      </c>
      <c r="L4626" s="44"/>
      <c r="M4626" s="44">
        <f t="shared" si="2458"/>
        <v>1.5499999999999998</v>
      </c>
      <c r="N4626" s="173">
        <f t="shared" si="2439"/>
        <v>1</v>
      </c>
      <c r="O4626" s="44">
        <f t="shared" si="2440"/>
        <v>91893</v>
      </c>
      <c r="P4626" s="44">
        <f t="shared" si="2441"/>
        <v>142434.15</v>
      </c>
      <c r="Q4626" s="44">
        <f t="shared" si="2442"/>
        <v>26496.991793254907</v>
      </c>
      <c r="R4626" s="44">
        <f t="shared" si="2459"/>
        <v>41070.3372795451</v>
      </c>
      <c r="S4626" s="123"/>
      <c r="T4626" s="219">
        <f t="shared" si="2460"/>
        <v>41070.3372795451</v>
      </c>
      <c r="U4626" s="87"/>
      <c r="V4626" s="47"/>
      <c r="W4626" s="48"/>
      <c r="X4626" s="48"/>
      <c r="Y4626" s="48"/>
      <c r="Z4626" s="135"/>
      <c r="AA4626" s="49"/>
      <c r="AB4626" s="50">
        <f t="shared" si="2443"/>
        <v>26496.991793254907</v>
      </c>
      <c r="AC4626" s="42">
        <f t="shared" si="2461"/>
        <v>1.5499999999999998</v>
      </c>
      <c r="AD4626" s="90">
        <f>AD4627+AD4632+AD4644+AD4647</f>
        <v>41070.3372795451</v>
      </c>
      <c r="AE4626" s="188">
        <f t="shared" ref="AE4626:AH4626" si="3405">AE4627+AE4632+AE4644+AE4647</f>
        <v>0</v>
      </c>
      <c r="AF4626" s="189">
        <f t="shared" si="3405"/>
        <v>0</v>
      </c>
      <c r="AG4626" s="189">
        <f t="shared" si="3405"/>
        <v>0</v>
      </c>
      <c r="AH4626" s="189">
        <f t="shared" si="3405"/>
        <v>0</v>
      </c>
      <c r="AI4626" s="161">
        <f t="shared" ref="AI4626:AI4627" si="3406">SUM(AE4626:AH4626)</f>
        <v>0</v>
      </c>
      <c r="AK4626" s="169">
        <v>5</v>
      </c>
      <c r="AO4626" s="19" t="s">
        <v>63</v>
      </c>
    </row>
    <row r="4627" spans="1:41" s="103" customFormat="1" ht="19.899999999999999" customHeight="1" x14ac:dyDescent="0.25">
      <c r="A4627" s="51"/>
      <c r="B4627" s="52"/>
      <c r="C4627" s="165"/>
      <c r="D4627" s="52"/>
      <c r="E4627" s="115"/>
      <c r="F4627" s="58"/>
      <c r="G4627" s="58"/>
      <c r="H4627" s="58"/>
      <c r="I4627" s="55"/>
      <c r="J4627" s="113">
        <f>J4626</f>
        <v>1.5499999999999998</v>
      </c>
      <c r="K4627" s="212">
        <f>K4626</f>
        <v>1.5499999999999998</v>
      </c>
      <c r="L4627" s="58"/>
      <c r="M4627" s="58">
        <f>K4627-L4627</f>
        <v>1.5499999999999998</v>
      </c>
      <c r="N4627" s="166"/>
      <c r="O4627" s="58"/>
      <c r="P4627" s="58"/>
      <c r="Q4627" s="58"/>
      <c r="R4627" s="58"/>
      <c r="S4627" s="58"/>
      <c r="T4627" s="220"/>
      <c r="U4627" s="88"/>
      <c r="V4627" s="56"/>
      <c r="W4627" s="57" t="s">
        <v>1476</v>
      </c>
      <c r="X4627" s="53"/>
      <c r="Y4627" s="91" t="s">
        <v>35</v>
      </c>
      <c r="Z4627" s="136">
        <f>AD4627/AC4627</f>
        <v>291.40015058823536</v>
      </c>
      <c r="AA4627" s="58"/>
      <c r="AB4627" s="53">
        <f>AD4627/AC4627</f>
        <v>291.40015058823536</v>
      </c>
      <c r="AC4627" s="53">
        <f>M4627+$AE$10</f>
        <v>1.5499999999999998</v>
      </c>
      <c r="AD4627" s="54">
        <f>SUM(AD4628:AD4631)</f>
        <v>451.6702334117648</v>
      </c>
      <c r="AE4627" s="184">
        <f>SUMIFS($AD$37:$AD$12971,$V$37:$V$12971,$V4627,$X$37:$X$12971,AE$13)</f>
        <v>0</v>
      </c>
      <c r="AF4627" s="185">
        <f>SUMIFS($AD$37:$AD$12971,$V$37:$V$12971,$V4627,$X$37:$X$12971,AF$13)</f>
        <v>0</v>
      </c>
      <c r="AG4627" s="185">
        <f>SUMIFS($AD$37:$AD$12971,$V$37:$V$12971,$V4627,$X$37:$X$12971,AG$13)</f>
        <v>0</v>
      </c>
      <c r="AH4627" s="187">
        <f>SUMIFS($AD$37:$AD$12971,$V$37:$V$12971,$V4627,$X$37:$X$12971,AH$13)</f>
        <v>0</v>
      </c>
      <c r="AI4627" s="161">
        <f t="shared" si="3406"/>
        <v>0</v>
      </c>
      <c r="AK4627" s="172"/>
    </row>
    <row r="4628" spans="1:41" s="102" customFormat="1" ht="19.899999999999999" customHeight="1" x14ac:dyDescent="0.25">
      <c r="A4628" s="45"/>
      <c r="B4628" s="59"/>
      <c r="C4628" s="137"/>
      <c r="D4628" s="59"/>
      <c r="E4628" s="116"/>
      <c r="F4628" s="120"/>
      <c r="G4628" s="120"/>
      <c r="H4628" s="120"/>
      <c r="I4628" s="60"/>
      <c r="J4628" s="116"/>
      <c r="K4628" s="213"/>
      <c r="L4628" s="120"/>
      <c r="M4628" s="120"/>
      <c r="N4628" s="167"/>
      <c r="O4628" s="120"/>
      <c r="P4628" s="120"/>
      <c r="Q4628" s="120"/>
      <c r="R4628" s="120"/>
      <c r="S4628" s="120"/>
      <c r="T4628" s="221"/>
      <c r="U4628" s="89"/>
      <c r="V4628" s="61"/>
      <c r="W4628" s="92" t="s">
        <v>129</v>
      </c>
      <c r="X4628" s="93" t="s">
        <v>29</v>
      </c>
      <c r="Y4628" s="93" t="s">
        <v>93</v>
      </c>
      <c r="Z4628" s="134">
        <f>VLOOKUP(W4628,Sheet2!$B:$D,3,FALSE)</f>
        <v>56</v>
      </c>
      <c r="AA4628" s="93">
        <f>100/(3.45*6*3.5)</f>
        <v>1.3802622498274668</v>
      </c>
      <c r="AB4628" s="93">
        <f t="shared" ref="AB4628" si="3407">AD4628/AC4627</f>
        <v>40.572000000000017</v>
      </c>
      <c r="AC4628" s="93">
        <f>AC4627/AA4628</f>
        <v>1.1229750000000003</v>
      </c>
      <c r="AD4628" s="94">
        <f t="shared" ref="AD4628:AD4629" si="3408">AC4628*Z4628</f>
        <v>62.886600000000016</v>
      </c>
      <c r="AE4628" s="190"/>
      <c r="AF4628" s="191"/>
      <c r="AG4628" s="191"/>
      <c r="AH4628" s="191"/>
      <c r="AI4628" s="186"/>
      <c r="AK4628" s="171"/>
    </row>
    <row r="4629" spans="1:41" s="102" customFormat="1" ht="19.899999999999999" customHeight="1" x14ac:dyDescent="0.25">
      <c r="A4629" s="45"/>
      <c r="B4629" s="59"/>
      <c r="C4629" s="137"/>
      <c r="D4629" s="59"/>
      <c r="E4629" s="116"/>
      <c r="F4629" s="120"/>
      <c r="G4629" s="120"/>
      <c r="H4629" s="120"/>
      <c r="I4629" s="60"/>
      <c r="J4629" s="116"/>
      <c r="K4629" s="213"/>
      <c r="L4629" s="120"/>
      <c r="M4629" s="120"/>
      <c r="N4629" s="167"/>
      <c r="O4629" s="120"/>
      <c r="P4629" s="120"/>
      <c r="Q4629" s="120"/>
      <c r="R4629" s="120"/>
      <c r="S4629" s="120"/>
      <c r="T4629" s="221"/>
      <c r="U4629" s="89"/>
      <c r="V4629" s="61"/>
      <c r="W4629" s="92" t="s">
        <v>65</v>
      </c>
      <c r="X4629" s="93" t="s">
        <v>30</v>
      </c>
      <c r="Y4629" s="93" t="s">
        <v>1011</v>
      </c>
      <c r="Z4629" s="134">
        <f>VLOOKUP(W4629,Sheet2!$B:$D,3,FALSE)</f>
        <v>1.76</v>
      </c>
      <c r="AA4629" s="93">
        <f>AA4628/14</f>
        <v>9.8590160701961915E-2</v>
      </c>
      <c r="AB4629" s="93">
        <f>AD4629/AC4627</f>
        <v>17.851680000000005</v>
      </c>
      <c r="AC4629" s="93">
        <f>AC4627/AA4629</f>
        <v>15.721650000000002</v>
      </c>
      <c r="AD4629" s="94">
        <f t="shared" si="3408"/>
        <v>27.670104000000006</v>
      </c>
      <c r="AE4629" s="190"/>
      <c r="AF4629" s="191"/>
      <c r="AG4629" s="191"/>
      <c r="AH4629" s="191"/>
      <c r="AI4629" s="186"/>
      <c r="AK4629" s="171"/>
    </row>
    <row r="4630" spans="1:41" s="102" customFormat="1" ht="19.899999999999999" customHeight="1" x14ac:dyDescent="0.25">
      <c r="A4630" s="45"/>
      <c r="B4630" s="59"/>
      <c r="C4630" s="137"/>
      <c r="D4630" s="59"/>
      <c r="E4630" s="116"/>
      <c r="F4630" s="120"/>
      <c r="G4630" s="120"/>
      <c r="H4630" s="120"/>
      <c r="I4630" s="60"/>
      <c r="J4630" s="116"/>
      <c r="K4630" s="213"/>
      <c r="L4630" s="120"/>
      <c r="M4630" s="120"/>
      <c r="N4630" s="167"/>
      <c r="O4630" s="120"/>
      <c r="P4630" s="120"/>
      <c r="Q4630" s="120"/>
      <c r="R4630" s="120"/>
      <c r="S4630" s="120"/>
      <c r="T4630" s="221"/>
      <c r="U4630" s="89"/>
      <c r="V4630" s="61"/>
      <c r="W4630" s="92" t="s">
        <v>161</v>
      </c>
      <c r="X4630" s="93" t="s">
        <v>29</v>
      </c>
      <c r="Y4630" s="93" t="s">
        <v>93</v>
      </c>
      <c r="Z4630" s="134">
        <f>VLOOKUP(W4630,Sheet2!$B:$D,3,FALSE)</f>
        <v>48</v>
      </c>
      <c r="AA4630" s="93">
        <f>(16*0.85*1.5)/(3.45*6*3.5)</f>
        <v>0.28157349896480321</v>
      </c>
      <c r="AB4630" s="93">
        <f>AD4630/AC4627</f>
        <v>170.47058823529414</v>
      </c>
      <c r="AC4630" s="93">
        <f>AC4627/AA4630</f>
        <v>5.5047794117647069</v>
      </c>
      <c r="AD4630" s="94">
        <f>AC4630*Z4630</f>
        <v>264.2294117647059</v>
      </c>
      <c r="AE4630" s="190"/>
      <c r="AF4630" s="191"/>
      <c r="AG4630" s="191"/>
      <c r="AH4630" s="191"/>
      <c r="AI4630" s="186"/>
      <c r="AK4630" s="171"/>
    </row>
    <row r="4631" spans="1:41" s="102" customFormat="1" ht="19.899999999999999" customHeight="1" x14ac:dyDescent="0.25">
      <c r="A4631" s="45"/>
      <c r="B4631" s="59"/>
      <c r="C4631" s="137"/>
      <c r="D4631" s="59"/>
      <c r="E4631" s="116"/>
      <c r="F4631" s="120"/>
      <c r="G4631" s="120"/>
      <c r="H4631" s="120"/>
      <c r="I4631" s="60"/>
      <c r="J4631" s="116"/>
      <c r="K4631" s="213"/>
      <c r="L4631" s="120"/>
      <c r="M4631" s="120"/>
      <c r="N4631" s="167"/>
      <c r="O4631" s="120"/>
      <c r="P4631" s="120"/>
      <c r="Q4631" s="120"/>
      <c r="R4631" s="120"/>
      <c r="S4631" s="120"/>
      <c r="T4631" s="221"/>
      <c r="U4631" s="89"/>
      <c r="V4631" s="61"/>
      <c r="W4631" s="92" t="s">
        <v>65</v>
      </c>
      <c r="X4631" s="93" t="s">
        <v>30</v>
      </c>
      <c r="Y4631" s="93" t="s">
        <v>1011</v>
      </c>
      <c r="Z4631" s="134">
        <f>VLOOKUP(W4631,Sheet2!$B:$D,3,FALSE)</f>
        <v>1.76</v>
      </c>
      <c r="AA4631" s="93">
        <f>AA4630/10</f>
        <v>2.8157349896480322E-2</v>
      </c>
      <c r="AB4631" s="93">
        <f>AD4631/AC4627</f>
        <v>62.5058823529412</v>
      </c>
      <c r="AC4631" s="93">
        <f>AC4627/AA4631</f>
        <v>55.047794117647072</v>
      </c>
      <c r="AD4631" s="94">
        <f>AC4631*Z4631</f>
        <v>96.884117647058844</v>
      </c>
      <c r="AE4631" s="190"/>
      <c r="AF4631" s="191"/>
      <c r="AG4631" s="191"/>
      <c r="AH4631" s="191"/>
      <c r="AI4631" s="186"/>
      <c r="AK4631" s="171"/>
    </row>
    <row r="4632" spans="1:41" s="103" customFormat="1" ht="19.899999999999999" customHeight="1" x14ac:dyDescent="0.25">
      <c r="A4632" s="51"/>
      <c r="B4632" s="52"/>
      <c r="C4632" s="165"/>
      <c r="D4632" s="52"/>
      <c r="E4632" s="115"/>
      <c r="F4632" s="58"/>
      <c r="G4632" s="58"/>
      <c r="H4632" s="58"/>
      <c r="I4632" s="55"/>
      <c r="J4632" s="113">
        <f>J4626</f>
        <v>1.5499999999999998</v>
      </c>
      <c r="K4632" s="212">
        <f>K4626</f>
        <v>1.5499999999999998</v>
      </c>
      <c r="L4632" s="58"/>
      <c r="M4632" s="58">
        <f>K4632-L4632</f>
        <v>1.5499999999999998</v>
      </c>
      <c r="N4632" s="166"/>
      <c r="O4632" s="58"/>
      <c r="P4632" s="58"/>
      <c r="Q4632" s="58"/>
      <c r="R4632" s="58"/>
      <c r="S4632" s="58"/>
      <c r="T4632" s="220"/>
      <c r="U4632" s="88"/>
      <c r="V4632" s="56"/>
      <c r="W4632" s="57" t="s">
        <v>1352</v>
      </c>
      <c r="X4632" s="53"/>
      <c r="Y4632" s="91" t="s">
        <v>35</v>
      </c>
      <c r="Z4632" s="136">
        <f>AD4632/AC4632</f>
        <v>21739.600000000002</v>
      </c>
      <c r="AA4632" s="58"/>
      <c r="AB4632" s="53">
        <f>AD4632/AC4632</f>
        <v>21739.600000000002</v>
      </c>
      <c r="AC4632" s="53">
        <f>M4632+$AE$10</f>
        <v>1.5499999999999998</v>
      </c>
      <c r="AD4632" s="54">
        <f>SUM(AD4633:AD4643)</f>
        <v>33696.379999999997</v>
      </c>
      <c r="AE4632" s="184">
        <f>SUMIFS($AD$37:$AD$12971,$V$37:$V$12971,$V4632,$X$37:$X$12971,AE$13)</f>
        <v>0</v>
      </c>
      <c r="AF4632" s="185">
        <f>SUMIFS($AD$37:$AD$12971,$V$37:$V$12971,$V4632,$X$37:$X$12971,AF$13)</f>
        <v>0</v>
      </c>
      <c r="AG4632" s="185">
        <f>SUMIFS($AD$37:$AD$12971,$V$37:$V$12971,$V4632,$X$37:$X$12971,AG$13)</f>
        <v>0</v>
      </c>
      <c r="AH4632" s="187">
        <f>SUMIFS($AD$37:$AD$12971,$V$37:$V$12971,$V4632,$X$37:$X$12971,AH$13)</f>
        <v>0</v>
      </c>
      <c r="AI4632" s="161">
        <f t="shared" ref="AI4632" si="3409">SUM(AE4632:AH4632)</f>
        <v>0</v>
      </c>
      <c r="AK4632" s="172"/>
    </row>
    <row r="4633" spans="1:41" s="102" customFormat="1" ht="19.899999999999999" customHeight="1" x14ac:dyDescent="0.25">
      <c r="A4633" s="45"/>
      <c r="B4633" s="59"/>
      <c r="C4633" s="137"/>
      <c r="D4633" s="59"/>
      <c r="E4633" s="116"/>
      <c r="F4633" s="120"/>
      <c r="G4633" s="120"/>
      <c r="H4633" s="120"/>
      <c r="I4633" s="60"/>
      <c r="J4633" s="116"/>
      <c r="K4633" s="213"/>
      <c r="L4633" s="120"/>
      <c r="M4633" s="120"/>
      <c r="N4633" s="167"/>
      <c r="O4633" s="120"/>
      <c r="P4633" s="120"/>
      <c r="Q4633" s="120"/>
      <c r="R4633" s="120"/>
      <c r="S4633" s="120"/>
      <c r="T4633" s="221"/>
      <c r="U4633" s="89"/>
      <c r="V4633" s="61"/>
      <c r="W4633" s="92" t="s">
        <v>1032</v>
      </c>
      <c r="X4633" s="93" t="s">
        <v>30</v>
      </c>
      <c r="Y4633" s="93" t="s">
        <v>66</v>
      </c>
      <c r="Z4633" s="134">
        <f>VLOOKUP(W4633,Sheet2!$B:$D,3,FALSE)</f>
        <v>250</v>
      </c>
      <c r="AA4633" s="93">
        <f>1/(3.45*6*0.1)</f>
        <v>0.48309178743961345</v>
      </c>
      <c r="AB4633" s="93">
        <f t="shared" ref="AB4633" si="3410">AD4633/AC4632</f>
        <v>517.50000000000011</v>
      </c>
      <c r="AC4633" s="93">
        <f>AC4632/AA4633</f>
        <v>3.2085000000000004</v>
      </c>
      <c r="AD4633" s="94">
        <f t="shared" ref="AD4633:AD4635" si="3411">AC4633*Z4633</f>
        <v>802.12500000000011</v>
      </c>
      <c r="AE4633" s="190"/>
      <c r="AF4633" s="191"/>
      <c r="AG4633" s="191"/>
      <c r="AH4633" s="191"/>
      <c r="AI4633" s="186"/>
      <c r="AK4633" s="171"/>
    </row>
    <row r="4634" spans="1:41" s="102" customFormat="1" ht="19.899999999999999" customHeight="1" x14ac:dyDescent="0.25">
      <c r="A4634" s="45"/>
      <c r="B4634" s="59"/>
      <c r="C4634" s="137"/>
      <c r="D4634" s="59"/>
      <c r="E4634" s="116"/>
      <c r="F4634" s="120"/>
      <c r="G4634" s="120"/>
      <c r="H4634" s="120"/>
      <c r="I4634" s="60"/>
      <c r="J4634" s="116"/>
      <c r="K4634" s="213"/>
      <c r="L4634" s="120"/>
      <c r="M4634" s="120"/>
      <c r="N4634" s="167"/>
      <c r="O4634" s="120"/>
      <c r="P4634" s="120"/>
      <c r="Q4634" s="120"/>
      <c r="R4634" s="120"/>
      <c r="S4634" s="120"/>
      <c r="T4634" s="221"/>
      <c r="U4634" s="89"/>
      <c r="V4634" s="61"/>
      <c r="W4634" s="92" t="s">
        <v>1353</v>
      </c>
      <c r="X4634" s="93" t="s">
        <v>30</v>
      </c>
      <c r="Y4634" s="93" t="s">
        <v>66</v>
      </c>
      <c r="Z4634" s="134">
        <f>VLOOKUP(W4634,Sheet2!$B:$D,3,FALSE)</f>
        <v>350</v>
      </c>
      <c r="AA4634" s="93">
        <f>1/((2.45*3*0.3*2)+(5*3*0.3*2)+(2.45*5*0.3))</f>
        <v>5.8530875036581796E-2</v>
      </c>
      <c r="AB4634" s="93">
        <f>AD4634/AC4632</f>
        <v>5979.75</v>
      </c>
      <c r="AC4634" s="93">
        <f>AC4632/AA4634</f>
        <v>26.481749999999998</v>
      </c>
      <c r="AD4634" s="94">
        <f t="shared" si="3411"/>
        <v>9268.6124999999993</v>
      </c>
      <c r="AE4634" s="190"/>
      <c r="AF4634" s="191"/>
      <c r="AG4634" s="191"/>
      <c r="AH4634" s="191"/>
      <c r="AI4634" s="186"/>
      <c r="AK4634" s="171"/>
    </row>
    <row r="4635" spans="1:41" s="102" customFormat="1" ht="19.899999999999999" customHeight="1" x14ac:dyDescent="0.25">
      <c r="A4635" s="45"/>
      <c r="B4635" s="59"/>
      <c r="C4635" s="137"/>
      <c r="D4635" s="59"/>
      <c r="E4635" s="116"/>
      <c r="F4635" s="120"/>
      <c r="G4635" s="120"/>
      <c r="H4635" s="120"/>
      <c r="I4635" s="60"/>
      <c r="J4635" s="116"/>
      <c r="K4635" s="213"/>
      <c r="L4635" s="120"/>
      <c r="M4635" s="120"/>
      <c r="N4635" s="167"/>
      <c r="O4635" s="120"/>
      <c r="P4635" s="120"/>
      <c r="Q4635" s="120"/>
      <c r="R4635" s="120"/>
      <c r="S4635" s="120"/>
      <c r="T4635" s="221"/>
      <c r="U4635" s="89"/>
      <c r="V4635" s="61"/>
      <c r="W4635" s="92" t="s">
        <v>99</v>
      </c>
      <c r="X4635" s="93" t="s">
        <v>30</v>
      </c>
      <c r="Y4635" s="93" t="s">
        <v>67</v>
      </c>
      <c r="Z4635" s="134">
        <f>VLOOKUP(W4635,Sheet2!$B:$D,3,FALSE)</f>
        <v>2500</v>
      </c>
      <c r="AA4635" s="93">
        <f>AA4634/0.08</f>
        <v>0.73163593795727244</v>
      </c>
      <c r="AB4635" s="93">
        <f>AD4635/AC4632</f>
        <v>3417</v>
      </c>
      <c r="AC4635" s="93">
        <f>AC4632/AA4635</f>
        <v>2.1185399999999999</v>
      </c>
      <c r="AD4635" s="94">
        <f t="shared" si="3411"/>
        <v>5296.3499999999995</v>
      </c>
      <c r="AE4635" s="190"/>
      <c r="AF4635" s="191"/>
      <c r="AG4635" s="191"/>
      <c r="AH4635" s="191"/>
      <c r="AI4635" s="186"/>
      <c r="AK4635" s="171"/>
    </row>
    <row r="4636" spans="1:41" s="102" customFormat="1" ht="19.899999999999999" customHeight="1" x14ac:dyDescent="0.25">
      <c r="A4636" s="45"/>
      <c r="B4636" s="59"/>
      <c r="C4636" s="137"/>
      <c r="D4636" s="59"/>
      <c r="E4636" s="116"/>
      <c r="F4636" s="120"/>
      <c r="G4636" s="120"/>
      <c r="H4636" s="120"/>
      <c r="I4636" s="60"/>
      <c r="J4636" s="116"/>
      <c r="K4636" s="213"/>
      <c r="L4636" s="120"/>
      <c r="M4636" s="120"/>
      <c r="N4636" s="167"/>
      <c r="O4636" s="120"/>
      <c r="P4636" s="120"/>
      <c r="Q4636" s="120"/>
      <c r="R4636" s="120"/>
      <c r="S4636" s="120"/>
      <c r="T4636" s="221"/>
      <c r="U4636" s="89"/>
      <c r="V4636" s="61"/>
      <c r="W4636" s="92" t="s">
        <v>1354</v>
      </c>
      <c r="X4636" s="93" t="s">
        <v>32</v>
      </c>
      <c r="Y4636" s="93" t="s">
        <v>66</v>
      </c>
      <c r="Z4636" s="134">
        <f>VLOOKUP(W4636,Sheet2!$B:$D,3,FALSE)</f>
        <v>150</v>
      </c>
      <c r="AA4636" s="93">
        <f>AA4633</f>
        <v>0.48309178743961345</v>
      </c>
      <c r="AB4636" s="93">
        <f>AD4636/AC4632</f>
        <v>310.50000000000006</v>
      </c>
      <c r="AC4636" s="93">
        <f>AC4632/AA4636</f>
        <v>3.2085000000000004</v>
      </c>
      <c r="AD4636" s="94">
        <f>AC4636*Z4636</f>
        <v>481.27500000000003</v>
      </c>
      <c r="AE4636" s="190"/>
      <c r="AF4636" s="191"/>
      <c r="AG4636" s="191"/>
      <c r="AH4636" s="191"/>
      <c r="AI4636" s="186"/>
      <c r="AK4636" s="171"/>
    </row>
    <row r="4637" spans="1:41" s="102" customFormat="1" ht="19.899999999999999" customHeight="1" x14ac:dyDescent="0.25">
      <c r="A4637" s="45"/>
      <c r="B4637" s="59"/>
      <c r="C4637" s="137"/>
      <c r="D4637" s="59"/>
      <c r="E4637" s="116"/>
      <c r="F4637" s="120"/>
      <c r="G4637" s="120"/>
      <c r="H4637" s="120"/>
      <c r="I4637" s="60"/>
      <c r="J4637" s="116"/>
      <c r="K4637" s="213"/>
      <c r="L4637" s="120"/>
      <c r="M4637" s="120"/>
      <c r="N4637" s="167"/>
      <c r="O4637" s="120"/>
      <c r="P4637" s="120"/>
      <c r="Q4637" s="120"/>
      <c r="R4637" s="120"/>
      <c r="S4637" s="120"/>
      <c r="T4637" s="221"/>
      <c r="U4637" s="89"/>
      <c r="V4637" s="61"/>
      <c r="W4637" s="92" t="s">
        <v>1355</v>
      </c>
      <c r="X4637" s="93" t="s">
        <v>32</v>
      </c>
      <c r="Y4637" s="93" t="s">
        <v>66</v>
      </c>
      <c r="Z4637" s="134">
        <f>VLOOKUP(W4637,Sheet2!$B:$D,3,FALSE)</f>
        <v>450</v>
      </c>
      <c r="AA4637" s="93">
        <f>AA4634</f>
        <v>5.8530875036581796E-2</v>
      </c>
      <c r="AB4637" s="93">
        <f>AD4637/AC4632</f>
        <v>7688.25</v>
      </c>
      <c r="AC4637" s="93">
        <f>AC4632/AA4637</f>
        <v>26.481749999999998</v>
      </c>
      <c r="AD4637" s="94">
        <f>AC4637*Z4637</f>
        <v>11916.787499999999</v>
      </c>
      <c r="AE4637" s="190"/>
      <c r="AF4637" s="191"/>
      <c r="AG4637" s="191"/>
      <c r="AH4637" s="191"/>
      <c r="AI4637" s="186"/>
      <c r="AK4637" s="171"/>
    </row>
    <row r="4638" spans="1:41" s="102" customFormat="1" ht="19.899999999999999" customHeight="1" x14ac:dyDescent="0.25">
      <c r="A4638" s="45"/>
      <c r="B4638" s="59"/>
      <c r="C4638" s="137"/>
      <c r="D4638" s="59"/>
      <c r="E4638" s="116"/>
      <c r="F4638" s="120"/>
      <c r="G4638" s="120"/>
      <c r="H4638" s="120"/>
      <c r="I4638" s="60"/>
      <c r="J4638" s="116"/>
      <c r="K4638" s="213"/>
      <c r="L4638" s="120"/>
      <c r="M4638" s="120"/>
      <c r="N4638" s="167"/>
      <c r="O4638" s="120"/>
      <c r="P4638" s="120"/>
      <c r="Q4638" s="120"/>
      <c r="R4638" s="120"/>
      <c r="S4638" s="120"/>
      <c r="T4638" s="221"/>
      <c r="U4638" s="89"/>
      <c r="V4638" s="61"/>
      <c r="W4638" s="92" t="s">
        <v>1356</v>
      </c>
      <c r="X4638" s="93" t="s">
        <v>30</v>
      </c>
      <c r="Y4638" s="93" t="s">
        <v>35</v>
      </c>
      <c r="Z4638" s="134">
        <f>VLOOKUP(W4638,Sheet2!$B:$D,3,FALSE)</f>
        <v>3500</v>
      </c>
      <c r="AA4638" s="93">
        <v>1</v>
      </c>
      <c r="AB4638" s="93">
        <f>AD4638/AC4632</f>
        <v>3500</v>
      </c>
      <c r="AC4638" s="93">
        <f>AC4632/AA4638</f>
        <v>1.5499999999999998</v>
      </c>
      <c r="AD4638" s="94">
        <f t="shared" ref="AD4638:AD4639" si="3412">AC4638*Z4638</f>
        <v>5424.9999999999991</v>
      </c>
      <c r="AE4638" s="190"/>
      <c r="AF4638" s="191"/>
      <c r="AG4638" s="191"/>
      <c r="AH4638" s="191"/>
      <c r="AI4638" s="186"/>
      <c r="AK4638" s="171"/>
    </row>
    <row r="4639" spans="1:41" s="102" customFormat="1" ht="19.899999999999999" customHeight="1" x14ac:dyDescent="0.25">
      <c r="A4639" s="45"/>
      <c r="B4639" s="59"/>
      <c r="C4639" s="137"/>
      <c r="D4639" s="59"/>
      <c r="E4639" s="116"/>
      <c r="F4639" s="120"/>
      <c r="G4639" s="120"/>
      <c r="H4639" s="120"/>
      <c r="I4639" s="60"/>
      <c r="J4639" s="116"/>
      <c r="K4639" s="213"/>
      <c r="L4639" s="120"/>
      <c r="M4639" s="120"/>
      <c r="N4639" s="167"/>
      <c r="O4639" s="120"/>
      <c r="P4639" s="120"/>
      <c r="Q4639" s="120"/>
      <c r="R4639" s="120"/>
      <c r="S4639" s="120"/>
      <c r="T4639" s="221"/>
      <c r="U4639" s="89"/>
      <c r="V4639" s="61"/>
      <c r="W4639" s="92" t="s">
        <v>174</v>
      </c>
      <c r="X4639" s="93" t="s">
        <v>29</v>
      </c>
      <c r="Y4639" s="93" t="s">
        <v>93</v>
      </c>
      <c r="Z4639" s="134">
        <f>VLOOKUP(W4639,Sheet2!$B:$D,3,FALSE)</f>
        <v>80</v>
      </c>
      <c r="AA4639" s="93">
        <v>4</v>
      </c>
      <c r="AB4639" s="93">
        <f>AD4639/AC4632</f>
        <v>20</v>
      </c>
      <c r="AC4639" s="93">
        <f>AC4632/AA4639</f>
        <v>0.38749999999999996</v>
      </c>
      <c r="AD4639" s="94">
        <f t="shared" si="3412"/>
        <v>30.999999999999996</v>
      </c>
      <c r="AE4639" s="190"/>
      <c r="AF4639" s="191"/>
      <c r="AG4639" s="191"/>
      <c r="AH4639" s="191"/>
      <c r="AI4639" s="186"/>
      <c r="AK4639" s="171"/>
    </row>
    <row r="4640" spans="1:41" s="102" customFormat="1" ht="19.899999999999999" customHeight="1" x14ac:dyDescent="0.25">
      <c r="A4640" s="45"/>
      <c r="B4640" s="59"/>
      <c r="C4640" s="137"/>
      <c r="D4640" s="59"/>
      <c r="E4640" s="116"/>
      <c r="F4640" s="120"/>
      <c r="G4640" s="120"/>
      <c r="H4640" s="120"/>
      <c r="I4640" s="60"/>
      <c r="J4640" s="116"/>
      <c r="K4640" s="213"/>
      <c r="L4640" s="120"/>
      <c r="M4640" s="120"/>
      <c r="N4640" s="167"/>
      <c r="O4640" s="120"/>
      <c r="P4640" s="120"/>
      <c r="Q4640" s="120"/>
      <c r="R4640" s="120"/>
      <c r="S4640" s="120"/>
      <c r="T4640" s="221"/>
      <c r="U4640" s="89"/>
      <c r="V4640" s="61"/>
      <c r="W4640" s="92" t="s">
        <v>65</v>
      </c>
      <c r="X4640" s="93" t="s">
        <v>30</v>
      </c>
      <c r="Y4640" s="93" t="s">
        <v>93</v>
      </c>
      <c r="Z4640" s="134">
        <f>VLOOKUP(W4640,Sheet2!$B:$D,3,FALSE)</f>
        <v>1.76</v>
      </c>
      <c r="AA4640" s="93">
        <f>AA4639/15</f>
        <v>0.26666666666666666</v>
      </c>
      <c r="AB4640" s="93">
        <f>AD4640/AC4632</f>
        <v>6.6</v>
      </c>
      <c r="AC4640" s="93">
        <f>AC4632/AA4640</f>
        <v>5.8124999999999991</v>
      </c>
      <c r="AD4640" s="94">
        <f>AC4640*Z4640</f>
        <v>10.229999999999999</v>
      </c>
      <c r="AE4640" s="190"/>
      <c r="AF4640" s="191"/>
      <c r="AG4640" s="191"/>
      <c r="AH4640" s="191"/>
      <c r="AI4640" s="186"/>
      <c r="AK4640" s="171"/>
    </row>
    <row r="4641" spans="1:37" s="102" customFormat="1" ht="19.899999999999999" customHeight="1" x14ac:dyDescent="0.25">
      <c r="A4641" s="45"/>
      <c r="B4641" s="59"/>
      <c r="C4641" s="137"/>
      <c r="D4641" s="59"/>
      <c r="E4641" s="116"/>
      <c r="F4641" s="120"/>
      <c r="G4641" s="120"/>
      <c r="H4641" s="120"/>
      <c r="I4641" s="60"/>
      <c r="J4641" s="116"/>
      <c r="K4641" s="213"/>
      <c r="L4641" s="120"/>
      <c r="M4641" s="120"/>
      <c r="N4641" s="167"/>
      <c r="O4641" s="120"/>
      <c r="P4641" s="120"/>
      <c r="Q4641" s="120"/>
      <c r="R4641" s="120"/>
      <c r="S4641" s="120"/>
      <c r="T4641" s="221"/>
      <c r="U4641" s="89"/>
      <c r="V4641" s="61"/>
      <c r="W4641" s="92" t="s">
        <v>1357</v>
      </c>
      <c r="X4641" s="93" t="s">
        <v>30</v>
      </c>
      <c r="Y4641" s="93" t="s">
        <v>1349</v>
      </c>
      <c r="Z4641" s="134">
        <f>VLOOKUP(W4641,Sheet2!$B:$D,3,FALSE)</f>
        <v>150</v>
      </c>
      <c r="AA4641" s="93">
        <v>1</v>
      </c>
      <c r="AB4641" s="93">
        <f>AD4641/AC4632</f>
        <v>150</v>
      </c>
      <c r="AC4641" s="93">
        <f>AC4632/AA4641</f>
        <v>1.5499999999999998</v>
      </c>
      <c r="AD4641" s="94">
        <f>AC4641*Z4641</f>
        <v>232.49999999999997</v>
      </c>
      <c r="AE4641" s="190"/>
      <c r="AF4641" s="191"/>
      <c r="AG4641" s="191"/>
      <c r="AH4641" s="191"/>
      <c r="AI4641" s="186"/>
      <c r="AK4641" s="171"/>
    </row>
    <row r="4642" spans="1:37" s="102" customFormat="1" ht="19.899999999999999" customHeight="1" x14ac:dyDescent="0.25">
      <c r="A4642" s="45"/>
      <c r="B4642" s="59"/>
      <c r="C4642" s="137"/>
      <c r="D4642" s="59"/>
      <c r="E4642" s="116"/>
      <c r="F4642" s="120"/>
      <c r="G4642" s="120"/>
      <c r="H4642" s="120"/>
      <c r="I4642" s="60"/>
      <c r="J4642" s="116"/>
      <c r="K4642" s="213"/>
      <c r="L4642" s="120"/>
      <c r="M4642" s="120"/>
      <c r="N4642" s="167"/>
      <c r="O4642" s="120"/>
      <c r="P4642" s="120"/>
      <c r="Q4642" s="120"/>
      <c r="R4642" s="120"/>
      <c r="S4642" s="120"/>
      <c r="T4642" s="221"/>
      <c r="U4642" s="89"/>
      <c r="V4642" s="61"/>
      <c r="W4642" s="92" t="s">
        <v>107</v>
      </c>
      <c r="X4642" s="93" t="s">
        <v>31</v>
      </c>
      <c r="Y4642" s="93" t="s">
        <v>93</v>
      </c>
      <c r="Z4642" s="134">
        <f>VLOOKUP(W4642,Sheet2!$B:$D,3,FALSE)</f>
        <v>17</v>
      </c>
      <c r="AA4642" s="93">
        <f>1/5</f>
        <v>0.2</v>
      </c>
      <c r="AB4642" s="93">
        <f>AD4642/AC4632</f>
        <v>84.999999999999986</v>
      </c>
      <c r="AC4642" s="93">
        <f>AC4632/AA4642</f>
        <v>7.7499999999999991</v>
      </c>
      <c r="AD4642" s="94">
        <f>AC4642*Z4642</f>
        <v>131.74999999999997</v>
      </c>
      <c r="AE4642" s="190"/>
      <c r="AF4642" s="191"/>
      <c r="AG4642" s="191"/>
      <c r="AH4642" s="191"/>
      <c r="AI4642" s="186"/>
      <c r="AK4642" s="171"/>
    </row>
    <row r="4643" spans="1:37" s="102" customFormat="1" ht="19.899999999999999" customHeight="1" x14ac:dyDescent="0.25">
      <c r="A4643" s="45"/>
      <c r="B4643" s="59"/>
      <c r="C4643" s="137"/>
      <c r="D4643" s="59"/>
      <c r="E4643" s="116"/>
      <c r="F4643" s="120"/>
      <c r="G4643" s="120"/>
      <c r="H4643" s="120"/>
      <c r="I4643" s="60"/>
      <c r="J4643" s="116"/>
      <c r="K4643" s="213"/>
      <c r="L4643" s="120"/>
      <c r="M4643" s="120"/>
      <c r="N4643" s="167"/>
      <c r="O4643" s="120"/>
      <c r="P4643" s="120"/>
      <c r="Q4643" s="120"/>
      <c r="R4643" s="120"/>
      <c r="S4643" s="120"/>
      <c r="T4643" s="221"/>
      <c r="U4643" s="89"/>
      <c r="V4643" s="61"/>
      <c r="W4643" s="92" t="s">
        <v>112</v>
      </c>
      <c r="X4643" s="93" t="s">
        <v>31</v>
      </c>
      <c r="Y4643" s="93" t="s">
        <v>93</v>
      </c>
      <c r="Z4643" s="134">
        <f>VLOOKUP(W4643,Sheet2!$B:$D,3,FALSE)</f>
        <v>13</v>
      </c>
      <c r="AA4643" s="93">
        <f>AA4642</f>
        <v>0.2</v>
      </c>
      <c r="AB4643" s="93">
        <f>AD4643/AC4632</f>
        <v>65</v>
      </c>
      <c r="AC4643" s="93">
        <f>AC4632/AA4643</f>
        <v>7.7499999999999991</v>
      </c>
      <c r="AD4643" s="94">
        <f>AC4643*Z4643</f>
        <v>100.74999999999999</v>
      </c>
      <c r="AE4643" s="190"/>
      <c r="AF4643" s="191"/>
      <c r="AG4643" s="191"/>
      <c r="AH4643" s="191"/>
      <c r="AI4643" s="186"/>
      <c r="AK4643" s="171"/>
    </row>
    <row r="4644" spans="1:37" s="103" customFormat="1" ht="19.899999999999999" customHeight="1" x14ac:dyDescent="0.25">
      <c r="A4644" s="51"/>
      <c r="B4644" s="52"/>
      <c r="C4644" s="165"/>
      <c r="D4644" s="52"/>
      <c r="E4644" s="115"/>
      <c r="F4644" s="58"/>
      <c r="G4644" s="58"/>
      <c r="H4644" s="58"/>
      <c r="I4644" s="55"/>
      <c r="J4644" s="113">
        <f>J4626</f>
        <v>1.5499999999999998</v>
      </c>
      <c r="K4644" s="212">
        <f>K4626</f>
        <v>1.5499999999999998</v>
      </c>
      <c r="L4644" s="58"/>
      <c r="M4644" s="58">
        <f>K4644-L4644</f>
        <v>1.5499999999999998</v>
      </c>
      <c r="N4644" s="166"/>
      <c r="O4644" s="58"/>
      <c r="P4644" s="58"/>
      <c r="Q4644" s="58"/>
      <c r="R4644" s="58"/>
      <c r="S4644" s="58"/>
      <c r="T4644" s="220"/>
      <c r="U4644" s="88"/>
      <c r="V4644" s="56"/>
      <c r="W4644" s="57" t="s">
        <v>1358</v>
      </c>
      <c r="X4644" s="53"/>
      <c r="Y4644" s="91" t="s">
        <v>35</v>
      </c>
      <c r="Z4644" s="136">
        <f>AD4644/AC4644</f>
        <v>3920.0000000000005</v>
      </c>
      <c r="AA4644" s="58"/>
      <c r="AB4644" s="53">
        <f>AD4644/AC4644</f>
        <v>3920.0000000000005</v>
      </c>
      <c r="AC4644" s="53">
        <f>M4644+$AE$10</f>
        <v>1.5499999999999998</v>
      </c>
      <c r="AD4644" s="54">
        <f>SUM(AD4645:AD4646)</f>
        <v>6076</v>
      </c>
      <c r="AE4644" s="184">
        <f>SUMIFS($AD$37:$AD$12971,$V$37:$V$12971,$V4644,$X$37:$X$12971,AE$13)</f>
        <v>0</v>
      </c>
      <c r="AF4644" s="185">
        <f>SUMIFS($AD$37:$AD$12971,$V$37:$V$12971,$V4644,$X$37:$X$12971,AF$13)</f>
        <v>0</v>
      </c>
      <c r="AG4644" s="185">
        <f>SUMIFS($AD$37:$AD$12971,$V$37:$V$12971,$V4644,$X$37:$X$12971,AG$13)</f>
        <v>0</v>
      </c>
      <c r="AH4644" s="187">
        <f>SUMIFS($AD$37:$AD$12971,$V$37:$V$12971,$V4644,$X$37:$X$12971,AH$13)</f>
        <v>0</v>
      </c>
      <c r="AI4644" s="161">
        <f t="shared" ref="AI4644" si="3413">SUM(AE4644:AH4644)</f>
        <v>0</v>
      </c>
      <c r="AK4644" s="172"/>
    </row>
    <row r="4645" spans="1:37" s="102" customFormat="1" ht="19.899999999999999" customHeight="1" x14ac:dyDescent="0.25">
      <c r="A4645" s="45"/>
      <c r="B4645" s="59"/>
      <c r="C4645" s="137"/>
      <c r="D4645" s="59"/>
      <c r="E4645" s="116"/>
      <c r="F4645" s="120"/>
      <c r="G4645" s="120"/>
      <c r="H4645" s="120"/>
      <c r="I4645" s="60"/>
      <c r="J4645" s="116"/>
      <c r="K4645" s="213"/>
      <c r="L4645" s="120"/>
      <c r="M4645" s="120"/>
      <c r="N4645" s="167"/>
      <c r="O4645" s="120"/>
      <c r="P4645" s="120"/>
      <c r="Q4645" s="120"/>
      <c r="R4645" s="120"/>
      <c r="S4645" s="120"/>
      <c r="T4645" s="221"/>
      <c r="U4645" s="89"/>
      <c r="V4645" s="61"/>
      <c r="W4645" s="92" t="s">
        <v>1359</v>
      </c>
      <c r="X4645" s="93" t="s">
        <v>32</v>
      </c>
      <c r="Y4645" s="93" t="s">
        <v>64</v>
      </c>
      <c r="Z4645" s="134">
        <f>VLOOKUP(W4645,Sheet2!$B:$D,3,FALSE)</f>
        <v>40</v>
      </c>
      <c r="AA4645" s="93">
        <f>1/56</f>
        <v>1.7857142857142856E-2</v>
      </c>
      <c r="AB4645" s="93">
        <f t="shared" ref="AB4645" si="3414">AD4645/AC4644</f>
        <v>2240.0000000000005</v>
      </c>
      <c r="AC4645" s="93">
        <f>AC4644/AA4645</f>
        <v>86.8</v>
      </c>
      <c r="AD4645" s="94">
        <f t="shared" ref="AD4645:AD4646" si="3415">AC4645*Z4645</f>
        <v>3472</v>
      </c>
      <c r="AE4645" s="190"/>
      <c r="AF4645" s="191"/>
      <c r="AG4645" s="191"/>
      <c r="AH4645" s="191"/>
      <c r="AI4645" s="186"/>
      <c r="AK4645" s="171"/>
    </row>
    <row r="4646" spans="1:37" s="102" customFormat="1" ht="19.899999999999999" customHeight="1" x14ac:dyDescent="0.25">
      <c r="A4646" s="45"/>
      <c r="B4646" s="59"/>
      <c r="C4646" s="137"/>
      <c r="D4646" s="59"/>
      <c r="E4646" s="116"/>
      <c r="F4646" s="120"/>
      <c r="G4646" s="120"/>
      <c r="H4646" s="120"/>
      <c r="I4646" s="60"/>
      <c r="J4646" s="116"/>
      <c r="K4646" s="213"/>
      <c r="L4646" s="120"/>
      <c r="M4646" s="120"/>
      <c r="N4646" s="167"/>
      <c r="O4646" s="120"/>
      <c r="P4646" s="120"/>
      <c r="Q4646" s="120"/>
      <c r="R4646" s="120"/>
      <c r="S4646" s="120"/>
      <c r="T4646" s="221"/>
      <c r="U4646" s="89"/>
      <c r="V4646" s="61"/>
      <c r="W4646" s="92" t="s">
        <v>1360</v>
      </c>
      <c r="X4646" s="93" t="s">
        <v>32</v>
      </c>
      <c r="Y4646" s="93" t="s">
        <v>64</v>
      </c>
      <c r="Z4646" s="134">
        <f>VLOOKUP(W4646,Sheet2!$B:$D,3,FALSE)</f>
        <v>30</v>
      </c>
      <c r="AA4646" s="93">
        <f>AA4645</f>
        <v>1.7857142857142856E-2</v>
      </c>
      <c r="AB4646" s="93">
        <f>AD4646/AC4644</f>
        <v>1680.0000000000002</v>
      </c>
      <c r="AC4646" s="93">
        <f>AC4644/AA4646</f>
        <v>86.8</v>
      </c>
      <c r="AD4646" s="94">
        <f t="shared" si="3415"/>
        <v>2604</v>
      </c>
      <c r="AE4646" s="190"/>
      <c r="AF4646" s="191"/>
      <c r="AG4646" s="191"/>
      <c r="AH4646" s="191"/>
      <c r="AI4646" s="186"/>
      <c r="AK4646" s="171"/>
    </row>
    <row r="4647" spans="1:37" s="103" customFormat="1" ht="19.899999999999999" customHeight="1" x14ac:dyDescent="0.25">
      <c r="A4647" s="51"/>
      <c r="B4647" s="52"/>
      <c r="C4647" s="165"/>
      <c r="D4647" s="52"/>
      <c r="E4647" s="115"/>
      <c r="F4647" s="58"/>
      <c r="G4647" s="58"/>
      <c r="H4647" s="58"/>
      <c r="I4647" s="55"/>
      <c r="J4647" s="113">
        <f>J4626</f>
        <v>1.5499999999999998</v>
      </c>
      <c r="K4647" s="212">
        <f>K4626</f>
        <v>1.5499999999999998</v>
      </c>
      <c r="L4647" s="58"/>
      <c r="M4647" s="58">
        <f>K4647-L4647</f>
        <v>1.5499999999999998</v>
      </c>
      <c r="N4647" s="166"/>
      <c r="O4647" s="58"/>
      <c r="P4647" s="58"/>
      <c r="Q4647" s="58"/>
      <c r="R4647" s="58"/>
      <c r="S4647" s="58"/>
      <c r="T4647" s="220"/>
      <c r="U4647" s="88"/>
      <c r="V4647" s="56"/>
      <c r="W4647" s="57" t="s">
        <v>1272</v>
      </c>
      <c r="X4647" s="53"/>
      <c r="Y4647" s="91" t="s">
        <v>35</v>
      </c>
      <c r="Z4647" s="136">
        <f>AD4647/AC4647</f>
        <v>545.99164266666673</v>
      </c>
      <c r="AA4647" s="58"/>
      <c r="AB4647" s="53">
        <f>AD4647/AC4647</f>
        <v>545.99164266666673</v>
      </c>
      <c r="AC4647" s="53">
        <f>M4647+$AE$10</f>
        <v>1.5499999999999998</v>
      </c>
      <c r="AD4647" s="54">
        <f>SUM(AD4648:AD4656)</f>
        <v>846.28704613333332</v>
      </c>
      <c r="AE4647" s="184">
        <f>SUMIFS($AD$37:$AD$12971,$V$37:$V$12971,$V4647,$X$37:$X$12971,AE$13)</f>
        <v>0</v>
      </c>
      <c r="AF4647" s="185">
        <f>SUMIFS($AD$37:$AD$12971,$V$37:$V$12971,$V4647,$X$37:$X$12971,AF$13)</f>
        <v>0</v>
      </c>
      <c r="AG4647" s="185">
        <f>SUMIFS($AD$37:$AD$12971,$V$37:$V$12971,$V4647,$X$37:$X$12971,AG$13)</f>
        <v>0</v>
      </c>
      <c r="AH4647" s="187">
        <f>SUMIFS($AD$37:$AD$12971,$V$37:$V$12971,$V4647,$X$37:$X$12971,AH$13)</f>
        <v>0</v>
      </c>
      <c r="AI4647" s="161">
        <f t="shared" ref="AI4647" si="3416">SUM(AE4647:AH4647)</f>
        <v>0</v>
      </c>
      <c r="AK4647" s="172"/>
    </row>
    <row r="4648" spans="1:37" s="102" customFormat="1" ht="19.899999999999999" customHeight="1" x14ac:dyDescent="0.25">
      <c r="A4648" s="45"/>
      <c r="B4648" s="59"/>
      <c r="C4648" s="137"/>
      <c r="D4648" s="59"/>
      <c r="E4648" s="116"/>
      <c r="F4648" s="120"/>
      <c r="G4648" s="120"/>
      <c r="H4648" s="120"/>
      <c r="I4648" s="60"/>
      <c r="J4648" s="116"/>
      <c r="K4648" s="213"/>
      <c r="L4648" s="120"/>
      <c r="M4648" s="120"/>
      <c r="N4648" s="167"/>
      <c r="O4648" s="120"/>
      <c r="P4648" s="120"/>
      <c r="Q4648" s="120"/>
      <c r="R4648" s="120"/>
      <c r="S4648" s="120"/>
      <c r="T4648" s="221"/>
      <c r="U4648" s="89"/>
      <c r="V4648" s="61"/>
      <c r="W4648" s="92" t="s">
        <v>1273</v>
      </c>
      <c r="X4648" s="93" t="s">
        <v>30</v>
      </c>
      <c r="Y4648" s="93" t="s">
        <v>66</v>
      </c>
      <c r="Z4648" s="134">
        <f>VLOOKUP(W4648,Sheet2!$B:$D,3,FALSE)</f>
        <v>10</v>
      </c>
      <c r="AA4648" s="93">
        <f>1/((6*3.4*0.5*2)+(2.45*3.4*0.5*2))</f>
        <v>3.4806822137138885E-2</v>
      </c>
      <c r="AB4648" s="93">
        <f>AD4648/AC4647</f>
        <v>287.29999999999995</v>
      </c>
      <c r="AC4648" s="93">
        <f>AC4647/AA4648</f>
        <v>44.531499999999987</v>
      </c>
      <c r="AD4648" s="94">
        <f t="shared" ref="AD4648:AD4650" si="3417">AC4648*Z4648</f>
        <v>445.31499999999988</v>
      </c>
      <c r="AE4648" s="190"/>
      <c r="AF4648" s="191"/>
      <c r="AG4648" s="191"/>
      <c r="AH4648" s="191"/>
      <c r="AI4648" s="186"/>
      <c r="AK4648" s="171"/>
    </row>
    <row r="4649" spans="1:37" s="102" customFormat="1" ht="19.899999999999999" customHeight="1" x14ac:dyDescent="0.25">
      <c r="A4649" s="45"/>
      <c r="B4649" s="59"/>
      <c r="C4649" s="137"/>
      <c r="D4649" s="59"/>
      <c r="E4649" s="116"/>
      <c r="F4649" s="120"/>
      <c r="G4649" s="120"/>
      <c r="H4649" s="120"/>
      <c r="I4649" s="60"/>
      <c r="J4649" s="116"/>
      <c r="K4649" s="213"/>
      <c r="L4649" s="120"/>
      <c r="M4649" s="120"/>
      <c r="N4649" s="167"/>
      <c r="O4649" s="120"/>
      <c r="P4649" s="120"/>
      <c r="Q4649" s="120"/>
      <c r="R4649" s="120"/>
      <c r="S4649" s="120"/>
      <c r="T4649" s="221"/>
      <c r="U4649" s="89"/>
      <c r="V4649" s="61"/>
      <c r="W4649" s="92" t="s">
        <v>134</v>
      </c>
      <c r="X4649" s="93" t="s">
        <v>29</v>
      </c>
      <c r="Y4649" s="93" t="s">
        <v>93</v>
      </c>
      <c r="Z4649" s="134">
        <f>VLOOKUP(W4649,Sheet2!$B:$D,3,FALSE)</f>
        <v>65.599999999999994</v>
      </c>
      <c r="AA4649" s="93">
        <f>100/((6*3.4*0.5*2)+(2.45*3.4*0.5*2))</f>
        <v>3.4806822137138882</v>
      </c>
      <c r="AB4649" s="93">
        <f t="shared" ref="AB4649" si="3418">AD4649/AC4647</f>
        <v>18.846879999999995</v>
      </c>
      <c r="AC4649" s="93">
        <f>AC4647/AA4649</f>
        <v>0.44531499999999991</v>
      </c>
      <c r="AD4649" s="94">
        <f t="shared" si="3417"/>
        <v>29.21266399999999</v>
      </c>
      <c r="AE4649" s="190"/>
      <c r="AF4649" s="191"/>
      <c r="AG4649" s="191"/>
      <c r="AH4649" s="191"/>
      <c r="AI4649" s="186"/>
      <c r="AK4649" s="171"/>
    </row>
    <row r="4650" spans="1:37" s="102" customFormat="1" ht="19.899999999999999" customHeight="1" x14ac:dyDescent="0.25">
      <c r="A4650" s="45"/>
      <c r="B4650" s="59"/>
      <c r="C4650" s="137"/>
      <c r="D4650" s="59"/>
      <c r="E4650" s="116"/>
      <c r="F4650" s="120"/>
      <c r="G4650" s="120"/>
      <c r="H4650" s="120"/>
      <c r="I4650" s="60"/>
      <c r="J4650" s="116"/>
      <c r="K4650" s="213"/>
      <c r="L4650" s="120"/>
      <c r="M4650" s="120"/>
      <c r="N4650" s="167"/>
      <c r="O4650" s="120"/>
      <c r="P4650" s="120"/>
      <c r="Q4650" s="120"/>
      <c r="R4650" s="120"/>
      <c r="S4650" s="120"/>
      <c r="T4650" s="221"/>
      <c r="U4650" s="89"/>
      <c r="V4650" s="61"/>
      <c r="W4650" s="92" t="s">
        <v>65</v>
      </c>
      <c r="X4650" s="93" t="s">
        <v>30</v>
      </c>
      <c r="Y4650" s="93" t="s">
        <v>1011</v>
      </c>
      <c r="Z4650" s="134">
        <f>VLOOKUP(W4650,Sheet2!$B:$D,3,FALSE)</f>
        <v>1.76</v>
      </c>
      <c r="AA4650" s="93">
        <f>AA4649/9</f>
        <v>0.38674246819043201</v>
      </c>
      <c r="AB4650" s="93">
        <f>AD4650/AC4647</f>
        <v>4.5508319999999998</v>
      </c>
      <c r="AC4650" s="93">
        <f>AC4647/AA4650</f>
        <v>4.0078349999999991</v>
      </c>
      <c r="AD4650" s="94">
        <f t="shared" si="3417"/>
        <v>7.0537895999999982</v>
      </c>
      <c r="AE4650" s="190"/>
      <c r="AF4650" s="191"/>
      <c r="AG4650" s="191"/>
      <c r="AH4650" s="191"/>
      <c r="AI4650" s="186"/>
      <c r="AK4650" s="171"/>
    </row>
    <row r="4651" spans="1:37" s="102" customFormat="1" ht="19.899999999999999" customHeight="1" x14ac:dyDescent="0.25">
      <c r="A4651" s="45"/>
      <c r="B4651" s="59"/>
      <c r="C4651" s="137"/>
      <c r="D4651" s="59"/>
      <c r="E4651" s="116"/>
      <c r="F4651" s="120"/>
      <c r="G4651" s="120"/>
      <c r="H4651" s="120"/>
      <c r="I4651" s="60"/>
      <c r="J4651" s="116"/>
      <c r="K4651" s="213"/>
      <c r="L4651" s="120"/>
      <c r="M4651" s="120"/>
      <c r="N4651" s="167"/>
      <c r="O4651" s="120"/>
      <c r="P4651" s="120"/>
      <c r="Q4651" s="120"/>
      <c r="R4651" s="120"/>
      <c r="S4651" s="120"/>
      <c r="T4651" s="221"/>
      <c r="U4651" s="89"/>
      <c r="V4651" s="61"/>
      <c r="W4651" s="92" t="s">
        <v>161</v>
      </c>
      <c r="X4651" s="93" t="s">
        <v>29</v>
      </c>
      <c r="Y4651" s="93" t="s">
        <v>93</v>
      </c>
      <c r="Z4651" s="134">
        <f>VLOOKUP(W4651,Sheet2!$B:$D,3,FALSE)</f>
        <v>48</v>
      </c>
      <c r="AA4651" s="93">
        <f>(16*0.85*1.5)/((6*3.4*0.5*2)+(2.45*3.4*0.5*2))</f>
        <v>0.71005917159763321</v>
      </c>
      <c r="AB4651" s="93">
        <f>AD4651/AC4647</f>
        <v>67.599999999999994</v>
      </c>
      <c r="AC4651" s="93">
        <f>AC4647/AA4651</f>
        <v>2.1829166666666664</v>
      </c>
      <c r="AD4651" s="94">
        <f>AC4651*Z4651</f>
        <v>104.77999999999999</v>
      </c>
      <c r="AE4651" s="190"/>
      <c r="AF4651" s="191"/>
      <c r="AG4651" s="191"/>
      <c r="AH4651" s="191"/>
      <c r="AI4651" s="186"/>
      <c r="AK4651" s="171"/>
    </row>
    <row r="4652" spans="1:37" s="102" customFormat="1" ht="19.899999999999999" customHeight="1" x14ac:dyDescent="0.25">
      <c r="A4652" s="45"/>
      <c r="B4652" s="59"/>
      <c r="C4652" s="137"/>
      <c r="D4652" s="59"/>
      <c r="E4652" s="116"/>
      <c r="F4652" s="120"/>
      <c r="G4652" s="120"/>
      <c r="H4652" s="120"/>
      <c r="I4652" s="60"/>
      <c r="J4652" s="116"/>
      <c r="K4652" s="213"/>
      <c r="L4652" s="120"/>
      <c r="M4652" s="120"/>
      <c r="N4652" s="167"/>
      <c r="O4652" s="120"/>
      <c r="P4652" s="120"/>
      <c r="Q4652" s="120"/>
      <c r="R4652" s="120"/>
      <c r="S4652" s="120"/>
      <c r="T4652" s="221"/>
      <c r="U4652" s="89"/>
      <c r="V4652" s="61"/>
      <c r="W4652" s="92" t="s">
        <v>65</v>
      </c>
      <c r="X4652" s="93" t="s">
        <v>30</v>
      </c>
      <c r="Y4652" s="93" t="s">
        <v>1011</v>
      </c>
      <c r="Z4652" s="134">
        <f>VLOOKUP(W4652,Sheet2!$B:$D,3,FALSE)</f>
        <v>1.76</v>
      </c>
      <c r="AA4652" s="93">
        <f>AA4651/10</f>
        <v>7.1005917159763315E-2</v>
      </c>
      <c r="AB4652" s="93">
        <f>AD4652/AC4647</f>
        <v>24.786666666666665</v>
      </c>
      <c r="AC4652" s="93">
        <f>AC4647/AA4652</f>
        <v>21.829166666666662</v>
      </c>
      <c r="AD4652" s="94">
        <f>AC4652*Z4652</f>
        <v>38.419333333333327</v>
      </c>
      <c r="AE4652" s="190"/>
      <c r="AF4652" s="191"/>
      <c r="AG4652" s="191"/>
      <c r="AH4652" s="191"/>
      <c r="AI4652" s="186"/>
      <c r="AK4652" s="171"/>
    </row>
    <row r="4653" spans="1:37" s="102" customFormat="1" ht="19.899999999999999" customHeight="1" x14ac:dyDescent="0.25">
      <c r="A4653" s="45"/>
      <c r="B4653" s="59"/>
      <c r="C4653" s="137"/>
      <c r="D4653" s="59"/>
      <c r="E4653" s="116"/>
      <c r="F4653" s="120"/>
      <c r="G4653" s="120"/>
      <c r="H4653" s="120"/>
      <c r="I4653" s="60"/>
      <c r="J4653" s="116"/>
      <c r="K4653" s="213"/>
      <c r="L4653" s="120"/>
      <c r="M4653" s="120"/>
      <c r="N4653" s="167"/>
      <c r="O4653" s="120"/>
      <c r="P4653" s="120"/>
      <c r="Q4653" s="120"/>
      <c r="R4653" s="120"/>
      <c r="S4653" s="120"/>
      <c r="T4653" s="221"/>
      <c r="U4653" s="89"/>
      <c r="V4653" s="61"/>
      <c r="W4653" s="92" t="s">
        <v>173</v>
      </c>
      <c r="X4653" s="93" t="s">
        <v>29</v>
      </c>
      <c r="Y4653" s="93" t="s">
        <v>93</v>
      </c>
      <c r="Z4653" s="134">
        <f>VLOOKUP(W4653,Sheet2!$B:$D,3,FALSE)</f>
        <v>36</v>
      </c>
      <c r="AA4653" s="93">
        <f>50/((6*3.4*0.5*2)+(2.45*3.4*0.5*2))</f>
        <v>1.7403411068569441</v>
      </c>
      <c r="AB4653" s="93">
        <f>AD4653/AC4647</f>
        <v>20.685599999999997</v>
      </c>
      <c r="AC4653" s="93">
        <f>AC4647/AA4653</f>
        <v>0.89062999999999981</v>
      </c>
      <c r="AD4653" s="94">
        <f>AC4653*Z4653</f>
        <v>32.062679999999993</v>
      </c>
      <c r="AE4653" s="190"/>
      <c r="AF4653" s="191"/>
      <c r="AG4653" s="191"/>
      <c r="AH4653" s="191"/>
      <c r="AI4653" s="186"/>
      <c r="AK4653" s="171"/>
    </row>
    <row r="4654" spans="1:37" s="102" customFormat="1" ht="19.899999999999999" customHeight="1" x14ac:dyDescent="0.25">
      <c r="A4654" s="45"/>
      <c r="B4654" s="59"/>
      <c r="C4654" s="137"/>
      <c r="D4654" s="59"/>
      <c r="E4654" s="116"/>
      <c r="F4654" s="120"/>
      <c r="G4654" s="120"/>
      <c r="H4654" s="120"/>
      <c r="I4654" s="60"/>
      <c r="J4654" s="116"/>
      <c r="K4654" s="213"/>
      <c r="L4654" s="120"/>
      <c r="M4654" s="120"/>
      <c r="N4654" s="167"/>
      <c r="O4654" s="120"/>
      <c r="P4654" s="120"/>
      <c r="Q4654" s="120"/>
      <c r="R4654" s="120"/>
      <c r="S4654" s="120"/>
      <c r="T4654" s="221"/>
      <c r="U4654" s="89"/>
      <c r="V4654" s="61"/>
      <c r="W4654" s="92" t="s">
        <v>65</v>
      </c>
      <c r="X4654" s="93" t="s">
        <v>30</v>
      </c>
      <c r="Y4654" s="93" t="s">
        <v>1011</v>
      </c>
      <c r="Z4654" s="134">
        <f>VLOOKUP(W4654,Sheet2!$B:$D,3,FALSE)</f>
        <v>1.76</v>
      </c>
      <c r="AA4654" s="93">
        <f>AA4653/9</f>
        <v>0.193371234095216</v>
      </c>
      <c r="AB4654" s="93">
        <f>AD4654/AC4647</f>
        <v>9.1016639999999995</v>
      </c>
      <c r="AC4654" s="93">
        <f>AC4647/AA4654</f>
        <v>8.0156699999999983</v>
      </c>
      <c r="AD4654" s="94">
        <f>AC4654*Z4654</f>
        <v>14.107579199999996</v>
      </c>
      <c r="AE4654" s="190"/>
      <c r="AF4654" s="191"/>
      <c r="AG4654" s="191"/>
      <c r="AH4654" s="191"/>
      <c r="AI4654" s="186"/>
      <c r="AK4654" s="171"/>
    </row>
    <row r="4655" spans="1:37" s="102" customFormat="1" ht="19.899999999999999" customHeight="1" x14ac:dyDescent="0.25">
      <c r="A4655" s="45"/>
      <c r="B4655" s="59"/>
      <c r="C4655" s="137"/>
      <c r="D4655" s="59"/>
      <c r="E4655" s="116"/>
      <c r="F4655" s="120"/>
      <c r="G4655" s="120"/>
      <c r="H4655" s="120"/>
      <c r="I4655" s="60"/>
      <c r="J4655" s="116"/>
      <c r="K4655" s="213"/>
      <c r="L4655" s="120"/>
      <c r="M4655" s="120"/>
      <c r="N4655" s="167"/>
      <c r="O4655" s="120"/>
      <c r="P4655" s="120"/>
      <c r="Q4655" s="120"/>
      <c r="R4655" s="120"/>
      <c r="S4655" s="120"/>
      <c r="T4655" s="221"/>
      <c r="U4655" s="89"/>
      <c r="V4655" s="61"/>
      <c r="W4655" s="92" t="s">
        <v>1030</v>
      </c>
      <c r="X4655" s="93" t="s">
        <v>29</v>
      </c>
      <c r="Y4655" s="93" t="s">
        <v>93</v>
      </c>
      <c r="Z4655" s="134">
        <f>VLOOKUP(W4655,Sheet2!$B:$D,3,FALSE)</f>
        <v>23</v>
      </c>
      <c r="AA4655" s="93">
        <v>0.25</v>
      </c>
      <c r="AB4655" s="93">
        <f>AD4655/AC4647</f>
        <v>92</v>
      </c>
      <c r="AC4655" s="93">
        <f>AC4647/AA4655</f>
        <v>6.1999999999999993</v>
      </c>
      <c r="AD4655" s="94">
        <f t="shared" ref="AD4655:AD4656" si="3419">AC4655*Z4655</f>
        <v>142.6</v>
      </c>
      <c r="AE4655" s="190"/>
      <c r="AF4655" s="191"/>
      <c r="AG4655" s="191"/>
      <c r="AH4655" s="191"/>
      <c r="AI4655" s="186"/>
      <c r="AK4655" s="171"/>
    </row>
    <row r="4656" spans="1:37" s="102" customFormat="1" ht="19.899999999999999" customHeight="1" x14ac:dyDescent="0.25">
      <c r="A4656" s="45"/>
      <c r="B4656" s="59"/>
      <c r="C4656" s="137"/>
      <c r="D4656" s="59"/>
      <c r="E4656" s="116"/>
      <c r="F4656" s="120"/>
      <c r="G4656" s="120"/>
      <c r="H4656" s="120"/>
      <c r="I4656" s="60"/>
      <c r="J4656" s="116"/>
      <c r="K4656" s="213"/>
      <c r="L4656" s="120"/>
      <c r="M4656" s="120"/>
      <c r="N4656" s="167"/>
      <c r="O4656" s="120"/>
      <c r="P4656" s="120"/>
      <c r="Q4656" s="120"/>
      <c r="R4656" s="120"/>
      <c r="S4656" s="120"/>
      <c r="T4656" s="221"/>
      <c r="U4656" s="89"/>
      <c r="V4656" s="61"/>
      <c r="W4656" s="92" t="s">
        <v>65</v>
      </c>
      <c r="X4656" s="93" t="s">
        <v>30</v>
      </c>
      <c r="Y4656" s="93" t="s">
        <v>1011</v>
      </c>
      <c r="Z4656" s="134">
        <f>VLOOKUP(W4656,Sheet2!$B:$D,3,FALSE)</f>
        <v>1.76</v>
      </c>
      <c r="AA4656" s="93">
        <f>AA4655/3</f>
        <v>8.3333333333333329E-2</v>
      </c>
      <c r="AB4656" s="93">
        <f>AD4656/AC4647</f>
        <v>21.12</v>
      </c>
      <c r="AC4656" s="93">
        <f>AC4647/AA4656</f>
        <v>18.599999999999998</v>
      </c>
      <c r="AD4656" s="94">
        <f t="shared" si="3419"/>
        <v>32.735999999999997</v>
      </c>
      <c r="AE4656" s="190"/>
      <c r="AF4656" s="191"/>
      <c r="AG4656" s="191"/>
      <c r="AH4656" s="191"/>
      <c r="AI4656" s="186"/>
      <c r="AK4656" s="171"/>
    </row>
    <row r="4657" spans="1:41" s="102" customFormat="1" ht="20.100000000000001" customHeight="1" x14ac:dyDescent="0.25">
      <c r="A4657" s="45" t="s">
        <v>491</v>
      </c>
      <c r="B4657" s="276"/>
      <c r="C4657" s="285" t="s">
        <v>560</v>
      </c>
      <c r="D4657" s="59"/>
      <c r="E4657" s="116"/>
      <c r="F4657" s="120"/>
      <c r="G4657" s="120">
        <f t="shared" si="2434"/>
        <v>0</v>
      </c>
      <c r="H4657" s="120">
        <f t="shared" si="2435"/>
        <v>0</v>
      </c>
      <c r="I4657" s="60">
        <f t="shared" si="2436"/>
        <v>0</v>
      </c>
      <c r="J4657" s="116">
        <f t="shared" si="2437"/>
        <v>0</v>
      </c>
      <c r="K4657" s="213">
        <f t="shared" si="2438"/>
        <v>0</v>
      </c>
      <c r="L4657" s="120"/>
      <c r="M4657" s="120">
        <f t="shared" si="2458"/>
        <v>0</v>
      </c>
      <c r="N4657" s="167">
        <f t="shared" si="2439"/>
        <v>0</v>
      </c>
      <c r="O4657" s="120">
        <f t="shared" si="2440"/>
        <v>0</v>
      </c>
      <c r="P4657" s="120">
        <f t="shared" si="2441"/>
        <v>0</v>
      </c>
      <c r="Q4657" s="120">
        <f t="shared" si="2442"/>
        <v>0</v>
      </c>
      <c r="R4657" s="120">
        <f t="shared" si="2459"/>
        <v>0</v>
      </c>
      <c r="S4657" s="120"/>
      <c r="T4657" s="221">
        <f t="shared" si="2460"/>
        <v>0</v>
      </c>
      <c r="U4657" s="89"/>
      <c r="V4657" s="61"/>
      <c r="W4657" s="92"/>
      <c r="X4657" s="38"/>
      <c r="Y4657" s="93"/>
      <c r="Z4657" s="134"/>
      <c r="AA4657" s="93"/>
      <c r="AB4657" s="93"/>
      <c r="AC4657" s="93"/>
      <c r="AD4657" s="94"/>
      <c r="AE4657" s="190"/>
      <c r="AF4657" s="191"/>
      <c r="AG4657" s="191"/>
      <c r="AH4657" s="191"/>
      <c r="AI4657" s="186"/>
      <c r="AK4657" s="171"/>
    </row>
    <row r="4658" spans="1:41" s="102" customFormat="1" ht="63" x14ac:dyDescent="0.25">
      <c r="A4658" s="45" t="s">
        <v>491</v>
      </c>
      <c r="B4658" s="276"/>
      <c r="C4658" s="285" t="s">
        <v>561</v>
      </c>
      <c r="D4658" s="59"/>
      <c r="E4658" s="116"/>
      <c r="F4658" s="120"/>
      <c r="G4658" s="120">
        <f t="shared" si="2434"/>
        <v>0</v>
      </c>
      <c r="H4658" s="120">
        <f t="shared" si="2435"/>
        <v>0</v>
      </c>
      <c r="I4658" s="60">
        <f t="shared" si="2436"/>
        <v>0</v>
      </c>
      <c r="J4658" s="116">
        <f t="shared" si="2437"/>
        <v>0</v>
      </c>
      <c r="K4658" s="213">
        <f t="shared" si="2438"/>
        <v>0</v>
      </c>
      <c r="L4658" s="120"/>
      <c r="M4658" s="120">
        <f t="shared" si="2458"/>
        <v>0</v>
      </c>
      <c r="N4658" s="167">
        <f t="shared" si="2439"/>
        <v>0</v>
      </c>
      <c r="O4658" s="120">
        <f t="shared" si="2440"/>
        <v>0</v>
      </c>
      <c r="P4658" s="120">
        <f t="shared" si="2441"/>
        <v>0</v>
      </c>
      <c r="Q4658" s="120">
        <f t="shared" si="2442"/>
        <v>0</v>
      </c>
      <c r="R4658" s="120">
        <f t="shared" si="2459"/>
        <v>0</v>
      </c>
      <c r="S4658" s="120"/>
      <c r="T4658" s="221">
        <f t="shared" si="2460"/>
        <v>0</v>
      </c>
      <c r="U4658" s="89"/>
      <c r="V4658" s="61"/>
      <c r="W4658" s="92"/>
      <c r="X4658" s="38"/>
      <c r="Y4658" s="93"/>
      <c r="Z4658" s="134"/>
      <c r="AA4658" s="93"/>
      <c r="AB4658" s="93"/>
      <c r="AC4658" s="93"/>
      <c r="AD4658" s="94"/>
      <c r="AE4658" s="190"/>
      <c r="AF4658" s="191"/>
      <c r="AG4658" s="191"/>
      <c r="AH4658" s="191"/>
      <c r="AI4658" s="186"/>
      <c r="AK4658" s="171"/>
    </row>
    <row r="4659" spans="1:41" ht="20.100000000000001" customHeight="1" x14ac:dyDescent="0.25">
      <c r="A4659" s="277" t="s">
        <v>491</v>
      </c>
      <c r="B4659" s="278"/>
      <c r="C4659" s="64" t="s">
        <v>562</v>
      </c>
      <c r="D4659" s="46" t="s">
        <v>97</v>
      </c>
      <c r="E4659" s="114"/>
      <c r="F4659" s="44"/>
      <c r="G4659" s="44">
        <f t="shared" si="2434"/>
        <v>0</v>
      </c>
      <c r="H4659" s="44">
        <f t="shared" si="2435"/>
        <v>0</v>
      </c>
      <c r="I4659" s="43">
        <f t="shared" si="2436"/>
        <v>0</v>
      </c>
      <c r="J4659" s="112">
        <f t="shared" si="2437"/>
        <v>0</v>
      </c>
      <c r="K4659" s="211">
        <f t="shared" si="2438"/>
        <v>0</v>
      </c>
      <c r="L4659" s="44"/>
      <c r="M4659" s="44">
        <f t="shared" si="2458"/>
        <v>0</v>
      </c>
      <c r="N4659" s="173">
        <f t="shared" si="2439"/>
        <v>0</v>
      </c>
      <c r="O4659" s="44">
        <f t="shared" si="2440"/>
        <v>0</v>
      </c>
      <c r="P4659" s="44">
        <f t="shared" si="2441"/>
        <v>0</v>
      </c>
      <c r="Q4659" s="44">
        <f t="shared" si="2442"/>
        <v>0</v>
      </c>
      <c r="R4659" s="44">
        <f t="shared" si="2459"/>
        <v>0</v>
      </c>
      <c r="S4659" s="123"/>
      <c r="T4659" s="219">
        <f t="shared" si="2460"/>
        <v>0</v>
      </c>
      <c r="U4659" s="87"/>
      <c r="V4659" s="47"/>
      <c r="W4659" s="48"/>
      <c r="X4659" s="48"/>
      <c r="Y4659" s="48"/>
      <c r="Z4659" s="135"/>
      <c r="AA4659" s="49"/>
      <c r="AB4659" s="50">
        <f t="shared" si="2443"/>
        <v>0</v>
      </c>
      <c r="AC4659" s="42">
        <f t="shared" si="2461"/>
        <v>9.9999999999999998E-20</v>
      </c>
      <c r="AD4659" s="90"/>
      <c r="AE4659" s="188"/>
      <c r="AF4659" s="189"/>
      <c r="AG4659" s="189"/>
      <c r="AH4659" s="189"/>
      <c r="AI4659" s="161"/>
    </row>
    <row r="4660" spans="1:41" ht="20.100000000000001" customHeight="1" x14ac:dyDescent="0.25">
      <c r="A4660" s="277" t="s">
        <v>491</v>
      </c>
      <c r="B4660" s="278"/>
      <c r="C4660" s="64" t="s">
        <v>563</v>
      </c>
      <c r="D4660" s="46" t="s">
        <v>97</v>
      </c>
      <c r="E4660" s="114"/>
      <c r="F4660" s="44"/>
      <c r="G4660" s="44">
        <f t="shared" si="2434"/>
        <v>0</v>
      </c>
      <c r="H4660" s="44">
        <f t="shared" si="2435"/>
        <v>0</v>
      </c>
      <c r="I4660" s="43">
        <f t="shared" si="2436"/>
        <v>0</v>
      </c>
      <c r="J4660" s="112">
        <f t="shared" si="2437"/>
        <v>0</v>
      </c>
      <c r="K4660" s="211">
        <f t="shared" si="2438"/>
        <v>0</v>
      </c>
      <c r="L4660" s="44"/>
      <c r="M4660" s="44">
        <f t="shared" si="2458"/>
        <v>0</v>
      </c>
      <c r="N4660" s="173">
        <f t="shared" si="2439"/>
        <v>0</v>
      </c>
      <c r="O4660" s="44">
        <f t="shared" si="2440"/>
        <v>0</v>
      </c>
      <c r="P4660" s="44">
        <f t="shared" si="2441"/>
        <v>0</v>
      </c>
      <c r="Q4660" s="44">
        <f t="shared" si="2442"/>
        <v>0</v>
      </c>
      <c r="R4660" s="44">
        <f t="shared" si="2459"/>
        <v>0</v>
      </c>
      <c r="S4660" s="123"/>
      <c r="T4660" s="219">
        <f t="shared" si="2460"/>
        <v>0</v>
      </c>
      <c r="U4660" s="87"/>
      <c r="V4660" s="47"/>
      <c r="W4660" s="48"/>
      <c r="X4660" s="48"/>
      <c r="Y4660" s="48"/>
      <c r="Z4660" s="135"/>
      <c r="AA4660" s="49"/>
      <c r="AB4660" s="50">
        <f t="shared" si="2443"/>
        <v>0</v>
      </c>
      <c r="AC4660" s="42">
        <f t="shared" si="2461"/>
        <v>9.9999999999999998E-20</v>
      </c>
      <c r="AD4660" s="90"/>
      <c r="AE4660" s="188"/>
      <c r="AF4660" s="189"/>
      <c r="AG4660" s="189"/>
      <c r="AH4660" s="189"/>
      <c r="AI4660" s="161"/>
    </row>
    <row r="4661" spans="1:41" ht="20.100000000000001" customHeight="1" x14ac:dyDescent="0.25">
      <c r="A4661" s="277" t="s">
        <v>491</v>
      </c>
      <c r="B4661" s="278"/>
      <c r="C4661" s="64" t="s">
        <v>564</v>
      </c>
      <c r="D4661" s="46" t="s">
        <v>97</v>
      </c>
      <c r="E4661" s="114"/>
      <c r="F4661" s="44"/>
      <c r="G4661" s="44">
        <f t="shared" si="2434"/>
        <v>0</v>
      </c>
      <c r="H4661" s="44">
        <f t="shared" si="2435"/>
        <v>0</v>
      </c>
      <c r="I4661" s="43">
        <f t="shared" si="2436"/>
        <v>0</v>
      </c>
      <c r="J4661" s="112">
        <f t="shared" si="2437"/>
        <v>0</v>
      </c>
      <c r="K4661" s="211">
        <f t="shared" si="2438"/>
        <v>0</v>
      </c>
      <c r="L4661" s="44"/>
      <c r="M4661" s="44">
        <f t="shared" si="2458"/>
        <v>0</v>
      </c>
      <c r="N4661" s="173">
        <f t="shared" si="2439"/>
        <v>0</v>
      </c>
      <c r="O4661" s="44">
        <f t="shared" si="2440"/>
        <v>0</v>
      </c>
      <c r="P4661" s="44">
        <f t="shared" si="2441"/>
        <v>0</v>
      </c>
      <c r="Q4661" s="44">
        <f t="shared" si="2442"/>
        <v>0</v>
      </c>
      <c r="R4661" s="44">
        <f t="shared" si="2459"/>
        <v>0</v>
      </c>
      <c r="S4661" s="123"/>
      <c r="T4661" s="219">
        <f t="shared" si="2460"/>
        <v>0</v>
      </c>
      <c r="U4661" s="87"/>
      <c r="V4661" s="47"/>
      <c r="W4661" s="48"/>
      <c r="X4661" s="48"/>
      <c r="Y4661" s="48"/>
      <c r="Z4661" s="135"/>
      <c r="AA4661" s="49"/>
      <c r="AB4661" s="50">
        <f t="shared" si="2443"/>
        <v>0</v>
      </c>
      <c r="AC4661" s="42">
        <f t="shared" si="2461"/>
        <v>9.9999999999999998E-20</v>
      </c>
      <c r="AD4661" s="90"/>
      <c r="AE4661" s="188"/>
      <c r="AF4661" s="189"/>
      <c r="AG4661" s="189"/>
      <c r="AH4661" s="189"/>
      <c r="AI4661" s="161"/>
    </row>
    <row r="4662" spans="1:41" ht="20.100000000000001" customHeight="1" x14ac:dyDescent="0.25">
      <c r="A4662" s="277" t="s">
        <v>491</v>
      </c>
      <c r="B4662" s="278"/>
      <c r="C4662" s="64" t="s">
        <v>565</v>
      </c>
      <c r="D4662" s="46" t="s">
        <v>97</v>
      </c>
      <c r="E4662" s="114"/>
      <c r="F4662" s="44"/>
      <c r="G4662" s="44">
        <f t="shared" si="2434"/>
        <v>0</v>
      </c>
      <c r="H4662" s="44">
        <f t="shared" si="2435"/>
        <v>0</v>
      </c>
      <c r="I4662" s="43">
        <f t="shared" si="2436"/>
        <v>0</v>
      </c>
      <c r="J4662" s="112">
        <f t="shared" si="2437"/>
        <v>0</v>
      </c>
      <c r="K4662" s="211">
        <f t="shared" si="2438"/>
        <v>0</v>
      </c>
      <c r="L4662" s="44"/>
      <c r="M4662" s="44">
        <f t="shared" si="2458"/>
        <v>0</v>
      </c>
      <c r="N4662" s="173">
        <f t="shared" si="2439"/>
        <v>0</v>
      </c>
      <c r="O4662" s="44">
        <f t="shared" si="2440"/>
        <v>0</v>
      </c>
      <c r="P4662" s="44">
        <f t="shared" si="2441"/>
        <v>0</v>
      </c>
      <c r="Q4662" s="44">
        <f t="shared" si="2442"/>
        <v>0</v>
      </c>
      <c r="R4662" s="44">
        <f t="shared" si="2459"/>
        <v>0</v>
      </c>
      <c r="S4662" s="123"/>
      <c r="T4662" s="219">
        <f t="shared" si="2460"/>
        <v>0</v>
      </c>
      <c r="U4662" s="87"/>
      <c r="V4662" s="47"/>
      <c r="W4662" s="48"/>
      <c r="X4662" s="48"/>
      <c r="Y4662" s="48"/>
      <c r="Z4662" s="135"/>
      <c r="AA4662" s="49"/>
      <c r="AB4662" s="50">
        <f t="shared" si="2443"/>
        <v>0</v>
      </c>
      <c r="AC4662" s="42">
        <f t="shared" si="2461"/>
        <v>9.9999999999999998E-20</v>
      </c>
      <c r="AD4662" s="90"/>
      <c r="AE4662" s="188"/>
      <c r="AF4662" s="189"/>
      <c r="AG4662" s="189"/>
      <c r="AH4662" s="189"/>
      <c r="AI4662" s="161"/>
    </row>
    <row r="4663" spans="1:41" ht="20.100000000000001" customHeight="1" x14ac:dyDescent="0.25">
      <c r="A4663" s="277" t="s">
        <v>491</v>
      </c>
      <c r="B4663" s="278"/>
      <c r="C4663" s="64" t="s">
        <v>566</v>
      </c>
      <c r="D4663" s="46" t="s">
        <v>97</v>
      </c>
      <c r="E4663" s="114"/>
      <c r="F4663" s="44"/>
      <c r="G4663" s="44">
        <f t="shared" si="2434"/>
        <v>0</v>
      </c>
      <c r="H4663" s="44">
        <f t="shared" si="2435"/>
        <v>0</v>
      </c>
      <c r="I4663" s="43">
        <f t="shared" si="2436"/>
        <v>0</v>
      </c>
      <c r="J4663" s="112">
        <f t="shared" si="2437"/>
        <v>0</v>
      </c>
      <c r="K4663" s="211">
        <f t="shared" si="2438"/>
        <v>0</v>
      </c>
      <c r="L4663" s="44"/>
      <c r="M4663" s="44">
        <f t="shared" si="2458"/>
        <v>0</v>
      </c>
      <c r="N4663" s="173">
        <f t="shared" si="2439"/>
        <v>0</v>
      </c>
      <c r="O4663" s="44">
        <f t="shared" si="2440"/>
        <v>0</v>
      </c>
      <c r="P4663" s="44">
        <f t="shared" si="2441"/>
        <v>0</v>
      </c>
      <c r="Q4663" s="44">
        <f t="shared" si="2442"/>
        <v>0</v>
      </c>
      <c r="R4663" s="44">
        <f t="shared" si="2459"/>
        <v>0</v>
      </c>
      <c r="S4663" s="123"/>
      <c r="T4663" s="219">
        <f t="shared" si="2460"/>
        <v>0</v>
      </c>
      <c r="U4663" s="87"/>
      <c r="V4663" s="47"/>
      <c r="W4663" s="48"/>
      <c r="X4663" s="48"/>
      <c r="Y4663" s="48"/>
      <c r="Z4663" s="135"/>
      <c r="AA4663" s="49"/>
      <c r="AB4663" s="50">
        <f t="shared" si="2443"/>
        <v>0</v>
      </c>
      <c r="AC4663" s="42">
        <f t="shared" si="2461"/>
        <v>9.9999999999999998E-20</v>
      </c>
      <c r="AD4663" s="90"/>
      <c r="AE4663" s="188"/>
      <c r="AF4663" s="189"/>
      <c r="AG4663" s="189"/>
      <c r="AH4663" s="189"/>
      <c r="AI4663" s="161"/>
    </row>
    <row r="4664" spans="1:41" ht="20.100000000000001" customHeight="1" x14ac:dyDescent="0.25">
      <c r="A4664" s="277" t="s">
        <v>491</v>
      </c>
      <c r="B4664" s="278"/>
      <c r="C4664" s="64" t="s">
        <v>567</v>
      </c>
      <c r="D4664" s="46" t="s">
        <v>97</v>
      </c>
      <c r="E4664" s="114"/>
      <c r="F4664" s="44"/>
      <c r="G4664" s="44">
        <f t="shared" si="2434"/>
        <v>0</v>
      </c>
      <c r="H4664" s="44">
        <f t="shared" si="2435"/>
        <v>0</v>
      </c>
      <c r="I4664" s="43">
        <f t="shared" si="2436"/>
        <v>0</v>
      </c>
      <c r="J4664" s="112">
        <f t="shared" si="2437"/>
        <v>0</v>
      </c>
      <c r="K4664" s="211">
        <f t="shared" si="2438"/>
        <v>0</v>
      </c>
      <c r="L4664" s="44"/>
      <c r="M4664" s="44">
        <f t="shared" si="2458"/>
        <v>0</v>
      </c>
      <c r="N4664" s="173">
        <f t="shared" si="2439"/>
        <v>0</v>
      </c>
      <c r="O4664" s="44">
        <f t="shared" si="2440"/>
        <v>0</v>
      </c>
      <c r="P4664" s="44">
        <f t="shared" si="2441"/>
        <v>0</v>
      </c>
      <c r="Q4664" s="44">
        <f t="shared" si="2442"/>
        <v>0</v>
      </c>
      <c r="R4664" s="44">
        <f t="shared" si="2459"/>
        <v>0</v>
      </c>
      <c r="S4664" s="123"/>
      <c r="T4664" s="219">
        <f t="shared" si="2460"/>
        <v>0</v>
      </c>
      <c r="U4664" s="87"/>
      <c r="V4664" s="47"/>
      <c r="W4664" s="48"/>
      <c r="X4664" s="48"/>
      <c r="Y4664" s="48"/>
      <c r="Z4664" s="135"/>
      <c r="AA4664" s="49"/>
      <c r="AB4664" s="50">
        <f t="shared" si="2443"/>
        <v>0</v>
      </c>
      <c r="AC4664" s="42">
        <f t="shared" si="2461"/>
        <v>9.9999999999999998E-20</v>
      </c>
      <c r="AD4664" s="90"/>
      <c r="AE4664" s="188"/>
      <c r="AF4664" s="189"/>
      <c r="AG4664" s="189"/>
      <c r="AH4664" s="189"/>
      <c r="AI4664" s="161"/>
    </row>
    <row r="4665" spans="1:41" ht="20.100000000000001" customHeight="1" x14ac:dyDescent="0.25">
      <c r="A4665" s="277" t="s">
        <v>491</v>
      </c>
      <c r="B4665" s="278"/>
      <c r="C4665" s="64" t="s">
        <v>568</v>
      </c>
      <c r="D4665" s="46" t="s">
        <v>97</v>
      </c>
      <c r="E4665" s="114"/>
      <c r="F4665" s="44"/>
      <c r="G4665" s="44">
        <f t="shared" si="2434"/>
        <v>0</v>
      </c>
      <c r="H4665" s="44">
        <f t="shared" si="2435"/>
        <v>0</v>
      </c>
      <c r="I4665" s="43">
        <f t="shared" si="2436"/>
        <v>0</v>
      </c>
      <c r="J4665" s="112">
        <f t="shared" si="2437"/>
        <v>0</v>
      </c>
      <c r="K4665" s="211">
        <f t="shared" si="2438"/>
        <v>0</v>
      </c>
      <c r="L4665" s="44"/>
      <c r="M4665" s="44">
        <f t="shared" si="2458"/>
        <v>0</v>
      </c>
      <c r="N4665" s="173">
        <f t="shared" si="2439"/>
        <v>0</v>
      </c>
      <c r="O4665" s="44">
        <f t="shared" si="2440"/>
        <v>0</v>
      </c>
      <c r="P4665" s="44">
        <f t="shared" si="2441"/>
        <v>0</v>
      </c>
      <c r="Q4665" s="44">
        <f t="shared" si="2442"/>
        <v>0</v>
      </c>
      <c r="R4665" s="44">
        <f t="shared" si="2459"/>
        <v>0</v>
      </c>
      <c r="S4665" s="123"/>
      <c r="T4665" s="219">
        <f t="shared" si="2460"/>
        <v>0</v>
      </c>
      <c r="U4665" s="87"/>
      <c r="V4665" s="47"/>
      <c r="W4665" s="48"/>
      <c r="X4665" s="48"/>
      <c r="Y4665" s="48"/>
      <c r="Z4665" s="135"/>
      <c r="AA4665" s="49"/>
      <c r="AB4665" s="50">
        <f t="shared" si="2443"/>
        <v>0</v>
      </c>
      <c r="AC4665" s="42">
        <f t="shared" si="2461"/>
        <v>9.9999999999999998E-20</v>
      </c>
      <c r="AD4665" s="90"/>
      <c r="AE4665" s="188"/>
      <c r="AF4665" s="189"/>
      <c r="AG4665" s="189"/>
      <c r="AH4665" s="189"/>
      <c r="AI4665" s="161"/>
    </row>
    <row r="4666" spans="1:41" ht="20.100000000000001" customHeight="1" x14ac:dyDescent="0.25">
      <c r="A4666" s="277" t="s">
        <v>491</v>
      </c>
      <c r="B4666" s="278"/>
      <c r="C4666" s="64" t="s">
        <v>569</v>
      </c>
      <c r="D4666" s="46" t="s">
        <v>97</v>
      </c>
      <c r="E4666" s="114"/>
      <c r="F4666" s="44"/>
      <c r="G4666" s="44">
        <f t="shared" si="2434"/>
        <v>0</v>
      </c>
      <c r="H4666" s="44">
        <f t="shared" si="2435"/>
        <v>0</v>
      </c>
      <c r="I4666" s="43">
        <f t="shared" si="2436"/>
        <v>0</v>
      </c>
      <c r="J4666" s="112">
        <f t="shared" si="2437"/>
        <v>0</v>
      </c>
      <c r="K4666" s="211">
        <f t="shared" si="2438"/>
        <v>0</v>
      </c>
      <c r="L4666" s="44"/>
      <c r="M4666" s="44">
        <f t="shared" si="2458"/>
        <v>0</v>
      </c>
      <c r="N4666" s="173">
        <f t="shared" si="2439"/>
        <v>0</v>
      </c>
      <c r="O4666" s="44">
        <f t="shared" si="2440"/>
        <v>0</v>
      </c>
      <c r="P4666" s="44">
        <f t="shared" si="2441"/>
        <v>0</v>
      </c>
      <c r="Q4666" s="44">
        <f t="shared" si="2442"/>
        <v>0</v>
      </c>
      <c r="R4666" s="44">
        <f t="shared" si="2459"/>
        <v>0</v>
      </c>
      <c r="S4666" s="123"/>
      <c r="T4666" s="219">
        <f t="shared" si="2460"/>
        <v>0</v>
      </c>
      <c r="U4666" s="87"/>
      <c r="V4666" s="47"/>
      <c r="W4666" s="48"/>
      <c r="X4666" s="48"/>
      <c r="Y4666" s="48"/>
      <c r="Z4666" s="135"/>
      <c r="AA4666" s="49"/>
      <c r="AB4666" s="50">
        <f t="shared" si="2443"/>
        <v>0</v>
      </c>
      <c r="AC4666" s="42">
        <f t="shared" si="2461"/>
        <v>9.9999999999999998E-20</v>
      </c>
      <c r="AD4666" s="90"/>
      <c r="AE4666" s="188"/>
      <c r="AF4666" s="189"/>
      <c r="AG4666" s="189"/>
      <c r="AH4666" s="189"/>
      <c r="AI4666" s="161"/>
    </row>
    <row r="4667" spans="1:41" ht="20.100000000000001" customHeight="1" x14ac:dyDescent="0.25">
      <c r="A4667" s="277" t="s">
        <v>491</v>
      </c>
      <c r="B4667" s="278"/>
      <c r="C4667" s="64" t="s">
        <v>570</v>
      </c>
      <c r="D4667" s="46" t="s">
        <v>97</v>
      </c>
      <c r="E4667" s="114"/>
      <c r="F4667" s="44"/>
      <c r="G4667" s="44">
        <f t="shared" si="2434"/>
        <v>0</v>
      </c>
      <c r="H4667" s="44">
        <f t="shared" si="2435"/>
        <v>0</v>
      </c>
      <c r="I4667" s="43">
        <f t="shared" si="2436"/>
        <v>0</v>
      </c>
      <c r="J4667" s="112">
        <f t="shared" si="2437"/>
        <v>0</v>
      </c>
      <c r="K4667" s="211">
        <f t="shared" si="2438"/>
        <v>0</v>
      </c>
      <c r="L4667" s="44"/>
      <c r="M4667" s="44">
        <f t="shared" si="2458"/>
        <v>0</v>
      </c>
      <c r="N4667" s="173">
        <f t="shared" si="2439"/>
        <v>0</v>
      </c>
      <c r="O4667" s="44">
        <f t="shared" si="2440"/>
        <v>0</v>
      </c>
      <c r="P4667" s="44">
        <f t="shared" si="2441"/>
        <v>0</v>
      </c>
      <c r="Q4667" s="44">
        <f t="shared" si="2442"/>
        <v>0</v>
      </c>
      <c r="R4667" s="44">
        <f t="shared" si="2459"/>
        <v>0</v>
      </c>
      <c r="S4667" s="123"/>
      <c r="T4667" s="219">
        <f t="shared" si="2460"/>
        <v>0</v>
      </c>
      <c r="U4667" s="87"/>
      <c r="V4667" s="47"/>
      <c r="W4667" s="48"/>
      <c r="X4667" s="48"/>
      <c r="Y4667" s="48"/>
      <c r="Z4667" s="135"/>
      <c r="AA4667" s="49"/>
      <c r="AB4667" s="50">
        <f t="shared" si="2443"/>
        <v>0</v>
      </c>
      <c r="AC4667" s="42">
        <f t="shared" si="2461"/>
        <v>9.9999999999999998E-20</v>
      </c>
      <c r="AD4667" s="90"/>
      <c r="AE4667" s="188"/>
      <c r="AF4667" s="189"/>
      <c r="AG4667" s="189"/>
      <c r="AH4667" s="189"/>
      <c r="AI4667" s="161"/>
    </row>
    <row r="4668" spans="1:41" s="102" customFormat="1" ht="31.5" x14ac:dyDescent="0.25">
      <c r="A4668" s="45" t="s">
        <v>491</v>
      </c>
      <c r="B4668" s="276"/>
      <c r="C4668" s="285" t="s">
        <v>366</v>
      </c>
      <c r="D4668" s="59"/>
      <c r="E4668" s="116"/>
      <c r="F4668" s="120"/>
      <c r="G4668" s="120">
        <f t="shared" si="2434"/>
        <v>0</v>
      </c>
      <c r="H4668" s="120">
        <f t="shared" si="2435"/>
        <v>0</v>
      </c>
      <c r="I4668" s="60">
        <f t="shared" si="2436"/>
        <v>0</v>
      </c>
      <c r="J4668" s="116">
        <f t="shared" si="2437"/>
        <v>0</v>
      </c>
      <c r="K4668" s="213">
        <f t="shared" si="2438"/>
        <v>0</v>
      </c>
      <c r="L4668" s="120"/>
      <c r="M4668" s="120">
        <f t="shared" si="2458"/>
        <v>0</v>
      </c>
      <c r="N4668" s="167">
        <f t="shared" si="2439"/>
        <v>0</v>
      </c>
      <c r="O4668" s="120">
        <f t="shared" si="2440"/>
        <v>0</v>
      </c>
      <c r="P4668" s="120">
        <f t="shared" si="2441"/>
        <v>0</v>
      </c>
      <c r="Q4668" s="120">
        <f t="shared" si="2442"/>
        <v>0</v>
      </c>
      <c r="R4668" s="120">
        <f t="shared" si="2459"/>
        <v>0</v>
      </c>
      <c r="S4668" s="120"/>
      <c r="T4668" s="221">
        <f t="shared" si="2460"/>
        <v>0</v>
      </c>
      <c r="U4668" s="89"/>
      <c r="V4668" s="61"/>
      <c r="W4668" s="92"/>
      <c r="X4668" s="38"/>
      <c r="Y4668" s="93"/>
      <c r="Z4668" s="134"/>
      <c r="AA4668" s="93"/>
      <c r="AB4668" s="93">
        <f t="shared" si="2443"/>
        <v>0</v>
      </c>
      <c r="AC4668" s="93">
        <f t="shared" si="2461"/>
        <v>9.9999999999999998E-20</v>
      </c>
      <c r="AD4668" s="94"/>
      <c r="AE4668" s="190"/>
      <c r="AF4668" s="191"/>
      <c r="AG4668" s="191"/>
      <c r="AH4668" s="191"/>
      <c r="AI4668" s="186"/>
      <c r="AK4668" s="171"/>
    </row>
    <row r="4669" spans="1:41" s="102" customFormat="1" ht="173.25" x14ac:dyDescent="0.25">
      <c r="A4669" s="45" t="s">
        <v>491</v>
      </c>
      <c r="B4669" s="276"/>
      <c r="C4669" s="285" t="s">
        <v>571</v>
      </c>
      <c r="D4669" s="59"/>
      <c r="E4669" s="116"/>
      <c r="F4669" s="120"/>
      <c r="G4669" s="120">
        <f t="shared" si="2434"/>
        <v>0</v>
      </c>
      <c r="H4669" s="120">
        <f t="shared" si="2435"/>
        <v>0</v>
      </c>
      <c r="I4669" s="60">
        <f t="shared" si="2436"/>
        <v>0</v>
      </c>
      <c r="J4669" s="116">
        <f t="shared" si="2437"/>
        <v>0</v>
      </c>
      <c r="K4669" s="213">
        <f t="shared" si="2438"/>
        <v>0</v>
      </c>
      <c r="L4669" s="120"/>
      <c r="M4669" s="120">
        <f t="shared" si="2458"/>
        <v>0</v>
      </c>
      <c r="N4669" s="167">
        <f t="shared" si="2439"/>
        <v>0</v>
      </c>
      <c r="O4669" s="120">
        <f t="shared" si="2440"/>
        <v>0</v>
      </c>
      <c r="P4669" s="120">
        <f t="shared" si="2441"/>
        <v>0</v>
      </c>
      <c r="Q4669" s="120">
        <f t="shared" si="2442"/>
        <v>0</v>
      </c>
      <c r="R4669" s="120">
        <f t="shared" si="2459"/>
        <v>0</v>
      </c>
      <c r="S4669" s="120"/>
      <c r="T4669" s="221">
        <f t="shared" si="2460"/>
        <v>0</v>
      </c>
      <c r="U4669" s="89"/>
      <c r="V4669" s="61"/>
      <c r="W4669" s="92"/>
      <c r="X4669" s="38"/>
      <c r="Y4669" s="93"/>
      <c r="Z4669" s="134"/>
      <c r="AA4669" s="93"/>
      <c r="AB4669" s="93">
        <f t="shared" si="2443"/>
        <v>0</v>
      </c>
      <c r="AC4669" s="93">
        <f t="shared" si="2461"/>
        <v>9.9999999999999998E-20</v>
      </c>
      <c r="AD4669" s="94"/>
      <c r="AE4669" s="190"/>
      <c r="AF4669" s="191"/>
      <c r="AG4669" s="191"/>
      <c r="AH4669" s="191"/>
      <c r="AI4669" s="186"/>
      <c r="AK4669" s="171"/>
    </row>
    <row r="4670" spans="1:41" ht="20.100000000000001" customHeight="1" x14ac:dyDescent="0.25">
      <c r="A4670" s="277" t="s">
        <v>491</v>
      </c>
      <c r="B4670" s="278"/>
      <c r="C4670" s="64" t="s">
        <v>572</v>
      </c>
      <c r="D4670" s="46"/>
      <c r="E4670" s="114"/>
      <c r="F4670" s="44"/>
      <c r="G4670" s="44">
        <f t="shared" si="2434"/>
        <v>0</v>
      </c>
      <c r="H4670" s="44">
        <f t="shared" si="2435"/>
        <v>0</v>
      </c>
      <c r="I4670" s="43">
        <f t="shared" si="2436"/>
        <v>0</v>
      </c>
      <c r="J4670" s="112">
        <f t="shared" si="2437"/>
        <v>0</v>
      </c>
      <c r="K4670" s="211">
        <f t="shared" si="2438"/>
        <v>0</v>
      </c>
      <c r="L4670" s="44"/>
      <c r="M4670" s="44">
        <f t="shared" si="2458"/>
        <v>0</v>
      </c>
      <c r="N4670" s="173">
        <f t="shared" si="2439"/>
        <v>0</v>
      </c>
      <c r="O4670" s="44">
        <f t="shared" si="2440"/>
        <v>0</v>
      </c>
      <c r="P4670" s="44">
        <f t="shared" si="2441"/>
        <v>0</v>
      </c>
      <c r="Q4670" s="44">
        <f t="shared" si="2442"/>
        <v>0</v>
      </c>
      <c r="R4670" s="44">
        <f t="shared" si="2459"/>
        <v>0</v>
      </c>
      <c r="S4670" s="123"/>
      <c r="T4670" s="219">
        <f t="shared" si="2460"/>
        <v>0</v>
      </c>
      <c r="U4670" s="87"/>
      <c r="V4670" s="47"/>
      <c r="W4670" s="48"/>
      <c r="X4670" s="48"/>
      <c r="Y4670" s="48"/>
      <c r="Z4670" s="135"/>
      <c r="AA4670" s="49"/>
      <c r="AB4670" s="50">
        <f t="shared" si="2443"/>
        <v>0</v>
      </c>
      <c r="AC4670" s="42">
        <f t="shared" si="2461"/>
        <v>9.9999999999999998E-20</v>
      </c>
      <c r="AD4670" s="90"/>
      <c r="AE4670" s="188"/>
      <c r="AF4670" s="189"/>
      <c r="AG4670" s="189"/>
      <c r="AH4670" s="189"/>
      <c r="AI4670" s="161"/>
    </row>
    <row r="4671" spans="1:41" ht="20.100000000000001" customHeight="1" x14ac:dyDescent="0.25">
      <c r="A4671" s="277" t="s">
        <v>491</v>
      </c>
      <c r="B4671" s="278"/>
      <c r="C4671" s="64" t="s">
        <v>574</v>
      </c>
      <c r="D4671" s="46" t="s">
        <v>215</v>
      </c>
      <c r="E4671" s="114">
        <v>14.45000000000006</v>
      </c>
      <c r="F4671" s="44">
        <v>11392</v>
      </c>
      <c r="G4671" s="44">
        <f t="shared" si="2434"/>
        <v>164614.40000000069</v>
      </c>
      <c r="H4671" s="44">
        <f t="shared" si="2435"/>
        <v>6056.6049403733323</v>
      </c>
      <c r="I4671" s="43">
        <f t="shared" si="2436"/>
        <v>87517.941388395018</v>
      </c>
      <c r="J4671" s="112">
        <f t="shared" si="2437"/>
        <v>14.45000000000006</v>
      </c>
      <c r="K4671" s="211">
        <f t="shared" si="2438"/>
        <v>14.45000000000006</v>
      </c>
      <c r="L4671" s="44"/>
      <c r="M4671" s="44">
        <f t="shared" si="2458"/>
        <v>14.45000000000006</v>
      </c>
      <c r="N4671" s="173">
        <f t="shared" si="2439"/>
        <v>1</v>
      </c>
      <c r="O4671" s="44">
        <f t="shared" si="2440"/>
        <v>11392</v>
      </c>
      <c r="P4671" s="44">
        <f t="shared" si="2441"/>
        <v>164614.40000000069</v>
      </c>
      <c r="Q4671" s="44">
        <f t="shared" si="2442"/>
        <v>6056.6049403733323</v>
      </c>
      <c r="R4671" s="44">
        <f t="shared" si="2459"/>
        <v>87517.941388395018</v>
      </c>
      <c r="S4671" s="123"/>
      <c r="T4671" s="219">
        <f t="shared" si="2460"/>
        <v>87517.941388395018</v>
      </c>
      <c r="U4671" s="87"/>
      <c r="V4671" s="47"/>
      <c r="W4671" s="48"/>
      <c r="X4671" s="48"/>
      <c r="Y4671" s="48"/>
      <c r="Z4671" s="135"/>
      <c r="AA4671" s="49"/>
      <c r="AB4671" s="50">
        <f t="shared" si="2443"/>
        <v>6056.6049403733323</v>
      </c>
      <c r="AC4671" s="42">
        <f t="shared" si="2461"/>
        <v>14.45000000000006</v>
      </c>
      <c r="AD4671" s="90">
        <f>AD4672+AD4677+AD4684+AD4691</f>
        <v>87517.941388395018</v>
      </c>
      <c r="AE4671" s="188">
        <f t="shared" ref="AE4671:AH4671" si="3420">AE4672+AE4677+AE4684+AE4691</f>
        <v>0</v>
      </c>
      <c r="AF4671" s="189">
        <f t="shared" si="3420"/>
        <v>0</v>
      </c>
      <c r="AG4671" s="189">
        <f t="shared" si="3420"/>
        <v>0</v>
      </c>
      <c r="AH4671" s="189">
        <f t="shared" si="3420"/>
        <v>0</v>
      </c>
      <c r="AI4671" s="161">
        <f t="shared" ref="AI4671" si="3421">SUM(AE4671:AH4671)</f>
        <v>0</v>
      </c>
      <c r="AK4671" s="169">
        <v>5</v>
      </c>
      <c r="AO4671" s="19" t="s">
        <v>63</v>
      </c>
    </row>
    <row r="4672" spans="1:41" s="103" customFormat="1" ht="19.899999999999999" customHeight="1" x14ac:dyDescent="0.25">
      <c r="A4672" s="51"/>
      <c r="B4672" s="52"/>
      <c r="C4672" s="165"/>
      <c r="D4672" s="52"/>
      <c r="E4672" s="115"/>
      <c r="F4672" s="58"/>
      <c r="G4672" s="58"/>
      <c r="H4672" s="58"/>
      <c r="I4672" s="55"/>
      <c r="J4672" s="113">
        <f>J4671</f>
        <v>14.45000000000006</v>
      </c>
      <c r="K4672" s="212">
        <f>K4671</f>
        <v>14.45000000000006</v>
      </c>
      <c r="L4672" s="58"/>
      <c r="M4672" s="58">
        <f>K4672-L4672</f>
        <v>14.45000000000006</v>
      </c>
      <c r="N4672" s="166"/>
      <c r="O4672" s="58"/>
      <c r="P4672" s="58"/>
      <c r="Q4672" s="58"/>
      <c r="R4672" s="58"/>
      <c r="S4672" s="58"/>
      <c r="T4672" s="220"/>
      <c r="U4672" s="88"/>
      <c r="V4672" s="56"/>
      <c r="W4672" s="57" t="s">
        <v>1485</v>
      </c>
      <c r="X4672" s="53"/>
      <c r="Y4672" s="91" t="s">
        <v>35</v>
      </c>
      <c r="Z4672" s="136">
        <f>AD4672/AC4672</f>
        <v>50.276078431372554</v>
      </c>
      <c r="AA4672" s="58"/>
      <c r="AB4672" s="53">
        <f>AD4672/AC4672</f>
        <v>50.276078431372554</v>
      </c>
      <c r="AC4672" s="53">
        <f>M4672+$AE$10</f>
        <v>14.45000000000006</v>
      </c>
      <c r="AD4672" s="54">
        <f>SUM(AD4673:AD4676)</f>
        <v>726.48933333333639</v>
      </c>
      <c r="AE4672" s="184">
        <f>SUMIFS($AD$37:$AD$12971,$V$37:$V$12971,$V4672,$X$37:$X$12971,AE$13)</f>
        <v>0</v>
      </c>
      <c r="AF4672" s="185">
        <f>SUMIFS($AD$37:$AD$12971,$V$37:$V$12971,$V4672,$X$37:$X$12971,AF$13)</f>
        <v>0</v>
      </c>
      <c r="AG4672" s="185">
        <f>SUMIFS($AD$37:$AD$12971,$V$37:$V$12971,$V4672,$X$37:$X$12971,AG$13)</f>
        <v>0</v>
      </c>
      <c r="AH4672" s="187">
        <f>SUMIFS($AD$37:$AD$12971,$V$37:$V$12971,$V4672,$X$37:$X$12971,AH$13)</f>
        <v>0</v>
      </c>
      <c r="AI4672" s="161">
        <f t="shared" ref="AI4672" si="3422">SUM(AE4672:AH4672)</f>
        <v>0</v>
      </c>
      <c r="AK4672" s="172"/>
    </row>
    <row r="4673" spans="1:37" s="102" customFormat="1" ht="19.899999999999999" customHeight="1" x14ac:dyDescent="0.25">
      <c r="A4673" s="45"/>
      <c r="B4673" s="59"/>
      <c r="C4673" s="137"/>
      <c r="D4673" s="59"/>
      <c r="E4673" s="116"/>
      <c r="F4673" s="120"/>
      <c r="G4673" s="120"/>
      <c r="H4673" s="120"/>
      <c r="I4673" s="60"/>
      <c r="J4673" s="116"/>
      <c r="K4673" s="213"/>
      <c r="L4673" s="120"/>
      <c r="M4673" s="120"/>
      <c r="N4673" s="167"/>
      <c r="O4673" s="120"/>
      <c r="P4673" s="120"/>
      <c r="Q4673" s="120"/>
      <c r="R4673" s="120"/>
      <c r="S4673" s="120"/>
      <c r="T4673" s="221"/>
      <c r="U4673" s="89"/>
      <c r="V4673" s="61"/>
      <c r="W4673" s="92" t="s">
        <v>129</v>
      </c>
      <c r="X4673" s="93" t="s">
        <v>29</v>
      </c>
      <c r="Y4673" s="93" t="s">
        <v>93</v>
      </c>
      <c r="Z4673" s="134">
        <f>VLOOKUP(W4673,Sheet2!$B:$D,3,FALSE)</f>
        <v>56</v>
      </c>
      <c r="AA4673" s="93">
        <f>100/(2.5*2.5*2)</f>
        <v>8</v>
      </c>
      <c r="AB4673" s="93">
        <f t="shared" ref="AB4673" si="3423">AD4673/AC4672</f>
        <v>7</v>
      </c>
      <c r="AC4673" s="93">
        <f>AC4672/AA4673</f>
        <v>1.8062500000000075</v>
      </c>
      <c r="AD4673" s="94">
        <f t="shared" ref="AD4673:AD4674" si="3424">AC4673*Z4673</f>
        <v>101.15000000000042</v>
      </c>
      <c r="AE4673" s="190"/>
      <c r="AF4673" s="191"/>
      <c r="AG4673" s="191"/>
      <c r="AH4673" s="191"/>
      <c r="AI4673" s="186"/>
      <c r="AK4673" s="171"/>
    </row>
    <row r="4674" spans="1:37" s="102" customFormat="1" ht="19.899999999999999" customHeight="1" x14ac:dyDescent="0.25">
      <c r="A4674" s="45"/>
      <c r="B4674" s="59"/>
      <c r="C4674" s="137"/>
      <c r="D4674" s="59"/>
      <c r="E4674" s="116"/>
      <c r="F4674" s="120"/>
      <c r="G4674" s="120"/>
      <c r="H4674" s="120"/>
      <c r="I4674" s="60"/>
      <c r="J4674" s="116"/>
      <c r="K4674" s="213"/>
      <c r="L4674" s="120"/>
      <c r="M4674" s="120"/>
      <c r="N4674" s="167"/>
      <c r="O4674" s="120"/>
      <c r="P4674" s="120"/>
      <c r="Q4674" s="120"/>
      <c r="R4674" s="120"/>
      <c r="S4674" s="120"/>
      <c r="T4674" s="221"/>
      <c r="U4674" s="89"/>
      <c r="V4674" s="61"/>
      <c r="W4674" s="92" t="s">
        <v>65</v>
      </c>
      <c r="X4674" s="93" t="s">
        <v>30</v>
      </c>
      <c r="Y4674" s="93" t="s">
        <v>1011</v>
      </c>
      <c r="Z4674" s="134">
        <f>VLOOKUP(W4674,Sheet2!$B:$D,3,FALSE)</f>
        <v>1.76</v>
      </c>
      <c r="AA4674" s="93">
        <f>AA4673/14</f>
        <v>0.5714285714285714</v>
      </c>
      <c r="AB4674" s="93">
        <f>AD4674/AC4672</f>
        <v>3.08</v>
      </c>
      <c r="AC4674" s="93">
        <f>AC4672/AA4674</f>
        <v>25.287500000000104</v>
      </c>
      <c r="AD4674" s="94">
        <f t="shared" si="3424"/>
        <v>44.506000000000185</v>
      </c>
      <c r="AE4674" s="190"/>
      <c r="AF4674" s="191"/>
      <c r="AG4674" s="191"/>
      <c r="AH4674" s="191"/>
      <c r="AI4674" s="186"/>
      <c r="AK4674" s="171"/>
    </row>
    <row r="4675" spans="1:37" s="102" customFormat="1" ht="19.899999999999999" customHeight="1" x14ac:dyDescent="0.25">
      <c r="A4675" s="45"/>
      <c r="B4675" s="59"/>
      <c r="C4675" s="137"/>
      <c r="D4675" s="59"/>
      <c r="E4675" s="116"/>
      <c r="F4675" s="120"/>
      <c r="G4675" s="120"/>
      <c r="H4675" s="120"/>
      <c r="I4675" s="60"/>
      <c r="J4675" s="116"/>
      <c r="K4675" s="213"/>
      <c r="L4675" s="120"/>
      <c r="M4675" s="120"/>
      <c r="N4675" s="167"/>
      <c r="O4675" s="120"/>
      <c r="P4675" s="120"/>
      <c r="Q4675" s="120"/>
      <c r="R4675" s="120"/>
      <c r="S4675" s="120"/>
      <c r="T4675" s="221"/>
      <c r="U4675" s="89"/>
      <c r="V4675" s="61"/>
      <c r="W4675" s="92" t="s">
        <v>161</v>
      </c>
      <c r="X4675" s="93" t="s">
        <v>29</v>
      </c>
      <c r="Y4675" s="93" t="s">
        <v>93</v>
      </c>
      <c r="Z4675" s="134">
        <f>VLOOKUP(W4675,Sheet2!$B:$D,3,FALSE)</f>
        <v>48</v>
      </c>
      <c r="AA4675" s="93">
        <f>(16*0.85*1.5)/(2.5*2.5*2)</f>
        <v>1.6319999999999999</v>
      </c>
      <c r="AB4675" s="93">
        <f>AD4675/AC4672</f>
        <v>29.411764705882355</v>
      </c>
      <c r="AC4675" s="93">
        <f>AC4672/AA4675</f>
        <v>8.8541666666667034</v>
      </c>
      <c r="AD4675" s="94">
        <f>AC4675*Z4675</f>
        <v>425.00000000000176</v>
      </c>
      <c r="AE4675" s="190"/>
      <c r="AF4675" s="191"/>
      <c r="AG4675" s="191"/>
      <c r="AH4675" s="191"/>
      <c r="AI4675" s="186"/>
      <c r="AK4675" s="171"/>
    </row>
    <row r="4676" spans="1:37" s="102" customFormat="1" ht="19.899999999999999" customHeight="1" x14ac:dyDescent="0.25">
      <c r="A4676" s="45"/>
      <c r="B4676" s="59"/>
      <c r="C4676" s="137"/>
      <c r="D4676" s="59"/>
      <c r="E4676" s="116"/>
      <c r="F4676" s="120"/>
      <c r="G4676" s="120"/>
      <c r="H4676" s="120"/>
      <c r="I4676" s="60"/>
      <c r="J4676" s="116"/>
      <c r="K4676" s="213"/>
      <c r="L4676" s="120"/>
      <c r="M4676" s="120"/>
      <c r="N4676" s="167"/>
      <c r="O4676" s="120"/>
      <c r="P4676" s="120"/>
      <c r="Q4676" s="120"/>
      <c r="R4676" s="120"/>
      <c r="S4676" s="120"/>
      <c r="T4676" s="221"/>
      <c r="U4676" s="89"/>
      <c r="V4676" s="61"/>
      <c r="W4676" s="92" t="s">
        <v>65</v>
      </c>
      <c r="X4676" s="93" t="s">
        <v>30</v>
      </c>
      <c r="Y4676" s="93" t="s">
        <v>1011</v>
      </c>
      <c r="Z4676" s="134">
        <f>VLOOKUP(W4676,Sheet2!$B:$D,3,FALSE)</f>
        <v>1.76</v>
      </c>
      <c r="AA4676" s="93">
        <f>AA4675/10</f>
        <v>0.16319999999999998</v>
      </c>
      <c r="AB4676" s="93">
        <f>AD4676/AC4672</f>
        <v>10.784313725490197</v>
      </c>
      <c r="AC4676" s="93">
        <f>AC4672/AA4676</f>
        <v>88.541666666667041</v>
      </c>
      <c r="AD4676" s="94">
        <f>AC4676*Z4676</f>
        <v>155.833333333334</v>
      </c>
      <c r="AE4676" s="190"/>
      <c r="AF4676" s="191"/>
      <c r="AG4676" s="191"/>
      <c r="AH4676" s="191"/>
      <c r="AI4676" s="186"/>
      <c r="AK4676" s="171"/>
    </row>
    <row r="4677" spans="1:37" s="103" customFormat="1" ht="19.899999999999999" customHeight="1" x14ac:dyDescent="0.25">
      <c r="A4677" s="51"/>
      <c r="B4677" s="52"/>
      <c r="C4677" s="165"/>
      <c r="D4677" s="52"/>
      <c r="E4677" s="115"/>
      <c r="F4677" s="58"/>
      <c r="G4677" s="58"/>
      <c r="H4677" s="58"/>
      <c r="I4677" s="55"/>
      <c r="J4677" s="113">
        <f>J4671</f>
        <v>14.45000000000006</v>
      </c>
      <c r="K4677" s="212">
        <f>K4671</f>
        <v>14.45000000000006</v>
      </c>
      <c r="L4677" s="58"/>
      <c r="M4677" s="58">
        <f>K4677-L4677</f>
        <v>14.45000000000006</v>
      </c>
      <c r="N4677" s="166"/>
      <c r="O4677" s="58"/>
      <c r="P4677" s="58"/>
      <c r="Q4677" s="58"/>
      <c r="R4677" s="58"/>
      <c r="S4677" s="58"/>
      <c r="T4677" s="220"/>
      <c r="U4677" s="88"/>
      <c r="V4677" s="56"/>
      <c r="W4677" s="57" t="s">
        <v>1486</v>
      </c>
      <c r="X4677" s="53"/>
      <c r="Y4677" s="91" t="s">
        <v>35</v>
      </c>
      <c r="Z4677" s="136">
        <f>AD4677/AC4677</f>
        <v>1432.6960000000001</v>
      </c>
      <c r="AA4677" s="58"/>
      <c r="AB4677" s="53">
        <f>AD4677/AC4677</f>
        <v>1432.6960000000001</v>
      </c>
      <c r="AC4677" s="53">
        <f>M4677+$AE$10</f>
        <v>14.45000000000006</v>
      </c>
      <c r="AD4677" s="54">
        <f>SUM(AD4678:AD4683)</f>
        <v>20702.457200000088</v>
      </c>
      <c r="AE4677" s="184">
        <f>SUMIFS($AD$37:$AD$12971,$V$37:$V$12971,$V4677,$X$37:$X$12971,AE$13)</f>
        <v>0</v>
      </c>
      <c r="AF4677" s="185">
        <f>SUMIFS($AD$37:$AD$12971,$V$37:$V$12971,$V4677,$X$37:$X$12971,AF$13)</f>
        <v>0</v>
      </c>
      <c r="AG4677" s="185">
        <f>SUMIFS($AD$37:$AD$12971,$V$37:$V$12971,$V4677,$X$37:$X$12971,AG$13)</f>
        <v>0</v>
      </c>
      <c r="AH4677" s="187">
        <f>SUMIFS($AD$37:$AD$12971,$V$37:$V$12971,$V4677,$X$37:$X$12971,AH$13)</f>
        <v>0</v>
      </c>
      <c r="AI4677" s="161">
        <f t="shared" ref="AI4677" si="3425">SUM(AE4677:AH4677)</f>
        <v>0</v>
      </c>
      <c r="AK4677" s="172"/>
    </row>
    <row r="4678" spans="1:37" s="102" customFormat="1" ht="19.899999999999999" customHeight="1" x14ac:dyDescent="0.25">
      <c r="A4678" s="45"/>
      <c r="B4678" s="59"/>
      <c r="C4678" s="137"/>
      <c r="D4678" s="59"/>
      <c r="E4678" s="116"/>
      <c r="F4678" s="120"/>
      <c r="G4678" s="120"/>
      <c r="H4678" s="120"/>
      <c r="I4678" s="60"/>
      <c r="J4678" s="116"/>
      <c r="K4678" s="213"/>
      <c r="L4678" s="120"/>
      <c r="M4678" s="120"/>
      <c r="N4678" s="167"/>
      <c r="O4678" s="120"/>
      <c r="P4678" s="120"/>
      <c r="Q4678" s="120"/>
      <c r="R4678" s="120"/>
      <c r="S4678" s="120"/>
      <c r="T4678" s="221"/>
      <c r="U4678" s="89"/>
      <c r="V4678" s="61"/>
      <c r="W4678" s="92" t="s">
        <v>1032</v>
      </c>
      <c r="X4678" s="93" t="s">
        <v>30</v>
      </c>
      <c r="Y4678" s="93" t="s">
        <v>66</v>
      </c>
      <c r="Z4678" s="134">
        <f>VLOOKUP(W4678,Sheet2!$B:$D,3,FALSE)</f>
        <v>250</v>
      </c>
      <c r="AA4678" s="93">
        <f>1/(2.1*2.1*0.1)</f>
        <v>2.2675736961451243</v>
      </c>
      <c r="AB4678" s="93">
        <f>AD4678/AC4684</f>
        <v>110.25000000000001</v>
      </c>
      <c r="AC4678" s="93">
        <f>AC4684/AA4678</f>
        <v>6.3724500000000273</v>
      </c>
      <c r="AD4678" s="94">
        <f t="shared" ref="AD4678:AD4680" si="3426">AC4678*Z4678</f>
        <v>1593.1125000000068</v>
      </c>
      <c r="AE4678" s="190"/>
      <c r="AF4678" s="191"/>
      <c r="AG4678" s="191"/>
      <c r="AH4678" s="191"/>
      <c r="AI4678" s="186"/>
      <c r="AK4678" s="171"/>
    </row>
    <row r="4679" spans="1:37" s="102" customFormat="1" ht="19.899999999999999" customHeight="1" x14ac:dyDescent="0.25">
      <c r="A4679" s="45"/>
      <c r="B4679" s="59"/>
      <c r="C4679" s="137"/>
      <c r="D4679" s="59"/>
      <c r="E4679" s="116"/>
      <c r="F4679" s="120"/>
      <c r="G4679" s="120"/>
      <c r="H4679" s="120"/>
      <c r="I4679" s="60"/>
      <c r="J4679" s="116"/>
      <c r="K4679" s="213"/>
      <c r="L4679" s="120"/>
      <c r="M4679" s="120"/>
      <c r="N4679" s="167"/>
      <c r="O4679" s="120"/>
      <c r="P4679" s="120"/>
      <c r="Q4679" s="120"/>
      <c r="R4679" s="120"/>
      <c r="S4679" s="120"/>
      <c r="T4679" s="221"/>
      <c r="U4679" s="89"/>
      <c r="V4679" s="61"/>
      <c r="W4679" s="92" t="s">
        <v>1353</v>
      </c>
      <c r="X4679" s="93" t="s">
        <v>30</v>
      </c>
      <c r="Y4679" s="93" t="s">
        <v>66</v>
      </c>
      <c r="Z4679" s="134">
        <f>VLOOKUP(W4679,Sheet2!$B:$D,3,FALSE)</f>
        <v>350</v>
      </c>
      <c r="AA4679" s="93">
        <f>1/(2*2*0.3)</f>
        <v>0.83333333333333337</v>
      </c>
      <c r="AB4679" s="93">
        <f>AD4679/AC4684</f>
        <v>419.99999999999994</v>
      </c>
      <c r="AC4679" s="93">
        <f>AC4684/AA4679</f>
        <v>17.340000000000071</v>
      </c>
      <c r="AD4679" s="94">
        <f t="shared" si="3426"/>
        <v>6069.0000000000246</v>
      </c>
      <c r="AE4679" s="190"/>
      <c r="AF4679" s="191"/>
      <c r="AG4679" s="191"/>
      <c r="AH4679" s="191"/>
      <c r="AI4679" s="186"/>
      <c r="AK4679" s="171"/>
    </row>
    <row r="4680" spans="1:37" s="102" customFormat="1" ht="19.899999999999999" customHeight="1" x14ac:dyDescent="0.25">
      <c r="A4680" s="45"/>
      <c r="B4680" s="59"/>
      <c r="C4680" s="137"/>
      <c r="D4680" s="59"/>
      <c r="E4680" s="116"/>
      <c r="F4680" s="120"/>
      <c r="G4680" s="120"/>
      <c r="H4680" s="120"/>
      <c r="I4680" s="60"/>
      <c r="J4680" s="116"/>
      <c r="K4680" s="213"/>
      <c r="L4680" s="120"/>
      <c r="M4680" s="120"/>
      <c r="N4680" s="167"/>
      <c r="O4680" s="120"/>
      <c r="P4680" s="120"/>
      <c r="Q4680" s="120"/>
      <c r="R4680" s="120"/>
      <c r="S4680" s="120"/>
      <c r="T4680" s="221"/>
      <c r="U4680" s="89"/>
      <c r="V4680" s="61"/>
      <c r="W4680" s="92" t="s">
        <v>99</v>
      </c>
      <c r="X4680" s="93" t="s">
        <v>30</v>
      </c>
      <c r="Y4680" s="93" t="s">
        <v>67</v>
      </c>
      <c r="Z4680" s="134">
        <f>VLOOKUP(W4680,Sheet2!$B:$D,3,FALSE)</f>
        <v>2500</v>
      </c>
      <c r="AA4680" s="93">
        <f>AA4679/0.08</f>
        <v>10.416666666666666</v>
      </c>
      <c r="AB4680" s="93">
        <f>AD4680/AC4684</f>
        <v>240.00000000000003</v>
      </c>
      <c r="AC4680" s="93">
        <f>AC4684/AA4680</f>
        <v>1.3872000000000058</v>
      </c>
      <c r="AD4680" s="94">
        <f t="shared" si="3426"/>
        <v>3468.0000000000146</v>
      </c>
      <c r="AE4680" s="190"/>
      <c r="AF4680" s="191"/>
      <c r="AG4680" s="191"/>
      <c r="AH4680" s="191"/>
      <c r="AI4680" s="186"/>
      <c r="AK4680" s="171"/>
    </row>
    <row r="4681" spans="1:37" s="102" customFormat="1" ht="19.899999999999999" customHeight="1" x14ac:dyDescent="0.25">
      <c r="A4681" s="45"/>
      <c r="B4681" s="59"/>
      <c r="C4681" s="137"/>
      <c r="D4681" s="59"/>
      <c r="E4681" s="116"/>
      <c r="F4681" s="120"/>
      <c r="G4681" s="120"/>
      <c r="H4681" s="120"/>
      <c r="I4681" s="60"/>
      <c r="J4681" s="116"/>
      <c r="K4681" s="213"/>
      <c r="L4681" s="120"/>
      <c r="M4681" s="120"/>
      <c r="N4681" s="167"/>
      <c r="O4681" s="120"/>
      <c r="P4681" s="120"/>
      <c r="Q4681" s="120"/>
      <c r="R4681" s="120"/>
      <c r="S4681" s="120"/>
      <c r="T4681" s="221"/>
      <c r="U4681" s="89"/>
      <c r="V4681" s="61"/>
      <c r="W4681" s="92" t="s">
        <v>1354</v>
      </c>
      <c r="X4681" s="93" t="s">
        <v>32</v>
      </c>
      <c r="Y4681" s="93" t="s">
        <v>66</v>
      </c>
      <c r="Z4681" s="134">
        <f>VLOOKUP(W4681,Sheet2!$B:$D,3,FALSE)</f>
        <v>150</v>
      </c>
      <c r="AA4681" s="93">
        <f>AA4678</f>
        <v>2.2675736961451243</v>
      </c>
      <c r="AB4681" s="93">
        <f>AD4681/AC4684</f>
        <v>66.150000000000006</v>
      </c>
      <c r="AC4681" s="93">
        <f>AC4684/AA4681</f>
        <v>6.3724500000000273</v>
      </c>
      <c r="AD4681" s="94">
        <f>AC4681*Z4681</f>
        <v>955.86750000000404</v>
      </c>
      <c r="AE4681" s="190"/>
      <c r="AF4681" s="191"/>
      <c r="AG4681" s="191"/>
      <c r="AH4681" s="191"/>
      <c r="AI4681" s="186"/>
      <c r="AK4681" s="171"/>
    </row>
    <row r="4682" spans="1:37" s="102" customFormat="1" ht="19.899999999999999" customHeight="1" x14ac:dyDescent="0.25">
      <c r="A4682" s="45"/>
      <c r="B4682" s="59"/>
      <c r="C4682" s="137"/>
      <c r="D4682" s="59"/>
      <c r="E4682" s="116"/>
      <c r="F4682" s="120"/>
      <c r="G4682" s="120"/>
      <c r="H4682" s="120"/>
      <c r="I4682" s="60"/>
      <c r="J4682" s="116"/>
      <c r="K4682" s="213"/>
      <c r="L4682" s="120"/>
      <c r="M4682" s="120"/>
      <c r="N4682" s="167"/>
      <c r="O4682" s="120"/>
      <c r="P4682" s="120"/>
      <c r="Q4682" s="120"/>
      <c r="R4682" s="120"/>
      <c r="S4682" s="120"/>
      <c r="T4682" s="221"/>
      <c r="U4682" s="89"/>
      <c r="V4682" s="61"/>
      <c r="W4682" s="92" t="s">
        <v>1355</v>
      </c>
      <c r="X4682" s="93" t="s">
        <v>32</v>
      </c>
      <c r="Y4682" s="93" t="s">
        <v>66</v>
      </c>
      <c r="Z4682" s="134">
        <f>VLOOKUP(W4682,Sheet2!$B:$D,3,FALSE)</f>
        <v>450</v>
      </c>
      <c r="AA4682" s="93">
        <f>AA4679</f>
        <v>0.83333333333333337</v>
      </c>
      <c r="AB4682" s="93">
        <f>AD4682/AC4684</f>
        <v>540</v>
      </c>
      <c r="AC4682" s="93">
        <f>AC4684/AA4682</f>
        <v>17.340000000000071</v>
      </c>
      <c r="AD4682" s="94">
        <f>AC4682*Z4682</f>
        <v>7803.0000000000318</v>
      </c>
      <c r="AE4682" s="190"/>
      <c r="AF4682" s="191"/>
      <c r="AG4682" s="191"/>
      <c r="AH4682" s="191"/>
      <c r="AI4682" s="186"/>
      <c r="AK4682" s="171"/>
    </row>
    <row r="4683" spans="1:37" s="102" customFormat="1" ht="19.899999999999999" customHeight="1" x14ac:dyDescent="0.25">
      <c r="A4683" s="45"/>
      <c r="B4683" s="59"/>
      <c r="C4683" s="137"/>
      <c r="D4683" s="59"/>
      <c r="E4683" s="116"/>
      <c r="F4683" s="120"/>
      <c r="G4683" s="120"/>
      <c r="H4683" s="120"/>
      <c r="I4683" s="60"/>
      <c r="J4683" s="116"/>
      <c r="K4683" s="213"/>
      <c r="L4683" s="120"/>
      <c r="M4683" s="120"/>
      <c r="N4683" s="167"/>
      <c r="O4683" s="120"/>
      <c r="P4683" s="120"/>
      <c r="Q4683" s="120"/>
      <c r="R4683" s="120"/>
      <c r="S4683" s="120"/>
      <c r="T4683" s="221"/>
      <c r="U4683" s="89"/>
      <c r="V4683" s="61"/>
      <c r="W4683" s="92" t="s">
        <v>124</v>
      </c>
      <c r="X4683" s="93" t="s">
        <v>32</v>
      </c>
      <c r="Y4683" s="93" t="s">
        <v>64</v>
      </c>
      <c r="Z4683" s="134">
        <f>VLOOKUP(W4683,Sheet2!$B:$D,3,FALSE)</f>
        <v>10</v>
      </c>
      <c r="AA4683" s="93">
        <f>1/((2.6*2.6)-(3.14*1.2*1.2/4))</f>
        <v>0.17763251385533604</v>
      </c>
      <c r="AB4683" s="93">
        <f t="shared" ref="AB4683" si="3427">AD4683/AC4677</f>
        <v>56.296000000000006</v>
      </c>
      <c r="AC4683" s="93">
        <f>AC4677/AA4683</f>
        <v>81.347720000000351</v>
      </c>
      <c r="AD4683" s="94">
        <f t="shared" ref="AD4683" si="3428">AC4683*Z4683</f>
        <v>813.47720000000345</v>
      </c>
      <c r="AE4683" s="190"/>
      <c r="AF4683" s="191"/>
      <c r="AG4683" s="191"/>
      <c r="AH4683" s="191"/>
      <c r="AI4683" s="186"/>
      <c r="AK4683" s="171"/>
    </row>
    <row r="4684" spans="1:37" s="103" customFormat="1" ht="19.899999999999999" customHeight="1" x14ac:dyDescent="0.25">
      <c r="A4684" s="51"/>
      <c r="B4684" s="52"/>
      <c r="C4684" s="165"/>
      <c r="D4684" s="52"/>
      <c r="E4684" s="115"/>
      <c r="F4684" s="58"/>
      <c r="G4684" s="58"/>
      <c r="H4684" s="58"/>
      <c r="I4684" s="55"/>
      <c r="J4684" s="113">
        <f>J4671</f>
        <v>14.45000000000006</v>
      </c>
      <c r="K4684" s="212">
        <f>K4671</f>
        <v>14.45000000000006</v>
      </c>
      <c r="L4684" s="58"/>
      <c r="M4684" s="58">
        <f>K4684-L4684</f>
        <v>14.45000000000006</v>
      </c>
      <c r="N4684" s="166"/>
      <c r="O4684" s="58"/>
      <c r="P4684" s="58"/>
      <c r="Q4684" s="58"/>
      <c r="R4684" s="58"/>
      <c r="S4684" s="58"/>
      <c r="T4684" s="220"/>
      <c r="U4684" s="88"/>
      <c r="V4684" s="56"/>
      <c r="W4684" s="57" t="s">
        <v>1275</v>
      </c>
      <c r="X4684" s="53"/>
      <c r="Y4684" s="91" t="s">
        <v>35</v>
      </c>
      <c r="Z4684" s="136">
        <f>AD4684/AC4684</f>
        <v>4362.8</v>
      </c>
      <c r="AA4684" s="58"/>
      <c r="AB4684" s="53">
        <f>AD4684/AC4684</f>
        <v>4362.8</v>
      </c>
      <c r="AC4684" s="53">
        <f>M4684+$AE$10</f>
        <v>14.45000000000006</v>
      </c>
      <c r="AD4684" s="54">
        <f>SUM(AD4685:AD4690)</f>
        <v>63042.460000000261</v>
      </c>
      <c r="AE4684" s="184">
        <f>SUMIFS($AD$37:$AD$12971,$V$37:$V$12971,$V4684,$X$37:$X$12971,AE$13)</f>
        <v>0</v>
      </c>
      <c r="AF4684" s="185">
        <f>SUMIFS($AD$37:$AD$12971,$V$37:$V$12971,$V4684,$X$37:$X$12971,AF$13)</f>
        <v>0</v>
      </c>
      <c r="AG4684" s="185">
        <f>SUMIFS($AD$37:$AD$12971,$V$37:$V$12971,$V4684,$X$37:$X$12971,AG$13)</f>
        <v>0</v>
      </c>
      <c r="AH4684" s="187">
        <f>SUMIFS($AD$37:$AD$12971,$V$37:$V$12971,$V4684,$X$37:$X$12971,AH$13)</f>
        <v>0</v>
      </c>
      <c r="AI4684" s="161">
        <f t="shared" ref="AI4684" si="3429">SUM(AE4684:AH4684)</f>
        <v>0</v>
      </c>
      <c r="AK4684" s="172"/>
    </row>
    <row r="4685" spans="1:37" s="102" customFormat="1" ht="19.899999999999999" customHeight="1" x14ac:dyDescent="0.25">
      <c r="A4685" s="45"/>
      <c r="B4685" s="59"/>
      <c r="C4685" s="137"/>
      <c r="D4685" s="59"/>
      <c r="E4685" s="116"/>
      <c r="F4685" s="120"/>
      <c r="G4685" s="120"/>
      <c r="H4685" s="120"/>
      <c r="I4685" s="60"/>
      <c r="J4685" s="116"/>
      <c r="K4685" s="213"/>
      <c r="L4685" s="120"/>
      <c r="M4685" s="120"/>
      <c r="N4685" s="167"/>
      <c r="O4685" s="120"/>
      <c r="P4685" s="120"/>
      <c r="Q4685" s="120"/>
      <c r="R4685" s="120"/>
      <c r="S4685" s="120"/>
      <c r="T4685" s="221"/>
      <c r="U4685" s="89"/>
      <c r="V4685" s="61"/>
      <c r="W4685" s="92" t="s">
        <v>1488</v>
      </c>
      <c r="X4685" s="93" t="s">
        <v>30</v>
      </c>
      <c r="Y4685" s="93" t="s">
        <v>35</v>
      </c>
      <c r="Z4685" s="134">
        <f>VLOOKUP(W4685,Sheet2!$B:$D,3,FALSE)</f>
        <v>2590</v>
      </c>
      <c r="AA4685" s="93">
        <v>1</v>
      </c>
      <c r="AB4685" s="93">
        <f>AD4685/AC4684</f>
        <v>2590</v>
      </c>
      <c r="AC4685" s="93">
        <f>AC4684/AA4685</f>
        <v>14.45000000000006</v>
      </c>
      <c r="AD4685" s="94">
        <f t="shared" ref="AD4685:AD4686" si="3430">AC4685*Z4685</f>
        <v>37425.500000000153</v>
      </c>
      <c r="AE4685" s="190"/>
      <c r="AF4685" s="191"/>
      <c r="AG4685" s="191"/>
      <c r="AH4685" s="191"/>
      <c r="AI4685" s="186"/>
      <c r="AK4685" s="171"/>
    </row>
    <row r="4686" spans="1:37" s="102" customFormat="1" ht="19.899999999999999" customHeight="1" x14ac:dyDescent="0.25">
      <c r="A4686" s="45"/>
      <c r="B4686" s="59"/>
      <c r="C4686" s="137"/>
      <c r="D4686" s="59"/>
      <c r="E4686" s="116"/>
      <c r="F4686" s="120"/>
      <c r="G4686" s="120"/>
      <c r="H4686" s="120"/>
      <c r="I4686" s="60"/>
      <c r="J4686" s="116"/>
      <c r="K4686" s="213"/>
      <c r="L4686" s="120"/>
      <c r="M4686" s="120"/>
      <c r="N4686" s="167"/>
      <c r="O4686" s="120"/>
      <c r="P4686" s="120"/>
      <c r="Q4686" s="120"/>
      <c r="R4686" s="120"/>
      <c r="S4686" s="120"/>
      <c r="T4686" s="221"/>
      <c r="U4686" s="89"/>
      <c r="V4686" s="61"/>
      <c r="W4686" s="92" t="s">
        <v>174</v>
      </c>
      <c r="X4686" s="93" t="s">
        <v>29</v>
      </c>
      <c r="Y4686" s="93" t="s">
        <v>93</v>
      </c>
      <c r="Z4686" s="134">
        <f>VLOOKUP(W4686,Sheet2!$B:$D,3,FALSE)</f>
        <v>80</v>
      </c>
      <c r="AA4686" s="93">
        <f>1/2</f>
        <v>0.5</v>
      </c>
      <c r="AB4686" s="93">
        <f>AD4686/AC4684</f>
        <v>160</v>
      </c>
      <c r="AC4686" s="93">
        <f>AC4684/AA4686</f>
        <v>28.900000000000119</v>
      </c>
      <c r="AD4686" s="94">
        <f t="shared" si="3430"/>
        <v>2312.0000000000095</v>
      </c>
      <c r="AE4686" s="190"/>
      <c r="AF4686" s="191"/>
      <c r="AG4686" s="191"/>
      <c r="AH4686" s="191"/>
      <c r="AI4686" s="186"/>
      <c r="AK4686" s="171"/>
    </row>
    <row r="4687" spans="1:37" s="102" customFormat="1" ht="19.899999999999999" customHeight="1" x14ac:dyDescent="0.25">
      <c r="A4687" s="45"/>
      <c r="B4687" s="59"/>
      <c r="C4687" s="137"/>
      <c r="D4687" s="59"/>
      <c r="E4687" s="116"/>
      <c r="F4687" s="120"/>
      <c r="G4687" s="120"/>
      <c r="H4687" s="120"/>
      <c r="I4687" s="60"/>
      <c r="J4687" s="116"/>
      <c r="K4687" s="213"/>
      <c r="L4687" s="120"/>
      <c r="M4687" s="120"/>
      <c r="N4687" s="167"/>
      <c r="O4687" s="120"/>
      <c r="P4687" s="120"/>
      <c r="Q4687" s="120"/>
      <c r="R4687" s="120"/>
      <c r="S4687" s="120"/>
      <c r="T4687" s="221"/>
      <c r="U4687" s="89"/>
      <c r="V4687" s="61"/>
      <c r="W4687" s="92" t="s">
        <v>65</v>
      </c>
      <c r="X4687" s="93" t="s">
        <v>30</v>
      </c>
      <c r="Y4687" s="93" t="s">
        <v>93</v>
      </c>
      <c r="Z4687" s="134">
        <f>VLOOKUP(W4687,Sheet2!$B:$D,3,FALSE)</f>
        <v>1.76</v>
      </c>
      <c r="AA4687" s="93">
        <f>AA4686/15</f>
        <v>3.3333333333333333E-2</v>
      </c>
      <c r="AB4687" s="93">
        <f>AD4687/AC4684</f>
        <v>52.800000000000004</v>
      </c>
      <c r="AC4687" s="93">
        <f>AC4684/AA4687</f>
        <v>433.50000000000182</v>
      </c>
      <c r="AD4687" s="94">
        <f>AC4687*Z4687</f>
        <v>762.96000000000322</v>
      </c>
      <c r="AE4687" s="190"/>
      <c r="AF4687" s="191"/>
      <c r="AG4687" s="191"/>
      <c r="AH4687" s="191"/>
      <c r="AI4687" s="186"/>
      <c r="AK4687" s="171"/>
    </row>
    <row r="4688" spans="1:37" s="102" customFormat="1" ht="19.899999999999999" customHeight="1" x14ac:dyDescent="0.25">
      <c r="A4688" s="45"/>
      <c r="B4688" s="59"/>
      <c r="C4688" s="137"/>
      <c r="D4688" s="59"/>
      <c r="E4688" s="116"/>
      <c r="F4688" s="120"/>
      <c r="G4688" s="120"/>
      <c r="H4688" s="120"/>
      <c r="I4688" s="60"/>
      <c r="J4688" s="116"/>
      <c r="K4688" s="213"/>
      <c r="L4688" s="120"/>
      <c r="M4688" s="120"/>
      <c r="N4688" s="167"/>
      <c r="O4688" s="120"/>
      <c r="P4688" s="120"/>
      <c r="Q4688" s="120"/>
      <c r="R4688" s="120"/>
      <c r="S4688" s="120"/>
      <c r="T4688" s="221"/>
      <c r="U4688" s="89"/>
      <c r="V4688" s="61"/>
      <c r="W4688" s="92" t="s">
        <v>1487</v>
      </c>
      <c r="X4688" s="93" t="s">
        <v>32</v>
      </c>
      <c r="Y4688" s="93" t="s">
        <v>1349</v>
      </c>
      <c r="Z4688" s="134">
        <f>VLOOKUP(W4688,Sheet2!$B:$D,3,FALSE)</f>
        <v>1500</v>
      </c>
      <c r="AA4688" s="93">
        <v>1</v>
      </c>
      <c r="AB4688" s="93">
        <f>AD4688/AC4684</f>
        <v>1500</v>
      </c>
      <c r="AC4688" s="93">
        <f>AC4684/AA4688</f>
        <v>14.45000000000006</v>
      </c>
      <c r="AD4688" s="94">
        <f>AC4688*Z4688</f>
        <v>21675.000000000091</v>
      </c>
      <c r="AE4688" s="190"/>
      <c r="AF4688" s="191"/>
      <c r="AG4688" s="191"/>
      <c r="AH4688" s="191"/>
      <c r="AI4688" s="186"/>
      <c r="AK4688" s="171"/>
    </row>
    <row r="4689" spans="1:41" s="102" customFormat="1" ht="19.899999999999999" customHeight="1" x14ac:dyDescent="0.25">
      <c r="A4689" s="45"/>
      <c r="B4689" s="59"/>
      <c r="C4689" s="137"/>
      <c r="D4689" s="59"/>
      <c r="E4689" s="116"/>
      <c r="F4689" s="120"/>
      <c r="G4689" s="120"/>
      <c r="H4689" s="120"/>
      <c r="I4689" s="60"/>
      <c r="J4689" s="116"/>
      <c r="K4689" s="213"/>
      <c r="L4689" s="120"/>
      <c r="M4689" s="120"/>
      <c r="N4689" s="167"/>
      <c r="O4689" s="120"/>
      <c r="P4689" s="120"/>
      <c r="Q4689" s="120"/>
      <c r="R4689" s="120"/>
      <c r="S4689" s="120"/>
      <c r="T4689" s="221"/>
      <c r="U4689" s="89"/>
      <c r="V4689" s="61"/>
      <c r="W4689" s="92" t="s">
        <v>107</v>
      </c>
      <c r="X4689" s="93" t="s">
        <v>31</v>
      </c>
      <c r="Y4689" s="93" t="s">
        <v>93</v>
      </c>
      <c r="Z4689" s="134">
        <f>VLOOKUP(W4689,Sheet2!$B:$D,3,FALSE)</f>
        <v>17</v>
      </c>
      <c r="AA4689" s="93">
        <f>AA4686</f>
        <v>0.5</v>
      </c>
      <c r="AB4689" s="93">
        <f>AD4689/AC4684</f>
        <v>34</v>
      </c>
      <c r="AC4689" s="93">
        <f>AC4684/AA4689</f>
        <v>28.900000000000119</v>
      </c>
      <c r="AD4689" s="94">
        <f>AC4689*Z4689</f>
        <v>491.300000000002</v>
      </c>
      <c r="AE4689" s="190"/>
      <c r="AF4689" s="191"/>
      <c r="AG4689" s="191"/>
      <c r="AH4689" s="191"/>
      <c r="AI4689" s="186"/>
      <c r="AK4689" s="171"/>
    </row>
    <row r="4690" spans="1:41" s="102" customFormat="1" ht="19.899999999999999" customHeight="1" x14ac:dyDescent="0.25">
      <c r="A4690" s="45"/>
      <c r="B4690" s="59"/>
      <c r="C4690" s="137"/>
      <c r="D4690" s="59"/>
      <c r="E4690" s="116"/>
      <c r="F4690" s="120"/>
      <c r="G4690" s="120"/>
      <c r="H4690" s="120"/>
      <c r="I4690" s="60"/>
      <c r="J4690" s="116"/>
      <c r="K4690" s="213"/>
      <c r="L4690" s="120"/>
      <c r="M4690" s="120"/>
      <c r="N4690" s="167"/>
      <c r="O4690" s="120"/>
      <c r="P4690" s="120"/>
      <c r="Q4690" s="120"/>
      <c r="R4690" s="120"/>
      <c r="S4690" s="120"/>
      <c r="T4690" s="221"/>
      <c r="U4690" s="89"/>
      <c r="V4690" s="61"/>
      <c r="W4690" s="92" t="s">
        <v>112</v>
      </c>
      <c r="X4690" s="93" t="s">
        <v>31</v>
      </c>
      <c r="Y4690" s="93" t="s">
        <v>93</v>
      </c>
      <c r="Z4690" s="134">
        <f>VLOOKUP(W4690,Sheet2!$B:$D,3,FALSE)</f>
        <v>13</v>
      </c>
      <c r="AA4690" s="93">
        <f>AA4689</f>
        <v>0.5</v>
      </c>
      <c r="AB4690" s="93">
        <f>AD4690/AC4684</f>
        <v>25.999999999999996</v>
      </c>
      <c r="AC4690" s="93">
        <f>AC4684/AA4690</f>
        <v>28.900000000000119</v>
      </c>
      <c r="AD4690" s="94">
        <f>AC4690*Z4690</f>
        <v>375.70000000000152</v>
      </c>
      <c r="AE4690" s="190"/>
      <c r="AF4690" s="191"/>
      <c r="AG4690" s="191"/>
      <c r="AH4690" s="191"/>
      <c r="AI4690" s="186"/>
      <c r="AK4690" s="171"/>
    </row>
    <row r="4691" spans="1:41" s="103" customFormat="1" ht="19.899999999999999" customHeight="1" x14ac:dyDescent="0.25">
      <c r="A4691" s="51"/>
      <c r="B4691" s="52"/>
      <c r="C4691" s="165"/>
      <c r="D4691" s="52"/>
      <c r="E4691" s="115"/>
      <c r="F4691" s="58"/>
      <c r="G4691" s="58"/>
      <c r="H4691" s="58"/>
      <c r="I4691" s="55"/>
      <c r="J4691" s="113">
        <f>J4671</f>
        <v>14.45000000000006</v>
      </c>
      <c r="K4691" s="212">
        <f>K4671</f>
        <v>14.45000000000006</v>
      </c>
      <c r="L4691" s="58"/>
      <c r="M4691" s="58">
        <f>K4691-L4691</f>
        <v>14.45000000000006</v>
      </c>
      <c r="N4691" s="166"/>
      <c r="O4691" s="58"/>
      <c r="P4691" s="58"/>
      <c r="Q4691" s="58"/>
      <c r="R4691" s="58"/>
      <c r="S4691" s="58"/>
      <c r="T4691" s="220"/>
      <c r="U4691" s="88"/>
      <c r="V4691" s="56"/>
      <c r="W4691" s="57" t="s">
        <v>1272</v>
      </c>
      <c r="X4691" s="53"/>
      <c r="Y4691" s="91" t="s">
        <v>35</v>
      </c>
      <c r="Z4691" s="136">
        <f>AD4691/AC4691</f>
        <v>210.8328619419608</v>
      </c>
      <c r="AA4691" s="58"/>
      <c r="AB4691" s="53">
        <f>AD4691/AC4691</f>
        <v>210.8328619419608</v>
      </c>
      <c r="AC4691" s="53">
        <f>M4691+$AE$10</f>
        <v>14.45000000000006</v>
      </c>
      <c r="AD4691" s="54">
        <f>SUM(AD4692:AD4700)</f>
        <v>3046.5348550613462</v>
      </c>
      <c r="AE4691" s="184">
        <f>SUMIFS($AD$37:$AD$12971,$V$37:$V$12971,$V4691,$X$37:$X$12971,AE$13)</f>
        <v>0</v>
      </c>
      <c r="AF4691" s="185">
        <f>SUMIFS($AD$37:$AD$12971,$V$37:$V$12971,$V4691,$X$37:$X$12971,AF$13)</f>
        <v>0</v>
      </c>
      <c r="AG4691" s="185">
        <f>SUMIFS($AD$37:$AD$12971,$V$37:$V$12971,$V4691,$X$37:$X$12971,AG$13)</f>
        <v>0</v>
      </c>
      <c r="AH4691" s="187">
        <f>SUMIFS($AD$37:$AD$12971,$V$37:$V$12971,$V4691,$X$37:$X$12971,AH$13)</f>
        <v>0</v>
      </c>
      <c r="AI4691" s="161">
        <f t="shared" ref="AI4691" si="3431">SUM(AE4691:AH4691)</f>
        <v>0</v>
      </c>
      <c r="AK4691" s="172"/>
    </row>
    <row r="4692" spans="1:41" s="102" customFormat="1" ht="19.899999999999999" customHeight="1" x14ac:dyDescent="0.25">
      <c r="A4692" s="45"/>
      <c r="B4692" s="59"/>
      <c r="C4692" s="137"/>
      <c r="D4692" s="59"/>
      <c r="E4692" s="116"/>
      <c r="F4692" s="120"/>
      <c r="G4692" s="120"/>
      <c r="H4692" s="120"/>
      <c r="I4692" s="60"/>
      <c r="J4692" s="116"/>
      <c r="K4692" s="213"/>
      <c r="L4692" s="120"/>
      <c r="M4692" s="120"/>
      <c r="N4692" s="167"/>
      <c r="O4692" s="120"/>
      <c r="P4692" s="120"/>
      <c r="Q4692" s="120"/>
      <c r="R4692" s="120"/>
      <c r="S4692" s="120"/>
      <c r="T4692" s="221"/>
      <c r="U4692" s="89"/>
      <c r="V4692" s="61"/>
      <c r="W4692" s="92" t="s">
        <v>1273</v>
      </c>
      <c r="X4692" s="93" t="s">
        <v>30</v>
      </c>
      <c r="Y4692" s="93" t="s">
        <v>66</v>
      </c>
      <c r="Z4692" s="134">
        <f>VLOOKUP(W4692,Sheet2!$B:$D,3,FALSE)</f>
        <v>10</v>
      </c>
      <c r="AA4692" s="93">
        <f>1/((2.5*2.5*2)-(3.14/4*1.2*1.2*2))</f>
        <v>9.7663879990624258E-2</v>
      </c>
      <c r="AB4692" s="93">
        <f>AD4692/AC4691</f>
        <v>102.392</v>
      </c>
      <c r="AC4692" s="93">
        <f>AC4691/AA4692</f>
        <v>147.95644000000061</v>
      </c>
      <c r="AD4692" s="94">
        <f t="shared" ref="AD4692:AD4694" si="3432">AC4692*Z4692</f>
        <v>1479.5644000000061</v>
      </c>
      <c r="AE4692" s="190"/>
      <c r="AF4692" s="191"/>
      <c r="AG4692" s="191"/>
      <c r="AH4692" s="191"/>
      <c r="AI4692" s="186"/>
      <c r="AK4692" s="171"/>
    </row>
    <row r="4693" spans="1:41" s="102" customFormat="1" ht="19.899999999999999" customHeight="1" x14ac:dyDescent="0.25">
      <c r="A4693" s="45"/>
      <c r="B4693" s="59"/>
      <c r="C4693" s="137"/>
      <c r="D4693" s="59"/>
      <c r="E4693" s="116"/>
      <c r="F4693" s="120"/>
      <c r="G4693" s="120"/>
      <c r="H4693" s="120"/>
      <c r="I4693" s="60"/>
      <c r="J4693" s="116"/>
      <c r="K4693" s="213"/>
      <c r="L4693" s="120"/>
      <c r="M4693" s="120"/>
      <c r="N4693" s="167"/>
      <c r="O4693" s="120"/>
      <c r="P4693" s="120"/>
      <c r="Q4693" s="120"/>
      <c r="R4693" s="120"/>
      <c r="S4693" s="120"/>
      <c r="T4693" s="221"/>
      <c r="U4693" s="89"/>
      <c r="V4693" s="61"/>
      <c r="W4693" s="92" t="s">
        <v>134</v>
      </c>
      <c r="X4693" s="93" t="s">
        <v>29</v>
      </c>
      <c r="Y4693" s="93" t="s">
        <v>93</v>
      </c>
      <c r="Z4693" s="134">
        <f>VLOOKUP(W4693,Sheet2!$B:$D,3,FALSE)</f>
        <v>65.599999999999994</v>
      </c>
      <c r="AA4693" s="93">
        <f>100/((2.5*2.5*2)-(3.14/4*1.2*1.2*2))</f>
        <v>9.7663879990624256</v>
      </c>
      <c r="AB4693" s="93">
        <f t="shared" ref="AB4693" si="3433">AD4693/AC4691</f>
        <v>6.7169151999999999</v>
      </c>
      <c r="AC4693" s="93">
        <f>AC4691/AA4693</f>
        <v>1.4795644000000063</v>
      </c>
      <c r="AD4693" s="94">
        <f t="shared" si="3432"/>
        <v>97.059424640000401</v>
      </c>
      <c r="AE4693" s="190"/>
      <c r="AF4693" s="191"/>
      <c r="AG4693" s="191"/>
      <c r="AH4693" s="191"/>
      <c r="AI4693" s="186"/>
      <c r="AK4693" s="171"/>
    </row>
    <row r="4694" spans="1:41" s="102" customFormat="1" ht="19.899999999999999" customHeight="1" x14ac:dyDescent="0.25">
      <c r="A4694" s="45"/>
      <c r="B4694" s="59"/>
      <c r="C4694" s="137"/>
      <c r="D4694" s="59"/>
      <c r="E4694" s="116"/>
      <c r="F4694" s="120"/>
      <c r="G4694" s="120"/>
      <c r="H4694" s="120"/>
      <c r="I4694" s="60"/>
      <c r="J4694" s="116"/>
      <c r="K4694" s="213"/>
      <c r="L4694" s="120"/>
      <c r="M4694" s="120"/>
      <c r="N4694" s="167"/>
      <c r="O4694" s="120"/>
      <c r="P4694" s="120"/>
      <c r="Q4694" s="120"/>
      <c r="R4694" s="120"/>
      <c r="S4694" s="120"/>
      <c r="T4694" s="221"/>
      <c r="U4694" s="89"/>
      <c r="V4694" s="61"/>
      <c r="W4694" s="92" t="s">
        <v>65</v>
      </c>
      <c r="X4694" s="93" t="s">
        <v>30</v>
      </c>
      <c r="Y4694" s="93" t="s">
        <v>1011</v>
      </c>
      <c r="Z4694" s="134">
        <f>VLOOKUP(W4694,Sheet2!$B:$D,3,FALSE)</f>
        <v>1.76</v>
      </c>
      <c r="AA4694" s="93">
        <f>AA4693/9</f>
        <v>1.0851542221180472</v>
      </c>
      <c r="AB4694" s="93">
        <f>AD4694/AC4691</f>
        <v>1.6218892800000002</v>
      </c>
      <c r="AC4694" s="93">
        <f>AC4691/AA4694</f>
        <v>13.316079600000057</v>
      </c>
      <c r="AD4694" s="94">
        <f t="shared" si="3432"/>
        <v>23.4363000960001</v>
      </c>
      <c r="AE4694" s="190"/>
      <c r="AF4694" s="191"/>
      <c r="AG4694" s="191"/>
      <c r="AH4694" s="191"/>
      <c r="AI4694" s="186"/>
      <c r="AK4694" s="171"/>
    </row>
    <row r="4695" spans="1:41" s="102" customFormat="1" ht="19.899999999999999" customHeight="1" x14ac:dyDescent="0.25">
      <c r="A4695" s="45"/>
      <c r="B4695" s="59"/>
      <c r="C4695" s="137"/>
      <c r="D4695" s="59"/>
      <c r="E4695" s="116"/>
      <c r="F4695" s="120"/>
      <c r="G4695" s="120"/>
      <c r="H4695" s="120"/>
      <c r="I4695" s="60"/>
      <c r="J4695" s="116"/>
      <c r="K4695" s="213"/>
      <c r="L4695" s="120"/>
      <c r="M4695" s="120"/>
      <c r="N4695" s="167"/>
      <c r="O4695" s="120"/>
      <c r="P4695" s="120"/>
      <c r="Q4695" s="120"/>
      <c r="R4695" s="120"/>
      <c r="S4695" s="120"/>
      <c r="T4695" s="221"/>
      <c r="U4695" s="89"/>
      <c r="V4695" s="61"/>
      <c r="W4695" s="92" t="s">
        <v>161</v>
      </c>
      <c r="X4695" s="93" t="s">
        <v>29</v>
      </c>
      <c r="Y4695" s="93" t="s">
        <v>93</v>
      </c>
      <c r="Z4695" s="134">
        <f>VLOOKUP(W4695,Sheet2!$B:$D,3,FALSE)</f>
        <v>48</v>
      </c>
      <c r="AA4695" s="93">
        <f>(16*0.85*1.5)/((2.5*2.5*2)-(3.14/4*1.2*1.2*2))</f>
        <v>1.9923431518087349</v>
      </c>
      <c r="AB4695" s="93">
        <f>AD4695/AC4691</f>
        <v>24.092235294117646</v>
      </c>
      <c r="AC4695" s="93">
        <f>AC4691/AA4695</f>
        <v>7.2527666666666972</v>
      </c>
      <c r="AD4695" s="94">
        <f>AC4695*Z4695</f>
        <v>348.13280000000145</v>
      </c>
      <c r="AE4695" s="190"/>
      <c r="AF4695" s="191"/>
      <c r="AG4695" s="191"/>
      <c r="AH4695" s="191"/>
      <c r="AI4695" s="186"/>
      <c r="AK4695" s="171"/>
    </row>
    <row r="4696" spans="1:41" s="102" customFormat="1" ht="19.899999999999999" customHeight="1" x14ac:dyDescent="0.25">
      <c r="A4696" s="45"/>
      <c r="B4696" s="59"/>
      <c r="C4696" s="137"/>
      <c r="D4696" s="59"/>
      <c r="E4696" s="116"/>
      <c r="F4696" s="120"/>
      <c r="G4696" s="120"/>
      <c r="H4696" s="120"/>
      <c r="I4696" s="60"/>
      <c r="J4696" s="116"/>
      <c r="K4696" s="213"/>
      <c r="L4696" s="120"/>
      <c r="M4696" s="120"/>
      <c r="N4696" s="167"/>
      <c r="O4696" s="120"/>
      <c r="P4696" s="120"/>
      <c r="Q4696" s="120"/>
      <c r="R4696" s="120"/>
      <c r="S4696" s="120"/>
      <c r="T4696" s="221"/>
      <c r="U4696" s="89"/>
      <c r="V4696" s="61"/>
      <c r="W4696" s="92" t="s">
        <v>65</v>
      </c>
      <c r="X4696" s="93" t="s">
        <v>30</v>
      </c>
      <c r="Y4696" s="93" t="s">
        <v>1011</v>
      </c>
      <c r="Z4696" s="134">
        <f>VLOOKUP(W4696,Sheet2!$B:$D,3,FALSE)</f>
        <v>1.76</v>
      </c>
      <c r="AA4696" s="93">
        <f>AA4695/10</f>
        <v>0.19923431518087348</v>
      </c>
      <c r="AB4696" s="93">
        <f>AD4696/AC4691</f>
        <v>8.8338196078431395</v>
      </c>
      <c r="AC4696" s="93">
        <f>AC4691/AA4696</f>
        <v>72.527666666666974</v>
      </c>
      <c r="AD4696" s="94">
        <f>AC4696*Z4696</f>
        <v>127.64869333333388</v>
      </c>
      <c r="AE4696" s="190"/>
      <c r="AF4696" s="191"/>
      <c r="AG4696" s="191"/>
      <c r="AH4696" s="191"/>
      <c r="AI4696" s="186"/>
      <c r="AK4696" s="171"/>
    </row>
    <row r="4697" spans="1:41" s="102" customFormat="1" ht="19.899999999999999" customHeight="1" x14ac:dyDescent="0.25">
      <c r="A4697" s="45"/>
      <c r="B4697" s="59"/>
      <c r="C4697" s="137"/>
      <c r="D4697" s="59"/>
      <c r="E4697" s="116"/>
      <c r="F4697" s="120"/>
      <c r="G4697" s="120"/>
      <c r="H4697" s="120"/>
      <c r="I4697" s="60"/>
      <c r="J4697" s="116"/>
      <c r="K4697" s="213"/>
      <c r="L4697" s="120"/>
      <c r="M4697" s="120"/>
      <c r="N4697" s="167"/>
      <c r="O4697" s="120"/>
      <c r="P4697" s="120"/>
      <c r="Q4697" s="120"/>
      <c r="R4697" s="120"/>
      <c r="S4697" s="120"/>
      <c r="T4697" s="221"/>
      <c r="U4697" s="89"/>
      <c r="V4697" s="61"/>
      <c r="W4697" s="92" t="s">
        <v>173</v>
      </c>
      <c r="X4697" s="93" t="s">
        <v>29</v>
      </c>
      <c r="Y4697" s="93" t="s">
        <v>93</v>
      </c>
      <c r="Z4697" s="134">
        <f>VLOOKUP(W4697,Sheet2!$B:$D,3,FALSE)</f>
        <v>36</v>
      </c>
      <c r="AA4697" s="93">
        <f>50/((2.5*2.5*2)-(3.14/4*1.2*1.2*2))</f>
        <v>4.8831939995312128</v>
      </c>
      <c r="AB4697" s="93">
        <f>AD4697/AC4691</f>
        <v>7.372224000000001</v>
      </c>
      <c r="AC4697" s="93">
        <f>AC4691/AA4697</f>
        <v>2.9591288000000127</v>
      </c>
      <c r="AD4697" s="94">
        <f>AC4697*Z4697</f>
        <v>106.52863680000046</v>
      </c>
      <c r="AE4697" s="190"/>
      <c r="AF4697" s="191"/>
      <c r="AG4697" s="191"/>
      <c r="AH4697" s="191"/>
      <c r="AI4697" s="186"/>
      <c r="AK4697" s="171"/>
    </row>
    <row r="4698" spans="1:41" s="102" customFormat="1" ht="19.899999999999999" customHeight="1" x14ac:dyDescent="0.25">
      <c r="A4698" s="45"/>
      <c r="B4698" s="59"/>
      <c r="C4698" s="137"/>
      <c r="D4698" s="59"/>
      <c r="E4698" s="116"/>
      <c r="F4698" s="120"/>
      <c r="G4698" s="120"/>
      <c r="H4698" s="120"/>
      <c r="I4698" s="60"/>
      <c r="J4698" s="116"/>
      <c r="K4698" s="213"/>
      <c r="L4698" s="120"/>
      <c r="M4698" s="120"/>
      <c r="N4698" s="167"/>
      <c r="O4698" s="120"/>
      <c r="P4698" s="120"/>
      <c r="Q4698" s="120"/>
      <c r="R4698" s="120"/>
      <c r="S4698" s="120"/>
      <c r="T4698" s="221"/>
      <c r="U4698" s="89"/>
      <c r="V4698" s="61"/>
      <c r="W4698" s="92" t="s">
        <v>65</v>
      </c>
      <c r="X4698" s="93" t="s">
        <v>30</v>
      </c>
      <c r="Y4698" s="93" t="s">
        <v>1011</v>
      </c>
      <c r="Z4698" s="134">
        <f>VLOOKUP(W4698,Sheet2!$B:$D,3,FALSE)</f>
        <v>1.76</v>
      </c>
      <c r="AA4698" s="93">
        <f>AA4697/9</f>
        <v>0.54257711105902362</v>
      </c>
      <c r="AB4698" s="93">
        <f>AD4698/AC4691</f>
        <v>3.2437785600000004</v>
      </c>
      <c r="AC4698" s="93">
        <f>AC4691/AA4698</f>
        <v>26.632159200000114</v>
      </c>
      <c r="AD4698" s="94">
        <f>AC4698*Z4698</f>
        <v>46.872600192000199</v>
      </c>
      <c r="AE4698" s="190"/>
      <c r="AF4698" s="191"/>
      <c r="AG4698" s="191"/>
      <c r="AH4698" s="191"/>
      <c r="AI4698" s="186"/>
      <c r="AK4698" s="171"/>
    </row>
    <row r="4699" spans="1:41" s="102" customFormat="1" ht="19.899999999999999" customHeight="1" x14ac:dyDescent="0.25">
      <c r="A4699" s="45"/>
      <c r="B4699" s="59"/>
      <c r="C4699" s="137"/>
      <c r="D4699" s="59"/>
      <c r="E4699" s="116"/>
      <c r="F4699" s="120"/>
      <c r="G4699" s="120"/>
      <c r="H4699" s="120"/>
      <c r="I4699" s="60"/>
      <c r="J4699" s="116"/>
      <c r="K4699" s="213"/>
      <c r="L4699" s="120"/>
      <c r="M4699" s="120"/>
      <c r="N4699" s="167"/>
      <c r="O4699" s="120"/>
      <c r="P4699" s="120"/>
      <c r="Q4699" s="120"/>
      <c r="R4699" s="120"/>
      <c r="S4699" s="120"/>
      <c r="T4699" s="221"/>
      <c r="U4699" s="89"/>
      <c r="V4699" s="61"/>
      <c r="W4699" s="92" t="s">
        <v>1030</v>
      </c>
      <c r="X4699" s="93" t="s">
        <v>29</v>
      </c>
      <c r="Y4699" s="93" t="s">
        <v>93</v>
      </c>
      <c r="Z4699" s="134">
        <f>VLOOKUP(W4699,Sheet2!$B:$D,3,FALSE)</f>
        <v>23</v>
      </c>
      <c r="AA4699" s="93">
        <f>1/(2*1)</f>
        <v>0.5</v>
      </c>
      <c r="AB4699" s="93">
        <f>AD4699/AC4691</f>
        <v>46</v>
      </c>
      <c r="AC4699" s="93">
        <f>AC4691/AA4699</f>
        <v>28.900000000000119</v>
      </c>
      <c r="AD4699" s="94">
        <f t="shared" ref="AD4699:AD4700" si="3434">AC4699*Z4699</f>
        <v>664.70000000000277</v>
      </c>
      <c r="AE4699" s="190"/>
      <c r="AF4699" s="191"/>
      <c r="AG4699" s="191"/>
      <c r="AH4699" s="191"/>
      <c r="AI4699" s="186"/>
      <c r="AK4699" s="171"/>
    </row>
    <row r="4700" spans="1:41" s="102" customFormat="1" ht="19.899999999999999" customHeight="1" x14ac:dyDescent="0.25">
      <c r="A4700" s="45"/>
      <c r="B4700" s="59"/>
      <c r="C4700" s="137"/>
      <c r="D4700" s="59"/>
      <c r="E4700" s="116"/>
      <c r="F4700" s="120"/>
      <c r="G4700" s="120"/>
      <c r="H4700" s="120"/>
      <c r="I4700" s="60"/>
      <c r="J4700" s="116"/>
      <c r="K4700" s="213"/>
      <c r="L4700" s="120"/>
      <c r="M4700" s="120"/>
      <c r="N4700" s="167"/>
      <c r="O4700" s="120"/>
      <c r="P4700" s="120"/>
      <c r="Q4700" s="120"/>
      <c r="R4700" s="120"/>
      <c r="S4700" s="120"/>
      <c r="T4700" s="221"/>
      <c r="U4700" s="89"/>
      <c r="V4700" s="61"/>
      <c r="W4700" s="92" t="s">
        <v>65</v>
      </c>
      <c r="X4700" s="93" t="s">
        <v>30</v>
      </c>
      <c r="Y4700" s="93" t="s">
        <v>1011</v>
      </c>
      <c r="Z4700" s="134">
        <f>VLOOKUP(W4700,Sheet2!$B:$D,3,FALSE)</f>
        <v>1.76</v>
      </c>
      <c r="AA4700" s="93">
        <f>AA4699/3</f>
        <v>0.16666666666666666</v>
      </c>
      <c r="AB4700" s="93">
        <f>AD4700/AC4691</f>
        <v>10.56</v>
      </c>
      <c r="AC4700" s="93">
        <f>AC4691/AA4700</f>
        <v>86.700000000000358</v>
      </c>
      <c r="AD4700" s="94">
        <f t="shared" si="3434"/>
        <v>152.59200000000064</v>
      </c>
      <c r="AE4700" s="190"/>
      <c r="AF4700" s="191"/>
      <c r="AG4700" s="191"/>
      <c r="AH4700" s="191"/>
      <c r="AI4700" s="186"/>
      <c r="AK4700" s="171"/>
    </row>
    <row r="4701" spans="1:41" ht="20.100000000000001" customHeight="1" x14ac:dyDescent="0.25">
      <c r="A4701" s="277" t="s">
        <v>491</v>
      </c>
      <c r="B4701" s="278"/>
      <c r="C4701" s="64" t="s">
        <v>575</v>
      </c>
      <c r="D4701" s="46" t="s">
        <v>215</v>
      </c>
      <c r="E4701" s="114">
        <v>8.090000000000046</v>
      </c>
      <c r="F4701" s="44">
        <v>14728</v>
      </c>
      <c r="G4701" s="44">
        <f t="shared" si="2434"/>
        <v>119149.52000000067</v>
      </c>
      <c r="H4701" s="44">
        <f t="shared" si="2435"/>
        <v>6631.8821754666678</v>
      </c>
      <c r="I4701" s="43">
        <f t="shared" si="2436"/>
        <v>53651.926799525645</v>
      </c>
      <c r="J4701" s="112">
        <f t="shared" si="2437"/>
        <v>8.090000000000046</v>
      </c>
      <c r="K4701" s="211">
        <f t="shared" si="2438"/>
        <v>8.090000000000046</v>
      </c>
      <c r="L4701" s="44"/>
      <c r="M4701" s="44">
        <f t="shared" si="2458"/>
        <v>8.090000000000046</v>
      </c>
      <c r="N4701" s="173">
        <f t="shared" si="2439"/>
        <v>1</v>
      </c>
      <c r="O4701" s="44">
        <f t="shared" si="2440"/>
        <v>14728</v>
      </c>
      <c r="P4701" s="44">
        <f t="shared" si="2441"/>
        <v>119149.52000000067</v>
      </c>
      <c r="Q4701" s="44">
        <f t="shared" si="2442"/>
        <v>6631.8821754666678</v>
      </c>
      <c r="R4701" s="44">
        <f t="shared" si="2459"/>
        <v>53651.926799525645</v>
      </c>
      <c r="S4701" s="123"/>
      <c r="T4701" s="219">
        <f t="shared" si="2460"/>
        <v>53651.926799525645</v>
      </c>
      <c r="U4701" s="87"/>
      <c r="V4701" s="47"/>
      <c r="W4701" s="48"/>
      <c r="X4701" s="48"/>
      <c r="Y4701" s="48"/>
      <c r="Z4701" s="135"/>
      <c r="AA4701" s="49"/>
      <c r="AB4701" s="50">
        <f t="shared" si="2443"/>
        <v>6631.8821754666678</v>
      </c>
      <c r="AC4701" s="42">
        <f t="shared" si="2461"/>
        <v>8.090000000000046</v>
      </c>
      <c r="AD4701" s="90">
        <f>AD4702+AD4707+AD4714+AD4721</f>
        <v>53651.926799525645</v>
      </c>
      <c r="AE4701" s="188">
        <f t="shared" ref="AE4701" si="3435">AE4702+AE4707+AE4714+AE4721</f>
        <v>0</v>
      </c>
      <c r="AF4701" s="189">
        <f t="shared" ref="AF4701" si="3436">AF4702+AF4707+AF4714+AF4721</f>
        <v>0</v>
      </c>
      <c r="AG4701" s="189">
        <f t="shared" ref="AG4701" si="3437">AG4702+AG4707+AG4714+AG4721</f>
        <v>0</v>
      </c>
      <c r="AH4701" s="189">
        <f t="shared" ref="AH4701" si="3438">AH4702+AH4707+AH4714+AH4721</f>
        <v>0</v>
      </c>
      <c r="AI4701" s="161">
        <f t="shared" ref="AI4701" si="3439">SUM(AE4701:AH4701)</f>
        <v>0</v>
      </c>
      <c r="AK4701" s="169">
        <v>5</v>
      </c>
      <c r="AO4701" s="19" t="s">
        <v>63</v>
      </c>
    </row>
    <row r="4702" spans="1:41" s="103" customFormat="1" ht="19.899999999999999" customHeight="1" x14ac:dyDescent="0.25">
      <c r="A4702" s="51"/>
      <c r="B4702" s="52"/>
      <c r="C4702" s="165"/>
      <c r="D4702" s="52"/>
      <c r="E4702" s="115"/>
      <c r="F4702" s="58"/>
      <c r="G4702" s="58"/>
      <c r="H4702" s="58"/>
      <c r="I4702" s="55"/>
      <c r="J4702" s="113">
        <f>J4701</f>
        <v>8.090000000000046</v>
      </c>
      <c r="K4702" s="212">
        <f>K4701</f>
        <v>8.090000000000046</v>
      </c>
      <c r="L4702" s="58"/>
      <c r="M4702" s="58">
        <f>K4702-L4702</f>
        <v>8.090000000000046</v>
      </c>
      <c r="N4702" s="166"/>
      <c r="O4702" s="58"/>
      <c r="P4702" s="58"/>
      <c r="Q4702" s="58"/>
      <c r="R4702" s="58"/>
      <c r="S4702" s="58"/>
      <c r="T4702" s="220"/>
      <c r="U4702" s="88"/>
      <c r="V4702" s="56"/>
      <c r="W4702" s="57" t="s">
        <v>1504</v>
      </c>
      <c r="X4702" s="53"/>
      <c r="Y4702" s="91" t="s">
        <v>35</v>
      </c>
      <c r="Z4702" s="136">
        <f>AD4702/AC4702</f>
        <v>62.845098039215692</v>
      </c>
      <c r="AA4702" s="58"/>
      <c r="AB4702" s="53">
        <f>AD4702/AC4702</f>
        <v>62.845098039215692</v>
      </c>
      <c r="AC4702" s="53">
        <f>M4702+$AE$10</f>
        <v>8.090000000000046</v>
      </c>
      <c r="AD4702" s="54">
        <f>SUM(AD4703:AD4706)</f>
        <v>508.41684313725784</v>
      </c>
      <c r="AE4702" s="184">
        <f>SUMIFS($AD$37:$AD$12971,$V$37:$V$12971,$V4702,$X$37:$X$12971,AE$13)</f>
        <v>0</v>
      </c>
      <c r="AF4702" s="185">
        <f>SUMIFS($AD$37:$AD$12971,$V$37:$V$12971,$V4702,$X$37:$X$12971,AF$13)</f>
        <v>0</v>
      </c>
      <c r="AG4702" s="185">
        <f>SUMIFS($AD$37:$AD$12971,$V$37:$V$12971,$V4702,$X$37:$X$12971,AG$13)</f>
        <v>0</v>
      </c>
      <c r="AH4702" s="187">
        <f>SUMIFS($AD$37:$AD$12971,$V$37:$V$12971,$V4702,$X$37:$X$12971,AH$13)</f>
        <v>0</v>
      </c>
      <c r="AI4702" s="161">
        <f t="shared" ref="AI4702" si="3440">SUM(AE4702:AH4702)</f>
        <v>0</v>
      </c>
      <c r="AK4702" s="172"/>
    </row>
    <row r="4703" spans="1:41" s="102" customFormat="1" ht="19.899999999999999" customHeight="1" x14ac:dyDescent="0.25">
      <c r="A4703" s="45"/>
      <c r="B4703" s="59"/>
      <c r="C4703" s="137"/>
      <c r="D4703" s="59"/>
      <c r="E4703" s="116"/>
      <c r="F4703" s="120"/>
      <c r="G4703" s="120"/>
      <c r="H4703" s="120"/>
      <c r="I4703" s="60"/>
      <c r="J4703" s="116"/>
      <c r="K4703" s="213"/>
      <c r="L4703" s="120"/>
      <c r="M4703" s="120"/>
      <c r="N4703" s="167"/>
      <c r="O4703" s="120"/>
      <c r="P4703" s="120"/>
      <c r="Q4703" s="120"/>
      <c r="R4703" s="120"/>
      <c r="S4703" s="120"/>
      <c r="T4703" s="221"/>
      <c r="U4703" s="89"/>
      <c r="V4703" s="61"/>
      <c r="W4703" s="92" t="s">
        <v>129</v>
      </c>
      <c r="X4703" s="93" t="s">
        <v>29</v>
      </c>
      <c r="Y4703" s="93" t="s">
        <v>93</v>
      </c>
      <c r="Z4703" s="134">
        <f>VLOOKUP(W4703,Sheet2!$B:$D,3,FALSE)</f>
        <v>56</v>
      </c>
      <c r="AA4703" s="93">
        <f>100/(2.5*2.5*2.5)</f>
        <v>6.4</v>
      </c>
      <c r="AB4703" s="93">
        <f t="shared" ref="AB4703" si="3441">AD4703/AC4702</f>
        <v>8.75</v>
      </c>
      <c r="AC4703" s="93">
        <f>AC4702/AA4703</f>
        <v>1.2640625000000072</v>
      </c>
      <c r="AD4703" s="94">
        <f t="shared" ref="AD4703:AD4704" si="3442">AC4703*Z4703</f>
        <v>70.787500000000406</v>
      </c>
      <c r="AE4703" s="190"/>
      <c r="AF4703" s="191"/>
      <c r="AG4703" s="191"/>
      <c r="AH4703" s="191"/>
      <c r="AI4703" s="186"/>
      <c r="AK4703" s="171"/>
    </row>
    <row r="4704" spans="1:41" s="102" customFormat="1" ht="19.899999999999999" customHeight="1" x14ac:dyDescent="0.25">
      <c r="A4704" s="45"/>
      <c r="B4704" s="59"/>
      <c r="C4704" s="137"/>
      <c r="D4704" s="59"/>
      <c r="E4704" s="116"/>
      <c r="F4704" s="120"/>
      <c r="G4704" s="120"/>
      <c r="H4704" s="120"/>
      <c r="I4704" s="60"/>
      <c r="J4704" s="116"/>
      <c r="K4704" s="213"/>
      <c r="L4704" s="120"/>
      <c r="M4704" s="120"/>
      <c r="N4704" s="167"/>
      <c r="O4704" s="120"/>
      <c r="P4704" s="120"/>
      <c r="Q4704" s="120"/>
      <c r="R4704" s="120"/>
      <c r="S4704" s="120"/>
      <c r="T4704" s="221"/>
      <c r="U4704" s="89"/>
      <c r="V4704" s="61"/>
      <c r="W4704" s="92" t="s">
        <v>65</v>
      </c>
      <c r="X4704" s="93" t="s">
        <v>30</v>
      </c>
      <c r="Y4704" s="93" t="s">
        <v>1011</v>
      </c>
      <c r="Z4704" s="134">
        <f>VLOOKUP(W4704,Sheet2!$B:$D,3,FALSE)</f>
        <v>1.76</v>
      </c>
      <c r="AA4704" s="93">
        <f>AA4703/14</f>
        <v>0.45714285714285718</v>
      </c>
      <c r="AB4704" s="93">
        <f>AD4704/AC4702</f>
        <v>3.8499999999999996</v>
      </c>
      <c r="AC4704" s="93">
        <f>AC4702/AA4704</f>
        <v>17.696875000000098</v>
      </c>
      <c r="AD4704" s="94">
        <f t="shared" si="3442"/>
        <v>31.146500000000174</v>
      </c>
      <c r="AE4704" s="190"/>
      <c r="AF4704" s="191"/>
      <c r="AG4704" s="191"/>
      <c r="AH4704" s="191"/>
      <c r="AI4704" s="186"/>
      <c r="AK4704" s="171"/>
    </row>
    <row r="4705" spans="1:37" s="102" customFormat="1" ht="19.899999999999999" customHeight="1" x14ac:dyDescent="0.25">
      <c r="A4705" s="45"/>
      <c r="B4705" s="59"/>
      <c r="C4705" s="137"/>
      <c r="D4705" s="59"/>
      <c r="E4705" s="116"/>
      <c r="F4705" s="120"/>
      <c r="G4705" s="120"/>
      <c r="H4705" s="120"/>
      <c r="I4705" s="60"/>
      <c r="J4705" s="116"/>
      <c r="K4705" s="213"/>
      <c r="L4705" s="120"/>
      <c r="M4705" s="120"/>
      <c r="N4705" s="167"/>
      <c r="O4705" s="120"/>
      <c r="P4705" s="120"/>
      <c r="Q4705" s="120"/>
      <c r="R4705" s="120"/>
      <c r="S4705" s="120"/>
      <c r="T4705" s="221"/>
      <c r="U4705" s="89"/>
      <c r="V4705" s="61"/>
      <c r="W4705" s="92" t="s">
        <v>161</v>
      </c>
      <c r="X4705" s="93" t="s">
        <v>29</v>
      </c>
      <c r="Y4705" s="93" t="s">
        <v>93</v>
      </c>
      <c r="Z4705" s="134">
        <f>VLOOKUP(W4705,Sheet2!$B:$D,3,FALSE)</f>
        <v>48</v>
      </c>
      <c r="AA4705" s="93">
        <f>(16*0.85*1.5)/(2.5*2.5*2.5)</f>
        <v>1.3055999999999999</v>
      </c>
      <c r="AB4705" s="93">
        <f>AD4705/AC4702</f>
        <v>36.764705882352942</v>
      </c>
      <c r="AC4705" s="93">
        <f>AC4702/AA4705</f>
        <v>6.1963848039216041</v>
      </c>
      <c r="AD4705" s="94">
        <f>AC4705*Z4705</f>
        <v>297.42647058823701</v>
      </c>
      <c r="AE4705" s="190"/>
      <c r="AF4705" s="191"/>
      <c r="AG4705" s="191"/>
      <c r="AH4705" s="191"/>
      <c r="AI4705" s="186"/>
      <c r="AK4705" s="171"/>
    </row>
    <row r="4706" spans="1:37" s="102" customFormat="1" ht="19.899999999999999" customHeight="1" x14ac:dyDescent="0.25">
      <c r="A4706" s="45"/>
      <c r="B4706" s="59"/>
      <c r="C4706" s="137"/>
      <c r="D4706" s="59"/>
      <c r="E4706" s="116"/>
      <c r="F4706" s="120"/>
      <c r="G4706" s="120"/>
      <c r="H4706" s="120"/>
      <c r="I4706" s="60"/>
      <c r="J4706" s="116"/>
      <c r="K4706" s="213"/>
      <c r="L4706" s="120"/>
      <c r="M4706" s="120"/>
      <c r="N4706" s="167"/>
      <c r="O4706" s="120"/>
      <c r="P4706" s="120"/>
      <c r="Q4706" s="120"/>
      <c r="R4706" s="120"/>
      <c r="S4706" s="120"/>
      <c r="T4706" s="221"/>
      <c r="U4706" s="89"/>
      <c r="V4706" s="61"/>
      <c r="W4706" s="92" t="s">
        <v>65</v>
      </c>
      <c r="X4706" s="93" t="s">
        <v>30</v>
      </c>
      <c r="Y4706" s="93" t="s">
        <v>1011</v>
      </c>
      <c r="Z4706" s="134">
        <f>VLOOKUP(W4706,Sheet2!$B:$D,3,FALSE)</f>
        <v>1.76</v>
      </c>
      <c r="AA4706" s="93">
        <f>AA4705/10</f>
        <v>0.13055999999999998</v>
      </c>
      <c r="AB4706" s="93">
        <f>AD4706/AC4702</f>
        <v>13.480392156862747</v>
      </c>
      <c r="AC4706" s="93">
        <f>AC4702/AA4706</f>
        <v>61.963848039216046</v>
      </c>
      <c r="AD4706" s="94">
        <f>AC4706*Z4706</f>
        <v>109.05637254902024</v>
      </c>
      <c r="AE4706" s="190"/>
      <c r="AF4706" s="191"/>
      <c r="AG4706" s="191"/>
      <c r="AH4706" s="191"/>
      <c r="AI4706" s="186"/>
      <c r="AK4706" s="171"/>
    </row>
    <row r="4707" spans="1:37" s="103" customFormat="1" ht="19.899999999999999" customHeight="1" x14ac:dyDescent="0.25">
      <c r="A4707" s="51"/>
      <c r="B4707" s="52"/>
      <c r="C4707" s="165"/>
      <c r="D4707" s="52"/>
      <c r="E4707" s="115"/>
      <c r="F4707" s="58"/>
      <c r="G4707" s="58"/>
      <c r="H4707" s="58"/>
      <c r="I4707" s="55"/>
      <c r="J4707" s="113">
        <f>J4701</f>
        <v>8.090000000000046</v>
      </c>
      <c r="K4707" s="212">
        <f>K4701</f>
        <v>8.090000000000046</v>
      </c>
      <c r="L4707" s="58"/>
      <c r="M4707" s="58">
        <f>K4707-L4707</f>
        <v>8.090000000000046</v>
      </c>
      <c r="N4707" s="166"/>
      <c r="O4707" s="58"/>
      <c r="P4707" s="58"/>
      <c r="Q4707" s="58"/>
      <c r="R4707" s="58"/>
      <c r="S4707" s="58"/>
      <c r="T4707" s="220"/>
      <c r="U4707" s="88"/>
      <c r="V4707" s="56"/>
      <c r="W4707" s="57" t="s">
        <v>1486</v>
      </c>
      <c r="X4707" s="53"/>
      <c r="Y4707" s="91" t="s">
        <v>35</v>
      </c>
      <c r="Z4707" s="136">
        <f>AD4707/AC4707</f>
        <v>1432.6959999999999</v>
      </c>
      <c r="AA4707" s="58"/>
      <c r="AB4707" s="53">
        <f>AD4707/AC4707</f>
        <v>1432.6959999999999</v>
      </c>
      <c r="AC4707" s="53">
        <f>M4707+$AE$10</f>
        <v>8.090000000000046</v>
      </c>
      <c r="AD4707" s="54">
        <f>SUM(AD4708:AD4713)</f>
        <v>11590.510640000066</v>
      </c>
      <c r="AE4707" s="184">
        <f>SUMIFS($AD$37:$AD$12971,$V$37:$V$12971,$V4707,$X$37:$X$12971,AE$13)</f>
        <v>0</v>
      </c>
      <c r="AF4707" s="185">
        <f>SUMIFS($AD$37:$AD$12971,$V$37:$V$12971,$V4707,$X$37:$X$12971,AF$13)</f>
        <v>0</v>
      </c>
      <c r="AG4707" s="185">
        <f>SUMIFS($AD$37:$AD$12971,$V$37:$V$12971,$V4707,$X$37:$X$12971,AG$13)</f>
        <v>0</v>
      </c>
      <c r="AH4707" s="187">
        <f>SUMIFS($AD$37:$AD$12971,$V$37:$V$12971,$V4707,$X$37:$X$12971,AH$13)</f>
        <v>0</v>
      </c>
      <c r="AI4707" s="161">
        <f t="shared" ref="AI4707" si="3443">SUM(AE4707:AH4707)</f>
        <v>0</v>
      </c>
      <c r="AK4707" s="172"/>
    </row>
    <row r="4708" spans="1:37" s="102" customFormat="1" ht="19.899999999999999" customHeight="1" x14ac:dyDescent="0.25">
      <c r="A4708" s="45"/>
      <c r="B4708" s="59"/>
      <c r="C4708" s="137"/>
      <c r="D4708" s="59"/>
      <c r="E4708" s="116"/>
      <c r="F4708" s="120"/>
      <c r="G4708" s="120"/>
      <c r="H4708" s="120"/>
      <c r="I4708" s="60"/>
      <c r="J4708" s="116"/>
      <c r="K4708" s="213"/>
      <c r="L4708" s="120"/>
      <c r="M4708" s="120"/>
      <c r="N4708" s="167"/>
      <c r="O4708" s="120"/>
      <c r="P4708" s="120"/>
      <c r="Q4708" s="120"/>
      <c r="R4708" s="120"/>
      <c r="S4708" s="120"/>
      <c r="T4708" s="221"/>
      <c r="U4708" s="89"/>
      <c r="V4708" s="61"/>
      <c r="W4708" s="92" t="s">
        <v>1032</v>
      </c>
      <c r="X4708" s="93" t="s">
        <v>30</v>
      </c>
      <c r="Y4708" s="93" t="s">
        <v>66</v>
      </c>
      <c r="Z4708" s="134">
        <f>VLOOKUP(W4708,Sheet2!$B:$D,3,FALSE)</f>
        <v>250</v>
      </c>
      <c r="AA4708" s="93">
        <f>1/(2.1*2.1*0.1)</f>
        <v>2.2675736961451243</v>
      </c>
      <c r="AB4708" s="93">
        <f>AD4708/AC4714</f>
        <v>110.25000000000001</v>
      </c>
      <c r="AC4708" s="93">
        <f>AC4714/AA4708</f>
        <v>3.5676900000000211</v>
      </c>
      <c r="AD4708" s="94">
        <f t="shared" ref="AD4708:AD4710" si="3444">AC4708*Z4708</f>
        <v>891.92250000000524</v>
      </c>
      <c r="AE4708" s="190"/>
      <c r="AF4708" s="191"/>
      <c r="AG4708" s="191"/>
      <c r="AH4708" s="191"/>
      <c r="AI4708" s="186"/>
      <c r="AK4708" s="171"/>
    </row>
    <row r="4709" spans="1:37" s="102" customFormat="1" ht="19.899999999999999" customHeight="1" x14ac:dyDescent="0.25">
      <c r="A4709" s="45"/>
      <c r="B4709" s="59"/>
      <c r="C4709" s="137"/>
      <c r="D4709" s="59"/>
      <c r="E4709" s="116"/>
      <c r="F4709" s="120"/>
      <c r="G4709" s="120"/>
      <c r="H4709" s="120"/>
      <c r="I4709" s="60"/>
      <c r="J4709" s="116"/>
      <c r="K4709" s="213"/>
      <c r="L4709" s="120"/>
      <c r="M4709" s="120"/>
      <c r="N4709" s="167"/>
      <c r="O4709" s="120"/>
      <c r="P4709" s="120"/>
      <c r="Q4709" s="120"/>
      <c r="R4709" s="120"/>
      <c r="S4709" s="120"/>
      <c r="T4709" s="221"/>
      <c r="U4709" s="89"/>
      <c r="V4709" s="61"/>
      <c r="W4709" s="92" t="s">
        <v>1353</v>
      </c>
      <c r="X4709" s="93" t="s">
        <v>30</v>
      </c>
      <c r="Y4709" s="93" t="s">
        <v>66</v>
      </c>
      <c r="Z4709" s="134">
        <f>VLOOKUP(W4709,Sheet2!$B:$D,3,FALSE)</f>
        <v>350</v>
      </c>
      <c r="AA4709" s="93">
        <f>1/(2*2*0.3)</f>
        <v>0.83333333333333337</v>
      </c>
      <c r="AB4709" s="93">
        <f>AD4709/AC4714</f>
        <v>420</v>
      </c>
      <c r="AC4709" s="93">
        <f>AC4714/AA4709</f>
        <v>9.7080000000000553</v>
      </c>
      <c r="AD4709" s="94">
        <f t="shared" si="3444"/>
        <v>3397.8000000000193</v>
      </c>
      <c r="AE4709" s="190"/>
      <c r="AF4709" s="191"/>
      <c r="AG4709" s="191"/>
      <c r="AH4709" s="191"/>
      <c r="AI4709" s="186"/>
      <c r="AK4709" s="171"/>
    </row>
    <row r="4710" spans="1:37" s="102" customFormat="1" ht="19.899999999999999" customHeight="1" x14ac:dyDescent="0.25">
      <c r="A4710" s="45"/>
      <c r="B4710" s="59"/>
      <c r="C4710" s="137"/>
      <c r="D4710" s="59"/>
      <c r="E4710" s="116"/>
      <c r="F4710" s="120"/>
      <c r="G4710" s="120"/>
      <c r="H4710" s="120"/>
      <c r="I4710" s="60"/>
      <c r="J4710" s="116"/>
      <c r="K4710" s="213"/>
      <c r="L4710" s="120"/>
      <c r="M4710" s="120"/>
      <c r="N4710" s="167"/>
      <c r="O4710" s="120"/>
      <c r="P4710" s="120"/>
      <c r="Q4710" s="120"/>
      <c r="R4710" s="120"/>
      <c r="S4710" s="120"/>
      <c r="T4710" s="221"/>
      <c r="U4710" s="89"/>
      <c r="V4710" s="61"/>
      <c r="W4710" s="92" t="s">
        <v>99</v>
      </c>
      <c r="X4710" s="93" t="s">
        <v>30</v>
      </c>
      <c r="Y4710" s="93" t="s">
        <v>67</v>
      </c>
      <c r="Z4710" s="134">
        <f>VLOOKUP(W4710,Sheet2!$B:$D,3,FALSE)</f>
        <v>2500</v>
      </c>
      <c r="AA4710" s="93">
        <f>AA4709/0.08</f>
        <v>10.416666666666666</v>
      </c>
      <c r="AB4710" s="93">
        <f>AD4710/AC4714</f>
        <v>240</v>
      </c>
      <c r="AC4710" s="93">
        <f>AC4714/AA4710</f>
        <v>0.77664000000000444</v>
      </c>
      <c r="AD4710" s="94">
        <f t="shared" si="3444"/>
        <v>1941.6000000000111</v>
      </c>
      <c r="AE4710" s="190"/>
      <c r="AF4710" s="191"/>
      <c r="AG4710" s="191"/>
      <c r="AH4710" s="191"/>
      <c r="AI4710" s="186"/>
      <c r="AK4710" s="171"/>
    </row>
    <row r="4711" spans="1:37" s="102" customFormat="1" ht="19.899999999999999" customHeight="1" x14ac:dyDescent="0.25">
      <c r="A4711" s="45"/>
      <c r="B4711" s="59"/>
      <c r="C4711" s="137"/>
      <c r="D4711" s="59"/>
      <c r="E4711" s="116"/>
      <c r="F4711" s="120"/>
      <c r="G4711" s="120"/>
      <c r="H4711" s="120"/>
      <c r="I4711" s="60"/>
      <c r="J4711" s="116"/>
      <c r="K4711" s="213"/>
      <c r="L4711" s="120"/>
      <c r="M4711" s="120"/>
      <c r="N4711" s="167"/>
      <c r="O4711" s="120"/>
      <c r="P4711" s="120"/>
      <c r="Q4711" s="120"/>
      <c r="R4711" s="120"/>
      <c r="S4711" s="120"/>
      <c r="T4711" s="221"/>
      <c r="U4711" s="89"/>
      <c r="V4711" s="61"/>
      <c r="W4711" s="92" t="s">
        <v>1354</v>
      </c>
      <c r="X4711" s="93" t="s">
        <v>32</v>
      </c>
      <c r="Y4711" s="93" t="s">
        <v>66</v>
      </c>
      <c r="Z4711" s="134">
        <f>VLOOKUP(W4711,Sheet2!$B:$D,3,FALSE)</f>
        <v>150</v>
      </c>
      <c r="AA4711" s="93">
        <f>AA4708</f>
        <v>2.2675736961451243</v>
      </c>
      <c r="AB4711" s="93">
        <f>AD4711/AC4714</f>
        <v>66.15000000000002</v>
      </c>
      <c r="AC4711" s="93">
        <f>AC4714/AA4711</f>
        <v>3.5676900000000211</v>
      </c>
      <c r="AD4711" s="94">
        <f>AC4711*Z4711</f>
        <v>535.15350000000319</v>
      </c>
      <c r="AE4711" s="190"/>
      <c r="AF4711" s="191"/>
      <c r="AG4711" s="191"/>
      <c r="AH4711" s="191"/>
      <c r="AI4711" s="186"/>
      <c r="AK4711" s="171"/>
    </row>
    <row r="4712" spans="1:37" s="102" customFormat="1" ht="19.899999999999999" customHeight="1" x14ac:dyDescent="0.25">
      <c r="A4712" s="45"/>
      <c r="B4712" s="59"/>
      <c r="C4712" s="137"/>
      <c r="D4712" s="59"/>
      <c r="E4712" s="116"/>
      <c r="F4712" s="120"/>
      <c r="G4712" s="120"/>
      <c r="H4712" s="120"/>
      <c r="I4712" s="60"/>
      <c r="J4712" s="116"/>
      <c r="K4712" s="213"/>
      <c r="L4712" s="120"/>
      <c r="M4712" s="120"/>
      <c r="N4712" s="167"/>
      <c r="O4712" s="120"/>
      <c r="P4712" s="120"/>
      <c r="Q4712" s="120"/>
      <c r="R4712" s="120"/>
      <c r="S4712" s="120"/>
      <c r="T4712" s="221"/>
      <c r="U4712" s="89"/>
      <c r="V4712" s="61"/>
      <c r="W4712" s="92" t="s">
        <v>1355</v>
      </c>
      <c r="X4712" s="93" t="s">
        <v>32</v>
      </c>
      <c r="Y4712" s="93" t="s">
        <v>66</v>
      </c>
      <c r="Z4712" s="134">
        <f>VLOOKUP(W4712,Sheet2!$B:$D,3,FALSE)</f>
        <v>450</v>
      </c>
      <c r="AA4712" s="93">
        <f>AA4709</f>
        <v>0.83333333333333337</v>
      </c>
      <c r="AB4712" s="93">
        <f>AD4712/AC4714</f>
        <v>540</v>
      </c>
      <c r="AC4712" s="93">
        <f>AC4714/AA4712</f>
        <v>9.7080000000000553</v>
      </c>
      <c r="AD4712" s="94">
        <f>AC4712*Z4712</f>
        <v>4368.6000000000249</v>
      </c>
      <c r="AE4712" s="190"/>
      <c r="AF4712" s="191"/>
      <c r="AG4712" s="191"/>
      <c r="AH4712" s="191"/>
      <c r="AI4712" s="186"/>
      <c r="AK4712" s="171"/>
    </row>
    <row r="4713" spans="1:37" s="102" customFormat="1" ht="19.899999999999999" customHeight="1" x14ac:dyDescent="0.25">
      <c r="A4713" s="45"/>
      <c r="B4713" s="59"/>
      <c r="C4713" s="137"/>
      <c r="D4713" s="59"/>
      <c r="E4713" s="116"/>
      <c r="F4713" s="120"/>
      <c r="G4713" s="120"/>
      <c r="H4713" s="120"/>
      <c r="I4713" s="60"/>
      <c r="J4713" s="116"/>
      <c r="K4713" s="213"/>
      <c r="L4713" s="120"/>
      <c r="M4713" s="120"/>
      <c r="N4713" s="167"/>
      <c r="O4713" s="120"/>
      <c r="P4713" s="120"/>
      <c r="Q4713" s="120"/>
      <c r="R4713" s="120"/>
      <c r="S4713" s="120"/>
      <c r="T4713" s="221"/>
      <c r="U4713" s="89"/>
      <c r="V4713" s="61"/>
      <c r="W4713" s="92" t="s">
        <v>124</v>
      </c>
      <c r="X4713" s="93" t="s">
        <v>32</v>
      </c>
      <c r="Y4713" s="93" t="s">
        <v>64</v>
      </c>
      <c r="Z4713" s="134">
        <f>VLOOKUP(W4713,Sheet2!$B:$D,3,FALSE)</f>
        <v>10</v>
      </c>
      <c r="AA4713" s="93">
        <f>1/((2.6*2.6)-(3.14*1.2*1.2/4))</f>
        <v>0.17763251385533604</v>
      </c>
      <c r="AB4713" s="93">
        <f t="shared" ref="AB4713" si="3445">AD4713/AC4707</f>
        <v>56.296000000000014</v>
      </c>
      <c r="AC4713" s="93">
        <f>AC4707/AA4713</f>
        <v>45.54346400000027</v>
      </c>
      <c r="AD4713" s="94">
        <f t="shared" ref="AD4713" si="3446">AC4713*Z4713</f>
        <v>455.43464000000267</v>
      </c>
      <c r="AE4713" s="190"/>
      <c r="AF4713" s="191"/>
      <c r="AG4713" s="191"/>
      <c r="AH4713" s="191"/>
      <c r="AI4713" s="186"/>
      <c r="AK4713" s="171"/>
    </row>
    <row r="4714" spans="1:37" s="103" customFormat="1" ht="19.899999999999999" customHeight="1" x14ac:dyDescent="0.25">
      <c r="A4714" s="51"/>
      <c r="B4714" s="52"/>
      <c r="C4714" s="165"/>
      <c r="D4714" s="52"/>
      <c r="E4714" s="115"/>
      <c r="F4714" s="58"/>
      <c r="G4714" s="58"/>
      <c r="H4714" s="58"/>
      <c r="I4714" s="55"/>
      <c r="J4714" s="113">
        <f>J4701</f>
        <v>8.090000000000046</v>
      </c>
      <c r="K4714" s="212">
        <f>K4701</f>
        <v>8.090000000000046</v>
      </c>
      <c r="L4714" s="58"/>
      <c r="M4714" s="58">
        <f>K4714-L4714</f>
        <v>8.090000000000046</v>
      </c>
      <c r="N4714" s="166"/>
      <c r="O4714" s="58"/>
      <c r="P4714" s="58"/>
      <c r="Q4714" s="58"/>
      <c r="R4714" s="58"/>
      <c r="S4714" s="58"/>
      <c r="T4714" s="220"/>
      <c r="U4714" s="88"/>
      <c r="V4714" s="56"/>
      <c r="W4714" s="57" t="s">
        <v>1275</v>
      </c>
      <c r="X4714" s="53"/>
      <c r="Y4714" s="91" t="s">
        <v>35</v>
      </c>
      <c r="Z4714" s="136">
        <f>AD4714/AC4714</f>
        <v>4872.8000000000011</v>
      </c>
      <c r="AA4714" s="58"/>
      <c r="AB4714" s="53">
        <f>AD4714/AC4714</f>
        <v>4872.8000000000011</v>
      </c>
      <c r="AC4714" s="53">
        <f>M4714+$AE$10</f>
        <v>8.090000000000046</v>
      </c>
      <c r="AD4714" s="54">
        <f>SUM(AD4715:AD4720)</f>
        <v>39420.95200000023</v>
      </c>
      <c r="AE4714" s="184">
        <f>SUMIFS($AD$37:$AD$12971,$V$37:$V$12971,$V4714,$X$37:$X$12971,AE$13)</f>
        <v>0</v>
      </c>
      <c r="AF4714" s="185">
        <f>SUMIFS($AD$37:$AD$12971,$V$37:$V$12971,$V4714,$X$37:$X$12971,AF$13)</f>
        <v>0</v>
      </c>
      <c r="AG4714" s="185">
        <f>SUMIFS($AD$37:$AD$12971,$V$37:$V$12971,$V4714,$X$37:$X$12971,AG$13)</f>
        <v>0</v>
      </c>
      <c r="AH4714" s="187">
        <f>SUMIFS($AD$37:$AD$12971,$V$37:$V$12971,$V4714,$X$37:$X$12971,AH$13)</f>
        <v>0</v>
      </c>
      <c r="AI4714" s="161">
        <f t="shared" ref="AI4714" si="3447">SUM(AE4714:AH4714)</f>
        <v>0</v>
      </c>
      <c r="AK4714" s="172"/>
    </row>
    <row r="4715" spans="1:37" s="102" customFormat="1" ht="19.899999999999999" customHeight="1" x14ac:dyDescent="0.25">
      <c r="A4715" s="45"/>
      <c r="B4715" s="59"/>
      <c r="C4715" s="137"/>
      <c r="D4715" s="59"/>
      <c r="E4715" s="116"/>
      <c r="F4715" s="120"/>
      <c r="G4715" s="120"/>
      <c r="H4715" s="120"/>
      <c r="I4715" s="60"/>
      <c r="J4715" s="116"/>
      <c r="K4715" s="213"/>
      <c r="L4715" s="120"/>
      <c r="M4715" s="120"/>
      <c r="N4715" s="167"/>
      <c r="O4715" s="120"/>
      <c r="P4715" s="120"/>
      <c r="Q4715" s="120"/>
      <c r="R4715" s="120"/>
      <c r="S4715" s="120"/>
      <c r="T4715" s="221"/>
      <c r="U4715" s="89"/>
      <c r="V4715" s="61"/>
      <c r="W4715" s="92" t="s">
        <v>1489</v>
      </c>
      <c r="X4715" s="93" t="s">
        <v>30</v>
      </c>
      <c r="Y4715" s="93" t="s">
        <v>35</v>
      </c>
      <c r="Z4715" s="134">
        <f>VLOOKUP(W4715,Sheet2!$B:$D,3,FALSE)</f>
        <v>3100</v>
      </c>
      <c r="AA4715" s="93">
        <v>1</v>
      </c>
      <c r="AB4715" s="93">
        <f>AD4715/AC4714</f>
        <v>3100</v>
      </c>
      <c r="AC4715" s="93">
        <f>AC4714/AA4715</f>
        <v>8.090000000000046</v>
      </c>
      <c r="AD4715" s="94">
        <f t="shared" ref="AD4715:AD4716" si="3448">AC4715*Z4715</f>
        <v>25079.000000000142</v>
      </c>
      <c r="AE4715" s="190"/>
      <c r="AF4715" s="191"/>
      <c r="AG4715" s="191"/>
      <c r="AH4715" s="191"/>
      <c r="AI4715" s="186"/>
      <c r="AK4715" s="171"/>
    </row>
    <row r="4716" spans="1:37" s="102" customFormat="1" ht="19.899999999999999" customHeight="1" x14ac:dyDescent="0.25">
      <c r="A4716" s="45"/>
      <c r="B4716" s="59"/>
      <c r="C4716" s="137"/>
      <c r="D4716" s="59"/>
      <c r="E4716" s="116"/>
      <c r="F4716" s="120"/>
      <c r="G4716" s="120"/>
      <c r="H4716" s="120"/>
      <c r="I4716" s="60"/>
      <c r="J4716" s="116"/>
      <c r="K4716" s="213"/>
      <c r="L4716" s="120"/>
      <c r="M4716" s="120"/>
      <c r="N4716" s="167"/>
      <c r="O4716" s="120"/>
      <c r="P4716" s="120"/>
      <c r="Q4716" s="120"/>
      <c r="R4716" s="120"/>
      <c r="S4716" s="120"/>
      <c r="T4716" s="221"/>
      <c r="U4716" s="89"/>
      <c r="V4716" s="61"/>
      <c r="W4716" s="92" t="s">
        <v>174</v>
      </c>
      <c r="X4716" s="93" t="s">
        <v>29</v>
      </c>
      <c r="Y4716" s="93" t="s">
        <v>93</v>
      </c>
      <c r="Z4716" s="134">
        <f>VLOOKUP(W4716,Sheet2!$B:$D,3,FALSE)</f>
        <v>80</v>
      </c>
      <c r="AA4716" s="93">
        <f>1/2</f>
        <v>0.5</v>
      </c>
      <c r="AB4716" s="93">
        <f>AD4716/AC4714</f>
        <v>160</v>
      </c>
      <c r="AC4716" s="93">
        <f>AC4714/AA4716</f>
        <v>16.180000000000092</v>
      </c>
      <c r="AD4716" s="94">
        <f t="shared" si="3448"/>
        <v>1294.4000000000074</v>
      </c>
      <c r="AE4716" s="190"/>
      <c r="AF4716" s="191"/>
      <c r="AG4716" s="191"/>
      <c r="AH4716" s="191"/>
      <c r="AI4716" s="186"/>
      <c r="AK4716" s="171"/>
    </row>
    <row r="4717" spans="1:37" s="102" customFormat="1" ht="19.899999999999999" customHeight="1" x14ac:dyDescent="0.25">
      <c r="A4717" s="45"/>
      <c r="B4717" s="59"/>
      <c r="C4717" s="137"/>
      <c r="D4717" s="59"/>
      <c r="E4717" s="116"/>
      <c r="F4717" s="120"/>
      <c r="G4717" s="120"/>
      <c r="H4717" s="120"/>
      <c r="I4717" s="60"/>
      <c r="J4717" s="116"/>
      <c r="K4717" s="213"/>
      <c r="L4717" s="120"/>
      <c r="M4717" s="120"/>
      <c r="N4717" s="167"/>
      <c r="O4717" s="120"/>
      <c r="P4717" s="120"/>
      <c r="Q4717" s="120"/>
      <c r="R4717" s="120"/>
      <c r="S4717" s="120"/>
      <c r="T4717" s="221"/>
      <c r="U4717" s="89"/>
      <c r="V4717" s="61"/>
      <c r="W4717" s="92" t="s">
        <v>65</v>
      </c>
      <c r="X4717" s="93" t="s">
        <v>30</v>
      </c>
      <c r="Y4717" s="93" t="s">
        <v>93</v>
      </c>
      <c r="Z4717" s="134">
        <f>VLOOKUP(W4717,Sheet2!$B:$D,3,FALSE)</f>
        <v>1.76</v>
      </c>
      <c r="AA4717" s="93">
        <f>AA4716/15</f>
        <v>3.3333333333333333E-2</v>
      </c>
      <c r="AB4717" s="93">
        <f>AD4717/AC4714</f>
        <v>52.8</v>
      </c>
      <c r="AC4717" s="93">
        <f>AC4714/AA4717</f>
        <v>242.70000000000138</v>
      </c>
      <c r="AD4717" s="94">
        <f>AC4717*Z4717</f>
        <v>427.15200000000243</v>
      </c>
      <c r="AE4717" s="190"/>
      <c r="AF4717" s="191"/>
      <c r="AG4717" s="191"/>
      <c r="AH4717" s="191"/>
      <c r="AI4717" s="186"/>
      <c r="AK4717" s="171"/>
    </row>
    <row r="4718" spans="1:37" s="102" customFormat="1" ht="19.899999999999999" customHeight="1" x14ac:dyDescent="0.25">
      <c r="A4718" s="45"/>
      <c r="B4718" s="59"/>
      <c r="C4718" s="137"/>
      <c r="D4718" s="59"/>
      <c r="E4718" s="116"/>
      <c r="F4718" s="120"/>
      <c r="G4718" s="120"/>
      <c r="H4718" s="120"/>
      <c r="I4718" s="60"/>
      <c r="J4718" s="116"/>
      <c r="K4718" s="213"/>
      <c r="L4718" s="120"/>
      <c r="M4718" s="120"/>
      <c r="N4718" s="167"/>
      <c r="O4718" s="120"/>
      <c r="P4718" s="120"/>
      <c r="Q4718" s="120"/>
      <c r="R4718" s="120"/>
      <c r="S4718" s="120"/>
      <c r="T4718" s="221"/>
      <c r="U4718" s="89"/>
      <c r="V4718" s="61"/>
      <c r="W4718" s="92" t="s">
        <v>1487</v>
      </c>
      <c r="X4718" s="93" t="s">
        <v>32</v>
      </c>
      <c r="Y4718" s="93" t="s">
        <v>1349</v>
      </c>
      <c r="Z4718" s="134">
        <f>VLOOKUP(W4718,Sheet2!$B:$D,3,FALSE)</f>
        <v>1500</v>
      </c>
      <c r="AA4718" s="93">
        <v>1</v>
      </c>
      <c r="AB4718" s="93">
        <f>AD4718/AC4714</f>
        <v>1500</v>
      </c>
      <c r="AC4718" s="93">
        <f>AC4714/AA4718</f>
        <v>8.090000000000046</v>
      </c>
      <c r="AD4718" s="94">
        <f>AC4718*Z4718</f>
        <v>12135.000000000069</v>
      </c>
      <c r="AE4718" s="190"/>
      <c r="AF4718" s="191"/>
      <c r="AG4718" s="191"/>
      <c r="AH4718" s="191"/>
      <c r="AI4718" s="186"/>
      <c r="AK4718" s="171"/>
    </row>
    <row r="4719" spans="1:37" s="102" customFormat="1" ht="19.899999999999999" customHeight="1" x14ac:dyDescent="0.25">
      <c r="A4719" s="45"/>
      <c r="B4719" s="59"/>
      <c r="C4719" s="137"/>
      <c r="D4719" s="59"/>
      <c r="E4719" s="116"/>
      <c r="F4719" s="120"/>
      <c r="G4719" s="120"/>
      <c r="H4719" s="120"/>
      <c r="I4719" s="60"/>
      <c r="J4719" s="116"/>
      <c r="K4719" s="213"/>
      <c r="L4719" s="120"/>
      <c r="M4719" s="120"/>
      <c r="N4719" s="167"/>
      <c r="O4719" s="120"/>
      <c r="P4719" s="120"/>
      <c r="Q4719" s="120"/>
      <c r="R4719" s="120"/>
      <c r="S4719" s="120"/>
      <c r="T4719" s="221"/>
      <c r="U4719" s="89"/>
      <c r="V4719" s="61"/>
      <c r="W4719" s="92" t="s">
        <v>107</v>
      </c>
      <c r="X4719" s="93" t="s">
        <v>31</v>
      </c>
      <c r="Y4719" s="93" t="s">
        <v>93</v>
      </c>
      <c r="Z4719" s="134">
        <f>VLOOKUP(W4719,Sheet2!$B:$D,3,FALSE)</f>
        <v>17</v>
      </c>
      <c r="AA4719" s="93">
        <f>AA4716</f>
        <v>0.5</v>
      </c>
      <c r="AB4719" s="93">
        <f>AD4719/AC4714</f>
        <v>34</v>
      </c>
      <c r="AC4719" s="93">
        <f>AC4714/AA4719</f>
        <v>16.180000000000092</v>
      </c>
      <c r="AD4719" s="94">
        <f>AC4719*Z4719</f>
        <v>275.06000000000154</v>
      </c>
      <c r="AE4719" s="190"/>
      <c r="AF4719" s="191"/>
      <c r="AG4719" s="191"/>
      <c r="AH4719" s="191"/>
      <c r="AI4719" s="186"/>
      <c r="AK4719" s="171"/>
    </row>
    <row r="4720" spans="1:37" s="102" customFormat="1" ht="19.899999999999999" customHeight="1" x14ac:dyDescent="0.25">
      <c r="A4720" s="45"/>
      <c r="B4720" s="59"/>
      <c r="C4720" s="137"/>
      <c r="D4720" s="59"/>
      <c r="E4720" s="116"/>
      <c r="F4720" s="120"/>
      <c r="G4720" s="120"/>
      <c r="H4720" s="120"/>
      <c r="I4720" s="60"/>
      <c r="J4720" s="116"/>
      <c r="K4720" s="213"/>
      <c r="L4720" s="120"/>
      <c r="M4720" s="120"/>
      <c r="N4720" s="167"/>
      <c r="O4720" s="120"/>
      <c r="P4720" s="120"/>
      <c r="Q4720" s="120"/>
      <c r="R4720" s="120"/>
      <c r="S4720" s="120"/>
      <c r="T4720" s="221"/>
      <c r="U4720" s="89"/>
      <c r="V4720" s="61"/>
      <c r="W4720" s="92" t="s">
        <v>112</v>
      </c>
      <c r="X4720" s="93" t="s">
        <v>31</v>
      </c>
      <c r="Y4720" s="93" t="s">
        <v>93</v>
      </c>
      <c r="Z4720" s="134">
        <f>VLOOKUP(W4720,Sheet2!$B:$D,3,FALSE)</f>
        <v>13</v>
      </c>
      <c r="AA4720" s="93">
        <f>AA4719</f>
        <v>0.5</v>
      </c>
      <c r="AB4720" s="93">
        <f>AD4720/AC4714</f>
        <v>26</v>
      </c>
      <c r="AC4720" s="93">
        <f>AC4714/AA4720</f>
        <v>16.180000000000092</v>
      </c>
      <c r="AD4720" s="94">
        <f>AC4720*Z4720</f>
        <v>210.3400000000012</v>
      </c>
      <c r="AE4720" s="190"/>
      <c r="AF4720" s="191"/>
      <c r="AG4720" s="191"/>
      <c r="AH4720" s="191"/>
      <c r="AI4720" s="186"/>
      <c r="AK4720" s="171"/>
    </row>
    <row r="4721" spans="1:41" s="103" customFormat="1" ht="19.899999999999999" customHeight="1" x14ac:dyDescent="0.25">
      <c r="A4721" s="51"/>
      <c r="B4721" s="52"/>
      <c r="C4721" s="165"/>
      <c r="D4721" s="52"/>
      <c r="E4721" s="115"/>
      <c r="F4721" s="58"/>
      <c r="G4721" s="58"/>
      <c r="H4721" s="58"/>
      <c r="I4721" s="55"/>
      <c r="J4721" s="113">
        <f>J4701</f>
        <v>8.090000000000046</v>
      </c>
      <c r="K4721" s="212">
        <f>K4701</f>
        <v>8.090000000000046</v>
      </c>
      <c r="L4721" s="58"/>
      <c r="M4721" s="58">
        <f>K4721-L4721</f>
        <v>8.090000000000046</v>
      </c>
      <c r="N4721" s="166"/>
      <c r="O4721" s="58"/>
      <c r="P4721" s="58"/>
      <c r="Q4721" s="58"/>
      <c r="R4721" s="58"/>
      <c r="S4721" s="58"/>
      <c r="T4721" s="220"/>
      <c r="U4721" s="88"/>
      <c r="V4721" s="56"/>
      <c r="W4721" s="57" t="s">
        <v>1272</v>
      </c>
      <c r="X4721" s="53"/>
      <c r="Y4721" s="91" t="s">
        <v>35</v>
      </c>
      <c r="Z4721" s="136">
        <f>AD4721/AC4721</f>
        <v>263.541077427451</v>
      </c>
      <c r="AA4721" s="58"/>
      <c r="AB4721" s="53">
        <f>AD4721/AC4721</f>
        <v>263.541077427451</v>
      </c>
      <c r="AC4721" s="53">
        <f>M4721+$AE$10</f>
        <v>8.090000000000046</v>
      </c>
      <c r="AD4721" s="54">
        <f>SUM(AD4722:AD4730)</f>
        <v>2132.0473163880906</v>
      </c>
      <c r="AE4721" s="184">
        <f>SUMIFS($AD$37:$AD$12971,$V$37:$V$12971,$V4721,$X$37:$X$12971,AE$13)</f>
        <v>0</v>
      </c>
      <c r="AF4721" s="185">
        <f>SUMIFS($AD$37:$AD$12971,$V$37:$V$12971,$V4721,$X$37:$X$12971,AF$13)</f>
        <v>0</v>
      </c>
      <c r="AG4721" s="185">
        <f>SUMIFS($AD$37:$AD$12971,$V$37:$V$12971,$V4721,$X$37:$X$12971,AG$13)</f>
        <v>0</v>
      </c>
      <c r="AH4721" s="187">
        <f>SUMIFS($AD$37:$AD$12971,$V$37:$V$12971,$V4721,$X$37:$X$12971,AH$13)</f>
        <v>0</v>
      </c>
      <c r="AI4721" s="161">
        <f t="shared" ref="AI4721" si="3449">SUM(AE4721:AH4721)</f>
        <v>0</v>
      </c>
      <c r="AK4721" s="172"/>
    </row>
    <row r="4722" spans="1:41" s="102" customFormat="1" ht="19.899999999999999" customHeight="1" x14ac:dyDescent="0.25">
      <c r="A4722" s="45"/>
      <c r="B4722" s="59"/>
      <c r="C4722" s="137"/>
      <c r="D4722" s="59"/>
      <c r="E4722" s="116"/>
      <c r="F4722" s="120"/>
      <c r="G4722" s="120"/>
      <c r="H4722" s="120"/>
      <c r="I4722" s="60"/>
      <c r="J4722" s="116"/>
      <c r="K4722" s="213"/>
      <c r="L4722" s="120"/>
      <c r="M4722" s="120"/>
      <c r="N4722" s="167"/>
      <c r="O4722" s="120"/>
      <c r="P4722" s="120"/>
      <c r="Q4722" s="120"/>
      <c r="R4722" s="120"/>
      <c r="S4722" s="120"/>
      <c r="T4722" s="221"/>
      <c r="U4722" s="89"/>
      <c r="V4722" s="61"/>
      <c r="W4722" s="92" t="s">
        <v>1273</v>
      </c>
      <c r="X4722" s="93" t="s">
        <v>30</v>
      </c>
      <c r="Y4722" s="93" t="s">
        <v>66</v>
      </c>
      <c r="Z4722" s="134">
        <f>VLOOKUP(W4722,Sheet2!$B:$D,3,FALSE)</f>
        <v>10</v>
      </c>
      <c r="AA4722" s="93">
        <f>1/((2.5*2.5*2.5)-(3.14/4*1.2*1.2*2.5))</f>
        <v>7.8131103992499423E-2</v>
      </c>
      <c r="AB4722" s="93">
        <f>AD4722/AC4721</f>
        <v>127.98999999999998</v>
      </c>
      <c r="AC4722" s="93">
        <f>AC4721/AA4722</f>
        <v>103.54391000000058</v>
      </c>
      <c r="AD4722" s="94">
        <f t="shared" ref="AD4722:AD4724" si="3450">AC4722*Z4722</f>
        <v>1035.4391000000057</v>
      </c>
      <c r="AE4722" s="190"/>
      <c r="AF4722" s="191"/>
      <c r="AG4722" s="191"/>
      <c r="AH4722" s="191"/>
      <c r="AI4722" s="186"/>
      <c r="AK4722" s="171"/>
    </row>
    <row r="4723" spans="1:41" s="102" customFormat="1" ht="19.899999999999999" customHeight="1" x14ac:dyDescent="0.25">
      <c r="A4723" s="45"/>
      <c r="B4723" s="59"/>
      <c r="C4723" s="137"/>
      <c r="D4723" s="59"/>
      <c r="E4723" s="116"/>
      <c r="F4723" s="120"/>
      <c r="G4723" s="120"/>
      <c r="H4723" s="120"/>
      <c r="I4723" s="60"/>
      <c r="J4723" s="116"/>
      <c r="K4723" s="213"/>
      <c r="L4723" s="120"/>
      <c r="M4723" s="120"/>
      <c r="N4723" s="167"/>
      <c r="O4723" s="120"/>
      <c r="P4723" s="120"/>
      <c r="Q4723" s="120"/>
      <c r="R4723" s="120"/>
      <c r="S4723" s="120"/>
      <c r="T4723" s="221"/>
      <c r="U4723" s="89"/>
      <c r="V4723" s="61"/>
      <c r="W4723" s="92" t="s">
        <v>134</v>
      </c>
      <c r="X4723" s="93" t="s">
        <v>29</v>
      </c>
      <c r="Y4723" s="93" t="s">
        <v>93</v>
      </c>
      <c r="Z4723" s="134">
        <f>VLOOKUP(W4723,Sheet2!$B:$D,3,FALSE)</f>
        <v>65.599999999999994</v>
      </c>
      <c r="AA4723" s="93">
        <f>100/((2.5*2.5*2.5)-(3.14/4*1.2*1.2*2.5))</f>
        <v>7.8131103992499416</v>
      </c>
      <c r="AB4723" s="93">
        <f t="shared" ref="AB4723" si="3451">AD4723/AC4721</f>
        <v>8.3961439999999978</v>
      </c>
      <c r="AC4723" s="93">
        <f>AC4721/AA4723</f>
        <v>1.0354391000000058</v>
      </c>
      <c r="AD4723" s="94">
        <f t="shared" si="3450"/>
        <v>67.924804960000372</v>
      </c>
      <c r="AE4723" s="190"/>
      <c r="AF4723" s="191"/>
      <c r="AG4723" s="191"/>
      <c r="AH4723" s="191"/>
      <c r="AI4723" s="186"/>
      <c r="AK4723" s="171"/>
    </row>
    <row r="4724" spans="1:41" s="102" customFormat="1" ht="19.899999999999999" customHeight="1" x14ac:dyDescent="0.25">
      <c r="A4724" s="45"/>
      <c r="B4724" s="59"/>
      <c r="C4724" s="137"/>
      <c r="D4724" s="59"/>
      <c r="E4724" s="116"/>
      <c r="F4724" s="120"/>
      <c r="G4724" s="120"/>
      <c r="H4724" s="120"/>
      <c r="I4724" s="60"/>
      <c r="J4724" s="116"/>
      <c r="K4724" s="213"/>
      <c r="L4724" s="120"/>
      <c r="M4724" s="120"/>
      <c r="N4724" s="167"/>
      <c r="O4724" s="120"/>
      <c r="P4724" s="120"/>
      <c r="Q4724" s="120"/>
      <c r="R4724" s="120"/>
      <c r="S4724" s="120"/>
      <c r="T4724" s="221"/>
      <c r="U4724" s="89"/>
      <c r="V4724" s="61"/>
      <c r="W4724" s="92" t="s">
        <v>65</v>
      </c>
      <c r="X4724" s="93" t="s">
        <v>30</v>
      </c>
      <c r="Y4724" s="93" t="s">
        <v>1011</v>
      </c>
      <c r="Z4724" s="134">
        <f>VLOOKUP(W4724,Sheet2!$B:$D,3,FALSE)</f>
        <v>1.76</v>
      </c>
      <c r="AA4724" s="93">
        <f>AA4723/9</f>
        <v>0.86812337769443793</v>
      </c>
      <c r="AB4724" s="93">
        <f>AD4724/AC4721</f>
        <v>2.0273616000000003</v>
      </c>
      <c r="AC4724" s="93">
        <f>AC4721/AA4724</f>
        <v>9.3189519000000534</v>
      </c>
      <c r="AD4724" s="94">
        <f t="shared" si="3450"/>
        <v>16.401355344000095</v>
      </c>
      <c r="AE4724" s="190"/>
      <c r="AF4724" s="191"/>
      <c r="AG4724" s="191"/>
      <c r="AH4724" s="191"/>
      <c r="AI4724" s="186"/>
      <c r="AK4724" s="171"/>
    </row>
    <row r="4725" spans="1:41" s="102" customFormat="1" ht="19.899999999999999" customHeight="1" x14ac:dyDescent="0.25">
      <c r="A4725" s="45"/>
      <c r="B4725" s="59"/>
      <c r="C4725" s="137"/>
      <c r="D4725" s="59"/>
      <c r="E4725" s="116"/>
      <c r="F4725" s="120"/>
      <c r="G4725" s="120"/>
      <c r="H4725" s="120"/>
      <c r="I4725" s="60"/>
      <c r="J4725" s="116"/>
      <c r="K4725" s="213"/>
      <c r="L4725" s="120"/>
      <c r="M4725" s="120"/>
      <c r="N4725" s="167"/>
      <c r="O4725" s="120"/>
      <c r="P4725" s="120"/>
      <c r="Q4725" s="120"/>
      <c r="R4725" s="120"/>
      <c r="S4725" s="120"/>
      <c r="T4725" s="221"/>
      <c r="U4725" s="89"/>
      <c r="V4725" s="61"/>
      <c r="W4725" s="92" t="s">
        <v>161</v>
      </c>
      <c r="X4725" s="93" t="s">
        <v>29</v>
      </c>
      <c r="Y4725" s="93" t="s">
        <v>93</v>
      </c>
      <c r="Z4725" s="134">
        <f>VLOOKUP(W4725,Sheet2!$B:$D,3,FALSE)</f>
        <v>48</v>
      </c>
      <c r="AA4725" s="93">
        <f>(16*0.85*1.5)/((2.5*2.5*2.5)-(3.14/4*1.2*1.2*2.5))</f>
        <v>1.593874521446988</v>
      </c>
      <c r="AB4725" s="93">
        <f>AD4725/AC4721</f>
        <v>30.115294117647061</v>
      </c>
      <c r="AC4725" s="93">
        <f>AC4721/AA4725</f>
        <v>5.0756818627451272</v>
      </c>
      <c r="AD4725" s="94">
        <f>AC4725*Z4725</f>
        <v>243.63272941176609</v>
      </c>
      <c r="AE4725" s="190"/>
      <c r="AF4725" s="191"/>
      <c r="AG4725" s="191"/>
      <c r="AH4725" s="191"/>
      <c r="AI4725" s="186"/>
      <c r="AK4725" s="171"/>
    </row>
    <row r="4726" spans="1:41" s="102" customFormat="1" ht="19.899999999999999" customHeight="1" x14ac:dyDescent="0.25">
      <c r="A4726" s="45"/>
      <c r="B4726" s="59"/>
      <c r="C4726" s="137"/>
      <c r="D4726" s="59"/>
      <c r="E4726" s="116"/>
      <c r="F4726" s="120"/>
      <c r="G4726" s="120"/>
      <c r="H4726" s="120"/>
      <c r="I4726" s="60"/>
      <c r="J4726" s="116"/>
      <c r="K4726" s="213"/>
      <c r="L4726" s="120"/>
      <c r="M4726" s="120"/>
      <c r="N4726" s="167"/>
      <c r="O4726" s="120"/>
      <c r="P4726" s="120"/>
      <c r="Q4726" s="120"/>
      <c r="R4726" s="120"/>
      <c r="S4726" s="120"/>
      <c r="T4726" s="221"/>
      <c r="U4726" s="89"/>
      <c r="V4726" s="61"/>
      <c r="W4726" s="92" t="s">
        <v>65</v>
      </c>
      <c r="X4726" s="93" t="s">
        <v>30</v>
      </c>
      <c r="Y4726" s="93" t="s">
        <v>1011</v>
      </c>
      <c r="Z4726" s="134">
        <f>VLOOKUP(W4726,Sheet2!$B:$D,3,FALSE)</f>
        <v>1.76</v>
      </c>
      <c r="AA4726" s="93">
        <f>AA4725/10</f>
        <v>0.15938745214469879</v>
      </c>
      <c r="AB4726" s="93">
        <f>AD4726/AC4721</f>
        <v>11.042274509803923</v>
      </c>
      <c r="AC4726" s="93">
        <f>AC4721/AA4726</f>
        <v>50.756818627451274</v>
      </c>
      <c r="AD4726" s="94">
        <f>AC4726*Z4726</f>
        <v>89.332000784314246</v>
      </c>
      <c r="AE4726" s="190"/>
      <c r="AF4726" s="191"/>
      <c r="AG4726" s="191"/>
      <c r="AH4726" s="191"/>
      <c r="AI4726" s="186"/>
      <c r="AK4726" s="171"/>
    </row>
    <row r="4727" spans="1:41" s="102" customFormat="1" ht="19.899999999999999" customHeight="1" x14ac:dyDescent="0.25">
      <c r="A4727" s="45"/>
      <c r="B4727" s="59"/>
      <c r="C4727" s="137"/>
      <c r="D4727" s="59"/>
      <c r="E4727" s="116"/>
      <c r="F4727" s="120"/>
      <c r="G4727" s="120"/>
      <c r="H4727" s="120"/>
      <c r="I4727" s="60"/>
      <c r="J4727" s="116"/>
      <c r="K4727" s="213"/>
      <c r="L4727" s="120"/>
      <c r="M4727" s="120"/>
      <c r="N4727" s="167"/>
      <c r="O4727" s="120"/>
      <c r="P4727" s="120"/>
      <c r="Q4727" s="120"/>
      <c r="R4727" s="120"/>
      <c r="S4727" s="120"/>
      <c r="T4727" s="221"/>
      <c r="U4727" s="89"/>
      <c r="V4727" s="61"/>
      <c r="W4727" s="92" t="s">
        <v>173</v>
      </c>
      <c r="X4727" s="93" t="s">
        <v>29</v>
      </c>
      <c r="Y4727" s="93" t="s">
        <v>93</v>
      </c>
      <c r="Z4727" s="134">
        <f>VLOOKUP(W4727,Sheet2!$B:$D,3,FALSE)</f>
        <v>36</v>
      </c>
      <c r="AA4727" s="93">
        <f>50/((2.5*2.5*2.5)-(3.14/4*1.2*1.2*2.5))</f>
        <v>3.9065551996249708</v>
      </c>
      <c r="AB4727" s="93">
        <f>AD4727/AC4721</f>
        <v>9.2152799999999981</v>
      </c>
      <c r="AC4727" s="93">
        <f>AC4721/AA4727</f>
        <v>2.0708782000000117</v>
      </c>
      <c r="AD4727" s="94">
        <f>AC4727*Z4727</f>
        <v>74.551615200000413</v>
      </c>
      <c r="AE4727" s="190"/>
      <c r="AF4727" s="191"/>
      <c r="AG4727" s="191"/>
      <c r="AH4727" s="191"/>
      <c r="AI4727" s="186"/>
      <c r="AK4727" s="171"/>
    </row>
    <row r="4728" spans="1:41" s="102" customFormat="1" ht="19.899999999999999" customHeight="1" x14ac:dyDescent="0.25">
      <c r="A4728" s="45"/>
      <c r="B4728" s="59"/>
      <c r="C4728" s="137"/>
      <c r="D4728" s="59"/>
      <c r="E4728" s="116"/>
      <c r="F4728" s="120"/>
      <c r="G4728" s="120"/>
      <c r="H4728" s="120"/>
      <c r="I4728" s="60"/>
      <c r="J4728" s="116"/>
      <c r="K4728" s="213"/>
      <c r="L4728" s="120"/>
      <c r="M4728" s="120"/>
      <c r="N4728" s="167"/>
      <c r="O4728" s="120"/>
      <c r="P4728" s="120"/>
      <c r="Q4728" s="120"/>
      <c r="R4728" s="120"/>
      <c r="S4728" s="120"/>
      <c r="T4728" s="221"/>
      <c r="U4728" s="89"/>
      <c r="V4728" s="61"/>
      <c r="W4728" s="92" t="s">
        <v>65</v>
      </c>
      <c r="X4728" s="93" t="s">
        <v>30</v>
      </c>
      <c r="Y4728" s="93" t="s">
        <v>1011</v>
      </c>
      <c r="Z4728" s="134">
        <f>VLOOKUP(W4728,Sheet2!$B:$D,3,FALSE)</f>
        <v>1.76</v>
      </c>
      <c r="AA4728" s="93">
        <f>AA4727/9</f>
        <v>0.43406168884721896</v>
      </c>
      <c r="AB4728" s="93">
        <f>AD4728/AC4721</f>
        <v>4.0547232000000006</v>
      </c>
      <c r="AC4728" s="93">
        <f>AC4721/AA4728</f>
        <v>18.637903800000107</v>
      </c>
      <c r="AD4728" s="94">
        <f>AC4728*Z4728</f>
        <v>32.80271068800019</v>
      </c>
      <c r="AE4728" s="190"/>
      <c r="AF4728" s="191"/>
      <c r="AG4728" s="191"/>
      <c r="AH4728" s="191"/>
      <c r="AI4728" s="186"/>
      <c r="AK4728" s="171"/>
    </row>
    <row r="4729" spans="1:41" s="102" customFormat="1" ht="19.899999999999999" customHeight="1" x14ac:dyDescent="0.25">
      <c r="A4729" s="45"/>
      <c r="B4729" s="59"/>
      <c r="C4729" s="137"/>
      <c r="D4729" s="59"/>
      <c r="E4729" s="116"/>
      <c r="F4729" s="120"/>
      <c r="G4729" s="120"/>
      <c r="H4729" s="120"/>
      <c r="I4729" s="60"/>
      <c r="J4729" s="116"/>
      <c r="K4729" s="213"/>
      <c r="L4729" s="120"/>
      <c r="M4729" s="120"/>
      <c r="N4729" s="167"/>
      <c r="O4729" s="120"/>
      <c r="P4729" s="120"/>
      <c r="Q4729" s="120"/>
      <c r="R4729" s="120"/>
      <c r="S4729" s="120"/>
      <c r="T4729" s="221"/>
      <c r="U4729" s="89"/>
      <c r="V4729" s="61"/>
      <c r="W4729" s="92" t="s">
        <v>1030</v>
      </c>
      <c r="X4729" s="93" t="s">
        <v>29</v>
      </c>
      <c r="Y4729" s="93" t="s">
        <v>93</v>
      </c>
      <c r="Z4729" s="134">
        <f>VLOOKUP(W4729,Sheet2!$B:$D,3,FALSE)</f>
        <v>23</v>
      </c>
      <c r="AA4729" s="93">
        <f>1/(2.5*1)</f>
        <v>0.4</v>
      </c>
      <c r="AB4729" s="93">
        <f>AD4729/AC4721</f>
        <v>57.5</v>
      </c>
      <c r="AC4729" s="93">
        <f>AC4721/AA4729</f>
        <v>20.225000000000115</v>
      </c>
      <c r="AD4729" s="94">
        <f t="shared" ref="AD4729:AD4730" si="3452">AC4729*Z4729</f>
        <v>465.17500000000263</v>
      </c>
      <c r="AE4729" s="190"/>
      <c r="AF4729" s="191"/>
      <c r="AG4729" s="191"/>
      <c r="AH4729" s="191"/>
      <c r="AI4729" s="186"/>
      <c r="AK4729" s="171"/>
    </row>
    <row r="4730" spans="1:41" s="102" customFormat="1" ht="19.899999999999999" customHeight="1" x14ac:dyDescent="0.25">
      <c r="A4730" s="45"/>
      <c r="B4730" s="59"/>
      <c r="C4730" s="137"/>
      <c r="D4730" s="59"/>
      <c r="E4730" s="116"/>
      <c r="F4730" s="120"/>
      <c r="G4730" s="120"/>
      <c r="H4730" s="120"/>
      <c r="I4730" s="60"/>
      <c r="J4730" s="116"/>
      <c r="K4730" s="213"/>
      <c r="L4730" s="120"/>
      <c r="M4730" s="120"/>
      <c r="N4730" s="167"/>
      <c r="O4730" s="120"/>
      <c r="P4730" s="120"/>
      <c r="Q4730" s="120"/>
      <c r="R4730" s="120"/>
      <c r="S4730" s="120"/>
      <c r="T4730" s="221"/>
      <c r="U4730" s="89"/>
      <c r="V4730" s="61"/>
      <c r="W4730" s="92" t="s">
        <v>65</v>
      </c>
      <c r="X4730" s="93" t="s">
        <v>30</v>
      </c>
      <c r="Y4730" s="93" t="s">
        <v>1011</v>
      </c>
      <c r="Z4730" s="134">
        <f>VLOOKUP(W4730,Sheet2!$B:$D,3,FALSE)</f>
        <v>1.76</v>
      </c>
      <c r="AA4730" s="93">
        <f>AA4729/3</f>
        <v>0.13333333333333333</v>
      </c>
      <c r="AB4730" s="93">
        <f>AD4730/AC4721</f>
        <v>13.2</v>
      </c>
      <c r="AC4730" s="93">
        <f>AC4721/AA4730</f>
        <v>60.675000000000345</v>
      </c>
      <c r="AD4730" s="94">
        <f t="shared" si="3452"/>
        <v>106.78800000000061</v>
      </c>
      <c r="AE4730" s="190"/>
      <c r="AF4730" s="191"/>
      <c r="AG4730" s="191"/>
      <c r="AH4730" s="191"/>
      <c r="AI4730" s="186"/>
      <c r="AK4730" s="171"/>
    </row>
    <row r="4731" spans="1:41" ht="20.100000000000001" customHeight="1" x14ac:dyDescent="0.25">
      <c r="A4731" s="277" t="s">
        <v>491</v>
      </c>
      <c r="B4731" s="278"/>
      <c r="C4731" s="64" t="s">
        <v>576</v>
      </c>
      <c r="D4731" s="46" t="s">
        <v>215</v>
      </c>
      <c r="E4731" s="114">
        <v>8.8900000000000432</v>
      </c>
      <c r="F4731" s="44">
        <v>18316</v>
      </c>
      <c r="G4731" s="44">
        <f t="shared" si="2434"/>
        <v>162829.24000000081</v>
      </c>
      <c r="H4731" s="44">
        <f t="shared" si="2435"/>
        <v>7197.1594105599997</v>
      </c>
      <c r="I4731" s="43">
        <f t="shared" si="2436"/>
        <v>63982.747159878709</v>
      </c>
      <c r="J4731" s="112">
        <f t="shared" si="2437"/>
        <v>8.8900000000000432</v>
      </c>
      <c r="K4731" s="211">
        <f t="shared" si="2438"/>
        <v>8.8900000000000432</v>
      </c>
      <c r="L4731" s="44"/>
      <c r="M4731" s="44">
        <f t="shared" si="2458"/>
        <v>8.8900000000000432</v>
      </c>
      <c r="N4731" s="173">
        <f t="shared" si="2439"/>
        <v>1</v>
      </c>
      <c r="O4731" s="44">
        <f t="shared" si="2440"/>
        <v>18316</v>
      </c>
      <c r="P4731" s="44">
        <f t="shared" si="2441"/>
        <v>162829.24000000081</v>
      </c>
      <c r="Q4731" s="44">
        <f t="shared" si="2442"/>
        <v>7197.1594105599997</v>
      </c>
      <c r="R4731" s="44">
        <f t="shared" si="2459"/>
        <v>63982.747159878709</v>
      </c>
      <c r="S4731" s="123"/>
      <c r="T4731" s="219">
        <f t="shared" si="2460"/>
        <v>63982.747159878709</v>
      </c>
      <c r="U4731" s="87"/>
      <c r="V4731" s="47"/>
      <c r="W4731" s="48"/>
      <c r="X4731" s="48"/>
      <c r="Y4731" s="48"/>
      <c r="Z4731" s="135"/>
      <c r="AA4731" s="49"/>
      <c r="AB4731" s="50">
        <f t="shared" si="2443"/>
        <v>7197.1594105599997</v>
      </c>
      <c r="AC4731" s="42">
        <f t="shared" si="2461"/>
        <v>8.8900000000000432</v>
      </c>
      <c r="AD4731" s="90">
        <f>AD4732+AD4737+AD4744+AD4751</f>
        <v>63982.747159878709</v>
      </c>
      <c r="AE4731" s="188">
        <f t="shared" ref="AE4731" si="3453">AE4732+AE4737+AE4744+AE4751</f>
        <v>0</v>
      </c>
      <c r="AF4731" s="189">
        <f t="shared" ref="AF4731" si="3454">AF4732+AF4737+AF4744+AF4751</f>
        <v>0</v>
      </c>
      <c r="AG4731" s="189">
        <f t="shared" ref="AG4731" si="3455">AG4732+AG4737+AG4744+AG4751</f>
        <v>0</v>
      </c>
      <c r="AH4731" s="189">
        <f t="shared" ref="AH4731" si="3456">AH4732+AH4737+AH4744+AH4751</f>
        <v>0</v>
      </c>
      <c r="AI4731" s="161">
        <f t="shared" ref="AI4731" si="3457">SUM(AE4731:AH4731)</f>
        <v>0</v>
      </c>
      <c r="AK4731" s="169">
        <v>5</v>
      </c>
      <c r="AO4731" s="19" t="s">
        <v>63</v>
      </c>
    </row>
    <row r="4732" spans="1:41" s="103" customFormat="1" ht="19.899999999999999" customHeight="1" x14ac:dyDescent="0.25">
      <c r="A4732" s="51"/>
      <c r="B4732" s="52"/>
      <c r="C4732" s="165"/>
      <c r="D4732" s="52"/>
      <c r="E4732" s="115"/>
      <c r="F4732" s="58"/>
      <c r="G4732" s="58"/>
      <c r="H4732" s="58"/>
      <c r="I4732" s="55"/>
      <c r="J4732" s="113">
        <f>J4731</f>
        <v>8.8900000000000432</v>
      </c>
      <c r="K4732" s="212">
        <f>K4731</f>
        <v>8.8900000000000432</v>
      </c>
      <c r="L4732" s="58"/>
      <c r="M4732" s="58">
        <f>K4732-L4732</f>
        <v>8.8900000000000432</v>
      </c>
      <c r="N4732" s="166"/>
      <c r="O4732" s="58"/>
      <c r="P4732" s="58"/>
      <c r="Q4732" s="58"/>
      <c r="R4732" s="58"/>
      <c r="S4732" s="58"/>
      <c r="T4732" s="220"/>
      <c r="U4732" s="88"/>
      <c r="V4732" s="56"/>
      <c r="W4732" s="57" t="s">
        <v>1505</v>
      </c>
      <c r="X4732" s="53"/>
      <c r="Y4732" s="91" t="s">
        <v>35</v>
      </c>
      <c r="Z4732" s="136">
        <f>AD4732/AC4732</f>
        <v>75.414117647058816</v>
      </c>
      <c r="AA4732" s="58"/>
      <c r="AB4732" s="53">
        <f>AD4732/AC4732</f>
        <v>75.414117647058816</v>
      </c>
      <c r="AC4732" s="53">
        <f>M4732+$AE$10</f>
        <v>8.8900000000000432</v>
      </c>
      <c r="AD4732" s="54">
        <f>SUM(AD4733:AD4736)</f>
        <v>670.43150588235619</v>
      </c>
      <c r="AE4732" s="184">
        <f>SUMIFS($AD$37:$AD$12971,$V$37:$V$12971,$V4732,$X$37:$X$12971,AE$13)</f>
        <v>0</v>
      </c>
      <c r="AF4732" s="185">
        <f>SUMIFS($AD$37:$AD$12971,$V$37:$V$12971,$V4732,$X$37:$X$12971,AF$13)</f>
        <v>0</v>
      </c>
      <c r="AG4732" s="185">
        <f>SUMIFS($AD$37:$AD$12971,$V$37:$V$12971,$V4732,$X$37:$X$12971,AG$13)</f>
        <v>0</v>
      </c>
      <c r="AH4732" s="187">
        <f>SUMIFS($AD$37:$AD$12971,$V$37:$V$12971,$V4732,$X$37:$X$12971,AH$13)</f>
        <v>0</v>
      </c>
      <c r="AI4732" s="161">
        <f t="shared" ref="AI4732" si="3458">SUM(AE4732:AH4732)</f>
        <v>0</v>
      </c>
      <c r="AK4732" s="172"/>
    </row>
    <row r="4733" spans="1:41" s="102" customFormat="1" ht="19.899999999999999" customHeight="1" x14ac:dyDescent="0.25">
      <c r="A4733" s="45"/>
      <c r="B4733" s="59"/>
      <c r="C4733" s="137"/>
      <c r="D4733" s="59"/>
      <c r="E4733" s="116"/>
      <c r="F4733" s="120"/>
      <c r="G4733" s="120"/>
      <c r="H4733" s="120"/>
      <c r="I4733" s="60"/>
      <c r="J4733" s="116"/>
      <c r="K4733" s="213"/>
      <c r="L4733" s="120"/>
      <c r="M4733" s="120"/>
      <c r="N4733" s="167"/>
      <c r="O4733" s="120"/>
      <c r="P4733" s="120"/>
      <c r="Q4733" s="120"/>
      <c r="R4733" s="120"/>
      <c r="S4733" s="120"/>
      <c r="T4733" s="221"/>
      <c r="U4733" s="89"/>
      <c r="V4733" s="61"/>
      <c r="W4733" s="92" t="s">
        <v>129</v>
      </c>
      <c r="X4733" s="93" t="s">
        <v>29</v>
      </c>
      <c r="Y4733" s="93" t="s">
        <v>93</v>
      </c>
      <c r="Z4733" s="134">
        <f>VLOOKUP(W4733,Sheet2!$B:$D,3,FALSE)</f>
        <v>56</v>
      </c>
      <c r="AA4733" s="93">
        <f>100/(2.5*2.5*3)</f>
        <v>5.333333333333333</v>
      </c>
      <c r="AB4733" s="93">
        <f t="shared" ref="AB4733" si="3459">AD4733/AC4732</f>
        <v>10.5</v>
      </c>
      <c r="AC4733" s="93">
        <f>AC4732/AA4733</f>
        <v>1.6668750000000081</v>
      </c>
      <c r="AD4733" s="94">
        <f t="shared" ref="AD4733:AD4734" si="3460">AC4733*Z4733</f>
        <v>93.345000000000454</v>
      </c>
      <c r="AE4733" s="190"/>
      <c r="AF4733" s="191"/>
      <c r="AG4733" s="191"/>
      <c r="AH4733" s="191"/>
      <c r="AI4733" s="186"/>
      <c r="AK4733" s="171"/>
    </row>
    <row r="4734" spans="1:41" s="102" customFormat="1" ht="19.899999999999999" customHeight="1" x14ac:dyDescent="0.25">
      <c r="A4734" s="45"/>
      <c r="B4734" s="59"/>
      <c r="C4734" s="137"/>
      <c r="D4734" s="59"/>
      <c r="E4734" s="116"/>
      <c r="F4734" s="120"/>
      <c r="G4734" s="120"/>
      <c r="H4734" s="120"/>
      <c r="I4734" s="60"/>
      <c r="J4734" s="116"/>
      <c r="K4734" s="213"/>
      <c r="L4734" s="120"/>
      <c r="M4734" s="120"/>
      <c r="N4734" s="167"/>
      <c r="O4734" s="120"/>
      <c r="P4734" s="120"/>
      <c r="Q4734" s="120"/>
      <c r="R4734" s="120"/>
      <c r="S4734" s="120"/>
      <c r="T4734" s="221"/>
      <c r="U4734" s="89"/>
      <c r="V4734" s="61"/>
      <c r="W4734" s="92" t="s">
        <v>65</v>
      </c>
      <c r="X4734" s="93" t="s">
        <v>30</v>
      </c>
      <c r="Y4734" s="93" t="s">
        <v>1011</v>
      </c>
      <c r="Z4734" s="134">
        <f>VLOOKUP(W4734,Sheet2!$B:$D,3,FALSE)</f>
        <v>1.76</v>
      </c>
      <c r="AA4734" s="93">
        <f>AA4733/14</f>
        <v>0.38095238095238093</v>
      </c>
      <c r="AB4734" s="93">
        <f>AD4734/AC4732</f>
        <v>4.62</v>
      </c>
      <c r="AC4734" s="93">
        <f>AC4732/AA4734</f>
        <v>23.336250000000113</v>
      </c>
      <c r="AD4734" s="94">
        <f t="shared" si="3460"/>
        <v>41.071800000000202</v>
      </c>
      <c r="AE4734" s="190"/>
      <c r="AF4734" s="191"/>
      <c r="AG4734" s="191"/>
      <c r="AH4734" s="191"/>
      <c r="AI4734" s="186"/>
      <c r="AK4734" s="171"/>
    </row>
    <row r="4735" spans="1:41" s="102" customFormat="1" ht="19.899999999999999" customHeight="1" x14ac:dyDescent="0.25">
      <c r="A4735" s="45"/>
      <c r="B4735" s="59"/>
      <c r="C4735" s="137"/>
      <c r="D4735" s="59"/>
      <c r="E4735" s="116"/>
      <c r="F4735" s="120"/>
      <c r="G4735" s="120"/>
      <c r="H4735" s="120"/>
      <c r="I4735" s="60"/>
      <c r="J4735" s="116"/>
      <c r="K4735" s="213"/>
      <c r="L4735" s="120"/>
      <c r="M4735" s="120"/>
      <c r="N4735" s="167"/>
      <c r="O4735" s="120"/>
      <c r="P4735" s="120"/>
      <c r="Q4735" s="120"/>
      <c r="R4735" s="120"/>
      <c r="S4735" s="120"/>
      <c r="T4735" s="221"/>
      <c r="U4735" s="89"/>
      <c r="V4735" s="61"/>
      <c r="W4735" s="92" t="s">
        <v>161</v>
      </c>
      <c r="X4735" s="93" t="s">
        <v>29</v>
      </c>
      <c r="Y4735" s="93" t="s">
        <v>93</v>
      </c>
      <c r="Z4735" s="134">
        <f>VLOOKUP(W4735,Sheet2!$B:$D,3,FALSE)</f>
        <v>48</v>
      </c>
      <c r="AA4735" s="93">
        <f>(16*0.85*1.5)/(2.5*2.5*3)</f>
        <v>1.0879999999999999</v>
      </c>
      <c r="AB4735" s="93">
        <f>AD4735/AC4732</f>
        <v>44.117647058823529</v>
      </c>
      <c r="AC4735" s="93">
        <f>AC4732/AA4735</f>
        <v>8.1709558823529811</v>
      </c>
      <c r="AD4735" s="94">
        <f>AC4735*Z4735</f>
        <v>392.20588235294309</v>
      </c>
      <c r="AE4735" s="190"/>
      <c r="AF4735" s="191"/>
      <c r="AG4735" s="191"/>
      <c r="AH4735" s="191"/>
      <c r="AI4735" s="186"/>
      <c r="AK4735" s="171"/>
    </row>
    <row r="4736" spans="1:41" s="102" customFormat="1" ht="19.899999999999999" customHeight="1" x14ac:dyDescent="0.25">
      <c r="A4736" s="45"/>
      <c r="B4736" s="59"/>
      <c r="C4736" s="137"/>
      <c r="D4736" s="59"/>
      <c r="E4736" s="116"/>
      <c r="F4736" s="120"/>
      <c r="G4736" s="120"/>
      <c r="H4736" s="120"/>
      <c r="I4736" s="60"/>
      <c r="J4736" s="116"/>
      <c r="K4736" s="213"/>
      <c r="L4736" s="120"/>
      <c r="M4736" s="120"/>
      <c r="N4736" s="167"/>
      <c r="O4736" s="120"/>
      <c r="P4736" s="120"/>
      <c r="Q4736" s="120"/>
      <c r="R4736" s="120"/>
      <c r="S4736" s="120"/>
      <c r="T4736" s="221"/>
      <c r="U4736" s="89"/>
      <c r="V4736" s="61"/>
      <c r="W4736" s="92" t="s">
        <v>65</v>
      </c>
      <c r="X4736" s="93" t="s">
        <v>30</v>
      </c>
      <c r="Y4736" s="93" t="s">
        <v>1011</v>
      </c>
      <c r="Z4736" s="134">
        <f>VLOOKUP(W4736,Sheet2!$B:$D,3,FALSE)</f>
        <v>1.76</v>
      </c>
      <c r="AA4736" s="93">
        <f>AA4735/10</f>
        <v>0.10879999999999998</v>
      </c>
      <c r="AB4736" s="93">
        <f>AD4736/AC4732</f>
        <v>16.176470588235297</v>
      </c>
      <c r="AC4736" s="93">
        <f>AC4732/AA4736</f>
        <v>81.709558823529818</v>
      </c>
      <c r="AD4736" s="94">
        <f>AC4736*Z4736</f>
        <v>143.80882352941248</v>
      </c>
      <c r="AE4736" s="190"/>
      <c r="AF4736" s="191"/>
      <c r="AG4736" s="191"/>
      <c r="AH4736" s="191"/>
      <c r="AI4736" s="186"/>
      <c r="AK4736" s="171"/>
    </row>
    <row r="4737" spans="1:37" s="103" customFormat="1" ht="19.899999999999999" customHeight="1" x14ac:dyDescent="0.25">
      <c r="A4737" s="51"/>
      <c r="B4737" s="52"/>
      <c r="C4737" s="165"/>
      <c r="D4737" s="52"/>
      <c r="E4737" s="115"/>
      <c r="F4737" s="58"/>
      <c r="G4737" s="58"/>
      <c r="H4737" s="58"/>
      <c r="I4737" s="55"/>
      <c r="J4737" s="113">
        <f>J4731</f>
        <v>8.8900000000000432</v>
      </c>
      <c r="K4737" s="212">
        <f>K4731</f>
        <v>8.8900000000000432</v>
      </c>
      <c r="L4737" s="58"/>
      <c r="M4737" s="58">
        <f>K4737-L4737</f>
        <v>8.8900000000000432</v>
      </c>
      <c r="N4737" s="166"/>
      <c r="O4737" s="58"/>
      <c r="P4737" s="58"/>
      <c r="Q4737" s="58"/>
      <c r="R4737" s="58"/>
      <c r="S4737" s="58"/>
      <c r="T4737" s="220"/>
      <c r="U4737" s="88"/>
      <c r="V4737" s="56"/>
      <c r="W4737" s="57" t="s">
        <v>1486</v>
      </c>
      <c r="X4737" s="53"/>
      <c r="Y4737" s="91" t="s">
        <v>35</v>
      </c>
      <c r="Z4737" s="136">
        <f>AD4737/AC4737</f>
        <v>1432.6959999999999</v>
      </c>
      <c r="AA4737" s="58"/>
      <c r="AB4737" s="53">
        <f>AD4737/AC4737</f>
        <v>1432.6959999999999</v>
      </c>
      <c r="AC4737" s="53">
        <f>M4737+$AE$10</f>
        <v>8.8900000000000432</v>
      </c>
      <c r="AD4737" s="54">
        <f>SUM(AD4738:AD4743)</f>
        <v>12736.667440000061</v>
      </c>
      <c r="AE4737" s="184">
        <f>SUMIFS($AD$37:$AD$12971,$V$37:$V$12971,$V4737,$X$37:$X$12971,AE$13)</f>
        <v>0</v>
      </c>
      <c r="AF4737" s="185">
        <f>SUMIFS($AD$37:$AD$12971,$V$37:$V$12971,$V4737,$X$37:$X$12971,AF$13)</f>
        <v>0</v>
      </c>
      <c r="AG4737" s="185">
        <f>SUMIFS($AD$37:$AD$12971,$V$37:$V$12971,$V4737,$X$37:$X$12971,AG$13)</f>
        <v>0</v>
      </c>
      <c r="AH4737" s="187">
        <f>SUMIFS($AD$37:$AD$12971,$V$37:$V$12971,$V4737,$X$37:$X$12971,AH$13)</f>
        <v>0</v>
      </c>
      <c r="AI4737" s="161">
        <f t="shared" ref="AI4737" si="3461">SUM(AE4737:AH4737)</f>
        <v>0</v>
      </c>
      <c r="AK4737" s="172"/>
    </row>
    <row r="4738" spans="1:37" s="102" customFormat="1" ht="19.899999999999999" customHeight="1" x14ac:dyDescent="0.25">
      <c r="A4738" s="45"/>
      <c r="B4738" s="59"/>
      <c r="C4738" s="137"/>
      <c r="D4738" s="59"/>
      <c r="E4738" s="116"/>
      <c r="F4738" s="120"/>
      <c r="G4738" s="120"/>
      <c r="H4738" s="120"/>
      <c r="I4738" s="60"/>
      <c r="J4738" s="116"/>
      <c r="K4738" s="213"/>
      <c r="L4738" s="120"/>
      <c r="M4738" s="120"/>
      <c r="N4738" s="167"/>
      <c r="O4738" s="120"/>
      <c r="P4738" s="120"/>
      <c r="Q4738" s="120"/>
      <c r="R4738" s="120"/>
      <c r="S4738" s="120"/>
      <c r="T4738" s="221"/>
      <c r="U4738" s="89"/>
      <c r="V4738" s="61"/>
      <c r="W4738" s="92" t="s">
        <v>1032</v>
      </c>
      <c r="X4738" s="93" t="s">
        <v>30</v>
      </c>
      <c r="Y4738" s="93" t="s">
        <v>66</v>
      </c>
      <c r="Z4738" s="134">
        <f>VLOOKUP(W4738,Sheet2!$B:$D,3,FALSE)</f>
        <v>250</v>
      </c>
      <c r="AA4738" s="93">
        <f>1/(2.1*2.1*0.1)</f>
        <v>2.2675736961451243</v>
      </c>
      <c r="AB4738" s="93">
        <f>AD4738/AC4744</f>
        <v>110.25000000000001</v>
      </c>
      <c r="AC4738" s="93">
        <f>AC4744/AA4738</f>
        <v>3.92049000000002</v>
      </c>
      <c r="AD4738" s="94">
        <f t="shared" ref="AD4738:AD4740" si="3462">AC4738*Z4738</f>
        <v>980.12250000000495</v>
      </c>
      <c r="AE4738" s="190"/>
      <c r="AF4738" s="191"/>
      <c r="AG4738" s="191"/>
      <c r="AH4738" s="191"/>
      <c r="AI4738" s="186"/>
      <c r="AK4738" s="171"/>
    </row>
    <row r="4739" spans="1:37" s="102" customFormat="1" ht="19.899999999999999" customHeight="1" x14ac:dyDescent="0.25">
      <c r="A4739" s="45"/>
      <c r="B4739" s="59"/>
      <c r="C4739" s="137"/>
      <c r="D4739" s="59"/>
      <c r="E4739" s="116"/>
      <c r="F4739" s="120"/>
      <c r="G4739" s="120"/>
      <c r="H4739" s="120"/>
      <c r="I4739" s="60"/>
      <c r="J4739" s="116"/>
      <c r="K4739" s="213"/>
      <c r="L4739" s="120"/>
      <c r="M4739" s="120"/>
      <c r="N4739" s="167"/>
      <c r="O4739" s="120"/>
      <c r="P4739" s="120"/>
      <c r="Q4739" s="120"/>
      <c r="R4739" s="120"/>
      <c r="S4739" s="120"/>
      <c r="T4739" s="221"/>
      <c r="U4739" s="89"/>
      <c r="V4739" s="61"/>
      <c r="W4739" s="92" t="s">
        <v>1353</v>
      </c>
      <c r="X4739" s="93" t="s">
        <v>30</v>
      </c>
      <c r="Y4739" s="93" t="s">
        <v>66</v>
      </c>
      <c r="Z4739" s="134">
        <f>VLOOKUP(W4739,Sheet2!$B:$D,3,FALSE)</f>
        <v>350</v>
      </c>
      <c r="AA4739" s="93">
        <f>1/(2*2*0.3)</f>
        <v>0.83333333333333337</v>
      </c>
      <c r="AB4739" s="93">
        <f>AD4739/AC4744</f>
        <v>420</v>
      </c>
      <c r="AC4739" s="93">
        <f>AC4744/AA4739</f>
        <v>10.668000000000051</v>
      </c>
      <c r="AD4739" s="94">
        <f t="shared" si="3462"/>
        <v>3733.8000000000179</v>
      </c>
      <c r="AE4739" s="190"/>
      <c r="AF4739" s="191"/>
      <c r="AG4739" s="191"/>
      <c r="AH4739" s="191"/>
      <c r="AI4739" s="186"/>
      <c r="AK4739" s="171"/>
    </row>
    <row r="4740" spans="1:37" s="102" customFormat="1" ht="19.899999999999999" customHeight="1" x14ac:dyDescent="0.25">
      <c r="A4740" s="45"/>
      <c r="B4740" s="59"/>
      <c r="C4740" s="137"/>
      <c r="D4740" s="59"/>
      <c r="E4740" s="116"/>
      <c r="F4740" s="120"/>
      <c r="G4740" s="120"/>
      <c r="H4740" s="120"/>
      <c r="I4740" s="60"/>
      <c r="J4740" s="116"/>
      <c r="K4740" s="213"/>
      <c r="L4740" s="120"/>
      <c r="M4740" s="120"/>
      <c r="N4740" s="167"/>
      <c r="O4740" s="120"/>
      <c r="P4740" s="120"/>
      <c r="Q4740" s="120"/>
      <c r="R4740" s="120"/>
      <c r="S4740" s="120"/>
      <c r="T4740" s="221"/>
      <c r="U4740" s="89"/>
      <c r="V4740" s="61"/>
      <c r="W4740" s="92" t="s">
        <v>99</v>
      </c>
      <c r="X4740" s="93" t="s">
        <v>30</v>
      </c>
      <c r="Y4740" s="93" t="s">
        <v>67</v>
      </c>
      <c r="Z4740" s="134">
        <f>VLOOKUP(W4740,Sheet2!$B:$D,3,FALSE)</f>
        <v>2500</v>
      </c>
      <c r="AA4740" s="93">
        <f>AA4739/0.08</f>
        <v>10.416666666666666</v>
      </c>
      <c r="AB4740" s="93">
        <f>AD4740/AC4744</f>
        <v>240</v>
      </c>
      <c r="AC4740" s="93">
        <f>AC4744/AA4740</f>
        <v>0.8534400000000042</v>
      </c>
      <c r="AD4740" s="94">
        <f t="shared" si="3462"/>
        <v>2133.6000000000104</v>
      </c>
      <c r="AE4740" s="190"/>
      <c r="AF4740" s="191"/>
      <c r="AG4740" s="191"/>
      <c r="AH4740" s="191"/>
      <c r="AI4740" s="186"/>
      <c r="AK4740" s="171"/>
    </row>
    <row r="4741" spans="1:37" s="102" customFormat="1" ht="19.899999999999999" customHeight="1" x14ac:dyDescent="0.25">
      <c r="A4741" s="45"/>
      <c r="B4741" s="59"/>
      <c r="C4741" s="137"/>
      <c r="D4741" s="59"/>
      <c r="E4741" s="116"/>
      <c r="F4741" s="120"/>
      <c r="G4741" s="120"/>
      <c r="H4741" s="120"/>
      <c r="I4741" s="60"/>
      <c r="J4741" s="116"/>
      <c r="K4741" s="213"/>
      <c r="L4741" s="120"/>
      <c r="M4741" s="120"/>
      <c r="N4741" s="167"/>
      <c r="O4741" s="120"/>
      <c r="P4741" s="120"/>
      <c r="Q4741" s="120"/>
      <c r="R4741" s="120"/>
      <c r="S4741" s="120"/>
      <c r="T4741" s="221"/>
      <c r="U4741" s="89"/>
      <c r="V4741" s="61"/>
      <c r="W4741" s="92" t="s">
        <v>1354</v>
      </c>
      <c r="X4741" s="93" t="s">
        <v>32</v>
      </c>
      <c r="Y4741" s="93" t="s">
        <v>66</v>
      </c>
      <c r="Z4741" s="134">
        <f>VLOOKUP(W4741,Sheet2!$B:$D,3,FALSE)</f>
        <v>150</v>
      </c>
      <c r="AA4741" s="93">
        <f>AA4738</f>
        <v>2.2675736961451243</v>
      </c>
      <c r="AB4741" s="93">
        <f>AD4741/AC4744</f>
        <v>66.15000000000002</v>
      </c>
      <c r="AC4741" s="93">
        <f>AC4744/AA4741</f>
        <v>3.92049000000002</v>
      </c>
      <c r="AD4741" s="94">
        <f>AC4741*Z4741</f>
        <v>588.07350000000304</v>
      </c>
      <c r="AE4741" s="190"/>
      <c r="AF4741" s="191"/>
      <c r="AG4741" s="191"/>
      <c r="AH4741" s="191"/>
      <c r="AI4741" s="186"/>
      <c r="AK4741" s="171"/>
    </row>
    <row r="4742" spans="1:37" s="102" customFormat="1" ht="19.899999999999999" customHeight="1" x14ac:dyDescent="0.25">
      <c r="A4742" s="45"/>
      <c r="B4742" s="59"/>
      <c r="C4742" s="137"/>
      <c r="D4742" s="59"/>
      <c r="E4742" s="116"/>
      <c r="F4742" s="120"/>
      <c r="G4742" s="120"/>
      <c r="H4742" s="120"/>
      <c r="I4742" s="60"/>
      <c r="J4742" s="116"/>
      <c r="K4742" s="213"/>
      <c r="L4742" s="120"/>
      <c r="M4742" s="120"/>
      <c r="N4742" s="167"/>
      <c r="O4742" s="120"/>
      <c r="P4742" s="120"/>
      <c r="Q4742" s="120"/>
      <c r="R4742" s="120"/>
      <c r="S4742" s="120"/>
      <c r="T4742" s="221"/>
      <c r="U4742" s="89"/>
      <c r="V4742" s="61"/>
      <c r="W4742" s="92" t="s">
        <v>1355</v>
      </c>
      <c r="X4742" s="93" t="s">
        <v>32</v>
      </c>
      <c r="Y4742" s="93" t="s">
        <v>66</v>
      </c>
      <c r="Z4742" s="134">
        <f>VLOOKUP(W4742,Sheet2!$B:$D,3,FALSE)</f>
        <v>450</v>
      </c>
      <c r="AA4742" s="93">
        <f>AA4739</f>
        <v>0.83333333333333337</v>
      </c>
      <c r="AB4742" s="93">
        <f>AD4742/AC4744</f>
        <v>540</v>
      </c>
      <c r="AC4742" s="93">
        <f>AC4744/AA4742</f>
        <v>10.668000000000051</v>
      </c>
      <c r="AD4742" s="94">
        <f>AC4742*Z4742</f>
        <v>4800.6000000000231</v>
      </c>
      <c r="AE4742" s="190"/>
      <c r="AF4742" s="191"/>
      <c r="AG4742" s="191"/>
      <c r="AH4742" s="191"/>
      <c r="AI4742" s="186"/>
      <c r="AK4742" s="171"/>
    </row>
    <row r="4743" spans="1:37" s="102" customFormat="1" ht="19.899999999999999" customHeight="1" x14ac:dyDescent="0.25">
      <c r="A4743" s="45"/>
      <c r="B4743" s="59"/>
      <c r="C4743" s="137"/>
      <c r="D4743" s="59"/>
      <c r="E4743" s="116"/>
      <c r="F4743" s="120"/>
      <c r="G4743" s="120"/>
      <c r="H4743" s="120"/>
      <c r="I4743" s="60"/>
      <c r="J4743" s="116"/>
      <c r="K4743" s="213"/>
      <c r="L4743" s="120"/>
      <c r="M4743" s="120"/>
      <c r="N4743" s="167"/>
      <c r="O4743" s="120"/>
      <c r="P4743" s="120"/>
      <c r="Q4743" s="120"/>
      <c r="R4743" s="120"/>
      <c r="S4743" s="120"/>
      <c r="T4743" s="221"/>
      <c r="U4743" s="89"/>
      <c r="V4743" s="61"/>
      <c r="W4743" s="92" t="s">
        <v>124</v>
      </c>
      <c r="X4743" s="93" t="s">
        <v>32</v>
      </c>
      <c r="Y4743" s="93" t="s">
        <v>64</v>
      </c>
      <c r="Z4743" s="134">
        <f>VLOOKUP(W4743,Sheet2!$B:$D,3,FALSE)</f>
        <v>10</v>
      </c>
      <c r="AA4743" s="93">
        <f>1/((2.6*2.6)-(3.14*1.2*1.2/4))</f>
        <v>0.17763251385533604</v>
      </c>
      <c r="AB4743" s="93">
        <f t="shared" ref="AB4743" si="3463">AD4743/AC4737</f>
        <v>56.296000000000014</v>
      </c>
      <c r="AC4743" s="93">
        <f>AC4737/AA4743</f>
        <v>50.047144000000252</v>
      </c>
      <c r="AD4743" s="94">
        <f t="shared" ref="AD4743" si="3464">AC4743*Z4743</f>
        <v>500.47144000000253</v>
      </c>
      <c r="AE4743" s="190"/>
      <c r="AF4743" s="191"/>
      <c r="AG4743" s="191"/>
      <c r="AH4743" s="191"/>
      <c r="AI4743" s="186"/>
      <c r="AK4743" s="171"/>
    </row>
    <row r="4744" spans="1:37" s="103" customFormat="1" ht="19.899999999999999" customHeight="1" x14ac:dyDescent="0.25">
      <c r="A4744" s="51"/>
      <c r="B4744" s="52"/>
      <c r="C4744" s="165"/>
      <c r="D4744" s="52"/>
      <c r="E4744" s="115"/>
      <c r="F4744" s="58"/>
      <c r="G4744" s="58"/>
      <c r="H4744" s="58"/>
      <c r="I4744" s="55"/>
      <c r="J4744" s="113">
        <f>J4731</f>
        <v>8.8900000000000432</v>
      </c>
      <c r="K4744" s="212">
        <f>K4731</f>
        <v>8.8900000000000432</v>
      </c>
      <c r="L4744" s="58"/>
      <c r="M4744" s="58">
        <f>K4744-L4744</f>
        <v>8.8900000000000432</v>
      </c>
      <c r="N4744" s="166"/>
      <c r="O4744" s="58"/>
      <c r="P4744" s="58"/>
      <c r="Q4744" s="58"/>
      <c r="R4744" s="58"/>
      <c r="S4744" s="58"/>
      <c r="T4744" s="220"/>
      <c r="U4744" s="88"/>
      <c r="V4744" s="56"/>
      <c r="W4744" s="57" t="s">
        <v>1275</v>
      </c>
      <c r="X4744" s="53"/>
      <c r="Y4744" s="91" t="s">
        <v>35</v>
      </c>
      <c r="Z4744" s="136">
        <f>AD4744/AC4744</f>
        <v>5372.7999999999993</v>
      </c>
      <c r="AA4744" s="58"/>
      <c r="AB4744" s="53">
        <f>AD4744/AC4744</f>
        <v>5372.7999999999993</v>
      </c>
      <c r="AC4744" s="53">
        <f>M4744+$AE$10</f>
        <v>8.8900000000000432</v>
      </c>
      <c r="AD4744" s="54">
        <f>SUM(AD4745:AD4750)</f>
        <v>47764.192000000228</v>
      </c>
      <c r="AE4744" s="184">
        <f>SUMIFS($AD$37:$AD$12971,$V$37:$V$12971,$V4744,$X$37:$X$12971,AE$13)</f>
        <v>0</v>
      </c>
      <c r="AF4744" s="185">
        <f>SUMIFS($AD$37:$AD$12971,$V$37:$V$12971,$V4744,$X$37:$X$12971,AF$13)</f>
        <v>0</v>
      </c>
      <c r="AG4744" s="185">
        <f>SUMIFS($AD$37:$AD$12971,$V$37:$V$12971,$V4744,$X$37:$X$12971,AG$13)</f>
        <v>0</v>
      </c>
      <c r="AH4744" s="187">
        <f>SUMIFS($AD$37:$AD$12971,$V$37:$V$12971,$V4744,$X$37:$X$12971,AH$13)</f>
        <v>0</v>
      </c>
      <c r="AI4744" s="161">
        <f t="shared" ref="AI4744" si="3465">SUM(AE4744:AH4744)</f>
        <v>0</v>
      </c>
      <c r="AK4744" s="172"/>
    </row>
    <row r="4745" spans="1:37" s="102" customFormat="1" ht="19.899999999999999" customHeight="1" x14ac:dyDescent="0.25">
      <c r="A4745" s="45"/>
      <c r="B4745" s="59"/>
      <c r="C4745" s="137"/>
      <c r="D4745" s="59"/>
      <c r="E4745" s="116"/>
      <c r="F4745" s="120"/>
      <c r="G4745" s="120"/>
      <c r="H4745" s="120"/>
      <c r="I4745" s="60"/>
      <c r="J4745" s="116"/>
      <c r="K4745" s="213"/>
      <c r="L4745" s="120"/>
      <c r="M4745" s="120"/>
      <c r="N4745" s="167"/>
      <c r="O4745" s="120"/>
      <c r="P4745" s="120"/>
      <c r="Q4745" s="120"/>
      <c r="R4745" s="120"/>
      <c r="S4745" s="120"/>
      <c r="T4745" s="221"/>
      <c r="U4745" s="89"/>
      <c r="V4745" s="61"/>
      <c r="W4745" s="92" t="s">
        <v>1490</v>
      </c>
      <c r="X4745" s="93" t="s">
        <v>30</v>
      </c>
      <c r="Y4745" s="93" t="s">
        <v>35</v>
      </c>
      <c r="Z4745" s="134">
        <f>VLOOKUP(W4745,Sheet2!$B:$D,3,FALSE)</f>
        <v>3600</v>
      </c>
      <c r="AA4745" s="93">
        <v>1</v>
      </c>
      <c r="AB4745" s="93">
        <f>AD4745/AC4744</f>
        <v>3600</v>
      </c>
      <c r="AC4745" s="93">
        <f>AC4744/AA4745</f>
        <v>8.8900000000000432</v>
      </c>
      <c r="AD4745" s="94">
        <f t="shared" ref="AD4745:AD4746" si="3466">AC4745*Z4745</f>
        <v>32004.000000000156</v>
      </c>
      <c r="AE4745" s="190"/>
      <c r="AF4745" s="191"/>
      <c r="AG4745" s="191"/>
      <c r="AH4745" s="191"/>
      <c r="AI4745" s="186"/>
      <c r="AK4745" s="171"/>
    </row>
    <row r="4746" spans="1:37" s="102" customFormat="1" ht="19.899999999999999" customHeight="1" x14ac:dyDescent="0.25">
      <c r="A4746" s="45"/>
      <c r="B4746" s="59"/>
      <c r="C4746" s="137"/>
      <c r="D4746" s="59"/>
      <c r="E4746" s="116"/>
      <c r="F4746" s="120"/>
      <c r="G4746" s="120"/>
      <c r="H4746" s="120"/>
      <c r="I4746" s="60"/>
      <c r="J4746" s="116"/>
      <c r="K4746" s="213"/>
      <c r="L4746" s="120"/>
      <c r="M4746" s="120"/>
      <c r="N4746" s="167"/>
      <c r="O4746" s="120"/>
      <c r="P4746" s="120"/>
      <c r="Q4746" s="120"/>
      <c r="R4746" s="120"/>
      <c r="S4746" s="120"/>
      <c r="T4746" s="221"/>
      <c r="U4746" s="89"/>
      <c r="V4746" s="61"/>
      <c r="W4746" s="92" t="s">
        <v>174</v>
      </c>
      <c r="X4746" s="93" t="s">
        <v>29</v>
      </c>
      <c r="Y4746" s="93" t="s">
        <v>93</v>
      </c>
      <c r="Z4746" s="134">
        <f>VLOOKUP(W4746,Sheet2!$B:$D,3,FALSE)</f>
        <v>80</v>
      </c>
      <c r="AA4746" s="93">
        <f>1/2</f>
        <v>0.5</v>
      </c>
      <c r="AB4746" s="93">
        <f>AD4746/AC4744</f>
        <v>160</v>
      </c>
      <c r="AC4746" s="93">
        <f>AC4744/AA4746</f>
        <v>17.780000000000086</v>
      </c>
      <c r="AD4746" s="94">
        <f t="shared" si="3466"/>
        <v>1422.4000000000069</v>
      </c>
      <c r="AE4746" s="190"/>
      <c r="AF4746" s="191"/>
      <c r="AG4746" s="191"/>
      <c r="AH4746" s="191"/>
      <c r="AI4746" s="186"/>
      <c r="AK4746" s="171"/>
    </row>
    <row r="4747" spans="1:37" s="102" customFormat="1" ht="19.899999999999999" customHeight="1" x14ac:dyDescent="0.25">
      <c r="A4747" s="45"/>
      <c r="B4747" s="59"/>
      <c r="C4747" s="137"/>
      <c r="D4747" s="59"/>
      <c r="E4747" s="116"/>
      <c r="F4747" s="120"/>
      <c r="G4747" s="120"/>
      <c r="H4747" s="120"/>
      <c r="I4747" s="60"/>
      <c r="J4747" s="116"/>
      <c r="K4747" s="213"/>
      <c r="L4747" s="120"/>
      <c r="M4747" s="120"/>
      <c r="N4747" s="167"/>
      <c r="O4747" s="120"/>
      <c r="P4747" s="120"/>
      <c r="Q4747" s="120"/>
      <c r="R4747" s="120"/>
      <c r="S4747" s="120"/>
      <c r="T4747" s="221"/>
      <c r="U4747" s="89"/>
      <c r="V4747" s="61"/>
      <c r="W4747" s="92" t="s">
        <v>65</v>
      </c>
      <c r="X4747" s="93" t="s">
        <v>30</v>
      </c>
      <c r="Y4747" s="93" t="s">
        <v>93</v>
      </c>
      <c r="Z4747" s="134">
        <f>VLOOKUP(W4747,Sheet2!$B:$D,3,FALSE)</f>
        <v>1.76</v>
      </c>
      <c r="AA4747" s="93">
        <f>AA4746/15</f>
        <v>3.3333333333333333E-2</v>
      </c>
      <c r="AB4747" s="93">
        <f>AD4747/AC4744</f>
        <v>52.8</v>
      </c>
      <c r="AC4747" s="93">
        <f>AC4744/AA4747</f>
        <v>266.7000000000013</v>
      </c>
      <c r="AD4747" s="94">
        <f>AC4747*Z4747</f>
        <v>469.39200000000227</v>
      </c>
      <c r="AE4747" s="190"/>
      <c r="AF4747" s="191"/>
      <c r="AG4747" s="191"/>
      <c r="AH4747" s="191"/>
      <c r="AI4747" s="186"/>
      <c r="AK4747" s="171"/>
    </row>
    <row r="4748" spans="1:37" s="102" customFormat="1" ht="19.899999999999999" customHeight="1" x14ac:dyDescent="0.25">
      <c r="A4748" s="45"/>
      <c r="B4748" s="59"/>
      <c r="C4748" s="137"/>
      <c r="D4748" s="59"/>
      <c r="E4748" s="116"/>
      <c r="F4748" s="120"/>
      <c r="G4748" s="120"/>
      <c r="H4748" s="120"/>
      <c r="I4748" s="60"/>
      <c r="J4748" s="116"/>
      <c r="K4748" s="213"/>
      <c r="L4748" s="120"/>
      <c r="M4748" s="120"/>
      <c r="N4748" s="167"/>
      <c r="O4748" s="120"/>
      <c r="P4748" s="120"/>
      <c r="Q4748" s="120"/>
      <c r="R4748" s="120"/>
      <c r="S4748" s="120"/>
      <c r="T4748" s="221"/>
      <c r="U4748" s="89"/>
      <c r="V4748" s="61"/>
      <c r="W4748" s="92" t="s">
        <v>1487</v>
      </c>
      <c r="X4748" s="93" t="s">
        <v>32</v>
      </c>
      <c r="Y4748" s="93" t="s">
        <v>1349</v>
      </c>
      <c r="Z4748" s="134">
        <f>VLOOKUP(W4748,Sheet2!$B:$D,3,FALSE)</f>
        <v>1500</v>
      </c>
      <c r="AA4748" s="93">
        <v>1</v>
      </c>
      <c r="AB4748" s="93">
        <f>AD4748/AC4744</f>
        <v>1500</v>
      </c>
      <c r="AC4748" s="93">
        <f>AC4744/AA4748</f>
        <v>8.8900000000000432</v>
      </c>
      <c r="AD4748" s="94">
        <f>AC4748*Z4748</f>
        <v>13335.000000000065</v>
      </c>
      <c r="AE4748" s="190"/>
      <c r="AF4748" s="191"/>
      <c r="AG4748" s="191"/>
      <c r="AH4748" s="191"/>
      <c r="AI4748" s="186"/>
      <c r="AK4748" s="171"/>
    </row>
    <row r="4749" spans="1:37" s="102" customFormat="1" ht="19.899999999999999" customHeight="1" x14ac:dyDescent="0.25">
      <c r="A4749" s="45"/>
      <c r="B4749" s="59"/>
      <c r="C4749" s="137"/>
      <c r="D4749" s="59"/>
      <c r="E4749" s="116"/>
      <c r="F4749" s="120"/>
      <c r="G4749" s="120"/>
      <c r="H4749" s="120"/>
      <c r="I4749" s="60"/>
      <c r="J4749" s="116"/>
      <c r="K4749" s="213"/>
      <c r="L4749" s="120"/>
      <c r="M4749" s="120"/>
      <c r="N4749" s="167"/>
      <c r="O4749" s="120"/>
      <c r="P4749" s="120"/>
      <c r="Q4749" s="120"/>
      <c r="R4749" s="120"/>
      <c r="S4749" s="120"/>
      <c r="T4749" s="221"/>
      <c r="U4749" s="89"/>
      <c r="V4749" s="61"/>
      <c r="W4749" s="92" t="s">
        <v>107</v>
      </c>
      <c r="X4749" s="93" t="s">
        <v>31</v>
      </c>
      <c r="Y4749" s="93" t="s">
        <v>93</v>
      </c>
      <c r="Z4749" s="134">
        <f>VLOOKUP(W4749,Sheet2!$B:$D,3,FALSE)</f>
        <v>17</v>
      </c>
      <c r="AA4749" s="93">
        <f>AA4746</f>
        <v>0.5</v>
      </c>
      <c r="AB4749" s="93">
        <f>AD4749/AC4744</f>
        <v>34</v>
      </c>
      <c r="AC4749" s="93">
        <f>AC4744/AA4749</f>
        <v>17.780000000000086</v>
      </c>
      <c r="AD4749" s="94">
        <f>AC4749*Z4749</f>
        <v>302.26000000000147</v>
      </c>
      <c r="AE4749" s="190"/>
      <c r="AF4749" s="191"/>
      <c r="AG4749" s="191"/>
      <c r="AH4749" s="191"/>
      <c r="AI4749" s="186"/>
      <c r="AK4749" s="171"/>
    </row>
    <row r="4750" spans="1:37" s="102" customFormat="1" ht="19.899999999999999" customHeight="1" x14ac:dyDescent="0.25">
      <c r="A4750" s="45"/>
      <c r="B4750" s="59"/>
      <c r="C4750" s="137"/>
      <c r="D4750" s="59"/>
      <c r="E4750" s="116"/>
      <c r="F4750" s="120"/>
      <c r="G4750" s="120"/>
      <c r="H4750" s="120"/>
      <c r="I4750" s="60"/>
      <c r="J4750" s="116"/>
      <c r="K4750" s="213"/>
      <c r="L4750" s="120"/>
      <c r="M4750" s="120"/>
      <c r="N4750" s="167"/>
      <c r="O4750" s="120"/>
      <c r="P4750" s="120"/>
      <c r="Q4750" s="120"/>
      <c r="R4750" s="120"/>
      <c r="S4750" s="120"/>
      <c r="T4750" s="221"/>
      <c r="U4750" s="89"/>
      <c r="V4750" s="61"/>
      <c r="W4750" s="92" t="s">
        <v>112</v>
      </c>
      <c r="X4750" s="93" t="s">
        <v>31</v>
      </c>
      <c r="Y4750" s="93" t="s">
        <v>93</v>
      </c>
      <c r="Z4750" s="134">
        <f>VLOOKUP(W4750,Sheet2!$B:$D,3,FALSE)</f>
        <v>13</v>
      </c>
      <c r="AA4750" s="93">
        <f>AA4749</f>
        <v>0.5</v>
      </c>
      <c r="AB4750" s="93">
        <f>AD4750/AC4744</f>
        <v>26</v>
      </c>
      <c r="AC4750" s="93">
        <f>AC4744/AA4750</f>
        <v>17.780000000000086</v>
      </c>
      <c r="AD4750" s="94">
        <f>AC4750*Z4750</f>
        <v>231.14000000000112</v>
      </c>
      <c r="AE4750" s="190"/>
      <c r="AF4750" s="191"/>
      <c r="AG4750" s="191"/>
      <c r="AH4750" s="191"/>
      <c r="AI4750" s="186"/>
      <c r="AK4750" s="171"/>
    </row>
    <row r="4751" spans="1:37" s="103" customFormat="1" ht="19.899999999999999" customHeight="1" x14ac:dyDescent="0.25">
      <c r="A4751" s="51"/>
      <c r="B4751" s="52"/>
      <c r="C4751" s="165"/>
      <c r="D4751" s="52"/>
      <c r="E4751" s="115"/>
      <c r="F4751" s="58"/>
      <c r="G4751" s="58"/>
      <c r="H4751" s="58"/>
      <c r="I4751" s="55"/>
      <c r="J4751" s="113">
        <f>J4731</f>
        <v>8.8900000000000432</v>
      </c>
      <c r="K4751" s="212">
        <f>K4731</f>
        <v>8.8900000000000432</v>
      </c>
      <c r="L4751" s="58"/>
      <c r="M4751" s="58">
        <f>K4751-L4751</f>
        <v>8.8900000000000432</v>
      </c>
      <c r="N4751" s="166"/>
      <c r="O4751" s="58"/>
      <c r="P4751" s="58"/>
      <c r="Q4751" s="58"/>
      <c r="R4751" s="58"/>
      <c r="S4751" s="58"/>
      <c r="T4751" s="220"/>
      <c r="U4751" s="88"/>
      <c r="V4751" s="56"/>
      <c r="W4751" s="57" t="s">
        <v>1272</v>
      </c>
      <c r="X4751" s="53"/>
      <c r="Y4751" s="91" t="s">
        <v>35</v>
      </c>
      <c r="Z4751" s="136">
        <f>AD4751/AC4751</f>
        <v>316.2492929129412</v>
      </c>
      <c r="AA4751" s="58"/>
      <c r="AB4751" s="53">
        <f>AD4751/AC4751</f>
        <v>316.2492929129412</v>
      </c>
      <c r="AC4751" s="53">
        <f>M4751+$AE$10</f>
        <v>8.8900000000000432</v>
      </c>
      <c r="AD4751" s="54">
        <f>SUM(AD4752:AD4760)</f>
        <v>2811.4562139960608</v>
      </c>
      <c r="AE4751" s="184">
        <f>SUMIFS($AD$37:$AD$12971,$V$37:$V$12971,$V4751,$X$37:$X$12971,AE$13)</f>
        <v>0</v>
      </c>
      <c r="AF4751" s="185">
        <f>SUMIFS($AD$37:$AD$12971,$V$37:$V$12971,$V4751,$X$37:$X$12971,AF$13)</f>
        <v>0</v>
      </c>
      <c r="AG4751" s="185">
        <f>SUMIFS($AD$37:$AD$12971,$V$37:$V$12971,$V4751,$X$37:$X$12971,AG$13)</f>
        <v>0</v>
      </c>
      <c r="AH4751" s="187">
        <f>SUMIFS($AD$37:$AD$12971,$V$37:$V$12971,$V4751,$X$37:$X$12971,AH$13)</f>
        <v>0</v>
      </c>
      <c r="AI4751" s="161">
        <f t="shared" ref="AI4751" si="3467">SUM(AE4751:AH4751)</f>
        <v>0</v>
      </c>
      <c r="AK4751" s="172"/>
    </row>
    <row r="4752" spans="1:37" s="102" customFormat="1" ht="19.899999999999999" customHeight="1" x14ac:dyDescent="0.25">
      <c r="A4752" s="45"/>
      <c r="B4752" s="59"/>
      <c r="C4752" s="137"/>
      <c r="D4752" s="59"/>
      <c r="E4752" s="116"/>
      <c r="F4752" s="120"/>
      <c r="G4752" s="120"/>
      <c r="H4752" s="120"/>
      <c r="I4752" s="60"/>
      <c r="J4752" s="116"/>
      <c r="K4752" s="213"/>
      <c r="L4752" s="120"/>
      <c r="M4752" s="120"/>
      <c r="N4752" s="167"/>
      <c r="O4752" s="120"/>
      <c r="P4752" s="120"/>
      <c r="Q4752" s="120"/>
      <c r="R4752" s="120"/>
      <c r="S4752" s="120"/>
      <c r="T4752" s="221"/>
      <c r="U4752" s="89"/>
      <c r="V4752" s="61"/>
      <c r="W4752" s="92" t="s">
        <v>1273</v>
      </c>
      <c r="X4752" s="93" t="s">
        <v>30</v>
      </c>
      <c r="Y4752" s="93" t="s">
        <v>66</v>
      </c>
      <c r="Z4752" s="134">
        <f>VLOOKUP(W4752,Sheet2!$B:$D,3,FALSE)</f>
        <v>10</v>
      </c>
      <c r="AA4752" s="93">
        <f>1/((2.5*2.5*3)-(3.14/4*1.2*1.2*3))</f>
        <v>6.5109253327082839E-2</v>
      </c>
      <c r="AB4752" s="93">
        <f>AD4752/AC4751</f>
        <v>153.58799999999999</v>
      </c>
      <c r="AC4752" s="93">
        <f>AC4751/AA4752</f>
        <v>136.53973200000067</v>
      </c>
      <c r="AD4752" s="94">
        <f t="shared" ref="AD4752:AD4754" si="3468">AC4752*Z4752</f>
        <v>1365.3973200000066</v>
      </c>
      <c r="AE4752" s="190"/>
      <c r="AF4752" s="191"/>
      <c r="AG4752" s="191"/>
      <c r="AH4752" s="191"/>
      <c r="AI4752" s="186"/>
      <c r="AK4752" s="171"/>
    </row>
    <row r="4753" spans="1:41" s="102" customFormat="1" ht="19.899999999999999" customHeight="1" x14ac:dyDescent="0.25">
      <c r="A4753" s="45"/>
      <c r="B4753" s="59"/>
      <c r="C4753" s="137"/>
      <c r="D4753" s="59"/>
      <c r="E4753" s="116"/>
      <c r="F4753" s="120"/>
      <c r="G4753" s="120"/>
      <c r="H4753" s="120"/>
      <c r="I4753" s="60"/>
      <c r="J4753" s="116"/>
      <c r="K4753" s="213"/>
      <c r="L4753" s="120"/>
      <c r="M4753" s="120"/>
      <c r="N4753" s="167"/>
      <c r="O4753" s="120"/>
      <c r="P4753" s="120"/>
      <c r="Q4753" s="120"/>
      <c r="R4753" s="120"/>
      <c r="S4753" s="120"/>
      <c r="T4753" s="221"/>
      <c r="U4753" s="89"/>
      <c r="V4753" s="61"/>
      <c r="W4753" s="92" t="s">
        <v>134</v>
      </c>
      <c r="X4753" s="93" t="s">
        <v>29</v>
      </c>
      <c r="Y4753" s="93" t="s">
        <v>93</v>
      </c>
      <c r="Z4753" s="134">
        <f>VLOOKUP(W4753,Sheet2!$B:$D,3,FALSE)</f>
        <v>65.599999999999994</v>
      </c>
      <c r="AA4753" s="93">
        <f>100/((2.5*2.5*3)-(3.14/4*1.2*1.2*3))</f>
        <v>6.5109253327082843</v>
      </c>
      <c r="AB4753" s="93">
        <f t="shared" ref="AB4753" si="3469">AD4753/AC4751</f>
        <v>10.0753728</v>
      </c>
      <c r="AC4753" s="93">
        <f>AC4751/AA4753</f>
        <v>1.3653973200000067</v>
      </c>
      <c r="AD4753" s="94">
        <f t="shared" si="3468"/>
        <v>89.57006419200043</v>
      </c>
      <c r="AE4753" s="190"/>
      <c r="AF4753" s="191"/>
      <c r="AG4753" s="191"/>
      <c r="AH4753" s="191"/>
      <c r="AI4753" s="186"/>
      <c r="AK4753" s="171"/>
    </row>
    <row r="4754" spans="1:41" s="102" customFormat="1" ht="19.899999999999999" customHeight="1" x14ac:dyDescent="0.25">
      <c r="A4754" s="45"/>
      <c r="B4754" s="59"/>
      <c r="C4754" s="137"/>
      <c r="D4754" s="59"/>
      <c r="E4754" s="116"/>
      <c r="F4754" s="120"/>
      <c r="G4754" s="120"/>
      <c r="H4754" s="120"/>
      <c r="I4754" s="60"/>
      <c r="J4754" s="116"/>
      <c r="K4754" s="213"/>
      <c r="L4754" s="120"/>
      <c r="M4754" s="120"/>
      <c r="N4754" s="167"/>
      <c r="O4754" s="120"/>
      <c r="P4754" s="120"/>
      <c r="Q4754" s="120"/>
      <c r="R4754" s="120"/>
      <c r="S4754" s="120"/>
      <c r="T4754" s="221"/>
      <c r="U4754" s="89"/>
      <c r="V4754" s="61"/>
      <c r="W4754" s="92" t="s">
        <v>65</v>
      </c>
      <c r="X4754" s="93" t="s">
        <v>30</v>
      </c>
      <c r="Y4754" s="93" t="s">
        <v>1011</v>
      </c>
      <c r="Z4754" s="134">
        <f>VLOOKUP(W4754,Sheet2!$B:$D,3,FALSE)</f>
        <v>1.76</v>
      </c>
      <c r="AA4754" s="93">
        <f>AA4753/9</f>
        <v>0.72343614807869827</v>
      </c>
      <c r="AB4754" s="93">
        <f>AD4754/AC4751</f>
        <v>2.4328339200000002</v>
      </c>
      <c r="AC4754" s="93">
        <f>AC4751/AA4754</f>
        <v>12.28857588000006</v>
      </c>
      <c r="AD4754" s="94">
        <f t="shared" si="3468"/>
        <v>21.627893548800106</v>
      </c>
      <c r="AE4754" s="190"/>
      <c r="AF4754" s="191"/>
      <c r="AG4754" s="191"/>
      <c r="AH4754" s="191"/>
      <c r="AI4754" s="186"/>
      <c r="AK4754" s="171"/>
    </row>
    <row r="4755" spans="1:41" s="102" customFormat="1" ht="19.899999999999999" customHeight="1" x14ac:dyDescent="0.25">
      <c r="A4755" s="45"/>
      <c r="B4755" s="59"/>
      <c r="C4755" s="137"/>
      <c r="D4755" s="59"/>
      <c r="E4755" s="116"/>
      <c r="F4755" s="120"/>
      <c r="G4755" s="120"/>
      <c r="H4755" s="120"/>
      <c r="I4755" s="60"/>
      <c r="J4755" s="116"/>
      <c r="K4755" s="213"/>
      <c r="L4755" s="120"/>
      <c r="M4755" s="120"/>
      <c r="N4755" s="167"/>
      <c r="O4755" s="120"/>
      <c r="P4755" s="120"/>
      <c r="Q4755" s="120"/>
      <c r="R4755" s="120"/>
      <c r="S4755" s="120"/>
      <c r="T4755" s="221"/>
      <c r="U4755" s="89"/>
      <c r="V4755" s="61"/>
      <c r="W4755" s="92" t="s">
        <v>161</v>
      </c>
      <c r="X4755" s="93" t="s">
        <v>29</v>
      </c>
      <c r="Y4755" s="93" t="s">
        <v>93</v>
      </c>
      <c r="Z4755" s="134">
        <f>VLOOKUP(W4755,Sheet2!$B:$D,3,FALSE)</f>
        <v>48</v>
      </c>
      <c r="AA4755" s="93">
        <f>(16*0.85*1.5)/((2.5*2.5*3)-(3.14/4*1.2*1.2*3))</f>
        <v>1.32822876787249</v>
      </c>
      <c r="AB4755" s="93">
        <f>AD4755/AC4751</f>
        <v>36.138352941176471</v>
      </c>
      <c r="AC4755" s="93">
        <f>AC4751/AA4755</f>
        <v>6.6931241176470913</v>
      </c>
      <c r="AD4755" s="94">
        <f>AC4755*Z4755</f>
        <v>321.26995764706038</v>
      </c>
      <c r="AE4755" s="190"/>
      <c r="AF4755" s="191"/>
      <c r="AG4755" s="191"/>
      <c r="AH4755" s="191"/>
      <c r="AI4755" s="186"/>
      <c r="AK4755" s="171"/>
    </row>
    <row r="4756" spans="1:41" s="102" customFormat="1" ht="19.899999999999999" customHeight="1" x14ac:dyDescent="0.25">
      <c r="A4756" s="45"/>
      <c r="B4756" s="59"/>
      <c r="C4756" s="137"/>
      <c r="D4756" s="59"/>
      <c r="E4756" s="116"/>
      <c r="F4756" s="120"/>
      <c r="G4756" s="120"/>
      <c r="H4756" s="120"/>
      <c r="I4756" s="60"/>
      <c r="J4756" s="116"/>
      <c r="K4756" s="213"/>
      <c r="L4756" s="120"/>
      <c r="M4756" s="120"/>
      <c r="N4756" s="167"/>
      <c r="O4756" s="120"/>
      <c r="P4756" s="120"/>
      <c r="Q4756" s="120"/>
      <c r="R4756" s="120"/>
      <c r="S4756" s="120"/>
      <c r="T4756" s="221"/>
      <c r="U4756" s="89"/>
      <c r="V4756" s="61"/>
      <c r="W4756" s="92" t="s">
        <v>65</v>
      </c>
      <c r="X4756" s="93" t="s">
        <v>30</v>
      </c>
      <c r="Y4756" s="93" t="s">
        <v>1011</v>
      </c>
      <c r="Z4756" s="134">
        <f>VLOOKUP(W4756,Sheet2!$B:$D,3,FALSE)</f>
        <v>1.76</v>
      </c>
      <c r="AA4756" s="93">
        <f>AA4755/10</f>
        <v>0.13282287678724899</v>
      </c>
      <c r="AB4756" s="93">
        <f>AD4756/AC4751</f>
        <v>13.250729411764707</v>
      </c>
      <c r="AC4756" s="93">
        <f>AC4751/AA4756</f>
        <v>66.93124117647092</v>
      </c>
      <c r="AD4756" s="94">
        <f>AC4756*Z4756</f>
        <v>117.79898447058882</v>
      </c>
      <c r="AE4756" s="190"/>
      <c r="AF4756" s="191"/>
      <c r="AG4756" s="191"/>
      <c r="AH4756" s="191"/>
      <c r="AI4756" s="186"/>
      <c r="AK4756" s="171"/>
    </row>
    <row r="4757" spans="1:41" s="102" customFormat="1" ht="19.899999999999999" customHeight="1" x14ac:dyDescent="0.25">
      <c r="A4757" s="45"/>
      <c r="B4757" s="59"/>
      <c r="C4757" s="137"/>
      <c r="D4757" s="59"/>
      <c r="E4757" s="116"/>
      <c r="F4757" s="120"/>
      <c r="G4757" s="120"/>
      <c r="H4757" s="120"/>
      <c r="I4757" s="60"/>
      <c r="J4757" s="116"/>
      <c r="K4757" s="213"/>
      <c r="L4757" s="120"/>
      <c r="M4757" s="120"/>
      <c r="N4757" s="167"/>
      <c r="O4757" s="120"/>
      <c r="P4757" s="120"/>
      <c r="Q4757" s="120"/>
      <c r="R4757" s="120"/>
      <c r="S4757" s="120"/>
      <c r="T4757" s="221"/>
      <c r="U4757" s="89"/>
      <c r="V4757" s="61"/>
      <c r="W4757" s="92" t="s">
        <v>173</v>
      </c>
      <c r="X4757" s="93" t="s">
        <v>29</v>
      </c>
      <c r="Y4757" s="93" t="s">
        <v>93</v>
      </c>
      <c r="Z4757" s="134">
        <f>VLOOKUP(W4757,Sheet2!$B:$D,3,FALSE)</f>
        <v>36</v>
      </c>
      <c r="AA4757" s="93">
        <f>50/((2.5*2.5*3)-(3.14/4*1.2*1.2*3))</f>
        <v>3.2554626663541422</v>
      </c>
      <c r="AB4757" s="93">
        <f>AD4757/AC4751</f>
        <v>11.058336000000001</v>
      </c>
      <c r="AC4757" s="93">
        <f>AC4751/AA4757</f>
        <v>2.7307946400000134</v>
      </c>
      <c r="AD4757" s="94">
        <f>AC4757*Z4757</f>
        <v>98.308607040000481</v>
      </c>
      <c r="AE4757" s="190"/>
      <c r="AF4757" s="191"/>
      <c r="AG4757" s="191"/>
      <c r="AH4757" s="191"/>
      <c r="AI4757" s="186"/>
      <c r="AK4757" s="171"/>
    </row>
    <row r="4758" spans="1:41" s="102" customFormat="1" ht="19.899999999999999" customHeight="1" x14ac:dyDescent="0.25">
      <c r="A4758" s="45"/>
      <c r="B4758" s="59"/>
      <c r="C4758" s="137"/>
      <c r="D4758" s="59"/>
      <c r="E4758" s="116"/>
      <c r="F4758" s="120"/>
      <c r="G4758" s="120"/>
      <c r="H4758" s="120"/>
      <c r="I4758" s="60"/>
      <c r="J4758" s="116"/>
      <c r="K4758" s="213"/>
      <c r="L4758" s="120"/>
      <c r="M4758" s="120"/>
      <c r="N4758" s="167"/>
      <c r="O4758" s="120"/>
      <c r="P4758" s="120"/>
      <c r="Q4758" s="120"/>
      <c r="R4758" s="120"/>
      <c r="S4758" s="120"/>
      <c r="T4758" s="221"/>
      <c r="U4758" s="89"/>
      <c r="V4758" s="61"/>
      <c r="W4758" s="92" t="s">
        <v>65</v>
      </c>
      <c r="X4758" s="93" t="s">
        <v>30</v>
      </c>
      <c r="Y4758" s="93" t="s">
        <v>1011</v>
      </c>
      <c r="Z4758" s="134">
        <f>VLOOKUP(W4758,Sheet2!$B:$D,3,FALSE)</f>
        <v>1.76</v>
      </c>
      <c r="AA4758" s="93">
        <f>AA4757/9</f>
        <v>0.36171807403934914</v>
      </c>
      <c r="AB4758" s="93">
        <f>AD4758/AC4751</f>
        <v>4.8656678400000004</v>
      </c>
      <c r="AC4758" s="93">
        <f>AC4751/AA4758</f>
        <v>24.57715176000012</v>
      </c>
      <c r="AD4758" s="94">
        <f>AC4758*Z4758</f>
        <v>43.255787097600212</v>
      </c>
      <c r="AE4758" s="190"/>
      <c r="AF4758" s="191"/>
      <c r="AG4758" s="191"/>
      <c r="AH4758" s="191"/>
      <c r="AI4758" s="186"/>
      <c r="AK4758" s="171"/>
    </row>
    <row r="4759" spans="1:41" s="102" customFormat="1" ht="19.899999999999999" customHeight="1" x14ac:dyDescent="0.25">
      <c r="A4759" s="45"/>
      <c r="B4759" s="59"/>
      <c r="C4759" s="137"/>
      <c r="D4759" s="59"/>
      <c r="E4759" s="116"/>
      <c r="F4759" s="120"/>
      <c r="G4759" s="120"/>
      <c r="H4759" s="120"/>
      <c r="I4759" s="60"/>
      <c r="J4759" s="116"/>
      <c r="K4759" s="213"/>
      <c r="L4759" s="120"/>
      <c r="M4759" s="120"/>
      <c r="N4759" s="167"/>
      <c r="O4759" s="120"/>
      <c r="P4759" s="120"/>
      <c r="Q4759" s="120"/>
      <c r="R4759" s="120"/>
      <c r="S4759" s="120"/>
      <c r="T4759" s="221"/>
      <c r="U4759" s="89"/>
      <c r="V4759" s="61"/>
      <c r="W4759" s="92" t="s">
        <v>1030</v>
      </c>
      <c r="X4759" s="93" t="s">
        <v>29</v>
      </c>
      <c r="Y4759" s="93" t="s">
        <v>93</v>
      </c>
      <c r="Z4759" s="134">
        <f>VLOOKUP(W4759,Sheet2!$B:$D,3,FALSE)</f>
        <v>23</v>
      </c>
      <c r="AA4759" s="93">
        <f>1/(3*1)</f>
        <v>0.33333333333333331</v>
      </c>
      <c r="AB4759" s="93">
        <f>AD4759/AC4751</f>
        <v>69</v>
      </c>
      <c r="AC4759" s="93">
        <f>AC4751/AA4759</f>
        <v>26.67000000000013</v>
      </c>
      <c r="AD4759" s="94">
        <f t="shared" ref="AD4759:AD4760" si="3470">AC4759*Z4759</f>
        <v>613.41000000000304</v>
      </c>
      <c r="AE4759" s="190"/>
      <c r="AF4759" s="191"/>
      <c r="AG4759" s="191"/>
      <c r="AH4759" s="191"/>
      <c r="AI4759" s="186"/>
      <c r="AK4759" s="171"/>
    </row>
    <row r="4760" spans="1:41" s="102" customFormat="1" ht="19.899999999999999" customHeight="1" x14ac:dyDescent="0.25">
      <c r="A4760" s="45"/>
      <c r="B4760" s="59"/>
      <c r="C4760" s="137"/>
      <c r="D4760" s="59"/>
      <c r="E4760" s="116"/>
      <c r="F4760" s="120"/>
      <c r="G4760" s="120"/>
      <c r="H4760" s="120"/>
      <c r="I4760" s="60"/>
      <c r="J4760" s="116"/>
      <c r="K4760" s="213"/>
      <c r="L4760" s="120"/>
      <c r="M4760" s="120"/>
      <c r="N4760" s="167"/>
      <c r="O4760" s="120"/>
      <c r="P4760" s="120"/>
      <c r="Q4760" s="120"/>
      <c r="R4760" s="120"/>
      <c r="S4760" s="120"/>
      <c r="T4760" s="221"/>
      <c r="U4760" s="89"/>
      <c r="V4760" s="61"/>
      <c r="W4760" s="92" t="s">
        <v>65</v>
      </c>
      <c r="X4760" s="93" t="s">
        <v>30</v>
      </c>
      <c r="Y4760" s="93" t="s">
        <v>1011</v>
      </c>
      <c r="Z4760" s="134">
        <f>VLOOKUP(W4760,Sheet2!$B:$D,3,FALSE)</f>
        <v>1.76</v>
      </c>
      <c r="AA4760" s="93">
        <f>AA4759/3</f>
        <v>0.1111111111111111</v>
      </c>
      <c r="AB4760" s="93">
        <f>AD4760/AC4751</f>
        <v>15.84</v>
      </c>
      <c r="AC4760" s="93">
        <f>AC4751/AA4760</f>
        <v>80.010000000000389</v>
      </c>
      <c r="AD4760" s="94">
        <f t="shared" si="3470"/>
        <v>140.81760000000068</v>
      </c>
      <c r="AE4760" s="190"/>
      <c r="AF4760" s="191"/>
      <c r="AG4760" s="191"/>
      <c r="AH4760" s="191"/>
      <c r="AI4760" s="186"/>
      <c r="AK4760" s="171"/>
    </row>
    <row r="4761" spans="1:41" ht="20.100000000000001" customHeight="1" x14ac:dyDescent="0.25">
      <c r="A4761" s="277" t="s">
        <v>491</v>
      </c>
      <c r="B4761" s="278"/>
      <c r="C4761" s="64" t="s">
        <v>577</v>
      </c>
      <c r="D4761" s="46" t="s">
        <v>215</v>
      </c>
      <c r="E4761" s="114">
        <v>17.320000000000064</v>
      </c>
      <c r="F4761" s="44">
        <v>22092</v>
      </c>
      <c r="G4761" s="44">
        <f t="shared" ref="G4761:G5354" si="3471">F4761*E4761</f>
        <v>382633.4400000014</v>
      </c>
      <c r="H4761" s="44">
        <f t="shared" ref="H4761:H5354" si="3472">AB4761</f>
        <v>8162.4366456533335</v>
      </c>
      <c r="I4761" s="43">
        <f t="shared" ref="I4761:I5354" si="3473">H4761*E4761</f>
        <v>141373.40270271627</v>
      </c>
      <c r="J4761" s="112">
        <f t="shared" ref="J4761:J5354" si="3474">E4761</f>
        <v>17.320000000000064</v>
      </c>
      <c r="K4761" s="211">
        <f t="shared" ref="K4761:K5354" si="3475">J4761</f>
        <v>17.320000000000064</v>
      </c>
      <c r="L4761" s="44"/>
      <c r="M4761" s="44">
        <f t="shared" si="2458"/>
        <v>17.320000000000064</v>
      </c>
      <c r="N4761" s="173">
        <f t="shared" ref="N4761:N5354" si="3476">IFERROR(M4761/K4761,0)</f>
        <v>1</v>
      </c>
      <c r="O4761" s="44">
        <f t="shared" ref="O4761:O5354" si="3477">F4761</f>
        <v>22092</v>
      </c>
      <c r="P4761" s="44">
        <f t="shared" ref="P4761:P5354" si="3478">K4761*O4761</f>
        <v>382633.4400000014</v>
      </c>
      <c r="Q4761" s="44">
        <f t="shared" ref="Q4761:Q5354" si="3479">AB4761</f>
        <v>8162.4366456533335</v>
      </c>
      <c r="R4761" s="44">
        <f t="shared" si="2459"/>
        <v>141373.40270271627</v>
      </c>
      <c r="S4761" s="123"/>
      <c r="T4761" s="219">
        <f t="shared" si="2460"/>
        <v>141373.40270271627</v>
      </c>
      <c r="U4761" s="87"/>
      <c r="V4761" s="47"/>
      <c r="W4761" s="48"/>
      <c r="X4761" s="48"/>
      <c r="Y4761" s="48"/>
      <c r="Z4761" s="135"/>
      <c r="AA4761" s="49"/>
      <c r="AB4761" s="50">
        <f t="shared" ref="AB4761:AB5354" si="3480">AD4761/AC4761</f>
        <v>8162.4366456533335</v>
      </c>
      <c r="AC4761" s="42">
        <f t="shared" si="2461"/>
        <v>17.320000000000064</v>
      </c>
      <c r="AD4761" s="90">
        <f>AD4762+AD4767+AD4774+AD4781</f>
        <v>141373.40270271627</v>
      </c>
      <c r="AE4761" s="188">
        <f t="shared" ref="AE4761" si="3481">AE4762+AE4767+AE4774+AE4781</f>
        <v>0</v>
      </c>
      <c r="AF4761" s="189">
        <f t="shared" ref="AF4761" si="3482">AF4762+AF4767+AF4774+AF4781</f>
        <v>0</v>
      </c>
      <c r="AG4761" s="189">
        <f t="shared" ref="AG4761" si="3483">AG4762+AG4767+AG4774+AG4781</f>
        <v>0</v>
      </c>
      <c r="AH4761" s="189">
        <f t="shared" ref="AH4761" si="3484">AH4762+AH4767+AH4774+AH4781</f>
        <v>0</v>
      </c>
      <c r="AI4761" s="161">
        <f t="shared" ref="AI4761" si="3485">SUM(AE4761:AH4761)</f>
        <v>0</v>
      </c>
      <c r="AK4761" s="169">
        <v>5</v>
      </c>
      <c r="AO4761" s="19" t="s">
        <v>63</v>
      </c>
    </row>
    <row r="4762" spans="1:41" s="103" customFormat="1" ht="19.899999999999999" customHeight="1" x14ac:dyDescent="0.25">
      <c r="A4762" s="51"/>
      <c r="B4762" s="52"/>
      <c r="C4762" s="165"/>
      <c r="D4762" s="52"/>
      <c r="E4762" s="115"/>
      <c r="F4762" s="58"/>
      <c r="G4762" s="58"/>
      <c r="H4762" s="58"/>
      <c r="I4762" s="55"/>
      <c r="J4762" s="113">
        <f>J4761</f>
        <v>17.320000000000064</v>
      </c>
      <c r="K4762" s="212">
        <f>K4761</f>
        <v>17.320000000000064</v>
      </c>
      <c r="L4762" s="58"/>
      <c r="M4762" s="58">
        <f>K4762-L4762</f>
        <v>17.320000000000064</v>
      </c>
      <c r="N4762" s="166"/>
      <c r="O4762" s="58"/>
      <c r="P4762" s="58"/>
      <c r="Q4762" s="58"/>
      <c r="R4762" s="58"/>
      <c r="S4762" s="58"/>
      <c r="T4762" s="220"/>
      <c r="U4762" s="88"/>
      <c r="V4762" s="56"/>
      <c r="W4762" s="57" t="s">
        <v>1506</v>
      </c>
      <c r="X4762" s="53"/>
      <c r="Y4762" s="91" t="s">
        <v>35</v>
      </c>
      <c r="Z4762" s="136">
        <f>AD4762/AC4762</f>
        <v>87.983137254901962</v>
      </c>
      <c r="AA4762" s="58"/>
      <c r="AB4762" s="53">
        <f>AD4762/AC4762</f>
        <v>87.983137254901962</v>
      </c>
      <c r="AC4762" s="53">
        <f>M4762+$AE$10</f>
        <v>17.320000000000064</v>
      </c>
      <c r="AD4762" s="54">
        <f>SUM(AD4763:AD4766)</f>
        <v>1523.8679372549077</v>
      </c>
      <c r="AE4762" s="184">
        <f>SUMIFS($AD$37:$AD$12971,$V$37:$V$12971,$V4762,$X$37:$X$12971,AE$13)</f>
        <v>0</v>
      </c>
      <c r="AF4762" s="185">
        <f>SUMIFS($AD$37:$AD$12971,$V$37:$V$12971,$V4762,$X$37:$X$12971,AF$13)</f>
        <v>0</v>
      </c>
      <c r="AG4762" s="185">
        <f>SUMIFS($AD$37:$AD$12971,$V$37:$V$12971,$V4762,$X$37:$X$12971,AG$13)</f>
        <v>0</v>
      </c>
      <c r="AH4762" s="187">
        <f>SUMIFS($AD$37:$AD$12971,$V$37:$V$12971,$V4762,$X$37:$X$12971,AH$13)</f>
        <v>0</v>
      </c>
      <c r="AI4762" s="161">
        <f t="shared" ref="AI4762" si="3486">SUM(AE4762:AH4762)</f>
        <v>0</v>
      </c>
      <c r="AK4762" s="172"/>
    </row>
    <row r="4763" spans="1:41" s="102" customFormat="1" ht="19.899999999999999" customHeight="1" x14ac:dyDescent="0.25">
      <c r="A4763" s="45"/>
      <c r="B4763" s="59"/>
      <c r="C4763" s="137"/>
      <c r="D4763" s="59"/>
      <c r="E4763" s="116"/>
      <c r="F4763" s="120"/>
      <c r="G4763" s="120"/>
      <c r="H4763" s="120"/>
      <c r="I4763" s="60"/>
      <c r="J4763" s="116"/>
      <c r="K4763" s="213"/>
      <c r="L4763" s="120"/>
      <c r="M4763" s="120"/>
      <c r="N4763" s="167"/>
      <c r="O4763" s="120"/>
      <c r="P4763" s="120"/>
      <c r="Q4763" s="120"/>
      <c r="R4763" s="120"/>
      <c r="S4763" s="120"/>
      <c r="T4763" s="221"/>
      <c r="U4763" s="89"/>
      <c r="V4763" s="61"/>
      <c r="W4763" s="92" t="s">
        <v>129</v>
      </c>
      <c r="X4763" s="93" t="s">
        <v>29</v>
      </c>
      <c r="Y4763" s="93" t="s">
        <v>93</v>
      </c>
      <c r="Z4763" s="134">
        <f>VLOOKUP(W4763,Sheet2!$B:$D,3,FALSE)</f>
        <v>56</v>
      </c>
      <c r="AA4763" s="93">
        <f>100/(2.5*2.5*3.5)</f>
        <v>4.5714285714285712</v>
      </c>
      <c r="AB4763" s="93">
        <f t="shared" ref="AB4763" si="3487">AD4763/AC4762</f>
        <v>12.25</v>
      </c>
      <c r="AC4763" s="93">
        <f>AC4762/AA4763</f>
        <v>3.7887500000000141</v>
      </c>
      <c r="AD4763" s="94">
        <f t="shared" ref="AD4763:AD4764" si="3488">AC4763*Z4763</f>
        <v>212.17000000000078</v>
      </c>
      <c r="AE4763" s="190"/>
      <c r="AF4763" s="191"/>
      <c r="AG4763" s="191"/>
      <c r="AH4763" s="191"/>
      <c r="AI4763" s="186"/>
      <c r="AK4763" s="171"/>
    </row>
    <row r="4764" spans="1:41" s="102" customFormat="1" ht="19.899999999999999" customHeight="1" x14ac:dyDescent="0.25">
      <c r="A4764" s="45"/>
      <c r="B4764" s="59"/>
      <c r="C4764" s="137"/>
      <c r="D4764" s="59"/>
      <c r="E4764" s="116"/>
      <c r="F4764" s="120"/>
      <c r="G4764" s="120"/>
      <c r="H4764" s="120"/>
      <c r="I4764" s="60"/>
      <c r="J4764" s="116"/>
      <c r="K4764" s="213"/>
      <c r="L4764" s="120"/>
      <c r="M4764" s="120"/>
      <c r="N4764" s="167"/>
      <c r="O4764" s="120"/>
      <c r="P4764" s="120"/>
      <c r="Q4764" s="120"/>
      <c r="R4764" s="120"/>
      <c r="S4764" s="120"/>
      <c r="T4764" s="221"/>
      <c r="U4764" s="89"/>
      <c r="V4764" s="61"/>
      <c r="W4764" s="92" t="s">
        <v>65</v>
      </c>
      <c r="X4764" s="93" t="s">
        <v>30</v>
      </c>
      <c r="Y4764" s="93" t="s">
        <v>1011</v>
      </c>
      <c r="Z4764" s="134">
        <f>VLOOKUP(W4764,Sheet2!$B:$D,3,FALSE)</f>
        <v>1.76</v>
      </c>
      <c r="AA4764" s="93">
        <f>AA4763/14</f>
        <v>0.32653061224489793</v>
      </c>
      <c r="AB4764" s="93">
        <f>AD4764/AC4762</f>
        <v>5.3900000000000006</v>
      </c>
      <c r="AC4764" s="93">
        <f>AC4762/AA4764</f>
        <v>53.042500000000203</v>
      </c>
      <c r="AD4764" s="94">
        <f t="shared" si="3488"/>
        <v>93.354800000000353</v>
      </c>
      <c r="AE4764" s="190"/>
      <c r="AF4764" s="191"/>
      <c r="AG4764" s="191"/>
      <c r="AH4764" s="191"/>
      <c r="AI4764" s="186"/>
      <c r="AK4764" s="171"/>
    </row>
    <row r="4765" spans="1:41" s="102" customFormat="1" ht="19.899999999999999" customHeight="1" x14ac:dyDescent="0.25">
      <c r="A4765" s="45"/>
      <c r="B4765" s="59"/>
      <c r="C4765" s="137"/>
      <c r="D4765" s="59"/>
      <c r="E4765" s="116"/>
      <c r="F4765" s="120"/>
      <c r="G4765" s="120"/>
      <c r="H4765" s="120"/>
      <c r="I4765" s="60"/>
      <c r="J4765" s="116"/>
      <c r="K4765" s="213"/>
      <c r="L4765" s="120"/>
      <c r="M4765" s="120"/>
      <c r="N4765" s="167"/>
      <c r="O4765" s="120"/>
      <c r="P4765" s="120"/>
      <c r="Q4765" s="120"/>
      <c r="R4765" s="120"/>
      <c r="S4765" s="120"/>
      <c r="T4765" s="221"/>
      <c r="U4765" s="89"/>
      <c r="V4765" s="61"/>
      <c r="W4765" s="92" t="s">
        <v>161</v>
      </c>
      <c r="X4765" s="93" t="s">
        <v>29</v>
      </c>
      <c r="Y4765" s="93" t="s">
        <v>93</v>
      </c>
      <c r="Z4765" s="134">
        <f>VLOOKUP(W4765,Sheet2!$B:$D,3,FALSE)</f>
        <v>48</v>
      </c>
      <c r="AA4765" s="93">
        <f>(16*0.85*1.5)/(2.5*2.5*3.5)</f>
        <v>0.9325714285714285</v>
      </c>
      <c r="AB4765" s="93">
        <f>AD4765/AC4762</f>
        <v>51.470588235294116</v>
      </c>
      <c r="AC4765" s="93">
        <f>AC4762/AA4765</f>
        <v>18.572303921568697</v>
      </c>
      <c r="AD4765" s="94">
        <f>AC4765*Z4765</f>
        <v>891.47058823529744</v>
      </c>
      <c r="AE4765" s="190"/>
      <c r="AF4765" s="191"/>
      <c r="AG4765" s="191"/>
      <c r="AH4765" s="191"/>
      <c r="AI4765" s="186"/>
      <c r="AK4765" s="171"/>
    </row>
    <row r="4766" spans="1:41" s="102" customFormat="1" ht="19.899999999999999" customHeight="1" x14ac:dyDescent="0.25">
      <c r="A4766" s="45"/>
      <c r="B4766" s="59"/>
      <c r="C4766" s="137"/>
      <c r="D4766" s="59"/>
      <c r="E4766" s="116"/>
      <c r="F4766" s="120"/>
      <c r="G4766" s="120"/>
      <c r="H4766" s="120"/>
      <c r="I4766" s="60"/>
      <c r="J4766" s="116"/>
      <c r="K4766" s="213"/>
      <c r="L4766" s="120"/>
      <c r="M4766" s="120"/>
      <c r="N4766" s="167"/>
      <c r="O4766" s="120"/>
      <c r="P4766" s="120"/>
      <c r="Q4766" s="120"/>
      <c r="R4766" s="120"/>
      <c r="S4766" s="120"/>
      <c r="T4766" s="221"/>
      <c r="U4766" s="89"/>
      <c r="V4766" s="61"/>
      <c r="W4766" s="92" t="s">
        <v>65</v>
      </c>
      <c r="X4766" s="93" t="s">
        <v>30</v>
      </c>
      <c r="Y4766" s="93" t="s">
        <v>1011</v>
      </c>
      <c r="Z4766" s="134">
        <f>VLOOKUP(W4766,Sheet2!$B:$D,3,FALSE)</f>
        <v>1.76</v>
      </c>
      <c r="AA4766" s="93">
        <f>AA4765/10</f>
        <v>9.3257142857142844E-2</v>
      </c>
      <c r="AB4766" s="93">
        <f>AD4766/AC4762</f>
        <v>18.872549019607845</v>
      </c>
      <c r="AC4766" s="93">
        <f>AC4762/AA4766</f>
        <v>185.72303921568698</v>
      </c>
      <c r="AD4766" s="94">
        <f>AC4766*Z4766</f>
        <v>326.8725490196091</v>
      </c>
      <c r="AE4766" s="190"/>
      <c r="AF4766" s="191"/>
      <c r="AG4766" s="191"/>
      <c r="AH4766" s="191"/>
      <c r="AI4766" s="186"/>
      <c r="AK4766" s="171"/>
    </row>
    <row r="4767" spans="1:41" s="103" customFormat="1" ht="19.899999999999999" customHeight="1" x14ac:dyDescent="0.25">
      <c r="A4767" s="51"/>
      <c r="B4767" s="52"/>
      <c r="C4767" s="165"/>
      <c r="D4767" s="52"/>
      <c r="E4767" s="115"/>
      <c r="F4767" s="58"/>
      <c r="G4767" s="58"/>
      <c r="H4767" s="58"/>
      <c r="I4767" s="55"/>
      <c r="J4767" s="113">
        <f>J4761</f>
        <v>17.320000000000064</v>
      </c>
      <c r="K4767" s="212">
        <f>K4761</f>
        <v>17.320000000000064</v>
      </c>
      <c r="L4767" s="58"/>
      <c r="M4767" s="58">
        <f>K4767-L4767</f>
        <v>17.320000000000064</v>
      </c>
      <c r="N4767" s="166"/>
      <c r="O4767" s="58"/>
      <c r="P4767" s="58"/>
      <c r="Q4767" s="58"/>
      <c r="R4767" s="58"/>
      <c r="S4767" s="58"/>
      <c r="T4767" s="220"/>
      <c r="U4767" s="88"/>
      <c r="V4767" s="56"/>
      <c r="W4767" s="57" t="s">
        <v>1486</v>
      </c>
      <c r="X4767" s="53"/>
      <c r="Y4767" s="91" t="s">
        <v>35</v>
      </c>
      <c r="Z4767" s="136">
        <f>AD4767/AC4767</f>
        <v>1432.6959999999999</v>
      </c>
      <c r="AA4767" s="58"/>
      <c r="AB4767" s="53">
        <f>AD4767/AC4767</f>
        <v>1432.6959999999999</v>
      </c>
      <c r="AC4767" s="53">
        <f>M4767+$AE$10</f>
        <v>17.320000000000064</v>
      </c>
      <c r="AD4767" s="54">
        <f>SUM(AD4768:AD4773)</f>
        <v>24814.294720000089</v>
      </c>
      <c r="AE4767" s="184">
        <f>SUMIFS($AD$37:$AD$12971,$V$37:$V$12971,$V4767,$X$37:$X$12971,AE$13)</f>
        <v>0</v>
      </c>
      <c r="AF4767" s="185">
        <f>SUMIFS($AD$37:$AD$12971,$V$37:$V$12971,$V4767,$X$37:$X$12971,AF$13)</f>
        <v>0</v>
      </c>
      <c r="AG4767" s="185">
        <f>SUMIFS($AD$37:$AD$12971,$V$37:$V$12971,$V4767,$X$37:$X$12971,AG$13)</f>
        <v>0</v>
      </c>
      <c r="AH4767" s="187">
        <f>SUMIFS($AD$37:$AD$12971,$V$37:$V$12971,$V4767,$X$37:$X$12971,AH$13)</f>
        <v>0</v>
      </c>
      <c r="AI4767" s="161">
        <f t="shared" ref="AI4767" si="3489">SUM(AE4767:AH4767)</f>
        <v>0</v>
      </c>
      <c r="AK4767" s="172"/>
    </row>
    <row r="4768" spans="1:41" s="102" customFormat="1" ht="19.899999999999999" customHeight="1" x14ac:dyDescent="0.25">
      <c r="A4768" s="45"/>
      <c r="B4768" s="59"/>
      <c r="C4768" s="137"/>
      <c r="D4768" s="59"/>
      <c r="E4768" s="116"/>
      <c r="F4768" s="120"/>
      <c r="G4768" s="120"/>
      <c r="H4768" s="120"/>
      <c r="I4768" s="60"/>
      <c r="J4768" s="116"/>
      <c r="K4768" s="213"/>
      <c r="L4768" s="120"/>
      <c r="M4768" s="120"/>
      <c r="N4768" s="167"/>
      <c r="O4768" s="120"/>
      <c r="P4768" s="120"/>
      <c r="Q4768" s="120"/>
      <c r="R4768" s="120"/>
      <c r="S4768" s="120"/>
      <c r="T4768" s="221"/>
      <c r="U4768" s="89"/>
      <c r="V4768" s="61"/>
      <c r="W4768" s="92" t="s">
        <v>1032</v>
      </c>
      <c r="X4768" s="93" t="s">
        <v>30</v>
      </c>
      <c r="Y4768" s="93" t="s">
        <v>66</v>
      </c>
      <c r="Z4768" s="134">
        <f>VLOOKUP(W4768,Sheet2!$B:$D,3,FALSE)</f>
        <v>250</v>
      </c>
      <c r="AA4768" s="93">
        <f>1/(2.1*2.1*0.1)</f>
        <v>2.2675736961451243</v>
      </c>
      <c r="AB4768" s="93">
        <f>AD4768/AC4774</f>
        <v>110.25000000000003</v>
      </c>
      <c r="AC4768" s="93">
        <f>AC4774/AA4768</f>
        <v>7.63812000000003</v>
      </c>
      <c r="AD4768" s="94">
        <f t="shared" ref="AD4768:AD4770" si="3490">AC4768*Z4768</f>
        <v>1909.5300000000075</v>
      </c>
      <c r="AE4768" s="190"/>
      <c r="AF4768" s="191"/>
      <c r="AG4768" s="191"/>
      <c r="AH4768" s="191"/>
      <c r="AI4768" s="186"/>
      <c r="AK4768" s="171"/>
    </row>
    <row r="4769" spans="1:37" s="102" customFormat="1" ht="19.899999999999999" customHeight="1" x14ac:dyDescent="0.25">
      <c r="A4769" s="45"/>
      <c r="B4769" s="59"/>
      <c r="C4769" s="137"/>
      <c r="D4769" s="59"/>
      <c r="E4769" s="116"/>
      <c r="F4769" s="120"/>
      <c r="G4769" s="120"/>
      <c r="H4769" s="120"/>
      <c r="I4769" s="60"/>
      <c r="J4769" s="116"/>
      <c r="K4769" s="213"/>
      <c r="L4769" s="120"/>
      <c r="M4769" s="120"/>
      <c r="N4769" s="167"/>
      <c r="O4769" s="120"/>
      <c r="P4769" s="120"/>
      <c r="Q4769" s="120"/>
      <c r="R4769" s="120"/>
      <c r="S4769" s="120"/>
      <c r="T4769" s="221"/>
      <c r="U4769" s="89"/>
      <c r="V4769" s="61"/>
      <c r="W4769" s="92" t="s">
        <v>1353</v>
      </c>
      <c r="X4769" s="93" t="s">
        <v>30</v>
      </c>
      <c r="Y4769" s="93" t="s">
        <v>66</v>
      </c>
      <c r="Z4769" s="134">
        <f>VLOOKUP(W4769,Sheet2!$B:$D,3,FALSE)</f>
        <v>350</v>
      </c>
      <c r="AA4769" s="93">
        <f>1/(2*2*0.3)</f>
        <v>0.83333333333333337</v>
      </c>
      <c r="AB4769" s="93">
        <f>AD4769/AC4774</f>
        <v>420</v>
      </c>
      <c r="AC4769" s="93">
        <f>AC4774/AA4769</f>
        <v>20.784000000000077</v>
      </c>
      <c r="AD4769" s="94">
        <f t="shared" si="3490"/>
        <v>7274.4000000000269</v>
      </c>
      <c r="AE4769" s="190"/>
      <c r="AF4769" s="191"/>
      <c r="AG4769" s="191"/>
      <c r="AH4769" s="191"/>
      <c r="AI4769" s="186"/>
      <c r="AK4769" s="171"/>
    </row>
    <row r="4770" spans="1:37" s="102" customFormat="1" ht="19.899999999999999" customHeight="1" x14ac:dyDescent="0.25">
      <c r="A4770" s="45"/>
      <c r="B4770" s="59"/>
      <c r="C4770" s="137"/>
      <c r="D4770" s="59"/>
      <c r="E4770" s="116"/>
      <c r="F4770" s="120"/>
      <c r="G4770" s="120"/>
      <c r="H4770" s="120"/>
      <c r="I4770" s="60"/>
      <c r="J4770" s="116"/>
      <c r="K4770" s="213"/>
      <c r="L4770" s="120"/>
      <c r="M4770" s="120"/>
      <c r="N4770" s="167"/>
      <c r="O4770" s="120"/>
      <c r="P4770" s="120"/>
      <c r="Q4770" s="120"/>
      <c r="R4770" s="120"/>
      <c r="S4770" s="120"/>
      <c r="T4770" s="221"/>
      <c r="U4770" s="89"/>
      <c r="V4770" s="61"/>
      <c r="W4770" s="92" t="s">
        <v>99</v>
      </c>
      <c r="X4770" s="93" t="s">
        <v>30</v>
      </c>
      <c r="Y4770" s="93" t="s">
        <v>67</v>
      </c>
      <c r="Z4770" s="134">
        <f>VLOOKUP(W4770,Sheet2!$B:$D,3,FALSE)</f>
        <v>2500</v>
      </c>
      <c r="AA4770" s="93">
        <f>AA4769/0.08</f>
        <v>10.416666666666666</v>
      </c>
      <c r="AB4770" s="93">
        <f>AD4770/AC4774</f>
        <v>240</v>
      </c>
      <c r="AC4770" s="93">
        <f>AC4774/AA4770</f>
        <v>1.6627200000000062</v>
      </c>
      <c r="AD4770" s="94">
        <f t="shared" si="3490"/>
        <v>4156.8000000000156</v>
      </c>
      <c r="AE4770" s="190"/>
      <c r="AF4770" s="191"/>
      <c r="AG4770" s="191"/>
      <c r="AH4770" s="191"/>
      <c r="AI4770" s="186"/>
      <c r="AK4770" s="171"/>
    </row>
    <row r="4771" spans="1:37" s="102" customFormat="1" ht="19.899999999999999" customHeight="1" x14ac:dyDescent="0.25">
      <c r="A4771" s="45"/>
      <c r="B4771" s="59"/>
      <c r="C4771" s="137"/>
      <c r="D4771" s="59"/>
      <c r="E4771" s="116"/>
      <c r="F4771" s="120"/>
      <c r="G4771" s="120"/>
      <c r="H4771" s="120"/>
      <c r="I4771" s="60"/>
      <c r="J4771" s="116"/>
      <c r="K4771" s="213"/>
      <c r="L4771" s="120"/>
      <c r="M4771" s="120"/>
      <c r="N4771" s="167"/>
      <c r="O4771" s="120"/>
      <c r="P4771" s="120"/>
      <c r="Q4771" s="120"/>
      <c r="R4771" s="120"/>
      <c r="S4771" s="120"/>
      <c r="T4771" s="221"/>
      <c r="U4771" s="89"/>
      <c r="V4771" s="61"/>
      <c r="W4771" s="92" t="s">
        <v>1354</v>
      </c>
      <c r="X4771" s="93" t="s">
        <v>32</v>
      </c>
      <c r="Y4771" s="93" t="s">
        <v>66</v>
      </c>
      <c r="Z4771" s="134">
        <f>VLOOKUP(W4771,Sheet2!$B:$D,3,FALSE)</f>
        <v>150</v>
      </c>
      <c r="AA4771" s="93">
        <f>AA4768</f>
        <v>2.2675736961451243</v>
      </c>
      <c r="AB4771" s="93">
        <f>AD4771/AC4774</f>
        <v>66.150000000000006</v>
      </c>
      <c r="AC4771" s="93">
        <f>AC4774/AA4771</f>
        <v>7.63812000000003</v>
      </c>
      <c r="AD4771" s="94">
        <f>AC4771*Z4771</f>
        <v>1145.7180000000044</v>
      </c>
      <c r="AE4771" s="190"/>
      <c r="AF4771" s="191"/>
      <c r="AG4771" s="191"/>
      <c r="AH4771" s="191"/>
      <c r="AI4771" s="186"/>
      <c r="AK4771" s="171"/>
    </row>
    <row r="4772" spans="1:37" s="102" customFormat="1" ht="19.899999999999999" customHeight="1" x14ac:dyDescent="0.25">
      <c r="A4772" s="45"/>
      <c r="B4772" s="59"/>
      <c r="C4772" s="137"/>
      <c r="D4772" s="59"/>
      <c r="E4772" s="116"/>
      <c r="F4772" s="120"/>
      <c r="G4772" s="120"/>
      <c r="H4772" s="120"/>
      <c r="I4772" s="60"/>
      <c r="J4772" s="116"/>
      <c r="K4772" s="213"/>
      <c r="L4772" s="120"/>
      <c r="M4772" s="120"/>
      <c r="N4772" s="167"/>
      <c r="O4772" s="120"/>
      <c r="P4772" s="120"/>
      <c r="Q4772" s="120"/>
      <c r="R4772" s="120"/>
      <c r="S4772" s="120"/>
      <c r="T4772" s="221"/>
      <c r="U4772" s="89"/>
      <c r="V4772" s="61"/>
      <c r="W4772" s="92" t="s">
        <v>1355</v>
      </c>
      <c r="X4772" s="93" t="s">
        <v>32</v>
      </c>
      <c r="Y4772" s="93" t="s">
        <v>66</v>
      </c>
      <c r="Z4772" s="134">
        <f>VLOOKUP(W4772,Sheet2!$B:$D,3,FALSE)</f>
        <v>450</v>
      </c>
      <c r="AA4772" s="93">
        <f>AA4769</f>
        <v>0.83333333333333337</v>
      </c>
      <c r="AB4772" s="93">
        <f>AD4772/AC4774</f>
        <v>540</v>
      </c>
      <c r="AC4772" s="93">
        <f>AC4774/AA4772</f>
        <v>20.784000000000077</v>
      </c>
      <c r="AD4772" s="94">
        <f>AC4772*Z4772</f>
        <v>9352.8000000000338</v>
      </c>
      <c r="AE4772" s="190"/>
      <c r="AF4772" s="191"/>
      <c r="AG4772" s="191"/>
      <c r="AH4772" s="191"/>
      <c r="AI4772" s="186"/>
      <c r="AK4772" s="171"/>
    </row>
    <row r="4773" spans="1:37" s="102" customFormat="1" ht="19.899999999999999" customHeight="1" x14ac:dyDescent="0.25">
      <c r="A4773" s="45"/>
      <c r="B4773" s="59"/>
      <c r="C4773" s="137"/>
      <c r="D4773" s="59"/>
      <c r="E4773" s="116"/>
      <c r="F4773" s="120"/>
      <c r="G4773" s="120"/>
      <c r="H4773" s="120"/>
      <c r="I4773" s="60"/>
      <c r="J4773" s="116"/>
      <c r="K4773" s="213"/>
      <c r="L4773" s="120"/>
      <c r="M4773" s="120"/>
      <c r="N4773" s="167"/>
      <c r="O4773" s="120"/>
      <c r="P4773" s="120"/>
      <c r="Q4773" s="120"/>
      <c r="R4773" s="120"/>
      <c r="S4773" s="120"/>
      <c r="T4773" s="221"/>
      <c r="U4773" s="89"/>
      <c r="V4773" s="61"/>
      <c r="W4773" s="92" t="s">
        <v>124</v>
      </c>
      <c r="X4773" s="93" t="s">
        <v>32</v>
      </c>
      <c r="Y4773" s="93" t="s">
        <v>64</v>
      </c>
      <c r="Z4773" s="134">
        <f>VLOOKUP(W4773,Sheet2!$B:$D,3,FALSE)</f>
        <v>10</v>
      </c>
      <c r="AA4773" s="93">
        <f>1/((2.6*2.6)-(3.14*1.2*1.2/4))</f>
        <v>0.17763251385533604</v>
      </c>
      <c r="AB4773" s="93">
        <f t="shared" ref="AB4773" si="3491">AD4773/AC4767</f>
        <v>56.296000000000014</v>
      </c>
      <c r="AC4773" s="93">
        <f>AC4767/AA4773</f>
        <v>97.504672000000383</v>
      </c>
      <c r="AD4773" s="94">
        <f t="shared" ref="AD4773" si="3492">AC4773*Z4773</f>
        <v>975.0467200000038</v>
      </c>
      <c r="AE4773" s="190"/>
      <c r="AF4773" s="191"/>
      <c r="AG4773" s="191"/>
      <c r="AH4773" s="191"/>
      <c r="AI4773" s="186"/>
      <c r="AK4773" s="171"/>
    </row>
    <row r="4774" spans="1:37" s="103" customFormat="1" ht="19.899999999999999" customHeight="1" x14ac:dyDescent="0.25">
      <c r="A4774" s="51"/>
      <c r="B4774" s="52"/>
      <c r="C4774" s="165"/>
      <c r="D4774" s="52"/>
      <c r="E4774" s="115"/>
      <c r="F4774" s="58"/>
      <c r="G4774" s="58"/>
      <c r="H4774" s="58"/>
      <c r="I4774" s="55"/>
      <c r="J4774" s="113">
        <f>J4761</f>
        <v>17.320000000000064</v>
      </c>
      <c r="K4774" s="212">
        <f>K4761</f>
        <v>17.320000000000064</v>
      </c>
      <c r="L4774" s="58"/>
      <c r="M4774" s="58">
        <f>K4774-L4774</f>
        <v>17.320000000000064</v>
      </c>
      <c r="N4774" s="166"/>
      <c r="O4774" s="58"/>
      <c r="P4774" s="58"/>
      <c r="Q4774" s="58"/>
      <c r="R4774" s="58"/>
      <c r="S4774" s="58"/>
      <c r="T4774" s="220"/>
      <c r="U4774" s="88"/>
      <c r="V4774" s="56"/>
      <c r="W4774" s="57" t="s">
        <v>1275</v>
      </c>
      <c r="X4774" s="53"/>
      <c r="Y4774" s="91" t="s">
        <v>35</v>
      </c>
      <c r="Z4774" s="136">
        <f>AD4774/AC4774</f>
        <v>6272.8000000000011</v>
      </c>
      <c r="AA4774" s="58"/>
      <c r="AB4774" s="53">
        <f>AD4774/AC4774</f>
        <v>6272.8000000000011</v>
      </c>
      <c r="AC4774" s="53">
        <f>M4774+$AE$10</f>
        <v>17.320000000000064</v>
      </c>
      <c r="AD4774" s="54">
        <f>SUM(AD4775:AD4780)</f>
        <v>108644.89600000042</v>
      </c>
      <c r="AE4774" s="184">
        <f>SUMIFS($AD$37:$AD$12971,$V$37:$V$12971,$V4774,$X$37:$X$12971,AE$13)</f>
        <v>0</v>
      </c>
      <c r="AF4774" s="185">
        <f>SUMIFS($AD$37:$AD$12971,$V$37:$V$12971,$V4774,$X$37:$X$12971,AF$13)</f>
        <v>0</v>
      </c>
      <c r="AG4774" s="185">
        <f>SUMIFS($AD$37:$AD$12971,$V$37:$V$12971,$V4774,$X$37:$X$12971,AG$13)</f>
        <v>0</v>
      </c>
      <c r="AH4774" s="187">
        <f>SUMIFS($AD$37:$AD$12971,$V$37:$V$12971,$V4774,$X$37:$X$12971,AH$13)</f>
        <v>0</v>
      </c>
      <c r="AI4774" s="161">
        <f t="shared" ref="AI4774" si="3493">SUM(AE4774:AH4774)</f>
        <v>0</v>
      </c>
      <c r="AK4774" s="172"/>
    </row>
    <row r="4775" spans="1:37" s="102" customFormat="1" ht="19.899999999999999" customHeight="1" x14ac:dyDescent="0.25">
      <c r="A4775" s="45"/>
      <c r="B4775" s="59"/>
      <c r="C4775" s="137"/>
      <c r="D4775" s="59"/>
      <c r="E4775" s="116"/>
      <c r="F4775" s="120"/>
      <c r="G4775" s="120"/>
      <c r="H4775" s="120"/>
      <c r="I4775" s="60"/>
      <c r="J4775" s="116"/>
      <c r="K4775" s="213"/>
      <c r="L4775" s="120"/>
      <c r="M4775" s="120"/>
      <c r="N4775" s="167"/>
      <c r="O4775" s="120"/>
      <c r="P4775" s="120"/>
      <c r="Q4775" s="120"/>
      <c r="R4775" s="120"/>
      <c r="S4775" s="120"/>
      <c r="T4775" s="221"/>
      <c r="U4775" s="89"/>
      <c r="V4775" s="61"/>
      <c r="W4775" s="92" t="s">
        <v>1491</v>
      </c>
      <c r="X4775" s="93" t="s">
        <v>30</v>
      </c>
      <c r="Y4775" s="93" t="s">
        <v>35</v>
      </c>
      <c r="Z4775" s="134">
        <f>VLOOKUP(W4775,Sheet2!$B:$D,3,FALSE)</f>
        <v>4500</v>
      </c>
      <c r="AA4775" s="93">
        <v>1</v>
      </c>
      <c r="AB4775" s="93">
        <f>AD4775/AC4774</f>
        <v>4500</v>
      </c>
      <c r="AC4775" s="93">
        <f>AC4774/AA4775</f>
        <v>17.320000000000064</v>
      </c>
      <c r="AD4775" s="94">
        <f t="shared" ref="AD4775:AD4776" si="3494">AC4775*Z4775</f>
        <v>77940.000000000291</v>
      </c>
      <c r="AE4775" s="190"/>
      <c r="AF4775" s="191"/>
      <c r="AG4775" s="191"/>
      <c r="AH4775" s="191"/>
      <c r="AI4775" s="186"/>
      <c r="AK4775" s="171"/>
    </row>
    <row r="4776" spans="1:37" s="102" customFormat="1" ht="19.899999999999999" customHeight="1" x14ac:dyDescent="0.25">
      <c r="A4776" s="45"/>
      <c r="B4776" s="59"/>
      <c r="C4776" s="137"/>
      <c r="D4776" s="59"/>
      <c r="E4776" s="116"/>
      <c r="F4776" s="120"/>
      <c r="G4776" s="120"/>
      <c r="H4776" s="120"/>
      <c r="I4776" s="60"/>
      <c r="J4776" s="116"/>
      <c r="K4776" s="213"/>
      <c r="L4776" s="120"/>
      <c r="M4776" s="120"/>
      <c r="N4776" s="167"/>
      <c r="O4776" s="120"/>
      <c r="P4776" s="120"/>
      <c r="Q4776" s="120"/>
      <c r="R4776" s="120"/>
      <c r="S4776" s="120"/>
      <c r="T4776" s="221"/>
      <c r="U4776" s="89"/>
      <c r="V4776" s="61"/>
      <c r="W4776" s="92" t="s">
        <v>174</v>
      </c>
      <c r="X4776" s="93" t="s">
        <v>29</v>
      </c>
      <c r="Y4776" s="93" t="s">
        <v>93</v>
      </c>
      <c r="Z4776" s="134">
        <f>VLOOKUP(W4776,Sheet2!$B:$D,3,FALSE)</f>
        <v>80</v>
      </c>
      <c r="AA4776" s="93">
        <f>1/2</f>
        <v>0.5</v>
      </c>
      <c r="AB4776" s="93">
        <f>AD4776/AC4774</f>
        <v>160</v>
      </c>
      <c r="AC4776" s="93">
        <f>AC4774/AA4776</f>
        <v>34.640000000000128</v>
      </c>
      <c r="AD4776" s="94">
        <f t="shared" si="3494"/>
        <v>2771.2000000000103</v>
      </c>
      <c r="AE4776" s="190"/>
      <c r="AF4776" s="191"/>
      <c r="AG4776" s="191"/>
      <c r="AH4776" s="191"/>
      <c r="AI4776" s="186"/>
      <c r="AK4776" s="171"/>
    </row>
    <row r="4777" spans="1:37" s="102" customFormat="1" ht="19.899999999999999" customHeight="1" x14ac:dyDescent="0.25">
      <c r="A4777" s="45"/>
      <c r="B4777" s="59"/>
      <c r="C4777" s="137"/>
      <c r="D4777" s="59"/>
      <c r="E4777" s="116"/>
      <c r="F4777" s="120"/>
      <c r="G4777" s="120"/>
      <c r="H4777" s="120"/>
      <c r="I4777" s="60"/>
      <c r="J4777" s="116"/>
      <c r="K4777" s="213"/>
      <c r="L4777" s="120"/>
      <c r="M4777" s="120"/>
      <c r="N4777" s="167"/>
      <c r="O4777" s="120"/>
      <c r="P4777" s="120"/>
      <c r="Q4777" s="120"/>
      <c r="R4777" s="120"/>
      <c r="S4777" s="120"/>
      <c r="T4777" s="221"/>
      <c r="U4777" s="89"/>
      <c r="V4777" s="61"/>
      <c r="W4777" s="92" t="s">
        <v>65</v>
      </c>
      <c r="X4777" s="93" t="s">
        <v>30</v>
      </c>
      <c r="Y4777" s="93" t="s">
        <v>93</v>
      </c>
      <c r="Z4777" s="134">
        <f>VLOOKUP(W4777,Sheet2!$B:$D,3,FALSE)</f>
        <v>1.76</v>
      </c>
      <c r="AA4777" s="93">
        <f>AA4776/15</f>
        <v>3.3333333333333333E-2</v>
      </c>
      <c r="AB4777" s="93">
        <f>AD4777/AC4774</f>
        <v>52.8</v>
      </c>
      <c r="AC4777" s="93">
        <f>AC4774/AA4777</f>
        <v>519.60000000000196</v>
      </c>
      <c r="AD4777" s="94">
        <f>AC4777*Z4777</f>
        <v>914.49600000000339</v>
      </c>
      <c r="AE4777" s="190"/>
      <c r="AF4777" s="191"/>
      <c r="AG4777" s="191"/>
      <c r="AH4777" s="191"/>
      <c r="AI4777" s="186"/>
      <c r="AK4777" s="171"/>
    </row>
    <row r="4778" spans="1:37" s="102" customFormat="1" ht="19.899999999999999" customHeight="1" x14ac:dyDescent="0.25">
      <c r="A4778" s="45"/>
      <c r="B4778" s="59"/>
      <c r="C4778" s="137"/>
      <c r="D4778" s="59"/>
      <c r="E4778" s="116"/>
      <c r="F4778" s="120"/>
      <c r="G4778" s="120"/>
      <c r="H4778" s="120"/>
      <c r="I4778" s="60"/>
      <c r="J4778" s="116"/>
      <c r="K4778" s="213"/>
      <c r="L4778" s="120"/>
      <c r="M4778" s="120"/>
      <c r="N4778" s="167"/>
      <c r="O4778" s="120"/>
      <c r="P4778" s="120"/>
      <c r="Q4778" s="120"/>
      <c r="R4778" s="120"/>
      <c r="S4778" s="120"/>
      <c r="T4778" s="221"/>
      <c r="U4778" s="89"/>
      <c r="V4778" s="61"/>
      <c r="W4778" s="92" t="s">
        <v>1487</v>
      </c>
      <c r="X4778" s="93" t="s">
        <v>32</v>
      </c>
      <c r="Y4778" s="93" t="s">
        <v>1349</v>
      </c>
      <c r="Z4778" s="134">
        <f>VLOOKUP(W4778,Sheet2!$B:$D,3,FALSE)</f>
        <v>1500</v>
      </c>
      <c r="AA4778" s="93">
        <v>1</v>
      </c>
      <c r="AB4778" s="93">
        <f>AD4778/AC4774</f>
        <v>1500</v>
      </c>
      <c r="AC4778" s="93">
        <f>AC4774/AA4778</f>
        <v>17.320000000000064</v>
      </c>
      <c r="AD4778" s="94">
        <f>AC4778*Z4778</f>
        <v>25980.000000000095</v>
      </c>
      <c r="AE4778" s="190"/>
      <c r="AF4778" s="191"/>
      <c r="AG4778" s="191"/>
      <c r="AH4778" s="191"/>
      <c r="AI4778" s="186"/>
      <c r="AK4778" s="171"/>
    </row>
    <row r="4779" spans="1:37" s="102" customFormat="1" ht="19.899999999999999" customHeight="1" x14ac:dyDescent="0.25">
      <c r="A4779" s="45"/>
      <c r="B4779" s="59"/>
      <c r="C4779" s="137"/>
      <c r="D4779" s="59"/>
      <c r="E4779" s="116"/>
      <c r="F4779" s="120"/>
      <c r="G4779" s="120"/>
      <c r="H4779" s="120"/>
      <c r="I4779" s="60"/>
      <c r="J4779" s="116"/>
      <c r="K4779" s="213"/>
      <c r="L4779" s="120"/>
      <c r="M4779" s="120"/>
      <c r="N4779" s="167"/>
      <c r="O4779" s="120"/>
      <c r="P4779" s="120"/>
      <c r="Q4779" s="120"/>
      <c r="R4779" s="120"/>
      <c r="S4779" s="120"/>
      <c r="T4779" s="221"/>
      <c r="U4779" s="89"/>
      <c r="V4779" s="61"/>
      <c r="W4779" s="92" t="s">
        <v>107</v>
      </c>
      <c r="X4779" s="93" t="s">
        <v>31</v>
      </c>
      <c r="Y4779" s="93" t="s">
        <v>93</v>
      </c>
      <c r="Z4779" s="134">
        <f>VLOOKUP(W4779,Sheet2!$B:$D,3,FALSE)</f>
        <v>17</v>
      </c>
      <c r="AA4779" s="93">
        <f>AA4776</f>
        <v>0.5</v>
      </c>
      <c r="AB4779" s="93">
        <f>AD4779/AC4774</f>
        <v>34</v>
      </c>
      <c r="AC4779" s="93">
        <f>AC4774/AA4779</f>
        <v>34.640000000000128</v>
      </c>
      <c r="AD4779" s="94">
        <f>AC4779*Z4779</f>
        <v>588.88000000000216</v>
      </c>
      <c r="AE4779" s="190"/>
      <c r="AF4779" s="191"/>
      <c r="AG4779" s="191"/>
      <c r="AH4779" s="191"/>
      <c r="AI4779" s="186"/>
      <c r="AK4779" s="171"/>
    </row>
    <row r="4780" spans="1:37" s="102" customFormat="1" ht="19.899999999999999" customHeight="1" x14ac:dyDescent="0.25">
      <c r="A4780" s="45"/>
      <c r="B4780" s="59"/>
      <c r="C4780" s="137"/>
      <c r="D4780" s="59"/>
      <c r="E4780" s="116"/>
      <c r="F4780" s="120"/>
      <c r="G4780" s="120"/>
      <c r="H4780" s="120"/>
      <c r="I4780" s="60"/>
      <c r="J4780" s="116"/>
      <c r="K4780" s="213"/>
      <c r="L4780" s="120"/>
      <c r="M4780" s="120"/>
      <c r="N4780" s="167"/>
      <c r="O4780" s="120"/>
      <c r="P4780" s="120"/>
      <c r="Q4780" s="120"/>
      <c r="R4780" s="120"/>
      <c r="S4780" s="120"/>
      <c r="T4780" s="221"/>
      <c r="U4780" s="89"/>
      <c r="V4780" s="61"/>
      <c r="W4780" s="92" t="s">
        <v>112</v>
      </c>
      <c r="X4780" s="93" t="s">
        <v>31</v>
      </c>
      <c r="Y4780" s="93" t="s">
        <v>93</v>
      </c>
      <c r="Z4780" s="134">
        <f>VLOOKUP(W4780,Sheet2!$B:$D,3,FALSE)</f>
        <v>13</v>
      </c>
      <c r="AA4780" s="93">
        <f>AA4779</f>
        <v>0.5</v>
      </c>
      <c r="AB4780" s="93">
        <f>AD4780/AC4774</f>
        <v>26</v>
      </c>
      <c r="AC4780" s="93">
        <f>AC4774/AA4780</f>
        <v>34.640000000000128</v>
      </c>
      <c r="AD4780" s="94">
        <f>AC4780*Z4780</f>
        <v>450.32000000000164</v>
      </c>
      <c r="AE4780" s="190"/>
      <c r="AF4780" s="191"/>
      <c r="AG4780" s="191"/>
      <c r="AH4780" s="191"/>
      <c r="AI4780" s="186"/>
      <c r="AK4780" s="171"/>
    </row>
    <row r="4781" spans="1:37" s="103" customFormat="1" ht="19.899999999999999" customHeight="1" x14ac:dyDescent="0.25">
      <c r="A4781" s="51"/>
      <c r="B4781" s="52"/>
      <c r="C4781" s="165"/>
      <c r="D4781" s="52"/>
      <c r="E4781" s="115"/>
      <c r="F4781" s="58"/>
      <c r="G4781" s="58"/>
      <c r="H4781" s="58"/>
      <c r="I4781" s="55"/>
      <c r="J4781" s="113">
        <f>J4761</f>
        <v>17.320000000000064</v>
      </c>
      <c r="K4781" s="212">
        <f>K4761</f>
        <v>17.320000000000064</v>
      </c>
      <c r="L4781" s="58"/>
      <c r="M4781" s="58">
        <f>K4781-L4781</f>
        <v>17.320000000000064</v>
      </c>
      <c r="N4781" s="166"/>
      <c r="O4781" s="58"/>
      <c r="P4781" s="58"/>
      <c r="Q4781" s="58"/>
      <c r="R4781" s="58"/>
      <c r="S4781" s="58"/>
      <c r="T4781" s="220"/>
      <c r="U4781" s="88"/>
      <c r="V4781" s="56"/>
      <c r="W4781" s="57" t="s">
        <v>1272</v>
      </c>
      <c r="X4781" s="53"/>
      <c r="Y4781" s="91" t="s">
        <v>35</v>
      </c>
      <c r="Z4781" s="136">
        <f>AD4781/AC4781</f>
        <v>368.9575083984314</v>
      </c>
      <c r="AA4781" s="58"/>
      <c r="AB4781" s="53">
        <f>AD4781/AC4781</f>
        <v>368.9575083984314</v>
      </c>
      <c r="AC4781" s="53">
        <f>M4781+$AE$10</f>
        <v>17.320000000000064</v>
      </c>
      <c r="AD4781" s="54">
        <f>SUM(AD4782:AD4790)</f>
        <v>6390.3440454608553</v>
      </c>
      <c r="AE4781" s="184">
        <f>SUMIFS($AD$37:$AD$12971,$V$37:$V$12971,$V4781,$X$37:$X$12971,AE$13)</f>
        <v>0</v>
      </c>
      <c r="AF4781" s="185">
        <f>SUMIFS($AD$37:$AD$12971,$V$37:$V$12971,$V4781,$X$37:$X$12971,AF$13)</f>
        <v>0</v>
      </c>
      <c r="AG4781" s="185">
        <f>SUMIFS($AD$37:$AD$12971,$V$37:$V$12971,$V4781,$X$37:$X$12971,AG$13)</f>
        <v>0</v>
      </c>
      <c r="AH4781" s="187">
        <f>SUMIFS($AD$37:$AD$12971,$V$37:$V$12971,$V4781,$X$37:$X$12971,AH$13)</f>
        <v>0</v>
      </c>
      <c r="AI4781" s="161">
        <f t="shared" ref="AI4781" si="3495">SUM(AE4781:AH4781)</f>
        <v>0</v>
      </c>
      <c r="AK4781" s="172"/>
    </row>
    <row r="4782" spans="1:37" s="102" customFormat="1" ht="19.899999999999999" customHeight="1" x14ac:dyDescent="0.25">
      <c r="A4782" s="45"/>
      <c r="B4782" s="59"/>
      <c r="C4782" s="137"/>
      <c r="D4782" s="59"/>
      <c r="E4782" s="116"/>
      <c r="F4782" s="120"/>
      <c r="G4782" s="120"/>
      <c r="H4782" s="120"/>
      <c r="I4782" s="60"/>
      <c r="J4782" s="116"/>
      <c r="K4782" s="213"/>
      <c r="L4782" s="120"/>
      <c r="M4782" s="120"/>
      <c r="N4782" s="167"/>
      <c r="O4782" s="120"/>
      <c r="P4782" s="120"/>
      <c r="Q4782" s="120"/>
      <c r="R4782" s="120"/>
      <c r="S4782" s="120"/>
      <c r="T4782" s="221"/>
      <c r="U4782" s="89"/>
      <c r="V4782" s="61"/>
      <c r="W4782" s="92" t="s">
        <v>1273</v>
      </c>
      <c r="X4782" s="93" t="s">
        <v>30</v>
      </c>
      <c r="Y4782" s="93" t="s">
        <v>66</v>
      </c>
      <c r="Z4782" s="134">
        <f>VLOOKUP(W4782,Sheet2!$B:$D,3,FALSE)</f>
        <v>10</v>
      </c>
      <c r="AA4782" s="93">
        <f>1/((2.5*2.5*3.5)-(3.14/4*1.2*1.2*3.5))</f>
        <v>5.5807931423213865E-2</v>
      </c>
      <c r="AB4782" s="93">
        <f>AD4782/AC4781</f>
        <v>179.18600000000001</v>
      </c>
      <c r="AC4782" s="93">
        <f>AC4781/AA4782</f>
        <v>310.35015200000117</v>
      </c>
      <c r="AD4782" s="94">
        <f t="shared" ref="AD4782:AD4784" si="3496">AC4782*Z4782</f>
        <v>3103.5015200000116</v>
      </c>
      <c r="AE4782" s="190"/>
      <c r="AF4782" s="191"/>
      <c r="AG4782" s="191"/>
      <c r="AH4782" s="191"/>
      <c r="AI4782" s="186"/>
      <c r="AK4782" s="171"/>
    </row>
    <row r="4783" spans="1:37" s="102" customFormat="1" ht="19.899999999999999" customHeight="1" x14ac:dyDescent="0.25">
      <c r="A4783" s="45"/>
      <c r="B4783" s="59"/>
      <c r="C4783" s="137"/>
      <c r="D4783" s="59"/>
      <c r="E4783" s="116"/>
      <c r="F4783" s="120"/>
      <c r="G4783" s="120"/>
      <c r="H4783" s="120"/>
      <c r="I4783" s="60"/>
      <c r="J4783" s="116"/>
      <c r="K4783" s="213"/>
      <c r="L4783" s="120"/>
      <c r="M4783" s="120"/>
      <c r="N4783" s="167"/>
      <c r="O4783" s="120"/>
      <c r="P4783" s="120"/>
      <c r="Q4783" s="120"/>
      <c r="R4783" s="120"/>
      <c r="S4783" s="120"/>
      <c r="T4783" s="221"/>
      <c r="U4783" s="89"/>
      <c r="V4783" s="61"/>
      <c r="W4783" s="92" t="s">
        <v>134</v>
      </c>
      <c r="X4783" s="93" t="s">
        <v>29</v>
      </c>
      <c r="Y4783" s="93" t="s">
        <v>93</v>
      </c>
      <c r="Z4783" s="134">
        <f>VLOOKUP(W4783,Sheet2!$B:$D,3,FALSE)</f>
        <v>65.599999999999994</v>
      </c>
      <c r="AA4783" s="93">
        <f>100/((2.5*2.5*3.5)-(3.14/4*1.2*1.2*3.5))</f>
        <v>5.5807931423213866</v>
      </c>
      <c r="AB4783" s="93">
        <f t="shared" ref="AB4783" si="3497">AD4783/AC4781</f>
        <v>11.754601599999999</v>
      </c>
      <c r="AC4783" s="93">
        <f>AC4781/AA4783</f>
        <v>3.1035015200000116</v>
      </c>
      <c r="AD4783" s="94">
        <f t="shared" si="3496"/>
        <v>203.58969971200074</v>
      </c>
      <c r="AE4783" s="190"/>
      <c r="AF4783" s="191"/>
      <c r="AG4783" s="191"/>
      <c r="AH4783" s="191"/>
      <c r="AI4783" s="186"/>
      <c r="AK4783" s="171"/>
    </row>
    <row r="4784" spans="1:37" s="102" customFormat="1" ht="19.899999999999999" customHeight="1" x14ac:dyDescent="0.25">
      <c r="A4784" s="45"/>
      <c r="B4784" s="59"/>
      <c r="C4784" s="137"/>
      <c r="D4784" s="59"/>
      <c r="E4784" s="116"/>
      <c r="F4784" s="120"/>
      <c r="G4784" s="120"/>
      <c r="H4784" s="120"/>
      <c r="I4784" s="60"/>
      <c r="J4784" s="116"/>
      <c r="K4784" s="213"/>
      <c r="L4784" s="120"/>
      <c r="M4784" s="120"/>
      <c r="N4784" s="167"/>
      <c r="O4784" s="120"/>
      <c r="P4784" s="120"/>
      <c r="Q4784" s="120"/>
      <c r="R4784" s="120"/>
      <c r="S4784" s="120"/>
      <c r="T4784" s="221"/>
      <c r="U4784" s="89"/>
      <c r="V4784" s="61"/>
      <c r="W4784" s="92" t="s">
        <v>65</v>
      </c>
      <c r="X4784" s="93" t="s">
        <v>30</v>
      </c>
      <c r="Y4784" s="93" t="s">
        <v>1011</v>
      </c>
      <c r="Z4784" s="134">
        <f>VLOOKUP(W4784,Sheet2!$B:$D,3,FALSE)</f>
        <v>1.76</v>
      </c>
      <c r="AA4784" s="93">
        <f>AA4783/9</f>
        <v>0.62008812692459847</v>
      </c>
      <c r="AB4784" s="93">
        <f>AD4784/AC4781</f>
        <v>2.8383062400000001</v>
      </c>
      <c r="AC4784" s="93">
        <f>AC4781/AA4784</f>
        <v>27.931513680000105</v>
      </c>
      <c r="AD4784" s="94">
        <f t="shared" si="3496"/>
        <v>49.159464076800184</v>
      </c>
      <c r="AE4784" s="190"/>
      <c r="AF4784" s="191"/>
      <c r="AG4784" s="191"/>
      <c r="AH4784" s="191"/>
      <c r="AI4784" s="186"/>
      <c r="AK4784" s="171"/>
    </row>
    <row r="4785" spans="1:41" s="102" customFormat="1" ht="19.899999999999999" customHeight="1" x14ac:dyDescent="0.25">
      <c r="A4785" s="45"/>
      <c r="B4785" s="59"/>
      <c r="C4785" s="137"/>
      <c r="D4785" s="59"/>
      <c r="E4785" s="116"/>
      <c r="F4785" s="120"/>
      <c r="G4785" s="120"/>
      <c r="H4785" s="120"/>
      <c r="I4785" s="60"/>
      <c r="J4785" s="116"/>
      <c r="K4785" s="213"/>
      <c r="L4785" s="120"/>
      <c r="M4785" s="120"/>
      <c r="N4785" s="167"/>
      <c r="O4785" s="120"/>
      <c r="P4785" s="120"/>
      <c r="Q4785" s="120"/>
      <c r="R4785" s="120"/>
      <c r="S4785" s="120"/>
      <c r="T4785" s="221"/>
      <c r="U4785" s="89"/>
      <c r="V4785" s="61"/>
      <c r="W4785" s="92" t="s">
        <v>161</v>
      </c>
      <c r="X4785" s="93" t="s">
        <v>29</v>
      </c>
      <c r="Y4785" s="93" t="s">
        <v>93</v>
      </c>
      <c r="Z4785" s="134">
        <f>VLOOKUP(W4785,Sheet2!$B:$D,3,FALSE)</f>
        <v>48</v>
      </c>
      <c r="AA4785" s="93">
        <f>(16*0.85*1.5)/((2.5*2.5*3.5)-(3.14/4*1.2*1.2*3.5))</f>
        <v>1.1384818010335627</v>
      </c>
      <c r="AB4785" s="93">
        <f>AD4785/AC4781</f>
        <v>42.161411764705889</v>
      </c>
      <c r="AC4785" s="93">
        <f>AC4781/AA4785</f>
        <v>15.213242745098098</v>
      </c>
      <c r="AD4785" s="94">
        <f>AC4785*Z4785</f>
        <v>730.23565176470868</v>
      </c>
      <c r="AE4785" s="190"/>
      <c r="AF4785" s="191"/>
      <c r="AG4785" s="191"/>
      <c r="AH4785" s="191"/>
      <c r="AI4785" s="186"/>
      <c r="AK4785" s="171"/>
    </row>
    <row r="4786" spans="1:41" s="102" customFormat="1" ht="19.899999999999999" customHeight="1" x14ac:dyDescent="0.25">
      <c r="A4786" s="45"/>
      <c r="B4786" s="59"/>
      <c r="C4786" s="137"/>
      <c r="D4786" s="59"/>
      <c r="E4786" s="116"/>
      <c r="F4786" s="120"/>
      <c r="G4786" s="120"/>
      <c r="H4786" s="120"/>
      <c r="I4786" s="60"/>
      <c r="J4786" s="116"/>
      <c r="K4786" s="213"/>
      <c r="L4786" s="120"/>
      <c r="M4786" s="120"/>
      <c r="N4786" s="167"/>
      <c r="O4786" s="120"/>
      <c r="P4786" s="120"/>
      <c r="Q4786" s="120"/>
      <c r="R4786" s="120"/>
      <c r="S4786" s="120"/>
      <c r="T4786" s="221"/>
      <c r="U4786" s="89"/>
      <c r="V4786" s="61"/>
      <c r="W4786" s="92" t="s">
        <v>65</v>
      </c>
      <c r="X4786" s="93" t="s">
        <v>30</v>
      </c>
      <c r="Y4786" s="93" t="s">
        <v>1011</v>
      </c>
      <c r="Z4786" s="134">
        <f>VLOOKUP(W4786,Sheet2!$B:$D,3,FALSE)</f>
        <v>1.76</v>
      </c>
      <c r="AA4786" s="93">
        <f>AA4785/10</f>
        <v>0.11384818010335626</v>
      </c>
      <c r="AB4786" s="93">
        <f>AD4786/AC4781</f>
        <v>15.459184313725492</v>
      </c>
      <c r="AC4786" s="93">
        <f>AC4781/AA4786</f>
        <v>152.132427450981</v>
      </c>
      <c r="AD4786" s="94">
        <f>AC4786*Z4786</f>
        <v>267.75307231372653</v>
      </c>
      <c r="AE4786" s="190"/>
      <c r="AF4786" s="191"/>
      <c r="AG4786" s="191"/>
      <c r="AH4786" s="191"/>
      <c r="AI4786" s="186"/>
      <c r="AK4786" s="171"/>
    </row>
    <row r="4787" spans="1:41" s="102" customFormat="1" ht="19.899999999999999" customHeight="1" x14ac:dyDescent="0.25">
      <c r="A4787" s="45"/>
      <c r="B4787" s="59"/>
      <c r="C4787" s="137"/>
      <c r="D4787" s="59"/>
      <c r="E4787" s="116"/>
      <c r="F4787" s="120"/>
      <c r="G4787" s="120"/>
      <c r="H4787" s="120"/>
      <c r="I4787" s="60"/>
      <c r="J4787" s="116"/>
      <c r="K4787" s="213"/>
      <c r="L4787" s="120"/>
      <c r="M4787" s="120"/>
      <c r="N4787" s="167"/>
      <c r="O4787" s="120"/>
      <c r="P4787" s="120"/>
      <c r="Q4787" s="120"/>
      <c r="R4787" s="120"/>
      <c r="S4787" s="120"/>
      <c r="T4787" s="221"/>
      <c r="U4787" s="89"/>
      <c r="V4787" s="61"/>
      <c r="W4787" s="92" t="s">
        <v>173</v>
      </c>
      <c r="X4787" s="93" t="s">
        <v>29</v>
      </c>
      <c r="Y4787" s="93" t="s">
        <v>93</v>
      </c>
      <c r="Z4787" s="134">
        <f>VLOOKUP(W4787,Sheet2!$B:$D,3,FALSE)</f>
        <v>36</v>
      </c>
      <c r="AA4787" s="93">
        <f>50/((2.5*2.5*3.5)-(3.14/4*1.2*1.2*3.5))</f>
        <v>2.7903965711606933</v>
      </c>
      <c r="AB4787" s="93">
        <f>AD4787/AC4781</f>
        <v>12.901392000000001</v>
      </c>
      <c r="AC4787" s="93">
        <f>AC4781/AA4787</f>
        <v>6.2070030400000231</v>
      </c>
      <c r="AD4787" s="94">
        <f>AC4787*Z4787</f>
        <v>223.45210944000084</v>
      </c>
      <c r="AE4787" s="190"/>
      <c r="AF4787" s="191"/>
      <c r="AG4787" s="191"/>
      <c r="AH4787" s="191"/>
      <c r="AI4787" s="186"/>
      <c r="AK4787" s="171"/>
    </row>
    <row r="4788" spans="1:41" s="102" customFormat="1" ht="19.899999999999999" customHeight="1" x14ac:dyDescent="0.25">
      <c r="A4788" s="45"/>
      <c r="B4788" s="59"/>
      <c r="C4788" s="137"/>
      <c r="D4788" s="59"/>
      <c r="E4788" s="116"/>
      <c r="F4788" s="120"/>
      <c r="G4788" s="120"/>
      <c r="H4788" s="120"/>
      <c r="I4788" s="60"/>
      <c r="J4788" s="116"/>
      <c r="K4788" s="213"/>
      <c r="L4788" s="120"/>
      <c r="M4788" s="120"/>
      <c r="N4788" s="167"/>
      <c r="O4788" s="120"/>
      <c r="P4788" s="120"/>
      <c r="Q4788" s="120"/>
      <c r="R4788" s="120"/>
      <c r="S4788" s="120"/>
      <c r="T4788" s="221"/>
      <c r="U4788" s="89"/>
      <c r="V4788" s="61"/>
      <c r="W4788" s="92" t="s">
        <v>65</v>
      </c>
      <c r="X4788" s="93" t="s">
        <v>30</v>
      </c>
      <c r="Y4788" s="93" t="s">
        <v>1011</v>
      </c>
      <c r="Z4788" s="134">
        <f>VLOOKUP(W4788,Sheet2!$B:$D,3,FALSE)</f>
        <v>1.76</v>
      </c>
      <c r="AA4788" s="93">
        <f>AA4787/9</f>
        <v>0.31004406346229924</v>
      </c>
      <c r="AB4788" s="93">
        <f>AD4788/AC4781</f>
        <v>5.6766124800000002</v>
      </c>
      <c r="AC4788" s="93">
        <f>AC4781/AA4788</f>
        <v>55.86302736000021</v>
      </c>
      <c r="AD4788" s="94">
        <f>AC4788*Z4788</f>
        <v>98.318928153600368</v>
      </c>
      <c r="AE4788" s="190"/>
      <c r="AF4788" s="191"/>
      <c r="AG4788" s="191"/>
      <c r="AH4788" s="191"/>
      <c r="AI4788" s="186"/>
      <c r="AK4788" s="171"/>
    </row>
    <row r="4789" spans="1:41" s="102" customFormat="1" ht="19.899999999999999" customHeight="1" x14ac:dyDescent="0.25">
      <c r="A4789" s="45"/>
      <c r="B4789" s="59"/>
      <c r="C4789" s="137"/>
      <c r="D4789" s="59"/>
      <c r="E4789" s="116"/>
      <c r="F4789" s="120"/>
      <c r="G4789" s="120"/>
      <c r="H4789" s="120"/>
      <c r="I4789" s="60"/>
      <c r="J4789" s="116"/>
      <c r="K4789" s="213"/>
      <c r="L4789" s="120"/>
      <c r="M4789" s="120"/>
      <c r="N4789" s="167"/>
      <c r="O4789" s="120"/>
      <c r="P4789" s="120"/>
      <c r="Q4789" s="120"/>
      <c r="R4789" s="120"/>
      <c r="S4789" s="120"/>
      <c r="T4789" s="221"/>
      <c r="U4789" s="89"/>
      <c r="V4789" s="61"/>
      <c r="W4789" s="92" t="s">
        <v>1030</v>
      </c>
      <c r="X4789" s="93" t="s">
        <v>29</v>
      </c>
      <c r="Y4789" s="93" t="s">
        <v>93</v>
      </c>
      <c r="Z4789" s="134">
        <f>VLOOKUP(W4789,Sheet2!$B:$D,3,FALSE)</f>
        <v>23</v>
      </c>
      <c r="AA4789" s="93">
        <f>1/(3.5*1)</f>
        <v>0.2857142857142857</v>
      </c>
      <c r="AB4789" s="93">
        <f>AD4789/AC4781</f>
        <v>80.5</v>
      </c>
      <c r="AC4789" s="93">
        <f>AC4781/AA4789</f>
        <v>60.620000000000225</v>
      </c>
      <c r="AD4789" s="94">
        <f t="shared" ref="AD4789:AD4790" si="3498">AC4789*Z4789</f>
        <v>1394.2600000000052</v>
      </c>
      <c r="AE4789" s="190"/>
      <c r="AF4789" s="191"/>
      <c r="AG4789" s="191"/>
      <c r="AH4789" s="191"/>
      <c r="AI4789" s="186"/>
      <c r="AK4789" s="171"/>
    </row>
    <row r="4790" spans="1:41" s="102" customFormat="1" ht="19.899999999999999" customHeight="1" x14ac:dyDescent="0.25">
      <c r="A4790" s="45"/>
      <c r="B4790" s="59"/>
      <c r="C4790" s="137"/>
      <c r="D4790" s="59"/>
      <c r="E4790" s="116"/>
      <c r="F4790" s="120"/>
      <c r="G4790" s="120"/>
      <c r="H4790" s="120"/>
      <c r="I4790" s="60"/>
      <c r="J4790" s="116"/>
      <c r="K4790" s="213"/>
      <c r="L4790" s="120"/>
      <c r="M4790" s="120"/>
      <c r="N4790" s="167"/>
      <c r="O4790" s="120"/>
      <c r="P4790" s="120"/>
      <c r="Q4790" s="120"/>
      <c r="R4790" s="120"/>
      <c r="S4790" s="120"/>
      <c r="T4790" s="221"/>
      <c r="U4790" s="89"/>
      <c r="V4790" s="61"/>
      <c r="W4790" s="92" t="s">
        <v>65</v>
      </c>
      <c r="X4790" s="93" t="s">
        <v>30</v>
      </c>
      <c r="Y4790" s="93" t="s">
        <v>1011</v>
      </c>
      <c r="Z4790" s="134">
        <f>VLOOKUP(W4790,Sheet2!$B:$D,3,FALSE)</f>
        <v>1.76</v>
      </c>
      <c r="AA4790" s="93">
        <f>AA4789/3</f>
        <v>9.5238095238095233E-2</v>
      </c>
      <c r="AB4790" s="93">
        <f>AD4790/AC4781</f>
        <v>18.480000000000004</v>
      </c>
      <c r="AC4790" s="93">
        <f>AC4781/AA4790</f>
        <v>181.8600000000007</v>
      </c>
      <c r="AD4790" s="94">
        <f t="shared" si="3498"/>
        <v>320.07360000000125</v>
      </c>
      <c r="AE4790" s="190"/>
      <c r="AF4790" s="191"/>
      <c r="AG4790" s="191"/>
      <c r="AH4790" s="191"/>
      <c r="AI4790" s="186"/>
      <c r="AK4790" s="171"/>
    </row>
    <row r="4791" spans="1:41" ht="20.100000000000001" customHeight="1" x14ac:dyDescent="0.25">
      <c r="A4791" s="277" t="s">
        <v>491</v>
      </c>
      <c r="B4791" s="278"/>
      <c r="C4791" s="64" t="s">
        <v>578</v>
      </c>
      <c r="D4791" s="46" t="s">
        <v>215</v>
      </c>
      <c r="E4791" s="114">
        <v>14.880000000000045</v>
      </c>
      <c r="F4791" s="44">
        <v>25743</v>
      </c>
      <c r="G4791" s="44">
        <f t="shared" si="3471"/>
        <v>383055.84000000119</v>
      </c>
      <c r="H4791" s="44">
        <f t="shared" si="3472"/>
        <v>9077.7138807466672</v>
      </c>
      <c r="I4791" s="43">
        <f t="shared" si="3473"/>
        <v>135076.38254551083</v>
      </c>
      <c r="J4791" s="112">
        <f t="shared" si="3474"/>
        <v>14.880000000000045</v>
      </c>
      <c r="K4791" s="211">
        <f t="shared" si="3475"/>
        <v>14.880000000000045</v>
      </c>
      <c r="L4791" s="44"/>
      <c r="M4791" s="44">
        <f t="shared" ref="M4791:M5354" si="3499">K4791-L4791</f>
        <v>14.880000000000045</v>
      </c>
      <c r="N4791" s="173">
        <f t="shared" si="3476"/>
        <v>1</v>
      </c>
      <c r="O4791" s="44">
        <f t="shared" si="3477"/>
        <v>25743</v>
      </c>
      <c r="P4791" s="44">
        <f t="shared" si="3478"/>
        <v>383055.84000000119</v>
      </c>
      <c r="Q4791" s="44">
        <f t="shared" si="3479"/>
        <v>9077.7138807466672</v>
      </c>
      <c r="R4791" s="44">
        <f t="shared" ref="R4791:R5354" si="3500">M4791*Q4791</f>
        <v>135076.38254551083</v>
      </c>
      <c r="S4791" s="123"/>
      <c r="T4791" s="219">
        <f t="shared" ref="T4791:T5354" si="3501">S4791+R4791</f>
        <v>135076.38254551083</v>
      </c>
      <c r="U4791" s="87"/>
      <c r="V4791" s="47"/>
      <c r="W4791" s="48"/>
      <c r="X4791" s="48"/>
      <c r="Y4791" s="48"/>
      <c r="Z4791" s="135"/>
      <c r="AA4791" s="49"/>
      <c r="AB4791" s="50">
        <f t="shared" si="3480"/>
        <v>9077.7138807466672</v>
      </c>
      <c r="AC4791" s="42">
        <f t="shared" ref="AC4791:AC5354" si="3502">M4791+$AE$10</f>
        <v>14.880000000000045</v>
      </c>
      <c r="AD4791" s="90">
        <f>AD4792+AD4797+AD4804+AD4811</f>
        <v>135076.38254551083</v>
      </c>
      <c r="AE4791" s="188">
        <f t="shared" ref="AE4791" si="3503">AE4792+AE4797+AE4804+AE4811</f>
        <v>0</v>
      </c>
      <c r="AF4791" s="189">
        <f t="shared" ref="AF4791" si="3504">AF4792+AF4797+AF4804+AF4811</f>
        <v>0</v>
      </c>
      <c r="AG4791" s="189">
        <f t="shared" ref="AG4791" si="3505">AG4792+AG4797+AG4804+AG4811</f>
        <v>0</v>
      </c>
      <c r="AH4791" s="189">
        <f t="shared" ref="AH4791" si="3506">AH4792+AH4797+AH4804+AH4811</f>
        <v>0</v>
      </c>
      <c r="AI4791" s="161">
        <f t="shared" ref="AI4791" si="3507">SUM(AE4791:AH4791)</f>
        <v>0</v>
      </c>
      <c r="AK4791" s="169">
        <v>5</v>
      </c>
      <c r="AO4791" s="19" t="s">
        <v>63</v>
      </c>
    </row>
    <row r="4792" spans="1:41" s="103" customFormat="1" ht="19.899999999999999" customHeight="1" x14ac:dyDescent="0.25">
      <c r="A4792" s="51"/>
      <c r="B4792" s="52"/>
      <c r="C4792" s="165"/>
      <c r="D4792" s="52"/>
      <c r="E4792" s="115"/>
      <c r="F4792" s="58"/>
      <c r="G4792" s="58"/>
      <c r="H4792" s="58"/>
      <c r="I4792" s="55"/>
      <c r="J4792" s="113">
        <f>J4791</f>
        <v>14.880000000000045</v>
      </c>
      <c r="K4792" s="212">
        <f>K4791</f>
        <v>14.880000000000045</v>
      </c>
      <c r="L4792" s="58"/>
      <c r="M4792" s="58">
        <f>K4792-L4792</f>
        <v>14.880000000000045</v>
      </c>
      <c r="N4792" s="166"/>
      <c r="O4792" s="58"/>
      <c r="P4792" s="58"/>
      <c r="Q4792" s="58"/>
      <c r="R4792" s="58"/>
      <c r="S4792" s="58"/>
      <c r="T4792" s="220"/>
      <c r="U4792" s="88"/>
      <c r="V4792" s="56"/>
      <c r="W4792" s="57" t="s">
        <v>1507</v>
      </c>
      <c r="X4792" s="53"/>
      <c r="Y4792" s="91" t="s">
        <v>35</v>
      </c>
      <c r="Z4792" s="136">
        <f>AD4792/AC4792</f>
        <v>100.55215686274511</v>
      </c>
      <c r="AA4792" s="58"/>
      <c r="AB4792" s="53">
        <f>AD4792/AC4792</f>
        <v>100.55215686274511</v>
      </c>
      <c r="AC4792" s="53">
        <f>M4792+$AE$10</f>
        <v>14.880000000000045</v>
      </c>
      <c r="AD4792" s="54">
        <f>SUM(AD4793:AD4796)</f>
        <v>1496.2160941176517</v>
      </c>
      <c r="AE4792" s="184">
        <f>SUMIFS($AD$37:$AD$12971,$V$37:$V$12971,$V4792,$X$37:$X$12971,AE$13)</f>
        <v>0</v>
      </c>
      <c r="AF4792" s="185">
        <f>SUMIFS($AD$37:$AD$12971,$V$37:$V$12971,$V4792,$X$37:$X$12971,AF$13)</f>
        <v>0</v>
      </c>
      <c r="AG4792" s="185">
        <f>SUMIFS($AD$37:$AD$12971,$V$37:$V$12971,$V4792,$X$37:$X$12971,AG$13)</f>
        <v>0</v>
      </c>
      <c r="AH4792" s="187">
        <f>SUMIFS($AD$37:$AD$12971,$V$37:$V$12971,$V4792,$X$37:$X$12971,AH$13)</f>
        <v>0</v>
      </c>
      <c r="AI4792" s="161">
        <f t="shared" ref="AI4792" si="3508">SUM(AE4792:AH4792)</f>
        <v>0</v>
      </c>
      <c r="AK4792" s="172"/>
    </row>
    <row r="4793" spans="1:41" s="102" customFormat="1" ht="19.899999999999999" customHeight="1" x14ac:dyDescent="0.25">
      <c r="A4793" s="45"/>
      <c r="B4793" s="59"/>
      <c r="C4793" s="137"/>
      <c r="D4793" s="59"/>
      <c r="E4793" s="116"/>
      <c r="F4793" s="120"/>
      <c r="G4793" s="120"/>
      <c r="H4793" s="120"/>
      <c r="I4793" s="60"/>
      <c r="J4793" s="116"/>
      <c r="K4793" s="213"/>
      <c r="L4793" s="120"/>
      <c r="M4793" s="120"/>
      <c r="N4793" s="167"/>
      <c r="O4793" s="120"/>
      <c r="P4793" s="120"/>
      <c r="Q4793" s="120"/>
      <c r="R4793" s="120"/>
      <c r="S4793" s="120"/>
      <c r="T4793" s="221"/>
      <c r="U4793" s="89"/>
      <c r="V4793" s="61"/>
      <c r="W4793" s="92" t="s">
        <v>129</v>
      </c>
      <c r="X4793" s="93" t="s">
        <v>29</v>
      </c>
      <c r="Y4793" s="93" t="s">
        <v>93</v>
      </c>
      <c r="Z4793" s="134">
        <f>VLOOKUP(W4793,Sheet2!$B:$D,3,FALSE)</f>
        <v>56</v>
      </c>
      <c r="AA4793" s="93">
        <f>100/(2.5*2.5*4)</f>
        <v>4</v>
      </c>
      <c r="AB4793" s="93">
        <f t="shared" ref="AB4793" si="3509">AD4793/AC4792</f>
        <v>13.999999999999998</v>
      </c>
      <c r="AC4793" s="93">
        <f>AC4792/AA4793</f>
        <v>3.7200000000000113</v>
      </c>
      <c r="AD4793" s="94">
        <f t="shared" ref="AD4793:AD4794" si="3510">AC4793*Z4793</f>
        <v>208.32000000000062</v>
      </c>
      <c r="AE4793" s="190"/>
      <c r="AF4793" s="191"/>
      <c r="AG4793" s="191"/>
      <c r="AH4793" s="191"/>
      <c r="AI4793" s="186"/>
      <c r="AK4793" s="171"/>
    </row>
    <row r="4794" spans="1:41" s="102" customFormat="1" ht="19.899999999999999" customHeight="1" x14ac:dyDescent="0.25">
      <c r="A4794" s="45"/>
      <c r="B4794" s="59"/>
      <c r="C4794" s="137"/>
      <c r="D4794" s="59"/>
      <c r="E4794" s="116"/>
      <c r="F4794" s="120"/>
      <c r="G4794" s="120"/>
      <c r="H4794" s="120"/>
      <c r="I4794" s="60"/>
      <c r="J4794" s="116"/>
      <c r="K4794" s="213"/>
      <c r="L4794" s="120"/>
      <c r="M4794" s="120"/>
      <c r="N4794" s="167"/>
      <c r="O4794" s="120"/>
      <c r="P4794" s="120"/>
      <c r="Q4794" s="120"/>
      <c r="R4794" s="120"/>
      <c r="S4794" s="120"/>
      <c r="T4794" s="221"/>
      <c r="U4794" s="89"/>
      <c r="V4794" s="61"/>
      <c r="W4794" s="92" t="s">
        <v>65</v>
      </c>
      <c r="X4794" s="93" t="s">
        <v>30</v>
      </c>
      <c r="Y4794" s="93" t="s">
        <v>1011</v>
      </c>
      <c r="Z4794" s="134">
        <f>VLOOKUP(W4794,Sheet2!$B:$D,3,FALSE)</f>
        <v>1.76</v>
      </c>
      <c r="AA4794" s="93">
        <f>AA4793/14</f>
        <v>0.2857142857142857</v>
      </c>
      <c r="AB4794" s="93">
        <f>AD4794/AC4792</f>
        <v>6.16</v>
      </c>
      <c r="AC4794" s="93">
        <f>AC4792/AA4794</f>
        <v>52.080000000000162</v>
      </c>
      <c r="AD4794" s="94">
        <f t="shared" si="3510"/>
        <v>91.660800000000279</v>
      </c>
      <c r="AE4794" s="190"/>
      <c r="AF4794" s="191"/>
      <c r="AG4794" s="191"/>
      <c r="AH4794" s="191"/>
      <c r="AI4794" s="186"/>
      <c r="AK4794" s="171"/>
    </row>
    <row r="4795" spans="1:41" s="102" customFormat="1" ht="19.899999999999999" customHeight="1" x14ac:dyDescent="0.25">
      <c r="A4795" s="45"/>
      <c r="B4795" s="59"/>
      <c r="C4795" s="137"/>
      <c r="D4795" s="59"/>
      <c r="E4795" s="116"/>
      <c r="F4795" s="120"/>
      <c r="G4795" s="120"/>
      <c r="H4795" s="120"/>
      <c r="I4795" s="60"/>
      <c r="J4795" s="116"/>
      <c r="K4795" s="213"/>
      <c r="L4795" s="120"/>
      <c r="M4795" s="120"/>
      <c r="N4795" s="167"/>
      <c r="O4795" s="120"/>
      <c r="P4795" s="120"/>
      <c r="Q4795" s="120"/>
      <c r="R4795" s="120"/>
      <c r="S4795" s="120"/>
      <c r="T4795" s="221"/>
      <c r="U4795" s="89"/>
      <c r="V4795" s="61"/>
      <c r="W4795" s="92" t="s">
        <v>161</v>
      </c>
      <c r="X4795" s="93" t="s">
        <v>29</v>
      </c>
      <c r="Y4795" s="93" t="s">
        <v>93</v>
      </c>
      <c r="Z4795" s="134">
        <f>VLOOKUP(W4795,Sheet2!$B:$D,3,FALSE)</f>
        <v>48</v>
      </c>
      <c r="AA4795" s="93">
        <f>(16*0.85*1.5)/(2.5*2.5*4)</f>
        <v>0.81599999999999995</v>
      </c>
      <c r="AB4795" s="93">
        <f>AD4795/AC4792</f>
        <v>58.82352941176471</v>
      </c>
      <c r="AC4795" s="93">
        <f>AC4792/AA4795</f>
        <v>18.235294117647115</v>
      </c>
      <c r="AD4795" s="94">
        <f>AC4795*Z4795</f>
        <v>875.29411764706151</v>
      </c>
      <c r="AE4795" s="190"/>
      <c r="AF4795" s="191"/>
      <c r="AG4795" s="191"/>
      <c r="AH4795" s="191"/>
      <c r="AI4795" s="186"/>
      <c r="AK4795" s="171"/>
    </row>
    <row r="4796" spans="1:41" s="102" customFormat="1" ht="19.899999999999999" customHeight="1" x14ac:dyDescent="0.25">
      <c r="A4796" s="45"/>
      <c r="B4796" s="59"/>
      <c r="C4796" s="137"/>
      <c r="D4796" s="59"/>
      <c r="E4796" s="116"/>
      <c r="F4796" s="120"/>
      <c r="G4796" s="120"/>
      <c r="H4796" s="120"/>
      <c r="I4796" s="60"/>
      <c r="J4796" s="116"/>
      <c r="K4796" s="213"/>
      <c r="L4796" s="120"/>
      <c r="M4796" s="120"/>
      <c r="N4796" s="167"/>
      <c r="O4796" s="120"/>
      <c r="P4796" s="120"/>
      <c r="Q4796" s="120"/>
      <c r="R4796" s="120"/>
      <c r="S4796" s="120"/>
      <c r="T4796" s="221"/>
      <c r="U4796" s="89"/>
      <c r="V4796" s="61"/>
      <c r="W4796" s="92" t="s">
        <v>65</v>
      </c>
      <c r="X4796" s="93" t="s">
        <v>30</v>
      </c>
      <c r="Y4796" s="93" t="s">
        <v>1011</v>
      </c>
      <c r="Z4796" s="134">
        <f>VLOOKUP(W4796,Sheet2!$B:$D,3,FALSE)</f>
        <v>1.76</v>
      </c>
      <c r="AA4796" s="93">
        <f>AA4795/10</f>
        <v>8.1599999999999992E-2</v>
      </c>
      <c r="AB4796" s="93">
        <f>AD4796/AC4792</f>
        <v>21.56862745098039</v>
      </c>
      <c r="AC4796" s="93">
        <f>AC4792/AA4796</f>
        <v>182.35294117647115</v>
      </c>
      <c r="AD4796" s="94">
        <f>AC4796*Z4796</f>
        <v>320.9411764705892</v>
      </c>
      <c r="AE4796" s="190"/>
      <c r="AF4796" s="191"/>
      <c r="AG4796" s="191"/>
      <c r="AH4796" s="191"/>
      <c r="AI4796" s="186"/>
      <c r="AK4796" s="171"/>
    </row>
    <row r="4797" spans="1:41" s="103" customFormat="1" ht="19.899999999999999" customHeight="1" x14ac:dyDescent="0.25">
      <c r="A4797" s="51"/>
      <c r="B4797" s="52"/>
      <c r="C4797" s="165"/>
      <c r="D4797" s="52"/>
      <c r="E4797" s="115"/>
      <c r="F4797" s="58"/>
      <c r="G4797" s="58"/>
      <c r="H4797" s="58"/>
      <c r="I4797" s="55"/>
      <c r="J4797" s="113">
        <f>J4791</f>
        <v>14.880000000000045</v>
      </c>
      <c r="K4797" s="212">
        <f>K4791</f>
        <v>14.880000000000045</v>
      </c>
      <c r="L4797" s="58"/>
      <c r="M4797" s="58">
        <f>K4797-L4797</f>
        <v>14.880000000000045</v>
      </c>
      <c r="N4797" s="166"/>
      <c r="O4797" s="58"/>
      <c r="P4797" s="58"/>
      <c r="Q4797" s="58"/>
      <c r="R4797" s="58"/>
      <c r="S4797" s="58"/>
      <c r="T4797" s="220"/>
      <c r="U4797" s="88"/>
      <c r="V4797" s="56"/>
      <c r="W4797" s="57" t="s">
        <v>1486</v>
      </c>
      <c r="X4797" s="53"/>
      <c r="Y4797" s="91" t="s">
        <v>35</v>
      </c>
      <c r="Z4797" s="136">
        <f>AD4797/AC4797</f>
        <v>1432.6960000000001</v>
      </c>
      <c r="AA4797" s="58"/>
      <c r="AB4797" s="53">
        <f>AD4797/AC4797</f>
        <v>1432.6960000000001</v>
      </c>
      <c r="AC4797" s="53">
        <f>M4797+$AE$10</f>
        <v>14.880000000000045</v>
      </c>
      <c r="AD4797" s="54">
        <f>SUM(AD4798:AD4803)</f>
        <v>21318.516480000068</v>
      </c>
      <c r="AE4797" s="184">
        <f>SUMIFS($AD$37:$AD$12971,$V$37:$V$12971,$V4797,$X$37:$X$12971,AE$13)</f>
        <v>0</v>
      </c>
      <c r="AF4797" s="185">
        <f>SUMIFS($AD$37:$AD$12971,$V$37:$V$12971,$V4797,$X$37:$X$12971,AF$13)</f>
        <v>0</v>
      </c>
      <c r="AG4797" s="185">
        <f>SUMIFS($AD$37:$AD$12971,$V$37:$V$12971,$V4797,$X$37:$X$12971,AG$13)</f>
        <v>0</v>
      </c>
      <c r="AH4797" s="187">
        <f>SUMIFS($AD$37:$AD$12971,$V$37:$V$12971,$V4797,$X$37:$X$12971,AH$13)</f>
        <v>0</v>
      </c>
      <c r="AI4797" s="161">
        <f t="shared" ref="AI4797" si="3511">SUM(AE4797:AH4797)</f>
        <v>0</v>
      </c>
      <c r="AK4797" s="172"/>
    </row>
    <row r="4798" spans="1:41" s="102" customFormat="1" ht="19.899999999999999" customHeight="1" x14ac:dyDescent="0.25">
      <c r="A4798" s="45"/>
      <c r="B4798" s="59"/>
      <c r="C4798" s="137"/>
      <c r="D4798" s="59"/>
      <c r="E4798" s="116"/>
      <c r="F4798" s="120"/>
      <c r="G4798" s="120"/>
      <c r="H4798" s="120"/>
      <c r="I4798" s="60"/>
      <c r="J4798" s="116"/>
      <c r="K4798" s="213"/>
      <c r="L4798" s="120"/>
      <c r="M4798" s="120"/>
      <c r="N4798" s="167"/>
      <c r="O4798" s="120"/>
      <c r="P4798" s="120"/>
      <c r="Q4798" s="120"/>
      <c r="R4798" s="120"/>
      <c r="S4798" s="120"/>
      <c r="T4798" s="221"/>
      <c r="U4798" s="89"/>
      <c r="V4798" s="61"/>
      <c r="W4798" s="92" t="s">
        <v>1032</v>
      </c>
      <c r="X4798" s="93" t="s">
        <v>30</v>
      </c>
      <c r="Y4798" s="93" t="s">
        <v>66</v>
      </c>
      <c r="Z4798" s="134">
        <f>VLOOKUP(W4798,Sheet2!$B:$D,3,FALSE)</f>
        <v>250</v>
      </c>
      <c r="AA4798" s="93">
        <f>1/(2.1*2.1*0.1)</f>
        <v>2.2675736961451243</v>
      </c>
      <c r="AB4798" s="93">
        <f>AD4798/AC4804</f>
        <v>110.25000000000001</v>
      </c>
      <c r="AC4798" s="93">
        <f>AC4804/AA4798</f>
        <v>6.5620800000000212</v>
      </c>
      <c r="AD4798" s="94">
        <f t="shared" ref="AD4798:AD4800" si="3512">AC4798*Z4798</f>
        <v>1640.5200000000052</v>
      </c>
      <c r="AE4798" s="190"/>
      <c r="AF4798" s="191"/>
      <c r="AG4798" s="191"/>
      <c r="AH4798" s="191"/>
      <c r="AI4798" s="186"/>
      <c r="AK4798" s="171"/>
    </row>
    <row r="4799" spans="1:41" s="102" customFormat="1" ht="19.899999999999999" customHeight="1" x14ac:dyDescent="0.25">
      <c r="A4799" s="45"/>
      <c r="B4799" s="59"/>
      <c r="C4799" s="137"/>
      <c r="D4799" s="59"/>
      <c r="E4799" s="116"/>
      <c r="F4799" s="120"/>
      <c r="G4799" s="120"/>
      <c r="H4799" s="120"/>
      <c r="I4799" s="60"/>
      <c r="J4799" s="116"/>
      <c r="K4799" s="213"/>
      <c r="L4799" s="120"/>
      <c r="M4799" s="120"/>
      <c r="N4799" s="167"/>
      <c r="O4799" s="120"/>
      <c r="P4799" s="120"/>
      <c r="Q4799" s="120"/>
      <c r="R4799" s="120"/>
      <c r="S4799" s="120"/>
      <c r="T4799" s="221"/>
      <c r="U4799" s="89"/>
      <c r="V4799" s="61"/>
      <c r="W4799" s="92" t="s">
        <v>1353</v>
      </c>
      <c r="X4799" s="93" t="s">
        <v>30</v>
      </c>
      <c r="Y4799" s="93" t="s">
        <v>66</v>
      </c>
      <c r="Z4799" s="134">
        <f>VLOOKUP(W4799,Sheet2!$B:$D,3,FALSE)</f>
        <v>350</v>
      </c>
      <c r="AA4799" s="93">
        <f>1/(2*2*0.3)</f>
        <v>0.83333333333333337</v>
      </c>
      <c r="AB4799" s="93">
        <f>AD4799/AC4804</f>
        <v>420.00000000000006</v>
      </c>
      <c r="AC4799" s="93">
        <f>AC4804/AA4799</f>
        <v>17.856000000000055</v>
      </c>
      <c r="AD4799" s="94">
        <f t="shared" si="3512"/>
        <v>6249.6000000000195</v>
      </c>
      <c r="AE4799" s="190"/>
      <c r="AF4799" s="191"/>
      <c r="AG4799" s="191"/>
      <c r="AH4799" s="191"/>
      <c r="AI4799" s="186"/>
      <c r="AK4799" s="171"/>
    </row>
    <row r="4800" spans="1:41" s="102" customFormat="1" ht="19.899999999999999" customHeight="1" x14ac:dyDescent="0.25">
      <c r="A4800" s="45"/>
      <c r="B4800" s="59"/>
      <c r="C4800" s="137"/>
      <c r="D4800" s="59"/>
      <c r="E4800" s="116"/>
      <c r="F4800" s="120"/>
      <c r="G4800" s="120"/>
      <c r="H4800" s="120"/>
      <c r="I4800" s="60"/>
      <c r="J4800" s="116"/>
      <c r="K4800" s="213"/>
      <c r="L4800" s="120"/>
      <c r="M4800" s="120"/>
      <c r="N4800" s="167"/>
      <c r="O4800" s="120"/>
      <c r="P4800" s="120"/>
      <c r="Q4800" s="120"/>
      <c r="R4800" s="120"/>
      <c r="S4800" s="120"/>
      <c r="T4800" s="221"/>
      <c r="U4800" s="89"/>
      <c r="V4800" s="61"/>
      <c r="W4800" s="92" t="s">
        <v>99</v>
      </c>
      <c r="X4800" s="93" t="s">
        <v>30</v>
      </c>
      <c r="Y4800" s="93" t="s">
        <v>67</v>
      </c>
      <c r="Z4800" s="134">
        <f>VLOOKUP(W4800,Sheet2!$B:$D,3,FALSE)</f>
        <v>2500</v>
      </c>
      <c r="AA4800" s="93">
        <f>AA4799/0.08</f>
        <v>10.416666666666666</v>
      </c>
      <c r="AB4800" s="93">
        <f>AD4800/AC4804</f>
        <v>240.00000000000003</v>
      </c>
      <c r="AC4800" s="93">
        <f>AC4804/AA4800</f>
        <v>1.4284800000000044</v>
      </c>
      <c r="AD4800" s="94">
        <f t="shared" si="3512"/>
        <v>3571.2000000000112</v>
      </c>
      <c r="AE4800" s="190"/>
      <c r="AF4800" s="191"/>
      <c r="AG4800" s="191"/>
      <c r="AH4800" s="191"/>
      <c r="AI4800" s="186"/>
      <c r="AK4800" s="171"/>
    </row>
    <row r="4801" spans="1:37" s="102" customFormat="1" ht="19.899999999999999" customHeight="1" x14ac:dyDescent="0.25">
      <c r="A4801" s="45"/>
      <c r="B4801" s="59"/>
      <c r="C4801" s="137"/>
      <c r="D4801" s="59"/>
      <c r="E4801" s="116"/>
      <c r="F4801" s="120"/>
      <c r="G4801" s="120"/>
      <c r="H4801" s="120"/>
      <c r="I4801" s="60"/>
      <c r="J4801" s="116"/>
      <c r="K4801" s="213"/>
      <c r="L4801" s="120"/>
      <c r="M4801" s="120"/>
      <c r="N4801" s="167"/>
      <c r="O4801" s="120"/>
      <c r="P4801" s="120"/>
      <c r="Q4801" s="120"/>
      <c r="R4801" s="120"/>
      <c r="S4801" s="120"/>
      <c r="T4801" s="221"/>
      <c r="U4801" s="89"/>
      <c r="V4801" s="61"/>
      <c r="W4801" s="92" t="s">
        <v>1354</v>
      </c>
      <c r="X4801" s="93" t="s">
        <v>32</v>
      </c>
      <c r="Y4801" s="93" t="s">
        <v>66</v>
      </c>
      <c r="Z4801" s="134">
        <f>VLOOKUP(W4801,Sheet2!$B:$D,3,FALSE)</f>
        <v>150</v>
      </c>
      <c r="AA4801" s="93">
        <f>AA4798</f>
        <v>2.2675736961451243</v>
      </c>
      <c r="AB4801" s="93">
        <f>AD4801/AC4804</f>
        <v>66.15000000000002</v>
      </c>
      <c r="AC4801" s="93">
        <f>AC4804/AA4801</f>
        <v>6.5620800000000212</v>
      </c>
      <c r="AD4801" s="94">
        <f>AC4801*Z4801</f>
        <v>984.3120000000032</v>
      </c>
      <c r="AE4801" s="190"/>
      <c r="AF4801" s="191"/>
      <c r="AG4801" s="191"/>
      <c r="AH4801" s="191"/>
      <c r="AI4801" s="186"/>
      <c r="AK4801" s="171"/>
    </row>
    <row r="4802" spans="1:37" s="102" customFormat="1" ht="19.899999999999999" customHeight="1" x14ac:dyDescent="0.25">
      <c r="A4802" s="45"/>
      <c r="B4802" s="59"/>
      <c r="C4802" s="137"/>
      <c r="D4802" s="59"/>
      <c r="E4802" s="116"/>
      <c r="F4802" s="120"/>
      <c r="G4802" s="120"/>
      <c r="H4802" s="120"/>
      <c r="I4802" s="60"/>
      <c r="J4802" s="116"/>
      <c r="K4802" s="213"/>
      <c r="L4802" s="120"/>
      <c r="M4802" s="120"/>
      <c r="N4802" s="167"/>
      <c r="O4802" s="120"/>
      <c r="P4802" s="120"/>
      <c r="Q4802" s="120"/>
      <c r="R4802" s="120"/>
      <c r="S4802" s="120"/>
      <c r="T4802" s="221"/>
      <c r="U4802" s="89"/>
      <c r="V4802" s="61"/>
      <c r="W4802" s="92" t="s">
        <v>1355</v>
      </c>
      <c r="X4802" s="93" t="s">
        <v>32</v>
      </c>
      <c r="Y4802" s="93" t="s">
        <v>66</v>
      </c>
      <c r="Z4802" s="134">
        <f>VLOOKUP(W4802,Sheet2!$B:$D,3,FALSE)</f>
        <v>450</v>
      </c>
      <c r="AA4802" s="93">
        <f>AA4799</f>
        <v>0.83333333333333337</v>
      </c>
      <c r="AB4802" s="93">
        <f>AD4802/AC4804</f>
        <v>540</v>
      </c>
      <c r="AC4802" s="93">
        <f>AC4804/AA4802</f>
        <v>17.856000000000055</v>
      </c>
      <c r="AD4802" s="94">
        <f>AC4802*Z4802</f>
        <v>8035.2000000000244</v>
      </c>
      <c r="AE4802" s="190"/>
      <c r="AF4802" s="191"/>
      <c r="AG4802" s="191"/>
      <c r="AH4802" s="191"/>
      <c r="AI4802" s="186"/>
      <c r="AK4802" s="171"/>
    </row>
    <row r="4803" spans="1:37" s="102" customFormat="1" ht="19.899999999999999" customHeight="1" x14ac:dyDescent="0.25">
      <c r="A4803" s="45"/>
      <c r="B4803" s="59"/>
      <c r="C4803" s="137"/>
      <c r="D4803" s="59"/>
      <c r="E4803" s="116"/>
      <c r="F4803" s="120"/>
      <c r="G4803" s="120"/>
      <c r="H4803" s="120"/>
      <c r="I4803" s="60"/>
      <c r="J4803" s="116"/>
      <c r="K4803" s="213"/>
      <c r="L4803" s="120"/>
      <c r="M4803" s="120"/>
      <c r="N4803" s="167"/>
      <c r="O4803" s="120"/>
      <c r="P4803" s="120"/>
      <c r="Q4803" s="120"/>
      <c r="R4803" s="120"/>
      <c r="S4803" s="120"/>
      <c r="T4803" s="221"/>
      <c r="U4803" s="89"/>
      <c r="V4803" s="61"/>
      <c r="W4803" s="92" t="s">
        <v>124</v>
      </c>
      <c r="X4803" s="93" t="s">
        <v>32</v>
      </c>
      <c r="Y4803" s="93" t="s">
        <v>64</v>
      </c>
      <c r="Z4803" s="134">
        <f>VLOOKUP(W4803,Sheet2!$B:$D,3,FALSE)</f>
        <v>10</v>
      </c>
      <c r="AA4803" s="93">
        <f>1/((2.6*2.6)-(3.14*1.2*1.2/4))</f>
        <v>0.17763251385533604</v>
      </c>
      <c r="AB4803" s="93">
        <f t="shared" ref="AB4803" si="3513">AD4803/AC4797</f>
        <v>56.296000000000014</v>
      </c>
      <c r="AC4803" s="93">
        <f>AC4797/AA4803</f>
        <v>83.768448000000276</v>
      </c>
      <c r="AD4803" s="94">
        <f t="shared" ref="AD4803" si="3514">AC4803*Z4803</f>
        <v>837.68448000000274</v>
      </c>
      <c r="AE4803" s="190"/>
      <c r="AF4803" s="191"/>
      <c r="AG4803" s="191"/>
      <c r="AH4803" s="191"/>
      <c r="AI4803" s="186"/>
      <c r="AK4803" s="171"/>
    </row>
    <row r="4804" spans="1:37" s="103" customFormat="1" ht="19.899999999999999" customHeight="1" x14ac:dyDescent="0.25">
      <c r="A4804" s="51"/>
      <c r="B4804" s="52"/>
      <c r="C4804" s="165"/>
      <c r="D4804" s="52"/>
      <c r="E4804" s="115"/>
      <c r="F4804" s="58"/>
      <c r="G4804" s="58"/>
      <c r="H4804" s="58"/>
      <c r="I4804" s="55"/>
      <c r="J4804" s="113">
        <f>J4791</f>
        <v>14.880000000000045</v>
      </c>
      <c r="K4804" s="212">
        <f>K4791</f>
        <v>14.880000000000045</v>
      </c>
      <c r="L4804" s="58"/>
      <c r="M4804" s="58">
        <f>K4804-L4804</f>
        <v>14.880000000000045</v>
      </c>
      <c r="N4804" s="166"/>
      <c r="O4804" s="58"/>
      <c r="P4804" s="58"/>
      <c r="Q4804" s="58"/>
      <c r="R4804" s="58"/>
      <c r="S4804" s="58"/>
      <c r="T4804" s="220"/>
      <c r="U4804" s="88"/>
      <c r="V4804" s="56"/>
      <c r="W4804" s="57" t="s">
        <v>1275</v>
      </c>
      <c r="X4804" s="53"/>
      <c r="Y4804" s="91" t="s">
        <v>35</v>
      </c>
      <c r="Z4804" s="136">
        <f>AD4804/AC4804</f>
        <v>7122.8</v>
      </c>
      <c r="AA4804" s="58"/>
      <c r="AB4804" s="53">
        <f>AD4804/AC4804</f>
        <v>7122.8</v>
      </c>
      <c r="AC4804" s="53">
        <f>M4804+$AE$10</f>
        <v>14.880000000000045</v>
      </c>
      <c r="AD4804" s="54">
        <f>SUM(AD4805:AD4810)</f>
        <v>105987.26400000033</v>
      </c>
      <c r="AE4804" s="184">
        <f>SUMIFS($AD$37:$AD$12971,$V$37:$V$12971,$V4804,$X$37:$X$12971,AE$13)</f>
        <v>0</v>
      </c>
      <c r="AF4804" s="185">
        <f>SUMIFS($AD$37:$AD$12971,$V$37:$V$12971,$V4804,$X$37:$X$12971,AF$13)</f>
        <v>0</v>
      </c>
      <c r="AG4804" s="185">
        <f>SUMIFS($AD$37:$AD$12971,$V$37:$V$12971,$V4804,$X$37:$X$12971,AG$13)</f>
        <v>0</v>
      </c>
      <c r="AH4804" s="187">
        <f>SUMIFS($AD$37:$AD$12971,$V$37:$V$12971,$V4804,$X$37:$X$12971,AH$13)</f>
        <v>0</v>
      </c>
      <c r="AI4804" s="161">
        <f t="shared" ref="AI4804" si="3515">SUM(AE4804:AH4804)</f>
        <v>0</v>
      </c>
      <c r="AK4804" s="172"/>
    </row>
    <row r="4805" spans="1:37" s="102" customFormat="1" ht="19.899999999999999" customHeight="1" x14ac:dyDescent="0.25">
      <c r="A4805" s="45"/>
      <c r="B4805" s="59"/>
      <c r="C4805" s="137"/>
      <c r="D4805" s="59"/>
      <c r="E4805" s="116"/>
      <c r="F4805" s="120"/>
      <c r="G4805" s="120"/>
      <c r="H4805" s="120"/>
      <c r="I4805" s="60"/>
      <c r="J4805" s="116"/>
      <c r="K4805" s="213"/>
      <c r="L4805" s="120"/>
      <c r="M4805" s="120"/>
      <c r="N4805" s="167"/>
      <c r="O4805" s="120"/>
      <c r="P4805" s="120"/>
      <c r="Q4805" s="120"/>
      <c r="R4805" s="120"/>
      <c r="S4805" s="120"/>
      <c r="T4805" s="221"/>
      <c r="U4805" s="89"/>
      <c r="V4805" s="61"/>
      <c r="W4805" s="92" t="s">
        <v>1492</v>
      </c>
      <c r="X4805" s="93" t="s">
        <v>30</v>
      </c>
      <c r="Y4805" s="93" t="s">
        <v>35</v>
      </c>
      <c r="Z4805" s="134">
        <f>VLOOKUP(W4805,Sheet2!$B:$D,3,FALSE)</f>
        <v>5350</v>
      </c>
      <c r="AA4805" s="93">
        <v>1</v>
      </c>
      <c r="AB4805" s="93">
        <f>AD4805/AC4804</f>
        <v>5350</v>
      </c>
      <c r="AC4805" s="93">
        <f>AC4804/AA4805</f>
        <v>14.880000000000045</v>
      </c>
      <c r="AD4805" s="94">
        <f t="shared" ref="AD4805:AD4806" si="3516">AC4805*Z4805</f>
        <v>79608.000000000247</v>
      </c>
      <c r="AE4805" s="190"/>
      <c r="AF4805" s="191"/>
      <c r="AG4805" s="191"/>
      <c r="AH4805" s="191"/>
      <c r="AI4805" s="186"/>
      <c r="AK4805" s="171"/>
    </row>
    <row r="4806" spans="1:37" s="102" customFormat="1" ht="19.899999999999999" customHeight="1" x14ac:dyDescent="0.25">
      <c r="A4806" s="45"/>
      <c r="B4806" s="59"/>
      <c r="C4806" s="137"/>
      <c r="D4806" s="59"/>
      <c r="E4806" s="116"/>
      <c r="F4806" s="120"/>
      <c r="G4806" s="120"/>
      <c r="H4806" s="120"/>
      <c r="I4806" s="60"/>
      <c r="J4806" s="116"/>
      <c r="K4806" s="213"/>
      <c r="L4806" s="120"/>
      <c r="M4806" s="120"/>
      <c r="N4806" s="167"/>
      <c r="O4806" s="120"/>
      <c r="P4806" s="120"/>
      <c r="Q4806" s="120"/>
      <c r="R4806" s="120"/>
      <c r="S4806" s="120"/>
      <c r="T4806" s="221"/>
      <c r="U4806" s="89"/>
      <c r="V4806" s="61"/>
      <c r="W4806" s="92" t="s">
        <v>174</v>
      </c>
      <c r="X4806" s="93" t="s">
        <v>29</v>
      </c>
      <c r="Y4806" s="93" t="s">
        <v>93</v>
      </c>
      <c r="Z4806" s="134">
        <f>VLOOKUP(W4806,Sheet2!$B:$D,3,FALSE)</f>
        <v>80</v>
      </c>
      <c r="AA4806" s="93">
        <f>1/2</f>
        <v>0.5</v>
      </c>
      <c r="AB4806" s="93">
        <f>AD4806/AC4804</f>
        <v>160.00000000000003</v>
      </c>
      <c r="AC4806" s="93">
        <f>AC4804/AA4806</f>
        <v>29.76000000000009</v>
      </c>
      <c r="AD4806" s="94">
        <f t="shared" si="3516"/>
        <v>2380.8000000000075</v>
      </c>
      <c r="AE4806" s="190"/>
      <c r="AF4806" s="191"/>
      <c r="AG4806" s="191"/>
      <c r="AH4806" s="191"/>
      <c r="AI4806" s="186"/>
      <c r="AK4806" s="171"/>
    </row>
    <row r="4807" spans="1:37" s="102" customFormat="1" ht="19.899999999999999" customHeight="1" x14ac:dyDescent="0.25">
      <c r="A4807" s="45"/>
      <c r="B4807" s="59"/>
      <c r="C4807" s="137"/>
      <c r="D4807" s="59"/>
      <c r="E4807" s="116"/>
      <c r="F4807" s="120"/>
      <c r="G4807" s="120"/>
      <c r="H4807" s="120"/>
      <c r="I4807" s="60"/>
      <c r="J4807" s="116"/>
      <c r="K4807" s="213"/>
      <c r="L4807" s="120"/>
      <c r="M4807" s="120"/>
      <c r="N4807" s="167"/>
      <c r="O4807" s="120"/>
      <c r="P4807" s="120"/>
      <c r="Q4807" s="120"/>
      <c r="R4807" s="120"/>
      <c r="S4807" s="120"/>
      <c r="T4807" s="221"/>
      <c r="U4807" s="89"/>
      <c r="V4807" s="61"/>
      <c r="W4807" s="92" t="s">
        <v>65</v>
      </c>
      <c r="X4807" s="93" t="s">
        <v>30</v>
      </c>
      <c r="Y4807" s="93" t="s">
        <v>93</v>
      </c>
      <c r="Z4807" s="134">
        <f>VLOOKUP(W4807,Sheet2!$B:$D,3,FALSE)</f>
        <v>1.76</v>
      </c>
      <c r="AA4807" s="93">
        <f>AA4806/15</f>
        <v>3.3333333333333333E-2</v>
      </c>
      <c r="AB4807" s="93">
        <f>AD4807/AC4804</f>
        <v>52.8</v>
      </c>
      <c r="AC4807" s="93">
        <f>AC4804/AA4807</f>
        <v>446.40000000000134</v>
      </c>
      <c r="AD4807" s="94">
        <f>AC4807*Z4807</f>
        <v>785.66400000000237</v>
      </c>
      <c r="AE4807" s="190"/>
      <c r="AF4807" s="191"/>
      <c r="AG4807" s="191"/>
      <c r="AH4807" s="191"/>
      <c r="AI4807" s="186"/>
      <c r="AK4807" s="171"/>
    </row>
    <row r="4808" spans="1:37" s="102" customFormat="1" ht="19.899999999999999" customHeight="1" x14ac:dyDescent="0.25">
      <c r="A4808" s="45"/>
      <c r="B4808" s="59"/>
      <c r="C4808" s="137"/>
      <c r="D4808" s="59"/>
      <c r="E4808" s="116"/>
      <c r="F4808" s="120"/>
      <c r="G4808" s="120"/>
      <c r="H4808" s="120"/>
      <c r="I4808" s="60"/>
      <c r="J4808" s="116"/>
      <c r="K4808" s="213"/>
      <c r="L4808" s="120"/>
      <c r="M4808" s="120"/>
      <c r="N4808" s="167"/>
      <c r="O4808" s="120"/>
      <c r="P4808" s="120"/>
      <c r="Q4808" s="120"/>
      <c r="R4808" s="120"/>
      <c r="S4808" s="120"/>
      <c r="T4808" s="221"/>
      <c r="U4808" s="89"/>
      <c r="V4808" s="61"/>
      <c r="W4808" s="92" t="s">
        <v>1487</v>
      </c>
      <c r="X4808" s="93" t="s">
        <v>32</v>
      </c>
      <c r="Y4808" s="93" t="s">
        <v>1349</v>
      </c>
      <c r="Z4808" s="134">
        <f>VLOOKUP(W4808,Sheet2!$B:$D,3,FALSE)</f>
        <v>1500</v>
      </c>
      <c r="AA4808" s="93">
        <v>1</v>
      </c>
      <c r="AB4808" s="93">
        <f>AD4808/AC4804</f>
        <v>1500</v>
      </c>
      <c r="AC4808" s="93">
        <f>AC4804/AA4808</f>
        <v>14.880000000000045</v>
      </c>
      <c r="AD4808" s="94">
        <f>AC4808*Z4808</f>
        <v>22320.000000000069</v>
      </c>
      <c r="AE4808" s="190"/>
      <c r="AF4808" s="191"/>
      <c r="AG4808" s="191"/>
      <c r="AH4808" s="191"/>
      <c r="AI4808" s="186"/>
      <c r="AK4808" s="171"/>
    </row>
    <row r="4809" spans="1:37" s="102" customFormat="1" ht="19.899999999999999" customHeight="1" x14ac:dyDescent="0.25">
      <c r="A4809" s="45"/>
      <c r="B4809" s="59"/>
      <c r="C4809" s="137"/>
      <c r="D4809" s="59"/>
      <c r="E4809" s="116"/>
      <c r="F4809" s="120"/>
      <c r="G4809" s="120"/>
      <c r="H4809" s="120"/>
      <c r="I4809" s="60"/>
      <c r="J4809" s="116"/>
      <c r="K4809" s="213"/>
      <c r="L4809" s="120"/>
      <c r="M4809" s="120"/>
      <c r="N4809" s="167"/>
      <c r="O4809" s="120"/>
      <c r="P4809" s="120"/>
      <c r="Q4809" s="120"/>
      <c r="R4809" s="120"/>
      <c r="S4809" s="120"/>
      <c r="T4809" s="221"/>
      <c r="U4809" s="89"/>
      <c r="V4809" s="61"/>
      <c r="W4809" s="92" t="s">
        <v>107</v>
      </c>
      <c r="X4809" s="93" t="s">
        <v>31</v>
      </c>
      <c r="Y4809" s="93" t="s">
        <v>93</v>
      </c>
      <c r="Z4809" s="134">
        <f>VLOOKUP(W4809,Sheet2!$B:$D,3,FALSE)</f>
        <v>17</v>
      </c>
      <c r="AA4809" s="93">
        <f>AA4806</f>
        <v>0.5</v>
      </c>
      <c r="AB4809" s="93">
        <f>AD4809/AC4804</f>
        <v>34</v>
      </c>
      <c r="AC4809" s="93">
        <f>AC4804/AA4809</f>
        <v>29.76000000000009</v>
      </c>
      <c r="AD4809" s="94">
        <f>AC4809*Z4809</f>
        <v>505.92000000000155</v>
      </c>
      <c r="AE4809" s="190"/>
      <c r="AF4809" s="191"/>
      <c r="AG4809" s="191"/>
      <c r="AH4809" s="191"/>
      <c r="AI4809" s="186"/>
      <c r="AK4809" s="171"/>
    </row>
    <row r="4810" spans="1:37" s="102" customFormat="1" ht="19.899999999999999" customHeight="1" x14ac:dyDescent="0.25">
      <c r="A4810" s="45"/>
      <c r="B4810" s="59"/>
      <c r="C4810" s="137"/>
      <c r="D4810" s="59"/>
      <c r="E4810" s="116"/>
      <c r="F4810" s="120"/>
      <c r="G4810" s="120"/>
      <c r="H4810" s="120"/>
      <c r="I4810" s="60"/>
      <c r="J4810" s="116"/>
      <c r="K4810" s="213"/>
      <c r="L4810" s="120"/>
      <c r="M4810" s="120"/>
      <c r="N4810" s="167"/>
      <c r="O4810" s="120"/>
      <c r="P4810" s="120"/>
      <c r="Q4810" s="120"/>
      <c r="R4810" s="120"/>
      <c r="S4810" s="120"/>
      <c r="T4810" s="221"/>
      <c r="U4810" s="89"/>
      <c r="V4810" s="61"/>
      <c r="W4810" s="92" t="s">
        <v>112</v>
      </c>
      <c r="X4810" s="93" t="s">
        <v>31</v>
      </c>
      <c r="Y4810" s="93" t="s">
        <v>93</v>
      </c>
      <c r="Z4810" s="134">
        <f>VLOOKUP(W4810,Sheet2!$B:$D,3,FALSE)</f>
        <v>13</v>
      </c>
      <c r="AA4810" s="93">
        <f>AA4809</f>
        <v>0.5</v>
      </c>
      <c r="AB4810" s="93">
        <f>AD4810/AC4804</f>
        <v>26</v>
      </c>
      <c r="AC4810" s="93">
        <f>AC4804/AA4810</f>
        <v>29.76000000000009</v>
      </c>
      <c r="AD4810" s="94">
        <f>AC4810*Z4810</f>
        <v>386.88000000000119</v>
      </c>
      <c r="AE4810" s="190"/>
      <c r="AF4810" s="191"/>
      <c r="AG4810" s="191"/>
      <c r="AH4810" s="191"/>
      <c r="AI4810" s="186"/>
      <c r="AK4810" s="171"/>
    </row>
    <row r="4811" spans="1:37" s="103" customFormat="1" ht="19.899999999999999" customHeight="1" x14ac:dyDescent="0.25">
      <c r="A4811" s="51"/>
      <c r="B4811" s="52"/>
      <c r="C4811" s="165"/>
      <c r="D4811" s="52"/>
      <c r="E4811" s="115"/>
      <c r="F4811" s="58"/>
      <c r="G4811" s="58"/>
      <c r="H4811" s="58"/>
      <c r="I4811" s="55"/>
      <c r="J4811" s="113">
        <f>J4791</f>
        <v>14.880000000000045</v>
      </c>
      <c r="K4811" s="212">
        <f>K4791</f>
        <v>14.880000000000045</v>
      </c>
      <c r="L4811" s="58"/>
      <c r="M4811" s="58">
        <f>K4811-L4811</f>
        <v>14.880000000000045</v>
      </c>
      <c r="N4811" s="166"/>
      <c r="O4811" s="58"/>
      <c r="P4811" s="58"/>
      <c r="Q4811" s="58"/>
      <c r="R4811" s="58"/>
      <c r="S4811" s="58"/>
      <c r="T4811" s="220"/>
      <c r="U4811" s="88"/>
      <c r="V4811" s="56"/>
      <c r="W4811" s="57" t="s">
        <v>1272</v>
      </c>
      <c r="X4811" s="53"/>
      <c r="Y4811" s="91" t="s">
        <v>35</v>
      </c>
      <c r="Z4811" s="136">
        <f>AD4811/AC4811</f>
        <v>421.6657238839216</v>
      </c>
      <c r="AA4811" s="58"/>
      <c r="AB4811" s="53">
        <f>AD4811/AC4811</f>
        <v>421.6657238839216</v>
      </c>
      <c r="AC4811" s="53">
        <f>M4811+$AE$10</f>
        <v>14.880000000000045</v>
      </c>
      <c r="AD4811" s="54">
        <f>SUM(AD4812:AD4820)</f>
        <v>6274.3859713927723</v>
      </c>
      <c r="AE4811" s="184">
        <f>SUMIFS($AD$37:$AD$12971,$V$37:$V$12971,$V4811,$X$37:$X$12971,AE$13)</f>
        <v>0</v>
      </c>
      <c r="AF4811" s="185">
        <f>SUMIFS($AD$37:$AD$12971,$V$37:$V$12971,$V4811,$X$37:$X$12971,AF$13)</f>
        <v>0</v>
      </c>
      <c r="AG4811" s="185">
        <f>SUMIFS($AD$37:$AD$12971,$V$37:$V$12971,$V4811,$X$37:$X$12971,AG$13)</f>
        <v>0</v>
      </c>
      <c r="AH4811" s="187">
        <f>SUMIFS($AD$37:$AD$12971,$V$37:$V$12971,$V4811,$X$37:$X$12971,AH$13)</f>
        <v>0</v>
      </c>
      <c r="AI4811" s="161">
        <f t="shared" ref="AI4811" si="3517">SUM(AE4811:AH4811)</f>
        <v>0</v>
      </c>
      <c r="AK4811" s="172"/>
    </row>
    <row r="4812" spans="1:37" s="102" customFormat="1" ht="19.899999999999999" customHeight="1" x14ac:dyDescent="0.25">
      <c r="A4812" s="45"/>
      <c r="B4812" s="59"/>
      <c r="C4812" s="137"/>
      <c r="D4812" s="59"/>
      <c r="E4812" s="116"/>
      <c r="F4812" s="120"/>
      <c r="G4812" s="120"/>
      <c r="H4812" s="120"/>
      <c r="I4812" s="60"/>
      <c r="J4812" s="116"/>
      <c r="K4812" s="213"/>
      <c r="L4812" s="120"/>
      <c r="M4812" s="120"/>
      <c r="N4812" s="167"/>
      <c r="O4812" s="120"/>
      <c r="P4812" s="120"/>
      <c r="Q4812" s="120"/>
      <c r="R4812" s="120"/>
      <c r="S4812" s="120"/>
      <c r="T4812" s="221"/>
      <c r="U4812" s="89"/>
      <c r="V4812" s="61"/>
      <c r="W4812" s="92" t="s">
        <v>1273</v>
      </c>
      <c r="X4812" s="93" t="s">
        <v>30</v>
      </c>
      <c r="Y4812" s="93" t="s">
        <v>66</v>
      </c>
      <c r="Z4812" s="134">
        <f>VLOOKUP(W4812,Sheet2!$B:$D,3,FALSE)</f>
        <v>10</v>
      </c>
      <c r="AA4812" s="93">
        <f>1/((2.5*2.5*4)-(3.14/4*1.2*1.2*4))</f>
        <v>4.8831939995312129E-2</v>
      </c>
      <c r="AB4812" s="93">
        <f>AD4812/AC4811</f>
        <v>204.78400000000005</v>
      </c>
      <c r="AC4812" s="93">
        <f>AC4811/AA4812</f>
        <v>304.71859200000097</v>
      </c>
      <c r="AD4812" s="94">
        <f t="shared" ref="AD4812:AD4814" si="3518">AC4812*Z4812</f>
        <v>3047.1859200000099</v>
      </c>
      <c r="AE4812" s="190"/>
      <c r="AF4812" s="191"/>
      <c r="AG4812" s="191"/>
      <c r="AH4812" s="191"/>
      <c r="AI4812" s="186"/>
      <c r="AK4812" s="171"/>
    </row>
    <row r="4813" spans="1:37" s="102" customFormat="1" ht="19.899999999999999" customHeight="1" x14ac:dyDescent="0.25">
      <c r="A4813" s="45"/>
      <c r="B4813" s="59"/>
      <c r="C4813" s="137"/>
      <c r="D4813" s="59"/>
      <c r="E4813" s="116"/>
      <c r="F4813" s="120"/>
      <c r="G4813" s="120"/>
      <c r="H4813" s="120"/>
      <c r="I4813" s="60"/>
      <c r="J4813" s="116"/>
      <c r="K4813" s="213"/>
      <c r="L4813" s="120"/>
      <c r="M4813" s="120"/>
      <c r="N4813" s="167"/>
      <c r="O4813" s="120"/>
      <c r="P4813" s="120"/>
      <c r="Q4813" s="120"/>
      <c r="R4813" s="120"/>
      <c r="S4813" s="120"/>
      <c r="T4813" s="221"/>
      <c r="U4813" s="89"/>
      <c r="V4813" s="61"/>
      <c r="W4813" s="92" t="s">
        <v>134</v>
      </c>
      <c r="X4813" s="93" t="s">
        <v>29</v>
      </c>
      <c r="Y4813" s="93" t="s">
        <v>93</v>
      </c>
      <c r="Z4813" s="134">
        <f>VLOOKUP(W4813,Sheet2!$B:$D,3,FALSE)</f>
        <v>65.599999999999994</v>
      </c>
      <c r="AA4813" s="93">
        <f>100/((2.5*2.5*4)-(3.14/4*1.2*1.2*4))</f>
        <v>4.8831939995312128</v>
      </c>
      <c r="AB4813" s="93">
        <f t="shared" ref="AB4813" si="3519">AD4813/AC4811</f>
        <v>13.433830400000002</v>
      </c>
      <c r="AC4813" s="93">
        <f>AC4811/AA4813</f>
        <v>3.0471859200000098</v>
      </c>
      <c r="AD4813" s="94">
        <f t="shared" si="3518"/>
        <v>199.89539635200063</v>
      </c>
      <c r="AE4813" s="190"/>
      <c r="AF4813" s="191"/>
      <c r="AG4813" s="191"/>
      <c r="AH4813" s="191"/>
      <c r="AI4813" s="186"/>
      <c r="AK4813" s="171"/>
    </row>
    <row r="4814" spans="1:37" s="102" customFormat="1" ht="19.899999999999999" customHeight="1" x14ac:dyDescent="0.25">
      <c r="A4814" s="45"/>
      <c r="B4814" s="59"/>
      <c r="C4814" s="137"/>
      <c r="D4814" s="59"/>
      <c r="E4814" s="116"/>
      <c r="F4814" s="120"/>
      <c r="G4814" s="120"/>
      <c r="H4814" s="120"/>
      <c r="I4814" s="60"/>
      <c r="J4814" s="116"/>
      <c r="K4814" s="213"/>
      <c r="L4814" s="120"/>
      <c r="M4814" s="120"/>
      <c r="N4814" s="167"/>
      <c r="O4814" s="120"/>
      <c r="P4814" s="120"/>
      <c r="Q4814" s="120"/>
      <c r="R4814" s="120"/>
      <c r="S4814" s="120"/>
      <c r="T4814" s="221"/>
      <c r="U4814" s="89"/>
      <c r="V4814" s="61"/>
      <c r="W4814" s="92" t="s">
        <v>65</v>
      </c>
      <c r="X4814" s="93" t="s">
        <v>30</v>
      </c>
      <c r="Y4814" s="93" t="s">
        <v>1011</v>
      </c>
      <c r="Z4814" s="134">
        <f>VLOOKUP(W4814,Sheet2!$B:$D,3,FALSE)</f>
        <v>1.76</v>
      </c>
      <c r="AA4814" s="93">
        <f>AA4813/9</f>
        <v>0.54257711105902362</v>
      </c>
      <c r="AB4814" s="93">
        <f>AD4814/AC4811</f>
        <v>3.2437785600000009</v>
      </c>
      <c r="AC4814" s="93">
        <f>AC4811/AA4814</f>
        <v>27.424673280000089</v>
      </c>
      <c r="AD4814" s="94">
        <f t="shared" si="3518"/>
        <v>48.267424972800157</v>
      </c>
      <c r="AE4814" s="190"/>
      <c r="AF4814" s="191"/>
      <c r="AG4814" s="191"/>
      <c r="AH4814" s="191"/>
      <c r="AI4814" s="186"/>
      <c r="AK4814" s="171"/>
    </row>
    <row r="4815" spans="1:37" s="102" customFormat="1" ht="19.899999999999999" customHeight="1" x14ac:dyDescent="0.25">
      <c r="A4815" s="45"/>
      <c r="B4815" s="59"/>
      <c r="C4815" s="137"/>
      <c r="D4815" s="59"/>
      <c r="E4815" s="116"/>
      <c r="F4815" s="120"/>
      <c r="G4815" s="120"/>
      <c r="H4815" s="120"/>
      <c r="I4815" s="60"/>
      <c r="J4815" s="116"/>
      <c r="K4815" s="213"/>
      <c r="L4815" s="120"/>
      <c r="M4815" s="120"/>
      <c r="N4815" s="167"/>
      <c r="O4815" s="120"/>
      <c r="P4815" s="120"/>
      <c r="Q4815" s="120"/>
      <c r="R4815" s="120"/>
      <c r="S4815" s="120"/>
      <c r="T4815" s="221"/>
      <c r="U4815" s="89"/>
      <c r="V4815" s="61"/>
      <c r="W4815" s="92" t="s">
        <v>161</v>
      </c>
      <c r="X4815" s="93" t="s">
        <v>29</v>
      </c>
      <c r="Y4815" s="93" t="s">
        <v>93</v>
      </c>
      <c r="Z4815" s="134">
        <f>VLOOKUP(W4815,Sheet2!$B:$D,3,FALSE)</f>
        <v>48</v>
      </c>
      <c r="AA4815" s="93">
        <f>(16*0.85*1.5)/((2.5*2.5*4)-(3.14/4*1.2*1.2*4))</f>
        <v>0.99617157590436745</v>
      </c>
      <c r="AB4815" s="93">
        <f>AD4815/AC4811</f>
        <v>48.1844705882353</v>
      </c>
      <c r="AC4815" s="93">
        <f>AC4811/AA4815</f>
        <v>14.937185882352988</v>
      </c>
      <c r="AD4815" s="94">
        <f>AC4815*Z4815</f>
        <v>716.98492235294339</v>
      </c>
      <c r="AE4815" s="190"/>
      <c r="AF4815" s="191"/>
      <c r="AG4815" s="191"/>
      <c r="AH4815" s="191"/>
      <c r="AI4815" s="186"/>
      <c r="AK4815" s="171"/>
    </row>
    <row r="4816" spans="1:37" s="102" customFormat="1" ht="19.899999999999999" customHeight="1" x14ac:dyDescent="0.25">
      <c r="A4816" s="45"/>
      <c r="B4816" s="59"/>
      <c r="C4816" s="137"/>
      <c r="D4816" s="59"/>
      <c r="E4816" s="116"/>
      <c r="F4816" s="120"/>
      <c r="G4816" s="120"/>
      <c r="H4816" s="120"/>
      <c r="I4816" s="60"/>
      <c r="J4816" s="116"/>
      <c r="K4816" s="213"/>
      <c r="L4816" s="120"/>
      <c r="M4816" s="120"/>
      <c r="N4816" s="167"/>
      <c r="O4816" s="120"/>
      <c r="P4816" s="120"/>
      <c r="Q4816" s="120"/>
      <c r="R4816" s="120"/>
      <c r="S4816" s="120"/>
      <c r="T4816" s="221"/>
      <c r="U4816" s="89"/>
      <c r="V4816" s="61"/>
      <c r="W4816" s="92" t="s">
        <v>65</v>
      </c>
      <c r="X4816" s="93" t="s">
        <v>30</v>
      </c>
      <c r="Y4816" s="93" t="s">
        <v>1011</v>
      </c>
      <c r="Z4816" s="134">
        <f>VLOOKUP(W4816,Sheet2!$B:$D,3,FALSE)</f>
        <v>1.76</v>
      </c>
      <c r="AA4816" s="93">
        <f>AA4815/10</f>
        <v>9.9617157590436739E-2</v>
      </c>
      <c r="AB4816" s="93">
        <f>AD4816/AC4811</f>
        <v>17.667639215686279</v>
      </c>
      <c r="AC4816" s="93">
        <f>AC4811/AA4816</f>
        <v>149.37185882352989</v>
      </c>
      <c r="AD4816" s="94">
        <f>AC4816*Z4816</f>
        <v>262.89447152941261</v>
      </c>
      <c r="AE4816" s="190"/>
      <c r="AF4816" s="191"/>
      <c r="AG4816" s="191"/>
      <c r="AH4816" s="191"/>
      <c r="AI4816" s="186"/>
      <c r="AK4816" s="171"/>
    </row>
    <row r="4817" spans="1:41" s="102" customFormat="1" ht="19.899999999999999" customHeight="1" x14ac:dyDescent="0.25">
      <c r="A4817" s="45"/>
      <c r="B4817" s="59"/>
      <c r="C4817" s="137"/>
      <c r="D4817" s="59"/>
      <c r="E4817" s="116"/>
      <c r="F4817" s="120"/>
      <c r="G4817" s="120"/>
      <c r="H4817" s="120"/>
      <c r="I4817" s="60"/>
      <c r="J4817" s="116"/>
      <c r="K4817" s="213"/>
      <c r="L4817" s="120"/>
      <c r="M4817" s="120"/>
      <c r="N4817" s="167"/>
      <c r="O4817" s="120"/>
      <c r="P4817" s="120"/>
      <c r="Q4817" s="120"/>
      <c r="R4817" s="120"/>
      <c r="S4817" s="120"/>
      <c r="T4817" s="221"/>
      <c r="U4817" s="89"/>
      <c r="V4817" s="61"/>
      <c r="W4817" s="92" t="s">
        <v>173</v>
      </c>
      <c r="X4817" s="93" t="s">
        <v>29</v>
      </c>
      <c r="Y4817" s="93" t="s">
        <v>93</v>
      </c>
      <c r="Z4817" s="134">
        <f>VLOOKUP(W4817,Sheet2!$B:$D,3,FALSE)</f>
        <v>36</v>
      </c>
      <c r="AA4817" s="93">
        <f>50/((2.5*2.5*4)-(3.14/4*1.2*1.2*4))</f>
        <v>2.4415969997656064</v>
      </c>
      <c r="AB4817" s="93">
        <f>AD4817/AC4811</f>
        <v>14.744448000000004</v>
      </c>
      <c r="AC4817" s="93">
        <f>AC4811/AA4817</f>
        <v>6.0943718400000195</v>
      </c>
      <c r="AD4817" s="94">
        <f>AC4817*Z4817</f>
        <v>219.39738624000071</v>
      </c>
      <c r="AE4817" s="190"/>
      <c r="AF4817" s="191"/>
      <c r="AG4817" s="191"/>
      <c r="AH4817" s="191"/>
      <c r="AI4817" s="186"/>
      <c r="AK4817" s="171"/>
    </row>
    <row r="4818" spans="1:41" s="102" customFormat="1" ht="19.899999999999999" customHeight="1" x14ac:dyDescent="0.25">
      <c r="A4818" s="45"/>
      <c r="B4818" s="59"/>
      <c r="C4818" s="137"/>
      <c r="D4818" s="59"/>
      <c r="E4818" s="116"/>
      <c r="F4818" s="120"/>
      <c r="G4818" s="120"/>
      <c r="H4818" s="120"/>
      <c r="I4818" s="60"/>
      <c r="J4818" s="116"/>
      <c r="K4818" s="213"/>
      <c r="L4818" s="120"/>
      <c r="M4818" s="120"/>
      <c r="N4818" s="167"/>
      <c r="O4818" s="120"/>
      <c r="P4818" s="120"/>
      <c r="Q4818" s="120"/>
      <c r="R4818" s="120"/>
      <c r="S4818" s="120"/>
      <c r="T4818" s="221"/>
      <c r="U4818" s="89"/>
      <c r="V4818" s="61"/>
      <c r="W4818" s="92" t="s">
        <v>65</v>
      </c>
      <c r="X4818" s="93" t="s">
        <v>30</v>
      </c>
      <c r="Y4818" s="93" t="s">
        <v>1011</v>
      </c>
      <c r="Z4818" s="134">
        <f>VLOOKUP(W4818,Sheet2!$B:$D,3,FALSE)</f>
        <v>1.76</v>
      </c>
      <c r="AA4818" s="93">
        <f>AA4817/9</f>
        <v>0.27128855552951181</v>
      </c>
      <c r="AB4818" s="93">
        <f>AD4818/AC4811</f>
        <v>6.4875571200000017</v>
      </c>
      <c r="AC4818" s="93">
        <f>AC4811/AA4818</f>
        <v>54.849346560000178</v>
      </c>
      <c r="AD4818" s="94">
        <f>AC4818*Z4818</f>
        <v>96.534849945600314</v>
      </c>
      <c r="AE4818" s="190"/>
      <c r="AF4818" s="191"/>
      <c r="AG4818" s="191"/>
      <c r="AH4818" s="191"/>
      <c r="AI4818" s="186"/>
      <c r="AK4818" s="171"/>
    </row>
    <row r="4819" spans="1:41" s="102" customFormat="1" ht="19.899999999999999" customHeight="1" x14ac:dyDescent="0.25">
      <c r="A4819" s="45"/>
      <c r="B4819" s="59"/>
      <c r="C4819" s="137"/>
      <c r="D4819" s="59"/>
      <c r="E4819" s="116"/>
      <c r="F4819" s="120"/>
      <c r="G4819" s="120"/>
      <c r="H4819" s="120"/>
      <c r="I4819" s="60"/>
      <c r="J4819" s="116"/>
      <c r="K4819" s="213"/>
      <c r="L4819" s="120"/>
      <c r="M4819" s="120"/>
      <c r="N4819" s="167"/>
      <c r="O4819" s="120"/>
      <c r="P4819" s="120"/>
      <c r="Q4819" s="120"/>
      <c r="R4819" s="120"/>
      <c r="S4819" s="120"/>
      <c r="T4819" s="221"/>
      <c r="U4819" s="89"/>
      <c r="V4819" s="61"/>
      <c r="W4819" s="92" t="s">
        <v>1030</v>
      </c>
      <c r="X4819" s="93" t="s">
        <v>29</v>
      </c>
      <c r="Y4819" s="93" t="s">
        <v>93</v>
      </c>
      <c r="Z4819" s="134">
        <f>VLOOKUP(W4819,Sheet2!$B:$D,3,FALSE)</f>
        <v>23</v>
      </c>
      <c r="AA4819" s="93">
        <f>1/(4*1)</f>
        <v>0.25</v>
      </c>
      <c r="AB4819" s="93">
        <f>AD4819/AC4811</f>
        <v>92</v>
      </c>
      <c r="AC4819" s="93">
        <f>AC4811/AA4819</f>
        <v>59.520000000000181</v>
      </c>
      <c r="AD4819" s="94">
        <f t="shared" ref="AD4819:AD4820" si="3520">AC4819*Z4819</f>
        <v>1368.9600000000041</v>
      </c>
      <c r="AE4819" s="190"/>
      <c r="AF4819" s="191"/>
      <c r="AG4819" s="191"/>
      <c r="AH4819" s="191"/>
      <c r="AI4819" s="186"/>
      <c r="AK4819" s="171"/>
    </row>
    <row r="4820" spans="1:41" s="102" customFormat="1" ht="19.899999999999999" customHeight="1" x14ac:dyDescent="0.25">
      <c r="A4820" s="45"/>
      <c r="B4820" s="59"/>
      <c r="C4820" s="137"/>
      <c r="D4820" s="59"/>
      <c r="E4820" s="116"/>
      <c r="F4820" s="120"/>
      <c r="G4820" s="120"/>
      <c r="H4820" s="120"/>
      <c r="I4820" s="60"/>
      <c r="J4820" s="116"/>
      <c r="K4820" s="213"/>
      <c r="L4820" s="120"/>
      <c r="M4820" s="120"/>
      <c r="N4820" s="167"/>
      <c r="O4820" s="120"/>
      <c r="P4820" s="120"/>
      <c r="Q4820" s="120"/>
      <c r="R4820" s="120"/>
      <c r="S4820" s="120"/>
      <c r="T4820" s="221"/>
      <c r="U4820" s="89"/>
      <c r="V4820" s="61"/>
      <c r="W4820" s="92" t="s">
        <v>65</v>
      </c>
      <c r="X4820" s="93" t="s">
        <v>30</v>
      </c>
      <c r="Y4820" s="93" t="s">
        <v>1011</v>
      </c>
      <c r="Z4820" s="134">
        <f>VLOOKUP(W4820,Sheet2!$B:$D,3,FALSE)</f>
        <v>1.76</v>
      </c>
      <c r="AA4820" s="93">
        <f>AA4819/3</f>
        <v>8.3333333333333329E-2</v>
      </c>
      <c r="AB4820" s="93">
        <f>AD4820/AC4811</f>
        <v>21.12</v>
      </c>
      <c r="AC4820" s="93">
        <f>AC4811/AA4820</f>
        <v>178.56000000000054</v>
      </c>
      <c r="AD4820" s="94">
        <f t="shared" si="3520"/>
        <v>314.26560000000097</v>
      </c>
      <c r="AE4820" s="190"/>
      <c r="AF4820" s="191"/>
      <c r="AG4820" s="191"/>
      <c r="AH4820" s="191"/>
      <c r="AI4820" s="186"/>
      <c r="AK4820" s="171"/>
    </row>
    <row r="4821" spans="1:41" ht="20.100000000000001" customHeight="1" x14ac:dyDescent="0.25">
      <c r="A4821" s="277" t="s">
        <v>491</v>
      </c>
      <c r="B4821" s="278"/>
      <c r="C4821" s="64" t="s">
        <v>579</v>
      </c>
      <c r="D4821" s="46" t="s">
        <v>215</v>
      </c>
      <c r="E4821" s="114">
        <v>11.670000000000016</v>
      </c>
      <c r="F4821" s="44">
        <v>32099</v>
      </c>
      <c r="G4821" s="44">
        <f t="shared" si="3471"/>
        <v>374595.33000000048</v>
      </c>
      <c r="H4821" s="44">
        <f t="shared" si="3472"/>
        <v>10092.991115840001</v>
      </c>
      <c r="I4821" s="43">
        <f t="shared" si="3473"/>
        <v>117785.20632185297</v>
      </c>
      <c r="J4821" s="112">
        <f t="shared" si="3474"/>
        <v>11.670000000000016</v>
      </c>
      <c r="K4821" s="211">
        <f t="shared" si="3475"/>
        <v>11.670000000000016</v>
      </c>
      <c r="L4821" s="44"/>
      <c r="M4821" s="44">
        <f t="shared" si="3499"/>
        <v>11.670000000000016</v>
      </c>
      <c r="N4821" s="173">
        <f t="shared" si="3476"/>
        <v>1</v>
      </c>
      <c r="O4821" s="44">
        <f t="shared" si="3477"/>
        <v>32099</v>
      </c>
      <c r="P4821" s="44">
        <f t="shared" si="3478"/>
        <v>374595.33000000048</v>
      </c>
      <c r="Q4821" s="44">
        <f t="shared" si="3479"/>
        <v>10092.991115840001</v>
      </c>
      <c r="R4821" s="44">
        <f t="shared" si="3500"/>
        <v>117785.20632185297</v>
      </c>
      <c r="S4821" s="123"/>
      <c r="T4821" s="219">
        <f t="shared" si="3501"/>
        <v>117785.20632185297</v>
      </c>
      <c r="U4821" s="87"/>
      <c r="V4821" s="47"/>
      <c r="W4821" s="48"/>
      <c r="X4821" s="48"/>
      <c r="Y4821" s="48"/>
      <c r="Z4821" s="135"/>
      <c r="AA4821" s="49"/>
      <c r="AB4821" s="50">
        <f t="shared" si="3480"/>
        <v>10092.991115840001</v>
      </c>
      <c r="AC4821" s="42">
        <f t="shared" si="3502"/>
        <v>11.670000000000016</v>
      </c>
      <c r="AD4821" s="90">
        <f>AD4822+AD4827+AD4834+AD4841</f>
        <v>117785.20632185297</v>
      </c>
      <c r="AE4821" s="188">
        <f t="shared" ref="AE4821" si="3521">AE4822+AE4827+AE4834+AE4841</f>
        <v>0</v>
      </c>
      <c r="AF4821" s="189">
        <f t="shared" ref="AF4821" si="3522">AF4822+AF4827+AF4834+AF4841</f>
        <v>0</v>
      </c>
      <c r="AG4821" s="189">
        <f t="shared" ref="AG4821" si="3523">AG4822+AG4827+AG4834+AG4841</f>
        <v>0</v>
      </c>
      <c r="AH4821" s="189">
        <f t="shared" ref="AH4821" si="3524">AH4822+AH4827+AH4834+AH4841</f>
        <v>0</v>
      </c>
      <c r="AI4821" s="161">
        <f t="shared" ref="AI4821" si="3525">SUM(AE4821:AH4821)</f>
        <v>0</v>
      </c>
      <c r="AK4821" s="169">
        <v>5</v>
      </c>
      <c r="AO4821" s="19" t="s">
        <v>63</v>
      </c>
    </row>
    <row r="4822" spans="1:41" s="103" customFormat="1" ht="19.899999999999999" customHeight="1" x14ac:dyDescent="0.25">
      <c r="A4822" s="51"/>
      <c r="B4822" s="52"/>
      <c r="C4822" s="165"/>
      <c r="D4822" s="52"/>
      <c r="E4822" s="115"/>
      <c r="F4822" s="58"/>
      <c r="G4822" s="58"/>
      <c r="H4822" s="58"/>
      <c r="I4822" s="55"/>
      <c r="J4822" s="113">
        <f>J4821</f>
        <v>11.670000000000016</v>
      </c>
      <c r="K4822" s="212">
        <f>K4821</f>
        <v>11.670000000000016</v>
      </c>
      <c r="L4822" s="58"/>
      <c r="M4822" s="58">
        <f>K4822-L4822</f>
        <v>11.670000000000016</v>
      </c>
      <c r="N4822" s="166"/>
      <c r="O4822" s="58"/>
      <c r="P4822" s="58"/>
      <c r="Q4822" s="58"/>
      <c r="R4822" s="58"/>
      <c r="S4822" s="58"/>
      <c r="T4822" s="220"/>
      <c r="U4822" s="88"/>
      <c r="V4822" s="56"/>
      <c r="W4822" s="57" t="s">
        <v>1508</v>
      </c>
      <c r="X4822" s="53"/>
      <c r="Y4822" s="91" t="s">
        <v>35</v>
      </c>
      <c r="Z4822" s="136">
        <f>AD4822/AC4822</f>
        <v>113.12117647058824</v>
      </c>
      <c r="AA4822" s="58"/>
      <c r="AB4822" s="53">
        <f>AD4822/AC4822</f>
        <v>113.12117647058824</v>
      </c>
      <c r="AC4822" s="53">
        <f>M4822+$AE$10</f>
        <v>11.670000000000016</v>
      </c>
      <c r="AD4822" s="54">
        <f>SUM(AD4823:AD4826)</f>
        <v>1320.1241294117665</v>
      </c>
      <c r="AE4822" s="184">
        <f>SUMIFS($AD$37:$AD$12971,$V$37:$V$12971,$V4822,$X$37:$X$12971,AE$13)</f>
        <v>0</v>
      </c>
      <c r="AF4822" s="185">
        <f>SUMIFS($AD$37:$AD$12971,$V$37:$V$12971,$V4822,$X$37:$X$12971,AF$13)</f>
        <v>0</v>
      </c>
      <c r="AG4822" s="185">
        <f>SUMIFS($AD$37:$AD$12971,$V$37:$V$12971,$V4822,$X$37:$X$12971,AG$13)</f>
        <v>0</v>
      </c>
      <c r="AH4822" s="187">
        <f>SUMIFS($AD$37:$AD$12971,$V$37:$V$12971,$V4822,$X$37:$X$12971,AH$13)</f>
        <v>0</v>
      </c>
      <c r="AI4822" s="161">
        <f t="shared" ref="AI4822" si="3526">SUM(AE4822:AH4822)</f>
        <v>0</v>
      </c>
      <c r="AK4822" s="172"/>
    </row>
    <row r="4823" spans="1:41" s="102" customFormat="1" ht="19.899999999999999" customHeight="1" x14ac:dyDescent="0.25">
      <c r="A4823" s="45"/>
      <c r="B4823" s="59"/>
      <c r="C4823" s="137"/>
      <c r="D4823" s="59"/>
      <c r="E4823" s="116"/>
      <c r="F4823" s="120"/>
      <c r="G4823" s="120"/>
      <c r="H4823" s="120"/>
      <c r="I4823" s="60"/>
      <c r="J4823" s="116"/>
      <c r="K4823" s="213"/>
      <c r="L4823" s="120"/>
      <c r="M4823" s="120"/>
      <c r="N4823" s="167"/>
      <c r="O4823" s="120"/>
      <c r="P4823" s="120"/>
      <c r="Q4823" s="120"/>
      <c r="R4823" s="120"/>
      <c r="S4823" s="120"/>
      <c r="T4823" s="221"/>
      <c r="U4823" s="89"/>
      <c r="V4823" s="61"/>
      <c r="W4823" s="92" t="s">
        <v>129</v>
      </c>
      <c r="X4823" s="93" t="s">
        <v>29</v>
      </c>
      <c r="Y4823" s="93" t="s">
        <v>93</v>
      </c>
      <c r="Z4823" s="134">
        <f>VLOOKUP(W4823,Sheet2!$B:$D,3,FALSE)</f>
        <v>56</v>
      </c>
      <c r="AA4823" s="93">
        <f>100/(2.5*2.5*4.5)</f>
        <v>3.5555555555555554</v>
      </c>
      <c r="AB4823" s="93">
        <f t="shared" ref="AB4823" si="3527">AD4823/AC4822</f>
        <v>15.749999999999998</v>
      </c>
      <c r="AC4823" s="93">
        <f>AC4822/AA4823</f>
        <v>3.2821875000000045</v>
      </c>
      <c r="AD4823" s="94">
        <f t="shared" ref="AD4823:AD4824" si="3528">AC4823*Z4823</f>
        <v>183.80250000000024</v>
      </c>
      <c r="AE4823" s="190"/>
      <c r="AF4823" s="191"/>
      <c r="AG4823" s="191"/>
      <c r="AH4823" s="191"/>
      <c r="AI4823" s="186"/>
      <c r="AK4823" s="171"/>
    </row>
    <row r="4824" spans="1:41" s="102" customFormat="1" ht="19.899999999999999" customHeight="1" x14ac:dyDescent="0.25">
      <c r="A4824" s="45"/>
      <c r="B4824" s="59"/>
      <c r="C4824" s="137"/>
      <c r="D4824" s="59"/>
      <c r="E4824" s="116"/>
      <c r="F4824" s="120"/>
      <c r="G4824" s="120"/>
      <c r="H4824" s="120"/>
      <c r="I4824" s="60"/>
      <c r="J4824" s="116"/>
      <c r="K4824" s="213"/>
      <c r="L4824" s="120"/>
      <c r="M4824" s="120"/>
      <c r="N4824" s="167"/>
      <c r="O4824" s="120"/>
      <c r="P4824" s="120"/>
      <c r="Q4824" s="120"/>
      <c r="R4824" s="120"/>
      <c r="S4824" s="120"/>
      <c r="T4824" s="221"/>
      <c r="U4824" s="89"/>
      <c r="V4824" s="61"/>
      <c r="W4824" s="92" t="s">
        <v>65</v>
      </c>
      <c r="X4824" s="93" t="s">
        <v>30</v>
      </c>
      <c r="Y4824" s="93" t="s">
        <v>1011</v>
      </c>
      <c r="Z4824" s="134">
        <f>VLOOKUP(W4824,Sheet2!$B:$D,3,FALSE)</f>
        <v>1.76</v>
      </c>
      <c r="AA4824" s="93">
        <f>AA4823/14</f>
        <v>0.25396825396825395</v>
      </c>
      <c r="AB4824" s="93">
        <f>AD4824/AC4822</f>
        <v>6.9300000000000006</v>
      </c>
      <c r="AC4824" s="93">
        <f>AC4822/AA4824</f>
        <v>45.950625000000066</v>
      </c>
      <c r="AD4824" s="94">
        <f t="shared" si="3528"/>
        <v>80.873100000000122</v>
      </c>
      <c r="AE4824" s="190"/>
      <c r="AF4824" s="191"/>
      <c r="AG4824" s="191"/>
      <c r="AH4824" s="191"/>
      <c r="AI4824" s="186"/>
      <c r="AK4824" s="171"/>
    </row>
    <row r="4825" spans="1:41" s="102" customFormat="1" ht="19.899999999999999" customHeight="1" x14ac:dyDescent="0.25">
      <c r="A4825" s="45"/>
      <c r="B4825" s="59"/>
      <c r="C4825" s="137"/>
      <c r="D4825" s="59"/>
      <c r="E4825" s="116"/>
      <c r="F4825" s="120"/>
      <c r="G4825" s="120"/>
      <c r="H4825" s="120"/>
      <c r="I4825" s="60"/>
      <c r="J4825" s="116"/>
      <c r="K4825" s="213"/>
      <c r="L4825" s="120"/>
      <c r="M4825" s="120"/>
      <c r="N4825" s="167"/>
      <c r="O4825" s="120"/>
      <c r="P4825" s="120"/>
      <c r="Q4825" s="120"/>
      <c r="R4825" s="120"/>
      <c r="S4825" s="120"/>
      <c r="T4825" s="221"/>
      <c r="U4825" s="89"/>
      <c r="V4825" s="61"/>
      <c r="W4825" s="92" t="s">
        <v>161</v>
      </c>
      <c r="X4825" s="93" t="s">
        <v>29</v>
      </c>
      <c r="Y4825" s="93" t="s">
        <v>93</v>
      </c>
      <c r="Z4825" s="134">
        <f>VLOOKUP(W4825,Sheet2!$B:$D,3,FALSE)</f>
        <v>48</v>
      </c>
      <c r="AA4825" s="93">
        <f>(16*0.85*1.5)/(2.5*2.5*4.5)</f>
        <v>0.72533333333333327</v>
      </c>
      <c r="AB4825" s="93">
        <f>AD4825/AC4822</f>
        <v>66.176470588235304</v>
      </c>
      <c r="AC4825" s="93">
        <f>AC4822/AA4825</f>
        <v>16.089154411764728</v>
      </c>
      <c r="AD4825" s="94">
        <f>AC4825*Z4825</f>
        <v>772.27941176470699</v>
      </c>
      <c r="AE4825" s="190"/>
      <c r="AF4825" s="191"/>
      <c r="AG4825" s="191"/>
      <c r="AH4825" s="191"/>
      <c r="AI4825" s="186"/>
      <c r="AK4825" s="171"/>
    </row>
    <row r="4826" spans="1:41" s="102" customFormat="1" ht="19.899999999999999" customHeight="1" x14ac:dyDescent="0.25">
      <c r="A4826" s="45"/>
      <c r="B4826" s="59"/>
      <c r="C4826" s="137"/>
      <c r="D4826" s="59"/>
      <c r="E4826" s="116"/>
      <c r="F4826" s="120"/>
      <c r="G4826" s="120"/>
      <c r="H4826" s="120"/>
      <c r="I4826" s="60"/>
      <c r="J4826" s="116"/>
      <c r="K4826" s="213"/>
      <c r="L4826" s="120"/>
      <c r="M4826" s="120"/>
      <c r="N4826" s="167"/>
      <c r="O4826" s="120"/>
      <c r="P4826" s="120"/>
      <c r="Q4826" s="120"/>
      <c r="R4826" s="120"/>
      <c r="S4826" s="120"/>
      <c r="T4826" s="221"/>
      <c r="U4826" s="89"/>
      <c r="V4826" s="61"/>
      <c r="W4826" s="92" t="s">
        <v>65</v>
      </c>
      <c r="X4826" s="93" t="s">
        <v>30</v>
      </c>
      <c r="Y4826" s="93" t="s">
        <v>1011</v>
      </c>
      <c r="Z4826" s="134">
        <f>VLOOKUP(W4826,Sheet2!$B:$D,3,FALSE)</f>
        <v>1.76</v>
      </c>
      <c r="AA4826" s="93">
        <f>AA4825/10</f>
        <v>7.2533333333333325E-2</v>
      </c>
      <c r="AB4826" s="93">
        <f>AD4826/AC4822</f>
        <v>24.264705882352942</v>
      </c>
      <c r="AC4826" s="93">
        <f>AC4822/AA4826</f>
        <v>160.8915441176473</v>
      </c>
      <c r="AD4826" s="94">
        <f>AC4826*Z4826</f>
        <v>283.16911764705924</v>
      </c>
      <c r="AE4826" s="190"/>
      <c r="AF4826" s="191"/>
      <c r="AG4826" s="191"/>
      <c r="AH4826" s="191"/>
      <c r="AI4826" s="186"/>
      <c r="AK4826" s="171"/>
    </row>
    <row r="4827" spans="1:41" s="103" customFormat="1" ht="19.899999999999999" customHeight="1" x14ac:dyDescent="0.25">
      <c r="A4827" s="51"/>
      <c r="B4827" s="52"/>
      <c r="C4827" s="165"/>
      <c r="D4827" s="52"/>
      <c r="E4827" s="115"/>
      <c r="F4827" s="58"/>
      <c r="G4827" s="58"/>
      <c r="H4827" s="58"/>
      <c r="I4827" s="55"/>
      <c r="J4827" s="113">
        <f>J4821</f>
        <v>11.670000000000016</v>
      </c>
      <c r="K4827" s="212">
        <f>K4821</f>
        <v>11.670000000000016</v>
      </c>
      <c r="L4827" s="58"/>
      <c r="M4827" s="58">
        <f>K4827-L4827</f>
        <v>11.670000000000016</v>
      </c>
      <c r="N4827" s="166"/>
      <c r="O4827" s="58"/>
      <c r="P4827" s="58"/>
      <c r="Q4827" s="58"/>
      <c r="R4827" s="58"/>
      <c r="S4827" s="58"/>
      <c r="T4827" s="220"/>
      <c r="U4827" s="88"/>
      <c r="V4827" s="56"/>
      <c r="W4827" s="57" t="s">
        <v>1486</v>
      </c>
      <c r="X4827" s="53"/>
      <c r="Y4827" s="91" t="s">
        <v>35</v>
      </c>
      <c r="Z4827" s="136">
        <f>AD4827/AC4827</f>
        <v>1432.6959999999999</v>
      </c>
      <c r="AA4827" s="58"/>
      <c r="AB4827" s="53">
        <f>AD4827/AC4827</f>
        <v>1432.6959999999999</v>
      </c>
      <c r="AC4827" s="53">
        <f>M4827+$AE$10</f>
        <v>11.670000000000016</v>
      </c>
      <c r="AD4827" s="54">
        <f>SUM(AD4828:AD4833)</f>
        <v>16719.562320000023</v>
      </c>
      <c r="AE4827" s="184">
        <f>SUMIFS($AD$37:$AD$12971,$V$37:$V$12971,$V4827,$X$37:$X$12971,AE$13)</f>
        <v>0</v>
      </c>
      <c r="AF4827" s="185">
        <f>SUMIFS($AD$37:$AD$12971,$V$37:$V$12971,$V4827,$X$37:$X$12971,AF$13)</f>
        <v>0</v>
      </c>
      <c r="AG4827" s="185">
        <f>SUMIFS($AD$37:$AD$12971,$V$37:$V$12971,$V4827,$X$37:$X$12971,AG$13)</f>
        <v>0</v>
      </c>
      <c r="AH4827" s="187">
        <f>SUMIFS($AD$37:$AD$12971,$V$37:$V$12971,$V4827,$X$37:$X$12971,AH$13)</f>
        <v>0</v>
      </c>
      <c r="AI4827" s="161">
        <f t="shared" ref="AI4827" si="3529">SUM(AE4827:AH4827)</f>
        <v>0</v>
      </c>
      <c r="AK4827" s="172"/>
    </row>
    <row r="4828" spans="1:41" s="102" customFormat="1" ht="19.899999999999999" customHeight="1" x14ac:dyDescent="0.25">
      <c r="A4828" s="45"/>
      <c r="B4828" s="59"/>
      <c r="C4828" s="137"/>
      <c r="D4828" s="59"/>
      <c r="E4828" s="116"/>
      <c r="F4828" s="120"/>
      <c r="G4828" s="120"/>
      <c r="H4828" s="120"/>
      <c r="I4828" s="60"/>
      <c r="J4828" s="116"/>
      <c r="K4828" s="213"/>
      <c r="L4828" s="120"/>
      <c r="M4828" s="120"/>
      <c r="N4828" s="167"/>
      <c r="O4828" s="120"/>
      <c r="P4828" s="120"/>
      <c r="Q4828" s="120"/>
      <c r="R4828" s="120"/>
      <c r="S4828" s="120"/>
      <c r="T4828" s="221"/>
      <c r="U4828" s="89"/>
      <c r="V4828" s="61"/>
      <c r="W4828" s="92" t="s">
        <v>1032</v>
      </c>
      <c r="X4828" s="93" t="s">
        <v>30</v>
      </c>
      <c r="Y4828" s="93" t="s">
        <v>66</v>
      </c>
      <c r="Z4828" s="134">
        <f>VLOOKUP(W4828,Sheet2!$B:$D,3,FALSE)</f>
        <v>250</v>
      </c>
      <c r="AA4828" s="93">
        <f>1/(2.1*2.1*0.1)</f>
        <v>2.2675736961451243</v>
      </c>
      <c r="AB4828" s="93">
        <f>AD4828/AC4834</f>
        <v>110.25000000000001</v>
      </c>
      <c r="AC4828" s="93">
        <f>AC4834/AA4828</f>
        <v>5.1464700000000079</v>
      </c>
      <c r="AD4828" s="94">
        <f t="shared" ref="AD4828:AD4830" si="3530">AC4828*Z4828</f>
        <v>1286.6175000000019</v>
      </c>
      <c r="AE4828" s="190"/>
      <c r="AF4828" s="191"/>
      <c r="AG4828" s="191"/>
      <c r="AH4828" s="191"/>
      <c r="AI4828" s="186"/>
      <c r="AK4828" s="171"/>
    </row>
    <row r="4829" spans="1:41" s="102" customFormat="1" ht="19.899999999999999" customHeight="1" x14ac:dyDescent="0.25">
      <c r="A4829" s="45"/>
      <c r="B4829" s="59"/>
      <c r="C4829" s="137"/>
      <c r="D4829" s="59"/>
      <c r="E4829" s="116"/>
      <c r="F4829" s="120"/>
      <c r="G4829" s="120"/>
      <c r="H4829" s="120"/>
      <c r="I4829" s="60"/>
      <c r="J4829" s="116"/>
      <c r="K4829" s="213"/>
      <c r="L4829" s="120"/>
      <c r="M4829" s="120"/>
      <c r="N4829" s="167"/>
      <c r="O4829" s="120"/>
      <c r="P4829" s="120"/>
      <c r="Q4829" s="120"/>
      <c r="R4829" s="120"/>
      <c r="S4829" s="120"/>
      <c r="T4829" s="221"/>
      <c r="U4829" s="89"/>
      <c r="V4829" s="61"/>
      <c r="W4829" s="92" t="s">
        <v>1353</v>
      </c>
      <c r="X4829" s="93" t="s">
        <v>30</v>
      </c>
      <c r="Y4829" s="93" t="s">
        <v>66</v>
      </c>
      <c r="Z4829" s="134">
        <f>VLOOKUP(W4829,Sheet2!$B:$D,3,FALSE)</f>
        <v>350</v>
      </c>
      <c r="AA4829" s="93">
        <f>1/(2*2*0.3)</f>
        <v>0.83333333333333337</v>
      </c>
      <c r="AB4829" s="93">
        <f>AD4829/AC4834</f>
        <v>420</v>
      </c>
      <c r="AC4829" s="93">
        <f>AC4834/AA4829</f>
        <v>14.004000000000019</v>
      </c>
      <c r="AD4829" s="94">
        <f t="shared" si="3530"/>
        <v>4901.4000000000069</v>
      </c>
      <c r="AE4829" s="190"/>
      <c r="AF4829" s="191"/>
      <c r="AG4829" s="191"/>
      <c r="AH4829" s="191"/>
      <c r="AI4829" s="186"/>
      <c r="AK4829" s="171"/>
    </row>
    <row r="4830" spans="1:41" s="102" customFormat="1" ht="19.899999999999999" customHeight="1" x14ac:dyDescent="0.25">
      <c r="A4830" s="45"/>
      <c r="B4830" s="59"/>
      <c r="C4830" s="137"/>
      <c r="D4830" s="59"/>
      <c r="E4830" s="116"/>
      <c r="F4830" s="120"/>
      <c r="G4830" s="120"/>
      <c r="H4830" s="120"/>
      <c r="I4830" s="60"/>
      <c r="J4830" s="116"/>
      <c r="K4830" s="213"/>
      <c r="L4830" s="120"/>
      <c r="M4830" s="120"/>
      <c r="N4830" s="167"/>
      <c r="O4830" s="120"/>
      <c r="P4830" s="120"/>
      <c r="Q4830" s="120"/>
      <c r="R4830" s="120"/>
      <c r="S4830" s="120"/>
      <c r="T4830" s="221"/>
      <c r="U4830" s="89"/>
      <c r="V4830" s="61"/>
      <c r="W4830" s="92" t="s">
        <v>99</v>
      </c>
      <c r="X4830" s="93" t="s">
        <v>30</v>
      </c>
      <c r="Y4830" s="93" t="s">
        <v>67</v>
      </c>
      <c r="Z4830" s="134">
        <f>VLOOKUP(W4830,Sheet2!$B:$D,3,FALSE)</f>
        <v>2500</v>
      </c>
      <c r="AA4830" s="93">
        <f>AA4829/0.08</f>
        <v>10.416666666666666</v>
      </c>
      <c r="AB4830" s="93">
        <f>AD4830/AC4834</f>
        <v>240</v>
      </c>
      <c r="AC4830" s="93">
        <f>AC4834/AA4830</f>
        <v>1.1203200000000015</v>
      </c>
      <c r="AD4830" s="94">
        <f t="shared" si="3530"/>
        <v>2800.8000000000038</v>
      </c>
      <c r="AE4830" s="190"/>
      <c r="AF4830" s="191"/>
      <c r="AG4830" s="191"/>
      <c r="AH4830" s="191"/>
      <c r="AI4830" s="186"/>
      <c r="AK4830" s="171"/>
    </row>
    <row r="4831" spans="1:41" s="102" customFormat="1" ht="19.899999999999999" customHeight="1" x14ac:dyDescent="0.25">
      <c r="A4831" s="45"/>
      <c r="B4831" s="59"/>
      <c r="C4831" s="137"/>
      <c r="D4831" s="59"/>
      <c r="E4831" s="116"/>
      <c r="F4831" s="120"/>
      <c r="G4831" s="120"/>
      <c r="H4831" s="120"/>
      <c r="I4831" s="60"/>
      <c r="J4831" s="116"/>
      <c r="K4831" s="213"/>
      <c r="L4831" s="120"/>
      <c r="M4831" s="120"/>
      <c r="N4831" s="167"/>
      <c r="O4831" s="120"/>
      <c r="P4831" s="120"/>
      <c r="Q4831" s="120"/>
      <c r="R4831" s="120"/>
      <c r="S4831" s="120"/>
      <c r="T4831" s="221"/>
      <c r="U4831" s="89"/>
      <c r="V4831" s="61"/>
      <c r="W4831" s="92" t="s">
        <v>1354</v>
      </c>
      <c r="X4831" s="93" t="s">
        <v>32</v>
      </c>
      <c r="Y4831" s="93" t="s">
        <v>66</v>
      </c>
      <c r="Z4831" s="134">
        <f>VLOOKUP(W4831,Sheet2!$B:$D,3,FALSE)</f>
        <v>150</v>
      </c>
      <c r="AA4831" s="93">
        <f>AA4828</f>
        <v>2.2675736961451243</v>
      </c>
      <c r="AB4831" s="93">
        <f>AD4831/AC4834</f>
        <v>66.150000000000006</v>
      </c>
      <c r="AC4831" s="93">
        <f>AC4834/AA4831</f>
        <v>5.1464700000000079</v>
      </c>
      <c r="AD4831" s="94">
        <f>AC4831*Z4831</f>
        <v>771.97050000000115</v>
      </c>
      <c r="AE4831" s="190"/>
      <c r="AF4831" s="191"/>
      <c r="AG4831" s="191"/>
      <c r="AH4831" s="191"/>
      <c r="AI4831" s="186"/>
      <c r="AK4831" s="171"/>
    </row>
    <row r="4832" spans="1:41" s="102" customFormat="1" ht="19.899999999999999" customHeight="1" x14ac:dyDescent="0.25">
      <c r="A4832" s="45"/>
      <c r="B4832" s="59"/>
      <c r="C4832" s="137"/>
      <c r="D4832" s="59"/>
      <c r="E4832" s="116"/>
      <c r="F4832" s="120"/>
      <c r="G4832" s="120"/>
      <c r="H4832" s="120"/>
      <c r="I4832" s="60"/>
      <c r="J4832" s="116"/>
      <c r="K4832" s="213"/>
      <c r="L4832" s="120"/>
      <c r="M4832" s="120"/>
      <c r="N4832" s="167"/>
      <c r="O4832" s="120"/>
      <c r="P4832" s="120"/>
      <c r="Q4832" s="120"/>
      <c r="R4832" s="120"/>
      <c r="S4832" s="120"/>
      <c r="T4832" s="221"/>
      <c r="U4832" s="89"/>
      <c r="V4832" s="61"/>
      <c r="W4832" s="92" t="s">
        <v>1355</v>
      </c>
      <c r="X4832" s="93" t="s">
        <v>32</v>
      </c>
      <c r="Y4832" s="93" t="s">
        <v>66</v>
      </c>
      <c r="Z4832" s="134">
        <f>VLOOKUP(W4832,Sheet2!$B:$D,3,FALSE)</f>
        <v>450</v>
      </c>
      <c r="AA4832" s="93">
        <f>AA4829</f>
        <v>0.83333333333333337</v>
      </c>
      <c r="AB4832" s="93">
        <f>AD4832/AC4834</f>
        <v>540</v>
      </c>
      <c r="AC4832" s="93">
        <f>AC4834/AA4832</f>
        <v>14.004000000000019</v>
      </c>
      <c r="AD4832" s="94">
        <f>AC4832*Z4832</f>
        <v>6301.8000000000084</v>
      </c>
      <c r="AE4832" s="190"/>
      <c r="AF4832" s="191"/>
      <c r="AG4832" s="191"/>
      <c r="AH4832" s="191"/>
      <c r="AI4832" s="186"/>
      <c r="AK4832" s="171"/>
    </row>
    <row r="4833" spans="1:37" s="102" customFormat="1" ht="19.899999999999999" customHeight="1" x14ac:dyDescent="0.25">
      <c r="A4833" s="45"/>
      <c r="B4833" s="59"/>
      <c r="C4833" s="137"/>
      <c r="D4833" s="59"/>
      <c r="E4833" s="116"/>
      <c r="F4833" s="120"/>
      <c r="G4833" s="120"/>
      <c r="H4833" s="120"/>
      <c r="I4833" s="60"/>
      <c r="J4833" s="116"/>
      <c r="K4833" s="213"/>
      <c r="L4833" s="120"/>
      <c r="M4833" s="120"/>
      <c r="N4833" s="167"/>
      <c r="O4833" s="120"/>
      <c r="P4833" s="120"/>
      <c r="Q4833" s="120"/>
      <c r="R4833" s="120"/>
      <c r="S4833" s="120"/>
      <c r="T4833" s="221"/>
      <c r="U4833" s="89"/>
      <c r="V4833" s="61"/>
      <c r="W4833" s="92" t="s">
        <v>124</v>
      </c>
      <c r="X4833" s="93" t="s">
        <v>32</v>
      </c>
      <c r="Y4833" s="93" t="s">
        <v>64</v>
      </c>
      <c r="Z4833" s="134">
        <f>VLOOKUP(W4833,Sheet2!$B:$D,3,FALSE)</f>
        <v>10</v>
      </c>
      <c r="AA4833" s="93">
        <f>1/((2.6*2.6)-(3.14*1.2*1.2/4))</f>
        <v>0.17763251385533604</v>
      </c>
      <c r="AB4833" s="93">
        <f t="shared" ref="AB4833" si="3531">AD4833/AC4827</f>
        <v>56.296000000000014</v>
      </c>
      <c r="AC4833" s="93">
        <f>AC4827/AA4833</f>
        <v>65.697432000000106</v>
      </c>
      <c r="AD4833" s="94">
        <f t="shared" ref="AD4833" si="3532">AC4833*Z4833</f>
        <v>656.97432000000106</v>
      </c>
      <c r="AE4833" s="190"/>
      <c r="AF4833" s="191"/>
      <c r="AG4833" s="191"/>
      <c r="AH4833" s="191"/>
      <c r="AI4833" s="186"/>
      <c r="AK4833" s="171"/>
    </row>
    <row r="4834" spans="1:37" s="103" customFormat="1" ht="19.899999999999999" customHeight="1" x14ac:dyDescent="0.25">
      <c r="A4834" s="51"/>
      <c r="B4834" s="52"/>
      <c r="C4834" s="165"/>
      <c r="D4834" s="52"/>
      <c r="E4834" s="115"/>
      <c r="F4834" s="58"/>
      <c r="G4834" s="58"/>
      <c r="H4834" s="58"/>
      <c r="I4834" s="55"/>
      <c r="J4834" s="113">
        <f>J4821</f>
        <v>11.670000000000016</v>
      </c>
      <c r="K4834" s="212">
        <f>K4821</f>
        <v>11.670000000000016</v>
      </c>
      <c r="L4834" s="58"/>
      <c r="M4834" s="58">
        <f>K4834-L4834</f>
        <v>11.670000000000016</v>
      </c>
      <c r="N4834" s="166"/>
      <c r="O4834" s="58"/>
      <c r="P4834" s="58"/>
      <c r="Q4834" s="58"/>
      <c r="R4834" s="58"/>
      <c r="S4834" s="58"/>
      <c r="T4834" s="220"/>
      <c r="U4834" s="88"/>
      <c r="V4834" s="56"/>
      <c r="W4834" s="57" t="s">
        <v>1275</v>
      </c>
      <c r="X4834" s="53"/>
      <c r="Y4834" s="91" t="s">
        <v>35</v>
      </c>
      <c r="Z4834" s="136">
        <f>AD4834/AC4834</f>
        <v>8072.8</v>
      </c>
      <c r="AA4834" s="58"/>
      <c r="AB4834" s="53">
        <f>AD4834/AC4834</f>
        <v>8072.8</v>
      </c>
      <c r="AC4834" s="53">
        <f>M4834+$AE$10</f>
        <v>11.670000000000016</v>
      </c>
      <c r="AD4834" s="54">
        <f>SUM(AD4835:AD4840)</f>
        <v>94209.576000000132</v>
      </c>
      <c r="AE4834" s="184">
        <f>SUMIFS($AD$37:$AD$12971,$V$37:$V$12971,$V4834,$X$37:$X$12971,AE$13)</f>
        <v>0</v>
      </c>
      <c r="AF4834" s="185">
        <f>SUMIFS($AD$37:$AD$12971,$V$37:$V$12971,$V4834,$X$37:$X$12971,AF$13)</f>
        <v>0</v>
      </c>
      <c r="AG4834" s="185">
        <f>SUMIFS($AD$37:$AD$12971,$V$37:$V$12971,$V4834,$X$37:$X$12971,AG$13)</f>
        <v>0</v>
      </c>
      <c r="AH4834" s="187">
        <f>SUMIFS($AD$37:$AD$12971,$V$37:$V$12971,$V4834,$X$37:$X$12971,AH$13)</f>
        <v>0</v>
      </c>
      <c r="AI4834" s="161">
        <f t="shared" ref="AI4834" si="3533">SUM(AE4834:AH4834)</f>
        <v>0</v>
      </c>
      <c r="AK4834" s="172"/>
    </row>
    <row r="4835" spans="1:37" s="102" customFormat="1" ht="19.899999999999999" customHeight="1" x14ac:dyDescent="0.25">
      <c r="A4835" s="45"/>
      <c r="B4835" s="59"/>
      <c r="C4835" s="137"/>
      <c r="D4835" s="59"/>
      <c r="E4835" s="116"/>
      <c r="F4835" s="120"/>
      <c r="G4835" s="120"/>
      <c r="H4835" s="120"/>
      <c r="I4835" s="60"/>
      <c r="J4835" s="116"/>
      <c r="K4835" s="213"/>
      <c r="L4835" s="120"/>
      <c r="M4835" s="120"/>
      <c r="N4835" s="167"/>
      <c r="O4835" s="120"/>
      <c r="P4835" s="120"/>
      <c r="Q4835" s="120"/>
      <c r="R4835" s="120"/>
      <c r="S4835" s="120"/>
      <c r="T4835" s="221"/>
      <c r="U4835" s="89"/>
      <c r="V4835" s="61"/>
      <c r="W4835" s="92" t="s">
        <v>1493</v>
      </c>
      <c r="X4835" s="93" t="s">
        <v>30</v>
      </c>
      <c r="Y4835" s="93" t="s">
        <v>35</v>
      </c>
      <c r="Z4835" s="134">
        <f>VLOOKUP(W4835,Sheet2!$B:$D,3,FALSE)</f>
        <v>6300</v>
      </c>
      <c r="AA4835" s="93">
        <v>1</v>
      </c>
      <c r="AB4835" s="93">
        <f>AD4835/AC4834</f>
        <v>6300</v>
      </c>
      <c r="AC4835" s="93">
        <f>AC4834/AA4835</f>
        <v>11.670000000000016</v>
      </c>
      <c r="AD4835" s="94">
        <f t="shared" ref="AD4835:AD4836" si="3534">AC4835*Z4835</f>
        <v>73521.000000000102</v>
      </c>
      <c r="AE4835" s="190"/>
      <c r="AF4835" s="191"/>
      <c r="AG4835" s="191"/>
      <c r="AH4835" s="191"/>
      <c r="AI4835" s="186"/>
      <c r="AK4835" s="171"/>
    </row>
    <row r="4836" spans="1:37" s="102" customFormat="1" ht="19.899999999999999" customHeight="1" x14ac:dyDescent="0.25">
      <c r="A4836" s="45"/>
      <c r="B4836" s="59"/>
      <c r="C4836" s="137"/>
      <c r="D4836" s="59"/>
      <c r="E4836" s="116"/>
      <c r="F4836" s="120"/>
      <c r="G4836" s="120"/>
      <c r="H4836" s="120"/>
      <c r="I4836" s="60"/>
      <c r="J4836" s="116"/>
      <c r="K4836" s="213"/>
      <c r="L4836" s="120"/>
      <c r="M4836" s="120"/>
      <c r="N4836" s="167"/>
      <c r="O4836" s="120"/>
      <c r="P4836" s="120"/>
      <c r="Q4836" s="120"/>
      <c r="R4836" s="120"/>
      <c r="S4836" s="120"/>
      <c r="T4836" s="221"/>
      <c r="U4836" s="89"/>
      <c r="V4836" s="61"/>
      <c r="W4836" s="92" t="s">
        <v>174</v>
      </c>
      <c r="X4836" s="93" t="s">
        <v>29</v>
      </c>
      <c r="Y4836" s="93" t="s">
        <v>93</v>
      </c>
      <c r="Z4836" s="134">
        <f>VLOOKUP(W4836,Sheet2!$B:$D,3,FALSE)</f>
        <v>80</v>
      </c>
      <c r="AA4836" s="93">
        <f>1/2</f>
        <v>0.5</v>
      </c>
      <c r="AB4836" s="93">
        <f>AD4836/AC4834</f>
        <v>160</v>
      </c>
      <c r="AC4836" s="93">
        <f>AC4834/AA4836</f>
        <v>23.340000000000032</v>
      </c>
      <c r="AD4836" s="94">
        <f t="shared" si="3534"/>
        <v>1867.2000000000025</v>
      </c>
      <c r="AE4836" s="190"/>
      <c r="AF4836" s="191"/>
      <c r="AG4836" s="191"/>
      <c r="AH4836" s="191"/>
      <c r="AI4836" s="186"/>
      <c r="AK4836" s="171"/>
    </row>
    <row r="4837" spans="1:37" s="102" customFormat="1" ht="19.899999999999999" customHeight="1" x14ac:dyDescent="0.25">
      <c r="A4837" s="45"/>
      <c r="B4837" s="59"/>
      <c r="C4837" s="137"/>
      <c r="D4837" s="59"/>
      <c r="E4837" s="116"/>
      <c r="F4837" s="120"/>
      <c r="G4837" s="120"/>
      <c r="H4837" s="120"/>
      <c r="I4837" s="60"/>
      <c r="J4837" s="116"/>
      <c r="K4837" s="213"/>
      <c r="L4837" s="120"/>
      <c r="M4837" s="120"/>
      <c r="N4837" s="167"/>
      <c r="O4837" s="120"/>
      <c r="P4837" s="120"/>
      <c r="Q4837" s="120"/>
      <c r="R4837" s="120"/>
      <c r="S4837" s="120"/>
      <c r="T4837" s="221"/>
      <c r="U4837" s="89"/>
      <c r="V4837" s="61"/>
      <c r="W4837" s="92" t="s">
        <v>65</v>
      </c>
      <c r="X4837" s="93" t="s">
        <v>30</v>
      </c>
      <c r="Y4837" s="93" t="s">
        <v>93</v>
      </c>
      <c r="Z4837" s="134">
        <f>VLOOKUP(W4837,Sheet2!$B:$D,3,FALSE)</f>
        <v>1.76</v>
      </c>
      <c r="AA4837" s="93">
        <f>AA4836/15</f>
        <v>3.3333333333333333E-2</v>
      </c>
      <c r="AB4837" s="93">
        <f>AD4837/AC4834</f>
        <v>52.8</v>
      </c>
      <c r="AC4837" s="93">
        <f>AC4834/AA4837</f>
        <v>350.10000000000048</v>
      </c>
      <c r="AD4837" s="94">
        <f>AC4837*Z4837</f>
        <v>616.17600000000084</v>
      </c>
      <c r="AE4837" s="190"/>
      <c r="AF4837" s="191"/>
      <c r="AG4837" s="191"/>
      <c r="AH4837" s="191"/>
      <c r="AI4837" s="186"/>
      <c r="AK4837" s="171"/>
    </row>
    <row r="4838" spans="1:37" s="102" customFormat="1" ht="19.899999999999999" customHeight="1" x14ac:dyDescent="0.25">
      <c r="A4838" s="45"/>
      <c r="B4838" s="59"/>
      <c r="C4838" s="137"/>
      <c r="D4838" s="59"/>
      <c r="E4838" s="116"/>
      <c r="F4838" s="120"/>
      <c r="G4838" s="120"/>
      <c r="H4838" s="120"/>
      <c r="I4838" s="60"/>
      <c r="J4838" s="116"/>
      <c r="K4838" s="213"/>
      <c r="L4838" s="120"/>
      <c r="M4838" s="120"/>
      <c r="N4838" s="167"/>
      <c r="O4838" s="120"/>
      <c r="P4838" s="120"/>
      <c r="Q4838" s="120"/>
      <c r="R4838" s="120"/>
      <c r="S4838" s="120"/>
      <c r="T4838" s="221"/>
      <c r="U4838" s="89"/>
      <c r="V4838" s="61"/>
      <c r="W4838" s="92" t="s">
        <v>1487</v>
      </c>
      <c r="X4838" s="93" t="s">
        <v>32</v>
      </c>
      <c r="Y4838" s="93" t="s">
        <v>1349</v>
      </c>
      <c r="Z4838" s="134">
        <f>VLOOKUP(W4838,Sheet2!$B:$D,3,FALSE)</f>
        <v>1500</v>
      </c>
      <c r="AA4838" s="93">
        <v>1</v>
      </c>
      <c r="AB4838" s="93">
        <f>AD4838/AC4834</f>
        <v>1500.0000000000002</v>
      </c>
      <c r="AC4838" s="93">
        <f>AC4834/AA4838</f>
        <v>11.670000000000016</v>
      </c>
      <c r="AD4838" s="94">
        <f>AC4838*Z4838</f>
        <v>17505.000000000025</v>
      </c>
      <c r="AE4838" s="190"/>
      <c r="AF4838" s="191"/>
      <c r="AG4838" s="191"/>
      <c r="AH4838" s="191"/>
      <c r="AI4838" s="186"/>
      <c r="AK4838" s="171"/>
    </row>
    <row r="4839" spans="1:37" s="102" customFormat="1" ht="19.899999999999999" customHeight="1" x14ac:dyDescent="0.25">
      <c r="A4839" s="45"/>
      <c r="B4839" s="59"/>
      <c r="C4839" s="137"/>
      <c r="D4839" s="59"/>
      <c r="E4839" s="116"/>
      <c r="F4839" s="120"/>
      <c r="G4839" s="120"/>
      <c r="H4839" s="120"/>
      <c r="I4839" s="60"/>
      <c r="J4839" s="116"/>
      <c r="K4839" s="213"/>
      <c r="L4839" s="120"/>
      <c r="M4839" s="120"/>
      <c r="N4839" s="167"/>
      <c r="O4839" s="120"/>
      <c r="P4839" s="120"/>
      <c r="Q4839" s="120"/>
      <c r="R4839" s="120"/>
      <c r="S4839" s="120"/>
      <c r="T4839" s="221"/>
      <c r="U4839" s="89"/>
      <c r="V4839" s="61"/>
      <c r="W4839" s="92" t="s">
        <v>107</v>
      </c>
      <c r="X4839" s="93" t="s">
        <v>31</v>
      </c>
      <c r="Y4839" s="93" t="s">
        <v>93</v>
      </c>
      <c r="Z4839" s="134">
        <f>VLOOKUP(W4839,Sheet2!$B:$D,3,FALSE)</f>
        <v>17</v>
      </c>
      <c r="AA4839" s="93">
        <f>AA4836</f>
        <v>0.5</v>
      </c>
      <c r="AB4839" s="93">
        <f>AD4839/AC4834</f>
        <v>34</v>
      </c>
      <c r="AC4839" s="93">
        <f>AC4834/AA4839</f>
        <v>23.340000000000032</v>
      </c>
      <c r="AD4839" s="94">
        <f>AC4839*Z4839</f>
        <v>396.78000000000054</v>
      </c>
      <c r="AE4839" s="190"/>
      <c r="AF4839" s="191"/>
      <c r="AG4839" s="191"/>
      <c r="AH4839" s="191"/>
      <c r="AI4839" s="186"/>
      <c r="AK4839" s="171"/>
    </row>
    <row r="4840" spans="1:37" s="102" customFormat="1" ht="19.899999999999999" customHeight="1" x14ac:dyDescent="0.25">
      <c r="A4840" s="45"/>
      <c r="B4840" s="59"/>
      <c r="C4840" s="137"/>
      <c r="D4840" s="59"/>
      <c r="E4840" s="116"/>
      <c r="F4840" s="120"/>
      <c r="G4840" s="120"/>
      <c r="H4840" s="120"/>
      <c r="I4840" s="60"/>
      <c r="J4840" s="116"/>
      <c r="K4840" s="213"/>
      <c r="L4840" s="120"/>
      <c r="M4840" s="120"/>
      <c r="N4840" s="167"/>
      <c r="O4840" s="120"/>
      <c r="P4840" s="120"/>
      <c r="Q4840" s="120"/>
      <c r="R4840" s="120"/>
      <c r="S4840" s="120"/>
      <c r="T4840" s="221"/>
      <c r="U4840" s="89"/>
      <c r="V4840" s="61"/>
      <c r="W4840" s="92" t="s">
        <v>112</v>
      </c>
      <c r="X4840" s="93" t="s">
        <v>31</v>
      </c>
      <c r="Y4840" s="93" t="s">
        <v>93</v>
      </c>
      <c r="Z4840" s="134">
        <f>VLOOKUP(W4840,Sheet2!$B:$D,3,FALSE)</f>
        <v>13</v>
      </c>
      <c r="AA4840" s="93">
        <f>AA4839</f>
        <v>0.5</v>
      </c>
      <c r="AB4840" s="93">
        <f>AD4840/AC4834</f>
        <v>26</v>
      </c>
      <c r="AC4840" s="93">
        <f>AC4834/AA4840</f>
        <v>23.340000000000032</v>
      </c>
      <c r="AD4840" s="94">
        <f>AC4840*Z4840</f>
        <v>303.42000000000041</v>
      </c>
      <c r="AE4840" s="190"/>
      <c r="AF4840" s="191"/>
      <c r="AG4840" s="191"/>
      <c r="AH4840" s="191"/>
      <c r="AI4840" s="186"/>
      <c r="AK4840" s="171"/>
    </row>
    <row r="4841" spans="1:37" s="103" customFormat="1" ht="19.899999999999999" customHeight="1" x14ac:dyDescent="0.25">
      <c r="A4841" s="51"/>
      <c r="B4841" s="52"/>
      <c r="C4841" s="165"/>
      <c r="D4841" s="52"/>
      <c r="E4841" s="115"/>
      <c r="F4841" s="58"/>
      <c r="G4841" s="58"/>
      <c r="H4841" s="58"/>
      <c r="I4841" s="55"/>
      <c r="J4841" s="113">
        <f>J4821</f>
        <v>11.670000000000016</v>
      </c>
      <c r="K4841" s="212">
        <f>K4821</f>
        <v>11.670000000000016</v>
      </c>
      <c r="L4841" s="58"/>
      <c r="M4841" s="58">
        <f>K4841-L4841</f>
        <v>11.670000000000016</v>
      </c>
      <c r="N4841" s="166"/>
      <c r="O4841" s="58"/>
      <c r="P4841" s="58"/>
      <c r="Q4841" s="58"/>
      <c r="R4841" s="58"/>
      <c r="S4841" s="58"/>
      <c r="T4841" s="220"/>
      <c r="U4841" s="88"/>
      <c r="V4841" s="56"/>
      <c r="W4841" s="57" t="s">
        <v>1272</v>
      </c>
      <c r="X4841" s="53"/>
      <c r="Y4841" s="91" t="s">
        <v>35</v>
      </c>
      <c r="Z4841" s="136">
        <f>AD4841/AC4841</f>
        <v>474.37393936941191</v>
      </c>
      <c r="AA4841" s="58"/>
      <c r="AB4841" s="53">
        <f>AD4841/AC4841</f>
        <v>474.37393936941191</v>
      </c>
      <c r="AC4841" s="53">
        <f>M4841+$AE$10</f>
        <v>11.670000000000016</v>
      </c>
      <c r="AD4841" s="54">
        <f>SUM(AD4842:AD4850)</f>
        <v>5535.9438724410447</v>
      </c>
      <c r="AE4841" s="184">
        <f>SUMIFS($AD$37:$AD$12971,$V$37:$V$12971,$V4841,$X$37:$X$12971,AE$13)</f>
        <v>0</v>
      </c>
      <c r="AF4841" s="185">
        <f>SUMIFS($AD$37:$AD$12971,$V$37:$V$12971,$V4841,$X$37:$X$12971,AF$13)</f>
        <v>0</v>
      </c>
      <c r="AG4841" s="185">
        <f>SUMIFS($AD$37:$AD$12971,$V$37:$V$12971,$V4841,$X$37:$X$12971,AG$13)</f>
        <v>0</v>
      </c>
      <c r="AH4841" s="187">
        <f>SUMIFS($AD$37:$AD$12971,$V$37:$V$12971,$V4841,$X$37:$X$12971,AH$13)</f>
        <v>0</v>
      </c>
      <c r="AI4841" s="161">
        <f t="shared" ref="AI4841" si="3535">SUM(AE4841:AH4841)</f>
        <v>0</v>
      </c>
      <c r="AK4841" s="172"/>
    </row>
    <row r="4842" spans="1:37" s="102" customFormat="1" ht="19.899999999999999" customHeight="1" x14ac:dyDescent="0.25">
      <c r="A4842" s="45"/>
      <c r="B4842" s="59"/>
      <c r="C4842" s="137"/>
      <c r="D4842" s="59"/>
      <c r="E4842" s="116"/>
      <c r="F4842" s="120"/>
      <c r="G4842" s="120"/>
      <c r="H4842" s="120"/>
      <c r="I4842" s="60"/>
      <c r="J4842" s="116"/>
      <c r="K4842" s="213"/>
      <c r="L4842" s="120"/>
      <c r="M4842" s="120"/>
      <c r="N4842" s="167"/>
      <c r="O4842" s="120"/>
      <c r="P4842" s="120"/>
      <c r="Q4842" s="120"/>
      <c r="R4842" s="120"/>
      <c r="S4842" s="120"/>
      <c r="T4842" s="221"/>
      <c r="U4842" s="89"/>
      <c r="V4842" s="61"/>
      <c r="W4842" s="92" t="s">
        <v>1273</v>
      </c>
      <c r="X4842" s="93" t="s">
        <v>30</v>
      </c>
      <c r="Y4842" s="93" t="s">
        <v>66</v>
      </c>
      <c r="Z4842" s="134">
        <f>VLOOKUP(W4842,Sheet2!$B:$D,3,FALSE)</f>
        <v>10</v>
      </c>
      <c r="AA4842" s="93">
        <f>1/((2.5*2.5*4.5)-(3.14/4*1.2*1.2*4.5))</f>
        <v>4.3406168884721895E-2</v>
      </c>
      <c r="AB4842" s="93">
        <f>AD4842/AC4841</f>
        <v>230.38200000000006</v>
      </c>
      <c r="AC4842" s="93">
        <f>AC4841/AA4842</f>
        <v>268.8557940000004</v>
      </c>
      <c r="AD4842" s="94">
        <f t="shared" ref="AD4842:AD4844" si="3536">AC4842*Z4842</f>
        <v>2688.5579400000042</v>
      </c>
      <c r="AE4842" s="190"/>
      <c r="AF4842" s="191"/>
      <c r="AG4842" s="191"/>
      <c r="AH4842" s="191"/>
      <c r="AI4842" s="186"/>
      <c r="AK4842" s="171"/>
    </row>
    <row r="4843" spans="1:37" s="102" customFormat="1" ht="19.899999999999999" customHeight="1" x14ac:dyDescent="0.25">
      <c r="A4843" s="45"/>
      <c r="B4843" s="59"/>
      <c r="C4843" s="137"/>
      <c r="D4843" s="59"/>
      <c r="E4843" s="116"/>
      <c r="F4843" s="120"/>
      <c r="G4843" s="120"/>
      <c r="H4843" s="120"/>
      <c r="I4843" s="60"/>
      <c r="J4843" s="116"/>
      <c r="K4843" s="213"/>
      <c r="L4843" s="120"/>
      <c r="M4843" s="120"/>
      <c r="N4843" s="167"/>
      <c r="O4843" s="120"/>
      <c r="P4843" s="120"/>
      <c r="Q4843" s="120"/>
      <c r="R4843" s="120"/>
      <c r="S4843" s="120"/>
      <c r="T4843" s="221"/>
      <c r="U4843" s="89"/>
      <c r="V4843" s="61"/>
      <c r="W4843" s="92" t="s">
        <v>134</v>
      </c>
      <c r="X4843" s="93" t="s">
        <v>29</v>
      </c>
      <c r="Y4843" s="93" t="s">
        <v>93</v>
      </c>
      <c r="Z4843" s="134">
        <f>VLOOKUP(W4843,Sheet2!$B:$D,3,FALSE)</f>
        <v>65.599999999999994</v>
      </c>
      <c r="AA4843" s="93">
        <f>100/((2.5*2.5*4.5)-(3.14/4*1.2*1.2*4.5))</f>
        <v>4.3406168884721898</v>
      </c>
      <c r="AB4843" s="93">
        <f t="shared" ref="AB4843" si="3537">AD4843/AC4841</f>
        <v>15.113059199999999</v>
      </c>
      <c r="AC4843" s="93">
        <f>AC4841/AA4843</f>
        <v>2.6885579400000035</v>
      </c>
      <c r="AD4843" s="94">
        <f t="shared" si="3536"/>
        <v>176.36940086400023</v>
      </c>
      <c r="AE4843" s="190"/>
      <c r="AF4843" s="191"/>
      <c r="AG4843" s="191"/>
      <c r="AH4843" s="191"/>
      <c r="AI4843" s="186"/>
      <c r="AK4843" s="171"/>
    </row>
    <row r="4844" spans="1:37" s="102" customFormat="1" ht="19.899999999999999" customHeight="1" x14ac:dyDescent="0.25">
      <c r="A4844" s="45"/>
      <c r="B4844" s="59"/>
      <c r="C4844" s="137"/>
      <c r="D4844" s="59"/>
      <c r="E4844" s="116"/>
      <c r="F4844" s="120"/>
      <c r="G4844" s="120"/>
      <c r="H4844" s="120"/>
      <c r="I4844" s="60"/>
      <c r="J4844" s="116"/>
      <c r="K4844" s="213"/>
      <c r="L4844" s="120"/>
      <c r="M4844" s="120"/>
      <c r="N4844" s="167"/>
      <c r="O4844" s="120"/>
      <c r="P4844" s="120"/>
      <c r="Q4844" s="120"/>
      <c r="R4844" s="120"/>
      <c r="S4844" s="120"/>
      <c r="T4844" s="221"/>
      <c r="U4844" s="89"/>
      <c r="V4844" s="61"/>
      <c r="W4844" s="92" t="s">
        <v>65</v>
      </c>
      <c r="X4844" s="93" t="s">
        <v>30</v>
      </c>
      <c r="Y4844" s="93" t="s">
        <v>1011</v>
      </c>
      <c r="Z4844" s="134">
        <f>VLOOKUP(W4844,Sheet2!$B:$D,3,FALSE)</f>
        <v>1.76</v>
      </c>
      <c r="AA4844" s="93">
        <f>AA4843/9</f>
        <v>0.48229076538579885</v>
      </c>
      <c r="AB4844" s="93">
        <f>AD4844/AC4841</f>
        <v>3.6492508800000003</v>
      </c>
      <c r="AC4844" s="93">
        <f>AC4841/AA4844</f>
        <v>24.197021460000034</v>
      </c>
      <c r="AD4844" s="94">
        <f t="shared" si="3536"/>
        <v>42.586757769600062</v>
      </c>
      <c r="AE4844" s="190"/>
      <c r="AF4844" s="191"/>
      <c r="AG4844" s="191"/>
      <c r="AH4844" s="191"/>
      <c r="AI4844" s="186"/>
      <c r="AK4844" s="171"/>
    </row>
    <row r="4845" spans="1:37" s="102" customFormat="1" ht="19.899999999999999" customHeight="1" x14ac:dyDescent="0.25">
      <c r="A4845" s="45"/>
      <c r="B4845" s="59"/>
      <c r="C4845" s="137"/>
      <c r="D4845" s="59"/>
      <c r="E4845" s="116"/>
      <c r="F4845" s="120"/>
      <c r="G4845" s="120"/>
      <c r="H4845" s="120"/>
      <c r="I4845" s="60"/>
      <c r="J4845" s="116"/>
      <c r="K4845" s="213"/>
      <c r="L4845" s="120"/>
      <c r="M4845" s="120"/>
      <c r="N4845" s="167"/>
      <c r="O4845" s="120"/>
      <c r="P4845" s="120"/>
      <c r="Q4845" s="120"/>
      <c r="R4845" s="120"/>
      <c r="S4845" s="120"/>
      <c r="T4845" s="221"/>
      <c r="U4845" s="89"/>
      <c r="V4845" s="61"/>
      <c r="W4845" s="92" t="s">
        <v>161</v>
      </c>
      <c r="X4845" s="93" t="s">
        <v>29</v>
      </c>
      <c r="Y4845" s="93" t="s">
        <v>93</v>
      </c>
      <c r="Z4845" s="134">
        <f>VLOOKUP(W4845,Sheet2!$B:$D,3,FALSE)</f>
        <v>48</v>
      </c>
      <c r="AA4845" s="93">
        <f>(16*0.85*1.5)/((2.5*2.5*4.5)-(3.14/4*1.2*1.2*4.5))</f>
        <v>0.88548584524832663</v>
      </c>
      <c r="AB4845" s="93">
        <f>AD4845/AC4841</f>
        <v>54.20752941176471</v>
      </c>
      <c r="AC4845" s="93">
        <f>AC4841/AA4845</f>
        <v>13.179205588235313</v>
      </c>
      <c r="AD4845" s="94">
        <f>AC4845*Z4845</f>
        <v>632.601868235295</v>
      </c>
      <c r="AE4845" s="190"/>
      <c r="AF4845" s="191"/>
      <c r="AG4845" s="191"/>
      <c r="AH4845" s="191"/>
      <c r="AI4845" s="186"/>
      <c r="AK4845" s="171"/>
    </row>
    <row r="4846" spans="1:37" s="102" customFormat="1" ht="19.899999999999999" customHeight="1" x14ac:dyDescent="0.25">
      <c r="A4846" s="45"/>
      <c r="B4846" s="59"/>
      <c r="C4846" s="137"/>
      <c r="D4846" s="59"/>
      <c r="E4846" s="116"/>
      <c r="F4846" s="120"/>
      <c r="G4846" s="120"/>
      <c r="H4846" s="120"/>
      <c r="I4846" s="60"/>
      <c r="J4846" s="116"/>
      <c r="K4846" s="213"/>
      <c r="L4846" s="120"/>
      <c r="M4846" s="120"/>
      <c r="N4846" s="167"/>
      <c r="O4846" s="120"/>
      <c r="P4846" s="120"/>
      <c r="Q4846" s="120"/>
      <c r="R4846" s="120"/>
      <c r="S4846" s="120"/>
      <c r="T4846" s="221"/>
      <c r="U4846" s="89"/>
      <c r="V4846" s="61"/>
      <c r="W4846" s="92" t="s">
        <v>65</v>
      </c>
      <c r="X4846" s="93" t="s">
        <v>30</v>
      </c>
      <c r="Y4846" s="93" t="s">
        <v>1011</v>
      </c>
      <c r="Z4846" s="134">
        <f>VLOOKUP(W4846,Sheet2!$B:$D,3,FALSE)</f>
        <v>1.76</v>
      </c>
      <c r="AA4846" s="93">
        <f>AA4845/10</f>
        <v>8.8548584524832663E-2</v>
      </c>
      <c r="AB4846" s="93">
        <f>AD4846/AC4841</f>
        <v>19.87609411764706</v>
      </c>
      <c r="AC4846" s="93">
        <f>AC4841/AA4846</f>
        <v>131.79205588235314</v>
      </c>
      <c r="AD4846" s="94">
        <f>AC4846*Z4846</f>
        <v>231.95401835294152</v>
      </c>
      <c r="AE4846" s="190"/>
      <c r="AF4846" s="191"/>
      <c r="AG4846" s="191"/>
      <c r="AH4846" s="191"/>
      <c r="AI4846" s="186"/>
      <c r="AK4846" s="171"/>
    </row>
    <row r="4847" spans="1:37" s="102" customFormat="1" ht="19.899999999999999" customHeight="1" x14ac:dyDescent="0.25">
      <c r="A4847" s="45"/>
      <c r="B4847" s="59"/>
      <c r="C4847" s="137"/>
      <c r="D4847" s="59"/>
      <c r="E4847" s="116"/>
      <c r="F4847" s="120"/>
      <c r="G4847" s="120"/>
      <c r="H4847" s="120"/>
      <c r="I4847" s="60"/>
      <c r="J4847" s="116"/>
      <c r="K4847" s="213"/>
      <c r="L4847" s="120"/>
      <c r="M4847" s="120"/>
      <c r="N4847" s="167"/>
      <c r="O4847" s="120"/>
      <c r="P4847" s="120"/>
      <c r="Q4847" s="120"/>
      <c r="R4847" s="120"/>
      <c r="S4847" s="120"/>
      <c r="T4847" s="221"/>
      <c r="U4847" s="89"/>
      <c r="V4847" s="61"/>
      <c r="W4847" s="92" t="s">
        <v>173</v>
      </c>
      <c r="X4847" s="93" t="s">
        <v>29</v>
      </c>
      <c r="Y4847" s="93" t="s">
        <v>93</v>
      </c>
      <c r="Z4847" s="134">
        <f>VLOOKUP(W4847,Sheet2!$B:$D,3,FALSE)</f>
        <v>36</v>
      </c>
      <c r="AA4847" s="93">
        <f>50/((2.5*2.5*4.5)-(3.14/4*1.2*1.2*4.5))</f>
        <v>2.1703084442360949</v>
      </c>
      <c r="AB4847" s="93">
        <f>AD4847/AC4841</f>
        <v>16.587503999999999</v>
      </c>
      <c r="AC4847" s="93">
        <f>AC4841/AA4847</f>
        <v>5.377115880000007</v>
      </c>
      <c r="AD4847" s="94">
        <f>AC4847*Z4847</f>
        <v>193.57617168000024</v>
      </c>
      <c r="AE4847" s="190"/>
      <c r="AF4847" s="191"/>
      <c r="AG4847" s="191"/>
      <c r="AH4847" s="191"/>
      <c r="AI4847" s="186"/>
      <c r="AK4847" s="171"/>
    </row>
    <row r="4848" spans="1:37" s="102" customFormat="1" ht="19.899999999999999" customHeight="1" x14ac:dyDescent="0.25">
      <c r="A4848" s="45"/>
      <c r="B4848" s="59"/>
      <c r="C4848" s="137"/>
      <c r="D4848" s="59"/>
      <c r="E4848" s="116"/>
      <c r="F4848" s="120"/>
      <c r="G4848" s="120"/>
      <c r="H4848" s="120"/>
      <c r="I4848" s="60"/>
      <c r="J4848" s="116"/>
      <c r="K4848" s="213"/>
      <c r="L4848" s="120"/>
      <c r="M4848" s="120"/>
      <c r="N4848" s="167"/>
      <c r="O4848" s="120"/>
      <c r="P4848" s="120"/>
      <c r="Q4848" s="120"/>
      <c r="R4848" s="120"/>
      <c r="S4848" s="120"/>
      <c r="T4848" s="221"/>
      <c r="U4848" s="89"/>
      <c r="V4848" s="61"/>
      <c r="W4848" s="92" t="s">
        <v>65</v>
      </c>
      <c r="X4848" s="93" t="s">
        <v>30</v>
      </c>
      <c r="Y4848" s="93" t="s">
        <v>1011</v>
      </c>
      <c r="Z4848" s="134">
        <f>VLOOKUP(W4848,Sheet2!$B:$D,3,FALSE)</f>
        <v>1.76</v>
      </c>
      <c r="AA4848" s="93">
        <f>AA4847/9</f>
        <v>0.24114538269289942</v>
      </c>
      <c r="AB4848" s="93">
        <f>AD4848/AC4841</f>
        <v>7.2985017600000006</v>
      </c>
      <c r="AC4848" s="93">
        <f>AC4841/AA4848</f>
        <v>48.394042920000068</v>
      </c>
      <c r="AD4848" s="94">
        <f>AC4848*Z4848</f>
        <v>85.173515539200125</v>
      </c>
      <c r="AE4848" s="190"/>
      <c r="AF4848" s="191"/>
      <c r="AG4848" s="191"/>
      <c r="AH4848" s="191"/>
      <c r="AI4848" s="186"/>
      <c r="AK4848" s="171"/>
    </row>
    <row r="4849" spans="1:41" s="102" customFormat="1" ht="19.899999999999999" customHeight="1" x14ac:dyDescent="0.25">
      <c r="A4849" s="45"/>
      <c r="B4849" s="59"/>
      <c r="C4849" s="137"/>
      <c r="D4849" s="59"/>
      <c r="E4849" s="116"/>
      <c r="F4849" s="120"/>
      <c r="G4849" s="120"/>
      <c r="H4849" s="120"/>
      <c r="I4849" s="60"/>
      <c r="J4849" s="116"/>
      <c r="K4849" s="213"/>
      <c r="L4849" s="120"/>
      <c r="M4849" s="120"/>
      <c r="N4849" s="167"/>
      <c r="O4849" s="120"/>
      <c r="P4849" s="120"/>
      <c r="Q4849" s="120"/>
      <c r="R4849" s="120"/>
      <c r="S4849" s="120"/>
      <c r="T4849" s="221"/>
      <c r="U4849" s="89"/>
      <c r="V4849" s="61"/>
      <c r="W4849" s="92" t="s">
        <v>1030</v>
      </c>
      <c r="X4849" s="93" t="s">
        <v>29</v>
      </c>
      <c r="Y4849" s="93" t="s">
        <v>93</v>
      </c>
      <c r="Z4849" s="134">
        <f>VLOOKUP(W4849,Sheet2!$B:$D,3,FALSE)</f>
        <v>23</v>
      </c>
      <c r="AA4849" s="93">
        <f>1/(4.5*1)</f>
        <v>0.22222222222222221</v>
      </c>
      <c r="AB4849" s="93">
        <f>AD4849/AC4841</f>
        <v>103.5</v>
      </c>
      <c r="AC4849" s="93">
        <f>AC4841/AA4849</f>
        <v>52.515000000000072</v>
      </c>
      <c r="AD4849" s="94">
        <f t="shared" ref="AD4849:AD4850" si="3538">AC4849*Z4849</f>
        <v>1207.8450000000016</v>
      </c>
      <c r="AE4849" s="190"/>
      <c r="AF4849" s="191"/>
      <c r="AG4849" s="191"/>
      <c r="AH4849" s="191"/>
      <c r="AI4849" s="186"/>
      <c r="AK4849" s="171"/>
    </row>
    <row r="4850" spans="1:41" s="102" customFormat="1" ht="19.899999999999999" customHeight="1" x14ac:dyDescent="0.25">
      <c r="A4850" s="45"/>
      <c r="B4850" s="59"/>
      <c r="C4850" s="137"/>
      <c r="D4850" s="59"/>
      <c r="E4850" s="116"/>
      <c r="F4850" s="120"/>
      <c r="G4850" s="120"/>
      <c r="H4850" s="120"/>
      <c r="I4850" s="60"/>
      <c r="J4850" s="116"/>
      <c r="K4850" s="213"/>
      <c r="L4850" s="120"/>
      <c r="M4850" s="120"/>
      <c r="N4850" s="167"/>
      <c r="O4850" s="120"/>
      <c r="P4850" s="120"/>
      <c r="Q4850" s="120"/>
      <c r="R4850" s="120"/>
      <c r="S4850" s="120"/>
      <c r="T4850" s="221"/>
      <c r="U4850" s="89"/>
      <c r="V4850" s="61"/>
      <c r="W4850" s="92" t="s">
        <v>65</v>
      </c>
      <c r="X4850" s="93" t="s">
        <v>30</v>
      </c>
      <c r="Y4850" s="93" t="s">
        <v>1011</v>
      </c>
      <c r="Z4850" s="134">
        <f>VLOOKUP(W4850,Sheet2!$B:$D,3,FALSE)</f>
        <v>1.76</v>
      </c>
      <c r="AA4850" s="93">
        <f>AA4849/3</f>
        <v>7.407407407407407E-2</v>
      </c>
      <c r="AB4850" s="93">
        <f>AD4850/AC4841</f>
        <v>23.76</v>
      </c>
      <c r="AC4850" s="93">
        <f>AC4841/AA4850</f>
        <v>157.54500000000021</v>
      </c>
      <c r="AD4850" s="94">
        <f t="shared" si="3538"/>
        <v>277.2792000000004</v>
      </c>
      <c r="AE4850" s="190"/>
      <c r="AF4850" s="191"/>
      <c r="AG4850" s="191"/>
      <c r="AH4850" s="191"/>
      <c r="AI4850" s="186"/>
      <c r="AK4850" s="171"/>
    </row>
    <row r="4851" spans="1:41" ht="20.100000000000001" customHeight="1" x14ac:dyDescent="0.25">
      <c r="A4851" s="277" t="s">
        <v>491</v>
      </c>
      <c r="B4851" s="278"/>
      <c r="C4851" s="64" t="s">
        <v>580</v>
      </c>
      <c r="D4851" s="46" t="s">
        <v>215</v>
      </c>
      <c r="E4851" s="114">
        <v>21.70999999999999</v>
      </c>
      <c r="F4851" s="44">
        <v>36757</v>
      </c>
      <c r="G4851" s="44">
        <f t="shared" si="3471"/>
        <v>797994.46999999962</v>
      </c>
      <c r="H4851" s="44">
        <f t="shared" si="3472"/>
        <v>11058.268350933335</v>
      </c>
      <c r="I4851" s="43">
        <f t="shared" si="3473"/>
        <v>240075.00589876258</v>
      </c>
      <c r="J4851" s="112">
        <f t="shared" si="3474"/>
        <v>21.70999999999999</v>
      </c>
      <c r="K4851" s="211">
        <f t="shared" si="3475"/>
        <v>21.70999999999999</v>
      </c>
      <c r="L4851" s="44"/>
      <c r="M4851" s="44">
        <f t="shared" si="3499"/>
        <v>21.70999999999999</v>
      </c>
      <c r="N4851" s="173">
        <f t="shared" si="3476"/>
        <v>1</v>
      </c>
      <c r="O4851" s="44">
        <f t="shared" si="3477"/>
        <v>36757</v>
      </c>
      <c r="P4851" s="44">
        <f t="shared" si="3478"/>
        <v>797994.46999999962</v>
      </c>
      <c r="Q4851" s="44">
        <f t="shared" si="3479"/>
        <v>11058.268350933335</v>
      </c>
      <c r="R4851" s="44">
        <f t="shared" si="3500"/>
        <v>240075.00589876258</v>
      </c>
      <c r="S4851" s="123"/>
      <c r="T4851" s="219">
        <f t="shared" si="3501"/>
        <v>240075.00589876258</v>
      </c>
      <c r="U4851" s="87"/>
      <c r="V4851" s="47"/>
      <c r="W4851" s="48"/>
      <c r="X4851" s="48"/>
      <c r="Y4851" s="48"/>
      <c r="Z4851" s="135"/>
      <c r="AA4851" s="49"/>
      <c r="AB4851" s="50">
        <f t="shared" si="3480"/>
        <v>11058.268350933335</v>
      </c>
      <c r="AC4851" s="42">
        <f t="shared" si="3502"/>
        <v>21.70999999999999</v>
      </c>
      <c r="AD4851" s="90">
        <f>AD4852+AD4857+AD4864+AD4871</f>
        <v>240075.00589876258</v>
      </c>
      <c r="AE4851" s="188">
        <f t="shared" ref="AE4851" si="3539">AE4852+AE4857+AE4864+AE4871</f>
        <v>0</v>
      </c>
      <c r="AF4851" s="189">
        <f t="shared" ref="AF4851" si="3540">AF4852+AF4857+AF4864+AF4871</f>
        <v>0</v>
      </c>
      <c r="AG4851" s="189">
        <f t="shared" ref="AG4851" si="3541">AG4852+AG4857+AG4864+AG4871</f>
        <v>0</v>
      </c>
      <c r="AH4851" s="189">
        <f t="shared" ref="AH4851" si="3542">AH4852+AH4857+AH4864+AH4871</f>
        <v>0</v>
      </c>
      <c r="AI4851" s="161">
        <f t="shared" ref="AI4851" si="3543">SUM(AE4851:AH4851)</f>
        <v>0</v>
      </c>
      <c r="AK4851" s="169">
        <v>5</v>
      </c>
      <c r="AO4851" s="19" t="s">
        <v>63</v>
      </c>
    </row>
    <row r="4852" spans="1:41" s="103" customFormat="1" ht="19.899999999999999" customHeight="1" x14ac:dyDescent="0.25">
      <c r="A4852" s="51"/>
      <c r="B4852" s="52"/>
      <c r="C4852" s="165"/>
      <c r="D4852" s="52"/>
      <c r="E4852" s="115"/>
      <c r="F4852" s="58"/>
      <c r="G4852" s="58"/>
      <c r="H4852" s="58"/>
      <c r="I4852" s="55"/>
      <c r="J4852" s="113">
        <f>J4851</f>
        <v>21.70999999999999</v>
      </c>
      <c r="K4852" s="212">
        <f>K4851</f>
        <v>21.70999999999999</v>
      </c>
      <c r="L4852" s="58"/>
      <c r="M4852" s="58">
        <f>K4852-L4852</f>
        <v>21.70999999999999</v>
      </c>
      <c r="N4852" s="166"/>
      <c r="O4852" s="58"/>
      <c r="P4852" s="58"/>
      <c r="Q4852" s="58"/>
      <c r="R4852" s="58"/>
      <c r="S4852" s="58"/>
      <c r="T4852" s="220"/>
      <c r="U4852" s="88"/>
      <c r="V4852" s="56"/>
      <c r="W4852" s="57" t="s">
        <v>1538</v>
      </c>
      <c r="X4852" s="53"/>
      <c r="Y4852" s="91" t="s">
        <v>35</v>
      </c>
      <c r="Z4852" s="136">
        <f>AD4852/AC4852</f>
        <v>125.69019607843137</v>
      </c>
      <c r="AA4852" s="58"/>
      <c r="AB4852" s="53">
        <f>AD4852/AC4852</f>
        <v>125.69019607843137</v>
      </c>
      <c r="AC4852" s="53">
        <f>M4852+$AE$10</f>
        <v>21.70999999999999</v>
      </c>
      <c r="AD4852" s="54">
        <f>SUM(AD4853:AD4856)</f>
        <v>2728.7341568627439</v>
      </c>
      <c r="AE4852" s="184">
        <f>SUMIFS($AD$37:$AD$12971,$V$37:$V$12971,$V4852,$X$37:$X$12971,AE$13)</f>
        <v>0</v>
      </c>
      <c r="AF4852" s="185">
        <f>SUMIFS($AD$37:$AD$12971,$V$37:$V$12971,$V4852,$X$37:$X$12971,AF$13)</f>
        <v>0</v>
      </c>
      <c r="AG4852" s="185">
        <f>SUMIFS($AD$37:$AD$12971,$V$37:$V$12971,$V4852,$X$37:$X$12971,AG$13)</f>
        <v>0</v>
      </c>
      <c r="AH4852" s="187">
        <f>SUMIFS($AD$37:$AD$12971,$V$37:$V$12971,$V4852,$X$37:$X$12971,AH$13)</f>
        <v>0</v>
      </c>
      <c r="AI4852" s="161">
        <f t="shared" ref="AI4852" si="3544">SUM(AE4852:AH4852)</f>
        <v>0</v>
      </c>
      <c r="AK4852" s="172"/>
    </row>
    <row r="4853" spans="1:41" s="102" customFormat="1" ht="19.899999999999999" customHeight="1" x14ac:dyDescent="0.25">
      <c r="A4853" s="45"/>
      <c r="B4853" s="59"/>
      <c r="C4853" s="137"/>
      <c r="D4853" s="59"/>
      <c r="E4853" s="116"/>
      <c r="F4853" s="120"/>
      <c r="G4853" s="120"/>
      <c r="H4853" s="120"/>
      <c r="I4853" s="60"/>
      <c r="J4853" s="116"/>
      <c r="K4853" s="213"/>
      <c r="L4853" s="120"/>
      <c r="M4853" s="120"/>
      <c r="N4853" s="167"/>
      <c r="O4853" s="120"/>
      <c r="P4853" s="120"/>
      <c r="Q4853" s="120"/>
      <c r="R4853" s="120"/>
      <c r="S4853" s="120"/>
      <c r="T4853" s="221"/>
      <c r="U4853" s="89"/>
      <c r="V4853" s="61"/>
      <c r="W4853" s="92" t="s">
        <v>129</v>
      </c>
      <c r="X4853" s="93" t="s">
        <v>29</v>
      </c>
      <c r="Y4853" s="93" t="s">
        <v>93</v>
      </c>
      <c r="Z4853" s="134">
        <f>VLOOKUP(W4853,Sheet2!$B:$D,3,FALSE)</f>
        <v>56</v>
      </c>
      <c r="AA4853" s="93">
        <f>100/(2.5*2.5*5)</f>
        <v>3.2</v>
      </c>
      <c r="AB4853" s="93">
        <f t="shared" ref="AB4853" si="3545">AD4853/AC4852</f>
        <v>17.499999999999996</v>
      </c>
      <c r="AC4853" s="93">
        <f>AC4852/AA4853</f>
        <v>6.7843749999999963</v>
      </c>
      <c r="AD4853" s="94">
        <f t="shared" ref="AD4853:AD4854" si="3546">AC4853*Z4853</f>
        <v>379.92499999999978</v>
      </c>
      <c r="AE4853" s="190"/>
      <c r="AF4853" s="191"/>
      <c r="AG4853" s="191"/>
      <c r="AH4853" s="191"/>
      <c r="AI4853" s="186"/>
      <c r="AK4853" s="171"/>
    </row>
    <row r="4854" spans="1:41" s="102" customFormat="1" ht="19.899999999999999" customHeight="1" x14ac:dyDescent="0.25">
      <c r="A4854" s="45"/>
      <c r="B4854" s="59"/>
      <c r="C4854" s="137"/>
      <c r="D4854" s="59"/>
      <c r="E4854" s="116"/>
      <c r="F4854" s="120"/>
      <c r="G4854" s="120"/>
      <c r="H4854" s="120"/>
      <c r="I4854" s="60"/>
      <c r="J4854" s="116"/>
      <c r="K4854" s="213"/>
      <c r="L4854" s="120"/>
      <c r="M4854" s="120"/>
      <c r="N4854" s="167"/>
      <c r="O4854" s="120"/>
      <c r="P4854" s="120"/>
      <c r="Q4854" s="120"/>
      <c r="R4854" s="120"/>
      <c r="S4854" s="120"/>
      <c r="T4854" s="221"/>
      <c r="U4854" s="89"/>
      <c r="V4854" s="61"/>
      <c r="W4854" s="92" t="s">
        <v>65</v>
      </c>
      <c r="X4854" s="93" t="s">
        <v>30</v>
      </c>
      <c r="Y4854" s="93" t="s">
        <v>1011</v>
      </c>
      <c r="Z4854" s="134">
        <f>VLOOKUP(W4854,Sheet2!$B:$D,3,FALSE)</f>
        <v>1.76</v>
      </c>
      <c r="AA4854" s="93">
        <f>AA4853/14</f>
        <v>0.22857142857142859</v>
      </c>
      <c r="AB4854" s="93">
        <f>AD4854/AC4852</f>
        <v>7.6999999999999993</v>
      </c>
      <c r="AC4854" s="93">
        <f>AC4852/AA4854</f>
        <v>94.981249999999946</v>
      </c>
      <c r="AD4854" s="94">
        <f t="shared" si="3546"/>
        <v>167.16699999999992</v>
      </c>
      <c r="AE4854" s="190"/>
      <c r="AF4854" s="191"/>
      <c r="AG4854" s="191"/>
      <c r="AH4854" s="191"/>
      <c r="AI4854" s="186"/>
      <c r="AK4854" s="171"/>
    </row>
    <row r="4855" spans="1:41" s="102" customFormat="1" ht="19.899999999999999" customHeight="1" x14ac:dyDescent="0.25">
      <c r="A4855" s="45"/>
      <c r="B4855" s="59"/>
      <c r="C4855" s="137"/>
      <c r="D4855" s="59"/>
      <c r="E4855" s="116"/>
      <c r="F4855" s="120"/>
      <c r="G4855" s="120"/>
      <c r="H4855" s="120"/>
      <c r="I4855" s="60"/>
      <c r="J4855" s="116"/>
      <c r="K4855" s="213"/>
      <c r="L4855" s="120"/>
      <c r="M4855" s="120"/>
      <c r="N4855" s="167"/>
      <c r="O4855" s="120"/>
      <c r="P4855" s="120"/>
      <c r="Q4855" s="120"/>
      <c r="R4855" s="120"/>
      <c r="S4855" s="120"/>
      <c r="T4855" s="221"/>
      <c r="U4855" s="89"/>
      <c r="V4855" s="61"/>
      <c r="W4855" s="92" t="s">
        <v>161</v>
      </c>
      <c r="X4855" s="93" t="s">
        <v>29</v>
      </c>
      <c r="Y4855" s="93" t="s">
        <v>93</v>
      </c>
      <c r="Z4855" s="134">
        <f>VLOOKUP(W4855,Sheet2!$B:$D,3,FALSE)</f>
        <v>48</v>
      </c>
      <c r="AA4855" s="93">
        <f>(16*0.85*1.5)/(2.5*2.5*5)</f>
        <v>0.65279999999999994</v>
      </c>
      <c r="AB4855" s="93">
        <f>AD4855/AC4852</f>
        <v>73.529411764705884</v>
      </c>
      <c r="AC4855" s="93">
        <f>AC4852/AA4855</f>
        <v>33.256740196078418</v>
      </c>
      <c r="AD4855" s="94">
        <f>AC4855*Z4855</f>
        <v>1596.323529411764</v>
      </c>
      <c r="AE4855" s="190"/>
      <c r="AF4855" s="191"/>
      <c r="AG4855" s="191"/>
      <c r="AH4855" s="191"/>
      <c r="AI4855" s="186"/>
      <c r="AK4855" s="171"/>
    </row>
    <row r="4856" spans="1:41" s="102" customFormat="1" ht="19.899999999999999" customHeight="1" x14ac:dyDescent="0.25">
      <c r="A4856" s="45"/>
      <c r="B4856" s="59"/>
      <c r="C4856" s="137"/>
      <c r="D4856" s="59"/>
      <c r="E4856" s="116"/>
      <c r="F4856" s="120"/>
      <c r="G4856" s="120"/>
      <c r="H4856" s="120"/>
      <c r="I4856" s="60"/>
      <c r="J4856" s="116"/>
      <c r="K4856" s="213"/>
      <c r="L4856" s="120"/>
      <c r="M4856" s="120"/>
      <c r="N4856" s="167"/>
      <c r="O4856" s="120"/>
      <c r="P4856" s="120"/>
      <c r="Q4856" s="120"/>
      <c r="R4856" s="120"/>
      <c r="S4856" s="120"/>
      <c r="T4856" s="221"/>
      <c r="U4856" s="89"/>
      <c r="V4856" s="61"/>
      <c r="W4856" s="92" t="s">
        <v>65</v>
      </c>
      <c r="X4856" s="93" t="s">
        <v>30</v>
      </c>
      <c r="Y4856" s="93" t="s">
        <v>1011</v>
      </c>
      <c r="Z4856" s="134">
        <f>VLOOKUP(W4856,Sheet2!$B:$D,3,FALSE)</f>
        <v>1.76</v>
      </c>
      <c r="AA4856" s="93">
        <f>AA4855/10</f>
        <v>6.5279999999999991E-2</v>
      </c>
      <c r="AB4856" s="93">
        <f>AD4856/AC4852</f>
        <v>26.960784313725494</v>
      </c>
      <c r="AC4856" s="93">
        <f>AC4852/AA4856</f>
        <v>332.5674019607842</v>
      </c>
      <c r="AD4856" s="94">
        <f>AC4856*Z4856</f>
        <v>585.31862745098022</v>
      </c>
      <c r="AE4856" s="190"/>
      <c r="AF4856" s="191"/>
      <c r="AG4856" s="191"/>
      <c r="AH4856" s="191"/>
      <c r="AI4856" s="186"/>
      <c r="AK4856" s="171"/>
    </row>
    <row r="4857" spans="1:41" s="103" customFormat="1" ht="19.899999999999999" customHeight="1" x14ac:dyDescent="0.25">
      <c r="A4857" s="51"/>
      <c r="B4857" s="52"/>
      <c r="C4857" s="165"/>
      <c r="D4857" s="52"/>
      <c r="E4857" s="115"/>
      <c r="F4857" s="58"/>
      <c r="G4857" s="58"/>
      <c r="H4857" s="58"/>
      <c r="I4857" s="55"/>
      <c r="J4857" s="113">
        <f>J4851</f>
        <v>21.70999999999999</v>
      </c>
      <c r="K4857" s="212">
        <f>K4851</f>
        <v>21.70999999999999</v>
      </c>
      <c r="L4857" s="58"/>
      <c r="M4857" s="58">
        <f>K4857-L4857</f>
        <v>21.70999999999999</v>
      </c>
      <c r="N4857" s="166"/>
      <c r="O4857" s="58"/>
      <c r="P4857" s="58"/>
      <c r="Q4857" s="58"/>
      <c r="R4857" s="58"/>
      <c r="S4857" s="58"/>
      <c r="T4857" s="220"/>
      <c r="U4857" s="88"/>
      <c r="V4857" s="56"/>
      <c r="W4857" s="57" t="s">
        <v>1486</v>
      </c>
      <c r="X4857" s="53"/>
      <c r="Y4857" s="91" t="s">
        <v>35</v>
      </c>
      <c r="Z4857" s="136">
        <f>AD4857/AC4857</f>
        <v>1432.6960000000001</v>
      </c>
      <c r="AA4857" s="58"/>
      <c r="AB4857" s="53">
        <f>AD4857/AC4857</f>
        <v>1432.6960000000001</v>
      </c>
      <c r="AC4857" s="53">
        <f>M4857+$AE$10</f>
        <v>21.70999999999999</v>
      </c>
      <c r="AD4857" s="54">
        <f>SUM(AD4858:AD4863)</f>
        <v>31103.830159999987</v>
      </c>
      <c r="AE4857" s="184">
        <f>SUMIFS($AD$37:$AD$12971,$V$37:$V$12971,$V4857,$X$37:$X$12971,AE$13)</f>
        <v>0</v>
      </c>
      <c r="AF4857" s="185">
        <f>SUMIFS($AD$37:$AD$12971,$V$37:$V$12971,$V4857,$X$37:$X$12971,AF$13)</f>
        <v>0</v>
      </c>
      <c r="AG4857" s="185">
        <f>SUMIFS($AD$37:$AD$12971,$V$37:$V$12971,$V4857,$X$37:$X$12971,AG$13)</f>
        <v>0</v>
      </c>
      <c r="AH4857" s="187">
        <f>SUMIFS($AD$37:$AD$12971,$V$37:$V$12971,$V4857,$X$37:$X$12971,AH$13)</f>
        <v>0</v>
      </c>
      <c r="AI4857" s="161">
        <f t="shared" ref="AI4857" si="3547">SUM(AE4857:AH4857)</f>
        <v>0</v>
      </c>
      <c r="AK4857" s="172"/>
    </row>
    <row r="4858" spans="1:41" s="102" customFormat="1" ht="19.899999999999999" customHeight="1" x14ac:dyDescent="0.25">
      <c r="A4858" s="45"/>
      <c r="B4858" s="59"/>
      <c r="C4858" s="137"/>
      <c r="D4858" s="59"/>
      <c r="E4858" s="116"/>
      <c r="F4858" s="120"/>
      <c r="G4858" s="120"/>
      <c r="H4858" s="120"/>
      <c r="I4858" s="60"/>
      <c r="J4858" s="116"/>
      <c r="K4858" s="213"/>
      <c r="L4858" s="120"/>
      <c r="M4858" s="120"/>
      <c r="N4858" s="167"/>
      <c r="O4858" s="120"/>
      <c r="P4858" s="120"/>
      <c r="Q4858" s="120"/>
      <c r="R4858" s="120"/>
      <c r="S4858" s="120"/>
      <c r="T4858" s="221"/>
      <c r="U4858" s="89"/>
      <c r="V4858" s="61"/>
      <c r="W4858" s="92" t="s">
        <v>1032</v>
      </c>
      <c r="X4858" s="93" t="s">
        <v>30</v>
      </c>
      <c r="Y4858" s="93" t="s">
        <v>66</v>
      </c>
      <c r="Z4858" s="134">
        <f>VLOOKUP(W4858,Sheet2!$B:$D,3,FALSE)</f>
        <v>250</v>
      </c>
      <c r="AA4858" s="93">
        <f>1/(2.1*2.1*0.1)</f>
        <v>2.2675736961451243</v>
      </c>
      <c r="AB4858" s="93">
        <f>AD4858/AC4864</f>
        <v>110.25000000000001</v>
      </c>
      <c r="AC4858" s="93">
        <f>AC4864/AA4858</f>
        <v>9.5741099999999975</v>
      </c>
      <c r="AD4858" s="94">
        <f t="shared" ref="AD4858:AD4860" si="3548">AC4858*Z4858</f>
        <v>2393.5274999999992</v>
      </c>
      <c r="AE4858" s="190"/>
      <c r="AF4858" s="191"/>
      <c r="AG4858" s="191"/>
      <c r="AH4858" s="191"/>
      <c r="AI4858" s="186"/>
      <c r="AK4858" s="171"/>
    </row>
    <row r="4859" spans="1:41" s="102" customFormat="1" ht="19.899999999999999" customHeight="1" x14ac:dyDescent="0.25">
      <c r="A4859" s="45"/>
      <c r="B4859" s="59"/>
      <c r="C4859" s="137"/>
      <c r="D4859" s="59"/>
      <c r="E4859" s="116"/>
      <c r="F4859" s="120"/>
      <c r="G4859" s="120"/>
      <c r="H4859" s="120"/>
      <c r="I4859" s="60"/>
      <c r="J4859" s="116"/>
      <c r="K4859" s="213"/>
      <c r="L4859" s="120"/>
      <c r="M4859" s="120"/>
      <c r="N4859" s="167"/>
      <c r="O4859" s="120"/>
      <c r="P4859" s="120"/>
      <c r="Q4859" s="120"/>
      <c r="R4859" s="120"/>
      <c r="S4859" s="120"/>
      <c r="T4859" s="221"/>
      <c r="U4859" s="89"/>
      <c r="V4859" s="61"/>
      <c r="W4859" s="92" t="s">
        <v>1353</v>
      </c>
      <c r="X4859" s="93" t="s">
        <v>30</v>
      </c>
      <c r="Y4859" s="93" t="s">
        <v>66</v>
      </c>
      <c r="Z4859" s="134">
        <f>VLOOKUP(W4859,Sheet2!$B:$D,3,FALSE)</f>
        <v>350</v>
      </c>
      <c r="AA4859" s="93">
        <f>1/(2*2*0.3)</f>
        <v>0.83333333333333337</v>
      </c>
      <c r="AB4859" s="93">
        <f>AD4859/AC4864</f>
        <v>420</v>
      </c>
      <c r="AC4859" s="93">
        <f>AC4864/AA4859</f>
        <v>26.051999999999985</v>
      </c>
      <c r="AD4859" s="94">
        <f t="shared" si="3548"/>
        <v>9118.1999999999953</v>
      </c>
      <c r="AE4859" s="190"/>
      <c r="AF4859" s="191"/>
      <c r="AG4859" s="191"/>
      <c r="AH4859" s="191"/>
      <c r="AI4859" s="186"/>
      <c r="AK4859" s="171"/>
    </row>
    <row r="4860" spans="1:41" s="102" customFormat="1" ht="19.899999999999999" customHeight="1" x14ac:dyDescent="0.25">
      <c r="A4860" s="45"/>
      <c r="B4860" s="59"/>
      <c r="C4860" s="137"/>
      <c r="D4860" s="59"/>
      <c r="E4860" s="116"/>
      <c r="F4860" s="120"/>
      <c r="G4860" s="120"/>
      <c r="H4860" s="120"/>
      <c r="I4860" s="60"/>
      <c r="J4860" s="116"/>
      <c r="K4860" s="213"/>
      <c r="L4860" s="120"/>
      <c r="M4860" s="120"/>
      <c r="N4860" s="167"/>
      <c r="O4860" s="120"/>
      <c r="P4860" s="120"/>
      <c r="Q4860" s="120"/>
      <c r="R4860" s="120"/>
      <c r="S4860" s="120"/>
      <c r="T4860" s="221"/>
      <c r="U4860" s="89"/>
      <c r="V4860" s="61"/>
      <c r="W4860" s="92" t="s">
        <v>99</v>
      </c>
      <c r="X4860" s="93" t="s">
        <v>30</v>
      </c>
      <c r="Y4860" s="93" t="s">
        <v>67</v>
      </c>
      <c r="Z4860" s="134">
        <f>VLOOKUP(W4860,Sheet2!$B:$D,3,FALSE)</f>
        <v>2500</v>
      </c>
      <c r="AA4860" s="93">
        <f>AA4859/0.08</f>
        <v>10.416666666666666</v>
      </c>
      <c r="AB4860" s="93">
        <f>AD4860/AC4864</f>
        <v>240.00000000000006</v>
      </c>
      <c r="AC4860" s="93">
        <f>AC4864/AA4860</f>
        <v>2.0841599999999993</v>
      </c>
      <c r="AD4860" s="94">
        <f t="shared" si="3548"/>
        <v>5210.3999999999987</v>
      </c>
      <c r="AE4860" s="190"/>
      <c r="AF4860" s="191"/>
      <c r="AG4860" s="191"/>
      <c r="AH4860" s="191"/>
      <c r="AI4860" s="186"/>
      <c r="AK4860" s="171"/>
    </row>
    <row r="4861" spans="1:41" s="102" customFormat="1" ht="19.899999999999999" customHeight="1" x14ac:dyDescent="0.25">
      <c r="A4861" s="45"/>
      <c r="B4861" s="59"/>
      <c r="C4861" s="137"/>
      <c r="D4861" s="59"/>
      <c r="E4861" s="116"/>
      <c r="F4861" s="120"/>
      <c r="G4861" s="120"/>
      <c r="H4861" s="120"/>
      <c r="I4861" s="60"/>
      <c r="J4861" s="116"/>
      <c r="K4861" s="213"/>
      <c r="L4861" s="120"/>
      <c r="M4861" s="120"/>
      <c r="N4861" s="167"/>
      <c r="O4861" s="120"/>
      <c r="P4861" s="120"/>
      <c r="Q4861" s="120"/>
      <c r="R4861" s="120"/>
      <c r="S4861" s="120"/>
      <c r="T4861" s="221"/>
      <c r="U4861" s="89"/>
      <c r="V4861" s="61"/>
      <c r="W4861" s="92" t="s">
        <v>1354</v>
      </c>
      <c r="X4861" s="93" t="s">
        <v>32</v>
      </c>
      <c r="Y4861" s="93" t="s">
        <v>66</v>
      </c>
      <c r="Z4861" s="134">
        <f>VLOOKUP(W4861,Sheet2!$B:$D,3,FALSE)</f>
        <v>150</v>
      </c>
      <c r="AA4861" s="93">
        <f>AA4858</f>
        <v>2.2675736961451243</v>
      </c>
      <c r="AB4861" s="93">
        <f>AD4861/AC4864</f>
        <v>66.15000000000002</v>
      </c>
      <c r="AC4861" s="93">
        <f>AC4864/AA4861</f>
        <v>9.5741099999999975</v>
      </c>
      <c r="AD4861" s="94">
        <f>AC4861*Z4861</f>
        <v>1436.1164999999996</v>
      </c>
      <c r="AE4861" s="190"/>
      <c r="AF4861" s="191"/>
      <c r="AG4861" s="191"/>
      <c r="AH4861" s="191"/>
      <c r="AI4861" s="186"/>
      <c r="AK4861" s="171"/>
    </row>
    <row r="4862" spans="1:41" s="102" customFormat="1" ht="19.899999999999999" customHeight="1" x14ac:dyDescent="0.25">
      <c r="A4862" s="45"/>
      <c r="B4862" s="59"/>
      <c r="C4862" s="137"/>
      <c r="D4862" s="59"/>
      <c r="E4862" s="116"/>
      <c r="F4862" s="120"/>
      <c r="G4862" s="120"/>
      <c r="H4862" s="120"/>
      <c r="I4862" s="60"/>
      <c r="J4862" s="116"/>
      <c r="K4862" s="213"/>
      <c r="L4862" s="120"/>
      <c r="M4862" s="120"/>
      <c r="N4862" s="167"/>
      <c r="O4862" s="120"/>
      <c r="P4862" s="120"/>
      <c r="Q4862" s="120"/>
      <c r="R4862" s="120"/>
      <c r="S4862" s="120"/>
      <c r="T4862" s="221"/>
      <c r="U4862" s="89"/>
      <c r="V4862" s="61"/>
      <c r="W4862" s="92" t="s">
        <v>1355</v>
      </c>
      <c r="X4862" s="93" t="s">
        <v>32</v>
      </c>
      <c r="Y4862" s="93" t="s">
        <v>66</v>
      </c>
      <c r="Z4862" s="134">
        <f>VLOOKUP(W4862,Sheet2!$B:$D,3,FALSE)</f>
        <v>450</v>
      </c>
      <c r="AA4862" s="93">
        <f>AA4859</f>
        <v>0.83333333333333337</v>
      </c>
      <c r="AB4862" s="93">
        <f>AD4862/AC4864</f>
        <v>540</v>
      </c>
      <c r="AC4862" s="93">
        <f>AC4864/AA4862</f>
        <v>26.051999999999985</v>
      </c>
      <c r="AD4862" s="94">
        <f>AC4862*Z4862</f>
        <v>11723.399999999994</v>
      </c>
      <c r="AE4862" s="190"/>
      <c r="AF4862" s="191"/>
      <c r="AG4862" s="191"/>
      <c r="AH4862" s="191"/>
      <c r="AI4862" s="186"/>
      <c r="AK4862" s="171"/>
    </row>
    <row r="4863" spans="1:41" s="102" customFormat="1" ht="19.899999999999999" customHeight="1" x14ac:dyDescent="0.25">
      <c r="A4863" s="45"/>
      <c r="B4863" s="59"/>
      <c r="C4863" s="137"/>
      <c r="D4863" s="59"/>
      <c r="E4863" s="116"/>
      <c r="F4863" s="120"/>
      <c r="G4863" s="120"/>
      <c r="H4863" s="120"/>
      <c r="I4863" s="60"/>
      <c r="J4863" s="116"/>
      <c r="K4863" s="213"/>
      <c r="L4863" s="120"/>
      <c r="M4863" s="120"/>
      <c r="N4863" s="167"/>
      <c r="O4863" s="120"/>
      <c r="P4863" s="120"/>
      <c r="Q4863" s="120"/>
      <c r="R4863" s="120"/>
      <c r="S4863" s="120"/>
      <c r="T4863" s="221"/>
      <c r="U4863" s="89"/>
      <c r="V4863" s="61"/>
      <c r="W4863" s="92" t="s">
        <v>124</v>
      </c>
      <c r="X4863" s="93" t="s">
        <v>32</v>
      </c>
      <c r="Y4863" s="93" t="s">
        <v>64</v>
      </c>
      <c r="Z4863" s="134">
        <f>VLOOKUP(W4863,Sheet2!$B:$D,3,FALSE)</f>
        <v>10</v>
      </c>
      <c r="AA4863" s="93">
        <f>1/((2.6*2.6)-(3.14*1.2*1.2/4))</f>
        <v>0.17763251385533604</v>
      </c>
      <c r="AB4863" s="93">
        <f t="shared" ref="AB4863" si="3549">AD4863/AC4857</f>
        <v>56.296000000000014</v>
      </c>
      <c r="AC4863" s="93">
        <f>AC4857/AA4863</f>
        <v>122.21861599999997</v>
      </c>
      <c r="AD4863" s="94">
        <f t="shared" ref="AD4863" si="3550">AC4863*Z4863</f>
        <v>1222.1861599999997</v>
      </c>
      <c r="AE4863" s="190"/>
      <c r="AF4863" s="191"/>
      <c r="AG4863" s="191"/>
      <c r="AH4863" s="191"/>
      <c r="AI4863" s="186"/>
      <c r="AK4863" s="171"/>
    </row>
    <row r="4864" spans="1:41" s="103" customFormat="1" ht="19.899999999999999" customHeight="1" x14ac:dyDescent="0.25">
      <c r="A4864" s="51"/>
      <c r="B4864" s="52"/>
      <c r="C4864" s="165"/>
      <c r="D4864" s="52"/>
      <c r="E4864" s="115"/>
      <c r="F4864" s="58"/>
      <c r="G4864" s="58"/>
      <c r="H4864" s="58"/>
      <c r="I4864" s="55"/>
      <c r="J4864" s="113">
        <f>J4851</f>
        <v>21.70999999999999</v>
      </c>
      <c r="K4864" s="212">
        <f>K4851</f>
        <v>21.70999999999999</v>
      </c>
      <c r="L4864" s="58"/>
      <c r="M4864" s="58">
        <f>K4864-L4864</f>
        <v>21.70999999999999</v>
      </c>
      <c r="N4864" s="166"/>
      <c r="O4864" s="58"/>
      <c r="P4864" s="58"/>
      <c r="Q4864" s="58"/>
      <c r="R4864" s="58"/>
      <c r="S4864" s="58"/>
      <c r="T4864" s="220"/>
      <c r="U4864" s="88"/>
      <c r="V4864" s="56"/>
      <c r="W4864" s="57" t="s">
        <v>1275</v>
      </c>
      <c r="X4864" s="53"/>
      <c r="Y4864" s="91" t="s">
        <v>35</v>
      </c>
      <c r="Z4864" s="136">
        <f>AD4864/AC4864</f>
        <v>8972.8000000000011</v>
      </c>
      <c r="AA4864" s="58"/>
      <c r="AB4864" s="53">
        <f>AD4864/AC4864</f>
        <v>8972.8000000000011</v>
      </c>
      <c r="AC4864" s="53">
        <f>M4864+$AE$10</f>
        <v>21.70999999999999</v>
      </c>
      <c r="AD4864" s="54">
        <f>SUM(AD4865:AD4870)</f>
        <v>194799.48799999992</v>
      </c>
      <c r="AE4864" s="184">
        <f>SUMIFS($AD$37:$AD$12971,$V$37:$V$12971,$V4864,$X$37:$X$12971,AE$13)</f>
        <v>0</v>
      </c>
      <c r="AF4864" s="185">
        <f>SUMIFS($AD$37:$AD$12971,$V$37:$V$12971,$V4864,$X$37:$X$12971,AF$13)</f>
        <v>0</v>
      </c>
      <c r="AG4864" s="185">
        <f>SUMIFS($AD$37:$AD$12971,$V$37:$V$12971,$V4864,$X$37:$X$12971,AG$13)</f>
        <v>0</v>
      </c>
      <c r="AH4864" s="187">
        <f>SUMIFS($AD$37:$AD$12971,$V$37:$V$12971,$V4864,$X$37:$X$12971,AH$13)</f>
        <v>0</v>
      </c>
      <c r="AI4864" s="161">
        <f t="shared" ref="AI4864" si="3551">SUM(AE4864:AH4864)</f>
        <v>0</v>
      </c>
      <c r="AK4864" s="172"/>
    </row>
    <row r="4865" spans="1:37" s="102" customFormat="1" ht="19.899999999999999" customHeight="1" x14ac:dyDescent="0.25">
      <c r="A4865" s="45"/>
      <c r="B4865" s="59"/>
      <c r="C4865" s="137"/>
      <c r="D4865" s="59"/>
      <c r="E4865" s="116"/>
      <c r="F4865" s="120"/>
      <c r="G4865" s="120"/>
      <c r="H4865" s="120"/>
      <c r="I4865" s="60"/>
      <c r="J4865" s="116"/>
      <c r="K4865" s="213"/>
      <c r="L4865" s="120"/>
      <c r="M4865" s="120"/>
      <c r="N4865" s="167"/>
      <c r="O4865" s="120"/>
      <c r="P4865" s="120"/>
      <c r="Q4865" s="120"/>
      <c r="R4865" s="120"/>
      <c r="S4865" s="120"/>
      <c r="T4865" s="221"/>
      <c r="U4865" s="89"/>
      <c r="V4865" s="61"/>
      <c r="W4865" s="92" t="s">
        <v>1534</v>
      </c>
      <c r="X4865" s="93" t="s">
        <v>30</v>
      </c>
      <c r="Y4865" s="93" t="s">
        <v>35</v>
      </c>
      <c r="Z4865" s="134">
        <f>VLOOKUP(W4865,Sheet2!$B:$D,3,FALSE)</f>
        <v>7200</v>
      </c>
      <c r="AA4865" s="93">
        <v>1</v>
      </c>
      <c r="AB4865" s="93">
        <f>AD4865/AC4864</f>
        <v>7200.0000000000009</v>
      </c>
      <c r="AC4865" s="93">
        <f>AC4864/AA4865</f>
        <v>21.70999999999999</v>
      </c>
      <c r="AD4865" s="94">
        <f t="shared" ref="AD4865:AD4866" si="3552">AC4865*Z4865</f>
        <v>156311.99999999994</v>
      </c>
      <c r="AE4865" s="190"/>
      <c r="AF4865" s="191"/>
      <c r="AG4865" s="191"/>
      <c r="AH4865" s="191"/>
      <c r="AI4865" s="186"/>
      <c r="AK4865" s="171"/>
    </row>
    <row r="4866" spans="1:37" s="102" customFormat="1" ht="19.899999999999999" customHeight="1" x14ac:dyDescent="0.25">
      <c r="A4866" s="45"/>
      <c r="B4866" s="59"/>
      <c r="C4866" s="137"/>
      <c r="D4866" s="59"/>
      <c r="E4866" s="116"/>
      <c r="F4866" s="120"/>
      <c r="G4866" s="120"/>
      <c r="H4866" s="120"/>
      <c r="I4866" s="60"/>
      <c r="J4866" s="116"/>
      <c r="K4866" s="213"/>
      <c r="L4866" s="120"/>
      <c r="M4866" s="120"/>
      <c r="N4866" s="167"/>
      <c r="O4866" s="120"/>
      <c r="P4866" s="120"/>
      <c r="Q4866" s="120"/>
      <c r="R4866" s="120"/>
      <c r="S4866" s="120"/>
      <c r="T4866" s="221"/>
      <c r="U4866" s="89"/>
      <c r="V4866" s="61"/>
      <c r="W4866" s="92" t="s">
        <v>174</v>
      </c>
      <c r="X4866" s="93" t="s">
        <v>29</v>
      </c>
      <c r="Y4866" s="93" t="s">
        <v>93</v>
      </c>
      <c r="Z4866" s="134">
        <f>VLOOKUP(W4866,Sheet2!$B:$D,3,FALSE)</f>
        <v>80</v>
      </c>
      <c r="AA4866" s="93">
        <f>1/2</f>
        <v>0.5</v>
      </c>
      <c r="AB4866" s="93">
        <f>AD4866/AC4864</f>
        <v>160</v>
      </c>
      <c r="AC4866" s="93">
        <f>AC4864/AA4866</f>
        <v>43.41999999999998</v>
      </c>
      <c r="AD4866" s="94">
        <f t="shared" si="3552"/>
        <v>3473.5999999999985</v>
      </c>
      <c r="AE4866" s="190"/>
      <c r="AF4866" s="191"/>
      <c r="AG4866" s="191"/>
      <c r="AH4866" s="191"/>
      <c r="AI4866" s="186"/>
      <c r="AK4866" s="171"/>
    </row>
    <row r="4867" spans="1:37" s="102" customFormat="1" ht="19.899999999999999" customHeight="1" x14ac:dyDescent="0.25">
      <c r="A4867" s="45"/>
      <c r="B4867" s="59"/>
      <c r="C4867" s="137"/>
      <c r="D4867" s="59"/>
      <c r="E4867" s="116"/>
      <c r="F4867" s="120"/>
      <c r="G4867" s="120"/>
      <c r="H4867" s="120"/>
      <c r="I4867" s="60"/>
      <c r="J4867" s="116"/>
      <c r="K4867" s="213"/>
      <c r="L4867" s="120"/>
      <c r="M4867" s="120"/>
      <c r="N4867" s="167"/>
      <c r="O4867" s="120"/>
      <c r="P4867" s="120"/>
      <c r="Q4867" s="120"/>
      <c r="R4867" s="120"/>
      <c r="S4867" s="120"/>
      <c r="T4867" s="221"/>
      <c r="U4867" s="89"/>
      <c r="V4867" s="61"/>
      <c r="W4867" s="92" t="s">
        <v>65</v>
      </c>
      <c r="X4867" s="93" t="s">
        <v>30</v>
      </c>
      <c r="Y4867" s="93" t="s">
        <v>93</v>
      </c>
      <c r="Z4867" s="134">
        <f>VLOOKUP(W4867,Sheet2!$B:$D,3,FALSE)</f>
        <v>1.76</v>
      </c>
      <c r="AA4867" s="93">
        <f>AA4866/15</f>
        <v>3.3333333333333333E-2</v>
      </c>
      <c r="AB4867" s="93">
        <f>AD4867/AC4864</f>
        <v>52.800000000000004</v>
      </c>
      <c r="AC4867" s="93">
        <f>AC4864/AA4867</f>
        <v>651.29999999999973</v>
      </c>
      <c r="AD4867" s="94">
        <f>AC4867*Z4867</f>
        <v>1146.2879999999996</v>
      </c>
      <c r="AE4867" s="190"/>
      <c r="AF4867" s="191"/>
      <c r="AG4867" s="191"/>
      <c r="AH4867" s="191"/>
      <c r="AI4867" s="186"/>
      <c r="AK4867" s="171"/>
    </row>
    <row r="4868" spans="1:37" s="102" customFormat="1" ht="19.899999999999999" customHeight="1" x14ac:dyDescent="0.25">
      <c r="A4868" s="45"/>
      <c r="B4868" s="59"/>
      <c r="C4868" s="137"/>
      <c r="D4868" s="59"/>
      <c r="E4868" s="116"/>
      <c r="F4868" s="120"/>
      <c r="G4868" s="120"/>
      <c r="H4868" s="120"/>
      <c r="I4868" s="60"/>
      <c r="J4868" s="116"/>
      <c r="K4868" s="213"/>
      <c r="L4868" s="120"/>
      <c r="M4868" s="120"/>
      <c r="N4868" s="167"/>
      <c r="O4868" s="120"/>
      <c r="P4868" s="120"/>
      <c r="Q4868" s="120"/>
      <c r="R4868" s="120"/>
      <c r="S4868" s="120"/>
      <c r="T4868" s="221"/>
      <c r="U4868" s="89"/>
      <c r="V4868" s="61"/>
      <c r="W4868" s="92" t="s">
        <v>1487</v>
      </c>
      <c r="X4868" s="93" t="s">
        <v>32</v>
      </c>
      <c r="Y4868" s="93" t="s">
        <v>1349</v>
      </c>
      <c r="Z4868" s="134">
        <f>VLOOKUP(W4868,Sheet2!$B:$D,3,FALSE)</f>
        <v>1500</v>
      </c>
      <c r="AA4868" s="93">
        <v>1</v>
      </c>
      <c r="AB4868" s="93">
        <f>AD4868/AC4864</f>
        <v>1500</v>
      </c>
      <c r="AC4868" s="93">
        <f>AC4864/AA4868</f>
        <v>21.70999999999999</v>
      </c>
      <c r="AD4868" s="94">
        <f>AC4868*Z4868</f>
        <v>32564.999999999985</v>
      </c>
      <c r="AE4868" s="190"/>
      <c r="AF4868" s="191"/>
      <c r="AG4868" s="191"/>
      <c r="AH4868" s="191"/>
      <c r="AI4868" s="186"/>
      <c r="AK4868" s="171"/>
    </row>
    <row r="4869" spans="1:37" s="102" customFormat="1" ht="19.899999999999999" customHeight="1" x14ac:dyDescent="0.25">
      <c r="A4869" s="45"/>
      <c r="B4869" s="59"/>
      <c r="C4869" s="137"/>
      <c r="D4869" s="59"/>
      <c r="E4869" s="116"/>
      <c r="F4869" s="120"/>
      <c r="G4869" s="120"/>
      <c r="H4869" s="120"/>
      <c r="I4869" s="60"/>
      <c r="J4869" s="116"/>
      <c r="K4869" s="213"/>
      <c r="L4869" s="120"/>
      <c r="M4869" s="120"/>
      <c r="N4869" s="167"/>
      <c r="O4869" s="120"/>
      <c r="P4869" s="120"/>
      <c r="Q4869" s="120"/>
      <c r="R4869" s="120"/>
      <c r="S4869" s="120"/>
      <c r="T4869" s="221"/>
      <c r="U4869" s="89"/>
      <c r="V4869" s="61"/>
      <c r="W4869" s="92" t="s">
        <v>107</v>
      </c>
      <c r="X4869" s="93" t="s">
        <v>31</v>
      </c>
      <c r="Y4869" s="93" t="s">
        <v>93</v>
      </c>
      <c r="Z4869" s="134">
        <f>VLOOKUP(W4869,Sheet2!$B:$D,3,FALSE)</f>
        <v>17</v>
      </c>
      <c r="AA4869" s="93">
        <f>AA4866</f>
        <v>0.5</v>
      </c>
      <c r="AB4869" s="93">
        <f>AD4869/AC4864</f>
        <v>34</v>
      </c>
      <c r="AC4869" s="93">
        <f>AC4864/AA4869</f>
        <v>43.41999999999998</v>
      </c>
      <c r="AD4869" s="94">
        <f>AC4869*Z4869</f>
        <v>738.13999999999965</v>
      </c>
      <c r="AE4869" s="190"/>
      <c r="AF4869" s="191"/>
      <c r="AG4869" s="191"/>
      <c r="AH4869" s="191"/>
      <c r="AI4869" s="186"/>
      <c r="AK4869" s="171"/>
    </row>
    <row r="4870" spans="1:37" s="102" customFormat="1" ht="19.899999999999999" customHeight="1" x14ac:dyDescent="0.25">
      <c r="A4870" s="45"/>
      <c r="B4870" s="59"/>
      <c r="C4870" s="137"/>
      <c r="D4870" s="59"/>
      <c r="E4870" s="116"/>
      <c r="F4870" s="120"/>
      <c r="G4870" s="120"/>
      <c r="H4870" s="120"/>
      <c r="I4870" s="60"/>
      <c r="J4870" s="116"/>
      <c r="K4870" s="213"/>
      <c r="L4870" s="120"/>
      <c r="M4870" s="120"/>
      <c r="N4870" s="167"/>
      <c r="O4870" s="120"/>
      <c r="P4870" s="120"/>
      <c r="Q4870" s="120"/>
      <c r="R4870" s="120"/>
      <c r="S4870" s="120"/>
      <c r="T4870" s="221"/>
      <c r="U4870" s="89"/>
      <c r="V4870" s="61"/>
      <c r="W4870" s="92" t="s">
        <v>112</v>
      </c>
      <c r="X4870" s="93" t="s">
        <v>31</v>
      </c>
      <c r="Y4870" s="93" t="s">
        <v>93</v>
      </c>
      <c r="Z4870" s="134">
        <f>VLOOKUP(W4870,Sheet2!$B:$D,3,FALSE)</f>
        <v>13</v>
      </c>
      <c r="AA4870" s="93">
        <f>AA4869</f>
        <v>0.5</v>
      </c>
      <c r="AB4870" s="93">
        <f>AD4870/AC4864</f>
        <v>25.999999999999996</v>
      </c>
      <c r="AC4870" s="93">
        <f>AC4864/AA4870</f>
        <v>43.41999999999998</v>
      </c>
      <c r="AD4870" s="94">
        <f>AC4870*Z4870</f>
        <v>564.4599999999997</v>
      </c>
      <c r="AE4870" s="190"/>
      <c r="AF4870" s="191"/>
      <c r="AG4870" s="191"/>
      <c r="AH4870" s="191"/>
      <c r="AI4870" s="186"/>
      <c r="AK4870" s="171"/>
    </row>
    <row r="4871" spans="1:37" s="103" customFormat="1" ht="19.899999999999999" customHeight="1" x14ac:dyDescent="0.25">
      <c r="A4871" s="51"/>
      <c r="B4871" s="52"/>
      <c r="C4871" s="165"/>
      <c r="D4871" s="52"/>
      <c r="E4871" s="115"/>
      <c r="F4871" s="58"/>
      <c r="G4871" s="58"/>
      <c r="H4871" s="58"/>
      <c r="I4871" s="55"/>
      <c r="J4871" s="113">
        <f>J4851</f>
        <v>21.70999999999999</v>
      </c>
      <c r="K4871" s="212">
        <f>K4851</f>
        <v>21.70999999999999</v>
      </c>
      <c r="L4871" s="58"/>
      <c r="M4871" s="58">
        <f>K4871-L4871</f>
        <v>21.70999999999999</v>
      </c>
      <c r="N4871" s="166"/>
      <c r="O4871" s="58"/>
      <c r="P4871" s="58"/>
      <c r="Q4871" s="58"/>
      <c r="R4871" s="58"/>
      <c r="S4871" s="58"/>
      <c r="T4871" s="220"/>
      <c r="U4871" s="88"/>
      <c r="V4871" s="56"/>
      <c r="W4871" s="57" t="s">
        <v>1272</v>
      </c>
      <c r="X4871" s="53"/>
      <c r="Y4871" s="91" t="s">
        <v>35</v>
      </c>
      <c r="Z4871" s="136">
        <f>AD4871/AC4871</f>
        <v>527.082154854902</v>
      </c>
      <c r="AA4871" s="58"/>
      <c r="AB4871" s="53">
        <f>AD4871/AC4871</f>
        <v>527.082154854902</v>
      </c>
      <c r="AC4871" s="53">
        <f>M4871+$AE$10</f>
        <v>21.70999999999999</v>
      </c>
      <c r="AD4871" s="54">
        <f>SUM(AD4872:AD4880)</f>
        <v>11442.953581899917</v>
      </c>
      <c r="AE4871" s="184">
        <f>SUMIFS($AD$37:$AD$12971,$V$37:$V$12971,$V4871,$X$37:$X$12971,AE$13)</f>
        <v>0</v>
      </c>
      <c r="AF4871" s="185">
        <f>SUMIFS($AD$37:$AD$12971,$V$37:$V$12971,$V4871,$X$37:$X$12971,AF$13)</f>
        <v>0</v>
      </c>
      <c r="AG4871" s="185">
        <f>SUMIFS($AD$37:$AD$12971,$V$37:$V$12971,$V4871,$X$37:$X$12971,AG$13)</f>
        <v>0</v>
      </c>
      <c r="AH4871" s="187">
        <f>SUMIFS($AD$37:$AD$12971,$V$37:$V$12971,$V4871,$X$37:$X$12971,AH$13)</f>
        <v>0</v>
      </c>
      <c r="AI4871" s="161">
        <f t="shared" ref="AI4871" si="3553">SUM(AE4871:AH4871)</f>
        <v>0</v>
      </c>
      <c r="AK4871" s="172"/>
    </row>
    <row r="4872" spans="1:37" s="102" customFormat="1" ht="19.899999999999999" customHeight="1" x14ac:dyDescent="0.25">
      <c r="A4872" s="45"/>
      <c r="B4872" s="59"/>
      <c r="C4872" s="137"/>
      <c r="D4872" s="59"/>
      <c r="E4872" s="116"/>
      <c r="F4872" s="120"/>
      <c r="G4872" s="120"/>
      <c r="H4872" s="120"/>
      <c r="I4872" s="60"/>
      <c r="J4872" s="116"/>
      <c r="K4872" s="213"/>
      <c r="L4872" s="120"/>
      <c r="M4872" s="120"/>
      <c r="N4872" s="167"/>
      <c r="O4872" s="120"/>
      <c r="P4872" s="120"/>
      <c r="Q4872" s="120"/>
      <c r="R4872" s="120"/>
      <c r="S4872" s="120"/>
      <c r="T4872" s="221"/>
      <c r="U4872" s="89"/>
      <c r="V4872" s="61"/>
      <c r="W4872" s="92" t="s">
        <v>1273</v>
      </c>
      <c r="X4872" s="93" t="s">
        <v>30</v>
      </c>
      <c r="Y4872" s="93" t="s">
        <v>66</v>
      </c>
      <c r="Z4872" s="134">
        <f>VLOOKUP(W4872,Sheet2!$B:$D,3,FALSE)</f>
        <v>10</v>
      </c>
      <c r="AA4872" s="93">
        <f>1/((2.5*2.5*5)-(3.14/4*1.2*1.2*5))</f>
        <v>3.9065551996249712E-2</v>
      </c>
      <c r="AB4872" s="93">
        <f>AD4872/AC4871</f>
        <v>255.97999999999996</v>
      </c>
      <c r="AC4872" s="93">
        <f>AC4871/AA4872</f>
        <v>555.73257999999964</v>
      </c>
      <c r="AD4872" s="94">
        <f t="shared" ref="AD4872:AD4874" si="3554">AC4872*Z4872</f>
        <v>5557.3257999999969</v>
      </c>
      <c r="AE4872" s="190"/>
      <c r="AF4872" s="191"/>
      <c r="AG4872" s="191"/>
      <c r="AH4872" s="191"/>
      <c r="AI4872" s="186"/>
      <c r="AK4872" s="171"/>
    </row>
    <row r="4873" spans="1:37" s="102" customFormat="1" ht="19.899999999999999" customHeight="1" x14ac:dyDescent="0.25">
      <c r="A4873" s="45"/>
      <c r="B4873" s="59"/>
      <c r="C4873" s="137"/>
      <c r="D4873" s="59"/>
      <c r="E4873" s="116"/>
      <c r="F4873" s="120"/>
      <c r="G4873" s="120"/>
      <c r="H4873" s="120"/>
      <c r="I4873" s="60"/>
      <c r="J4873" s="116"/>
      <c r="K4873" s="213"/>
      <c r="L4873" s="120"/>
      <c r="M4873" s="120"/>
      <c r="N4873" s="167"/>
      <c r="O4873" s="120"/>
      <c r="P4873" s="120"/>
      <c r="Q4873" s="120"/>
      <c r="R4873" s="120"/>
      <c r="S4873" s="120"/>
      <c r="T4873" s="221"/>
      <c r="U4873" s="89"/>
      <c r="V4873" s="61"/>
      <c r="W4873" s="92" t="s">
        <v>134</v>
      </c>
      <c r="X4873" s="93" t="s">
        <v>29</v>
      </c>
      <c r="Y4873" s="93" t="s">
        <v>93</v>
      </c>
      <c r="Z4873" s="134">
        <f>VLOOKUP(W4873,Sheet2!$B:$D,3,FALSE)</f>
        <v>65.599999999999994</v>
      </c>
      <c r="AA4873" s="93">
        <f>100/((2.5*2.5*5)-(3.14/4*1.2*1.2*5))</f>
        <v>3.9065551996249708</v>
      </c>
      <c r="AB4873" s="93">
        <f t="shared" ref="AB4873" si="3555">AD4873/AC4871</f>
        <v>16.792287999999999</v>
      </c>
      <c r="AC4873" s="93">
        <f>AC4871/AA4873</f>
        <v>5.5573257999999974</v>
      </c>
      <c r="AD4873" s="94">
        <f t="shared" si="3554"/>
        <v>364.56057247999979</v>
      </c>
      <c r="AE4873" s="190"/>
      <c r="AF4873" s="191"/>
      <c r="AG4873" s="191"/>
      <c r="AH4873" s="191"/>
      <c r="AI4873" s="186"/>
      <c r="AK4873" s="171"/>
    </row>
    <row r="4874" spans="1:37" s="102" customFormat="1" ht="19.899999999999999" customHeight="1" x14ac:dyDescent="0.25">
      <c r="A4874" s="45"/>
      <c r="B4874" s="59"/>
      <c r="C4874" s="137"/>
      <c r="D4874" s="59"/>
      <c r="E4874" s="116"/>
      <c r="F4874" s="120"/>
      <c r="G4874" s="120"/>
      <c r="H4874" s="120"/>
      <c r="I4874" s="60"/>
      <c r="J4874" s="116"/>
      <c r="K4874" s="213"/>
      <c r="L4874" s="120"/>
      <c r="M4874" s="120"/>
      <c r="N4874" s="167"/>
      <c r="O4874" s="120"/>
      <c r="P4874" s="120"/>
      <c r="Q4874" s="120"/>
      <c r="R4874" s="120"/>
      <c r="S4874" s="120"/>
      <c r="T4874" s="221"/>
      <c r="U4874" s="89"/>
      <c r="V4874" s="61"/>
      <c r="W4874" s="92" t="s">
        <v>65</v>
      </c>
      <c r="X4874" s="93" t="s">
        <v>30</v>
      </c>
      <c r="Y4874" s="93" t="s">
        <v>1011</v>
      </c>
      <c r="Z4874" s="134">
        <f>VLOOKUP(W4874,Sheet2!$B:$D,3,FALSE)</f>
        <v>1.76</v>
      </c>
      <c r="AA4874" s="93">
        <f>AA4873/9</f>
        <v>0.43406168884721896</v>
      </c>
      <c r="AB4874" s="93">
        <f>AD4874/AC4871</f>
        <v>4.0547231999999997</v>
      </c>
      <c r="AC4874" s="93">
        <f>AC4871/AA4874</f>
        <v>50.01593219999998</v>
      </c>
      <c r="AD4874" s="94">
        <f t="shared" si="3554"/>
        <v>88.02804067199996</v>
      </c>
      <c r="AE4874" s="190"/>
      <c r="AF4874" s="191"/>
      <c r="AG4874" s="191"/>
      <c r="AH4874" s="191"/>
      <c r="AI4874" s="186"/>
      <c r="AK4874" s="171"/>
    </row>
    <row r="4875" spans="1:37" s="102" customFormat="1" ht="19.899999999999999" customHeight="1" x14ac:dyDescent="0.25">
      <c r="A4875" s="45"/>
      <c r="B4875" s="59"/>
      <c r="C4875" s="137"/>
      <c r="D4875" s="59"/>
      <c r="E4875" s="116"/>
      <c r="F4875" s="120"/>
      <c r="G4875" s="120"/>
      <c r="H4875" s="120"/>
      <c r="I4875" s="60"/>
      <c r="J4875" s="116"/>
      <c r="K4875" s="213"/>
      <c r="L4875" s="120"/>
      <c r="M4875" s="120"/>
      <c r="N4875" s="167"/>
      <c r="O4875" s="120"/>
      <c r="P4875" s="120"/>
      <c r="Q4875" s="120"/>
      <c r="R4875" s="120"/>
      <c r="S4875" s="120"/>
      <c r="T4875" s="221"/>
      <c r="U4875" s="89"/>
      <c r="V4875" s="61"/>
      <c r="W4875" s="92" t="s">
        <v>161</v>
      </c>
      <c r="X4875" s="93" t="s">
        <v>29</v>
      </c>
      <c r="Y4875" s="93" t="s">
        <v>93</v>
      </c>
      <c r="Z4875" s="134">
        <f>VLOOKUP(W4875,Sheet2!$B:$D,3,FALSE)</f>
        <v>48</v>
      </c>
      <c r="AA4875" s="93">
        <f>(16*0.85*1.5)/((2.5*2.5*5)-(3.14/4*1.2*1.2*5))</f>
        <v>0.79693726072349402</v>
      </c>
      <c r="AB4875" s="93">
        <f>AD4875/AC4871</f>
        <v>60.230588235294121</v>
      </c>
      <c r="AC4875" s="93">
        <f>AC4871/AA4875</f>
        <v>27.241793137254891</v>
      </c>
      <c r="AD4875" s="94">
        <f>AC4875*Z4875</f>
        <v>1307.6060705882348</v>
      </c>
      <c r="AE4875" s="190"/>
      <c r="AF4875" s="191"/>
      <c r="AG4875" s="191"/>
      <c r="AH4875" s="191"/>
      <c r="AI4875" s="186"/>
      <c r="AK4875" s="171"/>
    </row>
    <row r="4876" spans="1:37" s="102" customFormat="1" ht="19.899999999999999" customHeight="1" x14ac:dyDescent="0.25">
      <c r="A4876" s="45"/>
      <c r="B4876" s="59"/>
      <c r="C4876" s="137"/>
      <c r="D4876" s="59"/>
      <c r="E4876" s="116"/>
      <c r="F4876" s="120"/>
      <c r="G4876" s="120"/>
      <c r="H4876" s="120"/>
      <c r="I4876" s="60"/>
      <c r="J4876" s="116"/>
      <c r="K4876" s="213"/>
      <c r="L4876" s="120"/>
      <c r="M4876" s="120"/>
      <c r="N4876" s="167"/>
      <c r="O4876" s="120"/>
      <c r="P4876" s="120"/>
      <c r="Q4876" s="120"/>
      <c r="R4876" s="120"/>
      <c r="S4876" s="120"/>
      <c r="T4876" s="221"/>
      <c r="U4876" s="89"/>
      <c r="V4876" s="61"/>
      <c r="W4876" s="92" t="s">
        <v>65</v>
      </c>
      <c r="X4876" s="93" t="s">
        <v>30</v>
      </c>
      <c r="Y4876" s="93" t="s">
        <v>1011</v>
      </c>
      <c r="Z4876" s="134">
        <f>VLOOKUP(W4876,Sheet2!$B:$D,3,FALSE)</f>
        <v>1.76</v>
      </c>
      <c r="AA4876" s="93">
        <f>AA4875/10</f>
        <v>7.9693726072349397E-2</v>
      </c>
      <c r="AB4876" s="93">
        <f>AD4876/AC4871</f>
        <v>22.084549019607849</v>
      </c>
      <c r="AC4876" s="93">
        <f>AC4871/AA4876</f>
        <v>272.41793137254894</v>
      </c>
      <c r="AD4876" s="94">
        <f>AC4876*Z4876</f>
        <v>479.45555921568615</v>
      </c>
      <c r="AE4876" s="190"/>
      <c r="AF4876" s="191"/>
      <c r="AG4876" s="191"/>
      <c r="AH4876" s="191"/>
      <c r="AI4876" s="186"/>
      <c r="AK4876" s="171"/>
    </row>
    <row r="4877" spans="1:37" s="102" customFormat="1" ht="19.899999999999999" customHeight="1" x14ac:dyDescent="0.25">
      <c r="A4877" s="45"/>
      <c r="B4877" s="59"/>
      <c r="C4877" s="137"/>
      <c r="D4877" s="59"/>
      <c r="E4877" s="116"/>
      <c r="F4877" s="120"/>
      <c r="G4877" s="120"/>
      <c r="H4877" s="120"/>
      <c r="I4877" s="60"/>
      <c r="J4877" s="116"/>
      <c r="K4877" s="213"/>
      <c r="L4877" s="120"/>
      <c r="M4877" s="120"/>
      <c r="N4877" s="167"/>
      <c r="O4877" s="120"/>
      <c r="P4877" s="120"/>
      <c r="Q4877" s="120"/>
      <c r="R4877" s="120"/>
      <c r="S4877" s="120"/>
      <c r="T4877" s="221"/>
      <c r="U4877" s="89"/>
      <c r="V4877" s="61"/>
      <c r="W4877" s="92" t="s">
        <v>173</v>
      </c>
      <c r="X4877" s="93" t="s">
        <v>29</v>
      </c>
      <c r="Y4877" s="93" t="s">
        <v>93</v>
      </c>
      <c r="Z4877" s="134">
        <f>VLOOKUP(W4877,Sheet2!$B:$D,3,FALSE)</f>
        <v>36</v>
      </c>
      <c r="AA4877" s="93">
        <f>50/((2.5*2.5*5)-(3.14/4*1.2*1.2*5))</f>
        <v>1.9532775998124854</v>
      </c>
      <c r="AB4877" s="93">
        <f>AD4877/AC4871</f>
        <v>18.43056</v>
      </c>
      <c r="AC4877" s="93">
        <f>AC4871/AA4877</f>
        <v>11.114651599999995</v>
      </c>
      <c r="AD4877" s="94">
        <f>AC4877*Z4877</f>
        <v>400.12745759999984</v>
      </c>
      <c r="AE4877" s="190"/>
      <c r="AF4877" s="191"/>
      <c r="AG4877" s="191"/>
      <c r="AH4877" s="191"/>
      <c r="AI4877" s="186"/>
      <c r="AK4877" s="171"/>
    </row>
    <row r="4878" spans="1:37" s="102" customFormat="1" ht="19.899999999999999" customHeight="1" x14ac:dyDescent="0.25">
      <c r="A4878" s="45"/>
      <c r="B4878" s="59"/>
      <c r="C4878" s="137"/>
      <c r="D4878" s="59"/>
      <c r="E4878" s="116"/>
      <c r="F4878" s="120"/>
      <c r="G4878" s="120"/>
      <c r="H4878" s="120"/>
      <c r="I4878" s="60"/>
      <c r="J4878" s="116"/>
      <c r="K4878" s="213"/>
      <c r="L4878" s="120"/>
      <c r="M4878" s="120"/>
      <c r="N4878" s="167"/>
      <c r="O4878" s="120"/>
      <c r="P4878" s="120"/>
      <c r="Q4878" s="120"/>
      <c r="R4878" s="120"/>
      <c r="S4878" s="120"/>
      <c r="T4878" s="221"/>
      <c r="U4878" s="89"/>
      <c r="V4878" s="61"/>
      <c r="W4878" s="92" t="s">
        <v>65</v>
      </c>
      <c r="X4878" s="93" t="s">
        <v>30</v>
      </c>
      <c r="Y4878" s="93" t="s">
        <v>1011</v>
      </c>
      <c r="Z4878" s="134">
        <f>VLOOKUP(W4878,Sheet2!$B:$D,3,FALSE)</f>
        <v>1.76</v>
      </c>
      <c r="AA4878" s="93">
        <f>AA4877/9</f>
        <v>0.21703084442360948</v>
      </c>
      <c r="AB4878" s="93">
        <f>AD4878/AC4871</f>
        <v>8.1094463999999995</v>
      </c>
      <c r="AC4878" s="93">
        <f>AC4871/AA4878</f>
        <v>100.03186439999996</v>
      </c>
      <c r="AD4878" s="94">
        <f>AC4878*Z4878</f>
        <v>176.05608134399992</v>
      </c>
      <c r="AE4878" s="190"/>
      <c r="AF4878" s="191"/>
      <c r="AG4878" s="191"/>
      <c r="AH4878" s="191"/>
      <c r="AI4878" s="186"/>
      <c r="AK4878" s="171"/>
    </row>
    <row r="4879" spans="1:37" s="102" customFormat="1" ht="19.899999999999999" customHeight="1" x14ac:dyDescent="0.25">
      <c r="A4879" s="45"/>
      <c r="B4879" s="59"/>
      <c r="C4879" s="137"/>
      <c r="D4879" s="59"/>
      <c r="E4879" s="116"/>
      <c r="F4879" s="120"/>
      <c r="G4879" s="120"/>
      <c r="H4879" s="120"/>
      <c r="I4879" s="60"/>
      <c r="J4879" s="116"/>
      <c r="K4879" s="213"/>
      <c r="L4879" s="120"/>
      <c r="M4879" s="120"/>
      <c r="N4879" s="167"/>
      <c r="O4879" s="120"/>
      <c r="P4879" s="120"/>
      <c r="Q4879" s="120"/>
      <c r="R4879" s="120"/>
      <c r="S4879" s="120"/>
      <c r="T4879" s="221"/>
      <c r="U4879" s="89"/>
      <c r="V4879" s="61"/>
      <c r="W4879" s="92" t="s">
        <v>1030</v>
      </c>
      <c r="X4879" s="93" t="s">
        <v>29</v>
      </c>
      <c r="Y4879" s="93" t="s">
        <v>93</v>
      </c>
      <c r="Z4879" s="134">
        <f>VLOOKUP(W4879,Sheet2!$B:$D,3,FALSE)</f>
        <v>23</v>
      </c>
      <c r="AA4879" s="93">
        <f>1/(5*1)</f>
        <v>0.2</v>
      </c>
      <c r="AB4879" s="93">
        <f>AD4879/AC4871</f>
        <v>115</v>
      </c>
      <c r="AC4879" s="93">
        <f>AC4871/AA4879</f>
        <v>108.54999999999994</v>
      </c>
      <c r="AD4879" s="94">
        <f t="shared" ref="AD4879:AD4880" si="3556">AC4879*Z4879</f>
        <v>2496.6499999999987</v>
      </c>
      <c r="AE4879" s="190"/>
      <c r="AF4879" s="191"/>
      <c r="AG4879" s="191"/>
      <c r="AH4879" s="191"/>
      <c r="AI4879" s="186"/>
      <c r="AK4879" s="171"/>
    </row>
    <row r="4880" spans="1:37" s="102" customFormat="1" ht="19.899999999999999" customHeight="1" x14ac:dyDescent="0.25">
      <c r="A4880" s="45"/>
      <c r="B4880" s="59"/>
      <c r="C4880" s="137"/>
      <c r="D4880" s="59"/>
      <c r="E4880" s="116"/>
      <c r="F4880" s="120"/>
      <c r="G4880" s="120"/>
      <c r="H4880" s="120"/>
      <c r="I4880" s="60"/>
      <c r="J4880" s="116"/>
      <c r="K4880" s="213"/>
      <c r="L4880" s="120"/>
      <c r="M4880" s="120"/>
      <c r="N4880" s="167"/>
      <c r="O4880" s="120"/>
      <c r="P4880" s="120"/>
      <c r="Q4880" s="120"/>
      <c r="R4880" s="120"/>
      <c r="S4880" s="120"/>
      <c r="T4880" s="221"/>
      <c r="U4880" s="89"/>
      <c r="V4880" s="61"/>
      <c r="W4880" s="92" t="s">
        <v>65</v>
      </c>
      <c r="X4880" s="93" t="s">
        <v>30</v>
      </c>
      <c r="Y4880" s="93" t="s">
        <v>1011</v>
      </c>
      <c r="Z4880" s="134">
        <f>VLOOKUP(W4880,Sheet2!$B:$D,3,FALSE)</f>
        <v>1.76</v>
      </c>
      <c r="AA4880" s="93">
        <f>AA4879/3</f>
        <v>6.6666666666666666E-2</v>
      </c>
      <c r="AB4880" s="93">
        <f>AD4880/AC4871</f>
        <v>26.400000000000002</v>
      </c>
      <c r="AC4880" s="93">
        <f>AC4871/AA4880</f>
        <v>325.64999999999986</v>
      </c>
      <c r="AD4880" s="94">
        <f t="shared" si="3556"/>
        <v>573.14399999999978</v>
      </c>
      <c r="AE4880" s="190"/>
      <c r="AF4880" s="191"/>
      <c r="AG4880" s="191"/>
      <c r="AH4880" s="191"/>
      <c r="AI4880" s="186"/>
      <c r="AK4880" s="171"/>
    </row>
    <row r="4881" spans="1:41" ht="20.100000000000001" customHeight="1" x14ac:dyDescent="0.25">
      <c r="A4881" s="277" t="s">
        <v>491</v>
      </c>
      <c r="B4881" s="278"/>
      <c r="C4881" s="64" t="s">
        <v>581</v>
      </c>
      <c r="D4881" s="46" t="s">
        <v>215</v>
      </c>
      <c r="E4881" s="114">
        <v>15.599999999999996</v>
      </c>
      <c r="F4881" s="44">
        <v>40533</v>
      </c>
      <c r="G4881" s="44">
        <f t="shared" si="3471"/>
        <v>632314.79999999981</v>
      </c>
      <c r="H4881" s="44">
        <f t="shared" si="3472"/>
        <v>11923.545586026668</v>
      </c>
      <c r="I4881" s="43">
        <f t="shared" si="3473"/>
        <v>186007.31114201597</v>
      </c>
      <c r="J4881" s="112">
        <f t="shared" si="3474"/>
        <v>15.599999999999996</v>
      </c>
      <c r="K4881" s="211">
        <f t="shared" si="3475"/>
        <v>15.599999999999996</v>
      </c>
      <c r="L4881" s="44"/>
      <c r="M4881" s="44">
        <f t="shared" si="3499"/>
        <v>15.599999999999996</v>
      </c>
      <c r="N4881" s="173">
        <f t="shared" si="3476"/>
        <v>1</v>
      </c>
      <c r="O4881" s="44">
        <f t="shared" si="3477"/>
        <v>40533</v>
      </c>
      <c r="P4881" s="44">
        <f t="shared" si="3478"/>
        <v>632314.79999999981</v>
      </c>
      <c r="Q4881" s="44">
        <f t="shared" si="3479"/>
        <v>11923.545586026668</v>
      </c>
      <c r="R4881" s="44">
        <f t="shared" si="3500"/>
        <v>186007.31114201597</v>
      </c>
      <c r="S4881" s="123"/>
      <c r="T4881" s="219">
        <f t="shared" si="3501"/>
        <v>186007.31114201597</v>
      </c>
      <c r="U4881" s="87"/>
      <c r="V4881" s="47"/>
      <c r="W4881" s="48"/>
      <c r="X4881" s="48"/>
      <c r="Y4881" s="48"/>
      <c r="Z4881" s="135"/>
      <c r="AA4881" s="49"/>
      <c r="AB4881" s="50">
        <f t="shared" si="3480"/>
        <v>11923.545586026668</v>
      </c>
      <c r="AC4881" s="42">
        <f t="shared" si="3502"/>
        <v>15.599999999999996</v>
      </c>
      <c r="AD4881" s="90">
        <f>AD4882+AD4887+AD4894+AD4901</f>
        <v>186007.31114201597</v>
      </c>
      <c r="AE4881" s="188">
        <f t="shared" ref="AE4881" si="3557">AE4882+AE4887+AE4894+AE4901</f>
        <v>0</v>
      </c>
      <c r="AF4881" s="189">
        <f t="shared" ref="AF4881" si="3558">AF4882+AF4887+AF4894+AF4901</f>
        <v>0</v>
      </c>
      <c r="AG4881" s="189">
        <f t="shared" ref="AG4881" si="3559">AG4882+AG4887+AG4894+AG4901</f>
        <v>0</v>
      </c>
      <c r="AH4881" s="189">
        <f t="shared" ref="AH4881" si="3560">AH4882+AH4887+AH4894+AH4901</f>
        <v>0</v>
      </c>
      <c r="AI4881" s="161">
        <f t="shared" ref="AI4881" si="3561">SUM(AE4881:AH4881)</f>
        <v>0</v>
      </c>
      <c r="AK4881" s="169">
        <v>5</v>
      </c>
      <c r="AO4881" s="19" t="s">
        <v>63</v>
      </c>
    </row>
    <row r="4882" spans="1:41" s="103" customFormat="1" ht="19.899999999999999" customHeight="1" x14ac:dyDescent="0.25">
      <c r="A4882" s="51"/>
      <c r="B4882" s="52"/>
      <c r="C4882" s="165"/>
      <c r="D4882" s="52"/>
      <c r="E4882" s="115"/>
      <c r="F4882" s="58"/>
      <c r="G4882" s="58"/>
      <c r="H4882" s="58"/>
      <c r="I4882" s="55"/>
      <c r="J4882" s="113">
        <f>J4881</f>
        <v>15.599999999999996</v>
      </c>
      <c r="K4882" s="212">
        <f>K4881</f>
        <v>15.599999999999996</v>
      </c>
      <c r="L4882" s="58"/>
      <c r="M4882" s="58">
        <f>K4882-L4882</f>
        <v>15.599999999999996</v>
      </c>
      <c r="N4882" s="166"/>
      <c r="O4882" s="58"/>
      <c r="P4882" s="58"/>
      <c r="Q4882" s="58"/>
      <c r="R4882" s="58"/>
      <c r="S4882" s="58"/>
      <c r="T4882" s="220"/>
      <c r="U4882" s="88"/>
      <c r="V4882" s="56"/>
      <c r="W4882" s="57" t="s">
        <v>1539</v>
      </c>
      <c r="X4882" s="53"/>
      <c r="Y4882" s="91" t="s">
        <v>35</v>
      </c>
      <c r="Z4882" s="136">
        <f>AD4882/AC4882</f>
        <v>138.2592156862745</v>
      </c>
      <c r="AA4882" s="58"/>
      <c r="AB4882" s="53">
        <f>AD4882/AC4882</f>
        <v>138.2592156862745</v>
      </c>
      <c r="AC4882" s="53">
        <f>M4882+$AE$10</f>
        <v>15.599999999999996</v>
      </c>
      <c r="AD4882" s="54">
        <f>SUM(AD4883:AD4886)</f>
        <v>2156.8437647058818</v>
      </c>
      <c r="AE4882" s="184">
        <f>SUMIFS($AD$37:$AD$12971,$V$37:$V$12971,$V4882,$X$37:$X$12971,AE$13)</f>
        <v>0</v>
      </c>
      <c r="AF4882" s="185">
        <f>SUMIFS($AD$37:$AD$12971,$V$37:$V$12971,$V4882,$X$37:$X$12971,AF$13)</f>
        <v>0</v>
      </c>
      <c r="AG4882" s="185">
        <f>SUMIFS($AD$37:$AD$12971,$V$37:$V$12971,$V4882,$X$37:$X$12971,AG$13)</f>
        <v>0</v>
      </c>
      <c r="AH4882" s="187">
        <f>SUMIFS($AD$37:$AD$12971,$V$37:$V$12971,$V4882,$X$37:$X$12971,AH$13)</f>
        <v>0</v>
      </c>
      <c r="AI4882" s="161">
        <f t="shared" ref="AI4882" si="3562">SUM(AE4882:AH4882)</f>
        <v>0</v>
      </c>
      <c r="AK4882" s="172"/>
    </row>
    <row r="4883" spans="1:41" s="102" customFormat="1" ht="19.899999999999999" customHeight="1" x14ac:dyDescent="0.25">
      <c r="A4883" s="45"/>
      <c r="B4883" s="59"/>
      <c r="C4883" s="137"/>
      <c r="D4883" s="59"/>
      <c r="E4883" s="116"/>
      <c r="F4883" s="120"/>
      <c r="G4883" s="120"/>
      <c r="H4883" s="120"/>
      <c r="I4883" s="60"/>
      <c r="J4883" s="116"/>
      <c r="K4883" s="213"/>
      <c r="L4883" s="120"/>
      <c r="M4883" s="120"/>
      <c r="N4883" s="167"/>
      <c r="O4883" s="120"/>
      <c r="P4883" s="120"/>
      <c r="Q4883" s="120"/>
      <c r="R4883" s="120"/>
      <c r="S4883" s="120"/>
      <c r="T4883" s="221"/>
      <c r="U4883" s="89"/>
      <c r="V4883" s="61"/>
      <c r="W4883" s="92" t="s">
        <v>129</v>
      </c>
      <c r="X4883" s="93" t="s">
        <v>29</v>
      </c>
      <c r="Y4883" s="93" t="s">
        <v>93</v>
      </c>
      <c r="Z4883" s="134">
        <f>VLOOKUP(W4883,Sheet2!$B:$D,3,FALSE)</f>
        <v>56</v>
      </c>
      <c r="AA4883" s="93">
        <f>100/(2.5*2.5*5.5)</f>
        <v>2.9090909090909092</v>
      </c>
      <c r="AB4883" s="93">
        <f t="shared" ref="AB4883" si="3563">AD4883/AC4882</f>
        <v>19.250000000000004</v>
      </c>
      <c r="AC4883" s="93">
        <f>AC4882/AA4883</f>
        <v>5.3624999999999989</v>
      </c>
      <c r="AD4883" s="94">
        <f t="shared" ref="AD4883:AD4884" si="3564">AC4883*Z4883</f>
        <v>300.29999999999995</v>
      </c>
      <c r="AE4883" s="190"/>
      <c r="AF4883" s="191"/>
      <c r="AG4883" s="191"/>
      <c r="AH4883" s="191"/>
      <c r="AI4883" s="186"/>
      <c r="AK4883" s="171"/>
    </row>
    <row r="4884" spans="1:41" s="102" customFormat="1" ht="19.899999999999999" customHeight="1" x14ac:dyDescent="0.25">
      <c r="A4884" s="45"/>
      <c r="B4884" s="59"/>
      <c r="C4884" s="137"/>
      <c r="D4884" s="59"/>
      <c r="E4884" s="116"/>
      <c r="F4884" s="120"/>
      <c r="G4884" s="120"/>
      <c r="H4884" s="120"/>
      <c r="I4884" s="60"/>
      <c r="J4884" s="116"/>
      <c r="K4884" s="213"/>
      <c r="L4884" s="120"/>
      <c r="M4884" s="120"/>
      <c r="N4884" s="167"/>
      <c r="O4884" s="120"/>
      <c r="P4884" s="120"/>
      <c r="Q4884" s="120"/>
      <c r="R4884" s="120"/>
      <c r="S4884" s="120"/>
      <c r="T4884" s="221"/>
      <c r="U4884" s="89"/>
      <c r="V4884" s="61"/>
      <c r="W4884" s="92" t="s">
        <v>65</v>
      </c>
      <c r="X4884" s="93" t="s">
        <v>30</v>
      </c>
      <c r="Y4884" s="93" t="s">
        <v>1011</v>
      </c>
      <c r="Z4884" s="134">
        <f>VLOOKUP(W4884,Sheet2!$B:$D,3,FALSE)</f>
        <v>1.76</v>
      </c>
      <c r="AA4884" s="93">
        <f>AA4883/14</f>
        <v>0.20779220779220781</v>
      </c>
      <c r="AB4884" s="93">
        <f>AD4884/AC4882</f>
        <v>8.4699999999999989</v>
      </c>
      <c r="AC4884" s="93">
        <f>AC4882/AA4884</f>
        <v>75.074999999999974</v>
      </c>
      <c r="AD4884" s="94">
        <f t="shared" si="3564"/>
        <v>132.13199999999995</v>
      </c>
      <c r="AE4884" s="190"/>
      <c r="AF4884" s="191"/>
      <c r="AG4884" s="191"/>
      <c r="AH4884" s="191"/>
      <c r="AI4884" s="186"/>
      <c r="AK4884" s="171"/>
    </row>
    <row r="4885" spans="1:41" s="102" customFormat="1" ht="19.899999999999999" customHeight="1" x14ac:dyDescent="0.25">
      <c r="A4885" s="45"/>
      <c r="B4885" s="59"/>
      <c r="C4885" s="137"/>
      <c r="D4885" s="59"/>
      <c r="E4885" s="116"/>
      <c r="F4885" s="120"/>
      <c r="G4885" s="120"/>
      <c r="H4885" s="120"/>
      <c r="I4885" s="60"/>
      <c r="J4885" s="116"/>
      <c r="K4885" s="213"/>
      <c r="L4885" s="120"/>
      <c r="M4885" s="120"/>
      <c r="N4885" s="167"/>
      <c r="O4885" s="120"/>
      <c r="P4885" s="120"/>
      <c r="Q4885" s="120"/>
      <c r="R4885" s="120"/>
      <c r="S4885" s="120"/>
      <c r="T4885" s="221"/>
      <c r="U4885" s="89"/>
      <c r="V4885" s="61"/>
      <c r="W4885" s="92" t="s">
        <v>161</v>
      </c>
      <c r="X4885" s="93" t="s">
        <v>29</v>
      </c>
      <c r="Y4885" s="93" t="s">
        <v>93</v>
      </c>
      <c r="Z4885" s="134">
        <f>VLOOKUP(W4885,Sheet2!$B:$D,3,FALSE)</f>
        <v>48</v>
      </c>
      <c r="AA4885" s="93">
        <f>(16*0.85*1.5)/(2.5*2.5*5.5)</f>
        <v>0.59345454545454546</v>
      </c>
      <c r="AB4885" s="93">
        <f>AD4885/AC4882</f>
        <v>80.882352941176478</v>
      </c>
      <c r="AC4885" s="93">
        <f>AC4882/AA4885</f>
        <v>26.286764705882348</v>
      </c>
      <c r="AD4885" s="94">
        <f>AC4885*Z4885</f>
        <v>1261.7647058823527</v>
      </c>
      <c r="AE4885" s="190"/>
      <c r="AF4885" s="191"/>
      <c r="AG4885" s="191"/>
      <c r="AH4885" s="191"/>
      <c r="AI4885" s="186"/>
      <c r="AK4885" s="171"/>
    </row>
    <row r="4886" spans="1:41" s="102" customFormat="1" ht="19.899999999999999" customHeight="1" x14ac:dyDescent="0.25">
      <c r="A4886" s="45"/>
      <c r="B4886" s="59"/>
      <c r="C4886" s="137"/>
      <c r="D4886" s="59"/>
      <c r="E4886" s="116"/>
      <c r="F4886" s="120"/>
      <c r="G4886" s="120"/>
      <c r="H4886" s="120"/>
      <c r="I4886" s="60"/>
      <c r="J4886" s="116"/>
      <c r="K4886" s="213"/>
      <c r="L4886" s="120"/>
      <c r="M4886" s="120"/>
      <c r="N4886" s="167"/>
      <c r="O4886" s="120"/>
      <c r="P4886" s="120"/>
      <c r="Q4886" s="120"/>
      <c r="R4886" s="120"/>
      <c r="S4886" s="120"/>
      <c r="T4886" s="221"/>
      <c r="U4886" s="89"/>
      <c r="V4886" s="61"/>
      <c r="W4886" s="92" t="s">
        <v>65</v>
      </c>
      <c r="X4886" s="93" t="s">
        <v>30</v>
      </c>
      <c r="Y4886" s="93" t="s">
        <v>1011</v>
      </c>
      <c r="Z4886" s="134">
        <f>VLOOKUP(W4886,Sheet2!$B:$D,3,FALSE)</f>
        <v>1.76</v>
      </c>
      <c r="AA4886" s="93">
        <f>AA4885/10</f>
        <v>5.9345454545454548E-2</v>
      </c>
      <c r="AB4886" s="93">
        <f>AD4886/AC4882</f>
        <v>29.656862745098035</v>
      </c>
      <c r="AC4886" s="93">
        <f>AC4882/AA4886</f>
        <v>262.86764705882342</v>
      </c>
      <c r="AD4886" s="94">
        <f>AC4886*Z4886</f>
        <v>462.64705882352922</v>
      </c>
      <c r="AE4886" s="190"/>
      <c r="AF4886" s="191"/>
      <c r="AG4886" s="191"/>
      <c r="AH4886" s="191"/>
      <c r="AI4886" s="186"/>
      <c r="AK4886" s="171"/>
    </row>
    <row r="4887" spans="1:41" s="103" customFormat="1" ht="19.899999999999999" customHeight="1" x14ac:dyDescent="0.25">
      <c r="A4887" s="51"/>
      <c r="B4887" s="52"/>
      <c r="C4887" s="165"/>
      <c r="D4887" s="52"/>
      <c r="E4887" s="115"/>
      <c r="F4887" s="58"/>
      <c r="G4887" s="58"/>
      <c r="H4887" s="58"/>
      <c r="I4887" s="55"/>
      <c r="J4887" s="113">
        <f>J4881</f>
        <v>15.599999999999996</v>
      </c>
      <c r="K4887" s="212">
        <f>K4881</f>
        <v>15.599999999999996</v>
      </c>
      <c r="L4887" s="58"/>
      <c r="M4887" s="58">
        <f>K4887-L4887</f>
        <v>15.599999999999996</v>
      </c>
      <c r="N4887" s="166"/>
      <c r="O4887" s="58"/>
      <c r="P4887" s="58"/>
      <c r="Q4887" s="58"/>
      <c r="R4887" s="58"/>
      <c r="S4887" s="58"/>
      <c r="T4887" s="220"/>
      <c r="U4887" s="88"/>
      <c r="V4887" s="56"/>
      <c r="W4887" s="57" t="s">
        <v>1486</v>
      </c>
      <c r="X4887" s="53"/>
      <c r="Y4887" s="91" t="s">
        <v>35</v>
      </c>
      <c r="Z4887" s="136">
        <f>AD4887/AC4887</f>
        <v>1432.6960000000001</v>
      </c>
      <c r="AA4887" s="58"/>
      <c r="AB4887" s="53">
        <f>AD4887/AC4887</f>
        <v>1432.6960000000001</v>
      </c>
      <c r="AC4887" s="53">
        <f>M4887+$AE$10</f>
        <v>15.599999999999996</v>
      </c>
      <c r="AD4887" s="54">
        <f>SUM(AD4888:AD4893)</f>
        <v>22350.057599999996</v>
      </c>
      <c r="AE4887" s="184">
        <f>SUMIFS($AD$37:$AD$12971,$V$37:$V$12971,$V4887,$X$37:$X$12971,AE$13)</f>
        <v>0</v>
      </c>
      <c r="AF4887" s="185">
        <f>SUMIFS($AD$37:$AD$12971,$V$37:$V$12971,$V4887,$X$37:$X$12971,AF$13)</f>
        <v>0</v>
      </c>
      <c r="AG4887" s="185">
        <f>SUMIFS($AD$37:$AD$12971,$V$37:$V$12971,$V4887,$X$37:$X$12971,AG$13)</f>
        <v>0</v>
      </c>
      <c r="AH4887" s="187">
        <f>SUMIFS($AD$37:$AD$12971,$V$37:$V$12971,$V4887,$X$37:$X$12971,AH$13)</f>
        <v>0</v>
      </c>
      <c r="AI4887" s="161">
        <f t="shared" ref="AI4887" si="3565">SUM(AE4887:AH4887)</f>
        <v>0</v>
      </c>
      <c r="AK4887" s="172"/>
    </row>
    <row r="4888" spans="1:41" s="102" customFormat="1" ht="19.899999999999999" customHeight="1" x14ac:dyDescent="0.25">
      <c r="A4888" s="45"/>
      <c r="B4888" s="59"/>
      <c r="C4888" s="137"/>
      <c r="D4888" s="59"/>
      <c r="E4888" s="116"/>
      <c r="F4888" s="120"/>
      <c r="G4888" s="120"/>
      <c r="H4888" s="120"/>
      <c r="I4888" s="60"/>
      <c r="J4888" s="116"/>
      <c r="K4888" s="213"/>
      <c r="L4888" s="120"/>
      <c r="M4888" s="120"/>
      <c r="N4888" s="167"/>
      <c r="O4888" s="120"/>
      <c r="P4888" s="120"/>
      <c r="Q4888" s="120"/>
      <c r="R4888" s="120"/>
      <c r="S4888" s="120"/>
      <c r="T4888" s="221"/>
      <c r="U4888" s="89"/>
      <c r="V4888" s="61"/>
      <c r="W4888" s="92" t="s">
        <v>1032</v>
      </c>
      <c r="X4888" s="93" t="s">
        <v>30</v>
      </c>
      <c r="Y4888" s="93" t="s">
        <v>66</v>
      </c>
      <c r="Z4888" s="134">
        <f>VLOOKUP(W4888,Sheet2!$B:$D,3,FALSE)</f>
        <v>250</v>
      </c>
      <c r="AA4888" s="93">
        <f>1/(2.1*2.1*0.1)</f>
        <v>2.2675736961451243</v>
      </c>
      <c r="AB4888" s="93">
        <f>AD4888/AC4894</f>
        <v>110.25000000000003</v>
      </c>
      <c r="AC4888" s="93">
        <f>AC4894/AA4888</f>
        <v>6.8795999999999999</v>
      </c>
      <c r="AD4888" s="94">
        <f t="shared" ref="AD4888:AD4890" si="3566">AC4888*Z4888</f>
        <v>1719.9</v>
      </c>
      <c r="AE4888" s="190"/>
      <c r="AF4888" s="191"/>
      <c r="AG4888" s="191"/>
      <c r="AH4888" s="191"/>
      <c r="AI4888" s="186"/>
      <c r="AK4888" s="171"/>
    </row>
    <row r="4889" spans="1:41" s="102" customFormat="1" ht="19.899999999999999" customHeight="1" x14ac:dyDescent="0.25">
      <c r="A4889" s="45"/>
      <c r="B4889" s="59"/>
      <c r="C4889" s="137"/>
      <c r="D4889" s="59"/>
      <c r="E4889" s="116"/>
      <c r="F4889" s="120"/>
      <c r="G4889" s="120"/>
      <c r="H4889" s="120"/>
      <c r="I4889" s="60"/>
      <c r="J4889" s="116"/>
      <c r="K4889" s="213"/>
      <c r="L4889" s="120"/>
      <c r="M4889" s="120"/>
      <c r="N4889" s="167"/>
      <c r="O4889" s="120"/>
      <c r="P4889" s="120"/>
      <c r="Q4889" s="120"/>
      <c r="R4889" s="120"/>
      <c r="S4889" s="120"/>
      <c r="T4889" s="221"/>
      <c r="U4889" s="89"/>
      <c r="V4889" s="61"/>
      <c r="W4889" s="92" t="s">
        <v>1353</v>
      </c>
      <c r="X4889" s="93" t="s">
        <v>30</v>
      </c>
      <c r="Y4889" s="93" t="s">
        <v>66</v>
      </c>
      <c r="Z4889" s="134">
        <f>VLOOKUP(W4889,Sheet2!$B:$D,3,FALSE)</f>
        <v>350</v>
      </c>
      <c r="AA4889" s="93">
        <f>1/(2*2*0.3)</f>
        <v>0.83333333333333337</v>
      </c>
      <c r="AB4889" s="93">
        <f>AD4889/AC4894</f>
        <v>420</v>
      </c>
      <c r="AC4889" s="93">
        <f>AC4894/AA4889</f>
        <v>18.719999999999995</v>
      </c>
      <c r="AD4889" s="94">
        <f t="shared" si="3566"/>
        <v>6551.9999999999982</v>
      </c>
      <c r="AE4889" s="190"/>
      <c r="AF4889" s="191"/>
      <c r="AG4889" s="191"/>
      <c r="AH4889" s="191"/>
      <c r="AI4889" s="186"/>
      <c r="AK4889" s="171"/>
    </row>
    <row r="4890" spans="1:41" s="102" customFormat="1" ht="19.899999999999999" customHeight="1" x14ac:dyDescent="0.25">
      <c r="A4890" s="45"/>
      <c r="B4890" s="59"/>
      <c r="C4890" s="137"/>
      <c r="D4890" s="59"/>
      <c r="E4890" s="116"/>
      <c r="F4890" s="120"/>
      <c r="G4890" s="120"/>
      <c r="H4890" s="120"/>
      <c r="I4890" s="60"/>
      <c r="J4890" s="116"/>
      <c r="K4890" s="213"/>
      <c r="L4890" s="120"/>
      <c r="M4890" s="120"/>
      <c r="N4890" s="167"/>
      <c r="O4890" s="120"/>
      <c r="P4890" s="120"/>
      <c r="Q4890" s="120"/>
      <c r="R4890" s="120"/>
      <c r="S4890" s="120"/>
      <c r="T4890" s="221"/>
      <c r="U4890" s="89"/>
      <c r="V4890" s="61"/>
      <c r="W4890" s="92" t="s">
        <v>99</v>
      </c>
      <c r="X4890" s="93" t="s">
        <v>30</v>
      </c>
      <c r="Y4890" s="93" t="s">
        <v>67</v>
      </c>
      <c r="Z4890" s="134">
        <f>VLOOKUP(W4890,Sheet2!$B:$D,3,FALSE)</f>
        <v>2500</v>
      </c>
      <c r="AA4890" s="93">
        <f>AA4889/0.08</f>
        <v>10.416666666666666</v>
      </c>
      <c r="AB4890" s="93">
        <f>AD4890/AC4894</f>
        <v>240.00000000000003</v>
      </c>
      <c r="AC4890" s="93">
        <f>AC4894/AA4890</f>
        <v>1.4975999999999998</v>
      </c>
      <c r="AD4890" s="94">
        <f t="shared" si="3566"/>
        <v>3743.9999999999995</v>
      </c>
      <c r="AE4890" s="190"/>
      <c r="AF4890" s="191"/>
      <c r="AG4890" s="191"/>
      <c r="AH4890" s="191"/>
      <c r="AI4890" s="186"/>
      <c r="AK4890" s="171"/>
    </row>
    <row r="4891" spans="1:41" s="102" customFormat="1" ht="19.899999999999999" customHeight="1" x14ac:dyDescent="0.25">
      <c r="A4891" s="45"/>
      <c r="B4891" s="59"/>
      <c r="C4891" s="137"/>
      <c r="D4891" s="59"/>
      <c r="E4891" s="116"/>
      <c r="F4891" s="120"/>
      <c r="G4891" s="120"/>
      <c r="H4891" s="120"/>
      <c r="I4891" s="60"/>
      <c r="J4891" s="116"/>
      <c r="K4891" s="213"/>
      <c r="L4891" s="120"/>
      <c r="M4891" s="120"/>
      <c r="N4891" s="167"/>
      <c r="O4891" s="120"/>
      <c r="P4891" s="120"/>
      <c r="Q4891" s="120"/>
      <c r="R4891" s="120"/>
      <c r="S4891" s="120"/>
      <c r="T4891" s="221"/>
      <c r="U4891" s="89"/>
      <c r="V4891" s="61"/>
      <c r="W4891" s="92" t="s">
        <v>1354</v>
      </c>
      <c r="X4891" s="93" t="s">
        <v>32</v>
      </c>
      <c r="Y4891" s="93" t="s">
        <v>66</v>
      </c>
      <c r="Z4891" s="134">
        <f>VLOOKUP(W4891,Sheet2!$B:$D,3,FALSE)</f>
        <v>150</v>
      </c>
      <c r="AA4891" s="93">
        <f>AA4888</f>
        <v>2.2675736961451243</v>
      </c>
      <c r="AB4891" s="93">
        <f>AD4891/AC4894</f>
        <v>66.15000000000002</v>
      </c>
      <c r="AC4891" s="93">
        <f>AC4894/AA4891</f>
        <v>6.8795999999999999</v>
      </c>
      <c r="AD4891" s="94">
        <f>AC4891*Z4891</f>
        <v>1031.94</v>
      </c>
      <c r="AE4891" s="190"/>
      <c r="AF4891" s="191"/>
      <c r="AG4891" s="191"/>
      <c r="AH4891" s="191"/>
      <c r="AI4891" s="186"/>
      <c r="AK4891" s="171"/>
    </row>
    <row r="4892" spans="1:41" s="102" customFormat="1" ht="19.899999999999999" customHeight="1" x14ac:dyDescent="0.25">
      <c r="A4892" s="45"/>
      <c r="B4892" s="59"/>
      <c r="C4892" s="137"/>
      <c r="D4892" s="59"/>
      <c r="E4892" s="116"/>
      <c r="F4892" s="120"/>
      <c r="G4892" s="120"/>
      <c r="H4892" s="120"/>
      <c r="I4892" s="60"/>
      <c r="J4892" s="116"/>
      <c r="K4892" s="213"/>
      <c r="L4892" s="120"/>
      <c r="M4892" s="120"/>
      <c r="N4892" s="167"/>
      <c r="O4892" s="120"/>
      <c r="P4892" s="120"/>
      <c r="Q4892" s="120"/>
      <c r="R4892" s="120"/>
      <c r="S4892" s="120"/>
      <c r="T4892" s="221"/>
      <c r="U4892" s="89"/>
      <c r="V4892" s="61"/>
      <c r="W4892" s="92" t="s">
        <v>1355</v>
      </c>
      <c r="X4892" s="93" t="s">
        <v>32</v>
      </c>
      <c r="Y4892" s="93" t="s">
        <v>66</v>
      </c>
      <c r="Z4892" s="134">
        <f>VLOOKUP(W4892,Sheet2!$B:$D,3,FALSE)</f>
        <v>450</v>
      </c>
      <c r="AA4892" s="93">
        <f>AA4889</f>
        <v>0.83333333333333337</v>
      </c>
      <c r="AB4892" s="93">
        <f>AD4892/AC4894</f>
        <v>540</v>
      </c>
      <c r="AC4892" s="93">
        <f>AC4894/AA4892</f>
        <v>18.719999999999995</v>
      </c>
      <c r="AD4892" s="94">
        <f>AC4892*Z4892</f>
        <v>8423.9999999999982</v>
      </c>
      <c r="AE4892" s="190"/>
      <c r="AF4892" s="191"/>
      <c r="AG4892" s="191"/>
      <c r="AH4892" s="191"/>
      <c r="AI4892" s="186"/>
      <c r="AK4892" s="171"/>
    </row>
    <row r="4893" spans="1:41" s="102" customFormat="1" ht="19.899999999999999" customHeight="1" x14ac:dyDescent="0.25">
      <c r="A4893" s="45"/>
      <c r="B4893" s="59"/>
      <c r="C4893" s="137"/>
      <c r="D4893" s="59"/>
      <c r="E4893" s="116"/>
      <c r="F4893" s="120"/>
      <c r="G4893" s="120"/>
      <c r="H4893" s="120"/>
      <c r="I4893" s="60"/>
      <c r="J4893" s="116"/>
      <c r="K4893" s="213"/>
      <c r="L4893" s="120"/>
      <c r="M4893" s="120"/>
      <c r="N4893" s="167"/>
      <c r="O4893" s="120"/>
      <c r="P4893" s="120"/>
      <c r="Q4893" s="120"/>
      <c r="R4893" s="120"/>
      <c r="S4893" s="120"/>
      <c r="T4893" s="221"/>
      <c r="U4893" s="89"/>
      <c r="V4893" s="61"/>
      <c r="W4893" s="92" t="s">
        <v>124</v>
      </c>
      <c r="X4893" s="93" t="s">
        <v>32</v>
      </c>
      <c r="Y4893" s="93" t="s">
        <v>64</v>
      </c>
      <c r="Z4893" s="134">
        <f>VLOOKUP(W4893,Sheet2!$B:$D,3,FALSE)</f>
        <v>10</v>
      </c>
      <c r="AA4893" s="93">
        <f>1/((2.6*2.6)-(3.14*1.2*1.2/4))</f>
        <v>0.17763251385533604</v>
      </c>
      <c r="AB4893" s="93">
        <f t="shared" ref="AB4893" si="3567">AD4893/AC4887</f>
        <v>56.296000000000014</v>
      </c>
      <c r="AC4893" s="93">
        <f>AC4887/AA4893</f>
        <v>87.821759999999998</v>
      </c>
      <c r="AD4893" s="94">
        <f t="shared" ref="AD4893" si="3568">AC4893*Z4893</f>
        <v>878.21759999999995</v>
      </c>
      <c r="AE4893" s="190"/>
      <c r="AF4893" s="191"/>
      <c r="AG4893" s="191"/>
      <c r="AH4893" s="191"/>
      <c r="AI4893" s="186"/>
      <c r="AK4893" s="171"/>
    </row>
    <row r="4894" spans="1:41" s="103" customFormat="1" ht="19.899999999999999" customHeight="1" x14ac:dyDescent="0.25">
      <c r="A4894" s="51"/>
      <c r="B4894" s="52"/>
      <c r="C4894" s="165"/>
      <c r="D4894" s="52"/>
      <c r="E4894" s="115"/>
      <c r="F4894" s="58"/>
      <c r="G4894" s="58"/>
      <c r="H4894" s="58"/>
      <c r="I4894" s="55"/>
      <c r="J4894" s="113">
        <f>J4881</f>
        <v>15.599999999999996</v>
      </c>
      <c r="K4894" s="212">
        <f>K4881</f>
        <v>15.599999999999996</v>
      </c>
      <c r="L4894" s="58"/>
      <c r="M4894" s="58">
        <f>K4894-L4894</f>
        <v>15.599999999999996</v>
      </c>
      <c r="N4894" s="166"/>
      <c r="O4894" s="58"/>
      <c r="P4894" s="58"/>
      <c r="Q4894" s="58"/>
      <c r="R4894" s="58"/>
      <c r="S4894" s="58"/>
      <c r="T4894" s="220"/>
      <c r="U4894" s="88"/>
      <c r="V4894" s="56"/>
      <c r="W4894" s="57" t="s">
        <v>1275</v>
      </c>
      <c r="X4894" s="53"/>
      <c r="Y4894" s="91" t="s">
        <v>35</v>
      </c>
      <c r="Z4894" s="136">
        <f>AD4894/AC4894</f>
        <v>9772.7999999999993</v>
      </c>
      <c r="AA4894" s="58"/>
      <c r="AB4894" s="53">
        <f>AD4894/AC4894</f>
        <v>9772.7999999999993</v>
      </c>
      <c r="AC4894" s="53">
        <f>M4894+$AE$10</f>
        <v>15.599999999999996</v>
      </c>
      <c r="AD4894" s="54">
        <f>SUM(AD4895:AD4900)</f>
        <v>152455.67999999996</v>
      </c>
      <c r="AE4894" s="184">
        <f>SUMIFS($AD$37:$AD$12971,$V$37:$V$12971,$V4894,$X$37:$X$12971,AE$13)</f>
        <v>0</v>
      </c>
      <c r="AF4894" s="185">
        <f>SUMIFS($AD$37:$AD$12971,$V$37:$V$12971,$V4894,$X$37:$X$12971,AF$13)</f>
        <v>0</v>
      </c>
      <c r="AG4894" s="185">
        <f>SUMIFS($AD$37:$AD$12971,$V$37:$V$12971,$V4894,$X$37:$X$12971,AG$13)</f>
        <v>0</v>
      </c>
      <c r="AH4894" s="187">
        <f>SUMIFS($AD$37:$AD$12971,$V$37:$V$12971,$V4894,$X$37:$X$12971,AH$13)</f>
        <v>0</v>
      </c>
      <c r="AI4894" s="161">
        <f t="shared" ref="AI4894" si="3569">SUM(AE4894:AH4894)</f>
        <v>0</v>
      </c>
      <c r="AK4894" s="172"/>
    </row>
    <row r="4895" spans="1:41" s="102" customFormat="1" ht="19.899999999999999" customHeight="1" x14ac:dyDescent="0.25">
      <c r="A4895" s="45"/>
      <c r="B4895" s="59"/>
      <c r="C4895" s="137"/>
      <c r="D4895" s="59"/>
      <c r="E4895" s="116"/>
      <c r="F4895" s="120"/>
      <c r="G4895" s="120"/>
      <c r="H4895" s="120"/>
      <c r="I4895" s="60"/>
      <c r="J4895" s="116"/>
      <c r="K4895" s="213"/>
      <c r="L4895" s="120"/>
      <c r="M4895" s="120"/>
      <c r="N4895" s="167"/>
      <c r="O4895" s="120"/>
      <c r="P4895" s="120"/>
      <c r="Q4895" s="120"/>
      <c r="R4895" s="120"/>
      <c r="S4895" s="120"/>
      <c r="T4895" s="221"/>
      <c r="U4895" s="89"/>
      <c r="V4895" s="61"/>
      <c r="W4895" s="92" t="s">
        <v>1535</v>
      </c>
      <c r="X4895" s="93" t="s">
        <v>30</v>
      </c>
      <c r="Y4895" s="93" t="s">
        <v>35</v>
      </c>
      <c r="Z4895" s="134">
        <f>VLOOKUP(W4895,Sheet2!$B:$D,3,FALSE)</f>
        <v>8000</v>
      </c>
      <c r="AA4895" s="93">
        <v>1</v>
      </c>
      <c r="AB4895" s="93">
        <f>AD4895/AC4894</f>
        <v>8000</v>
      </c>
      <c r="AC4895" s="93">
        <f>AC4894/AA4895</f>
        <v>15.599999999999996</v>
      </c>
      <c r="AD4895" s="94">
        <f t="shared" ref="AD4895:AD4896" si="3570">AC4895*Z4895</f>
        <v>124799.99999999997</v>
      </c>
      <c r="AE4895" s="190"/>
      <c r="AF4895" s="191"/>
      <c r="AG4895" s="191"/>
      <c r="AH4895" s="191"/>
      <c r="AI4895" s="186"/>
      <c r="AK4895" s="171"/>
    </row>
    <row r="4896" spans="1:41" s="102" customFormat="1" ht="19.899999999999999" customHeight="1" x14ac:dyDescent="0.25">
      <c r="A4896" s="45"/>
      <c r="B4896" s="59"/>
      <c r="C4896" s="137"/>
      <c r="D4896" s="59"/>
      <c r="E4896" s="116"/>
      <c r="F4896" s="120"/>
      <c r="G4896" s="120"/>
      <c r="H4896" s="120"/>
      <c r="I4896" s="60"/>
      <c r="J4896" s="116"/>
      <c r="K4896" s="213"/>
      <c r="L4896" s="120"/>
      <c r="M4896" s="120"/>
      <c r="N4896" s="167"/>
      <c r="O4896" s="120"/>
      <c r="P4896" s="120"/>
      <c r="Q4896" s="120"/>
      <c r="R4896" s="120"/>
      <c r="S4896" s="120"/>
      <c r="T4896" s="221"/>
      <c r="U4896" s="89"/>
      <c r="V4896" s="61"/>
      <c r="W4896" s="92" t="s">
        <v>174</v>
      </c>
      <c r="X4896" s="93" t="s">
        <v>29</v>
      </c>
      <c r="Y4896" s="93" t="s">
        <v>93</v>
      </c>
      <c r="Z4896" s="134">
        <f>VLOOKUP(W4896,Sheet2!$B:$D,3,FALSE)</f>
        <v>80</v>
      </c>
      <c r="AA4896" s="93">
        <f>1/2</f>
        <v>0.5</v>
      </c>
      <c r="AB4896" s="93">
        <f>AD4896/AC4894</f>
        <v>160</v>
      </c>
      <c r="AC4896" s="93">
        <f>AC4894/AA4896</f>
        <v>31.199999999999992</v>
      </c>
      <c r="AD4896" s="94">
        <f t="shared" si="3570"/>
        <v>2495.9999999999995</v>
      </c>
      <c r="AE4896" s="190"/>
      <c r="AF4896" s="191"/>
      <c r="AG4896" s="191"/>
      <c r="AH4896" s="191"/>
      <c r="AI4896" s="186"/>
      <c r="AK4896" s="171"/>
    </row>
    <row r="4897" spans="1:41" s="102" customFormat="1" ht="19.899999999999999" customHeight="1" x14ac:dyDescent="0.25">
      <c r="A4897" s="45"/>
      <c r="B4897" s="59"/>
      <c r="C4897" s="137"/>
      <c r="D4897" s="59"/>
      <c r="E4897" s="116"/>
      <c r="F4897" s="120"/>
      <c r="G4897" s="120"/>
      <c r="H4897" s="120"/>
      <c r="I4897" s="60"/>
      <c r="J4897" s="116"/>
      <c r="K4897" s="213"/>
      <c r="L4897" s="120"/>
      <c r="M4897" s="120"/>
      <c r="N4897" s="167"/>
      <c r="O4897" s="120"/>
      <c r="P4897" s="120"/>
      <c r="Q4897" s="120"/>
      <c r="R4897" s="120"/>
      <c r="S4897" s="120"/>
      <c r="T4897" s="221"/>
      <c r="U4897" s="89"/>
      <c r="V4897" s="61"/>
      <c r="W4897" s="92" t="s">
        <v>65</v>
      </c>
      <c r="X4897" s="93" t="s">
        <v>30</v>
      </c>
      <c r="Y4897" s="93" t="s">
        <v>93</v>
      </c>
      <c r="Z4897" s="134">
        <f>VLOOKUP(W4897,Sheet2!$B:$D,3,FALSE)</f>
        <v>1.76</v>
      </c>
      <c r="AA4897" s="93">
        <f>AA4896/15</f>
        <v>3.3333333333333333E-2</v>
      </c>
      <c r="AB4897" s="93">
        <f>AD4897/AC4894</f>
        <v>52.800000000000004</v>
      </c>
      <c r="AC4897" s="93">
        <f>AC4894/AA4897</f>
        <v>467.99999999999989</v>
      </c>
      <c r="AD4897" s="94">
        <f>AC4897*Z4897</f>
        <v>823.67999999999984</v>
      </c>
      <c r="AE4897" s="190"/>
      <c r="AF4897" s="191"/>
      <c r="AG4897" s="191"/>
      <c r="AH4897" s="191"/>
      <c r="AI4897" s="186"/>
      <c r="AK4897" s="171"/>
    </row>
    <row r="4898" spans="1:41" s="102" customFormat="1" ht="19.899999999999999" customHeight="1" x14ac:dyDescent="0.25">
      <c r="A4898" s="45"/>
      <c r="B4898" s="59"/>
      <c r="C4898" s="137"/>
      <c r="D4898" s="59"/>
      <c r="E4898" s="116"/>
      <c r="F4898" s="120"/>
      <c r="G4898" s="120"/>
      <c r="H4898" s="120"/>
      <c r="I4898" s="60"/>
      <c r="J4898" s="116"/>
      <c r="K4898" s="213"/>
      <c r="L4898" s="120"/>
      <c r="M4898" s="120"/>
      <c r="N4898" s="167"/>
      <c r="O4898" s="120"/>
      <c r="P4898" s="120"/>
      <c r="Q4898" s="120"/>
      <c r="R4898" s="120"/>
      <c r="S4898" s="120"/>
      <c r="T4898" s="221"/>
      <c r="U4898" s="89"/>
      <c r="V4898" s="61"/>
      <c r="W4898" s="92" t="s">
        <v>1487</v>
      </c>
      <c r="X4898" s="93" t="s">
        <v>32</v>
      </c>
      <c r="Y4898" s="93" t="s">
        <v>1349</v>
      </c>
      <c r="Z4898" s="134">
        <f>VLOOKUP(W4898,Sheet2!$B:$D,3,FALSE)</f>
        <v>1500</v>
      </c>
      <c r="AA4898" s="93">
        <v>1</v>
      </c>
      <c r="AB4898" s="93">
        <f>AD4898/AC4894</f>
        <v>1500</v>
      </c>
      <c r="AC4898" s="93">
        <f>AC4894/AA4898</f>
        <v>15.599999999999996</v>
      </c>
      <c r="AD4898" s="94">
        <f>AC4898*Z4898</f>
        <v>23399.999999999993</v>
      </c>
      <c r="AE4898" s="190"/>
      <c r="AF4898" s="191"/>
      <c r="AG4898" s="191"/>
      <c r="AH4898" s="191"/>
      <c r="AI4898" s="186"/>
      <c r="AK4898" s="171"/>
    </row>
    <row r="4899" spans="1:41" s="102" customFormat="1" ht="19.899999999999999" customHeight="1" x14ac:dyDescent="0.25">
      <c r="A4899" s="45"/>
      <c r="B4899" s="59"/>
      <c r="C4899" s="137"/>
      <c r="D4899" s="59"/>
      <c r="E4899" s="116"/>
      <c r="F4899" s="120"/>
      <c r="G4899" s="120"/>
      <c r="H4899" s="120"/>
      <c r="I4899" s="60"/>
      <c r="J4899" s="116"/>
      <c r="K4899" s="213"/>
      <c r="L4899" s="120"/>
      <c r="M4899" s="120"/>
      <c r="N4899" s="167"/>
      <c r="O4899" s="120"/>
      <c r="P4899" s="120"/>
      <c r="Q4899" s="120"/>
      <c r="R4899" s="120"/>
      <c r="S4899" s="120"/>
      <c r="T4899" s="221"/>
      <c r="U4899" s="89"/>
      <c r="V4899" s="61"/>
      <c r="W4899" s="92" t="s">
        <v>107</v>
      </c>
      <c r="X4899" s="93" t="s">
        <v>31</v>
      </c>
      <c r="Y4899" s="93" t="s">
        <v>93</v>
      </c>
      <c r="Z4899" s="134">
        <f>VLOOKUP(W4899,Sheet2!$B:$D,3,FALSE)</f>
        <v>17</v>
      </c>
      <c r="AA4899" s="93">
        <f>AA4896</f>
        <v>0.5</v>
      </c>
      <c r="AB4899" s="93">
        <f>AD4899/AC4894</f>
        <v>34</v>
      </c>
      <c r="AC4899" s="93">
        <f>AC4894/AA4899</f>
        <v>31.199999999999992</v>
      </c>
      <c r="AD4899" s="94">
        <f>AC4899*Z4899</f>
        <v>530.39999999999986</v>
      </c>
      <c r="AE4899" s="190"/>
      <c r="AF4899" s="191"/>
      <c r="AG4899" s="191"/>
      <c r="AH4899" s="191"/>
      <c r="AI4899" s="186"/>
      <c r="AK4899" s="171"/>
    </row>
    <row r="4900" spans="1:41" s="102" customFormat="1" ht="19.899999999999999" customHeight="1" x14ac:dyDescent="0.25">
      <c r="A4900" s="45"/>
      <c r="B4900" s="59"/>
      <c r="C4900" s="137"/>
      <c r="D4900" s="59"/>
      <c r="E4900" s="116"/>
      <c r="F4900" s="120"/>
      <c r="G4900" s="120"/>
      <c r="H4900" s="120"/>
      <c r="I4900" s="60"/>
      <c r="J4900" s="116"/>
      <c r="K4900" s="213"/>
      <c r="L4900" s="120"/>
      <c r="M4900" s="120"/>
      <c r="N4900" s="167"/>
      <c r="O4900" s="120"/>
      <c r="P4900" s="120"/>
      <c r="Q4900" s="120"/>
      <c r="R4900" s="120"/>
      <c r="S4900" s="120"/>
      <c r="T4900" s="221"/>
      <c r="U4900" s="89"/>
      <c r="V4900" s="61"/>
      <c r="W4900" s="92" t="s">
        <v>112</v>
      </c>
      <c r="X4900" s="93" t="s">
        <v>31</v>
      </c>
      <c r="Y4900" s="93" t="s">
        <v>93</v>
      </c>
      <c r="Z4900" s="134">
        <f>VLOOKUP(W4900,Sheet2!$B:$D,3,FALSE)</f>
        <v>13</v>
      </c>
      <c r="AA4900" s="93">
        <f>AA4899</f>
        <v>0.5</v>
      </c>
      <c r="AB4900" s="93">
        <f>AD4900/AC4894</f>
        <v>26</v>
      </c>
      <c r="AC4900" s="93">
        <f>AC4894/AA4900</f>
        <v>31.199999999999992</v>
      </c>
      <c r="AD4900" s="94">
        <f>AC4900*Z4900</f>
        <v>405.59999999999991</v>
      </c>
      <c r="AE4900" s="190"/>
      <c r="AF4900" s="191"/>
      <c r="AG4900" s="191"/>
      <c r="AH4900" s="191"/>
      <c r="AI4900" s="186"/>
      <c r="AK4900" s="171"/>
    </row>
    <row r="4901" spans="1:41" s="103" customFormat="1" ht="19.899999999999999" customHeight="1" x14ac:dyDescent="0.25">
      <c r="A4901" s="51"/>
      <c r="B4901" s="52"/>
      <c r="C4901" s="165"/>
      <c r="D4901" s="52"/>
      <c r="E4901" s="115"/>
      <c r="F4901" s="58"/>
      <c r="G4901" s="58"/>
      <c r="H4901" s="58"/>
      <c r="I4901" s="55"/>
      <c r="J4901" s="113">
        <f>J4881</f>
        <v>15.599999999999996</v>
      </c>
      <c r="K4901" s="212">
        <f>K4881</f>
        <v>15.599999999999996</v>
      </c>
      <c r="L4901" s="58"/>
      <c r="M4901" s="58">
        <f>K4901-L4901</f>
        <v>15.599999999999996</v>
      </c>
      <c r="N4901" s="166"/>
      <c r="O4901" s="58"/>
      <c r="P4901" s="58"/>
      <c r="Q4901" s="58"/>
      <c r="R4901" s="58"/>
      <c r="S4901" s="58"/>
      <c r="T4901" s="220"/>
      <c r="U4901" s="88"/>
      <c r="V4901" s="56"/>
      <c r="W4901" s="57" t="s">
        <v>1272</v>
      </c>
      <c r="X4901" s="53"/>
      <c r="Y4901" s="91" t="s">
        <v>35</v>
      </c>
      <c r="Z4901" s="136">
        <f>AD4901/AC4901</f>
        <v>579.7903703403922</v>
      </c>
      <c r="AA4901" s="58"/>
      <c r="AB4901" s="53">
        <f>AD4901/AC4901</f>
        <v>579.7903703403922</v>
      </c>
      <c r="AC4901" s="53">
        <f>M4901+$AE$10</f>
        <v>15.599999999999996</v>
      </c>
      <c r="AD4901" s="54">
        <f>SUM(AD4902:AD4910)</f>
        <v>9044.7297773101163</v>
      </c>
      <c r="AE4901" s="184">
        <f>SUMIFS($AD$37:$AD$12971,$V$37:$V$12971,$V4901,$X$37:$X$12971,AE$13)</f>
        <v>0</v>
      </c>
      <c r="AF4901" s="185">
        <f>SUMIFS($AD$37:$AD$12971,$V$37:$V$12971,$V4901,$X$37:$X$12971,AF$13)</f>
        <v>0</v>
      </c>
      <c r="AG4901" s="185">
        <f>SUMIFS($AD$37:$AD$12971,$V$37:$V$12971,$V4901,$X$37:$X$12971,AG$13)</f>
        <v>0</v>
      </c>
      <c r="AH4901" s="187">
        <f>SUMIFS($AD$37:$AD$12971,$V$37:$V$12971,$V4901,$X$37:$X$12971,AH$13)</f>
        <v>0</v>
      </c>
      <c r="AI4901" s="161">
        <f t="shared" ref="AI4901" si="3571">SUM(AE4901:AH4901)</f>
        <v>0</v>
      </c>
      <c r="AK4901" s="172"/>
    </row>
    <row r="4902" spans="1:41" s="102" customFormat="1" ht="19.899999999999999" customHeight="1" x14ac:dyDescent="0.25">
      <c r="A4902" s="45"/>
      <c r="B4902" s="59"/>
      <c r="C4902" s="137"/>
      <c r="D4902" s="59"/>
      <c r="E4902" s="116"/>
      <c r="F4902" s="120"/>
      <c r="G4902" s="120"/>
      <c r="H4902" s="120"/>
      <c r="I4902" s="60"/>
      <c r="J4902" s="116"/>
      <c r="K4902" s="213"/>
      <c r="L4902" s="120"/>
      <c r="M4902" s="120"/>
      <c r="N4902" s="167"/>
      <c r="O4902" s="120"/>
      <c r="P4902" s="120"/>
      <c r="Q4902" s="120"/>
      <c r="R4902" s="120"/>
      <c r="S4902" s="120"/>
      <c r="T4902" s="221"/>
      <c r="U4902" s="89"/>
      <c r="V4902" s="61"/>
      <c r="W4902" s="92" t="s">
        <v>1273</v>
      </c>
      <c r="X4902" s="93" t="s">
        <v>30</v>
      </c>
      <c r="Y4902" s="93" t="s">
        <v>66</v>
      </c>
      <c r="Z4902" s="134">
        <f>VLOOKUP(W4902,Sheet2!$B:$D,3,FALSE)</f>
        <v>10</v>
      </c>
      <c r="AA4902" s="93">
        <f>1/((2.5*2.5*5.5)-(3.14/4*1.2*1.2*5.5))</f>
        <v>3.5514138178408823E-2</v>
      </c>
      <c r="AB4902" s="93">
        <f>AD4902/AC4901</f>
        <v>281.57799999999997</v>
      </c>
      <c r="AC4902" s="93">
        <f>AC4901/AA4902</f>
        <v>439.2616799999999</v>
      </c>
      <c r="AD4902" s="94">
        <f t="shared" ref="AD4902:AD4904" si="3572">AC4902*Z4902</f>
        <v>4392.6167999999989</v>
      </c>
      <c r="AE4902" s="190"/>
      <c r="AF4902" s="191"/>
      <c r="AG4902" s="191"/>
      <c r="AH4902" s="191"/>
      <c r="AI4902" s="186"/>
      <c r="AK4902" s="171"/>
    </row>
    <row r="4903" spans="1:41" s="102" customFormat="1" ht="19.899999999999999" customHeight="1" x14ac:dyDescent="0.25">
      <c r="A4903" s="45"/>
      <c r="B4903" s="59"/>
      <c r="C4903" s="137"/>
      <c r="D4903" s="59"/>
      <c r="E4903" s="116"/>
      <c r="F4903" s="120"/>
      <c r="G4903" s="120"/>
      <c r="H4903" s="120"/>
      <c r="I4903" s="60"/>
      <c r="J4903" s="116"/>
      <c r="K4903" s="213"/>
      <c r="L4903" s="120"/>
      <c r="M4903" s="120"/>
      <c r="N4903" s="167"/>
      <c r="O4903" s="120"/>
      <c r="P4903" s="120"/>
      <c r="Q4903" s="120"/>
      <c r="R4903" s="120"/>
      <c r="S4903" s="120"/>
      <c r="T4903" s="221"/>
      <c r="U4903" s="89"/>
      <c r="V4903" s="61"/>
      <c r="W4903" s="92" t="s">
        <v>134</v>
      </c>
      <c r="X4903" s="93" t="s">
        <v>29</v>
      </c>
      <c r="Y4903" s="93" t="s">
        <v>93</v>
      </c>
      <c r="Z4903" s="134">
        <f>VLOOKUP(W4903,Sheet2!$B:$D,3,FALSE)</f>
        <v>65.599999999999994</v>
      </c>
      <c r="AA4903" s="93">
        <f>100/((2.5*2.5*5.5)-(3.14/4*1.2*1.2*5.5))</f>
        <v>3.5514138178408823</v>
      </c>
      <c r="AB4903" s="93">
        <f t="shared" ref="AB4903" si="3573">AD4903/AC4901</f>
        <v>18.4715168</v>
      </c>
      <c r="AC4903" s="93">
        <f>AC4901/AA4903</f>
        <v>4.392616799999999</v>
      </c>
      <c r="AD4903" s="94">
        <f t="shared" si="3572"/>
        <v>288.1556620799999</v>
      </c>
      <c r="AE4903" s="190"/>
      <c r="AF4903" s="191"/>
      <c r="AG4903" s="191"/>
      <c r="AH4903" s="191"/>
      <c r="AI4903" s="186"/>
      <c r="AK4903" s="171"/>
    </row>
    <row r="4904" spans="1:41" s="102" customFormat="1" ht="19.899999999999999" customHeight="1" x14ac:dyDescent="0.25">
      <c r="A4904" s="45"/>
      <c r="B4904" s="59"/>
      <c r="C4904" s="137"/>
      <c r="D4904" s="59"/>
      <c r="E4904" s="116"/>
      <c r="F4904" s="120"/>
      <c r="G4904" s="120"/>
      <c r="H4904" s="120"/>
      <c r="I4904" s="60"/>
      <c r="J4904" s="116"/>
      <c r="K4904" s="213"/>
      <c r="L4904" s="120"/>
      <c r="M4904" s="120"/>
      <c r="N4904" s="167"/>
      <c r="O4904" s="120"/>
      <c r="P4904" s="120"/>
      <c r="Q4904" s="120"/>
      <c r="R4904" s="120"/>
      <c r="S4904" s="120"/>
      <c r="T4904" s="221"/>
      <c r="U4904" s="89"/>
      <c r="V4904" s="61"/>
      <c r="W4904" s="92" t="s">
        <v>65</v>
      </c>
      <c r="X4904" s="93" t="s">
        <v>30</v>
      </c>
      <c r="Y4904" s="93" t="s">
        <v>1011</v>
      </c>
      <c r="Z4904" s="134">
        <f>VLOOKUP(W4904,Sheet2!$B:$D,3,FALSE)</f>
        <v>1.76</v>
      </c>
      <c r="AA4904" s="93">
        <f>AA4903/9</f>
        <v>0.39460153531565356</v>
      </c>
      <c r="AB4904" s="93">
        <f>AD4904/AC4901</f>
        <v>4.4601955200000001</v>
      </c>
      <c r="AC4904" s="93">
        <f>AC4901/AA4904</f>
        <v>39.533551199999998</v>
      </c>
      <c r="AD4904" s="94">
        <f t="shared" si="3572"/>
        <v>69.57905011199999</v>
      </c>
      <c r="AE4904" s="190"/>
      <c r="AF4904" s="191"/>
      <c r="AG4904" s="191"/>
      <c r="AH4904" s="191"/>
      <c r="AI4904" s="186"/>
      <c r="AK4904" s="171"/>
    </row>
    <row r="4905" spans="1:41" s="102" customFormat="1" ht="19.899999999999999" customHeight="1" x14ac:dyDescent="0.25">
      <c r="A4905" s="45"/>
      <c r="B4905" s="59"/>
      <c r="C4905" s="137"/>
      <c r="D4905" s="59"/>
      <c r="E4905" s="116"/>
      <c r="F4905" s="120"/>
      <c r="G4905" s="120"/>
      <c r="H4905" s="120"/>
      <c r="I4905" s="60"/>
      <c r="J4905" s="116"/>
      <c r="K4905" s="213"/>
      <c r="L4905" s="120"/>
      <c r="M4905" s="120"/>
      <c r="N4905" s="167"/>
      <c r="O4905" s="120"/>
      <c r="P4905" s="120"/>
      <c r="Q4905" s="120"/>
      <c r="R4905" s="120"/>
      <c r="S4905" s="120"/>
      <c r="T4905" s="221"/>
      <c r="U4905" s="89"/>
      <c r="V4905" s="61"/>
      <c r="W4905" s="92" t="s">
        <v>161</v>
      </c>
      <c r="X4905" s="93" t="s">
        <v>29</v>
      </c>
      <c r="Y4905" s="93" t="s">
        <v>93</v>
      </c>
      <c r="Z4905" s="134">
        <f>VLOOKUP(W4905,Sheet2!$B:$D,3,FALSE)</f>
        <v>48</v>
      </c>
      <c r="AA4905" s="93">
        <f>(16*0.85*1.5)/((2.5*2.5*5.5)-(3.14/4*1.2*1.2*5.5))</f>
        <v>0.72448841883953996</v>
      </c>
      <c r="AB4905" s="93">
        <f>AD4905/AC4901</f>
        <v>66.253647058823532</v>
      </c>
      <c r="AC4905" s="93">
        <f>AC4901/AA4905</f>
        <v>21.532435294117644</v>
      </c>
      <c r="AD4905" s="94">
        <f>AC4905*Z4905</f>
        <v>1033.5568941176468</v>
      </c>
      <c r="AE4905" s="190"/>
      <c r="AF4905" s="191"/>
      <c r="AG4905" s="191"/>
      <c r="AH4905" s="191"/>
      <c r="AI4905" s="186"/>
      <c r="AK4905" s="171"/>
    </row>
    <row r="4906" spans="1:41" s="102" customFormat="1" ht="19.899999999999999" customHeight="1" x14ac:dyDescent="0.25">
      <c r="A4906" s="45"/>
      <c r="B4906" s="59"/>
      <c r="C4906" s="137"/>
      <c r="D4906" s="59"/>
      <c r="E4906" s="116"/>
      <c r="F4906" s="120"/>
      <c r="G4906" s="120"/>
      <c r="H4906" s="120"/>
      <c r="I4906" s="60"/>
      <c r="J4906" s="116"/>
      <c r="K4906" s="213"/>
      <c r="L4906" s="120"/>
      <c r="M4906" s="120"/>
      <c r="N4906" s="167"/>
      <c r="O4906" s="120"/>
      <c r="P4906" s="120"/>
      <c r="Q4906" s="120"/>
      <c r="R4906" s="120"/>
      <c r="S4906" s="120"/>
      <c r="T4906" s="221"/>
      <c r="U4906" s="89"/>
      <c r="V4906" s="61"/>
      <c r="W4906" s="92" t="s">
        <v>65</v>
      </c>
      <c r="X4906" s="93" t="s">
        <v>30</v>
      </c>
      <c r="Y4906" s="93" t="s">
        <v>1011</v>
      </c>
      <c r="Z4906" s="134">
        <f>VLOOKUP(W4906,Sheet2!$B:$D,3,FALSE)</f>
        <v>1.76</v>
      </c>
      <c r="AA4906" s="93">
        <f>AA4905/10</f>
        <v>7.2448841883953993E-2</v>
      </c>
      <c r="AB4906" s="93">
        <f>AD4906/AC4901</f>
        <v>24.29300392156863</v>
      </c>
      <c r="AC4906" s="93">
        <f>AC4901/AA4906</f>
        <v>215.32435294117644</v>
      </c>
      <c r="AD4906" s="94">
        <f>AC4906*Z4906</f>
        <v>378.97086117647052</v>
      </c>
      <c r="AE4906" s="190"/>
      <c r="AF4906" s="191"/>
      <c r="AG4906" s="191"/>
      <c r="AH4906" s="191"/>
      <c r="AI4906" s="186"/>
      <c r="AK4906" s="171"/>
    </row>
    <row r="4907" spans="1:41" s="102" customFormat="1" ht="19.899999999999999" customHeight="1" x14ac:dyDescent="0.25">
      <c r="A4907" s="45"/>
      <c r="B4907" s="59"/>
      <c r="C4907" s="137"/>
      <c r="D4907" s="59"/>
      <c r="E4907" s="116"/>
      <c r="F4907" s="120"/>
      <c r="G4907" s="120"/>
      <c r="H4907" s="120"/>
      <c r="I4907" s="60"/>
      <c r="J4907" s="116"/>
      <c r="K4907" s="213"/>
      <c r="L4907" s="120"/>
      <c r="M4907" s="120"/>
      <c r="N4907" s="167"/>
      <c r="O4907" s="120"/>
      <c r="P4907" s="120"/>
      <c r="Q4907" s="120"/>
      <c r="R4907" s="120"/>
      <c r="S4907" s="120"/>
      <c r="T4907" s="221"/>
      <c r="U4907" s="89"/>
      <c r="V4907" s="61"/>
      <c r="W4907" s="92" t="s">
        <v>173</v>
      </c>
      <c r="X4907" s="93" t="s">
        <v>29</v>
      </c>
      <c r="Y4907" s="93" t="s">
        <v>93</v>
      </c>
      <c r="Z4907" s="134">
        <f>VLOOKUP(W4907,Sheet2!$B:$D,3,FALSE)</f>
        <v>36</v>
      </c>
      <c r="AA4907" s="93">
        <f>50/((2.5*2.5*5.5)-(3.14/4*1.2*1.2*5.5))</f>
        <v>1.7757069089204411</v>
      </c>
      <c r="AB4907" s="93">
        <f>AD4907/AC4901</f>
        <v>20.273616000000001</v>
      </c>
      <c r="AC4907" s="93">
        <f>AC4901/AA4907</f>
        <v>8.785233599999998</v>
      </c>
      <c r="AD4907" s="94">
        <f>AC4907*Z4907</f>
        <v>316.26840959999993</v>
      </c>
      <c r="AE4907" s="190"/>
      <c r="AF4907" s="191"/>
      <c r="AG4907" s="191"/>
      <c r="AH4907" s="191"/>
      <c r="AI4907" s="186"/>
      <c r="AK4907" s="171"/>
    </row>
    <row r="4908" spans="1:41" s="102" customFormat="1" ht="19.899999999999999" customHeight="1" x14ac:dyDescent="0.25">
      <c r="A4908" s="45"/>
      <c r="B4908" s="59"/>
      <c r="C4908" s="137"/>
      <c r="D4908" s="59"/>
      <c r="E4908" s="116"/>
      <c r="F4908" s="120"/>
      <c r="G4908" s="120"/>
      <c r="H4908" s="120"/>
      <c r="I4908" s="60"/>
      <c r="J4908" s="116"/>
      <c r="K4908" s="213"/>
      <c r="L4908" s="120"/>
      <c r="M4908" s="120"/>
      <c r="N4908" s="167"/>
      <c r="O4908" s="120"/>
      <c r="P4908" s="120"/>
      <c r="Q4908" s="120"/>
      <c r="R4908" s="120"/>
      <c r="S4908" s="120"/>
      <c r="T4908" s="221"/>
      <c r="U4908" s="89"/>
      <c r="V4908" s="61"/>
      <c r="W4908" s="92" t="s">
        <v>65</v>
      </c>
      <c r="X4908" s="93" t="s">
        <v>30</v>
      </c>
      <c r="Y4908" s="93" t="s">
        <v>1011</v>
      </c>
      <c r="Z4908" s="134">
        <f>VLOOKUP(W4908,Sheet2!$B:$D,3,FALSE)</f>
        <v>1.76</v>
      </c>
      <c r="AA4908" s="93">
        <f>AA4907/9</f>
        <v>0.19730076765782678</v>
      </c>
      <c r="AB4908" s="93">
        <f>AD4908/AC4901</f>
        <v>8.9203910400000002</v>
      </c>
      <c r="AC4908" s="93">
        <f>AC4901/AA4908</f>
        <v>79.067102399999996</v>
      </c>
      <c r="AD4908" s="94">
        <f>AC4908*Z4908</f>
        <v>139.15810022399998</v>
      </c>
      <c r="AE4908" s="190"/>
      <c r="AF4908" s="191"/>
      <c r="AG4908" s="191"/>
      <c r="AH4908" s="191"/>
      <c r="AI4908" s="186"/>
      <c r="AK4908" s="171"/>
    </row>
    <row r="4909" spans="1:41" s="102" customFormat="1" ht="19.899999999999999" customHeight="1" x14ac:dyDescent="0.25">
      <c r="A4909" s="45"/>
      <c r="B4909" s="59"/>
      <c r="C4909" s="137"/>
      <c r="D4909" s="59"/>
      <c r="E4909" s="116"/>
      <c r="F4909" s="120"/>
      <c r="G4909" s="120"/>
      <c r="H4909" s="120"/>
      <c r="I4909" s="60"/>
      <c r="J4909" s="116"/>
      <c r="K4909" s="213"/>
      <c r="L4909" s="120"/>
      <c r="M4909" s="120"/>
      <c r="N4909" s="167"/>
      <c r="O4909" s="120"/>
      <c r="P4909" s="120"/>
      <c r="Q4909" s="120"/>
      <c r="R4909" s="120"/>
      <c r="S4909" s="120"/>
      <c r="T4909" s="221"/>
      <c r="U4909" s="89"/>
      <c r="V4909" s="61"/>
      <c r="W4909" s="92" t="s">
        <v>1030</v>
      </c>
      <c r="X4909" s="93" t="s">
        <v>29</v>
      </c>
      <c r="Y4909" s="93" t="s">
        <v>93</v>
      </c>
      <c r="Z4909" s="134">
        <f>VLOOKUP(W4909,Sheet2!$B:$D,3,FALSE)</f>
        <v>23</v>
      </c>
      <c r="AA4909" s="93">
        <f>1/(5.5*1)</f>
        <v>0.18181818181818182</v>
      </c>
      <c r="AB4909" s="93">
        <f>AD4909/AC4901</f>
        <v>126.50000000000001</v>
      </c>
      <c r="AC4909" s="93">
        <f>AC4901/AA4909</f>
        <v>85.799999999999983</v>
      </c>
      <c r="AD4909" s="94">
        <f t="shared" ref="AD4909:AD4910" si="3574">AC4909*Z4909</f>
        <v>1973.3999999999996</v>
      </c>
      <c r="AE4909" s="190"/>
      <c r="AF4909" s="191"/>
      <c r="AG4909" s="191"/>
      <c r="AH4909" s="191"/>
      <c r="AI4909" s="186"/>
      <c r="AK4909" s="171"/>
    </row>
    <row r="4910" spans="1:41" s="102" customFormat="1" ht="19.899999999999999" customHeight="1" x14ac:dyDescent="0.25">
      <c r="A4910" s="45"/>
      <c r="B4910" s="59"/>
      <c r="C4910" s="137"/>
      <c r="D4910" s="59"/>
      <c r="E4910" s="116"/>
      <c r="F4910" s="120"/>
      <c r="G4910" s="120"/>
      <c r="H4910" s="120"/>
      <c r="I4910" s="60"/>
      <c r="J4910" s="116"/>
      <c r="K4910" s="213"/>
      <c r="L4910" s="120"/>
      <c r="M4910" s="120"/>
      <c r="N4910" s="167"/>
      <c r="O4910" s="120"/>
      <c r="P4910" s="120"/>
      <c r="Q4910" s="120"/>
      <c r="R4910" s="120"/>
      <c r="S4910" s="120"/>
      <c r="T4910" s="221"/>
      <c r="U4910" s="89"/>
      <c r="V4910" s="61"/>
      <c r="W4910" s="92" t="s">
        <v>65</v>
      </c>
      <c r="X4910" s="93" t="s">
        <v>30</v>
      </c>
      <c r="Y4910" s="93" t="s">
        <v>1011</v>
      </c>
      <c r="Z4910" s="134">
        <f>VLOOKUP(W4910,Sheet2!$B:$D,3,FALSE)</f>
        <v>1.76</v>
      </c>
      <c r="AA4910" s="93">
        <f>AA4909/3</f>
        <v>6.0606060606060608E-2</v>
      </c>
      <c r="AB4910" s="93">
        <f>AD4910/AC4901</f>
        <v>29.04</v>
      </c>
      <c r="AC4910" s="93">
        <f>AC4901/AA4910</f>
        <v>257.39999999999992</v>
      </c>
      <c r="AD4910" s="94">
        <f t="shared" si="3574"/>
        <v>453.02399999999989</v>
      </c>
      <c r="AE4910" s="190"/>
      <c r="AF4910" s="191"/>
      <c r="AG4910" s="191"/>
      <c r="AH4910" s="191"/>
      <c r="AI4910" s="186"/>
      <c r="AK4910" s="171"/>
    </row>
    <row r="4911" spans="1:41" ht="20.100000000000001" customHeight="1" x14ac:dyDescent="0.25">
      <c r="A4911" s="277" t="s">
        <v>491</v>
      </c>
      <c r="B4911" s="278"/>
      <c r="C4911" s="64" t="s">
        <v>582</v>
      </c>
      <c r="D4911" s="46" t="s">
        <v>215</v>
      </c>
      <c r="E4911" s="114">
        <v>3.3299999999999992</v>
      </c>
      <c r="F4911" s="44">
        <v>44436</v>
      </c>
      <c r="G4911" s="44">
        <f t="shared" si="3471"/>
        <v>147971.87999999998</v>
      </c>
      <c r="H4911" s="44">
        <f t="shared" si="3472"/>
        <v>12838.82282112</v>
      </c>
      <c r="I4911" s="43">
        <f t="shared" si="3473"/>
        <v>42753.27999432959</v>
      </c>
      <c r="J4911" s="112">
        <f t="shared" si="3474"/>
        <v>3.3299999999999992</v>
      </c>
      <c r="K4911" s="211">
        <f t="shared" si="3475"/>
        <v>3.3299999999999992</v>
      </c>
      <c r="L4911" s="44"/>
      <c r="M4911" s="44">
        <f t="shared" si="3499"/>
        <v>3.3299999999999992</v>
      </c>
      <c r="N4911" s="173">
        <f t="shared" si="3476"/>
        <v>1</v>
      </c>
      <c r="O4911" s="44">
        <f t="shared" si="3477"/>
        <v>44436</v>
      </c>
      <c r="P4911" s="44">
        <f t="shared" si="3478"/>
        <v>147971.87999999998</v>
      </c>
      <c r="Q4911" s="44">
        <f t="shared" si="3479"/>
        <v>12838.82282112</v>
      </c>
      <c r="R4911" s="44">
        <f t="shared" si="3500"/>
        <v>42753.27999432959</v>
      </c>
      <c r="S4911" s="123"/>
      <c r="T4911" s="219">
        <f t="shared" si="3501"/>
        <v>42753.27999432959</v>
      </c>
      <c r="U4911" s="87"/>
      <c r="V4911" s="47"/>
      <c r="W4911" s="48"/>
      <c r="X4911" s="48"/>
      <c r="Y4911" s="48"/>
      <c r="Z4911" s="135"/>
      <c r="AA4911" s="49"/>
      <c r="AB4911" s="50">
        <f t="shared" si="3480"/>
        <v>12838.82282112</v>
      </c>
      <c r="AC4911" s="42">
        <f t="shared" si="3502"/>
        <v>3.3299999999999992</v>
      </c>
      <c r="AD4911" s="90">
        <f>AD4912+AD4917+AD4924+AD4931</f>
        <v>42753.27999432959</v>
      </c>
      <c r="AE4911" s="188">
        <f t="shared" ref="AE4911" si="3575">AE4912+AE4917+AE4924+AE4931</f>
        <v>0</v>
      </c>
      <c r="AF4911" s="189">
        <f t="shared" ref="AF4911" si="3576">AF4912+AF4917+AF4924+AF4931</f>
        <v>0</v>
      </c>
      <c r="AG4911" s="189">
        <f t="shared" ref="AG4911" si="3577">AG4912+AG4917+AG4924+AG4931</f>
        <v>0</v>
      </c>
      <c r="AH4911" s="189">
        <f t="shared" ref="AH4911" si="3578">AH4912+AH4917+AH4924+AH4931</f>
        <v>0</v>
      </c>
      <c r="AI4911" s="161">
        <f t="shared" ref="AI4911" si="3579">SUM(AE4911:AH4911)</f>
        <v>0</v>
      </c>
      <c r="AK4911" s="169">
        <v>5</v>
      </c>
      <c r="AO4911" s="19" t="s">
        <v>63</v>
      </c>
    </row>
    <row r="4912" spans="1:41" s="103" customFormat="1" ht="19.899999999999999" customHeight="1" x14ac:dyDescent="0.25">
      <c r="A4912" s="51"/>
      <c r="B4912" s="52"/>
      <c r="C4912" s="165"/>
      <c r="D4912" s="52"/>
      <c r="E4912" s="115"/>
      <c r="F4912" s="58"/>
      <c r="G4912" s="58"/>
      <c r="H4912" s="58"/>
      <c r="I4912" s="55"/>
      <c r="J4912" s="113">
        <f>J4911</f>
        <v>3.3299999999999992</v>
      </c>
      <c r="K4912" s="212">
        <f>K4911</f>
        <v>3.3299999999999992</v>
      </c>
      <c r="L4912" s="58"/>
      <c r="M4912" s="58">
        <f>K4912-L4912</f>
        <v>3.3299999999999992</v>
      </c>
      <c r="N4912" s="166"/>
      <c r="O4912" s="58"/>
      <c r="P4912" s="58"/>
      <c r="Q4912" s="58"/>
      <c r="R4912" s="58"/>
      <c r="S4912" s="58"/>
      <c r="T4912" s="220"/>
      <c r="U4912" s="88"/>
      <c r="V4912" s="56"/>
      <c r="W4912" s="57" t="s">
        <v>1540</v>
      </c>
      <c r="X4912" s="53"/>
      <c r="Y4912" s="91" t="s">
        <v>35</v>
      </c>
      <c r="Z4912" s="136">
        <f>AD4912/AC4912</f>
        <v>150.82823529411766</v>
      </c>
      <c r="AA4912" s="58"/>
      <c r="AB4912" s="53">
        <f>AD4912/AC4912</f>
        <v>150.82823529411766</v>
      </c>
      <c r="AC4912" s="53">
        <f>M4912+$AE$10</f>
        <v>3.3299999999999992</v>
      </c>
      <c r="AD4912" s="54">
        <f>SUM(AD4913:AD4916)</f>
        <v>502.25802352941173</v>
      </c>
      <c r="AE4912" s="184">
        <f>SUMIFS($AD$37:$AD$12971,$V$37:$V$12971,$V4912,$X$37:$X$12971,AE$13)</f>
        <v>0</v>
      </c>
      <c r="AF4912" s="185">
        <f>SUMIFS($AD$37:$AD$12971,$V$37:$V$12971,$V4912,$X$37:$X$12971,AF$13)</f>
        <v>0</v>
      </c>
      <c r="AG4912" s="185">
        <f>SUMIFS($AD$37:$AD$12971,$V$37:$V$12971,$V4912,$X$37:$X$12971,AG$13)</f>
        <v>0</v>
      </c>
      <c r="AH4912" s="187">
        <f>SUMIFS($AD$37:$AD$12971,$V$37:$V$12971,$V4912,$X$37:$X$12971,AH$13)</f>
        <v>0</v>
      </c>
      <c r="AI4912" s="161">
        <f t="shared" ref="AI4912" si="3580">SUM(AE4912:AH4912)</f>
        <v>0</v>
      </c>
      <c r="AK4912" s="172"/>
    </row>
    <row r="4913" spans="1:37" s="102" customFormat="1" ht="19.899999999999999" customHeight="1" x14ac:dyDescent="0.25">
      <c r="A4913" s="45"/>
      <c r="B4913" s="59"/>
      <c r="C4913" s="137"/>
      <c r="D4913" s="59"/>
      <c r="E4913" s="116"/>
      <c r="F4913" s="120"/>
      <c r="G4913" s="120"/>
      <c r="H4913" s="120"/>
      <c r="I4913" s="60"/>
      <c r="J4913" s="116"/>
      <c r="K4913" s="213"/>
      <c r="L4913" s="120"/>
      <c r="M4913" s="120"/>
      <c r="N4913" s="167"/>
      <c r="O4913" s="120"/>
      <c r="P4913" s="120"/>
      <c r="Q4913" s="120"/>
      <c r="R4913" s="120"/>
      <c r="S4913" s="120"/>
      <c r="T4913" s="221"/>
      <c r="U4913" s="89"/>
      <c r="V4913" s="61"/>
      <c r="W4913" s="92" t="s">
        <v>129</v>
      </c>
      <c r="X4913" s="93" t="s">
        <v>29</v>
      </c>
      <c r="Y4913" s="93" t="s">
        <v>93</v>
      </c>
      <c r="Z4913" s="134">
        <f>VLOOKUP(W4913,Sheet2!$B:$D,3,FALSE)</f>
        <v>56</v>
      </c>
      <c r="AA4913" s="93">
        <f>100/(2.5*2.5*6)</f>
        <v>2.6666666666666665</v>
      </c>
      <c r="AB4913" s="93">
        <f t="shared" ref="AB4913" si="3581">AD4913/AC4912</f>
        <v>21.000000000000004</v>
      </c>
      <c r="AC4913" s="93">
        <f>AC4912/AA4913</f>
        <v>1.2487499999999998</v>
      </c>
      <c r="AD4913" s="94">
        <f t="shared" ref="AD4913:AD4914" si="3582">AC4913*Z4913</f>
        <v>69.929999999999993</v>
      </c>
      <c r="AE4913" s="190"/>
      <c r="AF4913" s="191"/>
      <c r="AG4913" s="191"/>
      <c r="AH4913" s="191"/>
      <c r="AI4913" s="186"/>
      <c r="AK4913" s="171"/>
    </row>
    <row r="4914" spans="1:37" s="102" customFormat="1" ht="19.899999999999999" customHeight="1" x14ac:dyDescent="0.25">
      <c r="A4914" s="45"/>
      <c r="B4914" s="59"/>
      <c r="C4914" s="137"/>
      <c r="D4914" s="59"/>
      <c r="E4914" s="116"/>
      <c r="F4914" s="120"/>
      <c r="G4914" s="120"/>
      <c r="H4914" s="120"/>
      <c r="I4914" s="60"/>
      <c r="J4914" s="116"/>
      <c r="K4914" s="213"/>
      <c r="L4914" s="120"/>
      <c r="M4914" s="120"/>
      <c r="N4914" s="167"/>
      <c r="O4914" s="120"/>
      <c r="P4914" s="120"/>
      <c r="Q4914" s="120"/>
      <c r="R4914" s="120"/>
      <c r="S4914" s="120"/>
      <c r="T4914" s="221"/>
      <c r="U4914" s="89"/>
      <c r="V4914" s="61"/>
      <c r="W4914" s="92" t="s">
        <v>65</v>
      </c>
      <c r="X4914" s="93" t="s">
        <v>30</v>
      </c>
      <c r="Y4914" s="93" t="s">
        <v>1011</v>
      </c>
      <c r="Z4914" s="134">
        <f>VLOOKUP(W4914,Sheet2!$B:$D,3,FALSE)</f>
        <v>1.76</v>
      </c>
      <c r="AA4914" s="93">
        <f>AA4913/14</f>
        <v>0.19047619047619047</v>
      </c>
      <c r="AB4914" s="93">
        <f>AD4914/AC4912</f>
        <v>9.240000000000002</v>
      </c>
      <c r="AC4914" s="93">
        <f>AC4912/AA4914</f>
        <v>17.482499999999998</v>
      </c>
      <c r="AD4914" s="94">
        <f t="shared" si="3582"/>
        <v>30.769199999999998</v>
      </c>
      <c r="AE4914" s="190"/>
      <c r="AF4914" s="191"/>
      <c r="AG4914" s="191"/>
      <c r="AH4914" s="191"/>
      <c r="AI4914" s="186"/>
      <c r="AK4914" s="171"/>
    </row>
    <row r="4915" spans="1:37" s="102" customFormat="1" ht="19.899999999999999" customHeight="1" x14ac:dyDescent="0.25">
      <c r="A4915" s="45"/>
      <c r="B4915" s="59"/>
      <c r="C4915" s="137"/>
      <c r="D4915" s="59"/>
      <c r="E4915" s="116"/>
      <c r="F4915" s="120"/>
      <c r="G4915" s="120"/>
      <c r="H4915" s="120"/>
      <c r="I4915" s="60"/>
      <c r="J4915" s="116"/>
      <c r="K4915" s="213"/>
      <c r="L4915" s="120"/>
      <c r="M4915" s="120"/>
      <c r="N4915" s="167"/>
      <c r="O4915" s="120"/>
      <c r="P4915" s="120"/>
      <c r="Q4915" s="120"/>
      <c r="R4915" s="120"/>
      <c r="S4915" s="120"/>
      <c r="T4915" s="221"/>
      <c r="U4915" s="89"/>
      <c r="V4915" s="61"/>
      <c r="W4915" s="92" t="s">
        <v>161</v>
      </c>
      <c r="X4915" s="93" t="s">
        <v>29</v>
      </c>
      <c r="Y4915" s="93" t="s">
        <v>93</v>
      </c>
      <c r="Z4915" s="134">
        <f>VLOOKUP(W4915,Sheet2!$B:$D,3,FALSE)</f>
        <v>48</v>
      </c>
      <c r="AA4915" s="93">
        <f>(16*0.85*1.5)/(2.5*2.5*6)</f>
        <v>0.54399999999999993</v>
      </c>
      <c r="AB4915" s="93">
        <f>AD4915/AC4912</f>
        <v>88.235294117647058</v>
      </c>
      <c r="AC4915" s="93">
        <f>AC4912/AA4915</f>
        <v>6.1213235294117636</v>
      </c>
      <c r="AD4915" s="94">
        <f>AC4915*Z4915</f>
        <v>293.82352941176464</v>
      </c>
      <c r="AE4915" s="190"/>
      <c r="AF4915" s="191"/>
      <c r="AG4915" s="191"/>
      <c r="AH4915" s="191"/>
      <c r="AI4915" s="186"/>
      <c r="AK4915" s="171"/>
    </row>
    <row r="4916" spans="1:37" s="102" customFormat="1" ht="19.899999999999999" customHeight="1" x14ac:dyDescent="0.25">
      <c r="A4916" s="45"/>
      <c r="B4916" s="59"/>
      <c r="C4916" s="137"/>
      <c r="D4916" s="59"/>
      <c r="E4916" s="116"/>
      <c r="F4916" s="120"/>
      <c r="G4916" s="120"/>
      <c r="H4916" s="120"/>
      <c r="I4916" s="60"/>
      <c r="J4916" s="116"/>
      <c r="K4916" s="213"/>
      <c r="L4916" s="120"/>
      <c r="M4916" s="120"/>
      <c r="N4916" s="167"/>
      <c r="O4916" s="120"/>
      <c r="P4916" s="120"/>
      <c r="Q4916" s="120"/>
      <c r="R4916" s="120"/>
      <c r="S4916" s="120"/>
      <c r="T4916" s="221"/>
      <c r="U4916" s="89"/>
      <c r="V4916" s="61"/>
      <c r="W4916" s="92" t="s">
        <v>65</v>
      </c>
      <c r="X4916" s="93" t="s">
        <v>30</v>
      </c>
      <c r="Y4916" s="93" t="s">
        <v>1011</v>
      </c>
      <c r="Z4916" s="134">
        <f>VLOOKUP(W4916,Sheet2!$B:$D,3,FALSE)</f>
        <v>1.76</v>
      </c>
      <c r="AA4916" s="93">
        <f>AA4915/10</f>
        <v>5.439999999999999E-2</v>
      </c>
      <c r="AB4916" s="93">
        <f>AD4916/AC4912</f>
        <v>32.352941176470594</v>
      </c>
      <c r="AC4916" s="93">
        <f>AC4912/AA4916</f>
        <v>61.213235294117645</v>
      </c>
      <c r="AD4916" s="94">
        <f>AC4916*Z4916</f>
        <v>107.73529411764706</v>
      </c>
      <c r="AE4916" s="190"/>
      <c r="AF4916" s="191"/>
      <c r="AG4916" s="191"/>
      <c r="AH4916" s="191"/>
      <c r="AI4916" s="186"/>
      <c r="AK4916" s="171"/>
    </row>
    <row r="4917" spans="1:37" s="103" customFormat="1" ht="19.899999999999999" customHeight="1" x14ac:dyDescent="0.25">
      <c r="A4917" s="51"/>
      <c r="B4917" s="52"/>
      <c r="C4917" s="165"/>
      <c r="D4917" s="52"/>
      <c r="E4917" s="115"/>
      <c r="F4917" s="58"/>
      <c r="G4917" s="58"/>
      <c r="H4917" s="58"/>
      <c r="I4917" s="55"/>
      <c r="J4917" s="113">
        <f>J4911</f>
        <v>3.3299999999999992</v>
      </c>
      <c r="K4917" s="212">
        <f>K4911</f>
        <v>3.3299999999999992</v>
      </c>
      <c r="L4917" s="58"/>
      <c r="M4917" s="58">
        <f>K4917-L4917</f>
        <v>3.3299999999999992</v>
      </c>
      <c r="N4917" s="166"/>
      <c r="O4917" s="58"/>
      <c r="P4917" s="58"/>
      <c r="Q4917" s="58"/>
      <c r="R4917" s="58"/>
      <c r="S4917" s="58"/>
      <c r="T4917" s="220"/>
      <c r="U4917" s="88"/>
      <c r="V4917" s="56"/>
      <c r="W4917" s="57" t="s">
        <v>1486</v>
      </c>
      <c r="X4917" s="53"/>
      <c r="Y4917" s="91" t="s">
        <v>35</v>
      </c>
      <c r="Z4917" s="136">
        <f>AD4917/AC4917</f>
        <v>1432.6959999999999</v>
      </c>
      <c r="AA4917" s="58"/>
      <c r="AB4917" s="53">
        <f>AD4917/AC4917</f>
        <v>1432.6959999999999</v>
      </c>
      <c r="AC4917" s="53">
        <f>M4917+$AE$10</f>
        <v>3.3299999999999992</v>
      </c>
      <c r="AD4917" s="54">
        <f>SUM(AD4918:AD4923)</f>
        <v>4770.8776799999987</v>
      </c>
      <c r="AE4917" s="184">
        <f>SUMIFS($AD$37:$AD$12971,$V$37:$V$12971,$V4917,$X$37:$X$12971,AE$13)</f>
        <v>0</v>
      </c>
      <c r="AF4917" s="185">
        <f>SUMIFS($AD$37:$AD$12971,$V$37:$V$12971,$V4917,$X$37:$X$12971,AF$13)</f>
        <v>0</v>
      </c>
      <c r="AG4917" s="185">
        <f>SUMIFS($AD$37:$AD$12971,$V$37:$V$12971,$V4917,$X$37:$X$12971,AG$13)</f>
        <v>0</v>
      </c>
      <c r="AH4917" s="187">
        <f>SUMIFS($AD$37:$AD$12971,$V$37:$V$12971,$V4917,$X$37:$X$12971,AH$13)</f>
        <v>0</v>
      </c>
      <c r="AI4917" s="161">
        <f t="shared" ref="AI4917" si="3583">SUM(AE4917:AH4917)</f>
        <v>0</v>
      </c>
      <c r="AK4917" s="172"/>
    </row>
    <row r="4918" spans="1:37" s="102" customFormat="1" ht="19.899999999999999" customHeight="1" x14ac:dyDescent="0.25">
      <c r="A4918" s="45"/>
      <c r="B4918" s="59"/>
      <c r="C4918" s="137"/>
      <c r="D4918" s="59"/>
      <c r="E4918" s="116"/>
      <c r="F4918" s="120"/>
      <c r="G4918" s="120"/>
      <c r="H4918" s="120"/>
      <c r="I4918" s="60"/>
      <c r="J4918" s="116"/>
      <c r="K4918" s="213"/>
      <c r="L4918" s="120"/>
      <c r="M4918" s="120"/>
      <c r="N4918" s="167"/>
      <c r="O4918" s="120"/>
      <c r="P4918" s="120"/>
      <c r="Q4918" s="120"/>
      <c r="R4918" s="120"/>
      <c r="S4918" s="120"/>
      <c r="T4918" s="221"/>
      <c r="U4918" s="89"/>
      <c r="V4918" s="61"/>
      <c r="W4918" s="92" t="s">
        <v>1032</v>
      </c>
      <c r="X4918" s="93" t="s">
        <v>30</v>
      </c>
      <c r="Y4918" s="93" t="s">
        <v>66</v>
      </c>
      <c r="Z4918" s="134">
        <f>VLOOKUP(W4918,Sheet2!$B:$D,3,FALSE)</f>
        <v>250</v>
      </c>
      <c r="AA4918" s="93">
        <f>1/(2.1*2.1*0.1)</f>
        <v>2.2675736961451243</v>
      </c>
      <c r="AB4918" s="93">
        <f>AD4918/AC4924</f>
        <v>110.25000000000003</v>
      </c>
      <c r="AC4918" s="93">
        <f>AC4924/AA4918</f>
        <v>1.4685299999999999</v>
      </c>
      <c r="AD4918" s="94">
        <f t="shared" ref="AD4918:AD4920" si="3584">AC4918*Z4918</f>
        <v>367.13249999999999</v>
      </c>
      <c r="AE4918" s="190"/>
      <c r="AF4918" s="191"/>
      <c r="AG4918" s="191"/>
      <c r="AH4918" s="191"/>
      <c r="AI4918" s="186"/>
      <c r="AK4918" s="171"/>
    </row>
    <row r="4919" spans="1:37" s="102" customFormat="1" ht="19.899999999999999" customHeight="1" x14ac:dyDescent="0.25">
      <c r="A4919" s="45"/>
      <c r="B4919" s="59"/>
      <c r="C4919" s="137"/>
      <c r="D4919" s="59"/>
      <c r="E4919" s="116"/>
      <c r="F4919" s="120"/>
      <c r="G4919" s="120"/>
      <c r="H4919" s="120"/>
      <c r="I4919" s="60"/>
      <c r="J4919" s="116"/>
      <c r="K4919" s="213"/>
      <c r="L4919" s="120"/>
      <c r="M4919" s="120"/>
      <c r="N4919" s="167"/>
      <c r="O4919" s="120"/>
      <c r="P4919" s="120"/>
      <c r="Q4919" s="120"/>
      <c r="R4919" s="120"/>
      <c r="S4919" s="120"/>
      <c r="T4919" s="221"/>
      <c r="U4919" s="89"/>
      <c r="V4919" s="61"/>
      <c r="W4919" s="92" t="s">
        <v>1353</v>
      </c>
      <c r="X4919" s="93" t="s">
        <v>30</v>
      </c>
      <c r="Y4919" s="93" t="s">
        <v>66</v>
      </c>
      <c r="Z4919" s="134">
        <f>VLOOKUP(W4919,Sheet2!$B:$D,3,FALSE)</f>
        <v>350</v>
      </c>
      <c r="AA4919" s="93">
        <f>1/(2*2*0.3)</f>
        <v>0.83333333333333337</v>
      </c>
      <c r="AB4919" s="93">
        <f>AD4919/AC4924</f>
        <v>419.99999999999994</v>
      </c>
      <c r="AC4919" s="93">
        <f>AC4924/AA4919</f>
        <v>3.9959999999999987</v>
      </c>
      <c r="AD4919" s="94">
        <f t="shared" si="3584"/>
        <v>1398.5999999999995</v>
      </c>
      <c r="AE4919" s="190"/>
      <c r="AF4919" s="191"/>
      <c r="AG4919" s="191"/>
      <c r="AH4919" s="191"/>
      <c r="AI4919" s="186"/>
      <c r="AK4919" s="171"/>
    </row>
    <row r="4920" spans="1:37" s="102" customFormat="1" ht="19.899999999999999" customHeight="1" x14ac:dyDescent="0.25">
      <c r="A4920" s="45"/>
      <c r="B4920" s="59"/>
      <c r="C4920" s="137"/>
      <c r="D4920" s="59"/>
      <c r="E4920" s="116"/>
      <c r="F4920" s="120"/>
      <c r="G4920" s="120"/>
      <c r="H4920" s="120"/>
      <c r="I4920" s="60"/>
      <c r="J4920" s="116"/>
      <c r="K4920" s="213"/>
      <c r="L4920" s="120"/>
      <c r="M4920" s="120"/>
      <c r="N4920" s="167"/>
      <c r="O4920" s="120"/>
      <c r="P4920" s="120"/>
      <c r="Q4920" s="120"/>
      <c r="R4920" s="120"/>
      <c r="S4920" s="120"/>
      <c r="T4920" s="221"/>
      <c r="U4920" s="89"/>
      <c r="V4920" s="61"/>
      <c r="W4920" s="92" t="s">
        <v>99</v>
      </c>
      <c r="X4920" s="93" t="s">
        <v>30</v>
      </c>
      <c r="Y4920" s="93" t="s">
        <v>67</v>
      </c>
      <c r="Z4920" s="134">
        <f>VLOOKUP(W4920,Sheet2!$B:$D,3,FALSE)</f>
        <v>2500</v>
      </c>
      <c r="AA4920" s="93">
        <f>AA4919/0.08</f>
        <v>10.416666666666666</v>
      </c>
      <c r="AB4920" s="93">
        <f>AD4920/AC4924</f>
        <v>240.00000000000003</v>
      </c>
      <c r="AC4920" s="93">
        <f>AC4924/AA4920</f>
        <v>0.31967999999999996</v>
      </c>
      <c r="AD4920" s="94">
        <f t="shared" si="3584"/>
        <v>799.19999999999993</v>
      </c>
      <c r="AE4920" s="190"/>
      <c r="AF4920" s="191"/>
      <c r="AG4920" s="191"/>
      <c r="AH4920" s="191"/>
      <c r="AI4920" s="186"/>
      <c r="AK4920" s="171"/>
    </row>
    <row r="4921" spans="1:37" s="102" customFormat="1" ht="19.899999999999999" customHeight="1" x14ac:dyDescent="0.25">
      <c r="A4921" s="45"/>
      <c r="B4921" s="59"/>
      <c r="C4921" s="137"/>
      <c r="D4921" s="59"/>
      <c r="E4921" s="116"/>
      <c r="F4921" s="120"/>
      <c r="G4921" s="120"/>
      <c r="H4921" s="120"/>
      <c r="I4921" s="60"/>
      <c r="J4921" s="116"/>
      <c r="K4921" s="213"/>
      <c r="L4921" s="120"/>
      <c r="M4921" s="120"/>
      <c r="N4921" s="167"/>
      <c r="O4921" s="120"/>
      <c r="P4921" s="120"/>
      <c r="Q4921" s="120"/>
      <c r="R4921" s="120"/>
      <c r="S4921" s="120"/>
      <c r="T4921" s="221"/>
      <c r="U4921" s="89"/>
      <c r="V4921" s="61"/>
      <c r="W4921" s="92" t="s">
        <v>1354</v>
      </c>
      <c r="X4921" s="93" t="s">
        <v>32</v>
      </c>
      <c r="Y4921" s="93" t="s">
        <v>66</v>
      </c>
      <c r="Z4921" s="134">
        <f>VLOOKUP(W4921,Sheet2!$B:$D,3,FALSE)</f>
        <v>150</v>
      </c>
      <c r="AA4921" s="93">
        <f>AA4918</f>
        <v>2.2675736961451243</v>
      </c>
      <c r="AB4921" s="93">
        <f>AD4921/AC4924</f>
        <v>66.150000000000006</v>
      </c>
      <c r="AC4921" s="93">
        <f>AC4924/AA4921</f>
        <v>1.4685299999999999</v>
      </c>
      <c r="AD4921" s="94">
        <f>AC4921*Z4921</f>
        <v>220.27949999999998</v>
      </c>
      <c r="AE4921" s="190"/>
      <c r="AF4921" s="191"/>
      <c r="AG4921" s="191"/>
      <c r="AH4921" s="191"/>
      <c r="AI4921" s="186"/>
      <c r="AK4921" s="171"/>
    </row>
    <row r="4922" spans="1:37" s="102" customFormat="1" ht="19.899999999999999" customHeight="1" x14ac:dyDescent="0.25">
      <c r="A4922" s="45"/>
      <c r="B4922" s="59"/>
      <c r="C4922" s="137"/>
      <c r="D4922" s="59"/>
      <c r="E4922" s="116"/>
      <c r="F4922" s="120"/>
      <c r="G4922" s="120"/>
      <c r="H4922" s="120"/>
      <c r="I4922" s="60"/>
      <c r="J4922" s="116"/>
      <c r="K4922" s="213"/>
      <c r="L4922" s="120"/>
      <c r="M4922" s="120"/>
      <c r="N4922" s="167"/>
      <c r="O4922" s="120"/>
      <c r="P4922" s="120"/>
      <c r="Q4922" s="120"/>
      <c r="R4922" s="120"/>
      <c r="S4922" s="120"/>
      <c r="T4922" s="221"/>
      <c r="U4922" s="89"/>
      <c r="V4922" s="61"/>
      <c r="W4922" s="92" t="s">
        <v>1355</v>
      </c>
      <c r="X4922" s="93" t="s">
        <v>32</v>
      </c>
      <c r="Y4922" s="93" t="s">
        <v>66</v>
      </c>
      <c r="Z4922" s="134">
        <f>VLOOKUP(W4922,Sheet2!$B:$D,3,FALSE)</f>
        <v>450</v>
      </c>
      <c r="AA4922" s="93">
        <f>AA4919</f>
        <v>0.83333333333333337</v>
      </c>
      <c r="AB4922" s="93">
        <f>AD4922/AC4924</f>
        <v>539.99999999999989</v>
      </c>
      <c r="AC4922" s="93">
        <f>AC4924/AA4922</f>
        <v>3.9959999999999987</v>
      </c>
      <c r="AD4922" s="94">
        <f>AC4922*Z4922</f>
        <v>1798.1999999999994</v>
      </c>
      <c r="AE4922" s="190"/>
      <c r="AF4922" s="191"/>
      <c r="AG4922" s="191"/>
      <c r="AH4922" s="191"/>
      <c r="AI4922" s="186"/>
      <c r="AK4922" s="171"/>
    </row>
    <row r="4923" spans="1:37" s="102" customFormat="1" ht="19.899999999999999" customHeight="1" x14ac:dyDescent="0.25">
      <c r="A4923" s="45"/>
      <c r="B4923" s="59"/>
      <c r="C4923" s="137"/>
      <c r="D4923" s="59"/>
      <c r="E4923" s="116"/>
      <c r="F4923" s="120"/>
      <c r="G4923" s="120"/>
      <c r="H4923" s="120"/>
      <c r="I4923" s="60"/>
      <c r="J4923" s="116"/>
      <c r="K4923" s="213"/>
      <c r="L4923" s="120"/>
      <c r="M4923" s="120"/>
      <c r="N4923" s="167"/>
      <c r="O4923" s="120"/>
      <c r="P4923" s="120"/>
      <c r="Q4923" s="120"/>
      <c r="R4923" s="120"/>
      <c r="S4923" s="120"/>
      <c r="T4923" s="221"/>
      <c r="U4923" s="89"/>
      <c r="V4923" s="61"/>
      <c r="W4923" s="92" t="s">
        <v>124</v>
      </c>
      <c r="X4923" s="93" t="s">
        <v>32</v>
      </c>
      <c r="Y4923" s="93" t="s">
        <v>64</v>
      </c>
      <c r="Z4923" s="134">
        <f>VLOOKUP(W4923,Sheet2!$B:$D,3,FALSE)</f>
        <v>10</v>
      </c>
      <c r="AA4923" s="93">
        <f>1/((2.6*2.6)-(3.14*1.2*1.2/4))</f>
        <v>0.17763251385533604</v>
      </c>
      <c r="AB4923" s="93">
        <f t="shared" ref="AB4923" si="3585">AD4923/AC4917</f>
        <v>56.296000000000014</v>
      </c>
      <c r="AC4923" s="93">
        <f>AC4917/AA4923</f>
        <v>18.746568</v>
      </c>
      <c r="AD4923" s="94">
        <f t="shared" ref="AD4923" si="3586">AC4923*Z4923</f>
        <v>187.46567999999999</v>
      </c>
      <c r="AE4923" s="190"/>
      <c r="AF4923" s="191"/>
      <c r="AG4923" s="191"/>
      <c r="AH4923" s="191"/>
      <c r="AI4923" s="186"/>
      <c r="AK4923" s="171"/>
    </row>
    <row r="4924" spans="1:37" s="103" customFormat="1" ht="19.899999999999999" customHeight="1" x14ac:dyDescent="0.25">
      <c r="A4924" s="51"/>
      <c r="B4924" s="52"/>
      <c r="C4924" s="165"/>
      <c r="D4924" s="52"/>
      <c r="E4924" s="115"/>
      <c r="F4924" s="58"/>
      <c r="G4924" s="58"/>
      <c r="H4924" s="58"/>
      <c r="I4924" s="55"/>
      <c r="J4924" s="113">
        <f>J4911</f>
        <v>3.3299999999999992</v>
      </c>
      <c r="K4924" s="212">
        <f>K4911</f>
        <v>3.3299999999999992</v>
      </c>
      <c r="L4924" s="58"/>
      <c r="M4924" s="58">
        <f>K4924-L4924</f>
        <v>3.3299999999999992</v>
      </c>
      <c r="N4924" s="166"/>
      <c r="O4924" s="58"/>
      <c r="P4924" s="58"/>
      <c r="Q4924" s="58"/>
      <c r="R4924" s="58"/>
      <c r="S4924" s="58"/>
      <c r="T4924" s="220"/>
      <c r="U4924" s="88"/>
      <c r="V4924" s="56"/>
      <c r="W4924" s="57" t="s">
        <v>1275</v>
      </c>
      <c r="X4924" s="53"/>
      <c r="Y4924" s="91" t="s">
        <v>35</v>
      </c>
      <c r="Z4924" s="136">
        <f>AD4924/AC4924</f>
        <v>10622.8</v>
      </c>
      <c r="AA4924" s="58"/>
      <c r="AB4924" s="53">
        <f>AD4924/AC4924</f>
        <v>10622.8</v>
      </c>
      <c r="AC4924" s="53">
        <f>M4924+$AE$10</f>
        <v>3.3299999999999992</v>
      </c>
      <c r="AD4924" s="54">
        <f>SUM(AD4925:AD4930)</f>
        <v>35373.923999999992</v>
      </c>
      <c r="AE4924" s="184">
        <f>SUMIFS($AD$37:$AD$12971,$V$37:$V$12971,$V4924,$X$37:$X$12971,AE$13)</f>
        <v>0</v>
      </c>
      <c r="AF4924" s="185">
        <f>SUMIFS($AD$37:$AD$12971,$V$37:$V$12971,$V4924,$X$37:$X$12971,AF$13)</f>
        <v>0</v>
      </c>
      <c r="AG4924" s="185">
        <f>SUMIFS($AD$37:$AD$12971,$V$37:$V$12971,$V4924,$X$37:$X$12971,AG$13)</f>
        <v>0</v>
      </c>
      <c r="AH4924" s="187">
        <f>SUMIFS($AD$37:$AD$12971,$V$37:$V$12971,$V4924,$X$37:$X$12971,AH$13)</f>
        <v>0</v>
      </c>
      <c r="AI4924" s="161">
        <f t="shared" ref="AI4924" si="3587">SUM(AE4924:AH4924)</f>
        <v>0</v>
      </c>
      <c r="AK4924" s="172"/>
    </row>
    <row r="4925" spans="1:37" s="102" customFormat="1" ht="19.899999999999999" customHeight="1" x14ac:dyDescent="0.25">
      <c r="A4925" s="45"/>
      <c r="B4925" s="59"/>
      <c r="C4925" s="137"/>
      <c r="D4925" s="59"/>
      <c r="E4925" s="116"/>
      <c r="F4925" s="120"/>
      <c r="G4925" s="120"/>
      <c r="H4925" s="120"/>
      <c r="I4925" s="60"/>
      <c r="J4925" s="116"/>
      <c r="K4925" s="213"/>
      <c r="L4925" s="120"/>
      <c r="M4925" s="120"/>
      <c r="N4925" s="167"/>
      <c r="O4925" s="120"/>
      <c r="P4925" s="120"/>
      <c r="Q4925" s="120"/>
      <c r="R4925" s="120"/>
      <c r="S4925" s="120"/>
      <c r="T4925" s="221"/>
      <c r="U4925" s="89"/>
      <c r="V4925" s="61"/>
      <c r="W4925" s="92" t="s">
        <v>1536</v>
      </c>
      <c r="X4925" s="93" t="s">
        <v>30</v>
      </c>
      <c r="Y4925" s="93" t="s">
        <v>35</v>
      </c>
      <c r="Z4925" s="134">
        <f>VLOOKUP(W4925,Sheet2!$B:$D,3,FALSE)</f>
        <v>8850</v>
      </c>
      <c r="AA4925" s="93">
        <v>1</v>
      </c>
      <c r="AB4925" s="93">
        <f>AD4925/AC4924</f>
        <v>8850</v>
      </c>
      <c r="AC4925" s="93">
        <f>AC4924/AA4925</f>
        <v>3.3299999999999992</v>
      </c>
      <c r="AD4925" s="94">
        <f t="shared" ref="AD4925:AD4926" si="3588">AC4925*Z4925</f>
        <v>29470.499999999993</v>
      </c>
      <c r="AE4925" s="190"/>
      <c r="AF4925" s="191"/>
      <c r="AG4925" s="191"/>
      <c r="AH4925" s="191"/>
      <c r="AI4925" s="186"/>
      <c r="AK4925" s="171"/>
    </row>
    <row r="4926" spans="1:37" s="102" customFormat="1" ht="19.899999999999999" customHeight="1" x14ac:dyDescent="0.25">
      <c r="A4926" s="45"/>
      <c r="B4926" s="59"/>
      <c r="C4926" s="137"/>
      <c r="D4926" s="59"/>
      <c r="E4926" s="116"/>
      <c r="F4926" s="120"/>
      <c r="G4926" s="120"/>
      <c r="H4926" s="120"/>
      <c r="I4926" s="60"/>
      <c r="J4926" s="116"/>
      <c r="K4926" s="213"/>
      <c r="L4926" s="120"/>
      <c r="M4926" s="120"/>
      <c r="N4926" s="167"/>
      <c r="O4926" s="120"/>
      <c r="P4926" s="120"/>
      <c r="Q4926" s="120"/>
      <c r="R4926" s="120"/>
      <c r="S4926" s="120"/>
      <c r="T4926" s="221"/>
      <c r="U4926" s="89"/>
      <c r="V4926" s="61"/>
      <c r="W4926" s="92" t="s">
        <v>174</v>
      </c>
      <c r="X4926" s="93" t="s">
        <v>29</v>
      </c>
      <c r="Y4926" s="93" t="s">
        <v>93</v>
      </c>
      <c r="Z4926" s="134">
        <f>VLOOKUP(W4926,Sheet2!$B:$D,3,FALSE)</f>
        <v>80</v>
      </c>
      <c r="AA4926" s="93">
        <f>1/2</f>
        <v>0.5</v>
      </c>
      <c r="AB4926" s="93">
        <f>AD4926/AC4924</f>
        <v>160</v>
      </c>
      <c r="AC4926" s="93">
        <f>AC4924/AA4926</f>
        <v>6.6599999999999984</v>
      </c>
      <c r="AD4926" s="94">
        <f t="shared" si="3588"/>
        <v>532.79999999999984</v>
      </c>
      <c r="AE4926" s="190"/>
      <c r="AF4926" s="191"/>
      <c r="AG4926" s="191"/>
      <c r="AH4926" s="191"/>
      <c r="AI4926" s="186"/>
      <c r="AK4926" s="171"/>
    </row>
    <row r="4927" spans="1:37" s="102" customFormat="1" ht="19.899999999999999" customHeight="1" x14ac:dyDescent="0.25">
      <c r="A4927" s="45"/>
      <c r="B4927" s="59"/>
      <c r="C4927" s="137"/>
      <c r="D4927" s="59"/>
      <c r="E4927" s="116"/>
      <c r="F4927" s="120"/>
      <c r="G4927" s="120"/>
      <c r="H4927" s="120"/>
      <c r="I4927" s="60"/>
      <c r="J4927" s="116"/>
      <c r="K4927" s="213"/>
      <c r="L4927" s="120"/>
      <c r="M4927" s="120"/>
      <c r="N4927" s="167"/>
      <c r="O4927" s="120"/>
      <c r="P4927" s="120"/>
      <c r="Q4927" s="120"/>
      <c r="R4927" s="120"/>
      <c r="S4927" s="120"/>
      <c r="T4927" s="221"/>
      <c r="U4927" s="89"/>
      <c r="V4927" s="61"/>
      <c r="W4927" s="92" t="s">
        <v>65</v>
      </c>
      <c r="X4927" s="93" t="s">
        <v>30</v>
      </c>
      <c r="Y4927" s="93" t="s">
        <v>93</v>
      </c>
      <c r="Z4927" s="134">
        <f>VLOOKUP(W4927,Sheet2!$B:$D,3,FALSE)</f>
        <v>1.76</v>
      </c>
      <c r="AA4927" s="93">
        <f>AA4926/15</f>
        <v>3.3333333333333333E-2</v>
      </c>
      <c r="AB4927" s="93">
        <f>AD4927/AC4924</f>
        <v>52.8</v>
      </c>
      <c r="AC4927" s="93">
        <f>AC4924/AA4927</f>
        <v>99.899999999999977</v>
      </c>
      <c r="AD4927" s="94">
        <f>AC4927*Z4927</f>
        <v>175.82399999999996</v>
      </c>
      <c r="AE4927" s="190"/>
      <c r="AF4927" s="191"/>
      <c r="AG4927" s="191"/>
      <c r="AH4927" s="191"/>
      <c r="AI4927" s="186"/>
      <c r="AK4927" s="171"/>
    </row>
    <row r="4928" spans="1:37" s="102" customFormat="1" ht="19.899999999999999" customHeight="1" x14ac:dyDescent="0.25">
      <c r="A4928" s="45"/>
      <c r="B4928" s="59"/>
      <c r="C4928" s="137"/>
      <c r="D4928" s="59"/>
      <c r="E4928" s="116"/>
      <c r="F4928" s="120"/>
      <c r="G4928" s="120"/>
      <c r="H4928" s="120"/>
      <c r="I4928" s="60"/>
      <c r="J4928" s="116"/>
      <c r="K4928" s="213"/>
      <c r="L4928" s="120"/>
      <c r="M4928" s="120"/>
      <c r="N4928" s="167"/>
      <c r="O4928" s="120"/>
      <c r="P4928" s="120"/>
      <c r="Q4928" s="120"/>
      <c r="R4928" s="120"/>
      <c r="S4928" s="120"/>
      <c r="T4928" s="221"/>
      <c r="U4928" s="89"/>
      <c r="V4928" s="61"/>
      <c r="W4928" s="92" t="s">
        <v>1487</v>
      </c>
      <c r="X4928" s="93" t="s">
        <v>32</v>
      </c>
      <c r="Y4928" s="93" t="s">
        <v>1349</v>
      </c>
      <c r="Z4928" s="134">
        <f>VLOOKUP(W4928,Sheet2!$B:$D,3,FALSE)</f>
        <v>1500</v>
      </c>
      <c r="AA4928" s="93">
        <v>1</v>
      </c>
      <c r="AB4928" s="93">
        <f>AD4928/AC4924</f>
        <v>1500</v>
      </c>
      <c r="AC4928" s="93">
        <f>AC4924/AA4928</f>
        <v>3.3299999999999992</v>
      </c>
      <c r="AD4928" s="94">
        <f>AC4928*Z4928</f>
        <v>4994.9999999999991</v>
      </c>
      <c r="AE4928" s="190"/>
      <c r="AF4928" s="191"/>
      <c r="AG4928" s="191"/>
      <c r="AH4928" s="191"/>
      <c r="AI4928" s="186"/>
      <c r="AK4928" s="171"/>
    </row>
    <row r="4929" spans="1:41" s="102" customFormat="1" ht="19.899999999999999" customHeight="1" x14ac:dyDescent="0.25">
      <c r="A4929" s="45"/>
      <c r="B4929" s="59"/>
      <c r="C4929" s="137"/>
      <c r="D4929" s="59"/>
      <c r="E4929" s="116"/>
      <c r="F4929" s="120"/>
      <c r="G4929" s="120"/>
      <c r="H4929" s="120"/>
      <c r="I4929" s="60"/>
      <c r="J4929" s="116"/>
      <c r="K4929" s="213"/>
      <c r="L4929" s="120"/>
      <c r="M4929" s="120"/>
      <c r="N4929" s="167"/>
      <c r="O4929" s="120"/>
      <c r="P4929" s="120"/>
      <c r="Q4929" s="120"/>
      <c r="R4929" s="120"/>
      <c r="S4929" s="120"/>
      <c r="T4929" s="221"/>
      <c r="U4929" s="89"/>
      <c r="V4929" s="61"/>
      <c r="W4929" s="92" t="s">
        <v>107</v>
      </c>
      <c r="X4929" s="93" t="s">
        <v>31</v>
      </c>
      <c r="Y4929" s="93" t="s">
        <v>93</v>
      </c>
      <c r="Z4929" s="134">
        <f>VLOOKUP(W4929,Sheet2!$B:$D,3,FALSE)</f>
        <v>17</v>
      </c>
      <c r="AA4929" s="93">
        <f>AA4926</f>
        <v>0.5</v>
      </c>
      <c r="AB4929" s="93">
        <f>AD4929/AC4924</f>
        <v>34</v>
      </c>
      <c r="AC4929" s="93">
        <f>AC4924/AA4929</f>
        <v>6.6599999999999984</v>
      </c>
      <c r="AD4929" s="94">
        <f>AC4929*Z4929</f>
        <v>113.21999999999997</v>
      </c>
      <c r="AE4929" s="190"/>
      <c r="AF4929" s="191"/>
      <c r="AG4929" s="191"/>
      <c r="AH4929" s="191"/>
      <c r="AI4929" s="186"/>
      <c r="AK4929" s="171"/>
    </row>
    <row r="4930" spans="1:41" s="102" customFormat="1" ht="19.899999999999999" customHeight="1" x14ac:dyDescent="0.25">
      <c r="A4930" s="45"/>
      <c r="B4930" s="59"/>
      <c r="C4930" s="137"/>
      <c r="D4930" s="59"/>
      <c r="E4930" s="116"/>
      <c r="F4930" s="120"/>
      <c r="G4930" s="120"/>
      <c r="H4930" s="120"/>
      <c r="I4930" s="60"/>
      <c r="J4930" s="116"/>
      <c r="K4930" s="213"/>
      <c r="L4930" s="120"/>
      <c r="M4930" s="120"/>
      <c r="N4930" s="167"/>
      <c r="O4930" s="120"/>
      <c r="P4930" s="120"/>
      <c r="Q4930" s="120"/>
      <c r="R4930" s="120"/>
      <c r="S4930" s="120"/>
      <c r="T4930" s="221"/>
      <c r="U4930" s="89"/>
      <c r="V4930" s="61"/>
      <c r="W4930" s="92" t="s">
        <v>112</v>
      </c>
      <c r="X4930" s="93" t="s">
        <v>31</v>
      </c>
      <c r="Y4930" s="93" t="s">
        <v>93</v>
      </c>
      <c r="Z4930" s="134">
        <f>VLOOKUP(W4930,Sheet2!$B:$D,3,FALSE)</f>
        <v>13</v>
      </c>
      <c r="AA4930" s="93">
        <f>AA4929</f>
        <v>0.5</v>
      </c>
      <c r="AB4930" s="93">
        <f>AD4930/AC4924</f>
        <v>26</v>
      </c>
      <c r="AC4930" s="93">
        <f>AC4924/AA4930</f>
        <v>6.6599999999999984</v>
      </c>
      <c r="AD4930" s="94">
        <f>AC4930*Z4930</f>
        <v>86.579999999999984</v>
      </c>
      <c r="AE4930" s="190"/>
      <c r="AF4930" s="191"/>
      <c r="AG4930" s="191"/>
      <c r="AH4930" s="191"/>
      <c r="AI4930" s="186"/>
      <c r="AK4930" s="171"/>
    </row>
    <row r="4931" spans="1:41" s="103" customFormat="1" ht="19.899999999999999" customHeight="1" x14ac:dyDescent="0.25">
      <c r="A4931" s="51"/>
      <c r="B4931" s="52"/>
      <c r="C4931" s="165"/>
      <c r="D4931" s="52"/>
      <c r="E4931" s="115"/>
      <c r="F4931" s="58"/>
      <c r="G4931" s="58"/>
      <c r="H4931" s="58"/>
      <c r="I4931" s="55"/>
      <c r="J4931" s="113">
        <f>J4911</f>
        <v>3.3299999999999992</v>
      </c>
      <c r="K4931" s="212">
        <f>K4911</f>
        <v>3.3299999999999992</v>
      </c>
      <c r="L4931" s="58"/>
      <c r="M4931" s="58">
        <f>K4931-L4931</f>
        <v>3.3299999999999992</v>
      </c>
      <c r="N4931" s="166"/>
      <c r="O4931" s="58"/>
      <c r="P4931" s="58"/>
      <c r="Q4931" s="58"/>
      <c r="R4931" s="58"/>
      <c r="S4931" s="58"/>
      <c r="T4931" s="220"/>
      <c r="U4931" s="88"/>
      <c r="V4931" s="56"/>
      <c r="W4931" s="57" t="s">
        <v>1272</v>
      </c>
      <c r="X4931" s="53"/>
      <c r="Y4931" s="91" t="s">
        <v>35</v>
      </c>
      <c r="Z4931" s="136">
        <f>AD4931/AC4931</f>
        <v>632.4985858258824</v>
      </c>
      <c r="AA4931" s="58"/>
      <c r="AB4931" s="53">
        <f>AD4931/AC4931</f>
        <v>632.4985858258824</v>
      </c>
      <c r="AC4931" s="53">
        <f>M4931+$AE$10</f>
        <v>3.3299999999999992</v>
      </c>
      <c r="AD4931" s="54">
        <f>SUM(AD4932:AD4940)</f>
        <v>2106.2202908001877</v>
      </c>
      <c r="AE4931" s="184">
        <f>SUMIFS($AD$37:$AD$12971,$V$37:$V$12971,$V4931,$X$37:$X$12971,AE$13)</f>
        <v>0</v>
      </c>
      <c r="AF4931" s="185">
        <f>SUMIFS($AD$37:$AD$12971,$V$37:$V$12971,$V4931,$X$37:$X$12971,AF$13)</f>
        <v>0</v>
      </c>
      <c r="AG4931" s="185">
        <f>SUMIFS($AD$37:$AD$12971,$V$37:$V$12971,$V4931,$X$37:$X$12971,AG$13)</f>
        <v>0</v>
      </c>
      <c r="AH4931" s="187">
        <f>SUMIFS($AD$37:$AD$12971,$V$37:$V$12971,$V4931,$X$37:$X$12971,AH$13)</f>
        <v>0</v>
      </c>
      <c r="AI4931" s="161">
        <f t="shared" ref="AI4931" si="3589">SUM(AE4931:AH4931)</f>
        <v>0</v>
      </c>
      <c r="AK4931" s="172"/>
    </row>
    <row r="4932" spans="1:41" s="102" customFormat="1" ht="19.899999999999999" customHeight="1" x14ac:dyDescent="0.25">
      <c r="A4932" s="45"/>
      <c r="B4932" s="59"/>
      <c r="C4932" s="137"/>
      <c r="D4932" s="59"/>
      <c r="E4932" s="116"/>
      <c r="F4932" s="120"/>
      <c r="G4932" s="120"/>
      <c r="H4932" s="120"/>
      <c r="I4932" s="60"/>
      <c r="J4932" s="116"/>
      <c r="K4932" s="213"/>
      <c r="L4932" s="120"/>
      <c r="M4932" s="120"/>
      <c r="N4932" s="167"/>
      <c r="O4932" s="120"/>
      <c r="P4932" s="120"/>
      <c r="Q4932" s="120"/>
      <c r="R4932" s="120"/>
      <c r="S4932" s="120"/>
      <c r="T4932" s="221"/>
      <c r="U4932" s="89"/>
      <c r="V4932" s="61"/>
      <c r="W4932" s="92" t="s">
        <v>1273</v>
      </c>
      <c r="X4932" s="93" t="s">
        <v>30</v>
      </c>
      <c r="Y4932" s="93" t="s">
        <v>66</v>
      </c>
      <c r="Z4932" s="134">
        <f>VLOOKUP(W4932,Sheet2!$B:$D,3,FALSE)</f>
        <v>10</v>
      </c>
      <c r="AA4932" s="93">
        <f>1/((2.5*2.5*6)-(3.14/4*1.2*1.2*6))</f>
        <v>3.2554626663541419E-2</v>
      </c>
      <c r="AB4932" s="93">
        <f>AD4932/AC4931</f>
        <v>307.17600000000004</v>
      </c>
      <c r="AC4932" s="93">
        <f>AC4931/AA4932</f>
        <v>102.28960799999999</v>
      </c>
      <c r="AD4932" s="94">
        <f t="shared" ref="AD4932:AD4934" si="3590">AC4932*Z4932</f>
        <v>1022.8960799999999</v>
      </c>
      <c r="AE4932" s="190"/>
      <c r="AF4932" s="191"/>
      <c r="AG4932" s="191"/>
      <c r="AH4932" s="191"/>
      <c r="AI4932" s="186"/>
      <c r="AK4932" s="171"/>
    </row>
    <row r="4933" spans="1:41" s="102" customFormat="1" ht="19.899999999999999" customHeight="1" x14ac:dyDescent="0.25">
      <c r="A4933" s="45"/>
      <c r="B4933" s="59"/>
      <c r="C4933" s="137"/>
      <c r="D4933" s="59"/>
      <c r="E4933" s="116"/>
      <c r="F4933" s="120"/>
      <c r="G4933" s="120"/>
      <c r="H4933" s="120"/>
      <c r="I4933" s="60"/>
      <c r="J4933" s="116"/>
      <c r="K4933" s="213"/>
      <c r="L4933" s="120"/>
      <c r="M4933" s="120"/>
      <c r="N4933" s="167"/>
      <c r="O4933" s="120"/>
      <c r="P4933" s="120"/>
      <c r="Q4933" s="120"/>
      <c r="R4933" s="120"/>
      <c r="S4933" s="120"/>
      <c r="T4933" s="221"/>
      <c r="U4933" s="89"/>
      <c r="V4933" s="61"/>
      <c r="W4933" s="92" t="s">
        <v>134</v>
      </c>
      <c r="X4933" s="93" t="s">
        <v>29</v>
      </c>
      <c r="Y4933" s="93" t="s">
        <v>93</v>
      </c>
      <c r="Z4933" s="134">
        <f>VLOOKUP(W4933,Sheet2!$B:$D,3,FALSE)</f>
        <v>65.599999999999994</v>
      </c>
      <c r="AA4933" s="93">
        <f>100/((2.5*2.5*6)-(3.14/4*1.2*1.2*6))</f>
        <v>3.2554626663541422</v>
      </c>
      <c r="AB4933" s="93">
        <f t="shared" ref="AB4933" si="3591">AD4933/AC4931</f>
        <v>20.150745599999997</v>
      </c>
      <c r="AC4933" s="93">
        <f>AC4931/AA4933</f>
        <v>1.0228960799999998</v>
      </c>
      <c r="AD4933" s="94">
        <f t="shared" si="3590"/>
        <v>67.101982847999977</v>
      </c>
      <c r="AE4933" s="190"/>
      <c r="AF4933" s="191"/>
      <c r="AG4933" s="191"/>
      <c r="AH4933" s="191"/>
      <c r="AI4933" s="186"/>
      <c r="AK4933" s="171"/>
    </row>
    <row r="4934" spans="1:41" s="102" customFormat="1" ht="19.899999999999999" customHeight="1" x14ac:dyDescent="0.25">
      <c r="A4934" s="45"/>
      <c r="B4934" s="59"/>
      <c r="C4934" s="137"/>
      <c r="D4934" s="59"/>
      <c r="E4934" s="116"/>
      <c r="F4934" s="120"/>
      <c r="G4934" s="120"/>
      <c r="H4934" s="120"/>
      <c r="I4934" s="60"/>
      <c r="J4934" s="116"/>
      <c r="K4934" s="213"/>
      <c r="L4934" s="120"/>
      <c r="M4934" s="120"/>
      <c r="N4934" s="167"/>
      <c r="O4934" s="120"/>
      <c r="P4934" s="120"/>
      <c r="Q4934" s="120"/>
      <c r="R4934" s="120"/>
      <c r="S4934" s="120"/>
      <c r="T4934" s="221"/>
      <c r="U4934" s="89"/>
      <c r="V4934" s="61"/>
      <c r="W4934" s="92" t="s">
        <v>65</v>
      </c>
      <c r="X4934" s="93" t="s">
        <v>30</v>
      </c>
      <c r="Y4934" s="93" t="s">
        <v>1011</v>
      </c>
      <c r="Z4934" s="134">
        <f>VLOOKUP(W4934,Sheet2!$B:$D,3,FALSE)</f>
        <v>1.76</v>
      </c>
      <c r="AA4934" s="93">
        <f>AA4933/9</f>
        <v>0.36171807403934914</v>
      </c>
      <c r="AB4934" s="93">
        <f>AD4934/AC4931</f>
        <v>4.8656678399999995</v>
      </c>
      <c r="AC4934" s="93">
        <f>AC4931/AA4934</f>
        <v>9.206064719999997</v>
      </c>
      <c r="AD4934" s="94">
        <f t="shared" si="3590"/>
        <v>16.202673907199994</v>
      </c>
      <c r="AE4934" s="190"/>
      <c r="AF4934" s="191"/>
      <c r="AG4934" s="191"/>
      <c r="AH4934" s="191"/>
      <c r="AI4934" s="186"/>
      <c r="AK4934" s="171"/>
    </row>
    <row r="4935" spans="1:41" s="102" customFormat="1" ht="19.899999999999999" customHeight="1" x14ac:dyDescent="0.25">
      <c r="A4935" s="45"/>
      <c r="B4935" s="59"/>
      <c r="C4935" s="137"/>
      <c r="D4935" s="59"/>
      <c r="E4935" s="116"/>
      <c r="F4935" s="120"/>
      <c r="G4935" s="120"/>
      <c r="H4935" s="120"/>
      <c r="I4935" s="60"/>
      <c r="J4935" s="116"/>
      <c r="K4935" s="213"/>
      <c r="L4935" s="120"/>
      <c r="M4935" s="120"/>
      <c r="N4935" s="167"/>
      <c r="O4935" s="120"/>
      <c r="P4935" s="120"/>
      <c r="Q4935" s="120"/>
      <c r="R4935" s="120"/>
      <c r="S4935" s="120"/>
      <c r="T4935" s="221"/>
      <c r="U4935" s="89"/>
      <c r="V4935" s="61"/>
      <c r="W4935" s="92" t="s">
        <v>161</v>
      </c>
      <c r="X4935" s="93" t="s">
        <v>29</v>
      </c>
      <c r="Y4935" s="93" t="s">
        <v>93</v>
      </c>
      <c r="Z4935" s="134">
        <f>VLOOKUP(W4935,Sheet2!$B:$D,3,FALSE)</f>
        <v>48</v>
      </c>
      <c r="AA4935" s="93">
        <f>(16*0.85*1.5)/((2.5*2.5*6)-(3.14/4*1.2*1.2*6))</f>
        <v>0.664114383936245</v>
      </c>
      <c r="AB4935" s="93">
        <f>AD4935/AC4931</f>
        <v>72.276705882352942</v>
      </c>
      <c r="AC4935" s="93">
        <f>AC4931/AA4935</f>
        <v>5.0141964705882343</v>
      </c>
      <c r="AD4935" s="94">
        <f>AC4935*Z4935</f>
        <v>240.68143058823523</v>
      </c>
      <c r="AE4935" s="190"/>
      <c r="AF4935" s="191"/>
      <c r="AG4935" s="191"/>
      <c r="AH4935" s="191"/>
      <c r="AI4935" s="186"/>
      <c r="AK4935" s="171"/>
    </row>
    <row r="4936" spans="1:41" s="102" customFormat="1" ht="19.899999999999999" customHeight="1" x14ac:dyDescent="0.25">
      <c r="A4936" s="45"/>
      <c r="B4936" s="59"/>
      <c r="C4936" s="137"/>
      <c r="D4936" s="59"/>
      <c r="E4936" s="116"/>
      <c r="F4936" s="120"/>
      <c r="G4936" s="120"/>
      <c r="H4936" s="120"/>
      <c r="I4936" s="60"/>
      <c r="J4936" s="116"/>
      <c r="K4936" s="213"/>
      <c r="L4936" s="120"/>
      <c r="M4936" s="120"/>
      <c r="N4936" s="167"/>
      <c r="O4936" s="120"/>
      <c r="P4936" s="120"/>
      <c r="Q4936" s="120"/>
      <c r="R4936" s="120"/>
      <c r="S4936" s="120"/>
      <c r="T4936" s="221"/>
      <c r="U4936" s="89"/>
      <c r="V4936" s="61"/>
      <c r="W4936" s="92" t="s">
        <v>65</v>
      </c>
      <c r="X4936" s="93" t="s">
        <v>30</v>
      </c>
      <c r="Y4936" s="93" t="s">
        <v>1011</v>
      </c>
      <c r="Z4936" s="134">
        <f>VLOOKUP(W4936,Sheet2!$B:$D,3,FALSE)</f>
        <v>1.76</v>
      </c>
      <c r="AA4936" s="93">
        <f>AA4935/10</f>
        <v>6.6411438393624497E-2</v>
      </c>
      <c r="AB4936" s="93">
        <f>AD4936/AC4931</f>
        <v>26.501458823529415</v>
      </c>
      <c r="AC4936" s="93">
        <f>AC4931/AA4936</f>
        <v>50.141964705882344</v>
      </c>
      <c r="AD4936" s="94">
        <f>AC4936*Z4936</f>
        <v>88.249857882352927</v>
      </c>
      <c r="AE4936" s="190"/>
      <c r="AF4936" s="191"/>
      <c r="AG4936" s="191"/>
      <c r="AH4936" s="191"/>
      <c r="AI4936" s="186"/>
      <c r="AK4936" s="171"/>
    </row>
    <row r="4937" spans="1:41" s="102" customFormat="1" ht="19.899999999999999" customHeight="1" x14ac:dyDescent="0.25">
      <c r="A4937" s="45"/>
      <c r="B4937" s="59"/>
      <c r="C4937" s="137"/>
      <c r="D4937" s="59"/>
      <c r="E4937" s="116"/>
      <c r="F4937" s="120"/>
      <c r="G4937" s="120"/>
      <c r="H4937" s="120"/>
      <c r="I4937" s="60"/>
      <c r="J4937" s="116"/>
      <c r="K4937" s="213"/>
      <c r="L4937" s="120"/>
      <c r="M4937" s="120"/>
      <c r="N4937" s="167"/>
      <c r="O4937" s="120"/>
      <c r="P4937" s="120"/>
      <c r="Q4937" s="120"/>
      <c r="R4937" s="120"/>
      <c r="S4937" s="120"/>
      <c r="T4937" s="221"/>
      <c r="U4937" s="89"/>
      <c r="V4937" s="61"/>
      <c r="W4937" s="92" t="s">
        <v>173</v>
      </c>
      <c r="X4937" s="93" t="s">
        <v>29</v>
      </c>
      <c r="Y4937" s="93" t="s">
        <v>93</v>
      </c>
      <c r="Z4937" s="134">
        <f>VLOOKUP(W4937,Sheet2!$B:$D,3,FALSE)</f>
        <v>36</v>
      </c>
      <c r="AA4937" s="93">
        <f>50/((2.5*2.5*6)-(3.14/4*1.2*1.2*6))</f>
        <v>1.6277313331770711</v>
      </c>
      <c r="AB4937" s="93">
        <f>AD4937/AC4931</f>
        <v>22.116671999999998</v>
      </c>
      <c r="AC4937" s="93">
        <f>AC4931/AA4937</f>
        <v>2.0457921599999995</v>
      </c>
      <c r="AD4937" s="94">
        <f>AC4937*Z4937</f>
        <v>73.648517759999976</v>
      </c>
      <c r="AE4937" s="190"/>
      <c r="AF4937" s="191"/>
      <c r="AG4937" s="191"/>
      <c r="AH4937" s="191"/>
      <c r="AI4937" s="186"/>
      <c r="AK4937" s="171"/>
    </row>
    <row r="4938" spans="1:41" s="102" customFormat="1" ht="19.899999999999999" customHeight="1" x14ac:dyDescent="0.25">
      <c r="A4938" s="45"/>
      <c r="B4938" s="59"/>
      <c r="C4938" s="137"/>
      <c r="D4938" s="59"/>
      <c r="E4938" s="116"/>
      <c r="F4938" s="120"/>
      <c r="G4938" s="120"/>
      <c r="H4938" s="120"/>
      <c r="I4938" s="60"/>
      <c r="J4938" s="116"/>
      <c r="K4938" s="213"/>
      <c r="L4938" s="120"/>
      <c r="M4938" s="120"/>
      <c r="N4938" s="167"/>
      <c r="O4938" s="120"/>
      <c r="P4938" s="120"/>
      <c r="Q4938" s="120"/>
      <c r="R4938" s="120"/>
      <c r="S4938" s="120"/>
      <c r="T4938" s="221"/>
      <c r="U4938" s="89"/>
      <c r="V4938" s="61"/>
      <c r="W4938" s="92" t="s">
        <v>65</v>
      </c>
      <c r="X4938" s="93" t="s">
        <v>30</v>
      </c>
      <c r="Y4938" s="93" t="s">
        <v>1011</v>
      </c>
      <c r="Z4938" s="134">
        <f>VLOOKUP(W4938,Sheet2!$B:$D,3,FALSE)</f>
        <v>1.76</v>
      </c>
      <c r="AA4938" s="93">
        <f>AA4937/9</f>
        <v>0.18085903701967457</v>
      </c>
      <c r="AB4938" s="93">
        <f>AD4938/AC4931</f>
        <v>9.731335679999999</v>
      </c>
      <c r="AC4938" s="93">
        <f>AC4931/AA4938</f>
        <v>18.412129439999994</v>
      </c>
      <c r="AD4938" s="94">
        <f>AC4938*Z4938</f>
        <v>32.405347814399988</v>
      </c>
      <c r="AE4938" s="190"/>
      <c r="AF4938" s="191"/>
      <c r="AG4938" s="191"/>
      <c r="AH4938" s="191"/>
      <c r="AI4938" s="186"/>
      <c r="AK4938" s="171"/>
    </row>
    <row r="4939" spans="1:41" s="102" customFormat="1" ht="19.899999999999999" customHeight="1" x14ac:dyDescent="0.25">
      <c r="A4939" s="45"/>
      <c r="B4939" s="59"/>
      <c r="C4939" s="137"/>
      <c r="D4939" s="59"/>
      <c r="E4939" s="116"/>
      <c r="F4939" s="120"/>
      <c r="G4939" s="120"/>
      <c r="H4939" s="120"/>
      <c r="I4939" s="60"/>
      <c r="J4939" s="116"/>
      <c r="K4939" s="213"/>
      <c r="L4939" s="120"/>
      <c r="M4939" s="120"/>
      <c r="N4939" s="167"/>
      <c r="O4939" s="120"/>
      <c r="P4939" s="120"/>
      <c r="Q4939" s="120"/>
      <c r="R4939" s="120"/>
      <c r="S4939" s="120"/>
      <c r="T4939" s="221"/>
      <c r="U4939" s="89"/>
      <c r="V4939" s="61"/>
      <c r="W4939" s="92" t="s">
        <v>1030</v>
      </c>
      <c r="X4939" s="93" t="s">
        <v>29</v>
      </c>
      <c r="Y4939" s="93" t="s">
        <v>93</v>
      </c>
      <c r="Z4939" s="134">
        <f>VLOOKUP(W4939,Sheet2!$B:$D,3,FALSE)</f>
        <v>23</v>
      </c>
      <c r="AA4939" s="93">
        <f>1/(6*1)</f>
        <v>0.16666666666666666</v>
      </c>
      <c r="AB4939" s="93">
        <f>AD4939/AC4931</f>
        <v>138</v>
      </c>
      <c r="AC4939" s="93">
        <f>AC4931/AA4939</f>
        <v>19.979999999999997</v>
      </c>
      <c r="AD4939" s="94">
        <f t="shared" ref="AD4939:AD4940" si="3592">AC4939*Z4939</f>
        <v>459.53999999999991</v>
      </c>
      <c r="AE4939" s="190"/>
      <c r="AF4939" s="191"/>
      <c r="AG4939" s="191"/>
      <c r="AH4939" s="191"/>
      <c r="AI4939" s="186"/>
      <c r="AK4939" s="171"/>
    </row>
    <row r="4940" spans="1:41" s="102" customFormat="1" ht="19.899999999999999" customHeight="1" x14ac:dyDescent="0.25">
      <c r="A4940" s="45"/>
      <c r="B4940" s="59"/>
      <c r="C4940" s="137"/>
      <c r="D4940" s="59"/>
      <c r="E4940" s="116"/>
      <c r="F4940" s="120"/>
      <c r="G4940" s="120"/>
      <c r="H4940" s="120"/>
      <c r="I4940" s="60"/>
      <c r="J4940" s="116"/>
      <c r="K4940" s="213"/>
      <c r="L4940" s="120"/>
      <c r="M4940" s="120"/>
      <c r="N4940" s="167"/>
      <c r="O4940" s="120"/>
      <c r="P4940" s="120"/>
      <c r="Q4940" s="120"/>
      <c r="R4940" s="120"/>
      <c r="S4940" s="120"/>
      <c r="T4940" s="221"/>
      <c r="U4940" s="89"/>
      <c r="V4940" s="61"/>
      <c r="W4940" s="92" t="s">
        <v>65</v>
      </c>
      <c r="X4940" s="93" t="s">
        <v>30</v>
      </c>
      <c r="Y4940" s="93" t="s">
        <v>1011</v>
      </c>
      <c r="Z4940" s="134">
        <f>VLOOKUP(W4940,Sheet2!$B:$D,3,FALSE)</f>
        <v>1.76</v>
      </c>
      <c r="AA4940" s="93">
        <f>AA4939/3</f>
        <v>5.5555555555555552E-2</v>
      </c>
      <c r="AB4940" s="93">
        <f>AD4940/AC4931</f>
        <v>31.680000000000003</v>
      </c>
      <c r="AC4940" s="93">
        <f>AC4931/AA4940</f>
        <v>59.939999999999991</v>
      </c>
      <c r="AD4940" s="94">
        <f t="shared" si="3592"/>
        <v>105.49439999999998</v>
      </c>
      <c r="AE4940" s="190"/>
      <c r="AF4940" s="191"/>
      <c r="AG4940" s="191"/>
      <c r="AH4940" s="191"/>
      <c r="AI4940" s="186"/>
      <c r="AK4940" s="171"/>
    </row>
    <row r="4941" spans="1:41" ht="20.100000000000001" customHeight="1" x14ac:dyDescent="0.25">
      <c r="A4941" s="277" t="s">
        <v>491</v>
      </c>
      <c r="B4941" s="278"/>
      <c r="C4941" s="64" t="s">
        <v>583</v>
      </c>
      <c r="D4941" s="46" t="s">
        <v>215</v>
      </c>
      <c r="E4941" s="114">
        <v>5.3699999999999992</v>
      </c>
      <c r="F4941" s="44">
        <v>48464</v>
      </c>
      <c r="G4941" s="44">
        <f t="shared" si="3471"/>
        <v>260251.67999999996</v>
      </c>
      <c r="H4941" s="44">
        <f t="shared" si="3472"/>
        <v>13704.100056213334</v>
      </c>
      <c r="I4941" s="43">
        <f t="shared" si="3473"/>
        <v>73591.017301865591</v>
      </c>
      <c r="J4941" s="112">
        <f t="shared" si="3474"/>
        <v>5.3699999999999992</v>
      </c>
      <c r="K4941" s="211">
        <f t="shared" si="3475"/>
        <v>5.3699999999999992</v>
      </c>
      <c r="L4941" s="44"/>
      <c r="M4941" s="44">
        <f t="shared" si="3499"/>
        <v>5.3699999999999992</v>
      </c>
      <c r="N4941" s="173">
        <f t="shared" si="3476"/>
        <v>1</v>
      </c>
      <c r="O4941" s="44">
        <f t="shared" si="3477"/>
        <v>48464</v>
      </c>
      <c r="P4941" s="44">
        <f t="shared" si="3478"/>
        <v>260251.67999999996</v>
      </c>
      <c r="Q4941" s="44">
        <f t="shared" si="3479"/>
        <v>13704.100056213334</v>
      </c>
      <c r="R4941" s="44">
        <f t="shared" si="3500"/>
        <v>73591.017301865591</v>
      </c>
      <c r="S4941" s="123"/>
      <c r="T4941" s="219">
        <f t="shared" si="3501"/>
        <v>73591.017301865591</v>
      </c>
      <c r="U4941" s="87"/>
      <c r="V4941" s="47"/>
      <c r="W4941" s="48"/>
      <c r="X4941" s="48"/>
      <c r="Y4941" s="48"/>
      <c r="Z4941" s="135"/>
      <c r="AA4941" s="49"/>
      <c r="AB4941" s="50">
        <f t="shared" si="3480"/>
        <v>13704.100056213334</v>
      </c>
      <c r="AC4941" s="42">
        <f t="shared" si="3502"/>
        <v>5.3699999999999992</v>
      </c>
      <c r="AD4941" s="90">
        <f>AD4942+AD4947+AD4954+AD4961</f>
        <v>73591.017301865591</v>
      </c>
      <c r="AE4941" s="188">
        <f t="shared" ref="AE4941" si="3593">AE4942+AE4947+AE4954+AE4961</f>
        <v>0</v>
      </c>
      <c r="AF4941" s="189">
        <f t="shared" ref="AF4941" si="3594">AF4942+AF4947+AF4954+AF4961</f>
        <v>0</v>
      </c>
      <c r="AG4941" s="189">
        <f t="shared" ref="AG4941" si="3595">AG4942+AG4947+AG4954+AG4961</f>
        <v>0</v>
      </c>
      <c r="AH4941" s="189">
        <f t="shared" ref="AH4941" si="3596">AH4942+AH4947+AH4954+AH4961</f>
        <v>0</v>
      </c>
      <c r="AI4941" s="161">
        <f t="shared" ref="AI4941" si="3597">SUM(AE4941:AH4941)</f>
        <v>0</v>
      </c>
      <c r="AK4941" s="169">
        <v>5</v>
      </c>
      <c r="AO4941" s="19" t="s">
        <v>63</v>
      </c>
    </row>
    <row r="4942" spans="1:41" s="103" customFormat="1" ht="19.899999999999999" customHeight="1" x14ac:dyDescent="0.25">
      <c r="A4942" s="51"/>
      <c r="B4942" s="52"/>
      <c r="C4942" s="165"/>
      <c r="D4942" s="52"/>
      <c r="E4942" s="115"/>
      <c r="F4942" s="58"/>
      <c r="G4942" s="58"/>
      <c r="H4942" s="58"/>
      <c r="I4942" s="55"/>
      <c r="J4942" s="113">
        <f>J4941</f>
        <v>5.3699999999999992</v>
      </c>
      <c r="K4942" s="212">
        <f>K4941</f>
        <v>5.3699999999999992</v>
      </c>
      <c r="L4942" s="58"/>
      <c r="M4942" s="58">
        <f>K4942-L4942</f>
        <v>5.3699999999999992</v>
      </c>
      <c r="N4942" s="166"/>
      <c r="O4942" s="58"/>
      <c r="P4942" s="58"/>
      <c r="Q4942" s="58"/>
      <c r="R4942" s="58"/>
      <c r="S4942" s="58"/>
      <c r="T4942" s="220"/>
      <c r="U4942" s="88"/>
      <c r="V4942" s="56"/>
      <c r="W4942" s="57" t="s">
        <v>1541</v>
      </c>
      <c r="X4942" s="53"/>
      <c r="Y4942" s="91" t="s">
        <v>35</v>
      </c>
      <c r="Z4942" s="136">
        <f>AD4942/AC4942</f>
        <v>163.39725490196079</v>
      </c>
      <c r="AA4942" s="58"/>
      <c r="AB4942" s="53">
        <f>AD4942/AC4942</f>
        <v>163.39725490196079</v>
      </c>
      <c r="AC4942" s="53">
        <f>M4942+$AE$10</f>
        <v>5.3699999999999992</v>
      </c>
      <c r="AD4942" s="54">
        <f>SUM(AD4943:AD4946)</f>
        <v>877.44325882352928</v>
      </c>
      <c r="AE4942" s="184">
        <f>SUMIFS($AD$37:$AD$12971,$V$37:$V$12971,$V4942,$X$37:$X$12971,AE$13)</f>
        <v>0</v>
      </c>
      <c r="AF4942" s="185">
        <f>SUMIFS($AD$37:$AD$12971,$V$37:$V$12971,$V4942,$X$37:$X$12971,AF$13)</f>
        <v>0</v>
      </c>
      <c r="AG4942" s="185">
        <f>SUMIFS($AD$37:$AD$12971,$V$37:$V$12971,$V4942,$X$37:$X$12971,AG$13)</f>
        <v>0</v>
      </c>
      <c r="AH4942" s="187">
        <f>SUMIFS($AD$37:$AD$12971,$V$37:$V$12971,$V4942,$X$37:$X$12971,AH$13)</f>
        <v>0</v>
      </c>
      <c r="AI4942" s="161">
        <f t="shared" ref="AI4942" si="3598">SUM(AE4942:AH4942)</f>
        <v>0</v>
      </c>
      <c r="AK4942" s="172"/>
    </row>
    <row r="4943" spans="1:41" s="102" customFormat="1" ht="19.899999999999999" customHeight="1" x14ac:dyDescent="0.25">
      <c r="A4943" s="45"/>
      <c r="B4943" s="59"/>
      <c r="C4943" s="137"/>
      <c r="D4943" s="59"/>
      <c r="E4943" s="116"/>
      <c r="F4943" s="120"/>
      <c r="G4943" s="120"/>
      <c r="H4943" s="120"/>
      <c r="I4943" s="60"/>
      <c r="J4943" s="116"/>
      <c r="K4943" s="213"/>
      <c r="L4943" s="120"/>
      <c r="M4943" s="120"/>
      <c r="N4943" s="167"/>
      <c r="O4943" s="120"/>
      <c r="P4943" s="120"/>
      <c r="Q4943" s="120"/>
      <c r="R4943" s="120"/>
      <c r="S4943" s="120"/>
      <c r="T4943" s="221"/>
      <c r="U4943" s="89"/>
      <c r="V4943" s="61"/>
      <c r="W4943" s="92" t="s">
        <v>129</v>
      </c>
      <c r="X4943" s="93" t="s">
        <v>29</v>
      </c>
      <c r="Y4943" s="93" t="s">
        <v>93</v>
      </c>
      <c r="Z4943" s="134">
        <f>VLOOKUP(W4943,Sheet2!$B:$D,3,FALSE)</f>
        <v>56</v>
      </c>
      <c r="AA4943" s="93">
        <f>100/(2.5*2.5*6.5)</f>
        <v>2.4615384615384617</v>
      </c>
      <c r="AB4943" s="93">
        <f t="shared" ref="AB4943" si="3599">AD4943/AC4942</f>
        <v>22.75</v>
      </c>
      <c r="AC4943" s="93">
        <f>AC4942/AA4943</f>
        <v>2.1815624999999996</v>
      </c>
      <c r="AD4943" s="94">
        <f t="shared" ref="AD4943:AD4944" si="3600">AC4943*Z4943</f>
        <v>122.16749999999998</v>
      </c>
      <c r="AE4943" s="190"/>
      <c r="AF4943" s="191"/>
      <c r="AG4943" s="191"/>
      <c r="AH4943" s="191"/>
      <c r="AI4943" s="186"/>
      <c r="AK4943" s="171"/>
    </row>
    <row r="4944" spans="1:41" s="102" customFormat="1" ht="19.899999999999999" customHeight="1" x14ac:dyDescent="0.25">
      <c r="A4944" s="45"/>
      <c r="B4944" s="59"/>
      <c r="C4944" s="137"/>
      <c r="D4944" s="59"/>
      <c r="E4944" s="116"/>
      <c r="F4944" s="120"/>
      <c r="G4944" s="120"/>
      <c r="H4944" s="120"/>
      <c r="I4944" s="60"/>
      <c r="J4944" s="116"/>
      <c r="K4944" s="213"/>
      <c r="L4944" s="120"/>
      <c r="M4944" s="120"/>
      <c r="N4944" s="167"/>
      <c r="O4944" s="120"/>
      <c r="P4944" s="120"/>
      <c r="Q4944" s="120"/>
      <c r="R4944" s="120"/>
      <c r="S4944" s="120"/>
      <c r="T4944" s="221"/>
      <c r="U4944" s="89"/>
      <c r="V4944" s="61"/>
      <c r="W4944" s="92" t="s">
        <v>65</v>
      </c>
      <c r="X4944" s="93" t="s">
        <v>30</v>
      </c>
      <c r="Y4944" s="93" t="s">
        <v>1011</v>
      </c>
      <c r="Z4944" s="134">
        <f>VLOOKUP(W4944,Sheet2!$B:$D,3,FALSE)</f>
        <v>1.76</v>
      </c>
      <c r="AA4944" s="93">
        <f>AA4943/14</f>
        <v>0.17582417582417584</v>
      </c>
      <c r="AB4944" s="93">
        <f>AD4944/AC4942</f>
        <v>10.01</v>
      </c>
      <c r="AC4944" s="93">
        <f>AC4942/AA4944</f>
        <v>30.541874999999994</v>
      </c>
      <c r="AD4944" s="94">
        <f t="shared" si="3600"/>
        <v>53.753699999999988</v>
      </c>
      <c r="AE4944" s="190"/>
      <c r="AF4944" s="191"/>
      <c r="AG4944" s="191"/>
      <c r="AH4944" s="191"/>
      <c r="AI4944" s="186"/>
      <c r="AK4944" s="171"/>
    </row>
    <row r="4945" spans="1:37" s="102" customFormat="1" ht="19.899999999999999" customHeight="1" x14ac:dyDescent="0.25">
      <c r="A4945" s="45"/>
      <c r="B4945" s="59"/>
      <c r="C4945" s="137"/>
      <c r="D4945" s="59"/>
      <c r="E4945" s="116"/>
      <c r="F4945" s="120"/>
      <c r="G4945" s="120"/>
      <c r="H4945" s="120"/>
      <c r="I4945" s="60"/>
      <c r="J4945" s="116"/>
      <c r="K4945" s="213"/>
      <c r="L4945" s="120"/>
      <c r="M4945" s="120"/>
      <c r="N4945" s="167"/>
      <c r="O4945" s="120"/>
      <c r="P4945" s="120"/>
      <c r="Q4945" s="120"/>
      <c r="R4945" s="120"/>
      <c r="S4945" s="120"/>
      <c r="T4945" s="221"/>
      <c r="U4945" s="89"/>
      <c r="V4945" s="61"/>
      <c r="W4945" s="92" t="s">
        <v>161</v>
      </c>
      <c r="X4945" s="93" t="s">
        <v>29</v>
      </c>
      <c r="Y4945" s="93" t="s">
        <v>93</v>
      </c>
      <c r="Z4945" s="134">
        <f>VLOOKUP(W4945,Sheet2!$B:$D,3,FALSE)</f>
        <v>48</v>
      </c>
      <c r="AA4945" s="93">
        <f>(16*0.85*1.5)/(2.5*2.5*6.5)</f>
        <v>0.50215384615384617</v>
      </c>
      <c r="AB4945" s="93">
        <f>AD4945/AC4942</f>
        <v>95.588235294117652</v>
      </c>
      <c r="AC4945" s="93">
        <f>AC4942/AA4945</f>
        <v>10.693933823529409</v>
      </c>
      <c r="AD4945" s="94">
        <f>AC4945*Z4945</f>
        <v>513.30882352941171</v>
      </c>
      <c r="AE4945" s="190"/>
      <c r="AF4945" s="191"/>
      <c r="AG4945" s="191"/>
      <c r="AH4945" s="191"/>
      <c r="AI4945" s="186"/>
      <c r="AK4945" s="171"/>
    </row>
    <row r="4946" spans="1:37" s="102" customFormat="1" ht="19.899999999999999" customHeight="1" x14ac:dyDescent="0.25">
      <c r="A4946" s="45"/>
      <c r="B4946" s="59"/>
      <c r="C4946" s="137"/>
      <c r="D4946" s="59"/>
      <c r="E4946" s="116"/>
      <c r="F4946" s="120"/>
      <c r="G4946" s="120"/>
      <c r="H4946" s="120"/>
      <c r="I4946" s="60"/>
      <c r="J4946" s="116"/>
      <c r="K4946" s="213"/>
      <c r="L4946" s="120"/>
      <c r="M4946" s="120"/>
      <c r="N4946" s="167"/>
      <c r="O4946" s="120"/>
      <c r="P4946" s="120"/>
      <c r="Q4946" s="120"/>
      <c r="R4946" s="120"/>
      <c r="S4946" s="120"/>
      <c r="T4946" s="221"/>
      <c r="U4946" s="89"/>
      <c r="V4946" s="61"/>
      <c r="W4946" s="92" t="s">
        <v>65</v>
      </c>
      <c r="X4946" s="93" t="s">
        <v>30</v>
      </c>
      <c r="Y4946" s="93" t="s">
        <v>1011</v>
      </c>
      <c r="Z4946" s="134">
        <f>VLOOKUP(W4946,Sheet2!$B:$D,3,FALSE)</f>
        <v>1.76</v>
      </c>
      <c r="AA4946" s="93">
        <f>AA4945/10</f>
        <v>5.021538461538462E-2</v>
      </c>
      <c r="AB4946" s="93">
        <f>AD4946/AC4942</f>
        <v>35.049019607843135</v>
      </c>
      <c r="AC4946" s="93">
        <f>AC4942/AA4946</f>
        <v>106.93933823529409</v>
      </c>
      <c r="AD4946" s="94">
        <f>AC4946*Z4946</f>
        <v>188.2132352941176</v>
      </c>
      <c r="AE4946" s="190"/>
      <c r="AF4946" s="191"/>
      <c r="AG4946" s="191"/>
      <c r="AH4946" s="191"/>
      <c r="AI4946" s="186"/>
      <c r="AK4946" s="171"/>
    </row>
    <row r="4947" spans="1:37" s="103" customFormat="1" ht="19.899999999999999" customHeight="1" x14ac:dyDescent="0.25">
      <c r="A4947" s="51"/>
      <c r="B4947" s="52"/>
      <c r="C4947" s="165"/>
      <c r="D4947" s="52"/>
      <c r="E4947" s="115"/>
      <c r="F4947" s="58"/>
      <c r="G4947" s="58"/>
      <c r="H4947" s="58"/>
      <c r="I4947" s="55"/>
      <c r="J4947" s="113">
        <f>J4941</f>
        <v>5.3699999999999992</v>
      </c>
      <c r="K4947" s="212">
        <f>K4941</f>
        <v>5.3699999999999992</v>
      </c>
      <c r="L4947" s="58"/>
      <c r="M4947" s="58">
        <f>K4947-L4947</f>
        <v>5.3699999999999992</v>
      </c>
      <c r="N4947" s="166"/>
      <c r="O4947" s="58"/>
      <c r="P4947" s="58"/>
      <c r="Q4947" s="58"/>
      <c r="R4947" s="58"/>
      <c r="S4947" s="58"/>
      <c r="T4947" s="220"/>
      <c r="U4947" s="88"/>
      <c r="V4947" s="56"/>
      <c r="W4947" s="57" t="s">
        <v>1486</v>
      </c>
      <c r="X4947" s="53"/>
      <c r="Y4947" s="91" t="s">
        <v>35</v>
      </c>
      <c r="Z4947" s="136">
        <f>AD4947/AC4947</f>
        <v>1432.6959999999999</v>
      </c>
      <c r="AA4947" s="58"/>
      <c r="AB4947" s="53">
        <f>AD4947/AC4947</f>
        <v>1432.6959999999999</v>
      </c>
      <c r="AC4947" s="53">
        <f>M4947+$AE$10</f>
        <v>5.3699999999999992</v>
      </c>
      <c r="AD4947" s="54">
        <f>SUM(AD4948:AD4953)</f>
        <v>7693.577519999998</v>
      </c>
      <c r="AE4947" s="184">
        <f>SUMIFS($AD$37:$AD$12971,$V$37:$V$12971,$V4947,$X$37:$X$12971,AE$13)</f>
        <v>0</v>
      </c>
      <c r="AF4947" s="185">
        <f>SUMIFS($AD$37:$AD$12971,$V$37:$V$12971,$V4947,$X$37:$X$12971,AF$13)</f>
        <v>0</v>
      </c>
      <c r="AG4947" s="185">
        <f>SUMIFS($AD$37:$AD$12971,$V$37:$V$12971,$V4947,$X$37:$X$12971,AG$13)</f>
        <v>0</v>
      </c>
      <c r="AH4947" s="187">
        <f>SUMIFS($AD$37:$AD$12971,$V$37:$V$12971,$V4947,$X$37:$X$12971,AH$13)</f>
        <v>0</v>
      </c>
      <c r="AI4947" s="161">
        <f t="shared" ref="AI4947" si="3601">SUM(AE4947:AH4947)</f>
        <v>0</v>
      </c>
      <c r="AK4947" s="172"/>
    </row>
    <row r="4948" spans="1:37" s="102" customFormat="1" ht="19.899999999999999" customHeight="1" x14ac:dyDescent="0.25">
      <c r="A4948" s="45"/>
      <c r="B4948" s="59"/>
      <c r="C4948" s="137"/>
      <c r="D4948" s="59"/>
      <c r="E4948" s="116"/>
      <c r="F4948" s="120"/>
      <c r="G4948" s="120"/>
      <c r="H4948" s="120"/>
      <c r="I4948" s="60"/>
      <c r="J4948" s="116"/>
      <c r="K4948" s="213"/>
      <c r="L4948" s="120"/>
      <c r="M4948" s="120"/>
      <c r="N4948" s="167"/>
      <c r="O4948" s="120"/>
      <c r="P4948" s="120"/>
      <c r="Q4948" s="120"/>
      <c r="R4948" s="120"/>
      <c r="S4948" s="120"/>
      <c r="T4948" s="221"/>
      <c r="U4948" s="89"/>
      <c r="V4948" s="61"/>
      <c r="W4948" s="92" t="s">
        <v>1032</v>
      </c>
      <c r="X4948" s="93" t="s">
        <v>30</v>
      </c>
      <c r="Y4948" s="93" t="s">
        <v>66</v>
      </c>
      <c r="Z4948" s="134">
        <f>VLOOKUP(W4948,Sheet2!$B:$D,3,FALSE)</f>
        <v>250</v>
      </c>
      <c r="AA4948" s="93">
        <f>1/(2.1*2.1*0.1)</f>
        <v>2.2675736961451243</v>
      </c>
      <c r="AB4948" s="93">
        <f>AD4948/AC4954</f>
        <v>110.25000000000001</v>
      </c>
      <c r="AC4948" s="93">
        <f>AC4954/AA4948</f>
        <v>2.3681700000000001</v>
      </c>
      <c r="AD4948" s="94">
        <f t="shared" ref="AD4948:AD4950" si="3602">AC4948*Z4948</f>
        <v>592.04250000000002</v>
      </c>
      <c r="AE4948" s="190"/>
      <c r="AF4948" s="191"/>
      <c r="AG4948" s="191"/>
      <c r="AH4948" s="191"/>
      <c r="AI4948" s="186"/>
      <c r="AK4948" s="171"/>
    </row>
    <row r="4949" spans="1:37" s="102" customFormat="1" ht="19.899999999999999" customHeight="1" x14ac:dyDescent="0.25">
      <c r="A4949" s="45"/>
      <c r="B4949" s="59"/>
      <c r="C4949" s="137"/>
      <c r="D4949" s="59"/>
      <c r="E4949" s="116"/>
      <c r="F4949" s="120"/>
      <c r="G4949" s="120"/>
      <c r="H4949" s="120"/>
      <c r="I4949" s="60"/>
      <c r="J4949" s="116"/>
      <c r="K4949" s="213"/>
      <c r="L4949" s="120"/>
      <c r="M4949" s="120"/>
      <c r="N4949" s="167"/>
      <c r="O4949" s="120"/>
      <c r="P4949" s="120"/>
      <c r="Q4949" s="120"/>
      <c r="R4949" s="120"/>
      <c r="S4949" s="120"/>
      <c r="T4949" s="221"/>
      <c r="U4949" s="89"/>
      <c r="V4949" s="61"/>
      <c r="W4949" s="92" t="s">
        <v>1353</v>
      </c>
      <c r="X4949" s="93" t="s">
        <v>30</v>
      </c>
      <c r="Y4949" s="93" t="s">
        <v>66</v>
      </c>
      <c r="Z4949" s="134">
        <f>VLOOKUP(W4949,Sheet2!$B:$D,3,FALSE)</f>
        <v>350</v>
      </c>
      <c r="AA4949" s="93">
        <f>1/(2*2*0.3)</f>
        <v>0.83333333333333337</v>
      </c>
      <c r="AB4949" s="93">
        <f>AD4949/AC4954</f>
        <v>420</v>
      </c>
      <c r="AC4949" s="93">
        <f>AC4954/AA4949</f>
        <v>6.4439999999999991</v>
      </c>
      <c r="AD4949" s="94">
        <f t="shared" si="3602"/>
        <v>2255.3999999999996</v>
      </c>
      <c r="AE4949" s="190"/>
      <c r="AF4949" s="191"/>
      <c r="AG4949" s="191"/>
      <c r="AH4949" s="191"/>
      <c r="AI4949" s="186"/>
      <c r="AK4949" s="171"/>
    </row>
    <row r="4950" spans="1:37" s="102" customFormat="1" ht="19.899999999999999" customHeight="1" x14ac:dyDescent="0.25">
      <c r="A4950" s="45"/>
      <c r="B4950" s="59"/>
      <c r="C4950" s="137"/>
      <c r="D4950" s="59"/>
      <c r="E4950" s="116"/>
      <c r="F4950" s="120"/>
      <c r="G4950" s="120"/>
      <c r="H4950" s="120"/>
      <c r="I4950" s="60"/>
      <c r="J4950" s="116"/>
      <c r="K4950" s="213"/>
      <c r="L4950" s="120"/>
      <c r="M4950" s="120"/>
      <c r="N4950" s="167"/>
      <c r="O4950" s="120"/>
      <c r="P4950" s="120"/>
      <c r="Q4950" s="120"/>
      <c r="R4950" s="120"/>
      <c r="S4950" s="120"/>
      <c r="T4950" s="221"/>
      <c r="U4950" s="89"/>
      <c r="V4950" s="61"/>
      <c r="W4950" s="92" t="s">
        <v>99</v>
      </c>
      <c r="X4950" s="93" t="s">
        <v>30</v>
      </c>
      <c r="Y4950" s="93" t="s">
        <v>67</v>
      </c>
      <c r="Z4950" s="134">
        <f>VLOOKUP(W4950,Sheet2!$B:$D,3,FALSE)</f>
        <v>2500</v>
      </c>
      <c r="AA4950" s="93">
        <f>AA4949/0.08</f>
        <v>10.416666666666666</v>
      </c>
      <c r="AB4950" s="93">
        <f>AD4950/AC4954</f>
        <v>240.00000000000003</v>
      </c>
      <c r="AC4950" s="93">
        <f>AC4954/AA4950</f>
        <v>0.51551999999999998</v>
      </c>
      <c r="AD4950" s="94">
        <f t="shared" si="3602"/>
        <v>1288.8</v>
      </c>
      <c r="AE4950" s="190"/>
      <c r="AF4950" s="191"/>
      <c r="AG4950" s="191"/>
      <c r="AH4950" s="191"/>
      <c r="AI4950" s="186"/>
      <c r="AK4950" s="171"/>
    </row>
    <row r="4951" spans="1:37" s="102" customFormat="1" ht="19.899999999999999" customHeight="1" x14ac:dyDescent="0.25">
      <c r="A4951" s="45"/>
      <c r="B4951" s="59"/>
      <c r="C4951" s="137"/>
      <c r="D4951" s="59"/>
      <c r="E4951" s="116"/>
      <c r="F4951" s="120"/>
      <c r="G4951" s="120"/>
      <c r="H4951" s="120"/>
      <c r="I4951" s="60"/>
      <c r="J4951" s="116"/>
      <c r="K4951" s="213"/>
      <c r="L4951" s="120"/>
      <c r="M4951" s="120"/>
      <c r="N4951" s="167"/>
      <c r="O4951" s="120"/>
      <c r="P4951" s="120"/>
      <c r="Q4951" s="120"/>
      <c r="R4951" s="120"/>
      <c r="S4951" s="120"/>
      <c r="T4951" s="221"/>
      <c r="U4951" s="89"/>
      <c r="V4951" s="61"/>
      <c r="W4951" s="92" t="s">
        <v>1354</v>
      </c>
      <c r="X4951" s="93" t="s">
        <v>32</v>
      </c>
      <c r="Y4951" s="93" t="s">
        <v>66</v>
      </c>
      <c r="Z4951" s="134">
        <f>VLOOKUP(W4951,Sheet2!$B:$D,3,FALSE)</f>
        <v>150</v>
      </c>
      <c r="AA4951" s="93">
        <f>AA4948</f>
        <v>2.2675736961451243</v>
      </c>
      <c r="AB4951" s="93">
        <f>AD4951/AC4954</f>
        <v>66.150000000000006</v>
      </c>
      <c r="AC4951" s="93">
        <f>AC4954/AA4951</f>
        <v>2.3681700000000001</v>
      </c>
      <c r="AD4951" s="94">
        <f>AC4951*Z4951</f>
        <v>355.22550000000001</v>
      </c>
      <c r="AE4951" s="190"/>
      <c r="AF4951" s="191"/>
      <c r="AG4951" s="191"/>
      <c r="AH4951" s="191"/>
      <c r="AI4951" s="186"/>
      <c r="AK4951" s="171"/>
    </row>
    <row r="4952" spans="1:37" s="102" customFormat="1" ht="19.899999999999999" customHeight="1" x14ac:dyDescent="0.25">
      <c r="A4952" s="45"/>
      <c r="B4952" s="59"/>
      <c r="C4952" s="137"/>
      <c r="D4952" s="59"/>
      <c r="E4952" s="116"/>
      <c r="F4952" s="120"/>
      <c r="G4952" s="120"/>
      <c r="H4952" s="120"/>
      <c r="I4952" s="60"/>
      <c r="J4952" s="116"/>
      <c r="K4952" s="213"/>
      <c r="L4952" s="120"/>
      <c r="M4952" s="120"/>
      <c r="N4952" s="167"/>
      <c r="O4952" s="120"/>
      <c r="P4952" s="120"/>
      <c r="Q4952" s="120"/>
      <c r="R4952" s="120"/>
      <c r="S4952" s="120"/>
      <c r="T4952" s="221"/>
      <c r="U4952" s="89"/>
      <c r="V4952" s="61"/>
      <c r="W4952" s="92" t="s">
        <v>1355</v>
      </c>
      <c r="X4952" s="93" t="s">
        <v>32</v>
      </c>
      <c r="Y4952" s="93" t="s">
        <v>66</v>
      </c>
      <c r="Z4952" s="134">
        <f>VLOOKUP(W4952,Sheet2!$B:$D,3,FALSE)</f>
        <v>450</v>
      </c>
      <c r="AA4952" s="93">
        <f>AA4949</f>
        <v>0.83333333333333337</v>
      </c>
      <c r="AB4952" s="93">
        <f>AD4952/AC4954</f>
        <v>540</v>
      </c>
      <c r="AC4952" s="93">
        <f>AC4954/AA4952</f>
        <v>6.4439999999999991</v>
      </c>
      <c r="AD4952" s="94">
        <f>AC4952*Z4952</f>
        <v>2899.7999999999997</v>
      </c>
      <c r="AE4952" s="190"/>
      <c r="AF4952" s="191"/>
      <c r="AG4952" s="191"/>
      <c r="AH4952" s="191"/>
      <c r="AI4952" s="186"/>
      <c r="AK4952" s="171"/>
    </row>
    <row r="4953" spans="1:37" s="102" customFormat="1" ht="19.899999999999999" customHeight="1" x14ac:dyDescent="0.25">
      <c r="A4953" s="45"/>
      <c r="B4953" s="59"/>
      <c r="C4953" s="137"/>
      <c r="D4953" s="59"/>
      <c r="E4953" s="116"/>
      <c r="F4953" s="120"/>
      <c r="G4953" s="120"/>
      <c r="H4953" s="120"/>
      <c r="I4953" s="60"/>
      <c r="J4953" s="116"/>
      <c r="K4953" s="213"/>
      <c r="L4953" s="120"/>
      <c r="M4953" s="120"/>
      <c r="N4953" s="167"/>
      <c r="O4953" s="120"/>
      <c r="P4953" s="120"/>
      <c r="Q4953" s="120"/>
      <c r="R4953" s="120"/>
      <c r="S4953" s="120"/>
      <c r="T4953" s="221"/>
      <c r="U4953" s="89"/>
      <c r="V4953" s="61"/>
      <c r="W4953" s="92" t="s">
        <v>124</v>
      </c>
      <c r="X4953" s="93" t="s">
        <v>32</v>
      </c>
      <c r="Y4953" s="93" t="s">
        <v>64</v>
      </c>
      <c r="Z4953" s="134">
        <f>VLOOKUP(W4953,Sheet2!$B:$D,3,FALSE)</f>
        <v>10</v>
      </c>
      <c r="AA4953" s="93">
        <f>1/((2.6*2.6)-(3.14*1.2*1.2/4))</f>
        <v>0.17763251385533604</v>
      </c>
      <c r="AB4953" s="93">
        <f t="shared" ref="AB4953" si="3603">AD4953/AC4947</f>
        <v>56.296000000000014</v>
      </c>
      <c r="AC4953" s="93">
        <f>AC4947/AA4953</f>
        <v>30.230952000000002</v>
      </c>
      <c r="AD4953" s="94">
        <f t="shared" ref="AD4953" si="3604">AC4953*Z4953</f>
        <v>302.30952000000002</v>
      </c>
      <c r="AE4953" s="190"/>
      <c r="AF4953" s="191"/>
      <c r="AG4953" s="191"/>
      <c r="AH4953" s="191"/>
      <c r="AI4953" s="186"/>
      <c r="AK4953" s="171"/>
    </row>
    <row r="4954" spans="1:37" s="103" customFormat="1" ht="19.899999999999999" customHeight="1" x14ac:dyDescent="0.25">
      <c r="A4954" s="51"/>
      <c r="B4954" s="52"/>
      <c r="C4954" s="165"/>
      <c r="D4954" s="52"/>
      <c r="E4954" s="115"/>
      <c r="F4954" s="58"/>
      <c r="G4954" s="58"/>
      <c r="H4954" s="58"/>
      <c r="I4954" s="55"/>
      <c r="J4954" s="113">
        <f>J4941</f>
        <v>5.3699999999999992</v>
      </c>
      <c r="K4954" s="212">
        <f>K4941</f>
        <v>5.3699999999999992</v>
      </c>
      <c r="L4954" s="58"/>
      <c r="M4954" s="58">
        <f>K4954-L4954</f>
        <v>5.3699999999999992</v>
      </c>
      <c r="N4954" s="166"/>
      <c r="O4954" s="58"/>
      <c r="P4954" s="58"/>
      <c r="Q4954" s="58"/>
      <c r="R4954" s="58"/>
      <c r="S4954" s="58"/>
      <c r="T4954" s="220"/>
      <c r="U4954" s="88"/>
      <c r="V4954" s="56"/>
      <c r="W4954" s="57" t="s">
        <v>1275</v>
      </c>
      <c r="X4954" s="53"/>
      <c r="Y4954" s="91" t="s">
        <v>35</v>
      </c>
      <c r="Z4954" s="136">
        <f>AD4954/AC4954</f>
        <v>11422.800000000001</v>
      </c>
      <c r="AA4954" s="58"/>
      <c r="AB4954" s="53">
        <f>AD4954/AC4954</f>
        <v>11422.800000000001</v>
      </c>
      <c r="AC4954" s="53">
        <f>M4954+$AE$10</f>
        <v>5.3699999999999992</v>
      </c>
      <c r="AD4954" s="54">
        <f>SUM(AD4955:AD4960)</f>
        <v>61340.435999999994</v>
      </c>
      <c r="AE4954" s="184">
        <f>SUMIFS($AD$37:$AD$12971,$V$37:$V$12971,$V4954,$X$37:$X$12971,AE$13)</f>
        <v>0</v>
      </c>
      <c r="AF4954" s="185">
        <f>SUMIFS($AD$37:$AD$12971,$V$37:$V$12971,$V4954,$X$37:$X$12971,AF$13)</f>
        <v>0</v>
      </c>
      <c r="AG4954" s="185">
        <f>SUMIFS($AD$37:$AD$12971,$V$37:$V$12971,$V4954,$X$37:$X$12971,AG$13)</f>
        <v>0</v>
      </c>
      <c r="AH4954" s="187">
        <f>SUMIFS($AD$37:$AD$12971,$V$37:$V$12971,$V4954,$X$37:$X$12971,AH$13)</f>
        <v>0</v>
      </c>
      <c r="AI4954" s="161">
        <f t="shared" ref="AI4954" si="3605">SUM(AE4954:AH4954)</f>
        <v>0</v>
      </c>
      <c r="AK4954" s="172"/>
    </row>
    <row r="4955" spans="1:37" s="102" customFormat="1" ht="19.899999999999999" customHeight="1" x14ac:dyDescent="0.25">
      <c r="A4955" s="45"/>
      <c r="B4955" s="59"/>
      <c r="C4955" s="137"/>
      <c r="D4955" s="59"/>
      <c r="E4955" s="116"/>
      <c r="F4955" s="120"/>
      <c r="G4955" s="120"/>
      <c r="H4955" s="120"/>
      <c r="I4955" s="60"/>
      <c r="J4955" s="116"/>
      <c r="K4955" s="213"/>
      <c r="L4955" s="120"/>
      <c r="M4955" s="120"/>
      <c r="N4955" s="167"/>
      <c r="O4955" s="120"/>
      <c r="P4955" s="120"/>
      <c r="Q4955" s="120"/>
      <c r="R4955" s="120"/>
      <c r="S4955" s="120"/>
      <c r="T4955" s="221"/>
      <c r="U4955" s="89"/>
      <c r="V4955" s="61"/>
      <c r="W4955" s="92" t="s">
        <v>1537</v>
      </c>
      <c r="X4955" s="93" t="s">
        <v>30</v>
      </c>
      <c r="Y4955" s="93" t="s">
        <v>35</v>
      </c>
      <c r="Z4955" s="134">
        <f>VLOOKUP(W4955,Sheet2!$B:$D,3,FALSE)</f>
        <v>9650</v>
      </c>
      <c r="AA4955" s="93">
        <v>1</v>
      </c>
      <c r="AB4955" s="93">
        <f>AD4955/AC4954</f>
        <v>9650</v>
      </c>
      <c r="AC4955" s="93">
        <f>AC4954/AA4955</f>
        <v>5.3699999999999992</v>
      </c>
      <c r="AD4955" s="94">
        <f t="shared" ref="AD4955:AD4956" si="3606">AC4955*Z4955</f>
        <v>51820.499999999993</v>
      </c>
      <c r="AE4955" s="190"/>
      <c r="AF4955" s="191"/>
      <c r="AG4955" s="191"/>
      <c r="AH4955" s="191"/>
      <c r="AI4955" s="186"/>
      <c r="AK4955" s="171"/>
    </row>
    <row r="4956" spans="1:37" s="102" customFormat="1" ht="19.899999999999999" customHeight="1" x14ac:dyDescent="0.25">
      <c r="A4956" s="45"/>
      <c r="B4956" s="59"/>
      <c r="C4956" s="137"/>
      <c r="D4956" s="59"/>
      <c r="E4956" s="116"/>
      <c r="F4956" s="120"/>
      <c r="G4956" s="120"/>
      <c r="H4956" s="120"/>
      <c r="I4956" s="60"/>
      <c r="J4956" s="116"/>
      <c r="K4956" s="213"/>
      <c r="L4956" s="120"/>
      <c r="M4956" s="120"/>
      <c r="N4956" s="167"/>
      <c r="O4956" s="120"/>
      <c r="P4956" s="120"/>
      <c r="Q4956" s="120"/>
      <c r="R4956" s="120"/>
      <c r="S4956" s="120"/>
      <c r="T4956" s="221"/>
      <c r="U4956" s="89"/>
      <c r="V4956" s="61"/>
      <c r="W4956" s="92" t="s">
        <v>174</v>
      </c>
      <c r="X4956" s="93" t="s">
        <v>29</v>
      </c>
      <c r="Y4956" s="93" t="s">
        <v>93</v>
      </c>
      <c r="Z4956" s="134">
        <f>VLOOKUP(W4956,Sheet2!$B:$D,3,FALSE)</f>
        <v>80</v>
      </c>
      <c r="AA4956" s="93">
        <f>1/2</f>
        <v>0.5</v>
      </c>
      <c r="AB4956" s="93">
        <f>AD4956/AC4954</f>
        <v>160</v>
      </c>
      <c r="AC4956" s="93">
        <f>AC4954/AA4956</f>
        <v>10.739999999999998</v>
      </c>
      <c r="AD4956" s="94">
        <f t="shared" si="3606"/>
        <v>859.19999999999982</v>
      </c>
      <c r="AE4956" s="190"/>
      <c r="AF4956" s="191"/>
      <c r="AG4956" s="191"/>
      <c r="AH4956" s="191"/>
      <c r="AI4956" s="186"/>
      <c r="AK4956" s="171"/>
    </row>
    <row r="4957" spans="1:37" s="102" customFormat="1" ht="19.899999999999999" customHeight="1" x14ac:dyDescent="0.25">
      <c r="A4957" s="45"/>
      <c r="B4957" s="59"/>
      <c r="C4957" s="137"/>
      <c r="D4957" s="59"/>
      <c r="E4957" s="116"/>
      <c r="F4957" s="120"/>
      <c r="G4957" s="120"/>
      <c r="H4957" s="120"/>
      <c r="I4957" s="60"/>
      <c r="J4957" s="116"/>
      <c r="K4957" s="213"/>
      <c r="L4957" s="120"/>
      <c r="M4957" s="120"/>
      <c r="N4957" s="167"/>
      <c r="O4957" s="120"/>
      <c r="P4957" s="120"/>
      <c r="Q4957" s="120"/>
      <c r="R4957" s="120"/>
      <c r="S4957" s="120"/>
      <c r="T4957" s="221"/>
      <c r="U4957" s="89"/>
      <c r="V4957" s="61"/>
      <c r="W4957" s="92" t="s">
        <v>65</v>
      </c>
      <c r="X4957" s="93" t="s">
        <v>30</v>
      </c>
      <c r="Y4957" s="93" t="s">
        <v>93</v>
      </c>
      <c r="Z4957" s="134">
        <f>VLOOKUP(W4957,Sheet2!$B:$D,3,FALSE)</f>
        <v>1.76</v>
      </c>
      <c r="AA4957" s="93">
        <f>AA4956/15</f>
        <v>3.3333333333333333E-2</v>
      </c>
      <c r="AB4957" s="93">
        <f>AD4957/AC4954</f>
        <v>52.8</v>
      </c>
      <c r="AC4957" s="93">
        <f>AC4954/AA4957</f>
        <v>161.09999999999997</v>
      </c>
      <c r="AD4957" s="94">
        <f>AC4957*Z4957</f>
        <v>283.53599999999994</v>
      </c>
      <c r="AE4957" s="190"/>
      <c r="AF4957" s="191"/>
      <c r="AG4957" s="191"/>
      <c r="AH4957" s="191"/>
      <c r="AI4957" s="186"/>
      <c r="AK4957" s="171"/>
    </row>
    <row r="4958" spans="1:37" s="102" customFormat="1" ht="19.899999999999999" customHeight="1" x14ac:dyDescent="0.25">
      <c r="A4958" s="45"/>
      <c r="B4958" s="59"/>
      <c r="C4958" s="137"/>
      <c r="D4958" s="59"/>
      <c r="E4958" s="116"/>
      <c r="F4958" s="120"/>
      <c r="G4958" s="120"/>
      <c r="H4958" s="120"/>
      <c r="I4958" s="60"/>
      <c r="J4958" s="116"/>
      <c r="K4958" s="213"/>
      <c r="L4958" s="120"/>
      <c r="M4958" s="120"/>
      <c r="N4958" s="167"/>
      <c r="O4958" s="120"/>
      <c r="P4958" s="120"/>
      <c r="Q4958" s="120"/>
      <c r="R4958" s="120"/>
      <c r="S4958" s="120"/>
      <c r="T4958" s="221"/>
      <c r="U4958" s="89"/>
      <c r="V4958" s="61"/>
      <c r="W4958" s="92" t="s">
        <v>1487</v>
      </c>
      <c r="X4958" s="93" t="s">
        <v>32</v>
      </c>
      <c r="Y4958" s="93" t="s">
        <v>1349</v>
      </c>
      <c r="Z4958" s="134">
        <f>VLOOKUP(W4958,Sheet2!$B:$D,3,FALSE)</f>
        <v>1500</v>
      </c>
      <c r="AA4958" s="93">
        <v>1</v>
      </c>
      <c r="AB4958" s="93">
        <f>AD4958/AC4954</f>
        <v>1500</v>
      </c>
      <c r="AC4958" s="93">
        <f>AC4954/AA4958</f>
        <v>5.3699999999999992</v>
      </c>
      <c r="AD4958" s="94">
        <f>AC4958*Z4958</f>
        <v>8054.9999999999991</v>
      </c>
      <c r="AE4958" s="190"/>
      <c r="AF4958" s="191"/>
      <c r="AG4958" s="191"/>
      <c r="AH4958" s="191"/>
      <c r="AI4958" s="186"/>
      <c r="AK4958" s="171"/>
    </row>
    <row r="4959" spans="1:37" s="102" customFormat="1" ht="19.899999999999999" customHeight="1" x14ac:dyDescent="0.25">
      <c r="A4959" s="45"/>
      <c r="B4959" s="59"/>
      <c r="C4959" s="137"/>
      <c r="D4959" s="59"/>
      <c r="E4959" s="116"/>
      <c r="F4959" s="120"/>
      <c r="G4959" s="120"/>
      <c r="H4959" s="120"/>
      <c r="I4959" s="60"/>
      <c r="J4959" s="116"/>
      <c r="K4959" s="213"/>
      <c r="L4959" s="120"/>
      <c r="M4959" s="120"/>
      <c r="N4959" s="167"/>
      <c r="O4959" s="120"/>
      <c r="P4959" s="120"/>
      <c r="Q4959" s="120"/>
      <c r="R4959" s="120"/>
      <c r="S4959" s="120"/>
      <c r="T4959" s="221"/>
      <c r="U4959" s="89"/>
      <c r="V4959" s="61"/>
      <c r="W4959" s="92" t="s">
        <v>107</v>
      </c>
      <c r="X4959" s="93" t="s">
        <v>31</v>
      </c>
      <c r="Y4959" s="93" t="s">
        <v>93</v>
      </c>
      <c r="Z4959" s="134">
        <f>VLOOKUP(W4959,Sheet2!$B:$D,3,FALSE)</f>
        <v>17</v>
      </c>
      <c r="AA4959" s="93">
        <f>AA4956</f>
        <v>0.5</v>
      </c>
      <c r="AB4959" s="93">
        <f>AD4959/AC4954</f>
        <v>34</v>
      </c>
      <c r="AC4959" s="93">
        <f>AC4954/AA4959</f>
        <v>10.739999999999998</v>
      </c>
      <c r="AD4959" s="94">
        <f>AC4959*Z4959</f>
        <v>182.57999999999998</v>
      </c>
      <c r="AE4959" s="190"/>
      <c r="AF4959" s="191"/>
      <c r="AG4959" s="191"/>
      <c r="AH4959" s="191"/>
      <c r="AI4959" s="186"/>
      <c r="AK4959" s="171"/>
    </row>
    <row r="4960" spans="1:37" s="102" customFormat="1" ht="19.899999999999999" customHeight="1" x14ac:dyDescent="0.25">
      <c r="A4960" s="45"/>
      <c r="B4960" s="59"/>
      <c r="C4960" s="137"/>
      <c r="D4960" s="59"/>
      <c r="E4960" s="116"/>
      <c r="F4960" s="120"/>
      <c r="G4960" s="120"/>
      <c r="H4960" s="120"/>
      <c r="I4960" s="60"/>
      <c r="J4960" s="116"/>
      <c r="K4960" s="213"/>
      <c r="L4960" s="120"/>
      <c r="M4960" s="120"/>
      <c r="N4960" s="167"/>
      <c r="O4960" s="120"/>
      <c r="P4960" s="120"/>
      <c r="Q4960" s="120"/>
      <c r="R4960" s="120"/>
      <c r="S4960" s="120"/>
      <c r="T4960" s="221"/>
      <c r="U4960" s="89"/>
      <c r="V4960" s="61"/>
      <c r="W4960" s="92" t="s">
        <v>112</v>
      </c>
      <c r="X4960" s="93" t="s">
        <v>31</v>
      </c>
      <c r="Y4960" s="93" t="s">
        <v>93</v>
      </c>
      <c r="Z4960" s="134">
        <f>VLOOKUP(W4960,Sheet2!$B:$D,3,FALSE)</f>
        <v>13</v>
      </c>
      <c r="AA4960" s="93">
        <f>AA4959</f>
        <v>0.5</v>
      </c>
      <c r="AB4960" s="93">
        <f>AD4960/AC4954</f>
        <v>26</v>
      </c>
      <c r="AC4960" s="93">
        <f>AC4954/AA4960</f>
        <v>10.739999999999998</v>
      </c>
      <c r="AD4960" s="94">
        <f>AC4960*Z4960</f>
        <v>139.61999999999998</v>
      </c>
      <c r="AE4960" s="190"/>
      <c r="AF4960" s="191"/>
      <c r="AG4960" s="191"/>
      <c r="AH4960" s="191"/>
      <c r="AI4960" s="186"/>
      <c r="AK4960" s="171"/>
    </row>
    <row r="4961" spans="1:37" s="103" customFormat="1" ht="19.899999999999999" customHeight="1" x14ac:dyDescent="0.25">
      <c r="A4961" s="51"/>
      <c r="B4961" s="52"/>
      <c r="C4961" s="165"/>
      <c r="D4961" s="52"/>
      <c r="E4961" s="115"/>
      <c r="F4961" s="58"/>
      <c r="G4961" s="58"/>
      <c r="H4961" s="58"/>
      <c r="I4961" s="55"/>
      <c r="J4961" s="113">
        <f>J4941</f>
        <v>5.3699999999999992</v>
      </c>
      <c r="K4961" s="212">
        <f>K4941</f>
        <v>5.3699999999999992</v>
      </c>
      <c r="L4961" s="58"/>
      <c r="M4961" s="58">
        <f>K4961-L4961</f>
        <v>5.3699999999999992</v>
      </c>
      <c r="N4961" s="166"/>
      <c r="O4961" s="58"/>
      <c r="P4961" s="58"/>
      <c r="Q4961" s="58"/>
      <c r="R4961" s="58"/>
      <c r="S4961" s="58"/>
      <c r="T4961" s="220"/>
      <c r="U4961" s="88"/>
      <c r="V4961" s="56"/>
      <c r="W4961" s="57" t="s">
        <v>1272</v>
      </c>
      <c r="X4961" s="53"/>
      <c r="Y4961" s="91" t="s">
        <v>35</v>
      </c>
      <c r="Z4961" s="136">
        <f>AD4961/AC4961</f>
        <v>685.2068013113726</v>
      </c>
      <c r="AA4961" s="58"/>
      <c r="AB4961" s="53">
        <f>AD4961/AC4961</f>
        <v>685.2068013113726</v>
      </c>
      <c r="AC4961" s="53">
        <f>M4961+$AE$10</f>
        <v>5.3699999999999992</v>
      </c>
      <c r="AD4961" s="54">
        <f>SUM(AD4962:AD4970)</f>
        <v>3679.5605230420701</v>
      </c>
      <c r="AE4961" s="184">
        <f>SUMIFS($AD$37:$AD$12971,$V$37:$V$12971,$V4961,$X$37:$X$12971,AE$13)</f>
        <v>0</v>
      </c>
      <c r="AF4961" s="185">
        <f>SUMIFS($AD$37:$AD$12971,$V$37:$V$12971,$V4961,$X$37:$X$12971,AF$13)</f>
        <v>0</v>
      </c>
      <c r="AG4961" s="185">
        <f>SUMIFS($AD$37:$AD$12971,$V$37:$V$12971,$V4961,$X$37:$X$12971,AG$13)</f>
        <v>0</v>
      </c>
      <c r="AH4961" s="187">
        <f>SUMIFS($AD$37:$AD$12971,$V$37:$V$12971,$V4961,$X$37:$X$12971,AH$13)</f>
        <v>0</v>
      </c>
      <c r="AI4961" s="161">
        <f t="shared" ref="AI4961" si="3607">SUM(AE4961:AH4961)</f>
        <v>0</v>
      </c>
      <c r="AK4961" s="172"/>
    </row>
    <row r="4962" spans="1:37" s="102" customFormat="1" ht="19.899999999999999" customHeight="1" x14ac:dyDescent="0.25">
      <c r="A4962" s="45"/>
      <c r="B4962" s="59"/>
      <c r="C4962" s="137"/>
      <c r="D4962" s="59"/>
      <c r="E4962" s="116"/>
      <c r="F4962" s="120"/>
      <c r="G4962" s="120"/>
      <c r="H4962" s="120"/>
      <c r="I4962" s="60"/>
      <c r="J4962" s="116"/>
      <c r="K4962" s="213"/>
      <c r="L4962" s="120"/>
      <c r="M4962" s="120"/>
      <c r="N4962" s="167"/>
      <c r="O4962" s="120"/>
      <c r="P4962" s="120"/>
      <c r="Q4962" s="120"/>
      <c r="R4962" s="120"/>
      <c r="S4962" s="120"/>
      <c r="T4962" s="221"/>
      <c r="U4962" s="89"/>
      <c r="V4962" s="61"/>
      <c r="W4962" s="92" t="s">
        <v>1273</v>
      </c>
      <c r="X4962" s="93" t="s">
        <v>30</v>
      </c>
      <c r="Y4962" s="93" t="s">
        <v>66</v>
      </c>
      <c r="Z4962" s="134">
        <f>VLOOKUP(W4962,Sheet2!$B:$D,3,FALSE)</f>
        <v>10</v>
      </c>
      <c r="AA4962" s="93">
        <f>1/((2.5*2.5*6.5)-(3.14/4*1.2*1.2*6.5))</f>
        <v>3.0050424612499776E-2</v>
      </c>
      <c r="AB4962" s="93">
        <f>AD4962/AC4961</f>
        <v>332.77399999999994</v>
      </c>
      <c r="AC4962" s="93">
        <f>AC4961/AA4962</f>
        <v>178.69963799999996</v>
      </c>
      <c r="AD4962" s="94">
        <f t="shared" ref="AD4962:AD4964" si="3608">AC4962*Z4962</f>
        <v>1786.9963799999996</v>
      </c>
      <c r="AE4962" s="190"/>
      <c r="AF4962" s="191"/>
      <c r="AG4962" s="191"/>
      <c r="AH4962" s="191"/>
      <c r="AI4962" s="186"/>
      <c r="AK4962" s="171"/>
    </row>
    <row r="4963" spans="1:37" s="102" customFormat="1" ht="19.899999999999999" customHeight="1" x14ac:dyDescent="0.25">
      <c r="A4963" s="45"/>
      <c r="B4963" s="59"/>
      <c r="C4963" s="137"/>
      <c r="D4963" s="59"/>
      <c r="E4963" s="116"/>
      <c r="F4963" s="120"/>
      <c r="G4963" s="120"/>
      <c r="H4963" s="120"/>
      <c r="I4963" s="60"/>
      <c r="J4963" s="116"/>
      <c r="K4963" s="213"/>
      <c r="L4963" s="120"/>
      <c r="M4963" s="120"/>
      <c r="N4963" s="167"/>
      <c r="O4963" s="120"/>
      <c r="P4963" s="120"/>
      <c r="Q4963" s="120"/>
      <c r="R4963" s="120"/>
      <c r="S4963" s="120"/>
      <c r="T4963" s="221"/>
      <c r="U4963" s="89"/>
      <c r="V4963" s="61"/>
      <c r="W4963" s="92" t="s">
        <v>134</v>
      </c>
      <c r="X4963" s="93" t="s">
        <v>29</v>
      </c>
      <c r="Y4963" s="93" t="s">
        <v>93</v>
      </c>
      <c r="Z4963" s="134">
        <f>VLOOKUP(W4963,Sheet2!$B:$D,3,FALSE)</f>
        <v>65.599999999999994</v>
      </c>
      <c r="AA4963" s="93">
        <f>100/((2.5*2.5*6.5)-(3.14/4*1.2*1.2*6.5))</f>
        <v>3.0050424612499773</v>
      </c>
      <c r="AB4963" s="93">
        <f t="shared" ref="AB4963" si="3609">AD4963/AC4961</f>
        <v>21.829974399999998</v>
      </c>
      <c r="AC4963" s="93">
        <f>AC4961/AA4963</f>
        <v>1.7869963799999997</v>
      </c>
      <c r="AD4963" s="94">
        <f t="shared" si="3608"/>
        <v>117.22696252799997</v>
      </c>
      <c r="AE4963" s="190"/>
      <c r="AF4963" s="191"/>
      <c r="AG4963" s="191"/>
      <c r="AH4963" s="191"/>
      <c r="AI4963" s="186"/>
      <c r="AK4963" s="171"/>
    </row>
    <row r="4964" spans="1:37" s="102" customFormat="1" ht="19.899999999999999" customHeight="1" x14ac:dyDescent="0.25">
      <c r="A4964" s="45"/>
      <c r="B4964" s="59"/>
      <c r="C4964" s="137"/>
      <c r="D4964" s="59"/>
      <c r="E4964" s="116"/>
      <c r="F4964" s="120"/>
      <c r="G4964" s="120"/>
      <c r="H4964" s="120"/>
      <c r="I4964" s="60"/>
      <c r="J4964" s="116"/>
      <c r="K4964" s="213"/>
      <c r="L4964" s="120"/>
      <c r="M4964" s="120"/>
      <c r="N4964" s="167"/>
      <c r="O4964" s="120"/>
      <c r="P4964" s="120"/>
      <c r="Q4964" s="120"/>
      <c r="R4964" s="120"/>
      <c r="S4964" s="120"/>
      <c r="T4964" s="221"/>
      <c r="U4964" s="89"/>
      <c r="V4964" s="61"/>
      <c r="W4964" s="92" t="s">
        <v>65</v>
      </c>
      <c r="X4964" s="93" t="s">
        <v>30</v>
      </c>
      <c r="Y4964" s="93" t="s">
        <v>1011</v>
      </c>
      <c r="Z4964" s="134">
        <f>VLOOKUP(W4964,Sheet2!$B:$D,3,FALSE)</f>
        <v>1.76</v>
      </c>
      <c r="AA4964" s="93">
        <f>AA4963/9</f>
        <v>0.33389360680555302</v>
      </c>
      <c r="AB4964" s="93">
        <f>AD4964/AC4961</f>
        <v>5.2711401600000007</v>
      </c>
      <c r="AC4964" s="93">
        <f>AC4961/AA4964</f>
        <v>16.082967419999999</v>
      </c>
      <c r="AD4964" s="94">
        <f t="shared" si="3608"/>
        <v>28.3060226592</v>
      </c>
      <c r="AE4964" s="190"/>
      <c r="AF4964" s="191"/>
      <c r="AG4964" s="191"/>
      <c r="AH4964" s="191"/>
      <c r="AI4964" s="186"/>
      <c r="AK4964" s="171"/>
    </row>
    <row r="4965" spans="1:37" s="102" customFormat="1" ht="19.899999999999999" customHeight="1" x14ac:dyDescent="0.25">
      <c r="A4965" s="45"/>
      <c r="B4965" s="59"/>
      <c r="C4965" s="137"/>
      <c r="D4965" s="59"/>
      <c r="E4965" s="116"/>
      <c r="F4965" s="120"/>
      <c r="G4965" s="120"/>
      <c r="H4965" s="120"/>
      <c r="I4965" s="60"/>
      <c r="J4965" s="116"/>
      <c r="K4965" s="213"/>
      <c r="L4965" s="120"/>
      <c r="M4965" s="120"/>
      <c r="N4965" s="167"/>
      <c r="O4965" s="120"/>
      <c r="P4965" s="120"/>
      <c r="Q4965" s="120"/>
      <c r="R4965" s="120"/>
      <c r="S4965" s="120"/>
      <c r="T4965" s="221"/>
      <c r="U4965" s="89"/>
      <c r="V4965" s="61"/>
      <c r="W4965" s="92" t="s">
        <v>161</v>
      </c>
      <c r="X4965" s="93" t="s">
        <v>29</v>
      </c>
      <c r="Y4965" s="93" t="s">
        <v>93</v>
      </c>
      <c r="Z4965" s="134">
        <f>VLOOKUP(W4965,Sheet2!$B:$D,3,FALSE)</f>
        <v>48</v>
      </c>
      <c r="AA4965" s="93">
        <f>(16*0.85*1.5)/((2.5*2.5*6.5)-(3.14/4*1.2*1.2*6.5))</f>
        <v>0.6130286620949954</v>
      </c>
      <c r="AB4965" s="93">
        <f>AD4965/AC4961</f>
        <v>78.299764705882353</v>
      </c>
      <c r="AC4965" s="93">
        <f>AC4961/AA4965</f>
        <v>8.7597861764705875</v>
      </c>
      <c r="AD4965" s="94">
        <f>AC4965*Z4965</f>
        <v>420.4697364705882</v>
      </c>
      <c r="AE4965" s="190"/>
      <c r="AF4965" s="191"/>
      <c r="AG4965" s="191"/>
      <c r="AH4965" s="191"/>
      <c r="AI4965" s="186"/>
      <c r="AK4965" s="171"/>
    </row>
    <row r="4966" spans="1:37" s="102" customFormat="1" ht="19.899999999999999" customHeight="1" x14ac:dyDescent="0.25">
      <c r="A4966" s="45"/>
      <c r="B4966" s="59"/>
      <c r="C4966" s="137"/>
      <c r="D4966" s="59"/>
      <c r="E4966" s="116"/>
      <c r="F4966" s="120"/>
      <c r="G4966" s="120"/>
      <c r="H4966" s="120"/>
      <c r="I4966" s="60"/>
      <c r="J4966" s="116"/>
      <c r="K4966" s="213"/>
      <c r="L4966" s="120"/>
      <c r="M4966" s="120"/>
      <c r="N4966" s="167"/>
      <c r="O4966" s="120"/>
      <c r="P4966" s="120"/>
      <c r="Q4966" s="120"/>
      <c r="R4966" s="120"/>
      <c r="S4966" s="120"/>
      <c r="T4966" s="221"/>
      <c r="U4966" s="89"/>
      <c r="V4966" s="61"/>
      <c r="W4966" s="92" t="s">
        <v>65</v>
      </c>
      <c r="X4966" s="93" t="s">
        <v>30</v>
      </c>
      <c r="Y4966" s="93" t="s">
        <v>1011</v>
      </c>
      <c r="Z4966" s="134">
        <f>VLOOKUP(W4966,Sheet2!$B:$D,3,FALSE)</f>
        <v>1.76</v>
      </c>
      <c r="AA4966" s="93">
        <f>AA4965/10</f>
        <v>6.130286620949954E-2</v>
      </c>
      <c r="AB4966" s="93">
        <f>AD4966/AC4961</f>
        <v>28.7099137254902</v>
      </c>
      <c r="AC4966" s="93">
        <f>AC4961/AA4966</f>
        <v>87.597861764705868</v>
      </c>
      <c r="AD4966" s="94">
        <f>AC4966*Z4966</f>
        <v>154.17223670588234</v>
      </c>
      <c r="AE4966" s="190"/>
      <c r="AF4966" s="191"/>
      <c r="AG4966" s="191"/>
      <c r="AH4966" s="191"/>
      <c r="AI4966" s="186"/>
      <c r="AK4966" s="171"/>
    </row>
    <row r="4967" spans="1:37" s="102" customFormat="1" ht="19.899999999999999" customHeight="1" x14ac:dyDescent="0.25">
      <c r="A4967" s="45"/>
      <c r="B4967" s="59"/>
      <c r="C4967" s="137"/>
      <c r="D4967" s="59"/>
      <c r="E4967" s="116"/>
      <c r="F4967" s="120"/>
      <c r="G4967" s="120"/>
      <c r="H4967" s="120"/>
      <c r="I4967" s="60"/>
      <c r="J4967" s="116"/>
      <c r="K4967" s="213"/>
      <c r="L4967" s="120"/>
      <c r="M4967" s="120"/>
      <c r="N4967" s="167"/>
      <c r="O4967" s="120"/>
      <c r="P4967" s="120"/>
      <c r="Q4967" s="120"/>
      <c r="R4967" s="120"/>
      <c r="S4967" s="120"/>
      <c r="T4967" s="221"/>
      <c r="U4967" s="89"/>
      <c r="V4967" s="61"/>
      <c r="W4967" s="92" t="s">
        <v>173</v>
      </c>
      <c r="X4967" s="93" t="s">
        <v>29</v>
      </c>
      <c r="Y4967" s="93" t="s">
        <v>93</v>
      </c>
      <c r="Z4967" s="134">
        <f>VLOOKUP(W4967,Sheet2!$B:$D,3,FALSE)</f>
        <v>36</v>
      </c>
      <c r="AA4967" s="93">
        <f>50/((2.5*2.5*6.5)-(3.14/4*1.2*1.2*6.5))</f>
        <v>1.5025212306249887</v>
      </c>
      <c r="AB4967" s="93">
        <f>AD4967/AC4961</f>
        <v>23.959727999999998</v>
      </c>
      <c r="AC4967" s="93">
        <f>AC4961/AA4967</f>
        <v>3.5739927599999994</v>
      </c>
      <c r="AD4967" s="94">
        <f>AC4967*Z4967</f>
        <v>128.66373935999997</v>
      </c>
      <c r="AE4967" s="190"/>
      <c r="AF4967" s="191"/>
      <c r="AG4967" s="191"/>
      <c r="AH4967" s="191"/>
      <c r="AI4967" s="186"/>
      <c r="AK4967" s="171"/>
    </row>
    <row r="4968" spans="1:37" s="102" customFormat="1" ht="19.899999999999999" customHeight="1" x14ac:dyDescent="0.25">
      <c r="A4968" s="45"/>
      <c r="B4968" s="59"/>
      <c r="C4968" s="137"/>
      <c r="D4968" s="59"/>
      <c r="E4968" s="116"/>
      <c r="F4968" s="120"/>
      <c r="G4968" s="120"/>
      <c r="H4968" s="120"/>
      <c r="I4968" s="60"/>
      <c r="J4968" s="116"/>
      <c r="K4968" s="213"/>
      <c r="L4968" s="120"/>
      <c r="M4968" s="120"/>
      <c r="N4968" s="167"/>
      <c r="O4968" s="120"/>
      <c r="P4968" s="120"/>
      <c r="Q4968" s="120"/>
      <c r="R4968" s="120"/>
      <c r="S4968" s="120"/>
      <c r="T4968" s="221"/>
      <c r="U4968" s="89"/>
      <c r="V4968" s="61"/>
      <c r="W4968" s="92" t="s">
        <v>65</v>
      </c>
      <c r="X4968" s="93" t="s">
        <v>30</v>
      </c>
      <c r="Y4968" s="93" t="s">
        <v>1011</v>
      </c>
      <c r="Z4968" s="134">
        <f>VLOOKUP(W4968,Sheet2!$B:$D,3,FALSE)</f>
        <v>1.76</v>
      </c>
      <c r="AA4968" s="93">
        <f>AA4967/9</f>
        <v>0.16694680340277651</v>
      </c>
      <c r="AB4968" s="93">
        <f>AD4968/AC4961</f>
        <v>10.542280320000001</v>
      </c>
      <c r="AC4968" s="93">
        <f>AC4961/AA4968</f>
        <v>32.165934839999998</v>
      </c>
      <c r="AD4968" s="94">
        <f>AC4968*Z4968</f>
        <v>56.6120453184</v>
      </c>
      <c r="AE4968" s="190"/>
      <c r="AF4968" s="191"/>
      <c r="AG4968" s="191"/>
      <c r="AH4968" s="191"/>
      <c r="AI4968" s="186"/>
      <c r="AK4968" s="171"/>
    </row>
    <row r="4969" spans="1:37" s="102" customFormat="1" ht="19.899999999999999" customHeight="1" x14ac:dyDescent="0.25">
      <c r="A4969" s="45"/>
      <c r="B4969" s="59"/>
      <c r="C4969" s="137"/>
      <c r="D4969" s="59"/>
      <c r="E4969" s="116"/>
      <c r="F4969" s="120"/>
      <c r="G4969" s="120"/>
      <c r="H4969" s="120"/>
      <c r="I4969" s="60"/>
      <c r="J4969" s="116"/>
      <c r="K4969" s="213"/>
      <c r="L4969" s="120"/>
      <c r="M4969" s="120"/>
      <c r="N4969" s="167"/>
      <c r="O4969" s="120"/>
      <c r="P4969" s="120"/>
      <c r="Q4969" s="120"/>
      <c r="R4969" s="120"/>
      <c r="S4969" s="120"/>
      <c r="T4969" s="221"/>
      <c r="U4969" s="89"/>
      <c r="V4969" s="61"/>
      <c r="W4969" s="92" t="s">
        <v>1030</v>
      </c>
      <c r="X4969" s="93" t="s">
        <v>29</v>
      </c>
      <c r="Y4969" s="93" t="s">
        <v>93</v>
      </c>
      <c r="Z4969" s="134">
        <f>VLOOKUP(W4969,Sheet2!$B:$D,3,FALSE)</f>
        <v>23</v>
      </c>
      <c r="AA4969" s="93">
        <f>1/(6.5*1)</f>
        <v>0.15384615384615385</v>
      </c>
      <c r="AB4969" s="93">
        <f>AD4969/AC4961</f>
        <v>149.5</v>
      </c>
      <c r="AC4969" s="93">
        <f>AC4961/AA4969</f>
        <v>34.904999999999994</v>
      </c>
      <c r="AD4969" s="94">
        <f t="shared" ref="AD4969:AD4970" si="3610">AC4969*Z4969</f>
        <v>802.81499999999983</v>
      </c>
      <c r="AE4969" s="190"/>
      <c r="AF4969" s="191"/>
      <c r="AG4969" s="191"/>
      <c r="AH4969" s="191"/>
      <c r="AI4969" s="186"/>
      <c r="AK4969" s="171"/>
    </row>
    <row r="4970" spans="1:37" s="102" customFormat="1" ht="19.899999999999999" customHeight="1" x14ac:dyDescent="0.25">
      <c r="A4970" s="45"/>
      <c r="B4970" s="59"/>
      <c r="C4970" s="137"/>
      <c r="D4970" s="59"/>
      <c r="E4970" s="116"/>
      <c r="F4970" s="120"/>
      <c r="G4970" s="120"/>
      <c r="H4970" s="120"/>
      <c r="I4970" s="60"/>
      <c r="J4970" s="116"/>
      <c r="K4970" s="213"/>
      <c r="L4970" s="120"/>
      <c r="M4970" s="120"/>
      <c r="N4970" s="167"/>
      <c r="O4970" s="120"/>
      <c r="P4970" s="120"/>
      <c r="Q4970" s="120"/>
      <c r="R4970" s="120"/>
      <c r="S4970" s="120"/>
      <c r="T4970" s="221"/>
      <c r="U4970" s="89"/>
      <c r="V4970" s="61"/>
      <c r="W4970" s="92" t="s">
        <v>65</v>
      </c>
      <c r="X4970" s="93" t="s">
        <v>30</v>
      </c>
      <c r="Y4970" s="93" t="s">
        <v>1011</v>
      </c>
      <c r="Z4970" s="134">
        <f>VLOOKUP(W4970,Sheet2!$B:$D,3,FALSE)</f>
        <v>1.76</v>
      </c>
      <c r="AA4970" s="93">
        <f>AA4969/3</f>
        <v>5.1282051282051287E-2</v>
      </c>
      <c r="AB4970" s="93">
        <f>AD4970/AC4961</f>
        <v>34.32</v>
      </c>
      <c r="AC4970" s="93">
        <f>AC4961/AA4970</f>
        <v>104.71499999999997</v>
      </c>
      <c r="AD4970" s="94">
        <f t="shared" si="3610"/>
        <v>184.29839999999996</v>
      </c>
      <c r="AE4970" s="190"/>
      <c r="AF4970" s="191"/>
      <c r="AG4970" s="191"/>
      <c r="AH4970" s="191"/>
      <c r="AI4970" s="186"/>
      <c r="AK4970" s="171"/>
    </row>
    <row r="4971" spans="1:37" ht="20.100000000000001" customHeight="1" x14ac:dyDescent="0.25">
      <c r="A4971" s="277" t="s">
        <v>491</v>
      </c>
      <c r="B4971" s="278"/>
      <c r="C4971" s="64" t="s">
        <v>584</v>
      </c>
      <c r="D4971" s="46" t="s">
        <v>215</v>
      </c>
      <c r="E4971" s="114"/>
      <c r="F4971" s="44"/>
      <c r="G4971" s="44">
        <f t="shared" si="3471"/>
        <v>0</v>
      </c>
      <c r="H4971" s="44">
        <f t="shared" si="3472"/>
        <v>0</v>
      </c>
      <c r="I4971" s="43">
        <f t="shared" si="3473"/>
        <v>0</v>
      </c>
      <c r="J4971" s="112">
        <f t="shared" si="3474"/>
        <v>0</v>
      </c>
      <c r="K4971" s="211">
        <f t="shared" si="3475"/>
        <v>0</v>
      </c>
      <c r="L4971" s="44"/>
      <c r="M4971" s="44">
        <f t="shared" si="3499"/>
        <v>0</v>
      </c>
      <c r="N4971" s="173">
        <f t="shared" si="3476"/>
        <v>0</v>
      </c>
      <c r="O4971" s="44">
        <f t="shared" si="3477"/>
        <v>0</v>
      </c>
      <c r="P4971" s="44">
        <f t="shared" si="3478"/>
        <v>0</v>
      </c>
      <c r="Q4971" s="44">
        <f t="shared" si="3479"/>
        <v>0</v>
      </c>
      <c r="R4971" s="44">
        <f t="shared" si="3500"/>
        <v>0</v>
      </c>
      <c r="S4971" s="123"/>
      <c r="T4971" s="219">
        <f t="shared" si="3501"/>
        <v>0</v>
      </c>
      <c r="U4971" s="87"/>
      <c r="V4971" s="47"/>
      <c r="W4971" s="48"/>
      <c r="X4971" s="48"/>
      <c r="Y4971" s="48"/>
      <c r="Z4971" s="135"/>
      <c r="AA4971" s="49"/>
      <c r="AB4971" s="50">
        <f t="shared" si="3480"/>
        <v>0</v>
      </c>
      <c r="AC4971" s="42">
        <f t="shared" si="3502"/>
        <v>9.9999999999999998E-20</v>
      </c>
      <c r="AD4971" s="90"/>
      <c r="AE4971" s="188"/>
      <c r="AF4971" s="189"/>
      <c r="AG4971" s="189"/>
      <c r="AH4971" s="189"/>
      <c r="AI4971" s="161"/>
    </row>
    <row r="4972" spans="1:37" ht="20.100000000000001" customHeight="1" x14ac:dyDescent="0.25">
      <c r="A4972" s="277" t="s">
        <v>491</v>
      </c>
      <c r="B4972" s="278"/>
      <c r="C4972" s="64" t="s">
        <v>585</v>
      </c>
      <c r="D4972" s="46" t="s">
        <v>215</v>
      </c>
      <c r="E4972" s="114"/>
      <c r="F4972" s="44"/>
      <c r="G4972" s="44">
        <f t="shared" si="3471"/>
        <v>0</v>
      </c>
      <c r="H4972" s="44">
        <f t="shared" si="3472"/>
        <v>0</v>
      </c>
      <c r="I4972" s="43">
        <f t="shared" si="3473"/>
        <v>0</v>
      </c>
      <c r="J4972" s="112">
        <f t="shared" si="3474"/>
        <v>0</v>
      </c>
      <c r="K4972" s="211">
        <f t="shared" si="3475"/>
        <v>0</v>
      </c>
      <c r="L4972" s="44"/>
      <c r="M4972" s="44">
        <f t="shared" si="3499"/>
        <v>0</v>
      </c>
      <c r="N4972" s="173">
        <f t="shared" si="3476"/>
        <v>0</v>
      </c>
      <c r="O4972" s="44">
        <f t="shared" si="3477"/>
        <v>0</v>
      </c>
      <c r="P4972" s="44">
        <f t="shared" si="3478"/>
        <v>0</v>
      </c>
      <c r="Q4972" s="44">
        <f t="shared" si="3479"/>
        <v>0</v>
      </c>
      <c r="R4972" s="44">
        <f t="shared" si="3500"/>
        <v>0</v>
      </c>
      <c r="S4972" s="123"/>
      <c r="T4972" s="219">
        <f t="shared" si="3501"/>
        <v>0</v>
      </c>
      <c r="U4972" s="87"/>
      <c r="V4972" s="47"/>
      <c r="W4972" s="48"/>
      <c r="X4972" s="48"/>
      <c r="Y4972" s="48"/>
      <c r="Z4972" s="135"/>
      <c r="AA4972" s="49"/>
      <c r="AB4972" s="50">
        <f t="shared" si="3480"/>
        <v>0</v>
      </c>
      <c r="AC4972" s="42">
        <f t="shared" si="3502"/>
        <v>9.9999999999999998E-20</v>
      </c>
      <c r="AD4972" s="90"/>
      <c r="AE4972" s="188"/>
      <c r="AF4972" s="189"/>
      <c r="AG4972" s="189"/>
      <c r="AH4972" s="189"/>
      <c r="AI4972" s="161"/>
    </row>
    <row r="4973" spans="1:37" ht="20.100000000000001" customHeight="1" x14ac:dyDescent="0.25">
      <c r="A4973" s="277" t="s">
        <v>491</v>
      </c>
      <c r="B4973" s="278"/>
      <c r="C4973" s="64" t="s">
        <v>586</v>
      </c>
      <c r="D4973" s="46" t="s">
        <v>215</v>
      </c>
      <c r="E4973" s="114"/>
      <c r="F4973" s="44"/>
      <c r="G4973" s="44">
        <f t="shared" si="3471"/>
        <v>0</v>
      </c>
      <c r="H4973" s="44">
        <f t="shared" si="3472"/>
        <v>0</v>
      </c>
      <c r="I4973" s="43">
        <f t="shared" si="3473"/>
        <v>0</v>
      </c>
      <c r="J4973" s="112">
        <f t="shared" si="3474"/>
        <v>0</v>
      </c>
      <c r="K4973" s="211">
        <f t="shared" si="3475"/>
        <v>0</v>
      </c>
      <c r="L4973" s="44"/>
      <c r="M4973" s="44">
        <f t="shared" si="3499"/>
        <v>0</v>
      </c>
      <c r="N4973" s="173">
        <f t="shared" si="3476"/>
        <v>0</v>
      </c>
      <c r="O4973" s="44">
        <f t="shared" si="3477"/>
        <v>0</v>
      </c>
      <c r="P4973" s="44">
        <f t="shared" si="3478"/>
        <v>0</v>
      </c>
      <c r="Q4973" s="44">
        <f t="shared" si="3479"/>
        <v>0</v>
      </c>
      <c r="R4973" s="44">
        <f t="shared" si="3500"/>
        <v>0</v>
      </c>
      <c r="S4973" s="123"/>
      <c r="T4973" s="219">
        <f t="shared" si="3501"/>
        <v>0</v>
      </c>
      <c r="U4973" s="87"/>
      <c r="V4973" s="47"/>
      <c r="W4973" s="48"/>
      <c r="X4973" s="48"/>
      <c r="Y4973" s="48"/>
      <c r="Z4973" s="135"/>
      <c r="AA4973" s="49"/>
      <c r="AB4973" s="50">
        <f t="shared" si="3480"/>
        <v>0</v>
      </c>
      <c r="AC4973" s="42">
        <f t="shared" si="3502"/>
        <v>9.9999999999999998E-20</v>
      </c>
      <c r="AD4973" s="90"/>
      <c r="AE4973" s="188"/>
      <c r="AF4973" s="189"/>
      <c r="AG4973" s="189"/>
      <c r="AH4973" s="189"/>
      <c r="AI4973" s="161"/>
    </row>
    <row r="4974" spans="1:37" ht="20.100000000000001" customHeight="1" x14ac:dyDescent="0.25">
      <c r="A4974" s="277" t="s">
        <v>491</v>
      </c>
      <c r="B4974" s="278"/>
      <c r="C4974" s="64" t="s">
        <v>587</v>
      </c>
      <c r="D4974" s="46" t="s">
        <v>215</v>
      </c>
      <c r="E4974" s="114"/>
      <c r="F4974" s="44"/>
      <c r="G4974" s="44">
        <f t="shared" si="3471"/>
        <v>0</v>
      </c>
      <c r="H4974" s="44">
        <f t="shared" si="3472"/>
        <v>0</v>
      </c>
      <c r="I4974" s="43">
        <f t="shared" si="3473"/>
        <v>0</v>
      </c>
      <c r="J4974" s="112">
        <f t="shared" si="3474"/>
        <v>0</v>
      </c>
      <c r="K4974" s="211">
        <f t="shared" si="3475"/>
        <v>0</v>
      </c>
      <c r="L4974" s="44"/>
      <c r="M4974" s="44">
        <f t="shared" si="3499"/>
        <v>0</v>
      </c>
      <c r="N4974" s="173">
        <f t="shared" si="3476"/>
        <v>0</v>
      </c>
      <c r="O4974" s="44">
        <f t="shared" si="3477"/>
        <v>0</v>
      </c>
      <c r="P4974" s="44">
        <f t="shared" si="3478"/>
        <v>0</v>
      </c>
      <c r="Q4974" s="44">
        <f t="shared" si="3479"/>
        <v>0</v>
      </c>
      <c r="R4974" s="44">
        <f t="shared" si="3500"/>
        <v>0</v>
      </c>
      <c r="S4974" s="123"/>
      <c r="T4974" s="219">
        <f t="shared" si="3501"/>
        <v>0</v>
      </c>
      <c r="U4974" s="87"/>
      <c r="V4974" s="47"/>
      <c r="W4974" s="48"/>
      <c r="X4974" s="48"/>
      <c r="Y4974" s="48"/>
      <c r="Z4974" s="135"/>
      <c r="AA4974" s="49"/>
      <c r="AB4974" s="50">
        <f t="shared" si="3480"/>
        <v>0</v>
      </c>
      <c r="AC4974" s="42">
        <f t="shared" si="3502"/>
        <v>9.9999999999999998E-20</v>
      </c>
      <c r="AD4974" s="90"/>
      <c r="AE4974" s="188"/>
      <c r="AF4974" s="189"/>
      <c r="AG4974" s="189"/>
      <c r="AH4974" s="189"/>
      <c r="AI4974" s="161"/>
    </row>
    <row r="4975" spans="1:37" ht="20.100000000000001" customHeight="1" x14ac:dyDescent="0.25">
      <c r="A4975" s="277" t="s">
        <v>491</v>
      </c>
      <c r="B4975" s="278"/>
      <c r="C4975" s="64" t="s">
        <v>588</v>
      </c>
      <c r="D4975" s="46" t="s">
        <v>215</v>
      </c>
      <c r="E4975" s="114"/>
      <c r="F4975" s="44"/>
      <c r="G4975" s="44">
        <f t="shared" si="3471"/>
        <v>0</v>
      </c>
      <c r="H4975" s="44">
        <f t="shared" si="3472"/>
        <v>0</v>
      </c>
      <c r="I4975" s="43">
        <f t="shared" si="3473"/>
        <v>0</v>
      </c>
      <c r="J4975" s="112">
        <f t="shared" si="3474"/>
        <v>0</v>
      </c>
      <c r="K4975" s="211">
        <f t="shared" si="3475"/>
        <v>0</v>
      </c>
      <c r="L4975" s="44"/>
      <c r="M4975" s="44">
        <f t="shared" si="3499"/>
        <v>0</v>
      </c>
      <c r="N4975" s="173">
        <f t="shared" si="3476"/>
        <v>0</v>
      </c>
      <c r="O4975" s="44">
        <f t="shared" si="3477"/>
        <v>0</v>
      </c>
      <c r="P4975" s="44">
        <f t="shared" si="3478"/>
        <v>0</v>
      </c>
      <c r="Q4975" s="44">
        <f t="shared" si="3479"/>
        <v>0</v>
      </c>
      <c r="R4975" s="44">
        <f t="shared" si="3500"/>
        <v>0</v>
      </c>
      <c r="S4975" s="123"/>
      <c r="T4975" s="219">
        <f t="shared" si="3501"/>
        <v>0</v>
      </c>
      <c r="U4975" s="87"/>
      <c r="V4975" s="47"/>
      <c r="W4975" s="48"/>
      <c r="X4975" s="48"/>
      <c r="Y4975" s="48"/>
      <c r="Z4975" s="135"/>
      <c r="AA4975" s="49"/>
      <c r="AB4975" s="50">
        <f t="shared" si="3480"/>
        <v>0</v>
      </c>
      <c r="AC4975" s="42">
        <f t="shared" si="3502"/>
        <v>9.9999999999999998E-20</v>
      </c>
      <c r="AD4975" s="90"/>
      <c r="AE4975" s="188"/>
      <c r="AF4975" s="189"/>
      <c r="AG4975" s="189"/>
      <c r="AH4975" s="189"/>
      <c r="AI4975" s="161"/>
    </row>
    <row r="4976" spans="1:37" ht="20.100000000000001" customHeight="1" x14ac:dyDescent="0.25">
      <c r="A4976" s="277" t="s">
        <v>491</v>
      </c>
      <c r="B4976" s="278"/>
      <c r="C4976" s="64" t="s">
        <v>589</v>
      </c>
      <c r="D4976" s="46" t="s">
        <v>215</v>
      </c>
      <c r="E4976" s="114"/>
      <c r="F4976" s="44"/>
      <c r="G4976" s="44">
        <f t="shared" si="3471"/>
        <v>0</v>
      </c>
      <c r="H4976" s="44">
        <f t="shared" si="3472"/>
        <v>0</v>
      </c>
      <c r="I4976" s="43">
        <f t="shared" si="3473"/>
        <v>0</v>
      </c>
      <c r="J4976" s="112">
        <f t="shared" si="3474"/>
        <v>0</v>
      </c>
      <c r="K4976" s="211">
        <f t="shared" si="3475"/>
        <v>0</v>
      </c>
      <c r="L4976" s="44"/>
      <c r="M4976" s="44">
        <f t="shared" si="3499"/>
        <v>0</v>
      </c>
      <c r="N4976" s="173">
        <f t="shared" si="3476"/>
        <v>0</v>
      </c>
      <c r="O4976" s="44">
        <f t="shared" si="3477"/>
        <v>0</v>
      </c>
      <c r="P4976" s="44">
        <f t="shared" si="3478"/>
        <v>0</v>
      </c>
      <c r="Q4976" s="44">
        <f t="shared" si="3479"/>
        <v>0</v>
      </c>
      <c r="R4976" s="44">
        <f t="shared" si="3500"/>
        <v>0</v>
      </c>
      <c r="S4976" s="123"/>
      <c r="T4976" s="219">
        <f t="shared" si="3501"/>
        <v>0</v>
      </c>
      <c r="U4976" s="87"/>
      <c r="V4976" s="47"/>
      <c r="W4976" s="48"/>
      <c r="X4976" s="48"/>
      <c r="Y4976" s="48"/>
      <c r="Z4976" s="135"/>
      <c r="AA4976" s="49"/>
      <c r="AB4976" s="50">
        <f t="shared" si="3480"/>
        <v>0</v>
      </c>
      <c r="AC4976" s="42">
        <f t="shared" si="3502"/>
        <v>9.9999999999999998E-20</v>
      </c>
      <c r="AD4976" s="90"/>
      <c r="AE4976" s="188"/>
      <c r="AF4976" s="189"/>
      <c r="AG4976" s="189"/>
      <c r="AH4976" s="189"/>
      <c r="AI4976" s="161"/>
    </row>
    <row r="4977" spans="1:41" ht="20.100000000000001" customHeight="1" x14ac:dyDescent="0.25">
      <c r="A4977" s="277" t="s">
        <v>491</v>
      </c>
      <c r="B4977" s="278"/>
      <c r="C4977" s="64" t="s">
        <v>590</v>
      </c>
      <c r="D4977" s="46" t="s">
        <v>215</v>
      </c>
      <c r="E4977" s="114"/>
      <c r="F4977" s="44"/>
      <c r="G4977" s="44">
        <f t="shared" si="3471"/>
        <v>0</v>
      </c>
      <c r="H4977" s="44">
        <f t="shared" si="3472"/>
        <v>0</v>
      </c>
      <c r="I4977" s="43">
        <f t="shared" si="3473"/>
        <v>0</v>
      </c>
      <c r="J4977" s="112">
        <f t="shared" si="3474"/>
        <v>0</v>
      </c>
      <c r="K4977" s="211">
        <f t="shared" si="3475"/>
        <v>0</v>
      </c>
      <c r="L4977" s="44"/>
      <c r="M4977" s="44">
        <f t="shared" si="3499"/>
        <v>0</v>
      </c>
      <c r="N4977" s="173">
        <f t="shared" si="3476"/>
        <v>0</v>
      </c>
      <c r="O4977" s="44">
        <f t="shared" si="3477"/>
        <v>0</v>
      </c>
      <c r="P4977" s="44">
        <f t="shared" si="3478"/>
        <v>0</v>
      </c>
      <c r="Q4977" s="44">
        <f t="shared" si="3479"/>
        <v>0</v>
      </c>
      <c r="R4977" s="44">
        <f t="shared" si="3500"/>
        <v>0</v>
      </c>
      <c r="S4977" s="123"/>
      <c r="T4977" s="219">
        <f t="shared" si="3501"/>
        <v>0</v>
      </c>
      <c r="U4977" s="87"/>
      <c r="V4977" s="47"/>
      <c r="W4977" s="48"/>
      <c r="X4977" s="48"/>
      <c r="Y4977" s="48"/>
      <c r="Z4977" s="135"/>
      <c r="AA4977" s="49"/>
      <c r="AB4977" s="50">
        <f t="shared" si="3480"/>
        <v>0</v>
      </c>
      <c r="AC4977" s="42">
        <f t="shared" si="3502"/>
        <v>9.9999999999999998E-20</v>
      </c>
      <c r="AD4977" s="90"/>
      <c r="AE4977" s="188"/>
      <c r="AF4977" s="189"/>
      <c r="AG4977" s="189"/>
      <c r="AH4977" s="189"/>
      <c r="AI4977" s="161"/>
    </row>
    <row r="4978" spans="1:41" ht="20.100000000000001" customHeight="1" x14ac:dyDescent="0.25">
      <c r="A4978" s="277" t="s">
        <v>491</v>
      </c>
      <c r="B4978" s="278"/>
      <c r="C4978" s="64" t="s">
        <v>591</v>
      </c>
      <c r="D4978" s="46" t="s">
        <v>215</v>
      </c>
      <c r="E4978" s="114"/>
      <c r="F4978" s="44"/>
      <c r="G4978" s="44">
        <f t="shared" si="3471"/>
        <v>0</v>
      </c>
      <c r="H4978" s="44">
        <f t="shared" si="3472"/>
        <v>0</v>
      </c>
      <c r="I4978" s="43">
        <f t="shared" si="3473"/>
        <v>0</v>
      </c>
      <c r="J4978" s="112">
        <f t="shared" si="3474"/>
        <v>0</v>
      </c>
      <c r="K4978" s="211">
        <f t="shared" si="3475"/>
        <v>0</v>
      </c>
      <c r="L4978" s="44"/>
      <c r="M4978" s="44">
        <f t="shared" si="3499"/>
        <v>0</v>
      </c>
      <c r="N4978" s="173">
        <f t="shared" si="3476"/>
        <v>0</v>
      </c>
      <c r="O4978" s="44">
        <f t="shared" si="3477"/>
        <v>0</v>
      </c>
      <c r="P4978" s="44">
        <f t="shared" si="3478"/>
        <v>0</v>
      </c>
      <c r="Q4978" s="44">
        <f t="shared" si="3479"/>
        <v>0</v>
      </c>
      <c r="R4978" s="44">
        <f t="shared" si="3500"/>
        <v>0</v>
      </c>
      <c r="S4978" s="123"/>
      <c r="T4978" s="219">
        <f t="shared" si="3501"/>
        <v>0</v>
      </c>
      <c r="U4978" s="87"/>
      <c r="V4978" s="47"/>
      <c r="W4978" s="48"/>
      <c r="X4978" s="48"/>
      <c r="Y4978" s="48"/>
      <c r="Z4978" s="135"/>
      <c r="AA4978" s="49"/>
      <c r="AB4978" s="50">
        <f t="shared" si="3480"/>
        <v>0</v>
      </c>
      <c r="AC4978" s="42">
        <f t="shared" si="3502"/>
        <v>9.9999999999999998E-20</v>
      </c>
      <c r="AD4978" s="90"/>
      <c r="AE4978" s="188"/>
      <c r="AF4978" s="189"/>
      <c r="AG4978" s="189"/>
      <c r="AH4978" s="189"/>
      <c r="AI4978" s="161"/>
    </row>
    <row r="4979" spans="1:41" ht="20.100000000000001" customHeight="1" x14ac:dyDescent="0.25">
      <c r="A4979" s="277" t="s">
        <v>491</v>
      </c>
      <c r="B4979" s="278"/>
      <c r="C4979" s="64" t="s">
        <v>592</v>
      </c>
      <c r="D4979" s="46" t="s">
        <v>215</v>
      </c>
      <c r="E4979" s="114"/>
      <c r="F4979" s="44"/>
      <c r="G4979" s="44">
        <f t="shared" si="3471"/>
        <v>0</v>
      </c>
      <c r="H4979" s="44">
        <f t="shared" si="3472"/>
        <v>0</v>
      </c>
      <c r="I4979" s="43">
        <f t="shared" si="3473"/>
        <v>0</v>
      </c>
      <c r="J4979" s="112">
        <f t="shared" si="3474"/>
        <v>0</v>
      </c>
      <c r="K4979" s="211">
        <f t="shared" si="3475"/>
        <v>0</v>
      </c>
      <c r="L4979" s="44"/>
      <c r="M4979" s="44">
        <f t="shared" si="3499"/>
        <v>0</v>
      </c>
      <c r="N4979" s="173">
        <f t="shared" si="3476"/>
        <v>0</v>
      </c>
      <c r="O4979" s="44">
        <f t="shared" si="3477"/>
        <v>0</v>
      </c>
      <c r="P4979" s="44">
        <f t="shared" si="3478"/>
        <v>0</v>
      </c>
      <c r="Q4979" s="44">
        <f t="shared" si="3479"/>
        <v>0</v>
      </c>
      <c r="R4979" s="44">
        <f t="shared" si="3500"/>
        <v>0</v>
      </c>
      <c r="S4979" s="123"/>
      <c r="T4979" s="219">
        <f t="shared" si="3501"/>
        <v>0</v>
      </c>
      <c r="U4979" s="87"/>
      <c r="V4979" s="47"/>
      <c r="W4979" s="48"/>
      <c r="X4979" s="48"/>
      <c r="Y4979" s="48"/>
      <c r="Z4979" s="135"/>
      <c r="AA4979" s="49"/>
      <c r="AB4979" s="50">
        <f t="shared" si="3480"/>
        <v>0</v>
      </c>
      <c r="AC4979" s="42">
        <f t="shared" si="3502"/>
        <v>9.9999999999999998E-20</v>
      </c>
      <c r="AD4979" s="90"/>
      <c r="AE4979" s="188"/>
      <c r="AF4979" s="189"/>
      <c r="AG4979" s="189"/>
      <c r="AH4979" s="189"/>
      <c r="AI4979" s="161"/>
    </row>
    <row r="4980" spans="1:41" ht="20.100000000000001" customHeight="1" x14ac:dyDescent="0.25">
      <c r="A4980" s="277" t="s">
        <v>491</v>
      </c>
      <c r="B4980" s="278"/>
      <c r="C4980" s="64" t="s">
        <v>593</v>
      </c>
      <c r="D4980" s="46" t="s">
        <v>215</v>
      </c>
      <c r="E4980" s="114"/>
      <c r="F4980" s="44"/>
      <c r="G4980" s="44">
        <f t="shared" si="3471"/>
        <v>0</v>
      </c>
      <c r="H4980" s="44">
        <f t="shared" si="3472"/>
        <v>0</v>
      </c>
      <c r="I4980" s="43">
        <f t="shared" si="3473"/>
        <v>0</v>
      </c>
      <c r="J4980" s="112">
        <f t="shared" si="3474"/>
        <v>0</v>
      </c>
      <c r="K4980" s="211">
        <f t="shared" si="3475"/>
        <v>0</v>
      </c>
      <c r="L4980" s="44"/>
      <c r="M4980" s="44">
        <f t="shared" si="3499"/>
        <v>0</v>
      </c>
      <c r="N4980" s="173">
        <f t="shared" si="3476"/>
        <v>0</v>
      </c>
      <c r="O4980" s="44">
        <f t="shared" si="3477"/>
        <v>0</v>
      </c>
      <c r="P4980" s="44">
        <f t="shared" si="3478"/>
        <v>0</v>
      </c>
      <c r="Q4980" s="44">
        <f t="shared" si="3479"/>
        <v>0</v>
      </c>
      <c r="R4980" s="44">
        <f t="shared" si="3500"/>
        <v>0</v>
      </c>
      <c r="S4980" s="123"/>
      <c r="T4980" s="219">
        <f t="shared" si="3501"/>
        <v>0</v>
      </c>
      <c r="U4980" s="87"/>
      <c r="V4980" s="47"/>
      <c r="W4980" s="48"/>
      <c r="X4980" s="48"/>
      <c r="Y4980" s="48"/>
      <c r="Z4980" s="135"/>
      <c r="AA4980" s="49"/>
      <c r="AB4980" s="50">
        <f t="shared" si="3480"/>
        <v>0</v>
      </c>
      <c r="AC4980" s="42">
        <f t="shared" si="3502"/>
        <v>9.9999999999999998E-20</v>
      </c>
      <c r="AD4980" s="90"/>
      <c r="AE4980" s="188"/>
      <c r="AF4980" s="189"/>
      <c r="AG4980" s="189"/>
      <c r="AH4980" s="189"/>
      <c r="AI4980" s="161"/>
    </row>
    <row r="4981" spans="1:41" s="102" customFormat="1" ht="20.100000000000001" customHeight="1" x14ac:dyDescent="0.25">
      <c r="A4981" s="45" t="s">
        <v>491</v>
      </c>
      <c r="B4981" s="276"/>
      <c r="C4981" s="285" t="s">
        <v>594</v>
      </c>
      <c r="D4981" s="59"/>
      <c r="E4981" s="116"/>
      <c r="F4981" s="120"/>
      <c r="G4981" s="120">
        <f t="shared" si="3471"/>
        <v>0</v>
      </c>
      <c r="H4981" s="120">
        <f t="shared" si="3472"/>
        <v>0</v>
      </c>
      <c r="I4981" s="60">
        <f t="shared" si="3473"/>
        <v>0</v>
      </c>
      <c r="J4981" s="116">
        <f t="shared" si="3474"/>
        <v>0</v>
      </c>
      <c r="K4981" s="213">
        <f t="shared" si="3475"/>
        <v>0</v>
      </c>
      <c r="L4981" s="120"/>
      <c r="M4981" s="120">
        <f t="shared" si="3499"/>
        <v>0</v>
      </c>
      <c r="N4981" s="167">
        <f t="shared" si="3476"/>
        <v>0</v>
      </c>
      <c r="O4981" s="120">
        <f t="shared" si="3477"/>
        <v>0</v>
      </c>
      <c r="P4981" s="120">
        <f t="shared" si="3478"/>
        <v>0</v>
      </c>
      <c r="Q4981" s="120">
        <f t="shared" si="3479"/>
        <v>0</v>
      </c>
      <c r="R4981" s="120">
        <f t="shared" si="3500"/>
        <v>0</v>
      </c>
      <c r="S4981" s="120"/>
      <c r="T4981" s="221">
        <f t="shared" si="3501"/>
        <v>0</v>
      </c>
      <c r="U4981" s="89"/>
      <c r="V4981" s="61"/>
      <c r="W4981" s="92"/>
      <c r="X4981" s="38"/>
      <c r="Y4981" s="93"/>
      <c r="Z4981" s="134"/>
      <c r="AA4981" s="93"/>
      <c r="AB4981" s="93">
        <f t="shared" si="3480"/>
        <v>0</v>
      </c>
      <c r="AC4981" s="93">
        <f t="shared" si="3502"/>
        <v>9.9999999999999998E-20</v>
      </c>
      <c r="AD4981" s="94"/>
      <c r="AE4981" s="190"/>
      <c r="AF4981" s="191"/>
      <c r="AG4981" s="191"/>
      <c r="AH4981" s="191"/>
      <c r="AI4981" s="186"/>
      <c r="AK4981" s="171"/>
    </row>
    <row r="4982" spans="1:41" s="102" customFormat="1" ht="94.5" x14ac:dyDescent="0.25">
      <c r="A4982" s="45" t="s">
        <v>491</v>
      </c>
      <c r="B4982" s="276"/>
      <c r="C4982" s="285" t="s">
        <v>595</v>
      </c>
      <c r="D4982" s="59"/>
      <c r="E4982" s="116"/>
      <c r="F4982" s="120"/>
      <c r="G4982" s="120">
        <f t="shared" si="3471"/>
        <v>0</v>
      </c>
      <c r="H4982" s="120">
        <f t="shared" si="3472"/>
        <v>0</v>
      </c>
      <c r="I4982" s="60">
        <f t="shared" si="3473"/>
        <v>0</v>
      </c>
      <c r="J4982" s="116">
        <f t="shared" si="3474"/>
        <v>0</v>
      </c>
      <c r="K4982" s="213">
        <f t="shared" si="3475"/>
        <v>0</v>
      </c>
      <c r="L4982" s="120"/>
      <c r="M4982" s="120">
        <f t="shared" si="3499"/>
        <v>0</v>
      </c>
      <c r="N4982" s="167">
        <f t="shared" si="3476"/>
        <v>0</v>
      </c>
      <c r="O4982" s="120">
        <f t="shared" si="3477"/>
        <v>0</v>
      </c>
      <c r="P4982" s="120">
        <f t="shared" si="3478"/>
        <v>0</v>
      </c>
      <c r="Q4982" s="120">
        <f t="shared" si="3479"/>
        <v>0</v>
      </c>
      <c r="R4982" s="120">
        <f t="shared" si="3500"/>
        <v>0</v>
      </c>
      <c r="S4982" s="120"/>
      <c r="T4982" s="221">
        <f t="shared" si="3501"/>
        <v>0</v>
      </c>
      <c r="U4982" s="89"/>
      <c r="V4982" s="61"/>
      <c r="W4982" s="92"/>
      <c r="X4982" s="38"/>
      <c r="Y4982" s="93"/>
      <c r="Z4982" s="134"/>
      <c r="AA4982" s="93"/>
      <c r="AB4982" s="93">
        <f t="shared" si="3480"/>
        <v>0</v>
      </c>
      <c r="AC4982" s="93">
        <f t="shared" si="3502"/>
        <v>9.9999999999999998E-20</v>
      </c>
      <c r="AD4982" s="94"/>
      <c r="AE4982" s="190"/>
      <c r="AF4982" s="191"/>
      <c r="AG4982" s="191"/>
      <c r="AH4982" s="191"/>
      <c r="AI4982" s="186"/>
      <c r="AK4982" s="171"/>
    </row>
    <row r="4983" spans="1:41" ht="20.100000000000001" customHeight="1" x14ac:dyDescent="0.25">
      <c r="A4983" s="277" t="s">
        <v>491</v>
      </c>
      <c r="B4983" s="278"/>
      <c r="C4983" s="64" t="s">
        <v>596</v>
      </c>
      <c r="D4983" s="46"/>
      <c r="E4983" s="114"/>
      <c r="F4983" s="44"/>
      <c r="G4983" s="44">
        <f t="shared" si="3471"/>
        <v>0</v>
      </c>
      <c r="H4983" s="44">
        <f t="shared" si="3472"/>
        <v>0</v>
      </c>
      <c r="I4983" s="43">
        <f t="shared" si="3473"/>
        <v>0</v>
      </c>
      <c r="J4983" s="112">
        <f t="shared" si="3474"/>
        <v>0</v>
      </c>
      <c r="K4983" s="211">
        <f t="shared" si="3475"/>
        <v>0</v>
      </c>
      <c r="L4983" s="44"/>
      <c r="M4983" s="44">
        <f t="shared" si="3499"/>
        <v>0</v>
      </c>
      <c r="N4983" s="173">
        <f t="shared" si="3476"/>
        <v>0</v>
      </c>
      <c r="O4983" s="44">
        <f t="shared" si="3477"/>
        <v>0</v>
      </c>
      <c r="P4983" s="44">
        <f t="shared" si="3478"/>
        <v>0</v>
      </c>
      <c r="Q4983" s="44">
        <f t="shared" si="3479"/>
        <v>0</v>
      </c>
      <c r="R4983" s="44">
        <f t="shared" si="3500"/>
        <v>0</v>
      </c>
      <c r="S4983" s="123"/>
      <c r="T4983" s="219">
        <f t="shared" si="3501"/>
        <v>0</v>
      </c>
      <c r="U4983" s="87"/>
      <c r="V4983" s="47"/>
      <c r="W4983" s="48"/>
      <c r="X4983" s="48"/>
      <c r="Y4983" s="48"/>
      <c r="Z4983" s="135"/>
      <c r="AA4983" s="49"/>
      <c r="AB4983" s="50">
        <f t="shared" si="3480"/>
        <v>0</v>
      </c>
      <c r="AC4983" s="42">
        <f t="shared" si="3502"/>
        <v>9.9999999999999998E-20</v>
      </c>
      <c r="AD4983" s="90"/>
      <c r="AE4983" s="188"/>
      <c r="AF4983" s="189"/>
      <c r="AG4983" s="189"/>
      <c r="AH4983" s="189"/>
      <c r="AI4983" s="161"/>
    </row>
    <row r="4984" spans="1:41" ht="20.100000000000001" customHeight="1" x14ac:dyDescent="0.25">
      <c r="A4984" s="277" t="s">
        <v>491</v>
      </c>
      <c r="B4984" s="278"/>
      <c r="C4984" s="64" t="s">
        <v>577</v>
      </c>
      <c r="D4984" s="46" t="s">
        <v>328</v>
      </c>
      <c r="E4984" s="114"/>
      <c r="F4984" s="44"/>
      <c r="G4984" s="44">
        <f t="shared" si="3471"/>
        <v>0</v>
      </c>
      <c r="H4984" s="44">
        <f t="shared" si="3472"/>
        <v>0</v>
      </c>
      <c r="I4984" s="43">
        <f t="shared" si="3473"/>
        <v>0</v>
      </c>
      <c r="J4984" s="112">
        <f t="shared" si="3474"/>
        <v>0</v>
      </c>
      <c r="K4984" s="211">
        <f t="shared" si="3475"/>
        <v>0</v>
      </c>
      <c r="L4984" s="44"/>
      <c r="M4984" s="44">
        <f t="shared" si="3499"/>
        <v>0</v>
      </c>
      <c r="N4984" s="173">
        <f t="shared" si="3476"/>
        <v>0</v>
      </c>
      <c r="O4984" s="44">
        <f t="shared" si="3477"/>
        <v>0</v>
      </c>
      <c r="P4984" s="44">
        <f t="shared" si="3478"/>
        <v>0</v>
      </c>
      <c r="Q4984" s="44">
        <f t="shared" si="3479"/>
        <v>0</v>
      </c>
      <c r="R4984" s="44">
        <f t="shared" si="3500"/>
        <v>0</v>
      </c>
      <c r="S4984" s="123"/>
      <c r="T4984" s="219">
        <f t="shared" si="3501"/>
        <v>0</v>
      </c>
      <c r="U4984" s="87"/>
      <c r="V4984" s="47"/>
      <c r="W4984" s="48"/>
      <c r="X4984" s="48"/>
      <c r="Y4984" s="48"/>
      <c r="Z4984" s="135"/>
      <c r="AA4984" s="49"/>
      <c r="AB4984" s="50">
        <f t="shared" si="3480"/>
        <v>0</v>
      </c>
      <c r="AC4984" s="42">
        <f t="shared" si="3502"/>
        <v>9.9999999999999998E-20</v>
      </c>
      <c r="AD4984" s="90"/>
      <c r="AE4984" s="188"/>
      <c r="AF4984" s="189"/>
      <c r="AG4984" s="189"/>
      <c r="AH4984" s="189"/>
      <c r="AI4984" s="161"/>
    </row>
    <row r="4985" spans="1:41" ht="20.100000000000001" customHeight="1" x14ac:dyDescent="0.25">
      <c r="A4985" s="277" t="s">
        <v>491</v>
      </c>
      <c r="B4985" s="278"/>
      <c r="C4985" s="64" t="s">
        <v>578</v>
      </c>
      <c r="D4985" s="46" t="s">
        <v>328</v>
      </c>
      <c r="E4985" s="114">
        <v>3.9999999999999813E-2</v>
      </c>
      <c r="F4985" s="44">
        <v>27725</v>
      </c>
      <c r="G4985" s="44">
        <f t="shared" si="3471"/>
        <v>1108.9999999999948</v>
      </c>
      <c r="H4985" s="44">
        <f t="shared" si="3472"/>
        <v>12577.713880746667</v>
      </c>
      <c r="I4985" s="43">
        <f t="shared" si="3473"/>
        <v>503.10855522986435</v>
      </c>
      <c r="J4985" s="112">
        <f t="shared" si="3474"/>
        <v>3.9999999999999813E-2</v>
      </c>
      <c r="K4985" s="211">
        <f t="shared" si="3475"/>
        <v>3.9999999999999813E-2</v>
      </c>
      <c r="L4985" s="44"/>
      <c r="M4985" s="44">
        <f t="shared" si="3499"/>
        <v>3.9999999999999813E-2</v>
      </c>
      <c r="N4985" s="173">
        <f t="shared" si="3476"/>
        <v>1</v>
      </c>
      <c r="O4985" s="44">
        <f t="shared" si="3477"/>
        <v>27725</v>
      </c>
      <c r="P4985" s="44">
        <f t="shared" si="3478"/>
        <v>1108.9999999999948</v>
      </c>
      <c r="Q4985" s="44">
        <f t="shared" si="3479"/>
        <v>12577.713880746667</v>
      </c>
      <c r="R4985" s="44">
        <f t="shared" si="3500"/>
        <v>503.10855522986435</v>
      </c>
      <c r="S4985" s="123"/>
      <c r="T4985" s="219">
        <f t="shared" si="3501"/>
        <v>503.10855522986435</v>
      </c>
      <c r="U4985" s="87"/>
      <c r="V4985" s="47"/>
      <c r="W4985" s="48"/>
      <c r="X4985" s="48"/>
      <c r="Y4985" s="48"/>
      <c r="Z4985" s="135"/>
      <c r="AA4985" s="49"/>
      <c r="AB4985" s="50">
        <f t="shared" si="3480"/>
        <v>12577.713880746667</v>
      </c>
      <c r="AC4985" s="42">
        <f t="shared" si="3502"/>
        <v>3.9999999999999813E-2</v>
      </c>
      <c r="AD4985" s="90">
        <f>AD4986+AD4991+AD4998+AD5006</f>
        <v>503.10855522986435</v>
      </c>
      <c r="AE4985" s="188">
        <f t="shared" ref="AE4985" si="3611">AE4986+AE4991+AE4998+AE5006</f>
        <v>0</v>
      </c>
      <c r="AF4985" s="189">
        <f t="shared" ref="AF4985" si="3612">AF4986+AF4991+AF4998+AF5006</f>
        <v>0</v>
      </c>
      <c r="AG4985" s="189">
        <f t="shared" ref="AG4985" si="3613">AG4986+AG4991+AG4998+AG5006</f>
        <v>0</v>
      </c>
      <c r="AH4985" s="189">
        <f t="shared" ref="AH4985" si="3614">AH4986+AH4991+AH4998+AH5006</f>
        <v>0</v>
      </c>
      <c r="AI4985" s="161">
        <f t="shared" ref="AI4985" si="3615">SUM(AE4985:AH4985)</f>
        <v>0</v>
      </c>
      <c r="AK4985" s="169">
        <v>5</v>
      </c>
      <c r="AO4985" s="19" t="s">
        <v>63</v>
      </c>
    </row>
    <row r="4986" spans="1:41" s="103" customFormat="1" ht="19.899999999999999" customHeight="1" x14ac:dyDescent="0.25">
      <c r="A4986" s="51"/>
      <c r="B4986" s="52"/>
      <c r="C4986" s="165"/>
      <c r="D4986" s="52"/>
      <c r="E4986" s="115"/>
      <c r="F4986" s="58"/>
      <c r="G4986" s="58"/>
      <c r="H4986" s="58"/>
      <c r="I4986" s="55"/>
      <c r="J4986" s="113">
        <f>J4985</f>
        <v>3.9999999999999813E-2</v>
      </c>
      <c r="K4986" s="212">
        <f>K4985</f>
        <v>3.9999999999999813E-2</v>
      </c>
      <c r="L4986" s="58"/>
      <c r="M4986" s="58">
        <f>K4986-L4986</f>
        <v>3.9999999999999813E-2</v>
      </c>
      <c r="N4986" s="166"/>
      <c r="O4986" s="58"/>
      <c r="P4986" s="58"/>
      <c r="Q4986" s="58"/>
      <c r="R4986" s="58"/>
      <c r="S4986" s="58"/>
      <c r="T4986" s="220"/>
      <c r="U4986" s="88"/>
      <c r="V4986" s="56"/>
      <c r="W4986" s="57" t="s">
        <v>1507</v>
      </c>
      <c r="X4986" s="53"/>
      <c r="Y4986" s="91" t="s">
        <v>35</v>
      </c>
      <c r="Z4986" s="136">
        <f>AD4986/AC4986</f>
        <v>100.55215686274511</v>
      </c>
      <c r="AA4986" s="58"/>
      <c r="AB4986" s="53">
        <f>AD4986/AC4986</f>
        <v>100.55215686274511</v>
      </c>
      <c r="AC4986" s="53">
        <f>M4986+$AE$10</f>
        <v>3.9999999999999813E-2</v>
      </c>
      <c r="AD4986" s="54">
        <f>SUM(AD4987:AD4990)</f>
        <v>4.0220862745097854</v>
      </c>
      <c r="AE4986" s="184">
        <f>SUMIFS($AD$37:$AD$12971,$V$37:$V$12971,$V4986,$X$37:$X$12971,AE$13)</f>
        <v>0</v>
      </c>
      <c r="AF4986" s="185">
        <f>SUMIFS($AD$37:$AD$12971,$V$37:$V$12971,$V4986,$X$37:$X$12971,AF$13)</f>
        <v>0</v>
      </c>
      <c r="AG4986" s="185">
        <f>SUMIFS($AD$37:$AD$12971,$V$37:$V$12971,$V4986,$X$37:$X$12971,AG$13)</f>
        <v>0</v>
      </c>
      <c r="AH4986" s="187">
        <f>SUMIFS($AD$37:$AD$12971,$V$37:$V$12971,$V4986,$X$37:$X$12971,AH$13)</f>
        <v>0</v>
      </c>
      <c r="AI4986" s="161">
        <f t="shared" ref="AI4986" si="3616">SUM(AE4986:AH4986)</f>
        <v>0</v>
      </c>
      <c r="AK4986" s="172"/>
    </row>
    <row r="4987" spans="1:41" s="102" customFormat="1" ht="19.899999999999999" customHeight="1" x14ac:dyDescent="0.25">
      <c r="A4987" s="45"/>
      <c r="B4987" s="59"/>
      <c r="C4987" s="137"/>
      <c r="D4987" s="59"/>
      <c r="E4987" s="116"/>
      <c r="F4987" s="120"/>
      <c r="G4987" s="120"/>
      <c r="H4987" s="120"/>
      <c r="I4987" s="60"/>
      <c r="J4987" s="116"/>
      <c r="K4987" s="213"/>
      <c r="L4987" s="120"/>
      <c r="M4987" s="120"/>
      <c r="N4987" s="167"/>
      <c r="O4987" s="120"/>
      <c r="P4987" s="120"/>
      <c r="Q4987" s="120"/>
      <c r="R4987" s="120"/>
      <c r="S4987" s="120"/>
      <c r="T4987" s="221"/>
      <c r="U4987" s="89"/>
      <c r="V4987" s="61"/>
      <c r="W4987" s="92" t="s">
        <v>129</v>
      </c>
      <c r="X4987" s="93" t="s">
        <v>29</v>
      </c>
      <c r="Y4987" s="93" t="s">
        <v>93</v>
      </c>
      <c r="Z4987" s="134">
        <f>VLOOKUP(W4987,Sheet2!$B:$D,3,FALSE)</f>
        <v>56</v>
      </c>
      <c r="AA4987" s="93">
        <f>100/(2.5*2.5*4)</f>
        <v>4</v>
      </c>
      <c r="AB4987" s="93">
        <f t="shared" ref="AB4987" si="3617">AD4987/AC4986</f>
        <v>14</v>
      </c>
      <c r="AC4987" s="93">
        <f>AC4986/AA4987</f>
        <v>9.9999999999999534E-3</v>
      </c>
      <c r="AD4987" s="94">
        <f t="shared" ref="AD4987:AD4988" si="3618">AC4987*Z4987</f>
        <v>0.55999999999999739</v>
      </c>
      <c r="AE4987" s="190"/>
      <c r="AF4987" s="191"/>
      <c r="AG4987" s="191"/>
      <c r="AH4987" s="191"/>
      <c r="AI4987" s="186"/>
      <c r="AK4987" s="171"/>
    </row>
    <row r="4988" spans="1:41" s="102" customFormat="1" ht="19.899999999999999" customHeight="1" x14ac:dyDescent="0.25">
      <c r="A4988" s="45"/>
      <c r="B4988" s="59"/>
      <c r="C4988" s="137"/>
      <c r="D4988" s="59"/>
      <c r="E4988" s="116"/>
      <c r="F4988" s="120"/>
      <c r="G4988" s="120"/>
      <c r="H4988" s="120"/>
      <c r="I4988" s="60"/>
      <c r="J4988" s="116"/>
      <c r="K4988" s="213"/>
      <c r="L4988" s="120"/>
      <c r="M4988" s="120"/>
      <c r="N4988" s="167"/>
      <c r="O4988" s="120"/>
      <c r="P4988" s="120"/>
      <c r="Q4988" s="120"/>
      <c r="R4988" s="120"/>
      <c r="S4988" s="120"/>
      <c r="T4988" s="221"/>
      <c r="U4988" s="89"/>
      <c r="V4988" s="61"/>
      <c r="W4988" s="92" t="s">
        <v>65</v>
      </c>
      <c r="X4988" s="93" t="s">
        <v>30</v>
      </c>
      <c r="Y4988" s="93" t="s">
        <v>1011</v>
      </c>
      <c r="Z4988" s="134">
        <f>VLOOKUP(W4988,Sheet2!$B:$D,3,FALSE)</f>
        <v>1.76</v>
      </c>
      <c r="AA4988" s="93">
        <f>AA4987/14</f>
        <v>0.2857142857142857</v>
      </c>
      <c r="AB4988" s="93">
        <f>AD4988/AC4986</f>
        <v>6.16</v>
      </c>
      <c r="AC4988" s="93">
        <f>AC4986/AA4988</f>
        <v>0.13999999999999935</v>
      </c>
      <c r="AD4988" s="94">
        <f t="shared" si="3618"/>
        <v>0.24639999999999884</v>
      </c>
      <c r="AE4988" s="190"/>
      <c r="AF4988" s="191"/>
      <c r="AG4988" s="191"/>
      <c r="AH4988" s="191"/>
      <c r="AI4988" s="186"/>
      <c r="AK4988" s="171"/>
    </row>
    <row r="4989" spans="1:41" s="102" customFormat="1" ht="19.899999999999999" customHeight="1" x14ac:dyDescent="0.25">
      <c r="A4989" s="45"/>
      <c r="B4989" s="59"/>
      <c r="C4989" s="137"/>
      <c r="D4989" s="59"/>
      <c r="E4989" s="116"/>
      <c r="F4989" s="120"/>
      <c r="G4989" s="120"/>
      <c r="H4989" s="120"/>
      <c r="I4989" s="60"/>
      <c r="J4989" s="116"/>
      <c r="K4989" s="213"/>
      <c r="L4989" s="120"/>
      <c r="M4989" s="120"/>
      <c r="N4989" s="167"/>
      <c r="O4989" s="120"/>
      <c r="P4989" s="120"/>
      <c r="Q4989" s="120"/>
      <c r="R4989" s="120"/>
      <c r="S4989" s="120"/>
      <c r="T4989" s="221"/>
      <c r="U4989" s="89"/>
      <c r="V4989" s="61"/>
      <c r="W4989" s="92" t="s">
        <v>161</v>
      </c>
      <c r="X4989" s="93" t="s">
        <v>29</v>
      </c>
      <c r="Y4989" s="93" t="s">
        <v>93</v>
      </c>
      <c r="Z4989" s="134">
        <f>VLOOKUP(W4989,Sheet2!$B:$D,3,FALSE)</f>
        <v>48</v>
      </c>
      <c r="AA4989" s="93">
        <f>(16*0.85*1.5)/(2.5*2.5*4)</f>
        <v>0.81599999999999995</v>
      </c>
      <c r="AB4989" s="93">
        <f>AD4989/AC4986</f>
        <v>58.823529411764717</v>
      </c>
      <c r="AC4989" s="93">
        <f>AC4986/AA4989</f>
        <v>4.9019607843137032E-2</v>
      </c>
      <c r="AD4989" s="94">
        <f>AC4989*Z4989</f>
        <v>2.3529411764705777</v>
      </c>
      <c r="AE4989" s="190"/>
      <c r="AF4989" s="191"/>
      <c r="AG4989" s="191"/>
      <c r="AH4989" s="191"/>
      <c r="AI4989" s="186"/>
      <c r="AK4989" s="171"/>
    </row>
    <row r="4990" spans="1:41" s="102" customFormat="1" ht="19.899999999999999" customHeight="1" x14ac:dyDescent="0.25">
      <c r="A4990" s="45"/>
      <c r="B4990" s="59"/>
      <c r="C4990" s="137"/>
      <c r="D4990" s="59"/>
      <c r="E4990" s="116"/>
      <c r="F4990" s="120"/>
      <c r="G4990" s="120"/>
      <c r="H4990" s="120"/>
      <c r="I4990" s="60"/>
      <c r="J4990" s="116"/>
      <c r="K4990" s="213"/>
      <c r="L4990" s="120"/>
      <c r="M4990" s="120"/>
      <c r="N4990" s="167"/>
      <c r="O4990" s="120"/>
      <c r="P4990" s="120"/>
      <c r="Q4990" s="120"/>
      <c r="R4990" s="120"/>
      <c r="S4990" s="120"/>
      <c r="T4990" s="221"/>
      <c r="U4990" s="89"/>
      <c r="V4990" s="61"/>
      <c r="W4990" s="92" t="s">
        <v>65</v>
      </c>
      <c r="X4990" s="93" t="s">
        <v>30</v>
      </c>
      <c r="Y4990" s="93" t="s">
        <v>1011</v>
      </c>
      <c r="Z4990" s="134">
        <f>VLOOKUP(W4990,Sheet2!$B:$D,3,FALSE)</f>
        <v>1.76</v>
      </c>
      <c r="AA4990" s="93">
        <f>AA4989/10</f>
        <v>8.1599999999999992E-2</v>
      </c>
      <c r="AB4990" s="93">
        <f>AD4990/AC4986</f>
        <v>21.568627450980394</v>
      </c>
      <c r="AC4990" s="93">
        <f>AC4986/AA4990</f>
        <v>0.49019607843137031</v>
      </c>
      <c r="AD4990" s="94">
        <f>AC4990*Z4990</f>
        <v>0.86274509803921173</v>
      </c>
      <c r="AE4990" s="190"/>
      <c r="AF4990" s="191"/>
      <c r="AG4990" s="191"/>
      <c r="AH4990" s="191"/>
      <c r="AI4990" s="186"/>
      <c r="AK4990" s="171"/>
    </row>
    <row r="4991" spans="1:41" s="103" customFormat="1" ht="19.899999999999999" customHeight="1" x14ac:dyDescent="0.25">
      <c r="A4991" s="51"/>
      <c r="B4991" s="52"/>
      <c r="C4991" s="165"/>
      <c r="D4991" s="52"/>
      <c r="E4991" s="115"/>
      <c r="F4991" s="58"/>
      <c r="G4991" s="58"/>
      <c r="H4991" s="58"/>
      <c r="I4991" s="55"/>
      <c r="J4991" s="113">
        <f>J4985</f>
        <v>3.9999999999999813E-2</v>
      </c>
      <c r="K4991" s="212">
        <f>K4985</f>
        <v>3.9999999999999813E-2</v>
      </c>
      <c r="L4991" s="58"/>
      <c r="M4991" s="58">
        <f>K4991-L4991</f>
        <v>3.9999999999999813E-2</v>
      </c>
      <c r="N4991" s="166"/>
      <c r="O4991" s="58"/>
      <c r="P4991" s="58"/>
      <c r="Q4991" s="58"/>
      <c r="R4991" s="58"/>
      <c r="S4991" s="58"/>
      <c r="T4991" s="220"/>
      <c r="U4991" s="88"/>
      <c r="V4991" s="56"/>
      <c r="W4991" s="57" t="s">
        <v>1486</v>
      </c>
      <c r="X4991" s="53"/>
      <c r="Y4991" s="91" t="s">
        <v>35</v>
      </c>
      <c r="Z4991" s="136">
        <f>AD4991/AC4991</f>
        <v>1432.6959999999999</v>
      </c>
      <c r="AA4991" s="58"/>
      <c r="AB4991" s="53">
        <f>AD4991/AC4991</f>
        <v>1432.6959999999999</v>
      </c>
      <c r="AC4991" s="53">
        <f>M4991+$AE$10</f>
        <v>3.9999999999999813E-2</v>
      </c>
      <c r="AD4991" s="54">
        <f>SUM(AD4992:AD4997)</f>
        <v>57.307839999999729</v>
      </c>
      <c r="AE4991" s="184">
        <f>SUMIFS($AD$37:$AD$12971,$V$37:$V$12971,$V4991,$X$37:$X$12971,AE$13)</f>
        <v>0</v>
      </c>
      <c r="AF4991" s="185">
        <f>SUMIFS($AD$37:$AD$12971,$V$37:$V$12971,$V4991,$X$37:$X$12971,AF$13)</f>
        <v>0</v>
      </c>
      <c r="AG4991" s="185">
        <f>SUMIFS($AD$37:$AD$12971,$V$37:$V$12971,$V4991,$X$37:$X$12971,AG$13)</f>
        <v>0</v>
      </c>
      <c r="AH4991" s="187">
        <f>SUMIFS($AD$37:$AD$12971,$V$37:$V$12971,$V4991,$X$37:$X$12971,AH$13)</f>
        <v>0</v>
      </c>
      <c r="AI4991" s="161">
        <f t="shared" ref="AI4991" si="3619">SUM(AE4991:AH4991)</f>
        <v>0</v>
      </c>
      <c r="AK4991" s="172"/>
    </row>
    <row r="4992" spans="1:41" s="102" customFormat="1" ht="19.899999999999999" customHeight="1" x14ac:dyDescent="0.25">
      <c r="A4992" s="45"/>
      <c r="B4992" s="59"/>
      <c r="C4992" s="137"/>
      <c r="D4992" s="59"/>
      <c r="E4992" s="116"/>
      <c r="F4992" s="120"/>
      <c r="G4992" s="120"/>
      <c r="H4992" s="120"/>
      <c r="I4992" s="60"/>
      <c r="J4992" s="116"/>
      <c r="K4992" s="213"/>
      <c r="L4992" s="120"/>
      <c r="M4992" s="120"/>
      <c r="N4992" s="167"/>
      <c r="O4992" s="120"/>
      <c r="P4992" s="120"/>
      <c r="Q4992" s="120"/>
      <c r="R4992" s="120"/>
      <c r="S4992" s="120"/>
      <c r="T4992" s="221"/>
      <c r="U4992" s="89"/>
      <c r="V4992" s="61"/>
      <c r="W4992" s="92" t="s">
        <v>1032</v>
      </c>
      <c r="X4992" s="93" t="s">
        <v>30</v>
      </c>
      <c r="Y4992" s="93" t="s">
        <v>66</v>
      </c>
      <c r="Z4992" s="134">
        <f>VLOOKUP(W4992,Sheet2!$B:$D,3,FALSE)</f>
        <v>250</v>
      </c>
      <c r="AA4992" s="93">
        <f>1/(2.1*2.1*0.1)</f>
        <v>2.2675736961451243</v>
      </c>
      <c r="AB4992" s="93">
        <f>AD4992/AC4998</f>
        <v>110.25</v>
      </c>
      <c r="AC4992" s="93">
        <f>AC4998/AA4992</f>
        <v>1.763999999999992E-2</v>
      </c>
      <c r="AD4992" s="94">
        <f t="shared" ref="AD4992:AD4994" si="3620">AC4992*Z4992</f>
        <v>4.4099999999999797</v>
      </c>
      <c r="AE4992" s="190"/>
      <c r="AF4992" s="191"/>
      <c r="AG4992" s="191"/>
      <c r="AH4992" s="191"/>
      <c r="AI4992" s="186"/>
      <c r="AK4992" s="171"/>
    </row>
    <row r="4993" spans="1:37" s="102" customFormat="1" ht="19.899999999999999" customHeight="1" x14ac:dyDescent="0.25">
      <c r="A4993" s="45"/>
      <c r="B4993" s="59"/>
      <c r="C4993" s="137"/>
      <c r="D4993" s="59"/>
      <c r="E4993" s="116"/>
      <c r="F4993" s="120"/>
      <c r="G4993" s="120"/>
      <c r="H4993" s="120"/>
      <c r="I4993" s="60"/>
      <c r="J4993" s="116"/>
      <c r="K4993" s="213"/>
      <c r="L4993" s="120"/>
      <c r="M4993" s="120"/>
      <c r="N4993" s="167"/>
      <c r="O4993" s="120"/>
      <c r="P4993" s="120"/>
      <c r="Q4993" s="120"/>
      <c r="R4993" s="120"/>
      <c r="S4993" s="120"/>
      <c r="T4993" s="221"/>
      <c r="U4993" s="89"/>
      <c r="V4993" s="61"/>
      <c r="W4993" s="92" t="s">
        <v>1353</v>
      </c>
      <c r="X4993" s="93" t="s">
        <v>30</v>
      </c>
      <c r="Y4993" s="93" t="s">
        <v>66</v>
      </c>
      <c r="Z4993" s="134">
        <f>VLOOKUP(W4993,Sheet2!$B:$D,3,FALSE)</f>
        <v>350</v>
      </c>
      <c r="AA4993" s="93">
        <f>1/(2*2*0.3)</f>
        <v>0.83333333333333337</v>
      </c>
      <c r="AB4993" s="93">
        <f>AD4993/AC4998</f>
        <v>419.99999999999994</v>
      </c>
      <c r="AC4993" s="93">
        <f>AC4998/AA4993</f>
        <v>4.7999999999999772E-2</v>
      </c>
      <c r="AD4993" s="94">
        <f t="shared" si="3620"/>
        <v>16.799999999999919</v>
      </c>
      <c r="AE4993" s="190"/>
      <c r="AF4993" s="191"/>
      <c r="AG4993" s="191"/>
      <c r="AH4993" s="191"/>
      <c r="AI4993" s="186"/>
      <c r="AK4993" s="171"/>
    </row>
    <row r="4994" spans="1:37" s="102" customFormat="1" ht="19.899999999999999" customHeight="1" x14ac:dyDescent="0.25">
      <c r="A4994" s="45"/>
      <c r="B4994" s="59"/>
      <c r="C4994" s="137"/>
      <c r="D4994" s="59"/>
      <c r="E4994" s="116"/>
      <c r="F4994" s="120"/>
      <c r="G4994" s="120"/>
      <c r="H4994" s="120"/>
      <c r="I4994" s="60"/>
      <c r="J4994" s="116"/>
      <c r="K4994" s="213"/>
      <c r="L4994" s="120"/>
      <c r="M4994" s="120"/>
      <c r="N4994" s="167"/>
      <c r="O4994" s="120"/>
      <c r="P4994" s="120"/>
      <c r="Q4994" s="120"/>
      <c r="R4994" s="120"/>
      <c r="S4994" s="120"/>
      <c r="T4994" s="221"/>
      <c r="U4994" s="89"/>
      <c r="V4994" s="61"/>
      <c r="W4994" s="92" t="s">
        <v>99</v>
      </c>
      <c r="X4994" s="93" t="s">
        <v>30</v>
      </c>
      <c r="Y4994" s="93" t="s">
        <v>67</v>
      </c>
      <c r="Z4994" s="134">
        <f>VLOOKUP(W4994,Sheet2!$B:$D,3,FALSE)</f>
        <v>2500</v>
      </c>
      <c r="AA4994" s="93">
        <f>AA4993/0.08</f>
        <v>10.416666666666666</v>
      </c>
      <c r="AB4994" s="93">
        <f>AD4994/AC4998</f>
        <v>240</v>
      </c>
      <c r="AC4994" s="93">
        <f>AC4998/AA4994</f>
        <v>3.8399999999999823E-3</v>
      </c>
      <c r="AD4994" s="94">
        <f t="shared" si="3620"/>
        <v>9.5999999999999552</v>
      </c>
      <c r="AE4994" s="190"/>
      <c r="AF4994" s="191"/>
      <c r="AG4994" s="191"/>
      <c r="AH4994" s="191"/>
      <c r="AI4994" s="186"/>
      <c r="AK4994" s="171"/>
    </row>
    <row r="4995" spans="1:37" s="102" customFormat="1" ht="19.899999999999999" customHeight="1" x14ac:dyDescent="0.25">
      <c r="A4995" s="45"/>
      <c r="B4995" s="59"/>
      <c r="C4995" s="137"/>
      <c r="D4995" s="59"/>
      <c r="E4995" s="116"/>
      <c r="F4995" s="120"/>
      <c r="G4995" s="120"/>
      <c r="H4995" s="120"/>
      <c r="I4995" s="60"/>
      <c r="J4995" s="116"/>
      <c r="K4995" s="213"/>
      <c r="L4995" s="120"/>
      <c r="M4995" s="120"/>
      <c r="N4995" s="167"/>
      <c r="O4995" s="120"/>
      <c r="P4995" s="120"/>
      <c r="Q4995" s="120"/>
      <c r="R4995" s="120"/>
      <c r="S4995" s="120"/>
      <c r="T4995" s="221"/>
      <c r="U4995" s="89"/>
      <c r="V4995" s="61"/>
      <c r="W4995" s="92" t="s">
        <v>1354</v>
      </c>
      <c r="X4995" s="93" t="s">
        <v>32</v>
      </c>
      <c r="Y4995" s="93" t="s">
        <v>66</v>
      </c>
      <c r="Z4995" s="134">
        <f>VLOOKUP(W4995,Sheet2!$B:$D,3,FALSE)</f>
        <v>150</v>
      </c>
      <c r="AA4995" s="93">
        <f>AA4992</f>
        <v>2.2675736961451243</v>
      </c>
      <c r="AB4995" s="93">
        <f>AD4995/AC4998</f>
        <v>66.150000000000006</v>
      </c>
      <c r="AC4995" s="93">
        <f>AC4998/AA4995</f>
        <v>1.763999999999992E-2</v>
      </c>
      <c r="AD4995" s="94">
        <f>AC4995*Z4995</f>
        <v>2.6459999999999879</v>
      </c>
      <c r="AE4995" s="190"/>
      <c r="AF4995" s="191"/>
      <c r="AG4995" s="191"/>
      <c r="AH4995" s="191"/>
      <c r="AI4995" s="186"/>
      <c r="AK4995" s="171"/>
    </row>
    <row r="4996" spans="1:37" s="102" customFormat="1" ht="19.899999999999999" customHeight="1" x14ac:dyDescent="0.25">
      <c r="A4996" s="45"/>
      <c r="B4996" s="59"/>
      <c r="C4996" s="137"/>
      <c r="D4996" s="59"/>
      <c r="E4996" s="116"/>
      <c r="F4996" s="120"/>
      <c r="G4996" s="120"/>
      <c r="H4996" s="120"/>
      <c r="I4996" s="60"/>
      <c r="J4996" s="116"/>
      <c r="K4996" s="213"/>
      <c r="L4996" s="120"/>
      <c r="M4996" s="120"/>
      <c r="N4996" s="167"/>
      <c r="O4996" s="120"/>
      <c r="P4996" s="120"/>
      <c r="Q4996" s="120"/>
      <c r="R4996" s="120"/>
      <c r="S4996" s="120"/>
      <c r="T4996" s="221"/>
      <c r="U4996" s="89"/>
      <c r="V4996" s="61"/>
      <c r="W4996" s="92" t="s">
        <v>1355</v>
      </c>
      <c r="X4996" s="93" t="s">
        <v>32</v>
      </c>
      <c r="Y4996" s="93" t="s">
        <v>66</v>
      </c>
      <c r="Z4996" s="134">
        <f>VLOOKUP(W4996,Sheet2!$B:$D,3,FALSE)</f>
        <v>450</v>
      </c>
      <c r="AA4996" s="93">
        <f>AA4993</f>
        <v>0.83333333333333337</v>
      </c>
      <c r="AB4996" s="93">
        <f>AD4996/AC4998</f>
        <v>540</v>
      </c>
      <c r="AC4996" s="93">
        <f>AC4998/AA4996</f>
        <v>4.7999999999999772E-2</v>
      </c>
      <c r="AD4996" s="94">
        <f>AC4996*Z4996</f>
        <v>21.599999999999898</v>
      </c>
      <c r="AE4996" s="190"/>
      <c r="AF4996" s="191"/>
      <c r="AG4996" s="191"/>
      <c r="AH4996" s="191"/>
      <c r="AI4996" s="186"/>
      <c r="AK4996" s="171"/>
    </row>
    <row r="4997" spans="1:37" s="102" customFormat="1" ht="19.899999999999999" customHeight="1" x14ac:dyDescent="0.25">
      <c r="A4997" s="45"/>
      <c r="B4997" s="59"/>
      <c r="C4997" s="137"/>
      <c r="D4997" s="59"/>
      <c r="E4997" s="116"/>
      <c r="F4997" s="120"/>
      <c r="G4997" s="120"/>
      <c r="H4997" s="120"/>
      <c r="I4997" s="60"/>
      <c r="J4997" s="116"/>
      <c r="K4997" s="213"/>
      <c r="L4997" s="120"/>
      <c r="M4997" s="120"/>
      <c r="N4997" s="167"/>
      <c r="O4997" s="120"/>
      <c r="P4997" s="120"/>
      <c r="Q4997" s="120"/>
      <c r="R4997" s="120"/>
      <c r="S4997" s="120"/>
      <c r="T4997" s="221"/>
      <c r="U4997" s="89"/>
      <c r="V4997" s="61"/>
      <c r="W4997" s="92" t="s">
        <v>124</v>
      </c>
      <c r="X4997" s="93" t="s">
        <v>32</v>
      </c>
      <c r="Y4997" s="93" t="s">
        <v>64</v>
      </c>
      <c r="Z4997" s="134">
        <f>VLOOKUP(W4997,Sheet2!$B:$D,3,FALSE)</f>
        <v>10</v>
      </c>
      <c r="AA4997" s="93">
        <f>1/((2.6*2.6)-(3.14*1.2*1.2/4))</f>
        <v>0.17763251385533604</v>
      </c>
      <c r="AB4997" s="93">
        <f t="shared" ref="AB4997" si="3621">AD4997/AC4991</f>
        <v>56.296000000000006</v>
      </c>
      <c r="AC4997" s="93">
        <f>AC4991/AA4997</f>
        <v>0.225183999999999</v>
      </c>
      <c r="AD4997" s="94">
        <f t="shared" ref="AD4997" si="3622">AC4997*Z4997</f>
        <v>2.2518399999999898</v>
      </c>
      <c r="AE4997" s="190"/>
      <c r="AF4997" s="191"/>
      <c r="AG4997" s="191"/>
      <c r="AH4997" s="191"/>
      <c r="AI4997" s="186"/>
      <c r="AK4997" s="171"/>
    </row>
    <row r="4998" spans="1:37" s="103" customFormat="1" ht="19.899999999999999" customHeight="1" x14ac:dyDescent="0.25">
      <c r="A4998" s="51"/>
      <c r="B4998" s="52"/>
      <c r="C4998" s="165"/>
      <c r="D4998" s="52"/>
      <c r="E4998" s="115"/>
      <c r="F4998" s="58"/>
      <c r="G4998" s="58"/>
      <c r="H4998" s="58"/>
      <c r="I4998" s="55"/>
      <c r="J4998" s="113">
        <f>J4985</f>
        <v>3.9999999999999813E-2</v>
      </c>
      <c r="K4998" s="212">
        <f>K4985</f>
        <v>3.9999999999999813E-2</v>
      </c>
      <c r="L4998" s="58"/>
      <c r="M4998" s="58">
        <f>K4998-L4998</f>
        <v>3.9999999999999813E-2</v>
      </c>
      <c r="N4998" s="166"/>
      <c r="O4998" s="58"/>
      <c r="P4998" s="58"/>
      <c r="Q4998" s="58"/>
      <c r="R4998" s="58"/>
      <c r="S4998" s="58"/>
      <c r="T4998" s="220"/>
      <c r="U4998" s="88"/>
      <c r="V4998" s="56"/>
      <c r="W4998" s="57" t="s">
        <v>1275</v>
      </c>
      <c r="X4998" s="53"/>
      <c r="Y4998" s="91" t="s">
        <v>35</v>
      </c>
      <c r="Z4998" s="136">
        <f>AD4998/AC4998</f>
        <v>10622.800000000001</v>
      </c>
      <c r="AA4998" s="58"/>
      <c r="AB4998" s="53">
        <f>AD4998/AC4998</f>
        <v>10622.800000000001</v>
      </c>
      <c r="AC4998" s="53">
        <f>M4998+$AE$10</f>
        <v>3.9999999999999813E-2</v>
      </c>
      <c r="AD4998" s="54">
        <f>SUM(AD4999:AD5005)</f>
        <v>424.91199999999805</v>
      </c>
      <c r="AE4998" s="184">
        <f>SUMIFS($AD$37:$AD$12971,$V$37:$V$12971,$V4998,$X$37:$X$12971,AE$13)</f>
        <v>0</v>
      </c>
      <c r="AF4998" s="185">
        <f>SUMIFS($AD$37:$AD$12971,$V$37:$V$12971,$V4998,$X$37:$X$12971,AF$13)</f>
        <v>0</v>
      </c>
      <c r="AG4998" s="185">
        <f>SUMIFS($AD$37:$AD$12971,$V$37:$V$12971,$V4998,$X$37:$X$12971,AG$13)</f>
        <v>0</v>
      </c>
      <c r="AH4998" s="187">
        <f>SUMIFS($AD$37:$AD$12971,$V$37:$V$12971,$V4998,$X$37:$X$12971,AH$13)</f>
        <v>0</v>
      </c>
      <c r="AI4998" s="161">
        <f t="shared" ref="AI4998" si="3623">SUM(AE4998:AH4998)</f>
        <v>0</v>
      </c>
      <c r="AK4998" s="172"/>
    </row>
    <row r="4999" spans="1:37" s="102" customFormat="1" ht="19.899999999999999" customHeight="1" x14ac:dyDescent="0.25">
      <c r="A4999" s="45"/>
      <c r="B4999" s="59"/>
      <c r="C4999" s="137"/>
      <c r="D4999" s="59"/>
      <c r="E4999" s="116"/>
      <c r="F4999" s="120"/>
      <c r="G4999" s="120"/>
      <c r="H4999" s="120"/>
      <c r="I4999" s="60"/>
      <c r="J4999" s="116"/>
      <c r="K4999" s="213"/>
      <c r="L4999" s="120"/>
      <c r="M4999" s="120"/>
      <c r="N4999" s="167"/>
      <c r="O4999" s="120"/>
      <c r="P4999" s="120"/>
      <c r="Q4999" s="120"/>
      <c r="R4999" s="120"/>
      <c r="S4999" s="120"/>
      <c r="T4999" s="221"/>
      <c r="U4999" s="89"/>
      <c r="V4999" s="61"/>
      <c r="W4999" s="92" t="s">
        <v>1492</v>
      </c>
      <c r="X4999" s="93" t="s">
        <v>30</v>
      </c>
      <c r="Y4999" s="93" t="s">
        <v>35</v>
      </c>
      <c r="Z4999" s="134">
        <f>VLOOKUP(W4999,Sheet2!$B:$D,3,FALSE)</f>
        <v>5350</v>
      </c>
      <c r="AA4999" s="93">
        <v>1</v>
      </c>
      <c r="AB4999" s="93">
        <f>AD4999/AC4998</f>
        <v>5350</v>
      </c>
      <c r="AC4999" s="93">
        <f>AC4998/AA4999</f>
        <v>3.9999999999999813E-2</v>
      </c>
      <c r="AD4999" s="94">
        <f t="shared" ref="AD4999:AD5001" si="3624">AC4999*Z4999</f>
        <v>213.99999999999901</v>
      </c>
      <c r="AE4999" s="190"/>
      <c r="AF4999" s="191"/>
      <c r="AG4999" s="191"/>
      <c r="AH4999" s="191"/>
      <c r="AI4999" s="186"/>
      <c r="AK4999" s="171"/>
    </row>
    <row r="5000" spans="1:37" s="102" customFormat="1" ht="19.899999999999999" customHeight="1" x14ac:dyDescent="0.25">
      <c r="A5000" s="45"/>
      <c r="B5000" s="59"/>
      <c r="C5000" s="137"/>
      <c r="D5000" s="59"/>
      <c r="E5000" s="116"/>
      <c r="F5000" s="120"/>
      <c r="G5000" s="120"/>
      <c r="H5000" s="120"/>
      <c r="I5000" s="60"/>
      <c r="J5000" s="116"/>
      <c r="K5000" s="213"/>
      <c r="L5000" s="120"/>
      <c r="M5000" s="120"/>
      <c r="N5000" s="167"/>
      <c r="O5000" s="120"/>
      <c r="P5000" s="120"/>
      <c r="Q5000" s="120"/>
      <c r="R5000" s="120"/>
      <c r="S5000" s="120"/>
      <c r="T5000" s="221"/>
      <c r="U5000" s="89"/>
      <c r="V5000" s="61"/>
      <c r="W5000" s="92" t="s">
        <v>1542</v>
      </c>
      <c r="X5000" s="93" t="s">
        <v>30</v>
      </c>
      <c r="Y5000" s="93" t="s">
        <v>1349</v>
      </c>
      <c r="Z5000" s="134">
        <f>VLOOKUP(W5000,Sheet2!$B:$D,3,FALSE)</f>
        <v>3500</v>
      </c>
      <c r="AA5000" s="93">
        <v>1</v>
      </c>
      <c r="AB5000" s="93">
        <f>AD5000/AC4998</f>
        <v>3500</v>
      </c>
      <c r="AC5000" s="93">
        <f>AC4998/AA5000</f>
        <v>3.9999999999999813E-2</v>
      </c>
      <c r="AD5000" s="94">
        <f t="shared" ref="AD5000" si="3625">AC5000*Z5000</f>
        <v>139.99999999999935</v>
      </c>
      <c r="AE5000" s="190"/>
      <c r="AF5000" s="191"/>
      <c r="AG5000" s="191"/>
      <c r="AH5000" s="191"/>
      <c r="AI5000" s="186"/>
      <c r="AK5000" s="171"/>
    </row>
    <row r="5001" spans="1:37" s="102" customFormat="1" ht="19.899999999999999" customHeight="1" x14ac:dyDescent="0.25">
      <c r="A5001" s="45"/>
      <c r="B5001" s="59"/>
      <c r="C5001" s="137"/>
      <c r="D5001" s="59"/>
      <c r="E5001" s="116"/>
      <c r="F5001" s="120"/>
      <c r="G5001" s="120"/>
      <c r="H5001" s="120"/>
      <c r="I5001" s="60"/>
      <c r="J5001" s="116"/>
      <c r="K5001" s="213"/>
      <c r="L5001" s="120"/>
      <c r="M5001" s="120"/>
      <c r="N5001" s="167"/>
      <c r="O5001" s="120"/>
      <c r="P5001" s="120"/>
      <c r="Q5001" s="120"/>
      <c r="R5001" s="120"/>
      <c r="S5001" s="120"/>
      <c r="T5001" s="221"/>
      <c r="U5001" s="89"/>
      <c r="V5001" s="61"/>
      <c r="W5001" s="92" t="s">
        <v>174</v>
      </c>
      <c r="X5001" s="93" t="s">
        <v>29</v>
      </c>
      <c r="Y5001" s="93" t="s">
        <v>93</v>
      </c>
      <c r="Z5001" s="134">
        <f>VLOOKUP(W5001,Sheet2!$B:$D,3,FALSE)</f>
        <v>80</v>
      </c>
      <c r="AA5001" s="93">
        <f>1/2</f>
        <v>0.5</v>
      </c>
      <c r="AB5001" s="93">
        <f>AD5001/AC4998</f>
        <v>160</v>
      </c>
      <c r="AC5001" s="93">
        <f>AC4998/AA5001</f>
        <v>7.9999999999999627E-2</v>
      </c>
      <c r="AD5001" s="94">
        <f t="shared" si="3624"/>
        <v>6.3999999999999702</v>
      </c>
      <c r="AE5001" s="190"/>
      <c r="AF5001" s="191"/>
      <c r="AG5001" s="191"/>
      <c r="AH5001" s="191"/>
      <c r="AI5001" s="186"/>
      <c r="AK5001" s="171"/>
    </row>
    <row r="5002" spans="1:37" s="102" customFormat="1" ht="19.899999999999999" customHeight="1" x14ac:dyDescent="0.25">
      <c r="A5002" s="45"/>
      <c r="B5002" s="59"/>
      <c r="C5002" s="137"/>
      <c r="D5002" s="59"/>
      <c r="E5002" s="116"/>
      <c r="F5002" s="120"/>
      <c r="G5002" s="120"/>
      <c r="H5002" s="120"/>
      <c r="I5002" s="60"/>
      <c r="J5002" s="116"/>
      <c r="K5002" s="213"/>
      <c r="L5002" s="120"/>
      <c r="M5002" s="120"/>
      <c r="N5002" s="167"/>
      <c r="O5002" s="120"/>
      <c r="P5002" s="120"/>
      <c r="Q5002" s="120"/>
      <c r="R5002" s="120"/>
      <c r="S5002" s="120"/>
      <c r="T5002" s="221"/>
      <c r="U5002" s="89"/>
      <c r="V5002" s="61"/>
      <c r="W5002" s="92" t="s">
        <v>65</v>
      </c>
      <c r="X5002" s="93" t="s">
        <v>30</v>
      </c>
      <c r="Y5002" s="93" t="s">
        <v>93</v>
      </c>
      <c r="Z5002" s="134">
        <f>VLOOKUP(W5002,Sheet2!$B:$D,3,FALSE)</f>
        <v>1.76</v>
      </c>
      <c r="AA5002" s="93">
        <f>AA5001/15</f>
        <v>3.3333333333333333E-2</v>
      </c>
      <c r="AB5002" s="93">
        <f>AD5002/AC4998</f>
        <v>52.800000000000004</v>
      </c>
      <c r="AC5002" s="93">
        <f>AC4998/AA5002</f>
        <v>1.1999999999999944</v>
      </c>
      <c r="AD5002" s="94">
        <f>AC5002*Z5002</f>
        <v>2.1119999999999903</v>
      </c>
      <c r="AE5002" s="190"/>
      <c r="AF5002" s="191"/>
      <c r="AG5002" s="191"/>
      <c r="AH5002" s="191"/>
      <c r="AI5002" s="186"/>
      <c r="AK5002" s="171"/>
    </row>
    <row r="5003" spans="1:37" s="102" customFormat="1" ht="19.899999999999999" customHeight="1" x14ac:dyDescent="0.25">
      <c r="A5003" s="45"/>
      <c r="B5003" s="59"/>
      <c r="C5003" s="137"/>
      <c r="D5003" s="59"/>
      <c r="E5003" s="116"/>
      <c r="F5003" s="120"/>
      <c r="G5003" s="120"/>
      <c r="H5003" s="120"/>
      <c r="I5003" s="60"/>
      <c r="J5003" s="116"/>
      <c r="K5003" s="213"/>
      <c r="L5003" s="120"/>
      <c r="M5003" s="120"/>
      <c r="N5003" s="167"/>
      <c r="O5003" s="120"/>
      <c r="P5003" s="120"/>
      <c r="Q5003" s="120"/>
      <c r="R5003" s="120"/>
      <c r="S5003" s="120"/>
      <c r="T5003" s="221"/>
      <c r="U5003" s="89"/>
      <c r="V5003" s="61"/>
      <c r="W5003" s="92" t="s">
        <v>1487</v>
      </c>
      <c r="X5003" s="93" t="s">
        <v>32</v>
      </c>
      <c r="Y5003" s="93" t="s">
        <v>1349</v>
      </c>
      <c r="Z5003" s="134">
        <f>VLOOKUP(W5003,Sheet2!$B:$D,3,FALSE)</f>
        <v>1500</v>
      </c>
      <c r="AA5003" s="93">
        <v>1</v>
      </c>
      <c r="AB5003" s="93">
        <f>AD5003/AC4998</f>
        <v>1500</v>
      </c>
      <c r="AC5003" s="93">
        <f>AC4998/AA5003</f>
        <v>3.9999999999999813E-2</v>
      </c>
      <c r="AD5003" s="94">
        <f>AC5003*Z5003</f>
        <v>59.999999999999723</v>
      </c>
      <c r="AE5003" s="190"/>
      <c r="AF5003" s="191"/>
      <c r="AG5003" s="191"/>
      <c r="AH5003" s="191"/>
      <c r="AI5003" s="186"/>
      <c r="AK5003" s="171"/>
    </row>
    <row r="5004" spans="1:37" s="102" customFormat="1" ht="19.899999999999999" customHeight="1" x14ac:dyDescent="0.25">
      <c r="A5004" s="45"/>
      <c r="B5004" s="59"/>
      <c r="C5004" s="137"/>
      <c r="D5004" s="59"/>
      <c r="E5004" s="116"/>
      <c r="F5004" s="120"/>
      <c r="G5004" s="120"/>
      <c r="H5004" s="120"/>
      <c r="I5004" s="60"/>
      <c r="J5004" s="116"/>
      <c r="K5004" s="213"/>
      <c r="L5004" s="120"/>
      <c r="M5004" s="120"/>
      <c r="N5004" s="167"/>
      <c r="O5004" s="120"/>
      <c r="P5004" s="120"/>
      <c r="Q5004" s="120"/>
      <c r="R5004" s="120"/>
      <c r="S5004" s="120"/>
      <c r="T5004" s="221"/>
      <c r="U5004" s="89"/>
      <c r="V5004" s="61"/>
      <c r="W5004" s="92" t="s">
        <v>107</v>
      </c>
      <c r="X5004" s="93" t="s">
        <v>31</v>
      </c>
      <c r="Y5004" s="93" t="s">
        <v>93</v>
      </c>
      <c r="Z5004" s="134">
        <f>VLOOKUP(W5004,Sheet2!$B:$D,3,FALSE)</f>
        <v>17</v>
      </c>
      <c r="AA5004" s="93">
        <f>AA5001</f>
        <v>0.5</v>
      </c>
      <c r="AB5004" s="93">
        <f>AD5004/AC4998</f>
        <v>34</v>
      </c>
      <c r="AC5004" s="93">
        <f>AC4998/AA5004</f>
        <v>7.9999999999999627E-2</v>
      </c>
      <c r="AD5004" s="94">
        <f>AC5004*Z5004</f>
        <v>1.3599999999999937</v>
      </c>
      <c r="AE5004" s="190"/>
      <c r="AF5004" s="191"/>
      <c r="AG5004" s="191"/>
      <c r="AH5004" s="191"/>
      <c r="AI5004" s="186"/>
      <c r="AK5004" s="171"/>
    </row>
    <row r="5005" spans="1:37" s="102" customFormat="1" ht="19.899999999999999" customHeight="1" x14ac:dyDescent="0.25">
      <c r="A5005" s="45"/>
      <c r="B5005" s="59"/>
      <c r="C5005" s="137"/>
      <c r="D5005" s="59"/>
      <c r="E5005" s="116"/>
      <c r="F5005" s="120"/>
      <c r="G5005" s="120"/>
      <c r="H5005" s="120"/>
      <c r="I5005" s="60"/>
      <c r="J5005" s="116"/>
      <c r="K5005" s="213"/>
      <c r="L5005" s="120"/>
      <c r="M5005" s="120"/>
      <c r="N5005" s="167"/>
      <c r="O5005" s="120"/>
      <c r="P5005" s="120"/>
      <c r="Q5005" s="120"/>
      <c r="R5005" s="120"/>
      <c r="S5005" s="120"/>
      <c r="T5005" s="221"/>
      <c r="U5005" s="89"/>
      <c r="V5005" s="61"/>
      <c r="W5005" s="92" t="s">
        <v>112</v>
      </c>
      <c r="X5005" s="93" t="s">
        <v>31</v>
      </c>
      <c r="Y5005" s="93" t="s">
        <v>93</v>
      </c>
      <c r="Z5005" s="134">
        <f>VLOOKUP(W5005,Sheet2!$B:$D,3,FALSE)</f>
        <v>13</v>
      </c>
      <c r="AA5005" s="93">
        <f>AA5004</f>
        <v>0.5</v>
      </c>
      <c r="AB5005" s="93">
        <f>AD5005/AC4998</f>
        <v>26</v>
      </c>
      <c r="AC5005" s="93">
        <f>AC4998/AA5005</f>
        <v>7.9999999999999627E-2</v>
      </c>
      <c r="AD5005" s="94">
        <f>AC5005*Z5005</f>
        <v>1.0399999999999952</v>
      </c>
      <c r="AE5005" s="190"/>
      <c r="AF5005" s="191"/>
      <c r="AG5005" s="191"/>
      <c r="AH5005" s="191"/>
      <c r="AI5005" s="186"/>
      <c r="AK5005" s="171"/>
    </row>
    <row r="5006" spans="1:37" s="103" customFormat="1" ht="19.899999999999999" customHeight="1" x14ac:dyDescent="0.25">
      <c r="A5006" s="51"/>
      <c r="B5006" s="52"/>
      <c r="C5006" s="165"/>
      <c r="D5006" s="52"/>
      <c r="E5006" s="115"/>
      <c r="F5006" s="58"/>
      <c r="G5006" s="58"/>
      <c r="H5006" s="58"/>
      <c r="I5006" s="55"/>
      <c r="J5006" s="113">
        <f>J4985</f>
        <v>3.9999999999999813E-2</v>
      </c>
      <c r="K5006" s="212">
        <f>K4985</f>
        <v>3.9999999999999813E-2</v>
      </c>
      <c r="L5006" s="58"/>
      <c r="M5006" s="58">
        <f>K5006-L5006</f>
        <v>3.9999999999999813E-2</v>
      </c>
      <c r="N5006" s="166"/>
      <c r="O5006" s="58"/>
      <c r="P5006" s="58"/>
      <c r="Q5006" s="58"/>
      <c r="R5006" s="58"/>
      <c r="S5006" s="58"/>
      <c r="T5006" s="220"/>
      <c r="U5006" s="88"/>
      <c r="V5006" s="56"/>
      <c r="W5006" s="57" t="s">
        <v>1272</v>
      </c>
      <c r="X5006" s="53"/>
      <c r="Y5006" s="91" t="s">
        <v>35</v>
      </c>
      <c r="Z5006" s="136">
        <f>AD5006/AC5006</f>
        <v>421.66572388392166</v>
      </c>
      <c r="AA5006" s="58"/>
      <c r="AB5006" s="53">
        <f>AD5006/AC5006</f>
        <v>421.66572388392166</v>
      </c>
      <c r="AC5006" s="53">
        <f>M5006+$AE$10</f>
        <v>3.9999999999999813E-2</v>
      </c>
      <c r="AD5006" s="54">
        <f>SUM(AD5007:AD5015)</f>
        <v>16.866628955356788</v>
      </c>
      <c r="AE5006" s="184">
        <f>SUMIFS($AD$37:$AD$12971,$V$37:$V$12971,$V5006,$X$37:$X$12971,AE$13)</f>
        <v>0</v>
      </c>
      <c r="AF5006" s="185">
        <f>SUMIFS($AD$37:$AD$12971,$V$37:$V$12971,$V5006,$X$37:$X$12971,AF$13)</f>
        <v>0</v>
      </c>
      <c r="AG5006" s="185">
        <f>SUMIFS($AD$37:$AD$12971,$V$37:$V$12971,$V5006,$X$37:$X$12971,AG$13)</f>
        <v>0</v>
      </c>
      <c r="AH5006" s="187">
        <f>SUMIFS($AD$37:$AD$12971,$V$37:$V$12971,$V5006,$X$37:$X$12971,AH$13)</f>
        <v>0</v>
      </c>
      <c r="AI5006" s="161">
        <f t="shared" ref="AI5006" si="3626">SUM(AE5006:AH5006)</f>
        <v>0</v>
      </c>
      <c r="AK5006" s="172"/>
    </row>
    <row r="5007" spans="1:37" s="102" customFormat="1" ht="19.899999999999999" customHeight="1" x14ac:dyDescent="0.25">
      <c r="A5007" s="45"/>
      <c r="B5007" s="59"/>
      <c r="C5007" s="137"/>
      <c r="D5007" s="59"/>
      <c r="E5007" s="116"/>
      <c r="F5007" s="120"/>
      <c r="G5007" s="120"/>
      <c r="H5007" s="120"/>
      <c r="I5007" s="60"/>
      <c r="J5007" s="116"/>
      <c r="K5007" s="213"/>
      <c r="L5007" s="120"/>
      <c r="M5007" s="120"/>
      <c r="N5007" s="167"/>
      <c r="O5007" s="120"/>
      <c r="P5007" s="120"/>
      <c r="Q5007" s="120"/>
      <c r="R5007" s="120"/>
      <c r="S5007" s="120"/>
      <c r="T5007" s="221"/>
      <c r="U5007" s="89"/>
      <c r="V5007" s="61"/>
      <c r="W5007" s="92" t="s">
        <v>1273</v>
      </c>
      <c r="X5007" s="93" t="s">
        <v>30</v>
      </c>
      <c r="Y5007" s="93" t="s">
        <v>66</v>
      </c>
      <c r="Z5007" s="134">
        <f>VLOOKUP(W5007,Sheet2!$B:$D,3,FALSE)</f>
        <v>10</v>
      </c>
      <c r="AA5007" s="93">
        <f>1/((2.5*2.5*4)-(3.14/4*1.2*1.2*4))</f>
        <v>4.8831939995312129E-2</v>
      </c>
      <c r="AB5007" s="93">
        <f>AD5007/AC5006</f>
        <v>204.78400000000005</v>
      </c>
      <c r="AC5007" s="93">
        <f>AC5006/AA5007</f>
        <v>0.81913599999999631</v>
      </c>
      <c r="AD5007" s="94">
        <f t="shared" ref="AD5007:AD5009" si="3627">AC5007*Z5007</f>
        <v>8.191359999999964</v>
      </c>
      <c r="AE5007" s="190"/>
      <c r="AF5007" s="191"/>
      <c r="AG5007" s="191"/>
      <c r="AH5007" s="191"/>
      <c r="AI5007" s="186"/>
      <c r="AK5007" s="171"/>
    </row>
    <row r="5008" spans="1:37" s="102" customFormat="1" ht="19.899999999999999" customHeight="1" x14ac:dyDescent="0.25">
      <c r="A5008" s="45"/>
      <c r="B5008" s="59"/>
      <c r="C5008" s="137"/>
      <c r="D5008" s="59"/>
      <c r="E5008" s="116"/>
      <c r="F5008" s="120"/>
      <c r="G5008" s="120"/>
      <c r="H5008" s="120"/>
      <c r="I5008" s="60"/>
      <c r="J5008" s="116"/>
      <c r="K5008" s="213"/>
      <c r="L5008" s="120"/>
      <c r="M5008" s="120"/>
      <c r="N5008" s="167"/>
      <c r="O5008" s="120"/>
      <c r="P5008" s="120"/>
      <c r="Q5008" s="120"/>
      <c r="R5008" s="120"/>
      <c r="S5008" s="120"/>
      <c r="T5008" s="221"/>
      <c r="U5008" s="89"/>
      <c r="V5008" s="61"/>
      <c r="W5008" s="92" t="s">
        <v>134</v>
      </c>
      <c r="X5008" s="93" t="s">
        <v>29</v>
      </c>
      <c r="Y5008" s="93" t="s">
        <v>93</v>
      </c>
      <c r="Z5008" s="134">
        <f>VLOOKUP(W5008,Sheet2!$B:$D,3,FALSE)</f>
        <v>65.599999999999994</v>
      </c>
      <c r="AA5008" s="93">
        <f>100/((2.5*2.5*4)-(3.14/4*1.2*1.2*4))</f>
        <v>4.8831939995312128</v>
      </c>
      <c r="AB5008" s="93">
        <f t="shared" ref="AB5008" si="3628">AD5008/AC5006</f>
        <v>13.433830400000002</v>
      </c>
      <c r="AC5008" s="93">
        <f>AC5006/AA5008</f>
        <v>8.1913599999999635E-3</v>
      </c>
      <c r="AD5008" s="94">
        <f t="shared" si="3627"/>
        <v>0.53735321599999752</v>
      </c>
      <c r="AE5008" s="190"/>
      <c r="AF5008" s="191"/>
      <c r="AG5008" s="191"/>
      <c r="AH5008" s="191"/>
      <c r="AI5008" s="186"/>
      <c r="AK5008" s="171"/>
    </row>
    <row r="5009" spans="1:41" s="102" customFormat="1" ht="19.899999999999999" customHeight="1" x14ac:dyDescent="0.25">
      <c r="A5009" s="45"/>
      <c r="B5009" s="59"/>
      <c r="C5009" s="137"/>
      <c r="D5009" s="59"/>
      <c r="E5009" s="116"/>
      <c r="F5009" s="120"/>
      <c r="G5009" s="120"/>
      <c r="H5009" s="120"/>
      <c r="I5009" s="60"/>
      <c r="J5009" s="116"/>
      <c r="K5009" s="213"/>
      <c r="L5009" s="120"/>
      <c r="M5009" s="120"/>
      <c r="N5009" s="167"/>
      <c r="O5009" s="120"/>
      <c r="P5009" s="120"/>
      <c r="Q5009" s="120"/>
      <c r="R5009" s="120"/>
      <c r="S5009" s="120"/>
      <c r="T5009" s="221"/>
      <c r="U5009" s="89"/>
      <c r="V5009" s="61"/>
      <c r="W5009" s="92" t="s">
        <v>65</v>
      </c>
      <c r="X5009" s="93" t="s">
        <v>30</v>
      </c>
      <c r="Y5009" s="93" t="s">
        <v>1011</v>
      </c>
      <c r="Z5009" s="134">
        <f>VLOOKUP(W5009,Sheet2!$B:$D,3,FALSE)</f>
        <v>1.76</v>
      </c>
      <c r="AA5009" s="93">
        <f>AA5008/9</f>
        <v>0.54257711105902362</v>
      </c>
      <c r="AB5009" s="93">
        <f>AD5009/AC5006</f>
        <v>3.2437785600000004</v>
      </c>
      <c r="AC5009" s="93">
        <f>AC5006/AA5009</f>
        <v>7.3722239999999661E-2</v>
      </c>
      <c r="AD5009" s="94">
        <f t="shared" si="3627"/>
        <v>0.12975114239999941</v>
      </c>
      <c r="AE5009" s="190"/>
      <c r="AF5009" s="191"/>
      <c r="AG5009" s="191"/>
      <c r="AH5009" s="191"/>
      <c r="AI5009" s="186"/>
      <c r="AK5009" s="171"/>
    </row>
    <row r="5010" spans="1:41" s="102" customFormat="1" ht="19.899999999999999" customHeight="1" x14ac:dyDescent="0.25">
      <c r="A5010" s="45"/>
      <c r="B5010" s="59"/>
      <c r="C5010" s="137"/>
      <c r="D5010" s="59"/>
      <c r="E5010" s="116"/>
      <c r="F5010" s="120"/>
      <c r="G5010" s="120"/>
      <c r="H5010" s="120"/>
      <c r="I5010" s="60"/>
      <c r="J5010" s="116"/>
      <c r="K5010" s="213"/>
      <c r="L5010" s="120"/>
      <c r="M5010" s="120"/>
      <c r="N5010" s="167"/>
      <c r="O5010" s="120"/>
      <c r="P5010" s="120"/>
      <c r="Q5010" s="120"/>
      <c r="R5010" s="120"/>
      <c r="S5010" s="120"/>
      <c r="T5010" s="221"/>
      <c r="U5010" s="89"/>
      <c r="V5010" s="61"/>
      <c r="W5010" s="92" t="s">
        <v>161</v>
      </c>
      <c r="X5010" s="93" t="s">
        <v>29</v>
      </c>
      <c r="Y5010" s="93" t="s">
        <v>93</v>
      </c>
      <c r="Z5010" s="134">
        <f>VLOOKUP(W5010,Sheet2!$B:$D,3,FALSE)</f>
        <v>48</v>
      </c>
      <c r="AA5010" s="93">
        <f>(16*0.85*1.5)/((2.5*2.5*4)-(3.14/4*1.2*1.2*4))</f>
        <v>0.99617157590436745</v>
      </c>
      <c r="AB5010" s="93">
        <f>AD5010/AC5006</f>
        <v>48.1844705882353</v>
      </c>
      <c r="AC5010" s="93">
        <f>AC5006/AA5010</f>
        <v>4.0153725490195892E-2</v>
      </c>
      <c r="AD5010" s="94">
        <f>AC5010*Z5010</f>
        <v>1.9273788235294029</v>
      </c>
      <c r="AE5010" s="190"/>
      <c r="AF5010" s="191"/>
      <c r="AG5010" s="191"/>
      <c r="AH5010" s="191"/>
      <c r="AI5010" s="186"/>
      <c r="AK5010" s="171"/>
    </row>
    <row r="5011" spans="1:41" s="102" customFormat="1" ht="19.899999999999999" customHeight="1" x14ac:dyDescent="0.25">
      <c r="A5011" s="45"/>
      <c r="B5011" s="59"/>
      <c r="C5011" s="137"/>
      <c r="D5011" s="59"/>
      <c r="E5011" s="116"/>
      <c r="F5011" s="120"/>
      <c r="G5011" s="120"/>
      <c r="H5011" s="120"/>
      <c r="I5011" s="60"/>
      <c r="J5011" s="116"/>
      <c r="K5011" s="213"/>
      <c r="L5011" s="120"/>
      <c r="M5011" s="120"/>
      <c r="N5011" s="167"/>
      <c r="O5011" s="120"/>
      <c r="P5011" s="120"/>
      <c r="Q5011" s="120"/>
      <c r="R5011" s="120"/>
      <c r="S5011" s="120"/>
      <c r="T5011" s="221"/>
      <c r="U5011" s="89"/>
      <c r="V5011" s="61"/>
      <c r="W5011" s="92" t="s">
        <v>65</v>
      </c>
      <c r="X5011" s="93" t="s">
        <v>30</v>
      </c>
      <c r="Y5011" s="93" t="s">
        <v>1011</v>
      </c>
      <c r="Z5011" s="134">
        <f>VLOOKUP(W5011,Sheet2!$B:$D,3,FALSE)</f>
        <v>1.76</v>
      </c>
      <c r="AA5011" s="93">
        <f>AA5010/10</f>
        <v>9.9617157590436739E-2</v>
      </c>
      <c r="AB5011" s="93">
        <f>AD5011/AC5006</f>
        <v>17.667639215686279</v>
      </c>
      <c r="AC5011" s="93">
        <f>AC5006/AA5011</f>
        <v>0.40153725490195896</v>
      </c>
      <c r="AD5011" s="94">
        <f>AC5011*Z5011</f>
        <v>0.70670556862744782</v>
      </c>
      <c r="AE5011" s="190"/>
      <c r="AF5011" s="191"/>
      <c r="AG5011" s="191"/>
      <c r="AH5011" s="191"/>
      <c r="AI5011" s="186"/>
      <c r="AK5011" s="171"/>
    </row>
    <row r="5012" spans="1:41" s="102" customFormat="1" ht="19.899999999999999" customHeight="1" x14ac:dyDescent="0.25">
      <c r="A5012" s="45"/>
      <c r="B5012" s="59"/>
      <c r="C5012" s="137"/>
      <c r="D5012" s="59"/>
      <c r="E5012" s="116"/>
      <c r="F5012" s="120"/>
      <c r="G5012" s="120"/>
      <c r="H5012" s="120"/>
      <c r="I5012" s="60"/>
      <c r="J5012" s="116"/>
      <c r="K5012" s="213"/>
      <c r="L5012" s="120"/>
      <c r="M5012" s="120"/>
      <c r="N5012" s="167"/>
      <c r="O5012" s="120"/>
      <c r="P5012" s="120"/>
      <c r="Q5012" s="120"/>
      <c r="R5012" s="120"/>
      <c r="S5012" s="120"/>
      <c r="T5012" s="221"/>
      <c r="U5012" s="89"/>
      <c r="V5012" s="61"/>
      <c r="W5012" s="92" t="s">
        <v>173</v>
      </c>
      <c r="X5012" s="93" t="s">
        <v>29</v>
      </c>
      <c r="Y5012" s="93" t="s">
        <v>93</v>
      </c>
      <c r="Z5012" s="134">
        <f>VLOOKUP(W5012,Sheet2!$B:$D,3,FALSE)</f>
        <v>36</v>
      </c>
      <c r="AA5012" s="93">
        <f>50/((2.5*2.5*4)-(3.14/4*1.2*1.2*4))</f>
        <v>2.4415969997656064</v>
      </c>
      <c r="AB5012" s="93">
        <f>AD5012/AC5006</f>
        <v>14.744448000000004</v>
      </c>
      <c r="AC5012" s="93">
        <f>AC5006/AA5012</f>
        <v>1.6382719999999927E-2</v>
      </c>
      <c r="AD5012" s="94">
        <f>AC5012*Z5012</f>
        <v>0.5897779199999974</v>
      </c>
      <c r="AE5012" s="190"/>
      <c r="AF5012" s="191"/>
      <c r="AG5012" s="191"/>
      <c r="AH5012" s="191"/>
      <c r="AI5012" s="186"/>
      <c r="AK5012" s="171"/>
    </row>
    <row r="5013" spans="1:41" s="102" customFormat="1" ht="19.899999999999999" customHeight="1" x14ac:dyDescent="0.25">
      <c r="A5013" s="45"/>
      <c r="B5013" s="59"/>
      <c r="C5013" s="137"/>
      <c r="D5013" s="59"/>
      <c r="E5013" s="116"/>
      <c r="F5013" s="120"/>
      <c r="G5013" s="120"/>
      <c r="H5013" s="120"/>
      <c r="I5013" s="60"/>
      <c r="J5013" s="116"/>
      <c r="K5013" s="213"/>
      <c r="L5013" s="120"/>
      <c r="M5013" s="120"/>
      <c r="N5013" s="167"/>
      <c r="O5013" s="120"/>
      <c r="P5013" s="120"/>
      <c r="Q5013" s="120"/>
      <c r="R5013" s="120"/>
      <c r="S5013" s="120"/>
      <c r="T5013" s="221"/>
      <c r="U5013" s="89"/>
      <c r="V5013" s="61"/>
      <c r="W5013" s="92" t="s">
        <v>65</v>
      </c>
      <c r="X5013" s="93" t="s">
        <v>30</v>
      </c>
      <c r="Y5013" s="93" t="s">
        <v>1011</v>
      </c>
      <c r="Z5013" s="134">
        <f>VLOOKUP(W5013,Sheet2!$B:$D,3,FALSE)</f>
        <v>1.76</v>
      </c>
      <c r="AA5013" s="93">
        <f>AA5012/9</f>
        <v>0.27128855552951181</v>
      </c>
      <c r="AB5013" s="93">
        <f>AD5013/AC5006</f>
        <v>6.4875571200000008</v>
      </c>
      <c r="AC5013" s="93">
        <f>AC5006/AA5013</f>
        <v>0.14744447999999932</v>
      </c>
      <c r="AD5013" s="94">
        <f>AC5013*Z5013</f>
        <v>0.25950228479999882</v>
      </c>
      <c r="AE5013" s="190"/>
      <c r="AF5013" s="191"/>
      <c r="AG5013" s="191"/>
      <c r="AH5013" s="191"/>
      <c r="AI5013" s="186"/>
      <c r="AK5013" s="171"/>
    </row>
    <row r="5014" spans="1:41" s="102" customFormat="1" ht="19.899999999999999" customHeight="1" x14ac:dyDescent="0.25">
      <c r="A5014" s="45"/>
      <c r="B5014" s="59"/>
      <c r="C5014" s="137"/>
      <c r="D5014" s="59"/>
      <c r="E5014" s="116"/>
      <c r="F5014" s="120"/>
      <c r="G5014" s="120"/>
      <c r="H5014" s="120"/>
      <c r="I5014" s="60"/>
      <c r="J5014" s="116"/>
      <c r="K5014" s="213"/>
      <c r="L5014" s="120"/>
      <c r="M5014" s="120"/>
      <c r="N5014" s="167"/>
      <c r="O5014" s="120"/>
      <c r="P5014" s="120"/>
      <c r="Q5014" s="120"/>
      <c r="R5014" s="120"/>
      <c r="S5014" s="120"/>
      <c r="T5014" s="221"/>
      <c r="U5014" s="89"/>
      <c r="V5014" s="61"/>
      <c r="W5014" s="92" t="s">
        <v>1030</v>
      </c>
      <c r="X5014" s="93" t="s">
        <v>29</v>
      </c>
      <c r="Y5014" s="93" t="s">
        <v>93</v>
      </c>
      <c r="Z5014" s="134">
        <f>VLOOKUP(W5014,Sheet2!$B:$D,3,FALSE)</f>
        <v>23</v>
      </c>
      <c r="AA5014" s="93">
        <f>1/(4*1)</f>
        <v>0.25</v>
      </c>
      <c r="AB5014" s="93">
        <f>AD5014/AC5006</f>
        <v>92</v>
      </c>
      <c r="AC5014" s="93">
        <f>AC5006/AA5014</f>
        <v>0.15999999999999925</v>
      </c>
      <c r="AD5014" s="94">
        <f t="shared" ref="AD5014:AD5015" si="3629">AC5014*Z5014</f>
        <v>3.6799999999999828</v>
      </c>
      <c r="AE5014" s="190"/>
      <c r="AF5014" s="191"/>
      <c r="AG5014" s="191"/>
      <c r="AH5014" s="191"/>
      <c r="AI5014" s="186"/>
      <c r="AK5014" s="171"/>
    </row>
    <row r="5015" spans="1:41" s="102" customFormat="1" ht="19.899999999999999" customHeight="1" x14ac:dyDescent="0.25">
      <c r="A5015" s="45"/>
      <c r="B5015" s="59"/>
      <c r="C5015" s="137"/>
      <c r="D5015" s="59"/>
      <c r="E5015" s="116"/>
      <c r="F5015" s="120"/>
      <c r="G5015" s="120"/>
      <c r="H5015" s="120"/>
      <c r="I5015" s="60"/>
      <c r="J5015" s="116"/>
      <c r="K5015" s="213"/>
      <c r="L5015" s="120"/>
      <c r="M5015" s="120"/>
      <c r="N5015" s="167"/>
      <c r="O5015" s="120"/>
      <c r="P5015" s="120"/>
      <c r="Q5015" s="120"/>
      <c r="R5015" s="120"/>
      <c r="S5015" s="120"/>
      <c r="T5015" s="221"/>
      <c r="U5015" s="89"/>
      <c r="V5015" s="61"/>
      <c r="W5015" s="92" t="s">
        <v>65</v>
      </c>
      <c r="X5015" s="93" t="s">
        <v>30</v>
      </c>
      <c r="Y5015" s="93" t="s">
        <v>1011</v>
      </c>
      <c r="Z5015" s="134">
        <f>VLOOKUP(W5015,Sheet2!$B:$D,3,FALSE)</f>
        <v>1.76</v>
      </c>
      <c r="AA5015" s="93">
        <f>AA5014/3</f>
        <v>8.3333333333333329E-2</v>
      </c>
      <c r="AB5015" s="93">
        <f>AD5015/AC5006</f>
        <v>21.12</v>
      </c>
      <c r="AC5015" s="93">
        <f>AC5006/AA5015</f>
        <v>0.47999999999999776</v>
      </c>
      <c r="AD5015" s="94">
        <f t="shared" si="3629"/>
        <v>0.84479999999999611</v>
      </c>
      <c r="AE5015" s="190"/>
      <c r="AF5015" s="191"/>
      <c r="AG5015" s="191"/>
      <c r="AH5015" s="191"/>
      <c r="AI5015" s="186"/>
      <c r="AK5015" s="171"/>
    </row>
    <row r="5016" spans="1:41" ht="20.100000000000001" customHeight="1" x14ac:dyDescent="0.25">
      <c r="A5016" s="277" t="s">
        <v>491</v>
      </c>
      <c r="B5016" s="278"/>
      <c r="C5016" s="64" t="s">
        <v>579</v>
      </c>
      <c r="D5016" s="46" t="s">
        <v>328</v>
      </c>
      <c r="E5016" s="114">
        <v>1.1899999999999997</v>
      </c>
      <c r="F5016" s="44">
        <v>24641</v>
      </c>
      <c r="G5016" s="44">
        <f t="shared" si="3471"/>
        <v>29322.789999999994</v>
      </c>
      <c r="H5016" s="44">
        <f t="shared" si="3472"/>
        <v>13592.991115839997</v>
      </c>
      <c r="I5016" s="43">
        <f t="shared" si="3473"/>
        <v>16175.659427849592</v>
      </c>
      <c r="J5016" s="112">
        <f t="shared" si="3474"/>
        <v>1.1899999999999997</v>
      </c>
      <c r="K5016" s="211">
        <f t="shared" si="3475"/>
        <v>1.1899999999999997</v>
      </c>
      <c r="L5016" s="44"/>
      <c r="M5016" s="44">
        <f t="shared" si="3499"/>
        <v>1.1899999999999997</v>
      </c>
      <c r="N5016" s="173">
        <f t="shared" si="3476"/>
        <v>1</v>
      </c>
      <c r="O5016" s="44">
        <f t="shared" si="3477"/>
        <v>24641</v>
      </c>
      <c r="P5016" s="44">
        <f t="shared" si="3478"/>
        <v>29322.789999999994</v>
      </c>
      <c r="Q5016" s="44">
        <f t="shared" si="3479"/>
        <v>13592.991115839997</v>
      </c>
      <c r="R5016" s="44">
        <f t="shared" si="3500"/>
        <v>16175.659427849592</v>
      </c>
      <c r="S5016" s="123"/>
      <c r="T5016" s="219">
        <f t="shared" si="3501"/>
        <v>16175.659427849592</v>
      </c>
      <c r="U5016" s="87"/>
      <c r="V5016" s="47"/>
      <c r="W5016" s="48"/>
      <c r="X5016" s="48"/>
      <c r="Y5016" s="48"/>
      <c r="Z5016" s="135"/>
      <c r="AA5016" s="49"/>
      <c r="AB5016" s="50">
        <f t="shared" si="3480"/>
        <v>13592.991115839997</v>
      </c>
      <c r="AC5016" s="42">
        <f t="shared" si="3502"/>
        <v>1.1899999999999997</v>
      </c>
      <c r="AD5016" s="90">
        <f>AD5017+AD5022+AD5029+AD5037</f>
        <v>16175.659427849594</v>
      </c>
      <c r="AE5016" s="188">
        <f t="shared" ref="AE5016" si="3630">AE5017+AE5022+AE5029+AE5037</f>
        <v>0</v>
      </c>
      <c r="AF5016" s="189">
        <f t="shared" ref="AF5016" si="3631">AF5017+AF5022+AF5029+AF5037</f>
        <v>0</v>
      </c>
      <c r="AG5016" s="189">
        <f t="shared" ref="AG5016" si="3632">AG5017+AG5022+AG5029+AG5037</f>
        <v>0</v>
      </c>
      <c r="AH5016" s="189">
        <f t="shared" ref="AH5016" si="3633">AH5017+AH5022+AH5029+AH5037</f>
        <v>0</v>
      </c>
      <c r="AI5016" s="161">
        <f t="shared" ref="AI5016:AI5047" si="3634">SUM(AE5016:AH5016)</f>
        <v>0</v>
      </c>
      <c r="AK5016" s="169">
        <v>5</v>
      </c>
      <c r="AO5016" s="19" t="s">
        <v>63</v>
      </c>
    </row>
    <row r="5017" spans="1:41" s="103" customFormat="1" ht="19.899999999999999" customHeight="1" x14ac:dyDescent="0.25">
      <c r="A5017" s="51"/>
      <c r="B5017" s="52"/>
      <c r="C5017" s="165"/>
      <c r="D5017" s="52"/>
      <c r="E5017" s="115"/>
      <c r="F5017" s="58"/>
      <c r="G5017" s="58"/>
      <c r="H5017" s="58"/>
      <c r="I5017" s="55"/>
      <c r="J5017" s="113">
        <f>J5016</f>
        <v>1.1899999999999997</v>
      </c>
      <c r="K5017" s="212">
        <f>K5016</f>
        <v>1.1899999999999997</v>
      </c>
      <c r="L5017" s="58"/>
      <c r="M5017" s="58">
        <f>K5017-L5017</f>
        <v>1.1899999999999997</v>
      </c>
      <c r="N5017" s="166"/>
      <c r="O5017" s="58"/>
      <c r="P5017" s="58"/>
      <c r="Q5017" s="58"/>
      <c r="R5017" s="58"/>
      <c r="S5017" s="58"/>
      <c r="T5017" s="220"/>
      <c r="U5017" s="88"/>
      <c r="V5017" s="56"/>
      <c r="W5017" s="57" t="s">
        <v>1508</v>
      </c>
      <c r="X5017" s="53"/>
      <c r="Y5017" s="91" t="s">
        <v>35</v>
      </c>
      <c r="Z5017" s="136">
        <f>AD5017/AC5017</f>
        <v>113.12117647058825</v>
      </c>
      <c r="AA5017" s="58"/>
      <c r="AB5017" s="53">
        <f>AD5017/AC5017</f>
        <v>113.12117647058825</v>
      </c>
      <c r="AC5017" s="53">
        <f>M5017+$AE$10</f>
        <v>1.1899999999999997</v>
      </c>
      <c r="AD5017" s="54">
        <f>SUM(AD5018:AD5021)</f>
        <v>134.61419999999998</v>
      </c>
      <c r="AE5017" s="184">
        <f>SUMIFS($AD$37:$AD$12971,$V$37:$V$12971,$V5017,$X$37:$X$12971,AE$13)</f>
        <v>0</v>
      </c>
      <c r="AF5017" s="185">
        <f>SUMIFS($AD$37:$AD$12971,$V$37:$V$12971,$V5017,$X$37:$X$12971,AF$13)</f>
        <v>0</v>
      </c>
      <c r="AG5017" s="185">
        <f>SUMIFS($AD$37:$AD$12971,$V$37:$V$12971,$V5017,$X$37:$X$12971,AG$13)</f>
        <v>0</v>
      </c>
      <c r="AH5017" s="187">
        <f>SUMIFS($AD$37:$AD$12971,$V$37:$V$12971,$V5017,$X$37:$X$12971,AH$13)</f>
        <v>0</v>
      </c>
      <c r="AI5017" s="161">
        <f t="shared" ref="AI5017" si="3635">SUM(AE5017:AH5017)</f>
        <v>0</v>
      </c>
      <c r="AK5017" s="172"/>
    </row>
    <row r="5018" spans="1:41" s="102" customFormat="1" ht="19.899999999999999" customHeight="1" x14ac:dyDescent="0.25">
      <c r="A5018" s="45"/>
      <c r="B5018" s="59"/>
      <c r="C5018" s="137"/>
      <c r="D5018" s="59"/>
      <c r="E5018" s="116"/>
      <c r="F5018" s="120"/>
      <c r="G5018" s="120"/>
      <c r="H5018" s="120"/>
      <c r="I5018" s="60"/>
      <c r="J5018" s="116"/>
      <c r="K5018" s="213"/>
      <c r="L5018" s="120"/>
      <c r="M5018" s="120"/>
      <c r="N5018" s="167"/>
      <c r="O5018" s="120"/>
      <c r="P5018" s="120"/>
      <c r="Q5018" s="120"/>
      <c r="R5018" s="120"/>
      <c r="S5018" s="120"/>
      <c r="T5018" s="221"/>
      <c r="U5018" s="89"/>
      <c r="V5018" s="61"/>
      <c r="W5018" s="92" t="s">
        <v>129</v>
      </c>
      <c r="X5018" s="93" t="s">
        <v>29</v>
      </c>
      <c r="Y5018" s="93" t="s">
        <v>93</v>
      </c>
      <c r="Z5018" s="134">
        <f>VLOOKUP(W5018,Sheet2!$B:$D,3,FALSE)</f>
        <v>56</v>
      </c>
      <c r="AA5018" s="93">
        <f>100/(2.5*2.5*4.5)</f>
        <v>3.5555555555555554</v>
      </c>
      <c r="AB5018" s="93">
        <f t="shared" ref="AB5018" si="3636">AD5018/AC5017</f>
        <v>15.75</v>
      </c>
      <c r="AC5018" s="93">
        <f>AC5017/AA5018</f>
        <v>0.33468749999999992</v>
      </c>
      <c r="AD5018" s="94">
        <f t="shared" ref="AD5018:AD5019" si="3637">AC5018*Z5018</f>
        <v>18.742499999999996</v>
      </c>
      <c r="AE5018" s="190"/>
      <c r="AF5018" s="191"/>
      <c r="AG5018" s="191"/>
      <c r="AH5018" s="191"/>
      <c r="AI5018" s="186"/>
      <c r="AK5018" s="171"/>
    </row>
    <row r="5019" spans="1:41" s="102" customFormat="1" ht="19.899999999999999" customHeight="1" x14ac:dyDescent="0.25">
      <c r="A5019" s="45"/>
      <c r="B5019" s="59"/>
      <c r="C5019" s="137"/>
      <c r="D5019" s="59"/>
      <c r="E5019" s="116"/>
      <c r="F5019" s="120"/>
      <c r="G5019" s="120"/>
      <c r="H5019" s="120"/>
      <c r="I5019" s="60"/>
      <c r="J5019" s="116"/>
      <c r="K5019" s="213"/>
      <c r="L5019" s="120"/>
      <c r="M5019" s="120"/>
      <c r="N5019" s="167"/>
      <c r="O5019" s="120"/>
      <c r="P5019" s="120"/>
      <c r="Q5019" s="120"/>
      <c r="R5019" s="120"/>
      <c r="S5019" s="120"/>
      <c r="T5019" s="221"/>
      <c r="U5019" s="89"/>
      <c r="V5019" s="61"/>
      <c r="W5019" s="92" t="s">
        <v>65</v>
      </c>
      <c r="X5019" s="93" t="s">
        <v>30</v>
      </c>
      <c r="Y5019" s="93" t="s">
        <v>1011</v>
      </c>
      <c r="Z5019" s="134">
        <f>VLOOKUP(W5019,Sheet2!$B:$D,3,FALSE)</f>
        <v>1.76</v>
      </c>
      <c r="AA5019" s="93">
        <f>AA5018/14</f>
        <v>0.25396825396825395</v>
      </c>
      <c r="AB5019" s="93">
        <f>AD5019/AC5017</f>
        <v>6.9300000000000006</v>
      </c>
      <c r="AC5019" s="93">
        <f>AC5017/AA5019</f>
        <v>4.685624999999999</v>
      </c>
      <c r="AD5019" s="94">
        <f t="shared" si="3637"/>
        <v>8.2466999999999988</v>
      </c>
      <c r="AE5019" s="190"/>
      <c r="AF5019" s="191"/>
      <c r="AG5019" s="191"/>
      <c r="AH5019" s="191"/>
      <c r="AI5019" s="186"/>
      <c r="AK5019" s="171"/>
    </row>
    <row r="5020" spans="1:41" s="102" customFormat="1" ht="19.899999999999999" customHeight="1" x14ac:dyDescent="0.25">
      <c r="A5020" s="45"/>
      <c r="B5020" s="59"/>
      <c r="C5020" s="137"/>
      <c r="D5020" s="59"/>
      <c r="E5020" s="116"/>
      <c r="F5020" s="120"/>
      <c r="G5020" s="120"/>
      <c r="H5020" s="120"/>
      <c r="I5020" s="60"/>
      <c r="J5020" s="116"/>
      <c r="K5020" s="213"/>
      <c r="L5020" s="120"/>
      <c r="M5020" s="120"/>
      <c r="N5020" s="167"/>
      <c r="O5020" s="120"/>
      <c r="P5020" s="120"/>
      <c r="Q5020" s="120"/>
      <c r="R5020" s="120"/>
      <c r="S5020" s="120"/>
      <c r="T5020" s="221"/>
      <c r="U5020" s="89"/>
      <c r="V5020" s="61"/>
      <c r="W5020" s="92" t="s">
        <v>161</v>
      </c>
      <c r="X5020" s="93" t="s">
        <v>29</v>
      </c>
      <c r="Y5020" s="93" t="s">
        <v>93</v>
      </c>
      <c r="Z5020" s="134">
        <f>VLOOKUP(W5020,Sheet2!$B:$D,3,FALSE)</f>
        <v>48</v>
      </c>
      <c r="AA5020" s="93">
        <f>(16*0.85*1.5)/(2.5*2.5*4.5)</f>
        <v>0.72533333333333327</v>
      </c>
      <c r="AB5020" s="93">
        <f>AD5020/AC5017</f>
        <v>66.176470588235304</v>
      </c>
      <c r="AC5020" s="93">
        <f>AC5017/AA5020</f>
        <v>1.6406249999999998</v>
      </c>
      <c r="AD5020" s="94">
        <f>AC5020*Z5020</f>
        <v>78.749999999999986</v>
      </c>
      <c r="AE5020" s="190"/>
      <c r="AF5020" s="191"/>
      <c r="AG5020" s="191"/>
      <c r="AH5020" s="191"/>
      <c r="AI5020" s="186"/>
      <c r="AK5020" s="171"/>
    </row>
    <row r="5021" spans="1:41" s="102" customFormat="1" ht="19.899999999999999" customHeight="1" x14ac:dyDescent="0.25">
      <c r="A5021" s="45"/>
      <c r="B5021" s="59"/>
      <c r="C5021" s="137"/>
      <c r="D5021" s="59"/>
      <c r="E5021" s="116"/>
      <c r="F5021" s="120"/>
      <c r="G5021" s="120"/>
      <c r="H5021" s="120"/>
      <c r="I5021" s="60"/>
      <c r="J5021" s="116"/>
      <c r="K5021" s="213"/>
      <c r="L5021" s="120"/>
      <c r="M5021" s="120"/>
      <c r="N5021" s="167"/>
      <c r="O5021" s="120"/>
      <c r="P5021" s="120"/>
      <c r="Q5021" s="120"/>
      <c r="R5021" s="120"/>
      <c r="S5021" s="120"/>
      <c r="T5021" s="221"/>
      <c r="U5021" s="89"/>
      <c r="V5021" s="61"/>
      <c r="W5021" s="92" t="s">
        <v>65</v>
      </c>
      <c r="X5021" s="93" t="s">
        <v>30</v>
      </c>
      <c r="Y5021" s="93" t="s">
        <v>1011</v>
      </c>
      <c r="Z5021" s="134">
        <f>VLOOKUP(W5021,Sheet2!$B:$D,3,FALSE)</f>
        <v>1.76</v>
      </c>
      <c r="AA5021" s="93">
        <f>AA5020/10</f>
        <v>7.2533333333333325E-2</v>
      </c>
      <c r="AB5021" s="93">
        <f>AD5021/AC5017</f>
        <v>24.264705882352942</v>
      </c>
      <c r="AC5021" s="93">
        <f>AC5017/AA5021</f>
        <v>16.406249999999996</v>
      </c>
      <c r="AD5021" s="94">
        <f>AC5021*Z5021</f>
        <v>28.874999999999993</v>
      </c>
      <c r="AE5021" s="190"/>
      <c r="AF5021" s="191"/>
      <c r="AG5021" s="191"/>
      <c r="AH5021" s="191"/>
      <c r="AI5021" s="186"/>
      <c r="AK5021" s="171"/>
    </row>
    <row r="5022" spans="1:41" s="103" customFormat="1" ht="19.899999999999999" customHeight="1" x14ac:dyDescent="0.25">
      <c r="A5022" s="51"/>
      <c r="B5022" s="52"/>
      <c r="C5022" s="165"/>
      <c r="D5022" s="52"/>
      <c r="E5022" s="115"/>
      <c r="F5022" s="58"/>
      <c r="G5022" s="58"/>
      <c r="H5022" s="58"/>
      <c r="I5022" s="55"/>
      <c r="J5022" s="113">
        <f>J5016</f>
        <v>1.1899999999999997</v>
      </c>
      <c r="K5022" s="212">
        <f>K5016</f>
        <v>1.1899999999999997</v>
      </c>
      <c r="L5022" s="58"/>
      <c r="M5022" s="58">
        <f>K5022-L5022</f>
        <v>1.1899999999999997</v>
      </c>
      <c r="N5022" s="166"/>
      <c r="O5022" s="58"/>
      <c r="P5022" s="58"/>
      <c r="Q5022" s="58"/>
      <c r="R5022" s="58"/>
      <c r="S5022" s="58"/>
      <c r="T5022" s="220"/>
      <c r="U5022" s="88"/>
      <c r="V5022" s="56"/>
      <c r="W5022" s="57" t="s">
        <v>1486</v>
      </c>
      <c r="X5022" s="53"/>
      <c r="Y5022" s="91" t="s">
        <v>35</v>
      </c>
      <c r="Z5022" s="136">
        <f>AD5022/AC5022</f>
        <v>1432.6960000000001</v>
      </c>
      <c r="AA5022" s="58"/>
      <c r="AB5022" s="53">
        <f>AD5022/AC5022</f>
        <v>1432.6960000000001</v>
      </c>
      <c r="AC5022" s="53">
        <f>M5022+$AE$10</f>
        <v>1.1899999999999997</v>
      </c>
      <c r="AD5022" s="54">
        <f>SUM(AD5023:AD5028)</f>
        <v>1704.9082399999998</v>
      </c>
      <c r="AE5022" s="184">
        <f>SUMIFS($AD$37:$AD$12971,$V$37:$V$12971,$V5022,$X$37:$X$12971,AE$13)</f>
        <v>0</v>
      </c>
      <c r="AF5022" s="185">
        <f>SUMIFS($AD$37:$AD$12971,$V$37:$V$12971,$V5022,$X$37:$X$12971,AF$13)</f>
        <v>0</v>
      </c>
      <c r="AG5022" s="185">
        <f>SUMIFS($AD$37:$AD$12971,$V$37:$V$12971,$V5022,$X$37:$X$12971,AG$13)</f>
        <v>0</v>
      </c>
      <c r="AH5022" s="187">
        <f>SUMIFS($AD$37:$AD$12971,$V$37:$V$12971,$V5022,$X$37:$X$12971,AH$13)</f>
        <v>0</v>
      </c>
      <c r="AI5022" s="161">
        <f t="shared" ref="AI5022" si="3638">SUM(AE5022:AH5022)</f>
        <v>0</v>
      </c>
      <c r="AK5022" s="172"/>
    </row>
    <row r="5023" spans="1:41" s="102" customFormat="1" ht="19.899999999999999" customHeight="1" x14ac:dyDescent="0.25">
      <c r="A5023" s="45"/>
      <c r="B5023" s="59"/>
      <c r="C5023" s="137"/>
      <c r="D5023" s="59"/>
      <c r="E5023" s="116"/>
      <c r="F5023" s="120"/>
      <c r="G5023" s="120"/>
      <c r="H5023" s="120"/>
      <c r="I5023" s="60"/>
      <c r="J5023" s="116"/>
      <c r="K5023" s="213"/>
      <c r="L5023" s="120"/>
      <c r="M5023" s="120"/>
      <c r="N5023" s="167"/>
      <c r="O5023" s="120"/>
      <c r="P5023" s="120"/>
      <c r="Q5023" s="120"/>
      <c r="R5023" s="120"/>
      <c r="S5023" s="120"/>
      <c r="T5023" s="221"/>
      <c r="U5023" s="89"/>
      <c r="V5023" s="61"/>
      <c r="W5023" s="92" t="s">
        <v>1032</v>
      </c>
      <c r="X5023" s="93" t="s">
        <v>30</v>
      </c>
      <c r="Y5023" s="93" t="s">
        <v>66</v>
      </c>
      <c r="Z5023" s="134">
        <f>VLOOKUP(W5023,Sheet2!$B:$D,3,FALSE)</f>
        <v>250</v>
      </c>
      <c r="AA5023" s="93">
        <f>1/(2.1*2.1*0.1)</f>
        <v>2.2675736961451243</v>
      </c>
      <c r="AB5023" s="93">
        <f>AD5023/AC5029</f>
        <v>110.25000000000001</v>
      </c>
      <c r="AC5023" s="93">
        <f>AC5029/AA5023</f>
        <v>0.52478999999999998</v>
      </c>
      <c r="AD5023" s="94">
        <f t="shared" ref="AD5023:AD5025" si="3639">AC5023*Z5023</f>
        <v>131.19749999999999</v>
      </c>
      <c r="AE5023" s="190"/>
      <c r="AF5023" s="191"/>
      <c r="AG5023" s="191"/>
      <c r="AH5023" s="191"/>
      <c r="AI5023" s="186"/>
      <c r="AK5023" s="171"/>
    </row>
    <row r="5024" spans="1:41" s="102" customFormat="1" ht="19.899999999999999" customHeight="1" x14ac:dyDescent="0.25">
      <c r="A5024" s="45"/>
      <c r="B5024" s="59"/>
      <c r="C5024" s="137"/>
      <c r="D5024" s="59"/>
      <c r="E5024" s="116"/>
      <c r="F5024" s="120"/>
      <c r="G5024" s="120"/>
      <c r="H5024" s="120"/>
      <c r="I5024" s="60"/>
      <c r="J5024" s="116"/>
      <c r="K5024" s="213"/>
      <c r="L5024" s="120"/>
      <c r="M5024" s="120"/>
      <c r="N5024" s="167"/>
      <c r="O5024" s="120"/>
      <c r="P5024" s="120"/>
      <c r="Q5024" s="120"/>
      <c r="R5024" s="120"/>
      <c r="S5024" s="120"/>
      <c r="T5024" s="221"/>
      <c r="U5024" s="89"/>
      <c r="V5024" s="61"/>
      <c r="W5024" s="92" t="s">
        <v>1353</v>
      </c>
      <c r="X5024" s="93" t="s">
        <v>30</v>
      </c>
      <c r="Y5024" s="93" t="s">
        <v>66</v>
      </c>
      <c r="Z5024" s="134">
        <f>VLOOKUP(W5024,Sheet2!$B:$D,3,FALSE)</f>
        <v>350</v>
      </c>
      <c r="AA5024" s="93">
        <f>1/(2*2*0.3)</f>
        <v>0.83333333333333337</v>
      </c>
      <c r="AB5024" s="93">
        <f>AD5024/AC5029</f>
        <v>420</v>
      </c>
      <c r="AC5024" s="93">
        <f>AC5029/AA5024</f>
        <v>1.4279999999999997</v>
      </c>
      <c r="AD5024" s="94">
        <f t="shared" si="3639"/>
        <v>499.7999999999999</v>
      </c>
      <c r="AE5024" s="190"/>
      <c r="AF5024" s="191"/>
      <c r="AG5024" s="191"/>
      <c r="AH5024" s="191"/>
      <c r="AI5024" s="186"/>
      <c r="AK5024" s="171"/>
    </row>
    <row r="5025" spans="1:37" s="102" customFormat="1" ht="19.899999999999999" customHeight="1" x14ac:dyDescent="0.25">
      <c r="A5025" s="45"/>
      <c r="B5025" s="59"/>
      <c r="C5025" s="137"/>
      <c r="D5025" s="59"/>
      <c r="E5025" s="116"/>
      <c r="F5025" s="120"/>
      <c r="G5025" s="120"/>
      <c r="H5025" s="120"/>
      <c r="I5025" s="60"/>
      <c r="J5025" s="116"/>
      <c r="K5025" s="213"/>
      <c r="L5025" s="120"/>
      <c r="M5025" s="120"/>
      <c r="N5025" s="167"/>
      <c r="O5025" s="120"/>
      <c r="P5025" s="120"/>
      <c r="Q5025" s="120"/>
      <c r="R5025" s="120"/>
      <c r="S5025" s="120"/>
      <c r="T5025" s="221"/>
      <c r="U5025" s="89"/>
      <c r="V5025" s="61"/>
      <c r="W5025" s="92" t="s">
        <v>99</v>
      </c>
      <c r="X5025" s="93" t="s">
        <v>30</v>
      </c>
      <c r="Y5025" s="93" t="s">
        <v>67</v>
      </c>
      <c r="Z5025" s="134">
        <f>VLOOKUP(W5025,Sheet2!$B:$D,3,FALSE)</f>
        <v>2500</v>
      </c>
      <c r="AA5025" s="93">
        <f>AA5024/0.08</f>
        <v>10.416666666666666</v>
      </c>
      <c r="AB5025" s="93">
        <f>AD5025/AC5029</f>
        <v>240.00000000000003</v>
      </c>
      <c r="AC5025" s="93">
        <f>AC5029/AA5025</f>
        <v>0.11423999999999998</v>
      </c>
      <c r="AD5025" s="94">
        <f t="shared" si="3639"/>
        <v>285.59999999999997</v>
      </c>
      <c r="AE5025" s="190"/>
      <c r="AF5025" s="191"/>
      <c r="AG5025" s="191"/>
      <c r="AH5025" s="191"/>
      <c r="AI5025" s="186"/>
      <c r="AK5025" s="171"/>
    </row>
    <row r="5026" spans="1:37" s="102" customFormat="1" ht="19.899999999999999" customHeight="1" x14ac:dyDescent="0.25">
      <c r="A5026" s="45"/>
      <c r="B5026" s="59"/>
      <c r="C5026" s="137"/>
      <c r="D5026" s="59"/>
      <c r="E5026" s="116"/>
      <c r="F5026" s="120"/>
      <c r="G5026" s="120"/>
      <c r="H5026" s="120"/>
      <c r="I5026" s="60"/>
      <c r="J5026" s="116"/>
      <c r="K5026" s="213"/>
      <c r="L5026" s="120"/>
      <c r="M5026" s="120"/>
      <c r="N5026" s="167"/>
      <c r="O5026" s="120"/>
      <c r="P5026" s="120"/>
      <c r="Q5026" s="120"/>
      <c r="R5026" s="120"/>
      <c r="S5026" s="120"/>
      <c r="T5026" s="221"/>
      <c r="U5026" s="89"/>
      <c r="V5026" s="61"/>
      <c r="W5026" s="92" t="s">
        <v>1354</v>
      </c>
      <c r="X5026" s="93" t="s">
        <v>32</v>
      </c>
      <c r="Y5026" s="93" t="s">
        <v>66</v>
      </c>
      <c r="Z5026" s="134">
        <f>VLOOKUP(W5026,Sheet2!$B:$D,3,FALSE)</f>
        <v>150</v>
      </c>
      <c r="AA5026" s="93">
        <f>AA5023</f>
        <v>2.2675736961451243</v>
      </c>
      <c r="AB5026" s="93">
        <f>AD5026/AC5029</f>
        <v>66.150000000000006</v>
      </c>
      <c r="AC5026" s="93">
        <f>AC5029/AA5026</f>
        <v>0.52478999999999998</v>
      </c>
      <c r="AD5026" s="94">
        <f>AC5026*Z5026</f>
        <v>78.718499999999992</v>
      </c>
      <c r="AE5026" s="190"/>
      <c r="AF5026" s="191"/>
      <c r="AG5026" s="191"/>
      <c r="AH5026" s="191"/>
      <c r="AI5026" s="186"/>
      <c r="AK5026" s="171"/>
    </row>
    <row r="5027" spans="1:37" s="102" customFormat="1" ht="19.899999999999999" customHeight="1" x14ac:dyDescent="0.25">
      <c r="A5027" s="45"/>
      <c r="B5027" s="59"/>
      <c r="C5027" s="137"/>
      <c r="D5027" s="59"/>
      <c r="E5027" s="116"/>
      <c r="F5027" s="120"/>
      <c r="G5027" s="120"/>
      <c r="H5027" s="120"/>
      <c r="I5027" s="60"/>
      <c r="J5027" s="116"/>
      <c r="K5027" s="213"/>
      <c r="L5027" s="120"/>
      <c r="M5027" s="120"/>
      <c r="N5027" s="167"/>
      <c r="O5027" s="120"/>
      <c r="P5027" s="120"/>
      <c r="Q5027" s="120"/>
      <c r="R5027" s="120"/>
      <c r="S5027" s="120"/>
      <c r="T5027" s="221"/>
      <c r="U5027" s="89"/>
      <c r="V5027" s="61"/>
      <c r="W5027" s="92" t="s">
        <v>1355</v>
      </c>
      <c r="X5027" s="93" t="s">
        <v>32</v>
      </c>
      <c r="Y5027" s="93" t="s">
        <v>66</v>
      </c>
      <c r="Z5027" s="134">
        <f>VLOOKUP(W5027,Sheet2!$B:$D,3,FALSE)</f>
        <v>450</v>
      </c>
      <c r="AA5027" s="93">
        <f>AA5024</f>
        <v>0.83333333333333337</v>
      </c>
      <c r="AB5027" s="93">
        <f>AD5027/AC5029</f>
        <v>540</v>
      </c>
      <c r="AC5027" s="93">
        <f>AC5029/AA5027</f>
        <v>1.4279999999999997</v>
      </c>
      <c r="AD5027" s="94">
        <f>AC5027*Z5027</f>
        <v>642.59999999999991</v>
      </c>
      <c r="AE5027" s="190"/>
      <c r="AF5027" s="191"/>
      <c r="AG5027" s="191"/>
      <c r="AH5027" s="191"/>
      <c r="AI5027" s="186"/>
      <c r="AK5027" s="171"/>
    </row>
    <row r="5028" spans="1:37" s="102" customFormat="1" ht="19.899999999999999" customHeight="1" x14ac:dyDescent="0.25">
      <c r="A5028" s="45"/>
      <c r="B5028" s="59"/>
      <c r="C5028" s="137"/>
      <c r="D5028" s="59"/>
      <c r="E5028" s="116"/>
      <c r="F5028" s="120"/>
      <c r="G5028" s="120"/>
      <c r="H5028" s="120"/>
      <c r="I5028" s="60"/>
      <c r="J5028" s="116"/>
      <c r="K5028" s="213"/>
      <c r="L5028" s="120"/>
      <c r="M5028" s="120"/>
      <c r="N5028" s="167"/>
      <c r="O5028" s="120"/>
      <c r="P5028" s="120"/>
      <c r="Q5028" s="120"/>
      <c r="R5028" s="120"/>
      <c r="S5028" s="120"/>
      <c r="T5028" s="221"/>
      <c r="U5028" s="89"/>
      <c r="V5028" s="61"/>
      <c r="W5028" s="92" t="s">
        <v>124</v>
      </c>
      <c r="X5028" s="93" t="s">
        <v>32</v>
      </c>
      <c r="Y5028" s="93" t="s">
        <v>64</v>
      </c>
      <c r="Z5028" s="134">
        <f>VLOOKUP(W5028,Sheet2!$B:$D,3,FALSE)</f>
        <v>10</v>
      </c>
      <c r="AA5028" s="93">
        <f>1/((2.6*2.6)-(3.14*1.2*1.2/4))</f>
        <v>0.17763251385533604</v>
      </c>
      <c r="AB5028" s="93">
        <f t="shared" ref="AB5028" si="3640">AD5028/AC5022</f>
        <v>56.296000000000006</v>
      </c>
      <c r="AC5028" s="93">
        <f>AC5022/AA5028</f>
        <v>6.6992240000000001</v>
      </c>
      <c r="AD5028" s="94">
        <f t="shared" ref="AD5028" si="3641">AC5028*Z5028</f>
        <v>66.992239999999995</v>
      </c>
      <c r="AE5028" s="190"/>
      <c r="AF5028" s="191"/>
      <c r="AG5028" s="191"/>
      <c r="AH5028" s="191"/>
      <c r="AI5028" s="186"/>
      <c r="AK5028" s="171"/>
    </row>
    <row r="5029" spans="1:37" s="103" customFormat="1" ht="19.899999999999999" customHeight="1" x14ac:dyDescent="0.25">
      <c r="A5029" s="51"/>
      <c r="B5029" s="52"/>
      <c r="C5029" s="165"/>
      <c r="D5029" s="52"/>
      <c r="E5029" s="115"/>
      <c r="F5029" s="58"/>
      <c r="G5029" s="58"/>
      <c r="H5029" s="58"/>
      <c r="I5029" s="55"/>
      <c r="J5029" s="113">
        <f>J5016</f>
        <v>1.1899999999999997</v>
      </c>
      <c r="K5029" s="212">
        <f>K5016</f>
        <v>1.1899999999999997</v>
      </c>
      <c r="L5029" s="58"/>
      <c r="M5029" s="58">
        <f>K5029-L5029</f>
        <v>1.1899999999999997</v>
      </c>
      <c r="N5029" s="166"/>
      <c r="O5029" s="58"/>
      <c r="P5029" s="58"/>
      <c r="Q5029" s="58"/>
      <c r="R5029" s="58"/>
      <c r="S5029" s="58"/>
      <c r="T5029" s="220"/>
      <c r="U5029" s="88"/>
      <c r="V5029" s="56"/>
      <c r="W5029" s="57" t="s">
        <v>1275</v>
      </c>
      <c r="X5029" s="53"/>
      <c r="Y5029" s="91" t="s">
        <v>35</v>
      </c>
      <c r="Z5029" s="136">
        <f>AD5029/AC5029</f>
        <v>11572.8</v>
      </c>
      <c r="AA5029" s="58"/>
      <c r="AB5029" s="53">
        <f>AD5029/AC5029</f>
        <v>11572.8</v>
      </c>
      <c r="AC5029" s="53">
        <f>M5029+$AE$10</f>
        <v>1.1899999999999997</v>
      </c>
      <c r="AD5029" s="54">
        <f>SUM(AD5030:AD5036)</f>
        <v>13771.631999999996</v>
      </c>
      <c r="AE5029" s="184">
        <f>SUMIFS($AD$37:$AD$12971,$V$37:$V$12971,$V5029,$X$37:$X$12971,AE$13)</f>
        <v>0</v>
      </c>
      <c r="AF5029" s="185">
        <f>SUMIFS($AD$37:$AD$12971,$V$37:$V$12971,$V5029,$X$37:$X$12971,AF$13)</f>
        <v>0</v>
      </c>
      <c r="AG5029" s="185">
        <f>SUMIFS($AD$37:$AD$12971,$V$37:$V$12971,$V5029,$X$37:$X$12971,AG$13)</f>
        <v>0</v>
      </c>
      <c r="AH5029" s="187">
        <f>SUMIFS($AD$37:$AD$12971,$V$37:$V$12971,$V5029,$X$37:$X$12971,AH$13)</f>
        <v>0</v>
      </c>
      <c r="AI5029" s="161">
        <f t="shared" ref="AI5029" si="3642">SUM(AE5029:AH5029)</f>
        <v>0</v>
      </c>
      <c r="AK5029" s="172"/>
    </row>
    <row r="5030" spans="1:37" s="102" customFormat="1" ht="19.899999999999999" customHeight="1" x14ac:dyDescent="0.25">
      <c r="A5030" s="45"/>
      <c r="B5030" s="59"/>
      <c r="C5030" s="137"/>
      <c r="D5030" s="59"/>
      <c r="E5030" s="116"/>
      <c r="F5030" s="120"/>
      <c r="G5030" s="120"/>
      <c r="H5030" s="120"/>
      <c r="I5030" s="60"/>
      <c r="J5030" s="116"/>
      <c r="K5030" s="213"/>
      <c r="L5030" s="120"/>
      <c r="M5030" s="120"/>
      <c r="N5030" s="167"/>
      <c r="O5030" s="120"/>
      <c r="P5030" s="120"/>
      <c r="Q5030" s="120"/>
      <c r="R5030" s="120"/>
      <c r="S5030" s="120"/>
      <c r="T5030" s="221"/>
      <c r="U5030" s="89"/>
      <c r="V5030" s="61"/>
      <c r="W5030" s="92" t="s">
        <v>1493</v>
      </c>
      <c r="X5030" s="93" t="s">
        <v>30</v>
      </c>
      <c r="Y5030" s="93" t="s">
        <v>35</v>
      </c>
      <c r="Z5030" s="134">
        <f>VLOOKUP(W5030,Sheet2!$B:$D,3,FALSE)</f>
        <v>6300</v>
      </c>
      <c r="AA5030" s="93">
        <v>1</v>
      </c>
      <c r="AB5030" s="93">
        <f>AD5030/AC5029</f>
        <v>6300</v>
      </c>
      <c r="AC5030" s="93">
        <f>AC5029/AA5030</f>
        <v>1.1899999999999997</v>
      </c>
      <c r="AD5030" s="94">
        <f t="shared" ref="AD5030:AD5032" si="3643">AC5030*Z5030</f>
        <v>7496.9999999999982</v>
      </c>
      <c r="AE5030" s="190"/>
      <c r="AF5030" s="191"/>
      <c r="AG5030" s="191"/>
      <c r="AH5030" s="191"/>
      <c r="AI5030" s="186"/>
      <c r="AK5030" s="171"/>
    </row>
    <row r="5031" spans="1:37" s="102" customFormat="1" ht="19.899999999999999" customHeight="1" x14ac:dyDescent="0.25">
      <c r="A5031" s="45"/>
      <c r="B5031" s="59"/>
      <c r="C5031" s="137"/>
      <c r="D5031" s="59"/>
      <c r="E5031" s="116"/>
      <c r="F5031" s="120"/>
      <c r="G5031" s="120"/>
      <c r="H5031" s="120"/>
      <c r="I5031" s="60"/>
      <c r="J5031" s="116"/>
      <c r="K5031" s="213"/>
      <c r="L5031" s="120"/>
      <c r="M5031" s="120"/>
      <c r="N5031" s="167"/>
      <c r="O5031" s="120"/>
      <c r="P5031" s="120"/>
      <c r="Q5031" s="120"/>
      <c r="R5031" s="120"/>
      <c r="S5031" s="120"/>
      <c r="T5031" s="221"/>
      <c r="U5031" s="89"/>
      <c r="V5031" s="61"/>
      <c r="W5031" s="92" t="s">
        <v>1542</v>
      </c>
      <c r="X5031" s="93" t="s">
        <v>30</v>
      </c>
      <c r="Y5031" s="93" t="s">
        <v>1349</v>
      </c>
      <c r="Z5031" s="134">
        <f>VLOOKUP(W5031,Sheet2!$B:$D,3,FALSE)</f>
        <v>3500</v>
      </c>
      <c r="AA5031" s="93">
        <v>1</v>
      </c>
      <c r="AB5031" s="93">
        <f>AD5031/AC5029</f>
        <v>3500</v>
      </c>
      <c r="AC5031" s="93">
        <f>AC5029/AA5031</f>
        <v>1.1899999999999997</v>
      </c>
      <c r="AD5031" s="94">
        <f t="shared" si="3643"/>
        <v>4164.9999999999991</v>
      </c>
      <c r="AE5031" s="190"/>
      <c r="AF5031" s="191"/>
      <c r="AG5031" s="191"/>
      <c r="AH5031" s="191"/>
      <c r="AI5031" s="186"/>
      <c r="AK5031" s="171"/>
    </row>
    <row r="5032" spans="1:37" s="102" customFormat="1" ht="19.899999999999999" customHeight="1" x14ac:dyDescent="0.25">
      <c r="A5032" s="45"/>
      <c r="B5032" s="59"/>
      <c r="C5032" s="137"/>
      <c r="D5032" s="59"/>
      <c r="E5032" s="116"/>
      <c r="F5032" s="120"/>
      <c r="G5032" s="120"/>
      <c r="H5032" s="120"/>
      <c r="I5032" s="60"/>
      <c r="J5032" s="116"/>
      <c r="K5032" s="213"/>
      <c r="L5032" s="120"/>
      <c r="M5032" s="120"/>
      <c r="N5032" s="167"/>
      <c r="O5032" s="120"/>
      <c r="P5032" s="120"/>
      <c r="Q5032" s="120"/>
      <c r="R5032" s="120"/>
      <c r="S5032" s="120"/>
      <c r="T5032" s="221"/>
      <c r="U5032" s="89"/>
      <c r="V5032" s="61"/>
      <c r="W5032" s="92" t="s">
        <v>174</v>
      </c>
      <c r="X5032" s="93" t="s">
        <v>29</v>
      </c>
      <c r="Y5032" s="93" t="s">
        <v>93</v>
      </c>
      <c r="Z5032" s="134">
        <f>VLOOKUP(W5032,Sheet2!$B:$D,3,FALSE)</f>
        <v>80</v>
      </c>
      <c r="AA5032" s="93">
        <f>1/2</f>
        <v>0.5</v>
      </c>
      <c r="AB5032" s="93">
        <f>AD5032/AC5029</f>
        <v>160</v>
      </c>
      <c r="AC5032" s="93">
        <f>AC5029/AA5032</f>
        <v>2.3799999999999994</v>
      </c>
      <c r="AD5032" s="94">
        <f t="shared" si="3643"/>
        <v>190.39999999999995</v>
      </c>
      <c r="AE5032" s="190"/>
      <c r="AF5032" s="191"/>
      <c r="AG5032" s="191"/>
      <c r="AH5032" s="191"/>
      <c r="AI5032" s="186"/>
      <c r="AK5032" s="171"/>
    </row>
    <row r="5033" spans="1:37" s="102" customFormat="1" ht="19.899999999999999" customHeight="1" x14ac:dyDescent="0.25">
      <c r="A5033" s="45"/>
      <c r="B5033" s="59"/>
      <c r="C5033" s="137"/>
      <c r="D5033" s="59"/>
      <c r="E5033" s="116"/>
      <c r="F5033" s="120"/>
      <c r="G5033" s="120"/>
      <c r="H5033" s="120"/>
      <c r="I5033" s="60"/>
      <c r="J5033" s="116"/>
      <c r="K5033" s="213"/>
      <c r="L5033" s="120"/>
      <c r="M5033" s="120"/>
      <c r="N5033" s="167"/>
      <c r="O5033" s="120"/>
      <c r="P5033" s="120"/>
      <c r="Q5033" s="120"/>
      <c r="R5033" s="120"/>
      <c r="S5033" s="120"/>
      <c r="T5033" s="221"/>
      <c r="U5033" s="89"/>
      <c r="V5033" s="61"/>
      <c r="W5033" s="92" t="s">
        <v>65</v>
      </c>
      <c r="X5033" s="93" t="s">
        <v>30</v>
      </c>
      <c r="Y5033" s="93" t="s">
        <v>93</v>
      </c>
      <c r="Z5033" s="134">
        <f>VLOOKUP(W5033,Sheet2!$B:$D,3,FALSE)</f>
        <v>1.76</v>
      </c>
      <c r="AA5033" s="93">
        <f>AA5032/15</f>
        <v>3.3333333333333333E-2</v>
      </c>
      <c r="AB5033" s="93">
        <f>AD5033/AC5029</f>
        <v>52.800000000000004</v>
      </c>
      <c r="AC5033" s="93">
        <f>AC5029/AA5033</f>
        <v>35.699999999999996</v>
      </c>
      <c r="AD5033" s="94">
        <f>AC5033*Z5033</f>
        <v>62.831999999999994</v>
      </c>
      <c r="AE5033" s="190"/>
      <c r="AF5033" s="191"/>
      <c r="AG5033" s="191"/>
      <c r="AH5033" s="191"/>
      <c r="AI5033" s="186"/>
      <c r="AK5033" s="171"/>
    </row>
    <row r="5034" spans="1:37" s="102" customFormat="1" ht="19.899999999999999" customHeight="1" x14ac:dyDescent="0.25">
      <c r="A5034" s="45"/>
      <c r="B5034" s="59"/>
      <c r="C5034" s="137"/>
      <c r="D5034" s="59"/>
      <c r="E5034" s="116"/>
      <c r="F5034" s="120"/>
      <c r="G5034" s="120"/>
      <c r="H5034" s="120"/>
      <c r="I5034" s="60"/>
      <c r="J5034" s="116"/>
      <c r="K5034" s="213"/>
      <c r="L5034" s="120"/>
      <c r="M5034" s="120"/>
      <c r="N5034" s="167"/>
      <c r="O5034" s="120"/>
      <c r="P5034" s="120"/>
      <c r="Q5034" s="120"/>
      <c r="R5034" s="120"/>
      <c r="S5034" s="120"/>
      <c r="T5034" s="221"/>
      <c r="U5034" s="89"/>
      <c r="V5034" s="61"/>
      <c r="W5034" s="92" t="s">
        <v>1487</v>
      </c>
      <c r="X5034" s="93" t="s">
        <v>32</v>
      </c>
      <c r="Y5034" s="93" t="s">
        <v>1349</v>
      </c>
      <c r="Z5034" s="134">
        <f>VLOOKUP(W5034,Sheet2!$B:$D,3,FALSE)</f>
        <v>1500</v>
      </c>
      <c r="AA5034" s="93">
        <v>1</v>
      </c>
      <c r="AB5034" s="93">
        <f>AD5034/AC5029</f>
        <v>1500</v>
      </c>
      <c r="AC5034" s="93">
        <f>AC5029/AA5034</f>
        <v>1.1899999999999997</v>
      </c>
      <c r="AD5034" s="94">
        <f>AC5034*Z5034</f>
        <v>1784.9999999999995</v>
      </c>
      <c r="AE5034" s="190"/>
      <c r="AF5034" s="191"/>
      <c r="AG5034" s="191"/>
      <c r="AH5034" s="191"/>
      <c r="AI5034" s="186"/>
      <c r="AK5034" s="171"/>
    </row>
    <row r="5035" spans="1:37" s="102" customFormat="1" ht="19.899999999999999" customHeight="1" x14ac:dyDescent="0.25">
      <c r="A5035" s="45"/>
      <c r="B5035" s="59"/>
      <c r="C5035" s="137"/>
      <c r="D5035" s="59"/>
      <c r="E5035" s="116"/>
      <c r="F5035" s="120"/>
      <c r="G5035" s="120"/>
      <c r="H5035" s="120"/>
      <c r="I5035" s="60"/>
      <c r="J5035" s="116"/>
      <c r="K5035" s="213"/>
      <c r="L5035" s="120"/>
      <c r="M5035" s="120"/>
      <c r="N5035" s="167"/>
      <c r="O5035" s="120"/>
      <c r="P5035" s="120"/>
      <c r="Q5035" s="120"/>
      <c r="R5035" s="120"/>
      <c r="S5035" s="120"/>
      <c r="T5035" s="221"/>
      <c r="U5035" s="89"/>
      <c r="V5035" s="61"/>
      <c r="W5035" s="92" t="s">
        <v>107</v>
      </c>
      <c r="X5035" s="93" t="s">
        <v>31</v>
      </c>
      <c r="Y5035" s="93" t="s">
        <v>93</v>
      </c>
      <c r="Z5035" s="134">
        <f>VLOOKUP(W5035,Sheet2!$B:$D,3,FALSE)</f>
        <v>17</v>
      </c>
      <c r="AA5035" s="93">
        <f>AA5032</f>
        <v>0.5</v>
      </c>
      <c r="AB5035" s="93">
        <f>AD5035/AC5029</f>
        <v>34</v>
      </c>
      <c r="AC5035" s="93">
        <f>AC5029/AA5035</f>
        <v>2.3799999999999994</v>
      </c>
      <c r="AD5035" s="94">
        <f>AC5035*Z5035</f>
        <v>40.459999999999994</v>
      </c>
      <c r="AE5035" s="190"/>
      <c r="AF5035" s="191"/>
      <c r="AG5035" s="191"/>
      <c r="AH5035" s="191"/>
      <c r="AI5035" s="186"/>
      <c r="AK5035" s="171"/>
    </row>
    <row r="5036" spans="1:37" s="102" customFormat="1" ht="19.899999999999999" customHeight="1" x14ac:dyDescent="0.25">
      <c r="A5036" s="45"/>
      <c r="B5036" s="59"/>
      <c r="C5036" s="137"/>
      <c r="D5036" s="59"/>
      <c r="E5036" s="116"/>
      <c r="F5036" s="120"/>
      <c r="G5036" s="120"/>
      <c r="H5036" s="120"/>
      <c r="I5036" s="60"/>
      <c r="J5036" s="116"/>
      <c r="K5036" s="213"/>
      <c r="L5036" s="120"/>
      <c r="M5036" s="120"/>
      <c r="N5036" s="167"/>
      <c r="O5036" s="120"/>
      <c r="P5036" s="120"/>
      <c r="Q5036" s="120"/>
      <c r="R5036" s="120"/>
      <c r="S5036" s="120"/>
      <c r="T5036" s="221"/>
      <c r="U5036" s="89"/>
      <c r="V5036" s="61"/>
      <c r="W5036" s="92" t="s">
        <v>112</v>
      </c>
      <c r="X5036" s="93" t="s">
        <v>31</v>
      </c>
      <c r="Y5036" s="93" t="s">
        <v>93</v>
      </c>
      <c r="Z5036" s="134">
        <f>VLOOKUP(W5036,Sheet2!$B:$D,3,FALSE)</f>
        <v>13</v>
      </c>
      <c r="AA5036" s="93">
        <f>AA5035</f>
        <v>0.5</v>
      </c>
      <c r="AB5036" s="93">
        <f>AD5036/AC5029</f>
        <v>26</v>
      </c>
      <c r="AC5036" s="93">
        <f>AC5029/AA5036</f>
        <v>2.3799999999999994</v>
      </c>
      <c r="AD5036" s="94">
        <f>AC5036*Z5036</f>
        <v>30.939999999999994</v>
      </c>
      <c r="AE5036" s="190"/>
      <c r="AF5036" s="191"/>
      <c r="AG5036" s="191"/>
      <c r="AH5036" s="191"/>
      <c r="AI5036" s="186"/>
      <c r="AK5036" s="171"/>
    </row>
    <row r="5037" spans="1:37" s="103" customFormat="1" ht="19.899999999999999" customHeight="1" x14ac:dyDescent="0.25">
      <c r="A5037" s="51"/>
      <c r="B5037" s="52"/>
      <c r="C5037" s="165"/>
      <c r="D5037" s="52"/>
      <c r="E5037" s="115"/>
      <c r="F5037" s="58"/>
      <c r="G5037" s="58"/>
      <c r="H5037" s="58"/>
      <c r="I5037" s="55"/>
      <c r="J5037" s="113">
        <f>J5016</f>
        <v>1.1899999999999997</v>
      </c>
      <c r="K5037" s="212">
        <f>K5016</f>
        <v>1.1899999999999997</v>
      </c>
      <c r="L5037" s="58"/>
      <c r="M5037" s="58">
        <f>K5037-L5037</f>
        <v>1.1899999999999997</v>
      </c>
      <c r="N5037" s="166"/>
      <c r="O5037" s="58"/>
      <c r="P5037" s="58"/>
      <c r="Q5037" s="58"/>
      <c r="R5037" s="58"/>
      <c r="S5037" s="58"/>
      <c r="T5037" s="220"/>
      <c r="U5037" s="88"/>
      <c r="V5037" s="56"/>
      <c r="W5037" s="57" t="s">
        <v>1272</v>
      </c>
      <c r="X5037" s="53"/>
      <c r="Y5037" s="91" t="s">
        <v>35</v>
      </c>
      <c r="Z5037" s="136">
        <f>AD5037/AC5037</f>
        <v>474.37393936941186</v>
      </c>
      <c r="AA5037" s="58"/>
      <c r="AB5037" s="53">
        <f>AD5037/AC5037</f>
        <v>474.37393936941186</v>
      </c>
      <c r="AC5037" s="53">
        <f>M5037+$AE$10</f>
        <v>1.1899999999999997</v>
      </c>
      <c r="AD5037" s="54">
        <f>SUM(AD5038:AD5046)</f>
        <v>564.50498784959996</v>
      </c>
      <c r="AE5037" s="184">
        <f>SUMIFS($AD$37:$AD$12971,$V$37:$V$12971,$V5037,$X$37:$X$12971,AE$13)</f>
        <v>0</v>
      </c>
      <c r="AF5037" s="185">
        <f>SUMIFS($AD$37:$AD$12971,$V$37:$V$12971,$V5037,$X$37:$X$12971,AF$13)</f>
        <v>0</v>
      </c>
      <c r="AG5037" s="185">
        <f>SUMIFS($AD$37:$AD$12971,$V$37:$V$12971,$V5037,$X$37:$X$12971,AG$13)</f>
        <v>0</v>
      </c>
      <c r="AH5037" s="187">
        <f>SUMIFS($AD$37:$AD$12971,$V$37:$V$12971,$V5037,$X$37:$X$12971,AH$13)</f>
        <v>0</v>
      </c>
      <c r="AI5037" s="161">
        <f t="shared" ref="AI5037" si="3644">SUM(AE5037:AH5037)</f>
        <v>0</v>
      </c>
      <c r="AK5037" s="172"/>
    </row>
    <row r="5038" spans="1:37" s="102" customFormat="1" ht="19.899999999999999" customHeight="1" x14ac:dyDescent="0.25">
      <c r="A5038" s="45"/>
      <c r="B5038" s="59"/>
      <c r="C5038" s="137"/>
      <c r="D5038" s="59"/>
      <c r="E5038" s="116"/>
      <c r="F5038" s="120"/>
      <c r="G5038" s="120"/>
      <c r="H5038" s="120"/>
      <c r="I5038" s="60"/>
      <c r="J5038" s="116"/>
      <c r="K5038" s="213"/>
      <c r="L5038" s="120"/>
      <c r="M5038" s="120"/>
      <c r="N5038" s="167"/>
      <c r="O5038" s="120"/>
      <c r="P5038" s="120"/>
      <c r="Q5038" s="120"/>
      <c r="R5038" s="120"/>
      <c r="S5038" s="120"/>
      <c r="T5038" s="221"/>
      <c r="U5038" s="89"/>
      <c r="V5038" s="61"/>
      <c r="W5038" s="92" t="s">
        <v>1273</v>
      </c>
      <c r="X5038" s="93" t="s">
        <v>30</v>
      </c>
      <c r="Y5038" s="93" t="s">
        <v>66</v>
      </c>
      <c r="Z5038" s="134">
        <f>VLOOKUP(W5038,Sheet2!$B:$D,3,FALSE)</f>
        <v>10</v>
      </c>
      <c r="AA5038" s="93">
        <f>1/((2.5*2.5*4.5)-(3.14/4*1.2*1.2*4.5))</f>
        <v>4.3406168884721895E-2</v>
      </c>
      <c r="AB5038" s="93">
        <f>AD5038/AC5037</f>
        <v>230.38200000000001</v>
      </c>
      <c r="AC5038" s="93">
        <f>AC5037/AA5038</f>
        <v>27.415457999999994</v>
      </c>
      <c r="AD5038" s="94">
        <f t="shared" ref="AD5038:AD5040" si="3645">AC5038*Z5038</f>
        <v>274.15457999999995</v>
      </c>
      <c r="AE5038" s="190"/>
      <c r="AF5038" s="191"/>
      <c r="AG5038" s="191"/>
      <c r="AH5038" s="191"/>
      <c r="AI5038" s="186"/>
      <c r="AK5038" s="171"/>
    </row>
    <row r="5039" spans="1:37" s="102" customFormat="1" ht="19.899999999999999" customHeight="1" x14ac:dyDescent="0.25">
      <c r="A5039" s="45"/>
      <c r="B5039" s="59"/>
      <c r="C5039" s="137"/>
      <c r="D5039" s="59"/>
      <c r="E5039" s="116"/>
      <c r="F5039" s="120"/>
      <c r="G5039" s="120"/>
      <c r="H5039" s="120"/>
      <c r="I5039" s="60"/>
      <c r="J5039" s="116"/>
      <c r="K5039" s="213"/>
      <c r="L5039" s="120"/>
      <c r="M5039" s="120"/>
      <c r="N5039" s="167"/>
      <c r="O5039" s="120"/>
      <c r="P5039" s="120"/>
      <c r="Q5039" s="120"/>
      <c r="R5039" s="120"/>
      <c r="S5039" s="120"/>
      <c r="T5039" s="221"/>
      <c r="U5039" s="89"/>
      <c r="V5039" s="61"/>
      <c r="W5039" s="92" t="s">
        <v>134</v>
      </c>
      <c r="X5039" s="93" t="s">
        <v>29</v>
      </c>
      <c r="Y5039" s="93" t="s">
        <v>93</v>
      </c>
      <c r="Z5039" s="134">
        <f>VLOOKUP(W5039,Sheet2!$B:$D,3,FALSE)</f>
        <v>65.599999999999994</v>
      </c>
      <c r="AA5039" s="93">
        <f>100/((2.5*2.5*4.5)-(3.14/4*1.2*1.2*4.5))</f>
        <v>4.3406168884721898</v>
      </c>
      <c r="AB5039" s="93">
        <f t="shared" ref="AB5039" si="3646">AD5039/AC5037</f>
        <v>15.113059199999999</v>
      </c>
      <c r="AC5039" s="93">
        <f>AC5037/AA5039</f>
        <v>0.27415457999999993</v>
      </c>
      <c r="AD5039" s="94">
        <f t="shared" si="3645"/>
        <v>17.984540447999994</v>
      </c>
      <c r="AE5039" s="190"/>
      <c r="AF5039" s="191"/>
      <c r="AG5039" s="191"/>
      <c r="AH5039" s="191"/>
      <c r="AI5039" s="186"/>
      <c r="AK5039" s="171"/>
    </row>
    <row r="5040" spans="1:37" s="102" customFormat="1" ht="19.899999999999999" customHeight="1" x14ac:dyDescent="0.25">
      <c r="A5040" s="45"/>
      <c r="B5040" s="59"/>
      <c r="C5040" s="137"/>
      <c r="D5040" s="59"/>
      <c r="E5040" s="116"/>
      <c r="F5040" s="120"/>
      <c r="G5040" s="120"/>
      <c r="H5040" s="120"/>
      <c r="I5040" s="60"/>
      <c r="J5040" s="116"/>
      <c r="K5040" s="213"/>
      <c r="L5040" s="120"/>
      <c r="M5040" s="120"/>
      <c r="N5040" s="167"/>
      <c r="O5040" s="120"/>
      <c r="P5040" s="120"/>
      <c r="Q5040" s="120"/>
      <c r="R5040" s="120"/>
      <c r="S5040" s="120"/>
      <c r="T5040" s="221"/>
      <c r="U5040" s="89"/>
      <c r="V5040" s="61"/>
      <c r="W5040" s="92" t="s">
        <v>65</v>
      </c>
      <c r="X5040" s="93" t="s">
        <v>30</v>
      </c>
      <c r="Y5040" s="93" t="s">
        <v>1011</v>
      </c>
      <c r="Z5040" s="134">
        <f>VLOOKUP(W5040,Sheet2!$B:$D,3,FALSE)</f>
        <v>1.76</v>
      </c>
      <c r="AA5040" s="93">
        <f>AA5039/9</f>
        <v>0.48229076538579885</v>
      </c>
      <c r="AB5040" s="93">
        <f>AD5040/AC5037</f>
        <v>3.6492508800000003</v>
      </c>
      <c r="AC5040" s="93">
        <f>AC5037/AA5040</f>
        <v>2.4673912199999997</v>
      </c>
      <c r="AD5040" s="94">
        <f t="shared" si="3645"/>
        <v>4.3426085471999993</v>
      </c>
      <c r="AE5040" s="190"/>
      <c r="AF5040" s="191"/>
      <c r="AG5040" s="191"/>
      <c r="AH5040" s="191"/>
      <c r="AI5040" s="186"/>
      <c r="AK5040" s="171"/>
    </row>
    <row r="5041" spans="1:41" s="102" customFormat="1" ht="19.899999999999999" customHeight="1" x14ac:dyDescent="0.25">
      <c r="A5041" s="45"/>
      <c r="B5041" s="59"/>
      <c r="C5041" s="137"/>
      <c r="D5041" s="59"/>
      <c r="E5041" s="116"/>
      <c r="F5041" s="120"/>
      <c r="G5041" s="120"/>
      <c r="H5041" s="120"/>
      <c r="I5041" s="60"/>
      <c r="J5041" s="116"/>
      <c r="K5041" s="213"/>
      <c r="L5041" s="120"/>
      <c r="M5041" s="120"/>
      <c r="N5041" s="167"/>
      <c r="O5041" s="120"/>
      <c r="P5041" s="120"/>
      <c r="Q5041" s="120"/>
      <c r="R5041" s="120"/>
      <c r="S5041" s="120"/>
      <c r="T5041" s="221"/>
      <c r="U5041" s="89"/>
      <c r="V5041" s="61"/>
      <c r="W5041" s="92" t="s">
        <v>161</v>
      </c>
      <c r="X5041" s="93" t="s">
        <v>29</v>
      </c>
      <c r="Y5041" s="93" t="s">
        <v>93</v>
      </c>
      <c r="Z5041" s="134">
        <f>VLOOKUP(W5041,Sheet2!$B:$D,3,FALSE)</f>
        <v>48</v>
      </c>
      <c r="AA5041" s="93">
        <f>(16*0.85*1.5)/((2.5*2.5*4.5)-(3.14/4*1.2*1.2*4.5))</f>
        <v>0.88548584524832663</v>
      </c>
      <c r="AB5041" s="93">
        <f>AD5041/AC5037</f>
        <v>54.20752941176471</v>
      </c>
      <c r="AC5041" s="93">
        <f>AC5037/AA5041</f>
        <v>1.3438949999999998</v>
      </c>
      <c r="AD5041" s="94">
        <f>AC5041*Z5041</f>
        <v>64.506959999999992</v>
      </c>
      <c r="AE5041" s="190"/>
      <c r="AF5041" s="191"/>
      <c r="AG5041" s="191"/>
      <c r="AH5041" s="191"/>
      <c r="AI5041" s="186"/>
      <c r="AK5041" s="171"/>
    </row>
    <row r="5042" spans="1:41" s="102" customFormat="1" ht="19.899999999999999" customHeight="1" x14ac:dyDescent="0.25">
      <c r="A5042" s="45"/>
      <c r="B5042" s="59"/>
      <c r="C5042" s="137"/>
      <c r="D5042" s="59"/>
      <c r="E5042" s="116"/>
      <c r="F5042" s="120"/>
      <c r="G5042" s="120"/>
      <c r="H5042" s="120"/>
      <c r="I5042" s="60"/>
      <c r="J5042" s="116"/>
      <c r="K5042" s="213"/>
      <c r="L5042" s="120"/>
      <c r="M5042" s="120"/>
      <c r="N5042" s="167"/>
      <c r="O5042" s="120"/>
      <c r="P5042" s="120"/>
      <c r="Q5042" s="120"/>
      <c r="R5042" s="120"/>
      <c r="S5042" s="120"/>
      <c r="T5042" s="221"/>
      <c r="U5042" s="89"/>
      <c r="V5042" s="61"/>
      <c r="W5042" s="92" t="s">
        <v>65</v>
      </c>
      <c r="X5042" s="93" t="s">
        <v>30</v>
      </c>
      <c r="Y5042" s="93" t="s">
        <v>1011</v>
      </c>
      <c r="Z5042" s="134">
        <f>VLOOKUP(W5042,Sheet2!$B:$D,3,FALSE)</f>
        <v>1.76</v>
      </c>
      <c r="AA5042" s="93">
        <f>AA5041/10</f>
        <v>8.8548584524832663E-2</v>
      </c>
      <c r="AB5042" s="93">
        <f>AD5042/AC5037</f>
        <v>19.87609411764706</v>
      </c>
      <c r="AC5042" s="93">
        <f>AC5037/AA5042</f>
        <v>13.438949999999998</v>
      </c>
      <c r="AD5042" s="94">
        <f>AC5042*Z5042</f>
        <v>23.652551999999996</v>
      </c>
      <c r="AE5042" s="190"/>
      <c r="AF5042" s="191"/>
      <c r="AG5042" s="191"/>
      <c r="AH5042" s="191"/>
      <c r="AI5042" s="186"/>
      <c r="AK5042" s="171"/>
    </row>
    <row r="5043" spans="1:41" s="102" customFormat="1" ht="19.899999999999999" customHeight="1" x14ac:dyDescent="0.25">
      <c r="A5043" s="45"/>
      <c r="B5043" s="59"/>
      <c r="C5043" s="137"/>
      <c r="D5043" s="59"/>
      <c r="E5043" s="116"/>
      <c r="F5043" s="120"/>
      <c r="G5043" s="120"/>
      <c r="H5043" s="120"/>
      <c r="I5043" s="60"/>
      <c r="J5043" s="116"/>
      <c r="K5043" s="213"/>
      <c r="L5043" s="120"/>
      <c r="M5043" s="120"/>
      <c r="N5043" s="167"/>
      <c r="O5043" s="120"/>
      <c r="P5043" s="120"/>
      <c r="Q5043" s="120"/>
      <c r="R5043" s="120"/>
      <c r="S5043" s="120"/>
      <c r="T5043" s="221"/>
      <c r="U5043" s="89"/>
      <c r="V5043" s="61"/>
      <c r="W5043" s="92" t="s">
        <v>173</v>
      </c>
      <c r="X5043" s="93" t="s">
        <v>29</v>
      </c>
      <c r="Y5043" s="93" t="s">
        <v>93</v>
      </c>
      <c r="Z5043" s="134">
        <f>VLOOKUP(W5043,Sheet2!$B:$D,3,FALSE)</f>
        <v>36</v>
      </c>
      <c r="AA5043" s="93">
        <f>50/((2.5*2.5*4.5)-(3.14/4*1.2*1.2*4.5))</f>
        <v>2.1703084442360949</v>
      </c>
      <c r="AB5043" s="93">
        <f>AD5043/AC5037</f>
        <v>16.587503999999999</v>
      </c>
      <c r="AC5043" s="93">
        <f>AC5037/AA5043</f>
        <v>0.54830915999999985</v>
      </c>
      <c r="AD5043" s="94">
        <f>AC5043*Z5043</f>
        <v>19.739129759999994</v>
      </c>
      <c r="AE5043" s="190"/>
      <c r="AF5043" s="191"/>
      <c r="AG5043" s="191"/>
      <c r="AH5043" s="191"/>
      <c r="AI5043" s="186"/>
      <c r="AK5043" s="171"/>
    </row>
    <row r="5044" spans="1:41" s="102" customFormat="1" ht="19.899999999999999" customHeight="1" x14ac:dyDescent="0.25">
      <c r="A5044" s="45"/>
      <c r="B5044" s="59"/>
      <c r="C5044" s="137"/>
      <c r="D5044" s="59"/>
      <c r="E5044" s="116"/>
      <c r="F5044" s="120"/>
      <c r="G5044" s="120"/>
      <c r="H5044" s="120"/>
      <c r="I5044" s="60"/>
      <c r="J5044" s="116"/>
      <c r="K5044" s="213"/>
      <c r="L5044" s="120"/>
      <c r="M5044" s="120"/>
      <c r="N5044" s="167"/>
      <c r="O5044" s="120"/>
      <c r="P5044" s="120"/>
      <c r="Q5044" s="120"/>
      <c r="R5044" s="120"/>
      <c r="S5044" s="120"/>
      <c r="T5044" s="221"/>
      <c r="U5044" s="89"/>
      <c r="V5044" s="61"/>
      <c r="W5044" s="92" t="s">
        <v>65</v>
      </c>
      <c r="X5044" s="93" t="s">
        <v>30</v>
      </c>
      <c r="Y5044" s="93" t="s">
        <v>1011</v>
      </c>
      <c r="Z5044" s="134">
        <f>VLOOKUP(W5044,Sheet2!$B:$D,3,FALSE)</f>
        <v>1.76</v>
      </c>
      <c r="AA5044" s="93">
        <f>AA5043/9</f>
        <v>0.24114538269289942</v>
      </c>
      <c r="AB5044" s="93">
        <f>AD5044/AC5037</f>
        <v>7.2985017600000006</v>
      </c>
      <c r="AC5044" s="93">
        <f>AC5037/AA5044</f>
        <v>4.9347824399999993</v>
      </c>
      <c r="AD5044" s="94">
        <f>AC5044*Z5044</f>
        <v>8.6852170943999987</v>
      </c>
      <c r="AE5044" s="190"/>
      <c r="AF5044" s="191"/>
      <c r="AG5044" s="191"/>
      <c r="AH5044" s="191"/>
      <c r="AI5044" s="186"/>
      <c r="AK5044" s="171"/>
    </row>
    <row r="5045" spans="1:41" s="102" customFormat="1" ht="19.899999999999999" customHeight="1" x14ac:dyDescent="0.25">
      <c r="A5045" s="45"/>
      <c r="B5045" s="59"/>
      <c r="C5045" s="137"/>
      <c r="D5045" s="59"/>
      <c r="E5045" s="116"/>
      <c r="F5045" s="120"/>
      <c r="G5045" s="120"/>
      <c r="H5045" s="120"/>
      <c r="I5045" s="60"/>
      <c r="J5045" s="116"/>
      <c r="K5045" s="213"/>
      <c r="L5045" s="120"/>
      <c r="M5045" s="120"/>
      <c r="N5045" s="167"/>
      <c r="O5045" s="120"/>
      <c r="P5045" s="120"/>
      <c r="Q5045" s="120"/>
      <c r="R5045" s="120"/>
      <c r="S5045" s="120"/>
      <c r="T5045" s="221"/>
      <c r="U5045" s="89"/>
      <c r="V5045" s="61"/>
      <c r="W5045" s="92" t="s">
        <v>1030</v>
      </c>
      <c r="X5045" s="93" t="s">
        <v>29</v>
      </c>
      <c r="Y5045" s="93" t="s">
        <v>93</v>
      </c>
      <c r="Z5045" s="134">
        <f>VLOOKUP(W5045,Sheet2!$B:$D,3,FALSE)</f>
        <v>23</v>
      </c>
      <c r="AA5045" s="93">
        <f>1/(4.5*1)</f>
        <v>0.22222222222222221</v>
      </c>
      <c r="AB5045" s="93">
        <f>AD5045/AC5037</f>
        <v>103.5</v>
      </c>
      <c r="AC5045" s="93">
        <f>AC5037/AA5045</f>
        <v>5.3549999999999986</v>
      </c>
      <c r="AD5045" s="94">
        <f t="shared" ref="AD5045:AD5046" si="3647">AC5045*Z5045</f>
        <v>123.16499999999996</v>
      </c>
      <c r="AE5045" s="190"/>
      <c r="AF5045" s="191"/>
      <c r="AG5045" s="191"/>
      <c r="AH5045" s="191"/>
      <c r="AI5045" s="186"/>
      <c r="AK5045" s="171"/>
    </row>
    <row r="5046" spans="1:41" s="102" customFormat="1" ht="19.899999999999999" customHeight="1" x14ac:dyDescent="0.25">
      <c r="A5046" s="45"/>
      <c r="B5046" s="59"/>
      <c r="C5046" s="137"/>
      <c r="D5046" s="59"/>
      <c r="E5046" s="116"/>
      <c r="F5046" s="120"/>
      <c r="G5046" s="120"/>
      <c r="H5046" s="120"/>
      <c r="I5046" s="60"/>
      <c r="J5046" s="116"/>
      <c r="K5046" s="213"/>
      <c r="L5046" s="120"/>
      <c r="M5046" s="120"/>
      <c r="N5046" s="167"/>
      <c r="O5046" s="120"/>
      <c r="P5046" s="120"/>
      <c r="Q5046" s="120"/>
      <c r="R5046" s="120"/>
      <c r="S5046" s="120"/>
      <c r="T5046" s="221"/>
      <c r="U5046" s="89"/>
      <c r="V5046" s="61"/>
      <c r="W5046" s="92" t="s">
        <v>65</v>
      </c>
      <c r="X5046" s="93" t="s">
        <v>30</v>
      </c>
      <c r="Y5046" s="93" t="s">
        <v>1011</v>
      </c>
      <c r="Z5046" s="134">
        <f>VLOOKUP(W5046,Sheet2!$B:$D,3,FALSE)</f>
        <v>1.76</v>
      </c>
      <c r="AA5046" s="93">
        <f>AA5045/3</f>
        <v>7.407407407407407E-2</v>
      </c>
      <c r="AB5046" s="93">
        <f>AD5046/AC5037</f>
        <v>23.76</v>
      </c>
      <c r="AC5046" s="93">
        <f>AC5037/AA5046</f>
        <v>16.064999999999998</v>
      </c>
      <c r="AD5046" s="94">
        <f t="shared" si="3647"/>
        <v>28.274399999999996</v>
      </c>
      <c r="AE5046" s="190"/>
      <c r="AF5046" s="191"/>
      <c r="AG5046" s="191"/>
      <c r="AH5046" s="191"/>
      <c r="AI5046" s="186"/>
      <c r="AK5046" s="171"/>
    </row>
    <row r="5047" spans="1:41" ht="20.100000000000001" customHeight="1" x14ac:dyDescent="0.25">
      <c r="A5047" s="277" t="s">
        <v>491</v>
      </c>
      <c r="B5047" s="278"/>
      <c r="C5047" s="64" t="s">
        <v>580</v>
      </c>
      <c r="D5047" s="46" t="s">
        <v>328</v>
      </c>
      <c r="E5047" s="114">
        <v>8.9999999999999858E-2</v>
      </c>
      <c r="F5047" s="44">
        <v>47898</v>
      </c>
      <c r="G5047" s="44">
        <f t="shared" si="3471"/>
        <v>4310.8199999999933</v>
      </c>
      <c r="H5047" s="44">
        <f t="shared" si="3472"/>
        <v>14558.268350933331</v>
      </c>
      <c r="I5047" s="43">
        <f t="shared" si="3473"/>
        <v>1310.2441515839978</v>
      </c>
      <c r="J5047" s="112">
        <f t="shared" si="3474"/>
        <v>8.9999999999999858E-2</v>
      </c>
      <c r="K5047" s="211">
        <f t="shared" si="3475"/>
        <v>8.9999999999999858E-2</v>
      </c>
      <c r="L5047" s="44"/>
      <c r="M5047" s="44">
        <f t="shared" si="3499"/>
        <v>8.9999999999999858E-2</v>
      </c>
      <c r="N5047" s="173">
        <f t="shared" si="3476"/>
        <v>1</v>
      </c>
      <c r="O5047" s="44">
        <f t="shared" si="3477"/>
        <v>47898</v>
      </c>
      <c r="P5047" s="44">
        <f t="shared" si="3478"/>
        <v>4310.8199999999933</v>
      </c>
      <c r="Q5047" s="44">
        <f t="shared" si="3479"/>
        <v>14558.268350933331</v>
      </c>
      <c r="R5047" s="44">
        <f t="shared" si="3500"/>
        <v>1310.2441515839978</v>
      </c>
      <c r="S5047" s="123"/>
      <c r="T5047" s="219">
        <f t="shared" si="3501"/>
        <v>1310.2441515839978</v>
      </c>
      <c r="U5047" s="87"/>
      <c r="V5047" s="47"/>
      <c r="W5047" s="48"/>
      <c r="X5047" s="48"/>
      <c r="Y5047" s="48"/>
      <c r="Z5047" s="135"/>
      <c r="AA5047" s="49"/>
      <c r="AB5047" s="50">
        <f t="shared" si="3480"/>
        <v>14558.268350933331</v>
      </c>
      <c r="AC5047" s="42">
        <f t="shared" si="3502"/>
        <v>8.9999999999999858E-2</v>
      </c>
      <c r="AD5047" s="90">
        <f>AD5048+AD5053+AD5060+AD5068</f>
        <v>1310.2441515839978</v>
      </c>
      <c r="AE5047" s="188">
        <f t="shared" ref="AE5047" si="3648">AE5048+AE5053+AE5060+AE5068</f>
        <v>0</v>
      </c>
      <c r="AF5047" s="189">
        <f t="shared" ref="AF5047" si="3649">AF5048+AF5053+AF5060+AF5068</f>
        <v>0</v>
      </c>
      <c r="AG5047" s="189">
        <f t="shared" ref="AG5047" si="3650">AG5048+AG5053+AG5060+AG5068</f>
        <v>0</v>
      </c>
      <c r="AH5047" s="189">
        <f t="shared" ref="AH5047" si="3651">AH5048+AH5053+AH5060+AH5068</f>
        <v>0</v>
      </c>
      <c r="AI5047" s="161">
        <f t="shared" si="3634"/>
        <v>0</v>
      </c>
      <c r="AK5047" s="169">
        <v>5</v>
      </c>
      <c r="AO5047" s="19" t="s">
        <v>63</v>
      </c>
    </row>
    <row r="5048" spans="1:41" s="103" customFormat="1" ht="19.899999999999999" customHeight="1" x14ac:dyDescent="0.25">
      <c r="A5048" s="51"/>
      <c r="B5048" s="52"/>
      <c r="C5048" s="165"/>
      <c r="D5048" s="52"/>
      <c r="E5048" s="115"/>
      <c r="F5048" s="58"/>
      <c r="G5048" s="58"/>
      <c r="H5048" s="58"/>
      <c r="I5048" s="55"/>
      <c r="J5048" s="113">
        <f>J5047</f>
        <v>8.9999999999999858E-2</v>
      </c>
      <c r="K5048" s="212">
        <f>K5047</f>
        <v>8.9999999999999858E-2</v>
      </c>
      <c r="L5048" s="58"/>
      <c r="M5048" s="58">
        <f>K5048-L5048</f>
        <v>8.9999999999999858E-2</v>
      </c>
      <c r="N5048" s="166"/>
      <c r="O5048" s="58"/>
      <c r="P5048" s="58"/>
      <c r="Q5048" s="58"/>
      <c r="R5048" s="58"/>
      <c r="S5048" s="58"/>
      <c r="T5048" s="220"/>
      <c r="U5048" s="88"/>
      <c r="V5048" s="56"/>
      <c r="W5048" s="57" t="s">
        <v>1538</v>
      </c>
      <c r="X5048" s="53"/>
      <c r="Y5048" s="91" t="s">
        <v>35</v>
      </c>
      <c r="Z5048" s="136">
        <f>AD5048/AC5048</f>
        <v>125.69019607843137</v>
      </c>
      <c r="AA5048" s="58"/>
      <c r="AB5048" s="53">
        <f>AD5048/AC5048</f>
        <v>125.69019607843137</v>
      </c>
      <c r="AC5048" s="53">
        <f>M5048+$AE$10</f>
        <v>8.9999999999999858E-2</v>
      </c>
      <c r="AD5048" s="54">
        <f>SUM(AD5049:AD5052)</f>
        <v>11.312117647058805</v>
      </c>
      <c r="AE5048" s="184">
        <f>SUMIFS($AD$37:$AD$12971,$V$37:$V$12971,$V5048,$X$37:$X$12971,AE$13)</f>
        <v>0</v>
      </c>
      <c r="AF5048" s="185">
        <f>SUMIFS($AD$37:$AD$12971,$V$37:$V$12971,$V5048,$X$37:$X$12971,AF$13)</f>
        <v>0</v>
      </c>
      <c r="AG5048" s="185">
        <f>SUMIFS($AD$37:$AD$12971,$V$37:$V$12971,$V5048,$X$37:$X$12971,AG$13)</f>
        <v>0</v>
      </c>
      <c r="AH5048" s="187">
        <f>SUMIFS($AD$37:$AD$12971,$V$37:$V$12971,$V5048,$X$37:$X$12971,AH$13)</f>
        <v>0</v>
      </c>
      <c r="AI5048" s="161">
        <f t="shared" ref="AI5048" si="3652">SUM(AE5048:AH5048)</f>
        <v>0</v>
      </c>
      <c r="AK5048" s="172"/>
    </row>
    <row r="5049" spans="1:41" s="102" customFormat="1" ht="19.899999999999999" customHeight="1" x14ac:dyDescent="0.25">
      <c r="A5049" s="45"/>
      <c r="B5049" s="59"/>
      <c r="C5049" s="137"/>
      <c r="D5049" s="59"/>
      <c r="E5049" s="116"/>
      <c r="F5049" s="120"/>
      <c r="G5049" s="120"/>
      <c r="H5049" s="120"/>
      <c r="I5049" s="60"/>
      <c r="J5049" s="116"/>
      <c r="K5049" s="213"/>
      <c r="L5049" s="120"/>
      <c r="M5049" s="120"/>
      <c r="N5049" s="167"/>
      <c r="O5049" s="120"/>
      <c r="P5049" s="120"/>
      <c r="Q5049" s="120"/>
      <c r="R5049" s="120"/>
      <c r="S5049" s="120"/>
      <c r="T5049" s="221"/>
      <c r="U5049" s="89"/>
      <c r="V5049" s="61"/>
      <c r="W5049" s="92" t="s">
        <v>129</v>
      </c>
      <c r="X5049" s="93" t="s">
        <v>29</v>
      </c>
      <c r="Y5049" s="93" t="s">
        <v>93</v>
      </c>
      <c r="Z5049" s="134">
        <f>VLOOKUP(W5049,Sheet2!$B:$D,3,FALSE)</f>
        <v>56</v>
      </c>
      <c r="AA5049" s="93">
        <f>100/(2.5*2.5*5)</f>
        <v>3.2</v>
      </c>
      <c r="AB5049" s="93">
        <f t="shared" ref="AB5049" si="3653">AD5049/AC5048</f>
        <v>17.5</v>
      </c>
      <c r="AC5049" s="93">
        <f>AC5048/AA5049</f>
        <v>2.8124999999999956E-2</v>
      </c>
      <c r="AD5049" s="94">
        <f t="shared" ref="AD5049:AD5050" si="3654">AC5049*Z5049</f>
        <v>1.5749999999999975</v>
      </c>
      <c r="AE5049" s="190"/>
      <c r="AF5049" s="191"/>
      <c r="AG5049" s="191"/>
      <c r="AH5049" s="191"/>
      <c r="AI5049" s="186"/>
      <c r="AK5049" s="171"/>
    </row>
    <row r="5050" spans="1:41" s="102" customFormat="1" ht="19.899999999999999" customHeight="1" x14ac:dyDescent="0.25">
      <c r="A5050" s="45"/>
      <c r="B5050" s="59"/>
      <c r="C5050" s="137"/>
      <c r="D5050" s="59"/>
      <c r="E5050" s="116"/>
      <c r="F5050" s="120"/>
      <c r="G5050" s="120"/>
      <c r="H5050" s="120"/>
      <c r="I5050" s="60"/>
      <c r="J5050" s="116"/>
      <c r="K5050" s="213"/>
      <c r="L5050" s="120"/>
      <c r="M5050" s="120"/>
      <c r="N5050" s="167"/>
      <c r="O5050" s="120"/>
      <c r="P5050" s="120"/>
      <c r="Q5050" s="120"/>
      <c r="R5050" s="120"/>
      <c r="S5050" s="120"/>
      <c r="T5050" s="221"/>
      <c r="U5050" s="89"/>
      <c r="V5050" s="61"/>
      <c r="W5050" s="92" t="s">
        <v>65</v>
      </c>
      <c r="X5050" s="93" t="s">
        <v>30</v>
      </c>
      <c r="Y5050" s="93" t="s">
        <v>1011</v>
      </c>
      <c r="Z5050" s="134">
        <f>VLOOKUP(W5050,Sheet2!$B:$D,3,FALSE)</f>
        <v>1.76</v>
      </c>
      <c r="AA5050" s="93">
        <f>AA5049/14</f>
        <v>0.22857142857142859</v>
      </c>
      <c r="AB5050" s="93">
        <f>AD5050/AC5048</f>
        <v>7.6999999999999993</v>
      </c>
      <c r="AC5050" s="93">
        <f>AC5048/AA5050</f>
        <v>0.39374999999999932</v>
      </c>
      <c r="AD5050" s="94">
        <f t="shared" si="3654"/>
        <v>0.69299999999999884</v>
      </c>
      <c r="AE5050" s="190"/>
      <c r="AF5050" s="191"/>
      <c r="AG5050" s="191"/>
      <c r="AH5050" s="191"/>
      <c r="AI5050" s="186"/>
      <c r="AK5050" s="171"/>
    </row>
    <row r="5051" spans="1:41" s="102" customFormat="1" ht="19.899999999999999" customHeight="1" x14ac:dyDescent="0.25">
      <c r="A5051" s="45"/>
      <c r="B5051" s="59"/>
      <c r="C5051" s="137"/>
      <c r="D5051" s="59"/>
      <c r="E5051" s="116"/>
      <c r="F5051" s="120"/>
      <c r="G5051" s="120"/>
      <c r="H5051" s="120"/>
      <c r="I5051" s="60"/>
      <c r="J5051" s="116"/>
      <c r="K5051" s="213"/>
      <c r="L5051" s="120"/>
      <c r="M5051" s="120"/>
      <c r="N5051" s="167"/>
      <c r="O5051" s="120"/>
      <c r="P5051" s="120"/>
      <c r="Q5051" s="120"/>
      <c r="R5051" s="120"/>
      <c r="S5051" s="120"/>
      <c r="T5051" s="221"/>
      <c r="U5051" s="89"/>
      <c r="V5051" s="61"/>
      <c r="W5051" s="92" t="s">
        <v>161</v>
      </c>
      <c r="X5051" s="93" t="s">
        <v>29</v>
      </c>
      <c r="Y5051" s="93" t="s">
        <v>93</v>
      </c>
      <c r="Z5051" s="134">
        <f>VLOOKUP(W5051,Sheet2!$B:$D,3,FALSE)</f>
        <v>48</v>
      </c>
      <c r="AA5051" s="93">
        <f>(16*0.85*1.5)/(2.5*2.5*5)</f>
        <v>0.65279999999999994</v>
      </c>
      <c r="AB5051" s="93">
        <f>AD5051/AC5048</f>
        <v>73.529411764705884</v>
      </c>
      <c r="AC5051" s="93">
        <f>AC5048/AA5051</f>
        <v>0.13786764705882332</v>
      </c>
      <c r="AD5051" s="94">
        <f>AC5051*Z5051</f>
        <v>6.6176470588235192</v>
      </c>
      <c r="AE5051" s="190"/>
      <c r="AF5051" s="191"/>
      <c r="AG5051" s="191"/>
      <c r="AH5051" s="191"/>
      <c r="AI5051" s="186"/>
      <c r="AK5051" s="171"/>
    </row>
    <row r="5052" spans="1:41" s="102" customFormat="1" ht="19.899999999999999" customHeight="1" x14ac:dyDescent="0.25">
      <c r="A5052" s="45"/>
      <c r="B5052" s="59"/>
      <c r="C5052" s="137"/>
      <c r="D5052" s="59"/>
      <c r="E5052" s="116"/>
      <c r="F5052" s="120"/>
      <c r="G5052" s="120"/>
      <c r="H5052" s="120"/>
      <c r="I5052" s="60"/>
      <c r="J5052" s="116"/>
      <c r="K5052" s="213"/>
      <c r="L5052" s="120"/>
      <c r="M5052" s="120"/>
      <c r="N5052" s="167"/>
      <c r="O5052" s="120"/>
      <c r="P5052" s="120"/>
      <c r="Q5052" s="120"/>
      <c r="R5052" s="120"/>
      <c r="S5052" s="120"/>
      <c r="T5052" s="221"/>
      <c r="U5052" s="89"/>
      <c r="V5052" s="61"/>
      <c r="W5052" s="92" t="s">
        <v>65</v>
      </c>
      <c r="X5052" s="93" t="s">
        <v>30</v>
      </c>
      <c r="Y5052" s="93" t="s">
        <v>1011</v>
      </c>
      <c r="Z5052" s="134">
        <f>VLOOKUP(W5052,Sheet2!$B:$D,3,FALSE)</f>
        <v>1.76</v>
      </c>
      <c r="AA5052" s="93">
        <f>AA5051/10</f>
        <v>6.5279999999999991E-2</v>
      </c>
      <c r="AB5052" s="93">
        <f>AD5052/AC5048</f>
        <v>26.96078431372549</v>
      </c>
      <c r="AC5052" s="93">
        <f>AC5048/AA5052</f>
        <v>1.3786764705882333</v>
      </c>
      <c r="AD5052" s="94">
        <f>AC5052*Z5052</f>
        <v>2.4264705882352904</v>
      </c>
      <c r="AE5052" s="190"/>
      <c r="AF5052" s="191"/>
      <c r="AG5052" s="191"/>
      <c r="AH5052" s="191"/>
      <c r="AI5052" s="186"/>
      <c r="AK5052" s="171"/>
    </row>
    <row r="5053" spans="1:41" s="103" customFormat="1" ht="19.899999999999999" customHeight="1" x14ac:dyDescent="0.25">
      <c r="A5053" s="51"/>
      <c r="B5053" s="52"/>
      <c r="C5053" s="165"/>
      <c r="D5053" s="52"/>
      <c r="E5053" s="115"/>
      <c r="F5053" s="58"/>
      <c r="G5053" s="58"/>
      <c r="H5053" s="58"/>
      <c r="I5053" s="55"/>
      <c r="J5053" s="113">
        <f>J5047</f>
        <v>8.9999999999999858E-2</v>
      </c>
      <c r="K5053" s="212">
        <f>K5047</f>
        <v>8.9999999999999858E-2</v>
      </c>
      <c r="L5053" s="58"/>
      <c r="M5053" s="58">
        <f>K5053-L5053</f>
        <v>8.9999999999999858E-2</v>
      </c>
      <c r="N5053" s="166"/>
      <c r="O5053" s="58"/>
      <c r="P5053" s="58"/>
      <c r="Q5053" s="58"/>
      <c r="R5053" s="58"/>
      <c r="S5053" s="58"/>
      <c r="T5053" s="220"/>
      <c r="U5053" s="88"/>
      <c r="V5053" s="56"/>
      <c r="W5053" s="57" t="s">
        <v>1486</v>
      </c>
      <c r="X5053" s="53"/>
      <c r="Y5053" s="91" t="s">
        <v>35</v>
      </c>
      <c r="Z5053" s="136">
        <f>AD5053/AC5053</f>
        <v>1432.6959999999999</v>
      </c>
      <c r="AA5053" s="58"/>
      <c r="AB5053" s="53">
        <f>AD5053/AC5053</f>
        <v>1432.6959999999999</v>
      </c>
      <c r="AC5053" s="53">
        <f>M5053+$AE$10</f>
        <v>8.9999999999999858E-2</v>
      </c>
      <c r="AD5053" s="54">
        <f>SUM(AD5054:AD5059)</f>
        <v>128.94263999999978</v>
      </c>
      <c r="AE5053" s="184">
        <f>SUMIFS($AD$37:$AD$12971,$V$37:$V$12971,$V5053,$X$37:$X$12971,AE$13)</f>
        <v>0</v>
      </c>
      <c r="AF5053" s="185">
        <f>SUMIFS($AD$37:$AD$12971,$V$37:$V$12971,$V5053,$X$37:$X$12971,AF$13)</f>
        <v>0</v>
      </c>
      <c r="AG5053" s="185">
        <f>SUMIFS($AD$37:$AD$12971,$V$37:$V$12971,$V5053,$X$37:$X$12971,AG$13)</f>
        <v>0</v>
      </c>
      <c r="AH5053" s="187">
        <f>SUMIFS($AD$37:$AD$12971,$V$37:$V$12971,$V5053,$X$37:$X$12971,AH$13)</f>
        <v>0</v>
      </c>
      <c r="AI5053" s="161">
        <f t="shared" ref="AI5053" si="3655">SUM(AE5053:AH5053)</f>
        <v>0</v>
      </c>
      <c r="AK5053" s="172"/>
    </row>
    <row r="5054" spans="1:41" s="102" customFormat="1" ht="19.899999999999999" customHeight="1" x14ac:dyDescent="0.25">
      <c r="A5054" s="45"/>
      <c r="B5054" s="59"/>
      <c r="C5054" s="137"/>
      <c r="D5054" s="59"/>
      <c r="E5054" s="116"/>
      <c r="F5054" s="120"/>
      <c r="G5054" s="120"/>
      <c r="H5054" s="120"/>
      <c r="I5054" s="60"/>
      <c r="J5054" s="116"/>
      <c r="K5054" s="213"/>
      <c r="L5054" s="120"/>
      <c r="M5054" s="120"/>
      <c r="N5054" s="167"/>
      <c r="O5054" s="120"/>
      <c r="P5054" s="120"/>
      <c r="Q5054" s="120"/>
      <c r="R5054" s="120"/>
      <c r="S5054" s="120"/>
      <c r="T5054" s="221"/>
      <c r="U5054" s="89"/>
      <c r="V5054" s="61"/>
      <c r="W5054" s="92" t="s">
        <v>1032</v>
      </c>
      <c r="X5054" s="93" t="s">
        <v>30</v>
      </c>
      <c r="Y5054" s="93" t="s">
        <v>66</v>
      </c>
      <c r="Z5054" s="134">
        <f>VLOOKUP(W5054,Sheet2!$B:$D,3,FALSE)</f>
        <v>250</v>
      </c>
      <c r="AA5054" s="93">
        <f>1/(2.1*2.1*0.1)</f>
        <v>2.2675736961451243</v>
      </c>
      <c r="AB5054" s="93">
        <f>AD5054/AC5060</f>
        <v>110.25000000000003</v>
      </c>
      <c r="AC5054" s="93">
        <f>AC5060/AA5054</f>
        <v>3.9689999999999948E-2</v>
      </c>
      <c r="AD5054" s="94">
        <f t="shared" ref="AD5054:AD5056" si="3656">AC5054*Z5054</f>
        <v>9.922499999999987</v>
      </c>
      <c r="AE5054" s="190"/>
      <c r="AF5054" s="191"/>
      <c r="AG5054" s="191"/>
      <c r="AH5054" s="191"/>
      <c r="AI5054" s="186"/>
      <c r="AK5054" s="171"/>
    </row>
    <row r="5055" spans="1:41" s="102" customFormat="1" ht="19.899999999999999" customHeight="1" x14ac:dyDescent="0.25">
      <c r="A5055" s="45"/>
      <c r="B5055" s="59"/>
      <c r="C5055" s="137"/>
      <c r="D5055" s="59"/>
      <c r="E5055" s="116"/>
      <c r="F5055" s="120"/>
      <c r="G5055" s="120"/>
      <c r="H5055" s="120"/>
      <c r="I5055" s="60"/>
      <c r="J5055" s="116"/>
      <c r="K5055" s="213"/>
      <c r="L5055" s="120"/>
      <c r="M5055" s="120"/>
      <c r="N5055" s="167"/>
      <c r="O5055" s="120"/>
      <c r="P5055" s="120"/>
      <c r="Q5055" s="120"/>
      <c r="R5055" s="120"/>
      <c r="S5055" s="120"/>
      <c r="T5055" s="221"/>
      <c r="U5055" s="89"/>
      <c r="V5055" s="61"/>
      <c r="W5055" s="92" t="s">
        <v>1353</v>
      </c>
      <c r="X5055" s="93" t="s">
        <v>30</v>
      </c>
      <c r="Y5055" s="93" t="s">
        <v>66</v>
      </c>
      <c r="Z5055" s="134">
        <f>VLOOKUP(W5055,Sheet2!$B:$D,3,FALSE)</f>
        <v>350</v>
      </c>
      <c r="AA5055" s="93">
        <f>1/(2*2*0.3)</f>
        <v>0.83333333333333337</v>
      </c>
      <c r="AB5055" s="93">
        <f>AD5055/AC5060</f>
        <v>419.99999999999994</v>
      </c>
      <c r="AC5055" s="93">
        <f>AC5060/AA5055</f>
        <v>0.10799999999999982</v>
      </c>
      <c r="AD5055" s="94">
        <f t="shared" si="3656"/>
        <v>37.799999999999933</v>
      </c>
      <c r="AE5055" s="190"/>
      <c r="AF5055" s="191"/>
      <c r="AG5055" s="191"/>
      <c r="AH5055" s="191"/>
      <c r="AI5055" s="186"/>
      <c r="AK5055" s="171"/>
    </row>
    <row r="5056" spans="1:41" s="102" customFormat="1" ht="19.899999999999999" customHeight="1" x14ac:dyDescent="0.25">
      <c r="A5056" s="45"/>
      <c r="B5056" s="59"/>
      <c r="C5056" s="137"/>
      <c r="D5056" s="59"/>
      <c r="E5056" s="116"/>
      <c r="F5056" s="120"/>
      <c r="G5056" s="120"/>
      <c r="H5056" s="120"/>
      <c r="I5056" s="60"/>
      <c r="J5056" s="116"/>
      <c r="K5056" s="213"/>
      <c r="L5056" s="120"/>
      <c r="M5056" s="120"/>
      <c r="N5056" s="167"/>
      <c r="O5056" s="120"/>
      <c r="P5056" s="120"/>
      <c r="Q5056" s="120"/>
      <c r="R5056" s="120"/>
      <c r="S5056" s="120"/>
      <c r="T5056" s="221"/>
      <c r="U5056" s="89"/>
      <c r="V5056" s="61"/>
      <c r="W5056" s="92" t="s">
        <v>99</v>
      </c>
      <c r="X5056" s="93" t="s">
        <v>30</v>
      </c>
      <c r="Y5056" s="93" t="s">
        <v>67</v>
      </c>
      <c r="Z5056" s="134">
        <f>VLOOKUP(W5056,Sheet2!$B:$D,3,FALSE)</f>
        <v>2500</v>
      </c>
      <c r="AA5056" s="93">
        <f>AA5055/0.08</f>
        <v>10.416666666666666</v>
      </c>
      <c r="AB5056" s="93">
        <f>AD5056/AC5060</f>
        <v>240</v>
      </c>
      <c r="AC5056" s="93">
        <f>AC5060/AA5056</f>
        <v>8.6399999999999862E-3</v>
      </c>
      <c r="AD5056" s="94">
        <f t="shared" si="3656"/>
        <v>21.599999999999966</v>
      </c>
      <c r="AE5056" s="190"/>
      <c r="AF5056" s="191"/>
      <c r="AG5056" s="191"/>
      <c r="AH5056" s="191"/>
      <c r="AI5056" s="186"/>
      <c r="AK5056" s="171"/>
    </row>
    <row r="5057" spans="1:37" s="102" customFormat="1" ht="19.899999999999999" customHeight="1" x14ac:dyDescent="0.25">
      <c r="A5057" s="45"/>
      <c r="B5057" s="59"/>
      <c r="C5057" s="137"/>
      <c r="D5057" s="59"/>
      <c r="E5057" s="116"/>
      <c r="F5057" s="120"/>
      <c r="G5057" s="120"/>
      <c r="H5057" s="120"/>
      <c r="I5057" s="60"/>
      <c r="J5057" s="116"/>
      <c r="K5057" s="213"/>
      <c r="L5057" s="120"/>
      <c r="M5057" s="120"/>
      <c r="N5057" s="167"/>
      <c r="O5057" s="120"/>
      <c r="P5057" s="120"/>
      <c r="Q5057" s="120"/>
      <c r="R5057" s="120"/>
      <c r="S5057" s="120"/>
      <c r="T5057" s="221"/>
      <c r="U5057" s="89"/>
      <c r="V5057" s="61"/>
      <c r="W5057" s="92" t="s">
        <v>1354</v>
      </c>
      <c r="X5057" s="93" t="s">
        <v>32</v>
      </c>
      <c r="Y5057" s="93" t="s">
        <v>66</v>
      </c>
      <c r="Z5057" s="134">
        <f>VLOOKUP(W5057,Sheet2!$B:$D,3,FALSE)</f>
        <v>150</v>
      </c>
      <c r="AA5057" s="93">
        <f>AA5054</f>
        <v>2.2675736961451243</v>
      </c>
      <c r="AB5057" s="93">
        <f>AD5057/AC5060</f>
        <v>66.15000000000002</v>
      </c>
      <c r="AC5057" s="93">
        <f>AC5060/AA5057</f>
        <v>3.9689999999999948E-2</v>
      </c>
      <c r="AD5057" s="94">
        <f>AC5057*Z5057</f>
        <v>5.953499999999992</v>
      </c>
      <c r="AE5057" s="190"/>
      <c r="AF5057" s="191"/>
      <c r="AG5057" s="191"/>
      <c r="AH5057" s="191"/>
      <c r="AI5057" s="186"/>
      <c r="AK5057" s="171"/>
    </row>
    <row r="5058" spans="1:37" s="102" customFormat="1" ht="19.899999999999999" customHeight="1" x14ac:dyDescent="0.25">
      <c r="A5058" s="45"/>
      <c r="B5058" s="59"/>
      <c r="C5058" s="137"/>
      <c r="D5058" s="59"/>
      <c r="E5058" s="116"/>
      <c r="F5058" s="120"/>
      <c r="G5058" s="120"/>
      <c r="H5058" s="120"/>
      <c r="I5058" s="60"/>
      <c r="J5058" s="116"/>
      <c r="K5058" s="213"/>
      <c r="L5058" s="120"/>
      <c r="M5058" s="120"/>
      <c r="N5058" s="167"/>
      <c r="O5058" s="120"/>
      <c r="P5058" s="120"/>
      <c r="Q5058" s="120"/>
      <c r="R5058" s="120"/>
      <c r="S5058" s="120"/>
      <c r="T5058" s="221"/>
      <c r="U5058" s="89"/>
      <c r="V5058" s="61"/>
      <c r="W5058" s="92" t="s">
        <v>1355</v>
      </c>
      <c r="X5058" s="93" t="s">
        <v>32</v>
      </c>
      <c r="Y5058" s="93" t="s">
        <v>66</v>
      </c>
      <c r="Z5058" s="134">
        <f>VLOOKUP(W5058,Sheet2!$B:$D,3,FALSE)</f>
        <v>450</v>
      </c>
      <c r="AA5058" s="93">
        <f>AA5055</f>
        <v>0.83333333333333337</v>
      </c>
      <c r="AB5058" s="93">
        <f>AD5058/AC5060</f>
        <v>539.99999999999989</v>
      </c>
      <c r="AC5058" s="93">
        <f>AC5060/AA5058</f>
        <v>0.10799999999999982</v>
      </c>
      <c r="AD5058" s="94">
        <f>AC5058*Z5058</f>
        <v>48.599999999999916</v>
      </c>
      <c r="AE5058" s="190"/>
      <c r="AF5058" s="191"/>
      <c r="AG5058" s="191"/>
      <c r="AH5058" s="191"/>
      <c r="AI5058" s="186"/>
      <c r="AK5058" s="171"/>
    </row>
    <row r="5059" spans="1:37" s="102" customFormat="1" ht="19.899999999999999" customHeight="1" x14ac:dyDescent="0.25">
      <c r="A5059" s="45"/>
      <c r="B5059" s="59"/>
      <c r="C5059" s="137"/>
      <c r="D5059" s="59"/>
      <c r="E5059" s="116"/>
      <c r="F5059" s="120"/>
      <c r="G5059" s="120"/>
      <c r="H5059" s="120"/>
      <c r="I5059" s="60"/>
      <c r="J5059" s="116"/>
      <c r="K5059" s="213"/>
      <c r="L5059" s="120"/>
      <c r="M5059" s="120"/>
      <c r="N5059" s="167"/>
      <c r="O5059" s="120"/>
      <c r="P5059" s="120"/>
      <c r="Q5059" s="120"/>
      <c r="R5059" s="120"/>
      <c r="S5059" s="120"/>
      <c r="T5059" s="221"/>
      <c r="U5059" s="89"/>
      <c r="V5059" s="61"/>
      <c r="W5059" s="92" t="s">
        <v>124</v>
      </c>
      <c r="X5059" s="93" t="s">
        <v>32</v>
      </c>
      <c r="Y5059" s="93" t="s">
        <v>64</v>
      </c>
      <c r="Z5059" s="134">
        <f>VLOOKUP(W5059,Sheet2!$B:$D,3,FALSE)</f>
        <v>10</v>
      </c>
      <c r="AA5059" s="93">
        <f>1/((2.6*2.6)-(3.14*1.2*1.2/4))</f>
        <v>0.17763251385533604</v>
      </c>
      <c r="AB5059" s="93">
        <f t="shared" ref="AB5059" si="3657">AD5059/AC5053</f>
        <v>56.296000000000014</v>
      </c>
      <c r="AC5059" s="93">
        <f>AC5053/AA5059</f>
        <v>0.50666399999999934</v>
      </c>
      <c r="AD5059" s="94">
        <f t="shared" ref="AD5059" si="3658">AC5059*Z5059</f>
        <v>5.0666399999999934</v>
      </c>
      <c r="AE5059" s="190"/>
      <c r="AF5059" s="191"/>
      <c r="AG5059" s="191"/>
      <c r="AH5059" s="191"/>
      <c r="AI5059" s="186"/>
      <c r="AK5059" s="171"/>
    </row>
    <row r="5060" spans="1:37" s="103" customFormat="1" ht="19.899999999999999" customHeight="1" x14ac:dyDescent="0.25">
      <c r="A5060" s="51"/>
      <c r="B5060" s="52"/>
      <c r="C5060" s="165"/>
      <c r="D5060" s="52"/>
      <c r="E5060" s="115"/>
      <c r="F5060" s="58"/>
      <c r="G5060" s="58"/>
      <c r="H5060" s="58"/>
      <c r="I5060" s="55"/>
      <c r="J5060" s="113">
        <f>J5047</f>
        <v>8.9999999999999858E-2</v>
      </c>
      <c r="K5060" s="212">
        <f>K5047</f>
        <v>8.9999999999999858E-2</v>
      </c>
      <c r="L5060" s="58"/>
      <c r="M5060" s="58">
        <f>K5060-L5060</f>
        <v>8.9999999999999858E-2</v>
      </c>
      <c r="N5060" s="166"/>
      <c r="O5060" s="58"/>
      <c r="P5060" s="58"/>
      <c r="Q5060" s="58"/>
      <c r="R5060" s="58"/>
      <c r="S5060" s="58"/>
      <c r="T5060" s="220"/>
      <c r="U5060" s="88"/>
      <c r="V5060" s="56"/>
      <c r="W5060" s="57" t="s">
        <v>1275</v>
      </c>
      <c r="X5060" s="53"/>
      <c r="Y5060" s="91" t="s">
        <v>35</v>
      </c>
      <c r="Z5060" s="136">
        <f>AD5060/AC5060</f>
        <v>12472.8</v>
      </c>
      <c r="AA5060" s="58"/>
      <c r="AB5060" s="53">
        <f>AD5060/AC5060</f>
        <v>12472.8</v>
      </c>
      <c r="AC5060" s="53">
        <f>M5060+$AE$10</f>
        <v>8.9999999999999858E-2</v>
      </c>
      <c r="AD5060" s="54">
        <f>SUM(AD5061:AD5067)</f>
        <v>1122.5519999999981</v>
      </c>
      <c r="AE5060" s="184">
        <f>SUMIFS($AD$37:$AD$12971,$V$37:$V$12971,$V5060,$X$37:$X$12971,AE$13)</f>
        <v>0</v>
      </c>
      <c r="AF5060" s="185">
        <f>SUMIFS($AD$37:$AD$12971,$V$37:$V$12971,$V5060,$X$37:$X$12971,AF$13)</f>
        <v>0</v>
      </c>
      <c r="AG5060" s="185">
        <f>SUMIFS($AD$37:$AD$12971,$V$37:$V$12971,$V5060,$X$37:$X$12971,AG$13)</f>
        <v>0</v>
      </c>
      <c r="AH5060" s="187">
        <f>SUMIFS($AD$37:$AD$12971,$V$37:$V$12971,$V5060,$X$37:$X$12971,AH$13)</f>
        <v>0</v>
      </c>
      <c r="AI5060" s="161">
        <f t="shared" ref="AI5060" si="3659">SUM(AE5060:AH5060)</f>
        <v>0</v>
      </c>
      <c r="AK5060" s="172"/>
    </row>
    <row r="5061" spans="1:37" s="102" customFormat="1" ht="19.899999999999999" customHeight="1" x14ac:dyDescent="0.25">
      <c r="A5061" s="45"/>
      <c r="B5061" s="59"/>
      <c r="C5061" s="137"/>
      <c r="D5061" s="59"/>
      <c r="E5061" s="116"/>
      <c r="F5061" s="120"/>
      <c r="G5061" s="120"/>
      <c r="H5061" s="120"/>
      <c r="I5061" s="60"/>
      <c r="J5061" s="116"/>
      <c r="K5061" s="213"/>
      <c r="L5061" s="120"/>
      <c r="M5061" s="120"/>
      <c r="N5061" s="167"/>
      <c r="O5061" s="120"/>
      <c r="P5061" s="120"/>
      <c r="Q5061" s="120"/>
      <c r="R5061" s="120"/>
      <c r="S5061" s="120"/>
      <c r="T5061" s="221"/>
      <c r="U5061" s="89"/>
      <c r="V5061" s="61"/>
      <c r="W5061" s="92" t="s">
        <v>1534</v>
      </c>
      <c r="X5061" s="93" t="s">
        <v>30</v>
      </c>
      <c r="Y5061" s="93" t="s">
        <v>35</v>
      </c>
      <c r="Z5061" s="134">
        <f>VLOOKUP(W5061,Sheet2!$B:$D,3,FALSE)</f>
        <v>7200</v>
      </c>
      <c r="AA5061" s="93">
        <v>1</v>
      </c>
      <c r="AB5061" s="93">
        <f>AD5061/AC5060</f>
        <v>7200</v>
      </c>
      <c r="AC5061" s="93">
        <f>AC5060/AA5061</f>
        <v>8.9999999999999858E-2</v>
      </c>
      <c r="AD5061" s="94">
        <f t="shared" ref="AD5061:AD5063" si="3660">AC5061*Z5061</f>
        <v>647.99999999999898</v>
      </c>
      <c r="AE5061" s="190"/>
      <c r="AF5061" s="191"/>
      <c r="AG5061" s="191"/>
      <c r="AH5061" s="191"/>
      <c r="AI5061" s="186"/>
      <c r="AK5061" s="171"/>
    </row>
    <row r="5062" spans="1:37" s="102" customFormat="1" ht="19.899999999999999" customHeight="1" x14ac:dyDescent="0.25">
      <c r="A5062" s="45"/>
      <c r="B5062" s="59"/>
      <c r="C5062" s="137"/>
      <c r="D5062" s="59"/>
      <c r="E5062" s="116"/>
      <c r="F5062" s="120"/>
      <c r="G5062" s="120"/>
      <c r="H5062" s="120"/>
      <c r="I5062" s="60"/>
      <c r="J5062" s="116"/>
      <c r="K5062" s="213"/>
      <c r="L5062" s="120"/>
      <c r="M5062" s="120"/>
      <c r="N5062" s="167"/>
      <c r="O5062" s="120"/>
      <c r="P5062" s="120"/>
      <c r="Q5062" s="120"/>
      <c r="R5062" s="120"/>
      <c r="S5062" s="120"/>
      <c r="T5062" s="221"/>
      <c r="U5062" s="89"/>
      <c r="V5062" s="61"/>
      <c r="W5062" s="92" t="s">
        <v>1542</v>
      </c>
      <c r="X5062" s="93" t="s">
        <v>30</v>
      </c>
      <c r="Y5062" s="93" t="s">
        <v>1349</v>
      </c>
      <c r="Z5062" s="134">
        <f>VLOOKUP(W5062,Sheet2!$B:$D,3,FALSE)</f>
        <v>3500</v>
      </c>
      <c r="AA5062" s="93">
        <v>1</v>
      </c>
      <c r="AB5062" s="93">
        <f>AD5062/AC5060</f>
        <v>3500</v>
      </c>
      <c r="AC5062" s="93">
        <f>AC5060/AA5062</f>
        <v>8.9999999999999858E-2</v>
      </c>
      <c r="AD5062" s="94">
        <f t="shared" si="3660"/>
        <v>314.99999999999949</v>
      </c>
      <c r="AE5062" s="190"/>
      <c r="AF5062" s="191"/>
      <c r="AG5062" s="191"/>
      <c r="AH5062" s="191"/>
      <c r="AI5062" s="186"/>
      <c r="AK5062" s="171"/>
    </row>
    <row r="5063" spans="1:37" s="102" customFormat="1" ht="19.899999999999999" customHeight="1" x14ac:dyDescent="0.25">
      <c r="A5063" s="45"/>
      <c r="B5063" s="59"/>
      <c r="C5063" s="137"/>
      <c r="D5063" s="59"/>
      <c r="E5063" s="116"/>
      <c r="F5063" s="120"/>
      <c r="G5063" s="120"/>
      <c r="H5063" s="120"/>
      <c r="I5063" s="60"/>
      <c r="J5063" s="116"/>
      <c r="K5063" s="213"/>
      <c r="L5063" s="120"/>
      <c r="M5063" s="120"/>
      <c r="N5063" s="167"/>
      <c r="O5063" s="120"/>
      <c r="P5063" s="120"/>
      <c r="Q5063" s="120"/>
      <c r="R5063" s="120"/>
      <c r="S5063" s="120"/>
      <c r="T5063" s="221"/>
      <c r="U5063" s="89"/>
      <c r="V5063" s="61"/>
      <c r="W5063" s="92" t="s">
        <v>174</v>
      </c>
      <c r="X5063" s="93" t="s">
        <v>29</v>
      </c>
      <c r="Y5063" s="93" t="s">
        <v>93</v>
      </c>
      <c r="Z5063" s="134">
        <f>VLOOKUP(W5063,Sheet2!$B:$D,3,FALSE)</f>
        <v>80</v>
      </c>
      <c r="AA5063" s="93">
        <f>1/2</f>
        <v>0.5</v>
      </c>
      <c r="AB5063" s="93">
        <f>AD5063/AC5060</f>
        <v>160</v>
      </c>
      <c r="AC5063" s="93">
        <f>AC5060/AA5063</f>
        <v>0.17999999999999972</v>
      </c>
      <c r="AD5063" s="94">
        <f t="shared" si="3660"/>
        <v>14.399999999999977</v>
      </c>
      <c r="AE5063" s="190"/>
      <c r="AF5063" s="191"/>
      <c r="AG5063" s="191"/>
      <c r="AH5063" s="191"/>
      <c r="AI5063" s="186"/>
      <c r="AK5063" s="171"/>
    </row>
    <row r="5064" spans="1:37" s="102" customFormat="1" ht="19.899999999999999" customHeight="1" x14ac:dyDescent="0.25">
      <c r="A5064" s="45"/>
      <c r="B5064" s="59"/>
      <c r="C5064" s="137"/>
      <c r="D5064" s="59"/>
      <c r="E5064" s="116"/>
      <c r="F5064" s="120"/>
      <c r="G5064" s="120"/>
      <c r="H5064" s="120"/>
      <c r="I5064" s="60"/>
      <c r="J5064" s="116"/>
      <c r="K5064" s="213"/>
      <c r="L5064" s="120"/>
      <c r="M5064" s="120"/>
      <c r="N5064" s="167"/>
      <c r="O5064" s="120"/>
      <c r="P5064" s="120"/>
      <c r="Q5064" s="120"/>
      <c r="R5064" s="120"/>
      <c r="S5064" s="120"/>
      <c r="T5064" s="221"/>
      <c r="U5064" s="89"/>
      <c r="V5064" s="61"/>
      <c r="W5064" s="92" t="s">
        <v>65</v>
      </c>
      <c r="X5064" s="93" t="s">
        <v>30</v>
      </c>
      <c r="Y5064" s="93" t="s">
        <v>93</v>
      </c>
      <c r="Z5064" s="134">
        <f>VLOOKUP(W5064,Sheet2!$B:$D,3,FALSE)</f>
        <v>1.76</v>
      </c>
      <c r="AA5064" s="93">
        <f>AA5063/15</f>
        <v>3.3333333333333333E-2</v>
      </c>
      <c r="AB5064" s="93">
        <f>AD5064/AC5060</f>
        <v>52.800000000000004</v>
      </c>
      <c r="AC5064" s="93">
        <f>AC5060/AA5064</f>
        <v>2.6999999999999957</v>
      </c>
      <c r="AD5064" s="94">
        <f>AC5064*Z5064</f>
        <v>4.7519999999999927</v>
      </c>
      <c r="AE5064" s="190"/>
      <c r="AF5064" s="191"/>
      <c r="AG5064" s="191"/>
      <c r="AH5064" s="191"/>
      <c r="AI5064" s="186"/>
      <c r="AK5064" s="171"/>
    </row>
    <row r="5065" spans="1:37" s="102" customFormat="1" ht="19.899999999999999" customHeight="1" x14ac:dyDescent="0.25">
      <c r="A5065" s="45"/>
      <c r="B5065" s="59"/>
      <c r="C5065" s="137"/>
      <c r="D5065" s="59"/>
      <c r="E5065" s="116"/>
      <c r="F5065" s="120"/>
      <c r="G5065" s="120"/>
      <c r="H5065" s="120"/>
      <c r="I5065" s="60"/>
      <c r="J5065" s="116"/>
      <c r="K5065" s="213"/>
      <c r="L5065" s="120"/>
      <c r="M5065" s="120"/>
      <c r="N5065" s="167"/>
      <c r="O5065" s="120"/>
      <c r="P5065" s="120"/>
      <c r="Q5065" s="120"/>
      <c r="R5065" s="120"/>
      <c r="S5065" s="120"/>
      <c r="T5065" s="221"/>
      <c r="U5065" s="89"/>
      <c r="V5065" s="61"/>
      <c r="W5065" s="92" t="s">
        <v>1487</v>
      </c>
      <c r="X5065" s="93" t="s">
        <v>32</v>
      </c>
      <c r="Y5065" s="93" t="s">
        <v>1349</v>
      </c>
      <c r="Z5065" s="134">
        <f>VLOOKUP(W5065,Sheet2!$B:$D,3,FALSE)</f>
        <v>1500</v>
      </c>
      <c r="AA5065" s="93">
        <v>1</v>
      </c>
      <c r="AB5065" s="93">
        <f>AD5065/AC5060</f>
        <v>1499.9999999999998</v>
      </c>
      <c r="AC5065" s="93">
        <f>AC5060/AA5065</f>
        <v>8.9999999999999858E-2</v>
      </c>
      <c r="AD5065" s="94">
        <f>AC5065*Z5065</f>
        <v>134.99999999999977</v>
      </c>
      <c r="AE5065" s="190"/>
      <c r="AF5065" s="191"/>
      <c r="AG5065" s="191"/>
      <c r="AH5065" s="191"/>
      <c r="AI5065" s="186"/>
      <c r="AK5065" s="171"/>
    </row>
    <row r="5066" spans="1:37" s="102" customFormat="1" ht="19.899999999999999" customHeight="1" x14ac:dyDescent="0.25">
      <c r="A5066" s="45"/>
      <c r="B5066" s="59"/>
      <c r="C5066" s="137"/>
      <c r="D5066" s="59"/>
      <c r="E5066" s="116"/>
      <c r="F5066" s="120"/>
      <c r="G5066" s="120"/>
      <c r="H5066" s="120"/>
      <c r="I5066" s="60"/>
      <c r="J5066" s="116"/>
      <c r="K5066" s="213"/>
      <c r="L5066" s="120"/>
      <c r="M5066" s="120"/>
      <c r="N5066" s="167"/>
      <c r="O5066" s="120"/>
      <c r="P5066" s="120"/>
      <c r="Q5066" s="120"/>
      <c r="R5066" s="120"/>
      <c r="S5066" s="120"/>
      <c r="T5066" s="221"/>
      <c r="U5066" s="89"/>
      <c r="V5066" s="61"/>
      <c r="W5066" s="92" t="s">
        <v>107</v>
      </c>
      <c r="X5066" s="93" t="s">
        <v>31</v>
      </c>
      <c r="Y5066" s="93" t="s">
        <v>93</v>
      </c>
      <c r="Z5066" s="134">
        <f>VLOOKUP(W5066,Sheet2!$B:$D,3,FALSE)</f>
        <v>17</v>
      </c>
      <c r="AA5066" s="93">
        <f>AA5063</f>
        <v>0.5</v>
      </c>
      <c r="AB5066" s="93">
        <f>AD5066/AC5060</f>
        <v>34</v>
      </c>
      <c r="AC5066" s="93">
        <f>AC5060/AA5066</f>
        <v>0.17999999999999972</v>
      </c>
      <c r="AD5066" s="94">
        <f>AC5066*Z5066</f>
        <v>3.0599999999999952</v>
      </c>
      <c r="AE5066" s="190"/>
      <c r="AF5066" s="191"/>
      <c r="AG5066" s="191"/>
      <c r="AH5066" s="191"/>
      <c r="AI5066" s="186"/>
      <c r="AK5066" s="171"/>
    </row>
    <row r="5067" spans="1:37" s="102" customFormat="1" ht="19.899999999999999" customHeight="1" x14ac:dyDescent="0.25">
      <c r="A5067" s="45"/>
      <c r="B5067" s="59"/>
      <c r="C5067" s="137"/>
      <c r="D5067" s="59"/>
      <c r="E5067" s="116"/>
      <c r="F5067" s="120"/>
      <c r="G5067" s="120"/>
      <c r="H5067" s="120"/>
      <c r="I5067" s="60"/>
      <c r="J5067" s="116"/>
      <c r="K5067" s="213"/>
      <c r="L5067" s="120"/>
      <c r="M5067" s="120"/>
      <c r="N5067" s="167"/>
      <c r="O5067" s="120"/>
      <c r="P5067" s="120"/>
      <c r="Q5067" s="120"/>
      <c r="R5067" s="120"/>
      <c r="S5067" s="120"/>
      <c r="T5067" s="221"/>
      <c r="U5067" s="89"/>
      <c r="V5067" s="61"/>
      <c r="W5067" s="92" t="s">
        <v>112</v>
      </c>
      <c r="X5067" s="93" t="s">
        <v>31</v>
      </c>
      <c r="Y5067" s="93" t="s">
        <v>93</v>
      </c>
      <c r="Z5067" s="134">
        <f>VLOOKUP(W5067,Sheet2!$B:$D,3,FALSE)</f>
        <v>13</v>
      </c>
      <c r="AA5067" s="93">
        <f>AA5066</f>
        <v>0.5</v>
      </c>
      <c r="AB5067" s="93">
        <f>AD5067/AC5060</f>
        <v>26</v>
      </c>
      <c r="AC5067" s="93">
        <f>AC5060/AA5067</f>
        <v>0.17999999999999972</v>
      </c>
      <c r="AD5067" s="94">
        <f>AC5067*Z5067</f>
        <v>2.3399999999999963</v>
      </c>
      <c r="AE5067" s="190"/>
      <c r="AF5067" s="191"/>
      <c r="AG5067" s="191"/>
      <c r="AH5067" s="191"/>
      <c r="AI5067" s="186"/>
      <c r="AK5067" s="171"/>
    </row>
    <row r="5068" spans="1:37" s="103" customFormat="1" ht="19.899999999999999" customHeight="1" x14ac:dyDescent="0.25">
      <c r="A5068" s="51"/>
      <c r="B5068" s="52"/>
      <c r="C5068" s="165"/>
      <c r="D5068" s="52"/>
      <c r="E5068" s="115"/>
      <c r="F5068" s="58"/>
      <c r="G5068" s="58"/>
      <c r="H5068" s="58"/>
      <c r="I5068" s="55"/>
      <c r="J5068" s="113">
        <f>J5047</f>
        <v>8.9999999999999858E-2</v>
      </c>
      <c r="K5068" s="212">
        <f>K5047</f>
        <v>8.9999999999999858E-2</v>
      </c>
      <c r="L5068" s="58"/>
      <c r="M5068" s="58">
        <f>K5068-L5068</f>
        <v>8.9999999999999858E-2</v>
      </c>
      <c r="N5068" s="166"/>
      <c r="O5068" s="58"/>
      <c r="P5068" s="58"/>
      <c r="Q5068" s="58"/>
      <c r="R5068" s="58"/>
      <c r="S5068" s="58"/>
      <c r="T5068" s="220"/>
      <c r="U5068" s="88"/>
      <c r="V5068" s="56"/>
      <c r="W5068" s="57" t="s">
        <v>1272</v>
      </c>
      <c r="X5068" s="53"/>
      <c r="Y5068" s="91" t="s">
        <v>35</v>
      </c>
      <c r="Z5068" s="136">
        <f>AD5068/AC5068</f>
        <v>527.08215485490189</v>
      </c>
      <c r="AA5068" s="58"/>
      <c r="AB5068" s="53">
        <f>AD5068/AC5068</f>
        <v>527.08215485490189</v>
      </c>
      <c r="AC5068" s="53">
        <f>M5068+$AE$10</f>
        <v>8.9999999999999858E-2</v>
      </c>
      <c r="AD5068" s="54">
        <f>SUM(AD5069:AD5077)</f>
        <v>47.437393936941099</v>
      </c>
      <c r="AE5068" s="184">
        <f>SUMIFS($AD$37:$AD$12971,$V$37:$V$12971,$V5068,$X$37:$X$12971,AE$13)</f>
        <v>0</v>
      </c>
      <c r="AF5068" s="185">
        <f>SUMIFS($AD$37:$AD$12971,$V$37:$V$12971,$V5068,$X$37:$X$12971,AF$13)</f>
        <v>0</v>
      </c>
      <c r="AG5068" s="185">
        <f>SUMIFS($AD$37:$AD$12971,$V$37:$V$12971,$V5068,$X$37:$X$12971,AG$13)</f>
        <v>0</v>
      </c>
      <c r="AH5068" s="187">
        <f>SUMIFS($AD$37:$AD$12971,$V$37:$V$12971,$V5068,$X$37:$X$12971,AH$13)</f>
        <v>0</v>
      </c>
      <c r="AI5068" s="161">
        <f t="shared" ref="AI5068" si="3661">SUM(AE5068:AH5068)</f>
        <v>0</v>
      </c>
      <c r="AK5068" s="172"/>
    </row>
    <row r="5069" spans="1:37" s="102" customFormat="1" ht="19.899999999999999" customHeight="1" x14ac:dyDescent="0.25">
      <c r="A5069" s="45"/>
      <c r="B5069" s="59"/>
      <c r="C5069" s="137"/>
      <c r="D5069" s="59"/>
      <c r="E5069" s="116"/>
      <c r="F5069" s="120"/>
      <c r="G5069" s="120"/>
      <c r="H5069" s="120"/>
      <c r="I5069" s="60"/>
      <c r="J5069" s="116"/>
      <c r="K5069" s="213"/>
      <c r="L5069" s="120"/>
      <c r="M5069" s="120"/>
      <c r="N5069" s="167"/>
      <c r="O5069" s="120"/>
      <c r="P5069" s="120"/>
      <c r="Q5069" s="120"/>
      <c r="R5069" s="120"/>
      <c r="S5069" s="120"/>
      <c r="T5069" s="221"/>
      <c r="U5069" s="89"/>
      <c r="V5069" s="61"/>
      <c r="W5069" s="92" t="s">
        <v>1273</v>
      </c>
      <c r="X5069" s="93" t="s">
        <v>30</v>
      </c>
      <c r="Y5069" s="93" t="s">
        <v>66</v>
      </c>
      <c r="Z5069" s="134">
        <f>VLOOKUP(W5069,Sheet2!$B:$D,3,FALSE)</f>
        <v>10</v>
      </c>
      <c r="AA5069" s="93">
        <f>1/((2.5*2.5*5)-(3.14/4*1.2*1.2*5))</f>
        <v>3.9065551996249712E-2</v>
      </c>
      <c r="AB5069" s="93">
        <f>AD5069/AC5068</f>
        <v>255.97999999999996</v>
      </c>
      <c r="AC5069" s="93">
        <f>AC5068/AA5069</f>
        <v>2.303819999999996</v>
      </c>
      <c r="AD5069" s="94">
        <f t="shared" ref="AD5069:AD5071" si="3662">AC5069*Z5069</f>
        <v>23.038199999999961</v>
      </c>
      <c r="AE5069" s="190"/>
      <c r="AF5069" s="191"/>
      <c r="AG5069" s="191"/>
      <c r="AH5069" s="191"/>
      <c r="AI5069" s="186"/>
      <c r="AK5069" s="171"/>
    </row>
    <row r="5070" spans="1:37" s="102" customFormat="1" ht="19.899999999999999" customHeight="1" x14ac:dyDescent="0.25">
      <c r="A5070" s="45"/>
      <c r="B5070" s="59"/>
      <c r="C5070" s="137"/>
      <c r="D5070" s="59"/>
      <c r="E5070" s="116"/>
      <c r="F5070" s="120"/>
      <c r="G5070" s="120"/>
      <c r="H5070" s="120"/>
      <c r="I5070" s="60"/>
      <c r="J5070" s="116"/>
      <c r="K5070" s="213"/>
      <c r="L5070" s="120"/>
      <c r="M5070" s="120"/>
      <c r="N5070" s="167"/>
      <c r="O5070" s="120"/>
      <c r="P5070" s="120"/>
      <c r="Q5070" s="120"/>
      <c r="R5070" s="120"/>
      <c r="S5070" s="120"/>
      <c r="T5070" s="221"/>
      <c r="U5070" s="89"/>
      <c r="V5070" s="61"/>
      <c r="W5070" s="92" t="s">
        <v>134</v>
      </c>
      <c r="X5070" s="93" t="s">
        <v>29</v>
      </c>
      <c r="Y5070" s="93" t="s">
        <v>93</v>
      </c>
      <c r="Z5070" s="134">
        <f>VLOOKUP(W5070,Sheet2!$B:$D,3,FALSE)</f>
        <v>65.599999999999994</v>
      </c>
      <c r="AA5070" s="93">
        <f>100/((2.5*2.5*5)-(3.14/4*1.2*1.2*5))</f>
        <v>3.9065551996249708</v>
      </c>
      <c r="AB5070" s="93">
        <f t="shared" ref="AB5070" si="3663">AD5070/AC5068</f>
        <v>16.792287999999999</v>
      </c>
      <c r="AC5070" s="93">
        <f>AC5068/AA5070</f>
        <v>2.3038199999999964E-2</v>
      </c>
      <c r="AD5070" s="94">
        <f t="shared" si="3662"/>
        <v>1.5113059199999974</v>
      </c>
      <c r="AE5070" s="190"/>
      <c r="AF5070" s="191"/>
      <c r="AG5070" s="191"/>
      <c r="AH5070" s="191"/>
      <c r="AI5070" s="186"/>
      <c r="AK5070" s="171"/>
    </row>
    <row r="5071" spans="1:37" s="102" customFormat="1" ht="19.899999999999999" customHeight="1" x14ac:dyDescent="0.25">
      <c r="A5071" s="45"/>
      <c r="B5071" s="59"/>
      <c r="C5071" s="137"/>
      <c r="D5071" s="59"/>
      <c r="E5071" s="116"/>
      <c r="F5071" s="120"/>
      <c r="G5071" s="120"/>
      <c r="H5071" s="120"/>
      <c r="I5071" s="60"/>
      <c r="J5071" s="116"/>
      <c r="K5071" s="213"/>
      <c r="L5071" s="120"/>
      <c r="M5071" s="120"/>
      <c r="N5071" s="167"/>
      <c r="O5071" s="120"/>
      <c r="P5071" s="120"/>
      <c r="Q5071" s="120"/>
      <c r="R5071" s="120"/>
      <c r="S5071" s="120"/>
      <c r="T5071" s="221"/>
      <c r="U5071" s="89"/>
      <c r="V5071" s="61"/>
      <c r="W5071" s="92" t="s">
        <v>65</v>
      </c>
      <c r="X5071" s="93" t="s">
        <v>30</v>
      </c>
      <c r="Y5071" s="93" t="s">
        <v>1011</v>
      </c>
      <c r="Z5071" s="134">
        <f>VLOOKUP(W5071,Sheet2!$B:$D,3,FALSE)</f>
        <v>1.76</v>
      </c>
      <c r="AA5071" s="93">
        <f>AA5070/9</f>
        <v>0.43406168884721896</v>
      </c>
      <c r="AB5071" s="93">
        <f>AD5071/AC5068</f>
        <v>4.0547231999999997</v>
      </c>
      <c r="AC5071" s="93">
        <f>AC5068/AA5071</f>
        <v>0.20734379999999966</v>
      </c>
      <c r="AD5071" s="94">
        <f t="shared" si="3662"/>
        <v>0.3649250879999994</v>
      </c>
      <c r="AE5071" s="190"/>
      <c r="AF5071" s="191"/>
      <c r="AG5071" s="191"/>
      <c r="AH5071" s="191"/>
      <c r="AI5071" s="186"/>
      <c r="AK5071" s="171"/>
    </row>
    <row r="5072" spans="1:37" s="102" customFormat="1" ht="19.899999999999999" customHeight="1" x14ac:dyDescent="0.25">
      <c r="A5072" s="45"/>
      <c r="B5072" s="59"/>
      <c r="C5072" s="137"/>
      <c r="D5072" s="59"/>
      <c r="E5072" s="116"/>
      <c r="F5072" s="120"/>
      <c r="G5072" s="120"/>
      <c r="H5072" s="120"/>
      <c r="I5072" s="60"/>
      <c r="J5072" s="116"/>
      <c r="K5072" s="213"/>
      <c r="L5072" s="120"/>
      <c r="M5072" s="120"/>
      <c r="N5072" s="167"/>
      <c r="O5072" s="120"/>
      <c r="P5072" s="120"/>
      <c r="Q5072" s="120"/>
      <c r="R5072" s="120"/>
      <c r="S5072" s="120"/>
      <c r="T5072" s="221"/>
      <c r="U5072" s="89"/>
      <c r="V5072" s="61"/>
      <c r="W5072" s="92" t="s">
        <v>161</v>
      </c>
      <c r="X5072" s="93" t="s">
        <v>29</v>
      </c>
      <c r="Y5072" s="93" t="s">
        <v>93</v>
      </c>
      <c r="Z5072" s="134">
        <f>VLOOKUP(W5072,Sheet2!$B:$D,3,FALSE)</f>
        <v>48</v>
      </c>
      <c r="AA5072" s="93">
        <f>(16*0.85*1.5)/((2.5*2.5*5)-(3.14/4*1.2*1.2*5))</f>
        <v>0.79693726072349402</v>
      </c>
      <c r="AB5072" s="93">
        <f>AD5072/AC5068</f>
        <v>60.230588235294114</v>
      </c>
      <c r="AC5072" s="93">
        <f>AC5068/AA5072</f>
        <v>0.11293235294117629</v>
      </c>
      <c r="AD5072" s="94">
        <f>AC5072*Z5072</f>
        <v>5.4207529411764614</v>
      </c>
      <c r="AE5072" s="190"/>
      <c r="AF5072" s="191"/>
      <c r="AG5072" s="191"/>
      <c r="AH5072" s="191"/>
      <c r="AI5072" s="186"/>
      <c r="AK5072" s="171"/>
    </row>
    <row r="5073" spans="1:41" s="102" customFormat="1" ht="19.899999999999999" customHeight="1" x14ac:dyDescent="0.25">
      <c r="A5073" s="45"/>
      <c r="B5073" s="59"/>
      <c r="C5073" s="137"/>
      <c r="D5073" s="59"/>
      <c r="E5073" s="116"/>
      <c r="F5073" s="120"/>
      <c r="G5073" s="120"/>
      <c r="H5073" s="120"/>
      <c r="I5073" s="60"/>
      <c r="J5073" s="116"/>
      <c r="K5073" s="213"/>
      <c r="L5073" s="120"/>
      <c r="M5073" s="120"/>
      <c r="N5073" s="167"/>
      <c r="O5073" s="120"/>
      <c r="P5073" s="120"/>
      <c r="Q5073" s="120"/>
      <c r="R5073" s="120"/>
      <c r="S5073" s="120"/>
      <c r="T5073" s="221"/>
      <c r="U5073" s="89"/>
      <c r="V5073" s="61"/>
      <c r="W5073" s="92" t="s">
        <v>65</v>
      </c>
      <c r="X5073" s="93" t="s">
        <v>30</v>
      </c>
      <c r="Y5073" s="93" t="s">
        <v>1011</v>
      </c>
      <c r="Z5073" s="134">
        <f>VLOOKUP(W5073,Sheet2!$B:$D,3,FALSE)</f>
        <v>1.76</v>
      </c>
      <c r="AA5073" s="93">
        <f>AA5072/10</f>
        <v>7.9693726072349397E-2</v>
      </c>
      <c r="AB5073" s="93">
        <f>AD5073/AC5068</f>
        <v>22.084549019607842</v>
      </c>
      <c r="AC5073" s="93">
        <f>AC5068/AA5073</f>
        <v>1.1293235294117629</v>
      </c>
      <c r="AD5073" s="94">
        <f>AC5073*Z5073</f>
        <v>1.9876094117647027</v>
      </c>
      <c r="AE5073" s="190"/>
      <c r="AF5073" s="191"/>
      <c r="AG5073" s="191"/>
      <c r="AH5073" s="191"/>
      <c r="AI5073" s="186"/>
      <c r="AK5073" s="171"/>
    </row>
    <row r="5074" spans="1:41" s="102" customFormat="1" ht="19.899999999999999" customHeight="1" x14ac:dyDescent="0.25">
      <c r="A5074" s="45"/>
      <c r="B5074" s="59"/>
      <c r="C5074" s="137"/>
      <c r="D5074" s="59"/>
      <c r="E5074" s="116"/>
      <c r="F5074" s="120"/>
      <c r="G5074" s="120"/>
      <c r="H5074" s="120"/>
      <c r="I5074" s="60"/>
      <c r="J5074" s="116"/>
      <c r="K5074" s="213"/>
      <c r="L5074" s="120"/>
      <c r="M5074" s="120"/>
      <c r="N5074" s="167"/>
      <c r="O5074" s="120"/>
      <c r="P5074" s="120"/>
      <c r="Q5074" s="120"/>
      <c r="R5074" s="120"/>
      <c r="S5074" s="120"/>
      <c r="T5074" s="221"/>
      <c r="U5074" s="89"/>
      <c r="V5074" s="61"/>
      <c r="W5074" s="92" t="s">
        <v>173</v>
      </c>
      <c r="X5074" s="93" t="s">
        <v>29</v>
      </c>
      <c r="Y5074" s="93" t="s">
        <v>93</v>
      </c>
      <c r="Z5074" s="134">
        <f>VLOOKUP(W5074,Sheet2!$B:$D,3,FALSE)</f>
        <v>36</v>
      </c>
      <c r="AA5074" s="93">
        <f>50/((2.5*2.5*5)-(3.14/4*1.2*1.2*5))</f>
        <v>1.9532775998124854</v>
      </c>
      <c r="AB5074" s="93">
        <f>AD5074/AC5068</f>
        <v>18.43056</v>
      </c>
      <c r="AC5074" s="93">
        <f>AC5068/AA5074</f>
        <v>4.6076399999999927E-2</v>
      </c>
      <c r="AD5074" s="94">
        <f>AC5074*Z5074</f>
        <v>1.6587503999999973</v>
      </c>
      <c r="AE5074" s="190"/>
      <c r="AF5074" s="191"/>
      <c r="AG5074" s="191"/>
      <c r="AH5074" s="191"/>
      <c r="AI5074" s="186"/>
      <c r="AK5074" s="171"/>
    </row>
    <row r="5075" spans="1:41" s="102" customFormat="1" ht="19.899999999999999" customHeight="1" x14ac:dyDescent="0.25">
      <c r="A5075" s="45"/>
      <c r="B5075" s="59"/>
      <c r="C5075" s="137"/>
      <c r="D5075" s="59"/>
      <c r="E5075" s="116"/>
      <c r="F5075" s="120"/>
      <c r="G5075" s="120"/>
      <c r="H5075" s="120"/>
      <c r="I5075" s="60"/>
      <c r="J5075" s="116"/>
      <c r="K5075" s="213"/>
      <c r="L5075" s="120"/>
      <c r="M5075" s="120"/>
      <c r="N5075" s="167"/>
      <c r="O5075" s="120"/>
      <c r="P5075" s="120"/>
      <c r="Q5075" s="120"/>
      <c r="R5075" s="120"/>
      <c r="S5075" s="120"/>
      <c r="T5075" s="221"/>
      <c r="U5075" s="89"/>
      <c r="V5075" s="61"/>
      <c r="W5075" s="92" t="s">
        <v>65</v>
      </c>
      <c r="X5075" s="93" t="s">
        <v>30</v>
      </c>
      <c r="Y5075" s="93" t="s">
        <v>1011</v>
      </c>
      <c r="Z5075" s="134">
        <f>VLOOKUP(W5075,Sheet2!$B:$D,3,FALSE)</f>
        <v>1.76</v>
      </c>
      <c r="AA5075" s="93">
        <f>AA5074/9</f>
        <v>0.21703084442360948</v>
      </c>
      <c r="AB5075" s="93">
        <f>AD5075/AC5068</f>
        <v>8.1094463999999995</v>
      </c>
      <c r="AC5075" s="93">
        <f>AC5068/AA5075</f>
        <v>0.41468759999999932</v>
      </c>
      <c r="AD5075" s="94">
        <f>AC5075*Z5075</f>
        <v>0.7298501759999988</v>
      </c>
      <c r="AE5075" s="190"/>
      <c r="AF5075" s="191"/>
      <c r="AG5075" s="191"/>
      <c r="AH5075" s="191"/>
      <c r="AI5075" s="186"/>
      <c r="AK5075" s="171"/>
    </row>
    <row r="5076" spans="1:41" s="102" customFormat="1" ht="19.899999999999999" customHeight="1" x14ac:dyDescent="0.25">
      <c r="A5076" s="45"/>
      <c r="B5076" s="59"/>
      <c r="C5076" s="137"/>
      <c r="D5076" s="59"/>
      <c r="E5076" s="116"/>
      <c r="F5076" s="120"/>
      <c r="G5076" s="120"/>
      <c r="H5076" s="120"/>
      <c r="I5076" s="60"/>
      <c r="J5076" s="116"/>
      <c r="K5076" s="213"/>
      <c r="L5076" s="120"/>
      <c r="M5076" s="120"/>
      <c r="N5076" s="167"/>
      <c r="O5076" s="120"/>
      <c r="P5076" s="120"/>
      <c r="Q5076" s="120"/>
      <c r="R5076" s="120"/>
      <c r="S5076" s="120"/>
      <c r="T5076" s="221"/>
      <c r="U5076" s="89"/>
      <c r="V5076" s="61"/>
      <c r="W5076" s="92" t="s">
        <v>1030</v>
      </c>
      <c r="X5076" s="93" t="s">
        <v>29</v>
      </c>
      <c r="Y5076" s="93" t="s">
        <v>93</v>
      </c>
      <c r="Z5076" s="134">
        <f>VLOOKUP(W5076,Sheet2!$B:$D,3,FALSE)</f>
        <v>23</v>
      </c>
      <c r="AA5076" s="93">
        <f>1/(5*1)</f>
        <v>0.2</v>
      </c>
      <c r="AB5076" s="93">
        <f>AD5076/AC5068</f>
        <v>115</v>
      </c>
      <c r="AC5076" s="93">
        <f>AC5068/AA5076</f>
        <v>0.44999999999999929</v>
      </c>
      <c r="AD5076" s="94">
        <f t="shared" ref="AD5076:AD5077" si="3664">AC5076*Z5076</f>
        <v>10.349999999999984</v>
      </c>
      <c r="AE5076" s="190"/>
      <c r="AF5076" s="191"/>
      <c r="AG5076" s="191"/>
      <c r="AH5076" s="191"/>
      <c r="AI5076" s="186"/>
      <c r="AK5076" s="171"/>
    </row>
    <row r="5077" spans="1:41" s="102" customFormat="1" ht="19.899999999999999" customHeight="1" x14ac:dyDescent="0.25">
      <c r="A5077" s="45"/>
      <c r="B5077" s="59"/>
      <c r="C5077" s="137"/>
      <c r="D5077" s="59"/>
      <c r="E5077" s="116"/>
      <c r="F5077" s="120"/>
      <c r="G5077" s="120"/>
      <c r="H5077" s="120"/>
      <c r="I5077" s="60"/>
      <c r="J5077" s="116"/>
      <c r="K5077" s="213"/>
      <c r="L5077" s="120"/>
      <c r="M5077" s="120"/>
      <c r="N5077" s="167"/>
      <c r="O5077" s="120"/>
      <c r="P5077" s="120"/>
      <c r="Q5077" s="120"/>
      <c r="R5077" s="120"/>
      <c r="S5077" s="120"/>
      <c r="T5077" s="221"/>
      <c r="U5077" s="89"/>
      <c r="V5077" s="61"/>
      <c r="W5077" s="92" t="s">
        <v>65</v>
      </c>
      <c r="X5077" s="93" t="s">
        <v>30</v>
      </c>
      <c r="Y5077" s="93" t="s">
        <v>1011</v>
      </c>
      <c r="Z5077" s="134">
        <f>VLOOKUP(W5077,Sheet2!$B:$D,3,FALSE)</f>
        <v>1.76</v>
      </c>
      <c r="AA5077" s="93">
        <f>AA5076/3</f>
        <v>6.6666666666666666E-2</v>
      </c>
      <c r="AB5077" s="93">
        <f>AD5077/AC5068</f>
        <v>26.400000000000002</v>
      </c>
      <c r="AC5077" s="93">
        <f>AC5068/AA5077</f>
        <v>1.3499999999999979</v>
      </c>
      <c r="AD5077" s="94">
        <f t="shared" si="3664"/>
        <v>2.3759999999999963</v>
      </c>
      <c r="AE5077" s="190"/>
      <c r="AF5077" s="191"/>
      <c r="AG5077" s="191"/>
      <c r="AH5077" s="191"/>
      <c r="AI5077" s="186"/>
      <c r="AK5077" s="171"/>
    </row>
    <row r="5078" spans="1:41" ht="20.100000000000001" customHeight="1" x14ac:dyDescent="0.25">
      <c r="A5078" s="277" t="s">
        <v>491</v>
      </c>
      <c r="B5078" s="278"/>
      <c r="C5078" s="64" t="s">
        <v>581</v>
      </c>
      <c r="D5078" s="46" t="s">
        <v>328</v>
      </c>
      <c r="E5078" s="114">
        <v>6.999999999999984E-2</v>
      </c>
      <c r="F5078" s="44">
        <v>43681</v>
      </c>
      <c r="G5078" s="44">
        <f t="shared" si="3471"/>
        <v>3057.6699999999928</v>
      </c>
      <c r="H5078" s="44">
        <f t="shared" si="3472"/>
        <v>15423.54558602667</v>
      </c>
      <c r="I5078" s="43">
        <f t="shared" si="3473"/>
        <v>1079.6481910218645</v>
      </c>
      <c r="J5078" s="112">
        <f t="shared" si="3474"/>
        <v>6.999999999999984E-2</v>
      </c>
      <c r="K5078" s="211">
        <f t="shared" si="3475"/>
        <v>6.999999999999984E-2</v>
      </c>
      <c r="L5078" s="44"/>
      <c r="M5078" s="44">
        <f t="shared" si="3499"/>
        <v>6.999999999999984E-2</v>
      </c>
      <c r="N5078" s="173">
        <f t="shared" si="3476"/>
        <v>1</v>
      </c>
      <c r="O5078" s="44">
        <f t="shared" si="3477"/>
        <v>43681</v>
      </c>
      <c r="P5078" s="44">
        <f t="shared" si="3478"/>
        <v>3057.6699999999928</v>
      </c>
      <c r="Q5078" s="44">
        <f t="shared" si="3479"/>
        <v>15423.54558602667</v>
      </c>
      <c r="R5078" s="44">
        <f t="shared" si="3500"/>
        <v>1079.6481910218645</v>
      </c>
      <c r="S5078" s="123"/>
      <c r="T5078" s="219">
        <f t="shared" si="3501"/>
        <v>1079.6481910218645</v>
      </c>
      <c r="U5078" s="87"/>
      <c r="V5078" s="47"/>
      <c r="W5078" s="48"/>
      <c r="X5078" s="48"/>
      <c r="Y5078" s="48"/>
      <c r="Z5078" s="135"/>
      <c r="AA5078" s="49"/>
      <c r="AB5078" s="50">
        <f t="shared" si="3480"/>
        <v>15423.54558602667</v>
      </c>
      <c r="AC5078" s="42">
        <f t="shared" si="3502"/>
        <v>6.999999999999984E-2</v>
      </c>
      <c r="AD5078" s="90">
        <f>AD5079+AD5084+AD5091+AD5099</f>
        <v>1079.6481910218645</v>
      </c>
      <c r="AE5078" s="188">
        <f t="shared" ref="AE5078" si="3665">AE5079+AE5084+AE5091+AE5099</f>
        <v>0</v>
      </c>
      <c r="AF5078" s="189">
        <f t="shared" ref="AF5078" si="3666">AF5079+AF5084+AF5091+AF5099</f>
        <v>0</v>
      </c>
      <c r="AG5078" s="189">
        <f t="shared" ref="AG5078" si="3667">AG5079+AG5084+AG5091+AG5099</f>
        <v>0</v>
      </c>
      <c r="AH5078" s="189">
        <f t="shared" ref="AH5078" si="3668">AH5079+AH5084+AH5091+AH5099</f>
        <v>0</v>
      </c>
      <c r="AI5078" s="161">
        <f t="shared" ref="AI5078" si="3669">SUM(AE5078:AH5078)</f>
        <v>0</v>
      </c>
      <c r="AK5078" s="169">
        <v>5</v>
      </c>
      <c r="AO5078" s="19" t="s">
        <v>63</v>
      </c>
    </row>
    <row r="5079" spans="1:41" s="103" customFormat="1" ht="19.899999999999999" customHeight="1" x14ac:dyDescent="0.25">
      <c r="A5079" s="51"/>
      <c r="B5079" s="52"/>
      <c r="C5079" s="165"/>
      <c r="D5079" s="52"/>
      <c r="E5079" s="115"/>
      <c r="F5079" s="58"/>
      <c r="G5079" s="58"/>
      <c r="H5079" s="58"/>
      <c r="I5079" s="55"/>
      <c r="J5079" s="113">
        <f>J5078</f>
        <v>6.999999999999984E-2</v>
      </c>
      <c r="K5079" s="212">
        <f>K5078</f>
        <v>6.999999999999984E-2</v>
      </c>
      <c r="L5079" s="58"/>
      <c r="M5079" s="58">
        <f>K5079-L5079</f>
        <v>6.999999999999984E-2</v>
      </c>
      <c r="N5079" s="166"/>
      <c r="O5079" s="58"/>
      <c r="P5079" s="58"/>
      <c r="Q5079" s="58"/>
      <c r="R5079" s="58"/>
      <c r="S5079" s="58"/>
      <c r="T5079" s="220"/>
      <c r="U5079" s="88"/>
      <c r="V5079" s="56"/>
      <c r="W5079" s="57" t="s">
        <v>1539</v>
      </c>
      <c r="X5079" s="53"/>
      <c r="Y5079" s="91" t="s">
        <v>35</v>
      </c>
      <c r="Z5079" s="136">
        <f>AD5079/AC5079</f>
        <v>138.2592156862745</v>
      </c>
      <c r="AA5079" s="58"/>
      <c r="AB5079" s="53">
        <f>AD5079/AC5079</f>
        <v>138.2592156862745</v>
      </c>
      <c r="AC5079" s="53">
        <f>M5079+$AE$10</f>
        <v>6.999999999999984E-2</v>
      </c>
      <c r="AD5079" s="54">
        <f>SUM(AD5080:AD5083)</f>
        <v>9.6781450980391934</v>
      </c>
      <c r="AE5079" s="184">
        <f>SUMIFS($AD$37:$AD$12971,$V$37:$V$12971,$V5079,$X$37:$X$12971,AE$13)</f>
        <v>0</v>
      </c>
      <c r="AF5079" s="185">
        <f>SUMIFS($AD$37:$AD$12971,$V$37:$V$12971,$V5079,$X$37:$X$12971,AF$13)</f>
        <v>0</v>
      </c>
      <c r="AG5079" s="185">
        <f>SUMIFS($AD$37:$AD$12971,$V$37:$V$12971,$V5079,$X$37:$X$12971,AG$13)</f>
        <v>0</v>
      </c>
      <c r="AH5079" s="187">
        <f>SUMIFS($AD$37:$AD$12971,$V$37:$V$12971,$V5079,$X$37:$X$12971,AH$13)</f>
        <v>0</v>
      </c>
      <c r="AI5079" s="161">
        <f t="shared" ref="AI5079" si="3670">SUM(AE5079:AH5079)</f>
        <v>0</v>
      </c>
      <c r="AK5079" s="172"/>
    </row>
    <row r="5080" spans="1:41" s="102" customFormat="1" ht="19.899999999999999" customHeight="1" x14ac:dyDescent="0.25">
      <c r="A5080" s="45"/>
      <c r="B5080" s="59"/>
      <c r="C5080" s="137"/>
      <c r="D5080" s="59"/>
      <c r="E5080" s="116"/>
      <c r="F5080" s="120"/>
      <c r="G5080" s="120"/>
      <c r="H5080" s="120"/>
      <c r="I5080" s="60"/>
      <c r="J5080" s="116"/>
      <c r="K5080" s="213"/>
      <c r="L5080" s="120"/>
      <c r="M5080" s="120"/>
      <c r="N5080" s="167"/>
      <c r="O5080" s="120"/>
      <c r="P5080" s="120"/>
      <c r="Q5080" s="120"/>
      <c r="R5080" s="120"/>
      <c r="S5080" s="120"/>
      <c r="T5080" s="221"/>
      <c r="U5080" s="89"/>
      <c r="V5080" s="61"/>
      <c r="W5080" s="92" t="s">
        <v>129</v>
      </c>
      <c r="X5080" s="93" t="s">
        <v>29</v>
      </c>
      <c r="Y5080" s="93" t="s">
        <v>93</v>
      </c>
      <c r="Z5080" s="134">
        <f>VLOOKUP(W5080,Sheet2!$B:$D,3,FALSE)</f>
        <v>56</v>
      </c>
      <c r="AA5080" s="93">
        <f>100/(2.5*2.5*5.5)</f>
        <v>2.9090909090909092</v>
      </c>
      <c r="AB5080" s="93">
        <f t="shared" ref="AB5080" si="3671">AD5080/AC5079</f>
        <v>19.25</v>
      </c>
      <c r="AC5080" s="93">
        <f>AC5079/AA5080</f>
        <v>2.4062499999999945E-2</v>
      </c>
      <c r="AD5080" s="94">
        <f t="shared" ref="AD5080:AD5081" si="3672">AC5080*Z5080</f>
        <v>1.347499999999997</v>
      </c>
      <c r="AE5080" s="190"/>
      <c r="AF5080" s="191"/>
      <c r="AG5080" s="191"/>
      <c r="AH5080" s="191"/>
      <c r="AI5080" s="186"/>
      <c r="AK5080" s="171"/>
    </row>
    <row r="5081" spans="1:41" s="102" customFormat="1" ht="19.899999999999999" customHeight="1" x14ac:dyDescent="0.25">
      <c r="A5081" s="45"/>
      <c r="B5081" s="59"/>
      <c r="C5081" s="137"/>
      <c r="D5081" s="59"/>
      <c r="E5081" s="116"/>
      <c r="F5081" s="120"/>
      <c r="G5081" s="120"/>
      <c r="H5081" s="120"/>
      <c r="I5081" s="60"/>
      <c r="J5081" s="116"/>
      <c r="K5081" s="213"/>
      <c r="L5081" s="120"/>
      <c r="M5081" s="120"/>
      <c r="N5081" s="167"/>
      <c r="O5081" s="120"/>
      <c r="P5081" s="120"/>
      <c r="Q5081" s="120"/>
      <c r="R5081" s="120"/>
      <c r="S5081" s="120"/>
      <c r="T5081" s="221"/>
      <c r="U5081" s="89"/>
      <c r="V5081" s="61"/>
      <c r="W5081" s="92" t="s">
        <v>65</v>
      </c>
      <c r="X5081" s="93" t="s">
        <v>30</v>
      </c>
      <c r="Y5081" s="93" t="s">
        <v>1011</v>
      </c>
      <c r="Z5081" s="134">
        <f>VLOOKUP(W5081,Sheet2!$B:$D,3,FALSE)</f>
        <v>1.76</v>
      </c>
      <c r="AA5081" s="93">
        <f>AA5080/14</f>
        <v>0.20779220779220781</v>
      </c>
      <c r="AB5081" s="93">
        <f>AD5081/AC5079</f>
        <v>8.4700000000000006</v>
      </c>
      <c r="AC5081" s="93">
        <f>AC5079/AA5081</f>
        <v>0.3368749999999992</v>
      </c>
      <c r="AD5081" s="94">
        <f t="shared" si="3672"/>
        <v>0.59289999999999865</v>
      </c>
      <c r="AE5081" s="190"/>
      <c r="AF5081" s="191"/>
      <c r="AG5081" s="191"/>
      <c r="AH5081" s="191"/>
      <c r="AI5081" s="186"/>
      <c r="AK5081" s="171"/>
    </row>
    <row r="5082" spans="1:41" s="102" customFormat="1" ht="19.899999999999999" customHeight="1" x14ac:dyDescent="0.25">
      <c r="A5082" s="45"/>
      <c r="B5082" s="59"/>
      <c r="C5082" s="137"/>
      <c r="D5082" s="59"/>
      <c r="E5082" s="116"/>
      <c r="F5082" s="120"/>
      <c r="G5082" s="120"/>
      <c r="H5082" s="120"/>
      <c r="I5082" s="60"/>
      <c r="J5082" s="116"/>
      <c r="K5082" s="213"/>
      <c r="L5082" s="120"/>
      <c r="M5082" s="120"/>
      <c r="N5082" s="167"/>
      <c r="O5082" s="120"/>
      <c r="P5082" s="120"/>
      <c r="Q5082" s="120"/>
      <c r="R5082" s="120"/>
      <c r="S5082" s="120"/>
      <c r="T5082" s="221"/>
      <c r="U5082" s="89"/>
      <c r="V5082" s="61"/>
      <c r="W5082" s="92" t="s">
        <v>161</v>
      </c>
      <c r="X5082" s="93" t="s">
        <v>29</v>
      </c>
      <c r="Y5082" s="93" t="s">
        <v>93</v>
      </c>
      <c r="Z5082" s="134">
        <f>VLOOKUP(W5082,Sheet2!$B:$D,3,FALSE)</f>
        <v>48</v>
      </c>
      <c r="AA5082" s="93">
        <f>(16*0.85*1.5)/(2.5*2.5*5.5)</f>
        <v>0.59345454545454546</v>
      </c>
      <c r="AB5082" s="93">
        <f>AD5082/AC5079</f>
        <v>80.882352941176464</v>
      </c>
      <c r="AC5082" s="93">
        <f>AC5079/AA5082</f>
        <v>0.11795343137254875</v>
      </c>
      <c r="AD5082" s="94">
        <f>AC5082*Z5082</f>
        <v>5.6617647058823399</v>
      </c>
      <c r="AE5082" s="190"/>
      <c r="AF5082" s="191"/>
      <c r="AG5082" s="191"/>
      <c r="AH5082" s="191"/>
      <c r="AI5082" s="186"/>
      <c r="AK5082" s="171"/>
    </row>
    <row r="5083" spans="1:41" s="102" customFormat="1" ht="19.899999999999999" customHeight="1" x14ac:dyDescent="0.25">
      <c r="A5083" s="45"/>
      <c r="B5083" s="59"/>
      <c r="C5083" s="137"/>
      <c r="D5083" s="59"/>
      <c r="E5083" s="116"/>
      <c r="F5083" s="120"/>
      <c r="G5083" s="120"/>
      <c r="H5083" s="120"/>
      <c r="I5083" s="60"/>
      <c r="J5083" s="116"/>
      <c r="K5083" s="213"/>
      <c r="L5083" s="120"/>
      <c r="M5083" s="120"/>
      <c r="N5083" s="167"/>
      <c r="O5083" s="120"/>
      <c r="P5083" s="120"/>
      <c r="Q5083" s="120"/>
      <c r="R5083" s="120"/>
      <c r="S5083" s="120"/>
      <c r="T5083" s="221"/>
      <c r="U5083" s="89"/>
      <c r="V5083" s="61"/>
      <c r="W5083" s="92" t="s">
        <v>65</v>
      </c>
      <c r="X5083" s="93" t="s">
        <v>30</v>
      </c>
      <c r="Y5083" s="93" t="s">
        <v>1011</v>
      </c>
      <c r="Z5083" s="134">
        <f>VLOOKUP(W5083,Sheet2!$B:$D,3,FALSE)</f>
        <v>1.76</v>
      </c>
      <c r="AA5083" s="93">
        <f>AA5082/10</f>
        <v>5.9345454545454548E-2</v>
      </c>
      <c r="AB5083" s="93">
        <f>AD5083/AC5079</f>
        <v>29.656862745098039</v>
      </c>
      <c r="AC5083" s="93">
        <f>AC5079/AA5083</f>
        <v>1.1795343137254874</v>
      </c>
      <c r="AD5083" s="94">
        <f>AC5083*Z5083</f>
        <v>2.075980392156858</v>
      </c>
      <c r="AE5083" s="190"/>
      <c r="AF5083" s="191"/>
      <c r="AG5083" s="191"/>
      <c r="AH5083" s="191"/>
      <c r="AI5083" s="186"/>
      <c r="AK5083" s="171"/>
    </row>
    <row r="5084" spans="1:41" s="103" customFormat="1" ht="19.899999999999999" customHeight="1" x14ac:dyDescent="0.25">
      <c r="A5084" s="51"/>
      <c r="B5084" s="52"/>
      <c r="C5084" s="165"/>
      <c r="D5084" s="52"/>
      <c r="E5084" s="115"/>
      <c r="F5084" s="58"/>
      <c r="G5084" s="58"/>
      <c r="H5084" s="58"/>
      <c r="I5084" s="55"/>
      <c r="J5084" s="113">
        <f>J5078</f>
        <v>6.999999999999984E-2</v>
      </c>
      <c r="K5084" s="212">
        <f>K5078</f>
        <v>6.999999999999984E-2</v>
      </c>
      <c r="L5084" s="58"/>
      <c r="M5084" s="58">
        <f>K5084-L5084</f>
        <v>6.999999999999984E-2</v>
      </c>
      <c r="N5084" s="166"/>
      <c r="O5084" s="58"/>
      <c r="P5084" s="58"/>
      <c r="Q5084" s="58"/>
      <c r="R5084" s="58"/>
      <c r="S5084" s="58"/>
      <c r="T5084" s="220"/>
      <c r="U5084" s="88"/>
      <c r="V5084" s="56"/>
      <c r="W5084" s="57" t="s">
        <v>1486</v>
      </c>
      <c r="X5084" s="53"/>
      <c r="Y5084" s="91" t="s">
        <v>35</v>
      </c>
      <c r="Z5084" s="136">
        <f>AD5084/AC5084</f>
        <v>1432.6960000000001</v>
      </c>
      <c r="AA5084" s="58"/>
      <c r="AB5084" s="53">
        <f>AD5084/AC5084</f>
        <v>1432.6960000000001</v>
      </c>
      <c r="AC5084" s="53">
        <f>M5084+$AE$10</f>
        <v>6.999999999999984E-2</v>
      </c>
      <c r="AD5084" s="54">
        <f>SUM(AD5085:AD5090)</f>
        <v>100.28871999999978</v>
      </c>
      <c r="AE5084" s="184">
        <f>SUMIFS($AD$37:$AD$12971,$V$37:$V$12971,$V5084,$X$37:$X$12971,AE$13)</f>
        <v>0</v>
      </c>
      <c r="AF5084" s="185">
        <f>SUMIFS($AD$37:$AD$12971,$V$37:$V$12971,$V5084,$X$37:$X$12971,AF$13)</f>
        <v>0</v>
      </c>
      <c r="AG5084" s="185">
        <f>SUMIFS($AD$37:$AD$12971,$V$37:$V$12971,$V5084,$X$37:$X$12971,AG$13)</f>
        <v>0</v>
      </c>
      <c r="AH5084" s="187">
        <f>SUMIFS($AD$37:$AD$12971,$V$37:$V$12971,$V5084,$X$37:$X$12971,AH$13)</f>
        <v>0</v>
      </c>
      <c r="AI5084" s="161">
        <f t="shared" ref="AI5084" si="3673">SUM(AE5084:AH5084)</f>
        <v>0</v>
      </c>
      <c r="AK5084" s="172"/>
    </row>
    <row r="5085" spans="1:41" s="102" customFormat="1" ht="19.899999999999999" customHeight="1" x14ac:dyDescent="0.25">
      <c r="A5085" s="45"/>
      <c r="B5085" s="59"/>
      <c r="C5085" s="137"/>
      <c r="D5085" s="59"/>
      <c r="E5085" s="116"/>
      <c r="F5085" s="120"/>
      <c r="G5085" s="120"/>
      <c r="H5085" s="120"/>
      <c r="I5085" s="60"/>
      <c r="J5085" s="116"/>
      <c r="K5085" s="213"/>
      <c r="L5085" s="120"/>
      <c r="M5085" s="120"/>
      <c r="N5085" s="167"/>
      <c r="O5085" s="120"/>
      <c r="P5085" s="120"/>
      <c r="Q5085" s="120"/>
      <c r="R5085" s="120"/>
      <c r="S5085" s="120"/>
      <c r="T5085" s="221"/>
      <c r="U5085" s="89"/>
      <c r="V5085" s="61"/>
      <c r="W5085" s="92" t="s">
        <v>1032</v>
      </c>
      <c r="X5085" s="93" t="s">
        <v>30</v>
      </c>
      <c r="Y5085" s="93" t="s">
        <v>66</v>
      </c>
      <c r="Z5085" s="134">
        <f>VLOOKUP(W5085,Sheet2!$B:$D,3,FALSE)</f>
        <v>250</v>
      </c>
      <c r="AA5085" s="93">
        <f>1/(2.1*2.1*0.1)</f>
        <v>2.2675736961451243</v>
      </c>
      <c r="AB5085" s="93">
        <f>AD5085/AC5091</f>
        <v>110.25000000000003</v>
      </c>
      <c r="AC5085" s="93">
        <f>AC5091/AA5085</f>
        <v>3.0869999999999936E-2</v>
      </c>
      <c r="AD5085" s="94">
        <f t="shared" ref="AD5085:AD5087" si="3674">AC5085*Z5085</f>
        <v>7.7174999999999843</v>
      </c>
      <c r="AE5085" s="190"/>
      <c r="AF5085" s="191"/>
      <c r="AG5085" s="191"/>
      <c r="AH5085" s="191"/>
      <c r="AI5085" s="186"/>
      <c r="AK5085" s="171"/>
    </row>
    <row r="5086" spans="1:41" s="102" customFormat="1" ht="19.899999999999999" customHeight="1" x14ac:dyDescent="0.25">
      <c r="A5086" s="45"/>
      <c r="B5086" s="59"/>
      <c r="C5086" s="137"/>
      <c r="D5086" s="59"/>
      <c r="E5086" s="116"/>
      <c r="F5086" s="120"/>
      <c r="G5086" s="120"/>
      <c r="H5086" s="120"/>
      <c r="I5086" s="60"/>
      <c r="J5086" s="116"/>
      <c r="K5086" s="213"/>
      <c r="L5086" s="120"/>
      <c r="M5086" s="120"/>
      <c r="N5086" s="167"/>
      <c r="O5086" s="120"/>
      <c r="P5086" s="120"/>
      <c r="Q5086" s="120"/>
      <c r="R5086" s="120"/>
      <c r="S5086" s="120"/>
      <c r="T5086" s="221"/>
      <c r="U5086" s="89"/>
      <c r="V5086" s="61"/>
      <c r="W5086" s="92" t="s">
        <v>1353</v>
      </c>
      <c r="X5086" s="93" t="s">
        <v>30</v>
      </c>
      <c r="Y5086" s="93" t="s">
        <v>66</v>
      </c>
      <c r="Z5086" s="134">
        <f>VLOOKUP(W5086,Sheet2!$B:$D,3,FALSE)</f>
        <v>350</v>
      </c>
      <c r="AA5086" s="93">
        <f>1/(2*2*0.3)</f>
        <v>0.83333333333333337</v>
      </c>
      <c r="AB5086" s="93">
        <f>AD5086/AC5091</f>
        <v>420</v>
      </c>
      <c r="AC5086" s="93">
        <f>AC5091/AA5086</f>
        <v>8.3999999999999811E-2</v>
      </c>
      <c r="AD5086" s="94">
        <f t="shared" si="3674"/>
        <v>29.399999999999935</v>
      </c>
      <c r="AE5086" s="190"/>
      <c r="AF5086" s="191"/>
      <c r="AG5086" s="191"/>
      <c r="AH5086" s="191"/>
      <c r="AI5086" s="186"/>
      <c r="AK5086" s="171"/>
    </row>
    <row r="5087" spans="1:41" s="102" customFormat="1" ht="19.899999999999999" customHeight="1" x14ac:dyDescent="0.25">
      <c r="A5087" s="45"/>
      <c r="B5087" s="59"/>
      <c r="C5087" s="137"/>
      <c r="D5087" s="59"/>
      <c r="E5087" s="116"/>
      <c r="F5087" s="120"/>
      <c r="G5087" s="120"/>
      <c r="H5087" s="120"/>
      <c r="I5087" s="60"/>
      <c r="J5087" s="116"/>
      <c r="K5087" s="213"/>
      <c r="L5087" s="120"/>
      <c r="M5087" s="120"/>
      <c r="N5087" s="167"/>
      <c r="O5087" s="120"/>
      <c r="P5087" s="120"/>
      <c r="Q5087" s="120"/>
      <c r="R5087" s="120"/>
      <c r="S5087" s="120"/>
      <c r="T5087" s="221"/>
      <c r="U5087" s="89"/>
      <c r="V5087" s="61"/>
      <c r="W5087" s="92" t="s">
        <v>99</v>
      </c>
      <c r="X5087" s="93" t="s">
        <v>30</v>
      </c>
      <c r="Y5087" s="93" t="s">
        <v>67</v>
      </c>
      <c r="Z5087" s="134">
        <f>VLOOKUP(W5087,Sheet2!$B:$D,3,FALSE)</f>
        <v>2500</v>
      </c>
      <c r="AA5087" s="93">
        <f>AA5086/0.08</f>
        <v>10.416666666666666</v>
      </c>
      <c r="AB5087" s="93">
        <f>AD5087/AC5091</f>
        <v>240</v>
      </c>
      <c r="AC5087" s="93">
        <f>AC5091/AA5087</f>
        <v>6.7199999999999847E-3</v>
      </c>
      <c r="AD5087" s="94">
        <f t="shared" si="3674"/>
        <v>16.799999999999962</v>
      </c>
      <c r="AE5087" s="190"/>
      <c r="AF5087" s="191"/>
      <c r="AG5087" s="191"/>
      <c r="AH5087" s="191"/>
      <c r="AI5087" s="186"/>
      <c r="AK5087" s="171"/>
    </row>
    <row r="5088" spans="1:41" s="102" customFormat="1" ht="19.899999999999999" customHeight="1" x14ac:dyDescent="0.25">
      <c r="A5088" s="45"/>
      <c r="B5088" s="59"/>
      <c r="C5088" s="137"/>
      <c r="D5088" s="59"/>
      <c r="E5088" s="116"/>
      <c r="F5088" s="120"/>
      <c r="G5088" s="120"/>
      <c r="H5088" s="120"/>
      <c r="I5088" s="60"/>
      <c r="J5088" s="116"/>
      <c r="K5088" s="213"/>
      <c r="L5088" s="120"/>
      <c r="M5088" s="120"/>
      <c r="N5088" s="167"/>
      <c r="O5088" s="120"/>
      <c r="P5088" s="120"/>
      <c r="Q5088" s="120"/>
      <c r="R5088" s="120"/>
      <c r="S5088" s="120"/>
      <c r="T5088" s="221"/>
      <c r="U5088" s="89"/>
      <c r="V5088" s="61"/>
      <c r="W5088" s="92" t="s">
        <v>1354</v>
      </c>
      <c r="X5088" s="93" t="s">
        <v>32</v>
      </c>
      <c r="Y5088" s="93" t="s">
        <v>66</v>
      </c>
      <c r="Z5088" s="134">
        <f>VLOOKUP(W5088,Sheet2!$B:$D,3,FALSE)</f>
        <v>150</v>
      </c>
      <c r="AA5088" s="93">
        <f>AA5085</f>
        <v>2.2675736961451243</v>
      </c>
      <c r="AB5088" s="93">
        <f>AD5088/AC5091</f>
        <v>66.15000000000002</v>
      </c>
      <c r="AC5088" s="93">
        <f>AC5091/AA5088</f>
        <v>3.0869999999999936E-2</v>
      </c>
      <c r="AD5088" s="94">
        <f>AC5088*Z5088</f>
        <v>4.6304999999999907</v>
      </c>
      <c r="AE5088" s="190"/>
      <c r="AF5088" s="191"/>
      <c r="AG5088" s="191"/>
      <c r="AH5088" s="191"/>
      <c r="AI5088" s="186"/>
      <c r="AK5088" s="171"/>
    </row>
    <row r="5089" spans="1:37" s="102" customFormat="1" ht="19.899999999999999" customHeight="1" x14ac:dyDescent="0.25">
      <c r="A5089" s="45"/>
      <c r="B5089" s="59"/>
      <c r="C5089" s="137"/>
      <c r="D5089" s="59"/>
      <c r="E5089" s="116"/>
      <c r="F5089" s="120"/>
      <c r="G5089" s="120"/>
      <c r="H5089" s="120"/>
      <c r="I5089" s="60"/>
      <c r="J5089" s="116"/>
      <c r="K5089" s="213"/>
      <c r="L5089" s="120"/>
      <c r="M5089" s="120"/>
      <c r="N5089" s="167"/>
      <c r="O5089" s="120"/>
      <c r="P5089" s="120"/>
      <c r="Q5089" s="120"/>
      <c r="R5089" s="120"/>
      <c r="S5089" s="120"/>
      <c r="T5089" s="221"/>
      <c r="U5089" s="89"/>
      <c r="V5089" s="61"/>
      <c r="W5089" s="92" t="s">
        <v>1355</v>
      </c>
      <c r="X5089" s="93" t="s">
        <v>32</v>
      </c>
      <c r="Y5089" s="93" t="s">
        <v>66</v>
      </c>
      <c r="Z5089" s="134">
        <f>VLOOKUP(W5089,Sheet2!$B:$D,3,FALSE)</f>
        <v>450</v>
      </c>
      <c r="AA5089" s="93">
        <f>AA5086</f>
        <v>0.83333333333333337</v>
      </c>
      <c r="AB5089" s="93">
        <f>AD5089/AC5091</f>
        <v>540</v>
      </c>
      <c r="AC5089" s="93">
        <f>AC5091/AA5089</f>
        <v>8.3999999999999811E-2</v>
      </c>
      <c r="AD5089" s="94">
        <f>AC5089*Z5089</f>
        <v>37.799999999999912</v>
      </c>
      <c r="AE5089" s="190"/>
      <c r="AF5089" s="191"/>
      <c r="AG5089" s="191"/>
      <c r="AH5089" s="191"/>
      <c r="AI5089" s="186"/>
      <c r="AK5089" s="171"/>
    </row>
    <row r="5090" spans="1:37" s="102" customFormat="1" ht="19.899999999999999" customHeight="1" x14ac:dyDescent="0.25">
      <c r="A5090" s="45"/>
      <c r="B5090" s="59"/>
      <c r="C5090" s="137"/>
      <c r="D5090" s="59"/>
      <c r="E5090" s="116"/>
      <c r="F5090" s="120"/>
      <c r="G5090" s="120"/>
      <c r="H5090" s="120"/>
      <c r="I5090" s="60"/>
      <c r="J5090" s="116"/>
      <c r="K5090" s="213"/>
      <c r="L5090" s="120"/>
      <c r="M5090" s="120"/>
      <c r="N5090" s="167"/>
      <c r="O5090" s="120"/>
      <c r="P5090" s="120"/>
      <c r="Q5090" s="120"/>
      <c r="R5090" s="120"/>
      <c r="S5090" s="120"/>
      <c r="T5090" s="221"/>
      <c r="U5090" s="89"/>
      <c r="V5090" s="61"/>
      <c r="W5090" s="92" t="s">
        <v>124</v>
      </c>
      <c r="X5090" s="93" t="s">
        <v>32</v>
      </c>
      <c r="Y5090" s="93" t="s">
        <v>64</v>
      </c>
      <c r="Z5090" s="134">
        <f>VLOOKUP(W5090,Sheet2!$B:$D,3,FALSE)</f>
        <v>10</v>
      </c>
      <c r="AA5090" s="93">
        <f>1/((2.6*2.6)-(3.14*1.2*1.2/4))</f>
        <v>0.17763251385533604</v>
      </c>
      <c r="AB5090" s="93">
        <f t="shared" ref="AB5090" si="3675">AD5090/AC5084</f>
        <v>56.296000000000014</v>
      </c>
      <c r="AC5090" s="93">
        <f>AC5084/AA5090</f>
        <v>0.3940719999999992</v>
      </c>
      <c r="AD5090" s="94">
        <f t="shared" ref="AD5090" si="3676">AC5090*Z5090</f>
        <v>3.9407199999999918</v>
      </c>
      <c r="AE5090" s="190"/>
      <c r="AF5090" s="191"/>
      <c r="AG5090" s="191"/>
      <c r="AH5090" s="191"/>
      <c r="AI5090" s="186"/>
      <c r="AK5090" s="171"/>
    </row>
    <row r="5091" spans="1:37" s="103" customFormat="1" ht="19.899999999999999" customHeight="1" x14ac:dyDescent="0.25">
      <c r="A5091" s="51"/>
      <c r="B5091" s="52"/>
      <c r="C5091" s="165"/>
      <c r="D5091" s="52"/>
      <c r="E5091" s="115"/>
      <c r="F5091" s="58"/>
      <c r="G5091" s="58"/>
      <c r="H5091" s="58"/>
      <c r="I5091" s="55"/>
      <c r="J5091" s="113">
        <f>J5078</f>
        <v>6.999999999999984E-2</v>
      </c>
      <c r="K5091" s="212">
        <f>K5078</f>
        <v>6.999999999999984E-2</v>
      </c>
      <c r="L5091" s="58"/>
      <c r="M5091" s="58">
        <f>K5091-L5091</f>
        <v>6.999999999999984E-2</v>
      </c>
      <c r="N5091" s="166"/>
      <c r="O5091" s="58"/>
      <c r="P5091" s="58"/>
      <c r="Q5091" s="58"/>
      <c r="R5091" s="58"/>
      <c r="S5091" s="58"/>
      <c r="T5091" s="220"/>
      <c r="U5091" s="88"/>
      <c r="V5091" s="56"/>
      <c r="W5091" s="57" t="s">
        <v>1275</v>
      </c>
      <c r="X5091" s="53"/>
      <c r="Y5091" s="91" t="s">
        <v>35</v>
      </c>
      <c r="Z5091" s="136">
        <f>AD5091/AC5091</f>
        <v>13272.800000000001</v>
      </c>
      <c r="AA5091" s="58"/>
      <c r="AB5091" s="53">
        <f>AD5091/AC5091</f>
        <v>13272.800000000001</v>
      </c>
      <c r="AC5091" s="53">
        <f>M5091+$AE$10</f>
        <v>6.999999999999984E-2</v>
      </c>
      <c r="AD5091" s="54">
        <f>SUM(AD5092:AD5098)</f>
        <v>929.09599999999796</v>
      </c>
      <c r="AE5091" s="184">
        <f>SUMIFS($AD$37:$AD$12971,$V$37:$V$12971,$V5091,$X$37:$X$12971,AE$13)</f>
        <v>0</v>
      </c>
      <c r="AF5091" s="185">
        <f>SUMIFS($AD$37:$AD$12971,$V$37:$V$12971,$V5091,$X$37:$X$12971,AF$13)</f>
        <v>0</v>
      </c>
      <c r="AG5091" s="185">
        <f>SUMIFS($AD$37:$AD$12971,$V$37:$V$12971,$V5091,$X$37:$X$12971,AG$13)</f>
        <v>0</v>
      </c>
      <c r="AH5091" s="187">
        <f>SUMIFS($AD$37:$AD$12971,$V$37:$V$12971,$V5091,$X$37:$X$12971,AH$13)</f>
        <v>0</v>
      </c>
      <c r="AI5091" s="161">
        <f t="shared" ref="AI5091" si="3677">SUM(AE5091:AH5091)</f>
        <v>0</v>
      </c>
      <c r="AK5091" s="172"/>
    </row>
    <row r="5092" spans="1:37" s="102" customFormat="1" ht="19.899999999999999" customHeight="1" x14ac:dyDescent="0.25">
      <c r="A5092" s="45"/>
      <c r="B5092" s="59"/>
      <c r="C5092" s="137"/>
      <c r="D5092" s="59"/>
      <c r="E5092" s="116"/>
      <c r="F5092" s="120"/>
      <c r="G5092" s="120"/>
      <c r="H5092" s="120"/>
      <c r="I5092" s="60"/>
      <c r="J5092" s="116"/>
      <c r="K5092" s="213"/>
      <c r="L5092" s="120"/>
      <c r="M5092" s="120"/>
      <c r="N5092" s="167"/>
      <c r="O5092" s="120"/>
      <c r="P5092" s="120"/>
      <c r="Q5092" s="120"/>
      <c r="R5092" s="120"/>
      <c r="S5092" s="120"/>
      <c r="T5092" s="221"/>
      <c r="U5092" s="89"/>
      <c r="V5092" s="61"/>
      <c r="W5092" s="92" t="s">
        <v>1535</v>
      </c>
      <c r="X5092" s="93" t="s">
        <v>30</v>
      </c>
      <c r="Y5092" s="93" t="s">
        <v>35</v>
      </c>
      <c r="Z5092" s="134">
        <f>VLOOKUP(W5092,Sheet2!$B:$D,3,FALSE)</f>
        <v>8000</v>
      </c>
      <c r="AA5092" s="93">
        <v>1</v>
      </c>
      <c r="AB5092" s="93">
        <f>AD5092/AC5091</f>
        <v>8000</v>
      </c>
      <c r="AC5092" s="93">
        <f>AC5091/AA5092</f>
        <v>6.999999999999984E-2</v>
      </c>
      <c r="AD5092" s="94">
        <f t="shared" ref="AD5092:AD5094" si="3678">AC5092*Z5092</f>
        <v>559.99999999999875</v>
      </c>
      <c r="AE5092" s="190"/>
      <c r="AF5092" s="191"/>
      <c r="AG5092" s="191"/>
      <c r="AH5092" s="191"/>
      <c r="AI5092" s="186"/>
      <c r="AK5092" s="171"/>
    </row>
    <row r="5093" spans="1:37" s="102" customFormat="1" ht="19.899999999999999" customHeight="1" x14ac:dyDescent="0.25">
      <c r="A5093" s="45"/>
      <c r="B5093" s="59"/>
      <c r="C5093" s="137"/>
      <c r="D5093" s="59"/>
      <c r="E5093" s="116"/>
      <c r="F5093" s="120"/>
      <c r="G5093" s="120"/>
      <c r="H5093" s="120"/>
      <c r="I5093" s="60"/>
      <c r="J5093" s="116"/>
      <c r="K5093" s="213"/>
      <c r="L5093" s="120"/>
      <c r="M5093" s="120"/>
      <c r="N5093" s="167"/>
      <c r="O5093" s="120"/>
      <c r="P5093" s="120"/>
      <c r="Q5093" s="120"/>
      <c r="R5093" s="120"/>
      <c r="S5093" s="120"/>
      <c r="T5093" s="221"/>
      <c r="U5093" s="89"/>
      <c r="V5093" s="61"/>
      <c r="W5093" s="92" t="s">
        <v>1542</v>
      </c>
      <c r="X5093" s="93" t="s">
        <v>30</v>
      </c>
      <c r="Y5093" s="93" t="s">
        <v>1349</v>
      </c>
      <c r="Z5093" s="134">
        <f>VLOOKUP(W5093,Sheet2!$B:$D,3,FALSE)</f>
        <v>3500</v>
      </c>
      <c r="AA5093" s="93">
        <v>1</v>
      </c>
      <c r="AB5093" s="93">
        <f>AD5093/AC5091</f>
        <v>3500</v>
      </c>
      <c r="AC5093" s="93">
        <f>AC5091/AA5093</f>
        <v>6.999999999999984E-2</v>
      </c>
      <c r="AD5093" s="94">
        <f t="shared" si="3678"/>
        <v>244.99999999999943</v>
      </c>
      <c r="AE5093" s="190"/>
      <c r="AF5093" s="191"/>
      <c r="AG5093" s="191"/>
      <c r="AH5093" s="191"/>
      <c r="AI5093" s="186"/>
      <c r="AK5093" s="171"/>
    </row>
    <row r="5094" spans="1:37" s="102" customFormat="1" ht="19.899999999999999" customHeight="1" x14ac:dyDescent="0.25">
      <c r="A5094" s="45"/>
      <c r="B5094" s="59"/>
      <c r="C5094" s="137"/>
      <c r="D5094" s="59"/>
      <c r="E5094" s="116"/>
      <c r="F5094" s="120"/>
      <c r="G5094" s="120"/>
      <c r="H5094" s="120"/>
      <c r="I5094" s="60"/>
      <c r="J5094" s="116"/>
      <c r="K5094" s="213"/>
      <c r="L5094" s="120"/>
      <c r="M5094" s="120"/>
      <c r="N5094" s="167"/>
      <c r="O5094" s="120"/>
      <c r="P5094" s="120"/>
      <c r="Q5094" s="120"/>
      <c r="R5094" s="120"/>
      <c r="S5094" s="120"/>
      <c r="T5094" s="221"/>
      <c r="U5094" s="89"/>
      <c r="V5094" s="61"/>
      <c r="W5094" s="92" t="s">
        <v>174</v>
      </c>
      <c r="X5094" s="93" t="s">
        <v>29</v>
      </c>
      <c r="Y5094" s="93" t="s">
        <v>93</v>
      </c>
      <c r="Z5094" s="134">
        <f>VLOOKUP(W5094,Sheet2!$B:$D,3,FALSE)</f>
        <v>80</v>
      </c>
      <c r="AA5094" s="93">
        <f>1/2</f>
        <v>0.5</v>
      </c>
      <c r="AB5094" s="93">
        <f>AD5094/AC5091</f>
        <v>160</v>
      </c>
      <c r="AC5094" s="93">
        <f>AC5091/AA5094</f>
        <v>0.13999999999999968</v>
      </c>
      <c r="AD5094" s="94">
        <f t="shared" si="3678"/>
        <v>11.199999999999974</v>
      </c>
      <c r="AE5094" s="190"/>
      <c r="AF5094" s="191"/>
      <c r="AG5094" s="191"/>
      <c r="AH5094" s="191"/>
      <c r="AI5094" s="186"/>
      <c r="AK5094" s="171"/>
    </row>
    <row r="5095" spans="1:37" s="102" customFormat="1" ht="19.899999999999999" customHeight="1" x14ac:dyDescent="0.25">
      <c r="A5095" s="45"/>
      <c r="B5095" s="59"/>
      <c r="C5095" s="137"/>
      <c r="D5095" s="59"/>
      <c r="E5095" s="116"/>
      <c r="F5095" s="120"/>
      <c r="G5095" s="120"/>
      <c r="H5095" s="120"/>
      <c r="I5095" s="60"/>
      <c r="J5095" s="116"/>
      <c r="K5095" s="213"/>
      <c r="L5095" s="120"/>
      <c r="M5095" s="120"/>
      <c r="N5095" s="167"/>
      <c r="O5095" s="120"/>
      <c r="P5095" s="120"/>
      <c r="Q5095" s="120"/>
      <c r="R5095" s="120"/>
      <c r="S5095" s="120"/>
      <c r="T5095" s="221"/>
      <c r="U5095" s="89"/>
      <c r="V5095" s="61"/>
      <c r="W5095" s="92" t="s">
        <v>65</v>
      </c>
      <c r="X5095" s="93" t="s">
        <v>30</v>
      </c>
      <c r="Y5095" s="93" t="s">
        <v>93</v>
      </c>
      <c r="Z5095" s="134">
        <f>VLOOKUP(W5095,Sheet2!$B:$D,3,FALSE)</f>
        <v>1.76</v>
      </c>
      <c r="AA5095" s="93">
        <f>AA5094/15</f>
        <v>3.3333333333333333E-2</v>
      </c>
      <c r="AB5095" s="93">
        <f>AD5095/AC5091</f>
        <v>52.800000000000004</v>
      </c>
      <c r="AC5095" s="93">
        <f>AC5091/AA5095</f>
        <v>2.0999999999999952</v>
      </c>
      <c r="AD5095" s="94">
        <f>AC5095*Z5095</f>
        <v>3.6959999999999917</v>
      </c>
      <c r="AE5095" s="190"/>
      <c r="AF5095" s="191"/>
      <c r="AG5095" s="191"/>
      <c r="AH5095" s="191"/>
      <c r="AI5095" s="186"/>
      <c r="AK5095" s="171"/>
    </row>
    <row r="5096" spans="1:37" s="102" customFormat="1" ht="19.899999999999999" customHeight="1" x14ac:dyDescent="0.25">
      <c r="A5096" s="45"/>
      <c r="B5096" s="59"/>
      <c r="C5096" s="137"/>
      <c r="D5096" s="59"/>
      <c r="E5096" s="116"/>
      <c r="F5096" s="120"/>
      <c r="G5096" s="120"/>
      <c r="H5096" s="120"/>
      <c r="I5096" s="60"/>
      <c r="J5096" s="116"/>
      <c r="K5096" s="213"/>
      <c r="L5096" s="120"/>
      <c r="M5096" s="120"/>
      <c r="N5096" s="167"/>
      <c r="O5096" s="120"/>
      <c r="P5096" s="120"/>
      <c r="Q5096" s="120"/>
      <c r="R5096" s="120"/>
      <c r="S5096" s="120"/>
      <c r="T5096" s="221"/>
      <c r="U5096" s="89"/>
      <c r="V5096" s="61"/>
      <c r="W5096" s="92" t="s">
        <v>1487</v>
      </c>
      <c r="X5096" s="93" t="s">
        <v>32</v>
      </c>
      <c r="Y5096" s="93" t="s">
        <v>1349</v>
      </c>
      <c r="Z5096" s="134">
        <f>VLOOKUP(W5096,Sheet2!$B:$D,3,FALSE)</f>
        <v>1500</v>
      </c>
      <c r="AA5096" s="93">
        <v>1</v>
      </c>
      <c r="AB5096" s="93">
        <f>AD5096/AC5091</f>
        <v>1500</v>
      </c>
      <c r="AC5096" s="93">
        <f>AC5091/AA5096</f>
        <v>6.999999999999984E-2</v>
      </c>
      <c r="AD5096" s="94">
        <f>AC5096*Z5096</f>
        <v>104.99999999999976</v>
      </c>
      <c r="AE5096" s="190"/>
      <c r="AF5096" s="191"/>
      <c r="AG5096" s="191"/>
      <c r="AH5096" s="191"/>
      <c r="AI5096" s="186"/>
      <c r="AK5096" s="171"/>
    </row>
    <row r="5097" spans="1:37" s="102" customFormat="1" ht="19.899999999999999" customHeight="1" x14ac:dyDescent="0.25">
      <c r="A5097" s="45"/>
      <c r="B5097" s="59"/>
      <c r="C5097" s="137"/>
      <c r="D5097" s="59"/>
      <c r="E5097" s="116"/>
      <c r="F5097" s="120"/>
      <c r="G5097" s="120"/>
      <c r="H5097" s="120"/>
      <c r="I5097" s="60"/>
      <c r="J5097" s="116"/>
      <c r="K5097" s="213"/>
      <c r="L5097" s="120"/>
      <c r="M5097" s="120"/>
      <c r="N5097" s="167"/>
      <c r="O5097" s="120"/>
      <c r="P5097" s="120"/>
      <c r="Q5097" s="120"/>
      <c r="R5097" s="120"/>
      <c r="S5097" s="120"/>
      <c r="T5097" s="221"/>
      <c r="U5097" s="89"/>
      <c r="V5097" s="61"/>
      <c r="W5097" s="92" t="s">
        <v>107</v>
      </c>
      <c r="X5097" s="93" t="s">
        <v>31</v>
      </c>
      <c r="Y5097" s="93" t="s">
        <v>93</v>
      </c>
      <c r="Z5097" s="134">
        <f>VLOOKUP(W5097,Sheet2!$B:$D,3,FALSE)</f>
        <v>17</v>
      </c>
      <c r="AA5097" s="93">
        <f>AA5094</f>
        <v>0.5</v>
      </c>
      <c r="AB5097" s="93">
        <f>AD5097/AC5091</f>
        <v>34</v>
      </c>
      <c r="AC5097" s="93">
        <f>AC5091/AA5097</f>
        <v>0.13999999999999968</v>
      </c>
      <c r="AD5097" s="94">
        <f>AC5097*Z5097</f>
        <v>2.3799999999999946</v>
      </c>
      <c r="AE5097" s="190"/>
      <c r="AF5097" s="191"/>
      <c r="AG5097" s="191"/>
      <c r="AH5097" s="191"/>
      <c r="AI5097" s="186"/>
      <c r="AK5097" s="171"/>
    </row>
    <row r="5098" spans="1:37" s="102" customFormat="1" ht="19.899999999999999" customHeight="1" x14ac:dyDescent="0.25">
      <c r="A5098" s="45"/>
      <c r="B5098" s="59"/>
      <c r="C5098" s="137"/>
      <c r="D5098" s="59"/>
      <c r="E5098" s="116"/>
      <c r="F5098" s="120"/>
      <c r="G5098" s="120"/>
      <c r="H5098" s="120"/>
      <c r="I5098" s="60"/>
      <c r="J5098" s="116"/>
      <c r="K5098" s="213"/>
      <c r="L5098" s="120"/>
      <c r="M5098" s="120"/>
      <c r="N5098" s="167"/>
      <c r="O5098" s="120"/>
      <c r="P5098" s="120"/>
      <c r="Q5098" s="120"/>
      <c r="R5098" s="120"/>
      <c r="S5098" s="120"/>
      <c r="T5098" s="221"/>
      <c r="U5098" s="89"/>
      <c r="V5098" s="61"/>
      <c r="W5098" s="92" t="s">
        <v>112</v>
      </c>
      <c r="X5098" s="93" t="s">
        <v>31</v>
      </c>
      <c r="Y5098" s="93" t="s">
        <v>93</v>
      </c>
      <c r="Z5098" s="134">
        <f>VLOOKUP(W5098,Sheet2!$B:$D,3,FALSE)</f>
        <v>13</v>
      </c>
      <c r="AA5098" s="93">
        <f>AA5097</f>
        <v>0.5</v>
      </c>
      <c r="AB5098" s="93">
        <f>AD5098/AC5091</f>
        <v>26</v>
      </c>
      <c r="AC5098" s="93">
        <f>AC5091/AA5098</f>
        <v>0.13999999999999968</v>
      </c>
      <c r="AD5098" s="94">
        <f>AC5098*Z5098</f>
        <v>1.8199999999999958</v>
      </c>
      <c r="AE5098" s="190"/>
      <c r="AF5098" s="191"/>
      <c r="AG5098" s="191"/>
      <c r="AH5098" s="191"/>
      <c r="AI5098" s="186"/>
      <c r="AK5098" s="171"/>
    </row>
    <row r="5099" spans="1:37" s="103" customFormat="1" ht="19.899999999999999" customHeight="1" x14ac:dyDescent="0.25">
      <c r="A5099" s="51"/>
      <c r="B5099" s="52"/>
      <c r="C5099" s="165"/>
      <c r="D5099" s="52"/>
      <c r="E5099" s="115"/>
      <c r="F5099" s="58"/>
      <c r="G5099" s="58"/>
      <c r="H5099" s="58"/>
      <c r="I5099" s="55"/>
      <c r="J5099" s="113">
        <f>J5078</f>
        <v>6.999999999999984E-2</v>
      </c>
      <c r="K5099" s="212">
        <f>K5078</f>
        <v>6.999999999999984E-2</v>
      </c>
      <c r="L5099" s="58"/>
      <c r="M5099" s="58">
        <f>K5099-L5099</f>
        <v>6.999999999999984E-2</v>
      </c>
      <c r="N5099" s="166"/>
      <c r="O5099" s="58"/>
      <c r="P5099" s="58"/>
      <c r="Q5099" s="58"/>
      <c r="R5099" s="58"/>
      <c r="S5099" s="58"/>
      <c r="T5099" s="220"/>
      <c r="U5099" s="88"/>
      <c r="V5099" s="56"/>
      <c r="W5099" s="57" t="s">
        <v>1272</v>
      </c>
      <c r="X5099" s="53"/>
      <c r="Y5099" s="91" t="s">
        <v>35</v>
      </c>
      <c r="Z5099" s="136">
        <f>AD5099/AC5099</f>
        <v>579.7903703403922</v>
      </c>
      <c r="AA5099" s="58"/>
      <c r="AB5099" s="53">
        <f>AD5099/AC5099</f>
        <v>579.7903703403922</v>
      </c>
      <c r="AC5099" s="53">
        <f>M5099+$AE$10</f>
        <v>6.999999999999984E-2</v>
      </c>
      <c r="AD5099" s="54">
        <f>SUM(AD5100:AD5108)</f>
        <v>40.585325923827362</v>
      </c>
      <c r="AE5099" s="184">
        <f>SUMIFS($AD$37:$AD$12971,$V$37:$V$12971,$V5099,$X$37:$X$12971,AE$13)</f>
        <v>0</v>
      </c>
      <c r="AF5099" s="185">
        <f>SUMIFS($AD$37:$AD$12971,$V$37:$V$12971,$V5099,$X$37:$X$12971,AF$13)</f>
        <v>0</v>
      </c>
      <c r="AG5099" s="185">
        <f>SUMIFS($AD$37:$AD$12971,$V$37:$V$12971,$V5099,$X$37:$X$12971,AG$13)</f>
        <v>0</v>
      </c>
      <c r="AH5099" s="187">
        <f>SUMIFS($AD$37:$AD$12971,$V$37:$V$12971,$V5099,$X$37:$X$12971,AH$13)</f>
        <v>0</v>
      </c>
      <c r="AI5099" s="161">
        <f t="shared" ref="AI5099" si="3679">SUM(AE5099:AH5099)</f>
        <v>0</v>
      </c>
      <c r="AK5099" s="172"/>
    </row>
    <row r="5100" spans="1:37" s="102" customFormat="1" ht="19.899999999999999" customHeight="1" x14ac:dyDescent="0.25">
      <c r="A5100" s="45"/>
      <c r="B5100" s="59"/>
      <c r="C5100" s="137"/>
      <c r="D5100" s="59"/>
      <c r="E5100" s="116"/>
      <c r="F5100" s="120"/>
      <c r="G5100" s="120"/>
      <c r="H5100" s="120"/>
      <c r="I5100" s="60"/>
      <c r="J5100" s="116"/>
      <c r="K5100" s="213"/>
      <c r="L5100" s="120"/>
      <c r="M5100" s="120"/>
      <c r="N5100" s="167"/>
      <c r="O5100" s="120"/>
      <c r="P5100" s="120"/>
      <c r="Q5100" s="120"/>
      <c r="R5100" s="120"/>
      <c r="S5100" s="120"/>
      <c r="T5100" s="221"/>
      <c r="U5100" s="89"/>
      <c r="V5100" s="61"/>
      <c r="W5100" s="92" t="s">
        <v>1273</v>
      </c>
      <c r="X5100" s="93" t="s">
        <v>30</v>
      </c>
      <c r="Y5100" s="93" t="s">
        <v>66</v>
      </c>
      <c r="Z5100" s="134">
        <f>VLOOKUP(W5100,Sheet2!$B:$D,3,FALSE)</f>
        <v>10</v>
      </c>
      <c r="AA5100" s="93">
        <f>1/((2.5*2.5*5.5)-(3.14/4*1.2*1.2*5.5))</f>
        <v>3.5514138178408823E-2</v>
      </c>
      <c r="AB5100" s="93">
        <f>AD5100/AC5099</f>
        <v>281.57799999999997</v>
      </c>
      <c r="AC5100" s="93">
        <f>AC5099/AA5100</f>
        <v>1.9710459999999956</v>
      </c>
      <c r="AD5100" s="94">
        <f t="shared" ref="AD5100:AD5102" si="3680">AC5100*Z5100</f>
        <v>19.710459999999955</v>
      </c>
      <c r="AE5100" s="190"/>
      <c r="AF5100" s="191"/>
      <c r="AG5100" s="191"/>
      <c r="AH5100" s="191"/>
      <c r="AI5100" s="186"/>
      <c r="AK5100" s="171"/>
    </row>
    <row r="5101" spans="1:37" s="102" customFormat="1" ht="19.899999999999999" customHeight="1" x14ac:dyDescent="0.25">
      <c r="A5101" s="45"/>
      <c r="B5101" s="59"/>
      <c r="C5101" s="137"/>
      <c r="D5101" s="59"/>
      <c r="E5101" s="116"/>
      <c r="F5101" s="120"/>
      <c r="G5101" s="120"/>
      <c r="H5101" s="120"/>
      <c r="I5101" s="60"/>
      <c r="J5101" s="116"/>
      <c r="K5101" s="213"/>
      <c r="L5101" s="120"/>
      <c r="M5101" s="120"/>
      <c r="N5101" s="167"/>
      <c r="O5101" s="120"/>
      <c r="P5101" s="120"/>
      <c r="Q5101" s="120"/>
      <c r="R5101" s="120"/>
      <c r="S5101" s="120"/>
      <c r="T5101" s="221"/>
      <c r="U5101" s="89"/>
      <c r="V5101" s="61"/>
      <c r="W5101" s="92" t="s">
        <v>134</v>
      </c>
      <c r="X5101" s="93" t="s">
        <v>29</v>
      </c>
      <c r="Y5101" s="93" t="s">
        <v>93</v>
      </c>
      <c r="Z5101" s="134">
        <f>VLOOKUP(W5101,Sheet2!$B:$D,3,FALSE)</f>
        <v>65.599999999999994</v>
      </c>
      <c r="AA5101" s="93">
        <f>100/((2.5*2.5*5.5)-(3.14/4*1.2*1.2*5.5))</f>
        <v>3.5514138178408823</v>
      </c>
      <c r="AB5101" s="93">
        <f t="shared" ref="AB5101" si="3681">AD5101/AC5099</f>
        <v>18.4715168</v>
      </c>
      <c r="AC5101" s="93">
        <f>AC5099/AA5101</f>
        <v>1.9710459999999957E-2</v>
      </c>
      <c r="AD5101" s="94">
        <f t="shared" si="3680"/>
        <v>1.2930061759999971</v>
      </c>
      <c r="AE5101" s="190"/>
      <c r="AF5101" s="191"/>
      <c r="AG5101" s="191"/>
      <c r="AH5101" s="191"/>
      <c r="AI5101" s="186"/>
      <c r="AK5101" s="171"/>
    </row>
    <row r="5102" spans="1:37" s="102" customFormat="1" ht="19.899999999999999" customHeight="1" x14ac:dyDescent="0.25">
      <c r="A5102" s="45"/>
      <c r="B5102" s="59"/>
      <c r="C5102" s="137"/>
      <c r="D5102" s="59"/>
      <c r="E5102" s="116"/>
      <c r="F5102" s="120"/>
      <c r="G5102" s="120"/>
      <c r="H5102" s="120"/>
      <c r="I5102" s="60"/>
      <c r="J5102" s="116"/>
      <c r="K5102" s="213"/>
      <c r="L5102" s="120"/>
      <c r="M5102" s="120"/>
      <c r="N5102" s="167"/>
      <c r="O5102" s="120"/>
      <c r="P5102" s="120"/>
      <c r="Q5102" s="120"/>
      <c r="R5102" s="120"/>
      <c r="S5102" s="120"/>
      <c r="T5102" s="221"/>
      <c r="U5102" s="89"/>
      <c r="V5102" s="61"/>
      <c r="W5102" s="92" t="s">
        <v>65</v>
      </c>
      <c r="X5102" s="93" t="s">
        <v>30</v>
      </c>
      <c r="Y5102" s="93" t="s">
        <v>1011</v>
      </c>
      <c r="Z5102" s="134">
        <f>VLOOKUP(W5102,Sheet2!$B:$D,3,FALSE)</f>
        <v>1.76</v>
      </c>
      <c r="AA5102" s="93">
        <f>AA5101/9</f>
        <v>0.39460153531565356</v>
      </c>
      <c r="AB5102" s="93">
        <f>AD5102/AC5099</f>
        <v>4.4601955200000001</v>
      </c>
      <c r="AC5102" s="93">
        <f>AC5099/AA5102</f>
        <v>0.17739413999999962</v>
      </c>
      <c r="AD5102" s="94">
        <f t="shared" si="3680"/>
        <v>0.3122136863999993</v>
      </c>
      <c r="AE5102" s="190"/>
      <c r="AF5102" s="191"/>
      <c r="AG5102" s="191"/>
      <c r="AH5102" s="191"/>
      <c r="AI5102" s="186"/>
      <c r="AK5102" s="171"/>
    </row>
    <row r="5103" spans="1:37" s="102" customFormat="1" ht="19.899999999999999" customHeight="1" x14ac:dyDescent="0.25">
      <c r="A5103" s="45"/>
      <c r="B5103" s="59"/>
      <c r="C5103" s="137"/>
      <c r="D5103" s="59"/>
      <c r="E5103" s="116"/>
      <c r="F5103" s="120"/>
      <c r="G5103" s="120"/>
      <c r="H5103" s="120"/>
      <c r="I5103" s="60"/>
      <c r="J5103" s="116"/>
      <c r="K5103" s="213"/>
      <c r="L5103" s="120"/>
      <c r="M5103" s="120"/>
      <c r="N5103" s="167"/>
      <c r="O5103" s="120"/>
      <c r="P5103" s="120"/>
      <c r="Q5103" s="120"/>
      <c r="R5103" s="120"/>
      <c r="S5103" s="120"/>
      <c r="T5103" s="221"/>
      <c r="U5103" s="89"/>
      <c r="V5103" s="61"/>
      <c r="W5103" s="92" t="s">
        <v>161</v>
      </c>
      <c r="X5103" s="93" t="s">
        <v>29</v>
      </c>
      <c r="Y5103" s="93" t="s">
        <v>93</v>
      </c>
      <c r="Z5103" s="134">
        <f>VLOOKUP(W5103,Sheet2!$B:$D,3,FALSE)</f>
        <v>48</v>
      </c>
      <c r="AA5103" s="93">
        <f>(16*0.85*1.5)/((2.5*2.5*5.5)-(3.14/4*1.2*1.2*5.5))</f>
        <v>0.72448841883953996</v>
      </c>
      <c r="AB5103" s="93">
        <f>AD5103/AC5099</f>
        <v>66.253647058823546</v>
      </c>
      <c r="AC5103" s="93">
        <f>AC5099/AA5103</f>
        <v>9.6619901960784099E-2</v>
      </c>
      <c r="AD5103" s="94">
        <f>AC5103*Z5103</f>
        <v>4.6377552941176372</v>
      </c>
      <c r="AE5103" s="190"/>
      <c r="AF5103" s="191"/>
      <c r="AG5103" s="191"/>
      <c r="AH5103" s="191"/>
      <c r="AI5103" s="186"/>
      <c r="AK5103" s="171"/>
    </row>
    <row r="5104" spans="1:37" s="102" customFormat="1" ht="19.899999999999999" customHeight="1" x14ac:dyDescent="0.25">
      <c r="A5104" s="45"/>
      <c r="B5104" s="59"/>
      <c r="C5104" s="137"/>
      <c r="D5104" s="59"/>
      <c r="E5104" s="116"/>
      <c r="F5104" s="120"/>
      <c r="G5104" s="120"/>
      <c r="H5104" s="120"/>
      <c r="I5104" s="60"/>
      <c r="J5104" s="116"/>
      <c r="K5104" s="213"/>
      <c r="L5104" s="120"/>
      <c r="M5104" s="120"/>
      <c r="N5104" s="167"/>
      <c r="O5104" s="120"/>
      <c r="P5104" s="120"/>
      <c r="Q5104" s="120"/>
      <c r="R5104" s="120"/>
      <c r="S5104" s="120"/>
      <c r="T5104" s="221"/>
      <c r="U5104" s="89"/>
      <c r="V5104" s="61"/>
      <c r="W5104" s="92" t="s">
        <v>65</v>
      </c>
      <c r="X5104" s="93" t="s">
        <v>30</v>
      </c>
      <c r="Y5104" s="93" t="s">
        <v>1011</v>
      </c>
      <c r="Z5104" s="134">
        <f>VLOOKUP(W5104,Sheet2!$B:$D,3,FALSE)</f>
        <v>1.76</v>
      </c>
      <c r="AA5104" s="93">
        <f>AA5103/10</f>
        <v>7.2448841883953993E-2</v>
      </c>
      <c r="AB5104" s="93">
        <f>AD5104/AC5099</f>
        <v>24.29300392156863</v>
      </c>
      <c r="AC5104" s="93">
        <f>AC5099/AA5104</f>
        <v>0.96619901960784105</v>
      </c>
      <c r="AD5104" s="94">
        <f>AC5104*Z5104</f>
        <v>1.7005102745098002</v>
      </c>
      <c r="AE5104" s="190"/>
      <c r="AF5104" s="191"/>
      <c r="AG5104" s="191"/>
      <c r="AH5104" s="191"/>
      <c r="AI5104" s="186"/>
      <c r="AK5104" s="171"/>
    </row>
    <row r="5105" spans="1:41" s="102" customFormat="1" ht="19.899999999999999" customHeight="1" x14ac:dyDescent="0.25">
      <c r="A5105" s="45"/>
      <c r="B5105" s="59"/>
      <c r="C5105" s="137"/>
      <c r="D5105" s="59"/>
      <c r="E5105" s="116"/>
      <c r="F5105" s="120"/>
      <c r="G5105" s="120"/>
      <c r="H5105" s="120"/>
      <c r="I5105" s="60"/>
      <c r="J5105" s="116"/>
      <c r="K5105" s="213"/>
      <c r="L5105" s="120"/>
      <c r="M5105" s="120"/>
      <c r="N5105" s="167"/>
      <c r="O5105" s="120"/>
      <c r="P5105" s="120"/>
      <c r="Q5105" s="120"/>
      <c r="R5105" s="120"/>
      <c r="S5105" s="120"/>
      <c r="T5105" s="221"/>
      <c r="U5105" s="89"/>
      <c r="V5105" s="61"/>
      <c r="W5105" s="92" t="s">
        <v>173</v>
      </c>
      <c r="X5105" s="93" t="s">
        <v>29</v>
      </c>
      <c r="Y5105" s="93" t="s">
        <v>93</v>
      </c>
      <c r="Z5105" s="134">
        <f>VLOOKUP(W5105,Sheet2!$B:$D,3,FALSE)</f>
        <v>36</v>
      </c>
      <c r="AA5105" s="93">
        <f>50/((2.5*2.5*5.5)-(3.14/4*1.2*1.2*5.5))</f>
        <v>1.7757069089204411</v>
      </c>
      <c r="AB5105" s="93">
        <f>AD5105/AC5099</f>
        <v>20.273616000000004</v>
      </c>
      <c r="AC5105" s="93">
        <f>AC5099/AA5105</f>
        <v>3.9420919999999915E-2</v>
      </c>
      <c r="AD5105" s="94">
        <f>AC5105*Z5105</f>
        <v>1.4191531199999969</v>
      </c>
      <c r="AE5105" s="190"/>
      <c r="AF5105" s="191"/>
      <c r="AG5105" s="191"/>
      <c r="AH5105" s="191"/>
      <c r="AI5105" s="186"/>
      <c r="AK5105" s="171"/>
    </row>
    <row r="5106" spans="1:41" s="102" customFormat="1" ht="19.899999999999999" customHeight="1" x14ac:dyDescent="0.25">
      <c r="A5106" s="45"/>
      <c r="B5106" s="59"/>
      <c r="C5106" s="137"/>
      <c r="D5106" s="59"/>
      <c r="E5106" s="116"/>
      <c r="F5106" s="120"/>
      <c r="G5106" s="120"/>
      <c r="H5106" s="120"/>
      <c r="I5106" s="60"/>
      <c r="J5106" s="116"/>
      <c r="K5106" s="213"/>
      <c r="L5106" s="120"/>
      <c r="M5106" s="120"/>
      <c r="N5106" s="167"/>
      <c r="O5106" s="120"/>
      <c r="P5106" s="120"/>
      <c r="Q5106" s="120"/>
      <c r="R5106" s="120"/>
      <c r="S5106" s="120"/>
      <c r="T5106" s="221"/>
      <c r="U5106" s="89"/>
      <c r="V5106" s="61"/>
      <c r="W5106" s="92" t="s">
        <v>65</v>
      </c>
      <c r="X5106" s="93" t="s">
        <v>30</v>
      </c>
      <c r="Y5106" s="93" t="s">
        <v>1011</v>
      </c>
      <c r="Z5106" s="134">
        <f>VLOOKUP(W5106,Sheet2!$B:$D,3,FALSE)</f>
        <v>1.76</v>
      </c>
      <c r="AA5106" s="93">
        <f>AA5105/9</f>
        <v>0.19730076765782678</v>
      </c>
      <c r="AB5106" s="93">
        <f>AD5106/AC5099</f>
        <v>8.9203910400000002</v>
      </c>
      <c r="AC5106" s="93">
        <f>AC5099/AA5106</f>
        <v>0.35478827999999923</v>
      </c>
      <c r="AD5106" s="94">
        <f>AC5106*Z5106</f>
        <v>0.6244273727999986</v>
      </c>
      <c r="AE5106" s="190"/>
      <c r="AF5106" s="191"/>
      <c r="AG5106" s="191"/>
      <c r="AH5106" s="191"/>
      <c r="AI5106" s="186"/>
      <c r="AK5106" s="171"/>
    </row>
    <row r="5107" spans="1:41" s="102" customFormat="1" ht="19.899999999999999" customHeight="1" x14ac:dyDescent="0.25">
      <c r="A5107" s="45"/>
      <c r="B5107" s="59"/>
      <c r="C5107" s="137"/>
      <c r="D5107" s="59"/>
      <c r="E5107" s="116"/>
      <c r="F5107" s="120"/>
      <c r="G5107" s="120"/>
      <c r="H5107" s="120"/>
      <c r="I5107" s="60"/>
      <c r="J5107" s="116"/>
      <c r="K5107" s="213"/>
      <c r="L5107" s="120"/>
      <c r="M5107" s="120"/>
      <c r="N5107" s="167"/>
      <c r="O5107" s="120"/>
      <c r="P5107" s="120"/>
      <c r="Q5107" s="120"/>
      <c r="R5107" s="120"/>
      <c r="S5107" s="120"/>
      <c r="T5107" s="221"/>
      <c r="U5107" s="89"/>
      <c r="V5107" s="61"/>
      <c r="W5107" s="92" t="s">
        <v>1030</v>
      </c>
      <c r="X5107" s="93" t="s">
        <v>29</v>
      </c>
      <c r="Y5107" s="93" t="s">
        <v>93</v>
      </c>
      <c r="Z5107" s="134">
        <f>VLOOKUP(W5107,Sheet2!$B:$D,3,FALSE)</f>
        <v>23</v>
      </c>
      <c r="AA5107" s="93">
        <f>1/(5.5*1)</f>
        <v>0.18181818181818182</v>
      </c>
      <c r="AB5107" s="93">
        <f>AD5107/AC5099</f>
        <v>126.49999999999999</v>
      </c>
      <c r="AC5107" s="93">
        <f>AC5099/AA5107</f>
        <v>0.38499999999999912</v>
      </c>
      <c r="AD5107" s="94">
        <f t="shared" ref="AD5107:AD5108" si="3682">AC5107*Z5107</f>
        <v>8.8549999999999791</v>
      </c>
      <c r="AE5107" s="190"/>
      <c r="AF5107" s="191"/>
      <c r="AG5107" s="191"/>
      <c r="AH5107" s="191"/>
      <c r="AI5107" s="186"/>
      <c r="AK5107" s="171"/>
    </row>
    <row r="5108" spans="1:41" s="102" customFormat="1" ht="19.899999999999999" customHeight="1" x14ac:dyDescent="0.25">
      <c r="A5108" s="45"/>
      <c r="B5108" s="59"/>
      <c r="C5108" s="137"/>
      <c r="D5108" s="59"/>
      <c r="E5108" s="116"/>
      <c r="F5108" s="120"/>
      <c r="G5108" s="120"/>
      <c r="H5108" s="120"/>
      <c r="I5108" s="60"/>
      <c r="J5108" s="116"/>
      <c r="K5108" s="213"/>
      <c r="L5108" s="120"/>
      <c r="M5108" s="120"/>
      <c r="N5108" s="167"/>
      <c r="O5108" s="120"/>
      <c r="P5108" s="120"/>
      <c r="Q5108" s="120"/>
      <c r="R5108" s="120"/>
      <c r="S5108" s="120"/>
      <c r="T5108" s="221"/>
      <c r="U5108" s="89"/>
      <c r="V5108" s="61"/>
      <c r="W5108" s="92" t="s">
        <v>65</v>
      </c>
      <c r="X5108" s="93" t="s">
        <v>30</v>
      </c>
      <c r="Y5108" s="93" t="s">
        <v>1011</v>
      </c>
      <c r="Z5108" s="134">
        <f>VLOOKUP(W5108,Sheet2!$B:$D,3,FALSE)</f>
        <v>1.76</v>
      </c>
      <c r="AA5108" s="93">
        <f>AA5107/3</f>
        <v>6.0606060606060608E-2</v>
      </c>
      <c r="AB5108" s="93">
        <f>AD5108/AC5099</f>
        <v>29.040000000000003</v>
      </c>
      <c r="AC5108" s="93">
        <f>AC5099/AA5108</f>
        <v>1.1549999999999974</v>
      </c>
      <c r="AD5108" s="94">
        <f t="shared" si="3682"/>
        <v>2.0327999999999955</v>
      </c>
      <c r="AE5108" s="190"/>
      <c r="AF5108" s="191"/>
      <c r="AG5108" s="191"/>
      <c r="AH5108" s="191"/>
      <c r="AI5108" s="186"/>
      <c r="AK5108" s="171"/>
    </row>
    <row r="5109" spans="1:41" ht="20.100000000000001" customHeight="1" x14ac:dyDescent="0.25">
      <c r="A5109" s="277" t="s">
        <v>491</v>
      </c>
      <c r="B5109" s="278"/>
      <c r="C5109" s="64" t="s">
        <v>582</v>
      </c>
      <c r="D5109" s="46" t="s">
        <v>328</v>
      </c>
      <c r="E5109" s="114"/>
      <c r="F5109" s="44"/>
      <c r="G5109" s="44">
        <f t="shared" si="3471"/>
        <v>0</v>
      </c>
      <c r="H5109" s="44">
        <f t="shared" si="3472"/>
        <v>0</v>
      </c>
      <c r="I5109" s="43">
        <f t="shared" si="3473"/>
        <v>0</v>
      </c>
      <c r="J5109" s="112">
        <f t="shared" si="3474"/>
        <v>0</v>
      </c>
      <c r="K5109" s="211">
        <f t="shared" si="3475"/>
        <v>0</v>
      </c>
      <c r="L5109" s="44"/>
      <c r="M5109" s="44">
        <f t="shared" si="3499"/>
        <v>0</v>
      </c>
      <c r="N5109" s="173">
        <f t="shared" si="3476"/>
        <v>0</v>
      </c>
      <c r="O5109" s="44">
        <f t="shared" si="3477"/>
        <v>0</v>
      </c>
      <c r="P5109" s="44">
        <f t="shared" si="3478"/>
        <v>0</v>
      </c>
      <c r="Q5109" s="44">
        <f t="shared" si="3479"/>
        <v>0</v>
      </c>
      <c r="R5109" s="44">
        <f t="shared" si="3500"/>
        <v>0</v>
      </c>
      <c r="S5109" s="123"/>
      <c r="T5109" s="219">
        <f t="shared" si="3501"/>
        <v>0</v>
      </c>
      <c r="U5109" s="87"/>
      <c r="V5109" s="47"/>
      <c r="W5109" s="48"/>
      <c r="X5109" s="48"/>
      <c r="Y5109" s="48"/>
      <c r="Z5109" s="135"/>
      <c r="AA5109" s="49"/>
      <c r="AB5109" s="50">
        <f t="shared" si="3480"/>
        <v>0</v>
      </c>
      <c r="AC5109" s="42">
        <f t="shared" si="3502"/>
        <v>9.9999999999999998E-20</v>
      </c>
      <c r="AD5109" s="90"/>
      <c r="AE5109" s="188"/>
      <c r="AF5109" s="189"/>
      <c r="AG5109" s="189"/>
      <c r="AH5109" s="189"/>
      <c r="AI5109" s="161"/>
    </row>
    <row r="5110" spans="1:41" ht="20.100000000000001" customHeight="1" x14ac:dyDescent="0.25">
      <c r="A5110" s="277" t="s">
        <v>491</v>
      </c>
      <c r="B5110" s="278"/>
      <c r="C5110" s="64" t="s">
        <v>583</v>
      </c>
      <c r="D5110" s="46" t="s">
        <v>328</v>
      </c>
      <c r="E5110" s="114"/>
      <c r="F5110" s="44"/>
      <c r="G5110" s="44">
        <f t="shared" si="3471"/>
        <v>0</v>
      </c>
      <c r="H5110" s="44">
        <f t="shared" si="3472"/>
        <v>0</v>
      </c>
      <c r="I5110" s="43">
        <f t="shared" si="3473"/>
        <v>0</v>
      </c>
      <c r="J5110" s="112">
        <f t="shared" si="3474"/>
        <v>0</v>
      </c>
      <c r="K5110" s="211">
        <f t="shared" si="3475"/>
        <v>0</v>
      </c>
      <c r="L5110" s="44"/>
      <c r="M5110" s="44">
        <f t="shared" si="3499"/>
        <v>0</v>
      </c>
      <c r="N5110" s="173">
        <f t="shared" si="3476"/>
        <v>0</v>
      </c>
      <c r="O5110" s="44">
        <f t="shared" si="3477"/>
        <v>0</v>
      </c>
      <c r="P5110" s="44">
        <f t="shared" si="3478"/>
        <v>0</v>
      </c>
      <c r="Q5110" s="44">
        <f t="shared" si="3479"/>
        <v>0</v>
      </c>
      <c r="R5110" s="44">
        <f t="shared" si="3500"/>
        <v>0</v>
      </c>
      <c r="S5110" s="123"/>
      <c r="T5110" s="219">
        <f t="shared" si="3501"/>
        <v>0</v>
      </c>
      <c r="U5110" s="87"/>
      <c r="V5110" s="47"/>
      <c r="W5110" s="48"/>
      <c r="X5110" s="48"/>
      <c r="Y5110" s="48"/>
      <c r="Z5110" s="135"/>
      <c r="AA5110" s="49"/>
      <c r="AB5110" s="50">
        <f t="shared" si="3480"/>
        <v>0</v>
      </c>
      <c r="AC5110" s="42">
        <f t="shared" si="3502"/>
        <v>9.9999999999999998E-20</v>
      </c>
      <c r="AD5110" s="90"/>
      <c r="AE5110" s="188"/>
      <c r="AF5110" s="189"/>
      <c r="AG5110" s="189"/>
      <c r="AH5110" s="189"/>
      <c r="AI5110" s="161"/>
    </row>
    <row r="5111" spans="1:41" s="102" customFormat="1" ht="20.100000000000001" customHeight="1" x14ac:dyDescent="0.25">
      <c r="A5111" s="45" t="s">
        <v>491</v>
      </c>
      <c r="B5111" s="276"/>
      <c r="C5111" s="285" t="s">
        <v>597</v>
      </c>
      <c r="D5111" s="59"/>
      <c r="E5111" s="116"/>
      <c r="F5111" s="120"/>
      <c r="G5111" s="120">
        <f t="shared" si="3471"/>
        <v>0</v>
      </c>
      <c r="H5111" s="120">
        <f t="shared" si="3472"/>
        <v>0</v>
      </c>
      <c r="I5111" s="60">
        <f t="shared" si="3473"/>
        <v>0</v>
      </c>
      <c r="J5111" s="116">
        <f t="shared" si="3474"/>
        <v>0</v>
      </c>
      <c r="K5111" s="213">
        <f t="shared" si="3475"/>
        <v>0</v>
      </c>
      <c r="L5111" s="120"/>
      <c r="M5111" s="120">
        <f t="shared" si="3499"/>
        <v>0</v>
      </c>
      <c r="N5111" s="167">
        <f t="shared" si="3476"/>
        <v>0</v>
      </c>
      <c r="O5111" s="120">
        <f t="shared" si="3477"/>
        <v>0</v>
      </c>
      <c r="P5111" s="120">
        <f t="shared" si="3478"/>
        <v>0</v>
      </c>
      <c r="Q5111" s="120">
        <f t="shared" si="3479"/>
        <v>0</v>
      </c>
      <c r="R5111" s="120">
        <f t="shared" si="3500"/>
        <v>0</v>
      </c>
      <c r="S5111" s="120"/>
      <c r="T5111" s="221">
        <f t="shared" si="3501"/>
        <v>0</v>
      </c>
      <c r="U5111" s="89"/>
      <c r="V5111" s="61"/>
      <c r="W5111" s="92"/>
      <c r="X5111" s="38"/>
      <c r="Y5111" s="93"/>
      <c r="Z5111" s="134"/>
      <c r="AA5111" s="93"/>
      <c r="AB5111" s="93">
        <f t="shared" si="3480"/>
        <v>0</v>
      </c>
      <c r="AC5111" s="93">
        <f t="shared" si="3502"/>
        <v>9.9999999999999998E-20</v>
      </c>
      <c r="AD5111" s="94"/>
      <c r="AE5111" s="190"/>
      <c r="AF5111" s="191"/>
      <c r="AG5111" s="191"/>
      <c r="AH5111" s="191"/>
      <c r="AI5111" s="186"/>
      <c r="AK5111" s="171"/>
    </row>
    <row r="5112" spans="1:41" s="102" customFormat="1" ht="173.25" x14ac:dyDescent="0.25">
      <c r="A5112" s="45" t="s">
        <v>491</v>
      </c>
      <c r="B5112" s="276"/>
      <c r="C5112" s="285" t="s">
        <v>571</v>
      </c>
      <c r="D5112" s="59"/>
      <c r="E5112" s="116"/>
      <c r="F5112" s="120"/>
      <c r="G5112" s="120">
        <f t="shared" si="3471"/>
        <v>0</v>
      </c>
      <c r="H5112" s="120">
        <f t="shared" si="3472"/>
        <v>0</v>
      </c>
      <c r="I5112" s="60">
        <f t="shared" si="3473"/>
        <v>0</v>
      </c>
      <c r="J5112" s="116">
        <f t="shared" si="3474"/>
        <v>0</v>
      </c>
      <c r="K5112" s="213">
        <f t="shared" si="3475"/>
        <v>0</v>
      </c>
      <c r="L5112" s="120"/>
      <c r="M5112" s="120">
        <f t="shared" si="3499"/>
        <v>0</v>
      </c>
      <c r="N5112" s="167">
        <f t="shared" si="3476"/>
        <v>0</v>
      </c>
      <c r="O5112" s="120">
        <f t="shared" si="3477"/>
        <v>0</v>
      </c>
      <c r="P5112" s="120">
        <f t="shared" si="3478"/>
        <v>0</v>
      </c>
      <c r="Q5112" s="120">
        <f t="shared" si="3479"/>
        <v>0</v>
      </c>
      <c r="R5112" s="120">
        <f t="shared" si="3500"/>
        <v>0</v>
      </c>
      <c r="S5112" s="120"/>
      <c r="T5112" s="221">
        <f t="shared" si="3501"/>
        <v>0</v>
      </c>
      <c r="U5112" s="89"/>
      <c r="V5112" s="61"/>
      <c r="W5112" s="92"/>
      <c r="X5112" s="38"/>
      <c r="Y5112" s="93"/>
      <c r="Z5112" s="134"/>
      <c r="AA5112" s="93"/>
      <c r="AB5112" s="93">
        <f t="shared" si="3480"/>
        <v>0</v>
      </c>
      <c r="AC5112" s="93">
        <f t="shared" si="3502"/>
        <v>9.9999999999999998E-20</v>
      </c>
      <c r="AD5112" s="94"/>
      <c r="AE5112" s="190"/>
      <c r="AF5112" s="191"/>
      <c r="AG5112" s="191"/>
      <c r="AH5112" s="191"/>
      <c r="AI5112" s="186"/>
      <c r="AK5112" s="171"/>
    </row>
    <row r="5113" spans="1:41" ht="20.100000000000001" customHeight="1" x14ac:dyDescent="0.25">
      <c r="A5113" s="277" t="s">
        <v>491</v>
      </c>
      <c r="B5113" s="278"/>
      <c r="C5113" s="64" t="s">
        <v>598</v>
      </c>
      <c r="D5113" s="46"/>
      <c r="E5113" s="114"/>
      <c r="F5113" s="44"/>
      <c r="G5113" s="44">
        <f t="shared" si="3471"/>
        <v>0</v>
      </c>
      <c r="H5113" s="44">
        <f t="shared" si="3472"/>
        <v>0</v>
      </c>
      <c r="I5113" s="43">
        <f t="shared" si="3473"/>
        <v>0</v>
      </c>
      <c r="J5113" s="112">
        <f t="shared" si="3474"/>
        <v>0</v>
      </c>
      <c r="K5113" s="211">
        <f t="shared" si="3475"/>
        <v>0</v>
      </c>
      <c r="L5113" s="44"/>
      <c r="M5113" s="44">
        <f t="shared" si="3499"/>
        <v>0</v>
      </c>
      <c r="N5113" s="173">
        <f t="shared" si="3476"/>
        <v>0</v>
      </c>
      <c r="O5113" s="44">
        <f t="shared" si="3477"/>
        <v>0</v>
      </c>
      <c r="P5113" s="44">
        <f t="shared" si="3478"/>
        <v>0</v>
      </c>
      <c r="Q5113" s="44">
        <f t="shared" si="3479"/>
        <v>0</v>
      </c>
      <c r="R5113" s="44">
        <f t="shared" si="3500"/>
        <v>0</v>
      </c>
      <c r="S5113" s="123"/>
      <c r="T5113" s="219">
        <f t="shared" si="3501"/>
        <v>0</v>
      </c>
      <c r="U5113" s="87"/>
      <c r="V5113" s="47"/>
      <c r="W5113" s="48"/>
      <c r="X5113" s="48"/>
      <c r="Y5113" s="48"/>
      <c r="Z5113" s="135"/>
      <c r="AA5113" s="49"/>
      <c r="AB5113" s="50">
        <f t="shared" si="3480"/>
        <v>0</v>
      </c>
      <c r="AC5113" s="42">
        <f t="shared" si="3502"/>
        <v>9.9999999999999998E-20</v>
      </c>
      <c r="AD5113" s="90"/>
      <c r="AE5113" s="188"/>
      <c r="AF5113" s="189"/>
      <c r="AG5113" s="189"/>
      <c r="AH5113" s="189"/>
      <c r="AI5113" s="161"/>
    </row>
    <row r="5114" spans="1:41" ht="20.100000000000001" customHeight="1" x14ac:dyDescent="0.25">
      <c r="A5114" s="277" t="s">
        <v>491</v>
      </c>
      <c r="B5114" s="278"/>
      <c r="C5114" s="64" t="s">
        <v>575</v>
      </c>
      <c r="D5114" s="46" t="s">
        <v>215</v>
      </c>
      <c r="E5114" s="114">
        <v>1.806896551723991E-2</v>
      </c>
      <c r="F5114" s="44">
        <v>24547</v>
      </c>
      <c r="G5114" s="44">
        <f t="shared" si="3471"/>
        <v>443.53889655168808</v>
      </c>
      <c r="H5114" s="44">
        <f t="shared" si="3472"/>
        <v>8320.3096626470578</v>
      </c>
      <c r="I5114" s="43">
        <f t="shared" si="3473"/>
        <v>150.33938838712771</v>
      </c>
      <c r="J5114" s="112">
        <f t="shared" si="3474"/>
        <v>1.806896551723991E-2</v>
      </c>
      <c r="K5114" s="211">
        <f t="shared" si="3475"/>
        <v>1.806896551723991E-2</v>
      </c>
      <c r="L5114" s="44"/>
      <c r="M5114" s="44">
        <f t="shared" si="3499"/>
        <v>1.806896551723991E-2</v>
      </c>
      <c r="N5114" s="173">
        <f t="shared" si="3476"/>
        <v>1</v>
      </c>
      <c r="O5114" s="44">
        <f t="shared" si="3477"/>
        <v>24547</v>
      </c>
      <c r="P5114" s="44">
        <f t="shared" si="3478"/>
        <v>443.53889655168808</v>
      </c>
      <c r="Q5114" s="44">
        <f t="shared" si="3479"/>
        <v>8320.3096626470578</v>
      </c>
      <c r="R5114" s="44">
        <f t="shared" si="3500"/>
        <v>150.33938838712771</v>
      </c>
      <c r="S5114" s="123"/>
      <c r="T5114" s="219">
        <f t="shared" si="3501"/>
        <v>150.33938838712771</v>
      </c>
      <c r="U5114" s="87"/>
      <c r="V5114" s="47"/>
      <c r="W5114" s="48"/>
      <c r="X5114" s="48"/>
      <c r="Y5114" s="48"/>
      <c r="Z5114" s="135"/>
      <c r="AA5114" s="49"/>
      <c r="AB5114" s="50">
        <f t="shared" si="3480"/>
        <v>8320.3096626470578</v>
      </c>
      <c r="AC5114" s="42">
        <f t="shared" si="3502"/>
        <v>1.806896551723991E-2</v>
      </c>
      <c r="AD5114" s="90">
        <f>AD5115+AD5120+AD5127+AD5134</f>
        <v>150.33938838712771</v>
      </c>
      <c r="AE5114" s="188">
        <f t="shared" ref="AE5114:AH5114" si="3683">AE5115+AE5120+AE5127+AE5134</f>
        <v>0</v>
      </c>
      <c r="AF5114" s="189">
        <f t="shared" si="3683"/>
        <v>0</v>
      </c>
      <c r="AG5114" s="189">
        <f t="shared" si="3683"/>
        <v>0</v>
      </c>
      <c r="AH5114" s="189">
        <f t="shared" si="3683"/>
        <v>0</v>
      </c>
      <c r="AI5114" s="161">
        <f t="shared" ref="AI5114" si="3684">SUM(AE5114:AH5114)</f>
        <v>0</v>
      </c>
      <c r="AK5114" s="169">
        <v>5</v>
      </c>
      <c r="AO5114" s="19" t="s">
        <v>63</v>
      </c>
    </row>
    <row r="5115" spans="1:41" s="103" customFormat="1" ht="19.899999999999999" customHeight="1" x14ac:dyDescent="0.25">
      <c r="A5115" s="51"/>
      <c r="B5115" s="52"/>
      <c r="C5115" s="165"/>
      <c r="D5115" s="52"/>
      <c r="E5115" s="115"/>
      <c r="F5115" s="58"/>
      <c r="G5115" s="58"/>
      <c r="H5115" s="58"/>
      <c r="I5115" s="55"/>
      <c r="J5115" s="113">
        <f>J5114</f>
        <v>1.806896551723991E-2</v>
      </c>
      <c r="K5115" s="212">
        <f>K5114</f>
        <v>1.806896551723991E-2</v>
      </c>
      <c r="L5115" s="58"/>
      <c r="M5115" s="58">
        <f>K5115-L5115</f>
        <v>1.806896551723991E-2</v>
      </c>
      <c r="N5115" s="166"/>
      <c r="O5115" s="58"/>
      <c r="P5115" s="58"/>
      <c r="Q5115" s="58"/>
      <c r="R5115" s="58"/>
      <c r="S5115" s="58"/>
      <c r="T5115" s="220"/>
      <c r="U5115" s="88"/>
      <c r="V5115" s="56"/>
      <c r="W5115" s="57" t="s">
        <v>1510</v>
      </c>
      <c r="X5115" s="53"/>
      <c r="Y5115" s="91" t="s">
        <v>35</v>
      </c>
      <c r="Z5115" s="136">
        <f>AD5115/AC5115</f>
        <v>90.4969411764706</v>
      </c>
      <c r="AA5115" s="58"/>
      <c r="AB5115" s="53">
        <f>AD5115/AC5115</f>
        <v>90.4969411764706</v>
      </c>
      <c r="AC5115" s="53">
        <f>M5115+$AE$10</f>
        <v>1.806896551723991E-2</v>
      </c>
      <c r="AD5115" s="54">
        <f>SUM(AD5116:AD5119)</f>
        <v>1.6351861095333358</v>
      </c>
      <c r="AE5115" s="184">
        <f>SUMIFS($AD$37:$AD$12971,$V$37:$V$12971,$V5115,$X$37:$X$12971,AE$13)</f>
        <v>0</v>
      </c>
      <c r="AF5115" s="185">
        <f>SUMIFS($AD$37:$AD$12971,$V$37:$V$12971,$V5115,$X$37:$X$12971,AF$13)</f>
        <v>0</v>
      </c>
      <c r="AG5115" s="185">
        <f>SUMIFS($AD$37:$AD$12971,$V$37:$V$12971,$V5115,$X$37:$X$12971,AG$13)</f>
        <v>0</v>
      </c>
      <c r="AH5115" s="187">
        <f>SUMIFS($AD$37:$AD$12971,$V$37:$V$12971,$V5115,$X$37:$X$12971,AH$13)</f>
        <v>0</v>
      </c>
      <c r="AI5115" s="161">
        <f t="shared" ref="AI5115" si="3685">SUM(AE5115:AH5115)</f>
        <v>0</v>
      </c>
      <c r="AK5115" s="172"/>
    </row>
    <row r="5116" spans="1:41" s="102" customFormat="1" ht="19.899999999999999" customHeight="1" x14ac:dyDescent="0.25">
      <c r="A5116" s="45"/>
      <c r="B5116" s="59"/>
      <c r="C5116" s="137"/>
      <c r="D5116" s="59"/>
      <c r="E5116" s="116"/>
      <c r="F5116" s="120"/>
      <c r="G5116" s="120"/>
      <c r="H5116" s="120"/>
      <c r="I5116" s="60"/>
      <c r="J5116" s="116"/>
      <c r="K5116" s="213"/>
      <c r="L5116" s="120"/>
      <c r="M5116" s="120"/>
      <c r="N5116" s="167"/>
      <c r="O5116" s="120"/>
      <c r="P5116" s="120"/>
      <c r="Q5116" s="120"/>
      <c r="R5116" s="120"/>
      <c r="S5116" s="120"/>
      <c r="T5116" s="221"/>
      <c r="U5116" s="89"/>
      <c r="V5116" s="61"/>
      <c r="W5116" s="92" t="s">
        <v>129</v>
      </c>
      <c r="X5116" s="93" t="s">
        <v>29</v>
      </c>
      <c r="Y5116" s="93" t="s">
        <v>93</v>
      </c>
      <c r="Z5116" s="134">
        <f>VLOOKUP(W5116,Sheet2!$B:$D,3,FALSE)</f>
        <v>56</v>
      </c>
      <c r="AA5116" s="93">
        <f>100/(3*3*2.5)</f>
        <v>4.4444444444444446</v>
      </c>
      <c r="AB5116" s="93">
        <f t="shared" ref="AB5116" si="3686">AD5116/AC5115</f>
        <v>12.6</v>
      </c>
      <c r="AC5116" s="93">
        <f>AC5115/AA5116</f>
        <v>4.0655172413789796E-3</v>
      </c>
      <c r="AD5116" s="94">
        <f t="shared" ref="AD5116:AD5117" si="3687">AC5116*Z5116</f>
        <v>0.22766896551722285</v>
      </c>
      <c r="AE5116" s="190"/>
      <c r="AF5116" s="191"/>
      <c r="AG5116" s="191"/>
      <c r="AH5116" s="191"/>
      <c r="AI5116" s="186"/>
      <c r="AK5116" s="171"/>
    </row>
    <row r="5117" spans="1:41" s="102" customFormat="1" ht="19.899999999999999" customHeight="1" x14ac:dyDescent="0.25">
      <c r="A5117" s="45"/>
      <c r="B5117" s="59"/>
      <c r="C5117" s="137"/>
      <c r="D5117" s="59"/>
      <c r="E5117" s="116"/>
      <c r="F5117" s="120"/>
      <c r="G5117" s="120"/>
      <c r="H5117" s="120"/>
      <c r="I5117" s="60"/>
      <c r="J5117" s="116"/>
      <c r="K5117" s="213"/>
      <c r="L5117" s="120"/>
      <c r="M5117" s="120"/>
      <c r="N5117" s="167"/>
      <c r="O5117" s="120"/>
      <c r="P5117" s="120"/>
      <c r="Q5117" s="120"/>
      <c r="R5117" s="120"/>
      <c r="S5117" s="120"/>
      <c r="T5117" s="221"/>
      <c r="U5117" s="89"/>
      <c r="V5117" s="61"/>
      <c r="W5117" s="92" t="s">
        <v>65</v>
      </c>
      <c r="X5117" s="93" t="s">
        <v>30</v>
      </c>
      <c r="Y5117" s="93" t="s">
        <v>1011</v>
      </c>
      <c r="Z5117" s="134">
        <f>VLOOKUP(W5117,Sheet2!$B:$D,3,FALSE)</f>
        <v>1.76</v>
      </c>
      <c r="AA5117" s="93">
        <f>AA5116/14</f>
        <v>0.3174603174603175</v>
      </c>
      <c r="AB5117" s="93">
        <f>AD5117/AC5115</f>
        <v>5.5439999999999996</v>
      </c>
      <c r="AC5117" s="93">
        <f>AC5115/AA5117</f>
        <v>5.6917241379305712E-2</v>
      </c>
      <c r="AD5117" s="94">
        <f t="shared" si="3687"/>
        <v>0.10017434482757806</v>
      </c>
      <c r="AE5117" s="190"/>
      <c r="AF5117" s="191"/>
      <c r="AG5117" s="191"/>
      <c r="AH5117" s="191"/>
      <c r="AI5117" s="186"/>
      <c r="AK5117" s="171"/>
    </row>
    <row r="5118" spans="1:41" s="102" customFormat="1" ht="19.899999999999999" customHeight="1" x14ac:dyDescent="0.25">
      <c r="A5118" s="45"/>
      <c r="B5118" s="59"/>
      <c r="C5118" s="137"/>
      <c r="D5118" s="59"/>
      <c r="E5118" s="116"/>
      <c r="F5118" s="120"/>
      <c r="G5118" s="120"/>
      <c r="H5118" s="120"/>
      <c r="I5118" s="60"/>
      <c r="J5118" s="116"/>
      <c r="K5118" s="213"/>
      <c r="L5118" s="120"/>
      <c r="M5118" s="120"/>
      <c r="N5118" s="167"/>
      <c r="O5118" s="120"/>
      <c r="P5118" s="120"/>
      <c r="Q5118" s="120"/>
      <c r="R5118" s="120"/>
      <c r="S5118" s="120"/>
      <c r="T5118" s="221"/>
      <c r="U5118" s="89"/>
      <c r="V5118" s="61"/>
      <c r="W5118" s="92" t="s">
        <v>161</v>
      </c>
      <c r="X5118" s="93" t="s">
        <v>29</v>
      </c>
      <c r="Y5118" s="93" t="s">
        <v>93</v>
      </c>
      <c r="Z5118" s="134">
        <f>VLOOKUP(W5118,Sheet2!$B:$D,3,FALSE)</f>
        <v>48</v>
      </c>
      <c r="AA5118" s="93">
        <f>(16*0.85*1.5)/(3*3*2.5)</f>
        <v>0.90666666666666662</v>
      </c>
      <c r="AB5118" s="93">
        <f>AD5118/AC5115</f>
        <v>52.941176470588246</v>
      </c>
      <c r="AC5118" s="93">
        <f>AC5115/AA5118</f>
        <v>1.9929006085191079E-2</v>
      </c>
      <c r="AD5118" s="94">
        <f>AC5118*Z5118</f>
        <v>0.95659229208917185</v>
      </c>
      <c r="AE5118" s="190"/>
      <c r="AF5118" s="191"/>
      <c r="AG5118" s="191"/>
      <c r="AH5118" s="191"/>
      <c r="AI5118" s="186"/>
      <c r="AK5118" s="171"/>
    </row>
    <row r="5119" spans="1:41" s="102" customFormat="1" ht="19.899999999999999" customHeight="1" x14ac:dyDescent="0.25">
      <c r="A5119" s="45"/>
      <c r="B5119" s="59"/>
      <c r="C5119" s="137"/>
      <c r="D5119" s="59"/>
      <c r="E5119" s="116"/>
      <c r="F5119" s="120"/>
      <c r="G5119" s="120"/>
      <c r="H5119" s="120"/>
      <c r="I5119" s="60"/>
      <c r="J5119" s="116"/>
      <c r="K5119" s="213"/>
      <c r="L5119" s="120"/>
      <c r="M5119" s="120"/>
      <c r="N5119" s="167"/>
      <c r="O5119" s="120"/>
      <c r="P5119" s="120"/>
      <c r="Q5119" s="120"/>
      <c r="R5119" s="120"/>
      <c r="S5119" s="120"/>
      <c r="T5119" s="221"/>
      <c r="U5119" s="89"/>
      <c r="V5119" s="61"/>
      <c r="W5119" s="92" t="s">
        <v>65</v>
      </c>
      <c r="X5119" s="93" t="s">
        <v>30</v>
      </c>
      <c r="Y5119" s="93" t="s">
        <v>1011</v>
      </c>
      <c r="Z5119" s="134">
        <f>VLOOKUP(W5119,Sheet2!$B:$D,3,FALSE)</f>
        <v>1.76</v>
      </c>
      <c r="AA5119" s="93">
        <f>AA5118/10</f>
        <v>9.0666666666666659E-2</v>
      </c>
      <c r="AB5119" s="93">
        <f>AD5119/AC5115</f>
        <v>19.411764705882355</v>
      </c>
      <c r="AC5119" s="93">
        <f>AC5115/AA5119</f>
        <v>0.19929006085191078</v>
      </c>
      <c r="AD5119" s="94">
        <f>AC5119*Z5119</f>
        <v>0.35075050709936301</v>
      </c>
      <c r="AE5119" s="190"/>
      <c r="AF5119" s="191"/>
      <c r="AG5119" s="191"/>
      <c r="AH5119" s="191"/>
      <c r="AI5119" s="186"/>
      <c r="AK5119" s="171"/>
    </row>
    <row r="5120" spans="1:41" s="103" customFormat="1" ht="19.899999999999999" customHeight="1" x14ac:dyDescent="0.25">
      <c r="A5120" s="51"/>
      <c r="B5120" s="52"/>
      <c r="C5120" s="165"/>
      <c r="D5120" s="52"/>
      <c r="E5120" s="115"/>
      <c r="F5120" s="58"/>
      <c r="G5120" s="58"/>
      <c r="H5120" s="58"/>
      <c r="I5120" s="55"/>
      <c r="J5120" s="113">
        <f>J5114</f>
        <v>1.806896551723991E-2</v>
      </c>
      <c r="K5120" s="212">
        <f>K5114</f>
        <v>1.806896551723991E-2</v>
      </c>
      <c r="L5120" s="58"/>
      <c r="M5120" s="58">
        <f>K5120-L5120</f>
        <v>1.806896551723991E-2</v>
      </c>
      <c r="N5120" s="166"/>
      <c r="O5120" s="58"/>
      <c r="P5120" s="58"/>
      <c r="Q5120" s="58"/>
      <c r="R5120" s="58"/>
      <c r="S5120" s="58"/>
      <c r="T5120" s="220"/>
      <c r="U5120" s="88"/>
      <c r="V5120" s="56"/>
      <c r="W5120" s="57" t="s">
        <v>1486</v>
      </c>
      <c r="X5120" s="53"/>
      <c r="Y5120" s="91" t="s">
        <v>35</v>
      </c>
      <c r="Z5120" s="136">
        <f>AD5120/AC5120</f>
        <v>1883.8374999999999</v>
      </c>
      <c r="AA5120" s="58"/>
      <c r="AB5120" s="53">
        <f>AD5120/AC5120</f>
        <v>1883.8374999999999</v>
      </c>
      <c r="AC5120" s="53">
        <f>M5120+$AE$10</f>
        <v>1.806896551723991E-2</v>
      </c>
      <c r="AD5120" s="54">
        <f>SUM(AD5121:AD5126)</f>
        <v>34.038994827583437</v>
      </c>
      <c r="AE5120" s="184">
        <f>SUMIFS($AD$37:$AD$12971,$V$37:$V$12971,$V5120,$X$37:$X$12971,AE$13)</f>
        <v>0</v>
      </c>
      <c r="AF5120" s="185">
        <f>SUMIFS($AD$37:$AD$12971,$V$37:$V$12971,$V5120,$X$37:$X$12971,AF$13)</f>
        <v>0</v>
      </c>
      <c r="AG5120" s="185">
        <f>SUMIFS($AD$37:$AD$12971,$V$37:$V$12971,$V5120,$X$37:$X$12971,AG$13)</f>
        <v>0</v>
      </c>
      <c r="AH5120" s="187">
        <f>SUMIFS($AD$37:$AD$12971,$V$37:$V$12971,$V5120,$X$37:$X$12971,AH$13)</f>
        <v>0</v>
      </c>
      <c r="AI5120" s="161">
        <f t="shared" ref="AI5120" si="3688">SUM(AE5120:AH5120)</f>
        <v>0</v>
      </c>
      <c r="AK5120" s="172"/>
    </row>
    <row r="5121" spans="1:37" s="102" customFormat="1" ht="19.899999999999999" customHeight="1" x14ac:dyDescent="0.25">
      <c r="A5121" s="45"/>
      <c r="B5121" s="59"/>
      <c r="C5121" s="137"/>
      <c r="D5121" s="59"/>
      <c r="E5121" s="116"/>
      <c r="F5121" s="120"/>
      <c r="G5121" s="120"/>
      <c r="H5121" s="120"/>
      <c r="I5121" s="60"/>
      <c r="J5121" s="116"/>
      <c r="K5121" s="213"/>
      <c r="L5121" s="120"/>
      <c r="M5121" s="120"/>
      <c r="N5121" s="167"/>
      <c r="O5121" s="120"/>
      <c r="P5121" s="120"/>
      <c r="Q5121" s="120"/>
      <c r="R5121" s="120"/>
      <c r="S5121" s="120"/>
      <c r="T5121" s="221"/>
      <c r="U5121" s="89"/>
      <c r="V5121" s="61"/>
      <c r="W5121" s="92" t="s">
        <v>1032</v>
      </c>
      <c r="X5121" s="93" t="s">
        <v>30</v>
      </c>
      <c r="Y5121" s="93" t="s">
        <v>66</v>
      </c>
      <c r="Z5121" s="134">
        <f>VLOOKUP(W5121,Sheet2!$B:$D,3,FALSE)</f>
        <v>250</v>
      </c>
      <c r="AA5121" s="93">
        <f>1/(2.4*2.4*0.1)</f>
        <v>1.7361111111111112</v>
      </c>
      <c r="AB5121" s="93">
        <f>AD5121/AC5127</f>
        <v>144</v>
      </c>
      <c r="AC5121" s="93">
        <f>AC5127/AA5121</f>
        <v>1.0407724137930188E-2</v>
      </c>
      <c r="AD5121" s="94">
        <f t="shared" ref="AD5121:AD5123" si="3689">AC5121*Z5121</f>
        <v>2.601931034482547</v>
      </c>
      <c r="AE5121" s="190"/>
      <c r="AF5121" s="191"/>
      <c r="AG5121" s="191"/>
      <c r="AH5121" s="191"/>
      <c r="AI5121" s="186"/>
      <c r="AK5121" s="171"/>
    </row>
    <row r="5122" spans="1:37" s="102" customFormat="1" ht="19.899999999999999" customHeight="1" x14ac:dyDescent="0.25">
      <c r="A5122" s="45"/>
      <c r="B5122" s="59"/>
      <c r="C5122" s="137"/>
      <c r="D5122" s="59"/>
      <c r="E5122" s="116"/>
      <c r="F5122" s="120"/>
      <c r="G5122" s="120"/>
      <c r="H5122" s="120"/>
      <c r="I5122" s="60"/>
      <c r="J5122" s="116"/>
      <c r="K5122" s="213"/>
      <c r="L5122" s="120"/>
      <c r="M5122" s="120"/>
      <c r="N5122" s="167"/>
      <c r="O5122" s="120"/>
      <c r="P5122" s="120"/>
      <c r="Q5122" s="120"/>
      <c r="R5122" s="120"/>
      <c r="S5122" s="120"/>
      <c r="T5122" s="221"/>
      <c r="U5122" s="89"/>
      <c r="V5122" s="61"/>
      <c r="W5122" s="92" t="s">
        <v>1353</v>
      </c>
      <c r="X5122" s="93" t="s">
        <v>30</v>
      </c>
      <c r="Y5122" s="93" t="s">
        <v>66</v>
      </c>
      <c r="Z5122" s="134">
        <f>VLOOKUP(W5122,Sheet2!$B:$D,3,FALSE)</f>
        <v>350</v>
      </c>
      <c r="AA5122" s="93">
        <f>1/(2.3*2.3*0.3)</f>
        <v>0.63011972274732209</v>
      </c>
      <c r="AB5122" s="93">
        <f>AD5122/AC5127</f>
        <v>555.44999999999993</v>
      </c>
      <c r="AC5122" s="93">
        <f>AC5127/AA5122</f>
        <v>2.8675448275859734E-2</v>
      </c>
      <c r="AD5122" s="94">
        <f t="shared" si="3689"/>
        <v>10.036406896550906</v>
      </c>
      <c r="AE5122" s="190"/>
      <c r="AF5122" s="191"/>
      <c r="AG5122" s="191"/>
      <c r="AH5122" s="191"/>
      <c r="AI5122" s="186"/>
      <c r="AK5122" s="171"/>
    </row>
    <row r="5123" spans="1:37" s="102" customFormat="1" ht="19.899999999999999" customHeight="1" x14ac:dyDescent="0.25">
      <c r="A5123" s="45"/>
      <c r="B5123" s="59"/>
      <c r="C5123" s="137"/>
      <c r="D5123" s="59"/>
      <c r="E5123" s="116"/>
      <c r="F5123" s="120"/>
      <c r="G5123" s="120"/>
      <c r="H5123" s="120"/>
      <c r="I5123" s="60"/>
      <c r="J5123" s="116"/>
      <c r="K5123" s="213"/>
      <c r="L5123" s="120"/>
      <c r="M5123" s="120"/>
      <c r="N5123" s="167"/>
      <c r="O5123" s="120"/>
      <c r="P5123" s="120"/>
      <c r="Q5123" s="120"/>
      <c r="R5123" s="120"/>
      <c r="S5123" s="120"/>
      <c r="T5123" s="221"/>
      <c r="U5123" s="89"/>
      <c r="V5123" s="61"/>
      <c r="W5123" s="92" t="s">
        <v>99</v>
      </c>
      <c r="X5123" s="93" t="s">
        <v>30</v>
      </c>
      <c r="Y5123" s="93" t="s">
        <v>67</v>
      </c>
      <c r="Z5123" s="134">
        <f>VLOOKUP(W5123,Sheet2!$B:$D,3,FALSE)</f>
        <v>2500</v>
      </c>
      <c r="AA5123" s="93">
        <f>AA5122/0.08</f>
        <v>7.8764965343415261</v>
      </c>
      <c r="AB5123" s="93">
        <f>AD5123/AC5127</f>
        <v>317.39999999999992</v>
      </c>
      <c r="AC5123" s="93">
        <f>AC5127/AA5123</f>
        <v>2.2940358620687786E-3</v>
      </c>
      <c r="AD5123" s="94">
        <f t="shared" si="3689"/>
        <v>5.7350896551719464</v>
      </c>
      <c r="AE5123" s="190"/>
      <c r="AF5123" s="191"/>
      <c r="AG5123" s="191"/>
      <c r="AH5123" s="191"/>
      <c r="AI5123" s="186"/>
      <c r="AK5123" s="171"/>
    </row>
    <row r="5124" spans="1:37" s="102" customFormat="1" ht="19.899999999999999" customHeight="1" x14ac:dyDescent="0.25">
      <c r="A5124" s="45"/>
      <c r="B5124" s="59"/>
      <c r="C5124" s="137"/>
      <c r="D5124" s="59"/>
      <c r="E5124" s="116"/>
      <c r="F5124" s="120"/>
      <c r="G5124" s="120"/>
      <c r="H5124" s="120"/>
      <c r="I5124" s="60"/>
      <c r="J5124" s="116"/>
      <c r="K5124" s="213"/>
      <c r="L5124" s="120"/>
      <c r="M5124" s="120"/>
      <c r="N5124" s="167"/>
      <c r="O5124" s="120"/>
      <c r="P5124" s="120"/>
      <c r="Q5124" s="120"/>
      <c r="R5124" s="120"/>
      <c r="S5124" s="120"/>
      <c r="T5124" s="221"/>
      <c r="U5124" s="89"/>
      <c r="V5124" s="61"/>
      <c r="W5124" s="92" t="s">
        <v>1354</v>
      </c>
      <c r="X5124" s="93" t="s">
        <v>32</v>
      </c>
      <c r="Y5124" s="93" t="s">
        <v>66</v>
      </c>
      <c r="Z5124" s="134">
        <f>VLOOKUP(W5124,Sheet2!$B:$D,3,FALSE)</f>
        <v>150</v>
      </c>
      <c r="AA5124" s="93">
        <f>AA5121</f>
        <v>1.7361111111111112</v>
      </c>
      <c r="AB5124" s="93">
        <f>AD5124/AC5127</f>
        <v>86.4</v>
      </c>
      <c r="AC5124" s="93">
        <f>AC5127/AA5124</f>
        <v>1.0407724137930188E-2</v>
      </c>
      <c r="AD5124" s="94">
        <f>AC5124*Z5124</f>
        <v>1.5611586206895283</v>
      </c>
      <c r="AE5124" s="190"/>
      <c r="AF5124" s="191"/>
      <c r="AG5124" s="191"/>
      <c r="AH5124" s="191"/>
      <c r="AI5124" s="186"/>
      <c r="AK5124" s="171"/>
    </row>
    <row r="5125" spans="1:37" s="102" customFormat="1" ht="19.899999999999999" customHeight="1" x14ac:dyDescent="0.25">
      <c r="A5125" s="45"/>
      <c r="B5125" s="59"/>
      <c r="C5125" s="137"/>
      <c r="D5125" s="59"/>
      <c r="E5125" s="116"/>
      <c r="F5125" s="120"/>
      <c r="G5125" s="120"/>
      <c r="H5125" s="120"/>
      <c r="I5125" s="60"/>
      <c r="J5125" s="116"/>
      <c r="K5125" s="213"/>
      <c r="L5125" s="120"/>
      <c r="M5125" s="120"/>
      <c r="N5125" s="167"/>
      <c r="O5125" s="120"/>
      <c r="P5125" s="120"/>
      <c r="Q5125" s="120"/>
      <c r="R5125" s="120"/>
      <c r="S5125" s="120"/>
      <c r="T5125" s="221"/>
      <c r="U5125" s="89"/>
      <c r="V5125" s="61"/>
      <c r="W5125" s="92" t="s">
        <v>1355</v>
      </c>
      <c r="X5125" s="93" t="s">
        <v>32</v>
      </c>
      <c r="Y5125" s="93" t="s">
        <v>66</v>
      </c>
      <c r="Z5125" s="134">
        <f>VLOOKUP(W5125,Sheet2!$B:$D,3,FALSE)</f>
        <v>450</v>
      </c>
      <c r="AA5125" s="93">
        <f>AA5122</f>
        <v>0.63011972274732209</v>
      </c>
      <c r="AB5125" s="93">
        <f>AD5125/AC5127</f>
        <v>714.14999999999986</v>
      </c>
      <c r="AC5125" s="93">
        <f>AC5127/AA5125</f>
        <v>2.8675448275859734E-2</v>
      </c>
      <c r="AD5125" s="94">
        <f>AC5125*Z5125</f>
        <v>12.90395172413688</v>
      </c>
      <c r="AE5125" s="190"/>
      <c r="AF5125" s="191"/>
      <c r="AG5125" s="191"/>
      <c r="AH5125" s="191"/>
      <c r="AI5125" s="186"/>
      <c r="AK5125" s="171"/>
    </row>
    <row r="5126" spans="1:37" s="102" customFormat="1" ht="19.899999999999999" customHeight="1" x14ac:dyDescent="0.25">
      <c r="A5126" s="45"/>
      <c r="B5126" s="59"/>
      <c r="C5126" s="137"/>
      <c r="D5126" s="59"/>
      <c r="E5126" s="116"/>
      <c r="F5126" s="120"/>
      <c r="G5126" s="120"/>
      <c r="H5126" s="120"/>
      <c r="I5126" s="60"/>
      <c r="J5126" s="116"/>
      <c r="K5126" s="213"/>
      <c r="L5126" s="120"/>
      <c r="M5126" s="120"/>
      <c r="N5126" s="167"/>
      <c r="O5126" s="120"/>
      <c r="P5126" s="120"/>
      <c r="Q5126" s="120"/>
      <c r="R5126" s="120"/>
      <c r="S5126" s="120"/>
      <c r="T5126" s="221"/>
      <c r="U5126" s="89"/>
      <c r="V5126" s="61"/>
      <c r="W5126" s="92" t="s">
        <v>124</v>
      </c>
      <c r="X5126" s="93" t="s">
        <v>32</v>
      </c>
      <c r="Y5126" s="93" t="s">
        <v>64</v>
      </c>
      <c r="Z5126" s="134">
        <f>VLOOKUP(W5126,Sheet2!$B:$D,3,FALSE)</f>
        <v>10</v>
      </c>
      <c r="AA5126" s="93">
        <f>1/((2.9*2.9)-(3.14*1.5*1.5/4))</f>
        <v>0.15051740357478832</v>
      </c>
      <c r="AB5126" s="93">
        <f t="shared" ref="AB5126" si="3690">AD5126/AC5120</f>
        <v>66.437500000000014</v>
      </c>
      <c r="AC5126" s="93">
        <f>AC5120/AA5126</f>
        <v>0.12004568965516266</v>
      </c>
      <c r="AD5126" s="94">
        <f t="shared" ref="AD5126" si="3691">AC5126*Z5126</f>
        <v>1.2004568965516267</v>
      </c>
      <c r="AE5126" s="190"/>
      <c r="AF5126" s="191"/>
      <c r="AG5126" s="191"/>
      <c r="AH5126" s="191"/>
      <c r="AI5126" s="186"/>
      <c r="AK5126" s="171"/>
    </row>
    <row r="5127" spans="1:37" s="103" customFormat="1" ht="19.899999999999999" customHeight="1" x14ac:dyDescent="0.25">
      <c r="A5127" s="51"/>
      <c r="B5127" s="52"/>
      <c r="C5127" s="165"/>
      <c r="D5127" s="52"/>
      <c r="E5127" s="115"/>
      <c r="F5127" s="58"/>
      <c r="G5127" s="58"/>
      <c r="H5127" s="58"/>
      <c r="I5127" s="55"/>
      <c r="J5127" s="113">
        <f>J5114</f>
        <v>1.806896551723991E-2</v>
      </c>
      <c r="K5127" s="212">
        <f>K5114</f>
        <v>1.806896551723991E-2</v>
      </c>
      <c r="L5127" s="58"/>
      <c r="M5127" s="58">
        <f>K5127-L5127</f>
        <v>1.806896551723991E-2</v>
      </c>
      <c r="N5127" s="166"/>
      <c r="O5127" s="58"/>
      <c r="P5127" s="58"/>
      <c r="Q5127" s="58"/>
      <c r="R5127" s="58"/>
      <c r="S5127" s="58"/>
      <c r="T5127" s="220"/>
      <c r="U5127" s="88"/>
      <c r="V5127" s="56"/>
      <c r="W5127" s="57" t="s">
        <v>1275</v>
      </c>
      <c r="X5127" s="53"/>
      <c r="Y5127" s="91" t="s">
        <v>35</v>
      </c>
      <c r="Z5127" s="136">
        <f>AD5127/AC5127</f>
        <v>6002.7999999999993</v>
      </c>
      <c r="AA5127" s="58"/>
      <c r="AB5127" s="53">
        <f>AD5127/AC5127</f>
        <v>6002.7999999999993</v>
      </c>
      <c r="AC5127" s="53">
        <f>M5127+$AE$10</f>
        <v>1.806896551723991E-2</v>
      </c>
      <c r="AD5127" s="54">
        <f>SUM(AD5128:AD5133)</f>
        <v>108.46438620688772</v>
      </c>
      <c r="AE5127" s="184">
        <f>SUMIFS($AD$37:$AD$12971,$V$37:$V$12971,$V5127,$X$37:$X$12971,AE$13)</f>
        <v>0</v>
      </c>
      <c r="AF5127" s="185">
        <f>SUMIFS($AD$37:$AD$12971,$V$37:$V$12971,$V5127,$X$37:$X$12971,AF$13)</f>
        <v>0</v>
      </c>
      <c r="AG5127" s="185">
        <f>SUMIFS($AD$37:$AD$12971,$V$37:$V$12971,$V5127,$X$37:$X$12971,AG$13)</f>
        <v>0</v>
      </c>
      <c r="AH5127" s="187">
        <f>SUMIFS($AD$37:$AD$12971,$V$37:$V$12971,$V5127,$X$37:$X$12971,AH$13)</f>
        <v>0</v>
      </c>
      <c r="AI5127" s="161">
        <f t="shared" ref="AI5127" si="3692">SUM(AE5127:AH5127)</f>
        <v>0</v>
      </c>
      <c r="AK5127" s="172"/>
    </row>
    <row r="5128" spans="1:37" s="102" customFormat="1" ht="19.899999999999999" customHeight="1" x14ac:dyDescent="0.25">
      <c r="A5128" s="45"/>
      <c r="B5128" s="59"/>
      <c r="C5128" s="137"/>
      <c r="D5128" s="59"/>
      <c r="E5128" s="116"/>
      <c r="F5128" s="120"/>
      <c r="G5128" s="120"/>
      <c r="H5128" s="120"/>
      <c r="I5128" s="60"/>
      <c r="J5128" s="116"/>
      <c r="K5128" s="213"/>
      <c r="L5128" s="120"/>
      <c r="M5128" s="120"/>
      <c r="N5128" s="167"/>
      <c r="O5128" s="120"/>
      <c r="P5128" s="120"/>
      <c r="Q5128" s="120"/>
      <c r="R5128" s="120"/>
      <c r="S5128" s="120"/>
      <c r="T5128" s="221"/>
      <c r="U5128" s="89"/>
      <c r="V5128" s="61"/>
      <c r="W5128" s="92" t="s">
        <v>1495</v>
      </c>
      <c r="X5128" s="93" t="s">
        <v>30</v>
      </c>
      <c r="Y5128" s="93" t="s">
        <v>35</v>
      </c>
      <c r="Z5128" s="134">
        <f>VLOOKUP(W5128,Sheet2!$B:$D,3,FALSE)</f>
        <v>4230</v>
      </c>
      <c r="AA5128" s="93">
        <v>1</v>
      </c>
      <c r="AB5128" s="93">
        <f>AD5128/AC5127</f>
        <v>4230</v>
      </c>
      <c r="AC5128" s="93">
        <f>AC5127/AA5128</f>
        <v>1.806896551723991E-2</v>
      </c>
      <c r="AD5128" s="94">
        <f t="shared" ref="AD5128:AD5129" si="3693">AC5128*Z5128</f>
        <v>76.431724137924817</v>
      </c>
      <c r="AE5128" s="190"/>
      <c r="AF5128" s="191"/>
      <c r="AG5128" s="191"/>
      <c r="AH5128" s="191"/>
      <c r="AI5128" s="186"/>
      <c r="AK5128" s="171"/>
    </row>
    <row r="5129" spans="1:37" s="102" customFormat="1" ht="19.899999999999999" customHeight="1" x14ac:dyDescent="0.25">
      <c r="A5129" s="45"/>
      <c r="B5129" s="59"/>
      <c r="C5129" s="137"/>
      <c r="D5129" s="59"/>
      <c r="E5129" s="116"/>
      <c r="F5129" s="120"/>
      <c r="G5129" s="120"/>
      <c r="H5129" s="120"/>
      <c r="I5129" s="60"/>
      <c r="J5129" s="116"/>
      <c r="K5129" s="213"/>
      <c r="L5129" s="120"/>
      <c r="M5129" s="120"/>
      <c r="N5129" s="167"/>
      <c r="O5129" s="120"/>
      <c r="P5129" s="120"/>
      <c r="Q5129" s="120"/>
      <c r="R5129" s="120"/>
      <c r="S5129" s="120"/>
      <c r="T5129" s="221"/>
      <c r="U5129" s="89"/>
      <c r="V5129" s="61"/>
      <c r="W5129" s="92" t="s">
        <v>174</v>
      </c>
      <c r="X5129" s="93" t="s">
        <v>29</v>
      </c>
      <c r="Y5129" s="93" t="s">
        <v>93</v>
      </c>
      <c r="Z5129" s="134">
        <f>VLOOKUP(W5129,Sheet2!$B:$D,3,FALSE)</f>
        <v>80</v>
      </c>
      <c r="AA5129" s="93">
        <f>1/2</f>
        <v>0.5</v>
      </c>
      <c r="AB5129" s="93">
        <f>AD5129/AC5127</f>
        <v>160</v>
      </c>
      <c r="AC5129" s="93">
        <f>AC5127/AA5129</f>
        <v>3.613793103447982E-2</v>
      </c>
      <c r="AD5129" s="94">
        <f t="shared" si="3693"/>
        <v>2.8910344827583856</v>
      </c>
      <c r="AE5129" s="190"/>
      <c r="AF5129" s="191"/>
      <c r="AG5129" s="191"/>
      <c r="AH5129" s="191"/>
      <c r="AI5129" s="186"/>
      <c r="AK5129" s="171"/>
    </row>
    <row r="5130" spans="1:37" s="102" customFormat="1" ht="19.899999999999999" customHeight="1" x14ac:dyDescent="0.25">
      <c r="A5130" s="45"/>
      <c r="B5130" s="59"/>
      <c r="C5130" s="137"/>
      <c r="D5130" s="59"/>
      <c r="E5130" s="116"/>
      <c r="F5130" s="120"/>
      <c r="G5130" s="120"/>
      <c r="H5130" s="120"/>
      <c r="I5130" s="60"/>
      <c r="J5130" s="116"/>
      <c r="K5130" s="213"/>
      <c r="L5130" s="120"/>
      <c r="M5130" s="120"/>
      <c r="N5130" s="167"/>
      <c r="O5130" s="120"/>
      <c r="P5130" s="120"/>
      <c r="Q5130" s="120"/>
      <c r="R5130" s="120"/>
      <c r="S5130" s="120"/>
      <c r="T5130" s="221"/>
      <c r="U5130" s="89"/>
      <c r="V5130" s="61"/>
      <c r="W5130" s="92" t="s">
        <v>65</v>
      </c>
      <c r="X5130" s="93" t="s">
        <v>30</v>
      </c>
      <c r="Y5130" s="93" t="s">
        <v>93</v>
      </c>
      <c r="Z5130" s="134">
        <f>VLOOKUP(W5130,Sheet2!$B:$D,3,FALSE)</f>
        <v>1.76</v>
      </c>
      <c r="AA5130" s="93">
        <f>AA5129/15</f>
        <v>3.3333333333333333E-2</v>
      </c>
      <c r="AB5130" s="93">
        <f>AD5130/AC5127</f>
        <v>52.8</v>
      </c>
      <c r="AC5130" s="93">
        <f>AC5127/AA5130</f>
        <v>0.5420689655171973</v>
      </c>
      <c r="AD5130" s="94">
        <f>AC5130*Z5130</f>
        <v>0.95404137931026722</v>
      </c>
      <c r="AE5130" s="190"/>
      <c r="AF5130" s="191"/>
      <c r="AG5130" s="191"/>
      <c r="AH5130" s="191"/>
      <c r="AI5130" s="186"/>
      <c r="AK5130" s="171"/>
    </row>
    <row r="5131" spans="1:37" s="102" customFormat="1" ht="19.899999999999999" customHeight="1" x14ac:dyDescent="0.25">
      <c r="A5131" s="45"/>
      <c r="B5131" s="59"/>
      <c r="C5131" s="137"/>
      <c r="D5131" s="59"/>
      <c r="E5131" s="116"/>
      <c r="F5131" s="120"/>
      <c r="G5131" s="120"/>
      <c r="H5131" s="120"/>
      <c r="I5131" s="60"/>
      <c r="J5131" s="116"/>
      <c r="K5131" s="213"/>
      <c r="L5131" s="120"/>
      <c r="M5131" s="120"/>
      <c r="N5131" s="167"/>
      <c r="O5131" s="120"/>
      <c r="P5131" s="120"/>
      <c r="Q5131" s="120"/>
      <c r="R5131" s="120"/>
      <c r="S5131" s="120"/>
      <c r="T5131" s="221"/>
      <c r="U5131" s="89"/>
      <c r="V5131" s="61"/>
      <c r="W5131" s="92" t="s">
        <v>1487</v>
      </c>
      <c r="X5131" s="93" t="s">
        <v>32</v>
      </c>
      <c r="Y5131" s="93" t="s">
        <v>1349</v>
      </c>
      <c r="Z5131" s="134">
        <f>VLOOKUP(W5131,Sheet2!$B:$D,3,FALSE)</f>
        <v>1500</v>
      </c>
      <c r="AA5131" s="93">
        <v>1</v>
      </c>
      <c r="AB5131" s="93">
        <f>AD5131/AC5127</f>
        <v>1500</v>
      </c>
      <c r="AC5131" s="93">
        <f>AC5127/AA5131</f>
        <v>1.806896551723991E-2</v>
      </c>
      <c r="AD5131" s="94">
        <f>AC5131*Z5131</f>
        <v>27.103448275859865</v>
      </c>
      <c r="AE5131" s="190"/>
      <c r="AF5131" s="191"/>
      <c r="AG5131" s="191"/>
      <c r="AH5131" s="191"/>
      <c r="AI5131" s="186"/>
      <c r="AK5131" s="171"/>
    </row>
    <row r="5132" spans="1:37" s="102" customFormat="1" ht="19.899999999999999" customHeight="1" x14ac:dyDescent="0.25">
      <c r="A5132" s="45"/>
      <c r="B5132" s="59"/>
      <c r="C5132" s="137"/>
      <c r="D5132" s="59"/>
      <c r="E5132" s="116"/>
      <c r="F5132" s="120"/>
      <c r="G5132" s="120"/>
      <c r="H5132" s="120"/>
      <c r="I5132" s="60"/>
      <c r="J5132" s="116"/>
      <c r="K5132" s="213"/>
      <c r="L5132" s="120"/>
      <c r="M5132" s="120"/>
      <c r="N5132" s="167"/>
      <c r="O5132" s="120"/>
      <c r="P5132" s="120"/>
      <c r="Q5132" s="120"/>
      <c r="R5132" s="120"/>
      <c r="S5132" s="120"/>
      <c r="T5132" s="221"/>
      <c r="U5132" s="89"/>
      <c r="V5132" s="61"/>
      <c r="W5132" s="92" t="s">
        <v>107</v>
      </c>
      <c r="X5132" s="93" t="s">
        <v>31</v>
      </c>
      <c r="Y5132" s="93" t="s">
        <v>93</v>
      </c>
      <c r="Z5132" s="134">
        <f>VLOOKUP(W5132,Sheet2!$B:$D,3,FALSE)</f>
        <v>17</v>
      </c>
      <c r="AA5132" s="93">
        <f>AA5129</f>
        <v>0.5</v>
      </c>
      <c r="AB5132" s="93">
        <f>AD5132/AC5127</f>
        <v>34</v>
      </c>
      <c r="AC5132" s="93">
        <f>AC5127/AA5132</f>
        <v>3.613793103447982E-2</v>
      </c>
      <c r="AD5132" s="94">
        <f>AC5132*Z5132</f>
        <v>0.61434482758615694</v>
      </c>
      <c r="AE5132" s="190"/>
      <c r="AF5132" s="191"/>
      <c r="AG5132" s="191"/>
      <c r="AH5132" s="191"/>
      <c r="AI5132" s="186"/>
      <c r="AK5132" s="171"/>
    </row>
    <row r="5133" spans="1:37" s="102" customFormat="1" ht="19.899999999999999" customHeight="1" x14ac:dyDescent="0.25">
      <c r="A5133" s="45"/>
      <c r="B5133" s="59"/>
      <c r="C5133" s="137"/>
      <c r="D5133" s="59"/>
      <c r="E5133" s="116"/>
      <c r="F5133" s="120"/>
      <c r="G5133" s="120"/>
      <c r="H5133" s="120"/>
      <c r="I5133" s="60"/>
      <c r="J5133" s="116"/>
      <c r="K5133" s="213"/>
      <c r="L5133" s="120"/>
      <c r="M5133" s="120"/>
      <c r="N5133" s="167"/>
      <c r="O5133" s="120"/>
      <c r="P5133" s="120"/>
      <c r="Q5133" s="120"/>
      <c r="R5133" s="120"/>
      <c r="S5133" s="120"/>
      <c r="T5133" s="221"/>
      <c r="U5133" s="89"/>
      <c r="V5133" s="61"/>
      <c r="W5133" s="92" t="s">
        <v>112</v>
      </c>
      <c r="X5133" s="93" t="s">
        <v>31</v>
      </c>
      <c r="Y5133" s="93" t="s">
        <v>93</v>
      </c>
      <c r="Z5133" s="134">
        <f>VLOOKUP(W5133,Sheet2!$B:$D,3,FALSE)</f>
        <v>13</v>
      </c>
      <c r="AA5133" s="93">
        <f>AA5132</f>
        <v>0.5</v>
      </c>
      <c r="AB5133" s="93">
        <f>AD5133/AC5127</f>
        <v>26</v>
      </c>
      <c r="AC5133" s="93">
        <f>AC5127/AA5133</f>
        <v>3.613793103447982E-2</v>
      </c>
      <c r="AD5133" s="94">
        <f>AC5133*Z5133</f>
        <v>0.46979310344823766</v>
      </c>
      <c r="AE5133" s="190"/>
      <c r="AF5133" s="191"/>
      <c r="AG5133" s="191"/>
      <c r="AH5133" s="191"/>
      <c r="AI5133" s="186"/>
      <c r="AK5133" s="171"/>
    </row>
    <row r="5134" spans="1:37" s="103" customFormat="1" ht="19.899999999999999" customHeight="1" x14ac:dyDescent="0.25">
      <c r="A5134" s="51"/>
      <c r="B5134" s="52"/>
      <c r="C5134" s="165"/>
      <c r="D5134" s="52"/>
      <c r="E5134" s="115"/>
      <c r="F5134" s="58"/>
      <c r="G5134" s="58"/>
      <c r="H5134" s="58"/>
      <c r="I5134" s="55"/>
      <c r="J5134" s="113">
        <f>J5114</f>
        <v>1.806896551723991E-2</v>
      </c>
      <c r="K5134" s="212">
        <f>K5114</f>
        <v>1.806896551723991E-2</v>
      </c>
      <c r="L5134" s="58"/>
      <c r="M5134" s="58">
        <f>K5134-L5134</f>
        <v>1.806896551723991E-2</v>
      </c>
      <c r="N5134" s="166"/>
      <c r="O5134" s="58"/>
      <c r="P5134" s="58"/>
      <c r="Q5134" s="58"/>
      <c r="R5134" s="58"/>
      <c r="S5134" s="58"/>
      <c r="T5134" s="220"/>
      <c r="U5134" s="88"/>
      <c r="V5134" s="56"/>
      <c r="W5134" s="57" t="s">
        <v>1272</v>
      </c>
      <c r="X5134" s="53"/>
      <c r="Y5134" s="91" t="s">
        <v>35</v>
      </c>
      <c r="Z5134" s="136">
        <f>AD5134/AC5134</f>
        <v>343.17522147058833</v>
      </c>
      <c r="AA5134" s="58"/>
      <c r="AB5134" s="53">
        <f>AD5134/AC5134</f>
        <v>343.17522147058833</v>
      </c>
      <c r="AC5134" s="53">
        <f>M5134+$AE$10</f>
        <v>1.806896551723991E-2</v>
      </c>
      <c r="AD5134" s="54">
        <f>SUM(AD5135:AD5143)</f>
        <v>6.2008212431232295</v>
      </c>
      <c r="AE5134" s="184">
        <f>SUMIFS($AD$37:$AD$12971,$V$37:$V$12971,$V5134,$X$37:$X$12971,AE$13)</f>
        <v>0</v>
      </c>
      <c r="AF5134" s="185">
        <f>SUMIFS($AD$37:$AD$12971,$V$37:$V$12971,$V5134,$X$37:$X$12971,AF$13)</f>
        <v>0</v>
      </c>
      <c r="AG5134" s="185">
        <f>SUMIFS($AD$37:$AD$12971,$V$37:$V$12971,$V5134,$X$37:$X$12971,AG$13)</f>
        <v>0</v>
      </c>
      <c r="AH5134" s="187">
        <f>SUMIFS($AD$37:$AD$12971,$V$37:$V$12971,$V5134,$X$37:$X$12971,AH$13)</f>
        <v>0</v>
      </c>
      <c r="AI5134" s="161">
        <f t="shared" ref="AI5134" si="3694">SUM(AE5134:AH5134)</f>
        <v>0</v>
      </c>
      <c r="AK5134" s="172"/>
    </row>
    <row r="5135" spans="1:37" s="102" customFormat="1" ht="19.899999999999999" customHeight="1" x14ac:dyDescent="0.25">
      <c r="A5135" s="45"/>
      <c r="B5135" s="59"/>
      <c r="C5135" s="137"/>
      <c r="D5135" s="59"/>
      <c r="E5135" s="116"/>
      <c r="F5135" s="120"/>
      <c r="G5135" s="120"/>
      <c r="H5135" s="120"/>
      <c r="I5135" s="60"/>
      <c r="J5135" s="116"/>
      <c r="K5135" s="213"/>
      <c r="L5135" s="120"/>
      <c r="M5135" s="120"/>
      <c r="N5135" s="167"/>
      <c r="O5135" s="120"/>
      <c r="P5135" s="120"/>
      <c r="Q5135" s="120"/>
      <c r="R5135" s="120"/>
      <c r="S5135" s="120"/>
      <c r="T5135" s="221"/>
      <c r="U5135" s="89"/>
      <c r="V5135" s="61"/>
      <c r="W5135" s="92" t="s">
        <v>1273</v>
      </c>
      <c r="X5135" s="93" t="s">
        <v>30</v>
      </c>
      <c r="Y5135" s="93" t="s">
        <v>66</v>
      </c>
      <c r="Z5135" s="134">
        <f>VLOOKUP(W5135,Sheet2!$B:$D,3,FALSE)</f>
        <v>10</v>
      </c>
      <c r="AA5135" s="93">
        <f>1/((3*3*2.5)-(3.14/4*1.5*1.5*2.5))</f>
        <v>5.5296353896664936E-2</v>
      </c>
      <c r="AB5135" s="93">
        <f>AD5135/AC5134</f>
        <v>180.84375</v>
      </c>
      <c r="AC5135" s="93">
        <f>AC5134/AA5135</f>
        <v>0.32676594827583549</v>
      </c>
      <c r="AD5135" s="94">
        <f t="shared" ref="AD5135:AD5137" si="3695">AC5135*Z5135</f>
        <v>3.2676594827583552</v>
      </c>
      <c r="AE5135" s="190"/>
      <c r="AF5135" s="191"/>
      <c r="AG5135" s="191"/>
      <c r="AH5135" s="191"/>
      <c r="AI5135" s="186"/>
      <c r="AK5135" s="171"/>
    </row>
    <row r="5136" spans="1:37" s="102" customFormat="1" ht="19.899999999999999" customHeight="1" x14ac:dyDescent="0.25">
      <c r="A5136" s="45"/>
      <c r="B5136" s="59"/>
      <c r="C5136" s="137"/>
      <c r="D5136" s="59"/>
      <c r="E5136" s="116"/>
      <c r="F5136" s="120"/>
      <c r="G5136" s="120"/>
      <c r="H5136" s="120"/>
      <c r="I5136" s="60"/>
      <c r="J5136" s="116"/>
      <c r="K5136" s="213"/>
      <c r="L5136" s="120"/>
      <c r="M5136" s="120"/>
      <c r="N5136" s="167"/>
      <c r="O5136" s="120"/>
      <c r="P5136" s="120"/>
      <c r="Q5136" s="120"/>
      <c r="R5136" s="120"/>
      <c r="S5136" s="120"/>
      <c r="T5136" s="221"/>
      <c r="U5136" s="89"/>
      <c r="V5136" s="61"/>
      <c r="W5136" s="92" t="s">
        <v>134</v>
      </c>
      <c r="X5136" s="93" t="s">
        <v>29</v>
      </c>
      <c r="Y5136" s="93" t="s">
        <v>93</v>
      </c>
      <c r="Z5136" s="134">
        <f>VLOOKUP(W5136,Sheet2!$B:$D,3,FALSE)</f>
        <v>65.599999999999994</v>
      </c>
      <c r="AA5136" s="93">
        <f>100/((3*3*2.5)-(3.14/4*1.5*1.5*2.5))</f>
        <v>5.5296353896664936</v>
      </c>
      <c r="AB5136" s="93">
        <f t="shared" ref="AB5136" si="3696">AD5136/AC5134</f>
        <v>11.863349999999999</v>
      </c>
      <c r="AC5136" s="93">
        <f>AC5134/AA5136</f>
        <v>3.267659482758355E-3</v>
      </c>
      <c r="AD5136" s="94">
        <f t="shared" si="3695"/>
        <v>0.21435846206894807</v>
      </c>
      <c r="AE5136" s="190"/>
      <c r="AF5136" s="191"/>
      <c r="AG5136" s="191"/>
      <c r="AH5136" s="191"/>
      <c r="AI5136" s="186"/>
      <c r="AK5136" s="171"/>
    </row>
    <row r="5137" spans="1:41" s="102" customFormat="1" ht="19.899999999999999" customHeight="1" x14ac:dyDescent="0.25">
      <c r="A5137" s="45"/>
      <c r="B5137" s="59"/>
      <c r="C5137" s="137"/>
      <c r="D5137" s="59"/>
      <c r="E5137" s="116"/>
      <c r="F5137" s="120"/>
      <c r="G5137" s="120"/>
      <c r="H5137" s="120"/>
      <c r="I5137" s="60"/>
      <c r="J5137" s="116"/>
      <c r="K5137" s="213"/>
      <c r="L5137" s="120"/>
      <c r="M5137" s="120"/>
      <c r="N5137" s="167"/>
      <c r="O5137" s="120"/>
      <c r="P5137" s="120"/>
      <c r="Q5137" s="120"/>
      <c r="R5137" s="120"/>
      <c r="S5137" s="120"/>
      <c r="T5137" s="221"/>
      <c r="U5137" s="89"/>
      <c r="V5137" s="61"/>
      <c r="W5137" s="92" t="s">
        <v>65</v>
      </c>
      <c r="X5137" s="93" t="s">
        <v>30</v>
      </c>
      <c r="Y5137" s="93" t="s">
        <v>1011</v>
      </c>
      <c r="Z5137" s="134">
        <f>VLOOKUP(W5137,Sheet2!$B:$D,3,FALSE)</f>
        <v>1.76</v>
      </c>
      <c r="AA5137" s="93">
        <f>AA5136/9</f>
        <v>0.61440393218516598</v>
      </c>
      <c r="AB5137" s="93">
        <f>AD5137/AC5134</f>
        <v>2.8645649999999998</v>
      </c>
      <c r="AC5137" s="93">
        <f>AC5134/AA5137</f>
        <v>2.9408935344825193E-2</v>
      </c>
      <c r="AD5137" s="94">
        <f t="shared" si="3695"/>
        <v>5.1759726206892342E-2</v>
      </c>
      <c r="AE5137" s="190"/>
      <c r="AF5137" s="191"/>
      <c r="AG5137" s="191"/>
      <c r="AH5137" s="191"/>
      <c r="AI5137" s="186"/>
      <c r="AK5137" s="171"/>
    </row>
    <row r="5138" spans="1:41" s="102" customFormat="1" ht="19.899999999999999" customHeight="1" x14ac:dyDescent="0.25">
      <c r="A5138" s="45"/>
      <c r="B5138" s="59"/>
      <c r="C5138" s="137"/>
      <c r="D5138" s="59"/>
      <c r="E5138" s="116"/>
      <c r="F5138" s="120"/>
      <c r="G5138" s="120"/>
      <c r="H5138" s="120"/>
      <c r="I5138" s="60"/>
      <c r="J5138" s="116"/>
      <c r="K5138" s="213"/>
      <c r="L5138" s="120"/>
      <c r="M5138" s="120"/>
      <c r="N5138" s="167"/>
      <c r="O5138" s="120"/>
      <c r="P5138" s="120"/>
      <c r="Q5138" s="120"/>
      <c r="R5138" s="120"/>
      <c r="S5138" s="120"/>
      <c r="T5138" s="221"/>
      <c r="U5138" s="89"/>
      <c r="V5138" s="61"/>
      <c r="W5138" s="92" t="s">
        <v>161</v>
      </c>
      <c r="X5138" s="93" t="s">
        <v>29</v>
      </c>
      <c r="Y5138" s="93" t="s">
        <v>93</v>
      </c>
      <c r="Z5138" s="134">
        <f>VLOOKUP(W5138,Sheet2!$B:$D,3,FALSE)</f>
        <v>48</v>
      </c>
      <c r="AA5138" s="93">
        <f>(16*0.85*1.5)/((3*3*2.5)-(3.14/4*1.5*1.5*2.5))</f>
        <v>1.1280456194919646</v>
      </c>
      <c r="AB5138" s="93">
        <f>AD5138/AC5134</f>
        <v>42.551470588235304</v>
      </c>
      <c r="AC5138" s="93">
        <f>AC5134/AA5138</f>
        <v>1.601793864097233E-2</v>
      </c>
      <c r="AD5138" s="94">
        <f>AC5138*Z5138</f>
        <v>0.76886105476667188</v>
      </c>
      <c r="AE5138" s="190"/>
      <c r="AF5138" s="191"/>
      <c r="AG5138" s="191"/>
      <c r="AH5138" s="191"/>
      <c r="AI5138" s="186"/>
      <c r="AK5138" s="171"/>
    </row>
    <row r="5139" spans="1:41" s="102" customFormat="1" ht="19.899999999999999" customHeight="1" x14ac:dyDescent="0.25">
      <c r="A5139" s="45"/>
      <c r="B5139" s="59"/>
      <c r="C5139" s="137"/>
      <c r="D5139" s="59"/>
      <c r="E5139" s="116"/>
      <c r="F5139" s="120"/>
      <c r="G5139" s="120"/>
      <c r="H5139" s="120"/>
      <c r="I5139" s="60"/>
      <c r="J5139" s="116"/>
      <c r="K5139" s="213"/>
      <c r="L5139" s="120"/>
      <c r="M5139" s="120"/>
      <c r="N5139" s="167"/>
      <c r="O5139" s="120"/>
      <c r="P5139" s="120"/>
      <c r="Q5139" s="120"/>
      <c r="R5139" s="120"/>
      <c r="S5139" s="120"/>
      <c r="T5139" s="221"/>
      <c r="U5139" s="89"/>
      <c r="V5139" s="61"/>
      <c r="W5139" s="92" t="s">
        <v>65</v>
      </c>
      <c r="X5139" s="93" t="s">
        <v>30</v>
      </c>
      <c r="Y5139" s="93" t="s">
        <v>1011</v>
      </c>
      <c r="Z5139" s="134">
        <f>VLOOKUP(W5139,Sheet2!$B:$D,3,FALSE)</f>
        <v>1.76</v>
      </c>
      <c r="AA5139" s="93">
        <f>AA5138/10</f>
        <v>0.11280456194919646</v>
      </c>
      <c r="AB5139" s="93">
        <f>AD5139/AC5134</f>
        <v>15.602205882352944</v>
      </c>
      <c r="AC5139" s="93">
        <f>AC5134/AA5139</f>
        <v>0.16017938640972332</v>
      </c>
      <c r="AD5139" s="94">
        <f>AC5139*Z5139</f>
        <v>0.28191572008111304</v>
      </c>
      <c r="AE5139" s="190"/>
      <c r="AF5139" s="191"/>
      <c r="AG5139" s="191"/>
      <c r="AH5139" s="191"/>
      <c r="AI5139" s="186"/>
      <c r="AK5139" s="171"/>
    </row>
    <row r="5140" spans="1:41" s="102" customFormat="1" ht="19.899999999999999" customHeight="1" x14ac:dyDescent="0.25">
      <c r="A5140" s="45"/>
      <c r="B5140" s="59"/>
      <c r="C5140" s="137"/>
      <c r="D5140" s="59"/>
      <c r="E5140" s="116"/>
      <c r="F5140" s="120"/>
      <c r="G5140" s="120"/>
      <c r="H5140" s="120"/>
      <c r="I5140" s="60"/>
      <c r="J5140" s="116"/>
      <c r="K5140" s="213"/>
      <c r="L5140" s="120"/>
      <c r="M5140" s="120"/>
      <c r="N5140" s="167"/>
      <c r="O5140" s="120"/>
      <c r="P5140" s="120"/>
      <c r="Q5140" s="120"/>
      <c r="R5140" s="120"/>
      <c r="S5140" s="120"/>
      <c r="T5140" s="221"/>
      <c r="U5140" s="89"/>
      <c r="V5140" s="61"/>
      <c r="W5140" s="92" t="s">
        <v>173</v>
      </c>
      <c r="X5140" s="93" t="s">
        <v>29</v>
      </c>
      <c r="Y5140" s="93" t="s">
        <v>93</v>
      </c>
      <c r="Z5140" s="134">
        <f>VLOOKUP(W5140,Sheet2!$B:$D,3,FALSE)</f>
        <v>36</v>
      </c>
      <c r="AA5140" s="93">
        <f>50/((3*3*2.5)-(3.14/4*1.5*1.5*2.5))</f>
        <v>2.7648176948332468</v>
      </c>
      <c r="AB5140" s="93">
        <f>AD5140/AC5134</f>
        <v>13.02075</v>
      </c>
      <c r="AC5140" s="93">
        <f>AC5134/AA5140</f>
        <v>6.53531896551671E-3</v>
      </c>
      <c r="AD5140" s="94">
        <f>AC5140*Z5140</f>
        <v>0.23527148275860155</v>
      </c>
      <c r="AE5140" s="190"/>
      <c r="AF5140" s="191"/>
      <c r="AG5140" s="191"/>
      <c r="AH5140" s="191"/>
      <c r="AI5140" s="186"/>
      <c r="AK5140" s="171"/>
    </row>
    <row r="5141" spans="1:41" s="102" customFormat="1" ht="19.899999999999999" customHeight="1" x14ac:dyDescent="0.25">
      <c r="A5141" s="45"/>
      <c r="B5141" s="59"/>
      <c r="C5141" s="137"/>
      <c r="D5141" s="59"/>
      <c r="E5141" s="116"/>
      <c r="F5141" s="120"/>
      <c r="G5141" s="120"/>
      <c r="H5141" s="120"/>
      <c r="I5141" s="60"/>
      <c r="J5141" s="116"/>
      <c r="K5141" s="213"/>
      <c r="L5141" s="120"/>
      <c r="M5141" s="120"/>
      <c r="N5141" s="167"/>
      <c r="O5141" s="120"/>
      <c r="P5141" s="120"/>
      <c r="Q5141" s="120"/>
      <c r="R5141" s="120"/>
      <c r="S5141" s="120"/>
      <c r="T5141" s="221"/>
      <c r="U5141" s="89"/>
      <c r="V5141" s="61"/>
      <c r="W5141" s="92" t="s">
        <v>65</v>
      </c>
      <c r="X5141" s="93" t="s">
        <v>30</v>
      </c>
      <c r="Y5141" s="93" t="s">
        <v>1011</v>
      </c>
      <c r="Z5141" s="134">
        <f>VLOOKUP(W5141,Sheet2!$B:$D,3,FALSE)</f>
        <v>1.76</v>
      </c>
      <c r="AA5141" s="93">
        <f>AA5140/9</f>
        <v>0.30720196609258299</v>
      </c>
      <c r="AB5141" s="93">
        <f>AD5141/AC5134</f>
        <v>5.7291299999999996</v>
      </c>
      <c r="AC5141" s="93">
        <f>AC5134/AA5141</f>
        <v>5.8817870689650387E-2</v>
      </c>
      <c r="AD5141" s="94">
        <f>AC5141*Z5141</f>
        <v>0.10351945241378468</v>
      </c>
      <c r="AE5141" s="190"/>
      <c r="AF5141" s="191"/>
      <c r="AG5141" s="191"/>
      <c r="AH5141" s="191"/>
      <c r="AI5141" s="186"/>
      <c r="AK5141" s="171"/>
    </row>
    <row r="5142" spans="1:41" s="102" customFormat="1" ht="19.899999999999999" customHeight="1" x14ac:dyDescent="0.25">
      <c r="A5142" s="45"/>
      <c r="B5142" s="59"/>
      <c r="C5142" s="137"/>
      <c r="D5142" s="59"/>
      <c r="E5142" s="116"/>
      <c r="F5142" s="120"/>
      <c r="G5142" s="120"/>
      <c r="H5142" s="120"/>
      <c r="I5142" s="60"/>
      <c r="J5142" s="116"/>
      <c r="K5142" s="213"/>
      <c r="L5142" s="120"/>
      <c r="M5142" s="120"/>
      <c r="N5142" s="167"/>
      <c r="O5142" s="120"/>
      <c r="P5142" s="120"/>
      <c r="Q5142" s="120"/>
      <c r="R5142" s="120"/>
      <c r="S5142" s="120"/>
      <c r="T5142" s="221"/>
      <c r="U5142" s="89"/>
      <c r="V5142" s="61"/>
      <c r="W5142" s="92" t="s">
        <v>1030</v>
      </c>
      <c r="X5142" s="93" t="s">
        <v>29</v>
      </c>
      <c r="Y5142" s="93" t="s">
        <v>93</v>
      </c>
      <c r="Z5142" s="134">
        <f>VLOOKUP(W5142,Sheet2!$B:$D,3,FALSE)</f>
        <v>23</v>
      </c>
      <c r="AA5142" s="93">
        <f>1/(2.5*1)</f>
        <v>0.4</v>
      </c>
      <c r="AB5142" s="93">
        <f>AD5142/AC5134</f>
        <v>57.5</v>
      </c>
      <c r="AC5142" s="93">
        <f>AC5134/AA5142</f>
        <v>4.5172413793099775E-2</v>
      </c>
      <c r="AD5142" s="94">
        <f t="shared" ref="AD5142:AD5143" si="3697">AC5142*Z5142</f>
        <v>1.0389655172412948</v>
      </c>
      <c r="AE5142" s="190"/>
      <c r="AF5142" s="191"/>
      <c r="AG5142" s="191"/>
      <c r="AH5142" s="191"/>
      <c r="AI5142" s="186"/>
      <c r="AK5142" s="171"/>
    </row>
    <row r="5143" spans="1:41" s="102" customFormat="1" ht="19.899999999999999" customHeight="1" x14ac:dyDescent="0.25">
      <c r="A5143" s="45"/>
      <c r="B5143" s="59"/>
      <c r="C5143" s="137"/>
      <c r="D5143" s="59"/>
      <c r="E5143" s="116"/>
      <c r="F5143" s="120"/>
      <c r="G5143" s="120"/>
      <c r="H5143" s="120"/>
      <c r="I5143" s="60"/>
      <c r="J5143" s="116"/>
      <c r="K5143" s="213"/>
      <c r="L5143" s="120"/>
      <c r="M5143" s="120"/>
      <c r="N5143" s="167"/>
      <c r="O5143" s="120"/>
      <c r="P5143" s="120"/>
      <c r="Q5143" s="120"/>
      <c r="R5143" s="120"/>
      <c r="S5143" s="120"/>
      <c r="T5143" s="221"/>
      <c r="U5143" s="89"/>
      <c r="V5143" s="61"/>
      <c r="W5143" s="92" t="s">
        <v>65</v>
      </c>
      <c r="X5143" s="93" t="s">
        <v>30</v>
      </c>
      <c r="Y5143" s="93" t="s">
        <v>1011</v>
      </c>
      <c r="Z5143" s="134">
        <f>VLOOKUP(W5143,Sheet2!$B:$D,3,FALSE)</f>
        <v>1.76</v>
      </c>
      <c r="AA5143" s="93">
        <f>AA5142/3</f>
        <v>0.13333333333333333</v>
      </c>
      <c r="AB5143" s="93">
        <f>AD5143/AC5134</f>
        <v>13.2</v>
      </c>
      <c r="AC5143" s="93">
        <f>AC5134/AA5143</f>
        <v>0.13551724137929932</v>
      </c>
      <c r="AD5143" s="94">
        <f t="shared" si="3697"/>
        <v>0.23851034482756681</v>
      </c>
      <c r="AE5143" s="190"/>
      <c r="AF5143" s="191"/>
      <c r="AG5143" s="191"/>
      <c r="AH5143" s="191"/>
      <c r="AI5143" s="186"/>
      <c r="AK5143" s="171"/>
    </row>
    <row r="5144" spans="1:41" ht="20.100000000000001" customHeight="1" x14ac:dyDescent="0.25">
      <c r="A5144" s="277" t="s">
        <v>491</v>
      </c>
      <c r="B5144" s="278"/>
      <c r="C5144" s="64" t="s">
        <v>576</v>
      </c>
      <c r="D5144" s="46" t="s">
        <v>215</v>
      </c>
      <c r="E5144" s="114">
        <v>0.44999999999999751</v>
      </c>
      <c r="F5144" s="44">
        <v>30652</v>
      </c>
      <c r="G5144" s="44">
        <f t="shared" si="3471"/>
        <v>13793.399999999923</v>
      </c>
      <c r="H5144" s="44">
        <f t="shared" si="3472"/>
        <v>8887.0440951764685</v>
      </c>
      <c r="I5144" s="43">
        <f t="shared" si="3473"/>
        <v>3999.1698428293889</v>
      </c>
      <c r="J5144" s="112">
        <f t="shared" si="3474"/>
        <v>0.44999999999999751</v>
      </c>
      <c r="K5144" s="211">
        <f t="shared" si="3475"/>
        <v>0.44999999999999751</v>
      </c>
      <c r="L5144" s="44"/>
      <c r="M5144" s="44">
        <f t="shared" si="3499"/>
        <v>0.44999999999999751</v>
      </c>
      <c r="N5144" s="173">
        <f t="shared" si="3476"/>
        <v>1</v>
      </c>
      <c r="O5144" s="44">
        <f t="shared" si="3477"/>
        <v>30652</v>
      </c>
      <c r="P5144" s="44">
        <f t="shared" si="3478"/>
        <v>13793.399999999923</v>
      </c>
      <c r="Q5144" s="44">
        <f t="shared" si="3479"/>
        <v>8887.0440951764685</v>
      </c>
      <c r="R5144" s="44">
        <f t="shared" si="3500"/>
        <v>3999.1698428293889</v>
      </c>
      <c r="S5144" s="123"/>
      <c r="T5144" s="219">
        <f t="shared" si="3501"/>
        <v>3999.1698428293889</v>
      </c>
      <c r="U5144" s="87"/>
      <c r="V5144" s="47"/>
      <c r="W5144" s="48"/>
      <c r="X5144" s="48"/>
      <c r="Y5144" s="48"/>
      <c r="Z5144" s="135"/>
      <c r="AA5144" s="49"/>
      <c r="AB5144" s="50">
        <f t="shared" si="3480"/>
        <v>8887.0440951764685</v>
      </c>
      <c r="AC5144" s="42">
        <f t="shared" si="3502"/>
        <v>0.44999999999999751</v>
      </c>
      <c r="AD5144" s="90">
        <f>AD5145+AD5150+AD5157+AD5164</f>
        <v>3999.1698428293889</v>
      </c>
      <c r="AE5144" s="188">
        <f t="shared" ref="AE5144" si="3698">AE5145+AE5150+AE5157+AE5164</f>
        <v>0</v>
      </c>
      <c r="AF5144" s="189">
        <f t="shared" ref="AF5144" si="3699">AF5145+AF5150+AF5157+AF5164</f>
        <v>0</v>
      </c>
      <c r="AG5144" s="189">
        <f t="shared" ref="AG5144" si="3700">AG5145+AG5150+AG5157+AG5164</f>
        <v>0</v>
      </c>
      <c r="AH5144" s="189">
        <f t="shared" ref="AH5144" si="3701">AH5145+AH5150+AH5157+AH5164</f>
        <v>0</v>
      </c>
      <c r="AI5144" s="161">
        <f t="shared" ref="AI5144:AI5145" si="3702">SUM(AE5144:AH5144)</f>
        <v>0</v>
      </c>
      <c r="AK5144" s="169">
        <v>5</v>
      </c>
      <c r="AO5144" s="19" t="s">
        <v>63</v>
      </c>
    </row>
    <row r="5145" spans="1:41" s="103" customFormat="1" ht="19.899999999999999" customHeight="1" x14ac:dyDescent="0.25">
      <c r="A5145" s="51"/>
      <c r="B5145" s="52"/>
      <c r="C5145" s="165"/>
      <c r="D5145" s="52"/>
      <c r="E5145" s="115"/>
      <c r="F5145" s="58"/>
      <c r="G5145" s="58"/>
      <c r="H5145" s="58"/>
      <c r="I5145" s="55"/>
      <c r="J5145" s="113">
        <f>J5144</f>
        <v>0.44999999999999751</v>
      </c>
      <c r="K5145" s="212">
        <f>K5144</f>
        <v>0.44999999999999751</v>
      </c>
      <c r="L5145" s="58"/>
      <c r="M5145" s="58">
        <f>K5145-L5145</f>
        <v>0.44999999999999751</v>
      </c>
      <c r="N5145" s="166"/>
      <c r="O5145" s="58"/>
      <c r="P5145" s="58"/>
      <c r="Q5145" s="58"/>
      <c r="R5145" s="58"/>
      <c r="S5145" s="58"/>
      <c r="T5145" s="220"/>
      <c r="U5145" s="88"/>
      <c r="V5145" s="56"/>
      <c r="W5145" s="57" t="s">
        <v>1511</v>
      </c>
      <c r="X5145" s="53"/>
      <c r="Y5145" s="91" t="s">
        <v>35</v>
      </c>
      <c r="Z5145" s="136">
        <f>AD5145/AC5145</f>
        <v>108.59632941176471</v>
      </c>
      <c r="AA5145" s="58"/>
      <c r="AB5145" s="53">
        <f>AD5145/AC5145</f>
        <v>108.59632941176471</v>
      </c>
      <c r="AC5145" s="53">
        <f>M5145+$AE$10</f>
        <v>0.44999999999999751</v>
      </c>
      <c r="AD5145" s="54">
        <f>SUM(AD5146:AD5149)</f>
        <v>48.868348235293851</v>
      </c>
      <c r="AE5145" s="184">
        <f>SUMIFS($AD$37:$AD$12971,$V$37:$V$12971,$V5145,$X$37:$X$12971,AE$13)</f>
        <v>0</v>
      </c>
      <c r="AF5145" s="185">
        <f>SUMIFS($AD$37:$AD$12971,$V$37:$V$12971,$V5145,$X$37:$X$12971,AF$13)</f>
        <v>0</v>
      </c>
      <c r="AG5145" s="185">
        <f>SUMIFS($AD$37:$AD$12971,$V$37:$V$12971,$V5145,$X$37:$X$12971,AG$13)</f>
        <v>0</v>
      </c>
      <c r="AH5145" s="187">
        <f>SUMIFS($AD$37:$AD$12971,$V$37:$V$12971,$V5145,$X$37:$X$12971,AH$13)</f>
        <v>0</v>
      </c>
      <c r="AI5145" s="161">
        <f t="shared" si="3702"/>
        <v>0</v>
      </c>
      <c r="AK5145" s="172"/>
    </row>
    <row r="5146" spans="1:41" s="102" customFormat="1" ht="19.899999999999999" customHeight="1" x14ac:dyDescent="0.25">
      <c r="A5146" s="45"/>
      <c r="B5146" s="59"/>
      <c r="C5146" s="137"/>
      <c r="D5146" s="59"/>
      <c r="E5146" s="116"/>
      <c r="F5146" s="120"/>
      <c r="G5146" s="120"/>
      <c r="H5146" s="120"/>
      <c r="I5146" s="60"/>
      <c r="J5146" s="116"/>
      <c r="K5146" s="213"/>
      <c r="L5146" s="120"/>
      <c r="M5146" s="120"/>
      <c r="N5146" s="167"/>
      <c r="O5146" s="120"/>
      <c r="P5146" s="120"/>
      <c r="Q5146" s="120"/>
      <c r="R5146" s="120"/>
      <c r="S5146" s="120"/>
      <c r="T5146" s="221"/>
      <c r="U5146" s="89"/>
      <c r="V5146" s="61"/>
      <c r="W5146" s="92" t="s">
        <v>129</v>
      </c>
      <c r="X5146" s="93" t="s">
        <v>29</v>
      </c>
      <c r="Y5146" s="93" t="s">
        <v>93</v>
      </c>
      <c r="Z5146" s="134">
        <f>VLOOKUP(W5146,Sheet2!$B:$D,3,FALSE)</f>
        <v>56</v>
      </c>
      <c r="AA5146" s="93">
        <f>100/(3*3*3)</f>
        <v>3.7037037037037037</v>
      </c>
      <c r="AB5146" s="93">
        <f t="shared" ref="AB5146" si="3703">AD5146/AC5145</f>
        <v>15.120000000000001</v>
      </c>
      <c r="AC5146" s="93">
        <f>AC5145/AA5146</f>
        <v>0.12149999999999933</v>
      </c>
      <c r="AD5146" s="94">
        <f t="shared" ref="AD5146:AD5147" si="3704">AC5146*Z5146</f>
        <v>6.803999999999963</v>
      </c>
      <c r="AE5146" s="190"/>
      <c r="AF5146" s="191"/>
      <c r="AG5146" s="191"/>
      <c r="AH5146" s="191"/>
      <c r="AI5146" s="186"/>
      <c r="AK5146" s="171"/>
    </row>
    <row r="5147" spans="1:41" s="102" customFormat="1" ht="19.899999999999999" customHeight="1" x14ac:dyDescent="0.25">
      <c r="A5147" s="45"/>
      <c r="B5147" s="59"/>
      <c r="C5147" s="137"/>
      <c r="D5147" s="59"/>
      <c r="E5147" s="116"/>
      <c r="F5147" s="120"/>
      <c r="G5147" s="120"/>
      <c r="H5147" s="120"/>
      <c r="I5147" s="60"/>
      <c r="J5147" s="116"/>
      <c r="K5147" s="213"/>
      <c r="L5147" s="120"/>
      <c r="M5147" s="120"/>
      <c r="N5147" s="167"/>
      <c r="O5147" s="120"/>
      <c r="P5147" s="120"/>
      <c r="Q5147" s="120"/>
      <c r="R5147" s="120"/>
      <c r="S5147" s="120"/>
      <c r="T5147" s="221"/>
      <c r="U5147" s="89"/>
      <c r="V5147" s="61"/>
      <c r="W5147" s="92" t="s">
        <v>65</v>
      </c>
      <c r="X5147" s="93" t="s">
        <v>30</v>
      </c>
      <c r="Y5147" s="93" t="s">
        <v>1011</v>
      </c>
      <c r="Z5147" s="134">
        <f>VLOOKUP(W5147,Sheet2!$B:$D,3,FALSE)</f>
        <v>1.76</v>
      </c>
      <c r="AA5147" s="93">
        <f>AA5146/14</f>
        <v>0.26455026455026454</v>
      </c>
      <c r="AB5147" s="93">
        <f>AD5147/AC5145</f>
        <v>6.6528</v>
      </c>
      <c r="AC5147" s="93">
        <f>AC5145/AA5147</f>
        <v>1.7009999999999907</v>
      </c>
      <c r="AD5147" s="94">
        <f t="shared" si="3704"/>
        <v>2.9937599999999835</v>
      </c>
      <c r="AE5147" s="190"/>
      <c r="AF5147" s="191"/>
      <c r="AG5147" s="191"/>
      <c r="AH5147" s="191"/>
      <c r="AI5147" s="186"/>
      <c r="AK5147" s="171"/>
    </row>
    <row r="5148" spans="1:41" s="102" customFormat="1" ht="19.899999999999999" customHeight="1" x14ac:dyDescent="0.25">
      <c r="A5148" s="45"/>
      <c r="B5148" s="59"/>
      <c r="C5148" s="137"/>
      <c r="D5148" s="59"/>
      <c r="E5148" s="116"/>
      <c r="F5148" s="120"/>
      <c r="G5148" s="120"/>
      <c r="H5148" s="120"/>
      <c r="I5148" s="60"/>
      <c r="J5148" s="116"/>
      <c r="K5148" s="213"/>
      <c r="L5148" s="120"/>
      <c r="M5148" s="120"/>
      <c r="N5148" s="167"/>
      <c r="O5148" s="120"/>
      <c r="P5148" s="120"/>
      <c r="Q5148" s="120"/>
      <c r="R5148" s="120"/>
      <c r="S5148" s="120"/>
      <c r="T5148" s="221"/>
      <c r="U5148" s="89"/>
      <c r="V5148" s="61"/>
      <c r="W5148" s="92" t="s">
        <v>161</v>
      </c>
      <c r="X5148" s="93" t="s">
        <v>29</v>
      </c>
      <c r="Y5148" s="93" t="s">
        <v>93</v>
      </c>
      <c r="Z5148" s="134">
        <f>VLOOKUP(W5148,Sheet2!$B:$D,3,FALSE)</f>
        <v>48</v>
      </c>
      <c r="AA5148" s="93">
        <f>(16*0.85*1.5)/(3*3*3)</f>
        <v>0.75555555555555554</v>
      </c>
      <c r="AB5148" s="93">
        <f>AD5148/AC5145</f>
        <v>63.529411764705891</v>
      </c>
      <c r="AC5148" s="93">
        <f>AC5145/AA5148</f>
        <v>0.59558823529411442</v>
      </c>
      <c r="AD5148" s="94">
        <f>AC5148*Z5148</f>
        <v>28.588235294117492</v>
      </c>
      <c r="AE5148" s="190"/>
      <c r="AF5148" s="191"/>
      <c r="AG5148" s="191"/>
      <c r="AH5148" s="191"/>
      <c r="AI5148" s="186"/>
      <c r="AK5148" s="171"/>
    </row>
    <row r="5149" spans="1:41" s="102" customFormat="1" ht="19.899999999999999" customHeight="1" x14ac:dyDescent="0.25">
      <c r="A5149" s="45"/>
      <c r="B5149" s="59"/>
      <c r="C5149" s="137"/>
      <c r="D5149" s="59"/>
      <c r="E5149" s="116"/>
      <c r="F5149" s="120"/>
      <c r="G5149" s="120"/>
      <c r="H5149" s="120"/>
      <c r="I5149" s="60"/>
      <c r="J5149" s="116"/>
      <c r="K5149" s="213"/>
      <c r="L5149" s="120"/>
      <c r="M5149" s="120"/>
      <c r="N5149" s="167"/>
      <c r="O5149" s="120"/>
      <c r="P5149" s="120"/>
      <c r="Q5149" s="120"/>
      <c r="R5149" s="120"/>
      <c r="S5149" s="120"/>
      <c r="T5149" s="221"/>
      <c r="U5149" s="89"/>
      <c r="V5149" s="61"/>
      <c r="W5149" s="92" t="s">
        <v>65</v>
      </c>
      <c r="X5149" s="93" t="s">
        <v>30</v>
      </c>
      <c r="Y5149" s="93" t="s">
        <v>1011</v>
      </c>
      <c r="Z5149" s="134">
        <f>VLOOKUP(W5149,Sheet2!$B:$D,3,FALSE)</f>
        <v>1.76</v>
      </c>
      <c r="AA5149" s="93">
        <f>AA5148/10</f>
        <v>7.5555555555555556E-2</v>
      </c>
      <c r="AB5149" s="93">
        <f>AD5149/AC5145</f>
        <v>23.294117647058826</v>
      </c>
      <c r="AC5149" s="93">
        <f>AC5145/AA5149</f>
        <v>5.9558823529411438</v>
      </c>
      <c r="AD5149" s="94">
        <f>AC5149*Z5149</f>
        <v>10.482352941176414</v>
      </c>
      <c r="AE5149" s="190"/>
      <c r="AF5149" s="191"/>
      <c r="AG5149" s="191"/>
      <c r="AH5149" s="191"/>
      <c r="AI5149" s="186"/>
      <c r="AK5149" s="171"/>
    </row>
    <row r="5150" spans="1:41" s="103" customFormat="1" ht="19.899999999999999" customHeight="1" x14ac:dyDescent="0.25">
      <c r="A5150" s="51"/>
      <c r="B5150" s="52"/>
      <c r="C5150" s="165"/>
      <c r="D5150" s="52"/>
      <c r="E5150" s="115"/>
      <c r="F5150" s="58"/>
      <c r="G5150" s="58"/>
      <c r="H5150" s="58"/>
      <c r="I5150" s="55"/>
      <c r="J5150" s="113">
        <f>J5144</f>
        <v>0.44999999999999751</v>
      </c>
      <c r="K5150" s="212">
        <f>K5144</f>
        <v>0.44999999999999751</v>
      </c>
      <c r="L5150" s="58"/>
      <c r="M5150" s="58">
        <f>K5150-L5150</f>
        <v>0.44999999999999751</v>
      </c>
      <c r="N5150" s="166"/>
      <c r="O5150" s="58"/>
      <c r="P5150" s="58"/>
      <c r="Q5150" s="58"/>
      <c r="R5150" s="58"/>
      <c r="S5150" s="58"/>
      <c r="T5150" s="220"/>
      <c r="U5150" s="88"/>
      <c r="V5150" s="56"/>
      <c r="W5150" s="57" t="s">
        <v>1486</v>
      </c>
      <c r="X5150" s="53"/>
      <c r="Y5150" s="91" t="s">
        <v>35</v>
      </c>
      <c r="Z5150" s="136">
        <f>AD5150/AC5150</f>
        <v>1883.8374999999996</v>
      </c>
      <c r="AA5150" s="58"/>
      <c r="AB5150" s="53">
        <f>AD5150/AC5150</f>
        <v>1883.8374999999996</v>
      </c>
      <c r="AC5150" s="53">
        <f>M5150+$AE$10</f>
        <v>0.44999999999999751</v>
      </c>
      <c r="AD5150" s="54">
        <f>SUM(AD5151:AD5156)</f>
        <v>847.72687499999518</v>
      </c>
      <c r="AE5150" s="184">
        <f>SUMIFS($AD$37:$AD$12971,$V$37:$V$12971,$V5150,$X$37:$X$12971,AE$13)</f>
        <v>0</v>
      </c>
      <c r="AF5150" s="185">
        <f>SUMIFS($AD$37:$AD$12971,$V$37:$V$12971,$V5150,$X$37:$X$12971,AF$13)</f>
        <v>0</v>
      </c>
      <c r="AG5150" s="185">
        <f>SUMIFS($AD$37:$AD$12971,$V$37:$V$12971,$V5150,$X$37:$X$12971,AG$13)</f>
        <v>0</v>
      </c>
      <c r="AH5150" s="187">
        <f>SUMIFS($AD$37:$AD$12971,$V$37:$V$12971,$V5150,$X$37:$X$12971,AH$13)</f>
        <v>0</v>
      </c>
      <c r="AI5150" s="161">
        <f t="shared" ref="AI5150" si="3705">SUM(AE5150:AH5150)</f>
        <v>0</v>
      </c>
      <c r="AK5150" s="172"/>
    </row>
    <row r="5151" spans="1:41" s="102" customFormat="1" ht="19.899999999999999" customHeight="1" x14ac:dyDescent="0.25">
      <c r="A5151" s="45"/>
      <c r="B5151" s="59"/>
      <c r="C5151" s="137"/>
      <c r="D5151" s="59"/>
      <c r="E5151" s="116"/>
      <c r="F5151" s="120"/>
      <c r="G5151" s="120"/>
      <c r="H5151" s="120"/>
      <c r="I5151" s="60"/>
      <c r="J5151" s="116"/>
      <c r="K5151" s="213"/>
      <c r="L5151" s="120"/>
      <c r="M5151" s="120"/>
      <c r="N5151" s="167"/>
      <c r="O5151" s="120"/>
      <c r="P5151" s="120"/>
      <c r="Q5151" s="120"/>
      <c r="R5151" s="120"/>
      <c r="S5151" s="120"/>
      <c r="T5151" s="221"/>
      <c r="U5151" s="89"/>
      <c r="V5151" s="61"/>
      <c r="W5151" s="92" t="s">
        <v>1032</v>
      </c>
      <c r="X5151" s="93" t="s">
        <v>30</v>
      </c>
      <c r="Y5151" s="93" t="s">
        <v>66</v>
      </c>
      <c r="Z5151" s="134">
        <f>VLOOKUP(W5151,Sheet2!$B:$D,3,FALSE)</f>
        <v>250</v>
      </c>
      <c r="AA5151" s="93">
        <f>1/(2.4*2.4*0.1)</f>
        <v>1.7361111111111112</v>
      </c>
      <c r="AB5151" s="93">
        <f>AD5151/AC5157</f>
        <v>144</v>
      </c>
      <c r="AC5151" s="93">
        <f>AC5157/AA5151</f>
        <v>0.25919999999999854</v>
      </c>
      <c r="AD5151" s="94">
        <f t="shared" ref="AD5151:AD5153" si="3706">AC5151*Z5151</f>
        <v>64.799999999999642</v>
      </c>
      <c r="AE5151" s="190"/>
      <c r="AF5151" s="191"/>
      <c r="AG5151" s="191"/>
      <c r="AH5151" s="191"/>
      <c r="AI5151" s="186"/>
      <c r="AK5151" s="171"/>
    </row>
    <row r="5152" spans="1:41" s="102" customFormat="1" ht="19.899999999999999" customHeight="1" x14ac:dyDescent="0.25">
      <c r="A5152" s="45"/>
      <c r="B5152" s="59"/>
      <c r="C5152" s="137"/>
      <c r="D5152" s="59"/>
      <c r="E5152" s="116"/>
      <c r="F5152" s="120"/>
      <c r="G5152" s="120"/>
      <c r="H5152" s="120"/>
      <c r="I5152" s="60"/>
      <c r="J5152" s="116"/>
      <c r="K5152" s="213"/>
      <c r="L5152" s="120"/>
      <c r="M5152" s="120"/>
      <c r="N5152" s="167"/>
      <c r="O5152" s="120"/>
      <c r="P5152" s="120"/>
      <c r="Q5152" s="120"/>
      <c r="R5152" s="120"/>
      <c r="S5152" s="120"/>
      <c r="T5152" s="221"/>
      <c r="U5152" s="89"/>
      <c r="V5152" s="61"/>
      <c r="W5152" s="92" t="s">
        <v>1353</v>
      </c>
      <c r="X5152" s="93" t="s">
        <v>30</v>
      </c>
      <c r="Y5152" s="93" t="s">
        <v>66</v>
      </c>
      <c r="Z5152" s="134">
        <f>VLOOKUP(W5152,Sheet2!$B:$D,3,FALSE)</f>
        <v>350</v>
      </c>
      <c r="AA5152" s="93">
        <f>1/(2.3*2.3*0.3)</f>
        <v>0.63011972274732209</v>
      </c>
      <c r="AB5152" s="93">
        <f>AD5152/AC5157</f>
        <v>555.44999999999993</v>
      </c>
      <c r="AC5152" s="93">
        <f>AC5157/AA5152</f>
        <v>0.71414999999999595</v>
      </c>
      <c r="AD5152" s="94">
        <f t="shared" si="3706"/>
        <v>249.95249999999859</v>
      </c>
      <c r="AE5152" s="190"/>
      <c r="AF5152" s="191"/>
      <c r="AG5152" s="191"/>
      <c r="AH5152" s="191"/>
      <c r="AI5152" s="186"/>
      <c r="AK5152" s="171"/>
    </row>
    <row r="5153" spans="1:37" s="102" customFormat="1" ht="19.899999999999999" customHeight="1" x14ac:dyDescent="0.25">
      <c r="A5153" s="45"/>
      <c r="B5153" s="59"/>
      <c r="C5153" s="137"/>
      <c r="D5153" s="59"/>
      <c r="E5153" s="116"/>
      <c r="F5153" s="120"/>
      <c r="G5153" s="120"/>
      <c r="H5153" s="120"/>
      <c r="I5153" s="60"/>
      <c r="J5153" s="116"/>
      <c r="K5153" s="213"/>
      <c r="L5153" s="120"/>
      <c r="M5153" s="120"/>
      <c r="N5153" s="167"/>
      <c r="O5153" s="120"/>
      <c r="P5153" s="120"/>
      <c r="Q5153" s="120"/>
      <c r="R5153" s="120"/>
      <c r="S5153" s="120"/>
      <c r="T5153" s="221"/>
      <c r="U5153" s="89"/>
      <c r="V5153" s="61"/>
      <c r="W5153" s="92" t="s">
        <v>99</v>
      </c>
      <c r="X5153" s="93" t="s">
        <v>30</v>
      </c>
      <c r="Y5153" s="93" t="s">
        <v>67</v>
      </c>
      <c r="Z5153" s="134">
        <f>VLOOKUP(W5153,Sheet2!$B:$D,3,FALSE)</f>
        <v>2500</v>
      </c>
      <c r="AA5153" s="93">
        <f>AA5152/0.08</f>
        <v>7.8764965343415261</v>
      </c>
      <c r="AB5153" s="93">
        <f>AD5153/AC5157</f>
        <v>317.39999999999998</v>
      </c>
      <c r="AC5153" s="93">
        <f>AC5157/AA5153</f>
        <v>5.7131999999999676E-2</v>
      </c>
      <c r="AD5153" s="94">
        <f t="shared" si="3706"/>
        <v>142.82999999999919</v>
      </c>
      <c r="AE5153" s="190"/>
      <c r="AF5153" s="191"/>
      <c r="AG5153" s="191"/>
      <c r="AH5153" s="191"/>
      <c r="AI5153" s="186"/>
      <c r="AK5153" s="171"/>
    </row>
    <row r="5154" spans="1:37" s="102" customFormat="1" ht="19.899999999999999" customHeight="1" x14ac:dyDescent="0.25">
      <c r="A5154" s="45"/>
      <c r="B5154" s="59"/>
      <c r="C5154" s="137"/>
      <c r="D5154" s="59"/>
      <c r="E5154" s="116"/>
      <c r="F5154" s="120"/>
      <c r="G5154" s="120"/>
      <c r="H5154" s="120"/>
      <c r="I5154" s="60"/>
      <c r="J5154" s="116"/>
      <c r="K5154" s="213"/>
      <c r="L5154" s="120"/>
      <c r="M5154" s="120"/>
      <c r="N5154" s="167"/>
      <c r="O5154" s="120"/>
      <c r="P5154" s="120"/>
      <c r="Q5154" s="120"/>
      <c r="R5154" s="120"/>
      <c r="S5154" s="120"/>
      <c r="T5154" s="221"/>
      <c r="U5154" s="89"/>
      <c r="V5154" s="61"/>
      <c r="W5154" s="92" t="s">
        <v>1354</v>
      </c>
      <c r="X5154" s="93" t="s">
        <v>32</v>
      </c>
      <c r="Y5154" s="93" t="s">
        <v>66</v>
      </c>
      <c r="Z5154" s="134">
        <f>VLOOKUP(W5154,Sheet2!$B:$D,3,FALSE)</f>
        <v>150</v>
      </c>
      <c r="AA5154" s="93">
        <f>AA5151</f>
        <v>1.7361111111111112</v>
      </c>
      <c r="AB5154" s="93">
        <f>AD5154/AC5157</f>
        <v>86.399999999999991</v>
      </c>
      <c r="AC5154" s="93">
        <f>AC5157/AA5154</f>
        <v>0.25919999999999854</v>
      </c>
      <c r="AD5154" s="94">
        <f>AC5154*Z5154</f>
        <v>38.879999999999782</v>
      </c>
      <c r="AE5154" s="190"/>
      <c r="AF5154" s="191"/>
      <c r="AG5154" s="191"/>
      <c r="AH5154" s="191"/>
      <c r="AI5154" s="186"/>
      <c r="AK5154" s="171"/>
    </row>
    <row r="5155" spans="1:37" s="102" customFormat="1" ht="19.899999999999999" customHeight="1" x14ac:dyDescent="0.25">
      <c r="A5155" s="45"/>
      <c r="B5155" s="59"/>
      <c r="C5155" s="137"/>
      <c r="D5155" s="59"/>
      <c r="E5155" s="116"/>
      <c r="F5155" s="120"/>
      <c r="G5155" s="120"/>
      <c r="H5155" s="120"/>
      <c r="I5155" s="60"/>
      <c r="J5155" s="116"/>
      <c r="K5155" s="213"/>
      <c r="L5155" s="120"/>
      <c r="M5155" s="120"/>
      <c r="N5155" s="167"/>
      <c r="O5155" s="120"/>
      <c r="P5155" s="120"/>
      <c r="Q5155" s="120"/>
      <c r="R5155" s="120"/>
      <c r="S5155" s="120"/>
      <c r="T5155" s="221"/>
      <c r="U5155" s="89"/>
      <c r="V5155" s="61"/>
      <c r="W5155" s="92" t="s">
        <v>1355</v>
      </c>
      <c r="X5155" s="93" t="s">
        <v>32</v>
      </c>
      <c r="Y5155" s="93" t="s">
        <v>66</v>
      </c>
      <c r="Z5155" s="134">
        <f>VLOOKUP(W5155,Sheet2!$B:$D,3,FALSE)</f>
        <v>450</v>
      </c>
      <c r="AA5155" s="93">
        <f>AA5152</f>
        <v>0.63011972274732209</v>
      </c>
      <c r="AB5155" s="93">
        <f>AD5155/AC5157</f>
        <v>714.14999999999986</v>
      </c>
      <c r="AC5155" s="93">
        <f>AC5157/AA5155</f>
        <v>0.71414999999999595</v>
      </c>
      <c r="AD5155" s="94">
        <f>AC5155*Z5155</f>
        <v>321.36749999999819</v>
      </c>
      <c r="AE5155" s="190"/>
      <c r="AF5155" s="191"/>
      <c r="AG5155" s="191"/>
      <c r="AH5155" s="191"/>
      <c r="AI5155" s="186"/>
      <c r="AK5155" s="171"/>
    </row>
    <row r="5156" spans="1:37" s="102" customFormat="1" ht="19.899999999999999" customHeight="1" x14ac:dyDescent="0.25">
      <c r="A5156" s="45"/>
      <c r="B5156" s="59"/>
      <c r="C5156" s="137"/>
      <c r="D5156" s="59"/>
      <c r="E5156" s="116"/>
      <c r="F5156" s="120"/>
      <c r="G5156" s="120"/>
      <c r="H5156" s="120"/>
      <c r="I5156" s="60"/>
      <c r="J5156" s="116"/>
      <c r="K5156" s="213"/>
      <c r="L5156" s="120"/>
      <c r="M5156" s="120"/>
      <c r="N5156" s="167"/>
      <c r="O5156" s="120"/>
      <c r="P5156" s="120"/>
      <c r="Q5156" s="120"/>
      <c r="R5156" s="120"/>
      <c r="S5156" s="120"/>
      <c r="T5156" s="221"/>
      <c r="U5156" s="89"/>
      <c r="V5156" s="61"/>
      <c r="W5156" s="92" t="s">
        <v>124</v>
      </c>
      <c r="X5156" s="93" t="s">
        <v>32</v>
      </c>
      <c r="Y5156" s="93" t="s">
        <v>64</v>
      </c>
      <c r="Z5156" s="134">
        <f>VLOOKUP(W5156,Sheet2!$B:$D,3,FALSE)</f>
        <v>10</v>
      </c>
      <c r="AA5156" s="93">
        <f>1/((2.9*2.9)-(3.14*1.5*1.5/4))</f>
        <v>0.15051740357478832</v>
      </c>
      <c r="AB5156" s="93">
        <f t="shared" ref="AB5156" si="3707">AD5156/AC5150</f>
        <v>66.437500000000014</v>
      </c>
      <c r="AC5156" s="93">
        <f>AC5150/AA5156</f>
        <v>2.9896874999999836</v>
      </c>
      <c r="AD5156" s="94">
        <f t="shared" ref="AD5156" si="3708">AC5156*Z5156</f>
        <v>29.896874999999838</v>
      </c>
      <c r="AE5156" s="190"/>
      <c r="AF5156" s="191"/>
      <c r="AG5156" s="191"/>
      <c r="AH5156" s="191"/>
      <c r="AI5156" s="186"/>
      <c r="AK5156" s="171"/>
    </row>
    <row r="5157" spans="1:37" s="103" customFormat="1" ht="19.899999999999999" customHeight="1" x14ac:dyDescent="0.25">
      <c r="A5157" s="51"/>
      <c r="B5157" s="52"/>
      <c r="C5157" s="165"/>
      <c r="D5157" s="52"/>
      <c r="E5157" s="115"/>
      <c r="F5157" s="58"/>
      <c r="G5157" s="58"/>
      <c r="H5157" s="58"/>
      <c r="I5157" s="55"/>
      <c r="J5157" s="113">
        <f>J5144</f>
        <v>0.44999999999999751</v>
      </c>
      <c r="K5157" s="212">
        <f>K5144</f>
        <v>0.44999999999999751</v>
      </c>
      <c r="L5157" s="58"/>
      <c r="M5157" s="58">
        <f>K5157-L5157</f>
        <v>0.44999999999999751</v>
      </c>
      <c r="N5157" s="166"/>
      <c r="O5157" s="58"/>
      <c r="P5157" s="58"/>
      <c r="Q5157" s="58"/>
      <c r="R5157" s="58"/>
      <c r="S5157" s="58"/>
      <c r="T5157" s="220"/>
      <c r="U5157" s="88"/>
      <c r="V5157" s="56"/>
      <c r="W5157" s="57" t="s">
        <v>1275</v>
      </c>
      <c r="X5157" s="53"/>
      <c r="Y5157" s="91" t="s">
        <v>35</v>
      </c>
      <c r="Z5157" s="136">
        <f>AD5157/AC5157</f>
        <v>6482.7999999999993</v>
      </c>
      <c r="AA5157" s="58"/>
      <c r="AB5157" s="53">
        <f>AD5157/AC5157</f>
        <v>6482.7999999999993</v>
      </c>
      <c r="AC5157" s="53">
        <f>M5157+$AE$10</f>
        <v>0.44999999999999751</v>
      </c>
      <c r="AD5157" s="54">
        <f>SUM(AD5158:AD5163)</f>
        <v>2917.2599999999834</v>
      </c>
      <c r="AE5157" s="184">
        <f>SUMIFS($AD$37:$AD$12971,$V$37:$V$12971,$V5157,$X$37:$X$12971,AE$13)</f>
        <v>0</v>
      </c>
      <c r="AF5157" s="185">
        <f>SUMIFS($AD$37:$AD$12971,$V$37:$V$12971,$V5157,$X$37:$X$12971,AF$13)</f>
        <v>0</v>
      </c>
      <c r="AG5157" s="185">
        <f>SUMIFS($AD$37:$AD$12971,$V$37:$V$12971,$V5157,$X$37:$X$12971,AG$13)</f>
        <v>0</v>
      </c>
      <c r="AH5157" s="187">
        <f>SUMIFS($AD$37:$AD$12971,$V$37:$V$12971,$V5157,$X$37:$X$12971,AH$13)</f>
        <v>0</v>
      </c>
      <c r="AI5157" s="161">
        <f t="shared" ref="AI5157" si="3709">SUM(AE5157:AH5157)</f>
        <v>0</v>
      </c>
      <c r="AK5157" s="172"/>
    </row>
    <row r="5158" spans="1:37" s="102" customFormat="1" ht="19.899999999999999" customHeight="1" x14ac:dyDescent="0.25">
      <c r="A5158" s="45"/>
      <c r="B5158" s="59"/>
      <c r="C5158" s="137"/>
      <c r="D5158" s="59"/>
      <c r="E5158" s="116"/>
      <c r="F5158" s="120"/>
      <c r="G5158" s="120"/>
      <c r="H5158" s="120"/>
      <c r="I5158" s="60"/>
      <c r="J5158" s="116"/>
      <c r="K5158" s="213"/>
      <c r="L5158" s="120"/>
      <c r="M5158" s="120"/>
      <c r="N5158" s="167"/>
      <c r="O5158" s="120"/>
      <c r="P5158" s="120"/>
      <c r="Q5158" s="120"/>
      <c r="R5158" s="120"/>
      <c r="S5158" s="120"/>
      <c r="T5158" s="221"/>
      <c r="U5158" s="89"/>
      <c r="V5158" s="61"/>
      <c r="W5158" s="92" t="s">
        <v>1496</v>
      </c>
      <c r="X5158" s="93" t="s">
        <v>30</v>
      </c>
      <c r="Y5158" s="93" t="s">
        <v>35</v>
      </c>
      <c r="Z5158" s="134">
        <f>VLOOKUP(W5158,Sheet2!$B:$D,3,FALSE)</f>
        <v>4710</v>
      </c>
      <c r="AA5158" s="93">
        <v>1</v>
      </c>
      <c r="AB5158" s="93">
        <f>AD5158/AC5157</f>
        <v>4710</v>
      </c>
      <c r="AC5158" s="93">
        <f>AC5157/AA5158</f>
        <v>0.44999999999999751</v>
      </c>
      <c r="AD5158" s="94">
        <f t="shared" ref="AD5158:AD5159" si="3710">AC5158*Z5158</f>
        <v>2119.4999999999882</v>
      </c>
      <c r="AE5158" s="190"/>
      <c r="AF5158" s="191"/>
      <c r="AG5158" s="191"/>
      <c r="AH5158" s="191"/>
      <c r="AI5158" s="186"/>
      <c r="AK5158" s="171"/>
    </row>
    <row r="5159" spans="1:37" s="102" customFormat="1" ht="19.899999999999999" customHeight="1" x14ac:dyDescent="0.25">
      <c r="A5159" s="45"/>
      <c r="B5159" s="59"/>
      <c r="C5159" s="137"/>
      <c r="D5159" s="59"/>
      <c r="E5159" s="116"/>
      <c r="F5159" s="120"/>
      <c r="G5159" s="120"/>
      <c r="H5159" s="120"/>
      <c r="I5159" s="60"/>
      <c r="J5159" s="116"/>
      <c r="K5159" s="213"/>
      <c r="L5159" s="120"/>
      <c r="M5159" s="120"/>
      <c r="N5159" s="167"/>
      <c r="O5159" s="120"/>
      <c r="P5159" s="120"/>
      <c r="Q5159" s="120"/>
      <c r="R5159" s="120"/>
      <c r="S5159" s="120"/>
      <c r="T5159" s="221"/>
      <c r="U5159" s="89"/>
      <c r="V5159" s="61"/>
      <c r="W5159" s="92" t="s">
        <v>174</v>
      </c>
      <c r="X5159" s="93" t="s">
        <v>29</v>
      </c>
      <c r="Y5159" s="93" t="s">
        <v>93</v>
      </c>
      <c r="Z5159" s="134">
        <f>VLOOKUP(W5159,Sheet2!$B:$D,3,FALSE)</f>
        <v>80</v>
      </c>
      <c r="AA5159" s="93">
        <f>1/2</f>
        <v>0.5</v>
      </c>
      <c r="AB5159" s="93">
        <f>AD5159/AC5157</f>
        <v>160</v>
      </c>
      <c r="AC5159" s="93">
        <f>AC5157/AA5159</f>
        <v>0.89999999999999503</v>
      </c>
      <c r="AD5159" s="94">
        <f t="shared" si="3710"/>
        <v>71.999999999999602</v>
      </c>
      <c r="AE5159" s="190"/>
      <c r="AF5159" s="191"/>
      <c r="AG5159" s="191"/>
      <c r="AH5159" s="191"/>
      <c r="AI5159" s="186"/>
      <c r="AK5159" s="171"/>
    </row>
    <row r="5160" spans="1:37" s="102" customFormat="1" ht="19.899999999999999" customHeight="1" x14ac:dyDescent="0.25">
      <c r="A5160" s="45"/>
      <c r="B5160" s="59"/>
      <c r="C5160" s="137"/>
      <c r="D5160" s="59"/>
      <c r="E5160" s="116"/>
      <c r="F5160" s="120"/>
      <c r="G5160" s="120"/>
      <c r="H5160" s="120"/>
      <c r="I5160" s="60"/>
      <c r="J5160" s="116"/>
      <c r="K5160" s="213"/>
      <c r="L5160" s="120"/>
      <c r="M5160" s="120"/>
      <c r="N5160" s="167"/>
      <c r="O5160" s="120"/>
      <c r="P5160" s="120"/>
      <c r="Q5160" s="120"/>
      <c r="R5160" s="120"/>
      <c r="S5160" s="120"/>
      <c r="T5160" s="221"/>
      <c r="U5160" s="89"/>
      <c r="V5160" s="61"/>
      <c r="W5160" s="92" t="s">
        <v>65</v>
      </c>
      <c r="X5160" s="93" t="s">
        <v>30</v>
      </c>
      <c r="Y5160" s="93" t="s">
        <v>93</v>
      </c>
      <c r="Z5160" s="134">
        <f>VLOOKUP(W5160,Sheet2!$B:$D,3,FALSE)</f>
        <v>1.76</v>
      </c>
      <c r="AA5160" s="93">
        <f>AA5159/15</f>
        <v>3.3333333333333333E-2</v>
      </c>
      <c r="AB5160" s="93">
        <f>AD5160/AC5157</f>
        <v>52.800000000000004</v>
      </c>
      <c r="AC5160" s="93">
        <f>AC5157/AA5160</f>
        <v>13.499999999999925</v>
      </c>
      <c r="AD5160" s="94">
        <f>AC5160*Z5160</f>
        <v>23.75999999999987</v>
      </c>
      <c r="AE5160" s="190"/>
      <c r="AF5160" s="191"/>
      <c r="AG5160" s="191"/>
      <c r="AH5160" s="191"/>
      <c r="AI5160" s="186"/>
      <c r="AK5160" s="171"/>
    </row>
    <row r="5161" spans="1:37" s="102" customFormat="1" ht="19.899999999999999" customHeight="1" x14ac:dyDescent="0.25">
      <c r="A5161" s="45"/>
      <c r="B5161" s="59"/>
      <c r="C5161" s="137"/>
      <c r="D5161" s="59"/>
      <c r="E5161" s="116"/>
      <c r="F5161" s="120"/>
      <c r="G5161" s="120"/>
      <c r="H5161" s="120"/>
      <c r="I5161" s="60"/>
      <c r="J5161" s="116"/>
      <c r="K5161" s="213"/>
      <c r="L5161" s="120"/>
      <c r="M5161" s="120"/>
      <c r="N5161" s="167"/>
      <c r="O5161" s="120"/>
      <c r="P5161" s="120"/>
      <c r="Q5161" s="120"/>
      <c r="R5161" s="120"/>
      <c r="S5161" s="120"/>
      <c r="T5161" s="221"/>
      <c r="U5161" s="89"/>
      <c r="V5161" s="61"/>
      <c r="W5161" s="92" t="s">
        <v>1487</v>
      </c>
      <c r="X5161" s="93" t="s">
        <v>32</v>
      </c>
      <c r="Y5161" s="93" t="s">
        <v>1349</v>
      </c>
      <c r="Z5161" s="134">
        <f>VLOOKUP(W5161,Sheet2!$B:$D,3,FALSE)</f>
        <v>1500</v>
      </c>
      <c r="AA5161" s="93">
        <v>1</v>
      </c>
      <c r="AB5161" s="93">
        <f>AD5161/AC5157</f>
        <v>1500</v>
      </c>
      <c r="AC5161" s="93">
        <f>AC5157/AA5161</f>
        <v>0.44999999999999751</v>
      </c>
      <c r="AD5161" s="94">
        <f>AC5161*Z5161</f>
        <v>674.99999999999625</v>
      </c>
      <c r="AE5161" s="190"/>
      <c r="AF5161" s="191"/>
      <c r="AG5161" s="191"/>
      <c r="AH5161" s="191"/>
      <c r="AI5161" s="186"/>
      <c r="AK5161" s="171"/>
    </row>
    <row r="5162" spans="1:37" s="102" customFormat="1" ht="19.899999999999999" customHeight="1" x14ac:dyDescent="0.25">
      <c r="A5162" s="45"/>
      <c r="B5162" s="59"/>
      <c r="C5162" s="137"/>
      <c r="D5162" s="59"/>
      <c r="E5162" s="116"/>
      <c r="F5162" s="120"/>
      <c r="G5162" s="120"/>
      <c r="H5162" s="120"/>
      <c r="I5162" s="60"/>
      <c r="J5162" s="116"/>
      <c r="K5162" s="213"/>
      <c r="L5162" s="120"/>
      <c r="M5162" s="120"/>
      <c r="N5162" s="167"/>
      <c r="O5162" s="120"/>
      <c r="P5162" s="120"/>
      <c r="Q5162" s="120"/>
      <c r="R5162" s="120"/>
      <c r="S5162" s="120"/>
      <c r="T5162" s="221"/>
      <c r="U5162" s="89"/>
      <c r="V5162" s="61"/>
      <c r="W5162" s="92" t="s">
        <v>107</v>
      </c>
      <c r="X5162" s="93" t="s">
        <v>31</v>
      </c>
      <c r="Y5162" s="93" t="s">
        <v>93</v>
      </c>
      <c r="Z5162" s="134">
        <f>VLOOKUP(W5162,Sheet2!$B:$D,3,FALSE)</f>
        <v>17</v>
      </c>
      <c r="AA5162" s="93">
        <f>AA5159</f>
        <v>0.5</v>
      </c>
      <c r="AB5162" s="93">
        <f>AD5162/AC5157</f>
        <v>34</v>
      </c>
      <c r="AC5162" s="93">
        <f>AC5157/AA5162</f>
        <v>0.89999999999999503</v>
      </c>
      <c r="AD5162" s="94">
        <f>AC5162*Z5162</f>
        <v>15.299999999999915</v>
      </c>
      <c r="AE5162" s="190"/>
      <c r="AF5162" s="191"/>
      <c r="AG5162" s="191"/>
      <c r="AH5162" s="191"/>
      <c r="AI5162" s="186"/>
      <c r="AK5162" s="171"/>
    </row>
    <row r="5163" spans="1:37" s="102" customFormat="1" ht="19.899999999999999" customHeight="1" x14ac:dyDescent="0.25">
      <c r="A5163" s="45"/>
      <c r="B5163" s="59"/>
      <c r="C5163" s="137"/>
      <c r="D5163" s="59"/>
      <c r="E5163" s="116"/>
      <c r="F5163" s="120"/>
      <c r="G5163" s="120"/>
      <c r="H5163" s="120"/>
      <c r="I5163" s="60"/>
      <c r="J5163" s="116"/>
      <c r="K5163" s="213"/>
      <c r="L5163" s="120"/>
      <c r="M5163" s="120"/>
      <c r="N5163" s="167"/>
      <c r="O5163" s="120"/>
      <c r="P5163" s="120"/>
      <c r="Q5163" s="120"/>
      <c r="R5163" s="120"/>
      <c r="S5163" s="120"/>
      <c r="T5163" s="221"/>
      <c r="U5163" s="89"/>
      <c r="V5163" s="61"/>
      <c r="W5163" s="92" t="s">
        <v>112</v>
      </c>
      <c r="X5163" s="93" t="s">
        <v>31</v>
      </c>
      <c r="Y5163" s="93" t="s">
        <v>93</v>
      </c>
      <c r="Z5163" s="134">
        <f>VLOOKUP(W5163,Sheet2!$B:$D,3,FALSE)</f>
        <v>13</v>
      </c>
      <c r="AA5163" s="93">
        <f>AA5162</f>
        <v>0.5</v>
      </c>
      <c r="AB5163" s="93">
        <f>AD5163/AC5157</f>
        <v>26</v>
      </c>
      <c r="AC5163" s="93">
        <f>AC5157/AA5163</f>
        <v>0.89999999999999503</v>
      </c>
      <c r="AD5163" s="94">
        <f>AC5163*Z5163</f>
        <v>11.699999999999935</v>
      </c>
      <c r="AE5163" s="190"/>
      <c r="AF5163" s="191"/>
      <c r="AG5163" s="191"/>
      <c r="AH5163" s="191"/>
      <c r="AI5163" s="186"/>
      <c r="AK5163" s="171"/>
    </row>
    <row r="5164" spans="1:37" s="103" customFormat="1" ht="19.899999999999999" customHeight="1" x14ac:dyDescent="0.25">
      <c r="A5164" s="51"/>
      <c r="B5164" s="52"/>
      <c r="C5164" s="165"/>
      <c r="D5164" s="52"/>
      <c r="E5164" s="115"/>
      <c r="F5164" s="58"/>
      <c r="G5164" s="58"/>
      <c r="H5164" s="58"/>
      <c r="I5164" s="55"/>
      <c r="J5164" s="113">
        <f>J5144</f>
        <v>0.44999999999999751</v>
      </c>
      <c r="K5164" s="212">
        <f>K5144</f>
        <v>0.44999999999999751</v>
      </c>
      <c r="L5164" s="58"/>
      <c r="M5164" s="58">
        <f>K5164-L5164</f>
        <v>0.44999999999999751</v>
      </c>
      <c r="N5164" s="166"/>
      <c r="O5164" s="58"/>
      <c r="P5164" s="58"/>
      <c r="Q5164" s="58"/>
      <c r="R5164" s="58"/>
      <c r="S5164" s="58"/>
      <c r="T5164" s="220"/>
      <c r="U5164" s="88"/>
      <c r="V5164" s="56"/>
      <c r="W5164" s="57" t="s">
        <v>1272</v>
      </c>
      <c r="X5164" s="53"/>
      <c r="Y5164" s="91" t="s">
        <v>35</v>
      </c>
      <c r="Z5164" s="136">
        <f>AD5164/AC5164</f>
        <v>411.81026576470589</v>
      </c>
      <c r="AA5164" s="58"/>
      <c r="AB5164" s="53">
        <f>AD5164/AC5164</f>
        <v>411.81026576470589</v>
      </c>
      <c r="AC5164" s="53">
        <f>M5164+$AE$10</f>
        <v>0.44999999999999751</v>
      </c>
      <c r="AD5164" s="54">
        <f>SUM(AD5165:AD5173)</f>
        <v>185.31461959411664</v>
      </c>
      <c r="AE5164" s="184">
        <f>SUMIFS($AD$37:$AD$12971,$V$37:$V$12971,$V5164,$X$37:$X$12971,AE$13)</f>
        <v>0</v>
      </c>
      <c r="AF5164" s="185">
        <f>SUMIFS($AD$37:$AD$12971,$V$37:$V$12971,$V5164,$X$37:$X$12971,AF$13)</f>
        <v>0</v>
      </c>
      <c r="AG5164" s="185">
        <f>SUMIFS($AD$37:$AD$12971,$V$37:$V$12971,$V5164,$X$37:$X$12971,AG$13)</f>
        <v>0</v>
      </c>
      <c r="AH5164" s="187">
        <f>SUMIFS($AD$37:$AD$12971,$V$37:$V$12971,$V5164,$X$37:$X$12971,AH$13)</f>
        <v>0</v>
      </c>
      <c r="AI5164" s="161">
        <f t="shared" ref="AI5164" si="3711">SUM(AE5164:AH5164)</f>
        <v>0</v>
      </c>
      <c r="AK5164" s="172"/>
    </row>
    <row r="5165" spans="1:37" s="102" customFormat="1" ht="19.899999999999999" customHeight="1" x14ac:dyDescent="0.25">
      <c r="A5165" s="45"/>
      <c r="B5165" s="59"/>
      <c r="C5165" s="137"/>
      <c r="D5165" s="59"/>
      <c r="E5165" s="116"/>
      <c r="F5165" s="120"/>
      <c r="G5165" s="120"/>
      <c r="H5165" s="120"/>
      <c r="I5165" s="60"/>
      <c r="J5165" s="116"/>
      <c r="K5165" s="213"/>
      <c r="L5165" s="120"/>
      <c r="M5165" s="120"/>
      <c r="N5165" s="167"/>
      <c r="O5165" s="120"/>
      <c r="P5165" s="120"/>
      <c r="Q5165" s="120"/>
      <c r="R5165" s="120"/>
      <c r="S5165" s="120"/>
      <c r="T5165" s="221"/>
      <c r="U5165" s="89"/>
      <c r="V5165" s="61"/>
      <c r="W5165" s="92" t="s">
        <v>1273</v>
      </c>
      <c r="X5165" s="93" t="s">
        <v>30</v>
      </c>
      <c r="Y5165" s="93" t="s">
        <v>66</v>
      </c>
      <c r="Z5165" s="134">
        <f>VLOOKUP(W5165,Sheet2!$B:$D,3,FALSE)</f>
        <v>10</v>
      </c>
      <c r="AA5165" s="93">
        <f>1/((3*3*3)-(3.14/4*1.5*1.5*3))</f>
        <v>4.6080294913887446E-2</v>
      </c>
      <c r="AB5165" s="93">
        <f>AD5165/AC5164</f>
        <v>217.01249999999999</v>
      </c>
      <c r="AC5165" s="93">
        <f>AC5164/AA5165</f>
        <v>9.7655624999999464</v>
      </c>
      <c r="AD5165" s="94">
        <f t="shared" ref="AD5165:AD5167" si="3712">AC5165*Z5165</f>
        <v>97.655624999999461</v>
      </c>
      <c r="AE5165" s="190"/>
      <c r="AF5165" s="191"/>
      <c r="AG5165" s="191"/>
      <c r="AH5165" s="191"/>
      <c r="AI5165" s="186"/>
      <c r="AK5165" s="171"/>
    </row>
    <row r="5166" spans="1:37" s="102" customFormat="1" ht="19.899999999999999" customHeight="1" x14ac:dyDescent="0.25">
      <c r="A5166" s="45"/>
      <c r="B5166" s="59"/>
      <c r="C5166" s="137"/>
      <c r="D5166" s="59"/>
      <c r="E5166" s="116"/>
      <c r="F5166" s="120"/>
      <c r="G5166" s="120"/>
      <c r="H5166" s="120"/>
      <c r="I5166" s="60"/>
      <c r="J5166" s="116"/>
      <c r="K5166" s="213"/>
      <c r="L5166" s="120"/>
      <c r="M5166" s="120"/>
      <c r="N5166" s="167"/>
      <c r="O5166" s="120"/>
      <c r="P5166" s="120"/>
      <c r="Q5166" s="120"/>
      <c r="R5166" s="120"/>
      <c r="S5166" s="120"/>
      <c r="T5166" s="221"/>
      <c r="U5166" s="89"/>
      <c r="V5166" s="61"/>
      <c r="W5166" s="92" t="s">
        <v>134</v>
      </c>
      <c r="X5166" s="93" t="s">
        <v>29</v>
      </c>
      <c r="Y5166" s="93" t="s">
        <v>93</v>
      </c>
      <c r="Z5166" s="134">
        <f>VLOOKUP(W5166,Sheet2!$B:$D,3,FALSE)</f>
        <v>65.599999999999994</v>
      </c>
      <c r="AA5166" s="93">
        <f>100/((3*3*3)-(3.14/4*1.5*1.5*3))</f>
        <v>4.608029491388745</v>
      </c>
      <c r="AB5166" s="93">
        <f t="shared" ref="AB5166" si="3713">AD5166/AC5164</f>
        <v>14.236019999999998</v>
      </c>
      <c r="AC5166" s="93">
        <f>AC5164/AA5166</f>
        <v>9.7655624999999455E-2</v>
      </c>
      <c r="AD5166" s="94">
        <f t="shared" si="3712"/>
        <v>6.4062089999999641</v>
      </c>
      <c r="AE5166" s="190"/>
      <c r="AF5166" s="191"/>
      <c r="AG5166" s="191"/>
      <c r="AH5166" s="191"/>
      <c r="AI5166" s="186"/>
      <c r="AK5166" s="171"/>
    </row>
    <row r="5167" spans="1:37" s="102" customFormat="1" ht="19.899999999999999" customHeight="1" x14ac:dyDescent="0.25">
      <c r="A5167" s="45"/>
      <c r="B5167" s="59"/>
      <c r="C5167" s="137"/>
      <c r="D5167" s="59"/>
      <c r="E5167" s="116"/>
      <c r="F5167" s="120"/>
      <c r="G5167" s="120"/>
      <c r="H5167" s="120"/>
      <c r="I5167" s="60"/>
      <c r="J5167" s="116"/>
      <c r="K5167" s="213"/>
      <c r="L5167" s="120"/>
      <c r="M5167" s="120"/>
      <c r="N5167" s="167"/>
      <c r="O5167" s="120"/>
      <c r="P5167" s="120"/>
      <c r="Q5167" s="120"/>
      <c r="R5167" s="120"/>
      <c r="S5167" s="120"/>
      <c r="T5167" s="221"/>
      <c r="U5167" s="89"/>
      <c r="V5167" s="61"/>
      <c r="W5167" s="92" t="s">
        <v>65</v>
      </c>
      <c r="X5167" s="93" t="s">
        <v>30</v>
      </c>
      <c r="Y5167" s="93" t="s">
        <v>1011</v>
      </c>
      <c r="Z5167" s="134">
        <f>VLOOKUP(W5167,Sheet2!$B:$D,3,FALSE)</f>
        <v>1.76</v>
      </c>
      <c r="AA5167" s="93">
        <f>AA5166/9</f>
        <v>0.51200327682097169</v>
      </c>
      <c r="AB5167" s="93">
        <f>AD5167/AC5164</f>
        <v>3.4374779999999996</v>
      </c>
      <c r="AC5167" s="93">
        <f>AC5164/AA5167</f>
        <v>0.87890062499999511</v>
      </c>
      <c r="AD5167" s="94">
        <f t="shared" si="3712"/>
        <v>1.5468650999999913</v>
      </c>
      <c r="AE5167" s="190"/>
      <c r="AF5167" s="191"/>
      <c r="AG5167" s="191"/>
      <c r="AH5167" s="191"/>
      <c r="AI5167" s="186"/>
      <c r="AK5167" s="171"/>
    </row>
    <row r="5168" spans="1:37" s="102" customFormat="1" ht="19.899999999999999" customHeight="1" x14ac:dyDescent="0.25">
      <c r="A5168" s="45"/>
      <c r="B5168" s="59"/>
      <c r="C5168" s="137"/>
      <c r="D5168" s="59"/>
      <c r="E5168" s="116"/>
      <c r="F5168" s="120"/>
      <c r="G5168" s="120"/>
      <c r="H5168" s="120"/>
      <c r="I5168" s="60"/>
      <c r="J5168" s="116"/>
      <c r="K5168" s="213"/>
      <c r="L5168" s="120"/>
      <c r="M5168" s="120"/>
      <c r="N5168" s="167"/>
      <c r="O5168" s="120"/>
      <c r="P5168" s="120"/>
      <c r="Q5168" s="120"/>
      <c r="R5168" s="120"/>
      <c r="S5168" s="120"/>
      <c r="T5168" s="221"/>
      <c r="U5168" s="89"/>
      <c r="V5168" s="61"/>
      <c r="W5168" s="92" t="s">
        <v>161</v>
      </c>
      <c r="X5168" s="93" t="s">
        <v>29</v>
      </c>
      <c r="Y5168" s="93" t="s">
        <v>93</v>
      </c>
      <c r="Z5168" s="134">
        <f>VLOOKUP(W5168,Sheet2!$B:$D,3,FALSE)</f>
        <v>48</v>
      </c>
      <c r="AA5168" s="93">
        <f>(16*0.85*1.5)/((3*3*3)-(3.14/4*1.5*1.5*3))</f>
        <v>0.94003801624330385</v>
      </c>
      <c r="AB5168" s="93">
        <f>AD5168/AC5164</f>
        <v>51.061764705882354</v>
      </c>
      <c r="AC5168" s="93">
        <f>AC5164/AA5168</f>
        <v>0.47870404411764444</v>
      </c>
      <c r="AD5168" s="94">
        <f>AC5168*Z5168</f>
        <v>22.977794117646933</v>
      </c>
      <c r="AE5168" s="190"/>
      <c r="AF5168" s="191"/>
      <c r="AG5168" s="191"/>
      <c r="AH5168" s="191"/>
      <c r="AI5168" s="186"/>
      <c r="AK5168" s="171"/>
    </row>
    <row r="5169" spans="1:41" s="102" customFormat="1" ht="19.899999999999999" customHeight="1" x14ac:dyDescent="0.25">
      <c r="A5169" s="45"/>
      <c r="B5169" s="59"/>
      <c r="C5169" s="137"/>
      <c r="D5169" s="59"/>
      <c r="E5169" s="116"/>
      <c r="F5169" s="120"/>
      <c r="G5169" s="120"/>
      <c r="H5169" s="120"/>
      <c r="I5169" s="60"/>
      <c r="J5169" s="116"/>
      <c r="K5169" s="213"/>
      <c r="L5169" s="120"/>
      <c r="M5169" s="120"/>
      <c r="N5169" s="167"/>
      <c r="O5169" s="120"/>
      <c r="P5169" s="120"/>
      <c r="Q5169" s="120"/>
      <c r="R5169" s="120"/>
      <c r="S5169" s="120"/>
      <c r="T5169" s="221"/>
      <c r="U5169" s="89"/>
      <c r="V5169" s="61"/>
      <c r="W5169" s="92" t="s">
        <v>65</v>
      </c>
      <c r="X5169" s="93" t="s">
        <v>30</v>
      </c>
      <c r="Y5169" s="93" t="s">
        <v>1011</v>
      </c>
      <c r="Z5169" s="134">
        <f>VLOOKUP(W5169,Sheet2!$B:$D,3,FALSE)</f>
        <v>1.76</v>
      </c>
      <c r="AA5169" s="93">
        <f>AA5168/10</f>
        <v>9.4003801624330391E-2</v>
      </c>
      <c r="AB5169" s="93">
        <f>AD5169/AC5164</f>
        <v>18.722647058823529</v>
      </c>
      <c r="AC5169" s="93">
        <f>AC5164/AA5169</f>
        <v>4.787040441176444</v>
      </c>
      <c r="AD5169" s="94">
        <f>AC5169*Z5169</f>
        <v>8.4251911764705412</v>
      </c>
      <c r="AE5169" s="190"/>
      <c r="AF5169" s="191"/>
      <c r="AG5169" s="191"/>
      <c r="AH5169" s="191"/>
      <c r="AI5169" s="186"/>
      <c r="AK5169" s="171"/>
    </row>
    <row r="5170" spans="1:41" s="102" customFormat="1" ht="19.899999999999999" customHeight="1" x14ac:dyDescent="0.25">
      <c r="A5170" s="45"/>
      <c r="B5170" s="59"/>
      <c r="C5170" s="137"/>
      <c r="D5170" s="59"/>
      <c r="E5170" s="116"/>
      <c r="F5170" s="120"/>
      <c r="G5170" s="120"/>
      <c r="H5170" s="120"/>
      <c r="I5170" s="60"/>
      <c r="J5170" s="116"/>
      <c r="K5170" s="213"/>
      <c r="L5170" s="120"/>
      <c r="M5170" s="120"/>
      <c r="N5170" s="167"/>
      <c r="O5170" s="120"/>
      <c r="P5170" s="120"/>
      <c r="Q5170" s="120"/>
      <c r="R5170" s="120"/>
      <c r="S5170" s="120"/>
      <c r="T5170" s="221"/>
      <c r="U5170" s="89"/>
      <c r="V5170" s="61"/>
      <c r="W5170" s="92" t="s">
        <v>173</v>
      </c>
      <c r="X5170" s="93" t="s">
        <v>29</v>
      </c>
      <c r="Y5170" s="93" t="s">
        <v>93</v>
      </c>
      <c r="Z5170" s="134">
        <f>VLOOKUP(W5170,Sheet2!$B:$D,3,FALSE)</f>
        <v>36</v>
      </c>
      <c r="AA5170" s="93">
        <f>50/((3*3*3)-(3.14/4*1.5*1.5*3))</f>
        <v>2.3040147456943725</v>
      </c>
      <c r="AB5170" s="93">
        <f>AD5170/AC5164</f>
        <v>15.624899999999998</v>
      </c>
      <c r="AC5170" s="93">
        <f>AC5164/AA5170</f>
        <v>0.19531124999999891</v>
      </c>
      <c r="AD5170" s="94">
        <f>AC5170*Z5170</f>
        <v>7.0312049999999608</v>
      </c>
      <c r="AE5170" s="190"/>
      <c r="AF5170" s="191"/>
      <c r="AG5170" s="191"/>
      <c r="AH5170" s="191"/>
      <c r="AI5170" s="186"/>
      <c r="AK5170" s="171"/>
    </row>
    <row r="5171" spans="1:41" s="102" customFormat="1" ht="19.899999999999999" customHeight="1" x14ac:dyDescent="0.25">
      <c r="A5171" s="45"/>
      <c r="B5171" s="59"/>
      <c r="C5171" s="137"/>
      <c r="D5171" s="59"/>
      <c r="E5171" s="116"/>
      <c r="F5171" s="120"/>
      <c r="G5171" s="120"/>
      <c r="H5171" s="120"/>
      <c r="I5171" s="60"/>
      <c r="J5171" s="116"/>
      <c r="K5171" s="213"/>
      <c r="L5171" s="120"/>
      <c r="M5171" s="120"/>
      <c r="N5171" s="167"/>
      <c r="O5171" s="120"/>
      <c r="P5171" s="120"/>
      <c r="Q5171" s="120"/>
      <c r="R5171" s="120"/>
      <c r="S5171" s="120"/>
      <c r="T5171" s="221"/>
      <c r="U5171" s="89"/>
      <c r="V5171" s="61"/>
      <c r="W5171" s="92" t="s">
        <v>65</v>
      </c>
      <c r="X5171" s="93" t="s">
        <v>30</v>
      </c>
      <c r="Y5171" s="93" t="s">
        <v>1011</v>
      </c>
      <c r="Z5171" s="134">
        <f>VLOOKUP(W5171,Sheet2!$B:$D,3,FALSE)</f>
        <v>1.76</v>
      </c>
      <c r="AA5171" s="93">
        <f>AA5170/9</f>
        <v>0.25600163841048584</v>
      </c>
      <c r="AB5171" s="93">
        <f>AD5171/AC5164</f>
        <v>6.8749559999999992</v>
      </c>
      <c r="AC5171" s="93">
        <f>AC5164/AA5171</f>
        <v>1.7578012499999902</v>
      </c>
      <c r="AD5171" s="94">
        <f>AC5171*Z5171</f>
        <v>3.0937301999999827</v>
      </c>
      <c r="AE5171" s="190"/>
      <c r="AF5171" s="191"/>
      <c r="AG5171" s="191"/>
      <c r="AH5171" s="191"/>
      <c r="AI5171" s="186"/>
      <c r="AK5171" s="171"/>
    </row>
    <row r="5172" spans="1:41" s="102" customFormat="1" ht="19.899999999999999" customHeight="1" x14ac:dyDescent="0.25">
      <c r="A5172" s="45"/>
      <c r="B5172" s="59"/>
      <c r="C5172" s="137"/>
      <c r="D5172" s="59"/>
      <c r="E5172" s="116"/>
      <c r="F5172" s="120"/>
      <c r="G5172" s="120"/>
      <c r="H5172" s="120"/>
      <c r="I5172" s="60"/>
      <c r="J5172" s="116"/>
      <c r="K5172" s="213"/>
      <c r="L5172" s="120"/>
      <c r="M5172" s="120"/>
      <c r="N5172" s="167"/>
      <c r="O5172" s="120"/>
      <c r="P5172" s="120"/>
      <c r="Q5172" s="120"/>
      <c r="R5172" s="120"/>
      <c r="S5172" s="120"/>
      <c r="T5172" s="221"/>
      <c r="U5172" s="89"/>
      <c r="V5172" s="61"/>
      <c r="W5172" s="92" t="s">
        <v>1030</v>
      </c>
      <c r="X5172" s="93" t="s">
        <v>29</v>
      </c>
      <c r="Y5172" s="93" t="s">
        <v>93</v>
      </c>
      <c r="Z5172" s="134">
        <f>VLOOKUP(W5172,Sheet2!$B:$D,3,FALSE)</f>
        <v>23</v>
      </c>
      <c r="AA5172" s="93">
        <f>1/(3*1)</f>
        <v>0.33333333333333331</v>
      </c>
      <c r="AB5172" s="93">
        <f>AD5172/AC5164</f>
        <v>69</v>
      </c>
      <c r="AC5172" s="93">
        <f>AC5164/AA5172</f>
        <v>1.3499999999999925</v>
      </c>
      <c r="AD5172" s="94">
        <f t="shared" ref="AD5172:AD5173" si="3714">AC5172*Z5172</f>
        <v>31.049999999999827</v>
      </c>
      <c r="AE5172" s="190"/>
      <c r="AF5172" s="191"/>
      <c r="AG5172" s="191"/>
      <c r="AH5172" s="191"/>
      <c r="AI5172" s="186"/>
      <c r="AK5172" s="171"/>
    </row>
    <row r="5173" spans="1:41" s="102" customFormat="1" ht="19.899999999999999" customHeight="1" x14ac:dyDescent="0.25">
      <c r="A5173" s="45"/>
      <c r="B5173" s="59"/>
      <c r="C5173" s="137"/>
      <c r="D5173" s="59"/>
      <c r="E5173" s="116"/>
      <c r="F5173" s="120"/>
      <c r="G5173" s="120"/>
      <c r="H5173" s="120"/>
      <c r="I5173" s="60"/>
      <c r="J5173" s="116"/>
      <c r="K5173" s="213"/>
      <c r="L5173" s="120"/>
      <c r="M5173" s="120"/>
      <c r="N5173" s="167"/>
      <c r="O5173" s="120"/>
      <c r="P5173" s="120"/>
      <c r="Q5173" s="120"/>
      <c r="R5173" s="120"/>
      <c r="S5173" s="120"/>
      <c r="T5173" s="221"/>
      <c r="U5173" s="89"/>
      <c r="V5173" s="61"/>
      <c r="W5173" s="92" t="s">
        <v>65</v>
      </c>
      <c r="X5173" s="93" t="s">
        <v>30</v>
      </c>
      <c r="Y5173" s="93" t="s">
        <v>1011</v>
      </c>
      <c r="Z5173" s="134">
        <f>VLOOKUP(W5173,Sheet2!$B:$D,3,FALSE)</f>
        <v>1.76</v>
      </c>
      <c r="AA5173" s="93">
        <f>AA5172/3</f>
        <v>0.1111111111111111</v>
      </c>
      <c r="AB5173" s="93">
        <f>AD5173/AC5164</f>
        <v>15.840000000000002</v>
      </c>
      <c r="AC5173" s="93">
        <f>AC5164/AA5173</f>
        <v>4.0499999999999776</v>
      </c>
      <c r="AD5173" s="94">
        <f t="shared" si="3714"/>
        <v>7.127999999999961</v>
      </c>
      <c r="AE5173" s="190"/>
      <c r="AF5173" s="191"/>
      <c r="AG5173" s="191"/>
      <c r="AH5173" s="191"/>
      <c r="AI5173" s="186"/>
      <c r="AK5173" s="171"/>
    </row>
    <row r="5174" spans="1:41" ht="20.100000000000001" customHeight="1" x14ac:dyDescent="0.25">
      <c r="A5174" s="277" t="s">
        <v>491</v>
      </c>
      <c r="B5174" s="278"/>
      <c r="C5174" s="64" t="s">
        <v>577</v>
      </c>
      <c r="D5174" s="46" t="s">
        <v>215</v>
      </c>
      <c r="E5174" s="114">
        <v>0.17999999999999972</v>
      </c>
      <c r="F5174" s="44">
        <v>36757</v>
      </c>
      <c r="G5174" s="44">
        <f t="shared" si="3471"/>
        <v>6616.2599999999893</v>
      </c>
      <c r="H5174" s="44">
        <f t="shared" si="3472"/>
        <v>9413.7785277058829</v>
      </c>
      <c r="I5174" s="43">
        <f t="shared" si="3473"/>
        <v>1694.4801349870563</v>
      </c>
      <c r="J5174" s="112">
        <f t="shared" si="3474"/>
        <v>0.17999999999999972</v>
      </c>
      <c r="K5174" s="211">
        <f t="shared" si="3475"/>
        <v>0.17999999999999972</v>
      </c>
      <c r="L5174" s="44"/>
      <c r="M5174" s="44">
        <f t="shared" si="3499"/>
        <v>0.17999999999999972</v>
      </c>
      <c r="N5174" s="173">
        <f t="shared" si="3476"/>
        <v>1</v>
      </c>
      <c r="O5174" s="44">
        <f t="shared" si="3477"/>
        <v>36757</v>
      </c>
      <c r="P5174" s="44">
        <f t="shared" si="3478"/>
        <v>6616.2599999999893</v>
      </c>
      <c r="Q5174" s="44">
        <f t="shared" si="3479"/>
        <v>9413.7785277058829</v>
      </c>
      <c r="R5174" s="44">
        <f t="shared" si="3500"/>
        <v>1694.4801349870563</v>
      </c>
      <c r="S5174" s="123"/>
      <c r="T5174" s="219">
        <f t="shared" si="3501"/>
        <v>1694.4801349870563</v>
      </c>
      <c r="U5174" s="87"/>
      <c r="V5174" s="47"/>
      <c r="W5174" s="48"/>
      <c r="X5174" s="48"/>
      <c r="Y5174" s="48"/>
      <c r="Z5174" s="135"/>
      <c r="AA5174" s="49"/>
      <c r="AB5174" s="50">
        <f t="shared" si="3480"/>
        <v>9413.7785277058829</v>
      </c>
      <c r="AC5174" s="42">
        <f t="shared" si="3502"/>
        <v>0.17999999999999972</v>
      </c>
      <c r="AD5174" s="90">
        <f>AD5175+AD5180+AD5187+AD5194</f>
        <v>1694.4801349870561</v>
      </c>
      <c r="AE5174" s="188">
        <f t="shared" ref="AE5174" si="3715">AE5175+AE5180+AE5187+AE5194</f>
        <v>0</v>
      </c>
      <c r="AF5174" s="189">
        <f t="shared" ref="AF5174" si="3716">AF5175+AF5180+AF5187+AF5194</f>
        <v>0</v>
      </c>
      <c r="AG5174" s="189">
        <f t="shared" ref="AG5174" si="3717">AG5175+AG5180+AG5187+AG5194</f>
        <v>0</v>
      </c>
      <c r="AH5174" s="189">
        <f t="shared" ref="AH5174" si="3718">AH5175+AH5180+AH5187+AH5194</f>
        <v>0</v>
      </c>
      <c r="AI5174" s="161">
        <f t="shared" ref="AI5174" si="3719">SUM(AE5174:AH5174)</f>
        <v>0</v>
      </c>
      <c r="AK5174" s="169">
        <v>5</v>
      </c>
      <c r="AO5174" s="19" t="s">
        <v>63</v>
      </c>
    </row>
    <row r="5175" spans="1:41" s="103" customFormat="1" ht="19.899999999999999" customHeight="1" x14ac:dyDescent="0.25">
      <c r="A5175" s="51"/>
      <c r="B5175" s="52"/>
      <c r="C5175" s="165"/>
      <c r="D5175" s="52"/>
      <c r="E5175" s="115"/>
      <c r="F5175" s="58"/>
      <c r="G5175" s="58"/>
      <c r="H5175" s="58"/>
      <c r="I5175" s="55"/>
      <c r="J5175" s="113">
        <f>J5174</f>
        <v>0.17999999999999972</v>
      </c>
      <c r="K5175" s="212">
        <f>K5174</f>
        <v>0.17999999999999972</v>
      </c>
      <c r="L5175" s="58"/>
      <c r="M5175" s="58">
        <f>K5175-L5175</f>
        <v>0.17999999999999972</v>
      </c>
      <c r="N5175" s="166"/>
      <c r="O5175" s="58"/>
      <c r="P5175" s="58"/>
      <c r="Q5175" s="58"/>
      <c r="R5175" s="58"/>
      <c r="S5175" s="58"/>
      <c r="T5175" s="220"/>
      <c r="U5175" s="88"/>
      <c r="V5175" s="56"/>
      <c r="W5175" s="57" t="s">
        <v>1512</v>
      </c>
      <c r="X5175" s="53"/>
      <c r="Y5175" s="91" t="s">
        <v>35</v>
      </c>
      <c r="Z5175" s="136">
        <f>AD5175/AC5175</f>
        <v>126.69571764705884</v>
      </c>
      <c r="AA5175" s="58"/>
      <c r="AB5175" s="53">
        <f>AD5175/AC5175</f>
        <v>126.69571764705884</v>
      </c>
      <c r="AC5175" s="53">
        <f>M5175+$AE$10</f>
        <v>0.17999999999999972</v>
      </c>
      <c r="AD5175" s="54">
        <f>SUM(AD5176:AD5179)</f>
        <v>22.805229176470554</v>
      </c>
      <c r="AE5175" s="184">
        <f>SUMIFS($AD$37:$AD$12971,$V$37:$V$12971,$V5175,$X$37:$X$12971,AE$13)</f>
        <v>0</v>
      </c>
      <c r="AF5175" s="185">
        <f>SUMIFS($AD$37:$AD$12971,$V$37:$V$12971,$V5175,$X$37:$X$12971,AF$13)</f>
        <v>0</v>
      </c>
      <c r="AG5175" s="185">
        <f>SUMIFS($AD$37:$AD$12971,$V$37:$V$12971,$V5175,$X$37:$X$12971,AG$13)</f>
        <v>0</v>
      </c>
      <c r="AH5175" s="187">
        <f>SUMIFS($AD$37:$AD$12971,$V$37:$V$12971,$V5175,$X$37:$X$12971,AH$13)</f>
        <v>0</v>
      </c>
      <c r="AI5175" s="161">
        <f t="shared" ref="AI5175" si="3720">SUM(AE5175:AH5175)</f>
        <v>0</v>
      </c>
      <c r="AK5175" s="172"/>
    </row>
    <row r="5176" spans="1:41" s="102" customFormat="1" ht="19.899999999999999" customHeight="1" x14ac:dyDescent="0.25">
      <c r="A5176" s="45"/>
      <c r="B5176" s="59"/>
      <c r="C5176" s="137"/>
      <c r="D5176" s="59"/>
      <c r="E5176" s="116"/>
      <c r="F5176" s="120"/>
      <c r="G5176" s="120"/>
      <c r="H5176" s="120"/>
      <c r="I5176" s="60"/>
      <c r="J5176" s="116"/>
      <c r="K5176" s="213"/>
      <c r="L5176" s="120"/>
      <c r="M5176" s="120"/>
      <c r="N5176" s="167"/>
      <c r="O5176" s="120"/>
      <c r="P5176" s="120"/>
      <c r="Q5176" s="120"/>
      <c r="R5176" s="120"/>
      <c r="S5176" s="120"/>
      <c r="T5176" s="221"/>
      <c r="U5176" s="89"/>
      <c r="V5176" s="61"/>
      <c r="W5176" s="92" t="s">
        <v>129</v>
      </c>
      <c r="X5176" s="93" t="s">
        <v>29</v>
      </c>
      <c r="Y5176" s="93" t="s">
        <v>93</v>
      </c>
      <c r="Z5176" s="134">
        <f>VLOOKUP(W5176,Sheet2!$B:$D,3,FALSE)</f>
        <v>56</v>
      </c>
      <c r="AA5176" s="93">
        <f>100/(3*3*3.5)</f>
        <v>3.1746031746031744</v>
      </c>
      <c r="AB5176" s="93">
        <f t="shared" ref="AB5176" si="3721">AD5176/AC5175</f>
        <v>17.64</v>
      </c>
      <c r="AC5176" s="93">
        <f>AC5175/AA5176</f>
        <v>5.669999999999991E-2</v>
      </c>
      <c r="AD5176" s="94">
        <f t="shared" ref="AD5176:AD5177" si="3722">AC5176*Z5176</f>
        <v>3.1751999999999949</v>
      </c>
      <c r="AE5176" s="190"/>
      <c r="AF5176" s="191"/>
      <c r="AG5176" s="191"/>
      <c r="AH5176" s="191"/>
      <c r="AI5176" s="186"/>
      <c r="AK5176" s="171"/>
    </row>
    <row r="5177" spans="1:41" s="102" customFormat="1" ht="19.899999999999999" customHeight="1" x14ac:dyDescent="0.25">
      <c r="A5177" s="45"/>
      <c r="B5177" s="59"/>
      <c r="C5177" s="137"/>
      <c r="D5177" s="59"/>
      <c r="E5177" s="116"/>
      <c r="F5177" s="120"/>
      <c r="G5177" s="120"/>
      <c r="H5177" s="120"/>
      <c r="I5177" s="60"/>
      <c r="J5177" s="116"/>
      <c r="K5177" s="213"/>
      <c r="L5177" s="120"/>
      <c r="M5177" s="120"/>
      <c r="N5177" s="167"/>
      <c r="O5177" s="120"/>
      <c r="P5177" s="120"/>
      <c r="Q5177" s="120"/>
      <c r="R5177" s="120"/>
      <c r="S5177" s="120"/>
      <c r="T5177" s="221"/>
      <c r="U5177" s="89"/>
      <c r="V5177" s="61"/>
      <c r="W5177" s="92" t="s">
        <v>65</v>
      </c>
      <c r="X5177" s="93" t="s">
        <v>30</v>
      </c>
      <c r="Y5177" s="93" t="s">
        <v>1011</v>
      </c>
      <c r="Z5177" s="134">
        <f>VLOOKUP(W5177,Sheet2!$B:$D,3,FALSE)</f>
        <v>1.76</v>
      </c>
      <c r="AA5177" s="93">
        <f>AA5176/14</f>
        <v>0.22675736961451246</v>
      </c>
      <c r="AB5177" s="93">
        <f>AD5177/AC5175</f>
        <v>7.7616000000000005</v>
      </c>
      <c r="AC5177" s="93">
        <f>AC5175/AA5177</f>
        <v>0.79379999999999884</v>
      </c>
      <c r="AD5177" s="94">
        <f t="shared" si="3722"/>
        <v>1.3970879999999979</v>
      </c>
      <c r="AE5177" s="190"/>
      <c r="AF5177" s="191"/>
      <c r="AG5177" s="191"/>
      <c r="AH5177" s="191"/>
      <c r="AI5177" s="186"/>
      <c r="AK5177" s="171"/>
    </row>
    <row r="5178" spans="1:41" s="102" customFormat="1" ht="19.899999999999999" customHeight="1" x14ac:dyDescent="0.25">
      <c r="A5178" s="45"/>
      <c r="B5178" s="59"/>
      <c r="C5178" s="137"/>
      <c r="D5178" s="59"/>
      <c r="E5178" s="116"/>
      <c r="F5178" s="120"/>
      <c r="G5178" s="120"/>
      <c r="H5178" s="120"/>
      <c r="I5178" s="60"/>
      <c r="J5178" s="116"/>
      <c r="K5178" s="213"/>
      <c r="L5178" s="120"/>
      <c r="M5178" s="120"/>
      <c r="N5178" s="167"/>
      <c r="O5178" s="120"/>
      <c r="P5178" s="120"/>
      <c r="Q5178" s="120"/>
      <c r="R5178" s="120"/>
      <c r="S5178" s="120"/>
      <c r="T5178" s="221"/>
      <c r="U5178" s="89"/>
      <c r="V5178" s="61"/>
      <c r="W5178" s="92" t="s">
        <v>161</v>
      </c>
      <c r="X5178" s="93" t="s">
        <v>29</v>
      </c>
      <c r="Y5178" s="93" t="s">
        <v>93</v>
      </c>
      <c r="Z5178" s="134">
        <f>VLOOKUP(W5178,Sheet2!$B:$D,3,FALSE)</f>
        <v>48</v>
      </c>
      <c r="AA5178" s="93">
        <f>(16*0.85*1.5)/(3*3*3.5)</f>
        <v>0.64761904761904754</v>
      </c>
      <c r="AB5178" s="93">
        <f>AD5178/AC5175</f>
        <v>74.117647058823536</v>
      </c>
      <c r="AC5178" s="93">
        <f>AC5175/AA5178</f>
        <v>0.27794117647058786</v>
      </c>
      <c r="AD5178" s="94">
        <f>AC5178*Z5178</f>
        <v>13.341176470588216</v>
      </c>
      <c r="AE5178" s="190"/>
      <c r="AF5178" s="191"/>
      <c r="AG5178" s="191"/>
      <c r="AH5178" s="191"/>
      <c r="AI5178" s="186"/>
      <c r="AK5178" s="171"/>
    </row>
    <row r="5179" spans="1:41" s="102" customFormat="1" ht="19.899999999999999" customHeight="1" x14ac:dyDescent="0.25">
      <c r="A5179" s="45"/>
      <c r="B5179" s="59"/>
      <c r="C5179" s="137"/>
      <c r="D5179" s="59"/>
      <c r="E5179" s="116"/>
      <c r="F5179" s="120"/>
      <c r="G5179" s="120"/>
      <c r="H5179" s="120"/>
      <c r="I5179" s="60"/>
      <c r="J5179" s="116"/>
      <c r="K5179" s="213"/>
      <c r="L5179" s="120"/>
      <c r="M5179" s="120"/>
      <c r="N5179" s="167"/>
      <c r="O5179" s="120"/>
      <c r="P5179" s="120"/>
      <c r="Q5179" s="120"/>
      <c r="R5179" s="120"/>
      <c r="S5179" s="120"/>
      <c r="T5179" s="221"/>
      <c r="U5179" s="89"/>
      <c r="V5179" s="61"/>
      <c r="W5179" s="92" t="s">
        <v>65</v>
      </c>
      <c r="X5179" s="93" t="s">
        <v>30</v>
      </c>
      <c r="Y5179" s="93" t="s">
        <v>1011</v>
      </c>
      <c r="Z5179" s="134">
        <f>VLOOKUP(W5179,Sheet2!$B:$D,3,FALSE)</f>
        <v>1.76</v>
      </c>
      <c r="AA5179" s="93">
        <f>AA5178/10</f>
        <v>6.4761904761904757E-2</v>
      </c>
      <c r="AB5179" s="93">
        <f>AD5179/AC5175</f>
        <v>27.176470588235297</v>
      </c>
      <c r="AC5179" s="93">
        <f>AC5175/AA5179</f>
        <v>2.7794117647058783</v>
      </c>
      <c r="AD5179" s="94">
        <f>AC5179*Z5179</f>
        <v>4.8917647058823457</v>
      </c>
      <c r="AE5179" s="190"/>
      <c r="AF5179" s="191"/>
      <c r="AG5179" s="191"/>
      <c r="AH5179" s="191"/>
      <c r="AI5179" s="186"/>
      <c r="AK5179" s="171"/>
    </row>
    <row r="5180" spans="1:41" s="103" customFormat="1" ht="19.899999999999999" customHeight="1" x14ac:dyDescent="0.25">
      <c r="A5180" s="51"/>
      <c r="B5180" s="52"/>
      <c r="C5180" s="165"/>
      <c r="D5180" s="52"/>
      <c r="E5180" s="115"/>
      <c r="F5180" s="58"/>
      <c r="G5180" s="58"/>
      <c r="H5180" s="58"/>
      <c r="I5180" s="55"/>
      <c r="J5180" s="113">
        <f>J5174</f>
        <v>0.17999999999999972</v>
      </c>
      <c r="K5180" s="212">
        <f>K5174</f>
        <v>0.17999999999999972</v>
      </c>
      <c r="L5180" s="58"/>
      <c r="M5180" s="58">
        <f>K5180-L5180</f>
        <v>0.17999999999999972</v>
      </c>
      <c r="N5180" s="166"/>
      <c r="O5180" s="58"/>
      <c r="P5180" s="58"/>
      <c r="Q5180" s="58"/>
      <c r="R5180" s="58"/>
      <c r="S5180" s="58"/>
      <c r="T5180" s="220"/>
      <c r="U5180" s="88"/>
      <c r="V5180" s="56"/>
      <c r="W5180" s="57" t="s">
        <v>1486</v>
      </c>
      <c r="X5180" s="53"/>
      <c r="Y5180" s="91" t="s">
        <v>35</v>
      </c>
      <c r="Z5180" s="136">
        <f>AD5180/AC5180</f>
        <v>1883.8375000000003</v>
      </c>
      <c r="AA5180" s="58"/>
      <c r="AB5180" s="53">
        <f>AD5180/AC5180</f>
        <v>1883.8375000000003</v>
      </c>
      <c r="AC5180" s="53">
        <f>M5180+$AE$10</f>
        <v>0.17999999999999972</v>
      </c>
      <c r="AD5180" s="54">
        <f>SUM(AD5181:AD5186)</f>
        <v>339.0907499999995</v>
      </c>
      <c r="AE5180" s="184">
        <f>SUMIFS($AD$37:$AD$12971,$V$37:$V$12971,$V5180,$X$37:$X$12971,AE$13)</f>
        <v>0</v>
      </c>
      <c r="AF5180" s="185">
        <f>SUMIFS($AD$37:$AD$12971,$V$37:$V$12971,$V5180,$X$37:$X$12971,AF$13)</f>
        <v>0</v>
      </c>
      <c r="AG5180" s="185">
        <f>SUMIFS($AD$37:$AD$12971,$V$37:$V$12971,$V5180,$X$37:$X$12971,AG$13)</f>
        <v>0</v>
      </c>
      <c r="AH5180" s="187">
        <f>SUMIFS($AD$37:$AD$12971,$V$37:$V$12971,$V5180,$X$37:$X$12971,AH$13)</f>
        <v>0</v>
      </c>
      <c r="AI5180" s="161">
        <f t="shared" ref="AI5180" si="3723">SUM(AE5180:AH5180)</f>
        <v>0</v>
      </c>
      <c r="AK5180" s="172"/>
    </row>
    <row r="5181" spans="1:41" s="102" customFormat="1" ht="19.899999999999999" customHeight="1" x14ac:dyDescent="0.25">
      <c r="A5181" s="45"/>
      <c r="B5181" s="59"/>
      <c r="C5181" s="137"/>
      <c r="D5181" s="59"/>
      <c r="E5181" s="116"/>
      <c r="F5181" s="120"/>
      <c r="G5181" s="120"/>
      <c r="H5181" s="120"/>
      <c r="I5181" s="60"/>
      <c r="J5181" s="116"/>
      <c r="K5181" s="213"/>
      <c r="L5181" s="120"/>
      <c r="M5181" s="120"/>
      <c r="N5181" s="167"/>
      <c r="O5181" s="120"/>
      <c r="P5181" s="120"/>
      <c r="Q5181" s="120"/>
      <c r="R5181" s="120"/>
      <c r="S5181" s="120"/>
      <c r="T5181" s="221"/>
      <c r="U5181" s="89"/>
      <c r="V5181" s="61"/>
      <c r="W5181" s="92" t="s">
        <v>1032</v>
      </c>
      <c r="X5181" s="93" t="s">
        <v>30</v>
      </c>
      <c r="Y5181" s="93" t="s">
        <v>66</v>
      </c>
      <c r="Z5181" s="134">
        <f>VLOOKUP(W5181,Sheet2!$B:$D,3,FALSE)</f>
        <v>250</v>
      </c>
      <c r="AA5181" s="93">
        <f>1/(2.4*2.4*0.1)</f>
        <v>1.7361111111111112</v>
      </c>
      <c r="AB5181" s="93">
        <f>AD5181/AC5187</f>
        <v>143.99999999999997</v>
      </c>
      <c r="AC5181" s="93">
        <f>AC5187/AA5181</f>
        <v>0.10367999999999983</v>
      </c>
      <c r="AD5181" s="94">
        <f t="shared" ref="AD5181:AD5183" si="3724">AC5181*Z5181</f>
        <v>25.919999999999956</v>
      </c>
      <c r="AE5181" s="190"/>
      <c r="AF5181" s="191"/>
      <c r="AG5181" s="191"/>
      <c r="AH5181" s="191"/>
      <c r="AI5181" s="186"/>
      <c r="AK5181" s="171"/>
    </row>
    <row r="5182" spans="1:41" s="102" customFormat="1" ht="19.899999999999999" customHeight="1" x14ac:dyDescent="0.25">
      <c r="A5182" s="45"/>
      <c r="B5182" s="59"/>
      <c r="C5182" s="137"/>
      <c r="D5182" s="59"/>
      <c r="E5182" s="116"/>
      <c r="F5182" s="120"/>
      <c r="G5182" s="120"/>
      <c r="H5182" s="120"/>
      <c r="I5182" s="60"/>
      <c r="J5182" s="116"/>
      <c r="K5182" s="213"/>
      <c r="L5182" s="120"/>
      <c r="M5182" s="120"/>
      <c r="N5182" s="167"/>
      <c r="O5182" s="120"/>
      <c r="P5182" s="120"/>
      <c r="Q5182" s="120"/>
      <c r="R5182" s="120"/>
      <c r="S5182" s="120"/>
      <c r="T5182" s="221"/>
      <c r="U5182" s="89"/>
      <c r="V5182" s="61"/>
      <c r="W5182" s="92" t="s">
        <v>1353</v>
      </c>
      <c r="X5182" s="93" t="s">
        <v>30</v>
      </c>
      <c r="Y5182" s="93" t="s">
        <v>66</v>
      </c>
      <c r="Z5182" s="134">
        <f>VLOOKUP(W5182,Sheet2!$B:$D,3,FALSE)</f>
        <v>350</v>
      </c>
      <c r="AA5182" s="93">
        <f>1/(2.3*2.3*0.3)</f>
        <v>0.63011972274732209</v>
      </c>
      <c r="AB5182" s="93">
        <f>AD5182/AC5187</f>
        <v>555.44999999999993</v>
      </c>
      <c r="AC5182" s="93">
        <f>AC5187/AA5182</f>
        <v>0.28565999999999953</v>
      </c>
      <c r="AD5182" s="94">
        <f t="shared" si="3724"/>
        <v>99.980999999999838</v>
      </c>
      <c r="AE5182" s="190"/>
      <c r="AF5182" s="191"/>
      <c r="AG5182" s="191"/>
      <c r="AH5182" s="191"/>
      <c r="AI5182" s="186"/>
      <c r="AK5182" s="171"/>
    </row>
    <row r="5183" spans="1:41" s="102" customFormat="1" ht="19.899999999999999" customHeight="1" x14ac:dyDescent="0.25">
      <c r="A5183" s="45"/>
      <c r="B5183" s="59"/>
      <c r="C5183" s="137"/>
      <c r="D5183" s="59"/>
      <c r="E5183" s="116"/>
      <c r="F5183" s="120"/>
      <c r="G5183" s="120"/>
      <c r="H5183" s="120"/>
      <c r="I5183" s="60"/>
      <c r="J5183" s="116"/>
      <c r="K5183" s="213"/>
      <c r="L5183" s="120"/>
      <c r="M5183" s="120"/>
      <c r="N5183" s="167"/>
      <c r="O5183" s="120"/>
      <c r="P5183" s="120"/>
      <c r="Q5183" s="120"/>
      <c r="R5183" s="120"/>
      <c r="S5183" s="120"/>
      <c r="T5183" s="221"/>
      <c r="U5183" s="89"/>
      <c r="V5183" s="61"/>
      <c r="W5183" s="92" t="s">
        <v>99</v>
      </c>
      <c r="X5183" s="93" t="s">
        <v>30</v>
      </c>
      <c r="Y5183" s="93" t="s">
        <v>67</v>
      </c>
      <c r="Z5183" s="134">
        <f>VLOOKUP(W5183,Sheet2!$B:$D,3,FALSE)</f>
        <v>2500</v>
      </c>
      <c r="AA5183" s="93">
        <f>AA5182/0.08</f>
        <v>7.8764965343415261</v>
      </c>
      <c r="AB5183" s="93">
        <f>AD5183/AC5187</f>
        <v>317.39999999999998</v>
      </c>
      <c r="AC5183" s="93">
        <f>AC5187/AA5183</f>
        <v>2.2852799999999961E-2</v>
      </c>
      <c r="AD5183" s="94">
        <f t="shared" si="3724"/>
        <v>57.131999999999906</v>
      </c>
      <c r="AE5183" s="190"/>
      <c r="AF5183" s="191"/>
      <c r="AG5183" s="191"/>
      <c r="AH5183" s="191"/>
      <c r="AI5183" s="186"/>
      <c r="AK5183" s="171"/>
    </row>
    <row r="5184" spans="1:41" s="102" customFormat="1" ht="19.899999999999999" customHeight="1" x14ac:dyDescent="0.25">
      <c r="A5184" s="45"/>
      <c r="B5184" s="59"/>
      <c r="C5184" s="137"/>
      <c r="D5184" s="59"/>
      <c r="E5184" s="116"/>
      <c r="F5184" s="120"/>
      <c r="G5184" s="120"/>
      <c r="H5184" s="120"/>
      <c r="I5184" s="60"/>
      <c r="J5184" s="116"/>
      <c r="K5184" s="213"/>
      <c r="L5184" s="120"/>
      <c r="M5184" s="120"/>
      <c r="N5184" s="167"/>
      <c r="O5184" s="120"/>
      <c r="P5184" s="120"/>
      <c r="Q5184" s="120"/>
      <c r="R5184" s="120"/>
      <c r="S5184" s="120"/>
      <c r="T5184" s="221"/>
      <c r="U5184" s="89"/>
      <c r="V5184" s="61"/>
      <c r="W5184" s="92" t="s">
        <v>1354</v>
      </c>
      <c r="X5184" s="93" t="s">
        <v>32</v>
      </c>
      <c r="Y5184" s="93" t="s">
        <v>66</v>
      </c>
      <c r="Z5184" s="134">
        <f>VLOOKUP(W5184,Sheet2!$B:$D,3,FALSE)</f>
        <v>150</v>
      </c>
      <c r="AA5184" s="93">
        <f>AA5181</f>
        <v>1.7361111111111112</v>
      </c>
      <c r="AB5184" s="93">
        <f>AD5184/AC5187</f>
        <v>86.399999999999991</v>
      </c>
      <c r="AC5184" s="93">
        <f>AC5187/AA5184</f>
        <v>0.10367999999999983</v>
      </c>
      <c r="AD5184" s="94">
        <f>AC5184*Z5184</f>
        <v>15.551999999999975</v>
      </c>
      <c r="AE5184" s="190"/>
      <c r="AF5184" s="191"/>
      <c r="AG5184" s="191"/>
      <c r="AH5184" s="191"/>
      <c r="AI5184" s="186"/>
      <c r="AK5184" s="171"/>
    </row>
    <row r="5185" spans="1:37" s="102" customFormat="1" ht="19.899999999999999" customHeight="1" x14ac:dyDescent="0.25">
      <c r="A5185" s="45"/>
      <c r="B5185" s="59"/>
      <c r="C5185" s="137"/>
      <c r="D5185" s="59"/>
      <c r="E5185" s="116"/>
      <c r="F5185" s="120"/>
      <c r="G5185" s="120"/>
      <c r="H5185" s="120"/>
      <c r="I5185" s="60"/>
      <c r="J5185" s="116"/>
      <c r="K5185" s="213"/>
      <c r="L5185" s="120"/>
      <c r="M5185" s="120"/>
      <c r="N5185" s="167"/>
      <c r="O5185" s="120"/>
      <c r="P5185" s="120"/>
      <c r="Q5185" s="120"/>
      <c r="R5185" s="120"/>
      <c r="S5185" s="120"/>
      <c r="T5185" s="221"/>
      <c r="U5185" s="89"/>
      <c r="V5185" s="61"/>
      <c r="W5185" s="92" t="s">
        <v>1355</v>
      </c>
      <c r="X5185" s="93" t="s">
        <v>32</v>
      </c>
      <c r="Y5185" s="93" t="s">
        <v>66</v>
      </c>
      <c r="Z5185" s="134">
        <f>VLOOKUP(W5185,Sheet2!$B:$D,3,FALSE)</f>
        <v>450</v>
      </c>
      <c r="AA5185" s="93">
        <f>AA5182</f>
        <v>0.63011972274732209</v>
      </c>
      <c r="AB5185" s="93">
        <f>AD5185/AC5187</f>
        <v>714.15</v>
      </c>
      <c r="AC5185" s="93">
        <f>AC5187/AA5185</f>
        <v>0.28565999999999953</v>
      </c>
      <c r="AD5185" s="94">
        <f>AC5185*Z5185</f>
        <v>128.5469999999998</v>
      </c>
      <c r="AE5185" s="190"/>
      <c r="AF5185" s="191"/>
      <c r="AG5185" s="191"/>
      <c r="AH5185" s="191"/>
      <c r="AI5185" s="186"/>
      <c r="AK5185" s="171"/>
    </row>
    <row r="5186" spans="1:37" s="102" customFormat="1" ht="19.899999999999999" customHeight="1" x14ac:dyDescent="0.25">
      <c r="A5186" s="45"/>
      <c r="B5186" s="59"/>
      <c r="C5186" s="137"/>
      <c r="D5186" s="59"/>
      <c r="E5186" s="116"/>
      <c r="F5186" s="120"/>
      <c r="G5186" s="120"/>
      <c r="H5186" s="120"/>
      <c r="I5186" s="60"/>
      <c r="J5186" s="116"/>
      <c r="K5186" s="213"/>
      <c r="L5186" s="120"/>
      <c r="M5186" s="120"/>
      <c r="N5186" s="167"/>
      <c r="O5186" s="120"/>
      <c r="P5186" s="120"/>
      <c r="Q5186" s="120"/>
      <c r="R5186" s="120"/>
      <c r="S5186" s="120"/>
      <c r="T5186" s="221"/>
      <c r="U5186" s="89"/>
      <c r="V5186" s="61"/>
      <c r="W5186" s="92" t="s">
        <v>124</v>
      </c>
      <c r="X5186" s="93" t="s">
        <v>32</v>
      </c>
      <c r="Y5186" s="93" t="s">
        <v>64</v>
      </c>
      <c r="Z5186" s="134">
        <f>VLOOKUP(W5186,Sheet2!$B:$D,3,FALSE)</f>
        <v>10</v>
      </c>
      <c r="AA5186" s="93">
        <f>1/((2.9*2.9)-(3.14*1.5*1.5/4))</f>
        <v>0.15051740357478832</v>
      </c>
      <c r="AB5186" s="93">
        <f t="shared" ref="AB5186" si="3725">AD5186/AC5180</f>
        <v>66.437500000000014</v>
      </c>
      <c r="AC5186" s="93">
        <f>AC5180/AA5186</f>
        <v>1.1958749999999982</v>
      </c>
      <c r="AD5186" s="94">
        <f t="shared" ref="AD5186" si="3726">AC5186*Z5186</f>
        <v>11.958749999999982</v>
      </c>
      <c r="AE5186" s="190"/>
      <c r="AF5186" s="191"/>
      <c r="AG5186" s="191"/>
      <c r="AH5186" s="191"/>
      <c r="AI5186" s="186"/>
      <c r="AK5186" s="171"/>
    </row>
    <row r="5187" spans="1:37" s="103" customFormat="1" ht="19.899999999999999" customHeight="1" x14ac:dyDescent="0.25">
      <c r="A5187" s="51"/>
      <c r="B5187" s="52"/>
      <c r="C5187" s="165"/>
      <c r="D5187" s="52"/>
      <c r="E5187" s="115"/>
      <c r="F5187" s="58"/>
      <c r="G5187" s="58"/>
      <c r="H5187" s="58"/>
      <c r="I5187" s="55"/>
      <c r="J5187" s="113">
        <f>J5174</f>
        <v>0.17999999999999972</v>
      </c>
      <c r="K5187" s="212">
        <f>K5174</f>
        <v>0.17999999999999972</v>
      </c>
      <c r="L5187" s="58"/>
      <c r="M5187" s="58">
        <f>K5187-L5187</f>
        <v>0.17999999999999972</v>
      </c>
      <c r="N5187" s="166"/>
      <c r="O5187" s="58"/>
      <c r="P5187" s="58"/>
      <c r="Q5187" s="58"/>
      <c r="R5187" s="58"/>
      <c r="S5187" s="58"/>
      <c r="T5187" s="220"/>
      <c r="U5187" s="88"/>
      <c r="V5187" s="56"/>
      <c r="W5187" s="57" t="s">
        <v>1275</v>
      </c>
      <c r="X5187" s="53"/>
      <c r="Y5187" s="91" t="s">
        <v>35</v>
      </c>
      <c r="Z5187" s="136">
        <f>AD5187/AC5187</f>
        <v>6922.8</v>
      </c>
      <c r="AA5187" s="58"/>
      <c r="AB5187" s="53">
        <f>AD5187/AC5187</f>
        <v>6922.8</v>
      </c>
      <c r="AC5187" s="53">
        <f>M5187+$AE$10</f>
        <v>0.17999999999999972</v>
      </c>
      <c r="AD5187" s="54">
        <f>SUM(AD5188:AD5193)</f>
        <v>1246.103999999998</v>
      </c>
      <c r="AE5187" s="184">
        <f>SUMIFS($AD$37:$AD$12971,$V$37:$V$12971,$V5187,$X$37:$X$12971,AE$13)</f>
        <v>0</v>
      </c>
      <c r="AF5187" s="185">
        <f>SUMIFS($AD$37:$AD$12971,$V$37:$V$12971,$V5187,$X$37:$X$12971,AF$13)</f>
        <v>0</v>
      </c>
      <c r="AG5187" s="185">
        <f>SUMIFS($AD$37:$AD$12971,$V$37:$V$12971,$V5187,$X$37:$X$12971,AG$13)</f>
        <v>0</v>
      </c>
      <c r="AH5187" s="187">
        <f>SUMIFS($AD$37:$AD$12971,$V$37:$V$12971,$V5187,$X$37:$X$12971,AH$13)</f>
        <v>0</v>
      </c>
      <c r="AI5187" s="161">
        <f t="shared" ref="AI5187" si="3727">SUM(AE5187:AH5187)</f>
        <v>0</v>
      </c>
      <c r="AK5187" s="172"/>
    </row>
    <row r="5188" spans="1:37" s="102" customFormat="1" ht="19.899999999999999" customHeight="1" x14ac:dyDescent="0.25">
      <c r="A5188" s="45"/>
      <c r="B5188" s="59"/>
      <c r="C5188" s="137"/>
      <c r="D5188" s="59"/>
      <c r="E5188" s="116"/>
      <c r="F5188" s="120"/>
      <c r="G5188" s="120"/>
      <c r="H5188" s="120"/>
      <c r="I5188" s="60"/>
      <c r="J5188" s="116"/>
      <c r="K5188" s="213"/>
      <c r="L5188" s="120"/>
      <c r="M5188" s="120"/>
      <c r="N5188" s="167"/>
      <c r="O5188" s="120"/>
      <c r="P5188" s="120"/>
      <c r="Q5188" s="120"/>
      <c r="R5188" s="120"/>
      <c r="S5188" s="120"/>
      <c r="T5188" s="221"/>
      <c r="U5188" s="89"/>
      <c r="V5188" s="61"/>
      <c r="W5188" s="92" t="s">
        <v>1497</v>
      </c>
      <c r="X5188" s="93" t="s">
        <v>30</v>
      </c>
      <c r="Y5188" s="93" t="s">
        <v>35</v>
      </c>
      <c r="Z5188" s="134">
        <f>VLOOKUP(W5188,Sheet2!$B:$D,3,FALSE)</f>
        <v>5150</v>
      </c>
      <c r="AA5188" s="93">
        <v>1</v>
      </c>
      <c r="AB5188" s="93">
        <f>AD5188/AC5187</f>
        <v>5150</v>
      </c>
      <c r="AC5188" s="93">
        <f>AC5187/AA5188</f>
        <v>0.17999999999999972</v>
      </c>
      <c r="AD5188" s="94">
        <f t="shared" ref="AD5188:AD5189" si="3728">AC5188*Z5188</f>
        <v>926.99999999999852</v>
      </c>
      <c r="AE5188" s="190"/>
      <c r="AF5188" s="191"/>
      <c r="AG5188" s="191"/>
      <c r="AH5188" s="191"/>
      <c r="AI5188" s="186"/>
      <c r="AK5188" s="171"/>
    </row>
    <row r="5189" spans="1:37" s="102" customFormat="1" ht="19.899999999999999" customHeight="1" x14ac:dyDescent="0.25">
      <c r="A5189" s="45"/>
      <c r="B5189" s="59"/>
      <c r="C5189" s="137"/>
      <c r="D5189" s="59"/>
      <c r="E5189" s="116"/>
      <c r="F5189" s="120"/>
      <c r="G5189" s="120"/>
      <c r="H5189" s="120"/>
      <c r="I5189" s="60"/>
      <c r="J5189" s="116"/>
      <c r="K5189" s="213"/>
      <c r="L5189" s="120"/>
      <c r="M5189" s="120"/>
      <c r="N5189" s="167"/>
      <c r="O5189" s="120"/>
      <c r="P5189" s="120"/>
      <c r="Q5189" s="120"/>
      <c r="R5189" s="120"/>
      <c r="S5189" s="120"/>
      <c r="T5189" s="221"/>
      <c r="U5189" s="89"/>
      <c r="V5189" s="61"/>
      <c r="W5189" s="92" t="s">
        <v>174</v>
      </c>
      <c r="X5189" s="93" t="s">
        <v>29</v>
      </c>
      <c r="Y5189" s="93" t="s">
        <v>93</v>
      </c>
      <c r="Z5189" s="134">
        <f>VLOOKUP(W5189,Sheet2!$B:$D,3,FALSE)</f>
        <v>80</v>
      </c>
      <c r="AA5189" s="93">
        <f>1/2</f>
        <v>0.5</v>
      </c>
      <c r="AB5189" s="93">
        <f>AD5189/AC5187</f>
        <v>160</v>
      </c>
      <c r="AC5189" s="93">
        <f>AC5187/AA5189</f>
        <v>0.35999999999999943</v>
      </c>
      <c r="AD5189" s="94">
        <f t="shared" si="3728"/>
        <v>28.799999999999955</v>
      </c>
      <c r="AE5189" s="190"/>
      <c r="AF5189" s="191"/>
      <c r="AG5189" s="191"/>
      <c r="AH5189" s="191"/>
      <c r="AI5189" s="186"/>
      <c r="AK5189" s="171"/>
    </row>
    <row r="5190" spans="1:37" s="102" customFormat="1" ht="19.899999999999999" customHeight="1" x14ac:dyDescent="0.25">
      <c r="A5190" s="45"/>
      <c r="B5190" s="59"/>
      <c r="C5190" s="137"/>
      <c r="D5190" s="59"/>
      <c r="E5190" s="116"/>
      <c r="F5190" s="120"/>
      <c r="G5190" s="120"/>
      <c r="H5190" s="120"/>
      <c r="I5190" s="60"/>
      <c r="J5190" s="116"/>
      <c r="K5190" s="213"/>
      <c r="L5190" s="120"/>
      <c r="M5190" s="120"/>
      <c r="N5190" s="167"/>
      <c r="O5190" s="120"/>
      <c r="P5190" s="120"/>
      <c r="Q5190" s="120"/>
      <c r="R5190" s="120"/>
      <c r="S5190" s="120"/>
      <c r="T5190" s="221"/>
      <c r="U5190" s="89"/>
      <c r="V5190" s="61"/>
      <c r="W5190" s="92" t="s">
        <v>65</v>
      </c>
      <c r="X5190" s="93" t="s">
        <v>30</v>
      </c>
      <c r="Y5190" s="93" t="s">
        <v>93</v>
      </c>
      <c r="Z5190" s="134">
        <f>VLOOKUP(W5190,Sheet2!$B:$D,3,FALSE)</f>
        <v>1.76</v>
      </c>
      <c r="AA5190" s="93">
        <f>AA5189/15</f>
        <v>3.3333333333333333E-2</v>
      </c>
      <c r="AB5190" s="93">
        <f>AD5190/AC5187</f>
        <v>52.800000000000004</v>
      </c>
      <c r="AC5190" s="93">
        <f>AC5187/AA5190</f>
        <v>5.3999999999999915</v>
      </c>
      <c r="AD5190" s="94">
        <f>AC5190*Z5190</f>
        <v>9.5039999999999853</v>
      </c>
      <c r="AE5190" s="190"/>
      <c r="AF5190" s="191"/>
      <c r="AG5190" s="191"/>
      <c r="AH5190" s="191"/>
      <c r="AI5190" s="186"/>
      <c r="AK5190" s="171"/>
    </row>
    <row r="5191" spans="1:37" s="102" customFormat="1" ht="19.899999999999999" customHeight="1" x14ac:dyDescent="0.25">
      <c r="A5191" s="45"/>
      <c r="B5191" s="59"/>
      <c r="C5191" s="137"/>
      <c r="D5191" s="59"/>
      <c r="E5191" s="116"/>
      <c r="F5191" s="120"/>
      <c r="G5191" s="120"/>
      <c r="H5191" s="120"/>
      <c r="I5191" s="60"/>
      <c r="J5191" s="116"/>
      <c r="K5191" s="213"/>
      <c r="L5191" s="120"/>
      <c r="M5191" s="120"/>
      <c r="N5191" s="167"/>
      <c r="O5191" s="120"/>
      <c r="P5191" s="120"/>
      <c r="Q5191" s="120"/>
      <c r="R5191" s="120"/>
      <c r="S5191" s="120"/>
      <c r="T5191" s="221"/>
      <c r="U5191" s="89"/>
      <c r="V5191" s="61"/>
      <c r="W5191" s="92" t="s">
        <v>1487</v>
      </c>
      <c r="X5191" s="93" t="s">
        <v>32</v>
      </c>
      <c r="Y5191" s="93" t="s">
        <v>1349</v>
      </c>
      <c r="Z5191" s="134">
        <f>VLOOKUP(W5191,Sheet2!$B:$D,3,FALSE)</f>
        <v>1500</v>
      </c>
      <c r="AA5191" s="93">
        <v>1</v>
      </c>
      <c r="AB5191" s="93">
        <f>AD5191/AC5187</f>
        <v>1499.9999999999998</v>
      </c>
      <c r="AC5191" s="93">
        <f>AC5187/AA5191</f>
        <v>0.17999999999999972</v>
      </c>
      <c r="AD5191" s="94">
        <f>AC5191*Z5191</f>
        <v>269.99999999999955</v>
      </c>
      <c r="AE5191" s="190"/>
      <c r="AF5191" s="191"/>
      <c r="AG5191" s="191"/>
      <c r="AH5191" s="191"/>
      <c r="AI5191" s="186"/>
      <c r="AK5191" s="171"/>
    </row>
    <row r="5192" spans="1:37" s="102" customFormat="1" ht="19.899999999999999" customHeight="1" x14ac:dyDescent="0.25">
      <c r="A5192" s="45"/>
      <c r="B5192" s="59"/>
      <c r="C5192" s="137"/>
      <c r="D5192" s="59"/>
      <c r="E5192" s="116"/>
      <c r="F5192" s="120"/>
      <c r="G5192" s="120"/>
      <c r="H5192" s="120"/>
      <c r="I5192" s="60"/>
      <c r="J5192" s="116"/>
      <c r="K5192" s="213"/>
      <c r="L5192" s="120"/>
      <c r="M5192" s="120"/>
      <c r="N5192" s="167"/>
      <c r="O5192" s="120"/>
      <c r="P5192" s="120"/>
      <c r="Q5192" s="120"/>
      <c r="R5192" s="120"/>
      <c r="S5192" s="120"/>
      <c r="T5192" s="221"/>
      <c r="U5192" s="89"/>
      <c r="V5192" s="61"/>
      <c r="W5192" s="92" t="s">
        <v>107</v>
      </c>
      <c r="X5192" s="93" t="s">
        <v>31</v>
      </c>
      <c r="Y5192" s="93" t="s">
        <v>93</v>
      </c>
      <c r="Z5192" s="134">
        <f>VLOOKUP(W5192,Sheet2!$B:$D,3,FALSE)</f>
        <v>17</v>
      </c>
      <c r="AA5192" s="93">
        <f>AA5189</f>
        <v>0.5</v>
      </c>
      <c r="AB5192" s="93">
        <f>AD5192/AC5187</f>
        <v>34</v>
      </c>
      <c r="AC5192" s="93">
        <f>AC5187/AA5192</f>
        <v>0.35999999999999943</v>
      </c>
      <c r="AD5192" s="94">
        <f>AC5192*Z5192</f>
        <v>6.1199999999999903</v>
      </c>
      <c r="AE5192" s="190"/>
      <c r="AF5192" s="191"/>
      <c r="AG5192" s="191"/>
      <c r="AH5192" s="191"/>
      <c r="AI5192" s="186"/>
      <c r="AK5192" s="171"/>
    </row>
    <row r="5193" spans="1:37" s="102" customFormat="1" ht="19.899999999999999" customHeight="1" x14ac:dyDescent="0.25">
      <c r="A5193" s="45"/>
      <c r="B5193" s="59"/>
      <c r="C5193" s="137"/>
      <c r="D5193" s="59"/>
      <c r="E5193" s="116"/>
      <c r="F5193" s="120"/>
      <c r="G5193" s="120"/>
      <c r="H5193" s="120"/>
      <c r="I5193" s="60"/>
      <c r="J5193" s="116"/>
      <c r="K5193" s="213"/>
      <c r="L5193" s="120"/>
      <c r="M5193" s="120"/>
      <c r="N5193" s="167"/>
      <c r="O5193" s="120"/>
      <c r="P5193" s="120"/>
      <c r="Q5193" s="120"/>
      <c r="R5193" s="120"/>
      <c r="S5193" s="120"/>
      <c r="T5193" s="221"/>
      <c r="U5193" s="89"/>
      <c r="V5193" s="61"/>
      <c r="W5193" s="92" t="s">
        <v>112</v>
      </c>
      <c r="X5193" s="93" t="s">
        <v>31</v>
      </c>
      <c r="Y5193" s="93" t="s">
        <v>93</v>
      </c>
      <c r="Z5193" s="134">
        <f>VLOOKUP(W5193,Sheet2!$B:$D,3,FALSE)</f>
        <v>13</v>
      </c>
      <c r="AA5193" s="93">
        <f>AA5192</f>
        <v>0.5</v>
      </c>
      <c r="AB5193" s="93">
        <f>AD5193/AC5187</f>
        <v>26</v>
      </c>
      <c r="AC5193" s="93">
        <f>AC5187/AA5193</f>
        <v>0.35999999999999943</v>
      </c>
      <c r="AD5193" s="94">
        <f>AC5193*Z5193</f>
        <v>4.6799999999999926</v>
      </c>
      <c r="AE5193" s="190"/>
      <c r="AF5193" s="191"/>
      <c r="AG5193" s="191"/>
      <c r="AH5193" s="191"/>
      <c r="AI5193" s="186"/>
      <c r="AK5193" s="171"/>
    </row>
    <row r="5194" spans="1:37" s="103" customFormat="1" ht="19.899999999999999" customHeight="1" x14ac:dyDescent="0.25">
      <c r="A5194" s="51"/>
      <c r="B5194" s="52"/>
      <c r="C5194" s="165"/>
      <c r="D5194" s="52"/>
      <c r="E5194" s="115"/>
      <c r="F5194" s="58"/>
      <c r="G5194" s="58"/>
      <c r="H5194" s="58"/>
      <c r="I5194" s="55"/>
      <c r="J5194" s="113">
        <f>J5174</f>
        <v>0.17999999999999972</v>
      </c>
      <c r="K5194" s="212">
        <f>K5174</f>
        <v>0.17999999999999972</v>
      </c>
      <c r="L5194" s="58"/>
      <c r="M5194" s="58">
        <f>K5194-L5194</f>
        <v>0.17999999999999972</v>
      </c>
      <c r="N5194" s="166"/>
      <c r="O5194" s="58"/>
      <c r="P5194" s="58"/>
      <c r="Q5194" s="58"/>
      <c r="R5194" s="58"/>
      <c r="S5194" s="58"/>
      <c r="T5194" s="220"/>
      <c r="U5194" s="88"/>
      <c r="V5194" s="56"/>
      <c r="W5194" s="57" t="s">
        <v>1272</v>
      </c>
      <c r="X5194" s="53"/>
      <c r="Y5194" s="91" t="s">
        <v>35</v>
      </c>
      <c r="Z5194" s="136">
        <f>AD5194/AC5194</f>
        <v>480.44531005882357</v>
      </c>
      <c r="AA5194" s="58"/>
      <c r="AB5194" s="53">
        <f>AD5194/AC5194</f>
        <v>480.44531005882357</v>
      </c>
      <c r="AC5194" s="53">
        <f>M5194+$AE$10</f>
        <v>0.17999999999999972</v>
      </c>
      <c r="AD5194" s="54">
        <f>SUM(AD5195:AD5203)</f>
        <v>86.480155810588101</v>
      </c>
      <c r="AE5194" s="184">
        <f>SUMIFS($AD$37:$AD$12971,$V$37:$V$12971,$V5194,$X$37:$X$12971,AE$13)</f>
        <v>0</v>
      </c>
      <c r="AF5194" s="185">
        <f>SUMIFS($AD$37:$AD$12971,$V$37:$V$12971,$V5194,$X$37:$X$12971,AF$13)</f>
        <v>0</v>
      </c>
      <c r="AG5194" s="185">
        <f>SUMIFS($AD$37:$AD$12971,$V$37:$V$12971,$V5194,$X$37:$X$12971,AG$13)</f>
        <v>0</v>
      </c>
      <c r="AH5194" s="187">
        <f>SUMIFS($AD$37:$AD$12971,$V$37:$V$12971,$V5194,$X$37:$X$12971,AH$13)</f>
        <v>0</v>
      </c>
      <c r="AI5194" s="161">
        <f t="shared" ref="AI5194" si="3729">SUM(AE5194:AH5194)</f>
        <v>0</v>
      </c>
      <c r="AK5194" s="172"/>
    </row>
    <row r="5195" spans="1:37" s="102" customFormat="1" ht="19.899999999999999" customHeight="1" x14ac:dyDescent="0.25">
      <c r="A5195" s="45"/>
      <c r="B5195" s="59"/>
      <c r="C5195" s="137"/>
      <c r="D5195" s="59"/>
      <c r="E5195" s="116"/>
      <c r="F5195" s="120"/>
      <c r="G5195" s="120"/>
      <c r="H5195" s="120"/>
      <c r="I5195" s="60"/>
      <c r="J5195" s="116"/>
      <c r="K5195" s="213"/>
      <c r="L5195" s="120"/>
      <c r="M5195" s="120"/>
      <c r="N5195" s="167"/>
      <c r="O5195" s="120"/>
      <c r="P5195" s="120"/>
      <c r="Q5195" s="120"/>
      <c r="R5195" s="120"/>
      <c r="S5195" s="120"/>
      <c r="T5195" s="221"/>
      <c r="U5195" s="89"/>
      <c r="V5195" s="61"/>
      <c r="W5195" s="92" t="s">
        <v>1273</v>
      </c>
      <c r="X5195" s="93" t="s">
        <v>30</v>
      </c>
      <c r="Y5195" s="93" t="s">
        <v>66</v>
      </c>
      <c r="Z5195" s="134">
        <f>VLOOKUP(W5195,Sheet2!$B:$D,3,FALSE)</f>
        <v>10</v>
      </c>
      <c r="AA5195" s="93">
        <f>1/((3*3*3.5)-(3.14/4*1.5*1.5*3.5))</f>
        <v>3.9497395640474955E-2</v>
      </c>
      <c r="AB5195" s="93">
        <f>AD5195/AC5194</f>
        <v>253.18125000000001</v>
      </c>
      <c r="AC5195" s="93">
        <f>AC5194/AA5195</f>
        <v>4.5572624999999931</v>
      </c>
      <c r="AD5195" s="94">
        <f t="shared" ref="AD5195:AD5197" si="3730">AC5195*Z5195</f>
        <v>45.572624999999931</v>
      </c>
      <c r="AE5195" s="190"/>
      <c r="AF5195" s="191"/>
      <c r="AG5195" s="191"/>
      <c r="AH5195" s="191"/>
      <c r="AI5195" s="186"/>
      <c r="AK5195" s="171"/>
    </row>
    <row r="5196" spans="1:37" s="102" customFormat="1" ht="19.899999999999999" customHeight="1" x14ac:dyDescent="0.25">
      <c r="A5196" s="45"/>
      <c r="B5196" s="59"/>
      <c r="C5196" s="137"/>
      <c r="D5196" s="59"/>
      <c r="E5196" s="116"/>
      <c r="F5196" s="120"/>
      <c r="G5196" s="120"/>
      <c r="H5196" s="120"/>
      <c r="I5196" s="60"/>
      <c r="J5196" s="116"/>
      <c r="K5196" s="213"/>
      <c r="L5196" s="120"/>
      <c r="M5196" s="120"/>
      <c r="N5196" s="167"/>
      <c r="O5196" s="120"/>
      <c r="P5196" s="120"/>
      <c r="Q5196" s="120"/>
      <c r="R5196" s="120"/>
      <c r="S5196" s="120"/>
      <c r="T5196" s="221"/>
      <c r="U5196" s="89"/>
      <c r="V5196" s="61"/>
      <c r="W5196" s="92" t="s">
        <v>134</v>
      </c>
      <c r="X5196" s="93" t="s">
        <v>29</v>
      </c>
      <c r="Y5196" s="93" t="s">
        <v>93</v>
      </c>
      <c r="Z5196" s="134">
        <f>VLOOKUP(W5196,Sheet2!$B:$D,3,FALSE)</f>
        <v>65.599999999999994</v>
      </c>
      <c r="AA5196" s="93">
        <f>100/((3*3*3.5)-(3.14/4*1.5*1.5*3.5))</f>
        <v>3.9497395640474955</v>
      </c>
      <c r="AB5196" s="93">
        <f t="shared" ref="AB5196" si="3731">AD5196/AC5194</f>
        <v>16.608689999999999</v>
      </c>
      <c r="AC5196" s="93">
        <f>AC5194/AA5196</f>
        <v>4.5572624999999929E-2</v>
      </c>
      <c r="AD5196" s="94">
        <f t="shared" si="3730"/>
        <v>2.9895641999999949</v>
      </c>
      <c r="AE5196" s="190"/>
      <c r="AF5196" s="191"/>
      <c r="AG5196" s="191"/>
      <c r="AH5196" s="191"/>
      <c r="AI5196" s="186"/>
      <c r="AK5196" s="171"/>
    </row>
    <row r="5197" spans="1:37" s="102" customFormat="1" ht="19.899999999999999" customHeight="1" x14ac:dyDescent="0.25">
      <c r="A5197" s="45"/>
      <c r="B5197" s="59"/>
      <c r="C5197" s="137"/>
      <c r="D5197" s="59"/>
      <c r="E5197" s="116"/>
      <c r="F5197" s="120"/>
      <c r="G5197" s="120"/>
      <c r="H5197" s="120"/>
      <c r="I5197" s="60"/>
      <c r="J5197" s="116"/>
      <c r="K5197" s="213"/>
      <c r="L5197" s="120"/>
      <c r="M5197" s="120"/>
      <c r="N5197" s="167"/>
      <c r="O5197" s="120"/>
      <c r="P5197" s="120"/>
      <c r="Q5197" s="120"/>
      <c r="R5197" s="120"/>
      <c r="S5197" s="120"/>
      <c r="T5197" s="221"/>
      <c r="U5197" s="89"/>
      <c r="V5197" s="61"/>
      <c r="W5197" s="92" t="s">
        <v>65</v>
      </c>
      <c r="X5197" s="93" t="s">
        <v>30</v>
      </c>
      <c r="Y5197" s="93" t="s">
        <v>1011</v>
      </c>
      <c r="Z5197" s="134">
        <f>VLOOKUP(W5197,Sheet2!$B:$D,3,FALSE)</f>
        <v>1.76</v>
      </c>
      <c r="AA5197" s="93">
        <f>AA5196/9</f>
        <v>0.43885995156083285</v>
      </c>
      <c r="AB5197" s="93">
        <f>AD5197/AC5194</f>
        <v>4.0103910000000003</v>
      </c>
      <c r="AC5197" s="93">
        <f>AC5194/AA5197</f>
        <v>0.41015362499999936</v>
      </c>
      <c r="AD5197" s="94">
        <f t="shared" si="3730"/>
        <v>0.72187037999999892</v>
      </c>
      <c r="AE5197" s="190"/>
      <c r="AF5197" s="191"/>
      <c r="AG5197" s="191"/>
      <c r="AH5197" s="191"/>
      <c r="AI5197" s="186"/>
      <c r="AK5197" s="171"/>
    </row>
    <row r="5198" spans="1:37" s="102" customFormat="1" ht="19.899999999999999" customHeight="1" x14ac:dyDescent="0.25">
      <c r="A5198" s="45"/>
      <c r="B5198" s="59"/>
      <c r="C5198" s="137"/>
      <c r="D5198" s="59"/>
      <c r="E5198" s="116"/>
      <c r="F5198" s="120"/>
      <c r="G5198" s="120"/>
      <c r="H5198" s="120"/>
      <c r="I5198" s="60"/>
      <c r="J5198" s="116"/>
      <c r="K5198" s="213"/>
      <c r="L5198" s="120"/>
      <c r="M5198" s="120"/>
      <c r="N5198" s="167"/>
      <c r="O5198" s="120"/>
      <c r="P5198" s="120"/>
      <c r="Q5198" s="120"/>
      <c r="R5198" s="120"/>
      <c r="S5198" s="120"/>
      <c r="T5198" s="221"/>
      <c r="U5198" s="89"/>
      <c r="V5198" s="61"/>
      <c r="W5198" s="92" t="s">
        <v>161</v>
      </c>
      <c r="X5198" s="93" t="s">
        <v>29</v>
      </c>
      <c r="Y5198" s="93" t="s">
        <v>93</v>
      </c>
      <c r="Z5198" s="134">
        <f>VLOOKUP(W5198,Sheet2!$B:$D,3,FALSE)</f>
        <v>48</v>
      </c>
      <c r="AA5198" s="93">
        <f>(16*0.85*1.5)/((3*3*3.5)-(3.14/4*1.5*1.5*3.5))</f>
        <v>0.80574687106568899</v>
      </c>
      <c r="AB5198" s="93">
        <f>AD5198/AC5194</f>
        <v>59.57205882352941</v>
      </c>
      <c r="AC5198" s="93">
        <f>AC5194/AA5198</f>
        <v>0.22339522058823497</v>
      </c>
      <c r="AD5198" s="94">
        <f>AC5198*Z5198</f>
        <v>10.722970588235277</v>
      </c>
      <c r="AE5198" s="190"/>
      <c r="AF5198" s="191"/>
      <c r="AG5198" s="191"/>
      <c r="AH5198" s="191"/>
      <c r="AI5198" s="186"/>
      <c r="AK5198" s="171"/>
    </row>
    <row r="5199" spans="1:37" s="102" customFormat="1" ht="19.899999999999999" customHeight="1" x14ac:dyDescent="0.25">
      <c r="A5199" s="45"/>
      <c r="B5199" s="59"/>
      <c r="C5199" s="137"/>
      <c r="D5199" s="59"/>
      <c r="E5199" s="116"/>
      <c r="F5199" s="120"/>
      <c r="G5199" s="120"/>
      <c r="H5199" s="120"/>
      <c r="I5199" s="60"/>
      <c r="J5199" s="116"/>
      <c r="K5199" s="213"/>
      <c r="L5199" s="120"/>
      <c r="M5199" s="120"/>
      <c r="N5199" s="167"/>
      <c r="O5199" s="120"/>
      <c r="P5199" s="120"/>
      <c r="Q5199" s="120"/>
      <c r="R5199" s="120"/>
      <c r="S5199" s="120"/>
      <c r="T5199" s="221"/>
      <c r="U5199" s="89"/>
      <c r="V5199" s="61"/>
      <c r="W5199" s="92" t="s">
        <v>65</v>
      </c>
      <c r="X5199" s="93" t="s">
        <v>30</v>
      </c>
      <c r="Y5199" s="93" t="s">
        <v>1011</v>
      </c>
      <c r="Z5199" s="134">
        <f>VLOOKUP(W5199,Sheet2!$B:$D,3,FALSE)</f>
        <v>1.76</v>
      </c>
      <c r="AA5199" s="93">
        <f>AA5198/10</f>
        <v>8.0574687106568899E-2</v>
      </c>
      <c r="AB5199" s="93">
        <f>AD5199/AC5194</f>
        <v>21.843088235294122</v>
      </c>
      <c r="AC5199" s="93">
        <f>AC5194/AA5199</f>
        <v>2.2339522058823498</v>
      </c>
      <c r="AD5199" s="94">
        <f>AC5199*Z5199</f>
        <v>3.9317558823529355</v>
      </c>
      <c r="AE5199" s="190"/>
      <c r="AF5199" s="191"/>
      <c r="AG5199" s="191"/>
      <c r="AH5199" s="191"/>
      <c r="AI5199" s="186"/>
      <c r="AK5199" s="171"/>
    </row>
    <row r="5200" spans="1:37" s="102" customFormat="1" ht="19.899999999999999" customHeight="1" x14ac:dyDescent="0.25">
      <c r="A5200" s="45"/>
      <c r="B5200" s="59"/>
      <c r="C5200" s="137"/>
      <c r="D5200" s="59"/>
      <c r="E5200" s="116"/>
      <c r="F5200" s="120"/>
      <c r="G5200" s="120"/>
      <c r="H5200" s="120"/>
      <c r="I5200" s="60"/>
      <c r="J5200" s="116"/>
      <c r="K5200" s="213"/>
      <c r="L5200" s="120"/>
      <c r="M5200" s="120"/>
      <c r="N5200" s="167"/>
      <c r="O5200" s="120"/>
      <c r="P5200" s="120"/>
      <c r="Q5200" s="120"/>
      <c r="R5200" s="120"/>
      <c r="S5200" s="120"/>
      <c r="T5200" s="221"/>
      <c r="U5200" s="89"/>
      <c r="V5200" s="61"/>
      <c r="W5200" s="92" t="s">
        <v>173</v>
      </c>
      <c r="X5200" s="93" t="s">
        <v>29</v>
      </c>
      <c r="Y5200" s="93" t="s">
        <v>93</v>
      </c>
      <c r="Z5200" s="134">
        <f>VLOOKUP(W5200,Sheet2!$B:$D,3,FALSE)</f>
        <v>36</v>
      </c>
      <c r="AA5200" s="93">
        <f>50/((3*3*3.5)-(3.14/4*1.5*1.5*3.5))</f>
        <v>1.9748697820237477</v>
      </c>
      <c r="AB5200" s="93">
        <f>AD5200/AC5194</f>
        <v>18.229050000000001</v>
      </c>
      <c r="AC5200" s="93">
        <f>AC5194/AA5200</f>
        <v>9.1145249999999858E-2</v>
      </c>
      <c r="AD5200" s="94">
        <f>AC5200*Z5200</f>
        <v>3.2812289999999948</v>
      </c>
      <c r="AE5200" s="190"/>
      <c r="AF5200" s="191"/>
      <c r="AG5200" s="191"/>
      <c r="AH5200" s="191"/>
      <c r="AI5200" s="186"/>
      <c r="AK5200" s="171"/>
    </row>
    <row r="5201" spans="1:41" s="102" customFormat="1" ht="19.899999999999999" customHeight="1" x14ac:dyDescent="0.25">
      <c r="A5201" s="45"/>
      <c r="B5201" s="59"/>
      <c r="C5201" s="137"/>
      <c r="D5201" s="59"/>
      <c r="E5201" s="116"/>
      <c r="F5201" s="120"/>
      <c r="G5201" s="120"/>
      <c r="H5201" s="120"/>
      <c r="I5201" s="60"/>
      <c r="J5201" s="116"/>
      <c r="K5201" s="213"/>
      <c r="L5201" s="120"/>
      <c r="M5201" s="120"/>
      <c r="N5201" s="167"/>
      <c r="O5201" s="120"/>
      <c r="P5201" s="120"/>
      <c r="Q5201" s="120"/>
      <c r="R5201" s="120"/>
      <c r="S5201" s="120"/>
      <c r="T5201" s="221"/>
      <c r="U5201" s="89"/>
      <c r="V5201" s="61"/>
      <c r="W5201" s="92" t="s">
        <v>65</v>
      </c>
      <c r="X5201" s="93" t="s">
        <v>30</v>
      </c>
      <c r="Y5201" s="93" t="s">
        <v>1011</v>
      </c>
      <c r="Z5201" s="134">
        <f>VLOOKUP(W5201,Sheet2!$B:$D,3,FALSE)</f>
        <v>1.76</v>
      </c>
      <c r="AA5201" s="93">
        <f>AA5200/9</f>
        <v>0.21942997578041643</v>
      </c>
      <c r="AB5201" s="93">
        <f>AD5201/AC5194</f>
        <v>8.0207820000000005</v>
      </c>
      <c r="AC5201" s="93">
        <f>AC5194/AA5201</f>
        <v>0.82030724999999871</v>
      </c>
      <c r="AD5201" s="94">
        <f>AC5201*Z5201</f>
        <v>1.4437407599999978</v>
      </c>
      <c r="AE5201" s="190"/>
      <c r="AF5201" s="191"/>
      <c r="AG5201" s="191"/>
      <c r="AH5201" s="191"/>
      <c r="AI5201" s="186"/>
      <c r="AK5201" s="171"/>
    </row>
    <row r="5202" spans="1:41" s="102" customFormat="1" ht="19.899999999999999" customHeight="1" x14ac:dyDescent="0.25">
      <c r="A5202" s="45"/>
      <c r="B5202" s="59"/>
      <c r="C5202" s="137"/>
      <c r="D5202" s="59"/>
      <c r="E5202" s="116"/>
      <c r="F5202" s="120"/>
      <c r="G5202" s="120"/>
      <c r="H5202" s="120"/>
      <c r="I5202" s="60"/>
      <c r="J5202" s="116"/>
      <c r="K5202" s="213"/>
      <c r="L5202" s="120"/>
      <c r="M5202" s="120"/>
      <c r="N5202" s="167"/>
      <c r="O5202" s="120"/>
      <c r="P5202" s="120"/>
      <c r="Q5202" s="120"/>
      <c r="R5202" s="120"/>
      <c r="S5202" s="120"/>
      <c r="T5202" s="221"/>
      <c r="U5202" s="89"/>
      <c r="V5202" s="61"/>
      <c r="W5202" s="92" t="s">
        <v>1030</v>
      </c>
      <c r="X5202" s="93" t="s">
        <v>29</v>
      </c>
      <c r="Y5202" s="93" t="s">
        <v>93</v>
      </c>
      <c r="Z5202" s="134">
        <f>VLOOKUP(W5202,Sheet2!$B:$D,3,FALSE)</f>
        <v>23</v>
      </c>
      <c r="AA5202" s="93">
        <f>1/(3.5*1)</f>
        <v>0.2857142857142857</v>
      </c>
      <c r="AB5202" s="93">
        <f>AD5202/AC5194</f>
        <v>80.5</v>
      </c>
      <c r="AC5202" s="93">
        <f>AC5194/AA5202</f>
        <v>0.62999999999999901</v>
      </c>
      <c r="AD5202" s="94">
        <f t="shared" ref="AD5202:AD5203" si="3732">AC5202*Z5202</f>
        <v>14.489999999999977</v>
      </c>
      <c r="AE5202" s="190"/>
      <c r="AF5202" s="191"/>
      <c r="AG5202" s="191"/>
      <c r="AH5202" s="191"/>
      <c r="AI5202" s="186"/>
      <c r="AK5202" s="171"/>
    </row>
    <row r="5203" spans="1:41" s="102" customFormat="1" ht="19.899999999999999" customHeight="1" x14ac:dyDescent="0.25">
      <c r="A5203" s="45"/>
      <c r="B5203" s="59"/>
      <c r="C5203" s="137"/>
      <c r="D5203" s="59"/>
      <c r="E5203" s="116"/>
      <c r="F5203" s="120"/>
      <c r="G5203" s="120"/>
      <c r="H5203" s="120"/>
      <c r="I5203" s="60"/>
      <c r="J5203" s="116"/>
      <c r="K5203" s="213"/>
      <c r="L5203" s="120"/>
      <c r="M5203" s="120"/>
      <c r="N5203" s="167"/>
      <c r="O5203" s="120"/>
      <c r="P5203" s="120"/>
      <c r="Q5203" s="120"/>
      <c r="R5203" s="120"/>
      <c r="S5203" s="120"/>
      <c r="T5203" s="221"/>
      <c r="U5203" s="89"/>
      <c r="V5203" s="61"/>
      <c r="W5203" s="92" t="s">
        <v>65</v>
      </c>
      <c r="X5203" s="93" t="s">
        <v>30</v>
      </c>
      <c r="Y5203" s="93" t="s">
        <v>1011</v>
      </c>
      <c r="Z5203" s="134">
        <f>VLOOKUP(W5203,Sheet2!$B:$D,3,FALSE)</f>
        <v>1.76</v>
      </c>
      <c r="AA5203" s="93">
        <f>AA5202/3</f>
        <v>9.5238095238095233E-2</v>
      </c>
      <c r="AB5203" s="93">
        <f>AD5203/AC5194</f>
        <v>18.48</v>
      </c>
      <c r="AC5203" s="93">
        <f>AC5194/AA5203</f>
        <v>1.889999999999997</v>
      </c>
      <c r="AD5203" s="94">
        <f t="shared" si="3732"/>
        <v>3.3263999999999947</v>
      </c>
      <c r="AE5203" s="190"/>
      <c r="AF5203" s="191"/>
      <c r="AG5203" s="191"/>
      <c r="AH5203" s="191"/>
      <c r="AI5203" s="186"/>
      <c r="AK5203" s="171"/>
    </row>
    <row r="5204" spans="1:41" ht="20.100000000000001" customHeight="1" x14ac:dyDescent="0.25">
      <c r="A5204" s="277" t="s">
        <v>491</v>
      </c>
      <c r="B5204" s="278"/>
      <c r="C5204" s="64" t="s">
        <v>578</v>
      </c>
      <c r="D5204" s="46" t="s">
        <v>215</v>
      </c>
      <c r="E5204" s="114">
        <v>6.78</v>
      </c>
      <c r="F5204" s="44">
        <v>42863</v>
      </c>
      <c r="G5204" s="44">
        <f t="shared" si="3471"/>
        <v>290611.14</v>
      </c>
      <c r="H5204" s="44">
        <f t="shared" si="3472"/>
        <v>10150.512960235294</v>
      </c>
      <c r="I5204" s="43">
        <f t="shared" si="3473"/>
        <v>68820.477870395291</v>
      </c>
      <c r="J5204" s="112">
        <f t="shared" si="3474"/>
        <v>6.78</v>
      </c>
      <c r="K5204" s="211">
        <f t="shared" si="3475"/>
        <v>6.78</v>
      </c>
      <c r="L5204" s="44"/>
      <c r="M5204" s="44">
        <f t="shared" si="3499"/>
        <v>6.78</v>
      </c>
      <c r="N5204" s="173">
        <f t="shared" si="3476"/>
        <v>1</v>
      </c>
      <c r="O5204" s="44">
        <f t="shared" si="3477"/>
        <v>42863</v>
      </c>
      <c r="P5204" s="44">
        <f t="shared" si="3478"/>
        <v>290611.14</v>
      </c>
      <c r="Q5204" s="44">
        <f t="shared" si="3479"/>
        <v>10150.512960235294</v>
      </c>
      <c r="R5204" s="44">
        <f t="shared" si="3500"/>
        <v>68820.477870395291</v>
      </c>
      <c r="S5204" s="123"/>
      <c r="T5204" s="219">
        <f t="shared" si="3501"/>
        <v>68820.477870395291</v>
      </c>
      <c r="U5204" s="87"/>
      <c r="V5204" s="47"/>
      <c r="W5204" s="48"/>
      <c r="X5204" s="48"/>
      <c r="Y5204" s="48"/>
      <c r="Z5204" s="135"/>
      <c r="AA5204" s="49"/>
      <c r="AB5204" s="50">
        <f t="shared" si="3480"/>
        <v>10150.512960235294</v>
      </c>
      <c r="AC5204" s="42">
        <f t="shared" si="3502"/>
        <v>6.78</v>
      </c>
      <c r="AD5204" s="90">
        <f>AD5205+AD5210+AD5217+AD5224</f>
        <v>68820.477870395291</v>
      </c>
      <c r="AE5204" s="188">
        <f t="shared" ref="AE5204" si="3733">AE5205+AE5210+AE5217+AE5224</f>
        <v>0</v>
      </c>
      <c r="AF5204" s="189">
        <f t="shared" ref="AF5204" si="3734">AF5205+AF5210+AF5217+AF5224</f>
        <v>0</v>
      </c>
      <c r="AG5204" s="189">
        <f t="shared" ref="AG5204" si="3735">AG5205+AG5210+AG5217+AG5224</f>
        <v>0</v>
      </c>
      <c r="AH5204" s="189">
        <f t="shared" ref="AH5204" si="3736">AH5205+AH5210+AH5217+AH5224</f>
        <v>0</v>
      </c>
      <c r="AI5204" s="161">
        <f t="shared" ref="AI5204" si="3737">SUM(AE5204:AH5204)</f>
        <v>0</v>
      </c>
      <c r="AK5204" s="169">
        <v>5</v>
      </c>
      <c r="AO5204" s="19" t="s">
        <v>63</v>
      </c>
    </row>
    <row r="5205" spans="1:41" s="103" customFormat="1" ht="19.899999999999999" customHeight="1" x14ac:dyDescent="0.25">
      <c r="A5205" s="51"/>
      <c r="B5205" s="52"/>
      <c r="C5205" s="165"/>
      <c r="D5205" s="52"/>
      <c r="E5205" s="115"/>
      <c r="F5205" s="58"/>
      <c r="G5205" s="58"/>
      <c r="H5205" s="58"/>
      <c r="I5205" s="55"/>
      <c r="J5205" s="113">
        <f>J5204</f>
        <v>6.78</v>
      </c>
      <c r="K5205" s="212">
        <f>K5204</f>
        <v>6.78</v>
      </c>
      <c r="L5205" s="58"/>
      <c r="M5205" s="58">
        <f>K5205-L5205</f>
        <v>6.78</v>
      </c>
      <c r="N5205" s="166"/>
      <c r="O5205" s="58"/>
      <c r="P5205" s="58"/>
      <c r="Q5205" s="58"/>
      <c r="R5205" s="58"/>
      <c r="S5205" s="58"/>
      <c r="T5205" s="220"/>
      <c r="U5205" s="88"/>
      <c r="V5205" s="56"/>
      <c r="W5205" s="57" t="s">
        <v>1513</v>
      </c>
      <c r="X5205" s="53"/>
      <c r="Y5205" s="91" t="s">
        <v>35</v>
      </c>
      <c r="Z5205" s="136">
        <f>AD5205/AC5205</f>
        <v>144.79510588235294</v>
      </c>
      <c r="AA5205" s="58"/>
      <c r="AB5205" s="53">
        <f>AD5205/AC5205</f>
        <v>144.79510588235294</v>
      </c>
      <c r="AC5205" s="53">
        <f>M5205+$AE$10</f>
        <v>6.78</v>
      </c>
      <c r="AD5205" s="54">
        <f>SUM(AD5206:AD5209)</f>
        <v>981.7108178823529</v>
      </c>
      <c r="AE5205" s="184">
        <f>SUMIFS($AD$37:$AD$12971,$V$37:$V$12971,$V5205,$X$37:$X$12971,AE$13)</f>
        <v>0</v>
      </c>
      <c r="AF5205" s="185">
        <f>SUMIFS($AD$37:$AD$12971,$V$37:$V$12971,$V5205,$X$37:$X$12971,AF$13)</f>
        <v>0</v>
      </c>
      <c r="AG5205" s="185">
        <f>SUMIFS($AD$37:$AD$12971,$V$37:$V$12971,$V5205,$X$37:$X$12971,AG$13)</f>
        <v>0</v>
      </c>
      <c r="AH5205" s="187">
        <f>SUMIFS($AD$37:$AD$12971,$V$37:$V$12971,$V5205,$X$37:$X$12971,AH$13)</f>
        <v>0</v>
      </c>
      <c r="AI5205" s="161">
        <f t="shared" ref="AI5205" si="3738">SUM(AE5205:AH5205)</f>
        <v>0</v>
      </c>
      <c r="AK5205" s="172"/>
    </row>
    <row r="5206" spans="1:41" s="102" customFormat="1" ht="19.899999999999999" customHeight="1" x14ac:dyDescent="0.25">
      <c r="A5206" s="45"/>
      <c r="B5206" s="59"/>
      <c r="C5206" s="137"/>
      <c r="D5206" s="59"/>
      <c r="E5206" s="116"/>
      <c r="F5206" s="120"/>
      <c r="G5206" s="120"/>
      <c r="H5206" s="120"/>
      <c r="I5206" s="60"/>
      <c r="J5206" s="116"/>
      <c r="K5206" s="213"/>
      <c r="L5206" s="120"/>
      <c r="M5206" s="120"/>
      <c r="N5206" s="167"/>
      <c r="O5206" s="120"/>
      <c r="P5206" s="120"/>
      <c r="Q5206" s="120"/>
      <c r="R5206" s="120"/>
      <c r="S5206" s="120"/>
      <c r="T5206" s="221"/>
      <c r="U5206" s="89"/>
      <c r="V5206" s="61"/>
      <c r="W5206" s="92" t="s">
        <v>129</v>
      </c>
      <c r="X5206" s="93" t="s">
        <v>29</v>
      </c>
      <c r="Y5206" s="93" t="s">
        <v>93</v>
      </c>
      <c r="Z5206" s="134">
        <f>VLOOKUP(W5206,Sheet2!$B:$D,3,FALSE)</f>
        <v>56</v>
      </c>
      <c r="AA5206" s="93">
        <f>100/(3*3*4)</f>
        <v>2.7777777777777777</v>
      </c>
      <c r="AB5206" s="93">
        <f t="shared" ref="AB5206" si="3739">AD5206/AC5205</f>
        <v>20.160000000000004</v>
      </c>
      <c r="AC5206" s="93">
        <f>AC5205/AA5206</f>
        <v>2.4408000000000003</v>
      </c>
      <c r="AD5206" s="94">
        <f t="shared" ref="AD5206:AD5207" si="3740">AC5206*Z5206</f>
        <v>136.68480000000002</v>
      </c>
      <c r="AE5206" s="190"/>
      <c r="AF5206" s="191"/>
      <c r="AG5206" s="191"/>
      <c r="AH5206" s="191"/>
      <c r="AI5206" s="186"/>
      <c r="AK5206" s="171"/>
    </row>
    <row r="5207" spans="1:41" s="102" customFormat="1" ht="19.899999999999999" customHeight="1" x14ac:dyDescent="0.25">
      <c r="A5207" s="45"/>
      <c r="B5207" s="59"/>
      <c r="C5207" s="137"/>
      <c r="D5207" s="59"/>
      <c r="E5207" s="116"/>
      <c r="F5207" s="120"/>
      <c r="G5207" s="120"/>
      <c r="H5207" s="120"/>
      <c r="I5207" s="60"/>
      <c r="J5207" s="116"/>
      <c r="K5207" s="213"/>
      <c r="L5207" s="120"/>
      <c r="M5207" s="120"/>
      <c r="N5207" s="167"/>
      <c r="O5207" s="120"/>
      <c r="P5207" s="120"/>
      <c r="Q5207" s="120"/>
      <c r="R5207" s="120"/>
      <c r="S5207" s="120"/>
      <c r="T5207" s="221"/>
      <c r="U5207" s="89"/>
      <c r="V5207" s="61"/>
      <c r="W5207" s="92" t="s">
        <v>65</v>
      </c>
      <c r="X5207" s="93" t="s">
        <v>30</v>
      </c>
      <c r="Y5207" s="93" t="s">
        <v>1011</v>
      </c>
      <c r="Z5207" s="134">
        <f>VLOOKUP(W5207,Sheet2!$B:$D,3,FALSE)</f>
        <v>1.76</v>
      </c>
      <c r="AA5207" s="93">
        <f>AA5206/14</f>
        <v>0.1984126984126984</v>
      </c>
      <c r="AB5207" s="93">
        <f>AD5207/AC5205</f>
        <v>8.8704000000000018</v>
      </c>
      <c r="AC5207" s="93">
        <f>AC5205/AA5207</f>
        <v>34.171200000000006</v>
      </c>
      <c r="AD5207" s="94">
        <f t="shared" si="3740"/>
        <v>60.141312000000013</v>
      </c>
      <c r="AE5207" s="190"/>
      <c r="AF5207" s="191"/>
      <c r="AG5207" s="191"/>
      <c r="AH5207" s="191"/>
      <c r="AI5207" s="186"/>
      <c r="AK5207" s="171"/>
    </row>
    <row r="5208" spans="1:41" s="102" customFormat="1" ht="19.899999999999999" customHeight="1" x14ac:dyDescent="0.25">
      <c r="A5208" s="45"/>
      <c r="B5208" s="59"/>
      <c r="C5208" s="137"/>
      <c r="D5208" s="59"/>
      <c r="E5208" s="116"/>
      <c r="F5208" s="120"/>
      <c r="G5208" s="120"/>
      <c r="H5208" s="120"/>
      <c r="I5208" s="60"/>
      <c r="J5208" s="116"/>
      <c r="K5208" s="213"/>
      <c r="L5208" s="120"/>
      <c r="M5208" s="120"/>
      <c r="N5208" s="167"/>
      <c r="O5208" s="120"/>
      <c r="P5208" s="120"/>
      <c r="Q5208" s="120"/>
      <c r="R5208" s="120"/>
      <c r="S5208" s="120"/>
      <c r="T5208" s="221"/>
      <c r="U5208" s="89"/>
      <c r="V5208" s="61"/>
      <c r="W5208" s="92" t="s">
        <v>161</v>
      </c>
      <c r="X5208" s="93" t="s">
        <v>29</v>
      </c>
      <c r="Y5208" s="93" t="s">
        <v>93</v>
      </c>
      <c r="Z5208" s="134">
        <f>VLOOKUP(W5208,Sheet2!$B:$D,3,FALSE)</f>
        <v>48</v>
      </c>
      <c r="AA5208" s="93">
        <f>(16*0.85*1.5)/(3*3*4)</f>
        <v>0.56666666666666665</v>
      </c>
      <c r="AB5208" s="93">
        <f>AD5208/AC5205</f>
        <v>84.70588235294116</v>
      </c>
      <c r="AC5208" s="93">
        <f>AC5205/AA5208</f>
        <v>11.964705882352941</v>
      </c>
      <c r="AD5208" s="94">
        <f>AC5208*Z5208</f>
        <v>574.30588235294113</v>
      </c>
      <c r="AE5208" s="190"/>
      <c r="AF5208" s="191"/>
      <c r="AG5208" s="191"/>
      <c r="AH5208" s="191"/>
      <c r="AI5208" s="186"/>
      <c r="AK5208" s="171"/>
    </row>
    <row r="5209" spans="1:41" s="102" customFormat="1" ht="19.899999999999999" customHeight="1" x14ac:dyDescent="0.25">
      <c r="A5209" s="45"/>
      <c r="B5209" s="59"/>
      <c r="C5209" s="137"/>
      <c r="D5209" s="59"/>
      <c r="E5209" s="116"/>
      <c r="F5209" s="120"/>
      <c r="G5209" s="120"/>
      <c r="H5209" s="120"/>
      <c r="I5209" s="60"/>
      <c r="J5209" s="116"/>
      <c r="K5209" s="213"/>
      <c r="L5209" s="120"/>
      <c r="M5209" s="120"/>
      <c r="N5209" s="167"/>
      <c r="O5209" s="120"/>
      <c r="P5209" s="120"/>
      <c r="Q5209" s="120"/>
      <c r="R5209" s="120"/>
      <c r="S5209" s="120"/>
      <c r="T5209" s="221"/>
      <c r="U5209" s="89"/>
      <c r="V5209" s="61"/>
      <c r="W5209" s="92" t="s">
        <v>65</v>
      </c>
      <c r="X5209" s="93" t="s">
        <v>30</v>
      </c>
      <c r="Y5209" s="93" t="s">
        <v>1011</v>
      </c>
      <c r="Z5209" s="134">
        <f>VLOOKUP(W5209,Sheet2!$B:$D,3,FALSE)</f>
        <v>1.76</v>
      </c>
      <c r="AA5209" s="93">
        <f>AA5208/10</f>
        <v>5.6666666666666664E-2</v>
      </c>
      <c r="AB5209" s="93">
        <f>AD5209/AC5205</f>
        <v>31.058823529411764</v>
      </c>
      <c r="AC5209" s="93">
        <f>AC5205/AA5209</f>
        <v>119.64705882352942</v>
      </c>
      <c r="AD5209" s="94">
        <f>AC5209*Z5209</f>
        <v>210.57882352941178</v>
      </c>
      <c r="AE5209" s="190"/>
      <c r="AF5209" s="191"/>
      <c r="AG5209" s="191"/>
      <c r="AH5209" s="191"/>
      <c r="AI5209" s="186"/>
      <c r="AK5209" s="171"/>
    </row>
    <row r="5210" spans="1:41" s="103" customFormat="1" ht="19.899999999999999" customHeight="1" x14ac:dyDescent="0.25">
      <c r="A5210" s="51"/>
      <c r="B5210" s="52"/>
      <c r="C5210" s="165"/>
      <c r="D5210" s="52"/>
      <c r="E5210" s="115"/>
      <c r="F5210" s="58"/>
      <c r="G5210" s="58"/>
      <c r="H5210" s="58"/>
      <c r="I5210" s="55"/>
      <c r="J5210" s="113">
        <f>J5204</f>
        <v>6.78</v>
      </c>
      <c r="K5210" s="212">
        <f>K5204</f>
        <v>6.78</v>
      </c>
      <c r="L5210" s="58"/>
      <c r="M5210" s="58">
        <f>K5210-L5210</f>
        <v>6.78</v>
      </c>
      <c r="N5210" s="166"/>
      <c r="O5210" s="58"/>
      <c r="P5210" s="58"/>
      <c r="Q5210" s="58"/>
      <c r="R5210" s="58"/>
      <c r="S5210" s="58"/>
      <c r="T5210" s="220"/>
      <c r="U5210" s="88"/>
      <c r="V5210" s="56"/>
      <c r="W5210" s="57" t="s">
        <v>1486</v>
      </c>
      <c r="X5210" s="53"/>
      <c r="Y5210" s="91" t="s">
        <v>35</v>
      </c>
      <c r="Z5210" s="136">
        <f>AD5210/AC5210</f>
        <v>1883.8374999999999</v>
      </c>
      <c r="AA5210" s="58"/>
      <c r="AB5210" s="53">
        <f>AD5210/AC5210</f>
        <v>1883.8374999999999</v>
      </c>
      <c r="AC5210" s="53">
        <f>M5210+$AE$10</f>
        <v>6.78</v>
      </c>
      <c r="AD5210" s="54">
        <f>SUM(AD5211:AD5216)</f>
        <v>12772.418249999999</v>
      </c>
      <c r="AE5210" s="184">
        <f>SUMIFS($AD$37:$AD$12971,$V$37:$V$12971,$V5210,$X$37:$X$12971,AE$13)</f>
        <v>0</v>
      </c>
      <c r="AF5210" s="185">
        <f>SUMIFS($AD$37:$AD$12971,$V$37:$V$12971,$V5210,$X$37:$X$12971,AF$13)</f>
        <v>0</v>
      </c>
      <c r="AG5210" s="185">
        <f>SUMIFS($AD$37:$AD$12971,$V$37:$V$12971,$V5210,$X$37:$X$12971,AG$13)</f>
        <v>0</v>
      </c>
      <c r="AH5210" s="187">
        <f>SUMIFS($AD$37:$AD$12971,$V$37:$V$12971,$V5210,$X$37:$X$12971,AH$13)</f>
        <v>0</v>
      </c>
      <c r="AI5210" s="161">
        <f t="shared" ref="AI5210" si="3741">SUM(AE5210:AH5210)</f>
        <v>0</v>
      </c>
      <c r="AK5210" s="172"/>
    </row>
    <row r="5211" spans="1:41" s="102" customFormat="1" ht="19.899999999999999" customHeight="1" x14ac:dyDescent="0.25">
      <c r="A5211" s="45"/>
      <c r="B5211" s="59"/>
      <c r="C5211" s="137"/>
      <c r="D5211" s="59"/>
      <c r="E5211" s="116"/>
      <c r="F5211" s="120"/>
      <c r="G5211" s="120"/>
      <c r="H5211" s="120"/>
      <c r="I5211" s="60"/>
      <c r="J5211" s="116"/>
      <c r="K5211" s="213"/>
      <c r="L5211" s="120"/>
      <c r="M5211" s="120"/>
      <c r="N5211" s="167"/>
      <c r="O5211" s="120"/>
      <c r="P5211" s="120"/>
      <c r="Q5211" s="120"/>
      <c r="R5211" s="120"/>
      <c r="S5211" s="120"/>
      <c r="T5211" s="221"/>
      <c r="U5211" s="89"/>
      <c r="V5211" s="61"/>
      <c r="W5211" s="92" t="s">
        <v>1032</v>
      </c>
      <c r="X5211" s="93" t="s">
        <v>30</v>
      </c>
      <c r="Y5211" s="93" t="s">
        <v>66</v>
      </c>
      <c r="Z5211" s="134">
        <f>VLOOKUP(W5211,Sheet2!$B:$D,3,FALSE)</f>
        <v>250</v>
      </c>
      <c r="AA5211" s="93">
        <f>1/(2.4*2.4*0.1)</f>
        <v>1.7361111111111112</v>
      </c>
      <c r="AB5211" s="93">
        <f>AD5211/AC5217</f>
        <v>143.99999999999997</v>
      </c>
      <c r="AC5211" s="93">
        <f>AC5217/AA5211</f>
        <v>3.9052799999999999</v>
      </c>
      <c r="AD5211" s="94">
        <f t="shared" ref="AD5211:AD5213" si="3742">AC5211*Z5211</f>
        <v>976.31999999999994</v>
      </c>
      <c r="AE5211" s="190"/>
      <c r="AF5211" s="191"/>
      <c r="AG5211" s="191"/>
      <c r="AH5211" s="191"/>
      <c r="AI5211" s="186"/>
      <c r="AK5211" s="171"/>
    </row>
    <row r="5212" spans="1:41" s="102" customFormat="1" ht="19.899999999999999" customHeight="1" x14ac:dyDescent="0.25">
      <c r="A5212" s="45"/>
      <c r="B5212" s="59"/>
      <c r="C5212" s="137"/>
      <c r="D5212" s="59"/>
      <c r="E5212" s="116"/>
      <c r="F5212" s="120"/>
      <c r="G5212" s="120"/>
      <c r="H5212" s="120"/>
      <c r="I5212" s="60"/>
      <c r="J5212" s="116"/>
      <c r="K5212" s="213"/>
      <c r="L5212" s="120"/>
      <c r="M5212" s="120"/>
      <c r="N5212" s="167"/>
      <c r="O5212" s="120"/>
      <c r="P5212" s="120"/>
      <c r="Q5212" s="120"/>
      <c r="R5212" s="120"/>
      <c r="S5212" s="120"/>
      <c r="T5212" s="221"/>
      <c r="U5212" s="89"/>
      <c r="V5212" s="61"/>
      <c r="W5212" s="92" t="s">
        <v>1353</v>
      </c>
      <c r="X5212" s="93" t="s">
        <v>30</v>
      </c>
      <c r="Y5212" s="93" t="s">
        <v>66</v>
      </c>
      <c r="Z5212" s="134">
        <f>VLOOKUP(W5212,Sheet2!$B:$D,3,FALSE)</f>
        <v>350</v>
      </c>
      <c r="AA5212" s="93">
        <f>1/(2.3*2.3*0.3)</f>
        <v>0.63011972274732209</v>
      </c>
      <c r="AB5212" s="93">
        <f>AD5212/AC5217</f>
        <v>555.44999999999982</v>
      </c>
      <c r="AC5212" s="93">
        <f>AC5217/AA5212</f>
        <v>10.759859999999998</v>
      </c>
      <c r="AD5212" s="94">
        <f t="shared" si="3742"/>
        <v>3765.9509999999991</v>
      </c>
      <c r="AE5212" s="190"/>
      <c r="AF5212" s="191"/>
      <c r="AG5212" s="191"/>
      <c r="AH5212" s="191"/>
      <c r="AI5212" s="186"/>
      <c r="AK5212" s="171"/>
    </row>
    <row r="5213" spans="1:41" s="102" customFormat="1" ht="19.899999999999999" customHeight="1" x14ac:dyDescent="0.25">
      <c r="A5213" s="45"/>
      <c r="B5213" s="59"/>
      <c r="C5213" s="137"/>
      <c r="D5213" s="59"/>
      <c r="E5213" s="116"/>
      <c r="F5213" s="120"/>
      <c r="G5213" s="120"/>
      <c r="H5213" s="120"/>
      <c r="I5213" s="60"/>
      <c r="J5213" s="116"/>
      <c r="K5213" s="213"/>
      <c r="L5213" s="120"/>
      <c r="M5213" s="120"/>
      <c r="N5213" s="167"/>
      <c r="O5213" s="120"/>
      <c r="P5213" s="120"/>
      <c r="Q5213" s="120"/>
      <c r="R5213" s="120"/>
      <c r="S5213" s="120"/>
      <c r="T5213" s="221"/>
      <c r="U5213" s="89"/>
      <c r="V5213" s="61"/>
      <c r="W5213" s="92" t="s">
        <v>99</v>
      </c>
      <c r="X5213" s="93" t="s">
        <v>30</v>
      </c>
      <c r="Y5213" s="93" t="s">
        <v>67</v>
      </c>
      <c r="Z5213" s="134">
        <f>VLOOKUP(W5213,Sheet2!$B:$D,3,FALSE)</f>
        <v>2500</v>
      </c>
      <c r="AA5213" s="93">
        <f>AA5212/0.08</f>
        <v>7.8764965343415261</v>
      </c>
      <c r="AB5213" s="93">
        <f>AD5213/AC5217</f>
        <v>317.39999999999998</v>
      </c>
      <c r="AC5213" s="93">
        <f>AC5217/AA5213</f>
        <v>0.86078879999999991</v>
      </c>
      <c r="AD5213" s="94">
        <f t="shared" si="3742"/>
        <v>2151.9719999999998</v>
      </c>
      <c r="AE5213" s="190"/>
      <c r="AF5213" s="191"/>
      <c r="AG5213" s="191"/>
      <c r="AH5213" s="191"/>
      <c r="AI5213" s="186"/>
      <c r="AK5213" s="171"/>
    </row>
    <row r="5214" spans="1:41" s="102" customFormat="1" ht="19.899999999999999" customHeight="1" x14ac:dyDescent="0.25">
      <c r="A5214" s="45"/>
      <c r="B5214" s="59"/>
      <c r="C5214" s="137"/>
      <c r="D5214" s="59"/>
      <c r="E5214" s="116"/>
      <c r="F5214" s="120"/>
      <c r="G5214" s="120"/>
      <c r="H5214" s="120"/>
      <c r="I5214" s="60"/>
      <c r="J5214" s="116"/>
      <c r="K5214" s="213"/>
      <c r="L5214" s="120"/>
      <c r="M5214" s="120"/>
      <c r="N5214" s="167"/>
      <c r="O5214" s="120"/>
      <c r="P5214" s="120"/>
      <c r="Q5214" s="120"/>
      <c r="R5214" s="120"/>
      <c r="S5214" s="120"/>
      <c r="T5214" s="221"/>
      <c r="U5214" s="89"/>
      <c r="V5214" s="61"/>
      <c r="W5214" s="92" t="s">
        <v>1354</v>
      </c>
      <c r="X5214" s="93" t="s">
        <v>32</v>
      </c>
      <c r="Y5214" s="93" t="s">
        <v>66</v>
      </c>
      <c r="Z5214" s="134">
        <f>VLOOKUP(W5214,Sheet2!$B:$D,3,FALSE)</f>
        <v>150</v>
      </c>
      <c r="AA5214" s="93">
        <f>AA5211</f>
        <v>1.7361111111111112</v>
      </c>
      <c r="AB5214" s="93">
        <f>AD5214/AC5217</f>
        <v>86.4</v>
      </c>
      <c r="AC5214" s="93">
        <f>AC5217/AA5214</f>
        <v>3.9052799999999999</v>
      </c>
      <c r="AD5214" s="94">
        <f>AC5214*Z5214</f>
        <v>585.79200000000003</v>
      </c>
      <c r="AE5214" s="190"/>
      <c r="AF5214" s="191"/>
      <c r="AG5214" s="191"/>
      <c r="AH5214" s="191"/>
      <c r="AI5214" s="186"/>
      <c r="AK5214" s="171"/>
    </row>
    <row r="5215" spans="1:41" s="102" customFormat="1" ht="19.899999999999999" customHeight="1" x14ac:dyDescent="0.25">
      <c r="A5215" s="45"/>
      <c r="B5215" s="59"/>
      <c r="C5215" s="137"/>
      <c r="D5215" s="59"/>
      <c r="E5215" s="116"/>
      <c r="F5215" s="120"/>
      <c r="G5215" s="120"/>
      <c r="H5215" s="120"/>
      <c r="I5215" s="60"/>
      <c r="J5215" s="116"/>
      <c r="K5215" s="213"/>
      <c r="L5215" s="120"/>
      <c r="M5215" s="120"/>
      <c r="N5215" s="167"/>
      <c r="O5215" s="120"/>
      <c r="P5215" s="120"/>
      <c r="Q5215" s="120"/>
      <c r="R5215" s="120"/>
      <c r="S5215" s="120"/>
      <c r="T5215" s="221"/>
      <c r="U5215" s="89"/>
      <c r="V5215" s="61"/>
      <c r="W5215" s="92" t="s">
        <v>1355</v>
      </c>
      <c r="X5215" s="93" t="s">
        <v>32</v>
      </c>
      <c r="Y5215" s="93" t="s">
        <v>66</v>
      </c>
      <c r="Z5215" s="134">
        <f>VLOOKUP(W5215,Sheet2!$B:$D,3,FALSE)</f>
        <v>450</v>
      </c>
      <c r="AA5215" s="93">
        <f>AA5212</f>
        <v>0.63011972274732209</v>
      </c>
      <c r="AB5215" s="93">
        <f>AD5215/AC5217</f>
        <v>714.14999999999986</v>
      </c>
      <c r="AC5215" s="93">
        <f>AC5217/AA5215</f>
        <v>10.759859999999998</v>
      </c>
      <c r="AD5215" s="94">
        <f>AC5215*Z5215</f>
        <v>4841.936999999999</v>
      </c>
      <c r="AE5215" s="190"/>
      <c r="AF5215" s="191"/>
      <c r="AG5215" s="191"/>
      <c r="AH5215" s="191"/>
      <c r="AI5215" s="186"/>
      <c r="AK5215" s="171"/>
    </row>
    <row r="5216" spans="1:41" s="102" customFormat="1" ht="19.899999999999999" customHeight="1" x14ac:dyDescent="0.25">
      <c r="A5216" s="45"/>
      <c r="B5216" s="59"/>
      <c r="C5216" s="137"/>
      <c r="D5216" s="59"/>
      <c r="E5216" s="116"/>
      <c r="F5216" s="120"/>
      <c r="G5216" s="120"/>
      <c r="H5216" s="120"/>
      <c r="I5216" s="60"/>
      <c r="J5216" s="116"/>
      <c r="K5216" s="213"/>
      <c r="L5216" s="120"/>
      <c r="M5216" s="120"/>
      <c r="N5216" s="167"/>
      <c r="O5216" s="120"/>
      <c r="P5216" s="120"/>
      <c r="Q5216" s="120"/>
      <c r="R5216" s="120"/>
      <c r="S5216" s="120"/>
      <c r="T5216" s="221"/>
      <c r="U5216" s="89"/>
      <c r="V5216" s="61"/>
      <c r="W5216" s="92" t="s">
        <v>124</v>
      </c>
      <c r="X5216" s="93" t="s">
        <v>32</v>
      </c>
      <c r="Y5216" s="93" t="s">
        <v>64</v>
      </c>
      <c r="Z5216" s="134">
        <f>VLOOKUP(W5216,Sheet2!$B:$D,3,FALSE)</f>
        <v>10</v>
      </c>
      <c r="AA5216" s="93">
        <f>1/((2.9*2.9)-(3.14*1.5*1.5/4))</f>
        <v>0.15051740357478832</v>
      </c>
      <c r="AB5216" s="93">
        <f t="shared" ref="AB5216" si="3743">AD5216/AC5210</f>
        <v>66.4375</v>
      </c>
      <c r="AC5216" s="93">
        <f>AC5210/AA5216</f>
        <v>45.044625000000003</v>
      </c>
      <c r="AD5216" s="94">
        <f t="shared" ref="AD5216" si="3744">AC5216*Z5216</f>
        <v>450.44625000000002</v>
      </c>
      <c r="AE5216" s="190"/>
      <c r="AF5216" s="191"/>
      <c r="AG5216" s="191"/>
      <c r="AH5216" s="191"/>
      <c r="AI5216" s="186"/>
      <c r="AK5216" s="171"/>
    </row>
    <row r="5217" spans="1:37" s="103" customFormat="1" ht="19.899999999999999" customHeight="1" x14ac:dyDescent="0.25">
      <c r="A5217" s="51"/>
      <c r="B5217" s="52"/>
      <c r="C5217" s="165"/>
      <c r="D5217" s="52"/>
      <c r="E5217" s="115"/>
      <c r="F5217" s="58"/>
      <c r="G5217" s="58"/>
      <c r="H5217" s="58"/>
      <c r="I5217" s="55"/>
      <c r="J5217" s="113">
        <f>J5204</f>
        <v>6.78</v>
      </c>
      <c r="K5217" s="212">
        <f>K5204</f>
        <v>6.78</v>
      </c>
      <c r="L5217" s="58"/>
      <c r="M5217" s="58">
        <f>K5217-L5217</f>
        <v>6.78</v>
      </c>
      <c r="N5217" s="166"/>
      <c r="O5217" s="58"/>
      <c r="P5217" s="58"/>
      <c r="Q5217" s="58"/>
      <c r="R5217" s="58"/>
      <c r="S5217" s="58"/>
      <c r="T5217" s="220"/>
      <c r="U5217" s="88"/>
      <c r="V5217" s="56"/>
      <c r="W5217" s="57" t="s">
        <v>1275</v>
      </c>
      <c r="X5217" s="53"/>
      <c r="Y5217" s="91" t="s">
        <v>35</v>
      </c>
      <c r="Z5217" s="136">
        <f>AD5217/AC5217</f>
        <v>7572.7999999999993</v>
      </c>
      <c r="AA5217" s="58"/>
      <c r="AB5217" s="53">
        <f>AD5217/AC5217</f>
        <v>7572.7999999999993</v>
      </c>
      <c r="AC5217" s="53">
        <f>M5217+$AE$10</f>
        <v>6.78</v>
      </c>
      <c r="AD5217" s="54">
        <f>SUM(AD5218:AD5223)</f>
        <v>51343.583999999995</v>
      </c>
      <c r="AE5217" s="184">
        <f>SUMIFS($AD$37:$AD$12971,$V$37:$V$12971,$V5217,$X$37:$X$12971,AE$13)</f>
        <v>0</v>
      </c>
      <c r="AF5217" s="185">
        <f>SUMIFS($AD$37:$AD$12971,$V$37:$V$12971,$V5217,$X$37:$X$12971,AF$13)</f>
        <v>0</v>
      </c>
      <c r="AG5217" s="185">
        <f>SUMIFS($AD$37:$AD$12971,$V$37:$V$12971,$V5217,$X$37:$X$12971,AG$13)</f>
        <v>0</v>
      </c>
      <c r="AH5217" s="187">
        <f>SUMIFS($AD$37:$AD$12971,$V$37:$V$12971,$V5217,$X$37:$X$12971,AH$13)</f>
        <v>0</v>
      </c>
      <c r="AI5217" s="161">
        <f t="shared" ref="AI5217" si="3745">SUM(AE5217:AH5217)</f>
        <v>0</v>
      </c>
      <c r="AK5217" s="172"/>
    </row>
    <row r="5218" spans="1:37" s="102" customFormat="1" ht="19.899999999999999" customHeight="1" x14ac:dyDescent="0.25">
      <c r="A5218" s="45"/>
      <c r="B5218" s="59"/>
      <c r="C5218" s="137"/>
      <c r="D5218" s="59"/>
      <c r="E5218" s="116"/>
      <c r="F5218" s="120"/>
      <c r="G5218" s="120"/>
      <c r="H5218" s="120"/>
      <c r="I5218" s="60"/>
      <c r="J5218" s="116"/>
      <c r="K5218" s="213"/>
      <c r="L5218" s="120"/>
      <c r="M5218" s="120"/>
      <c r="N5218" s="167"/>
      <c r="O5218" s="120"/>
      <c r="P5218" s="120"/>
      <c r="Q5218" s="120"/>
      <c r="R5218" s="120"/>
      <c r="S5218" s="120"/>
      <c r="T5218" s="221"/>
      <c r="U5218" s="89"/>
      <c r="V5218" s="61"/>
      <c r="W5218" s="92" t="s">
        <v>1498</v>
      </c>
      <c r="X5218" s="93" t="s">
        <v>30</v>
      </c>
      <c r="Y5218" s="93" t="s">
        <v>35</v>
      </c>
      <c r="Z5218" s="134">
        <f>VLOOKUP(W5218,Sheet2!$B:$D,3,FALSE)</f>
        <v>5800</v>
      </c>
      <c r="AA5218" s="93">
        <v>1</v>
      </c>
      <c r="AB5218" s="93">
        <f>AD5218/AC5217</f>
        <v>5800</v>
      </c>
      <c r="AC5218" s="93">
        <f>AC5217/AA5218</f>
        <v>6.78</v>
      </c>
      <c r="AD5218" s="94">
        <f t="shared" ref="AD5218:AD5219" si="3746">AC5218*Z5218</f>
        <v>39324</v>
      </c>
      <c r="AE5218" s="190"/>
      <c r="AF5218" s="191"/>
      <c r="AG5218" s="191"/>
      <c r="AH5218" s="191"/>
      <c r="AI5218" s="186"/>
      <c r="AK5218" s="171"/>
    </row>
    <row r="5219" spans="1:37" s="102" customFormat="1" ht="19.899999999999999" customHeight="1" x14ac:dyDescent="0.25">
      <c r="A5219" s="45"/>
      <c r="B5219" s="59"/>
      <c r="C5219" s="137"/>
      <c r="D5219" s="59"/>
      <c r="E5219" s="116"/>
      <c r="F5219" s="120"/>
      <c r="G5219" s="120"/>
      <c r="H5219" s="120"/>
      <c r="I5219" s="60"/>
      <c r="J5219" s="116"/>
      <c r="K5219" s="213"/>
      <c r="L5219" s="120"/>
      <c r="M5219" s="120"/>
      <c r="N5219" s="167"/>
      <c r="O5219" s="120"/>
      <c r="P5219" s="120"/>
      <c r="Q5219" s="120"/>
      <c r="R5219" s="120"/>
      <c r="S5219" s="120"/>
      <c r="T5219" s="221"/>
      <c r="U5219" s="89"/>
      <c r="V5219" s="61"/>
      <c r="W5219" s="92" t="s">
        <v>174</v>
      </c>
      <c r="X5219" s="93" t="s">
        <v>29</v>
      </c>
      <c r="Y5219" s="93" t="s">
        <v>93</v>
      </c>
      <c r="Z5219" s="134">
        <f>VLOOKUP(W5219,Sheet2!$B:$D,3,FALSE)</f>
        <v>80</v>
      </c>
      <c r="AA5219" s="93">
        <f>1/2</f>
        <v>0.5</v>
      </c>
      <c r="AB5219" s="93">
        <f>AD5219/AC5217</f>
        <v>160</v>
      </c>
      <c r="AC5219" s="93">
        <f>AC5217/AA5219</f>
        <v>13.56</v>
      </c>
      <c r="AD5219" s="94">
        <f t="shared" si="3746"/>
        <v>1084.8</v>
      </c>
      <c r="AE5219" s="190"/>
      <c r="AF5219" s="191"/>
      <c r="AG5219" s="191"/>
      <c r="AH5219" s="191"/>
      <c r="AI5219" s="186"/>
      <c r="AK5219" s="171"/>
    </row>
    <row r="5220" spans="1:37" s="102" customFormat="1" ht="19.899999999999999" customHeight="1" x14ac:dyDescent="0.25">
      <c r="A5220" s="45"/>
      <c r="B5220" s="59"/>
      <c r="C5220" s="137"/>
      <c r="D5220" s="59"/>
      <c r="E5220" s="116"/>
      <c r="F5220" s="120"/>
      <c r="G5220" s="120"/>
      <c r="H5220" s="120"/>
      <c r="I5220" s="60"/>
      <c r="J5220" s="116"/>
      <c r="K5220" s="213"/>
      <c r="L5220" s="120"/>
      <c r="M5220" s="120"/>
      <c r="N5220" s="167"/>
      <c r="O5220" s="120"/>
      <c r="P5220" s="120"/>
      <c r="Q5220" s="120"/>
      <c r="R5220" s="120"/>
      <c r="S5220" s="120"/>
      <c r="T5220" s="221"/>
      <c r="U5220" s="89"/>
      <c r="V5220" s="61"/>
      <c r="W5220" s="92" t="s">
        <v>65</v>
      </c>
      <c r="X5220" s="93" t="s">
        <v>30</v>
      </c>
      <c r="Y5220" s="93" t="s">
        <v>93</v>
      </c>
      <c r="Z5220" s="134">
        <f>VLOOKUP(W5220,Sheet2!$B:$D,3,FALSE)</f>
        <v>1.76</v>
      </c>
      <c r="AA5220" s="93">
        <f>AA5219/15</f>
        <v>3.3333333333333333E-2</v>
      </c>
      <c r="AB5220" s="93">
        <f>AD5220/AC5217</f>
        <v>52.800000000000004</v>
      </c>
      <c r="AC5220" s="93">
        <f>AC5217/AA5220</f>
        <v>203.4</v>
      </c>
      <c r="AD5220" s="94">
        <f>AC5220*Z5220</f>
        <v>357.98400000000004</v>
      </c>
      <c r="AE5220" s="190"/>
      <c r="AF5220" s="191"/>
      <c r="AG5220" s="191"/>
      <c r="AH5220" s="191"/>
      <c r="AI5220" s="186"/>
      <c r="AK5220" s="171"/>
    </row>
    <row r="5221" spans="1:37" s="102" customFormat="1" ht="19.899999999999999" customHeight="1" x14ac:dyDescent="0.25">
      <c r="A5221" s="45"/>
      <c r="B5221" s="59"/>
      <c r="C5221" s="137"/>
      <c r="D5221" s="59"/>
      <c r="E5221" s="116"/>
      <c r="F5221" s="120"/>
      <c r="G5221" s="120"/>
      <c r="H5221" s="120"/>
      <c r="I5221" s="60"/>
      <c r="J5221" s="116"/>
      <c r="K5221" s="213"/>
      <c r="L5221" s="120"/>
      <c r="M5221" s="120"/>
      <c r="N5221" s="167"/>
      <c r="O5221" s="120"/>
      <c r="P5221" s="120"/>
      <c r="Q5221" s="120"/>
      <c r="R5221" s="120"/>
      <c r="S5221" s="120"/>
      <c r="T5221" s="221"/>
      <c r="U5221" s="89"/>
      <c r="V5221" s="61"/>
      <c r="W5221" s="92" t="s">
        <v>1487</v>
      </c>
      <c r="X5221" s="93" t="s">
        <v>32</v>
      </c>
      <c r="Y5221" s="93" t="s">
        <v>1349</v>
      </c>
      <c r="Z5221" s="134">
        <f>VLOOKUP(W5221,Sheet2!$B:$D,3,FALSE)</f>
        <v>1500</v>
      </c>
      <c r="AA5221" s="93">
        <v>1</v>
      </c>
      <c r="AB5221" s="93">
        <f>AD5221/AC5217</f>
        <v>1500</v>
      </c>
      <c r="AC5221" s="93">
        <f>AC5217/AA5221</f>
        <v>6.78</v>
      </c>
      <c r="AD5221" s="94">
        <f>AC5221*Z5221</f>
        <v>10170</v>
      </c>
      <c r="AE5221" s="190"/>
      <c r="AF5221" s="191"/>
      <c r="AG5221" s="191"/>
      <c r="AH5221" s="191"/>
      <c r="AI5221" s="186"/>
      <c r="AK5221" s="171"/>
    </row>
    <row r="5222" spans="1:37" s="102" customFormat="1" ht="19.899999999999999" customHeight="1" x14ac:dyDescent="0.25">
      <c r="A5222" s="45"/>
      <c r="B5222" s="59"/>
      <c r="C5222" s="137"/>
      <c r="D5222" s="59"/>
      <c r="E5222" s="116"/>
      <c r="F5222" s="120"/>
      <c r="G5222" s="120"/>
      <c r="H5222" s="120"/>
      <c r="I5222" s="60"/>
      <c r="J5222" s="116"/>
      <c r="K5222" s="213"/>
      <c r="L5222" s="120"/>
      <c r="M5222" s="120"/>
      <c r="N5222" s="167"/>
      <c r="O5222" s="120"/>
      <c r="P5222" s="120"/>
      <c r="Q5222" s="120"/>
      <c r="R5222" s="120"/>
      <c r="S5222" s="120"/>
      <c r="T5222" s="221"/>
      <c r="U5222" s="89"/>
      <c r="V5222" s="61"/>
      <c r="W5222" s="92" t="s">
        <v>107</v>
      </c>
      <c r="X5222" s="93" t="s">
        <v>31</v>
      </c>
      <c r="Y5222" s="93" t="s">
        <v>93</v>
      </c>
      <c r="Z5222" s="134">
        <f>VLOOKUP(W5222,Sheet2!$B:$D,3,FALSE)</f>
        <v>17</v>
      </c>
      <c r="AA5222" s="93">
        <f>AA5219</f>
        <v>0.5</v>
      </c>
      <c r="AB5222" s="93">
        <f>AD5222/AC5217</f>
        <v>34</v>
      </c>
      <c r="AC5222" s="93">
        <f>AC5217/AA5222</f>
        <v>13.56</v>
      </c>
      <c r="AD5222" s="94">
        <f>AC5222*Z5222</f>
        <v>230.52</v>
      </c>
      <c r="AE5222" s="190"/>
      <c r="AF5222" s="191"/>
      <c r="AG5222" s="191"/>
      <c r="AH5222" s="191"/>
      <c r="AI5222" s="186"/>
      <c r="AK5222" s="171"/>
    </row>
    <row r="5223" spans="1:37" s="102" customFormat="1" ht="19.899999999999999" customHeight="1" x14ac:dyDescent="0.25">
      <c r="A5223" s="45"/>
      <c r="B5223" s="59"/>
      <c r="C5223" s="137"/>
      <c r="D5223" s="59"/>
      <c r="E5223" s="116"/>
      <c r="F5223" s="120"/>
      <c r="G5223" s="120"/>
      <c r="H5223" s="120"/>
      <c r="I5223" s="60"/>
      <c r="J5223" s="116"/>
      <c r="K5223" s="213"/>
      <c r="L5223" s="120"/>
      <c r="M5223" s="120"/>
      <c r="N5223" s="167"/>
      <c r="O5223" s="120"/>
      <c r="P5223" s="120"/>
      <c r="Q5223" s="120"/>
      <c r="R5223" s="120"/>
      <c r="S5223" s="120"/>
      <c r="T5223" s="221"/>
      <c r="U5223" s="89"/>
      <c r="V5223" s="61"/>
      <c r="W5223" s="92" t="s">
        <v>112</v>
      </c>
      <c r="X5223" s="93" t="s">
        <v>31</v>
      </c>
      <c r="Y5223" s="93" t="s">
        <v>93</v>
      </c>
      <c r="Z5223" s="134">
        <f>VLOOKUP(W5223,Sheet2!$B:$D,3,FALSE)</f>
        <v>13</v>
      </c>
      <c r="AA5223" s="93">
        <f>AA5222</f>
        <v>0.5</v>
      </c>
      <c r="AB5223" s="93">
        <f>AD5223/AC5217</f>
        <v>26</v>
      </c>
      <c r="AC5223" s="93">
        <f>AC5217/AA5223</f>
        <v>13.56</v>
      </c>
      <c r="AD5223" s="94">
        <f>AC5223*Z5223</f>
        <v>176.28</v>
      </c>
      <c r="AE5223" s="190"/>
      <c r="AF5223" s="191"/>
      <c r="AG5223" s="191"/>
      <c r="AH5223" s="191"/>
      <c r="AI5223" s="186"/>
      <c r="AK5223" s="171"/>
    </row>
    <row r="5224" spans="1:37" s="103" customFormat="1" ht="19.899999999999999" customHeight="1" x14ac:dyDescent="0.25">
      <c r="A5224" s="51"/>
      <c r="B5224" s="52"/>
      <c r="C5224" s="165"/>
      <c r="D5224" s="52"/>
      <c r="E5224" s="115"/>
      <c r="F5224" s="58"/>
      <c r="G5224" s="58"/>
      <c r="H5224" s="58"/>
      <c r="I5224" s="55"/>
      <c r="J5224" s="113">
        <f>J5204</f>
        <v>6.78</v>
      </c>
      <c r="K5224" s="212">
        <f>K5204</f>
        <v>6.78</v>
      </c>
      <c r="L5224" s="58"/>
      <c r="M5224" s="58">
        <f>K5224-L5224</f>
        <v>6.78</v>
      </c>
      <c r="N5224" s="166"/>
      <c r="O5224" s="58"/>
      <c r="P5224" s="58"/>
      <c r="Q5224" s="58"/>
      <c r="R5224" s="58"/>
      <c r="S5224" s="58"/>
      <c r="T5224" s="220"/>
      <c r="U5224" s="88"/>
      <c r="V5224" s="56"/>
      <c r="W5224" s="57" t="s">
        <v>1272</v>
      </c>
      <c r="X5224" s="53"/>
      <c r="Y5224" s="91" t="s">
        <v>35</v>
      </c>
      <c r="Z5224" s="136">
        <f>AD5224/AC5224</f>
        <v>549.08035435294119</v>
      </c>
      <c r="AA5224" s="58"/>
      <c r="AB5224" s="53">
        <f>AD5224/AC5224</f>
        <v>549.08035435294119</v>
      </c>
      <c r="AC5224" s="53">
        <f>M5224+$AE$10</f>
        <v>6.78</v>
      </c>
      <c r="AD5224" s="54">
        <f>SUM(AD5225:AD5233)</f>
        <v>3722.7648025129415</v>
      </c>
      <c r="AE5224" s="184">
        <f>SUMIFS($AD$37:$AD$12971,$V$37:$V$12971,$V5224,$X$37:$X$12971,AE$13)</f>
        <v>0</v>
      </c>
      <c r="AF5224" s="185">
        <f>SUMIFS($AD$37:$AD$12971,$V$37:$V$12971,$V5224,$X$37:$X$12971,AF$13)</f>
        <v>0</v>
      </c>
      <c r="AG5224" s="185">
        <f>SUMIFS($AD$37:$AD$12971,$V$37:$V$12971,$V5224,$X$37:$X$12971,AG$13)</f>
        <v>0</v>
      </c>
      <c r="AH5224" s="187">
        <f>SUMIFS($AD$37:$AD$12971,$V$37:$V$12971,$V5224,$X$37:$X$12971,AH$13)</f>
        <v>0</v>
      </c>
      <c r="AI5224" s="161">
        <f t="shared" ref="AI5224" si="3747">SUM(AE5224:AH5224)</f>
        <v>0</v>
      </c>
      <c r="AK5224" s="172"/>
    </row>
    <row r="5225" spans="1:37" s="102" customFormat="1" ht="19.899999999999999" customHeight="1" x14ac:dyDescent="0.25">
      <c r="A5225" s="45"/>
      <c r="B5225" s="59"/>
      <c r="C5225" s="137"/>
      <c r="D5225" s="59"/>
      <c r="E5225" s="116"/>
      <c r="F5225" s="120"/>
      <c r="G5225" s="120"/>
      <c r="H5225" s="120"/>
      <c r="I5225" s="60"/>
      <c r="J5225" s="116"/>
      <c r="K5225" s="213"/>
      <c r="L5225" s="120"/>
      <c r="M5225" s="120"/>
      <c r="N5225" s="167"/>
      <c r="O5225" s="120"/>
      <c r="P5225" s="120"/>
      <c r="Q5225" s="120"/>
      <c r="R5225" s="120"/>
      <c r="S5225" s="120"/>
      <c r="T5225" s="221"/>
      <c r="U5225" s="89"/>
      <c r="V5225" s="61"/>
      <c r="W5225" s="92" t="s">
        <v>1273</v>
      </c>
      <c r="X5225" s="93" t="s">
        <v>30</v>
      </c>
      <c r="Y5225" s="93" t="s">
        <v>66</v>
      </c>
      <c r="Z5225" s="134">
        <f>VLOOKUP(W5225,Sheet2!$B:$D,3,FALSE)</f>
        <v>10</v>
      </c>
      <c r="AA5225" s="93">
        <f>1/((3*3*4)-(3.14/4*1.5*1.5*4))</f>
        <v>3.4560221185415581E-2</v>
      </c>
      <c r="AB5225" s="93">
        <f>AD5225/AC5224</f>
        <v>289.35000000000002</v>
      </c>
      <c r="AC5225" s="93">
        <f>AC5224/AA5225</f>
        <v>196.17930000000004</v>
      </c>
      <c r="AD5225" s="94">
        <f t="shared" ref="AD5225:AD5227" si="3748">AC5225*Z5225</f>
        <v>1961.7930000000003</v>
      </c>
      <c r="AE5225" s="190"/>
      <c r="AF5225" s="191"/>
      <c r="AG5225" s="191"/>
      <c r="AH5225" s="191"/>
      <c r="AI5225" s="186"/>
      <c r="AK5225" s="171"/>
    </row>
    <row r="5226" spans="1:37" s="102" customFormat="1" ht="19.899999999999999" customHeight="1" x14ac:dyDescent="0.25">
      <c r="A5226" s="45"/>
      <c r="B5226" s="59"/>
      <c r="C5226" s="137"/>
      <c r="D5226" s="59"/>
      <c r="E5226" s="116"/>
      <c r="F5226" s="120"/>
      <c r="G5226" s="120"/>
      <c r="H5226" s="120"/>
      <c r="I5226" s="60"/>
      <c r="J5226" s="116"/>
      <c r="K5226" s="213"/>
      <c r="L5226" s="120"/>
      <c r="M5226" s="120"/>
      <c r="N5226" s="167"/>
      <c r="O5226" s="120"/>
      <c r="P5226" s="120"/>
      <c r="Q5226" s="120"/>
      <c r="R5226" s="120"/>
      <c r="S5226" s="120"/>
      <c r="T5226" s="221"/>
      <c r="U5226" s="89"/>
      <c r="V5226" s="61"/>
      <c r="W5226" s="92" t="s">
        <v>134</v>
      </c>
      <c r="X5226" s="93" t="s">
        <v>29</v>
      </c>
      <c r="Y5226" s="93" t="s">
        <v>93</v>
      </c>
      <c r="Z5226" s="134">
        <f>VLOOKUP(W5226,Sheet2!$B:$D,3,FALSE)</f>
        <v>65.599999999999994</v>
      </c>
      <c r="AA5226" s="93">
        <f>100/((3*3*4)-(3.14/4*1.5*1.5*4))</f>
        <v>3.4560221185415583</v>
      </c>
      <c r="AB5226" s="93">
        <f t="shared" ref="AB5226" si="3749">AD5226/AC5224</f>
        <v>18.981360000000002</v>
      </c>
      <c r="AC5226" s="93">
        <f>AC5224/AA5226</f>
        <v>1.9617930000000003</v>
      </c>
      <c r="AD5226" s="94">
        <f t="shared" si="3748"/>
        <v>128.69362080000002</v>
      </c>
      <c r="AE5226" s="190"/>
      <c r="AF5226" s="191"/>
      <c r="AG5226" s="191"/>
      <c r="AH5226" s="191"/>
      <c r="AI5226" s="186"/>
      <c r="AK5226" s="171"/>
    </row>
    <row r="5227" spans="1:37" s="102" customFormat="1" ht="19.899999999999999" customHeight="1" x14ac:dyDescent="0.25">
      <c r="A5227" s="45"/>
      <c r="B5227" s="59"/>
      <c r="C5227" s="137"/>
      <c r="D5227" s="59"/>
      <c r="E5227" s="116"/>
      <c r="F5227" s="120"/>
      <c r="G5227" s="120"/>
      <c r="H5227" s="120"/>
      <c r="I5227" s="60"/>
      <c r="J5227" s="116"/>
      <c r="K5227" s="213"/>
      <c r="L5227" s="120"/>
      <c r="M5227" s="120"/>
      <c r="N5227" s="167"/>
      <c r="O5227" s="120"/>
      <c r="P5227" s="120"/>
      <c r="Q5227" s="120"/>
      <c r="R5227" s="120"/>
      <c r="S5227" s="120"/>
      <c r="T5227" s="221"/>
      <c r="U5227" s="89"/>
      <c r="V5227" s="61"/>
      <c r="W5227" s="92" t="s">
        <v>65</v>
      </c>
      <c r="X5227" s="93" t="s">
        <v>30</v>
      </c>
      <c r="Y5227" s="93" t="s">
        <v>1011</v>
      </c>
      <c r="Z5227" s="134">
        <f>VLOOKUP(W5227,Sheet2!$B:$D,3,FALSE)</f>
        <v>1.76</v>
      </c>
      <c r="AA5227" s="93">
        <f>AA5226/9</f>
        <v>0.38400245761572871</v>
      </c>
      <c r="AB5227" s="93">
        <f>AD5227/AC5224</f>
        <v>4.583304</v>
      </c>
      <c r="AC5227" s="93">
        <f>AC5224/AA5227</f>
        <v>17.656137000000001</v>
      </c>
      <c r="AD5227" s="94">
        <f t="shared" si="3748"/>
        <v>31.074801120000004</v>
      </c>
      <c r="AE5227" s="190"/>
      <c r="AF5227" s="191"/>
      <c r="AG5227" s="191"/>
      <c r="AH5227" s="191"/>
      <c r="AI5227" s="186"/>
      <c r="AK5227" s="171"/>
    </row>
    <row r="5228" spans="1:37" s="102" customFormat="1" ht="19.899999999999999" customHeight="1" x14ac:dyDescent="0.25">
      <c r="A5228" s="45"/>
      <c r="B5228" s="59"/>
      <c r="C5228" s="137"/>
      <c r="D5228" s="59"/>
      <c r="E5228" s="116"/>
      <c r="F5228" s="120"/>
      <c r="G5228" s="120"/>
      <c r="H5228" s="120"/>
      <c r="I5228" s="60"/>
      <c r="J5228" s="116"/>
      <c r="K5228" s="213"/>
      <c r="L5228" s="120"/>
      <c r="M5228" s="120"/>
      <c r="N5228" s="167"/>
      <c r="O5228" s="120"/>
      <c r="P5228" s="120"/>
      <c r="Q5228" s="120"/>
      <c r="R5228" s="120"/>
      <c r="S5228" s="120"/>
      <c r="T5228" s="221"/>
      <c r="U5228" s="89"/>
      <c r="V5228" s="61"/>
      <c r="W5228" s="92" t="s">
        <v>161</v>
      </c>
      <c r="X5228" s="93" t="s">
        <v>29</v>
      </c>
      <c r="Y5228" s="93" t="s">
        <v>93</v>
      </c>
      <c r="Z5228" s="134">
        <f>VLOOKUP(W5228,Sheet2!$B:$D,3,FALSE)</f>
        <v>48</v>
      </c>
      <c r="AA5228" s="93">
        <f>(16*0.85*1.5)/((3*3*4)-(3.14/4*1.5*1.5*4))</f>
        <v>0.70502851218247786</v>
      </c>
      <c r="AB5228" s="93">
        <f>AD5228/AC5224</f>
        <v>68.082352941176481</v>
      </c>
      <c r="AC5228" s="93">
        <f>AC5224/AA5228</f>
        <v>9.6166323529411777</v>
      </c>
      <c r="AD5228" s="94">
        <f>AC5228*Z5228</f>
        <v>461.59835294117653</v>
      </c>
      <c r="AE5228" s="190"/>
      <c r="AF5228" s="191"/>
      <c r="AG5228" s="191"/>
      <c r="AH5228" s="191"/>
      <c r="AI5228" s="186"/>
      <c r="AK5228" s="171"/>
    </row>
    <row r="5229" spans="1:37" s="102" customFormat="1" ht="19.899999999999999" customHeight="1" x14ac:dyDescent="0.25">
      <c r="A5229" s="45"/>
      <c r="B5229" s="59"/>
      <c r="C5229" s="137"/>
      <c r="D5229" s="59"/>
      <c r="E5229" s="116"/>
      <c r="F5229" s="120"/>
      <c r="G5229" s="120"/>
      <c r="H5229" s="120"/>
      <c r="I5229" s="60"/>
      <c r="J5229" s="116"/>
      <c r="K5229" s="213"/>
      <c r="L5229" s="120"/>
      <c r="M5229" s="120"/>
      <c r="N5229" s="167"/>
      <c r="O5229" s="120"/>
      <c r="P5229" s="120"/>
      <c r="Q5229" s="120"/>
      <c r="R5229" s="120"/>
      <c r="S5229" s="120"/>
      <c r="T5229" s="221"/>
      <c r="U5229" s="89"/>
      <c r="V5229" s="61"/>
      <c r="W5229" s="92" t="s">
        <v>65</v>
      </c>
      <c r="X5229" s="93" t="s">
        <v>30</v>
      </c>
      <c r="Y5229" s="93" t="s">
        <v>1011</v>
      </c>
      <c r="Z5229" s="134">
        <f>VLOOKUP(W5229,Sheet2!$B:$D,3,FALSE)</f>
        <v>1.76</v>
      </c>
      <c r="AA5229" s="93">
        <f>AA5228/10</f>
        <v>7.0502851218247786E-2</v>
      </c>
      <c r="AB5229" s="93">
        <f>AD5229/AC5224</f>
        <v>24.963529411764711</v>
      </c>
      <c r="AC5229" s="93">
        <f>AC5224/AA5229</f>
        <v>96.166323529411784</v>
      </c>
      <c r="AD5229" s="94">
        <f>AC5229*Z5229</f>
        <v>169.25272941176473</v>
      </c>
      <c r="AE5229" s="190"/>
      <c r="AF5229" s="191"/>
      <c r="AG5229" s="191"/>
      <c r="AH5229" s="191"/>
      <c r="AI5229" s="186"/>
      <c r="AK5229" s="171"/>
    </row>
    <row r="5230" spans="1:37" s="102" customFormat="1" ht="19.899999999999999" customHeight="1" x14ac:dyDescent="0.25">
      <c r="A5230" s="45"/>
      <c r="B5230" s="59"/>
      <c r="C5230" s="137"/>
      <c r="D5230" s="59"/>
      <c r="E5230" s="116"/>
      <c r="F5230" s="120"/>
      <c r="G5230" s="120"/>
      <c r="H5230" s="120"/>
      <c r="I5230" s="60"/>
      <c r="J5230" s="116"/>
      <c r="K5230" s="213"/>
      <c r="L5230" s="120"/>
      <c r="M5230" s="120"/>
      <c r="N5230" s="167"/>
      <c r="O5230" s="120"/>
      <c r="P5230" s="120"/>
      <c r="Q5230" s="120"/>
      <c r="R5230" s="120"/>
      <c r="S5230" s="120"/>
      <c r="T5230" s="221"/>
      <c r="U5230" s="89"/>
      <c r="V5230" s="61"/>
      <c r="W5230" s="92" t="s">
        <v>173</v>
      </c>
      <c r="X5230" s="93" t="s">
        <v>29</v>
      </c>
      <c r="Y5230" s="93" t="s">
        <v>93</v>
      </c>
      <c r="Z5230" s="134">
        <f>VLOOKUP(W5230,Sheet2!$B:$D,3,FALSE)</f>
        <v>36</v>
      </c>
      <c r="AA5230" s="93">
        <f>50/((3*3*4)-(3.14/4*1.5*1.5*4))</f>
        <v>1.7280110592707791</v>
      </c>
      <c r="AB5230" s="93">
        <f>AD5230/AC5224</f>
        <v>20.833200000000005</v>
      </c>
      <c r="AC5230" s="93">
        <f>AC5224/AA5230</f>
        <v>3.9235860000000007</v>
      </c>
      <c r="AD5230" s="94">
        <f>AC5230*Z5230</f>
        <v>141.24909600000004</v>
      </c>
      <c r="AE5230" s="190"/>
      <c r="AF5230" s="191"/>
      <c r="AG5230" s="191"/>
      <c r="AH5230" s="191"/>
      <c r="AI5230" s="186"/>
      <c r="AK5230" s="171"/>
    </row>
    <row r="5231" spans="1:37" s="102" customFormat="1" ht="19.899999999999999" customHeight="1" x14ac:dyDescent="0.25">
      <c r="A5231" s="45"/>
      <c r="B5231" s="59"/>
      <c r="C5231" s="137"/>
      <c r="D5231" s="59"/>
      <c r="E5231" s="116"/>
      <c r="F5231" s="120"/>
      <c r="G5231" s="120"/>
      <c r="H5231" s="120"/>
      <c r="I5231" s="60"/>
      <c r="J5231" s="116"/>
      <c r="K5231" s="213"/>
      <c r="L5231" s="120"/>
      <c r="M5231" s="120"/>
      <c r="N5231" s="167"/>
      <c r="O5231" s="120"/>
      <c r="P5231" s="120"/>
      <c r="Q5231" s="120"/>
      <c r="R5231" s="120"/>
      <c r="S5231" s="120"/>
      <c r="T5231" s="221"/>
      <c r="U5231" s="89"/>
      <c r="V5231" s="61"/>
      <c r="W5231" s="92" t="s">
        <v>65</v>
      </c>
      <c r="X5231" s="93" t="s">
        <v>30</v>
      </c>
      <c r="Y5231" s="93" t="s">
        <v>1011</v>
      </c>
      <c r="Z5231" s="134">
        <f>VLOOKUP(W5231,Sheet2!$B:$D,3,FALSE)</f>
        <v>1.76</v>
      </c>
      <c r="AA5231" s="93">
        <f>AA5230/9</f>
        <v>0.19200122880786435</v>
      </c>
      <c r="AB5231" s="93">
        <f>AD5231/AC5224</f>
        <v>9.1666080000000001</v>
      </c>
      <c r="AC5231" s="93">
        <f>AC5224/AA5231</f>
        <v>35.312274000000002</v>
      </c>
      <c r="AD5231" s="94">
        <f>AC5231*Z5231</f>
        <v>62.149602240000007</v>
      </c>
      <c r="AE5231" s="190"/>
      <c r="AF5231" s="191"/>
      <c r="AG5231" s="191"/>
      <c r="AH5231" s="191"/>
      <c r="AI5231" s="186"/>
      <c r="AK5231" s="171"/>
    </row>
    <row r="5232" spans="1:37" s="102" customFormat="1" ht="19.899999999999999" customHeight="1" x14ac:dyDescent="0.25">
      <c r="A5232" s="45"/>
      <c r="B5232" s="59"/>
      <c r="C5232" s="137"/>
      <c r="D5232" s="59"/>
      <c r="E5232" s="116"/>
      <c r="F5232" s="120"/>
      <c r="G5232" s="120"/>
      <c r="H5232" s="120"/>
      <c r="I5232" s="60"/>
      <c r="J5232" s="116"/>
      <c r="K5232" s="213"/>
      <c r="L5232" s="120"/>
      <c r="M5232" s="120"/>
      <c r="N5232" s="167"/>
      <c r="O5232" s="120"/>
      <c r="P5232" s="120"/>
      <c r="Q5232" s="120"/>
      <c r="R5232" s="120"/>
      <c r="S5232" s="120"/>
      <c r="T5232" s="221"/>
      <c r="U5232" s="89"/>
      <c r="V5232" s="61"/>
      <c r="W5232" s="92" t="s">
        <v>1030</v>
      </c>
      <c r="X5232" s="93" t="s">
        <v>29</v>
      </c>
      <c r="Y5232" s="93" t="s">
        <v>93</v>
      </c>
      <c r="Z5232" s="134">
        <f>VLOOKUP(W5232,Sheet2!$B:$D,3,FALSE)</f>
        <v>23</v>
      </c>
      <c r="AA5232" s="93">
        <f>1/(4*1)</f>
        <v>0.25</v>
      </c>
      <c r="AB5232" s="93">
        <f>AD5232/AC5224</f>
        <v>92</v>
      </c>
      <c r="AC5232" s="93">
        <f>AC5224/AA5232</f>
        <v>27.12</v>
      </c>
      <c r="AD5232" s="94">
        <f t="shared" ref="AD5232:AD5233" si="3750">AC5232*Z5232</f>
        <v>623.76</v>
      </c>
      <c r="AE5232" s="190"/>
      <c r="AF5232" s="191"/>
      <c r="AG5232" s="191"/>
      <c r="AH5232" s="191"/>
      <c r="AI5232" s="186"/>
      <c r="AK5232" s="171"/>
    </row>
    <row r="5233" spans="1:41" s="102" customFormat="1" ht="19.899999999999999" customHeight="1" x14ac:dyDescent="0.25">
      <c r="A5233" s="45"/>
      <c r="B5233" s="59"/>
      <c r="C5233" s="137"/>
      <c r="D5233" s="59"/>
      <c r="E5233" s="116"/>
      <c r="F5233" s="120"/>
      <c r="G5233" s="120"/>
      <c r="H5233" s="120"/>
      <c r="I5233" s="60"/>
      <c r="J5233" s="116"/>
      <c r="K5233" s="213"/>
      <c r="L5233" s="120"/>
      <c r="M5233" s="120"/>
      <c r="N5233" s="167"/>
      <c r="O5233" s="120"/>
      <c r="P5233" s="120"/>
      <c r="Q5233" s="120"/>
      <c r="R5233" s="120"/>
      <c r="S5233" s="120"/>
      <c r="T5233" s="221"/>
      <c r="U5233" s="89"/>
      <c r="V5233" s="61"/>
      <c r="W5233" s="92" t="s">
        <v>65</v>
      </c>
      <c r="X5233" s="93" t="s">
        <v>30</v>
      </c>
      <c r="Y5233" s="93" t="s">
        <v>1011</v>
      </c>
      <c r="Z5233" s="134">
        <f>VLOOKUP(W5233,Sheet2!$B:$D,3,FALSE)</f>
        <v>1.76</v>
      </c>
      <c r="AA5233" s="93">
        <f>AA5232/3</f>
        <v>8.3333333333333329E-2</v>
      </c>
      <c r="AB5233" s="93">
        <f>AD5233/AC5224</f>
        <v>21.120000000000005</v>
      </c>
      <c r="AC5233" s="93">
        <f>AC5224/AA5233</f>
        <v>81.360000000000014</v>
      </c>
      <c r="AD5233" s="94">
        <f t="shared" si="3750"/>
        <v>143.19360000000003</v>
      </c>
      <c r="AE5233" s="190"/>
      <c r="AF5233" s="191"/>
      <c r="AG5233" s="191"/>
      <c r="AH5233" s="191"/>
      <c r="AI5233" s="186"/>
      <c r="AK5233" s="171"/>
    </row>
    <row r="5234" spans="1:41" ht="20.100000000000001" customHeight="1" x14ac:dyDescent="0.25">
      <c r="A5234" s="277" t="s">
        <v>491</v>
      </c>
      <c r="B5234" s="278"/>
      <c r="C5234" s="64" t="s">
        <v>579</v>
      </c>
      <c r="D5234" s="46" t="s">
        <v>215</v>
      </c>
      <c r="E5234" s="114">
        <v>1.7799999999999994</v>
      </c>
      <c r="F5234" s="44">
        <v>49093</v>
      </c>
      <c r="G5234" s="44">
        <f t="shared" si="3471"/>
        <v>87385.539999999964</v>
      </c>
      <c r="H5234" s="44">
        <f t="shared" si="3472"/>
        <v>10987.247392764706</v>
      </c>
      <c r="I5234" s="43">
        <f t="shared" si="3473"/>
        <v>19557.300359121171</v>
      </c>
      <c r="J5234" s="112">
        <f t="shared" si="3474"/>
        <v>1.7799999999999994</v>
      </c>
      <c r="K5234" s="211">
        <f t="shared" si="3475"/>
        <v>1.7799999999999994</v>
      </c>
      <c r="L5234" s="44"/>
      <c r="M5234" s="44">
        <f t="shared" si="3499"/>
        <v>1.7799999999999994</v>
      </c>
      <c r="N5234" s="173">
        <f t="shared" si="3476"/>
        <v>1</v>
      </c>
      <c r="O5234" s="44">
        <f t="shared" si="3477"/>
        <v>49093</v>
      </c>
      <c r="P5234" s="44">
        <f t="shared" si="3478"/>
        <v>87385.539999999964</v>
      </c>
      <c r="Q5234" s="44">
        <f t="shared" si="3479"/>
        <v>10987.247392764706</v>
      </c>
      <c r="R5234" s="44">
        <f t="shared" si="3500"/>
        <v>19557.300359121171</v>
      </c>
      <c r="S5234" s="123"/>
      <c r="T5234" s="219">
        <f t="shared" si="3501"/>
        <v>19557.300359121171</v>
      </c>
      <c r="U5234" s="87"/>
      <c r="V5234" s="47"/>
      <c r="W5234" s="48"/>
      <c r="X5234" s="48"/>
      <c r="Y5234" s="48"/>
      <c r="Z5234" s="135"/>
      <c r="AA5234" s="49"/>
      <c r="AB5234" s="50">
        <f t="shared" si="3480"/>
        <v>10987.247392764706</v>
      </c>
      <c r="AC5234" s="42">
        <f t="shared" si="3502"/>
        <v>1.7799999999999994</v>
      </c>
      <c r="AD5234" s="90">
        <f>AD5235+AD5240+AD5247+AD5254</f>
        <v>19557.300359121171</v>
      </c>
      <c r="AE5234" s="188">
        <f t="shared" ref="AE5234" si="3751">AE5235+AE5240+AE5247+AE5254</f>
        <v>0</v>
      </c>
      <c r="AF5234" s="189">
        <f t="shared" ref="AF5234" si="3752">AF5235+AF5240+AF5247+AF5254</f>
        <v>0</v>
      </c>
      <c r="AG5234" s="189">
        <f t="shared" ref="AG5234" si="3753">AG5235+AG5240+AG5247+AG5254</f>
        <v>0</v>
      </c>
      <c r="AH5234" s="189">
        <f t="shared" ref="AH5234" si="3754">AH5235+AH5240+AH5247+AH5254</f>
        <v>0</v>
      </c>
      <c r="AI5234" s="161">
        <f t="shared" ref="AI5234" si="3755">SUM(AE5234:AH5234)</f>
        <v>0</v>
      </c>
      <c r="AK5234" s="169">
        <v>5</v>
      </c>
      <c r="AO5234" s="19" t="s">
        <v>63</v>
      </c>
    </row>
    <row r="5235" spans="1:41" s="103" customFormat="1" ht="19.899999999999999" customHeight="1" x14ac:dyDescent="0.25">
      <c r="A5235" s="51"/>
      <c r="B5235" s="52"/>
      <c r="C5235" s="165"/>
      <c r="D5235" s="52"/>
      <c r="E5235" s="115"/>
      <c r="F5235" s="58"/>
      <c r="G5235" s="58"/>
      <c r="H5235" s="58"/>
      <c r="I5235" s="55"/>
      <c r="J5235" s="113">
        <f>J5234</f>
        <v>1.7799999999999994</v>
      </c>
      <c r="K5235" s="212">
        <f>K5234</f>
        <v>1.7799999999999994</v>
      </c>
      <c r="L5235" s="58"/>
      <c r="M5235" s="58">
        <f>K5235-L5235</f>
        <v>1.7799999999999994</v>
      </c>
      <c r="N5235" s="166"/>
      <c r="O5235" s="58"/>
      <c r="P5235" s="58"/>
      <c r="Q5235" s="58"/>
      <c r="R5235" s="58"/>
      <c r="S5235" s="58"/>
      <c r="T5235" s="220"/>
      <c r="U5235" s="88"/>
      <c r="V5235" s="56"/>
      <c r="W5235" s="57" t="s">
        <v>1514</v>
      </c>
      <c r="X5235" s="53"/>
      <c r="Y5235" s="91" t="s">
        <v>35</v>
      </c>
      <c r="Z5235" s="136">
        <f>AD5235/AC5235</f>
        <v>162.89449411764707</v>
      </c>
      <c r="AA5235" s="58"/>
      <c r="AB5235" s="53">
        <f>AD5235/AC5235</f>
        <v>162.89449411764707</v>
      </c>
      <c r="AC5235" s="53">
        <f>M5235+$AE$10</f>
        <v>1.7799999999999994</v>
      </c>
      <c r="AD5235" s="54">
        <f>SUM(AD5236:AD5239)</f>
        <v>289.9521995294117</v>
      </c>
      <c r="AE5235" s="184">
        <f>SUMIFS($AD$37:$AD$12971,$V$37:$V$12971,$V5235,$X$37:$X$12971,AE$13)</f>
        <v>0</v>
      </c>
      <c r="AF5235" s="185">
        <f>SUMIFS($AD$37:$AD$12971,$V$37:$V$12971,$V5235,$X$37:$X$12971,AF$13)</f>
        <v>0</v>
      </c>
      <c r="AG5235" s="185">
        <f>SUMIFS($AD$37:$AD$12971,$V$37:$V$12971,$V5235,$X$37:$X$12971,AG$13)</f>
        <v>0</v>
      </c>
      <c r="AH5235" s="187">
        <f>SUMIFS($AD$37:$AD$12971,$V$37:$V$12971,$V5235,$X$37:$X$12971,AH$13)</f>
        <v>0</v>
      </c>
      <c r="AI5235" s="161">
        <f t="shared" ref="AI5235" si="3756">SUM(AE5235:AH5235)</f>
        <v>0</v>
      </c>
      <c r="AK5235" s="172"/>
    </row>
    <row r="5236" spans="1:41" s="102" customFormat="1" ht="19.899999999999999" customHeight="1" x14ac:dyDescent="0.25">
      <c r="A5236" s="45"/>
      <c r="B5236" s="59"/>
      <c r="C5236" s="137"/>
      <c r="D5236" s="59"/>
      <c r="E5236" s="116"/>
      <c r="F5236" s="120"/>
      <c r="G5236" s="120"/>
      <c r="H5236" s="120"/>
      <c r="I5236" s="60"/>
      <c r="J5236" s="116"/>
      <c r="K5236" s="213"/>
      <c r="L5236" s="120"/>
      <c r="M5236" s="120"/>
      <c r="N5236" s="167"/>
      <c r="O5236" s="120"/>
      <c r="P5236" s="120"/>
      <c r="Q5236" s="120"/>
      <c r="R5236" s="120"/>
      <c r="S5236" s="120"/>
      <c r="T5236" s="221"/>
      <c r="U5236" s="89"/>
      <c r="V5236" s="61"/>
      <c r="W5236" s="92" t="s">
        <v>129</v>
      </c>
      <c r="X5236" s="93" t="s">
        <v>29</v>
      </c>
      <c r="Y5236" s="93" t="s">
        <v>93</v>
      </c>
      <c r="Z5236" s="134">
        <f>VLOOKUP(W5236,Sheet2!$B:$D,3,FALSE)</f>
        <v>56</v>
      </c>
      <c r="AA5236" s="93">
        <f>100/(3*3*4.5)</f>
        <v>2.4691358024691357</v>
      </c>
      <c r="AB5236" s="93">
        <f t="shared" ref="AB5236" si="3757">AD5236/AC5235</f>
        <v>22.680000000000003</v>
      </c>
      <c r="AC5236" s="93">
        <f>AC5235/AA5236</f>
        <v>0.72089999999999976</v>
      </c>
      <c r="AD5236" s="94">
        <f t="shared" ref="AD5236:AD5237" si="3758">AC5236*Z5236</f>
        <v>40.370399999999989</v>
      </c>
      <c r="AE5236" s="190"/>
      <c r="AF5236" s="191"/>
      <c r="AG5236" s="191"/>
      <c r="AH5236" s="191"/>
      <c r="AI5236" s="186"/>
      <c r="AK5236" s="171"/>
    </row>
    <row r="5237" spans="1:41" s="102" customFormat="1" ht="19.899999999999999" customHeight="1" x14ac:dyDescent="0.25">
      <c r="A5237" s="45"/>
      <c r="B5237" s="59"/>
      <c r="C5237" s="137"/>
      <c r="D5237" s="59"/>
      <c r="E5237" s="116"/>
      <c r="F5237" s="120"/>
      <c r="G5237" s="120"/>
      <c r="H5237" s="120"/>
      <c r="I5237" s="60"/>
      <c r="J5237" s="116"/>
      <c r="K5237" s="213"/>
      <c r="L5237" s="120"/>
      <c r="M5237" s="120"/>
      <c r="N5237" s="167"/>
      <c r="O5237" s="120"/>
      <c r="P5237" s="120"/>
      <c r="Q5237" s="120"/>
      <c r="R5237" s="120"/>
      <c r="S5237" s="120"/>
      <c r="T5237" s="221"/>
      <c r="U5237" s="89"/>
      <c r="V5237" s="61"/>
      <c r="W5237" s="92" t="s">
        <v>65</v>
      </c>
      <c r="X5237" s="93" t="s">
        <v>30</v>
      </c>
      <c r="Y5237" s="93" t="s">
        <v>1011</v>
      </c>
      <c r="Z5237" s="134">
        <f>VLOOKUP(W5237,Sheet2!$B:$D,3,FALSE)</f>
        <v>1.76</v>
      </c>
      <c r="AA5237" s="93">
        <f>AA5236/14</f>
        <v>0.17636684303350969</v>
      </c>
      <c r="AB5237" s="93">
        <f>AD5237/AC5235</f>
        <v>9.9792000000000005</v>
      </c>
      <c r="AC5237" s="93">
        <f>AC5235/AA5237</f>
        <v>10.092599999999997</v>
      </c>
      <c r="AD5237" s="94">
        <f t="shared" si="3758"/>
        <v>17.762975999999995</v>
      </c>
      <c r="AE5237" s="190"/>
      <c r="AF5237" s="191"/>
      <c r="AG5237" s="191"/>
      <c r="AH5237" s="191"/>
      <c r="AI5237" s="186"/>
      <c r="AK5237" s="171"/>
    </row>
    <row r="5238" spans="1:41" s="102" customFormat="1" ht="19.899999999999999" customHeight="1" x14ac:dyDescent="0.25">
      <c r="A5238" s="45"/>
      <c r="B5238" s="59"/>
      <c r="C5238" s="137"/>
      <c r="D5238" s="59"/>
      <c r="E5238" s="116"/>
      <c r="F5238" s="120"/>
      <c r="G5238" s="120"/>
      <c r="H5238" s="120"/>
      <c r="I5238" s="60"/>
      <c r="J5238" s="116"/>
      <c r="K5238" s="213"/>
      <c r="L5238" s="120"/>
      <c r="M5238" s="120"/>
      <c r="N5238" s="167"/>
      <c r="O5238" s="120"/>
      <c r="P5238" s="120"/>
      <c r="Q5238" s="120"/>
      <c r="R5238" s="120"/>
      <c r="S5238" s="120"/>
      <c r="T5238" s="221"/>
      <c r="U5238" s="89"/>
      <c r="V5238" s="61"/>
      <c r="W5238" s="92" t="s">
        <v>161</v>
      </c>
      <c r="X5238" s="93" t="s">
        <v>29</v>
      </c>
      <c r="Y5238" s="93" t="s">
        <v>93</v>
      </c>
      <c r="Z5238" s="134">
        <f>VLOOKUP(W5238,Sheet2!$B:$D,3,FALSE)</f>
        <v>48</v>
      </c>
      <c r="AA5238" s="93">
        <f>(16*0.85*1.5)/(3*3*4.5)</f>
        <v>0.50370370370370365</v>
      </c>
      <c r="AB5238" s="93">
        <f>AD5238/AC5235</f>
        <v>95.294117647058826</v>
      </c>
      <c r="AC5238" s="93">
        <f>AC5235/AA5238</f>
        <v>3.5338235294117637</v>
      </c>
      <c r="AD5238" s="94">
        <f>AC5238*Z5238</f>
        <v>169.62352941176465</v>
      </c>
      <c r="AE5238" s="190"/>
      <c r="AF5238" s="191"/>
      <c r="AG5238" s="191"/>
      <c r="AH5238" s="191"/>
      <c r="AI5238" s="186"/>
      <c r="AK5238" s="171"/>
    </row>
    <row r="5239" spans="1:41" s="102" customFormat="1" ht="19.899999999999999" customHeight="1" x14ac:dyDescent="0.25">
      <c r="A5239" s="45"/>
      <c r="B5239" s="59"/>
      <c r="C5239" s="137"/>
      <c r="D5239" s="59"/>
      <c r="E5239" s="116"/>
      <c r="F5239" s="120"/>
      <c r="G5239" s="120"/>
      <c r="H5239" s="120"/>
      <c r="I5239" s="60"/>
      <c r="J5239" s="116"/>
      <c r="K5239" s="213"/>
      <c r="L5239" s="120"/>
      <c r="M5239" s="120"/>
      <c r="N5239" s="167"/>
      <c r="O5239" s="120"/>
      <c r="P5239" s="120"/>
      <c r="Q5239" s="120"/>
      <c r="R5239" s="120"/>
      <c r="S5239" s="120"/>
      <c r="T5239" s="221"/>
      <c r="U5239" s="89"/>
      <c r="V5239" s="61"/>
      <c r="W5239" s="92" t="s">
        <v>65</v>
      </c>
      <c r="X5239" s="93" t="s">
        <v>30</v>
      </c>
      <c r="Y5239" s="93" t="s">
        <v>1011</v>
      </c>
      <c r="Z5239" s="134">
        <f>VLOOKUP(W5239,Sheet2!$B:$D,3,FALSE)</f>
        <v>1.76</v>
      </c>
      <c r="AA5239" s="93">
        <f>AA5238/10</f>
        <v>5.0370370370370364E-2</v>
      </c>
      <c r="AB5239" s="93">
        <f>AD5239/AC5235</f>
        <v>34.941176470588239</v>
      </c>
      <c r="AC5239" s="93">
        <f>AC5235/AA5239</f>
        <v>35.338235294117638</v>
      </c>
      <c r="AD5239" s="94">
        <f>AC5239*Z5239</f>
        <v>62.195294117647045</v>
      </c>
      <c r="AE5239" s="190"/>
      <c r="AF5239" s="191"/>
      <c r="AG5239" s="191"/>
      <c r="AH5239" s="191"/>
      <c r="AI5239" s="186"/>
      <c r="AK5239" s="171"/>
    </row>
    <row r="5240" spans="1:41" s="103" customFormat="1" ht="19.899999999999999" customHeight="1" x14ac:dyDescent="0.25">
      <c r="A5240" s="51"/>
      <c r="B5240" s="52"/>
      <c r="C5240" s="165"/>
      <c r="D5240" s="52"/>
      <c r="E5240" s="115"/>
      <c r="F5240" s="58"/>
      <c r="G5240" s="58"/>
      <c r="H5240" s="58"/>
      <c r="I5240" s="55"/>
      <c r="J5240" s="113">
        <f>J5234</f>
        <v>1.7799999999999994</v>
      </c>
      <c r="K5240" s="212">
        <f>K5234</f>
        <v>1.7799999999999994</v>
      </c>
      <c r="L5240" s="58"/>
      <c r="M5240" s="58">
        <f>K5240-L5240</f>
        <v>1.7799999999999994</v>
      </c>
      <c r="N5240" s="166"/>
      <c r="O5240" s="58"/>
      <c r="P5240" s="58"/>
      <c r="Q5240" s="58"/>
      <c r="R5240" s="58"/>
      <c r="S5240" s="58"/>
      <c r="T5240" s="220"/>
      <c r="U5240" s="88"/>
      <c r="V5240" s="56"/>
      <c r="W5240" s="57" t="s">
        <v>1486</v>
      </c>
      <c r="X5240" s="53"/>
      <c r="Y5240" s="91" t="s">
        <v>35</v>
      </c>
      <c r="Z5240" s="136">
        <f>AD5240/AC5240</f>
        <v>1883.8374999999994</v>
      </c>
      <c r="AA5240" s="58"/>
      <c r="AB5240" s="53">
        <f>AD5240/AC5240</f>
        <v>1883.8374999999994</v>
      </c>
      <c r="AC5240" s="53">
        <f>M5240+$AE$10</f>
        <v>1.7799999999999994</v>
      </c>
      <c r="AD5240" s="54">
        <f>SUM(AD5241:AD5246)</f>
        <v>3353.2307499999979</v>
      </c>
      <c r="AE5240" s="184">
        <f>SUMIFS($AD$37:$AD$12971,$V$37:$V$12971,$V5240,$X$37:$X$12971,AE$13)</f>
        <v>0</v>
      </c>
      <c r="AF5240" s="185">
        <f>SUMIFS($AD$37:$AD$12971,$V$37:$V$12971,$V5240,$X$37:$X$12971,AF$13)</f>
        <v>0</v>
      </c>
      <c r="AG5240" s="185">
        <f>SUMIFS($AD$37:$AD$12971,$V$37:$V$12971,$V5240,$X$37:$X$12971,AG$13)</f>
        <v>0</v>
      </c>
      <c r="AH5240" s="187">
        <f>SUMIFS($AD$37:$AD$12971,$V$37:$V$12971,$V5240,$X$37:$X$12971,AH$13)</f>
        <v>0</v>
      </c>
      <c r="AI5240" s="161">
        <f t="shared" ref="AI5240" si="3759">SUM(AE5240:AH5240)</f>
        <v>0</v>
      </c>
      <c r="AK5240" s="172"/>
    </row>
    <row r="5241" spans="1:41" s="102" customFormat="1" ht="19.899999999999999" customHeight="1" x14ac:dyDescent="0.25">
      <c r="A5241" s="45"/>
      <c r="B5241" s="59"/>
      <c r="C5241" s="137"/>
      <c r="D5241" s="59"/>
      <c r="E5241" s="116"/>
      <c r="F5241" s="120"/>
      <c r="G5241" s="120"/>
      <c r="H5241" s="120"/>
      <c r="I5241" s="60"/>
      <c r="J5241" s="116"/>
      <c r="K5241" s="213"/>
      <c r="L5241" s="120"/>
      <c r="M5241" s="120"/>
      <c r="N5241" s="167"/>
      <c r="O5241" s="120"/>
      <c r="P5241" s="120"/>
      <c r="Q5241" s="120"/>
      <c r="R5241" s="120"/>
      <c r="S5241" s="120"/>
      <c r="T5241" s="221"/>
      <c r="U5241" s="89"/>
      <c r="V5241" s="61"/>
      <c r="W5241" s="92" t="s">
        <v>1032</v>
      </c>
      <c r="X5241" s="93" t="s">
        <v>30</v>
      </c>
      <c r="Y5241" s="93" t="s">
        <v>66</v>
      </c>
      <c r="Z5241" s="134">
        <f>VLOOKUP(W5241,Sheet2!$B:$D,3,FALSE)</f>
        <v>250</v>
      </c>
      <c r="AA5241" s="93">
        <f>1/(2.4*2.4*0.1)</f>
        <v>1.7361111111111112</v>
      </c>
      <c r="AB5241" s="93">
        <f>AD5241/AC5247</f>
        <v>143.99999999999997</v>
      </c>
      <c r="AC5241" s="93">
        <f>AC5247/AA5241</f>
        <v>1.0252799999999995</v>
      </c>
      <c r="AD5241" s="94">
        <f t="shared" ref="AD5241:AD5243" si="3760">AC5241*Z5241</f>
        <v>256.31999999999988</v>
      </c>
      <c r="AE5241" s="190"/>
      <c r="AF5241" s="191"/>
      <c r="AG5241" s="191"/>
      <c r="AH5241" s="191"/>
      <c r="AI5241" s="186"/>
      <c r="AK5241" s="171"/>
    </row>
    <row r="5242" spans="1:41" s="102" customFormat="1" ht="19.899999999999999" customHeight="1" x14ac:dyDescent="0.25">
      <c r="A5242" s="45"/>
      <c r="B5242" s="59"/>
      <c r="C5242" s="137"/>
      <c r="D5242" s="59"/>
      <c r="E5242" s="116"/>
      <c r="F5242" s="120"/>
      <c r="G5242" s="120"/>
      <c r="H5242" s="120"/>
      <c r="I5242" s="60"/>
      <c r="J5242" s="116"/>
      <c r="K5242" s="213"/>
      <c r="L5242" s="120"/>
      <c r="M5242" s="120"/>
      <c r="N5242" s="167"/>
      <c r="O5242" s="120"/>
      <c r="P5242" s="120"/>
      <c r="Q5242" s="120"/>
      <c r="R5242" s="120"/>
      <c r="S5242" s="120"/>
      <c r="T5242" s="221"/>
      <c r="U5242" s="89"/>
      <c r="V5242" s="61"/>
      <c r="W5242" s="92" t="s">
        <v>1353</v>
      </c>
      <c r="X5242" s="93" t="s">
        <v>30</v>
      </c>
      <c r="Y5242" s="93" t="s">
        <v>66</v>
      </c>
      <c r="Z5242" s="134">
        <f>VLOOKUP(W5242,Sheet2!$B:$D,3,FALSE)</f>
        <v>350</v>
      </c>
      <c r="AA5242" s="93">
        <f>1/(2.3*2.3*0.3)</f>
        <v>0.63011972274732209</v>
      </c>
      <c r="AB5242" s="93">
        <f>AD5242/AC5247</f>
        <v>555.44999999999993</v>
      </c>
      <c r="AC5242" s="93">
        <f>AC5247/AA5242</f>
        <v>2.8248599999999984</v>
      </c>
      <c r="AD5242" s="94">
        <f t="shared" si="3760"/>
        <v>988.70099999999945</v>
      </c>
      <c r="AE5242" s="190"/>
      <c r="AF5242" s="191"/>
      <c r="AG5242" s="191"/>
      <c r="AH5242" s="191"/>
      <c r="AI5242" s="186"/>
      <c r="AK5242" s="171"/>
    </row>
    <row r="5243" spans="1:41" s="102" customFormat="1" ht="19.899999999999999" customHeight="1" x14ac:dyDescent="0.25">
      <c r="A5243" s="45"/>
      <c r="B5243" s="59"/>
      <c r="C5243" s="137"/>
      <c r="D5243" s="59"/>
      <c r="E5243" s="116"/>
      <c r="F5243" s="120"/>
      <c r="G5243" s="120"/>
      <c r="H5243" s="120"/>
      <c r="I5243" s="60"/>
      <c r="J5243" s="116"/>
      <c r="K5243" s="213"/>
      <c r="L5243" s="120"/>
      <c r="M5243" s="120"/>
      <c r="N5243" s="167"/>
      <c r="O5243" s="120"/>
      <c r="P5243" s="120"/>
      <c r="Q5243" s="120"/>
      <c r="R5243" s="120"/>
      <c r="S5243" s="120"/>
      <c r="T5243" s="221"/>
      <c r="U5243" s="89"/>
      <c r="V5243" s="61"/>
      <c r="W5243" s="92" t="s">
        <v>99</v>
      </c>
      <c r="X5243" s="93" t="s">
        <v>30</v>
      </c>
      <c r="Y5243" s="93" t="s">
        <v>67</v>
      </c>
      <c r="Z5243" s="134">
        <f>VLOOKUP(W5243,Sheet2!$B:$D,3,FALSE)</f>
        <v>2500</v>
      </c>
      <c r="AA5243" s="93">
        <f>AA5242/0.08</f>
        <v>7.8764965343415261</v>
      </c>
      <c r="AB5243" s="93">
        <f>AD5243/AC5247</f>
        <v>317.39999999999998</v>
      </c>
      <c r="AC5243" s="93">
        <f>AC5247/AA5243</f>
        <v>0.22598879999999988</v>
      </c>
      <c r="AD5243" s="94">
        <f t="shared" si="3760"/>
        <v>564.97199999999975</v>
      </c>
      <c r="AE5243" s="190"/>
      <c r="AF5243" s="191"/>
      <c r="AG5243" s="191"/>
      <c r="AH5243" s="191"/>
      <c r="AI5243" s="186"/>
      <c r="AK5243" s="171"/>
    </row>
    <row r="5244" spans="1:41" s="102" customFormat="1" ht="19.899999999999999" customHeight="1" x14ac:dyDescent="0.25">
      <c r="A5244" s="45"/>
      <c r="B5244" s="59"/>
      <c r="C5244" s="137"/>
      <c r="D5244" s="59"/>
      <c r="E5244" s="116"/>
      <c r="F5244" s="120"/>
      <c r="G5244" s="120"/>
      <c r="H5244" s="120"/>
      <c r="I5244" s="60"/>
      <c r="J5244" s="116"/>
      <c r="K5244" s="213"/>
      <c r="L5244" s="120"/>
      <c r="M5244" s="120"/>
      <c r="N5244" s="167"/>
      <c r="O5244" s="120"/>
      <c r="P5244" s="120"/>
      <c r="Q5244" s="120"/>
      <c r="R5244" s="120"/>
      <c r="S5244" s="120"/>
      <c r="T5244" s="221"/>
      <c r="U5244" s="89"/>
      <c r="V5244" s="61"/>
      <c r="W5244" s="92" t="s">
        <v>1354</v>
      </c>
      <c r="X5244" s="93" t="s">
        <v>32</v>
      </c>
      <c r="Y5244" s="93" t="s">
        <v>66</v>
      </c>
      <c r="Z5244" s="134">
        <f>VLOOKUP(W5244,Sheet2!$B:$D,3,FALSE)</f>
        <v>150</v>
      </c>
      <c r="AA5244" s="93">
        <f>AA5241</f>
        <v>1.7361111111111112</v>
      </c>
      <c r="AB5244" s="93">
        <f>AD5244/AC5247</f>
        <v>86.399999999999977</v>
      </c>
      <c r="AC5244" s="93">
        <f>AC5247/AA5244</f>
        <v>1.0252799999999995</v>
      </c>
      <c r="AD5244" s="94">
        <f>AC5244*Z5244</f>
        <v>153.79199999999992</v>
      </c>
      <c r="AE5244" s="190"/>
      <c r="AF5244" s="191"/>
      <c r="AG5244" s="191"/>
      <c r="AH5244" s="191"/>
      <c r="AI5244" s="186"/>
      <c r="AK5244" s="171"/>
    </row>
    <row r="5245" spans="1:41" s="102" customFormat="1" ht="19.899999999999999" customHeight="1" x14ac:dyDescent="0.25">
      <c r="A5245" s="45"/>
      <c r="B5245" s="59"/>
      <c r="C5245" s="137"/>
      <c r="D5245" s="59"/>
      <c r="E5245" s="116"/>
      <c r="F5245" s="120"/>
      <c r="G5245" s="120"/>
      <c r="H5245" s="120"/>
      <c r="I5245" s="60"/>
      <c r="J5245" s="116"/>
      <c r="K5245" s="213"/>
      <c r="L5245" s="120"/>
      <c r="M5245" s="120"/>
      <c r="N5245" s="167"/>
      <c r="O5245" s="120"/>
      <c r="P5245" s="120"/>
      <c r="Q5245" s="120"/>
      <c r="R5245" s="120"/>
      <c r="S5245" s="120"/>
      <c r="T5245" s="221"/>
      <c r="U5245" s="89"/>
      <c r="V5245" s="61"/>
      <c r="W5245" s="92" t="s">
        <v>1355</v>
      </c>
      <c r="X5245" s="93" t="s">
        <v>32</v>
      </c>
      <c r="Y5245" s="93" t="s">
        <v>66</v>
      </c>
      <c r="Z5245" s="134">
        <f>VLOOKUP(W5245,Sheet2!$B:$D,3,FALSE)</f>
        <v>450</v>
      </c>
      <c r="AA5245" s="93">
        <f>AA5242</f>
        <v>0.63011972274732209</v>
      </c>
      <c r="AB5245" s="93">
        <f>AD5245/AC5247</f>
        <v>714.14999999999986</v>
      </c>
      <c r="AC5245" s="93">
        <f>AC5247/AA5245</f>
        <v>2.8248599999999984</v>
      </c>
      <c r="AD5245" s="94">
        <f>AC5245*Z5245</f>
        <v>1271.1869999999992</v>
      </c>
      <c r="AE5245" s="190"/>
      <c r="AF5245" s="191"/>
      <c r="AG5245" s="191"/>
      <c r="AH5245" s="191"/>
      <c r="AI5245" s="186"/>
      <c r="AK5245" s="171"/>
    </row>
    <row r="5246" spans="1:41" s="102" customFormat="1" ht="19.899999999999999" customHeight="1" x14ac:dyDescent="0.25">
      <c r="A5246" s="45"/>
      <c r="B5246" s="59"/>
      <c r="C5246" s="137"/>
      <c r="D5246" s="59"/>
      <c r="E5246" s="116"/>
      <c r="F5246" s="120"/>
      <c r="G5246" s="120"/>
      <c r="H5246" s="120"/>
      <c r="I5246" s="60"/>
      <c r="J5246" s="116"/>
      <c r="K5246" s="213"/>
      <c r="L5246" s="120"/>
      <c r="M5246" s="120"/>
      <c r="N5246" s="167"/>
      <c r="O5246" s="120"/>
      <c r="P5246" s="120"/>
      <c r="Q5246" s="120"/>
      <c r="R5246" s="120"/>
      <c r="S5246" s="120"/>
      <c r="T5246" s="221"/>
      <c r="U5246" s="89"/>
      <c r="V5246" s="61"/>
      <c r="W5246" s="92" t="s">
        <v>124</v>
      </c>
      <c r="X5246" s="93" t="s">
        <v>32</v>
      </c>
      <c r="Y5246" s="93" t="s">
        <v>64</v>
      </c>
      <c r="Z5246" s="134">
        <f>VLOOKUP(W5246,Sheet2!$B:$D,3,FALSE)</f>
        <v>10</v>
      </c>
      <c r="AA5246" s="93">
        <f>1/((2.9*2.9)-(3.14*1.5*1.5/4))</f>
        <v>0.15051740357478832</v>
      </c>
      <c r="AB5246" s="93">
        <f t="shared" ref="AB5246" si="3761">AD5246/AC5240</f>
        <v>66.4375</v>
      </c>
      <c r="AC5246" s="93">
        <f>AC5240/AA5246</f>
        <v>11.825874999999996</v>
      </c>
      <c r="AD5246" s="94">
        <f t="shared" ref="AD5246" si="3762">AC5246*Z5246</f>
        <v>118.25874999999996</v>
      </c>
      <c r="AE5246" s="190"/>
      <c r="AF5246" s="191"/>
      <c r="AG5246" s="191"/>
      <c r="AH5246" s="191"/>
      <c r="AI5246" s="186"/>
      <c r="AK5246" s="171"/>
    </row>
    <row r="5247" spans="1:41" s="103" customFormat="1" ht="19.899999999999999" customHeight="1" x14ac:dyDescent="0.25">
      <c r="A5247" s="51"/>
      <c r="B5247" s="52"/>
      <c r="C5247" s="165"/>
      <c r="D5247" s="52"/>
      <c r="E5247" s="115"/>
      <c r="F5247" s="58"/>
      <c r="G5247" s="58"/>
      <c r="H5247" s="58"/>
      <c r="I5247" s="55"/>
      <c r="J5247" s="113">
        <f>J5234</f>
        <v>1.7799999999999994</v>
      </c>
      <c r="K5247" s="212">
        <f>K5234</f>
        <v>1.7799999999999994</v>
      </c>
      <c r="L5247" s="58"/>
      <c r="M5247" s="58">
        <f>K5247-L5247</f>
        <v>1.7799999999999994</v>
      </c>
      <c r="N5247" s="166"/>
      <c r="O5247" s="58"/>
      <c r="P5247" s="58"/>
      <c r="Q5247" s="58"/>
      <c r="R5247" s="58"/>
      <c r="S5247" s="58"/>
      <c r="T5247" s="220"/>
      <c r="U5247" s="88"/>
      <c r="V5247" s="56"/>
      <c r="W5247" s="57" t="s">
        <v>1275</v>
      </c>
      <c r="X5247" s="53"/>
      <c r="Y5247" s="91" t="s">
        <v>35</v>
      </c>
      <c r="Z5247" s="136">
        <f>AD5247/AC5247</f>
        <v>8322.8000000000011</v>
      </c>
      <c r="AA5247" s="58"/>
      <c r="AB5247" s="53">
        <f>AD5247/AC5247</f>
        <v>8322.8000000000011</v>
      </c>
      <c r="AC5247" s="53">
        <f>M5247+$AE$10</f>
        <v>1.7799999999999994</v>
      </c>
      <c r="AD5247" s="54">
        <f>SUM(AD5248:AD5253)</f>
        <v>14814.583999999997</v>
      </c>
      <c r="AE5247" s="184">
        <f>SUMIFS($AD$37:$AD$12971,$V$37:$V$12971,$V5247,$X$37:$X$12971,AE$13)</f>
        <v>0</v>
      </c>
      <c r="AF5247" s="185">
        <f>SUMIFS($AD$37:$AD$12971,$V$37:$V$12971,$V5247,$X$37:$X$12971,AF$13)</f>
        <v>0</v>
      </c>
      <c r="AG5247" s="185">
        <f>SUMIFS($AD$37:$AD$12971,$V$37:$V$12971,$V5247,$X$37:$X$12971,AG$13)</f>
        <v>0</v>
      </c>
      <c r="AH5247" s="187">
        <f>SUMIFS($AD$37:$AD$12971,$V$37:$V$12971,$V5247,$X$37:$X$12971,AH$13)</f>
        <v>0</v>
      </c>
      <c r="AI5247" s="161">
        <f t="shared" ref="AI5247" si="3763">SUM(AE5247:AH5247)</f>
        <v>0</v>
      </c>
      <c r="AK5247" s="172"/>
    </row>
    <row r="5248" spans="1:41" s="102" customFormat="1" ht="19.899999999999999" customHeight="1" x14ac:dyDescent="0.25">
      <c r="A5248" s="45"/>
      <c r="B5248" s="59"/>
      <c r="C5248" s="137"/>
      <c r="D5248" s="59"/>
      <c r="E5248" s="116"/>
      <c r="F5248" s="120"/>
      <c r="G5248" s="120"/>
      <c r="H5248" s="120"/>
      <c r="I5248" s="60"/>
      <c r="J5248" s="116"/>
      <c r="K5248" s="213"/>
      <c r="L5248" s="120"/>
      <c r="M5248" s="120"/>
      <c r="N5248" s="167"/>
      <c r="O5248" s="120"/>
      <c r="P5248" s="120"/>
      <c r="Q5248" s="120"/>
      <c r="R5248" s="120"/>
      <c r="S5248" s="120"/>
      <c r="T5248" s="221"/>
      <c r="U5248" s="89"/>
      <c r="V5248" s="61"/>
      <c r="W5248" s="92" t="s">
        <v>1499</v>
      </c>
      <c r="X5248" s="93" t="s">
        <v>30</v>
      </c>
      <c r="Y5248" s="93" t="s">
        <v>35</v>
      </c>
      <c r="Z5248" s="134">
        <f>VLOOKUP(W5248,Sheet2!$B:$D,3,FALSE)</f>
        <v>6550</v>
      </c>
      <c r="AA5248" s="93">
        <v>1</v>
      </c>
      <c r="AB5248" s="93">
        <f>AD5248/AC5247</f>
        <v>6550</v>
      </c>
      <c r="AC5248" s="93">
        <f>AC5247/AA5248</f>
        <v>1.7799999999999994</v>
      </c>
      <c r="AD5248" s="94">
        <f t="shared" ref="AD5248:AD5249" si="3764">AC5248*Z5248</f>
        <v>11658.999999999996</v>
      </c>
      <c r="AE5248" s="190"/>
      <c r="AF5248" s="191"/>
      <c r="AG5248" s="191"/>
      <c r="AH5248" s="191"/>
      <c r="AI5248" s="186"/>
      <c r="AK5248" s="171"/>
    </row>
    <row r="5249" spans="1:41" s="102" customFormat="1" ht="19.899999999999999" customHeight="1" x14ac:dyDescent="0.25">
      <c r="A5249" s="45"/>
      <c r="B5249" s="59"/>
      <c r="C5249" s="137"/>
      <c r="D5249" s="59"/>
      <c r="E5249" s="116"/>
      <c r="F5249" s="120"/>
      <c r="G5249" s="120"/>
      <c r="H5249" s="120"/>
      <c r="I5249" s="60"/>
      <c r="J5249" s="116"/>
      <c r="K5249" s="213"/>
      <c r="L5249" s="120"/>
      <c r="M5249" s="120"/>
      <c r="N5249" s="167"/>
      <c r="O5249" s="120"/>
      <c r="P5249" s="120"/>
      <c r="Q5249" s="120"/>
      <c r="R5249" s="120"/>
      <c r="S5249" s="120"/>
      <c r="T5249" s="221"/>
      <c r="U5249" s="89"/>
      <c r="V5249" s="61"/>
      <c r="W5249" s="92" t="s">
        <v>174</v>
      </c>
      <c r="X5249" s="93" t="s">
        <v>29</v>
      </c>
      <c r="Y5249" s="93" t="s">
        <v>93</v>
      </c>
      <c r="Z5249" s="134">
        <f>VLOOKUP(W5249,Sheet2!$B:$D,3,FALSE)</f>
        <v>80</v>
      </c>
      <c r="AA5249" s="93">
        <f>1/2</f>
        <v>0.5</v>
      </c>
      <c r="AB5249" s="93">
        <f>AD5249/AC5247</f>
        <v>160</v>
      </c>
      <c r="AC5249" s="93">
        <f>AC5247/AA5249</f>
        <v>3.5599999999999987</v>
      </c>
      <c r="AD5249" s="94">
        <f t="shared" si="3764"/>
        <v>284.7999999999999</v>
      </c>
      <c r="AE5249" s="190"/>
      <c r="AF5249" s="191"/>
      <c r="AG5249" s="191"/>
      <c r="AH5249" s="191"/>
      <c r="AI5249" s="186"/>
      <c r="AK5249" s="171"/>
    </row>
    <row r="5250" spans="1:41" s="102" customFormat="1" ht="19.899999999999999" customHeight="1" x14ac:dyDescent="0.25">
      <c r="A5250" s="45"/>
      <c r="B5250" s="59"/>
      <c r="C5250" s="137"/>
      <c r="D5250" s="59"/>
      <c r="E5250" s="116"/>
      <c r="F5250" s="120"/>
      <c r="G5250" s="120"/>
      <c r="H5250" s="120"/>
      <c r="I5250" s="60"/>
      <c r="J5250" s="116"/>
      <c r="K5250" s="213"/>
      <c r="L5250" s="120"/>
      <c r="M5250" s="120"/>
      <c r="N5250" s="167"/>
      <c r="O5250" s="120"/>
      <c r="P5250" s="120"/>
      <c r="Q5250" s="120"/>
      <c r="R5250" s="120"/>
      <c r="S5250" s="120"/>
      <c r="T5250" s="221"/>
      <c r="U5250" s="89"/>
      <c r="V5250" s="61"/>
      <c r="W5250" s="92" t="s">
        <v>65</v>
      </c>
      <c r="X5250" s="93" t="s">
        <v>30</v>
      </c>
      <c r="Y5250" s="93" t="s">
        <v>93</v>
      </c>
      <c r="Z5250" s="134">
        <f>VLOOKUP(W5250,Sheet2!$B:$D,3,FALSE)</f>
        <v>1.76</v>
      </c>
      <c r="AA5250" s="93">
        <f>AA5249/15</f>
        <v>3.3333333333333333E-2</v>
      </c>
      <c r="AB5250" s="93">
        <f>AD5250/AC5247</f>
        <v>52.8</v>
      </c>
      <c r="AC5250" s="93">
        <f>AC5247/AA5250</f>
        <v>53.399999999999984</v>
      </c>
      <c r="AD5250" s="94">
        <f>AC5250*Z5250</f>
        <v>93.983999999999966</v>
      </c>
      <c r="AE5250" s="190"/>
      <c r="AF5250" s="191"/>
      <c r="AG5250" s="191"/>
      <c r="AH5250" s="191"/>
      <c r="AI5250" s="186"/>
      <c r="AK5250" s="171"/>
    </row>
    <row r="5251" spans="1:41" s="102" customFormat="1" ht="19.899999999999999" customHeight="1" x14ac:dyDescent="0.25">
      <c r="A5251" s="45"/>
      <c r="B5251" s="59"/>
      <c r="C5251" s="137"/>
      <c r="D5251" s="59"/>
      <c r="E5251" s="116"/>
      <c r="F5251" s="120"/>
      <c r="G5251" s="120"/>
      <c r="H5251" s="120"/>
      <c r="I5251" s="60"/>
      <c r="J5251" s="116"/>
      <c r="K5251" s="213"/>
      <c r="L5251" s="120"/>
      <c r="M5251" s="120"/>
      <c r="N5251" s="167"/>
      <c r="O5251" s="120"/>
      <c r="P5251" s="120"/>
      <c r="Q5251" s="120"/>
      <c r="R5251" s="120"/>
      <c r="S5251" s="120"/>
      <c r="T5251" s="221"/>
      <c r="U5251" s="89"/>
      <c r="V5251" s="61"/>
      <c r="W5251" s="92" t="s">
        <v>1487</v>
      </c>
      <c r="X5251" s="93" t="s">
        <v>32</v>
      </c>
      <c r="Y5251" s="93" t="s">
        <v>1349</v>
      </c>
      <c r="Z5251" s="134">
        <f>VLOOKUP(W5251,Sheet2!$B:$D,3,FALSE)</f>
        <v>1500</v>
      </c>
      <c r="AA5251" s="93">
        <v>1</v>
      </c>
      <c r="AB5251" s="93">
        <f>AD5251/AC5247</f>
        <v>1500</v>
      </c>
      <c r="AC5251" s="93">
        <f>AC5247/AA5251</f>
        <v>1.7799999999999994</v>
      </c>
      <c r="AD5251" s="94">
        <f>AC5251*Z5251</f>
        <v>2669.9999999999991</v>
      </c>
      <c r="AE5251" s="190"/>
      <c r="AF5251" s="191"/>
      <c r="AG5251" s="191"/>
      <c r="AH5251" s="191"/>
      <c r="AI5251" s="186"/>
      <c r="AK5251" s="171"/>
    </row>
    <row r="5252" spans="1:41" s="102" customFormat="1" ht="19.899999999999999" customHeight="1" x14ac:dyDescent="0.25">
      <c r="A5252" s="45"/>
      <c r="B5252" s="59"/>
      <c r="C5252" s="137"/>
      <c r="D5252" s="59"/>
      <c r="E5252" s="116"/>
      <c r="F5252" s="120"/>
      <c r="G5252" s="120"/>
      <c r="H5252" s="120"/>
      <c r="I5252" s="60"/>
      <c r="J5252" s="116"/>
      <c r="K5252" s="213"/>
      <c r="L5252" s="120"/>
      <c r="M5252" s="120"/>
      <c r="N5252" s="167"/>
      <c r="O5252" s="120"/>
      <c r="P5252" s="120"/>
      <c r="Q5252" s="120"/>
      <c r="R5252" s="120"/>
      <c r="S5252" s="120"/>
      <c r="T5252" s="221"/>
      <c r="U5252" s="89"/>
      <c r="V5252" s="61"/>
      <c r="W5252" s="92" t="s">
        <v>107</v>
      </c>
      <c r="X5252" s="93" t="s">
        <v>31</v>
      </c>
      <c r="Y5252" s="93" t="s">
        <v>93</v>
      </c>
      <c r="Z5252" s="134">
        <f>VLOOKUP(W5252,Sheet2!$B:$D,3,FALSE)</f>
        <v>17</v>
      </c>
      <c r="AA5252" s="93">
        <f>AA5249</f>
        <v>0.5</v>
      </c>
      <c r="AB5252" s="93">
        <f>AD5252/AC5247</f>
        <v>34</v>
      </c>
      <c r="AC5252" s="93">
        <f>AC5247/AA5252</f>
        <v>3.5599999999999987</v>
      </c>
      <c r="AD5252" s="94">
        <f>AC5252*Z5252</f>
        <v>60.519999999999982</v>
      </c>
      <c r="AE5252" s="190"/>
      <c r="AF5252" s="191"/>
      <c r="AG5252" s="191"/>
      <c r="AH5252" s="191"/>
      <c r="AI5252" s="186"/>
      <c r="AK5252" s="171"/>
    </row>
    <row r="5253" spans="1:41" s="102" customFormat="1" ht="19.899999999999999" customHeight="1" x14ac:dyDescent="0.25">
      <c r="A5253" s="45"/>
      <c r="B5253" s="59"/>
      <c r="C5253" s="137"/>
      <c r="D5253" s="59"/>
      <c r="E5253" s="116"/>
      <c r="F5253" s="120"/>
      <c r="G5253" s="120"/>
      <c r="H5253" s="120"/>
      <c r="I5253" s="60"/>
      <c r="J5253" s="116"/>
      <c r="K5253" s="213"/>
      <c r="L5253" s="120"/>
      <c r="M5253" s="120"/>
      <c r="N5253" s="167"/>
      <c r="O5253" s="120"/>
      <c r="P5253" s="120"/>
      <c r="Q5253" s="120"/>
      <c r="R5253" s="120"/>
      <c r="S5253" s="120"/>
      <c r="T5253" s="221"/>
      <c r="U5253" s="89"/>
      <c r="V5253" s="61"/>
      <c r="W5253" s="92" t="s">
        <v>112</v>
      </c>
      <c r="X5253" s="93" t="s">
        <v>31</v>
      </c>
      <c r="Y5253" s="93" t="s">
        <v>93</v>
      </c>
      <c r="Z5253" s="134">
        <f>VLOOKUP(W5253,Sheet2!$B:$D,3,FALSE)</f>
        <v>13</v>
      </c>
      <c r="AA5253" s="93">
        <f>AA5252</f>
        <v>0.5</v>
      </c>
      <c r="AB5253" s="93">
        <f>AD5253/AC5247</f>
        <v>26.000000000000004</v>
      </c>
      <c r="AC5253" s="93">
        <f>AC5247/AA5253</f>
        <v>3.5599999999999987</v>
      </c>
      <c r="AD5253" s="94">
        <f>AC5253*Z5253</f>
        <v>46.279999999999987</v>
      </c>
      <c r="AE5253" s="190"/>
      <c r="AF5253" s="191"/>
      <c r="AG5253" s="191"/>
      <c r="AH5253" s="191"/>
      <c r="AI5253" s="186"/>
      <c r="AK5253" s="171"/>
    </row>
    <row r="5254" spans="1:41" s="103" customFormat="1" ht="19.899999999999999" customHeight="1" x14ac:dyDescent="0.25">
      <c r="A5254" s="51"/>
      <c r="B5254" s="52"/>
      <c r="C5254" s="165"/>
      <c r="D5254" s="52"/>
      <c r="E5254" s="115"/>
      <c r="F5254" s="58"/>
      <c r="G5254" s="58"/>
      <c r="H5254" s="58"/>
      <c r="I5254" s="55"/>
      <c r="J5254" s="113">
        <f>J5234</f>
        <v>1.7799999999999994</v>
      </c>
      <c r="K5254" s="212">
        <f>K5234</f>
        <v>1.7799999999999994</v>
      </c>
      <c r="L5254" s="58"/>
      <c r="M5254" s="58">
        <f>K5254-L5254</f>
        <v>1.7799999999999994</v>
      </c>
      <c r="N5254" s="166"/>
      <c r="O5254" s="58"/>
      <c r="P5254" s="58"/>
      <c r="Q5254" s="58"/>
      <c r="R5254" s="58"/>
      <c r="S5254" s="58"/>
      <c r="T5254" s="220"/>
      <c r="U5254" s="88"/>
      <c r="V5254" s="56"/>
      <c r="W5254" s="57" t="s">
        <v>1272</v>
      </c>
      <c r="X5254" s="53"/>
      <c r="Y5254" s="91" t="s">
        <v>35</v>
      </c>
      <c r="Z5254" s="136">
        <f>AD5254/AC5254</f>
        <v>617.71539864705892</v>
      </c>
      <c r="AA5254" s="58"/>
      <c r="AB5254" s="53">
        <f>AD5254/AC5254</f>
        <v>617.71539864705892</v>
      </c>
      <c r="AC5254" s="53">
        <f>M5254+$AE$10</f>
        <v>1.7799999999999994</v>
      </c>
      <c r="AD5254" s="54">
        <f>SUM(AD5255:AD5263)</f>
        <v>1099.5334095917644</v>
      </c>
      <c r="AE5254" s="184">
        <f>SUMIFS($AD$37:$AD$12971,$V$37:$V$12971,$V5254,$X$37:$X$12971,AE$13)</f>
        <v>0</v>
      </c>
      <c r="AF5254" s="185">
        <f>SUMIFS($AD$37:$AD$12971,$V$37:$V$12971,$V5254,$X$37:$X$12971,AF$13)</f>
        <v>0</v>
      </c>
      <c r="AG5254" s="185">
        <f>SUMIFS($AD$37:$AD$12971,$V$37:$V$12971,$V5254,$X$37:$X$12971,AG$13)</f>
        <v>0</v>
      </c>
      <c r="AH5254" s="187">
        <f>SUMIFS($AD$37:$AD$12971,$V$37:$V$12971,$V5254,$X$37:$X$12971,AH$13)</f>
        <v>0</v>
      </c>
      <c r="AI5254" s="161">
        <f t="shared" ref="AI5254" si="3765">SUM(AE5254:AH5254)</f>
        <v>0</v>
      </c>
      <c r="AK5254" s="172"/>
    </row>
    <row r="5255" spans="1:41" s="102" customFormat="1" ht="19.899999999999999" customHeight="1" x14ac:dyDescent="0.25">
      <c r="A5255" s="45"/>
      <c r="B5255" s="59"/>
      <c r="C5255" s="137"/>
      <c r="D5255" s="59"/>
      <c r="E5255" s="116"/>
      <c r="F5255" s="120"/>
      <c r="G5255" s="120"/>
      <c r="H5255" s="120"/>
      <c r="I5255" s="60"/>
      <c r="J5255" s="116"/>
      <c r="K5255" s="213"/>
      <c r="L5255" s="120"/>
      <c r="M5255" s="120"/>
      <c r="N5255" s="167"/>
      <c r="O5255" s="120"/>
      <c r="P5255" s="120"/>
      <c r="Q5255" s="120"/>
      <c r="R5255" s="120"/>
      <c r="S5255" s="120"/>
      <c r="T5255" s="221"/>
      <c r="U5255" s="89"/>
      <c r="V5255" s="61"/>
      <c r="W5255" s="92" t="s">
        <v>1273</v>
      </c>
      <c r="X5255" s="93" t="s">
        <v>30</v>
      </c>
      <c r="Y5255" s="93" t="s">
        <v>66</v>
      </c>
      <c r="Z5255" s="134">
        <f>VLOOKUP(W5255,Sheet2!$B:$D,3,FALSE)</f>
        <v>10</v>
      </c>
      <c r="AA5255" s="93">
        <f>1/((3*3*4.5)-(3.14/4*1.5*1.5*4.5))</f>
        <v>3.0720196609258298E-2</v>
      </c>
      <c r="AB5255" s="93">
        <f>AD5255/AC5254</f>
        <v>325.51875000000001</v>
      </c>
      <c r="AC5255" s="93">
        <f>AC5254/AA5255</f>
        <v>57.942337499999979</v>
      </c>
      <c r="AD5255" s="94">
        <f t="shared" ref="AD5255:AD5257" si="3766">AC5255*Z5255</f>
        <v>579.42337499999985</v>
      </c>
      <c r="AE5255" s="190"/>
      <c r="AF5255" s="191"/>
      <c r="AG5255" s="191"/>
      <c r="AH5255" s="191"/>
      <c r="AI5255" s="186"/>
      <c r="AK5255" s="171"/>
    </row>
    <row r="5256" spans="1:41" s="102" customFormat="1" ht="19.899999999999999" customHeight="1" x14ac:dyDescent="0.25">
      <c r="A5256" s="45"/>
      <c r="B5256" s="59"/>
      <c r="C5256" s="137"/>
      <c r="D5256" s="59"/>
      <c r="E5256" s="116"/>
      <c r="F5256" s="120"/>
      <c r="G5256" s="120"/>
      <c r="H5256" s="120"/>
      <c r="I5256" s="60"/>
      <c r="J5256" s="116"/>
      <c r="K5256" s="213"/>
      <c r="L5256" s="120"/>
      <c r="M5256" s="120"/>
      <c r="N5256" s="167"/>
      <c r="O5256" s="120"/>
      <c r="P5256" s="120"/>
      <c r="Q5256" s="120"/>
      <c r="R5256" s="120"/>
      <c r="S5256" s="120"/>
      <c r="T5256" s="221"/>
      <c r="U5256" s="89"/>
      <c r="V5256" s="61"/>
      <c r="W5256" s="92" t="s">
        <v>134</v>
      </c>
      <c r="X5256" s="93" t="s">
        <v>29</v>
      </c>
      <c r="Y5256" s="93" t="s">
        <v>93</v>
      </c>
      <c r="Z5256" s="134">
        <f>VLOOKUP(W5256,Sheet2!$B:$D,3,FALSE)</f>
        <v>65.599999999999994</v>
      </c>
      <c r="AA5256" s="93">
        <f>100/((3*3*4.5)-(3.14/4*1.5*1.5*4.5))</f>
        <v>3.0720196609258297</v>
      </c>
      <c r="AB5256" s="93">
        <f t="shared" ref="AB5256" si="3767">AD5256/AC5254</f>
        <v>21.354029999999998</v>
      </c>
      <c r="AC5256" s="93">
        <f>AC5254/AA5256</f>
        <v>0.57942337499999985</v>
      </c>
      <c r="AD5256" s="94">
        <f t="shared" si="3766"/>
        <v>38.010173399999985</v>
      </c>
      <c r="AE5256" s="190"/>
      <c r="AF5256" s="191"/>
      <c r="AG5256" s="191"/>
      <c r="AH5256" s="191"/>
      <c r="AI5256" s="186"/>
      <c r="AK5256" s="171"/>
    </row>
    <row r="5257" spans="1:41" s="102" customFormat="1" ht="19.899999999999999" customHeight="1" x14ac:dyDescent="0.25">
      <c r="A5257" s="45"/>
      <c r="B5257" s="59"/>
      <c r="C5257" s="137"/>
      <c r="D5257" s="59"/>
      <c r="E5257" s="116"/>
      <c r="F5257" s="120"/>
      <c r="G5257" s="120"/>
      <c r="H5257" s="120"/>
      <c r="I5257" s="60"/>
      <c r="J5257" s="116"/>
      <c r="K5257" s="213"/>
      <c r="L5257" s="120"/>
      <c r="M5257" s="120"/>
      <c r="N5257" s="167"/>
      <c r="O5257" s="120"/>
      <c r="P5257" s="120"/>
      <c r="Q5257" s="120"/>
      <c r="R5257" s="120"/>
      <c r="S5257" s="120"/>
      <c r="T5257" s="221"/>
      <c r="U5257" s="89"/>
      <c r="V5257" s="61"/>
      <c r="W5257" s="92" t="s">
        <v>65</v>
      </c>
      <c r="X5257" s="93" t="s">
        <v>30</v>
      </c>
      <c r="Y5257" s="93" t="s">
        <v>1011</v>
      </c>
      <c r="Z5257" s="134">
        <f>VLOOKUP(W5257,Sheet2!$B:$D,3,FALSE)</f>
        <v>1.76</v>
      </c>
      <c r="AA5257" s="93">
        <f>AA5256/9</f>
        <v>0.34133551788064775</v>
      </c>
      <c r="AB5257" s="93">
        <f>AD5257/AC5254</f>
        <v>5.1562169999999998</v>
      </c>
      <c r="AC5257" s="93">
        <f>AC5254/AA5257</f>
        <v>5.2148103749999981</v>
      </c>
      <c r="AD5257" s="94">
        <f t="shared" si="3766"/>
        <v>9.178066259999996</v>
      </c>
      <c r="AE5257" s="190"/>
      <c r="AF5257" s="191"/>
      <c r="AG5257" s="191"/>
      <c r="AH5257" s="191"/>
      <c r="AI5257" s="186"/>
      <c r="AK5257" s="171"/>
    </row>
    <row r="5258" spans="1:41" s="102" customFormat="1" ht="19.899999999999999" customHeight="1" x14ac:dyDescent="0.25">
      <c r="A5258" s="45"/>
      <c r="B5258" s="59"/>
      <c r="C5258" s="137"/>
      <c r="D5258" s="59"/>
      <c r="E5258" s="116"/>
      <c r="F5258" s="120"/>
      <c r="G5258" s="120"/>
      <c r="H5258" s="120"/>
      <c r="I5258" s="60"/>
      <c r="J5258" s="116"/>
      <c r="K5258" s="213"/>
      <c r="L5258" s="120"/>
      <c r="M5258" s="120"/>
      <c r="N5258" s="167"/>
      <c r="O5258" s="120"/>
      <c r="P5258" s="120"/>
      <c r="Q5258" s="120"/>
      <c r="R5258" s="120"/>
      <c r="S5258" s="120"/>
      <c r="T5258" s="221"/>
      <c r="U5258" s="89"/>
      <c r="V5258" s="61"/>
      <c r="W5258" s="92" t="s">
        <v>161</v>
      </c>
      <c r="X5258" s="93" t="s">
        <v>29</v>
      </c>
      <c r="Y5258" s="93" t="s">
        <v>93</v>
      </c>
      <c r="Z5258" s="134">
        <f>VLOOKUP(W5258,Sheet2!$B:$D,3,FALSE)</f>
        <v>48</v>
      </c>
      <c r="AA5258" s="93">
        <f>(16*0.85*1.5)/((3*3*4.5)-(3.14/4*1.5*1.5*4.5))</f>
        <v>0.62669201082886916</v>
      </c>
      <c r="AB5258" s="93">
        <f>AD5258/AC5254</f>
        <v>76.592647058823545</v>
      </c>
      <c r="AC5258" s="93">
        <f>AC5254/AA5258</f>
        <v>2.8403106617647054</v>
      </c>
      <c r="AD5258" s="94">
        <f>AC5258*Z5258</f>
        <v>136.33491176470585</v>
      </c>
      <c r="AE5258" s="190"/>
      <c r="AF5258" s="191"/>
      <c r="AG5258" s="191"/>
      <c r="AH5258" s="191"/>
      <c r="AI5258" s="186"/>
      <c r="AK5258" s="171"/>
    </row>
    <row r="5259" spans="1:41" s="102" customFormat="1" ht="19.899999999999999" customHeight="1" x14ac:dyDescent="0.25">
      <c r="A5259" s="45"/>
      <c r="B5259" s="59"/>
      <c r="C5259" s="137"/>
      <c r="D5259" s="59"/>
      <c r="E5259" s="116"/>
      <c r="F5259" s="120"/>
      <c r="G5259" s="120"/>
      <c r="H5259" s="120"/>
      <c r="I5259" s="60"/>
      <c r="J5259" s="116"/>
      <c r="K5259" s="213"/>
      <c r="L5259" s="120"/>
      <c r="M5259" s="120"/>
      <c r="N5259" s="167"/>
      <c r="O5259" s="120"/>
      <c r="P5259" s="120"/>
      <c r="Q5259" s="120"/>
      <c r="R5259" s="120"/>
      <c r="S5259" s="120"/>
      <c r="T5259" s="221"/>
      <c r="U5259" s="89"/>
      <c r="V5259" s="61"/>
      <c r="W5259" s="92" t="s">
        <v>65</v>
      </c>
      <c r="X5259" s="93" t="s">
        <v>30</v>
      </c>
      <c r="Y5259" s="93" t="s">
        <v>1011</v>
      </c>
      <c r="Z5259" s="134">
        <f>VLOOKUP(W5259,Sheet2!$B:$D,3,FALSE)</f>
        <v>1.76</v>
      </c>
      <c r="AA5259" s="93">
        <f>AA5258/10</f>
        <v>6.2669201082886913E-2</v>
      </c>
      <c r="AB5259" s="93">
        <f>AD5259/AC5254</f>
        <v>28.083970588235303</v>
      </c>
      <c r="AC5259" s="93">
        <f>AC5254/AA5259</f>
        <v>28.403106617647058</v>
      </c>
      <c r="AD5259" s="94">
        <f>AC5259*Z5259</f>
        <v>49.989467647058824</v>
      </c>
      <c r="AE5259" s="190"/>
      <c r="AF5259" s="191"/>
      <c r="AG5259" s="191"/>
      <c r="AH5259" s="191"/>
      <c r="AI5259" s="186"/>
      <c r="AK5259" s="171"/>
    </row>
    <row r="5260" spans="1:41" s="102" customFormat="1" ht="19.899999999999999" customHeight="1" x14ac:dyDescent="0.25">
      <c r="A5260" s="45"/>
      <c r="B5260" s="59"/>
      <c r="C5260" s="137"/>
      <c r="D5260" s="59"/>
      <c r="E5260" s="116"/>
      <c r="F5260" s="120"/>
      <c r="G5260" s="120"/>
      <c r="H5260" s="120"/>
      <c r="I5260" s="60"/>
      <c r="J5260" s="116"/>
      <c r="K5260" s="213"/>
      <c r="L5260" s="120"/>
      <c r="M5260" s="120"/>
      <c r="N5260" s="167"/>
      <c r="O5260" s="120"/>
      <c r="P5260" s="120"/>
      <c r="Q5260" s="120"/>
      <c r="R5260" s="120"/>
      <c r="S5260" s="120"/>
      <c r="T5260" s="221"/>
      <c r="U5260" s="89"/>
      <c r="V5260" s="61"/>
      <c r="W5260" s="92" t="s">
        <v>173</v>
      </c>
      <c r="X5260" s="93" t="s">
        <v>29</v>
      </c>
      <c r="Y5260" s="93" t="s">
        <v>93</v>
      </c>
      <c r="Z5260" s="134">
        <f>VLOOKUP(W5260,Sheet2!$B:$D,3,FALSE)</f>
        <v>36</v>
      </c>
      <c r="AA5260" s="93">
        <f>50/((3*3*4.5)-(3.14/4*1.5*1.5*4.5))</f>
        <v>1.5360098304629148</v>
      </c>
      <c r="AB5260" s="93">
        <f>AD5260/AC5254</f>
        <v>23.437350000000006</v>
      </c>
      <c r="AC5260" s="93">
        <f>AC5254/AA5260</f>
        <v>1.1588467499999997</v>
      </c>
      <c r="AD5260" s="94">
        <f>AC5260*Z5260</f>
        <v>41.718482999999992</v>
      </c>
      <c r="AE5260" s="190"/>
      <c r="AF5260" s="191"/>
      <c r="AG5260" s="191"/>
      <c r="AH5260" s="191"/>
      <c r="AI5260" s="186"/>
      <c r="AK5260" s="171"/>
    </row>
    <row r="5261" spans="1:41" s="102" customFormat="1" ht="19.899999999999999" customHeight="1" x14ac:dyDescent="0.25">
      <c r="A5261" s="45"/>
      <c r="B5261" s="59"/>
      <c r="C5261" s="137"/>
      <c r="D5261" s="59"/>
      <c r="E5261" s="116"/>
      <c r="F5261" s="120"/>
      <c r="G5261" s="120"/>
      <c r="H5261" s="120"/>
      <c r="I5261" s="60"/>
      <c r="J5261" s="116"/>
      <c r="K5261" s="213"/>
      <c r="L5261" s="120"/>
      <c r="M5261" s="120"/>
      <c r="N5261" s="167"/>
      <c r="O5261" s="120"/>
      <c r="P5261" s="120"/>
      <c r="Q5261" s="120"/>
      <c r="R5261" s="120"/>
      <c r="S5261" s="120"/>
      <c r="T5261" s="221"/>
      <c r="U5261" s="89"/>
      <c r="V5261" s="61"/>
      <c r="W5261" s="92" t="s">
        <v>65</v>
      </c>
      <c r="X5261" s="93" t="s">
        <v>30</v>
      </c>
      <c r="Y5261" s="93" t="s">
        <v>1011</v>
      </c>
      <c r="Z5261" s="134">
        <f>VLOOKUP(W5261,Sheet2!$B:$D,3,FALSE)</f>
        <v>1.76</v>
      </c>
      <c r="AA5261" s="93">
        <f>AA5260/9</f>
        <v>0.17066775894032388</v>
      </c>
      <c r="AB5261" s="93">
        <f>AD5261/AC5254</f>
        <v>10.312434</v>
      </c>
      <c r="AC5261" s="93">
        <f>AC5254/AA5261</f>
        <v>10.429620749999996</v>
      </c>
      <c r="AD5261" s="94">
        <f>AC5261*Z5261</f>
        <v>18.356132519999992</v>
      </c>
      <c r="AE5261" s="190"/>
      <c r="AF5261" s="191"/>
      <c r="AG5261" s="191"/>
      <c r="AH5261" s="191"/>
      <c r="AI5261" s="186"/>
      <c r="AK5261" s="171"/>
    </row>
    <row r="5262" spans="1:41" s="102" customFormat="1" ht="19.899999999999999" customHeight="1" x14ac:dyDescent="0.25">
      <c r="A5262" s="45"/>
      <c r="B5262" s="59"/>
      <c r="C5262" s="137"/>
      <c r="D5262" s="59"/>
      <c r="E5262" s="116"/>
      <c r="F5262" s="120"/>
      <c r="G5262" s="120"/>
      <c r="H5262" s="120"/>
      <c r="I5262" s="60"/>
      <c r="J5262" s="116"/>
      <c r="K5262" s="213"/>
      <c r="L5262" s="120"/>
      <c r="M5262" s="120"/>
      <c r="N5262" s="167"/>
      <c r="O5262" s="120"/>
      <c r="P5262" s="120"/>
      <c r="Q5262" s="120"/>
      <c r="R5262" s="120"/>
      <c r="S5262" s="120"/>
      <c r="T5262" s="221"/>
      <c r="U5262" s="89"/>
      <c r="V5262" s="61"/>
      <c r="W5262" s="92" t="s">
        <v>1030</v>
      </c>
      <c r="X5262" s="93" t="s">
        <v>29</v>
      </c>
      <c r="Y5262" s="93" t="s">
        <v>93</v>
      </c>
      <c r="Z5262" s="134">
        <f>VLOOKUP(W5262,Sheet2!$B:$D,3,FALSE)</f>
        <v>23</v>
      </c>
      <c r="AA5262" s="93">
        <f>1/(4.5*1)</f>
        <v>0.22222222222222221</v>
      </c>
      <c r="AB5262" s="93">
        <f>AD5262/AC5254</f>
        <v>103.50000000000001</v>
      </c>
      <c r="AC5262" s="93">
        <f>AC5254/AA5262</f>
        <v>8.009999999999998</v>
      </c>
      <c r="AD5262" s="94">
        <f t="shared" ref="AD5262:AD5263" si="3768">AC5262*Z5262</f>
        <v>184.22999999999996</v>
      </c>
      <c r="AE5262" s="190"/>
      <c r="AF5262" s="191"/>
      <c r="AG5262" s="191"/>
      <c r="AH5262" s="191"/>
      <c r="AI5262" s="186"/>
      <c r="AK5262" s="171"/>
    </row>
    <row r="5263" spans="1:41" s="102" customFormat="1" ht="19.899999999999999" customHeight="1" x14ac:dyDescent="0.25">
      <c r="A5263" s="45"/>
      <c r="B5263" s="59"/>
      <c r="C5263" s="137"/>
      <c r="D5263" s="59"/>
      <c r="E5263" s="116"/>
      <c r="F5263" s="120"/>
      <c r="G5263" s="120"/>
      <c r="H5263" s="120"/>
      <c r="I5263" s="60"/>
      <c r="J5263" s="116"/>
      <c r="K5263" s="213"/>
      <c r="L5263" s="120"/>
      <c r="M5263" s="120"/>
      <c r="N5263" s="167"/>
      <c r="O5263" s="120"/>
      <c r="P5263" s="120"/>
      <c r="Q5263" s="120"/>
      <c r="R5263" s="120"/>
      <c r="S5263" s="120"/>
      <c r="T5263" s="221"/>
      <c r="U5263" s="89"/>
      <c r="V5263" s="61"/>
      <c r="W5263" s="92" t="s">
        <v>65</v>
      </c>
      <c r="X5263" s="93" t="s">
        <v>30</v>
      </c>
      <c r="Y5263" s="93" t="s">
        <v>1011</v>
      </c>
      <c r="Z5263" s="134">
        <f>VLOOKUP(W5263,Sheet2!$B:$D,3,FALSE)</f>
        <v>1.76</v>
      </c>
      <c r="AA5263" s="93">
        <f>AA5262/3</f>
        <v>7.407407407407407E-2</v>
      </c>
      <c r="AB5263" s="93">
        <f>AD5263/AC5254</f>
        <v>23.760000000000005</v>
      </c>
      <c r="AC5263" s="93">
        <f>AC5254/AA5263</f>
        <v>24.029999999999994</v>
      </c>
      <c r="AD5263" s="94">
        <f t="shared" si="3768"/>
        <v>42.292799999999993</v>
      </c>
      <c r="AE5263" s="190"/>
      <c r="AF5263" s="191"/>
      <c r="AG5263" s="191"/>
      <c r="AH5263" s="191"/>
      <c r="AI5263" s="186"/>
      <c r="AK5263" s="171"/>
    </row>
    <row r="5264" spans="1:41" ht="20.100000000000001" customHeight="1" x14ac:dyDescent="0.25">
      <c r="A5264" s="277" t="s">
        <v>491</v>
      </c>
      <c r="B5264" s="278"/>
      <c r="C5264" s="64" t="s">
        <v>580</v>
      </c>
      <c r="D5264" s="46" t="s">
        <v>215</v>
      </c>
      <c r="E5264" s="114">
        <v>6.1899999999999942</v>
      </c>
      <c r="F5264" s="44">
        <v>55199</v>
      </c>
      <c r="G5264" s="44">
        <f t="shared" si="3471"/>
        <v>341681.80999999971</v>
      </c>
      <c r="H5264" s="44">
        <f t="shared" si="3472"/>
        <v>11873.981825294117</v>
      </c>
      <c r="I5264" s="43">
        <f t="shared" si="3473"/>
        <v>73499.947498570516</v>
      </c>
      <c r="J5264" s="112">
        <f t="shared" si="3474"/>
        <v>6.1899999999999942</v>
      </c>
      <c r="K5264" s="211">
        <f t="shared" si="3475"/>
        <v>6.1899999999999942</v>
      </c>
      <c r="L5264" s="44"/>
      <c r="M5264" s="44">
        <f t="shared" si="3499"/>
        <v>6.1899999999999942</v>
      </c>
      <c r="N5264" s="173">
        <f t="shared" si="3476"/>
        <v>1</v>
      </c>
      <c r="O5264" s="44">
        <f t="shared" si="3477"/>
        <v>55199</v>
      </c>
      <c r="P5264" s="44">
        <f t="shared" si="3478"/>
        <v>341681.80999999971</v>
      </c>
      <c r="Q5264" s="44">
        <f t="shared" si="3479"/>
        <v>11873.981825294117</v>
      </c>
      <c r="R5264" s="44">
        <f t="shared" si="3500"/>
        <v>73499.947498570516</v>
      </c>
      <c r="S5264" s="123"/>
      <c r="T5264" s="219">
        <f t="shared" si="3501"/>
        <v>73499.947498570516</v>
      </c>
      <c r="U5264" s="87"/>
      <c r="V5264" s="47"/>
      <c r="W5264" s="48"/>
      <c r="X5264" s="48"/>
      <c r="Y5264" s="48"/>
      <c r="Z5264" s="135"/>
      <c r="AA5264" s="49"/>
      <c r="AB5264" s="50">
        <f t="shared" si="3480"/>
        <v>11873.981825294117</v>
      </c>
      <c r="AC5264" s="42">
        <f t="shared" si="3502"/>
        <v>6.1899999999999942</v>
      </c>
      <c r="AD5264" s="90">
        <f>AD5265+AD5270+AD5277+AD5284</f>
        <v>73499.947498570516</v>
      </c>
      <c r="AE5264" s="188">
        <f t="shared" ref="AE5264" si="3769">AE5265+AE5270+AE5277+AE5284</f>
        <v>0</v>
      </c>
      <c r="AF5264" s="189">
        <f t="shared" ref="AF5264" si="3770">AF5265+AF5270+AF5277+AF5284</f>
        <v>0</v>
      </c>
      <c r="AG5264" s="189">
        <f t="shared" ref="AG5264" si="3771">AG5265+AG5270+AG5277+AG5284</f>
        <v>0</v>
      </c>
      <c r="AH5264" s="189">
        <f t="shared" ref="AH5264" si="3772">AH5265+AH5270+AH5277+AH5284</f>
        <v>0</v>
      </c>
      <c r="AI5264" s="161">
        <f t="shared" ref="AI5264" si="3773">SUM(AE5264:AH5264)</f>
        <v>0</v>
      </c>
      <c r="AK5264" s="169">
        <v>5</v>
      </c>
      <c r="AO5264" s="19" t="s">
        <v>63</v>
      </c>
    </row>
    <row r="5265" spans="1:37" s="103" customFormat="1" ht="19.899999999999999" customHeight="1" x14ac:dyDescent="0.25">
      <c r="A5265" s="51"/>
      <c r="B5265" s="52"/>
      <c r="C5265" s="165"/>
      <c r="D5265" s="52"/>
      <c r="E5265" s="115"/>
      <c r="F5265" s="58"/>
      <c r="G5265" s="58"/>
      <c r="H5265" s="58"/>
      <c r="I5265" s="55"/>
      <c r="J5265" s="113">
        <f>J5264</f>
        <v>6.1899999999999942</v>
      </c>
      <c r="K5265" s="212">
        <f>K5264</f>
        <v>6.1899999999999942</v>
      </c>
      <c r="L5265" s="58"/>
      <c r="M5265" s="58">
        <f>K5265-L5265</f>
        <v>6.1899999999999942</v>
      </c>
      <c r="N5265" s="166"/>
      <c r="O5265" s="58"/>
      <c r="P5265" s="58"/>
      <c r="Q5265" s="58"/>
      <c r="R5265" s="58"/>
      <c r="S5265" s="58"/>
      <c r="T5265" s="220"/>
      <c r="U5265" s="88"/>
      <c r="V5265" s="56"/>
      <c r="W5265" s="57" t="s">
        <v>1549</v>
      </c>
      <c r="X5265" s="53"/>
      <c r="Y5265" s="91" t="s">
        <v>35</v>
      </c>
      <c r="Z5265" s="136">
        <f>AD5265/AC5265</f>
        <v>180.99388235294117</v>
      </c>
      <c r="AA5265" s="58"/>
      <c r="AB5265" s="53">
        <f>AD5265/AC5265</f>
        <v>180.99388235294117</v>
      </c>
      <c r="AC5265" s="53">
        <f>M5265+$AE$10</f>
        <v>6.1899999999999942</v>
      </c>
      <c r="AD5265" s="54">
        <f>SUM(AD5266:AD5269)</f>
        <v>1120.3521317647048</v>
      </c>
      <c r="AE5265" s="184">
        <f>SUMIFS($AD$37:$AD$12971,$V$37:$V$12971,$V5265,$X$37:$X$12971,AE$13)</f>
        <v>0</v>
      </c>
      <c r="AF5265" s="185">
        <f>SUMIFS($AD$37:$AD$12971,$V$37:$V$12971,$V5265,$X$37:$X$12971,AF$13)</f>
        <v>0</v>
      </c>
      <c r="AG5265" s="185">
        <f>SUMIFS($AD$37:$AD$12971,$V$37:$V$12971,$V5265,$X$37:$X$12971,AG$13)</f>
        <v>0</v>
      </c>
      <c r="AH5265" s="187">
        <f>SUMIFS($AD$37:$AD$12971,$V$37:$V$12971,$V5265,$X$37:$X$12971,AH$13)</f>
        <v>0</v>
      </c>
      <c r="AI5265" s="161">
        <f t="shared" ref="AI5265" si="3774">SUM(AE5265:AH5265)</f>
        <v>0</v>
      </c>
      <c r="AK5265" s="172"/>
    </row>
    <row r="5266" spans="1:37" s="102" customFormat="1" ht="19.899999999999999" customHeight="1" x14ac:dyDescent="0.25">
      <c r="A5266" s="45"/>
      <c r="B5266" s="59"/>
      <c r="C5266" s="137"/>
      <c r="D5266" s="59"/>
      <c r="E5266" s="116"/>
      <c r="F5266" s="120"/>
      <c r="G5266" s="120"/>
      <c r="H5266" s="120"/>
      <c r="I5266" s="60"/>
      <c r="J5266" s="116"/>
      <c r="K5266" s="213"/>
      <c r="L5266" s="120"/>
      <c r="M5266" s="120"/>
      <c r="N5266" s="167"/>
      <c r="O5266" s="120"/>
      <c r="P5266" s="120"/>
      <c r="Q5266" s="120"/>
      <c r="R5266" s="120"/>
      <c r="S5266" s="120"/>
      <c r="T5266" s="221"/>
      <c r="U5266" s="89"/>
      <c r="V5266" s="61"/>
      <c r="W5266" s="92" t="s">
        <v>129</v>
      </c>
      <c r="X5266" s="93" t="s">
        <v>29</v>
      </c>
      <c r="Y5266" s="93" t="s">
        <v>93</v>
      </c>
      <c r="Z5266" s="134">
        <f>VLOOKUP(W5266,Sheet2!$B:$D,3,FALSE)</f>
        <v>56</v>
      </c>
      <c r="AA5266" s="93">
        <f>100/(3*3*5)</f>
        <v>2.2222222222222223</v>
      </c>
      <c r="AB5266" s="93">
        <f t="shared" ref="AB5266" si="3775">AD5266/AC5265</f>
        <v>25.199999999999996</v>
      </c>
      <c r="AC5266" s="93">
        <f>AC5265/AA5266</f>
        <v>2.7854999999999972</v>
      </c>
      <c r="AD5266" s="94">
        <f t="shared" ref="AD5266:AD5267" si="3776">AC5266*Z5266</f>
        <v>155.98799999999983</v>
      </c>
      <c r="AE5266" s="190"/>
      <c r="AF5266" s="191"/>
      <c r="AG5266" s="191"/>
      <c r="AH5266" s="191"/>
      <c r="AI5266" s="186"/>
      <c r="AK5266" s="171"/>
    </row>
    <row r="5267" spans="1:37" s="102" customFormat="1" ht="19.899999999999999" customHeight="1" x14ac:dyDescent="0.25">
      <c r="A5267" s="45"/>
      <c r="B5267" s="59"/>
      <c r="C5267" s="137"/>
      <c r="D5267" s="59"/>
      <c r="E5267" s="116"/>
      <c r="F5267" s="120"/>
      <c r="G5267" s="120"/>
      <c r="H5267" s="120"/>
      <c r="I5267" s="60"/>
      <c r="J5267" s="116"/>
      <c r="K5267" s="213"/>
      <c r="L5267" s="120"/>
      <c r="M5267" s="120"/>
      <c r="N5267" s="167"/>
      <c r="O5267" s="120"/>
      <c r="P5267" s="120"/>
      <c r="Q5267" s="120"/>
      <c r="R5267" s="120"/>
      <c r="S5267" s="120"/>
      <c r="T5267" s="221"/>
      <c r="U5267" s="89"/>
      <c r="V5267" s="61"/>
      <c r="W5267" s="92" t="s">
        <v>65</v>
      </c>
      <c r="X5267" s="93" t="s">
        <v>30</v>
      </c>
      <c r="Y5267" s="93" t="s">
        <v>1011</v>
      </c>
      <c r="Z5267" s="134">
        <f>VLOOKUP(W5267,Sheet2!$B:$D,3,FALSE)</f>
        <v>1.76</v>
      </c>
      <c r="AA5267" s="93">
        <f>AA5266/14</f>
        <v>0.15873015873015875</v>
      </c>
      <c r="AB5267" s="93">
        <f>AD5267/AC5265</f>
        <v>11.087999999999999</v>
      </c>
      <c r="AC5267" s="93">
        <f>AC5265/AA5267</f>
        <v>38.996999999999957</v>
      </c>
      <c r="AD5267" s="94">
        <f t="shared" si="3776"/>
        <v>68.63471999999993</v>
      </c>
      <c r="AE5267" s="190"/>
      <c r="AF5267" s="191"/>
      <c r="AG5267" s="191"/>
      <c r="AH5267" s="191"/>
      <c r="AI5267" s="186"/>
      <c r="AK5267" s="171"/>
    </row>
    <row r="5268" spans="1:37" s="102" customFormat="1" ht="19.899999999999999" customHeight="1" x14ac:dyDescent="0.25">
      <c r="A5268" s="45"/>
      <c r="B5268" s="59"/>
      <c r="C5268" s="137"/>
      <c r="D5268" s="59"/>
      <c r="E5268" s="116"/>
      <c r="F5268" s="120"/>
      <c r="G5268" s="120"/>
      <c r="H5268" s="120"/>
      <c r="I5268" s="60"/>
      <c r="J5268" s="116"/>
      <c r="K5268" s="213"/>
      <c r="L5268" s="120"/>
      <c r="M5268" s="120"/>
      <c r="N5268" s="167"/>
      <c r="O5268" s="120"/>
      <c r="P5268" s="120"/>
      <c r="Q5268" s="120"/>
      <c r="R5268" s="120"/>
      <c r="S5268" s="120"/>
      <c r="T5268" s="221"/>
      <c r="U5268" s="89"/>
      <c r="V5268" s="61"/>
      <c r="W5268" s="92" t="s">
        <v>161</v>
      </c>
      <c r="X5268" s="93" t="s">
        <v>29</v>
      </c>
      <c r="Y5268" s="93" t="s">
        <v>93</v>
      </c>
      <c r="Z5268" s="134">
        <f>VLOOKUP(W5268,Sheet2!$B:$D,3,FALSE)</f>
        <v>48</v>
      </c>
      <c r="AA5268" s="93">
        <f>(16*0.85*1.5)/(3*3*5)</f>
        <v>0.45333333333333331</v>
      </c>
      <c r="AB5268" s="93">
        <f>AD5268/AC5265</f>
        <v>105.88235294117648</v>
      </c>
      <c r="AC5268" s="93">
        <f>AC5265/AA5268</f>
        <v>13.65441176470587</v>
      </c>
      <c r="AD5268" s="94">
        <f>AC5268*Z5268</f>
        <v>655.41176470588175</v>
      </c>
      <c r="AE5268" s="190"/>
      <c r="AF5268" s="191"/>
      <c r="AG5268" s="191"/>
      <c r="AH5268" s="191"/>
      <c r="AI5268" s="186"/>
      <c r="AK5268" s="171"/>
    </row>
    <row r="5269" spans="1:37" s="102" customFormat="1" ht="19.899999999999999" customHeight="1" x14ac:dyDescent="0.25">
      <c r="A5269" s="45"/>
      <c r="B5269" s="59"/>
      <c r="C5269" s="137"/>
      <c r="D5269" s="59"/>
      <c r="E5269" s="116"/>
      <c r="F5269" s="120"/>
      <c r="G5269" s="120"/>
      <c r="H5269" s="120"/>
      <c r="I5269" s="60"/>
      <c r="J5269" s="116"/>
      <c r="K5269" s="213"/>
      <c r="L5269" s="120"/>
      <c r="M5269" s="120"/>
      <c r="N5269" s="167"/>
      <c r="O5269" s="120"/>
      <c r="P5269" s="120"/>
      <c r="Q5269" s="120"/>
      <c r="R5269" s="120"/>
      <c r="S5269" s="120"/>
      <c r="T5269" s="221"/>
      <c r="U5269" s="89"/>
      <c r="V5269" s="61"/>
      <c r="W5269" s="92" t="s">
        <v>65</v>
      </c>
      <c r="X5269" s="93" t="s">
        <v>30</v>
      </c>
      <c r="Y5269" s="93" t="s">
        <v>1011</v>
      </c>
      <c r="Z5269" s="134">
        <f>VLOOKUP(W5269,Sheet2!$B:$D,3,FALSE)</f>
        <v>1.76</v>
      </c>
      <c r="AA5269" s="93">
        <f>AA5268/10</f>
        <v>4.533333333333333E-2</v>
      </c>
      <c r="AB5269" s="93">
        <f>AD5269/AC5265</f>
        <v>38.823529411764703</v>
      </c>
      <c r="AC5269" s="93">
        <f>AC5265/AA5269</f>
        <v>136.5441176470587</v>
      </c>
      <c r="AD5269" s="94">
        <f>AC5269*Z5269</f>
        <v>240.3176470588233</v>
      </c>
      <c r="AE5269" s="190"/>
      <c r="AF5269" s="191"/>
      <c r="AG5269" s="191"/>
      <c r="AH5269" s="191"/>
      <c r="AI5269" s="186"/>
      <c r="AK5269" s="171"/>
    </row>
    <row r="5270" spans="1:37" s="103" customFormat="1" ht="19.899999999999999" customHeight="1" x14ac:dyDescent="0.25">
      <c r="A5270" s="51"/>
      <c r="B5270" s="52"/>
      <c r="C5270" s="165"/>
      <c r="D5270" s="52"/>
      <c r="E5270" s="115"/>
      <c r="F5270" s="58"/>
      <c r="G5270" s="58"/>
      <c r="H5270" s="58"/>
      <c r="I5270" s="55"/>
      <c r="J5270" s="113">
        <f>J5264</f>
        <v>6.1899999999999942</v>
      </c>
      <c r="K5270" s="212">
        <f>K5264</f>
        <v>6.1899999999999942</v>
      </c>
      <c r="L5270" s="58"/>
      <c r="M5270" s="58">
        <f>K5270-L5270</f>
        <v>6.1899999999999942</v>
      </c>
      <c r="N5270" s="166"/>
      <c r="O5270" s="58"/>
      <c r="P5270" s="58"/>
      <c r="Q5270" s="58"/>
      <c r="R5270" s="58"/>
      <c r="S5270" s="58"/>
      <c r="T5270" s="220"/>
      <c r="U5270" s="88"/>
      <c r="V5270" s="56"/>
      <c r="W5270" s="57" t="s">
        <v>1486</v>
      </c>
      <c r="X5270" s="53"/>
      <c r="Y5270" s="91" t="s">
        <v>35</v>
      </c>
      <c r="Z5270" s="136">
        <f>AD5270/AC5270</f>
        <v>1883.8374999999996</v>
      </c>
      <c r="AA5270" s="58"/>
      <c r="AB5270" s="53">
        <f>AD5270/AC5270</f>
        <v>1883.8374999999996</v>
      </c>
      <c r="AC5270" s="53">
        <f>M5270+$AE$10</f>
        <v>6.1899999999999942</v>
      </c>
      <c r="AD5270" s="54">
        <f>SUM(AD5271:AD5276)</f>
        <v>11660.954124999987</v>
      </c>
      <c r="AE5270" s="184">
        <f>SUMIFS($AD$37:$AD$12971,$V$37:$V$12971,$V5270,$X$37:$X$12971,AE$13)</f>
        <v>0</v>
      </c>
      <c r="AF5270" s="185">
        <f>SUMIFS($AD$37:$AD$12971,$V$37:$V$12971,$V5270,$X$37:$X$12971,AF$13)</f>
        <v>0</v>
      </c>
      <c r="AG5270" s="185">
        <f>SUMIFS($AD$37:$AD$12971,$V$37:$V$12971,$V5270,$X$37:$X$12971,AG$13)</f>
        <v>0</v>
      </c>
      <c r="AH5270" s="187">
        <f>SUMIFS($AD$37:$AD$12971,$V$37:$V$12971,$V5270,$X$37:$X$12971,AH$13)</f>
        <v>0</v>
      </c>
      <c r="AI5270" s="161">
        <f t="shared" ref="AI5270" si="3777">SUM(AE5270:AH5270)</f>
        <v>0</v>
      </c>
      <c r="AK5270" s="172"/>
    </row>
    <row r="5271" spans="1:37" s="102" customFormat="1" ht="19.899999999999999" customHeight="1" x14ac:dyDescent="0.25">
      <c r="A5271" s="45"/>
      <c r="B5271" s="59"/>
      <c r="C5271" s="137"/>
      <c r="D5271" s="59"/>
      <c r="E5271" s="116"/>
      <c r="F5271" s="120"/>
      <c r="G5271" s="120"/>
      <c r="H5271" s="120"/>
      <c r="I5271" s="60"/>
      <c r="J5271" s="116"/>
      <c r="K5271" s="213"/>
      <c r="L5271" s="120"/>
      <c r="M5271" s="120"/>
      <c r="N5271" s="167"/>
      <c r="O5271" s="120"/>
      <c r="P5271" s="120"/>
      <c r="Q5271" s="120"/>
      <c r="R5271" s="120"/>
      <c r="S5271" s="120"/>
      <c r="T5271" s="221"/>
      <c r="U5271" s="89"/>
      <c r="V5271" s="61"/>
      <c r="W5271" s="92" t="s">
        <v>1032</v>
      </c>
      <c r="X5271" s="93" t="s">
        <v>30</v>
      </c>
      <c r="Y5271" s="93" t="s">
        <v>66</v>
      </c>
      <c r="Z5271" s="134">
        <f>VLOOKUP(W5271,Sheet2!$B:$D,3,FALSE)</f>
        <v>250</v>
      </c>
      <c r="AA5271" s="93">
        <f>1/(2.4*2.4*0.1)</f>
        <v>1.7361111111111112</v>
      </c>
      <c r="AB5271" s="93">
        <f>AD5271/AC5277</f>
        <v>144</v>
      </c>
      <c r="AC5271" s="93">
        <f>AC5277/AA5271</f>
        <v>3.5654399999999966</v>
      </c>
      <c r="AD5271" s="94">
        <f t="shared" ref="AD5271:AD5273" si="3778">AC5271*Z5271</f>
        <v>891.3599999999991</v>
      </c>
      <c r="AE5271" s="190"/>
      <c r="AF5271" s="191"/>
      <c r="AG5271" s="191"/>
      <c r="AH5271" s="191"/>
      <c r="AI5271" s="186"/>
      <c r="AK5271" s="171"/>
    </row>
    <row r="5272" spans="1:37" s="102" customFormat="1" ht="19.899999999999999" customHeight="1" x14ac:dyDescent="0.25">
      <c r="A5272" s="45"/>
      <c r="B5272" s="59"/>
      <c r="C5272" s="137"/>
      <c r="D5272" s="59"/>
      <c r="E5272" s="116"/>
      <c r="F5272" s="120"/>
      <c r="G5272" s="120"/>
      <c r="H5272" s="120"/>
      <c r="I5272" s="60"/>
      <c r="J5272" s="116"/>
      <c r="K5272" s="213"/>
      <c r="L5272" s="120"/>
      <c r="M5272" s="120"/>
      <c r="N5272" s="167"/>
      <c r="O5272" s="120"/>
      <c r="P5272" s="120"/>
      <c r="Q5272" s="120"/>
      <c r="R5272" s="120"/>
      <c r="S5272" s="120"/>
      <c r="T5272" s="221"/>
      <c r="U5272" s="89"/>
      <c r="V5272" s="61"/>
      <c r="W5272" s="92" t="s">
        <v>1353</v>
      </c>
      <c r="X5272" s="93" t="s">
        <v>30</v>
      </c>
      <c r="Y5272" s="93" t="s">
        <v>66</v>
      </c>
      <c r="Z5272" s="134">
        <f>VLOOKUP(W5272,Sheet2!$B:$D,3,FALSE)</f>
        <v>350</v>
      </c>
      <c r="AA5272" s="93">
        <f>1/(2.3*2.3*0.3)</f>
        <v>0.63011972274732209</v>
      </c>
      <c r="AB5272" s="93">
        <f>AD5272/AC5277</f>
        <v>555.44999999999993</v>
      </c>
      <c r="AC5272" s="93">
        <f>AC5277/AA5272</f>
        <v>9.8235299999999892</v>
      </c>
      <c r="AD5272" s="94">
        <f t="shared" si="3778"/>
        <v>3438.2354999999961</v>
      </c>
      <c r="AE5272" s="190"/>
      <c r="AF5272" s="191"/>
      <c r="AG5272" s="191"/>
      <c r="AH5272" s="191"/>
      <c r="AI5272" s="186"/>
      <c r="AK5272" s="171"/>
    </row>
    <row r="5273" spans="1:37" s="102" customFormat="1" ht="19.899999999999999" customHeight="1" x14ac:dyDescent="0.25">
      <c r="A5273" s="45"/>
      <c r="B5273" s="59"/>
      <c r="C5273" s="137"/>
      <c r="D5273" s="59"/>
      <c r="E5273" s="116"/>
      <c r="F5273" s="120"/>
      <c r="G5273" s="120"/>
      <c r="H5273" s="120"/>
      <c r="I5273" s="60"/>
      <c r="J5273" s="116"/>
      <c r="K5273" s="213"/>
      <c r="L5273" s="120"/>
      <c r="M5273" s="120"/>
      <c r="N5273" s="167"/>
      <c r="O5273" s="120"/>
      <c r="P5273" s="120"/>
      <c r="Q5273" s="120"/>
      <c r="R5273" s="120"/>
      <c r="S5273" s="120"/>
      <c r="T5273" s="221"/>
      <c r="U5273" s="89"/>
      <c r="V5273" s="61"/>
      <c r="W5273" s="92" t="s">
        <v>99</v>
      </c>
      <c r="X5273" s="93" t="s">
        <v>30</v>
      </c>
      <c r="Y5273" s="93" t="s">
        <v>67</v>
      </c>
      <c r="Z5273" s="134">
        <f>VLOOKUP(W5273,Sheet2!$B:$D,3,FALSE)</f>
        <v>2500</v>
      </c>
      <c r="AA5273" s="93">
        <f>AA5272/0.08</f>
        <v>7.8764965343415261</v>
      </c>
      <c r="AB5273" s="93">
        <f>AD5273/AC5277</f>
        <v>317.39999999999992</v>
      </c>
      <c r="AC5273" s="93">
        <f>AC5277/AA5273</f>
        <v>0.78588239999999909</v>
      </c>
      <c r="AD5273" s="94">
        <f t="shared" si="3778"/>
        <v>1964.7059999999976</v>
      </c>
      <c r="AE5273" s="190"/>
      <c r="AF5273" s="191"/>
      <c r="AG5273" s="191"/>
      <c r="AH5273" s="191"/>
      <c r="AI5273" s="186"/>
      <c r="AK5273" s="171"/>
    </row>
    <row r="5274" spans="1:37" s="102" customFormat="1" ht="19.899999999999999" customHeight="1" x14ac:dyDescent="0.25">
      <c r="A5274" s="45"/>
      <c r="B5274" s="59"/>
      <c r="C5274" s="137"/>
      <c r="D5274" s="59"/>
      <c r="E5274" s="116"/>
      <c r="F5274" s="120"/>
      <c r="G5274" s="120"/>
      <c r="H5274" s="120"/>
      <c r="I5274" s="60"/>
      <c r="J5274" s="116"/>
      <c r="K5274" s="213"/>
      <c r="L5274" s="120"/>
      <c r="M5274" s="120"/>
      <c r="N5274" s="167"/>
      <c r="O5274" s="120"/>
      <c r="P5274" s="120"/>
      <c r="Q5274" s="120"/>
      <c r="R5274" s="120"/>
      <c r="S5274" s="120"/>
      <c r="T5274" s="221"/>
      <c r="U5274" s="89"/>
      <c r="V5274" s="61"/>
      <c r="W5274" s="92" t="s">
        <v>1354</v>
      </c>
      <c r="X5274" s="93" t="s">
        <v>32</v>
      </c>
      <c r="Y5274" s="93" t="s">
        <v>66</v>
      </c>
      <c r="Z5274" s="134">
        <f>VLOOKUP(W5274,Sheet2!$B:$D,3,FALSE)</f>
        <v>150</v>
      </c>
      <c r="AA5274" s="93">
        <f>AA5271</f>
        <v>1.7361111111111112</v>
      </c>
      <c r="AB5274" s="93">
        <f>AD5274/AC5277</f>
        <v>86.399999999999991</v>
      </c>
      <c r="AC5274" s="93">
        <f>AC5277/AA5274</f>
        <v>3.5654399999999966</v>
      </c>
      <c r="AD5274" s="94">
        <f>AC5274*Z5274</f>
        <v>534.81599999999946</v>
      </c>
      <c r="AE5274" s="190"/>
      <c r="AF5274" s="191"/>
      <c r="AG5274" s="191"/>
      <c r="AH5274" s="191"/>
      <c r="AI5274" s="186"/>
      <c r="AK5274" s="171"/>
    </row>
    <row r="5275" spans="1:37" s="102" customFormat="1" ht="19.899999999999999" customHeight="1" x14ac:dyDescent="0.25">
      <c r="A5275" s="45"/>
      <c r="B5275" s="59"/>
      <c r="C5275" s="137"/>
      <c r="D5275" s="59"/>
      <c r="E5275" s="116"/>
      <c r="F5275" s="120"/>
      <c r="G5275" s="120"/>
      <c r="H5275" s="120"/>
      <c r="I5275" s="60"/>
      <c r="J5275" s="116"/>
      <c r="K5275" s="213"/>
      <c r="L5275" s="120"/>
      <c r="M5275" s="120"/>
      <c r="N5275" s="167"/>
      <c r="O5275" s="120"/>
      <c r="P5275" s="120"/>
      <c r="Q5275" s="120"/>
      <c r="R5275" s="120"/>
      <c r="S5275" s="120"/>
      <c r="T5275" s="221"/>
      <c r="U5275" s="89"/>
      <c r="V5275" s="61"/>
      <c r="W5275" s="92" t="s">
        <v>1355</v>
      </c>
      <c r="X5275" s="93" t="s">
        <v>32</v>
      </c>
      <c r="Y5275" s="93" t="s">
        <v>66</v>
      </c>
      <c r="Z5275" s="134">
        <f>VLOOKUP(W5275,Sheet2!$B:$D,3,FALSE)</f>
        <v>450</v>
      </c>
      <c r="AA5275" s="93">
        <f>AA5272</f>
        <v>0.63011972274732209</v>
      </c>
      <c r="AB5275" s="93">
        <f>AD5275/AC5277</f>
        <v>714.14999999999986</v>
      </c>
      <c r="AC5275" s="93">
        <f>AC5277/AA5275</f>
        <v>9.8235299999999892</v>
      </c>
      <c r="AD5275" s="94">
        <f>AC5275*Z5275</f>
        <v>4420.5884999999953</v>
      </c>
      <c r="AE5275" s="190"/>
      <c r="AF5275" s="191"/>
      <c r="AG5275" s="191"/>
      <c r="AH5275" s="191"/>
      <c r="AI5275" s="186"/>
      <c r="AK5275" s="171"/>
    </row>
    <row r="5276" spans="1:37" s="102" customFormat="1" ht="19.899999999999999" customHeight="1" x14ac:dyDescent="0.25">
      <c r="A5276" s="45"/>
      <c r="B5276" s="59"/>
      <c r="C5276" s="137"/>
      <c r="D5276" s="59"/>
      <c r="E5276" s="116"/>
      <c r="F5276" s="120"/>
      <c r="G5276" s="120"/>
      <c r="H5276" s="120"/>
      <c r="I5276" s="60"/>
      <c r="J5276" s="116"/>
      <c r="K5276" s="213"/>
      <c r="L5276" s="120"/>
      <c r="M5276" s="120"/>
      <c r="N5276" s="167"/>
      <c r="O5276" s="120"/>
      <c r="P5276" s="120"/>
      <c r="Q5276" s="120"/>
      <c r="R5276" s="120"/>
      <c r="S5276" s="120"/>
      <c r="T5276" s="221"/>
      <c r="U5276" s="89"/>
      <c r="V5276" s="61"/>
      <c r="W5276" s="92" t="s">
        <v>124</v>
      </c>
      <c r="X5276" s="93" t="s">
        <v>32</v>
      </c>
      <c r="Y5276" s="93" t="s">
        <v>64</v>
      </c>
      <c r="Z5276" s="134">
        <f>VLOOKUP(W5276,Sheet2!$B:$D,3,FALSE)</f>
        <v>10</v>
      </c>
      <c r="AA5276" s="93">
        <f>1/((2.9*2.9)-(3.14*1.5*1.5/4))</f>
        <v>0.15051740357478832</v>
      </c>
      <c r="AB5276" s="93">
        <f t="shared" ref="AB5276" si="3779">AD5276/AC5270</f>
        <v>66.4375</v>
      </c>
      <c r="AC5276" s="93">
        <f>AC5270/AA5276</f>
        <v>41.124812499999962</v>
      </c>
      <c r="AD5276" s="94">
        <f t="shared" ref="AD5276" si="3780">AC5276*Z5276</f>
        <v>411.24812499999962</v>
      </c>
      <c r="AE5276" s="190"/>
      <c r="AF5276" s="191"/>
      <c r="AG5276" s="191"/>
      <c r="AH5276" s="191"/>
      <c r="AI5276" s="186"/>
      <c r="AK5276" s="171"/>
    </row>
    <row r="5277" spans="1:37" s="103" customFormat="1" ht="19.899999999999999" customHeight="1" x14ac:dyDescent="0.25">
      <c r="A5277" s="51"/>
      <c r="B5277" s="52"/>
      <c r="C5277" s="165"/>
      <c r="D5277" s="52"/>
      <c r="E5277" s="115"/>
      <c r="F5277" s="58"/>
      <c r="G5277" s="58"/>
      <c r="H5277" s="58"/>
      <c r="I5277" s="55"/>
      <c r="J5277" s="113">
        <f>J5264</f>
        <v>6.1899999999999942</v>
      </c>
      <c r="K5277" s="212">
        <f>K5264</f>
        <v>6.1899999999999942</v>
      </c>
      <c r="L5277" s="58"/>
      <c r="M5277" s="58">
        <f>K5277-L5277</f>
        <v>6.1899999999999942</v>
      </c>
      <c r="N5277" s="166"/>
      <c r="O5277" s="58"/>
      <c r="P5277" s="58"/>
      <c r="Q5277" s="58"/>
      <c r="R5277" s="58"/>
      <c r="S5277" s="58"/>
      <c r="T5277" s="220"/>
      <c r="U5277" s="88"/>
      <c r="V5277" s="56"/>
      <c r="W5277" s="57" t="s">
        <v>1275</v>
      </c>
      <c r="X5277" s="53"/>
      <c r="Y5277" s="91" t="s">
        <v>35</v>
      </c>
      <c r="Z5277" s="136">
        <f>AD5277/AC5277</f>
        <v>9122.8000000000011</v>
      </c>
      <c r="AA5277" s="58"/>
      <c r="AB5277" s="53">
        <f>AD5277/AC5277</f>
        <v>9122.8000000000011</v>
      </c>
      <c r="AC5277" s="53">
        <f>M5277+$AE$10</f>
        <v>6.1899999999999942</v>
      </c>
      <c r="AD5277" s="54">
        <f>SUM(AD5278:AD5283)</f>
        <v>56470.131999999954</v>
      </c>
      <c r="AE5277" s="184">
        <f>SUMIFS($AD$37:$AD$12971,$V$37:$V$12971,$V5277,$X$37:$X$12971,AE$13)</f>
        <v>0</v>
      </c>
      <c r="AF5277" s="185">
        <f>SUMIFS($AD$37:$AD$12971,$V$37:$V$12971,$V5277,$X$37:$X$12971,AF$13)</f>
        <v>0</v>
      </c>
      <c r="AG5277" s="185">
        <f>SUMIFS($AD$37:$AD$12971,$V$37:$V$12971,$V5277,$X$37:$X$12971,AG$13)</f>
        <v>0</v>
      </c>
      <c r="AH5277" s="187">
        <f>SUMIFS($AD$37:$AD$12971,$V$37:$V$12971,$V5277,$X$37:$X$12971,AH$13)</f>
        <v>0</v>
      </c>
      <c r="AI5277" s="161">
        <f t="shared" ref="AI5277" si="3781">SUM(AE5277:AH5277)</f>
        <v>0</v>
      </c>
      <c r="AK5277" s="172"/>
    </row>
    <row r="5278" spans="1:37" s="102" customFormat="1" ht="19.899999999999999" customHeight="1" x14ac:dyDescent="0.25">
      <c r="A5278" s="45"/>
      <c r="B5278" s="59"/>
      <c r="C5278" s="137"/>
      <c r="D5278" s="59"/>
      <c r="E5278" s="116"/>
      <c r="F5278" s="120"/>
      <c r="G5278" s="120"/>
      <c r="H5278" s="120"/>
      <c r="I5278" s="60"/>
      <c r="J5278" s="116"/>
      <c r="K5278" s="213"/>
      <c r="L5278" s="120"/>
      <c r="M5278" s="120"/>
      <c r="N5278" s="167"/>
      <c r="O5278" s="120"/>
      <c r="P5278" s="120"/>
      <c r="Q5278" s="120"/>
      <c r="R5278" s="120"/>
      <c r="S5278" s="120"/>
      <c r="T5278" s="221"/>
      <c r="U5278" s="89"/>
      <c r="V5278" s="61"/>
      <c r="W5278" s="92" t="s">
        <v>1543</v>
      </c>
      <c r="X5278" s="93" t="s">
        <v>30</v>
      </c>
      <c r="Y5278" s="93" t="s">
        <v>35</v>
      </c>
      <c r="Z5278" s="134">
        <f>VLOOKUP(W5278,Sheet2!$B:$D,3,FALSE)</f>
        <v>7350</v>
      </c>
      <c r="AA5278" s="93">
        <v>1</v>
      </c>
      <c r="AB5278" s="93">
        <f>AD5278/AC5277</f>
        <v>7350</v>
      </c>
      <c r="AC5278" s="93">
        <f>AC5277/AA5278</f>
        <v>6.1899999999999942</v>
      </c>
      <c r="AD5278" s="94">
        <f t="shared" ref="AD5278:AD5279" si="3782">AC5278*Z5278</f>
        <v>45496.499999999956</v>
      </c>
      <c r="AE5278" s="190"/>
      <c r="AF5278" s="191"/>
      <c r="AG5278" s="191"/>
      <c r="AH5278" s="191"/>
      <c r="AI5278" s="186"/>
      <c r="AK5278" s="171"/>
    </row>
    <row r="5279" spans="1:37" s="102" customFormat="1" ht="19.899999999999999" customHeight="1" x14ac:dyDescent="0.25">
      <c r="A5279" s="45"/>
      <c r="B5279" s="59"/>
      <c r="C5279" s="137"/>
      <c r="D5279" s="59"/>
      <c r="E5279" s="116"/>
      <c r="F5279" s="120"/>
      <c r="G5279" s="120"/>
      <c r="H5279" s="120"/>
      <c r="I5279" s="60"/>
      <c r="J5279" s="116"/>
      <c r="K5279" s="213"/>
      <c r="L5279" s="120"/>
      <c r="M5279" s="120"/>
      <c r="N5279" s="167"/>
      <c r="O5279" s="120"/>
      <c r="P5279" s="120"/>
      <c r="Q5279" s="120"/>
      <c r="R5279" s="120"/>
      <c r="S5279" s="120"/>
      <c r="T5279" s="221"/>
      <c r="U5279" s="89"/>
      <c r="V5279" s="61"/>
      <c r="W5279" s="92" t="s">
        <v>174</v>
      </c>
      <c r="X5279" s="93" t="s">
        <v>29</v>
      </c>
      <c r="Y5279" s="93" t="s">
        <v>93</v>
      </c>
      <c r="Z5279" s="134">
        <f>VLOOKUP(W5279,Sheet2!$B:$D,3,FALSE)</f>
        <v>80</v>
      </c>
      <c r="AA5279" s="93">
        <f>1/2</f>
        <v>0.5</v>
      </c>
      <c r="AB5279" s="93">
        <f>AD5279/AC5277</f>
        <v>160</v>
      </c>
      <c r="AC5279" s="93">
        <f>AC5277/AA5279</f>
        <v>12.379999999999988</v>
      </c>
      <c r="AD5279" s="94">
        <f t="shared" si="3782"/>
        <v>990.39999999999907</v>
      </c>
      <c r="AE5279" s="190"/>
      <c r="AF5279" s="191"/>
      <c r="AG5279" s="191"/>
      <c r="AH5279" s="191"/>
      <c r="AI5279" s="186"/>
      <c r="AK5279" s="171"/>
    </row>
    <row r="5280" spans="1:37" s="102" customFormat="1" ht="19.899999999999999" customHeight="1" x14ac:dyDescent="0.25">
      <c r="A5280" s="45"/>
      <c r="B5280" s="59"/>
      <c r="C5280" s="137"/>
      <c r="D5280" s="59"/>
      <c r="E5280" s="116"/>
      <c r="F5280" s="120"/>
      <c r="G5280" s="120"/>
      <c r="H5280" s="120"/>
      <c r="I5280" s="60"/>
      <c r="J5280" s="116"/>
      <c r="K5280" s="213"/>
      <c r="L5280" s="120"/>
      <c r="M5280" s="120"/>
      <c r="N5280" s="167"/>
      <c r="O5280" s="120"/>
      <c r="P5280" s="120"/>
      <c r="Q5280" s="120"/>
      <c r="R5280" s="120"/>
      <c r="S5280" s="120"/>
      <c r="T5280" s="221"/>
      <c r="U5280" s="89"/>
      <c r="V5280" s="61"/>
      <c r="W5280" s="92" t="s">
        <v>65</v>
      </c>
      <c r="X5280" s="93" t="s">
        <v>30</v>
      </c>
      <c r="Y5280" s="93" t="s">
        <v>93</v>
      </c>
      <c r="Z5280" s="134">
        <f>VLOOKUP(W5280,Sheet2!$B:$D,3,FALSE)</f>
        <v>1.76</v>
      </c>
      <c r="AA5280" s="93">
        <f>AA5279/15</f>
        <v>3.3333333333333333E-2</v>
      </c>
      <c r="AB5280" s="93">
        <f>AD5280/AC5277</f>
        <v>52.800000000000004</v>
      </c>
      <c r="AC5280" s="93">
        <f>AC5277/AA5280</f>
        <v>185.69999999999982</v>
      </c>
      <c r="AD5280" s="94">
        <f>AC5280*Z5280</f>
        <v>326.83199999999971</v>
      </c>
      <c r="AE5280" s="190"/>
      <c r="AF5280" s="191"/>
      <c r="AG5280" s="191"/>
      <c r="AH5280" s="191"/>
      <c r="AI5280" s="186"/>
      <c r="AK5280" s="171"/>
    </row>
    <row r="5281" spans="1:41" s="102" customFormat="1" ht="19.899999999999999" customHeight="1" x14ac:dyDescent="0.25">
      <c r="A5281" s="45"/>
      <c r="B5281" s="59"/>
      <c r="C5281" s="137"/>
      <c r="D5281" s="59"/>
      <c r="E5281" s="116"/>
      <c r="F5281" s="120"/>
      <c r="G5281" s="120"/>
      <c r="H5281" s="120"/>
      <c r="I5281" s="60"/>
      <c r="J5281" s="116"/>
      <c r="K5281" s="213"/>
      <c r="L5281" s="120"/>
      <c r="M5281" s="120"/>
      <c r="N5281" s="167"/>
      <c r="O5281" s="120"/>
      <c r="P5281" s="120"/>
      <c r="Q5281" s="120"/>
      <c r="R5281" s="120"/>
      <c r="S5281" s="120"/>
      <c r="T5281" s="221"/>
      <c r="U5281" s="89"/>
      <c r="V5281" s="61"/>
      <c r="W5281" s="92" t="s">
        <v>1487</v>
      </c>
      <c r="X5281" s="93" t="s">
        <v>32</v>
      </c>
      <c r="Y5281" s="93" t="s">
        <v>1349</v>
      </c>
      <c r="Z5281" s="134">
        <f>VLOOKUP(W5281,Sheet2!$B:$D,3,FALSE)</f>
        <v>1500</v>
      </c>
      <c r="AA5281" s="93">
        <v>1</v>
      </c>
      <c r="AB5281" s="93">
        <f>AD5281/AC5277</f>
        <v>1500</v>
      </c>
      <c r="AC5281" s="93">
        <f>AC5277/AA5281</f>
        <v>6.1899999999999942</v>
      </c>
      <c r="AD5281" s="94">
        <f>AC5281*Z5281</f>
        <v>9284.9999999999909</v>
      </c>
      <c r="AE5281" s="190"/>
      <c r="AF5281" s="191"/>
      <c r="AG5281" s="191"/>
      <c r="AH5281" s="191"/>
      <c r="AI5281" s="186"/>
      <c r="AK5281" s="171"/>
    </row>
    <row r="5282" spans="1:41" s="102" customFormat="1" ht="19.899999999999999" customHeight="1" x14ac:dyDescent="0.25">
      <c r="A5282" s="45"/>
      <c r="B5282" s="59"/>
      <c r="C5282" s="137"/>
      <c r="D5282" s="59"/>
      <c r="E5282" s="116"/>
      <c r="F5282" s="120"/>
      <c r="G5282" s="120"/>
      <c r="H5282" s="120"/>
      <c r="I5282" s="60"/>
      <c r="J5282" s="116"/>
      <c r="K5282" s="213"/>
      <c r="L5282" s="120"/>
      <c r="M5282" s="120"/>
      <c r="N5282" s="167"/>
      <c r="O5282" s="120"/>
      <c r="P5282" s="120"/>
      <c r="Q5282" s="120"/>
      <c r="R5282" s="120"/>
      <c r="S5282" s="120"/>
      <c r="T5282" s="221"/>
      <c r="U5282" s="89"/>
      <c r="V5282" s="61"/>
      <c r="W5282" s="92" t="s">
        <v>107</v>
      </c>
      <c r="X5282" s="93" t="s">
        <v>31</v>
      </c>
      <c r="Y5282" s="93" t="s">
        <v>93</v>
      </c>
      <c r="Z5282" s="134">
        <f>VLOOKUP(W5282,Sheet2!$B:$D,3,FALSE)</f>
        <v>17</v>
      </c>
      <c r="AA5282" s="93">
        <f>AA5279</f>
        <v>0.5</v>
      </c>
      <c r="AB5282" s="93">
        <f>AD5282/AC5277</f>
        <v>34</v>
      </c>
      <c r="AC5282" s="93">
        <f>AC5277/AA5282</f>
        <v>12.379999999999988</v>
      </c>
      <c r="AD5282" s="94">
        <f>AC5282*Z5282</f>
        <v>210.45999999999981</v>
      </c>
      <c r="AE5282" s="190"/>
      <c r="AF5282" s="191"/>
      <c r="AG5282" s="191"/>
      <c r="AH5282" s="191"/>
      <c r="AI5282" s="186"/>
      <c r="AK5282" s="171"/>
    </row>
    <row r="5283" spans="1:41" s="102" customFormat="1" ht="19.899999999999999" customHeight="1" x14ac:dyDescent="0.25">
      <c r="A5283" s="45"/>
      <c r="B5283" s="59"/>
      <c r="C5283" s="137"/>
      <c r="D5283" s="59"/>
      <c r="E5283" s="116"/>
      <c r="F5283" s="120"/>
      <c r="G5283" s="120"/>
      <c r="H5283" s="120"/>
      <c r="I5283" s="60"/>
      <c r="J5283" s="116"/>
      <c r="K5283" s="213"/>
      <c r="L5283" s="120"/>
      <c r="M5283" s="120"/>
      <c r="N5283" s="167"/>
      <c r="O5283" s="120"/>
      <c r="P5283" s="120"/>
      <c r="Q5283" s="120"/>
      <c r="R5283" s="120"/>
      <c r="S5283" s="120"/>
      <c r="T5283" s="221"/>
      <c r="U5283" s="89"/>
      <c r="V5283" s="61"/>
      <c r="W5283" s="92" t="s">
        <v>112</v>
      </c>
      <c r="X5283" s="93" t="s">
        <v>31</v>
      </c>
      <c r="Y5283" s="93" t="s">
        <v>93</v>
      </c>
      <c r="Z5283" s="134">
        <f>VLOOKUP(W5283,Sheet2!$B:$D,3,FALSE)</f>
        <v>13</v>
      </c>
      <c r="AA5283" s="93">
        <f>AA5282</f>
        <v>0.5</v>
      </c>
      <c r="AB5283" s="93">
        <f>AD5283/AC5277</f>
        <v>26</v>
      </c>
      <c r="AC5283" s="93">
        <f>AC5277/AA5283</f>
        <v>12.379999999999988</v>
      </c>
      <c r="AD5283" s="94">
        <f>AC5283*Z5283</f>
        <v>160.93999999999986</v>
      </c>
      <c r="AE5283" s="190"/>
      <c r="AF5283" s="191"/>
      <c r="AG5283" s="191"/>
      <c r="AH5283" s="191"/>
      <c r="AI5283" s="186"/>
      <c r="AK5283" s="171"/>
    </row>
    <row r="5284" spans="1:41" s="103" customFormat="1" ht="19.899999999999999" customHeight="1" x14ac:dyDescent="0.25">
      <c r="A5284" s="51"/>
      <c r="B5284" s="52"/>
      <c r="C5284" s="165"/>
      <c r="D5284" s="52"/>
      <c r="E5284" s="115"/>
      <c r="F5284" s="58"/>
      <c r="G5284" s="58"/>
      <c r="H5284" s="58"/>
      <c r="I5284" s="55"/>
      <c r="J5284" s="113">
        <f>J5264</f>
        <v>6.1899999999999942</v>
      </c>
      <c r="K5284" s="212">
        <f>K5264</f>
        <v>6.1899999999999942</v>
      </c>
      <c r="L5284" s="58"/>
      <c r="M5284" s="58">
        <f>K5284-L5284</f>
        <v>6.1899999999999942</v>
      </c>
      <c r="N5284" s="166"/>
      <c r="O5284" s="58"/>
      <c r="P5284" s="58"/>
      <c r="Q5284" s="58"/>
      <c r="R5284" s="58"/>
      <c r="S5284" s="58"/>
      <c r="T5284" s="220"/>
      <c r="U5284" s="88"/>
      <c r="V5284" s="56"/>
      <c r="W5284" s="57" t="s">
        <v>1272</v>
      </c>
      <c r="X5284" s="53"/>
      <c r="Y5284" s="91" t="s">
        <v>35</v>
      </c>
      <c r="Z5284" s="136">
        <f>AD5284/AC5284</f>
        <v>686.35044294117665</v>
      </c>
      <c r="AA5284" s="58"/>
      <c r="AB5284" s="53">
        <f>AD5284/AC5284</f>
        <v>686.35044294117665</v>
      </c>
      <c r="AC5284" s="53">
        <f>M5284+$AE$10</f>
        <v>6.1899999999999942</v>
      </c>
      <c r="AD5284" s="54">
        <f>SUM(AD5285:AD5293)</f>
        <v>4248.5092418058794</v>
      </c>
      <c r="AE5284" s="184">
        <f>SUMIFS($AD$37:$AD$12971,$V$37:$V$12971,$V5284,$X$37:$X$12971,AE$13)</f>
        <v>0</v>
      </c>
      <c r="AF5284" s="185">
        <f>SUMIFS($AD$37:$AD$12971,$V$37:$V$12971,$V5284,$X$37:$X$12971,AF$13)</f>
        <v>0</v>
      </c>
      <c r="AG5284" s="185">
        <f>SUMIFS($AD$37:$AD$12971,$V$37:$V$12971,$V5284,$X$37:$X$12971,AG$13)</f>
        <v>0</v>
      </c>
      <c r="AH5284" s="187">
        <f>SUMIFS($AD$37:$AD$12971,$V$37:$V$12971,$V5284,$X$37:$X$12971,AH$13)</f>
        <v>0</v>
      </c>
      <c r="AI5284" s="161">
        <f t="shared" ref="AI5284" si="3783">SUM(AE5284:AH5284)</f>
        <v>0</v>
      </c>
      <c r="AK5284" s="172"/>
    </row>
    <row r="5285" spans="1:41" s="102" customFormat="1" ht="19.899999999999999" customHeight="1" x14ac:dyDescent="0.25">
      <c r="A5285" s="45"/>
      <c r="B5285" s="59"/>
      <c r="C5285" s="137"/>
      <c r="D5285" s="59"/>
      <c r="E5285" s="116"/>
      <c r="F5285" s="120"/>
      <c r="G5285" s="120"/>
      <c r="H5285" s="120"/>
      <c r="I5285" s="60"/>
      <c r="J5285" s="116"/>
      <c r="K5285" s="213"/>
      <c r="L5285" s="120"/>
      <c r="M5285" s="120"/>
      <c r="N5285" s="167"/>
      <c r="O5285" s="120"/>
      <c r="P5285" s="120"/>
      <c r="Q5285" s="120"/>
      <c r="R5285" s="120"/>
      <c r="S5285" s="120"/>
      <c r="T5285" s="221"/>
      <c r="U5285" s="89"/>
      <c r="V5285" s="61"/>
      <c r="W5285" s="92" t="s">
        <v>1273</v>
      </c>
      <c r="X5285" s="93" t="s">
        <v>30</v>
      </c>
      <c r="Y5285" s="93" t="s">
        <v>66</v>
      </c>
      <c r="Z5285" s="134">
        <f>VLOOKUP(W5285,Sheet2!$B:$D,3,FALSE)</f>
        <v>10</v>
      </c>
      <c r="AA5285" s="93">
        <f>1/((3*3*5)-(3.14/4*1.5*1.5*5))</f>
        <v>2.7648176948332468E-2</v>
      </c>
      <c r="AB5285" s="93">
        <f>AD5285/AC5284</f>
        <v>361.68750000000006</v>
      </c>
      <c r="AC5285" s="93">
        <f>AC5284/AA5285</f>
        <v>223.88456249999979</v>
      </c>
      <c r="AD5285" s="94">
        <f t="shared" ref="AD5285:AD5287" si="3784">AC5285*Z5285</f>
        <v>2238.8456249999981</v>
      </c>
      <c r="AE5285" s="190"/>
      <c r="AF5285" s="191"/>
      <c r="AG5285" s="191"/>
      <c r="AH5285" s="191"/>
      <c r="AI5285" s="186"/>
      <c r="AK5285" s="171"/>
    </row>
    <row r="5286" spans="1:41" s="102" customFormat="1" ht="19.899999999999999" customHeight="1" x14ac:dyDescent="0.25">
      <c r="A5286" s="45"/>
      <c r="B5286" s="59"/>
      <c r="C5286" s="137"/>
      <c r="D5286" s="59"/>
      <c r="E5286" s="116"/>
      <c r="F5286" s="120"/>
      <c r="G5286" s="120"/>
      <c r="H5286" s="120"/>
      <c r="I5286" s="60"/>
      <c r="J5286" s="116"/>
      <c r="K5286" s="213"/>
      <c r="L5286" s="120"/>
      <c r="M5286" s="120"/>
      <c r="N5286" s="167"/>
      <c r="O5286" s="120"/>
      <c r="P5286" s="120"/>
      <c r="Q5286" s="120"/>
      <c r="R5286" s="120"/>
      <c r="S5286" s="120"/>
      <c r="T5286" s="221"/>
      <c r="U5286" s="89"/>
      <c r="V5286" s="61"/>
      <c r="W5286" s="92" t="s">
        <v>134</v>
      </c>
      <c r="X5286" s="93" t="s">
        <v>29</v>
      </c>
      <c r="Y5286" s="93" t="s">
        <v>93</v>
      </c>
      <c r="Z5286" s="134">
        <f>VLOOKUP(W5286,Sheet2!$B:$D,3,FALSE)</f>
        <v>65.599999999999994</v>
      </c>
      <c r="AA5286" s="93">
        <f>100/((3*3*5)-(3.14/4*1.5*1.5*5))</f>
        <v>2.7648176948332468</v>
      </c>
      <c r="AB5286" s="93">
        <f t="shared" ref="AB5286" si="3785">AD5286/AC5284</f>
        <v>23.726699999999997</v>
      </c>
      <c r="AC5286" s="93">
        <f>AC5284/AA5286</f>
        <v>2.238845624999998</v>
      </c>
      <c r="AD5286" s="94">
        <f t="shared" si="3784"/>
        <v>146.86827299999985</v>
      </c>
      <c r="AE5286" s="190"/>
      <c r="AF5286" s="191"/>
      <c r="AG5286" s="191"/>
      <c r="AH5286" s="191"/>
      <c r="AI5286" s="186"/>
      <c r="AK5286" s="171"/>
    </row>
    <row r="5287" spans="1:41" s="102" customFormat="1" ht="19.899999999999999" customHeight="1" x14ac:dyDescent="0.25">
      <c r="A5287" s="45"/>
      <c r="B5287" s="59"/>
      <c r="C5287" s="137"/>
      <c r="D5287" s="59"/>
      <c r="E5287" s="116"/>
      <c r="F5287" s="120"/>
      <c r="G5287" s="120"/>
      <c r="H5287" s="120"/>
      <c r="I5287" s="60"/>
      <c r="J5287" s="116"/>
      <c r="K5287" s="213"/>
      <c r="L5287" s="120"/>
      <c r="M5287" s="120"/>
      <c r="N5287" s="167"/>
      <c r="O5287" s="120"/>
      <c r="P5287" s="120"/>
      <c r="Q5287" s="120"/>
      <c r="R5287" s="120"/>
      <c r="S5287" s="120"/>
      <c r="T5287" s="221"/>
      <c r="U5287" s="89"/>
      <c r="V5287" s="61"/>
      <c r="W5287" s="92" t="s">
        <v>65</v>
      </c>
      <c r="X5287" s="93" t="s">
        <v>30</v>
      </c>
      <c r="Y5287" s="93" t="s">
        <v>1011</v>
      </c>
      <c r="Z5287" s="134">
        <f>VLOOKUP(W5287,Sheet2!$B:$D,3,FALSE)</f>
        <v>1.76</v>
      </c>
      <c r="AA5287" s="93">
        <f>AA5286/9</f>
        <v>0.30720196609258299</v>
      </c>
      <c r="AB5287" s="93">
        <f>AD5287/AC5284</f>
        <v>5.7291299999999996</v>
      </c>
      <c r="AC5287" s="93">
        <f>AC5284/AA5287</f>
        <v>20.14961062499998</v>
      </c>
      <c r="AD5287" s="94">
        <f t="shared" si="3784"/>
        <v>35.463314699999962</v>
      </c>
      <c r="AE5287" s="190"/>
      <c r="AF5287" s="191"/>
      <c r="AG5287" s="191"/>
      <c r="AH5287" s="191"/>
      <c r="AI5287" s="186"/>
      <c r="AK5287" s="171"/>
    </row>
    <row r="5288" spans="1:41" s="102" customFormat="1" ht="19.899999999999999" customHeight="1" x14ac:dyDescent="0.25">
      <c r="A5288" s="45"/>
      <c r="B5288" s="59"/>
      <c r="C5288" s="137"/>
      <c r="D5288" s="59"/>
      <c r="E5288" s="116"/>
      <c r="F5288" s="120"/>
      <c r="G5288" s="120"/>
      <c r="H5288" s="120"/>
      <c r="I5288" s="60"/>
      <c r="J5288" s="116"/>
      <c r="K5288" s="213"/>
      <c r="L5288" s="120"/>
      <c r="M5288" s="120"/>
      <c r="N5288" s="167"/>
      <c r="O5288" s="120"/>
      <c r="P5288" s="120"/>
      <c r="Q5288" s="120"/>
      <c r="R5288" s="120"/>
      <c r="S5288" s="120"/>
      <c r="T5288" s="221"/>
      <c r="U5288" s="89"/>
      <c r="V5288" s="61"/>
      <c r="W5288" s="92" t="s">
        <v>161</v>
      </c>
      <c r="X5288" s="93" t="s">
        <v>29</v>
      </c>
      <c r="Y5288" s="93" t="s">
        <v>93</v>
      </c>
      <c r="Z5288" s="134">
        <f>VLOOKUP(W5288,Sheet2!$B:$D,3,FALSE)</f>
        <v>48</v>
      </c>
      <c r="AA5288" s="93">
        <f>(16*0.85*1.5)/((3*3*5)-(3.14/4*1.5*1.5*5))</f>
        <v>0.56402280974598229</v>
      </c>
      <c r="AB5288" s="93">
        <f>AD5288/AC5284</f>
        <v>85.102941176470594</v>
      </c>
      <c r="AC5288" s="93">
        <f>AC5284/AA5288</f>
        <v>10.974733455882344</v>
      </c>
      <c r="AD5288" s="94">
        <f>AC5288*Z5288</f>
        <v>526.78720588235251</v>
      </c>
      <c r="AE5288" s="190"/>
      <c r="AF5288" s="191"/>
      <c r="AG5288" s="191"/>
      <c r="AH5288" s="191"/>
      <c r="AI5288" s="186"/>
      <c r="AK5288" s="171"/>
    </row>
    <row r="5289" spans="1:41" s="102" customFormat="1" ht="19.899999999999999" customHeight="1" x14ac:dyDescent="0.25">
      <c r="A5289" s="45"/>
      <c r="B5289" s="59"/>
      <c r="C5289" s="137"/>
      <c r="D5289" s="59"/>
      <c r="E5289" s="116"/>
      <c r="F5289" s="120"/>
      <c r="G5289" s="120"/>
      <c r="H5289" s="120"/>
      <c r="I5289" s="60"/>
      <c r="J5289" s="116"/>
      <c r="K5289" s="213"/>
      <c r="L5289" s="120"/>
      <c r="M5289" s="120"/>
      <c r="N5289" s="167"/>
      <c r="O5289" s="120"/>
      <c r="P5289" s="120"/>
      <c r="Q5289" s="120"/>
      <c r="R5289" s="120"/>
      <c r="S5289" s="120"/>
      <c r="T5289" s="221"/>
      <c r="U5289" s="89"/>
      <c r="V5289" s="61"/>
      <c r="W5289" s="92" t="s">
        <v>65</v>
      </c>
      <c r="X5289" s="93" t="s">
        <v>30</v>
      </c>
      <c r="Y5289" s="93" t="s">
        <v>1011</v>
      </c>
      <c r="Z5289" s="134">
        <f>VLOOKUP(W5289,Sheet2!$B:$D,3,FALSE)</f>
        <v>1.76</v>
      </c>
      <c r="AA5289" s="93">
        <f>AA5288/10</f>
        <v>5.6402280974598228E-2</v>
      </c>
      <c r="AB5289" s="93">
        <f>AD5289/AC5284</f>
        <v>31.204411764705885</v>
      </c>
      <c r="AC5289" s="93">
        <f>AC5284/AA5289</f>
        <v>109.74733455882344</v>
      </c>
      <c r="AD5289" s="94">
        <f>AC5289*Z5289</f>
        <v>193.15530882352925</v>
      </c>
      <c r="AE5289" s="190"/>
      <c r="AF5289" s="191"/>
      <c r="AG5289" s="191"/>
      <c r="AH5289" s="191"/>
      <c r="AI5289" s="186"/>
      <c r="AK5289" s="171"/>
    </row>
    <row r="5290" spans="1:41" s="102" customFormat="1" ht="19.899999999999999" customHeight="1" x14ac:dyDescent="0.25">
      <c r="A5290" s="45"/>
      <c r="B5290" s="59"/>
      <c r="C5290" s="137"/>
      <c r="D5290" s="59"/>
      <c r="E5290" s="116"/>
      <c r="F5290" s="120"/>
      <c r="G5290" s="120"/>
      <c r="H5290" s="120"/>
      <c r="I5290" s="60"/>
      <c r="J5290" s="116"/>
      <c r="K5290" s="213"/>
      <c r="L5290" s="120"/>
      <c r="M5290" s="120"/>
      <c r="N5290" s="167"/>
      <c r="O5290" s="120"/>
      <c r="P5290" s="120"/>
      <c r="Q5290" s="120"/>
      <c r="R5290" s="120"/>
      <c r="S5290" s="120"/>
      <c r="T5290" s="221"/>
      <c r="U5290" s="89"/>
      <c r="V5290" s="61"/>
      <c r="W5290" s="92" t="s">
        <v>173</v>
      </c>
      <c r="X5290" s="93" t="s">
        <v>29</v>
      </c>
      <c r="Y5290" s="93" t="s">
        <v>93</v>
      </c>
      <c r="Z5290" s="134">
        <f>VLOOKUP(W5290,Sheet2!$B:$D,3,FALSE)</f>
        <v>36</v>
      </c>
      <c r="AA5290" s="93">
        <f>50/((3*3*5)-(3.14/4*1.5*1.5*5))</f>
        <v>1.3824088474166234</v>
      </c>
      <c r="AB5290" s="93">
        <f>AD5290/AC5284</f>
        <v>26.041499999999999</v>
      </c>
      <c r="AC5290" s="93">
        <f>AC5284/AA5290</f>
        <v>4.4776912499999959</v>
      </c>
      <c r="AD5290" s="94">
        <f>AC5290*Z5290</f>
        <v>161.19688499999984</v>
      </c>
      <c r="AE5290" s="190"/>
      <c r="AF5290" s="191"/>
      <c r="AG5290" s="191"/>
      <c r="AH5290" s="191"/>
      <c r="AI5290" s="186"/>
      <c r="AK5290" s="171"/>
    </row>
    <row r="5291" spans="1:41" s="102" customFormat="1" ht="19.899999999999999" customHeight="1" x14ac:dyDescent="0.25">
      <c r="A5291" s="45"/>
      <c r="B5291" s="59"/>
      <c r="C5291" s="137"/>
      <c r="D5291" s="59"/>
      <c r="E5291" s="116"/>
      <c r="F5291" s="120"/>
      <c r="G5291" s="120"/>
      <c r="H5291" s="120"/>
      <c r="I5291" s="60"/>
      <c r="J5291" s="116"/>
      <c r="K5291" s="213"/>
      <c r="L5291" s="120"/>
      <c r="M5291" s="120"/>
      <c r="N5291" s="167"/>
      <c r="O5291" s="120"/>
      <c r="P5291" s="120"/>
      <c r="Q5291" s="120"/>
      <c r="R5291" s="120"/>
      <c r="S5291" s="120"/>
      <c r="T5291" s="221"/>
      <c r="U5291" s="89"/>
      <c r="V5291" s="61"/>
      <c r="W5291" s="92" t="s">
        <v>65</v>
      </c>
      <c r="X5291" s="93" t="s">
        <v>30</v>
      </c>
      <c r="Y5291" s="93" t="s">
        <v>1011</v>
      </c>
      <c r="Z5291" s="134">
        <f>VLOOKUP(W5291,Sheet2!$B:$D,3,FALSE)</f>
        <v>1.76</v>
      </c>
      <c r="AA5291" s="93">
        <f>AA5290/9</f>
        <v>0.15360098304629149</v>
      </c>
      <c r="AB5291" s="93">
        <f>AD5291/AC5284</f>
        <v>11.458259999999999</v>
      </c>
      <c r="AC5291" s="93">
        <f>AC5284/AA5291</f>
        <v>40.29922124999996</v>
      </c>
      <c r="AD5291" s="94">
        <f>AC5291*Z5291</f>
        <v>70.926629399999925</v>
      </c>
      <c r="AE5291" s="190"/>
      <c r="AF5291" s="191"/>
      <c r="AG5291" s="191"/>
      <c r="AH5291" s="191"/>
      <c r="AI5291" s="186"/>
      <c r="AK5291" s="171"/>
    </row>
    <row r="5292" spans="1:41" s="102" customFormat="1" ht="19.899999999999999" customHeight="1" x14ac:dyDescent="0.25">
      <c r="A5292" s="45"/>
      <c r="B5292" s="59"/>
      <c r="C5292" s="137"/>
      <c r="D5292" s="59"/>
      <c r="E5292" s="116"/>
      <c r="F5292" s="120"/>
      <c r="G5292" s="120"/>
      <c r="H5292" s="120"/>
      <c r="I5292" s="60"/>
      <c r="J5292" s="116"/>
      <c r="K5292" s="213"/>
      <c r="L5292" s="120"/>
      <c r="M5292" s="120"/>
      <c r="N5292" s="167"/>
      <c r="O5292" s="120"/>
      <c r="P5292" s="120"/>
      <c r="Q5292" s="120"/>
      <c r="R5292" s="120"/>
      <c r="S5292" s="120"/>
      <c r="T5292" s="221"/>
      <c r="U5292" s="89"/>
      <c r="V5292" s="61"/>
      <c r="W5292" s="92" t="s">
        <v>1030</v>
      </c>
      <c r="X5292" s="93" t="s">
        <v>29</v>
      </c>
      <c r="Y5292" s="93" t="s">
        <v>93</v>
      </c>
      <c r="Z5292" s="134">
        <f>VLOOKUP(W5292,Sheet2!$B:$D,3,FALSE)</f>
        <v>23</v>
      </c>
      <c r="AA5292" s="93">
        <f>1/(5*1)</f>
        <v>0.2</v>
      </c>
      <c r="AB5292" s="93">
        <f>AD5292/AC5284</f>
        <v>115</v>
      </c>
      <c r="AC5292" s="93">
        <f>AC5284/AA5292</f>
        <v>30.949999999999971</v>
      </c>
      <c r="AD5292" s="94">
        <f t="shared" ref="AD5292:AD5293" si="3786">AC5292*Z5292</f>
        <v>711.84999999999934</v>
      </c>
      <c r="AE5292" s="190"/>
      <c r="AF5292" s="191"/>
      <c r="AG5292" s="191"/>
      <c r="AH5292" s="191"/>
      <c r="AI5292" s="186"/>
      <c r="AK5292" s="171"/>
    </row>
    <row r="5293" spans="1:41" s="102" customFormat="1" ht="19.899999999999999" customHeight="1" x14ac:dyDescent="0.25">
      <c r="A5293" s="45"/>
      <c r="B5293" s="59"/>
      <c r="C5293" s="137"/>
      <c r="D5293" s="59"/>
      <c r="E5293" s="116"/>
      <c r="F5293" s="120"/>
      <c r="G5293" s="120"/>
      <c r="H5293" s="120"/>
      <c r="I5293" s="60"/>
      <c r="J5293" s="116"/>
      <c r="K5293" s="213"/>
      <c r="L5293" s="120"/>
      <c r="M5293" s="120"/>
      <c r="N5293" s="167"/>
      <c r="O5293" s="120"/>
      <c r="P5293" s="120"/>
      <c r="Q5293" s="120"/>
      <c r="R5293" s="120"/>
      <c r="S5293" s="120"/>
      <c r="T5293" s="221"/>
      <c r="U5293" s="89"/>
      <c r="V5293" s="61"/>
      <c r="W5293" s="92" t="s">
        <v>65</v>
      </c>
      <c r="X5293" s="93" t="s">
        <v>30</v>
      </c>
      <c r="Y5293" s="93" t="s">
        <v>1011</v>
      </c>
      <c r="Z5293" s="134">
        <f>VLOOKUP(W5293,Sheet2!$B:$D,3,FALSE)</f>
        <v>1.76</v>
      </c>
      <c r="AA5293" s="93">
        <f>AA5292/3</f>
        <v>6.6666666666666666E-2</v>
      </c>
      <c r="AB5293" s="93">
        <f>AD5293/AC5284</f>
        <v>26.400000000000002</v>
      </c>
      <c r="AC5293" s="93">
        <f>AC5284/AA5293</f>
        <v>92.849999999999909</v>
      </c>
      <c r="AD5293" s="94">
        <f t="shared" si="3786"/>
        <v>163.41599999999985</v>
      </c>
      <c r="AE5293" s="190"/>
      <c r="AF5293" s="191"/>
      <c r="AG5293" s="191"/>
      <c r="AH5293" s="191"/>
      <c r="AI5293" s="186"/>
      <c r="AK5293" s="171"/>
    </row>
    <row r="5294" spans="1:41" ht="20.100000000000001" customHeight="1" x14ac:dyDescent="0.25">
      <c r="A5294" s="277" t="s">
        <v>491</v>
      </c>
      <c r="B5294" s="278"/>
      <c r="C5294" s="64" t="s">
        <v>581</v>
      </c>
      <c r="D5294" s="46" t="s">
        <v>215</v>
      </c>
      <c r="E5294" s="114">
        <v>12.459999999999997</v>
      </c>
      <c r="F5294" s="44">
        <v>61304</v>
      </c>
      <c r="G5294" s="44">
        <f t="shared" si="3471"/>
        <v>763847.83999999985</v>
      </c>
      <c r="H5294" s="44">
        <f t="shared" si="3472"/>
        <v>12760.716257823531</v>
      </c>
      <c r="I5294" s="43">
        <f t="shared" si="3473"/>
        <v>158998.52457248117</v>
      </c>
      <c r="J5294" s="112">
        <f t="shared" si="3474"/>
        <v>12.459999999999997</v>
      </c>
      <c r="K5294" s="211">
        <f t="shared" si="3475"/>
        <v>12.459999999999997</v>
      </c>
      <c r="L5294" s="44"/>
      <c r="M5294" s="44">
        <f t="shared" si="3499"/>
        <v>12.459999999999997</v>
      </c>
      <c r="N5294" s="173">
        <f t="shared" si="3476"/>
        <v>1</v>
      </c>
      <c r="O5294" s="44">
        <f t="shared" si="3477"/>
        <v>61304</v>
      </c>
      <c r="P5294" s="44">
        <f t="shared" si="3478"/>
        <v>763847.83999999985</v>
      </c>
      <c r="Q5294" s="44">
        <f t="shared" si="3479"/>
        <v>12760.716257823531</v>
      </c>
      <c r="R5294" s="44">
        <f t="shared" si="3500"/>
        <v>158998.52457248117</v>
      </c>
      <c r="S5294" s="123"/>
      <c r="T5294" s="219">
        <f t="shared" si="3501"/>
        <v>158998.52457248117</v>
      </c>
      <c r="U5294" s="87"/>
      <c r="V5294" s="47"/>
      <c r="W5294" s="48"/>
      <c r="X5294" s="48"/>
      <c r="Y5294" s="48"/>
      <c r="Z5294" s="135"/>
      <c r="AA5294" s="49"/>
      <c r="AB5294" s="50">
        <f t="shared" si="3480"/>
        <v>12760.716257823531</v>
      </c>
      <c r="AC5294" s="42">
        <f t="shared" si="3502"/>
        <v>12.459999999999997</v>
      </c>
      <c r="AD5294" s="90">
        <f>AD5295+AD5300+AD5307+AD5314</f>
        <v>158998.52457248117</v>
      </c>
      <c r="AE5294" s="188">
        <f t="shared" ref="AE5294" si="3787">AE5295+AE5300+AE5307+AE5314</f>
        <v>0</v>
      </c>
      <c r="AF5294" s="189">
        <f t="shared" ref="AF5294" si="3788">AF5295+AF5300+AF5307+AF5314</f>
        <v>0</v>
      </c>
      <c r="AG5294" s="189">
        <f t="shared" ref="AG5294" si="3789">AG5295+AG5300+AG5307+AG5314</f>
        <v>0</v>
      </c>
      <c r="AH5294" s="189">
        <f t="shared" ref="AH5294" si="3790">AH5295+AH5300+AH5307+AH5314</f>
        <v>0</v>
      </c>
      <c r="AI5294" s="161">
        <f t="shared" ref="AI5294" si="3791">SUM(AE5294:AH5294)</f>
        <v>0</v>
      </c>
      <c r="AK5294" s="169">
        <v>5</v>
      </c>
      <c r="AO5294" s="19" t="s">
        <v>63</v>
      </c>
    </row>
    <row r="5295" spans="1:41" s="103" customFormat="1" ht="19.899999999999999" customHeight="1" x14ac:dyDescent="0.25">
      <c r="A5295" s="51"/>
      <c r="B5295" s="52"/>
      <c r="C5295" s="165"/>
      <c r="D5295" s="52"/>
      <c r="E5295" s="115"/>
      <c r="F5295" s="58"/>
      <c r="G5295" s="58"/>
      <c r="H5295" s="58"/>
      <c r="I5295" s="55"/>
      <c r="J5295" s="113">
        <f>J5294</f>
        <v>12.459999999999997</v>
      </c>
      <c r="K5295" s="212">
        <f>K5294</f>
        <v>12.459999999999997</v>
      </c>
      <c r="L5295" s="58"/>
      <c r="M5295" s="58">
        <f>K5295-L5295</f>
        <v>12.459999999999997</v>
      </c>
      <c r="N5295" s="166"/>
      <c r="O5295" s="58"/>
      <c r="P5295" s="58"/>
      <c r="Q5295" s="58"/>
      <c r="R5295" s="58"/>
      <c r="S5295" s="58"/>
      <c r="T5295" s="220"/>
      <c r="U5295" s="88"/>
      <c r="V5295" s="56"/>
      <c r="W5295" s="57" t="s">
        <v>1550</v>
      </c>
      <c r="X5295" s="53"/>
      <c r="Y5295" s="91" t="s">
        <v>35</v>
      </c>
      <c r="Z5295" s="136">
        <f>AD5295/AC5295</f>
        <v>199.0932705882353</v>
      </c>
      <c r="AA5295" s="58"/>
      <c r="AB5295" s="53">
        <f>AD5295/AC5295</f>
        <v>199.0932705882353</v>
      </c>
      <c r="AC5295" s="53">
        <f>M5295+$AE$10</f>
        <v>12.459999999999997</v>
      </c>
      <c r="AD5295" s="54">
        <f>SUM(AD5296:AD5299)</f>
        <v>2480.7021515294114</v>
      </c>
      <c r="AE5295" s="184">
        <f>SUMIFS($AD$37:$AD$12971,$V$37:$V$12971,$V5295,$X$37:$X$12971,AE$13)</f>
        <v>0</v>
      </c>
      <c r="AF5295" s="185">
        <f>SUMIFS($AD$37:$AD$12971,$V$37:$V$12971,$V5295,$X$37:$X$12971,AF$13)</f>
        <v>0</v>
      </c>
      <c r="AG5295" s="185">
        <f>SUMIFS($AD$37:$AD$12971,$V$37:$V$12971,$V5295,$X$37:$X$12971,AG$13)</f>
        <v>0</v>
      </c>
      <c r="AH5295" s="187">
        <f>SUMIFS($AD$37:$AD$12971,$V$37:$V$12971,$V5295,$X$37:$X$12971,AH$13)</f>
        <v>0</v>
      </c>
      <c r="AI5295" s="161">
        <f t="shared" ref="AI5295" si="3792">SUM(AE5295:AH5295)</f>
        <v>0</v>
      </c>
      <c r="AK5295" s="172"/>
    </row>
    <row r="5296" spans="1:41" s="102" customFormat="1" ht="19.899999999999999" customHeight="1" x14ac:dyDescent="0.25">
      <c r="A5296" s="45"/>
      <c r="B5296" s="59"/>
      <c r="C5296" s="137"/>
      <c r="D5296" s="59"/>
      <c r="E5296" s="116"/>
      <c r="F5296" s="120"/>
      <c r="G5296" s="120"/>
      <c r="H5296" s="120"/>
      <c r="I5296" s="60"/>
      <c r="J5296" s="116"/>
      <c r="K5296" s="213"/>
      <c r="L5296" s="120"/>
      <c r="M5296" s="120"/>
      <c r="N5296" s="167"/>
      <c r="O5296" s="120"/>
      <c r="P5296" s="120"/>
      <c r="Q5296" s="120"/>
      <c r="R5296" s="120"/>
      <c r="S5296" s="120"/>
      <c r="T5296" s="221"/>
      <c r="U5296" s="89"/>
      <c r="V5296" s="61"/>
      <c r="W5296" s="92" t="s">
        <v>129</v>
      </c>
      <c r="X5296" s="93" t="s">
        <v>29</v>
      </c>
      <c r="Y5296" s="93" t="s">
        <v>93</v>
      </c>
      <c r="Z5296" s="134">
        <f>VLOOKUP(W5296,Sheet2!$B:$D,3,FALSE)</f>
        <v>56</v>
      </c>
      <c r="AA5296" s="93">
        <f>100/(3*3*5.5)</f>
        <v>2.0202020202020203</v>
      </c>
      <c r="AB5296" s="93">
        <f t="shared" ref="AB5296" si="3793">AD5296/AC5295</f>
        <v>27.72</v>
      </c>
      <c r="AC5296" s="93">
        <f>AC5295/AA5296</f>
        <v>6.1676999999999982</v>
      </c>
      <c r="AD5296" s="94">
        <f t="shared" ref="AD5296:AD5297" si="3794">AC5296*Z5296</f>
        <v>345.39119999999991</v>
      </c>
      <c r="AE5296" s="190"/>
      <c r="AF5296" s="191"/>
      <c r="AG5296" s="191"/>
      <c r="AH5296" s="191"/>
      <c r="AI5296" s="186"/>
      <c r="AK5296" s="171"/>
    </row>
    <row r="5297" spans="1:37" s="102" customFormat="1" ht="19.899999999999999" customHeight="1" x14ac:dyDescent="0.25">
      <c r="A5297" s="45"/>
      <c r="B5297" s="59"/>
      <c r="C5297" s="137"/>
      <c r="D5297" s="59"/>
      <c r="E5297" s="116"/>
      <c r="F5297" s="120"/>
      <c r="G5297" s="120"/>
      <c r="H5297" s="120"/>
      <c r="I5297" s="60"/>
      <c r="J5297" s="116"/>
      <c r="K5297" s="213"/>
      <c r="L5297" s="120"/>
      <c r="M5297" s="120"/>
      <c r="N5297" s="167"/>
      <c r="O5297" s="120"/>
      <c r="P5297" s="120"/>
      <c r="Q5297" s="120"/>
      <c r="R5297" s="120"/>
      <c r="S5297" s="120"/>
      <c r="T5297" s="221"/>
      <c r="U5297" s="89"/>
      <c r="V5297" s="61"/>
      <c r="W5297" s="92" t="s">
        <v>65</v>
      </c>
      <c r="X5297" s="93" t="s">
        <v>30</v>
      </c>
      <c r="Y5297" s="93" t="s">
        <v>1011</v>
      </c>
      <c r="Z5297" s="134">
        <f>VLOOKUP(W5297,Sheet2!$B:$D,3,FALSE)</f>
        <v>1.76</v>
      </c>
      <c r="AA5297" s="93">
        <f>AA5296/14</f>
        <v>0.14430014430014432</v>
      </c>
      <c r="AB5297" s="93">
        <f>AD5297/AC5295</f>
        <v>12.196799999999998</v>
      </c>
      <c r="AC5297" s="93">
        <f>AC5295/AA5297</f>
        <v>86.347799999999964</v>
      </c>
      <c r="AD5297" s="94">
        <f t="shared" si="3794"/>
        <v>151.97212799999994</v>
      </c>
      <c r="AE5297" s="190"/>
      <c r="AF5297" s="191"/>
      <c r="AG5297" s="191"/>
      <c r="AH5297" s="191"/>
      <c r="AI5297" s="186"/>
      <c r="AK5297" s="171"/>
    </row>
    <row r="5298" spans="1:37" s="102" customFormat="1" ht="19.899999999999999" customHeight="1" x14ac:dyDescent="0.25">
      <c r="A5298" s="45"/>
      <c r="B5298" s="59"/>
      <c r="C5298" s="137"/>
      <c r="D5298" s="59"/>
      <c r="E5298" s="116"/>
      <c r="F5298" s="120"/>
      <c r="G5298" s="120"/>
      <c r="H5298" s="120"/>
      <c r="I5298" s="60"/>
      <c r="J5298" s="116"/>
      <c r="K5298" s="213"/>
      <c r="L5298" s="120"/>
      <c r="M5298" s="120"/>
      <c r="N5298" s="167"/>
      <c r="O5298" s="120"/>
      <c r="P5298" s="120"/>
      <c r="Q5298" s="120"/>
      <c r="R5298" s="120"/>
      <c r="S5298" s="120"/>
      <c r="T5298" s="221"/>
      <c r="U5298" s="89"/>
      <c r="V5298" s="61"/>
      <c r="W5298" s="92" t="s">
        <v>161</v>
      </c>
      <c r="X5298" s="93" t="s">
        <v>29</v>
      </c>
      <c r="Y5298" s="93" t="s">
        <v>93</v>
      </c>
      <c r="Z5298" s="134">
        <f>VLOOKUP(W5298,Sheet2!$B:$D,3,FALSE)</f>
        <v>48</v>
      </c>
      <c r="AA5298" s="93">
        <f>(16*0.85*1.5)/(3*3*5.5)</f>
        <v>0.41212121212121211</v>
      </c>
      <c r="AB5298" s="93">
        <f>AD5298/AC5295</f>
        <v>116.47058823529413</v>
      </c>
      <c r="AC5298" s="93">
        <f>AC5295/AA5298</f>
        <v>30.233823529411758</v>
      </c>
      <c r="AD5298" s="94">
        <f>AC5298*Z5298</f>
        <v>1451.2235294117645</v>
      </c>
      <c r="AE5298" s="190"/>
      <c r="AF5298" s="191"/>
      <c r="AG5298" s="191"/>
      <c r="AH5298" s="191"/>
      <c r="AI5298" s="186"/>
      <c r="AK5298" s="171"/>
    </row>
    <row r="5299" spans="1:37" s="102" customFormat="1" ht="19.899999999999999" customHeight="1" x14ac:dyDescent="0.25">
      <c r="A5299" s="45"/>
      <c r="B5299" s="59"/>
      <c r="C5299" s="137"/>
      <c r="D5299" s="59"/>
      <c r="E5299" s="116"/>
      <c r="F5299" s="120"/>
      <c r="G5299" s="120"/>
      <c r="H5299" s="120"/>
      <c r="I5299" s="60"/>
      <c r="J5299" s="116"/>
      <c r="K5299" s="213"/>
      <c r="L5299" s="120"/>
      <c r="M5299" s="120"/>
      <c r="N5299" s="167"/>
      <c r="O5299" s="120"/>
      <c r="P5299" s="120"/>
      <c r="Q5299" s="120"/>
      <c r="R5299" s="120"/>
      <c r="S5299" s="120"/>
      <c r="T5299" s="221"/>
      <c r="U5299" s="89"/>
      <c r="V5299" s="61"/>
      <c r="W5299" s="92" t="s">
        <v>65</v>
      </c>
      <c r="X5299" s="93" t="s">
        <v>30</v>
      </c>
      <c r="Y5299" s="93" t="s">
        <v>1011</v>
      </c>
      <c r="Z5299" s="134">
        <f>VLOOKUP(W5299,Sheet2!$B:$D,3,FALSE)</f>
        <v>1.76</v>
      </c>
      <c r="AA5299" s="93">
        <f>AA5298/10</f>
        <v>4.1212121212121214E-2</v>
      </c>
      <c r="AB5299" s="93">
        <f>AD5299/AC5295</f>
        <v>42.705882352941174</v>
      </c>
      <c r="AC5299" s="93">
        <f>AC5295/AA5299</f>
        <v>302.33823529411757</v>
      </c>
      <c r="AD5299" s="94">
        <f>AC5299*Z5299</f>
        <v>532.11529411764695</v>
      </c>
      <c r="AE5299" s="190"/>
      <c r="AF5299" s="191"/>
      <c r="AG5299" s="191"/>
      <c r="AH5299" s="191"/>
      <c r="AI5299" s="186"/>
      <c r="AK5299" s="171"/>
    </row>
    <row r="5300" spans="1:37" s="103" customFormat="1" ht="19.899999999999999" customHeight="1" x14ac:dyDescent="0.25">
      <c r="A5300" s="51"/>
      <c r="B5300" s="52"/>
      <c r="C5300" s="165"/>
      <c r="D5300" s="52"/>
      <c r="E5300" s="115"/>
      <c r="F5300" s="58"/>
      <c r="G5300" s="58"/>
      <c r="H5300" s="58"/>
      <c r="I5300" s="55"/>
      <c r="J5300" s="113">
        <f>J5294</f>
        <v>12.459999999999997</v>
      </c>
      <c r="K5300" s="212">
        <f>K5294</f>
        <v>12.459999999999997</v>
      </c>
      <c r="L5300" s="58"/>
      <c r="M5300" s="58">
        <f>K5300-L5300</f>
        <v>12.459999999999997</v>
      </c>
      <c r="N5300" s="166"/>
      <c r="O5300" s="58"/>
      <c r="P5300" s="58"/>
      <c r="Q5300" s="58"/>
      <c r="R5300" s="58"/>
      <c r="S5300" s="58"/>
      <c r="T5300" s="220"/>
      <c r="U5300" s="88"/>
      <c r="V5300" s="56"/>
      <c r="W5300" s="57" t="s">
        <v>1486</v>
      </c>
      <c r="X5300" s="53"/>
      <c r="Y5300" s="91" t="s">
        <v>35</v>
      </c>
      <c r="Z5300" s="136">
        <f>AD5300/AC5300</f>
        <v>1883.8374999999996</v>
      </c>
      <c r="AA5300" s="58"/>
      <c r="AB5300" s="53">
        <f>AD5300/AC5300</f>
        <v>1883.8374999999996</v>
      </c>
      <c r="AC5300" s="53">
        <f>M5300+$AE$10</f>
        <v>12.459999999999997</v>
      </c>
      <c r="AD5300" s="54">
        <f>SUM(AD5301:AD5306)</f>
        <v>23472.615249999992</v>
      </c>
      <c r="AE5300" s="184">
        <f>SUMIFS($AD$37:$AD$12971,$V$37:$V$12971,$V5300,$X$37:$X$12971,AE$13)</f>
        <v>0</v>
      </c>
      <c r="AF5300" s="185">
        <f>SUMIFS($AD$37:$AD$12971,$V$37:$V$12971,$V5300,$X$37:$X$12971,AF$13)</f>
        <v>0</v>
      </c>
      <c r="AG5300" s="185">
        <f>SUMIFS($AD$37:$AD$12971,$V$37:$V$12971,$V5300,$X$37:$X$12971,AG$13)</f>
        <v>0</v>
      </c>
      <c r="AH5300" s="187">
        <f>SUMIFS($AD$37:$AD$12971,$V$37:$V$12971,$V5300,$X$37:$X$12971,AH$13)</f>
        <v>0</v>
      </c>
      <c r="AI5300" s="161">
        <f t="shared" ref="AI5300" si="3795">SUM(AE5300:AH5300)</f>
        <v>0</v>
      </c>
      <c r="AK5300" s="172"/>
    </row>
    <row r="5301" spans="1:37" s="102" customFormat="1" ht="19.899999999999999" customHeight="1" x14ac:dyDescent="0.25">
      <c r="A5301" s="45"/>
      <c r="B5301" s="59"/>
      <c r="C5301" s="137"/>
      <c r="D5301" s="59"/>
      <c r="E5301" s="116"/>
      <c r="F5301" s="120"/>
      <c r="G5301" s="120"/>
      <c r="H5301" s="120"/>
      <c r="I5301" s="60"/>
      <c r="J5301" s="116"/>
      <c r="K5301" s="213"/>
      <c r="L5301" s="120"/>
      <c r="M5301" s="120"/>
      <c r="N5301" s="167"/>
      <c r="O5301" s="120"/>
      <c r="P5301" s="120"/>
      <c r="Q5301" s="120"/>
      <c r="R5301" s="120"/>
      <c r="S5301" s="120"/>
      <c r="T5301" s="221"/>
      <c r="U5301" s="89"/>
      <c r="V5301" s="61"/>
      <c r="W5301" s="92" t="s">
        <v>1032</v>
      </c>
      <c r="X5301" s="93" t="s">
        <v>30</v>
      </c>
      <c r="Y5301" s="93" t="s">
        <v>66</v>
      </c>
      <c r="Z5301" s="134">
        <f>VLOOKUP(W5301,Sheet2!$B:$D,3,FALSE)</f>
        <v>250</v>
      </c>
      <c r="AA5301" s="93">
        <f>1/(2.4*2.4*0.1)</f>
        <v>1.7361111111111112</v>
      </c>
      <c r="AB5301" s="93">
        <f>AD5301/AC5307</f>
        <v>144</v>
      </c>
      <c r="AC5301" s="93">
        <f>AC5307/AA5301</f>
        <v>7.1769599999999985</v>
      </c>
      <c r="AD5301" s="94">
        <f t="shared" ref="AD5301:AD5303" si="3796">AC5301*Z5301</f>
        <v>1794.2399999999996</v>
      </c>
      <c r="AE5301" s="190"/>
      <c r="AF5301" s="191"/>
      <c r="AG5301" s="191"/>
      <c r="AH5301" s="191"/>
      <c r="AI5301" s="186"/>
      <c r="AK5301" s="171"/>
    </row>
    <row r="5302" spans="1:37" s="102" customFormat="1" ht="19.899999999999999" customHeight="1" x14ac:dyDescent="0.25">
      <c r="A5302" s="45"/>
      <c r="B5302" s="59"/>
      <c r="C5302" s="137"/>
      <c r="D5302" s="59"/>
      <c r="E5302" s="116"/>
      <c r="F5302" s="120"/>
      <c r="G5302" s="120"/>
      <c r="H5302" s="120"/>
      <c r="I5302" s="60"/>
      <c r="J5302" s="116"/>
      <c r="K5302" s="213"/>
      <c r="L5302" s="120"/>
      <c r="M5302" s="120"/>
      <c r="N5302" s="167"/>
      <c r="O5302" s="120"/>
      <c r="P5302" s="120"/>
      <c r="Q5302" s="120"/>
      <c r="R5302" s="120"/>
      <c r="S5302" s="120"/>
      <c r="T5302" s="221"/>
      <c r="U5302" s="89"/>
      <c r="V5302" s="61"/>
      <c r="W5302" s="92" t="s">
        <v>1353</v>
      </c>
      <c r="X5302" s="93" t="s">
        <v>30</v>
      </c>
      <c r="Y5302" s="93" t="s">
        <v>66</v>
      </c>
      <c r="Z5302" s="134">
        <f>VLOOKUP(W5302,Sheet2!$B:$D,3,FALSE)</f>
        <v>350</v>
      </c>
      <c r="AA5302" s="93">
        <f>1/(2.3*2.3*0.3)</f>
        <v>0.63011972274732209</v>
      </c>
      <c r="AB5302" s="93">
        <f>AD5302/AC5307</f>
        <v>555.44999999999993</v>
      </c>
      <c r="AC5302" s="93">
        <f>AC5307/AA5302</f>
        <v>19.774019999999993</v>
      </c>
      <c r="AD5302" s="94">
        <f t="shared" si="3796"/>
        <v>6920.9069999999974</v>
      </c>
      <c r="AE5302" s="190"/>
      <c r="AF5302" s="191"/>
      <c r="AG5302" s="191"/>
      <c r="AH5302" s="191"/>
      <c r="AI5302" s="186"/>
      <c r="AK5302" s="171"/>
    </row>
    <row r="5303" spans="1:37" s="102" customFormat="1" ht="19.899999999999999" customHeight="1" x14ac:dyDescent="0.25">
      <c r="A5303" s="45"/>
      <c r="B5303" s="59"/>
      <c r="C5303" s="137"/>
      <c r="D5303" s="59"/>
      <c r="E5303" s="116"/>
      <c r="F5303" s="120"/>
      <c r="G5303" s="120"/>
      <c r="H5303" s="120"/>
      <c r="I5303" s="60"/>
      <c r="J5303" s="116"/>
      <c r="K5303" s="213"/>
      <c r="L5303" s="120"/>
      <c r="M5303" s="120"/>
      <c r="N5303" s="167"/>
      <c r="O5303" s="120"/>
      <c r="P5303" s="120"/>
      <c r="Q5303" s="120"/>
      <c r="R5303" s="120"/>
      <c r="S5303" s="120"/>
      <c r="T5303" s="221"/>
      <c r="U5303" s="89"/>
      <c r="V5303" s="61"/>
      <c r="W5303" s="92" t="s">
        <v>99</v>
      </c>
      <c r="X5303" s="93" t="s">
        <v>30</v>
      </c>
      <c r="Y5303" s="93" t="s">
        <v>67</v>
      </c>
      <c r="Z5303" s="134">
        <f>VLOOKUP(W5303,Sheet2!$B:$D,3,FALSE)</f>
        <v>2500</v>
      </c>
      <c r="AA5303" s="93">
        <f>AA5302/0.08</f>
        <v>7.8764965343415261</v>
      </c>
      <c r="AB5303" s="93">
        <f>AD5303/AC5307</f>
        <v>317.39999999999992</v>
      </c>
      <c r="AC5303" s="93">
        <f>AC5307/AA5303</f>
        <v>1.5819215999999994</v>
      </c>
      <c r="AD5303" s="94">
        <f t="shared" si="3796"/>
        <v>3954.8039999999983</v>
      </c>
      <c r="AE5303" s="190"/>
      <c r="AF5303" s="191"/>
      <c r="AG5303" s="191"/>
      <c r="AH5303" s="191"/>
      <c r="AI5303" s="186"/>
      <c r="AK5303" s="171"/>
    </row>
    <row r="5304" spans="1:37" s="102" customFormat="1" ht="19.899999999999999" customHeight="1" x14ac:dyDescent="0.25">
      <c r="A5304" s="45"/>
      <c r="B5304" s="59"/>
      <c r="C5304" s="137"/>
      <c r="D5304" s="59"/>
      <c r="E5304" s="116"/>
      <c r="F5304" s="120"/>
      <c r="G5304" s="120"/>
      <c r="H5304" s="120"/>
      <c r="I5304" s="60"/>
      <c r="J5304" s="116"/>
      <c r="K5304" s="213"/>
      <c r="L5304" s="120"/>
      <c r="M5304" s="120"/>
      <c r="N5304" s="167"/>
      <c r="O5304" s="120"/>
      <c r="P5304" s="120"/>
      <c r="Q5304" s="120"/>
      <c r="R5304" s="120"/>
      <c r="S5304" s="120"/>
      <c r="T5304" s="221"/>
      <c r="U5304" s="89"/>
      <c r="V5304" s="61"/>
      <c r="W5304" s="92" t="s">
        <v>1354</v>
      </c>
      <c r="X5304" s="93" t="s">
        <v>32</v>
      </c>
      <c r="Y5304" s="93" t="s">
        <v>66</v>
      </c>
      <c r="Z5304" s="134">
        <f>VLOOKUP(W5304,Sheet2!$B:$D,3,FALSE)</f>
        <v>150</v>
      </c>
      <c r="AA5304" s="93">
        <f>AA5301</f>
        <v>1.7361111111111112</v>
      </c>
      <c r="AB5304" s="93">
        <f>AD5304/AC5307</f>
        <v>86.4</v>
      </c>
      <c r="AC5304" s="93">
        <f>AC5307/AA5304</f>
        <v>7.1769599999999985</v>
      </c>
      <c r="AD5304" s="94">
        <f>AC5304*Z5304</f>
        <v>1076.5439999999999</v>
      </c>
      <c r="AE5304" s="190"/>
      <c r="AF5304" s="191"/>
      <c r="AG5304" s="191"/>
      <c r="AH5304" s="191"/>
      <c r="AI5304" s="186"/>
      <c r="AK5304" s="171"/>
    </row>
    <row r="5305" spans="1:37" s="102" customFormat="1" ht="19.899999999999999" customHeight="1" x14ac:dyDescent="0.25">
      <c r="A5305" s="45"/>
      <c r="B5305" s="59"/>
      <c r="C5305" s="137"/>
      <c r="D5305" s="59"/>
      <c r="E5305" s="116"/>
      <c r="F5305" s="120"/>
      <c r="G5305" s="120"/>
      <c r="H5305" s="120"/>
      <c r="I5305" s="60"/>
      <c r="J5305" s="116"/>
      <c r="K5305" s="213"/>
      <c r="L5305" s="120"/>
      <c r="M5305" s="120"/>
      <c r="N5305" s="167"/>
      <c r="O5305" s="120"/>
      <c r="P5305" s="120"/>
      <c r="Q5305" s="120"/>
      <c r="R5305" s="120"/>
      <c r="S5305" s="120"/>
      <c r="T5305" s="221"/>
      <c r="U5305" s="89"/>
      <c r="V5305" s="61"/>
      <c r="W5305" s="92" t="s">
        <v>1355</v>
      </c>
      <c r="X5305" s="93" t="s">
        <v>32</v>
      </c>
      <c r="Y5305" s="93" t="s">
        <v>66</v>
      </c>
      <c r="Z5305" s="134">
        <f>VLOOKUP(W5305,Sheet2!$B:$D,3,FALSE)</f>
        <v>450</v>
      </c>
      <c r="AA5305" s="93">
        <f>AA5302</f>
        <v>0.63011972274732209</v>
      </c>
      <c r="AB5305" s="93">
        <f>AD5305/AC5307</f>
        <v>714.15</v>
      </c>
      <c r="AC5305" s="93">
        <f>AC5307/AA5305</f>
        <v>19.774019999999993</v>
      </c>
      <c r="AD5305" s="94">
        <f>AC5305*Z5305</f>
        <v>8898.3089999999975</v>
      </c>
      <c r="AE5305" s="190"/>
      <c r="AF5305" s="191"/>
      <c r="AG5305" s="191"/>
      <c r="AH5305" s="191"/>
      <c r="AI5305" s="186"/>
      <c r="AK5305" s="171"/>
    </row>
    <row r="5306" spans="1:37" s="102" customFormat="1" ht="19.899999999999999" customHeight="1" x14ac:dyDescent="0.25">
      <c r="A5306" s="45"/>
      <c r="B5306" s="59"/>
      <c r="C5306" s="137"/>
      <c r="D5306" s="59"/>
      <c r="E5306" s="116"/>
      <c r="F5306" s="120"/>
      <c r="G5306" s="120"/>
      <c r="H5306" s="120"/>
      <c r="I5306" s="60"/>
      <c r="J5306" s="116"/>
      <c r="K5306" s="213"/>
      <c r="L5306" s="120"/>
      <c r="M5306" s="120"/>
      <c r="N5306" s="167"/>
      <c r="O5306" s="120"/>
      <c r="P5306" s="120"/>
      <c r="Q5306" s="120"/>
      <c r="R5306" s="120"/>
      <c r="S5306" s="120"/>
      <c r="T5306" s="221"/>
      <c r="U5306" s="89"/>
      <c r="V5306" s="61"/>
      <c r="W5306" s="92" t="s">
        <v>124</v>
      </c>
      <c r="X5306" s="93" t="s">
        <v>32</v>
      </c>
      <c r="Y5306" s="93" t="s">
        <v>64</v>
      </c>
      <c r="Z5306" s="134">
        <f>VLOOKUP(W5306,Sheet2!$B:$D,3,FALSE)</f>
        <v>10</v>
      </c>
      <c r="AA5306" s="93">
        <f>1/((2.9*2.9)-(3.14*1.5*1.5/4))</f>
        <v>0.15051740357478832</v>
      </c>
      <c r="AB5306" s="93">
        <f t="shared" ref="AB5306" si="3797">AD5306/AC5300</f>
        <v>66.4375</v>
      </c>
      <c r="AC5306" s="93">
        <f>AC5300/AA5306</f>
        <v>82.781124999999989</v>
      </c>
      <c r="AD5306" s="94">
        <f t="shared" ref="AD5306" si="3798">AC5306*Z5306</f>
        <v>827.81124999999986</v>
      </c>
      <c r="AE5306" s="190"/>
      <c r="AF5306" s="191"/>
      <c r="AG5306" s="191"/>
      <c r="AH5306" s="191"/>
      <c r="AI5306" s="186"/>
      <c r="AK5306" s="171"/>
    </row>
    <row r="5307" spans="1:37" s="103" customFormat="1" ht="19.899999999999999" customHeight="1" x14ac:dyDescent="0.25">
      <c r="A5307" s="51"/>
      <c r="B5307" s="52"/>
      <c r="C5307" s="165"/>
      <c r="D5307" s="52"/>
      <c r="E5307" s="115"/>
      <c r="F5307" s="58"/>
      <c r="G5307" s="58"/>
      <c r="H5307" s="58"/>
      <c r="I5307" s="55"/>
      <c r="J5307" s="113">
        <f>J5294</f>
        <v>12.459999999999997</v>
      </c>
      <c r="K5307" s="212">
        <f>K5294</f>
        <v>12.459999999999997</v>
      </c>
      <c r="L5307" s="58"/>
      <c r="M5307" s="58">
        <f>K5307-L5307</f>
        <v>12.459999999999997</v>
      </c>
      <c r="N5307" s="166"/>
      <c r="O5307" s="58"/>
      <c r="P5307" s="58"/>
      <c r="Q5307" s="58"/>
      <c r="R5307" s="58"/>
      <c r="S5307" s="58"/>
      <c r="T5307" s="220"/>
      <c r="U5307" s="88"/>
      <c r="V5307" s="56"/>
      <c r="W5307" s="57" t="s">
        <v>1275</v>
      </c>
      <c r="X5307" s="53"/>
      <c r="Y5307" s="91" t="s">
        <v>35</v>
      </c>
      <c r="Z5307" s="136">
        <f>AD5307/AC5307</f>
        <v>9922.8000000000011</v>
      </c>
      <c r="AA5307" s="58"/>
      <c r="AB5307" s="53">
        <f>AD5307/AC5307</f>
        <v>9922.8000000000011</v>
      </c>
      <c r="AC5307" s="53">
        <f>M5307+$AE$10</f>
        <v>12.459999999999997</v>
      </c>
      <c r="AD5307" s="54">
        <f>SUM(AD5308:AD5313)</f>
        <v>123638.08799999999</v>
      </c>
      <c r="AE5307" s="184">
        <f>SUMIFS($AD$37:$AD$12971,$V$37:$V$12971,$V5307,$X$37:$X$12971,AE$13)</f>
        <v>0</v>
      </c>
      <c r="AF5307" s="185">
        <f>SUMIFS($AD$37:$AD$12971,$V$37:$V$12971,$V5307,$X$37:$X$12971,AF$13)</f>
        <v>0</v>
      </c>
      <c r="AG5307" s="185">
        <f>SUMIFS($AD$37:$AD$12971,$V$37:$V$12971,$V5307,$X$37:$X$12971,AG$13)</f>
        <v>0</v>
      </c>
      <c r="AH5307" s="187">
        <f>SUMIFS($AD$37:$AD$12971,$V$37:$V$12971,$V5307,$X$37:$X$12971,AH$13)</f>
        <v>0</v>
      </c>
      <c r="AI5307" s="161">
        <f t="shared" ref="AI5307" si="3799">SUM(AE5307:AH5307)</f>
        <v>0</v>
      </c>
      <c r="AK5307" s="172"/>
    </row>
    <row r="5308" spans="1:37" s="102" customFormat="1" ht="19.899999999999999" customHeight="1" x14ac:dyDescent="0.25">
      <c r="A5308" s="45"/>
      <c r="B5308" s="59"/>
      <c r="C5308" s="137"/>
      <c r="D5308" s="59"/>
      <c r="E5308" s="116"/>
      <c r="F5308" s="120"/>
      <c r="G5308" s="120"/>
      <c r="H5308" s="120"/>
      <c r="I5308" s="60"/>
      <c r="J5308" s="116"/>
      <c r="K5308" s="213"/>
      <c r="L5308" s="120"/>
      <c r="M5308" s="120"/>
      <c r="N5308" s="167"/>
      <c r="O5308" s="120"/>
      <c r="P5308" s="120"/>
      <c r="Q5308" s="120"/>
      <c r="R5308" s="120"/>
      <c r="S5308" s="120"/>
      <c r="T5308" s="221"/>
      <c r="U5308" s="89"/>
      <c r="V5308" s="61"/>
      <c r="W5308" s="92" t="s">
        <v>1544</v>
      </c>
      <c r="X5308" s="93" t="s">
        <v>30</v>
      </c>
      <c r="Y5308" s="93" t="s">
        <v>35</v>
      </c>
      <c r="Z5308" s="134">
        <f>VLOOKUP(W5308,Sheet2!$B:$D,3,FALSE)</f>
        <v>8150</v>
      </c>
      <c r="AA5308" s="93">
        <v>1</v>
      </c>
      <c r="AB5308" s="93">
        <f>AD5308/AC5307</f>
        <v>8149.9999999999991</v>
      </c>
      <c r="AC5308" s="93">
        <f>AC5307/AA5308</f>
        <v>12.459999999999997</v>
      </c>
      <c r="AD5308" s="94">
        <f t="shared" ref="AD5308:AD5309" si="3800">AC5308*Z5308</f>
        <v>101548.99999999997</v>
      </c>
      <c r="AE5308" s="190"/>
      <c r="AF5308" s="191"/>
      <c r="AG5308" s="191"/>
      <c r="AH5308" s="191"/>
      <c r="AI5308" s="186"/>
      <c r="AK5308" s="171"/>
    </row>
    <row r="5309" spans="1:37" s="102" customFormat="1" ht="19.899999999999999" customHeight="1" x14ac:dyDescent="0.25">
      <c r="A5309" s="45"/>
      <c r="B5309" s="59"/>
      <c r="C5309" s="137"/>
      <c r="D5309" s="59"/>
      <c r="E5309" s="116"/>
      <c r="F5309" s="120"/>
      <c r="G5309" s="120"/>
      <c r="H5309" s="120"/>
      <c r="I5309" s="60"/>
      <c r="J5309" s="116"/>
      <c r="K5309" s="213"/>
      <c r="L5309" s="120"/>
      <c r="M5309" s="120"/>
      <c r="N5309" s="167"/>
      <c r="O5309" s="120"/>
      <c r="P5309" s="120"/>
      <c r="Q5309" s="120"/>
      <c r="R5309" s="120"/>
      <c r="S5309" s="120"/>
      <c r="T5309" s="221"/>
      <c r="U5309" s="89"/>
      <c r="V5309" s="61"/>
      <c r="W5309" s="92" t="s">
        <v>174</v>
      </c>
      <c r="X5309" s="93" t="s">
        <v>29</v>
      </c>
      <c r="Y5309" s="93" t="s">
        <v>93</v>
      </c>
      <c r="Z5309" s="134">
        <f>VLOOKUP(W5309,Sheet2!$B:$D,3,FALSE)</f>
        <v>80</v>
      </c>
      <c r="AA5309" s="93">
        <f>1/2</f>
        <v>0.5</v>
      </c>
      <c r="AB5309" s="93">
        <f>AD5309/AC5307</f>
        <v>160</v>
      </c>
      <c r="AC5309" s="93">
        <f>AC5307/AA5309</f>
        <v>24.919999999999995</v>
      </c>
      <c r="AD5309" s="94">
        <f t="shared" si="3800"/>
        <v>1993.5999999999995</v>
      </c>
      <c r="AE5309" s="190"/>
      <c r="AF5309" s="191"/>
      <c r="AG5309" s="191"/>
      <c r="AH5309" s="191"/>
      <c r="AI5309" s="186"/>
      <c r="AK5309" s="171"/>
    </row>
    <row r="5310" spans="1:37" s="102" customFormat="1" ht="19.899999999999999" customHeight="1" x14ac:dyDescent="0.25">
      <c r="A5310" s="45"/>
      <c r="B5310" s="59"/>
      <c r="C5310" s="137"/>
      <c r="D5310" s="59"/>
      <c r="E5310" s="116"/>
      <c r="F5310" s="120"/>
      <c r="G5310" s="120"/>
      <c r="H5310" s="120"/>
      <c r="I5310" s="60"/>
      <c r="J5310" s="116"/>
      <c r="K5310" s="213"/>
      <c r="L5310" s="120"/>
      <c r="M5310" s="120"/>
      <c r="N5310" s="167"/>
      <c r="O5310" s="120"/>
      <c r="P5310" s="120"/>
      <c r="Q5310" s="120"/>
      <c r="R5310" s="120"/>
      <c r="S5310" s="120"/>
      <c r="T5310" s="221"/>
      <c r="U5310" s="89"/>
      <c r="V5310" s="61"/>
      <c r="W5310" s="92" t="s">
        <v>65</v>
      </c>
      <c r="X5310" s="93" t="s">
        <v>30</v>
      </c>
      <c r="Y5310" s="93" t="s">
        <v>93</v>
      </c>
      <c r="Z5310" s="134">
        <f>VLOOKUP(W5310,Sheet2!$B:$D,3,FALSE)</f>
        <v>1.76</v>
      </c>
      <c r="AA5310" s="93">
        <f>AA5309/15</f>
        <v>3.3333333333333333E-2</v>
      </c>
      <c r="AB5310" s="93">
        <f>AD5310/AC5307</f>
        <v>52.8</v>
      </c>
      <c r="AC5310" s="93">
        <f>AC5307/AA5310</f>
        <v>373.7999999999999</v>
      </c>
      <c r="AD5310" s="94">
        <f>AC5310*Z5310</f>
        <v>657.88799999999981</v>
      </c>
      <c r="AE5310" s="190"/>
      <c r="AF5310" s="191"/>
      <c r="AG5310" s="191"/>
      <c r="AH5310" s="191"/>
      <c r="AI5310" s="186"/>
      <c r="AK5310" s="171"/>
    </row>
    <row r="5311" spans="1:37" s="102" customFormat="1" ht="19.899999999999999" customHeight="1" x14ac:dyDescent="0.25">
      <c r="A5311" s="45"/>
      <c r="B5311" s="59"/>
      <c r="C5311" s="137"/>
      <c r="D5311" s="59"/>
      <c r="E5311" s="116"/>
      <c r="F5311" s="120"/>
      <c r="G5311" s="120"/>
      <c r="H5311" s="120"/>
      <c r="I5311" s="60"/>
      <c r="J5311" s="116"/>
      <c r="K5311" s="213"/>
      <c r="L5311" s="120"/>
      <c r="M5311" s="120"/>
      <c r="N5311" s="167"/>
      <c r="O5311" s="120"/>
      <c r="P5311" s="120"/>
      <c r="Q5311" s="120"/>
      <c r="R5311" s="120"/>
      <c r="S5311" s="120"/>
      <c r="T5311" s="221"/>
      <c r="U5311" s="89"/>
      <c r="V5311" s="61"/>
      <c r="W5311" s="92" t="s">
        <v>1487</v>
      </c>
      <c r="X5311" s="93" t="s">
        <v>32</v>
      </c>
      <c r="Y5311" s="93" t="s">
        <v>1349</v>
      </c>
      <c r="Z5311" s="134">
        <f>VLOOKUP(W5311,Sheet2!$B:$D,3,FALSE)</f>
        <v>1500</v>
      </c>
      <c r="AA5311" s="93">
        <v>1</v>
      </c>
      <c r="AB5311" s="93">
        <f>AD5311/AC5307</f>
        <v>1500</v>
      </c>
      <c r="AC5311" s="93">
        <f>AC5307/AA5311</f>
        <v>12.459999999999997</v>
      </c>
      <c r="AD5311" s="94">
        <f>AC5311*Z5311</f>
        <v>18689.999999999996</v>
      </c>
      <c r="AE5311" s="190"/>
      <c r="AF5311" s="191"/>
      <c r="AG5311" s="191"/>
      <c r="AH5311" s="191"/>
      <c r="AI5311" s="186"/>
      <c r="AK5311" s="171"/>
    </row>
    <row r="5312" spans="1:37" s="102" customFormat="1" ht="19.899999999999999" customHeight="1" x14ac:dyDescent="0.25">
      <c r="A5312" s="45"/>
      <c r="B5312" s="59"/>
      <c r="C5312" s="137"/>
      <c r="D5312" s="59"/>
      <c r="E5312" s="116"/>
      <c r="F5312" s="120"/>
      <c r="G5312" s="120"/>
      <c r="H5312" s="120"/>
      <c r="I5312" s="60"/>
      <c r="J5312" s="116"/>
      <c r="K5312" s="213"/>
      <c r="L5312" s="120"/>
      <c r="M5312" s="120"/>
      <c r="N5312" s="167"/>
      <c r="O5312" s="120"/>
      <c r="P5312" s="120"/>
      <c r="Q5312" s="120"/>
      <c r="R5312" s="120"/>
      <c r="S5312" s="120"/>
      <c r="T5312" s="221"/>
      <c r="U5312" s="89"/>
      <c r="V5312" s="61"/>
      <c r="W5312" s="92" t="s">
        <v>107</v>
      </c>
      <c r="X5312" s="93" t="s">
        <v>31</v>
      </c>
      <c r="Y5312" s="93" t="s">
        <v>93</v>
      </c>
      <c r="Z5312" s="134">
        <f>VLOOKUP(W5312,Sheet2!$B:$D,3,FALSE)</f>
        <v>17</v>
      </c>
      <c r="AA5312" s="93">
        <f>AA5309</f>
        <v>0.5</v>
      </c>
      <c r="AB5312" s="93">
        <f>AD5312/AC5307</f>
        <v>34</v>
      </c>
      <c r="AC5312" s="93">
        <f>AC5307/AA5312</f>
        <v>24.919999999999995</v>
      </c>
      <c r="AD5312" s="94">
        <f>AC5312*Z5312</f>
        <v>423.63999999999993</v>
      </c>
      <c r="AE5312" s="190"/>
      <c r="AF5312" s="191"/>
      <c r="AG5312" s="191"/>
      <c r="AH5312" s="191"/>
      <c r="AI5312" s="186"/>
      <c r="AK5312" s="171"/>
    </row>
    <row r="5313" spans="1:41" s="102" customFormat="1" ht="19.899999999999999" customHeight="1" x14ac:dyDescent="0.25">
      <c r="A5313" s="45"/>
      <c r="B5313" s="59"/>
      <c r="C5313" s="137"/>
      <c r="D5313" s="59"/>
      <c r="E5313" s="116"/>
      <c r="F5313" s="120"/>
      <c r="G5313" s="120"/>
      <c r="H5313" s="120"/>
      <c r="I5313" s="60"/>
      <c r="J5313" s="116"/>
      <c r="K5313" s="213"/>
      <c r="L5313" s="120"/>
      <c r="M5313" s="120"/>
      <c r="N5313" s="167"/>
      <c r="O5313" s="120"/>
      <c r="P5313" s="120"/>
      <c r="Q5313" s="120"/>
      <c r="R5313" s="120"/>
      <c r="S5313" s="120"/>
      <c r="T5313" s="221"/>
      <c r="U5313" s="89"/>
      <c r="V5313" s="61"/>
      <c r="W5313" s="92" t="s">
        <v>112</v>
      </c>
      <c r="X5313" s="93" t="s">
        <v>31</v>
      </c>
      <c r="Y5313" s="93" t="s">
        <v>93</v>
      </c>
      <c r="Z5313" s="134">
        <f>VLOOKUP(W5313,Sheet2!$B:$D,3,FALSE)</f>
        <v>13</v>
      </c>
      <c r="AA5313" s="93">
        <f>AA5312</f>
        <v>0.5</v>
      </c>
      <c r="AB5313" s="93">
        <f>AD5313/AC5307</f>
        <v>26</v>
      </c>
      <c r="AC5313" s="93">
        <f>AC5307/AA5313</f>
        <v>24.919999999999995</v>
      </c>
      <c r="AD5313" s="94">
        <f>AC5313*Z5313</f>
        <v>323.95999999999992</v>
      </c>
      <c r="AE5313" s="190"/>
      <c r="AF5313" s="191"/>
      <c r="AG5313" s="191"/>
      <c r="AH5313" s="191"/>
      <c r="AI5313" s="186"/>
      <c r="AK5313" s="171"/>
    </row>
    <row r="5314" spans="1:41" s="103" customFormat="1" ht="19.899999999999999" customHeight="1" x14ac:dyDescent="0.25">
      <c r="A5314" s="51"/>
      <c r="B5314" s="52"/>
      <c r="C5314" s="165"/>
      <c r="D5314" s="52"/>
      <c r="E5314" s="115"/>
      <c r="F5314" s="58"/>
      <c r="G5314" s="58"/>
      <c r="H5314" s="58"/>
      <c r="I5314" s="55"/>
      <c r="J5314" s="113">
        <f>J5294</f>
        <v>12.459999999999997</v>
      </c>
      <c r="K5314" s="212">
        <f>K5294</f>
        <v>12.459999999999997</v>
      </c>
      <c r="L5314" s="58"/>
      <c r="M5314" s="58">
        <f>K5314-L5314</f>
        <v>12.459999999999997</v>
      </c>
      <c r="N5314" s="166"/>
      <c r="O5314" s="58"/>
      <c r="P5314" s="58"/>
      <c r="Q5314" s="58"/>
      <c r="R5314" s="58"/>
      <c r="S5314" s="58"/>
      <c r="T5314" s="220"/>
      <c r="U5314" s="88"/>
      <c r="V5314" s="56"/>
      <c r="W5314" s="57" t="s">
        <v>1272</v>
      </c>
      <c r="X5314" s="53"/>
      <c r="Y5314" s="91" t="s">
        <v>35</v>
      </c>
      <c r="Z5314" s="136">
        <f>AD5314/AC5314</f>
        <v>754.98548723529427</v>
      </c>
      <c r="AA5314" s="58"/>
      <c r="AB5314" s="53">
        <f>AD5314/AC5314</f>
        <v>754.98548723529427</v>
      </c>
      <c r="AC5314" s="53">
        <f>M5314+$AE$10</f>
        <v>12.459999999999997</v>
      </c>
      <c r="AD5314" s="54">
        <f>SUM(AD5315:AD5323)</f>
        <v>9407.1191709517643</v>
      </c>
      <c r="AE5314" s="184">
        <f>SUMIFS($AD$37:$AD$12971,$V$37:$V$12971,$V5314,$X$37:$X$12971,AE$13)</f>
        <v>0</v>
      </c>
      <c r="AF5314" s="185">
        <f>SUMIFS($AD$37:$AD$12971,$V$37:$V$12971,$V5314,$X$37:$X$12971,AF$13)</f>
        <v>0</v>
      </c>
      <c r="AG5314" s="185">
        <f>SUMIFS($AD$37:$AD$12971,$V$37:$V$12971,$V5314,$X$37:$X$12971,AG$13)</f>
        <v>0</v>
      </c>
      <c r="AH5314" s="187">
        <f>SUMIFS($AD$37:$AD$12971,$V$37:$V$12971,$V5314,$X$37:$X$12971,AH$13)</f>
        <v>0</v>
      </c>
      <c r="AI5314" s="161">
        <f t="shared" ref="AI5314" si="3801">SUM(AE5314:AH5314)</f>
        <v>0</v>
      </c>
      <c r="AK5314" s="172"/>
    </row>
    <row r="5315" spans="1:41" s="102" customFormat="1" ht="19.899999999999999" customHeight="1" x14ac:dyDescent="0.25">
      <c r="A5315" s="45"/>
      <c r="B5315" s="59"/>
      <c r="C5315" s="137"/>
      <c r="D5315" s="59"/>
      <c r="E5315" s="116"/>
      <c r="F5315" s="120"/>
      <c r="G5315" s="120"/>
      <c r="H5315" s="120"/>
      <c r="I5315" s="60"/>
      <c r="J5315" s="116"/>
      <c r="K5315" s="213"/>
      <c r="L5315" s="120"/>
      <c r="M5315" s="120"/>
      <c r="N5315" s="167"/>
      <c r="O5315" s="120"/>
      <c r="P5315" s="120"/>
      <c r="Q5315" s="120"/>
      <c r="R5315" s="120"/>
      <c r="S5315" s="120"/>
      <c r="T5315" s="221"/>
      <c r="U5315" s="89"/>
      <c r="V5315" s="61"/>
      <c r="W5315" s="92" t="s">
        <v>1273</v>
      </c>
      <c r="X5315" s="93" t="s">
        <v>30</v>
      </c>
      <c r="Y5315" s="93" t="s">
        <v>66</v>
      </c>
      <c r="Z5315" s="134">
        <f>VLOOKUP(W5315,Sheet2!$B:$D,3,FALSE)</f>
        <v>10</v>
      </c>
      <c r="AA5315" s="93">
        <f>1/((3*3*5.5)-(3.14/4*1.5*1.5*5.5))</f>
        <v>2.5134706316665881E-2</v>
      </c>
      <c r="AB5315" s="93">
        <f>AD5315/AC5314</f>
        <v>397.85625000000005</v>
      </c>
      <c r="AC5315" s="93">
        <f>AC5314/AA5315</f>
        <v>495.72888749999993</v>
      </c>
      <c r="AD5315" s="94">
        <f t="shared" ref="AD5315:AD5317" si="3802">AC5315*Z5315</f>
        <v>4957.2888749999993</v>
      </c>
      <c r="AE5315" s="190"/>
      <c r="AF5315" s="191"/>
      <c r="AG5315" s="191"/>
      <c r="AH5315" s="191"/>
      <c r="AI5315" s="186"/>
      <c r="AK5315" s="171"/>
    </row>
    <row r="5316" spans="1:41" s="102" customFormat="1" ht="19.899999999999999" customHeight="1" x14ac:dyDescent="0.25">
      <c r="A5316" s="45"/>
      <c r="B5316" s="59"/>
      <c r="C5316" s="137"/>
      <c r="D5316" s="59"/>
      <c r="E5316" s="116"/>
      <c r="F5316" s="120"/>
      <c r="G5316" s="120"/>
      <c r="H5316" s="120"/>
      <c r="I5316" s="60"/>
      <c r="J5316" s="116"/>
      <c r="K5316" s="213"/>
      <c r="L5316" s="120"/>
      <c r="M5316" s="120"/>
      <c r="N5316" s="167"/>
      <c r="O5316" s="120"/>
      <c r="P5316" s="120"/>
      <c r="Q5316" s="120"/>
      <c r="R5316" s="120"/>
      <c r="S5316" s="120"/>
      <c r="T5316" s="221"/>
      <c r="U5316" s="89"/>
      <c r="V5316" s="61"/>
      <c r="W5316" s="92" t="s">
        <v>134</v>
      </c>
      <c r="X5316" s="93" t="s">
        <v>29</v>
      </c>
      <c r="Y5316" s="93" t="s">
        <v>93</v>
      </c>
      <c r="Z5316" s="134">
        <f>VLOOKUP(W5316,Sheet2!$B:$D,3,FALSE)</f>
        <v>65.599999999999994</v>
      </c>
      <c r="AA5316" s="93">
        <f>100/((3*3*5.5)-(3.14/4*1.5*1.5*5.5))</f>
        <v>2.5134706316665878</v>
      </c>
      <c r="AB5316" s="93">
        <f t="shared" ref="AB5316" si="3803">AD5316/AC5314</f>
        <v>26.09937</v>
      </c>
      <c r="AC5316" s="93">
        <f>AC5314/AA5316</f>
        <v>4.9572888749999997</v>
      </c>
      <c r="AD5316" s="94">
        <f t="shared" si="3802"/>
        <v>325.19815019999993</v>
      </c>
      <c r="AE5316" s="190"/>
      <c r="AF5316" s="191"/>
      <c r="AG5316" s="191"/>
      <c r="AH5316" s="191"/>
      <c r="AI5316" s="186"/>
      <c r="AK5316" s="171"/>
    </row>
    <row r="5317" spans="1:41" s="102" customFormat="1" ht="19.899999999999999" customHeight="1" x14ac:dyDescent="0.25">
      <c r="A5317" s="45"/>
      <c r="B5317" s="59"/>
      <c r="C5317" s="137"/>
      <c r="D5317" s="59"/>
      <c r="E5317" s="116"/>
      <c r="F5317" s="120"/>
      <c r="G5317" s="120"/>
      <c r="H5317" s="120"/>
      <c r="I5317" s="60"/>
      <c r="J5317" s="116"/>
      <c r="K5317" s="213"/>
      <c r="L5317" s="120"/>
      <c r="M5317" s="120"/>
      <c r="N5317" s="167"/>
      <c r="O5317" s="120"/>
      <c r="P5317" s="120"/>
      <c r="Q5317" s="120"/>
      <c r="R5317" s="120"/>
      <c r="S5317" s="120"/>
      <c r="T5317" s="221"/>
      <c r="U5317" s="89"/>
      <c r="V5317" s="61"/>
      <c r="W5317" s="92" t="s">
        <v>65</v>
      </c>
      <c r="X5317" s="93" t="s">
        <v>30</v>
      </c>
      <c r="Y5317" s="93" t="s">
        <v>1011</v>
      </c>
      <c r="Z5317" s="134">
        <f>VLOOKUP(W5317,Sheet2!$B:$D,3,FALSE)</f>
        <v>1.76</v>
      </c>
      <c r="AA5317" s="93">
        <f>AA5316/9</f>
        <v>0.27927451462962088</v>
      </c>
      <c r="AB5317" s="93">
        <f>AD5317/AC5314</f>
        <v>6.3020430000000003</v>
      </c>
      <c r="AC5317" s="93">
        <f>AC5314/AA5317</f>
        <v>44.615599874999994</v>
      </c>
      <c r="AD5317" s="94">
        <f t="shared" si="3802"/>
        <v>78.523455779999992</v>
      </c>
      <c r="AE5317" s="190"/>
      <c r="AF5317" s="191"/>
      <c r="AG5317" s="191"/>
      <c r="AH5317" s="191"/>
      <c r="AI5317" s="186"/>
      <c r="AK5317" s="171"/>
    </row>
    <row r="5318" spans="1:41" s="102" customFormat="1" ht="19.899999999999999" customHeight="1" x14ac:dyDescent="0.25">
      <c r="A5318" s="45"/>
      <c r="B5318" s="59"/>
      <c r="C5318" s="137"/>
      <c r="D5318" s="59"/>
      <c r="E5318" s="116"/>
      <c r="F5318" s="120"/>
      <c r="G5318" s="120"/>
      <c r="H5318" s="120"/>
      <c r="I5318" s="60"/>
      <c r="J5318" s="116"/>
      <c r="K5318" s="213"/>
      <c r="L5318" s="120"/>
      <c r="M5318" s="120"/>
      <c r="N5318" s="167"/>
      <c r="O5318" s="120"/>
      <c r="P5318" s="120"/>
      <c r="Q5318" s="120"/>
      <c r="R5318" s="120"/>
      <c r="S5318" s="120"/>
      <c r="T5318" s="221"/>
      <c r="U5318" s="89"/>
      <c r="V5318" s="61"/>
      <c r="W5318" s="92" t="s">
        <v>161</v>
      </c>
      <c r="X5318" s="93" t="s">
        <v>29</v>
      </c>
      <c r="Y5318" s="93" t="s">
        <v>93</v>
      </c>
      <c r="Z5318" s="134">
        <f>VLOOKUP(W5318,Sheet2!$B:$D,3,FALSE)</f>
        <v>48</v>
      </c>
      <c r="AA5318" s="93">
        <f>(16*0.85*1.5)/((3*3*5.5)-(3.14/4*1.5*1.5*5.5))</f>
        <v>0.51274800885998395</v>
      </c>
      <c r="AB5318" s="93">
        <f>AD5318/AC5314</f>
        <v>93.613235294117644</v>
      </c>
      <c r="AC5318" s="93">
        <f>AC5314/AA5318</f>
        <v>24.300435661764702</v>
      </c>
      <c r="AD5318" s="94">
        <f>AC5318*Z5318</f>
        <v>1166.4209117647056</v>
      </c>
      <c r="AE5318" s="190"/>
      <c r="AF5318" s="191"/>
      <c r="AG5318" s="191"/>
      <c r="AH5318" s="191"/>
      <c r="AI5318" s="186"/>
      <c r="AK5318" s="171"/>
    </row>
    <row r="5319" spans="1:41" s="102" customFormat="1" ht="19.899999999999999" customHeight="1" x14ac:dyDescent="0.25">
      <c r="A5319" s="45"/>
      <c r="B5319" s="59"/>
      <c r="C5319" s="137"/>
      <c r="D5319" s="59"/>
      <c r="E5319" s="116"/>
      <c r="F5319" s="120"/>
      <c r="G5319" s="120"/>
      <c r="H5319" s="120"/>
      <c r="I5319" s="60"/>
      <c r="J5319" s="116"/>
      <c r="K5319" s="213"/>
      <c r="L5319" s="120"/>
      <c r="M5319" s="120"/>
      <c r="N5319" s="167"/>
      <c r="O5319" s="120"/>
      <c r="P5319" s="120"/>
      <c r="Q5319" s="120"/>
      <c r="R5319" s="120"/>
      <c r="S5319" s="120"/>
      <c r="T5319" s="221"/>
      <c r="U5319" s="89"/>
      <c r="V5319" s="61"/>
      <c r="W5319" s="92" t="s">
        <v>65</v>
      </c>
      <c r="X5319" s="93" t="s">
        <v>30</v>
      </c>
      <c r="Y5319" s="93" t="s">
        <v>1011</v>
      </c>
      <c r="Z5319" s="134">
        <f>VLOOKUP(W5319,Sheet2!$B:$D,3,FALSE)</f>
        <v>1.76</v>
      </c>
      <c r="AA5319" s="93">
        <f>AA5318/10</f>
        <v>5.1274800885998395E-2</v>
      </c>
      <c r="AB5319" s="93">
        <f>AD5319/AC5314</f>
        <v>34.324852941176474</v>
      </c>
      <c r="AC5319" s="93">
        <f>AC5314/AA5319</f>
        <v>243.00435661764701</v>
      </c>
      <c r="AD5319" s="94">
        <f>AC5319*Z5319</f>
        <v>427.68766764705873</v>
      </c>
      <c r="AE5319" s="190"/>
      <c r="AF5319" s="191"/>
      <c r="AG5319" s="191"/>
      <c r="AH5319" s="191"/>
      <c r="AI5319" s="186"/>
      <c r="AK5319" s="171"/>
    </row>
    <row r="5320" spans="1:41" s="102" customFormat="1" ht="19.899999999999999" customHeight="1" x14ac:dyDescent="0.25">
      <c r="A5320" s="45"/>
      <c r="B5320" s="59"/>
      <c r="C5320" s="137"/>
      <c r="D5320" s="59"/>
      <c r="E5320" s="116"/>
      <c r="F5320" s="120"/>
      <c r="G5320" s="120"/>
      <c r="H5320" s="120"/>
      <c r="I5320" s="60"/>
      <c r="J5320" s="116"/>
      <c r="K5320" s="213"/>
      <c r="L5320" s="120"/>
      <c r="M5320" s="120"/>
      <c r="N5320" s="167"/>
      <c r="O5320" s="120"/>
      <c r="P5320" s="120"/>
      <c r="Q5320" s="120"/>
      <c r="R5320" s="120"/>
      <c r="S5320" s="120"/>
      <c r="T5320" s="221"/>
      <c r="U5320" s="89"/>
      <c r="V5320" s="61"/>
      <c r="W5320" s="92" t="s">
        <v>173</v>
      </c>
      <c r="X5320" s="93" t="s">
        <v>29</v>
      </c>
      <c r="Y5320" s="93" t="s">
        <v>93</v>
      </c>
      <c r="Z5320" s="134">
        <f>VLOOKUP(W5320,Sheet2!$B:$D,3,FALSE)</f>
        <v>36</v>
      </c>
      <c r="AA5320" s="93">
        <f>50/((3*3*5.5)-(3.14/4*1.5*1.5*5.5))</f>
        <v>1.2567353158332939</v>
      </c>
      <c r="AB5320" s="93">
        <f>AD5320/AC5314</f>
        <v>28.645650000000007</v>
      </c>
      <c r="AC5320" s="93">
        <f>AC5314/AA5320</f>
        <v>9.9145777499999994</v>
      </c>
      <c r="AD5320" s="94">
        <f>AC5320*Z5320</f>
        <v>356.92479900000001</v>
      </c>
      <c r="AE5320" s="190"/>
      <c r="AF5320" s="191"/>
      <c r="AG5320" s="191"/>
      <c r="AH5320" s="191"/>
      <c r="AI5320" s="186"/>
      <c r="AK5320" s="171"/>
    </row>
    <row r="5321" spans="1:41" s="102" customFormat="1" ht="19.899999999999999" customHeight="1" x14ac:dyDescent="0.25">
      <c r="A5321" s="45"/>
      <c r="B5321" s="59"/>
      <c r="C5321" s="137"/>
      <c r="D5321" s="59"/>
      <c r="E5321" s="116"/>
      <c r="F5321" s="120"/>
      <c r="G5321" s="120"/>
      <c r="H5321" s="120"/>
      <c r="I5321" s="60"/>
      <c r="J5321" s="116"/>
      <c r="K5321" s="213"/>
      <c r="L5321" s="120"/>
      <c r="M5321" s="120"/>
      <c r="N5321" s="167"/>
      <c r="O5321" s="120"/>
      <c r="P5321" s="120"/>
      <c r="Q5321" s="120"/>
      <c r="R5321" s="120"/>
      <c r="S5321" s="120"/>
      <c r="T5321" s="221"/>
      <c r="U5321" s="89"/>
      <c r="V5321" s="61"/>
      <c r="W5321" s="92" t="s">
        <v>65</v>
      </c>
      <c r="X5321" s="93" t="s">
        <v>30</v>
      </c>
      <c r="Y5321" s="93" t="s">
        <v>1011</v>
      </c>
      <c r="Z5321" s="134">
        <f>VLOOKUP(W5321,Sheet2!$B:$D,3,FALSE)</f>
        <v>1.76</v>
      </c>
      <c r="AA5321" s="93">
        <f>AA5320/9</f>
        <v>0.13963725731481044</v>
      </c>
      <c r="AB5321" s="93">
        <f>AD5321/AC5314</f>
        <v>12.604086000000001</v>
      </c>
      <c r="AC5321" s="93">
        <f>AC5314/AA5321</f>
        <v>89.231199749999988</v>
      </c>
      <c r="AD5321" s="94">
        <f>AC5321*Z5321</f>
        <v>157.04691155999998</v>
      </c>
      <c r="AE5321" s="190"/>
      <c r="AF5321" s="191"/>
      <c r="AG5321" s="191"/>
      <c r="AH5321" s="191"/>
      <c r="AI5321" s="186"/>
      <c r="AK5321" s="171"/>
    </row>
    <row r="5322" spans="1:41" s="102" customFormat="1" ht="19.899999999999999" customHeight="1" x14ac:dyDescent="0.25">
      <c r="A5322" s="45"/>
      <c r="B5322" s="59"/>
      <c r="C5322" s="137"/>
      <c r="D5322" s="59"/>
      <c r="E5322" s="116"/>
      <c r="F5322" s="120"/>
      <c r="G5322" s="120"/>
      <c r="H5322" s="120"/>
      <c r="I5322" s="60"/>
      <c r="J5322" s="116"/>
      <c r="K5322" s="213"/>
      <c r="L5322" s="120"/>
      <c r="M5322" s="120"/>
      <c r="N5322" s="167"/>
      <c r="O5322" s="120"/>
      <c r="P5322" s="120"/>
      <c r="Q5322" s="120"/>
      <c r="R5322" s="120"/>
      <c r="S5322" s="120"/>
      <c r="T5322" s="221"/>
      <c r="U5322" s="89"/>
      <c r="V5322" s="61"/>
      <c r="W5322" s="92" t="s">
        <v>1030</v>
      </c>
      <c r="X5322" s="93" t="s">
        <v>29</v>
      </c>
      <c r="Y5322" s="93" t="s">
        <v>93</v>
      </c>
      <c r="Z5322" s="134">
        <f>VLOOKUP(W5322,Sheet2!$B:$D,3,FALSE)</f>
        <v>23</v>
      </c>
      <c r="AA5322" s="93">
        <f>1/(5.5*1)</f>
        <v>0.18181818181818182</v>
      </c>
      <c r="AB5322" s="93">
        <f>AD5322/AC5314</f>
        <v>126.5</v>
      </c>
      <c r="AC5322" s="93">
        <f>AC5314/AA5322</f>
        <v>68.529999999999987</v>
      </c>
      <c r="AD5322" s="94">
        <f t="shared" ref="AD5322:AD5323" si="3804">AC5322*Z5322</f>
        <v>1576.1899999999996</v>
      </c>
      <c r="AE5322" s="190"/>
      <c r="AF5322" s="191"/>
      <c r="AG5322" s="191"/>
      <c r="AH5322" s="191"/>
      <c r="AI5322" s="186"/>
      <c r="AK5322" s="171"/>
    </row>
    <row r="5323" spans="1:41" s="102" customFormat="1" ht="19.899999999999999" customHeight="1" x14ac:dyDescent="0.25">
      <c r="A5323" s="45"/>
      <c r="B5323" s="59"/>
      <c r="C5323" s="137"/>
      <c r="D5323" s="59"/>
      <c r="E5323" s="116"/>
      <c r="F5323" s="120"/>
      <c r="G5323" s="120"/>
      <c r="H5323" s="120"/>
      <c r="I5323" s="60"/>
      <c r="J5323" s="116"/>
      <c r="K5323" s="213"/>
      <c r="L5323" s="120"/>
      <c r="M5323" s="120"/>
      <c r="N5323" s="167"/>
      <c r="O5323" s="120"/>
      <c r="P5323" s="120"/>
      <c r="Q5323" s="120"/>
      <c r="R5323" s="120"/>
      <c r="S5323" s="120"/>
      <c r="T5323" s="221"/>
      <c r="U5323" s="89"/>
      <c r="V5323" s="61"/>
      <c r="W5323" s="92" t="s">
        <v>65</v>
      </c>
      <c r="X5323" s="93" t="s">
        <v>30</v>
      </c>
      <c r="Y5323" s="93" t="s">
        <v>1011</v>
      </c>
      <c r="Z5323" s="134">
        <f>VLOOKUP(W5323,Sheet2!$B:$D,3,FALSE)</f>
        <v>1.76</v>
      </c>
      <c r="AA5323" s="93">
        <f>AA5322/3</f>
        <v>6.0606060606060608E-2</v>
      </c>
      <c r="AB5323" s="93">
        <f>AD5323/AC5314</f>
        <v>29.04</v>
      </c>
      <c r="AC5323" s="93">
        <f>AC5314/AA5323</f>
        <v>205.58999999999995</v>
      </c>
      <c r="AD5323" s="94">
        <f t="shared" si="3804"/>
        <v>361.83839999999992</v>
      </c>
      <c r="AE5323" s="190"/>
      <c r="AF5323" s="191"/>
      <c r="AG5323" s="191"/>
      <c r="AH5323" s="191"/>
      <c r="AI5323" s="186"/>
      <c r="AK5323" s="171"/>
    </row>
    <row r="5324" spans="1:41" ht="20.100000000000001" customHeight="1" x14ac:dyDescent="0.25">
      <c r="A5324" s="277" t="s">
        <v>491</v>
      </c>
      <c r="B5324" s="278"/>
      <c r="C5324" s="64" t="s">
        <v>582</v>
      </c>
      <c r="D5324" s="46" t="s">
        <v>215</v>
      </c>
      <c r="E5324" s="114">
        <v>10.819999999999999</v>
      </c>
      <c r="F5324" s="44">
        <v>67346</v>
      </c>
      <c r="G5324" s="44">
        <f t="shared" si="3471"/>
        <v>728683.71999999986</v>
      </c>
      <c r="H5324" s="44">
        <f t="shared" si="3472"/>
        <v>13705.165890352942</v>
      </c>
      <c r="I5324" s="43">
        <f t="shared" si="3473"/>
        <v>148289.89493361881</v>
      </c>
      <c r="J5324" s="112">
        <f t="shared" si="3474"/>
        <v>10.819999999999999</v>
      </c>
      <c r="K5324" s="211">
        <f t="shared" si="3475"/>
        <v>10.819999999999999</v>
      </c>
      <c r="L5324" s="44"/>
      <c r="M5324" s="44">
        <f t="shared" si="3499"/>
        <v>10.819999999999999</v>
      </c>
      <c r="N5324" s="173">
        <f t="shared" si="3476"/>
        <v>1</v>
      </c>
      <c r="O5324" s="44">
        <f t="shared" si="3477"/>
        <v>67346</v>
      </c>
      <c r="P5324" s="44">
        <f t="shared" si="3478"/>
        <v>728683.71999999986</v>
      </c>
      <c r="Q5324" s="44">
        <f t="shared" si="3479"/>
        <v>13705.165890352942</v>
      </c>
      <c r="R5324" s="44">
        <f t="shared" si="3500"/>
        <v>148289.89493361881</v>
      </c>
      <c r="S5324" s="123"/>
      <c r="T5324" s="219">
        <f t="shared" si="3501"/>
        <v>148289.89493361881</v>
      </c>
      <c r="U5324" s="87"/>
      <c r="V5324" s="47"/>
      <c r="W5324" s="48"/>
      <c r="X5324" s="48"/>
      <c r="Y5324" s="48"/>
      <c r="Z5324" s="135"/>
      <c r="AA5324" s="49"/>
      <c r="AB5324" s="50">
        <f t="shared" si="3480"/>
        <v>13705.165890352942</v>
      </c>
      <c r="AC5324" s="42">
        <f t="shared" si="3502"/>
        <v>10.819999999999999</v>
      </c>
      <c r="AD5324" s="90">
        <f>AD5325+AD5330+AD5337+AD5344</f>
        <v>148289.89493361881</v>
      </c>
      <c r="AE5324" s="188">
        <f t="shared" ref="AE5324" si="3805">AE5325+AE5330+AE5337+AE5344</f>
        <v>0</v>
      </c>
      <c r="AF5324" s="189">
        <f t="shared" ref="AF5324" si="3806">AF5325+AF5330+AF5337+AF5344</f>
        <v>0</v>
      </c>
      <c r="AG5324" s="189">
        <f t="shared" ref="AG5324" si="3807">AG5325+AG5330+AG5337+AG5344</f>
        <v>0</v>
      </c>
      <c r="AH5324" s="189">
        <f t="shared" ref="AH5324" si="3808">AH5325+AH5330+AH5337+AH5344</f>
        <v>0</v>
      </c>
      <c r="AI5324" s="161">
        <f t="shared" ref="AI5324" si="3809">SUM(AE5324:AH5324)</f>
        <v>0</v>
      </c>
      <c r="AK5324" s="169">
        <v>5</v>
      </c>
      <c r="AO5324" s="19" t="s">
        <v>63</v>
      </c>
    </row>
    <row r="5325" spans="1:41" s="103" customFormat="1" ht="19.899999999999999" customHeight="1" x14ac:dyDescent="0.25">
      <c r="A5325" s="51"/>
      <c r="B5325" s="52"/>
      <c r="C5325" s="165"/>
      <c r="D5325" s="52"/>
      <c r="E5325" s="115"/>
      <c r="F5325" s="58"/>
      <c r="G5325" s="58"/>
      <c r="H5325" s="58"/>
      <c r="I5325" s="55"/>
      <c r="J5325" s="113">
        <f>J5324</f>
        <v>10.819999999999999</v>
      </c>
      <c r="K5325" s="212">
        <f>K5324</f>
        <v>10.819999999999999</v>
      </c>
      <c r="L5325" s="58"/>
      <c r="M5325" s="58">
        <f>K5325-L5325</f>
        <v>10.819999999999999</v>
      </c>
      <c r="N5325" s="166"/>
      <c r="O5325" s="58"/>
      <c r="P5325" s="58"/>
      <c r="Q5325" s="58"/>
      <c r="R5325" s="58"/>
      <c r="S5325" s="58"/>
      <c r="T5325" s="220"/>
      <c r="U5325" s="88"/>
      <c r="V5325" s="56"/>
      <c r="W5325" s="57" t="s">
        <v>1551</v>
      </c>
      <c r="X5325" s="53"/>
      <c r="Y5325" s="91" t="s">
        <v>35</v>
      </c>
      <c r="Z5325" s="136">
        <f>AD5325/AC5325</f>
        <v>274.90785882352941</v>
      </c>
      <c r="AA5325" s="58"/>
      <c r="AB5325" s="53">
        <f>AD5325/AC5325</f>
        <v>274.90785882352941</v>
      </c>
      <c r="AC5325" s="53">
        <f>M5325+$AE$10</f>
        <v>10.819999999999999</v>
      </c>
      <c r="AD5325" s="54">
        <f>SUM(AD5326:AD5329)</f>
        <v>2974.5030324705876</v>
      </c>
      <c r="AE5325" s="184">
        <f>SUMIFS($AD$37:$AD$12971,$V$37:$V$12971,$V5325,$X$37:$X$12971,AE$13)</f>
        <v>0</v>
      </c>
      <c r="AF5325" s="185">
        <f>SUMIFS($AD$37:$AD$12971,$V$37:$V$12971,$V5325,$X$37:$X$12971,AF$13)</f>
        <v>0</v>
      </c>
      <c r="AG5325" s="185">
        <f>SUMIFS($AD$37:$AD$12971,$V$37:$V$12971,$V5325,$X$37:$X$12971,AG$13)</f>
        <v>0</v>
      </c>
      <c r="AH5325" s="187">
        <f>SUMIFS($AD$37:$AD$12971,$V$37:$V$12971,$V5325,$X$37:$X$12971,AH$13)</f>
        <v>0</v>
      </c>
      <c r="AI5325" s="161">
        <f t="shared" ref="AI5325" si="3810">SUM(AE5325:AH5325)</f>
        <v>0</v>
      </c>
      <c r="AK5325" s="172"/>
    </row>
    <row r="5326" spans="1:41" s="102" customFormat="1" ht="19.899999999999999" customHeight="1" x14ac:dyDescent="0.25">
      <c r="A5326" s="45"/>
      <c r="B5326" s="59"/>
      <c r="C5326" s="137"/>
      <c r="D5326" s="59"/>
      <c r="E5326" s="116"/>
      <c r="F5326" s="120"/>
      <c r="G5326" s="120"/>
      <c r="H5326" s="120"/>
      <c r="I5326" s="60"/>
      <c r="J5326" s="116"/>
      <c r="K5326" s="213"/>
      <c r="L5326" s="120"/>
      <c r="M5326" s="120"/>
      <c r="N5326" s="167"/>
      <c r="O5326" s="120"/>
      <c r="P5326" s="120"/>
      <c r="Q5326" s="120"/>
      <c r="R5326" s="120"/>
      <c r="S5326" s="120"/>
      <c r="T5326" s="221"/>
      <c r="U5326" s="89"/>
      <c r="V5326" s="61"/>
      <c r="W5326" s="92" t="s">
        <v>131</v>
      </c>
      <c r="X5326" s="93" t="s">
        <v>29</v>
      </c>
      <c r="Y5326" s="93" t="s">
        <v>93</v>
      </c>
      <c r="Z5326" s="134">
        <f>VLOOKUP(W5326,Sheet2!$B:$D,3,FALSE)</f>
        <v>131.19999999999999</v>
      </c>
      <c r="AA5326" s="93">
        <f>100/(3*3*6)</f>
        <v>1.8518518518518519</v>
      </c>
      <c r="AB5326" s="93">
        <f t="shared" ref="AB5326" si="3811">AD5326/AC5325</f>
        <v>70.847999999999999</v>
      </c>
      <c r="AC5326" s="93">
        <f>AC5325/AA5326</f>
        <v>5.8427999999999995</v>
      </c>
      <c r="AD5326" s="94">
        <f t="shared" ref="AD5326:AD5327" si="3812">AC5326*Z5326</f>
        <v>766.57535999999982</v>
      </c>
      <c r="AE5326" s="190"/>
      <c r="AF5326" s="191"/>
      <c r="AG5326" s="191"/>
      <c r="AH5326" s="191"/>
      <c r="AI5326" s="186"/>
      <c r="AK5326" s="171"/>
    </row>
    <row r="5327" spans="1:41" s="102" customFormat="1" ht="19.899999999999999" customHeight="1" x14ac:dyDescent="0.25">
      <c r="A5327" s="45"/>
      <c r="B5327" s="59"/>
      <c r="C5327" s="137"/>
      <c r="D5327" s="59"/>
      <c r="E5327" s="116"/>
      <c r="F5327" s="120"/>
      <c r="G5327" s="120"/>
      <c r="H5327" s="120"/>
      <c r="I5327" s="60"/>
      <c r="J5327" s="116"/>
      <c r="K5327" s="213"/>
      <c r="L5327" s="120"/>
      <c r="M5327" s="120"/>
      <c r="N5327" s="167"/>
      <c r="O5327" s="120"/>
      <c r="P5327" s="120"/>
      <c r="Q5327" s="120"/>
      <c r="R5327" s="120"/>
      <c r="S5327" s="120"/>
      <c r="T5327" s="221"/>
      <c r="U5327" s="89"/>
      <c r="V5327" s="61"/>
      <c r="W5327" s="92" t="s">
        <v>65</v>
      </c>
      <c r="X5327" s="93" t="s">
        <v>30</v>
      </c>
      <c r="Y5327" s="93" t="s">
        <v>1011</v>
      </c>
      <c r="Z5327" s="134">
        <f>VLOOKUP(W5327,Sheet2!$B:$D,3,FALSE)</f>
        <v>1.76</v>
      </c>
      <c r="AA5327" s="93">
        <f>AA5326/32</f>
        <v>5.7870370370370371E-2</v>
      </c>
      <c r="AB5327" s="93">
        <f>AD5327/AC5325</f>
        <v>30.412800000000001</v>
      </c>
      <c r="AC5327" s="93">
        <f>AC5325/AA5327</f>
        <v>186.96959999999999</v>
      </c>
      <c r="AD5327" s="94">
        <f t="shared" si="3812"/>
        <v>329.06649599999997</v>
      </c>
      <c r="AE5327" s="190"/>
      <c r="AF5327" s="191"/>
      <c r="AG5327" s="191"/>
      <c r="AH5327" s="191"/>
      <c r="AI5327" s="186"/>
      <c r="AK5327" s="171"/>
    </row>
    <row r="5328" spans="1:41" s="102" customFormat="1" ht="19.899999999999999" customHeight="1" x14ac:dyDescent="0.25">
      <c r="A5328" s="45"/>
      <c r="B5328" s="59"/>
      <c r="C5328" s="137"/>
      <c r="D5328" s="59"/>
      <c r="E5328" s="116"/>
      <c r="F5328" s="120"/>
      <c r="G5328" s="120"/>
      <c r="H5328" s="120"/>
      <c r="I5328" s="60"/>
      <c r="J5328" s="116"/>
      <c r="K5328" s="213"/>
      <c r="L5328" s="120"/>
      <c r="M5328" s="120"/>
      <c r="N5328" s="167"/>
      <c r="O5328" s="120"/>
      <c r="P5328" s="120"/>
      <c r="Q5328" s="120"/>
      <c r="R5328" s="120"/>
      <c r="S5328" s="120"/>
      <c r="T5328" s="221"/>
      <c r="U5328" s="89"/>
      <c r="V5328" s="61"/>
      <c r="W5328" s="92" t="s">
        <v>161</v>
      </c>
      <c r="X5328" s="93" t="s">
        <v>29</v>
      </c>
      <c r="Y5328" s="93" t="s">
        <v>93</v>
      </c>
      <c r="Z5328" s="134">
        <f>VLOOKUP(W5328,Sheet2!$B:$D,3,FALSE)</f>
        <v>48</v>
      </c>
      <c r="AA5328" s="93">
        <f>(16*0.85*1.5)/(3*3*6)</f>
        <v>0.37777777777777777</v>
      </c>
      <c r="AB5328" s="93">
        <f>AD5328/AC5325</f>
        <v>127.05882352941175</v>
      </c>
      <c r="AC5328" s="93">
        <f>AC5325/AA5328</f>
        <v>28.641176470588231</v>
      </c>
      <c r="AD5328" s="94">
        <f>AC5328*Z5328</f>
        <v>1374.776470588235</v>
      </c>
      <c r="AE5328" s="190"/>
      <c r="AF5328" s="191"/>
      <c r="AG5328" s="191"/>
      <c r="AH5328" s="191"/>
      <c r="AI5328" s="186"/>
      <c r="AK5328" s="171"/>
    </row>
    <row r="5329" spans="1:37" s="102" customFormat="1" ht="19.899999999999999" customHeight="1" x14ac:dyDescent="0.25">
      <c r="A5329" s="45"/>
      <c r="B5329" s="59"/>
      <c r="C5329" s="137"/>
      <c r="D5329" s="59"/>
      <c r="E5329" s="116"/>
      <c r="F5329" s="120"/>
      <c r="G5329" s="120"/>
      <c r="H5329" s="120"/>
      <c r="I5329" s="60"/>
      <c r="J5329" s="116"/>
      <c r="K5329" s="213"/>
      <c r="L5329" s="120"/>
      <c r="M5329" s="120"/>
      <c r="N5329" s="167"/>
      <c r="O5329" s="120"/>
      <c r="P5329" s="120"/>
      <c r="Q5329" s="120"/>
      <c r="R5329" s="120"/>
      <c r="S5329" s="120"/>
      <c r="T5329" s="221"/>
      <c r="U5329" s="89"/>
      <c r="V5329" s="61"/>
      <c r="W5329" s="92" t="s">
        <v>65</v>
      </c>
      <c r="X5329" s="93" t="s">
        <v>30</v>
      </c>
      <c r="Y5329" s="93" t="s">
        <v>1011</v>
      </c>
      <c r="Z5329" s="134">
        <f>VLOOKUP(W5329,Sheet2!$B:$D,3,FALSE)</f>
        <v>1.76</v>
      </c>
      <c r="AA5329" s="93">
        <f>AA5328/10</f>
        <v>3.7777777777777778E-2</v>
      </c>
      <c r="AB5329" s="93">
        <f>AD5329/AC5325</f>
        <v>46.588235294117645</v>
      </c>
      <c r="AC5329" s="93">
        <f>AC5325/AA5329</f>
        <v>286.41176470588232</v>
      </c>
      <c r="AD5329" s="94">
        <f>AC5329*Z5329</f>
        <v>504.08470588235286</v>
      </c>
      <c r="AE5329" s="190"/>
      <c r="AF5329" s="191"/>
      <c r="AG5329" s="191"/>
      <c r="AH5329" s="191"/>
      <c r="AI5329" s="186"/>
      <c r="AK5329" s="171"/>
    </row>
    <row r="5330" spans="1:37" s="103" customFormat="1" ht="19.899999999999999" customHeight="1" x14ac:dyDescent="0.25">
      <c r="A5330" s="51"/>
      <c r="B5330" s="52"/>
      <c r="C5330" s="165"/>
      <c r="D5330" s="52"/>
      <c r="E5330" s="115"/>
      <c r="F5330" s="58"/>
      <c r="G5330" s="58"/>
      <c r="H5330" s="58"/>
      <c r="I5330" s="55"/>
      <c r="J5330" s="113">
        <f>J5324</f>
        <v>10.819999999999999</v>
      </c>
      <c r="K5330" s="212">
        <f>K5324</f>
        <v>10.819999999999999</v>
      </c>
      <c r="L5330" s="58"/>
      <c r="M5330" s="58">
        <f>K5330-L5330</f>
        <v>10.819999999999999</v>
      </c>
      <c r="N5330" s="166"/>
      <c r="O5330" s="58"/>
      <c r="P5330" s="58"/>
      <c r="Q5330" s="58"/>
      <c r="R5330" s="58"/>
      <c r="S5330" s="58"/>
      <c r="T5330" s="220"/>
      <c r="U5330" s="88"/>
      <c r="V5330" s="56"/>
      <c r="W5330" s="57" t="s">
        <v>1486</v>
      </c>
      <c r="X5330" s="53"/>
      <c r="Y5330" s="91" t="s">
        <v>35</v>
      </c>
      <c r="Z5330" s="136">
        <f>AD5330/AC5330</f>
        <v>1883.8374999999994</v>
      </c>
      <c r="AA5330" s="58"/>
      <c r="AB5330" s="53">
        <f>AD5330/AC5330</f>
        <v>1883.8374999999994</v>
      </c>
      <c r="AC5330" s="53">
        <f>M5330+$AE$10</f>
        <v>10.819999999999999</v>
      </c>
      <c r="AD5330" s="54">
        <f>SUM(AD5331:AD5336)</f>
        <v>20383.121749999991</v>
      </c>
      <c r="AE5330" s="184">
        <f>SUMIFS($AD$37:$AD$12971,$V$37:$V$12971,$V5330,$X$37:$X$12971,AE$13)</f>
        <v>0</v>
      </c>
      <c r="AF5330" s="185">
        <f>SUMIFS($AD$37:$AD$12971,$V$37:$V$12971,$V5330,$X$37:$X$12971,AF$13)</f>
        <v>0</v>
      </c>
      <c r="AG5330" s="185">
        <f>SUMIFS($AD$37:$AD$12971,$V$37:$V$12971,$V5330,$X$37:$X$12971,AG$13)</f>
        <v>0</v>
      </c>
      <c r="AH5330" s="187">
        <f>SUMIFS($AD$37:$AD$12971,$V$37:$V$12971,$V5330,$X$37:$X$12971,AH$13)</f>
        <v>0</v>
      </c>
      <c r="AI5330" s="161">
        <f t="shared" ref="AI5330" si="3813">SUM(AE5330:AH5330)</f>
        <v>0</v>
      </c>
      <c r="AK5330" s="172"/>
    </row>
    <row r="5331" spans="1:37" s="102" customFormat="1" ht="19.899999999999999" customHeight="1" x14ac:dyDescent="0.25">
      <c r="A5331" s="45"/>
      <c r="B5331" s="59"/>
      <c r="C5331" s="137"/>
      <c r="D5331" s="59"/>
      <c r="E5331" s="116"/>
      <c r="F5331" s="120"/>
      <c r="G5331" s="120"/>
      <c r="H5331" s="120"/>
      <c r="I5331" s="60"/>
      <c r="J5331" s="116"/>
      <c r="K5331" s="213"/>
      <c r="L5331" s="120"/>
      <c r="M5331" s="120"/>
      <c r="N5331" s="167"/>
      <c r="O5331" s="120"/>
      <c r="P5331" s="120"/>
      <c r="Q5331" s="120"/>
      <c r="R5331" s="120"/>
      <c r="S5331" s="120"/>
      <c r="T5331" s="221"/>
      <c r="U5331" s="89"/>
      <c r="V5331" s="61"/>
      <c r="W5331" s="92" t="s">
        <v>1032</v>
      </c>
      <c r="X5331" s="93" t="s">
        <v>30</v>
      </c>
      <c r="Y5331" s="93" t="s">
        <v>66</v>
      </c>
      <c r="Z5331" s="134">
        <f>VLOOKUP(W5331,Sheet2!$B:$D,3,FALSE)</f>
        <v>250</v>
      </c>
      <c r="AA5331" s="93">
        <f>1/(2.4*2.4*0.1)</f>
        <v>1.7361111111111112</v>
      </c>
      <c r="AB5331" s="93">
        <f>AD5331/AC5337</f>
        <v>144</v>
      </c>
      <c r="AC5331" s="93">
        <f>AC5337/AA5331</f>
        <v>6.2323199999999987</v>
      </c>
      <c r="AD5331" s="94">
        <f t="shared" ref="AD5331:AD5333" si="3814">AC5331*Z5331</f>
        <v>1558.0799999999997</v>
      </c>
      <c r="AE5331" s="190"/>
      <c r="AF5331" s="191"/>
      <c r="AG5331" s="191"/>
      <c r="AH5331" s="191"/>
      <c r="AI5331" s="186"/>
      <c r="AK5331" s="171"/>
    </row>
    <row r="5332" spans="1:37" s="102" customFormat="1" ht="19.899999999999999" customHeight="1" x14ac:dyDescent="0.25">
      <c r="A5332" s="45"/>
      <c r="B5332" s="59"/>
      <c r="C5332" s="137"/>
      <c r="D5332" s="59"/>
      <c r="E5332" s="116"/>
      <c r="F5332" s="120"/>
      <c r="G5332" s="120"/>
      <c r="H5332" s="120"/>
      <c r="I5332" s="60"/>
      <c r="J5332" s="116"/>
      <c r="K5332" s="213"/>
      <c r="L5332" s="120"/>
      <c r="M5332" s="120"/>
      <c r="N5332" s="167"/>
      <c r="O5332" s="120"/>
      <c r="P5332" s="120"/>
      <c r="Q5332" s="120"/>
      <c r="R5332" s="120"/>
      <c r="S5332" s="120"/>
      <c r="T5332" s="221"/>
      <c r="U5332" s="89"/>
      <c r="V5332" s="61"/>
      <c r="W5332" s="92" t="s">
        <v>1353</v>
      </c>
      <c r="X5332" s="93" t="s">
        <v>30</v>
      </c>
      <c r="Y5332" s="93" t="s">
        <v>66</v>
      </c>
      <c r="Z5332" s="134">
        <f>VLOOKUP(W5332,Sheet2!$B:$D,3,FALSE)</f>
        <v>350</v>
      </c>
      <c r="AA5332" s="93">
        <f>1/(2.3*2.3*0.3)</f>
        <v>0.63011972274732209</v>
      </c>
      <c r="AB5332" s="93">
        <f>AD5332/AC5337</f>
        <v>555.44999999999982</v>
      </c>
      <c r="AC5332" s="93">
        <f>AC5337/AA5332</f>
        <v>17.171339999999994</v>
      </c>
      <c r="AD5332" s="94">
        <f t="shared" si="3814"/>
        <v>6009.9689999999973</v>
      </c>
      <c r="AE5332" s="190"/>
      <c r="AF5332" s="191"/>
      <c r="AG5332" s="191"/>
      <c r="AH5332" s="191"/>
      <c r="AI5332" s="186"/>
      <c r="AK5332" s="171"/>
    </row>
    <row r="5333" spans="1:37" s="102" customFormat="1" ht="19.899999999999999" customHeight="1" x14ac:dyDescent="0.25">
      <c r="A5333" s="45"/>
      <c r="B5333" s="59"/>
      <c r="C5333" s="137"/>
      <c r="D5333" s="59"/>
      <c r="E5333" s="116"/>
      <c r="F5333" s="120"/>
      <c r="G5333" s="120"/>
      <c r="H5333" s="120"/>
      <c r="I5333" s="60"/>
      <c r="J5333" s="116"/>
      <c r="K5333" s="213"/>
      <c r="L5333" s="120"/>
      <c r="M5333" s="120"/>
      <c r="N5333" s="167"/>
      <c r="O5333" s="120"/>
      <c r="P5333" s="120"/>
      <c r="Q5333" s="120"/>
      <c r="R5333" s="120"/>
      <c r="S5333" s="120"/>
      <c r="T5333" s="221"/>
      <c r="U5333" s="89"/>
      <c r="V5333" s="61"/>
      <c r="W5333" s="92" t="s">
        <v>99</v>
      </c>
      <c r="X5333" s="93" t="s">
        <v>30</v>
      </c>
      <c r="Y5333" s="93" t="s">
        <v>67</v>
      </c>
      <c r="Z5333" s="134">
        <f>VLOOKUP(W5333,Sheet2!$B:$D,3,FALSE)</f>
        <v>2500</v>
      </c>
      <c r="AA5333" s="93">
        <f>AA5332/0.08</f>
        <v>7.8764965343415261</v>
      </c>
      <c r="AB5333" s="93">
        <f>AD5333/AC5337</f>
        <v>317.39999999999998</v>
      </c>
      <c r="AC5333" s="93">
        <f>AC5337/AA5333</f>
        <v>1.3737071999999997</v>
      </c>
      <c r="AD5333" s="94">
        <f t="shared" si="3814"/>
        <v>3434.2679999999991</v>
      </c>
      <c r="AE5333" s="190"/>
      <c r="AF5333" s="191"/>
      <c r="AG5333" s="191"/>
      <c r="AH5333" s="191"/>
      <c r="AI5333" s="186"/>
      <c r="AK5333" s="171"/>
    </row>
    <row r="5334" spans="1:37" s="102" customFormat="1" ht="19.899999999999999" customHeight="1" x14ac:dyDescent="0.25">
      <c r="A5334" s="45"/>
      <c r="B5334" s="59"/>
      <c r="C5334" s="137"/>
      <c r="D5334" s="59"/>
      <c r="E5334" s="116"/>
      <c r="F5334" s="120"/>
      <c r="G5334" s="120"/>
      <c r="H5334" s="120"/>
      <c r="I5334" s="60"/>
      <c r="J5334" s="116"/>
      <c r="K5334" s="213"/>
      <c r="L5334" s="120"/>
      <c r="M5334" s="120"/>
      <c r="N5334" s="167"/>
      <c r="O5334" s="120"/>
      <c r="P5334" s="120"/>
      <c r="Q5334" s="120"/>
      <c r="R5334" s="120"/>
      <c r="S5334" s="120"/>
      <c r="T5334" s="221"/>
      <c r="U5334" s="89"/>
      <c r="V5334" s="61"/>
      <c r="W5334" s="92" t="s">
        <v>1354</v>
      </c>
      <c r="X5334" s="93" t="s">
        <v>32</v>
      </c>
      <c r="Y5334" s="93" t="s">
        <v>66</v>
      </c>
      <c r="Z5334" s="134">
        <f>VLOOKUP(W5334,Sheet2!$B:$D,3,FALSE)</f>
        <v>150</v>
      </c>
      <c r="AA5334" s="93">
        <f>AA5331</f>
        <v>1.7361111111111112</v>
      </c>
      <c r="AB5334" s="93">
        <f>AD5334/AC5337</f>
        <v>86.399999999999991</v>
      </c>
      <c r="AC5334" s="93">
        <f>AC5337/AA5334</f>
        <v>6.2323199999999987</v>
      </c>
      <c r="AD5334" s="94">
        <f>AC5334*Z5334</f>
        <v>934.84799999999984</v>
      </c>
      <c r="AE5334" s="190"/>
      <c r="AF5334" s="191"/>
      <c r="AG5334" s="191"/>
      <c r="AH5334" s="191"/>
      <c r="AI5334" s="186"/>
      <c r="AK5334" s="171"/>
    </row>
    <row r="5335" spans="1:37" s="102" customFormat="1" ht="19.899999999999999" customHeight="1" x14ac:dyDescent="0.25">
      <c r="A5335" s="45"/>
      <c r="B5335" s="59"/>
      <c r="C5335" s="137"/>
      <c r="D5335" s="59"/>
      <c r="E5335" s="116"/>
      <c r="F5335" s="120"/>
      <c r="G5335" s="120"/>
      <c r="H5335" s="120"/>
      <c r="I5335" s="60"/>
      <c r="J5335" s="116"/>
      <c r="K5335" s="213"/>
      <c r="L5335" s="120"/>
      <c r="M5335" s="120"/>
      <c r="N5335" s="167"/>
      <c r="O5335" s="120"/>
      <c r="P5335" s="120"/>
      <c r="Q5335" s="120"/>
      <c r="R5335" s="120"/>
      <c r="S5335" s="120"/>
      <c r="T5335" s="221"/>
      <c r="U5335" s="89"/>
      <c r="V5335" s="61"/>
      <c r="W5335" s="92" t="s">
        <v>1355</v>
      </c>
      <c r="X5335" s="93" t="s">
        <v>32</v>
      </c>
      <c r="Y5335" s="93" t="s">
        <v>66</v>
      </c>
      <c r="Z5335" s="134">
        <f>VLOOKUP(W5335,Sheet2!$B:$D,3,FALSE)</f>
        <v>450</v>
      </c>
      <c r="AA5335" s="93">
        <f>AA5332</f>
        <v>0.63011972274732209</v>
      </c>
      <c r="AB5335" s="93">
        <f>AD5335/AC5337</f>
        <v>714.14999999999986</v>
      </c>
      <c r="AC5335" s="93">
        <f>AC5337/AA5335</f>
        <v>17.171339999999994</v>
      </c>
      <c r="AD5335" s="94">
        <f>AC5335*Z5335</f>
        <v>7727.1029999999973</v>
      </c>
      <c r="AE5335" s="190"/>
      <c r="AF5335" s="191"/>
      <c r="AG5335" s="191"/>
      <c r="AH5335" s="191"/>
      <c r="AI5335" s="186"/>
      <c r="AK5335" s="171"/>
    </row>
    <row r="5336" spans="1:37" s="102" customFormat="1" ht="19.899999999999999" customHeight="1" x14ac:dyDescent="0.25">
      <c r="A5336" s="45"/>
      <c r="B5336" s="59"/>
      <c r="C5336" s="137"/>
      <c r="D5336" s="59"/>
      <c r="E5336" s="116"/>
      <c r="F5336" s="120"/>
      <c r="G5336" s="120"/>
      <c r="H5336" s="120"/>
      <c r="I5336" s="60"/>
      <c r="J5336" s="116"/>
      <c r="K5336" s="213"/>
      <c r="L5336" s="120"/>
      <c r="M5336" s="120"/>
      <c r="N5336" s="167"/>
      <c r="O5336" s="120"/>
      <c r="P5336" s="120"/>
      <c r="Q5336" s="120"/>
      <c r="R5336" s="120"/>
      <c r="S5336" s="120"/>
      <c r="T5336" s="221"/>
      <c r="U5336" s="89"/>
      <c r="V5336" s="61"/>
      <c r="W5336" s="92" t="s">
        <v>124</v>
      </c>
      <c r="X5336" s="93" t="s">
        <v>32</v>
      </c>
      <c r="Y5336" s="93" t="s">
        <v>64</v>
      </c>
      <c r="Z5336" s="134">
        <f>VLOOKUP(W5336,Sheet2!$B:$D,3,FALSE)</f>
        <v>10</v>
      </c>
      <c r="AA5336" s="93">
        <f>1/((2.9*2.9)-(3.14*1.5*1.5/4))</f>
        <v>0.15051740357478832</v>
      </c>
      <c r="AB5336" s="93">
        <f t="shared" ref="AB5336" si="3815">AD5336/AC5330</f>
        <v>66.437500000000014</v>
      </c>
      <c r="AC5336" s="93">
        <f>AC5330/AA5336</f>
        <v>71.885374999999996</v>
      </c>
      <c r="AD5336" s="94">
        <f t="shared" ref="AD5336" si="3816">AC5336*Z5336</f>
        <v>718.85374999999999</v>
      </c>
      <c r="AE5336" s="190"/>
      <c r="AF5336" s="191"/>
      <c r="AG5336" s="191"/>
      <c r="AH5336" s="191"/>
      <c r="AI5336" s="186"/>
      <c r="AK5336" s="171"/>
    </row>
    <row r="5337" spans="1:37" s="103" customFormat="1" ht="19.899999999999999" customHeight="1" x14ac:dyDescent="0.25">
      <c r="A5337" s="51"/>
      <c r="B5337" s="52"/>
      <c r="C5337" s="165"/>
      <c r="D5337" s="52"/>
      <c r="E5337" s="115"/>
      <c r="F5337" s="58"/>
      <c r="G5337" s="58"/>
      <c r="H5337" s="58"/>
      <c r="I5337" s="55"/>
      <c r="J5337" s="113">
        <f>J5324</f>
        <v>10.819999999999999</v>
      </c>
      <c r="K5337" s="212">
        <f>K5324</f>
        <v>10.819999999999999</v>
      </c>
      <c r="L5337" s="58"/>
      <c r="M5337" s="58">
        <f>K5337-L5337</f>
        <v>10.819999999999999</v>
      </c>
      <c r="N5337" s="166"/>
      <c r="O5337" s="58"/>
      <c r="P5337" s="58"/>
      <c r="Q5337" s="58"/>
      <c r="R5337" s="58"/>
      <c r="S5337" s="58"/>
      <c r="T5337" s="220"/>
      <c r="U5337" s="88"/>
      <c r="V5337" s="56"/>
      <c r="W5337" s="57" t="s">
        <v>1275</v>
      </c>
      <c r="X5337" s="53"/>
      <c r="Y5337" s="91" t="s">
        <v>35</v>
      </c>
      <c r="Z5337" s="136">
        <f>AD5337/AC5337</f>
        <v>10722.800000000001</v>
      </c>
      <c r="AA5337" s="58"/>
      <c r="AB5337" s="53">
        <f>AD5337/AC5337</f>
        <v>10722.800000000001</v>
      </c>
      <c r="AC5337" s="53">
        <f>M5337+$AE$10</f>
        <v>10.819999999999999</v>
      </c>
      <c r="AD5337" s="54">
        <f>SUM(AD5338:AD5343)</f>
        <v>116020.696</v>
      </c>
      <c r="AE5337" s="184">
        <f>SUMIFS($AD$37:$AD$12971,$V$37:$V$12971,$V5337,$X$37:$X$12971,AE$13)</f>
        <v>0</v>
      </c>
      <c r="AF5337" s="185">
        <f>SUMIFS($AD$37:$AD$12971,$V$37:$V$12971,$V5337,$X$37:$X$12971,AF$13)</f>
        <v>0</v>
      </c>
      <c r="AG5337" s="185">
        <f>SUMIFS($AD$37:$AD$12971,$V$37:$V$12971,$V5337,$X$37:$X$12971,AG$13)</f>
        <v>0</v>
      </c>
      <c r="AH5337" s="187">
        <f>SUMIFS($AD$37:$AD$12971,$V$37:$V$12971,$V5337,$X$37:$X$12971,AH$13)</f>
        <v>0</v>
      </c>
      <c r="AI5337" s="161">
        <f t="shared" ref="AI5337" si="3817">SUM(AE5337:AH5337)</f>
        <v>0</v>
      </c>
      <c r="AK5337" s="172"/>
    </row>
    <row r="5338" spans="1:37" s="102" customFormat="1" ht="19.899999999999999" customHeight="1" x14ac:dyDescent="0.25">
      <c r="A5338" s="45"/>
      <c r="B5338" s="59"/>
      <c r="C5338" s="137"/>
      <c r="D5338" s="59"/>
      <c r="E5338" s="116"/>
      <c r="F5338" s="120"/>
      <c r="G5338" s="120"/>
      <c r="H5338" s="120"/>
      <c r="I5338" s="60"/>
      <c r="J5338" s="116"/>
      <c r="K5338" s="213"/>
      <c r="L5338" s="120"/>
      <c r="M5338" s="120"/>
      <c r="N5338" s="167"/>
      <c r="O5338" s="120"/>
      <c r="P5338" s="120"/>
      <c r="Q5338" s="120"/>
      <c r="R5338" s="120"/>
      <c r="S5338" s="120"/>
      <c r="T5338" s="221"/>
      <c r="U5338" s="89"/>
      <c r="V5338" s="61"/>
      <c r="W5338" s="92" t="s">
        <v>1545</v>
      </c>
      <c r="X5338" s="93" t="s">
        <v>30</v>
      </c>
      <c r="Y5338" s="93" t="s">
        <v>35</v>
      </c>
      <c r="Z5338" s="134">
        <f>VLOOKUP(W5338,Sheet2!$B:$D,3,FALSE)</f>
        <v>8950</v>
      </c>
      <c r="AA5338" s="93">
        <v>1</v>
      </c>
      <c r="AB5338" s="93">
        <f>AD5338/AC5337</f>
        <v>8950</v>
      </c>
      <c r="AC5338" s="93">
        <f>AC5337/AA5338</f>
        <v>10.819999999999999</v>
      </c>
      <c r="AD5338" s="94">
        <f t="shared" ref="AD5338:AD5339" si="3818">AC5338*Z5338</f>
        <v>96838.999999999985</v>
      </c>
      <c r="AE5338" s="190"/>
      <c r="AF5338" s="191"/>
      <c r="AG5338" s="191"/>
      <c r="AH5338" s="191"/>
      <c r="AI5338" s="186"/>
      <c r="AK5338" s="171"/>
    </row>
    <row r="5339" spans="1:37" s="102" customFormat="1" ht="19.899999999999999" customHeight="1" x14ac:dyDescent="0.25">
      <c r="A5339" s="45"/>
      <c r="B5339" s="59"/>
      <c r="C5339" s="137"/>
      <c r="D5339" s="59"/>
      <c r="E5339" s="116"/>
      <c r="F5339" s="120"/>
      <c r="G5339" s="120"/>
      <c r="H5339" s="120"/>
      <c r="I5339" s="60"/>
      <c r="J5339" s="116"/>
      <c r="K5339" s="213"/>
      <c r="L5339" s="120"/>
      <c r="M5339" s="120"/>
      <c r="N5339" s="167"/>
      <c r="O5339" s="120"/>
      <c r="P5339" s="120"/>
      <c r="Q5339" s="120"/>
      <c r="R5339" s="120"/>
      <c r="S5339" s="120"/>
      <c r="T5339" s="221"/>
      <c r="U5339" s="89"/>
      <c r="V5339" s="61"/>
      <c r="W5339" s="92" t="s">
        <v>174</v>
      </c>
      <c r="X5339" s="93" t="s">
        <v>29</v>
      </c>
      <c r="Y5339" s="93" t="s">
        <v>93</v>
      </c>
      <c r="Z5339" s="134">
        <f>VLOOKUP(W5339,Sheet2!$B:$D,3,FALSE)</f>
        <v>80</v>
      </c>
      <c r="AA5339" s="93">
        <f>1/2</f>
        <v>0.5</v>
      </c>
      <c r="AB5339" s="93">
        <f>AD5339/AC5337</f>
        <v>160</v>
      </c>
      <c r="AC5339" s="93">
        <f>AC5337/AA5339</f>
        <v>21.639999999999997</v>
      </c>
      <c r="AD5339" s="94">
        <f t="shared" si="3818"/>
        <v>1731.1999999999998</v>
      </c>
      <c r="AE5339" s="190"/>
      <c r="AF5339" s="191"/>
      <c r="AG5339" s="191"/>
      <c r="AH5339" s="191"/>
      <c r="AI5339" s="186"/>
      <c r="AK5339" s="171"/>
    </row>
    <row r="5340" spans="1:37" s="102" customFormat="1" ht="19.899999999999999" customHeight="1" x14ac:dyDescent="0.25">
      <c r="A5340" s="45"/>
      <c r="B5340" s="59"/>
      <c r="C5340" s="137"/>
      <c r="D5340" s="59"/>
      <c r="E5340" s="116"/>
      <c r="F5340" s="120"/>
      <c r="G5340" s="120"/>
      <c r="H5340" s="120"/>
      <c r="I5340" s="60"/>
      <c r="J5340" s="116"/>
      <c r="K5340" s="213"/>
      <c r="L5340" s="120"/>
      <c r="M5340" s="120"/>
      <c r="N5340" s="167"/>
      <c r="O5340" s="120"/>
      <c r="P5340" s="120"/>
      <c r="Q5340" s="120"/>
      <c r="R5340" s="120"/>
      <c r="S5340" s="120"/>
      <c r="T5340" s="221"/>
      <c r="U5340" s="89"/>
      <c r="V5340" s="61"/>
      <c r="W5340" s="92" t="s">
        <v>65</v>
      </c>
      <c r="X5340" s="93" t="s">
        <v>30</v>
      </c>
      <c r="Y5340" s="93" t="s">
        <v>93</v>
      </c>
      <c r="Z5340" s="134">
        <f>VLOOKUP(W5340,Sheet2!$B:$D,3,FALSE)</f>
        <v>1.76</v>
      </c>
      <c r="AA5340" s="93">
        <f>AA5339/15</f>
        <v>3.3333333333333333E-2</v>
      </c>
      <c r="AB5340" s="93">
        <f>AD5340/AC5337</f>
        <v>52.800000000000004</v>
      </c>
      <c r="AC5340" s="93">
        <f>AC5337/AA5340</f>
        <v>324.59999999999997</v>
      </c>
      <c r="AD5340" s="94">
        <f>AC5340*Z5340</f>
        <v>571.29599999999994</v>
      </c>
      <c r="AE5340" s="190"/>
      <c r="AF5340" s="191"/>
      <c r="AG5340" s="191"/>
      <c r="AH5340" s="191"/>
      <c r="AI5340" s="186"/>
      <c r="AK5340" s="171"/>
    </row>
    <row r="5341" spans="1:37" s="102" customFormat="1" ht="19.899999999999999" customHeight="1" x14ac:dyDescent="0.25">
      <c r="A5341" s="45"/>
      <c r="B5341" s="59"/>
      <c r="C5341" s="137"/>
      <c r="D5341" s="59"/>
      <c r="E5341" s="116"/>
      <c r="F5341" s="120"/>
      <c r="G5341" s="120"/>
      <c r="H5341" s="120"/>
      <c r="I5341" s="60"/>
      <c r="J5341" s="116"/>
      <c r="K5341" s="213"/>
      <c r="L5341" s="120"/>
      <c r="M5341" s="120"/>
      <c r="N5341" s="167"/>
      <c r="O5341" s="120"/>
      <c r="P5341" s="120"/>
      <c r="Q5341" s="120"/>
      <c r="R5341" s="120"/>
      <c r="S5341" s="120"/>
      <c r="T5341" s="221"/>
      <c r="U5341" s="89"/>
      <c r="V5341" s="61"/>
      <c r="W5341" s="92" t="s">
        <v>1487</v>
      </c>
      <c r="X5341" s="93" t="s">
        <v>32</v>
      </c>
      <c r="Y5341" s="93" t="s">
        <v>1349</v>
      </c>
      <c r="Z5341" s="134">
        <f>VLOOKUP(W5341,Sheet2!$B:$D,3,FALSE)</f>
        <v>1500</v>
      </c>
      <c r="AA5341" s="93">
        <v>1</v>
      </c>
      <c r="AB5341" s="93">
        <f>AD5341/AC5337</f>
        <v>1500</v>
      </c>
      <c r="AC5341" s="93">
        <f>AC5337/AA5341</f>
        <v>10.819999999999999</v>
      </c>
      <c r="AD5341" s="94">
        <f>AC5341*Z5341</f>
        <v>16229.999999999998</v>
      </c>
      <c r="AE5341" s="190"/>
      <c r="AF5341" s="191"/>
      <c r="AG5341" s="191"/>
      <c r="AH5341" s="191"/>
      <c r="AI5341" s="186"/>
      <c r="AK5341" s="171"/>
    </row>
    <row r="5342" spans="1:37" s="102" customFormat="1" ht="19.899999999999999" customHeight="1" x14ac:dyDescent="0.25">
      <c r="A5342" s="45"/>
      <c r="B5342" s="59"/>
      <c r="C5342" s="137"/>
      <c r="D5342" s="59"/>
      <c r="E5342" s="116"/>
      <c r="F5342" s="120"/>
      <c r="G5342" s="120"/>
      <c r="H5342" s="120"/>
      <c r="I5342" s="60"/>
      <c r="J5342" s="116"/>
      <c r="K5342" s="213"/>
      <c r="L5342" s="120"/>
      <c r="M5342" s="120"/>
      <c r="N5342" s="167"/>
      <c r="O5342" s="120"/>
      <c r="P5342" s="120"/>
      <c r="Q5342" s="120"/>
      <c r="R5342" s="120"/>
      <c r="S5342" s="120"/>
      <c r="T5342" s="221"/>
      <c r="U5342" s="89"/>
      <c r="V5342" s="61"/>
      <c r="W5342" s="92" t="s">
        <v>107</v>
      </c>
      <c r="X5342" s="93" t="s">
        <v>31</v>
      </c>
      <c r="Y5342" s="93" t="s">
        <v>93</v>
      </c>
      <c r="Z5342" s="134">
        <f>VLOOKUP(W5342,Sheet2!$B:$D,3,FALSE)</f>
        <v>17</v>
      </c>
      <c r="AA5342" s="93">
        <f>AA5339</f>
        <v>0.5</v>
      </c>
      <c r="AB5342" s="93">
        <f>AD5342/AC5337</f>
        <v>34</v>
      </c>
      <c r="AC5342" s="93">
        <f>AC5337/AA5342</f>
        <v>21.639999999999997</v>
      </c>
      <c r="AD5342" s="94">
        <f>AC5342*Z5342</f>
        <v>367.87999999999994</v>
      </c>
      <c r="AE5342" s="190"/>
      <c r="AF5342" s="191"/>
      <c r="AG5342" s="191"/>
      <c r="AH5342" s="191"/>
      <c r="AI5342" s="186"/>
      <c r="AK5342" s="171"/>
    </row>
    <row r="5343" spans="1:37" s="102" customFormat="1" ht="19.899999999999999" customHeight="1" x14ac:dyDescent="0.25">
      <c r="A5343" s="45"/>
      <c r="B5343" s="59"/>
      <c r="C5343" s="137"/>
      <c r="D5343" s="59"/>
      <c r="E5343" s="116"/>
      <c r="F5343" s="120"/>
      <c r="G5343" s="120"/>
      <c r="H5343" s="120"/>
      <c r="I5343" s="60"/>
      <c r="J5343" s="116"/>
      <c r="K5343" s="213"/>
      <c r="L5343" s="120"/>
      <c r="M5343" s="120"/>
      <c r="N5343" s="167"/>
      <c r="O5343" s="120"/>
      <c r="P5343" s="120"/>
      <c r="Q5343" s="120"/>
      <c r="R5343" s="120"/>
      <c r="S5343" s="120"/>
      <c r="T5343" s="221"/>
      <c r="U5343" s="89"/>
      <c r="V5343" s="61"/>
      <c r="W5343" s="92" t="s">
        <v>112</v>
      </c>
      <c r="X5343" s="93" t="s">
        <v>31</v>
      </c>
      <c r="Y5343" s="93" t="s">
        <v>93</v>
      </c>
      <c r="Z5343" s="134">
        <f>VLOOKUP(W5343,Sheet2!$B:$D,3,FALSE)</f>
        <v>13</v>
      </c>
      <c r="AA5343" s="93">
        <f>AA5342</f>
        <v>0.5</v>
      </c>
      <c r="AB5343" s="93">
        <f>AD5343/AC5337</f>
        <v>25.999999999999996</v>
      </c>
      <c r="AC5343" s="93">
        <f>AC5337/AA5343</f>
        <v>21.639999999999997</v>
      </c>
      <c r="AD5343" s="94">
        <f>AC5343*Z5343</f>
        <v>281.31999999999994</v>
      </c>
      <c r="AE5343" s="190"/>
      <c r="AF5343" s="191"/>
      <c r="AG5343" s="191"/>
      <c r="AH5343" s="191"/>
      <c r="AI5343" s="186"/>
      <c r="AK5343" s="171"/>
    </row>
    <row r="5344" spans="1:37" s="103" customFormat="1" ht="19.899999999999999" customHeight="1" x14ac:dyDescent="0.25">
      <c r="A5344" s="51"/>
      <c r="B5344" s="52"/>
      <c r="C5344" s="165"/>
      <c r="D5344" s="52"/>
      <c r="E5344" s="115"/>
      <c r="F5344" s="58"/>
      <c r="G5344" s="58"/>
      <c r="H5344" s="58"/>
      <c r="I5344" s="55"/>
      <c r="J5344" s="113">
        <f>J5324</f>
        <v>10.819999999999999</v>
      </c>
      <c r="K5344" s="212">
        <f>K5324</f>
        <v>10.819999999999999</v>
      </c>
      <c r="L5344" s="58"/>
      <c r="M5344" s="58">
        <f>K5344-L5344</f>
        <v>10.819999999999999</v>
      </c>
      <c r="N5344" s="166"/>
      <c r="O5344" s="58"/>
      <c r="P5344" s="58"/>
      <c r="Q5344" s="58"/>
      <c r="R5344" s="58"/>
      <c r="S5344" s="58"/>
      <c r="T5344" s="220"/>
      <c r="U5344" s="88"/>
      <c r="V5344" s="56"/>
      <c r="W5344" s="57" t="s">
        <v>1272</v>
      </c>
      <c r="X5344" s="53"/>
      <c r="Y5344" s="91" t="s">
        <v>35</v>
      </c>
      <c r="Z5344" s="136">
        <f>AD5344/AC5344</f>
        <v>823.62053152941178</v>
      </c>
      <c r="AA5344" s="58"/>
      <c r="AB5344" s="53">
        <f>AD5344/AC5344</f>
        <v>823.62053152941178</v>
      </c>
      <c r="AC5344" s="53">
        <f>M5344+$AE$10</f>
        <v>10.819999999999999</v>
      </c>
      <c r="AD5344" s="54">
        <f>SUM(AD5345:AD5353)</f>
        <v>8911.5741511482338</v>
      </c>
      <c r="AE5344" s="184">
        <f>SUMIFS($AD$37:$AD$12971,$V$37:$V$12971,$V5344,$X$37:$X$12971,AE$13)</f>
        <v>0</v>
      </c>
      <c r="AF5344" s="185">
        <f>SUMIFS($AD$37:$AD$12971,$V$37:$V$12971,$V5344,$X$37:$X$12971,AF$13)</f>
        <v>0</v>
      </c>
      <c r="AG5344" s="185">
        <f>SUMIFS($AD$37:$AD$12971,$V$37:$V$12971,$V5344,$X$37:$X$12971,AG$13)</f>
        <v>0</v>
      </c>
      <c r="AH5344" s="187">
        <f>SUMIFS($AD$37:$AD$12971,$V$37:$V$12971,$V5344,$X$37:$X$12971,AH$13)</f>
        <v>0</v>
      </c>
      <c r="AI5344" s="161">
        <f t="shared" ref="AI5344" si="3819">SUM(AE5344:AH5344)</f>
        <v>0</v>
      </c>
      <c r="AK5344" s="172"/>
    </row>
    <row r="5345" spans="1:41" s="102" customFormat="1" ht="19.899999999999999" customHeight="1" x14ac:dyDescent="0.25">
      <c r="A5345" s="45"/>
      <c r="B5345" s="59"/>
      <c r="C5345" s="137"/>
      <c r="D5345" s="59"/>
      <c r="E5345" s="116"/>
      <c r="F5345" s="120"/>
      <c r="G5345" s="120"/>
      <c r="H5345" s="120"/>
      <c r="I5345" s="60"/>
      <c r="J5345" s="116"/>
      <c r="K5345" s="213"/>
      <c r="L5345" s="120"/>
      <c r="M5345" s="120"/>
      <c r="N5345" s="167"/>
      <c r="O5345" s="120"/>
      <c r="P5345" s="120"/>
      <c r="Q5345" s="120"/>
      <c r="R5345" s="120"/>
      <c r="S5345" s="120"/>
      <c r="T5345" s="221"/>
      <c r="U5345" s="89"/>
      <c r="V5345" s="61"/>
      <c r="W5345" s="92" t="s">
        <v>1273</v>
      </c>
      <c r="X5345" s="93" t="s">
        <v>30</v>
      </c>
      <c r="Y5345" s="93" t="s">
        <v>66</v>
      </c>
      <c r="Z5345" s="134">
        <f>VLOOKUP(W5345,Sheet2!$B:$D,3,FALSE)</f>
        <v>10</v>
      </c>
      <c r="AA5345" s="93">
        <f>1/((3*3*6)-(3.14/4*1.5*1.5*6))</f>
        <v>2.3040147456943723E-2</v>
      </c>
      <c r="AB5345" s="93">
        <f>AD5345/AC5344</f>
        <v>434.02500000000003</v>
      </c>
      <c r="AC5345" s="93">
        <f>AC5344/AA5345</f>
        <v>469.61504999999994</v>
      </c>
      <c r="AD5345" s="94">
        <f t="shared" ref="AD5345:AD5347" si="3820">AC5345*Z5345</f>
        <v>4696.1504999999997</v>
      </c>
      <c r="AE5345" s="190"/>
      <c r="AF5345" s="191"/>
      <c r="AG5345" s="191"/>
      <c r="AH5345" s="191"/>
      <c r="AI5345" s="186"/>
      <c r="AK5345" s="171"/>
    </row>
    <row r="5346" spans="1:41" s="102" customFormat="1" ht="19.899999999999999" customHeight="1" x14ac:dyDescent="0.25">
      <c r="A5346" s="45"/>
      <c r="B5346" s="59"/>
      <c r="C5346" s="137"/>
      <c r="D5346" s="59"/>
      <c r="E5346" s="116"/>
      <c r="F5346" s="120"/>
      <c r="G5346" s="120"/>
      <c r="H5346" s="120"/>
      <c r="I5346" s="60"/>
      <c r="J5346" s="116"/>
      <c r="K5346" s="213"/>
      <c r="L5346" s="120"/>
      <c r="M5346" s="120"/>
      <c r="N5346" s="167"/>
      <c r="O5346" s="120"/>
      <c r="P5346" s="120"/>
      <c r="Q5346" s="120"/>
      <c r="R5346" s="120"/>
      <c r="S5346" s="120"/>
      <c r="T5346" s="221"/>
      <c r="U5346" s="89"/>
      <c r="V5346" s="61"/>
      <c r="W5346" s="92" t="s">
        <v>134</v>
      </c>
      <c r="X5346" s="93" t="s">
        <v>29</v>
      </c>
      <c r="Y5346" s="93" t="s">
        <v>93</v>
      </c>
      <c r="Z5346" s="134">
        <f>VLOOKUP(W5346,Sheet2!$B:$D,3,FALSE)</f>
        <v>65.599999999999994</v>
      </c>
      <c r="AA5346" s="93">
        <f>100/((3*3*6)-(3.14/4*1.5*1.5*6))</f>
        <v>2.3040147456943725</v>
      </c>
      <c r="AB5346" s="93">
        <f t="shared" ref="AB5346" si="3821">AD5346/AC5344</f>
        <v>28.472039999999996</v>
      </c>
      <c r="AC5346" s="93">
        <f>AC5344/AA5346</f>
        <v>4.696150499999999</v>
      </c>
      <c r="AD5346" s="94">
        <f t="shared" si="3820"/>
        <v>308.0674727999999</v>
      </c>
      <c r="AE5346" s="190"/>
      <c r="AF5346" s="191"/>
      <c r="AG5346" s="191"/>
      <c r="AH5346" s="191"/>
      <c r="AI5346" s="186"/>
      <c r="AK5346" s="171"/>
    </row>
    <row r="5347" spans="1:41" s="102" customFormat="1" ht="19.899999999999999" customHeight="1" x14ac:dyDescent="0.25">
      <c r="A5347" s="45"/>
      <c r="B5347" s="59"/>
      <c r="C5347" s="137"/>
      <c r="D5347" s="59"/>
      <c r="E5347" s="116"/>
      <c r="F5347" s="120"/>
      <c r="G5347" s="120"/>
      <c r="H5347" s="120"/>
      <c r="I5347" s="60"/>
      <c r="J5347" s="116"/>
      <c r="K5347" s="213"/>
      <c r="L5347" s="120"/>
      <c r="M5347" s="120"/>
      <c r="N5347" s="167"/>
      <c r="O5347" s="120"/>
      <c r="P5347" s="120"/>
      <c r="Q5347" s="120"/>
      <c r="R5347" s="120"/>
      <c r="S5347" s="120"/>
      <c r="T5347" s="221"/>
      <c r="U5347" s="89"/>
      <c r="V5347" s="61"/>
      <c r="W5347" s="92" t="s">
        <v>65</v>
      </c>
      <c r="X5347" s="93" t="s">
        <v>30</v>
      </c>
      <c r="Y5347" s="93" t="s">
        <v>1011</v>
      </c>
      <c r="Z5347" s="134">
        <f>VLOOKUP(W5347,Sheet2!$B:$D,3,FALSE)</f>
        <v>1.76</v>
      </c>
      <c r="AA5347" s="93">
        <f>AA5346/9</f>
        <v>0.25600163841048584</v>
      </c>
      <c r="AB5347" s="93">
        <f>AD5347/AC5344</f>
        <v>6.8749560000000001</v>
      </c>
      <c r="AC5347" s="93">
        <f>AC5344/AA5347</f>
        <v>42.265354499999994</v>
      </c>
      <c r="AD5347" s="94">
        <f t="shared" si="3820"/>
        <v>74.38702391999999</v>
      </c>
      <c r="AE5347" s="190"/>
      <c r="AF5347" s="191"/>
      <c r="AG5347" s="191"/>
      <c r="AH5347" s="191"/>
      <c r="AI5347" s="186"/>
      <c r="AK5347" s="171"/>
    </row>
    <row r="5348" spans="1:41" s="102" customFormat="1" ht="19.899999999999999" customHeight="1" x14ac:dyDescent="0.25">
      <c r="A5348" s="45"/>
      <c r="B5348" s="59"/>
      <c r="C5348" s="137"/>
      <c r="D5348" s="59"/>
      <c r="E5348" s="116"/>
      <c r="F5348" s="120"/>
      <c r="G5348" s="120"/>
      <c r="H5348" s="120"/>
      <c r="I5348" s="60"/>
      <c r="J5348" s="116"/>
      <c r="K5348" s="213"/>
      <c r="L5348" s="120"/>
      <c r="M5348" s="120"/>
      <c r="N5348" s="167"/>
      <c r="O5348" s="120"/>
      <c r="P5348" s="120"/>
      <c r="Q5348" s="120"/>
      <c r="R5348" s="120"/>
      <c r="S5348" s="120"/>
      <c r="T5348" s="221"/>
      <c r="U5348" s="89"/>
      <c r="V5348" s="61"/>
      <c r="W5348" s="92" t="s">
        <v>161</v>
      </c>
      <c r="X5348" s="93" t="s">
        <v>29</v>
      </c>
      <c r="Y5348" s="93" t="s">
        <v>93</v>
      </c>
      <c r="Z5348" s="134">
        <f>VLOOKUP(W5348,Sheet2!$B:$D,3,FALSE)</f>
        <v>48</v>
      </c>
      <c r="AA5348" s="93">
        <f>(16*0.85*1.5)/((3*3*6)-(3.14/4*1.5*1.5*6))</f>
        <v>0.47001900812165193</v>
      </c>
      <c r="AB5348" s="93">
        <f>AD5348/AC5344</f>
        <v>102.12352941176471</v>
      </c>
      <c r="AC5348" s="93">
        <f>AC5344/AA5348</f>
        <v>23.020345588235294</v>
      </c>
      <c r="AD5348" s="94">
        <f>AC5348*Z5348</f>
        <v>1104.976588235294</v>
      </c>
      <c r="AE5348" s="190"/>
      <c r="AF5348" s="191"/>
      <c r="AG5348" s="191"/>
      <c r="AH5348" s="191"/>
      <c r="AI5348" s="186"/>
      <c r="AK5348" s="171"/>
    </row>
    <row r="5349" spans="1:41" s="102" customFormat="1" ht="19.899999999999999" customHeight="1" x14ac:dyDescent="0.25">
      <c r="A5349" s="45"/>
      <c r="B5349" s="59"/>
      <c r="C5349" s="137"/>
      <c r="D5349" s="59"/>
      <c r="E5349" s="116"/>
      <c r="F5349" s="120"/>
      <c r="G5349" s="120"/>
      <c r="H5349" s="120"/>
      <c r="I5349" s="60"/>
      <c r="J5349" s="116"/>
      <c r="K5349" s="213"/>
      <c r="L5349" s="120"/>
      <c r="M5349" s="120"/>
      <c r="N5349" s="167"/>
      <c r="O5349" s="120"/>
      <c r="P5349" s="120"/>
      <c r="Q5349" s="120"/>
      <c r="R5349" s="120"/>
      <c r="S5349" s="120"/>
      <c r="T5349" s="221"/>
      <c r="U5349" s="89"/>
      <c r="V5349" s="61"/>
      <c r="W5349" s="92" t="s">
        <v>65</v>
      </c>
      <c r="X5349" s="93" t="s">
        <v>30</v>
      </c>
      <c r="Y5349" s="93" t="s">
        <v>1011</v>
      </c>
      <c r="Z5349" s="134">
        <f>VLOOKUP(W5349,Sheet2!$B:$D,3,FALSE)</f>
        <v>1.76</v>
      </c>
      <c r="AA5349" s="93">
        <f>AA5348/10</f>
        <v>4.7001900812165195E-2</v>
      </c>
      <c r="AB5349" s="93">
        <f>AD5349/AC5344</f>
        <v>37.445294117647066</v>
      </c>
      <c r="AC5349" s="93">
        <f>AC5344/AA5349</f>
        <v>230.20345588235293</v>
      </c>
      <c r="AD5349" s="94">
        <f>AC5349*Z5349</f>
        <v>405.15808235294116</v>
      </c>
      <c r="AE5349" s="190"/>
      <c r="AF5349" s="191"/>
      <c r="AG5349" s="191"/>
      <c r="AH5349" s="191"/>
      <c r="AI5349" s="186"/>
      <c r="AK5349" s="171"/>
    </row>
    <row r="5350" spans="1:41" s="102" customFormat="1" ht="19.899999999999999" customHeight="1" x14ac:dyDescent="0.25">
      <c r="A5350" s="45"/>
      <c r="B5350" s="59"/>
      <c r="C5350" s="137"/>
      <c r="D5350" s="59"/>
      <c r="E5350" s="116"/>
      <c r="F5350" s="120"/>
      <c r="G5350" s="120"/>
      <c r="H5350" s="120"/>
      <c r="I5350" s="60"/>
      <c r="J5350" s="116"/>
      <c r="K5350" s="213"/>
      <c r="L5350" s="120"/>
      <c r="M5350" s="120"/>
      <c r="N5350" s="167"/>
      <c r="O5350" s="120"/>
      <c r="P5350" s="120"/>
      <c r="Q5350" s="120"/>
      <c r="R5350" s="120"/>
      <c r="S5350" s="120"/>
      <c r="T5350" s="221"/>
      <c r="U5350" s="89"/>
      <c r="V5350" s="61"/>
      <c r="W5350" s="92" t="s">
        <v>173</v>
      </c>
      <c r="X5350" s="93" t="s">
        <v>29</v>
      </c>
      <c r="Y5350" s="93" t="s">
        <v>93</v>
      </c>
      <c r="Z5350" s="134">
        <f>VLOOKUP(W5350,Sheet2!$B:$D,3,FALSE)</f>
        <v>36</v>
      </c>
      <c r="AA5350" s="93">
        <f>50/((3*3*6)-(3.14/4*1.5*1.5*6))</f>
        <v>1.1520073728471862</v>
      </c>
      <c r="AB5350" s="93">
        <f>AD5350/AC5344</f>
        <v>31.2498</v>
      </c>
      <c r="AC5350" s="93">
        <f>AC5344/AA5350</f>
        <v>9.392300999999998</v>
      </c>
      <c r="AD5350" s="94">
        <f>AC5350*Z5350</f>
        <v>338.12283599999995</v>
      </c>
      <c r="AE5350" s="190"/>
      <c r="AF5350" s="191"/>
      <c r="AG5350" s="191"/>
      <c r="AH5350" s="191"/>
      <c r="AI5350" s="186"/>
      <c r="AK5350" s="171"/>
    </row>
    <row r="5351" spans="1:41" s="102" customFormat="1" ht="19.899999999999999" customHeight="1" x14ac:dyDescent="0.25">
      <c r="A5351" s="45"/>
      <c r="B5351" s="59"/>
      <c r="C5351" s="137"/>
      <c r="D5351" s="59"/>
      <c r="E5351" s="116"/>
      <c r="F5351" s="120"/>
      <c r="G5351" s="120"/>
      <c r="H5351" s="120"/>
      <c r="I5351" s="60"/>
      <c r="J5351" s="116"/>
      <c r="K5351" s="213"/>
      <c r="L5351" s="120"/>
      <c r="M5351" s="120"/>
      <c r="N5351" s="167"/>
      <c r="O5351" s="120"/>
      <c r="P5351" s="120"/>
      <c r="Q5351" s="120"/>
      <c r="R5351" s="120"/>
      <c r="S5351" s="120"/>
      <c r="T5351" s="221"/>
      <c r="U5351" s="89"/>
      <c r="V5351" s="61"/>
      <c r="W5351" s="92" t="s">
        <v>65</v>
      </c>
      <c r="X5351" s="93" t="s">
        <v>30</v>
      </c>
      <c r="Y5351" s="93" t="s">
        <v>1011</v>
      </c>
      <c r="Z5351" s="134">
        <f>VLOOKUP(W5351,Sheet2!$B:$D,3,FALSE)</f>
        <v>1.76</v>
      </c>
      <c r="AA5351" s="93">
        <f>AA5350/9</f>
        <v>0.12800081920524292</v>
      </c>
      <c r="AB5351" s="93">
        <f>AD5351/AC5344</f>
        <v>13.749912</v>
      </c>
      <c r="AC5351" s="93">
        <f>AC5344/AA5351</f>
        <v>84.530708999999987</v>
      </c>
      <c r="AD5351" s="94">
        <f>AC5351*Z5351</f>
        <v>148.77404783999998</v>
      </c>
      <c r="AE5351" s="190"/>
      <c r="AF5351" s="191"/>
      <c r="AG5351" s="191"/>
      <c r="AH5351" s="191"/>
      <c r="AI5351" s="186"/>
      <c r="AK5351" s="171"/>
    </row>
    <row r="5352" spans="1:41" s="102" customFormat="1" ht="19.899999999999999" customHeight="1" x14ac:dyDescent="0.25">
      <c r="A5352" s="45"/>
      <c r="B5352" s="59"/>
      <c r="C5352" s="137"/>
      <c r="D5352" s="59"/>
      <c r="E5352" s="116"/>
      <c r="F5352" s="120"/>
      <c r="G5352" s="120"/>
      <c r="H5352" s="120"/>
      <c r="I5352" s="60"/>
      <c r="J5352" s="116"/>
      <c r="K5352" s="213"/>
      <c r="L5352" s="120"/>
      <c r="M5352" s="120"/>
      <c r="N5352" s="167"/>
      <c r="O5352" s="120"/>
      <c r="P5352" s="120"/>
      <c r="Q5352" s="120"/>
      <c r="R5352" s="120"/>
      <c r="S5352" s="120"/>
      <c r="T5352" s="221"/>
      <c r="U5352" s="89"/>
      <c r="V5352" s="61"/>
      <c r="W5352" s="92" t="s">
        <v>1030</v>
      </c>
      <c r="X5352" s="93" t="s">
        <v>29</v>
      </c>
      <c r="Y5352" s="93" t="s">
        <v>93</v>
      </c>
      <c r="Z5352" s="134">
        <f>VLOOKUP(W5352,Sheet2!$B:$D,3,FALSE)</f>
        <v>23</v>
      </c>
      <c r="AA5352" s="93">
        <f>1/(6*1)</f>
        <v>0.16666666666666666</v>
      </c>
      <c r="AB5352" s="93">
        <f>AD5352/AC5344</f>
        <v>138.00000000000003</v>
      </c>
      <c r="AC5352" s="93">
        <f>AC5344/AA5352</f>
        <v>64.92</v>
      </c>
      <c r="AD5352" s="94">
        <f t="shared" ref="AD5352:AD5353" si="3822">AC5352*Z5352</f>
        <v>1493.16</v>
      </c>
      <c r="AE5352" s="190"/>
      <c r="AF5352" s="191"/>
      <c r="AG5352" s="191"/>
      <c r="AH5352" s="191"/>
      <c r="AI5352" s="186"/>
      <c r="AK5352" s="171"/>
    </row>
    <row r="5353" spans="1:41" s="102" customFormat="1" ht="19.899999999999999" customHeight="1" x14ac:dyDescent="0.25">
      <c r="A5353" s="45"/>
      <c r="B5353" s="59"/>
      <c r="C5353" s="137"/>
      <c r="D5353" s="59"/>
      <c r="E5353" s="116"/>
      <c r="F5353" s="120"/>
      <c r="G5353" s="120"/>
      <c r="H5353" s="120"/>
      <c r="I5353" s="60"/>
      <c r="J5353" s="116"/>
      <c r="K5353" s="213"/>
      <c r="L5353" s="120"/>
      <c r="M5353" s="120"/>
      <c r="N5353" s="167"/>
      <c r="O5353" s="120"/>
      <c r="P5353" s="120"/>
      <c r="Q5353" s="120"/>
      <c r="R5353" s="120"/>
      <c r="S5353" s="120"/>
      <c r="T5353" s="221"/>
      <c r="U5353" s="89"/>
      <c r="V5353" s="61"/>
      <c r="W5353" s="92" t="s">
        <v>65</v>
      </c>
      <c r="X5353" s="93" t="s">
        <v>30</v>
      </c>
      <c r="Y5353" s="93" t="s">
        <v>1011</v>
      </c>
      <c r="Z5353" s="134">
        <f>VLOOKUP(W5353,Sheet2!$B:$D,3,FALSE)</f>
        <v>1.76</v>
      </c>
      <c r="AA5353" s="93">
        <f>AA5352/3</f>
        <v>5.5555555555555552E-2</v>
      </c>
      <c r="AB5353" s="93">
        <f>AD5353/AC5344</f>
        <v>31.680000000000003</v>
      </c>
      <c r="AC5353" s="93">
        <f>AC5344/AA5353</f>
        <v>194.76</v>
      </c>
      <c r="AD5353" s="94">
        <f t="shared" si="3822"/>
        <v>342.77760000000001</v>
      </c>
      <c r="AE5353" s="190"/>
      <c r="AF5353" s="191"/>
      <c r="AG5353" s="191"/>
      <c r="AH5353" s="191"/>
      <c r="AI5353" s="186"/>
      <c r="AK5353" s="171"/>
    </row>
    <row r="5354" spans="1:41" ht="20.100000000000001" customHeight="1" x14ac:dyDescent="0.25">
      <c r="A5354" s="277" t="s">
        <v>491</v>
      </c>
      <c r="B5354" s="278"/>
      <c r="C5354" s="64" t="s">
        <v>583</v>
      </c>
      <c r="D5354" s="46" t="s">
        <v>215</v>
      </c>
      <c r="E5354" s="114">
        <v>0.48999999999999932</v>
      </c>
      <c r="F5354" s="44">
        <v>73640</v>
      </c>
      <c r="G5354" s="44">
        <f t="shared" si="3471"/>
        <v>36083.599999999948</v>
      </c>
      <c r="H5354" s="44">
        <f t="shared" si="3472"/>
        <v>14646.709922882354</v>
      </c>
      <c r="I5354" s="43">
        <f t="shared" si="3473"/>
        <v>7176.887862212343</v>
      </c>
      <c r="J5354" s="112">
        <f t="shared" si="3474"/>
        <v>0.48999999999999932</v>
      </c>
      <c r="K5354" s="211">
        <f t="shared" si="3475"/>
        <v>0.48999999999999932</v>
      </c>
      <c r="L5354" s="44"/>
      <c r="M5354" s="44">
        <f t="shared" si="3499"/>
        <v>0.48999999999999932</v>
      </c>
      <c r="N5354" s="173">
        <f t="shared" si="3476"/>
        <v>1</v>
      </c>
      <c r="O5354" s="44">
        <f t="shared" si="3477"/>
        <v>73640</v>
      </c>
      <c r="P5354" s="44">
        <f t="shared" si="3478"/>
        <v>36083.599999999948</v>
      </c>
      <c r="Q5354" s="44">
        <f t="shared" si="3479"/>
        <v>14646.709922882354</v>
      </c>
      <c r="R5354" s="44">
        <f t="shared" si="3500"/>
        <v>7176.887862212343</v>
      </c>
      <c r="S5354" s="123"/>
      <c r="T5354" s="219">
        <f t="shared" si="3501"/>
        <v>7176.887862212343</v>
      </c>
      <c r="U5354" s="87"/>
      <c r="V5354" s="47"/>
      <c r="W5354" s="48"/>
      <c r="X5354" s="48"/>
      <c r="Y5354" s="48"/>
      <c r="Z5354" s="135"/>
      <c r="AA5354" s="49"/>
      <c r="AB5354" s="50">
        <f t="shared" si="3480"/>
        <v>14646.709922882354</v>
      </c>
      <c r="AC5354" s="42">
        <f t="shared" si="3502"/>
        <v>0.48999999999999932</v>
      </c>
      <c r="AD5354" s="90">
        <f>AD5355+AD5360+AD5367+AD5374</f>
        <v>7176.887862212343</v>
      </c>
      <c r="AE5354" s="188">
        <f t="shared" ref="AE5354" si="3823">AE5355+AE5360+AE5367+AE5374</f>
        <v>0</v>
      </c>
      <c r="AF5354" s="189">
        <f t="shared" ref="AF5354" si="3824">AF5355+AF5360+AF5367+AF5374</f>
        <v>0</v>
      </c>
      <c r="AG5354" s="189">
        <f t="shared" ref="AG5354" si="3825">AG5355+AG5360+AG5367+AG5374</f>
        <v>0</v>
      </c>
      <c r="AH5354" s="189">
        <f t="shared" ref="AH5354" si="3826">AH5355+AH5360+AH5367+AH5374</f>
        <v>0</v>
      </c>
      <c r="AI5354" s="161">
        <f t="shared" ref="AI5354:AI5384" si="3827">SUM(AE5354:AH5354)</f>
        <v>0</v>
      </c>
      <c r="AK5354" s="169">
        <v>5</v>
      </c>
      <c r="AO5354" s="19" t="s">
        <v>63</v>
      </c>
    </row>
    <row r="5355" spans="1:41" s="103" customFormat="1" ht="19.899999999999999" customHeight="1" x14ac:dyDescent="0.25">
      <c r="A5355" s="51"/>
      <c r="B5355" s="52"/>
      <c r="C5355" s="165"/>
      <c r="D5355" s="52"/>
      <c r="E5355" s="115"/>
      <c r="F5355" s="58"/>
      <c r="G5355" s="58"/>
      <c r="H5355" s="58"/>
      <c r="I5355" s="55"/>
      <c r="J5355" s="113">
        <f>J5354</f>
        <v>0.48999999999999932</v>
      </c>
      <c r="K5355" s="212">
        <f>K5354</f>
        <v>0.48999999999999932</v>
      </c>
      <c r="L5355" s="58"/>
      <c r="M5355" s="58">
        <f>K5355-L5355</f>
        <v>0.48999999999999932</v>
      </c>
      <c r="N5355" s="166"/>
      <c r="O5355" s="58"/>
      <c r="P5355" s="58"/>
      <c r="Q5355" s="58"/>
      <c r="R5355" s="58"/>
      <c r="S5355" s="58"/>
      <c r="T5355" s="220"/>
      <c r="U5355" s="88"/>
      <c r="V5355" s="56"/>
      <c r="W5355" s="57" t="s">
        <v>1552</v>
      </c>
      <c r="X5355" s="53"/>
      <c r="Y5355" s="91" t="s">
        <v>35</v>
      </c>
      <c r="Z5355" s="136">
        <f>AD5355/AC5355</f>
        <v>297.8168470588235</v>
      </c>
      <c r="AA5355" s="58"/>
      <c r="AB5355" s="53">
        <f>AD5355/AC5355</f>
        <v>297.8168470588235</v>
      </c>
      <c r="AC5355" s="53">
        <f>M5355+$AE$10</f>
        <v>0.48999999999999932</v>
      </c>
      <c r="AD5355" s="54">
        <f>SUM(AD5356:AD5359)</f>
        <v>145.93025505882332</v>
      </c>
      <c r="AE5355" s="184">
        <f>SUMIFS($AD$37:$AD$12971,$V$37:$V$12971,$V5355,$X$37:$X$12971,AE$13)</f>
        <v>0</v>
      </c>
      <c r="AF5355" s="185">
        <f>SUMIFS($AD$37:$AD$12971,$V$37:$V$12971,$V5355,$X$37:$X$12971,AF$13)</f>
        <v>0</v>
      </c>
      <c r="AG5355" s="185">
        <f>SUMIFS($AD$37:$AD$12971,$V$37:$V$12971,$V5355,$X$37:$X$12971,AG$13)</f>
        <v>0</v>
      </c>
      <c r="AH5355" s="187">
        <f>SUMIFS($AD$37:$AD$12971,$V$37:$V$12971,$V5355,$X$37:$X$12971,AH$13)</f>
        <v>0</v>
      </c>
      <c r="AI5355" s="161">
        <f t="shared" ref="AI5355" si="3828">SUM(AE5355:AH5355)</f>
        <v>0</v>
      </c>
      <c r="AK5355" s="172"/>
    </row>
    <row r="5356" spans="1:41" s="102" customFormat="1" ht="19.899999999999999" customHeight="1" x14ac:dyDescent="0.25">
      <c r="A5356" s="45"/>
      <c r="B5356" s="59"/>
      <c r="C5356" s="137"/>
      <c r="D5356" s="59"/>
      <c r="E5356" s="116"/>
      <c r="F5356" s="120"/>
      <c r="G5356" s="120"/>
      <c r="H5356" s="120"/>
      <c r="I5356" s="60"/>
      <c r="J5356" s="116"/>
      <c r="K5356" s="213"/>
      <c r="L5356" s="120"/>
      <c r="M5356" s="120"/>
      <c r="N5356" s="167"/>
      <c r="O5356" s="120"/>
      <c r="P5356" s="120"/>
      <c r="Q5356" s="120"/>
      <c r="R5356" s="120"/>
      <c r="S5356" s="120"/>
      <c r="T5356" s="221"/>
      <c r="U5356" s="89"/>
      <c r="V5356" s="61"/>
      <c r="W5356" s="92" t="s">
        <v>131</v>
      </c>
      <c r="X5356" s="93" t="s">
        <v>29</v>
      </c>
      <c r="Y5356" s="93" t="s">
        <v>93</v>
      </c>
      <c r="Z5356" s="134">
        <f>VLOOKUP(W5356,Sheet2!$B:$D,3,FALSE)</f>
        <v>131.19999999999999</v>
      </c>
      <c r="AA5356" s="93">
        <f>100/(3*3*6.5)</f>
        <v>1.7094017094017093</v>
      </c>
      <c r="AB5356" s="93">
        <f t="shared" ref="AB5356" si="3829">AD5356/AC5355</f>
        <v>76.75200000000001</v>
      </c>
      <c r="AC5356" s="93">
        <f>AC5355/AA5356</f>
        <v>0.28664999999999963</v>
      </c>
      <c r="AD5356" s="94">
        <f t="shared" ref="AD5356:AD5357" si="3830">AC5356*Z5356</f>
        <v>37.60847999999995</v>
      </c>
      <c r="AE5356" s="190"/>
      <c r="AF5356" s="191"/>
      <c r="AG5356" s="191"/>
      <c r="AH5356" s="191"/>
      <c r="AI5356" s="186"/>
      <c r="AK5356" s="171"/>
    </row>
    <row r="5357" spans="1:41" s="102" customFormat="1" ht="19.899999999999999" customHeight="1" x14ac:dyDescent="0.25">
      <c r="A5357" s="45"/>
      <c r="B5357" s="59"/>
      <c r="C5357" s="137"/>
      <c r="D5357" s="59"/>
      <c r="E5357" s="116"/>
      <c r="F5357" s="120"/>
      <c r="G5357" s="120"/>
      <c r="H5357" s="120"/>
      <c r="I5357" s="60"/>
      <c r="J5357" s="116"/>
      <c r="K5357" s="213"/>
      <c r="L5357" s="120"/>
      <c r="M5357" s="120"/>
      <c r="N5357" s="167"/>
      <c r="O5357" s="120"/>
      <c r="P5357" s="120"/>
      <c r="Q5357" s="120"/>
      <c r="R5357" s="120"/>
      <c r="S5357" s="120"/>
      <c r="T5357" s="221"/>
      <c r="U5357" s="89"/>
      <c r="V5357" s="61"/>
      <c r="W5357" s="92" t="s">
        <v>65</v>
      </c>
      <c r="X5357" s="93" t="s">
        <v>30</v>
      </c>
      <c r="Y5357" s="93" t="s">
        <v>1011</v>
      </c>
      <c r="Z5357" s="134">
        <f>VLOOKUP(W5357,Sheet2!$B:$D,3,FALSE)</f>
        <v>1.76</v>
      </c>
      <c r="AA5357" s="93">
        <f>AA5356/32</f>
        <v>5.3418803418803416E-2</v>
      </c>
      <c r="AB5357" s="93">
        <f>AD5357/AC5355</f>
        <v>32.947200000000009</v>
      </c>
      <c r="AC5357" s="93">
        <f>AC5355/AA5357</f>
        <v>9.1727999999999881</v>
      </c>
      <c r="AD5357" s="94">
        <f t="shared" si="3830"/>
        <v>16.144127999999981</v>
      </c>
      <c r="AE5357" s="190"/>
      <c r="AF5357" s="191"/>
      <c r="AG5357" s="191"/>
      <c r="AH5357" s="191"/>
      <c r="AI5357" s="186"/>
      <c r="AK5357" s="171"/>
    </row>
    <row r="5358" spans="1:41" s="102" customFormat="1" ht="19.899999999999999" customHeight="1" x14ac:dyDescent="0.25">
      <c r="A5358" s="45"/>
      <c r="B5358" s="59"/>
      <c r="C5358" s="137"/>
      <c r="D5358" s="59"/>
      <c r="E5358" s="116"/>
      <c r="F5358" s="120"/>
      <c r="G5358" s="120"/>
      <c r="H5358" s="120"/>
      <c r="I5358" s="60"/>
      <c r="J5358" s="116"/>
      <c r="K5358" s="213"/>
      <c r="L5358" s="120"/>
      <c r="M5358" s="120"/>
      <c r="N5358" s="167"/>
      <c r="O5358" s="120"/>
      <c r="P5358" s="120"/>
      <c r="Q5358" s="120"/>
      <c r="R5358" s="120"/>
      <c r="S5358" s="120"/>
      <c r="T5358" s="221"/>
      <c r="U5358" s="89"/>
      <c r="V5358" s="61"/>
      <c r="W5358" s="92" t="s">
        <v>161</v>
      </c>
      <c r="X5358" s="93" t="s">
        <v>29</v>
      </c>
      <c r="Y5358" s="93" t="s">
        <v>93</v>
      </c>
      <c r="Z5358" s="134">
        <f>VLOOKUP(W5358,Sheet2!$B:$D,3,FALSE)</f>
        <v>48</v>
      </c>
      <c r="AA5358" s="93">
        <f>(16*0.85*1.5)/(3*3*6.5)</f>
        <v>0.3487179487179487</v>
      </c>
      <c r="AB5358" s="93">
        <f>AD5358/AC5355</f>
        <v>137.64705882352942</v>
      </c>
      <c r="AC5358" s="93">
        <f>AC5355/AA5358</f>
        <v>1.4051470588235275</v>
      </c>
      <c r="AD5358" s="94">
        <f>AC5358*Z5358</f>
        <v>67.447058823529318</v>
      </c>
      <c r="AE5358" s="190"/>
      <c r="AF5358" s="191"/>
      <c r="AG5358" s="191"/>
      <c r="AH5358" s="191"/>
      <c r="AI5358" s="186"/>
      <c r="AK5358" s="171"/>
    </row>
    <row r="5359" spans="1:41" s="102" customFormat="1" ht="19.899999999999999" customHeight="1" x14ac:dyDescent="0.25">
      <c r="A5359" s="45"/>
      <c r="B5359" s="59"/>
      <c r="C5359" s="137"/>
      <c r="D5359" s="59"/>
      <c r="E5359" s="116"/>
      <c r="F5359" s="120"/>
      <c r="G5359" s="120"/>
      <c r="H5359" s="120"/>
      <c r="I5359" s="60"/>
      <c r="J5359" s="116"/>
      <c r="K5359" s="213"/>
      <c r="L5359" s="120"/>
      <c r="M5359" s="120"/>
      <c r="N5359" s="167"/>
      <c r="O5359" s="120"/>
      <c r="P5359" s="120"/>
      <c r="Q5359" s="120"/>
      <c r="R5359" s="120"/>
      <c r="S5359" s="120"/>
      <c r="T5359" s="221"/>
      <c r="U5359" s="89"/>
      <c r="V5359" s="61"/>
      <c r="W5359" s="92" t="s">
        <v>65</v>
      </c>
      <c r="X5359" s="93" t="s">
        <v>30</v>
      </c>
      <c r="Y5359" s="93" t="s">
        <v>1011</v>
      </c>
      <c r="Z5359" s="134">
        <f>VLOOKUP(W5359,Sheet2!$B:$D,3,FALSE)</f>
        <v>1.76</v>
      </c>
      <c r="AA5359" s="93">
        <f>AA5358/10</f>
        <v>3.487179487179487E-2</v>
      </c>
      <c r="AB5359" s="93">
        <f>AD5359/AC5355</f>
        <v>50.470588235294123</v>
      </c>
      <c r="AC5359" s="93">
        <f>AC5355/AA5359</f>
        <v>14.051470588235276</v>
      </c>
      <c r="AD5359" s="94">
        <f>AC5359*Z5359</f>
        <v>24.730588235294086</v>
      </c>
      <c r="AE5359" s="190"/>
      <c r="AF5359" s="191"/>
      <c r="AG5359" s="191"/>
      <c r="AH5359" s="191"/>
      <c r="AI5359" s="186"/>
      <c r="AK5359" s="171"/>
    </row>
    <row r="5360" spans="1:41" s="103" customFormat="1" ht="19.899999999999999" customHeight="1" x14ac:dyDescent="0.25">
      <c r="A5360" s="51"/>
      <c r="B5360" s="52"/>
      <c r="C5360" s="165"/>
      <c r="D5360" s="52"/>
      <c r="E5360" s="115"/>
      <c r="F5360" s="58"/>
      <c r="G5360" s="58"/>
      <c r="H5360" s="58"/>
      <c r="I5360" s="55"/>
      <c r="J5360" s="113">
        <f>J5354</f>
        <v>0.48999999999999932</v>
      </c>
      <c r="K5360" s="212">
        <f>K5354</f>
        <v>0.48999999999999932</v>
      </c>
      <c r="L5360" s="58"/>
      <c r="M5360" s="58">
        <f>K5360-L5360</f>
        <v>0.48999999999999932</v>
      </c>
      <c r="N5360" s="166"/>
      <c r="O5360" s="58"/>
      <c r="P5360" s="58"/>
      <c r="Q5360" s="58"/>
      <c r="R5360" s="58"/>
      <c r="S5360" s="58"/>
      <c r="T5360" s="220"/>
      <c r="U5360" s="88"/>
      <c r="V5360" s="56"/>
      <c r="W5360" s="57" t="s">
        <v>1486</v>
      </c>
      <c r="X5360" s="53"/>
      <c r="Y5360" s="91" t="s">
        <v>35</v>
      </c>
      <c r="Z5360" s="136">
        <f>AD5360/AC5360</f>
        <v>1883.8374999999999</v>
      </c>
      <c r="AA5360" s="58"/>
      <c r="AB5360" s="53">
        <f>AD5360/AC5360</f>
        <v>1883.8374999999999</v>
      </c>
      <c r="AC5360" s="53">
        <f>M5360+$AE$10</f>
        <v>0.48999999999999932</v>
      </c>
      <c r="AD5360" s="54">
        <f>SUM(AD5361:AD5366)</f>
        <v>923.08037499999864</v>
      </c>
      <c r="AE5360" s="184">
        <f>SUMIFS($AD$37:$AD$12971,$V$37:$V$12971,$V5360,$X$37:$X$12971,AE$13)</f>
        <v>0</v>
      </c>
      <c r="AF5360" s="185">
        <f>SUMIFS($AD$37:$AD$12971,$V$37:$V$12971,$V5360,$X$37:$X$12971,AF$13)</f>
        <v>0</v>
      </c>
      <c r="AG5360" s="185">
        <f>SUMIFS($AD$37:$AD$12971,$V$37:$V$12971,$V5360,$X$37:$X$12971,AG$13)</f>
        <v>0</v>
      </c>
      <c r="AH5360" s="187">
        <f>SUMIFS($AD$37:$AD$12971,$V$37:$V$12971,$V5360,$X$37:$X$12971,AH$13)</f>
        <v>0</v>
      </c>
      <c r="AI5360" s="161">
        <f t="shared" ref="AI5360" si="3831">SUM(AE5360:AH5360)</f>
        <v>0</v>
      </c>
      <c r="AK5360" s="172"/>
    </row>
    <row r="5361" spans="1:37" s="102" customFormat="1" ht="19.899999999999999" customHeight="1" x14ac:dyDescent="0.25">
      <c r="A5361" s="45"/>
      <c r="B5361" s="59"/>
      <c r="C5361" s="137"/>
      <c r="D5361" s="59"/>
      <c r="E5361" s="116"/>
      <c r="F5361" s="120"/>
      <c r="G5361" s="120"/>
      <c r="H5361" s="120"/>
      <c r="I5361" s="60"/>
      <c r="J5361" s="116"/>
      <c r="K5361" s="213"/>
      <c r="L5361" s="120"/>
      <c r="M5361" s="120"/>
      <c r="N5361" s="167"/>
      <c r="O5361" s="120"/>
      <c r="P5361" s="120"/>
      <c r="Q5361" s="120"/>
      <c r="R5361" s="120"/>
      <c r="S5361" s="120"/>
      <c r="T5361" s="221"/>
      <c r="U5361" s="89"/>
      <c r="V5361" s="61"/>
      <c r="W5361" s="92" t="s">
        <v>1032</v>
      </c>
      <c r="X5361" s="93" t="s">
        <v>30</v>
      </c>
      <c r="Y5361" s="93" t="s">
        <v>66</v>
      </c>
      <c r="Z5361" s="134">
        <f>VLOOKUP(W5361,Sheet2!$B:$D,3,FALSE)</f>
        <v>250</v>
      </c>
      <c r="AA5361" s="93">
        <f>1/(2.4*2.4*0.1)</f>
        <v>1.7361111111111112</v>
      </c>
      <c r="AB5361" s="93">
        <f>AD5361/AC5367</f>
        <v>144</v>
      </c>
      <c r="AC5361" s="93">
        <f>AC5367/AA5361</f>
        <v>0.2822399999999996</v>
      </c>
      <c r="AD5361" s="94">
        <f t="shared" ref="AD5361:AD5363" si="3832">AC5361*Z5361</f>
        <v>70.559999999999903</v>
      </c>
      <c r="AE5361" s="190"/>
      <c r="AF5361" s="191"/>
      <c r="AG5361" s="191"/>
      <c r="AH5361" s="191"/>
      <c r="AI5361" s="186"/>
      <c r="AK5361" s="171"/>
    </row>
    <row r="5362" spans="1:37" s="102" customFormat="1" ht="19.899999999999999" customHeight="1" x14ac:dyDescent="0.25">
      <c r="A5362" s="45"/>
      <c r="B5362" s="59"/>
      <c r="C5362" s="137"/>
      <c r="D5362" s="59"/>
      <c r="E5362" s="116"/>
      <c r="F5362" s="120"/>
      <c r="G5362" s="120"/>
      <c r="H5362" s="120"/>
      <c r="I5362" s="60"/>
      <c r="J5362" s="116"/>
      <c r="K5362" s="213"/>
      <c r="L5362" s="120"/>
      <c r="M5362" s="120"/>
      <c r="N5362" s="167"/>
      <c r="O5362" s="120"/>
      <c r="P5362" s="120"/>
      <c r="Q5362" s="120"/>
      <c r="R5362" s="120"/>
      <c r="S5362" s="120"/>
      <c r="T5362" s="221"/>
      <c r="U5362" s="89"/>
      <c r="V5362" s="61"/>
      <c r="W5362" s="92" t="s">
        <v>1353</v>
      </c>
      <c r="X5362" s="93" t="s">
        <v>30</v>
      </c>
      <c r="Y5362" s="93" t="s">
        <v>66</v>
      </c>
      <c r="Z5362" s="134">
        <f>VLOOKUP(W5362,Sheet2!$B:$D,3,FALSE)</f>
        <v>350</v>
      </c>
      <c r="AA5362" s="93">
        <f>1/(2.3*2.3*0.3)</f>
        <v>0.63011972274732209</v>
      </c>
      <c r="AB5362" s="93">
        <f>AD5362/AC5367</f>
        <v>555.44999999999993</v>
      </c>
      <c r="AC5362" s="93">
        <f>AC5367/AA5362</f>
        <v>0.77762999999999882</v>
      </c>
      <c r="AD5362" s="94">
        <f t="shared" si="3832"/>
        <v>272.17049999999961</v>
      </c>
      <c r="AE5362" s="190"/>
      <c r="AF5362" s="191"/>
      <c r="AG5362" s="191"/>
      <c r="AH5362" s="191"/>
      <c r="AI5362" s="186"/>
      <c r="AK5362" s="171"/>
    </row>
    <row r="5363" spans="1:37" s="102" customFormat="1" ht="19.899999999999999" customHeight="1" x14ac:dyDescent="0.25">
      <c r="A5363" s="45"/>
      <c r="B5363" s="59"/>
      <c r="C5363" s="137"/>
      <c r="D5363" s="59"/>
      <c r="E5363" s="116"/>
      <c r="F5363" s="120"/>
      <c r="G5363" s="120"/>
      <c r="H5363" s="120"/>
      <c r="I5363" s="60"/>
      <c r="J5363" s="116"/>
      <c r="K5363" s="213"/>
      <c r="L5363" s="120"/>
      <c r="M5363" s="120"/>
      <c r="N5363" s="167"/>
      <c r="O5363" s="120"/>
      <c r="P5363" s="120"/>
      <c r="Q5363" s="120"/>
      <c r="R5363" s="120"/>
      <c r="S5363" s="120"/>
      <c r="T5363" s="221"/>
      <c r="U5363" s="89"/>
      <c r="V5363" s="61"/>
      <c r="W5363" s="92" t="s">
        <v>99</v>
      </c>
      <c r="X5363" s="93" t="s">
        <v>30</v>
      </c>
      <c r="Y5363" s="93" t="s">
        <v>67</v>
      </c>
      <c r="Z5363" s="134">
        <f>VLOOKUP(W5363,Sheet2!$B:$D,3,FALSE)</f>
        <v>2500</v>
      </c>
      <c r="AA5363" s="93">
        <f>AA5362/0.08</f>
        <v>7.8764965343415261</v>
      </c>
      <c r="AB5363" s="93">
        <f>AD5363/AC5367</f>
        <v>317.39999999999992</v>
      </c>
      <c r="AC5363" s="93">
        <f>AC5367/AA5363</f>
        <v>6.2210399999999902E-2</v>
      </c>
      <c r="AD5363" s="94">
        <f t="shared" si="3832"/>
        <v>155.52599999999975</v>
      </c>
      <c r="AE5363" s="190"/>
      <c r="AF5363" s="191"/>
      <c r="AG5363" s="191"/>
      <c r="AH5363" s="191"/>
      <c r="AI5363" s="186"/>
      <c r="AK5363" s="171"/>
    </row>
    <row r="5364" spans="1:37" s="102" customFormat="1" ht="19.899999999999999" customHeight="1" x14ac:dyDescent="0.25">
      <c r="A5364" s="45"/>
      <c r="B5364" s="59"/>
      <c r="C5364" s="137"/>
      <c r="D5364" s="59"/>
      <c r="E5364" s="116"/>
      <c r="F5364" s="120"/>
      <c r="G5364" s="120"/>
      <c r="H5364" s="120"/>
      <c r="I5364" s="60"/>
      <c r="J5364" s="116"/>
      <c r="K5364" s="213"/>
      <c r="L5364" s="120"/>
      <c r="M5364" s="120"/>
      <c r="N5364" s="167"/>
      <c r="O5364" s="120"/>
      <c r="P5364" s="120"/>
      <c r="Q5364" s="120"/>
      <c r="R5364" s="120"/>
      <c r="S5364" s="120"/>
      <c r="T5364" s="221"/>
      <c r="U5364" s="89"/>
      <c r="V5364" s="61"/>
      <c r="W5364" s="92" t="s">
        <v>1354</v>
      </c>
      <c r="X5364" s="93" t="s">
        <v>32</v>
      </c>
      <c r="Y5364" s="93" t="s">
        <v>66</v>
      </c>
      <c r="Z5364" s="134">
        <f>VLOOKUP(W5364,Sheet2!$B:$D,3,FALSE)</f>
        <v>150</v>
      </c>
      <c r="AA5364" s="93">
        <f>AA5361</f>
        <v>1.7361111111111112</v>
      </c>
      <c r="AB5364" s="93">
        <f>AD5364/AC5367</f>
        <v>86.4</v>
      </c>
      <c r="AC5364" s="93">
        <f>AC5367/AA5364</f>
        <v>0.2822399999999996</v>
      </c>
      <c r="AD5364" s="94">
        <f>AC5364*Z5364</f>
        <v>42.335999999999942</v>
      </c>
      <c r="AE5364" s="190"/>
      <c r="AF5364" s="191"/>
      <c r="AG5364" s="191"/>
      <c r="AH5364" s="191"/>
      <c r="AI5364" s="186"/>
      <c r="AK5364" s="171"/>
    </row>
    <row r="5365" spans="1:37" s="102" customFormat="1" ht="19.899999999999999" customHeight="1" x14ac:dyDescent="0.25">
      <c r="A5365" s="45"/>
      <c r="B5365" s="59"/>
      <c r="C5365" s="137"/>
      <c r="D5365" s="59"/>
      <c r="E5365" s="116"/>
      <c r="F5365" s="120"/>
      <c r="G5365" s="120"/>
      <c r="H5365" s="120"/>
      <c r="I5365" s="60"/>
      <c r="J5365" s="116"/>
      <c r="K5365" s="213"/>
      <c r="L5365" s="120"/>
      <c r="M5365" s="120"/>
      <c r="N5365" s="167"/>
      <c r="O5365" s="120"/>
      <c r="P5365" s="120"/>
      <c r="Q5365" s="120"/>
      <c r="R5365" s="120"/>
      <c r="S5365" s="120"/>
      <c r="T5365" s="221"/>
      <c r="U5365" s="89"/>
      <c r="V5365" s="61"/>
      <c r="W5365" s="92" t="s">
        <v>1355</v>
      </c>
      <c r="X5365" s="93" t="s">
        <v>32</v>
      </c>
      <c r="Y5365" s="93" t="s">
        <v>66</v>
      </c>
      <c r="Z5365" s="134">
        <f>VLOOKUP(W5365,Sheet2!$B:$D,3,FALSE)</f>
        <v>450</v>
      </c>
      <c r="AA5365" s="93">
        <f>AA5362</f>
        <v>0.63011972274732209</v>
      </c>
      <c r="AB5365" s="93">
        <f>AD5365/AC5367</f>
        <v>714.14999999999986</v>
      </c>
      <c r="AC5365" s="93">
        <f>AC5367/AA5365</f>
        <v>0.77762999999999882</v>
      </c>
      <c r="AD5365" s="94">
        <f>AC5365*Z5365</f>
        <v>349.93349999999947</v>
      </c>
      <c r="AE5365" s="190"/>
      <c r="AF5365" s="191"/>
      <c r="AG5365" s="191"/>
      <c r="AH5365" s="191"/>
      <c r="AI5365" s="186"/>
      <c r="AK5365" s="171"/>
    </row>
    <row r="5366" spans="1:37" s="102" customFormat="1" ht="19.899999999999999" customHeight="1" x14ac:dyDescent="0.25">
      <c r="A5366" s="45"/>
      <c r="B5366" s="59"/>
      <c r="C5366" s="137"/>
      <c r="D5366" s="59"/>
      <c r="E5366" s="116"/>
      <c r="F5366" s="120"/>
      <c r="G5366" s="120"/>
      <c r="H5366" s="120"/>
      <c r="I5366" s="60"/>
      <c r="J5366" s="116"/>
      <c r="K5366" s="213"/>
      <c r="L5366" s="120"/>
      <c r="M5366" s="120"/>
      <c r="N5366" s="167"/>
      <c r="O5366" s="120"/>
      <c r="P5366" s="120"/>
      <c r="Q5366" s="120"/>
      <c r="R5366" s="120"/>
      <c r="S5366" s="120"/>
      <c r="T5366" s="221"/>
      <c r="U5366" s="89"/>
      <c r="V5366" s="61"/>
      <c r="W5366" s="92" t="s">
        <v>124</v>
      </c>
      <c r="X5366" s="93" t="s">
        <v>32</v>
      </c>
      <c r="Y5366" s="93" t="s">
        <v>64</v>
      </c>
      <c r="Z5366" s="134">
        <f>VLOOKUP(W5366,Sheet2!$B:$D,3,FALSE)</f>
        <v>10</v>
      </c>
      <c r="AA5366" s="93">
        <f>1/((2.9*2.9)-(3.14*1.5*1.5/4))</f>
        <v>0.15051740357478832</v>
      </c>
      <c r="AB5366" s="93">
        <f t="shared" ref="AB5366" si="3833">AD5366/AC5360</f>
        <v>66.4375</v>
      </c>
      <c r="AC5366" s="93">
        <f>AC5360/AA5366</f>
        <v>3.2554374999999958</v>
      </c>
      <c r="AD5366" s="94">
        <f t="shared" ref="AD5366" si="3834">AC5366*Z5366</f>
        <v>32.554374999999958</v>
      </c>
      <c r="AE5366" s="190"/>
      <c r="AF5366" s="191"/>
      <c r="AG5366" s="191"/>
      <c r="AH5366" s="191"/>
      <c r="AI5366" s="186"/>
      <c r="AK5366" s="171"/>
    </row>
    <row r="5367" spans="1:37" s="103" customFormat="1" ht="19.899999999999999" customHeight="1" x14ac:dyDescent="0.25">
      <c r="A5367" s="51"/>
      <c r="B5367" s="52"/>
      <c r="C5367" s="165"/>
      <c r="D5367" s="52"/>
      <c r="E5367" s="115"/>
      <c r="F5367" s="58"/>
      <c r="G5367" s="58"/>
      <c r="H5367" s="58"/>
      <c r="I5367" s="55"/>
      <c r="J5367" s="113">
        <f>J5354</f>
        <v>0.48999999999999932</v>
      </c>
      <c r="K5367" s="212">
        <f>K5354</f>
        <v>0.48999999999999932</v>
      </c>
      <c r="L5367" s="58"/>
      <c r="M5367" s="58">
        <f>K5367-L5367</f>
        <v>0.48999999999999932</v>
      </c>
      <c r="N5367" s="166"/>
      <c r="O5367" s="58"/>
      <c r="P5367" s="58"/>
      <c r="Q5367" s="58"/>
      <c r="R5367" s="58"/>
      <c r="S5367" s="58"/>
      <c r="T5367" s="220"/>
      <c r="U5367" s="88"/>
      <c r="V5367" s="56"/>
      <c r="W5367" s="57" t="s">
        <v>1275</v>
      </c>
      <c r="X5367" s="53"/>
      <c r="Y5367" s="91" t="s">
        <v>35</v>
      </c>
      <c r="Z5367" s="136">
        <f>AD5367/AC5367</f>
        <v>11572.800000000001</v>
      </c>
      <c r="AA5367" s="58"/>
      <c r="AB5367" s="53">
        <f>AD5367/AC5367</f>
        <v>11572.800000000001</v>
      </c>
      <c r="AC5367" s="53">
        <f>M5367+$AE$10</f>
        <v>0.48999999999999932</v>
      </c>
      <c r="AD5367" s="54">
        <f>SUM(AD5368:AD5373)</f>
        <v>5670.6719999999923</v>
      </c>
      <c r="AE5367" s="184">
        <f>SUMIFS($AD$37:$AD$12971,$V$37:$V$12971,$V5367,$X$37:$X$12971,AE$13)</f>
        <v>0</v>
      </c>
      <c r="AF5367" s="185">
        <f>SUMIFS($AD$37:$AD$12971,$V$37:$V$12971,$V5367,$X$37:$X$12971,AF$13)</f>
        <v>0</v>
      </c>
      <c r="AG5367" s="185">
        <f>SUMIFS($AD$37:$AD$12971,$V$37:$V$12971,$V5367,$X$37:$X$12971,AG$13)</f>
        <v>0</v>
      </c>
      <c r="AH5367" s="187">
        <f>SUMIFS($AD$37:$AD$12971,$V$37:$V$12971,$V5367,$X$37:$X$12971,AH$13)</f>
        <v>0</v>
      </c>
      <c r="AI5367" s="161">
        <f t="shared" ref="AI5367" si="3835">SUM(AE5367:AH5367)</f>
        <v>0</v>
      </c>
      <c r="AK5367" s="172"/>
    </row>
    <row r="5368" spans="1:37" s="102" customFormat="1" ht="19.899999999999999" customHeight="1" x14ac:dyDescent="0.25">
      <c r="A5368" s="45"/>
      <c r="B5368" s="59"/>
      <c r="C5368" s="137"/>
      <c r="D5368" s="59"/>
      <c r="E5368" s="116"/>
      <c r="F5368" s="120"/>
      <c r="G5368" s="120"/>
      <c r="H5368" s="120"/>
      <c r="I5368" s="60"/>
      <c r="J5368" s="116"/>
      <c r="K5368" s="213"/>
      <c r="L5368" s="120"/>
      <c r="M5368" s="120"/>
      <c r="N5368" s="167"/>
      <c r="O5368" s="120"/>
      <c r="P5368" s="120"/>
      <c r="Q5368" s="120"/>
      <c r="R5368" s="120"/>
      <c r="S5368" s="120"/>
      <c r="T5368" s="221"/>
      <c r="U5368" s="89"/>
      <c r="V5368" s="61"/>
      <c r="W5368" s="92" t="s">
        <v>1546</v>
      </c>
      <c r="X5368" s="93" t="s">
        <v>30</v>
      </c>
      <c r="Y5368" s="93" t="s">
        <v>35</v>
      </c>
      <c r="Z5368" s="134">
        <f>VLOOKUP(W5368,Sheet2!$B:$D,3,FALSE)</f>
        <v>9800</v>
      </c>
      <c r="AA5368" s="93">
        <v>1</v>
      </c>
      <c r="AB5368" s="93">
        <f>AD5368/AC5367</f>
        <v>9800</v>
      </c>
      <c r="AC5368" s="93">
        <f>AC5367/AA5368</f>
        <v>0.48999999999999932</v>
      </c>
      <c r="AD5368" s="94">
        <f t="shared" ref="AD5368:AD5369" si="3836">AC5368*Z5368</f>
        <v>4801.9999999999936</v>
      </c>
      <c r="AE5368" s="190"/>
      <c r="AF5368" s="191"/>
      <c r="AG5368" s="191"/>
      <c r="AH5368" s="191"/>
      <c r="AI5368" s="186"/>
      <c r="AK5368" s="171"/>
    </row>
    <row r="5369" spans="1:37" s="102" customFormat="1" ht="19.899999999999999" customHeight="1" x14ac:dyDescent="0.25">
      <c r="A5369" s="45"/>
      <c r="B5369" s="59"/>
      <c r="C5369" s="137"/>
      <c r="D5369" s="59"/>
      <c r="E5369" s="116"/>
      <c r="F5369" s="120"/>
      <c r="G5369" s="120"/>
      <c r="H5369" s="120"/>
      <c r="I5369" s="60"/>
      <c r="J5369" s="116"/>
      <c r="K5369" s="213"/>
      <c r="L5369" s="120"/>
      <c r="M5369" s="120"/>
      <c r="N5369" s="167"/>
      <c r="O5369" s="120"/>
      <c r="P5369" s="120"/>
      <c r="Q5369" s="120"/>
      <c r="R5369" s="120"/>
      <c r="S5369" s="120"/>
      <c r="T5369" s="221"/>
      <c r="U5369" s="89"/>
      <c r="V5369" s="61"/>
      <c r="W5369" s="92" t="s">
        <v>174</v>
      </c>
      <c r="X5369" s="93" t="s">
        <v>29</v>
      </c>
      <c r="Y5369" s="93" t="s">
        <v>93</v>
      </c>
      <c r="Z5369" s="134">
        <f>VLOOKUP(W5369,Sheet2!$B:$D,3,FALSE)</f>
        <v>80</v>
      </c>
      <c r="AA5369" s="93">
        <f>1/2</f>
        <v>0.5</v>
      </c>
      <c r="AB5369" s="93">
        <f>AD5369/AC5367</f>
        <v>160</v>
      </c>
      <c r="AC5369" s="93">
        <f>AC5367/AA5369</f>
        <v>0.97999999999999865</v>
      </c>
      <c r="AD5369" s="94">
        <f t="shared" si="3836"/>
        <v>78.399999999999892</v>
      </c>
      <c r="AE5369" s="190"/>
      <c r="AF5369" s="191"/>
      <c r="AG5369" s="191"/>
      <c r="AH5369" s="191"/>
      <c r="AI5369" s="186"/>
      <c r="AK5369" s="171"/>
    </row>
    <row r="5370" spans="1:37" s="102" customFormat="1" ht="19.899999999999999" customHeight="1" x14ac:dyDescent="0.25">
      <c r="A5370" s="45"/>
      <c r="B5370" s="59"/>
      <c r="C5370" s="137"/>
      <c r="D5370" s="59"/>
      <c r="E5370" s="116"/>
      <c r="F5370" s="120"/>
      <c r="G5370" s="120"/>
      <c r="H5370" s="120"/>
      <c r="I5370" s="60"/>
      <c r="J5370" s="116"/>
      <c r="K5370" s="213"/>
      <c r="L5370" s="120"/>
      <c r="M5370" s="120"/>
      <c r="N5370" s="167"/>
      <c r="O5370" s="120"/>
      <c r="P5370" s="120"/>
      <c r="Q5370" s="120"/>
      <c r="R5370" s="120"/>
      <c r="S5370" s="120"/>
      <c r="T5370" s="221"/>
      <c r="U5370" s="89"/>
      <c r="V5370" s="61"/>
      <c r="W5370" s="92" t="s">
        <v>65</v>
      </c>
      <c r="X5370" s="93" t="s">
        <v>30</v>
      </c>
      <c r="Y5370" s="93" t="s">
        <v>93</v>
      </c>
      <c r="Z5370" s="134">
        <f>VLOOKUP(W5370,Sheet2!$B:$D,3,FALSE)</f>
        <v>1.76</v>
      </c>
      <c r="AA5370" s="93">
        <f>AA5369/15</f>
        <v>3.3333333333333333E-2</v>
      </c>
      <c r="AB5370" s="93">
        <f>AD5370/AC5367</f>
        <v>52.8</v>
      </c>
      <c r="AC5370" s="93">
        <f>AC5367/AA5370</f>
        <v>14.69999999999998</v>
      </c>
      <c r="AD5370" s="94">
        <f>AC5370*Z5370</f>
        <v>25.871999999999964</v>
      </c>
      <c r="AE5370" s="190"/>
      <c r="AF5370" s="191"/>
      <c r="AG5370" s="191"/>
      <c r="AH5370" s="191"/>
      <c r="AI5370" s="186"/>
      <c r="AK5370" s="171"/>
    </row>
    <row r="5371" spans="1:37" s="102" customFormat="1" ht="19.899999999999999" customHeight="1" x14ac:dyDescent="0.25">
      <c r="A5371" s="45"/>
      <c r="B5371" s="59"/>
      <c r="C5371" s="137"/>
      <c r="D5371" s="59"/>
      <c r="E5371" s="116"/>
      <c r="F5371" s="120"/>
      <c r="G5371" s="120"/>
      <c r="H5371" s="120"/>
      <c r="I5371" s="60"/>
      <c r="J5371" s="116"/>
      <c r="K5371" s="213"/>
      <c r="L5371" s="120"/>
      <c r="M5371" s="120"/>
      <c r="N5371" s="167"/>
      <c r="O5371" s="120"/>
      <c r="P5371" s="120"/>
      <c r="Q5371" s="120"/>
      <c r="R5371" s="120"/>
      <c r="S5371" s="120"/>
      <c r="T5371" s="221"/>
      <c r="U5371" s="89"/>
      <c r="V5371" s="61"/>
      <c r="W5371" s="92" t="s">
        <v>1487</v>
      </c>
      <c r="X5371" s="93" t="s">
        <v>32</v>
      </c>
      <c r="Y5371" s="93" t="s">
        <v>1349</v>
      </c>
      <c r="Z5371" s="134">
        <f>VLOOKUP(W5371,Sheet2!$B:$D,3,FALSE)</f>
        <v>1500</v>
      </c>
      <c r="AA5371" s="93">
        <v>1</v>
      </c>
      <c r="AB5371" s="93">
        <f>AD5371/AC5367</f>
        <v>1500</v>
      </c>
      <c r="AC5371" s="93">
        <f>AC5367/AA5371</f>
        <v>0.48999999999999932</v>
      </c>
      <c r="AD5371" s="94">
        <f>AC5371*Z5371</f>
        <v>734.99999999999898</v>
      </c>
      <c r="AE5371" s="190"/>
      <c r="AF5371" s="191"/>
      <c r="AG5371" s="191"/>
      <c r="AH5371" s="191"/>
      <c r="AI5371" s="186"/>
      <c r="AK5371" s="171"/>
    </row>
    <row r="5372" spans="1:37" s="102" customFormat="1" ht="19.899999999999999" customHeight="1" x14ac:dyDescent="0.25">
      <c r="A5372" s="45"/>
      <c r="B5372" s="59"/>
      <c r="C5372" s="137"/>
      <c r="D5372" s="59"/>
      <c r="E5372" s="116"/>
      <c r="F5372" s="120"/>
      <c r="G5372" s="120"/>
      <c r="H5372" s="120"/>
      <c r="I5372" s="60"/>
      <c r="J5372" s="116"/>
      <c r="K5372" s="213"/>
      <c r="L5372" s="120"/>
      <c r="M5372" s="120"/>
      <c r="N5372" s="167"/>
      <c r="O5372" s="120"/>
      <c r="P5372" s="120"/>
      <c r="Q5372" s="120"/>
      <c r="R5372" s="120"/>
      <c r="S5372" s="120"/>
      <c r="T5372" s="221"/>
      <c r="U5372" s="89"/>
      <c r="V5372" s="61"/>
      <c r="W5372" s="92" t="s">
        <v>107</v>
      </c>
      <c r="X5372" s="93" t="s">
        <v>31</v>
      </c>
      <c r="Y5372" s="93" t="s">
        <v>93</v>
      </c>
      <c r="Z5372" s="134">
        <f>VLOOKUP(W5372,Sheet2!$B:$D,3,FALSE)</f>
        <v>17</v>
      </c>
      <c r="AA5372" s="93">
        <f>AA5369</f>
        <v>0.5</v>
      </c>
      <c r="AB5372" s="93">
        <f>AD5372/AC5367</f>
        <v>33.999999999999993</v>
      </c>
      <c r="AC5372" s="93">
        <f>AC5367/AA5372</f>
        <v>0.97999999999999865</v>
      </c>
      <c r="AD5372" s="94">
        <f>AC5372*Z5372</f>
        <v>16.659999999999975</v>
      </c>
      <c r="AE5372" s="190"/>
      <c r="AF5372" s="191"/>
      <c r="AG5372" s="191"/>
      <c r="AH5372" s="191"/>
      <c r="AI5372" s="186"/>
      <c r="AK5372" s="171"/>
    </row>
    <row r="5373" spans="1:37" s="102" customFormat="1" ht="19.899999999999999" customHeight="1" x14ac:dyDescent="0.25">
      <c r="A5373" s="45"/>
      <c r="B5373" s="59"/>
      <c r="C5373" s="137"/>
      <c r="D5373" s="59"/>
      <c r="E5373" s="116"/>
      <c r="F5373" s="120"/>
      <c r="G5373" s="120"/>
      <c r="H5373" s="120"/>
      <c r="I5373" s="60"/>
      <c r="J5373" s="116"/>
      <c r="K5373" s="213"/>
      <c r="L5373" s="120"/>
      <c r="M5373" s="120"/>
      <c r="N5373" s="167"/>
      <c r="O5373" s="120"/>
      <c r="P5373" s="120"/>
      <c r="Q5373" s="120"/>
      <c r="R5373" s="120"/>
      <c r="S5373" s="120"/>
      <c r="T5373" s="221"/>
      <c r="U5373" s="89"/>
      <c r="V5373" s="61"/>
      <c r="W5373" s="92" t="s">
        <v>112</v>
      </c>
      <c r="X5373" s="93" t="s">
        <v>31</v>
      </c>
      <c r="Y5373" s="93" t="s">
        <v>93</v>
      </c>
      <c r="Z5373" s="134">
        <f>VLOOKUP(W5373,Sheet2!$B:$D,3,FALSE)</f>
        <v>13</v>
      </c>
      <c r="AA5373" s="93">
        <f>AA5372</f>
        <v>0.5</v>
      </c>
      <c r="AB5373" s="93">
        <f>AD5373/AC5367</f>
        <v>26</v>
      </c>
      <c r="AC5373" s="93">
        <f>AC5367/AA5373</f>
        <v>0.97999999999999865</v>
      </c>
      <c r="AD5373" s="94">
        <f>AC5373*Z5373</f>
        <v>12.739999999999982</v>
      </c>
      <c r="AE5373" s="190"/>
      <c r="AF5373" s="191"/>
      <c r="AG5373" s="191"/>
      <c r="AH5373" s="191"/>
      <c r="AI5373" s="186"/>
      <c r="AK5373" s="171"/>
    </row>
    <row r="5374" spans="1:37" s="103" customFormat="1" ht="19.899999999999999" customHeight="1" x14ac:dyDescent="0.25">
      <c r="A5374" s="51"/>
      <c r="B5374" s="52"/>
      <c r="C5374" s="165"/>
      <c r="D5374" s="52"/>
      <c r="E5374" s="115"/>
      <c r="F5374" s="58"/>
      <c r="G5374" s="58"/>
      <c r="H5374" s="58"/>
      <c r="I5374" s="55"/>
      <c r="J5374" s="113">
        <f>J5354</f>
        <v>0.48999999999999932</v>
      </c>
      <c r="K5374" s="212">
        <f>K5354</f>
        <v>0.48999999999999932</v>
      </c>
      <c r="L5374" s="58"/>
      <c r="M5374" s="58">
        <f>K5374-L5374</f>
        <v>0.48999999999999932</v>
      </c>
      <c r="N5374" s="166"/>
      <c r="O5374" s="58"/>
      <c r="P5374" s="58"/>
      <c r="Q5374" s="58"/>
      <c r="R5374" s="58"/>
      <c r="S5374" s="58"/>
      <c r="T5374" s="220"/>
      <c r="U5374" s="88"/>
      <c r="V5374" s="56"/>
      <c r="W5374" s="57" t="s">
        <v>1272</v>
      </c>
      <c r="X5374" s="53"/>
      <c r="Y5374" s="91" t="s">
        <v>35</v>
      </c>
      <c r="Z5374" s="136">
        <f>AD5374/AC5374</f>
        <v>892.25557582352951</v>
      </c>
      <c r="AA5374" s="58"/>
      <c r="AB5374" s="53">
        <f>AD5374/AC5374</f>
        <v>892.25557582352951</v>
      </c>
      <c r="AC5374" s="53">
        <f>M5374+$AE$10</f>
        <v>0.48999999999999932</v>
      </c>
      <c r="AD5374" s="54">
        <f>SUM(AD5375:AD5383)</f>
        <v>437.20523215352887</v>
      </c>
      <c r="AE5374" s="184">
        <f>SUMIFS($AD$37:$AD$12971,$V$37:$V$12971,$V5374,$X$37:$X$12971,AE$13)</f>
        <v>0</v>
      </c>
      <c r="AF5374" s="185">
        <f>SUMIFS($AD$37:$AD$12971,$V$37:$V$12971,$V5374,$X$37:$X$12971,AF$13)</f>
        <v>0</v>
      </c>
      <c r="AG5374" s="185">
        <f>SUMIFS($AD$37:$AD$12971,$V$37:$V$12971,$V5374,$X$37:$X$12971,AG$13)</f>
        <v>0</v>
      </c>
      <c r="AH5374" s="187">
        <f>SUMIFS($AD$37:$AD$12971,$V$37:$V$12971,$V5374,$X$37:$X$12971,AH$13)</f>
        <v>0</v>
      </c>
      <c r="AI5374" s="161">
        <f t="shared" ref="AI5374" si="3837">SUM(AE5374:AH5374)</f>
        <v>0</v>
      </c>
      <c r="AK5374" s="172"/>
    </row>
    <row r="5375" spans="1:37" s="102" customFormat="1" ht="19.899999999999999" customHeight="1" x14ac:dyDescent="0.25">
      <c r="A5375" s="45"/>
      <c r="B5375" s="59"/>
      <c r="C5375" s="137"/>
      <c r="D5375" s="59"/>
      <c r="E5375" s="116"/>
      <c r="F5375" s="120"/>
      <c r="G5375" s="120"/>
      <c r="H5375" s="120"/>
      <c r="I5375" s="60"/>
      <c r="J5375" s="116"/>
      <c r="K5375" s="213"/>
      <c r="L5375" s="120"/>
      <c r="M5375" s="120"/>
      <c r="N5375" s="167"/>
      <c r="O5375" s="120"/>
      <c r="P5375" s="120"/>
      <c r="Q5375" s="120"/>
      <c r="R5375" s="120"/>
      <c r="S5375" s="120"/>
      <c r="T5375" s="221"/>
      <c r="U5375" s="89"/>
      <c r="V5375" s="61"/>
      <c r="W5375" s="92" t="s">
        <v>1273</v>
      </c>
      <c r="X5375" s="93" t="s">
        <v>30</v>
      </c>
      <c r="Y5375" s="93" t="s">
        <v>66</v>
      </c>
      <c r="Z5375" s="134">
        <f>VLOOKUP(W5375,Sheet2!$B:$D,3,FALSE)</f>
        <v>10</v>
      </c>
      <c r="AA5375" s="93">
        <f>1/((3*3*6.5)-(3.14/4*1.5*1.5*6.5))</f>
        <v>2.126782842179421E-2</v>
      </c>
      <c r="AB5375" s="93">
        <f>AD5375/AC5374</f>
        <v>470.19374999999997</v>
      </c>
      <c r="AC5375" s="93">
        <f>AC5374/AA5375</f>
        <v>23.039493749999966</v>
      </c>
      <c r="AD5375" s="94">
        <f t="shared" ref="AD5375:AD5377" si="3838">AC5375*Z5375</f>
        <v>230.39493749999966</v>
      </c>
      <c r="AE5375" s="190"/>
      <c r="AF5375" s="191"/>
      <c r="AG5375" s="191"/>
      <c r="AH5375" s="191"/>
      <c r="AI5375" s="186"/>
      <c r="AK5375" s="171"/>
    </row>
    <row r="5376" spans="1:37" s="102" customFormat="1" ht="19.899999999999999" customHeight="1" x14ac:dyDescent="0.25">
      <c r="A5376" s="45"/>
      <c r="B5376" s="59"/>
      <c r="C5376" s="137"/>
      <c r="D5376" s="59"/>
      <c r="E5376" s="116"/>
      <c r="F5376" s="120"/>
      <c r="G5376" s="120"/>
      <c r="H5376" s="120"/>
      <c r="I5376" s="60"/>
      <c r="J5376" s="116"/>
      <c r="K5376" s="213"/>
      <c r="L5376" s="120"/>
      <c r="M5376" s="120"/>
      <c r="N5376" s="167"/>
      <c r="O5376" s="120"/>
      <c r="P5376" s="120"/>
      <c r="Q5376" s="120"/>
      <c r="R5376" s="120"/>
      <c r="S5376" s="120"/>
      <c r="T5376" s="221"/>
      <c r="U5376" s="89"/>
      <c r="V5376" s="61"/>
      <c r="W5376" s="92" t="s">
        <v>134</v>
      </c>
      <c r="X5376" s="93" t="s">
        <v>29</v>
      </c>
      <c r="Y5376" s="93" t="s">
        <v>93</v>
      </c>
      <c r="Z5376" s="134">
        <f>VLOOKUP(W5376,Sheet2!$B:$D,3,FALSE)</f>
        <v>65.599999999999994</v>
      </c>
      <c r="AA5376" s="93">
        <f>100/((3*3*6.5)-(3.14/4*1.5*1.5*6.5))</f>
        <v>2.1267828421794208</v>
      </c>
      <c r="AB5376" s="93">
        <f t="shared" ref="AB5376" si="3839">AD5376/AC5374</f>
        <v>30.844709999999996</v>
      </c>
      <c r="AC5376" s="93">
        <f>AC5374/AA5376</f>
        <v>0.23039493749999967</v>
      </c>
      <c r="AD5376" s="94">
        <f t="shared" si="3838"/>
        <v>15.113907899999978</v>
      </c>
      <c r="AE5376" s="190"/>
      <c r="AF5376" s="191"/>
      <c r="AG5376" s="191"/>
      <c r="AH5376" s="191"/>
      <c r="AI5376" s="186"/>
      <c r="AK5376" s="171"/>
    </row>
    <row r="5377" spans="1:41" s="102" customFormat="1" ht="19.899999999999999" customHeight="1" x14ac:dyDescent="0.25">
      <c r="A5377" s="45"/>
      <c r="B5377" s="59"/>
      <c r="C5377" s="137"/>
      <c r="D5377" s="59"/>
      <c r="E5377" s="116"/>
      <c r="F5377" s="120"/>
      <c r="G5377" s="120"/>
      <c r="H5377" s="120"/>
      <c r="I5377" s="60"/>
      <c r="J5377" s="116"/>
      <c r="K5377" s="213"/>
      <c r="L5377" s="120"/>
      <c r="M5377" s="120"/>
      <c r="N5377" s="167"/>
      <c r="O5377" s="120"/>
      <c r="P5377" s="120"/>
      <c r="Q5377" s="120"/>
      <c r="R5377" s="120"/>
      <c r="S5377" s="120"/>
      <c r="T5377" s="221"/>
      <c r="U5377" s="89"/>
      <c r="V5377" s="61"/>
      <c r="W5377" s="92" t="s">
        <v>65</v>
      </c>
      <c r="X5377" s="93" t="s">
        <v>30</v>
      </c>
      <c r="Y5377" s="93" t="s">
        <v>1011</v>
      </c>
      <c r="Z5377" s="134">
        <f>VLOOKUP(W5377,Sheet2!$B:$D,3,FALSE)</f>
        <v>1.76</v>
      </c>
      <c r="AA5377" s="93">
        <f>AA5376/9</f>
        <v>0.23630920468660233</v>
      </c>
      <c r="AB5377" s="93">
        <f>AD5377/AC5374</f>
        <v>7.447868999999999</v>
      </c>
      <c r="AC5377" s="93">
        <f>AC5374/AA5377</f>
        <v>2.0735544374999968</v>
      </c>
      <c r="AD5377" s="94">
        <f t="shared" si="3838"/>
        <v>3.6494558099999943</v>
      </c>
      <c r="AE5377" s="190"/>
      <c r="AF5377" s="191"/>
      <c r="AG5377" s="191"/>
      <c r="AH5377" s="191"/>
      <c r="AI5377" s="186"/>
      <c r="AK5377" s="171"/>
    </row>
    <row r="5378" spans="1:41" s="102" customFormat="1" ht="19.899999999999999" customHeight="1" x14ac:dyDescent="0.25">
      <c r="A5378" s="45"/>
      <c r="B5378" s="59"/>
      <c r="C5378" s="137"/>
      <c r="D5378" s="59"/>
      <c r="E5378" s="116"/>
      <c r="F5378" s="120"/>
      <c r="G5378" s="120"/>
      <c r="H5378" s="120"/>
      <c r="I5378" s="60"/>
      <c r="J5378" s="116"/>
      <c r="K5378" s="213"/>
      <c r="L5378" s="120"/>
      <c r="M5378" s="120"/>
      <c r="N5378" s="167"/>
      <c r="O5378" s="120"/>
      <c r="P5378" s="120"/>
      <c r="Q5378" s="120"/>
      <c r="R5378" s="120"/>
      <c r="S5378" s="120"/>
      <c r="T5378" s="221"/>
      <c r="U5378" s="89"/>
      <c r="V5378" s="61"/>
      <c r="W5378" s="92" t="s">
        <v>161</v>
      </c>
      <c r="X5378" s="93" t="s">
        <v>29</v>
      </c>
      <c r="Y5378" s="93" t="s">
        <v>93</v>
      </c>
      <c r="Z5378" s="134">
        <f>VLOOKUP(W5378,Sheet2!$B:$D,3,FALSE)</f>
        <v>48</v>
      </c>
      <c r="AA5378" s="93">
        <f>(16*0.85*1.5)/((3*3*6.5)-(3.14/4*1.5*1.5*6.5))</f>
        <v>0.43386369980460182</v>
      </c>
      <c r="AB5378" s="93">
        <f>AD5378/AC5374</f>
        <v>110.63382352941177</v>
      </c>
      <c r="AC5378" s="93">
        <f>AC5374/AA5378</f>
        <v>1.1293869485294101</v>
      </c>
      <c r="AD5378" s="94">
        <f>AC5378*Z5378</f>
        <v>54.21057352941169</v>
      </c>
      <c r="AE5378" s="190"/>
      <c r="AF5378" s="191"/>
      <c r="AG5378" s="191"/>
      <c r="AH5378" s="191"/>
      <c r="AI5378" s="186"/>
      <c r="AK5378" s="171"/>
    </row>
    <row r="5379" spans="1:41" s="102" customFormat="1" ht="19.899999999999999" customHeight="1" x14ac:dyDescent="0.25">
      <c r="A5379" s="45"/>
      <c r="B5379" s="59"/>
      <c r="C5379" s="137"/>
      <c r="D5379" s="59"/>
      <c r="E5379" s="116"/>
      <c r="F5379" s="120"/>
      <c r="G5379" s="120"/>
      <c r="H5379" s="120"/>
      <c r="I5379" s="60"/>
      <c r="J5379" s="116"/>
      <c r="K5379" s="213"/>
      <c r="L5379" s="120"/>
      <c r="M5379" s="120"/>
      <c r="N5379" s="167"/>
      <c r="O5379" s="120"/>
      <c r="P5379" s="120"/>
      <c r="Q5379" s="120"/>
      <c r="R5379" s="120"/>
      <c r="S5379" s="120"/>
      <c r="T5379" s="221"/>
      <c r="U5379" s="89"/>
      <c r="V5379" s="61"/>
      <c r="W5379" s="92" t="s">
        <v>65</v>
      </c>
      <c r="X5379" s="93" t="s">
        <v>30</v>
      </c>
      <c r="Y5379" s="93" t="s">
        <v>1011</v>
      </c>
      <c r="Z5379" s="134">
        <f>VLOOKUP(W5379,Sheet2!$B:$D,3,FALSE)</f>
        <v>1.76</v>
      </c>
      <c r="AA5379" s="93">
        <f>AA5378/10</f>
        <v>4.3386369980460179E-2</v>
      </c>
      <c r="AB5379" s="93">
        <f>AD5379/AC5374</f>
        <v>40.565735294117651</v>
      </c>
      <c r="AC5379" s="93">
        <f>AC5374/AA5379</f>
        <v>11.293869485294103</v>
      </c>
      <c r="AD5379" s="94">
        <f>AC5379*Z5379</f>
        <v>19.877210294117621</v>
      </c>
      <c r="AE5379" s="190"/>
      <c r="AF5379" s="191"/>
      <c r="AG5379" s="191"/>
      <c r="AH5379" s="191"/>
      <c r="AI5379" s="186"/>
      <c r="AK5379" s="171"/>
    </row>
    <row r="5380" spans="1:41" s="102" customFormat="1" ht="19.899999999999999" customHeight="1" x14ac:dyDescent="0.25">
      <c r="A5380" s="45"/>
      <c r="B5380" s="59"/>
      <c r="C5380" s="137"/>
      <c r="D5380" s="59"/>
      <c r="E5380" s="116"/>
      <c r="F5380" s="120"/>
      <c r="G5380" s="120"/>
      <c r="H5380" s="120"/>
      <c r="I5380" s="60"/>
      <c r="J5380" s="116"/>
      <c r="K5380" s="213"/>
      <c r="L5380" s="120"/>
      <c r="M5380" s="120"/>
      <c r="N5380" s="167"/>
      <c r="O5380" s="120"/>
      <c r="P5380" s="120"/>
      <c r="Q5380" s="120"/>
      <c r="R5380" s="120"/>
      <c r="S5380" s="120"/>
      <c r="T5380" s="221"/>
      <c r="U5380" s="89"/>
      <c r="V5380" s="61"/>
      <c r="W5380" s="92" t="s">
        <v>173</v>
      </c>
      <c r="X5380" s="93" t="s">
        <v>29</v>
      </c>
      <c r="Y5380" s="93" t="s">
        <v>93</v>
      </c>
      <c r="Z5380" s="134">
        <f>VLOOKUP(W5380,Sheet2!$B:$D,3,FALSE)</f>
        <v>36</v>
      </c>
      <c r="AA5380" s="93">
        <f>50/((3*3*6.5)-(3.14/4*1.5*1.5*6.5))</f>
        <v>1.0633914210897104</v>
      </c>
      <c r="AB5380" s="93">
        <f>AD5380/AC5374</f>
        <v>33.853950000000005</v>
      </c>
      <c r="AC5380" s="93">
        <f>AC5374/AA5380</f>
        <v>0.46078987499999935</v>
      </c>
      <c r="AD5380" s="94">
        <f>AC5380*Z5380</f>
        <v>16.588435499999978</v>
      </c>
      <c r="AE5380" s="190"/>
      <c r="AF5380" s="191"/>
      <c r="AG5380" s="191"/>
      <c r="AH5380" s="191"/>
      <c r="AI5380" s="186"/>
      <c r="AK5380" s="171"/>
    </row>
    <row r="5381" spans="1:41" s="102" customFormat="1" ht="19.899999999999999" customHeight="1" x14ac:dyDescent="0.25">
      <c r="A5381" s="45"/>
      <c r="B5381" s="59"/>
      <c r="C5381" s="137"/>
      <c r="D5381" s="59"/>
      <c r="E5381" s="116"/>
      <c r="F5381" s="120"/>
      <c r="G5381" s="120"/>
      <c r="H5381" s="120"/>
      <c r="I5381" s="60"/>
      <c r="J5381" s="116"/>
      <c r="K5381" s="213"/>
      <c r="L5381" s="120"/>
      <c r="M5381" s="120"/>
      <c r="N5381" s="167"/>
      <c r="O5381" s="120"/>
      <c r="P5381" s="120"/>
      <c r="Q5381" s="120"/>
      <c r="R5381" s="120"/>
      <c r="S5381" s="120"/>
      <c r="T5381" s="221"/>
      <c r="U5381" s="89"/>
      <c r="V5381" s="61"/>
      <c r="W5381" s="92" t="s">
        <v>65</v>
      </c>
      <c r="X5381" s="93" t="s">
        <v>30</v>
      </c>
      <c r="Y5381" s="93" t="s">
        <v>1011</v>
      </c>
      <c r="Z5381" s="134">
        <f>VLOOKUP(W5381,Sheet2!$B:$D,3,FALSE)</f>
        <v>1.76</v>
      </c>
      <c r="AA5381" s="93">
        <f>AA5380/9</f>
        <v>0.11815460234330116</v>
      </c>
      <c r="AB5381" s="93">
        <f>AD5381/AC5374</f>
        <v>14.895737999999998</v>
      </c>
      <c r="AC5381" s="93">
        <f>AC5374/AA5381</f>
        <v>4.1471088749999936</v>
      </c>
      <c r="AD5381" s="94">
        <f>AC5381*Z5381</f>
        <v>7.2989116199999886</v>
      </c>
      <c r="AE5381" s="190"/>
      <c r="AF5381" s="191"/>
      <c r="AG5381" s="191"/>
      <c r="AH5381" s="191"/>
      <c r="AI5381" s="186"/>
      <c r="AK5381" s="171"/>
    </row>
    <row r="5382" spans="1:41" s="102" customFormat="1" ht="19.899999999999999" customHeight="1" x14ac:dyDescent="0.25">
      <c r="A5382" s="45"/>
      <c r="B5382" s="59"/>
      <c r="C5382" s="137"/>
      <c r="D5382" s="59"/>
      <c r="E5382" s="116"/>
      <c r="F5382" s="120"/>
      <c r="G5382" s="120"/>
      <c r="H5382" s="120"/>
      <c r="I5382" s="60"/>
      <c r="J5382" s="116"/>
      <c r="K5382" s="213"/>
      <c r="L5382" s="120"/>
      <c r="M5382" s="120"/>
      <c r="N5382" s="167"/>
      <c r="O5382" s="120"/>
      <c r="P5382" s="120"/>
      <c r="Q5382" s="120"/>
      <c r="R5382" s="120"/>
      <c r="S5382" s="120"/>
      <c r="T5382" s="221"/>
      <c r="U5382" s="89"/>
      <c r="V5382" s="61"/>
      <c r="W5382" s="92" t="s">
        <v>1030</v>
      </c>
      <c r="X5382" s="93" t="s">
        <v>29</v>
      </c>
      <c r="Y5382" s="93" t="s">
        <v>93</v>
      </c>
      <c r="Z5382" s="134">
        <f>VLOOKUP(W5382,Sheet2!$B:$D,3,FALSE)</f>
        <v>23</v>
      </c>
      <c r="AA5382" s="93">
        <f>1/(6.5*1)</f>
        <v>0.15384615384615385</v>
      </c>
      <c r="AB5382" s="93">
        <f>AD5382/AC5374</f>
        <v>149.5</v>
      </c>
      <c r="AC5382" s="93">
        <f>AC5374/AA5382</f>
        <v>3.1849999999999956</v>
      </c>
      <c r="AD5382" s="94">
        <f t="shared" ref="AD5382:AD5383" si="3840">AC5382*Z5382</f>
        <v>73.254999999999896</v>
      </c>
      <c r="AE5382" s="190"/>
      <c r="AF5382" s="191"/>
      <c r="AG5382" s="191"/>
      <c r="AH5382" s="191"/>
      <c r="AI5382" s="186"/>
      <c r="AK5382" s="171"/>
    </row>
    <row r="5383" spans="1:41" s="102" customFormat="1" ht="19.899999999999999" customHeight="1" x14ac:dyDescent="0.25">
      <c r="A5383" s="45"/>
      <c r="B5383" s="59"/>
      <c r="C5383" s="137"/>
      <c r="D5383" s="59"/>
      <c r="E5383" s="116"/>
      <c r="F5383" s="120"/>
      <c r="G5383" s="120"/>
      <c r="H5383" s="120"/>
      <c r="I5383" s="60"/>
      <c r="J5383" s="116"/>
      <c r="K5383" s="213"/>
      <c r="L5383" s="120"/>
      <c r="M5383" s="120"/>
      <c r="N5383" s="167"/>
      <c r="O5383" s="120"/>
      <c r="P5383" s="120"/>
      <c r="Q5383" s="120"/>
      <c r="R5383" s="120"/>
      <c r="S5383" s="120"/>
      <c r="T5383" s="221"/>
      <c r="U5383" s="89"/>
      <c r="V5383" s="61"/>
      <c r="W5383" s="92" t="s">
        <v>65</v>
      </c>
      <c r="X5383" s="93" t="s">
        <v>30</v>
      </c>
      <c r="Y5383" s="93" t="s">
        <v>1011</v>
      </c>
      <c r="Z5383" s="134">
        <f>VLOOKUP(W5383,Sheet2!$B:$D,3,FALSE)</f>
        <v>1.76</v>
      </c>
      <c r="AA5383" s="93">
        <f>AA5382/3</f>
        <v>5.1282051282051287E-2</v>
      </c>
      <c r="AB5383" s="93">
        <f>AD5383/AC5374</f>
        <v>34.32</v>
      </c>
      <c r="AC5383" s="93">
        <f>AC5374/AA5383</f>
        <v>9.5549999999999855</v>
      </c>
      <c r="AD5383" s="94">
        <f t="shared" si="3840"/>
        <v>16.816799999999976</v>
      </c>
      <c r="AE5383" s="190"/>
      <c r="AF5383" s="191"/>
      <c r="AG5383" s="191"/>
      <c r="AH5383" s="191"/>
      <c r="AI5383" s="186"/>
      <c r="AK5383" s="171"/>
    </row>
    <row r="5384" spans="1:41" ht="20.100000000000001" customHeight="1" x14ac:dyDescent="0.25">
      <c r="A5384" s="277" t="s">
        <v>491</v>
      </c>
      <c r="B5384" s="278"/>
      <c r="C5384" s="64" t="s">
        <v>599</v>
      </c>
      <c r="D5384" s="46" t="s">
        <v>215</v>
      </c>
      <c r="E5384" s="114">
        <v>6.27</v>
      </c>
      <c r="F5384" s="44">
        <v>79745</v>
      </c>
      <c r="G5384" s="44">
        <f t="shared" ref="G5384:G10179" si="3841">F5384*E5384</f>
        <v>500001.14999999997</v>
      </c>
      <c r="H5384" s="44">
        <f t="shared" ref="H5384:H10179" si="3842">AB5384</f>
        <v>15588.253955411765</v>
      </c>
      <c r="I5384" s="43">
        <f t="shared" ref="I5384:I10179" si="3843">H5384*E5384</f>
        <v>97738.352300431754</v>
      </c>
      <c r="J5384" s="112">
        <f t="shared" ref="J5384:J10179" si="3844">E5384</f>
        <v>6.27</v>
      </c>
      <c r="K5384" s="211">
        <f t="shared" ref="K5384:K10179" si="3845">J5384</f>
        <v>6.27</v>
      </c>
      <c r="L5384" s="44"/>
      <c r="M5384" s="44">
        <f t="shared" ref="M5384:M10198" si="3846">K5384-L5384</f>
        <v>6.27</v>
      </c>
      <c r="N5384" s="173">
        <f t="shared" ref="N5384:N10179" si="3847">IFERROR(M5384/K5384,0)</f>
        <v>1</v>
      </c>
      <c r="O5384" s="44">
        <f t="shared" ref="O5384:O10179" si="3848">F5384</f>
        <v>79745</v>
      </c>
      <c r="P5384" s="44">
        <f t="shared" ref="P5384:P10179" si="3849">K5384*O5384</f>
        <v>500001.14999999997</v>
      </c>
      <c r="Q5384" s="44">
        <f t="shared" ref="Q5384:Q10179" si="3850">AB5384</f>
        <v>15588.253955411765</v>
      </c>
      <c r="R5384" s="44">
        <f t="shared" ref="R5384:R10198" si="3851">M5384*Q5384</f>
        <v>97738.352300431754</v>
      </c>
      <c r="S5384" s="123"/>
      <c r="T5384" s="219">
        <f t="shared" ref="T5384:T10198" si="3852">S5384+R5384</f>
        <v>97738.352300431754</v>
      </c>
      <c r="U5384" s="87"/>
      <c r="V5384" s="47"/>
      <c r="W5384" s="48"/>
      <c r="X5384" s="48"/>
      <c r="Y5384" s="48"/>
      <c r="Z5384" s="135"/>
      <c r="AA5384" s="49"/>
      <c r="AB5384" s="50">
        <f t="shared" ref="AB5384:AB10179" si="3853">AD5384/AC5384</f>
        <v>15588.253955411765</v>
      </c>
      <c r="AC5384" s="42">
        <f t="shared" ref="AC5384:AC10198" si="3854">M5384+$AE$10</f>
        <v>6.27</v>
      </c>
      <c r="AD5384" s="90">
        <f>AD5385+AD5390+AD5397+AD5404</f>
        <v>97738.352300431754</v>
      </c>
      <c r="AE5384" s="188">
        <f t="shared" ref="AE5384" si="3855">AE5385+AE5390+AE5397+AE5404</f>
        <v>0</v>
      </c>
      <c r="AF5384" s="189">
        <f t="shared" ref="AF5384" si="3856">AF5385+AF5390+AF5397+AF5404</f>
        <v>0</v>
      </c>
      <c r="AG5384" s="189">
        <f t="shared" ref="AG5384" si="3857">AG5385+AG5390+AG5397+AG5404</f>
        <v>0</v>
      </c>
      <c r="AH5384" s="189">
        <f t="shared" ref="AH5384" si="3858">AH5385+AH5390+AH5397+AH5404</f>
        <v>0</v>
      </c>
      <c r="AI5384" s="161">
        <f t="shared" si="3827"/>
        <v>0</v>
      </c>
      <c r="AK5384" s="169">
        <v>5</v>
      </c>
      <c r="AO5384" s="19" t="s">
        <v>63</v>
      </c>
    </row>
    <row r="5385" spans="1:41" s="103" customFormat="1" ht="19.899999999999999" customHeight="1" x14ac:dyDescent="0.25">
      <c r="A5385" s="51"/>
      <c r="B5385" s="52"/>
      <c r="C5385" s="165"/>
      <c r="D5385" s="52"/>
      <c r="E5385" s="115"/>
      <c r="F5385" s="58"/>
      <c r="G5385" s="58"/>
      <c r="H5385" s="58"/>
      <c r="I5385" s="55"/>
      <c r="J5385" s="113">
        <f>J5384</f>
        <v>6.27</v>
      </c>
      <c r="K5385" s="212">
        <f>K5384</f>
        <v>6.27</v>
      </c>
      <c r="L5385" s="58"/>
      <c r="M5385" s="58">
        <f>K5385-L5385</f>
        <v>6.27</v>
      </c>
      <c r="N5385" s="166"/>
      <c r="O5385" s="58"/>
      <c r="P5385" s="58"/>
      <c r="Q5385" s="58"/>
      <c r="R5385" s="58"/>
      <c r="S5385" s="58"/>
      <c r="T5385" s="220"/>
      <c r="U5385" s="88"/>
      <c r="V5385" s="56"/>
      <c r="W5385" s="57" t="s">
        <v>1553</v>
      </c>
      <c r="X5385" s="53"/>
      <c r="Y5385" s="91" t="s">
        <v>35</v>
      </c>
      <c r="Z5385" s="136">
        <f>AD5385/AC5385</f>
        <v>320.72583529411764</v>
      </c>
      <c r="AA5385" s="58"/>
      <c r="AB5385" s="53">
        <f>AD5385/AC5385</f>
        <v>320.72583529411764</v>
      </c>
      <c r="AC5385" s="53">
        <f>M5385+$AE$10</f>
        <v>6.27</v>
      </c>
      <c r="AD5385" s="54">
        <f>SUM(AD5386:AD5389)</f>
        <v>2010.9509872941176</v>
      </c>
      <c r="AE5385" s="184">
        <f>SUMIFS($AD$37:$AD$12971,$V$37:$V$12971,$V5385,$X$37:$X$12971,AE$13)</f>
        <v>0</v>
      </c>
      <c r="AF5385" s="185">
        <f>SUMIFS($AD$37:$AD$12971,$V$37:$V$12971,$V5385,$X$37:$X$12971,AF$13)</f>
        <v>0</v>
      </c>
      <c r="AG5385" s="185">
        <f>SUMIFS($AD$37:$AD$12971,$V$37:$V$12971,$V5385,$X$37:$X$12971,AG$13)</f>
        <v>0</v>
      </c>
      <c r="AH5385" s="187">
        <f>SUMIFS($AD$37:$AD$12971,$V$37:$V$12971,$V5385,$X$37:$X$12971,AH$13)</f>
        <v>0</v>
      </c>
      <c r="AI5385" s="161">
        <f t="shared" ref="AI5385" si="3859">SUM(AE5385:AH5385)</f>
        <v>0</v>
      </c>
      <c r="AK5385" s="172"/>
    </row>
    <row r="5386" spans="1:41" s="102" customFormat="1" ht="19.899999999999999" customHeight="1" x14ac:dyDescent="0.25">
      <c r="A5386" s="45"/>
      <c r="B5386" s="59"/>
      <c r="C5386" s="137"/>
      <c r="D5386" s="59"/>
      <c r="E5386" s="116"/>
      <c r="F5386" s="120"/>
      <c r="G5386" s="120"/>
      <c r="H5386" s="120"/>
      <c r="I5386" s="60"/>
      <c r="J5386" s="116"/>
      <c r="K5386" s="213"/>
      <c r="L5386" s="120"/>
      <c r="M5386" s="120"/>
      <c r="N5386" s="167"/>
      <c r="O5386" s="120"/>
      <c r="P5386" s="120"/>
      <c r="Q5386" s="120"/>
      <c r="R5386" s="120"/>
      <c r="S5386" s="120"/>
      <c r="T5386" s="221"/>
      <c r="U5386" s="89"/>
      <c r="V5386" s="61"/>
      <c r="W5386" s="92" t="s">
        <v>131</v>
      </c>
      <c r="X5386" s="93" t="s">
        <v>29</v>
      </c>
      <c r="Y5386" s="93" t="s">
        <v>93</v>
      </c>
      <c r="Z5386" s="134">
        <f>VLOOKUP(W5386,Sheet2!$B:$D,3,FALSE)</f>
        <v>131.19999999999999</v>
      </c>
      <c r="AA5386" s="93">
        <f>100/(3*3*7)</f>
        <v>1.5873015873015872</v>
      </c>
      <c r="AB5386" s="93">
        <f t="shared" ref="AB5386" si="3860">AD5386/AC5385</f>
        <v>82.656000000000006</v>
      </c>
      <c r="AC5386" s="93">
        <f>AC5385/AA5386</f>
        <v>3.9500999999999999</v>
      </c>
      <c r="AD5386" s="94">
        <f t="shared" ref="AD5386:AD5387" si="3861">AC5386*Z5386</f>
        <v>518.25311999999997</v>
      </c>
      <c r="AE5386" s="190"/>
      <c r="AF5386" s="191"/>
      <c r="AG5386" s="191"/>
      <c r="AH5386" s="191"/>
      <c r="AI5386" s="186"/>
      <c r="AK5386" s="171"/>
    </row>
    <row r="5387" spans="1:41" s="102" customFormat="1" ht="19.899999999999999" customHeight="1" x14ac:dyDescent="0.25">
      <c r="A5387" s="45"/>
      <c r="B5387" s="59"/>
      <c r="C5387" s="137"/>
      <c r="D5387" s="59"/>
      <c r="E5387" s="116"/>
      <c r="F5387" s="120"/>
      <c r="G5387" s="120"/>
      <c r="H5387" s="120"/>
      <c r="I5387" s="60"/>
      <c r="J5387" s="116"/>
      <c r="K5387" s="213"/>
      <c r="L5387" s="120"/>
      <c r="M5387" s="120"/>
      <c r="N5387" s="167"/>
      <c r="O5387" s="120"/>
      <c r="P5387" s="120"/>
      <c r="Q5387" s="120"/>
      <c r="R5387" s="120"/>
      <c r="S5387" s="120"/>
      <c r="T5387" s="221"/>
      <c r="U5387" s="89"/>
      <c r="V5387" s="61"/>
      <c r="W5387" s="92" t="s">
        <v>65</v>
      </c>
      <c r="X5387" s="93" t="s">
        <v>30</v>
      </c>
      <c r="Y5387" s="93" t="s">
        <v>1011</v>
      </c>
      <c r="Z5387" s="134">
        <f>VLOOKUP(W5387,Sheet2!$B:$D,3,FALSE)</f>
        <v>1.76</v>
      </c>
      <c r="AA5387" s="93">
        <f>AA5386/32</f>
        <v>4.96031746031746E-2</v>
      </c>
      <c r="AB5387" s="93">
        <f>AD5387/AC5385</f>
        <v>35.4816</v>
      </c>
      <c r="AC5387" s="93">
        <f>AC5385/AA5387</f>
        <v>126.4032</v>
      </c>
      <c r="AD5387" s="94">
        <f t="shared" si="3861"/>
        <v>222.46963199999999</v>
      </c>
      <c r="AE5387" s="190"/>
      <c r="AF5387" s="191"/>
      <c r="AG5387" s="191"/>
      <c r="AH5387" s="191"/>
      <c r="AI5387" s="186"/>
      <c r="AK5387" s="171"/>
    </row>
    <row r="5388" spans="1:41" s="102" customFormat="1" ht="19.899999999999999" customHeight="1" x14ac:dyDescent="0.25">
      <c r="A5388" s="45"/>
      <c r="B5388" s="59"/>
      <c r="C5388" s="137"/>
      <c r="D5388" s="59"/>
      <c r="E5388" s="116"/>
      <c r="F5388" s="120"/>
      <c r="G5388" s="120"/>
      <c r="H5388" s="120"/>
      <c r="I5388" s="60"/>
      <c r="J5388" s="116"/>
      <c r="K5388" s="213"/>
      <c r="L5388" s="120"/>
      <c r="M5388" s="120"/>
      <c r="N5388" s="167"/>
      <c r="O5388" s="120"/>
      <c r="P5388" s="120"/>
      <c r="Q5388" s="120"/>
      <c r="R5388" s="120"/>
      <c r="S5388" s="120"/>
      <c r="T5388" s="221"/>
      <c r="U5388" s="89"/>
      <c r="V5388" s="61"/>
      <c r="W5388" s="92" t="s">
        <v>161</v>
      </c>
      <c r="X5388" s="93" t="s">
        <v>29</v>
      </c>
      <c r="Y5388" s="93" t="s">
        <v>93</v>
      </c>
      <c r="Z5388" s="134">
        <f>VLOOKUP(W5388,Sheet2!$B:$D,3,FALSE)</f>
        <v>48</v>
      </c>
      <c r="AA5388" s="93">
        <f>(16*0.85*1.5)/(3*3*7)</f>
        <v>0.32380952380952377</v>
      </c>
      <c r="AB5388" s="93">
        <f>AD5388/AC5385</f>
        <v>148.23529411764707</v>
      </c>
      <c r="AC5388" s="93">
        <f>AC5385/AA5388</f>
        <v>19.363235294117647</v>
      </c>
      <c r="AD5388" s="94">
        <f>AC5388*Z5388</f>
        <v>929.43529411764712</v>
      </c>
      <c r="AE5388" s="190"/>
      <c r="AF5388" s="191"/>
      <c r="AG5388" s="191"/>
      <c r="AH5388" s="191"/>
      <c r="AI5388" s="186"/>
      <c r="AK5388" s="171"/>
    </row>
    <row r="5389" spans="1:41" s="102" customFormat="1" ht="19.899999999999999" customHeight="1" x14ac:dyDescent="0.25">
      <c r="A5389" s="45"/>
      <c r="B5389" s="59"/>
      <c r="C5389" s="137"/>
      <c r="D5389" s="59"/>
      <c r="E5389" s="116"/>
      <c r="F5389" s="120"/>
      <c r="G5389" s="120"/>
      <c r="H5389" s="120"/>
      <c r="I5389" s="60"/>
      <c r="J5389" s="116"/>
      <c r="K5389" s="213"/>
      <c r="L5389" s="120"/>
      <c r="M5389" s="120"/>
      <c r="N5389" s="167"/>
      <c r="O5389" s="120"/>
      <c r="P5389" s="120"/>
      <c r="Q5389" s="120"/>
      <c r="R5389" s="120"/>
      <c r="S5389" s="120"/>
      <c r="T5389" s="221"/>
      <c r="U5389" s="89"/>
      <c r="V5389" s="61"/>
      <c r="W5389" s="92" t="s">
        <v>65</v>
      </c>
      <c r="X5389" s="93" t="s">
        <v>30</v>
      </c>
      <c r="Y5389" s="93" t="s">
        <v>1011</v>
      </c>
      <c r="Z5389" s="134">
        <f>VLOOKUP(W5389,Sheet2!$B:$D,3,FALSE)</f>
        <v>1.76</v>
      </c>
      <c r="AA5389" s="93">
        <f>AA5388/10</f>
        <v>3.2380952380952378E-2</v>
      </c>
      <c r="AB5389" s="93">
        <f>AD5389/AC5385</f>
        <v>54.352941176470594</v>
      </c>
      <c r="AC5389" s="93">
        <f>AC5385/AA5389</f>
        <v>193.63235294117646</v>
      </c>
      <c r="AD5389" s="94">
        <f>AC5389*Z5389</f>
        <v>340.79294117647061</v>
      </c>
      <c r="AE5389" s="190"/>
      <c r="AF5389" s="191"/>
      <c r="AG5389" s="191"/>
      <c r="AH5389" s="191"/>
      <c r="AI5389" s="186"/>
      <c r="AK5389" s="171"/>
    </row>
    <row r="5390" spans="1:41" s="103" customFormat="1" ht="19.899999999999999" customHeight="1" x14ac:dyDescent="0.25">
      <c r="A5390" s="51"/>
      <c r="B5390" s="52"/>
      <c r="C5390" s="165"/>
      <c r="D5390" s="52"/>
      <c r="E5390" s="115"/>
      <c r="F5390" s="58"/>
      <c r="G5390" s="58"/>
      <c r="H5390" s="58"/>
      <c r="I5390" s="55"/>
      <c r="J5390" s="113">
        <f>J5384</f>
        <v>6.27</v>
      </c>
      <c r="K5390" s="212">
        <f>K5384</f>
        <v>6.27</v>
      </c>
      <c r="L5390" s="58"/>
      <c r="M5390" s="58">
        <f>K5390-L5390</f>
        <v>6.27</v>
      </c>
      <c r="N5390" s="166"/>
      <c r="O5390" s="58"/>
      <c r="P5390" s="58"/>
      <c r="Q5390" s="58"/>
      <c r="R5390" s="58"/>
      <c r="S5390" s="58"/>
      <c r="T5390" s="220"/>
      <c r="U5390" s="88"/>
      <c r="V5390" s="56"/>
      <c r="W5390" s="57" t="s">
        <v>1486</v>
      </c>
      <c r="X5390" s="53"/>
      <c r="Y5390" s="91" t="s">
        <v>35</v>
      </c>
      <c r="Z5390" s="136">
        <f>AD5390/AC5390</f>
        <v>1883.8374999999999</v>
      </c>
      <c r="AA5390" s="58"/>
      <c r="AB5390" s="53">
        <f>AD5390/AC5390</f>
        <v>1883.8374999999999</v>
      </c>
      <c r="AC5390" s="53">
        <f>M5390+$AE$10</f>
        <v>6.27</v>
      </c>
      <c r="AD5390" s="54">
        <f>SUM(AD5391:AD5396)</f>
        <v>11811.661124999999</v>
      </c>
      <c r="AE5390" s="184">
        <f>SUMIFS($AD$37:$AD$12971,$V$37:$V$12971,$V5390,$X$37:$X$12971,AE$13)</f>
        <v>0</v>
      </c>
      <c r="AF5390" s="185">
        <f>SUMIFS($AD$37:$AD$12971,$V$37:$V$12971,$V5390,$X$37:$X$12971,AF$13)</f>
        <v>0</v>
      </c>
      <c r="AG5390" s="185">
        <f>SUMIFS($AD$37:$AD$12971,$V$37:$V$12971,$V5390,$X$37:$X$12971,AG$13)</f>
        <v>0</v>
      </c>
      <c r="AH5390" s="187">
        <f>SUMIFS($AD$37:$AD$12971,$V$37:$V$12971,$V5390,$X$37:$X$12971,AH$13)</f>
        <v>0</v>
      </c>
      <c r="AI5390" s="161">
        <f t="shared" ref="AI5390" si="3862">SUM(AE5390:AH5390)</f>
        <v>0</v>
      </c>
      <c r="AK5390" s="172"/>
    </row>
    <row r="5391" spans="1:41" s="102" customFormat="1" ht="19.899999999999999" customHeight="1" x14ac:dyDescent="0.25">
      <c r="A5391" s="45"/>
      <c r="B5391" s="59"/>
      <c r="C5391" s="137"/>
      <c r="D5391" s="59"/>
      <c r="E5391" s="116"/>
      <c r="F5391" s="120"/>
      <c r="G5391" s="120"/>
      <c r="H5391" s="120"/>
      <c r="I5391" s="60"/>
      <c r="J5391" s="116"/>
      <c r="K5391" s="213"/>
      <c r="L5391" s="120"/>
      <c r="M5391" s="120"/>
      <c r="N5391" s="167"/>
      <c r="O5391" s="120"/>
      <c r="P5391" s="120"/>
      <c r="Q5391" s="120"/>
      <c r="R5391" s="120"/>
      <c r="S5391" s="120"/>
      <c r="T5391" s="221"/>
      <c r="U5391" s="89"/>
      <c r="V5391" s="61"/>
      <c r="W5391" s="92" t="s">
        <v>1032</v>
      </c>
      <c r="X5391" s="93" t="s">
        <v>30</v>
      </c>
      <c r="Y5391" s="93" t="s">
        <v>66</v>
      </c>
      <c r="Z5391" s="134">
        <f>VLOOKUP(W5391,Sheet2!$B:$D,3,FALSE)</f>
        <v>250</v>
      </c>
      <c r="AA5391" s="93">
        <f>1/(2.4*2.4*0.1)</f>
        <v>1.7361111111111112</v>
      </c>
      <c r="AB5391" s="93">
        <f>AD5391/AC5397</f>
        <v>144</v>
      </c>
      <c r="AC5391" s="93">
        <f>AC5397/AA5391</f>
        <v>3.6115199999999996</v>
      </c>
      <c r="AD5391" s="94">
        <f t="shared" ref="AD5391:AD5393" si="3863">AC5391*Z5391</f>
        <v>902.87999999999988</v>
      </c>
      <c r="AE5391" s="190"/>
      <c r="AF5391" s="191"/>
      <c r="AG5391" s="191"/>
      <c r="AH5391" s="191"/>
      <c r="AI5391" s="186"/>
      <c r="AK5391" s="171"/>
    </row>
    <row r="5392" spans="1:41" s="102" customFormat="1" ht="19.899999999999999" customHeight="1" x14ac:dyDescent="0.25">
      <c r="A5392" s="45"/>
      <c r="B5392" s="59"/>
      <c r="C5392" s="137"/>
      <c r="D5392" s="59"/>
      <c r="E5392" s="116"/>
      <c r="F5392" s="120"/>
      <c r="G5392" s="120"/>
      <c r="H5392" s="120"/>
      <c r="I5392" s="60"/>
      <c r="J5392" s="116"/>
      <c r="K5392" s="213"/>
      <c r="L5392" s="120"/>
      <c r="M5392" s="120"/>
      <c r="N5392" s="167"/>
      <c r="O5392" s="120"/>
      <c r="P5392" s="120"/>
      <c r="Q5392" s="120"/>
      <c r="R5392" s="120"/>
      <c r="S5392" s="120"/>
      <c r="T5392" s="221"/>
      <c r="U5392" s="89"/>
      <c r="V5392" s="61"/>
      <c r="W5392" s="92" t="s">
        <v>1353</v>
      </c>
      <c r="X5392" s="93" t="s">
        <v>30</v>
      </c>
      <c r="Y5392" s="93" t="s">
        <v>66</v>
      </c>
      <c r="Z5392" s="134">
        <f>VLOOKUP(W5392,Sheet2!$B:$D,3,FALSE)</f>
        <v>350</v>
      </c>
      <c r="AA5392" s="93">
        <f>1/(2.3*2.3*0.3)</f>
        <v>0.63011972274732209</v>
      </c>
      <c r="AB5392" s="93">
        <f>AD5392/AC5397</f>
        <v>555.44999999999993</v>
      </c>
      <c r="AC5392" s="93">
        <f>AC5397/AA5392</f>
        <v>9.9504899999999985</v>
      </c>
      <c r="AD5392" s="94">
        <f t="shared" si="3863"/>
        <v>3482.6714999999995</v>
      </c>
      <c r="AE5392" s="190"/>
      <c r="AF5392" s="191"/>
      <c r="AG5392" s="191"/>
      <c r="AH5392" s="191"/>
      <c r="AI5392" s="186"/>
      <c r="AK5392" s="171"/>
    </row>
    <row r="5393" spans="1:37" s="102" customFormat="1" ht="19.899999999999999" customHeight="1" x14ac:dyDescent="0.25">
      <c r="A5393" s="45"/>
      <c r="B5393" s="59"/>
      <c r="C5393" s="137"/>
      <c r="D5393" s="59"/>
      <c r="E5393" s="116"/>
      <c r="F5393" s="120"/>
      <c r="G5393" s="120"/>
      <c r="H5393" s="120"/>
      <c r="I5393" s="60"/>
      <c r="J5393" s="116"/>
      <c r="K5393" s="213"/>
      <c r="L5393" s="120"/>
      <c r="M5393" s="120"/>
      <c r="N5393" s="167"/>
      <c r="O5393" s="120"/>
      <c r="P5393" s="120"/>
      <c r="Q5393" s="120"/>
      <c r="R5393" s="120"/>
      <c r="S5393" s="120"/>
      <c r="T5393" s="221"/>
      <c r="U5393" s="89"/>
      <c r="V5393" s="61"/>
      <c r="W5393" s="92" t="s">
        <v>99</v>
      </c>
      <c r="X5393" s="93" t="s">
        <v>30</v>
      </c>
      <c r="Y5393" s="93" t="s">
        <v>67</v>
      </c>
      <c r="Z5393" s="134">
        <f>VLOOKUP(W5393,Sheet2!$B:$D,3,FALSE)</f>
        <v>2500</v>
      </c>
      <c r="AA5393" s="93">
        <f>AA5392/0.08</f>
        <v>7.8764965343415261</v>
      </c>
      <c r="AB5393" s="93">
        <f>AD5393/AC5397</f>
        <v>317.39999999999992</v>
      </c>
      <c r="AC5393" s="93">
        <f>AC5397/AA5393</f>
        <v>0.79603919999999984</v>
      </c>
      <c r="AD5393" s="94">
        <f t="shared" si="3863"/>
        <v>1990.0979999999995</v>
      </c>
      <c r="AE5393" s="190"/>
      <c r="AF5393" s="191"/>
      <c r="AG5393" s="191"/>
      <c r="AH5393" s="191"/>
      <c r="AI5393" s="186"/>
      <c r="AK5393" s="171"/>
    </row>
    <row r="5394" spans="1:37" s="102" customFormat="1" ht="19.899999999999999" customHeight="1" x14ac:dyDescent="0.25">
      <c r="A5394" s="45"/>
      <c r="B5394" s="59"/>
      <c r="C5394" s="137"/>
      <c r="D5394" s="59"/>
      <c r="E5394" s="116"/>
      <c r="F5394" s="120"/>
      <c r="G5394" s="120"/>
      <c r="H5394" s="120"/>
      <c r="I5394" s="60"/>
      <c r="J5394" s="116"/>
      <c r="K5394" s="213"/>
      <c r="L5394" s="120"/>
      <c r="M5394" s="120"/>
      <c r="N5394" s="167"/>
      <c r="O5394" s="120"/>
      <c r="P5394" s="120"/>
      <c r="Q5394" s="120"/>
      <c r="R5394" s="120"/>
      <c r="S5394" s="120"/>
      <c r="T5394" s="221"/>
      <c r="U5394" s="89"/>
      <c r="V5394" s="61"/>
      <c r="W5394" s="92" t="s">
        <v>1354</v>
      </c>
      <c r="X5394" s="93" t="s">
        <v>32</v>
      </c>
      <c r="Y5394" s="93" t="s">
        <v>66</v>
      </c>
      <c r="Z5394" s="134">
        <f>VLOOKUP(W5394,Sheet2!$B:$D,3,FALSE)</f>
        <v>150</v>
      </c>
      <c r="AA5394" s="93">
        <f>AA5391</f>
        <v>1.7361111111111112</v>
      </c>
      <c r="AB5394" s="93">
        <f>AD5394/AC5397</f>
        <v>86.399999999999991</v>
      </c>
      <c r="AC5394" s="93">
        <f>AC5397/AA5394</f>
        <v>3.6115199999999996</v>
      </c>
      <c r="AD5394" s="94">
        <f>AC5394*Z5394</f>
        <v>541.72799999999995</v>
      </c>
      <c r="AE5394" s="190"/>
      <c r="AF5394" s="191"/>
      <c r="AG5394" s="191"/>
      <c r="AH5394" s="191"/>
      <c r="AI5394" s="186"/>
      <c r="AK5394" s="171"/>
    </row>
    <row r="5395" spans="1:37" s="102" customFormat="1" ht="19.899999999999999" customHeight="1" x14ac:dyDescent="0.25">
      <c r="A5395" s="45"/>
      <c r="B5395" s="59"/>
      <c r="C5395" s="137"/>
      <c r="D5395" s="59"/>
      <c r="E5395" s="116"/>
      <c r="F5395" s="120"/>
      <c r="G5395" s="120"/>
      <c r="H5395" s="120"/>
      <c r="I5395" s="60"/>
      <c r="J5395" s="116"/>
      <c r="K5395" s="213"/>
      <c r="L5395" s="120"/>
      <c r="M5395" s="120"/>
      <c r="N5395" s="167"/>
      <c r="O5395" s="120"/>
      <c r="P5395" s="120"/>
      <c r="Q5395" s="120"/>
      <c r="R5395" s="120"/>
      <c r="S5395" s="120"/>
      <c r="T5395" s="221"/>
      <c r="U5395" s="89"/>
      <c r="V5395" s="61"/>
      <c r="W5395" s="92" t="s">
        <v>1355</v>
      </c>
      <c r="X5395" s="93" t="s">
        <v>32</v>
      </c>
      <c r="Y5395" s="93" t="s">
        <v>66</v>
      </c>
      <c r="Z5395" s="134">
        <f>VLOOKUP(W5395,Sheet2!$B:$D,3,FALSE)</f>
        <v>450</v>
      </c>
      <c r="AA5395" s="93">
        <f>AA5392</f>
        <v>0.63011972274732209</v>
      </c>
      <c r="AB5395" s="93">
        <f>AD5395/AC5397</f>
        <v>714.15</v>
      </c>
      <c r="AC5395" s="93">
        <f>AC5397/AA5395</f>
        <v>9.9504899999999985</v>
      </c>
      <c r="AD5395" s="94">
        <f>AC5395*Z5395</f>
        <v>4477.7204999999994</v>
      </c>
      <c r="AE5395" s="190"/>
      <c r="AF5395" s="191"/>
      <c r="AG5395" s="191"/>
      <c r="AH5395" s="191"/>
      <c r="AI5395" s="186"/>
      <c r="AK5395" s="171"/>
    </row>
    <row r="5396" spans="1:37" s="102" customFormat="1" ht="19.899999999999999" customHeight="1" x14ac:dyDescent="0.25">
      <c r="A5396" s="45"/>
      <c r="B5396" s="59"/>
      <c r="C5396" s="137"/>
      <c r="D5396" s="59"/>
      <c r="E5396" s="116"/>
      <c r="F5396" s="120"/>
      <c r="G5396" s="120"/>
      <c r="H5396" s="120"/>
      <c r="I5396" s="60"/>
      <c r="J5396" s="116"/>
      <c r="K5396" s="213"/>
      <c r="L5396" s="120"/>
      <c r="M5396" s="120"/>
      <c r="N5396" s="167"/>
      <c r="O5396" s="120"/>
      <c r="P5396" s="120"/>
      <c r="Q5396" s="120"/>
      <c r="R5396" s="120"/>
      <c r="S5396" s="120"/>
      <c r="T5396" s="221"/>
      <c r="U5396" s="89"/>
      <c r="V5396" s="61"/>
      <c r="W5396" s="92" t="s">
        <v>124</v>
      </c>
      <c r="X5396" s="93" t="s">
        <v>32</v>
      </c>
      <c r="Y5396" s="93" t="s">
        <v>64</v>
      </c>
      <c r="Z5396" s="134">
        <f>VLOOKUP(W5396,Sheet2!$B:$D,3,FALSE)</f>
        <v>10</v>
      </c>
      <c r="AA5396" s="93">
        <f>1/((2.9*2.9)-(3.14*1.5*1.5/4))</f>
        <v>0.15051740357478832</v>
      </c>
      <c r="AB5396" s="93">
        <f t="shared" ref="AB5396" si="3864">AD5396/AC5390</f>
        <v>66.4375</v>
      </c>
      <c r="AC5396" s="93">
        <f>AC5390/AA5396</f>
        <v>41.656312499999999</v>
      </c>
      <c r="AD5396" s="94">
        <f t="shared" ref="AD5396" si="3865">AC5396*Z5396</f>
        <v>416.56312500000001</v>
      </c>
      <c r="AE5396" s="190"/>
      <c r="AF5396" s="191"/>
      <c r="AG5396" s="191"/>
      <c r="AH5396" s="191"/>
      <c r="AI5396" s="186"/>
      <c r="AK5396" s="171"/>
    </row>
    <row r="5397" spans="1:37" s="103" customFormat="1" ht="19.899999999999999" customHeight="1" x14ac:dyDescent="0.25">
      <c r="A5397" s="51"/>
      <c r="B5397" s="52"/>
      <c r="C5397" s="165"/>
      <c r="D5397" s="52"/>
      <c r="E5397" s="115"/>
      <c r="F5397" s="58"/>
      <c r="G5397" s="58"/>
      <c r="H5397" s="58"/>
      <c r="I5397" s="55"/>
      <c r="J5397" s="113">
        <f>J5384</f>
        <v>6.27</v>
      </c>
      <c r="K5397" s="212">
        <f>K5384</f>
        <v>6.27</v>
      </c>
      <c r="L5397" s="58"/>
      <c r="M5397" s="58">
        <f>K5397-L5397</f>
        <v>6.27</v>
      </c>
      <c r="N5397" s="166"/>
      <c r="O5397" s="58"/>
      <c r="P5397" s="58"/>
      <c r="Q5397" s="58"/>
      <c r="R5397" s="58"/>
      <c r="S5397" s="58"/>
      <c r="T5397" s="220"/>
      <c r="U5397" s="88"/>
      <c r="V5397" s="56"/>
      <c r="W5397" s="57" t="s">
        <v>1275</v>
      </c>
      <c r="X5397" s="53"/>
      <c r="Y5397" s="91" t="s">
        <v>35</v>
      </c>
      <c r="Z5397" s="136">
        <f>AD5397/AC5397</f>
        <v>12422.8</v>
      </c>
      <c r="AA5397" s="58"/>
      <c r="AB5397" s="53">
        <f>AD5397/AC5397</f>
        <v>12422.8</v>
      </c>
      <c r="AC5397" s="53">
        <f>M5397+$AE$10</f>
        <v>6.27</v>
      </c>
      <c r="AD5397" s="54">
        <f>SUM(AD5398:AD5403)</f>
        <v>77890.955999999991</v>
      </c>
      <c r="AE5397" s="184">
        <f>SUMIFS($AD$37:$AD$12971,$V$37:$V$12971,$V5397,$X$37:$X$12971,AE$13)</f>
        <v>0</v>
      </c>
      <c r="AF5397" s="185">
        <f>SUMIFS($AD$37:$AD$12971,$V$37:$V$12971,$V5397,$X$37:$X$12971,AF$13)</f>
        <v>0</v>
      </c>
      <c r="AG5397" s="185">
        <f>SUMIFS($AD$37:$AD$12971,$V$37:$V$12971,$V5397,$X$37:$X$12971,AG$13)</f>
        <v>0</v>
      </c>
      <c r="AH5397" s="187">
        <f>SUMIFS($AD$37:$AD$12971,$V$37:$V$12971,$V5397,$X$37:$X$12971,AH$13)</f>
        <v>0</v>
      </c>
      <c r="AI5397" s="161">
        <f t="shared" ref="AI5397" si="3866">SUM(AE5397:AH5397)</f>
        <v>0</v>
      </c>
      <c r="AK5397" s="172"/>
    </row>
    <row r="5398" spans="1:37" s="102" customFormat="1" ht="19.899999999999999" customHeight="1" x14ac:dyDescent="0.25">
      <c r="A5398" s="45"/>
      <c r="B5398" s="59"/>
      <c r="C5398" s="137"/>
      <c r="D5398" s="59"/>
      <c r="E5398" s="116"/>
      <c r="F5398" s="120"/>
      <c r="G5398" s="120"/>
      <c r="H5398" s="120"/>
      <c r="I5398" s="60"/>
      <c r="J5398" s="116"/>
      <c r="K5398" s="213"/>
      <c r="L5398" s="120"/>
      <c r="M5398" s="120"/>
      <c r="N5398" s="167"/>
      <c r="O5398" s="120"/>
      <c r="P5398" s="120"/>
      <c r="Q5398" s="120"/>
      <c r="R5398" s="120"/>
      <c r="S5398" s="120"/>
      <c r="T5398" s="221"/>
      <c r="U5398" s="89"/>
      <c r="V5398" s="61"/>
      <c r="W5398" s="92" t="s">
        <v>1547</v>
      </c>
      <c r="X5398" s="93" t="s">
        <v>30</v>
      </c>
      <c r="Y5398" s="93" t="s">
        <v>35</v>
      </c>
      <c r="Z5398" s="134">
        <f>VLOOKUP(W5398,Sheet2!$B:$D,3,FALSE)</f>
        <v>10650</v>
      </c>
      <c r="AA5398" s="93">
        <v>1</v>
      </c>
      <c r="AB5398" s="93">
        <f>AD5398/AC5397</f>
        <v>10650</v>
      </c>
      <c r="AC5398" s="93">
        <f>AC5397/AA5398</f>
        <v>6.27</v>
      </c>
      <c r="AD5398" s="94">
        <f t="shared" ref="AD5398:AD5399" si="3867">AC5398*Z5398</f>
        <v>66775.5</v>
      </c>
      <c r="AE5398" s="190"/>
      <c r="AF5398" s="191"/>
      <c r="AG5398" s="191"/>
      <c r="AH5398" s="191"/>
      <c r="AI5398" s="186"/>
      <c r="AK5398" s="171"/>
    </row>
    <row r="5399" spans="1:37" s="102" customFormat="1" ht="19.899999999999999" customHeight="1" x14ac:dyDescent="0.25">
      <c r="A5399" s="45"/>
      <c r="B5399" s="59"/>
      <c r="C5399" s="137"/>
      <c r="D5399" s="59"/>
      <c r="E5399" s="116"/>
      <c r="F5399" s="120"/>
      <c r="G5399" s="120"/>
      <c r="H5399" s="120"/>
      <c r="I5399" s="60"/>
      <c r="J5399" s="116"/>
      <c r="K5399" s="213"/>
      <c r="L5399" s="120"/>
      <c r="M5399" s="120"/>
      <c r="N5399" s="167"/>
      <c r="O5399" s="120"/>
      <c r="P5399" s="120"/>
      <c r="Q5399" s="120"/>
      <c r="R5399" s="120"/>
      <c r="S5399" s="120"/>
      <c r="T5399" s="221"/>
      <c r="U5399" s="89"/>
      <c r="V5399" s="61"/>
      <c r="W5399" s="92" t="s">
        <v>174</v>
      </c>
      <c r="X5399" s="93" t="s">
        <v>29</v>
      </c>
      <c r="Y5399" s="93" t="s">
        <v>93</v>
      </c>
      <c r="Z5399" s="134">
        <f>VLOOKUP(W5399,Sheet2!$B:$D,3,FALSE)</f>
        <v>80</v>
      </c>
      <c r="AA5399" s="93">
        <f>1/2</f>
        <v>0.5</v>
      </c>
      <c r="AB5399" s="93">
        <f>AD5399/AC5397</f>
        <v>160</v>
      </c>
      <c r="AC5399" s="93">
        <f>AC5397/AA5399</f>
        <v>12.54</v>
      </c>
      <c r="AD5399" s="94">
        <f t="shared" si="3867"/>
        <v>1003.1999999999999</v>
      </c>
      <c r="AE5399" s="190"/>
      <c r="AF5399" s="191"/>
      <c r="AG5399" s="191"/>
      <c r="AH5399" s="191"/>
      <c r="AI5399" s="186"/>
      <c r="AK5399" s="171"/>
    </row>
    <row r="5400" spans="1:37" s="102" customFormat="1" ht="19.899999999999999" customHeight="1" x14ac:dyDescent="0.25">
      <c r="A5400" s="45"/>
      <c r="B5400" s="59"/>
      <c r="C5400" s="137"/>
      <c r="D5400" s="59"/>
      <c r="E5400" s="116"/>
      <c r="F5400" s="120"/>
      <c r="G5400" s="120"/>
      <c r="H5400" s="120"/>
      <c r="I5400" s="60"/>
      <c r="J5400" s="116"/>
      <c r="K5400" s="213"/>
      <c r="L5400" s="120"/>
      <c r="M5400" s="120"/>
      <c r="N5400" s="167"/>
      <c r="O5400" s="120"/>
      <c r="P5400" s="120"/>
      <c r="Q5400" s="120"/>
      <c r="R5400" s="120"/>
      <c r="S5400" s="120"/>
      <c r="T5400" s="221"/>
      <c r="U5400" s="89"/>
      <c r="V5400" s="61"/>
      <c r="W5400" s="92" t="s">
        <v>65</v>
      </c>
      <c r="X5400" s="93" t="s">
        <v>30</v>
      </c>
      <c r="Y5400" s="93" t="s">
        <v>93</v>
      </c>
      <c r="Z5400" s="134">
        <f>VLOOKUP(W5400,Sheet2!$B:$D,3,FALSE)</f>
        <v>1.76</v>
      </c>
      <c r="AA5400" s="93">
        <f>AA5399/15</f>
        <v>3.3333333333333333E-2</v>
      </c>
      <c r="AB5400" s="93">
        <f>AD5400/AC5397</f>
        <v>52.800000000000004</v>
      </c>
      <c r="AC5400" s="93">
        <f>AC5397/AA5400</f>
        <v>188.1</v>
      </c>
      <c r="AD5400" s="94">
        <f>AC5400*Z5400</f>
        <v>331.05599999999998</v>
      </c>
      <c r="AE5400" s="190"/>
      <c r="AF5400" s="191"/>
      <c r="AG5400" s="191"/>
      <c r="AH5400" s="191"/>
      <c r="AI5400" s="186"/>
      <c r="AK5400" s="171"/>
    </row>
    <row r="5401" spans="1:37" s="102" customFormat="1" ht="19.899999999999999" customHeight="1" x14ac:dyDescent="0.25">
      <c r="A5401" s="45"/>
      <c r="B5401" s="59"/>
      <c r="C5401" s="137"/>
      <c r="D5401" s="59"/>
      <c r="E5401" s="116"/>
      <c r="F5401" s="120"/>
      <c r="G5401" s="120"/>
      <c r="H5401" s="120"/>
      <c r="I5401" s="60"/>
      <c r="J5401" s="116"/>
      <c r="K5401" s="213"/>
      <c r="L5401" s="120"/>
      <c r="M5401" s="120"/>
      <c r="N5401" s="167"/>
      <c r="O5401" s="120"/>
      <c r="P5401" s="120"/>
      <c r="Q5401" s="120"/>
      <c r="R5401" s="120"/>
      <c r="S5401" s="120"/>
      <c r="T5401" s="221"/>
      <c r="U5401" s="89"/>
      <c r="V5401" s="61"/>
      <c r="W5401" s="92" t="s">
        <v>1487</v>
      </c>
      <c r="X5401" s="93" t="s">
        <v>32</v>
      </c>
      <c r="Y5401" s="93" t="s">
        <v>1349</v>
      </c>
      <c r="Z5401" s="134">
        <f>VLOOKUP(W5401,Sheet2!$B:$D,3,FALSE)</f>
        <v>1500</v>
      </c>
      <c r="AA5401" s="93">
        <v>1</v>
      </c>
      <c r="AB5401" s="93">
        <f>AD5401/AC5397</f>
        <v>1500</v>
      </c>
      <c r="AC5401" s="93">
        <f>AC5397/AA5401</f>
        <v>6.27</v>
      </c>
      <c r="AD5401" s="94">
        <f>AC5401*Z5401</f>
        <v>9405</v>
      </c>
      <c r="AE5401" s="190"/>
      <c r="AF5401" s="191"/>
      <c r="AG5401" s="191"/>
      <c r="AH5401" s="191"/>
      <c r="AI5401" s="186"/>
      <c r="AK5401" s="171"/>
    </row>
    <row r="5402" spans="1:37" s="102" customFormat="1" ht="19.899999999999999" customHeight="1" x14ac:dyDescent="0.25">
      <c r="A5402" s="45"/>
      <c r="B5402" s="59"/>
      <c r="C5402" s="137"/>
      <c r="D5402" s="59"/>
      <c r="E5402" s="116"/>
      <c r="F5402" s="120"/>
      <c r="G5402" s="120"/>
      <c r="H5402" s="120"/>
      <c r="I5402" s="60"/>
      <c r="J5402" s="116"/>
      <c r="K5402" s="213"/>
      <c r="L5402" s="120"/>
      <c r="M5402" s="120"/>
      <c r="N5402" s="167"/>
      <c r="O5402" s="120"/>
      <c r="P5402" s="120"/>
      <c r="Q5402" s="120"/>
      <c r="R5402" s="120"/>
      <c r="S5402" s="120"/>
      <c r="T5402" s="221"/>
      <c r="U5402" s="89"/>
      <c r="V5402" s="61"/>
      <c r="W5402" s="92" t="s">
        <v>107</v>
      </c>
      <c r="X5402" s="93" t="s">
        <v>31</v>
      </c>
      <c r="Y5402" s="93" t="s">
        <v>93</v>
      </c>
      <c r="Z5402" s="134">
        <f>VLOOKUP(W5402,Sheet2!$B:$D,3,FALSE)</f>
        <v>17</v>
      </c>
      <c r="AA5402" s="93">
        <f>AA5399</f>
        <v>0.5</v>
      </c>
      <c r="AB5402" s="93">
        <f>AD5402/AC5397</f>
        <v>34</v>
      </c>
      <c r="AC5402" s="93">
        <f>AC5397/AA5402</f>
        <v>12.54</v>
      </c>
      <c r="AD5402" s="94">
        <f>AC5402*Z5402</f>
        <v>213.17999999999998</v>
      </c>
      <c r="AE5402" s="190"/>
      <c r="AF5402" s="191"/>
      <c r="AG5402" s="191"/>
      <c r="AH5402" s="191"/>
      <c r="AI5402" s="186"/>
      <c r="AK5402" s="171"/>
    </row>
    <row r="5403" spans="1:37" s="102" customFormat="1" ht="19.899999999999999" customHeight="1" x14ac:dyDescent="0.25">
      <c r="A5403" s="45"/>
      <c r="B5403" s="59"/>
      <c r="C5403" s="137"/>
      <c r="D5403" s="59"/>
      <c r="E5403" s="116"/>
      <c r="F5403" s="120"/>
      <c r="G5403" s="120"/>
      <c r="H5403" s="120"/>
      <c r="I5403" s="60"/>
      <c r="J5403" s="116"/>
      <c r="K5403" s="213"/>
      <c r="L5403" s="120"/>
      <c r="M5403" s="120"/>
      <c r="N5403" s="167"/>
      <c r="O5403" s="120"/>
      <c r="P5403" s="120"/>
      <c r="Q5403" s="120"/>
      <c r="R5403" s="120"/>
      <c r="S5403" s="120"/>
      <c r="T5403" s="221"/>
      <c r="U5403" s="89"/>
      <c r="V5403" s="61"/>
      <c r="W5403" s="92" t="s">
        <v>112</v>
      </c>
      <c r="X5403" s="93" t="s">
        <v>31</v>
      </c>
      <c r="Y5403" s="93" t="s">
        <v>93</v>
      </c>
      <c r="Z5403" s="134">
        <f>VLOOKUP(W5403,Sheet2!$B:$D,3,FALSE)</f>
        <v>13</v>
      </c>
      <c r="AA5403" s="93">
        <f>AA5402</f>
        <v>0.5</v>
      </c>
      <c r="AB5403" s="93">
        <f>AD5403/AC5397</f>
        <v>26</v>
      </c>
      <c r="AC5403" s="93">
        <f>AC5397/AA5403</f>
        <v>12.54</v>
      </c>
      <c r="AD5403" s="94">
        <f>AC5403*Z5403</f>
        <v>163.01999999999998</v>
      </c>
      <c r="AE5403" s="190"/>
      <c r="AF5403" s="191"/>
      <c r="AG5403" s="191"/>
      <c r="AH5403" s="191"/>
      <c r="AI5403" s="186"/>
      <c r="AK5403" s="171"/>
    </row>
    <row r="5404" spans="1:37" s="103" customFormat="1" ht="19.899999999999999" customHeight="1" x14ac:dyDescent="0.25">
      <c r="A5404" s="51"/>
      <c r="B5404" s="52"/>
      <c r="C5404" s="165"/>
      <c r="D5404" s="52"/>
      <c r="E5404" s="115"/>
      <c r="F5404" s="58"/>
      <c r="G5404" s="58"/>
      <c r="H5404" s="58"/>
      <c r="I5404" s="55"/>
      <c r="J5404" s="113">
        <f>J5384</f>
        <v>6.27</v>
      </c>
      <c r="K5404" s="212">
        <f>K5384</f>
        <v>6.27</v>
      </c>
      <c r="L5404" s="58"/>
      <c r="M5404" s="58">
        <f>K5404-L5404</f>
        <v>6.27</v>
      </c>
      <c r="N5404" s="166"/>
      <c r="O5404" s="58"/>
      <c r="P5404" s="58"/>
      <c r="Q5404" s="58"/>
      <c r="R5404" s="58"/>
      <c r="S5404" s="58"/>
      <c r="T5404" s="220"/>
      <c r="U5404" s="88"/>
      <c r="V5404" s="56"/>
      <c r="W5404" s="57" t="s">
        <v>1272</v>
      </c>
      <c r="X5404" s="53"/>
      <c r="Y5404" s="91" t="s">
        <v>35</v>
      </c>
      <c r="Z5404" s="136">
        <f>AD5404/AC5404</f>
        <v>960.89062011764725</v>
      </c>
      <c r="AA5404" s="58"/>
      <c r="AB5404" s="53">
        <f>AD5404/AC5404</f>
        <v>960.89062011764725</v>
      </c>
      <c r="AC5404" s="53">
        <f>M5404+$AE$10</f>
        <v>6.27</v>
      </c>
      <c r="AD5404" s="54">
        <f>SUM(AD5405:AD5413)</f>
        <v>6024.784188137648</v>
      </c>
      <c r="AE5404" s="184">
        <f>SUMIFS($AD$37:$AD$12971,$V$37:$V$12971,$V5404,$X$37:$X$12971,AE$13)</f>
        <v>0</v>
      </c>
      <c r="AF5404" s="185">
        <f>SUMIFS($AD$37:$AD$12971,$V$37:$V$12971,$V5404,$X$37:$X$12971,AF$13)</f>
        <v>0</v>
      </c>
      <c r="AG5404" s="185">
        <f>SUMIFS($AD$37:$AD$12971,$V$37:$V$12971,$V5404,$X$37:$X$12971,AG$13)</f>
        <v>0</v>
      </c>
      <c r="AH5404" s="187">
        <f>SUMIFS($AD$37:$AD$12971,$V$37:$V$12971,$V5404,$X$37:$X$12971,AH$13)</f>
        <v>0</v>
      </c>
      <c r="AI5404" s="161">
        <f t="shared" ref="AI5404" si="3868">SUM(AE5404:AH5404)</f>
        <v>0</v>
      </c>
      <c r="AK5404" s="172"/>
    </row>
    <row r="5405" spans="1:37" s="102" customFormat="1" ht="19.899999999999999" customHeight="1" x14ac:dyDescent="0.25">
      <c r="A5405" s="45"/>
      <c r="B5405" s="59"/>
      <c r="C5405" s="137"/>
      <c r="D5405" s="59"/>
      <c r="E5405" s="116"/>
      <c r="F5405" s="120"/>
      <c r="G5405" s="120"/>
      <c r="H5405" s="120"/>
      <c r="I5405" s="60"/>
      <c r="J5405" s="116"/>
      <c r="K5405" s="213"/>
      <c r="L5405" s="120"/>
      <c r="M5405" s="120"/>
      <c r="N5405" s="167"/>
      <c r="O5405" s="120"/>
      <c r="P5405" s="120"/>
      <c r="Q5405" s="120"/>
      <c r="R5405" s="120"/>
      <c r="S5405" s="120"/>
      <c r="T5405" s="221"/>
      <c r="U5405" s="89"/>
      <c r="V5405" s="61"/>
      <c r="W5405" s="92" t="s">
        <v>1273</v>
      </c>
      <c r="X5405" s="93" t="s">
        <v>30</v>
      </c>
      <c r="Y5405" s="93" t="s">
        <v>66</v>
      </c>
      <c r="Z5405" s="134">
        <f>VLOOKUP(W5405,Sheet2!$B:$D,3,FALSE)</f>
        <v>10</v>
      </c>
      <c r="AA5405" s="93">
        <f>1/((3*3*7)-(3.14/4*1.5*1.5*7))</f>
        <v>1.9748697820237478E-2</v>
      </c>
      <c r="AB5405" s="93">
        <f>AD5405/AC5404</f>
        <v>506.36250000000001</v>
      </c>
      <c r="AC5405" s="93">
        <f>AC5404/AA5405</f>
        <v>317.48928749999999</v>
      </c>
      <c r="AD5405" s="94">
        <f t="shared" ref="AD5405:AD5407" si="3869">AC5405*Z5405</f>
        <v>3174.892875</v>
      </c>
      <c r="AE5405" s="190"/>
      <c r="AF5405" s="191"/>
      <c r="AG5405" s="191"/>
      <c r="AH5405" s="191"/>
      <c r="AI5405" s="186"/>
      <c r="AK5405" s="171"/>
    </row>
    <row r="5406" spans="1:37" s="102" customFormat="1" ht="19.899999999999999" customHeight="1" x14ac:dyDescent="0.25">
      <c r="A5406" s="45"/>
      <c r="B5406" s="59"/>
      <c r="C5406" s="137"/>
      <c r="D5406" s="59"/>
      <c r="E5406" s="116"/>
      <c r="F5406" s="120"/>
      <c r="G5406" s="120"/>
      <c r="H5406" s="120"/>
      <c r="I5406" s="60"/>
      <c r="J5406" s="116"/>
      <c r="K5406" s="213"/>
      <c r="L5406" s="120"/>
      <c r="M5406" s="120"/>
      <c r="N5406" s="167"/>
      <c r="O5406" s="120"/>
      <c r="P5406" s="120"/>
      <c r="Q5406" s="120"/>
      <c r="R5406" s="120"/>
      <c r="S5406" s="120"/>
      <c r="T5406" s="221"/>
      <c r="U5406" s="89"/>
      <c r="V5406" s="61"/>
      <c r="W5406" s="92" t="s">
        <v>134</v>
      </c>
      <c r="X5406" s="93" t="s">
        <v>29</v>
      </c>
      <c r="Y5406" s="93" t="s">
        <v>93</v>
      </c>
      <c r="Z5406" s="134">
        <f>VLOOKUP(W5406,Sheet2!$B:$D,3,FALSE)</f>
        <v>65.599999999999994</v>
      </c>
      <c r="AA5406" s="93">
        <f>100/((3*3*7)-(3.14/4*1.5*1.5*7))</f>
        <v>1.9748697820237477</v>
      </c>
      <c r="AB5406" s="93">
        <f t="shared" ref="AB5406" si="3870">AD5406/AC5404</f>
        <v>33.217379999999999</v>
      </c>
      <c r="AC5406" s="93">
        <f>AC5404/AA5406</f>
        <v>3.1748928749999998</v>
      </c>
      <c r="AD5406" s="94">
        <f t="shared" si="3869"/>
        <v>208.27297259999997</v>
      </c>
      <c r="AE5406" s="190"/>
      <c r="AF5406" s="191"/>
      <c r="AG5406" s="191"/>
      <c r="AH5406" s="191"/>
      <c r="AI5406" s="186"/>
      <c r="AK5406" s="171"/>
    </row>
    <row r="5407" spans="1:37" s="102" customFormat="1" ht="19.899999999999999" customHeight="1" x14ac:dyDescent="0.25">
      <c r="A5407" s="45"/>
      <c r="B5407" s="59"/>
      <c r="C5407" s="137"/>
      <c r="D5407" s="59"/>
      <c r="E5407" s="116"/>
      <c r="F5407" s="120"/>
      <c r="G5407" s="120"/>
      <c r="H5407" s="120"/>
      <c r="I5407" s="60"/>
      <c r="J5407" s="116"/>
      <c r="K5407" s="213"/>
      <c r="L5407" s="120"/>
      <c r="M5407" s="120"/>
      <c r="N5407" s="167"/>
      <c r="O5407" s="120"/>
      <c r="P5407" s="120"/>
      <c r="Q5407" s="120"/>
      <c r="R5407" s="120"/>
      <c r="S5407" s="120"/>
      <c r="T5407" s="221"/>
      <c r="U5407" s="89"/>
      <c r="V5407" s="61"/>
      <c r="W5407" s="92" t="s">
        <v>65</v>
      </c>
      <c r="X5407" s="93" t="s">
        <v>30</v>
      </c>
      <c r="Y5407" s="93" t="s">
        <v>1011</v>
      </c>
      <c r="Z5407" s="134">
        <f>VLOOKUP(W5407,Sheet2!$B:$D,3,FALSE)</f>
        <v>1.76</v>
      </c>
      <c r="AA5407" s="93">
        <f>AA5406/9</f>
        <v>0.21942997578041643</v>
      </c>
      <c r="AB5407" s="93">
        <f>AD5407/AC5404</f>
        <v>8.0207819999999987</v>
      </c>
      <c r="AC5407" s="93">
        <f>AC5404/AA5407</f>
        <v>28.574035874999996</v>
      </c>
      <c r="AD5407" s="94">
        <f t="shared" si="3869"/>
        <v>50.290303139999992</v>
      </c>
      <c r="AE5407" s="190"/>
      <c r="AF5407" s="191"/>
      <c r="AG5407" s="191"/>
      <c r="AH5407" s="191"/>
      <c r="AI5407" s="186"/>
      <c r="AK5407" s="171"/>
    </row>
    <row r="5408" spans="1:37" s="102" customFormat="1" ht="19.899999999999999" customHeight="1" x14ac:dyDescent="0.25">
      <c r="A5408" s="45"/>
      <c r="B5408" s="59"/>
      <c r="C5408" s="137"/>
      <c r="D5408" s="59"/>
      <c r="E5408" s="116"/>
      <c r="F5408" s="120"/>
      <c r="G5408" s="120"/>
      <c r="H5408" s="120"/>
      <c r="I5408" s="60"/>
      <c r="J5408" s="116"/>
      <c r="K5408" s="213"/>
      <c r="L5408" s="120"/>
      <c r="M5408" s="120"/>
      <c r="N5408" s="167"/>
      <c r="O5408" s="120"/>
      <c r="P5408" s="120"/>
      <c r="Q5408" s="120"/>
      <c r="R5408" s="120"/>
      <c r="S5408" s="120"/>
      <c r="T5408" s="221"/>
      <c r="U5408" s="89"/>
      <c r="V5408" s="61"/>
      <c r="W5408" s="92" t="s">
        <v>161</v>
      </c>
      <c r="X5408" s="93" t="s">
        <v>29</v>
      </c>
      <c r="Y5408" s="93" t="s">
        <v>93</v>
      </c>
      <c r="Z5408" s="134">
        <f>VLOOKUP(W5408,Sheet2!$B:$D,3,FALSE)</f>
        <v>48</v>
      </c>
      <c r="AA5408" s="93">
        <f>(16*0.85*1.5)/((3*3*7)-(3.14/4*1.5*1.5*7))</f>
        <v>0.40287343553284449</v>
      </c>
      <c r="AB5408" s="93">
        <f>AD5408/AC5404</f>
        <v>119.14411764705885</v>
      </c>
      <c r="AC5408" s="93">
        <f>AC5404/AA5408</f>
        <v>15.56320036764706</v>
      </c>
      <c r="AD5408" s="94">
        <f>AC5408*Z5408</f>
        <v>747.03361764705892</v>
      </c>
      <c r="AE5408" s="190"/>
      <c r="AF5408" s="191"/>
      <c r="AG5408" s="191"/>
      <c r="AH5408" s="191"/>
      <c r="AI5408" s="186"/>
      <c r="AK5408" s="171"/>
    </row>
    <row r="5409" spans="1:41" s="102" customFormat="1" ht="19.899999999999999" customHeight="1" x14ac:dyDescent="0.25">
      <c r="A5409" s="45"/>
      <c r="B5409" s="59"/>
      <c r="C5409" s="137"/>
      <c r="D5409" s="59"/>
      <c r="E5409" s="116"/>
      <c r="F5409" s="120"/>
      <c r="G5409" s="120"/>
      <c r="H5409" s="120"/>
      <c r="I5409" s="60"/>
      <c r="J5409" s="116"/>
      <c r="K5409" s="213"/>
      <c r="L5409" s="120"/>
      <c r="M5409" s="120"/>
      <c r="N5409" s="167"/>
      <c r="O5409" s="120"/>
      <c r="P5409" s="120"/>
      <c r="Q5409" s="120"/>
      <c r="R5409" s="120"/>
      <c r="S5409" s="120"/>
      <c r="T5409" s="221"/>
      <c r="U5409" s="89"/>
      <c r="V5409" s="61"/>
      <c r="W5409" s="92" t="s">
        <v>65</v>
      </c>
      <c r="X5409" s="93" t="s">
        <v>30</v>
      </c>
      <c r="Y5409" s="93" t="s">
        <v>1011</v>
      </c>
      <c r="Z5409" s="134">
        <f>VLOOKUP(W5409,Sheet2!$B:$D,3,FALSE)</f>
        <v>1.76</v>
      </c>
      <c r="AA5409" s="93">
        <f>AA5408/10</f>
        <v>4.0287343553284449E-2</v>
      </c>
      <c r="AB5409" s="93">
        <f>AD5409/AC5404</f>
        <v>43.686176470588244</v>
      </c>
      <c r="AC5409" s="93">
        <f>AC5404/AA5409</f>
        <v>155.63200367647059</v>
      </c>
      <c r="AD5409" s="94">
        <f>AC5409*Z5409</f>
        <v>273.91232647058825</v>
      </c>
      <c r="AE5409" s="190"/>
      <c r="AF5409" s="191"/>
      <c r="AG5409" s="191"/>
      <c r="AH5409" s="191"/>
      <c r="AI5409" s="186"/>
      <c r="AK5409" s="171"/>
    </row>
    <row r="5410" spans="1:41" s="102" customFormat="1" ht="19.899999999999999" customHeight="1" x14ac:dyDescent="0.25">
      <c r="A5410" s="45"/>
      <c r="B5410" s="59"/>
      <c r="C5410" s="137"/>
      <c r="D5410" s="59"/>
      <c r="E5410" s="116"/>
      <c r="F5410" s="120"/>
      <c r="G5410" s="120"/>
      <c r="H5410" s="120"/>
      <c r="I5410" s="60"/>
      <c r="J5410" s="116"/>
      <c r="K5410" s="213"/>
      <c r="L5410" s="120"/>
      <c r="M5410" s="120"/>
      <c r="N5410" s="167"/>
      <c r="O5410" s="120"/>
      <c r="P5410" s="120"/>
      <c r="Q5410" s="120"/>
      <c r="R5410" s="120"/>
      <c r="S5410" s="120"/>
      <c r="T5410" s="221"/>
      <c r="U5410" s="89"/>
      <c r="V5410" s="61"/>
      <c r="W5410" s="92" t="s">
        <v>173</v>
      </c>
      <c r="X5410" s="93" t="s">
        <v>29</v>
      </c>
      <c r="Y5410" s="93" t="s">
        <v>93</v>
      </c>
      <c r="Z5410" s="134">
        <f>VLOOKUP(W5410,Sheet2!$B:$D,3,FALSE)</f>
        <v>36</v>
      </c>
      <c r="AA5410" s="93">
        <f>50/((3*3*7)-(3.14/4*1.5*1.5*7))</f>
        <v>0.98743489101187387</v>
      </c>
      <c r="AB5410" s="93">
        <f>AD5410/AC5404</f>
        <v>36.458100000000002</v>
      </c>
      <c r="AC5410" s="93">
        <f>AC5404/AA5410</f>
        <v>6.3497857499999997</v>
      </c>
      <c r="AD5410" s="94">
        <f>AC5410*Z5410</f>
        <v>228.592287</v>
      </c>
      <c r="AE5410" s="190"/>
      <c r="AF5410" s="191"/>
      <c r="AG5410" s="191"/>
      <c r="AH5410" s="191"/>
      <c r="AI5410" s="186"/>
      <c r="AK5410" s="171"/>
    </row>
    <row r="5411" spans="1:41" s="102" customFormat="1" ht="19.899999999999999" customHeight="1" x14ac:dyDescent="0.25">
      <c r="A5411" s="45"/>
      <c r="B5411" s="59"/>
      <c r="C5411" s="137"/>
      <c r="D5411" s="59"/>
      <c r="E5411" s="116"/>
      <c r="F5411" s="120"/>
      <c r="G5411" s="120"/>
      <c r="H5411" s="120"/>
      <c r="I5411" s="60"/>
      <c r="J5411" s="116"/>
      <c r="K5411" s="213"/>
      <c r="L5411" s="120"/>
      <c r="M5411" s="120"/>
      <c r="N5411" s="167"/>
      <c r="O5411" s="120"/>
      <c r="P5411" s="120"/>
      <c r="Q5411" s="120"/>
      <c r="R5411" s="120"/>
      <c r="S5411" s="120"/>
      <c r="T5411" s="221"/>
      <c r="U5411" s="89"/>
      <c r="V5411" s="61"/>
      <c r="W5411" s="92" t="s">
        <v>65</v>
      </c>
      <c r="X5411" s="93" t="s">
        <v>30</v>
      </c>
      <c r="Y5411" s="93" t="s">
        <v>1011</v>
      </c>
      <c r="Z5411" s="134">
        <f>VLOOKUP(W5411,Sheet2!$B:$D,3,FALSE)</f>
        <v>1.76</v>
      </c>
      <c r="AA5411" s="93">
        <f>AA5410/9</f>
        <v>0.10971498789020821</v>
      </c>
      <c r="AB5411" s="93">
        <f>AD5411/AC5404</f>
        <v>16.041563999999997</v>
      </c>
      <c r="AC5411" s="93">
        <f>AC5404/AA5411</f>
        <v>57.148071749999993</v>
      </c>
      <c r="AD5411" s="94">
        <f>AC5411*Z5411</f>
        <v>100.58060627999998</v>
      </c>
      <c r="AE5411" s="190"/>
      <c r="AF5411" s="191"/>
      <c r="AG5411" s="191"/>
      <c r="AH5411" s="191"/>
      <c r="AI5411" s="186"/>
      <c r="AK5411" s="171"/>
    </row>
    <row r="5412" spans="1:41" s="102" customFormat="1" ht="19.899999999999999" customHeight="1" x14ac:dyDescent="0.25">
      <c r="A5412" s="45"/>
      <c r="B5412" s="59"/>
      <c r="C5412" s="137"/>
      <c r="D5412" s="59"/>
      <c r="E5412" s="116"/>
      <c r="F5412" s="120"/>
      <c r="G5412" s="120"/>
      <c r="H5412" s="120"/>
      <c r="I5412" s="60"/>
      <c r="J5412" s="116"/>
      <c r="K5412" s="213"/>
      <c r="L5412" s="120"/>
      <c r="M5412" s="120"/>
      <c r="N5412" s="167"/>
      <c r="O5412" s="120"/>
      <c r="P5412" s="120"/>
      <c r="Q5412" s="120"/>
      <c r="R5412" s="120"/>
      <c r="S5412" s="120"/>
      <c r="T5412" s="221"/>
      <c r="U5412" s="89"/>
      <c r="V5412" s="61"/>
      <c r="W5412" s="92" t="s">
        <v>1030</v>
      </c>
      <c r="X5412" s="93" t="s">
        <v>29</v>
      </c>
      <c r="Y5412" s="93" t="s">
        <v>93</v>
      </c>
      <c r="Z5412" s="134">
        <f>VLOOKUP(W5412,Sheet2!$B:$D,3,FALSE)</f>
        <v>23</v>
      </c>
      <c r="AA5412" s="93">
        <f>1/(7*1)</f>
        <v>0.14285714285714285</v>
      </c>
      <c r="AB5412" s="93">
        <f>AD5412/AC5404</f>
        <v>161.00000000000003</v>
      </c>
      <c r="AC5412" s="93">
        <f>AC5404/AA5412</f>
        <v>43.89</v>
      </c>
      <c r="AD5412" s="94">
        <f t="shared" ref="AD5412:AD5413" si="3871">AC5412*Z5412</f>
        <v>1009.47</v>
      </c>
      <c r="AE5412" s="190"/>
      <c r="AF5412" s="191"/>
      <c r="AG5412" s="191"/>
      <c r="AH5412" s="191"/>
      <c r="AI5412" s="186"/>
      <c r="AK5412" s="171"/>
    </row>
    <row r="5413" spans="1:41" s="102" customFormat="1" ht="19.899999999999999" customHeight="1" x14ac:dyDescent="0.25">
      <c r="A5413" s="45"/>
      <c r="B5413" s="59"/>
      <c r="C5413" s="137"/>
      <c r="D5413" s="59"/>
      <c r="E5413" s="116"/>
      <c r="F5413" s="120"/>
      <c r="G5413" s="120"/>
      <c r="H5413" s="120"/>
      <c r="I5413" s="60"/>
      <c r="J5413" s="116"/>
      <c r="K5413" s="213"/>
      <c r="L5413" s="120"/>
      <c r="M5413" s="120"/>
      <c r="N5413" s="167"/>
      <c r="O5413" s="120"/>
      <c r="P5413" s="120"/>
      <c r="Q5413" s="120"/>
      <c r="R5413" s="120"/>
      <c r="S5413" s="120"/>
      <c r="T5413" s="221"/>
      <c r="U5413" s="89"/>
      <c r="V5413" s="61"/>
      <c r="W5413" s="92" t="s">
        <v>65</v>
      </c>
      <c r="X5413" s="93" t="s">
        <v>30</v>
      </c>
      <c r="Y5413" s="93" t="s">
        <v>1011</v>
      </c>
      <c r="Z5413" s="134">
        <f>VLOOKUP(W5413,Sheet2!$B:$D,3,FALSE)</f>
        <v>1.76</v>
      </c>
      <c r="AA5413" s="93">
        <f>AA5412/3</f>
        <v>4.7619047619047616E-2</v>
      </c>
      <c r="AB5413" s="93">
        <f>AD5413/AC5404</f>
        <v>36.96</v>
      </c>
      <c r="AC5413" s="93">
        <f>AC5404/AA5413</f>
        <v>131.66999999999999</v>
      </c>
      <c r="AD5413" s="94">
        <f t="shared" si="3871"/>
        <v>231.73919999999998</v>
      </c>
      <c r="AE5413" s="190"/>
      <c r="AF5413" s="191"/>
      <c r="AG5413" s="191"/>
      <c r="AH5413" s="191"/>
      <c r="AI5413" s="186"/>
      <c r="AK5413" s="171"/>
    </row>
    <row r="5414" spans="1:41" ht="20.100000000000001" customHeight="1" x14ac:dyDescent="0.25">
      <c r="A5414" s="277" t="s">
        <v>491</v>
      </c>
      <c r="B5414" s="278"/>
      <c r="C5414" s="64" t="s">
        <v>600</v>
      </c>
      <c r="D5414" s="46" t="s">
        <v>215</v>
      </c>
      <c r="E5414" s="114">
        <v>2</v>
      </c>
      <c r="F5414" s="44">
        <v>101964</v>
      </c>
      <c r="G5414" s="44">
        <f t="shared" si="3841"/>
        <v>203928</v>
      </c>
      <c r="H5414" s="44">
        <f t="shared" si="3842"/>
        <v>16629.797987941176</v>
      </c>
      <c r="I5414" s="43">
        <f t="shared" si="3843"/>
        <v>33259.595975882352</v>
      </c>
      <c r="J5414" s="112">
        <f t="shared" si="3844"/>
        <v>2</v>
      </c>
      <c r="K5414" s="211">
        <f t="shared" si="3845"/>
        <v>2</v>
      </c>
      <c r="L5414" s="44"/>
      <c r="M5414" s="44">
        <f t="shared" si="3846"/>
        <v>2</v>
      </c>
      <c r="N5414" s="173">
        <f t="shared" si="3847"/>
        <v>1</v>
      </c>
      <c r="O5414" s="44">
        <f t="shared" si="3848"/>
        <v>101964</v>
      </c>
      <c r="P5414" s="44">
        <f t="shared" si="3849"/>
        <v>203928</v>
      </c>
      <c r="Q5414" s="44">
        <f t="shared" si="3850"/>
        <v>16629.797987941176</v>
      </c>
      <c r="R5414" s="44">
        <f t="shared" si="3851"/>
        <v>33259.595975882352</v>
      </c>
      <c r="S5414" s="123"/>
      <c r="T5414" s="219">
        <f t="shared" si="3852"/>
        <v>33259.595975882352</v>
      </c>
      <c r="U5414" s="87"/>
      <c r="V5414" s="47"/>
      <c r="W5414" s="48"/>
      <c r="X5414" s="48"/>
      <c r="Y5414" s="48"/>
      <c r="Z5414" s="135"/>
      <c r="AA5414" s="49"/>
      <c r="AB5414" s="50">
        <f t="shared" si="3853"/>
        <v>16629.797987941176</v>
      </c>
      <c r="AC5414" s="42">
        <f t="shared" si="3854"/>
        <v>2</v>
      </c>
      <c r="AD5414" s="90">
        <f>AD5415+AD5420+AD5427+AD5434</f>
        <v>33259.595975882352</v>
      </c>
      <c r="AE5414" s="188">
        <f t="shared" ref="AE5414" si="3872">AE5415+AE5420+AE5427+AE5434</f>
        <v>0</v>
      </c>
      <c r="AF5414" s="189">
        <f t="shared" ref="AF5414" si="3873">AF5415+AF5420+AF5427+AF5434</f>
        <v>0</v>
      </c>
      <c r="AG5414" s="189">
        <f t="shared" ref="AG5414" si="3874">AG5415+AG5420+AG5427+AG5434</f>
        <v>0</v>
      </c>
      <c r="AH5414" s="189">
        <f t="shared" ref="AH5414" si="3875">AH5415+AH5420+AH5427+AH5434</f>
        <v>0</v>
      </c>
      <c r="AI5414" s="161">
        <f t="shared" ref="AI5414" si="3876">SUM(AE5414:AH5414)</f>
        <v>0</v>
      </c>
      <c r="AK5414" s="169">
        <v>5</v>
      </c>
      <c r="AO5414" s="19" t="s">
        <v>63</v>
      </c>
    </row>
    <row r="5415" spans="1:41" s="103" customFormat="1" ht="19.899999999999999" customHeight="1" x14ac:dyDescent="0.25">
      <c r="A5415" s="51"/>
      <c r="B5415" s="52"/>
      <c r="C5415" s="165"/>
      <c r="D5415" s="52"/>
      <c r="E5415" s="115"/>
      <c r="F5415" s="58"/>
      <c r="G5415" s="58"/>
      <c r="H5415" s="58"/>
      <c r="I5415" s="55"/>
      <c r="J5415" s="113">
        <f>J5414</f>
        <v>2</v>
      </c>
      <c r="K5415" s="212">
        <f>K5414</f>
        <v>2</v>
      </c>
      <c r="L5415" s="58"/>
      <c r="M5415" s="58">
        <f>K5415-L5415</f>
        <v>2</v>
      </c>
      <c r="N5415" s="166"/>
      <c r="O5415" s="58"/>
      <c r="P5415" s="58"/>
      <c r="Q5415" s="58"/>
      <c r="R5415" s="58"/>
      <c r="S5415" s="58"/>
      <c r="T5415" s="220"/>
      <c r="U5415" s="88"/>
      <c r="V5415" s="56"/>
      <c r="W5415" s="57" t="s">
        <v>1554</v>
      </c>
      <c r="X5415" s="53"/>
      <c r="Y5415" s="91" t="s">
        <v>35</v>
      </c>
      <c r="Z5415" s="136">
        <f>AD5415/AC5415</f>
        <v>343.63482352941179</v>
      </c>
      <c r="AA5415" s="58"/>
      <c r="AB5415" s="53">
        <f>AD5415/AC5415</f>
        <v>343.63482352941179</v>
      </c>
      <c r="AC5415" s="53">
        <f>M5415+$AE$10</f>
        <v>2</v>
      </c>
      <c r="AD5415" s="54">
        <f>SUM(AD5416:AD5419)</f>
        <v>687.26964705882358</v>
      </c>
      <c r="AE5415" s="184">
        <f>SUMIFS($AD$37:$AD$12971,$V$37:$V$12971,$V5415,$X$37:$X$12971,AE$13)</f>
        <v>0</v>
      </c>
      <c r="AF5415" s="185">
        <f>SUMIFS($AD$37:$AD$12971,$V$37:$V$12971,$V5415,$X$37:$X$12971,AF$13)</f>
        <v>0</v>
      </c>
      <c r="AG5415" s="185">
        <f>SUMIFS($AD$37:$AD$12971,$V$37:$V$12971,$V5415,$X$37:$X$12971,AG$13)</f>
        <v>0</v>
      </c>
      <c r="AH5415" s="187">
        <f>SUMIFS($AD$37:$AD$12971,$V$37:$V$12971,$V5415,$X$37:$X$12971,AH$13)</f>
        <v>0</v>
      </c>
      <c r="AI5415" s="161">
        <f t="shared" ref="AI5415" si="3877">SUM(AE5415:AH5415)</f>
        <v>0</v>
      </c>
      <c r="AK5415" s="172"/>
    </row>
    <row r="5416" spans="1:41" s="102" customFormat="1" ht="19.899999999999999" customHeight="1" x14ac:dyDescent="0.25">
      <c r="A5416" s="45"/>
      <c r="B5416" s="59"/>
      <c r="C5416" s="137"/>
      <c r="D5416" s="59"/>
      <c r="E5416" s="116"/>
      <c r="F5416" s="120"/>
      <c r="G5416" s="120"/>
      <c r="H5416" s="120"/>
      <c r="I5416" s="60"/>
      <c r="J5416" s="116"/>
      <c r="K5416" s="213"/>
      <c r="L5416" s="120"/>
      <c r="M5416" s="120"/>
      <c r="N5416" s="167"/>
      <c r="O5416" s="120"/>
      <c r="P5416" s="120"/>
      <c r="Q5416" s="120"/>
      <c r="R5416" s="120"/>
      <c r="S5416" s="120"/>
      <c r="T5416" s="221"/>
      <c r="U5416" s="89"/>
      <c r="V5416" s="61"/>
      <c r="W5416" s="92" t="s">
        <v>131</v>
      </c>
      <c r="X5416" s="93" t="s">
        <v>29</v>
      </c>
      <c r="Y5416" s="93" t="s">
        <v>93</v>
      </c>
      <c r="Z5416" s="134">
        <f>VLOOKUP(W5416,Sheet2!$B:$D,3,FALSE)</f>
        <v>131.19999999999999</v>
      </c>
      <c r="AA5416" s="93">
        <f>100/(3*3*7.5)</f>
        <v>1.4814814814814814</v>
      </c>
      <c r="AB5416" s="93">
        <f t="shared" ref="AB5416" si="3878">AD5416/AC5415</f>
        <v>88.56</v>
      </c>
      <c r="AC5416" s="93">
        <f>AC5415/AA5416</f>
        <v>1.35</v>
      </c>
      <c r="AD5416" s="94">
        <f t="shared" ref="AD5416:AD5417" si="3879">AC5416*Z5416</f>
        <v>177.12</v>
      </c>
      <c r="AE5416" s="190"/>
      <c r="AF5416" s="191"/>
      <c r="AG5416" s="191"/>
      <c r="AH5416" s="191"/>
      <c r="AI5416" s="186"/>
      <c r="AK5416" s="171"/>
    </row>
    <row r="5417" spans="1:41" s="102" customFormat="1" ht="19.899999999999999" customHeight="1" x14ac:dyDescent="0.25">
      <c r="A5417" s="45"/>
      <c r="B5417" s="59"/>
      <c r="C5417" s="137"/>
      <c r="D5417" s="59"/>
      <c r="E5417" s="116"/>
      <c r="F5417" s="120"/>
      <c r="G5417" s="120"/>
      <c r="H5417" s="120"/>
      <c r="I5417" s="60"/>
      <c r="J5417" s="116"/>
      <c r="K5417" s="213"/>
      <c r="L5417" s="120"/>
      <c r="M5417" s="120"/>
      <c r="N5417" s="167"/>
      <c r="O5417" s="120"/>
      <c r="P5417" s="120"/>
      <c r="Q5417" s="120"/>
      <c r="R5417" s="120"/>
      <c r="S5417" s="120"/>
      <c r="T5417" s="221"/>
      <c r="U5417" s="89"/>
      <c r="V5417" s="61"/>
      <c r="W5417" s="92" t="s">
        <v>65</v>
      </c>
      <c r="X5417" s="93" t="s">
        <v>30</v>
      </c>
      <c r="Y5417" s="93" t="s">
        <v>1011</v>
      </c>
      <c r="Z5417" s="134">
        <f>VLOOKUP(W5417,Sheet2!$B:$D,3,FALSE)</f>
        <v>1.76</v>
      </c>
      <c r="AA5417" s="93">
        <f>AA5416/32</f>
        <v>4.6296296296296294E-2</v>
      </c>
      <c r="AB5417" s="93">
        <f>AD5417/AC5415</f>
        <v>38.016000000000005</v>
      </c>
      <c r="AC5417" s="93">
        <f>AC5415/AA5417</f>
        <v>43.2</v>
      </c>
      <c r="AD5417" s="94">
        <f t="shared" si="3879"/>
        <v>76.032000000000011</v>
      </c>
      <c r="AE5417" s="190"/>
      <c r="AF5417" s="191"/>
      <c r="AG5417" s="191"/>
      <c r="AH5417" s="191"/>
      <c r="AI5417" s="186"/>
      <c r="AK5417" s="171"/>
    </row>
    <row r="5418" spans="1:41" s="102" customFormat="1" ht="19.899999999999999" customHeight="1" x14ac:dyDescent="0.25">
      <c r="A5418" s="45"/>
      <c r="B5418" s="59"/>
      <c r="C5418" s="137"/>
      <c r="D5418" s="59"/>
      <c r="E5418" s="116"/>
      <c r="F5418" s="120"/>
      <c r="G5418" s="120"/>
      <c r="H5418" s="120"/>
      <c r="I5418" s="60"/>
      <c r="J5418" s="116"/>
      <c r="K5418" s="213"/>
      <c r="L5418" s="120"/>
      <c r="M5418" s="120"/>
      <c r="N5418" s="167"/>
      <c r="O5418" s="120"/>
      <c r="P5418" s="120"/>
      <c r="Q5418" s="120"/>
      <c r="R5418" s="120"/>
      <c r="S5418" s="120"/>
      <c r="T5418" s="221"/>
      <c r="U5418" s="89"/>
      <c r="V5418" s="61"/>
      <c r="W5418" s="92" t="s">
        <v>161</v>
      </c>
      <c r="X5418" s="93" t="s">
        <v>29</v>
      </c>
      <c r="Y5418" s="93" t="s">
        <v>93</v>
      </c>
      <c r="Z5418" s="134">
        <f>VLOOKUP(W5418,Sheet2!$B:$D,3,FALSE)</f>
        <v>48</v>
      </c>
      <c r="AA5418" s="93">
        <f>(16*0.85*1.5)/(3*3*7.5)</f>
        <v>0.30222222222222223</v>
      </c>
      <c r="AB5418" s="93">
        <f>AD5418/AC5415</f>
        <v>158.8235294117647</v>
      </c>
      <c r="AC5418" s="93">
        <f>AC5415/AA5418</f>
        <v>6.617647058823529</v>
      </c>
      <c r="AD5418" s="94">
        <f>AC5418*Z5418</f>
        <v>317.64705882352939</v>
      </c>
      <c r="AE5418" s="190"/>
      <c r="AF5418" s="191"/>
      <c r="AG5418" s="191"/>
      <c r="AH5418" s="191"/>
      <c r="AI5418" s="186"/>
      <c r="AK5418" s="171"/>
    </row>
    <row r="5419" spans="1:41" s="102" customFormat="1" ht="19.899999999999999" customHeight="1" x14ac:dyDescent="0.25">
      <c r="A5419" s="45"/>
      <c r="B5419" s="59"/>
      <c r="C5419" s="137"/>
      <c r="D5419" s="59"/>
      <c r="E5419" s="116"/>
      <c r="F5419" s="120"/>
      <c r="G5419" s="120"/>
      <c r="H5419" s="120"/>
      <c r="I5419" s="60"/>
      <c r="J5419" s="116"/>
      <c r="K5419" s="213"/>
      <c r="L5419" s="120"/>
      <c r="M5419" s="120"/>
      <c r="N5419" s="167"/>
      <c r="O5419" s="120"/>
      <c r="P5419" s="120"/>
      <c r="Q5419" s="120"/>
      <c r="R5419" s="120"/>
      <c r="S5419" s="120"/>
      <c r="T5419" s="221"/>
      <c r="U5419" s="89"/>
      <c r="V5419" s="61"/>
      <c r="W5419" s="92" t="s">
        <v>65</v>
      </c>
      <c r="X5419" s="93" t="s">
        <v>30</v>
      </c>
      <c r="Y5419" s="93" t="s">
        <v>1011</v>
      </c>
      <c r="Z5419" s="134">
        <f>VLOOKUP(W5419,Sheet2!$B:$D,3,FALSE)</f>
        <v>1.76</v>
      </c>
      <c r="AA5419" s="93">
        <f>AA5418/10</f>
        <v>3.0222222222222223E-2</v>
      </c>
      <c r="AB5419" s="93">
        <f>AD5419/AC5415</f>
        <v>58.235294117647058</v>
      </c>
      <c r="AC5419" s="93">
        <f>AC5415/AA5419</f>
        <v>66.17647058823529</v>
      </c>
      <c r="AD5419" s="94">
        <f>AC5419*Z5419</f>
        <v>116.47058823529412</v>
      </c>
      <c r="AE5419" s="190"/>
      <c r="AF5419" s="191"/>
      <c r="AG5419" s="191"/>
      <c r="AH5419" s="191"/>
      <c r="AI5419" s="186"/>
      <c r="AK5419" s="171"/>
    </row>
    <row r="5420" spans="1:41" s="103" customFormat="1" ht="19.899999999999999" customHeight="1" x14ac:dyDescent="0.25">
      <c r="A5420" s="51"/>
      <c r="B5420" s="52"/>
      <c r="C5420" s="165"/>
      <c r="D5420" s="52"/>
      <c r="E5420" s="115"/>
      <c r="F5420" s="58"/>
      <c r="G5420" s="58"/>
      <c r="H5420" s="58"/>
      <c r="I5420" s="55"/>
      <c r="J5420" s="113">
        <f>J5414</f>
        <v>2</v>
      </c>
      <c r="K5420" s="212">
        <f>K5414</f>
        <v>2</v>
      </c>
      <c r="L5420" s="58"/>
      <c r="M5420" s="58">
        <f>K5420-L5420</f>
        <v>2</v>
      </c>
      <c r="N5420" s="166"/>
      <c r="O5420" s="58"/>
      <c r="P5420" s="58"/>
      <c r="Q5420" s="58"/>
      <c r="R5420" s="58"/>
      <c r="S5420" s="58"/>
      <c r="T5420" s="220"/>
      <c r="U5420" s="88"/>
      <c r="V5420" s="56"/>
      <c r="W5420" s="57" t="s">
        <v>1486</v>
      </c>
      <c r="X5420" s="53"/>
      <c r="Y5420" s="91" t="s">
        <v>35</v>
      </c>
      <c r="Z5420" s="136">
        <f>AD5420/AC5420</f>
        <v>1883.8374999999999</v>
      </c>
      <c r="AA5420" s="58"/>
      <c r="AB5420" s="53">
        <f>AD5420/AC5420</f>
        <v>1883.8374999999999</v>
      </c>
      <c r="AC5420" s="53">
        <f>M5420+$AE$10</f>
        <v>2</v>
      </c>
      <c r="AD5420" s="54">
        <f>SUM(AD5421:AD5426)</f>
        <v>3767.6749999999997</v>
      </c>
      <c r="AE5420" s="184">
        <f>SUMIFS($AD$37:$AD$12971,$V$37:$V$12971,$V5420,$X$37:$X$12971,AE$13)</f>
        <v>0</v>
      </c>
      <c r="AF5420" s="185">
        <f>SUMIFS($AD$37:$AD$12971,$V$37:$V$12971,$V5420,$X$37:$X$12971,AF$13)</f>
        <v>0</v>
      </c>
      <c r="AG5420" s="185">
        <f>SUMIFS($AD$37:$AD$12971,$V$37:$V$12971,$V5420,$X$37:$X$12971,AG$13)</f>
        <v>0</v>
      </c>
      <c r="AH5420" s="187">
        <f>SUMIFS($AD$37:$AD$12971,$V$37:$V$12971,$V5420,$X$37:$X$12971,AH$13)</f>
        <v>0</v>
      </c>
      <c r="AI5420" s="161">
        <f t="shared" ref="AI5420" si="3880">SUM(AE5420:AH5420)</f>
        <v>0</v>
      </c>
      <c r="AK5420" s="172"/>
    </row>
    <row r="5421" spans="1:41" s="102" customFormat="1" ht="19.899999999999999" customHeight="1" x14ac:dyDescent="0.25">
      <c r="A5421" s="45"/>
      <c r="B5421" s="59"/>
      <c r="C5421" s="137"/>
      <c r="D5421" s="59"/>
      <c r="E5421" s="116"/>
      <c r="F5421" s="120"/>
      <c r="G5421" s="120"/>
      <c r="H5421" s="120"/>
      <c r="I5421" s="60"/>
      <c r="J5421" s="116"/>
      <c r="K5421" s="213"/>
      <c r="L5421" s="120"/>
      <c r="M5421" s="120"/>
      <c r="N5421" s="167"/>
      <c r="O5421" s="120"/>
      <c r="P5421" s="120"/>
      <c r="Q5421" s="120"/>
      <c r="R5421" s="120"/>
      <c r="S5421" s="120"/>
      <c r="T5421" s="221"/>
      <c r="U5421" s="89"/>
      <c r="V5421" s="61"/>
      <c r="W5421" s="92" t="s">
        <v>1032</v>
      </c>
      <c r="X5421" s="93" t="s">
        <v>30</v>
      </c>
      <c r="Y5421" s="93" t="s">
        <v>66</v>
      </c>
      <c r="Z5421" s="134">
        <f>VLOOKUP(W5421,Sheet2!$B:$D,3,FALSE)</f>
        <v>250</v>
      </c>
      <c r="AA5421" s="93">
        <f>1/(2.4*2.4*0.1)</f>
        <v>1.7361111111111112</v>
      </c>
      <c r="AB5421" s="93">
        <f>AD5421/AC5427</f>
        <v>144</v>
      </c>
      <c r="AC5421" s="93">
        <f>AC5427/AA5421</f>
        <v>1.1519999999999999</v>
      </c>
      <c r="AD5421" s="94">
        <f t="shared" ref="AD5421:AD5423" si="3881">AC5421*Z5421</f>
        <v>288</v>
      </c>
      <c r="AE5421" s="190"/>
      <c r="AF5421" s="191"/>
      <c r="AG5421" s="191"/>
      <c r="AH5421" s="191"/>
      <c r="AI5421" s="186"/>
      <c r="AK5421" s="171"/>
    </row>
    <row r="5422" spans="1:41" s="102" customFormat="1" ht="19.899999999999999" customHeight="1" x14ac:dyDescent="0.25">
      <c r="A5422" s="45"/>
      <c r="B5422" s="59"/>
      <c r="C5422" s="137"/>
      <c r="D5422" s="59"/>
      <c r="E5422" s="116"/>
      <c r="F5422" s="120"/>
      <c r="G5422" s="120"/>
      <c r="H5422" s="120"/>
      <c r="I5422" s="60"/>
      <c r="J5422" s="116"/>
      <c r="K5422" s="213"/>
      <c r="L5422" s="120"/>
      <c r="M5422" s="120"/>
      <c r="N5422" s="167"/>
      <c r="O5422" s="120"/>
      <c r="P5422" s="120"/>
      <c r="Q5422" s="120"/>
      <c r="R5422" s="120"/>
      <c r="S5422" s="120"/>
      <c r="T5422" s="221"/>
      <c r="U5422" s="89"/>
      <c r="V5422" s="61"/>
      <c r="W5422" s="92" t="s">
        <v>1353</v>
      </c>
      <c r="X5422" s="93" t="s">
        <v>30</v>
      </c>
      <c r="Y5422" s="93" t="s">
        <v>66</v>
      </c>
      <c r="Z5422" s="134">
        <f>VLOOKUP(W5422,Sheet2!$B:$D,3,FALSE)</f>
        <v>350</v>
      </c>
      <c r="AA5422" s="93">
        <f>1/(2.3*2.3*0.3)</f>
        <v>0.63011972274732209</v>
      </c>
      <c r="AB5422" s="93">
        <f>AD5422/AC5427</f>
        <v>555.44999999999993</v>
      </c>
      <c r="AC5422" s="93">
        <f>AC5427/AA5422</f>
        <v>3.1739999999999995</v>
      </c>
      <c r="AD5422" s="94">
        <f t="shared" si="3881"/>
        <v>1110.8999999999999</v>
      </c>
      <c r="AE5422" s="190"/>
      <c r="AF5422" s="191"/>
      <c r="AG5422" s="191"/>
      <c r="AH5422" s="191"/>
      <c r="AI5422" s="186"/>
      <c r="AK5422" s="171"/>
    </row>
    <row r="5423" spans="1:41" s="102" customFormat="1" ht="19.899999999999999" customHeight="1" x14ac:dyDescent="0.25">
      <c r="A5423" s="45"/>
      <c r="B5423" s="59"/>
      <c r="C5423" s="137"/>
      <c r="D5423" s="59"/>
      <c r="E5423" s="116"/>
      <c r="F5423" s="120"/>
      <c r="G5423" s="120"/>
      <c r="H5423" s="120"/>
      <c r="I5423" s="60"/>
      <c r="J5423" s="116"/>
      <c r="K5423" s="213"/>
      <c r="L5423" s="120"/>
      <c r="M5423" s="120"/>
      <c r="N5423" s="167"/>
      <c r="O5423" s="120"/>
      <c r="P5423" s="120"/>
      <c r="Q5423" s="120"/>
      <c r="R5423" s="120"/>
      <c r="S5423" s="120"/>
      <c r="T5423" s="221"/>
      <c r="U5423" s="89"/>
      <c r="V5423" s="61"/>
      <c r="W5423" s="92" t="s">
        <v>99</v>
      </c>
      <c r="X5423" s="93" t="s">
        <v>30</v>
      </c>
      <c r="Y5423" s="93" t="s">
        <v>67</v>
      </c>
      <c r="Z5423" s="134">
        <f>VLOOKUP(W5423,Sheet2!$B:$D,3,FALSE)</f>
        <v>2500</v>
      </c>
      <c r="AA5423" s="93">
        <f>AA5422/0.08</f>
        <v>7.8764965343415261</v>
      </c>
      <c r="AB5423" s="93">
        <f>AD5423/AC5427</f>
        <v>317.39999999999998</v>
      </c>
      <c r="AC5423" s="93">
        <f>AC5427/AA5423</f>
        <v>0.25391999999999998</v>
      </c>
      <c r="AD5423" s="94">
        <f t="shared" si="3881"/>
        <v>634.79999999999995</v>
      </c>
      <c r="AE5423" s="190"/>
      <c r="AF5423" s="191"/>
      <c r="AG5423" s="191"/>
      <c r="AH5423" s="191"/>
      <c r="AI5423" s="186"/>
      <c r="AK5423" s="171"/>
    </row>
    <row r="5424" spans="1:41" s="102" customFormat="1" ht="19.899999999999999" customHeight="1" x14ac:dyDescent="0.25">
      <c r="A5424" s="45"/>
      <c r="B5424" s="59"/>
      <c r="C5424" s="137"/>
      <c r="D5424" s="59"/>
      <c r="E5424" s="116"/>
      <c r="F5424" s="120"/>
      <c r="G5424" s="120"/>
      <c r="H5424" s="120"/>
      <c r="I5424" s="60"/>
      <c r="J5424" s="116"/>
      <c r="K5424" s="213"/>
      <c r="L5424" s="120"/>
      <c r="M5424" s="120"/>
      <c r="N5424" s="167"/>
      <c r="O5424" s="120"/>
      <c r="P5424" s="120"/>
      <c r="Q5424" s="120"/>
      <c r="R5424" s="120"/>
      <c r="S5424" s="120"/>
      <c r="T5424" s="221"/>
      <c r="U5424" s="89"/>
      <c r="V5424" s="61"/>
      <c r="W5424" s="92" t="s">
        <v>1354</v>
      </c>
      <c r="X5424" s="93" t="s">
        <v>32</v>
      </c>
      <c r="Y5424" s="93" t="s">
        <v>66</v>
      </c>
      <c r="Z5424" s="134">
        <f>VLOOKUP(W5424,Sheet2!$B:$D,3,FALSE)</f>
        <v>150</v>
      </c>
      <c r="AA5424" s="93">
        <f>AA5421</f>
        <v>1.7361111111111112</v>
      </c>
      <c r="AB5424" s="93">
        <f>AD5424/AC5427</f>
        <v>86.399999999999991</v>
      </c>
      <c r="AC5424" s="93">
        <f>AC5427/AA5424</f>
        <v>1.1519999999999999</v>
      </c>
      <c r="AD5424" s="94">
        <f>AC5424*Z5424</f>
        <v>172.79999999999998</v>
      </c>
      <c r="AE5424" s="190"/>
      <c r="AF5424" s="191"/>
      <c r="AG5424" s="191"/>
      <c r="AH5424" s="191"/>
      <c r="AI5424" s="186"/>
      <c r="AK5424" s="171"/>
    </row>
    <row r="5425" spans="1:37" s="102" customFormat="1" ht="19.899999999999999" customHeight="1" x14ac:dyDescent="0.25">
      <c r="A5425" s="45"/>
      <c r="B5425" s="59"/>
      <c r="C5425" s="137"/>
      <c r="D5425" s="59"/>
      <c r="E5425" s="116"/>
      <c r="F5425" s="120"/>
      <c r="G5425" s="120"/>
      <c r="H5425" s="120"/>
      <c r="I5425" s="60"/>
      <c r="J5425" s="116"/>
      <c r="K5425" s="213"/>
      <c r="L5425" s="120"/>
      <c r="M5425" s="120"/>
      <c r="N5425" s="167"/>
      <c r="O5425" s="120"/>
      <c r="P5425" s="120"/>
      <c r="Q5425" s="120"/>
      <c r="R5425" s="120"/>
      <c r="S5425" s="120"/>
      <c r="T5425" s="221"/>
      <c r="U5425" s="89"/>
      <c r="V5425" s="61"/>
      <c r="W5425" s="92" t="s">
        <v>1355</v>
      </c>
      <c r="X5425" s="93" t="s">
        <v>32</v>
      </c>
      <c r="Y5425" s="93" t="s">
        <v>66</v>
      </c>
      <c r="Z5425" s="134">
        <f>VLOOKUP(W5425,Sheet2!$B:$D,3,FALSE)</f>
        <v>450</v>
      </c>
      <c r="AA5425" s="93">
        <f>AA5422</f>
        <v>0.63011972274732209</v>
      </c>
      <c r="AB5425" s="93">
        <f>AD5425/AC5427</f>
        <v>714.14999999999986</v>
      </c>
      <c r="AC5425" s="93">
        <f>AC5427/AA5425</f>
        <v>3.1739999999999995</v>
      </c>
      <c r="AD5425" s="94">
        <f>AC5425*Z5425</f>
        <v>1428.2999999999997</v>
      </c>
      <c r="AE5425" s="190"/>
      <c r="AF5425" s="191"/>
      <c r="AG5425" s="191"/>
      <c r="AH5425" s="191"/>
      <c r="AI5425" s="186"/>
      <c r="AK5425" s="171"/>
    </row>
    <row r="5426" spans="1:37" s="102" customFormat="1" ht="19.899999999999999" customHeight="1" x14ac:dyDescent="0.25">
      <c r="A5426" s="45"/>
      <c r="B5426" s="59"/>
      <c r="C5426" s="137"/>
      <c r="D5426" s="59"/>
      <c r="E5426" s="116"/>
      <c r="F5426" s="120"/>
      <c r="G5426" s="120"/>
      <c r="H5426" s="120"/>
      <c r="I5426" s="60"/>
      <c r="J5426" s="116"/>
      <c r="K5426" s="213"/>
      <c r="L5426" s="120"/>
      <c r="M5426" s="120"/>
      <c r="N5426" s="167"/>
      <c r="O5426" s="120"/>
      <c r="P5426" s="120"/>
      <c r="Q5426" s="120"/>
      <c r="R5426" s="120"/>
      <c r="S5426" s="120"/>
      <c r="T5426" s="221"/>
      <c r="U5426" s="89"/>
      <c r="V5426" s="61"/>
      <c r="W5426" s="92" t="s">
        <v>124</v>
      </c>
      <c r="X5426" s="93" t="s">
        <v>32</v>
      </c>
      <c r="Y5426" s="93" t="s">
        <v>64</v>
      </c>
      <c r="Z5426" s="134">
        <f>VLOOKUP(W5426,Sheet2!$B:$D,3,FALSE)</f>
        <v>10</v>
      </c>
      <c r="AA5426" s="93">
        <f>1/((2.9*2.9)-(3.14*1.5*1.5/4))</f>
        <v>0.15051740357478832</v>
      </c>
      <c r="AB5426" s="93">
        <f t="shared" ref="AB5426" si="3882">AD5426/AC5420</f>
        <v>66.4375</v>
      </c>
      <c r="AC5426" s="93">
        <f>AC5420/AA5426</f>
        <v>13.287500000000001</v>
      </c>
      <c r="AD5426" s="94">
        <f t="shared" ref="AD5426" si="3883">AC5426*Z5426</f>
        <v>132.875</v>
      </c>
      <c r="AE5426" s="190"/>
      <c r="AF5426" s="191"/>
      <c r="AG5426" s="191"/>
      <c r="AH5426" s="191"/>
      <c r="AI5426" s="186"/>
      <c r="AK5426" s="171"/>
    </row>
    <row r="5427" spans="1:37" s="103" customFormat="1" ht="19.899999999999999" customHeight="1" x14ac:dyDescent="0.25">
      <c r="A5427" s="51"/>
      <c r="B5427" s="52"/>
      <c r="C5427" s="165"/>
      <c r="D5427" s="52"/>
      <c r="E5427" s="115"/>
      <c r="F5427" s="58"/>
      <c r="G5427" s="58"/>
      <c r="H5427" s="58"/>
      <c r="I5427" s="55"/>
      <c r="J5427" s="113">
        <f>J5414</f>
        <v>2</v>
      </c>
      <c r="K5427" s="212">
        <f>K5414</f>
        <v>2</v>
      </c>
      <c r="L5427" s="58"/>
      <c r="M5427" s="58">
        <f>K5427-L5427</f>
        <v>2</v>
      </c>
      <c r="N5427" s="166"/>
      <c r="O5427" s="58"/>
      <c r="P5427" s="58"/>
      <c r="Q5427" s="58"/>
      <c r="R5427" s="58"/>
      <c r="S5427" s="58"/>
      <c r="T5427" s="220"/>
      <c r="U5427" s="88"/>
      <c r="V5427" s="56"/>
      <c r="W5427" s="57" t="s">
        <v>1275</v>
      </c>
      <c r="X5427" s="53"/>
      <c r="Y5427" s="91" t="s">
        <v>35</v>
      </c>
      <c r="Z5427" s="136">
        <f>AD5427/AC5427</f>
        <v>13372.8</v>
      </c>
      <c r="AA5427" s="58"/>
      <c r="AB5427" s="53">
        <f>AD5427/AC5427</f>
        <v>13372.8</v>
      </c>
      <c r="AC5427" s="53">
        <f>M5427+$AE$10</f>
        <v>2</v>
      </c>
      <c r="AD5427" s="54">
        <f>SUM(AD5428:AD5433)</f>
        <v>26745.599999999999</v>
      </c>
      <c r="AE5427" s="184">
        <f>SUMIFS($AD$37:$AD$12971,$V$37:$V$12971,$V5427,$X$37:$X$12971,AE$13)</f>
        <v>0</v>
      </c>
      <c r="AF5427" s="185">
        <f>SUMIFS($AD$37:$AD$12971,$V$37:$V$12971,$V5427,$X$37:$X$12971,AF$13)</f>
        <v>0</v>
      </c>
      <c r="AG5427" s="185">
        <f>SUMIFS($AD$37:$AD$12971,$V$37:$V$12971,$V5427,$X$37:$X$12971,AG$13)</f>
        <v>0</v>
      </c>
      <c r="AH5427" s="187">
        <f>SUMIFS($AD$37:$AD$12971,$V$37:$V$12971,$V5427,$X$37:$X$12971,AH$13)</f>
        <v>0</v>
      </c>
      <c r="AI5427" s="161">
        <f t="shared" ref="AI5427" si="3884">SUM(AE5427:AH5427)</f>
        <v>0</v>
      </c>
      <c r="AK5427" s="172"/>
    </row>
    <row r="5428" spans="1:37" s="102" customFormat="1" ht="19.899999999999999" customHeight="1" x14ac:dyDescent="0.25">
      <c r="A5428" s="45"/>
      <c r="B5428" s="59"/>
      <c r="C5428" s="137"/>
      <c r="D5428" s="59"/>
      <c r="E5428" s="116"/>
      <c r="F5428" s="120"/>
      <c r="G5428" s="120"/>
      <c r="H5428" s="120"/>
      <c r="I5428" s="60"/>
      <c r="J5428" s="116"/>
      <c r="K5428" s="213"/>
      <c r="L5428" s="120"/>
      <c r="M5428" s="120"/>
      <c r="N5428" s="167"/>
      <c r="O5428" s="120"/>
      <c r="P5428" s="120"/>
      <c r="Q5428" s="120"/>
      <c r="R5428" s="120"/>
      <c r="S5428" s="120"/>
      <c r="T5428" s="221"/>
      <c r="U5428" s="89"/>
      <c r="V5428" s="61"/>
      <c r="W5428" s="92" t="s">
        <v>1548</v>
      </c>
      <c r="X5428" s="93" t="s">
        <v>30</v>
      </c>
      <c r="Y5428" s="93" t="s">
        <v>35</v>
      </c>
      <c r="Z5428" s="134">
        <f>VLOOKUP(W5428,Sheet2!$B:$D,3,FALSE)</f>
        <v>11600</v>
      </c>
      <c r="AA5428" s="93">
        <v>1</v>
      </c>
      <c r="AB5428" s="93">
        <f>AD5428/AC5427</f>
        <v>11600</v>
      </c>
      <c r="AC5428" s="93">
        <f>AC5427/AA5428</f>
        <v>2</v>
      </c>
      <c r="AD5428" s="94">
        <f t="shared" ref="AD5428:AD5429" si="3885">AC5428*Z5428</f>
        <v>23200</v>
      </c>
      <c r="AE5428" s="190"/>
      <c r="AF5428" s="191"/>
      <c r="AG5428" s="191"/>
      <c r="AH5428" s="191"/>
      <c r="AI5428" s="186"/>
      <c r="AK5428" s="171"/>
    </row>
    <row r="5429" spans="1:37" s="102" customFormat="1" ht="19.899999999999999" customHeight="1" x14ac:dyDescent="0.25">
      <c r="A5429" s="45"/>
      <c r="B5429" s="59"/>
      <c r="C5429" s="137"/>
      <c r="D5429" s="59"/>
      <c r="E5429" s="116"/>
      <c r="F5429" s="120"/>
      <c r="G5429" s="120"/>
      <c r="H5429" s="120"/>
      <c r="I5429" s="60"/>
      <c r="J5429" s="116"/>
      <c r="K5429" s="213"/>
      <c r="L5429" s="120"/>
      <c r="M5429" s="120"/>
      <c r="N5429" s="167"/>
      <c r="O5429" s="120"/>
      <c r="P5429" s="120"/>
      <c r="Q5429" s="120"/>
      <c r="R5429" s="120"/>
      <c r="S5429" s="120"/>
      <c r="T5429" s="221"/>
      <c r="U5429" s="89"/>
      <c r="V5429" s="61"/>
      <c r="W5429" s="92" t="s">
        <v>174</v>
      </c>
      <c r="X5429" s="93" t="s">
        <v>29</v>
      </c>
      <c r="Y5429" s="93" t="s">
        <v>93</v>
      </c>
      <c r="Z5429" s="134">
        <f>VLOOKUP(W5429,Sheet2!$B:$D,3,FALSE)</f>
        <v>80</v>
      </c>
      <c r="AA5429" s="93">
        <f>1/2</f>
        <v>0.5</v>
      </c>
      <c r="AB5429" s="93">
        <f>AD5429/AC5427</f>
        <v>160</v>
      </c>
      <c r="AC5429" s="93">
        <f>AC5427/AA5429</f>
        <v>4</v>
      </c>
      <c r="AD5429" s="94">
        <f t="shared" si="3885"/>
        <v>320</v>
      </c>
      <c r="AE5429" s="190"/>
      <c r="AF5429" s="191"/>
      <c r="AG5429" s="191"/>
      <c r="AH5429" s="191"/>
      <c r="AI5429" s="186"/>
      <c r="AK5429" s="171"/>
    </row>
    <row r="5430" spans="1:37" s="102" customFormat="1" ht="19.899999999999999" customHeight="1" x14ac:dyDescent="0.25">
      <c r="A5430" s="45"/>
      <c r="B5430" s="59"/>
      <c r="C5430" s="137"/>
      <c r="D5430" s="59"/>
      <c r="E5430" s="116"/>
      <c r="F5430" s="120"/>
      <c r="G5430" s="120"/>
      <c r="H5430" s="120"/>
      <c r="I5430" s="60"/>
      <c r="J5430" s="116"/>
      <c r="K5430" s="213"/>
      <c r="L5430" s="120"/>
      <c r="M5430" s="120"/>
      <c r="N5430" s="167"/>
      <c r="O5430" s="120"/>
      <c r="P5430" s="120"/>
      <c r="Q5430" s="120"/>
      <c r="R5430" s="120"/>
      <c r="S5430" s="120"/>
      <c r="T5430" s="221"/>
      <c r="U5430" s="89"/>
      <c r="V5430" s="61"/>
      <c r="W5430" s="92" t="s">
        <v>65</v>
      </c>
      <c r="X5430" s="93" t="s">
        <v>30</v>
      </c>
      <c r="Y5430" s="93" t="s">
        <v>93</v>
      </c>
      <c r="Z5430" s="134">
        <f>VLOOKUP(W5430,Sheet2!$B:$D,3,FALSE)</f>
        <v>1.76</v>
      </c>
      <c r="AA5430" s="93">
        <f>AA5429/15</f>
        <v>3.3333333333333333E-2</v>
      </c>
      <c r="AB5430" s="93">
        <f>AD5430/AC5427</f>
        <v>52.8</v>
      </c>
      <c r="AC5430" s="93">
        <f>AC5427/AA5430</f>
        <v>60</v>
      </c>
      <c r="AD5430" s="94">
        <f>AC5430*Z5430</f>
        <v>105.6</v>
      </c>
      <c r="AE5430" s="190"/>
      <c r="AF5430" s="191"/>
      <c r="AG5430" s="191"/>
      <c r="AH5430" s="191"/>
      <c r="AI5430" s="186"/>
      <c r="AK5430" s="171"/>
    </row>
    <row r="5431" spans="1:37" s="102" customFormat="1" ht="19.899999999999999" customHeight="1" x14ac:dyDescent="0.25">
      <c r="A5431" s="45"/>
      <c r="B5431" s="59"/>
      <c r="C5431" s="137"/>
      <c r="D5431" s="59"/>
      <c r="E5431" s="116"/>
      <c r="F5431" s="120"/>
      <c r="G5431" s="120"/>
      <c r="H5431" s="120"/>
      <c r="I5431" s="60"/>
      <c r="J5431" s="116"/>
      <c r="K5431" s="213"/>
      <c r="L5431" s="120"/>
      <c r="M5431" s="120"/>
      <c r="N5431" s="167"/>
      <c r="O5431" s="120"/>
      <c r="P5431" s="120"/>
      <c r="Q5431" s="120"/>
      <c r="R5431" s="120"/>
      <c r="S5431" s="120"/>
      <c r="T5431" s="221"/>
      <c r="U5431" s="89"/>
      <c r="V5431" s="61"/>
      <c r="W5431" s="92" t="s">
        <v>1487</v>
      </c>
      <c r="X5431" s="93" t="s">
        <v>32</v>
      </c>
      <c r="Y5431" s="93" t="s">
        <v>1349</v>
      </c>
      <c r="Z5431" s="134">
        <f>VLOOKUP(W5431,Sheet2!$B:$D,3,FALSE)</f>
        <v>1500</v>
      </c>
      <c r="AA5431" s="93">
        <v>1</v>
      </c>
      <c r="AB5431" s="93">
        <f>AD5431/AC5427</f>
        <v>1500</v>
      </c>
      <c r="AC5431" s="93">
        <f>AC5427/AA5431</f>
        <v>2</v>
      </c>
      <c r="AD5431" s="94">
        <f>AC5431*Z5431</f>
        <v>3000</v>
      </c>
      <c r="AE5431" s="190"/>
      <c r="AF5431" s="191"/>
      <c r="AG5431" s="191"/>
      <c r="AH5431" s="191"/>
      <c r="AI5431" s="186"/>
      <c r="AK5431" s="171"/>
    </row>
    <row r="5432" spans="1:37" s="102" customFormat="1" ht="19.899999999999999" customHeight="1" x14ac:dyDescent="0.25">
      <c r="A5432" s="45"/>
      <c r="B5432" s="59"/>
      <c r="C5432" s="137"/>
      <c r="D5432" s="59"/>
      <c r="E5432" s="116"/>
      <c r="F5432" s="120"/>
      <c r="G5432" s="120"/>
      <c r="H5432" s="120"/>
      <c r="I5432" s="60"/>
      <c r="J5432" s="116"/>
      <c r="K5432" s="213"/>
      <c r="L5432" s="120"/>
      <c r="M5432" s="120"/>
      <c r="N5432" s="167"/>
      <c r="O5432" s="120"/>
      <c r="P5432" s="120"/>
      <c r="Q5432" s="120"/>
      <c r="R5432" s="120"/>
      <c r="S5432" s="120"/>
      <c r="T5432" s="221"/>
      <c r="U5432" s="89"/>
      <c r="V5432" s="61"/>
      <c r="W5432" s="92" t="s">
        <v>107</v>
      </c>
      <c r="X5432" s="93" t="s">
        <v>31</v>
      </c>
      <c r="Y5432" s="93" t="s">
        <v>93</v>
      </c>
      <c r="Z5432" s="134">
        <f>VLOOKUP(W5432,Sheet2!$B:$D,3,FALSE)</f>
        <v>17</v>
      </c>
      <c r="AA5432" s="93">
        <f>AA5429</f>
        <v>0.5</v>
      </c>
      <c r="AB5432" s="93">
        <f>AD5432/AC5427</f>
        <v>34</v>
      </c>
      <c r="AC5432" s="93">
        <f>AC5427/AA5432</f>
        <v>4</v>
      </c>
      <c r="AD5432" s="94">
        <f>AC5432*Z5432</f>
        <v>68</v>
      </c>
      <c r="AE5432" s="190"/>
      <c r="AF5432" s="191"/>
      <c r="AG5432" s="191"/>
      <c r="AH5432" s="191"/>
      <c r="AI5432" s="186"/>
      <c r="AK5432" s="171"/>
    </row>
    <row r="5433" spans="1:37" s="102" customFormat="1" ht="19.899999999999999" customHeight="1" x14ac:dyDescent="0.25">
      <c r="A5433" s="45"/>
      <c r="B5433" s="59"/>
      <c r="C5433" s="137"/>
      <c r="D5433" s="59"/>
      <c r="E5433" s="116"/>
      <c r="F5433" s="120"/>
      <c r="G5433" s="120"/>
      <c r="H5433" s="120"/>
      <c r="I5433" s="60"/>
      <c r="J5433" s="116"/>
      <c r="K5433" s="213"/>
      <c r="L5433" s="120"/>
      <c r="M5433" s="120"/>
      <c r="N5433" s="167"/>
      <c r="O5433" s="120"/>
      <c r="P5433" s="120"/>
      <c r="Q5433" s="120"/>
      <c r="R5433" s="120"/>
      <c r="S5433" s="120"/>
      <c r="T5433" s="221"/>
      <c r="U5433" s="89"/>
      <c r="V5433" s="61"/>
      <c r="W5433" s="92" t="s">
        <v>112</v>
      </c>
      <c r="X5433" s="93" t="s">
        <v>31</v>
      </c>
      <c r="Y5433" s="93" t="s">
        <v>93</v>
      </c>
      <c r="Z5433" s="134">
        <f>VLOOKUP(W5433,Sheet2!$B:$D,3,FALSE)</f>
        <v>13</v>
      </c>
      <c r="AA5433" s="93">
        <f>AA5432</f>
        <v>0.5</v>
      </c>
      <c r="AB5433" s="93">
        <f>AD5433/AC5427</f>
        <v>26</v>
      </c>
      <c r="AC5433" s="93">
        <f>AC5427/AA5433</f>
        <v>4</v>
      </c>
      <c r="AD5433" s="94">
        <f>AC5433*Z5433</f>
        <v>52</v>
      </c>
      <c r="AE5433" s="190"/>
      <c r="AF5433" s="191"/>
      <c r="AG5433" s="191"/>
      <c r="AH5433" s="191"/>
      <c r="AI5433" s="186"/>
      <c r="AK5433" s="171"/>
    </row>
    <row r="5434" spans="1:37" s="103" customFormat="1" ht="19.899999999999999" customHeight="1" x14ac:dyDescent="0.25">
      <c r="A5434" s="51"/>
      <c r="B5434" s="52"/>
      <c r="C5434" s="165"/>
      <c r="D5434" s="52"/>
      <c r="E5434" s="115"/>
      <c r="F5434" s="58"/>
      <c r="G5434" s="58"/>
      <c r="H5434" s="58"/>
      <c r="I5434" s="55"/>
      <c r="J5434" s="113">
        <f>J5414</f>
        <v>2</v>
      </c>
      <c r="K5434" s="212">
        <f>K5414</f>
        <v>2</v>
      </c>
      <c r="L5434" s="58"/>
      <c r="M5434" s="58">
        <f>K5434-L5434</f>
        <v>2</v>
      </c>
      <c r="N5434" s="166"/>
      <c r="O5434" s="58"/>
      <c r="P5434" s="58"/>
      <c r="Q5434" s="58"/>
      <c r="R5434" s="58"/>
      <c r="S5434" s="58"/>
      <c r="T5434" s="220"/>
      <c r="U5434" s="88"/>
      <c r="V5434" s="56"/>
      <c r="W5434" s="57" t="s">
        <v>1272</v>
      </c>
      <c r="X5434" s="53"/>
      <c r="Y5434" s="91" t="s">
        <v>35</v>
      </c>
      <c r="Z5434" s="136">
        <f>AD5434/AC5434</f>
        <v>1029.5256644117646</v>
      </c>
      <c r="AA5434" s="58"/>
      <c r="AB5434" s="53">
        <f>AD5434/AC5434</f>
        <v>1029.5256644117646</v>
      </c>
      <c r="AC5434" s="53">
        <f>M5434+$AE$10</f>
        <v>2</v>
      </c>
      <c r="AD5434" s="54">
        <f>SUM(AD5435:AD5443)</f>
        <v>2059.0513288235293</v>
      </c>
      <c r="AE5434" s="184">
        <f>SUMIFS($AD$37:$AD$12971,$V$37:$V$12971,$V5434,$X$37:$X$12971,AE$13)</f>
        <v>0</v>
      </c>
      <c r="AF5434" s="185">
        <f>SUMIFS($AD$37:$AD$12971,$V$37:$V$12971,$V5434,$X$37:$X$12971,AF$13)</f>
        <v>0</v>
      </c>
      <c r="AG5434" s="185">
        <f>SUMIFS($AD$37:$AD$12971,$V$37:$V$12971,$V5434,$X$37:$X$12971,AG$13)</f>
        <v>0</v>
      </c>
      <c r="AH5434" s="187">
        <f>SUMIFS($AD$37:$AD$12971,$V$37:$V$12971,$V5434,$X$37:$X$12971,AH$13)</f>
        <v>0</v>
      </c>
      <c r="AI5434" s="161">
        <f t="shared" ref="AI5434" si="3886">SUM(AE5434:AH5434)</f>
        <v>0</v>
      </c>
      <c r="AK5434" s="172"/>
    </row>
    <row r="5435" spans="1:37" s="102" customFormat="1" ht="19.899999999999999" customHeight="1" x14ac:dyDescent="0.25">
      <c r="A5435" s="45"/>
      <c r="B5435" s="59"/>
      <c r="C5435" s="137"/>
      <c r="D5435" s="59"/>
      <c r="E5435" s="116"/>
      <c r="F5435" s="120"/>
      <c r="G5435" s="120"/>
      <c r="H5435" s="120"/>
      <c r="I5435" s="60"/>
      <c r="J5435" s="116"/>
      <c r="K5435" s="213"/>
      <c r="L5435" s="120"/>
      <c r="M5435" s="120"/>
      <c r="N5435" s="167"/>
      <c r="O5435" s="120"/>
      <c r="P5435" s="120"/>
      <c r="Q5435" s="120"/>
      <c r="R5435" s="120"/>
      <c r="S5435" s="120"/>
      <c r="T5435" s="221"/>
      <c r="U5435" s="89"/>
      <c r="V5435" s="61"/>
      <c r="W5435" s="92" t="s">
        <v>1273</v>
      </c>
      <c r="X5435" s="93" t="s">
        <v>30</v>
      </c>
      <c r="Y5435" s="93" t="s">
        <v>66</v>
      </c>
      <c r="Z5435" s="134">
        <f>VLOOKUP(W5435,Sheet2!$B:$D,3,FALSE)</f>
        <v>10</v>
      </c>
      <c r="AA5435" s="93">
        <f>1/((3*3*7.5)-(3.14/4*1.5*1.5*7.5))</f>
        <v>1.8432117965554981E-2</v>
      </c>
      <c r="AB5435" s="93">
        <f>AD5435/AC5434</f>
        <v>542.53125</v>
      </c>
      <c r="AC5435" s="93">
        <f>AC5434/AA5435</f>
        <v>108.50624999999999</v>
      </c>
      <c r="AD5435" s="94">
        <f t="shared" ref="AD5435:AD5437" si="3887">AC5435*Z5435</f>
        <v>1085.0625</v>
      </c>
      <c r="AE5435" s="190"/>
      <c r="AF5435" s="191"/>
      <c r="AG5435" s="191"/>
      <c r="AH5435" s="191"/>
      <c r="AI5435" s="186"/>
      <c r="AK5435" s="171"/>
    </row>
    <row r="5436" spans="1:37" s="102" customFormat="1" ht="19.899999999999999" customHeight="1" x14ac:dyDescent="0.25">
      <c r="A5436" s="45"/>
      <c r="B5436" s="59"/>
      <c r="C5436" s="137"/>
      <c r="D5436" s="59"/>
      <c r="E5436" s="116"/>
      <c r="F5436" s="120"/>
      <c r="G5436" s="120"/>
      <c r="H5436" s="120"/>
      <c r="I5436" s="60"/>
      <c r="J5436" s="116"/>
      <c r="K5436" s="213"/>
      <c r="L5436" s="120"/>
      <c r="M5436" s="120"/>
      <c r="N5436" s="167"/>
      <c r="O5436" s="120"/>
      <c r="P5436" s="120"/>
      <c r="Q5436" s="120"/>
      <c r="R5436" s="120"/>
      <c r="S5436" s="120"/>
      <c r="T5436" s="221"/>
      <c r="U5436" s="89"/>
      <c r="V5436" s="61"/>
      <c r="W5436" s="92" t="s">
        <v>134</v>
      </c>
      <c r="X5436" s="93" t="s">
        <v>29</v>
      </c>
      <c r="Y5436" s="93" t="s">
        <v>93</v>
      </c>
      <c r="Z5436" s="134">
        <f>VLOOKUP(W5436,Sheet2!$B:$D,3,FALSE)</f>
        <v>65.599999999999994</v>
      </c>
      <c r="AA5436" s="93">
        <f>100/((3*3*7.5)-(3.14/4*1.5*1.5*7.5))</f>
        <v>1.8432117965554982</v>
      </c>
      <c r="AB5436" s="93">
        <f t="shared" ref="AB5436" si="3888">AD5436/AC5434</f>
        <v>35.590049999999991</v>
      </c>
      <c r="AC5436" s="93">
        <f>AC5434/AA5436</f>
        <v>1.0850624999999998</v>
      </c>
      <c r="AD5436" s="94">
        <f t="shared" si="3887"/>
        <v>71.180099999999982</v>
      </c>
      <c r="AE5436" s="190"/>
      <c r="AF5436" s="191"/>
      <c r="AG5436" s="191"/>
      <c r="AH5436" s="191"/>
      <c r="AI5436" s="186"/>
      <c r="AK5436" s="171"/>
    </row>
    <row r="5437" spans="1:37" s="102" customFormat="1" ht="19.899999999999999" customHeight="1" x14ac:dyDescent="0.25">
      <c r="A5437" s="45"/>
      <c r="B5437" s="59"/>
      <c r="C5437" s="137"/>
      <c r="D5437" s="59"/>
      <c r="E5437" s="116"/>
      <c r="F5437" s="120"/>
      <c r="G5437" s="120"/>
      <c r="H5437" s="120"/>
      <c r="I5437" s="60"/>
      <c r="J5437" s="116"/>
      <c r="K5437" s="213"/>
      <c r="L5437" s="120"/>
      <c r="M5437" s="120"/>
      <c r="N5437" s="167"/>
      <c r="O5437" s="120"/>
      <c r="P5437" s="120"/>
      <c r="Q5437" s="120"/>
      <c r="R5437" s="120"/>
      <c r="S5437" s="120"/>
      <c r="T5437" s="221"/>
      <c r="U5437" s="89"/>
      <c r="V5437" s="61"/>
      <c r="W5437" s="92" t="s">
        <v>65</v>
      </c>
      <c r="X5437" s="93" t="s">
        <v>30</v>
      </c>
      <c r="Y5437" s="93" t="s">
        <v>1011</v>
      </c>
      <c r="Z5437" s="134">
        <f>VLOOKUP(W5437,Sheet2!$B:$D,3,FALSE)</f>
        <v>1.76</v>
      </c>
      <c r="AA5437" s="93">
        <f>AA5436/9</f>
        <v>0.2048013107283887</v>
      </c>
      <c r="AB5437" s="93">
        <f>AD5437/AC5434</f>
        <v>8.5936949999999985</v>
      </c>
      <c r="AC5437" s="93">
        <f>AC5434/AA5437</f>
        <v>9.7655624999999979</v>
      </c>
      <c r="AD5437" s="94">
        <f t="shared" si="3887"/>
        <v>17.187389999999997</v>
      </c>
      <c r="AE5437" s="190"/>
      <c r="AF5437" s="191"/>
      <c r="AG5437" s="191"/>
      <c r="AH5437" s="191"/>
      <c r="AI5437" s="186"/>
      <c r="AK5437" s="171"/>
    </row>
    <row r="5438" spans="1:37" s="102" customFormat="1" ht="19.899999999999999" customHeight="1" x14ac:dyDescent="0.25">
      <c r="A5438" s="45"/>
      <c r="B5438" s="59"/>
      <c r="C5438" s="137"/>
      <c r="D5438" s="59"/>
      <c r="E5438" s="116"/>
      <c r="F5438" s="120"/>
      <c r="G5438" s="120"/>
      <c r="H5438" s="120"/>
      <c r="I5438" s="60"/>
      <c r="J5438" s="116"/>
      <c r="K5438" s="213"/>
      <c r="L5438" s="120"/>
      <c r="M5438" s="120"/>
      <c r="N5438" s="167"/>
      <c r="O5438" s="120"/>
      <c r="P5438" s="120"/>
      <c r="Q5438" s="120"/>
      <c r="R5438" s="120"/>
      <c r="S5438" s="120"/>
      <c r="T5438" s="221"/>
      <c r="U5438" s="89"/>
      <c r="V5438" s="61"/>
      <c r="W5438" s="92" t="s">
        <v>161</v>
      </c>
      <c r="X5438" s="93" t="s">
        <v>29</v>
      </c>
      <c r="Y5438" s="93" t="s">
        <v>93</v>
      </c>
      <c r="Z5438" s="134">
        <f>VLOOKUP(W5438,Sheet2!$B:$D,3,FALSE)</f>
        <v>48</v>
      </c>
      <c r="AA5438" s="93">
        <f>(16*0.85*1.5)/((3*3*7.5)-(3.14/4*1.5*1.5*7.5))</f>
        <v>0.37601520649732156</v>
      </c>
      <c r="AB5438" s="93">
        <f>AD5438/AC5434</f>
        <v>127.65441176470588</v>
      </c>
      <c r="AC5438" s="93">
        <f>AC5434/AA5438</f>
        <v>5.3189338235294121</v>
      </c>
      <c r="AD5438" s="94">
        <f>AC5438*Z5438</f>
        <v>255.30882352941177</v>
      </c>
      <c r="AE5438" s="190"/>
      <c r="AF5438" s="191"/>
      <c r="AG5438" s="191"/>
      <c r="AH5438" s="191"/>
      <c r="AI5438" s="186"/>
      <c r="AK5438" s="171"/>
    </row>
    <row r="5439" spans="1:37" s="102" customFormat="1" ht="19.899999999999999" customHeight="1" x14ac:dyDescent="0.25">
      <c r="A5439" s="45"/>
      <c r="B5439" s="59"/>
      <c r="C5439" s="137"/>
      <c r="D5439" s="59"/>
      <c r="E5439" s="116"/>
      <c r="F5439" s="120"/>
      <c r="G5439" s="120"/>
      <c r="H5439" s="120"/>
      <c r="I5439" s="60"/>
      <c r="J5439" s="116"/>
      <c r="K5439" s="213"/>
      <c r="L5439" s="120"/>
      <c r="M5439" s="120"/>
      <c r="N5439" s="167"/>
      <c r="O5439" s="120"/>
      <c r="P5439" s="120"/>
      <c r="Q5439" s="120"/>
      <c r="R5439" s="120"/>
      <c r="S5439" s="120"/>
      <c r="T5439" s="221"/>
      <c r="U5439" s="89"/>
      <c r="V5439" s="61"/>
      <c r="W5439" s="92" t="s">
        <v>65</v>
      </c>
      <c r="X5439" s="93" t="s">
        <v>30</v>
      </c>
      <c r="Y5439" s="93" t="s">
        <v>1011</v>
      </c>
      <c r="Z5439" s="134">
        <f>VLOOKUP(W5439,Sheet2!$B:$D,3,FALSE)</f>
        <v>1.76</v>
      </c>
      <c r="AA5439" s="93">
        <f>AA5438/10</f>
        <v>3.7601520649732156E-2</v>
      </c>
      <c r="AB5439" s="93">
        <f>AD5439/AC5434</f>
        <v>46.806617647058829</v>
      </c>
      <c r="AC5439" s="93">
        <f>AC5434/AA5439</f>
        <v>53.189338235294123</v>
      </c>
      <c r="AD5439" s="94">
        <f>AC5439*Z5439</f>
        <v>93.613235294117658</v>
      </c>
      <c r="AE5439" s="190"/>
      <c r="AF5439" s="191"/>
      <c r="AG5439" s="191"/>
      <c r="AH5439" s="191"/>
      <c r="AI5439" s="186"/>
      <c r="AK5439" s="171"/>
    </row>
    <row r="5440" spans="1:37" s="102" customFormat="1" ht="19.899999999999999" customHeight="1" x14ac:dyDescent="0.25">
      <c r="A5440" s="45"/>
      <c r="B5440" s="59"/>
      <c r="C5440" s="137"/>
      <c r="D5440" s="59"/>
      <c r="E5440" s="116"/>
      <c r="F5440" s="120"/>
      <c r="G5440" s="120"/>
      <c r="H5440" s="120"/>
      <c r="I5440" s="60"/>
      <c r="J5440" s="116"/>
      <c r="K5440" s="213"/>
      <c r="L5440" s="120"/>
      <c r="M5440" s="120"/>
      <c r="N5440" s="167"/>
      <c r="O5440" s="120"/>
      <c r="P5440" s="120"/>
      <c r="Q5440" s="120"/>
      <c r="R5440" s="120"/>
      <c r="S5440" s="120"/>
      <c r="T5440" s="221"/>
      <c r="U5440" s="89"/>
      <c r="V5440" s="61"/>
      <c r="W5440" s="92" t="s">
        <v>173</v>
      </c>
      <c r="X5440" s="93" t="s">
        <v>29</v>
      </c>
      <c r="Y5440" s="93" t="s">
        <v>93</v>
      </c>
      <c r="Z5440" s="134">
        <f>VLOOKUP(W5440,Sheet2!$B:$D,3,FALSE)</f>
        <v>36</v>
      </c>
      <c r="AA5440" s="93">
        <f>50/((3*3*7.5)-(3.14/4*1.5*1.5*7.5))</f>
        <v>0.92160589827774908</v>
      </c>
      <c r="AB5440" s="93">
        <f>AD5440/AC5434</f>
        <v>39.062249999999992</v>
      </c>
      <c r="AC5440" s="93">
        <f>AC5434/AA5440</f>
        <v>2.1701249999999996</v>
      </c>
      <c r="AD5440" s="94">
        <f>AC5440*Z5440</f>
        <v>78.124499999999983</v>
      </c>
      <c r="AE5440" s="190"/>
      <c r="AF5440" s="191"/>
      <c r="AG5440" s="191"/>
      <c r="AH5440" s="191"/>
      <c r="AI5440" s="186"/>
      <c r="AK5440" s="171"/>
    </row>
    <row r="5441" spans="1:41" s="102" customFormat="1" ht="19.899999999999999" customHeight="1" x14ac:dyDescent="0.25">
      <c r="A5441" s="45"/>
      <c r="B5441" s="59"/>
      <c r="C5441" s="137"/>
      <c r="D5441" s="59"/>
      <c r="E5441" s="116"/>
      <c r="F5441" s="120"/>
      <c r="G5441" s="120"/>
      <c r="H5441" s="120"/>
      <c r="I5441" s="60"/>
      <c r="J5441" s="116"/>
      <c r="K5441" s="213"/>
      <c r="L5441" s="120"/>
      <c r="M5441" s="120"/>
      <c r="N5441" s="167"/>
      <c r="O5441" s="120"/>
      <c r="P5441" s="120"/>
      <c r="Q5441" s="120"/>
      <c r="R5441" s="120"/>
      <c r="S5441" s="120"/>
      <c r="T5441" s="221"/>
      <c r="U5441" s="89"/>
      <c r="V5441" s="61"/>
      <c r="W5441" s="92" t="s">
        <v>65</v>
      </c>
      <c r="X5441" s="93" t="s">
        <v>30</v>
      </c>
      <c r="Y5441" s="93" t="s">
        <v>1011</v>
      </c>
      <c r="Z5441" s="134">
        <f>VLOOKUP(W5441,Sheet2!$B:$D,3,FALSE)</f>
        <v>1.76</v>
      </c>
      <c r="AA5441" s="93">
        <f>AA5440/9</f>
        <v>0.10240065536419435</v>
      </c>
      <c r="AB5441" s="93">
        <f>AD5441/AC5434</f>
        <v>17.187389999999997</v>
      </c>
      <c r="AC5441" s="93">
        <f>AC5434/AA5441</f>
        <v>19.531124999999996</v>
      </c>
      <c r="AD5441" s="94">
        <f>AC5441*Z5441</f>
        <v>34.374779999999994</v>
      </c>
      <c r="AE5441" s="190"/>
      <c r="AF5441" s="191"/>
      <c r="AG5441" s="191"/>
      <c r="AH5441" s="191"/>
      <c r="AI5441" s="186"/>
      <c r="AK5441" s="171"/>
    </row>
    <row r="5442" spans="1:41" s="102" customFormat="1" ht="19.899999999999999" customHeight="1" x14ac:dyDescent="0.25">
      <c r="A5442" s="45"/>
      <c r="B5442" s="59"/>
      <c r="C5442" s="137"/>
      <c r="D5442" s="59"/>
      <c r="E5442" s="116"/>
      <c r="F5442" s="120"/>
      <c r="G5442" s="120"/>
      <c r="H5442" s="120"/>
      <c r="I5442" s="60"/>
      <c r="J5442" s="116"/>
      <c r="K5442" s="213"/>
      <c r="L5442" s="120"/>
      <c r="M5442" s="120"/>
      <c r="N5442" s="167"/>
      <c r="O5442" s="120"/>
      <c r="P5442" s="120"/>
      <c r="Q5442" s="120"/>
      <c r="R5442" s="120"/>
      <c r="S5442" s="120"/>
      <c r="T5442" s="221"/>
      <c r="U5442" s="89"/>
      <c r="V5442" s="61"/>
      <c r="W5442" s="92" t="s">
        <v>1030</v>
      </c>
      <c r="X5442" s="93" t="s">
        <v>29</v>
      </c>
      <c r="Y5442" s="93" t="s">
        <v>93</v>
      </c>
      <c r="Z5442" s="134">
        <f>VLOOKUP(W5442,Sheet2!$B:$D,3,FALSE)</f>
        <v>23</v>
      </c>
      <c r="AA5442" s="93">
        <f>1/(7.5*1)</f>
        <v>0.13333333333333333</v>
      </c>
      <c r="AB5442" s="93">
        <f>AD5442/AC5434</f>
        <v>172.5</v>
      </c>
      <c r="AC5442" s="93">
        <f>AC5434/AA5442</f>
        <v>15</v>
      </c>
      <c r="AD5442" s="94">
        <f t="shared" ref="AD5442:AD5443" si="3889">AC5442*Z5442</f>
        <v>345</v>
      </c>
      <c r="AE5442" s="190"/>
      <c r="AF5442" s="191"/>
      <c r="AG5442" s="191"/>
      <c r="AH5442" s="191"/>
      <c r="AI5442" s="186"/>
      <c r="AK5442" s="171"/>
    </row>
    <row r="5443" spans="1:41" s="102" customFormat="1" ht="19.899999999999999" customHeight="1" x14ac:dyDescent="0.25">
      <c r="A5443" s="45"/>
      <c r="B5443" s="59"/>
      <c r="C5443" s="137"/>
      <c r="D5443" s="59"/>
      <c r="E5443" s="116"/>
      <c r="F5443" s="120"/>
      <c r="G5443" s="120"/>
      <c r="H5443" s="120"/>
      <c r="I5443" s="60"/>
      <c r="J5443" s="116"/>
      <c r="K5443" s="213"/>
      <c r="L5443" s="120"/>
      <c r="M5443" s="120"/>
      <c r="N5443" s="167"/>
      <c r="O5443" s="120"/>
      <c r="P5443" s="120"/>
      <c r="Q5443" s="120"/>
      <c r="R5443" s="120"/>
      <c r="S5443" s="120"/>
      <c r="T5443" s="221"/>
      <c r="U5443" s="89"/>
      <c r="V5443" s="61"/>
      <c r="W5443" s="92" t="s">
        <v>65</v>
      </c>
      <c r="X5443" s="93" t="s">
        <v>30</v>
      </c>
      <c r="Y5443" s="93" t="s">
        <v>1011</v>
      </c>
      <c r="Z5443" s="134">
        <f>VLOOKUP(W5443,Sheet2!$B:$D,3,FALSE)</f>
        <v>1.76</v>
      </c>
      <c r="AA5443" s="93">
        <f>AA5442/3</f>
        <v>4.4444444444444446E-2</v>
      </c>
      <c r="AB5443" s="93">
        <f>AD5443/AC5434</f>
        <v>39.6</v>
      </c>
      <c r="AC5443" s="93">
        <f>AC5434/AA5443</f>
        <v>45</v>
      </c>
      <c r="AD5443" s="94">
        <f t="shared" si="3889"/>
        <v>79.2</v>
      </c>
      <c r="AE5443" s="190"/>
      <c r="AF5443" s="191"/>
      <c r="AG5443" s="191"/>
      <c r="AH5443" s="191"/>
      <c r="AI5443" s="186"/>
      <c r="AK5443" s="171"/>
    </row>
    <row r="5444" spans="1:41" ht="20.100000000000001" customHeight="1" x14ac:dyDescent="0.25">
      <c r="A5444" s="277" t="s">
        <v>491</v>
      </c>
      <c r="B5444" s="278"/>
      <c r="C5444" s="64" t="s">
        <v>601</v>
      </c>
      <c r="D5444" s="46" t="s">
        <v>215</v>
      </c>
      <c r="E5444" s="114"/>
      <c r="F5444" s="44"/>
      <c r="G5444" s="44">
        <f t="shared" si="3841"/>
        <v>0</v>
      </c>
      <c r="H5444" s="44">
        <f t="shared" si="3842"/>
        <v>0</v>
      </c>
      <c r="I5444" s="43">
        <f t="shared" si="3843"/>
        <v>0</v>
      </c>
      <c r="J5444" s="112">
        <f t="shared" si="3844"/>
        <v>0</v>
      </c>
      <c r="K5444" s="211">
        <f t="shared" si="3845"/>
        <v>0</v>
      </c>
      <c r="L5444" s="44"/>
      <c r="M5444" s="44">
        <f t="shared" si="3846"/>
        <v>0</v>
      </c>
      <c r="N5444" s="173">
        <f t="shared" si="3847"/>
        <v>0</v>
      </c>
      <c r="O5444" s="44">
        <f t="shared" si="3848"/>
        <v>0</v>
      </c>
      <c r="P5444" s="44">
        <f t="shared" si="3849"/>
        <v>0</v>
      </c>
      <c r="Q5444" s="44">
        <f t="shared" si="3850"/>
        <v>0</v>
      </c>
      <c r="R5444" s="44">
        <f t="shared" si="3851"/>
        <v>0</v>
      </c>
      <c r="S5444" s="123"/>
      <c r="T5444" s="219">
        <f t="shared" si="3852"/>
        <v>0</v>
      </c>
      <c r="U5444" s="87"/>
      <c r="V5444" s="47"/>
      <c r="W5444" s="48"/>
      <c r="X5444" s="48"/>
      <c r="Y5444" s="48"/>
      <c r="Z5444" s="135"/>
      <c r="AA5444" s="49"/>
      <c r="AB5444" s="50">
        <f t="shared" si="3853"/>
        <v>0</v>
      </c>
      <c r="AC5444" s="42">
        <f t="shared" si="3854"/>
        <v>9.9999999999999998E-20</v>
      </c>
      <c r="AD5444" s="90"/>
      <c r="AE5444" s="188"/>
      <c r="AF5444" s="189"/>
      <c r="AG5444" s="189"/>
      <c r="AH5444" s="189"/>
      <c r="AI5444" s="161"/>
    </row>
    <row r="5445" spans="1:41" s="102" customFormat="1" ht="20.100000000000001" customHeight="1" x14ac:dyDescent="0.25">
      <c r="A5445" s="45" t="s">
        <v>491</v>
      </c>
      <c r="B5445" s="276"/>
      <c r="C5445" s="285" t="s">
        <v>594</v>
      </c>
      <c r="D5445" s="59"/>
      <c r="E5445" s="116"/>
      <c r="F5445" s="120"/>
      <c r="G5445" s="120">
        <f t="shared" si="3841"/>
        <v>0</v>
      </c>
      <c r="H5445" s="120">
        <f t="shared" si="3842"/>
        <v>0</v>
      </c>
      <c r="I5445" s="60">
        <f t="shared" si="3843"/>
        <v>0</v>
      </c>
      <c r="J5445" s="116">
        <f t="shared" si="3844"/>
        <v>0</v>
      </c>
      <c r="K5445" s="213">
        <f t="shared" si="3845"/>
        <v>0</v>
      </c>
      <c r="L5445" s="120"/>
      <c r="M5445" s="120">
        <f t="shared" si="3846"/>
        <v>0</v>
      </c>
      <c r="N5445" s="167">
        <f t="shared" si="3847"/>
        <v>0</v>
      </c>
      <c r="O5445" s="120">
        <f t="shared" si="3848"/>
        <v>0</v>
      </c>
      <c r="P5445" s="120">
        <f t="shared" si="3849"/>
        <v>0</v>
      </c>
      <c r="Q5445" s="120">
        <f t="shared" si="3850"/>
        <v>0</v>
      </c>
      <c r="R5445" s="120">
        <f t="shared" si="3851"/>
        <v>0</v>
      </c>
      <c r="S5445" s="120"/>
      <c r="T5445" s="221">
        <f t="shared" si="3852"/>
        <v>0</v>
      </c>
      <c r="U5445" s="89"/>
      <c r="V5445" s="61"/>
      <c r="W5445" s="92"/>
      <c r="X5445" s="38"/>
      <c r="Y5445" s="93"/>
      <c r="Z5445" s="134"/>
      <c r="AA5445" s="93"/>
      <c r="AB5445" s="93">
        <f t="shared" si="3853"/>
        <v>0</v>
      </c>
      <c r="AC5445" s="93">
        <f t="shared" si="3854"/>
        <v>9.9999999999999998E-20</v>
      </c>
      <c r="AD5445" s="94"/>
      <c r="AE5445" s="190"/>
      <c r="AF5445" s="191"/>
      <c r="AG5445" s="191"/>
      <c r="AH5445" s="191"/>
      <c r="AI5445" s="186"/>
      <c r="AK5445" s="171"/>
    </row>
    <row r="5446" spans="1:41" s="102" customFormat="1" ht="94.5" x14ac:dyDescent="0.25">
      <c r="A5446" s="45" t="s">
        <v>491</v>
      </c>
      <c r="B5446" s="276"/>
      <c r="C5446" s="285" t="s">
        <v>595</v>
      </c>
      <c r="D5446" s="59"/>
      <c r="E5446" s="116"/>
      <c r="F5446" s="120"/>
      <c r="G5446" s="120">
        <f t="shared" si="3841"/>
        <v>0</v>
      </c>
      <c r="H5446" s="120">
        <f t="shared" si="3842"/>
        <v>0</v>
      </c>
      <c r="I5446" s="60">
        <f t="shared" si="3843"/>
        <v>0</v>
      </c>
      <c r="J5446" s="116">
        <f t="shared" si="3844"/>
        <v>0</v>
      </c>
      <c r="K5446" s="213">
        <f t="shared" si="3845"/>
        <v>0</v>
      </c>
      <c r="L5446" s="120"/>
      <c r="M5446" s="120">
        <f t="shared" si="3846"/>
        <v>0</v>
      </c>
      <c r="N5446" s="167">
        <f t="shared" si="3847"/>
        <v>0</v>
      </c>
      <c r="O5446" s="120">
        <f t="shared" si="3848"/>
        <v>0</v>
      </c>
      <c r="P5446" s="120">
        <f t="shared" si="3849"/>
        <v>0</v>
      </c>
      <c r="Q5446" s="120">
        <f t="shared" si="3850"/>
        <v>0</v>
      </c>
      <c r="R5446" s="120">
        <f t="shared" si="3851"/>
        <v>0</v>
      </c>
      <c r="S5446" s="120"/>
      <c r="T5446" s="221">
        <f t="shared" si="3852"/>
        <v>0</v>
      </c>
      <c r="U5446" s="89"/>
      <c r="V5446" s="61"/>
      <c r="W5446" s="92"/>
      <c r="X5446" s="38"/>
      <c r="Y5446" s="93"/>
      <c r="Z5446" s="134"/>
      <c r="AA5446" s="93"/>
      <c r="AB5446" s="93">
        <f t="shared" si="3853"/>
        <v>0</v>
      </c>
      <c r="AC5446" s="93">
        <f t="shared" si="3854"/>
        <v>9.9999999999999998E-20</v>
      </c>
      <c r="AD5446" s="94"/>
      <c r="AE5446" s="190"/>
      <c r="AF5446" s="191"/>
      <c r="AG5446" s="191"/>
      <c r="AH5446" s="191"/>
      <c r="AI5446" s="186"/>
      <c r="AK5446" s="171"/>
    </row>
    <row r="5447" spans="1:41" ht="20.100000000000001" customHeight="1" x14ac:dyDescent="0.25">
      <c r="A5447" s="277" t="s">
        <v>491</v>
      </c>
      <c r="B5447" s="278"/>
      <c r="C5447" s="64" t="s">
        <v>602</v>
      </c>
      <c r="D5447" s="46"/>
      <c r="E5447" s="114"/>
      <c r="F5447" s="44"/>
      <c r="G5447" s="44">
        <f t="shared" si="3841"/>
        <v>0</v>
      </c>
      <c r="H5447" s="44">
        <f t="shared" si="3842"/>
        <v>0</v>
      </c>
      <c r="I5447" s="43">
        <f t="shared" si="3843"/>
        <v>0</v>
      </c>
      <c r="J5447" s="112">
        <f t="shared" si="3844"/>
        <v>0</v>
      </c>
      <c r="K5447" s="211">
        <f t="shared" si="3845"/>
        <v>0</v>
      </c>
      <c r="L5447" s="44"/>
      <c r="M5447" s="44">
        <f t="shared" si="3846"/>
        <v>0</v>
      </c>
      <c r="N5447" s="173">
        <f t="shared" si="3847"/>
        <v>0</v>
      </c>
      <c r="O5447" s="44">
        <f t="shared" si="3848"/>
        <v>0</v>
      </c>
      <c r="P5447" s="44">
        <f t="shared" si="3849"/>
        <v>0</v>
      </c>
      <c r="Q5447" s="44">
        <f t="shared" si="3850"/>
        <v>0</v>
      </c>
      <c r="R5447" s="44">
        <f t="shared" si="3851"/>
        <v>0</v>
      </c>
      <c r="S5447" s="123"/>
      <c r="T5447" s="219">
        <f t="shared" si="3852"/>
        <v>0</v>
      </c>
      <c r="U5447" s="87"/>
      <c r="V5447" s="47"/>
      <c r="W5447" s="48"/>
      <c r="X5447" s="48"/>
      <c r="Y5447" s="48"/>
      <c r="Z5447" s="135"/>
      <c r="AA5447" s="49"/>
      <c r="AB5447" s="50">
        <f t="shared" si="3853"/>
        <v>0</v>
      </c>
      <c r="AC5447" s="42">
        <f t="shared" si="3854"/>
        <v>9.9999999999999998E-20</v>
      </c>
      <c r="AD5447" s="90"/>
      <c r="AE5447" s="188"/>
      <c r="AF5447" s="189"/>
      <c r="AG5447" s="189"/>
      <c r="AH5447" s="189"/>
      <c r="AI5447" s="161"/>
    </row>
    <row r="5448" spans="1:41" ht="20.100000000000001" customHeight="1" x14ac:dyDescent="0.25">
      <c r="A5448" s="277" t="s">
        <v>491</v>
      </c>
      <c r="B5448" s="278"/>
      <c r="C5448" s="64" t="s">
        <v>580</v>
      </c>
      <c r="D5448" s="46" t="s">
        <v>215</v>
      </c>
      <c r="E5448" s="114"/>
      <c r="F5448" s="44"/>
      <c r="G5448" s="44">
        <f t="shared" si="3841"/>
        <v>0</v>
      </c>
      <c r="H5448" s="44">
        <f t="shared" si="3842"/>
        <v>0</v>
      </c>
      <c r="I5448" s="43">
        <f t="shared" si="3843"/>
        <v>0</v>
      </c>
      <c r="J5448" s="112">
        <f t="shared" si="3844"/>
        <v>0</v>
      </c>
      <c r="K5448" s="211">
        <f t="shared" si="3845"/>
        <v>0</v>
      </c>
      <c r="L5448" s="44"/>
      <c r="M5448" s="44">
        <f t="shared" si="3846"/>
        <v>0</v>
      </c>
      <c r="N5448" s="173">
        <f t="shared" si="3847"/>
        <v>0</v>
      </c>
      <c r="O5448" s="44">
        <f t="shared" si="3848"/>
        <v>0</v>
      </c>
      <c r="P5448" s="44">
        <f t="shared" si="3849"/>
        <v>0</v>
      </c>
      <c r="Q5448" s="44">
        <f t="shared" si="3850"/>
        <v>0</v>
      </c>
      <c r="R5448" s="44">
        <f t="shared" si="3851"/>
        <v>0</v>
      </c>
      <c r="S5448" s="123"/>
      <c r="T5448" s="219">
        <f t="shared" si="3852"/>
        <v>0</v>
      </c>
      <c r="U5448" s="87"/>
      <c r="V5448" s="47"/>
      <c r="W5448" s="48"/>
      <c r="X5448" s="48"/>
      <c r="Y5448" s="48"/>
      <c r="Z5448" s="135"/>
      <c r="AA5448" s="49"/>
      <c r="AB5448" s="50">
        <f t="shared" si="3853"/>
        <v>0</v>
      </c>
      <c r="AC5448" s="42">
        <f t="shared" si="3854"/>
        <v>9.9999999999999998E-20</v>
      </c>
      <c r="AD5448" s="90"/>
      <c r="AE5448" s="188"/>
      <c r="AF5448" s="189"/>
      <c r="AG5448" s="189"/>
      <c r="AH5448" s="189"/>
      <c r="AI5448" s="161"/>
    </row>
    <row r="5449" spans="1:41" ht="20.100000000000001" customHeight="1" x14ac:dyDescent="0.25">
      <c r="A5449" s="277" t="s">
        <v>491</v>
      </c>
      <c r="B5449" s="278"/>
      <c r="C5449" s="64" t="s">
        <v>581</v>
      </c>
      <c r="D5449" s="46" t="s">
        <v>215</v>
      </c>
      <c r="E5449" s="114">
        <v>2</v>
      </c>
      <c r="F5449" s="44">
        <v>66024</v>
      </c>
      <c r="G5449" s="44">
        <f t="shared" si="3841"/>
        <v>132048</v>
      </c>
      <c r="H5449" s="44">
        <f t="shared" si="3842"/>
        <v>16260.716257823527</v>
      </c>
      <c r="I5449" s="43">
        <f t="shared" si="3843"/>
        <v>32521.432515647055</v>
      </c>
      <c r="J5449" s="112">
        <f t="shared" si="3844"/>
        <v>2</v>
      </c>
      <c r="K5449" s="211">
        <f t="shared" si="3845"/>
        <v>2</v>
      </c>
      <c r="L5449" s="44"/>
      <c r="M5449" s="44">
        <f t="shared" si="3846"/>
        <v>2</v>
      </c>
      <c r="N5449" s="173">
        <f t="shared" si="3847"/>
        <v>1</v>
      </c>
      <c r="O5449" s="44">
        <f t="shared" si="3848"/>
        <v>66024</v>
      </c>
      <c r="P5449" s="44">
        <f t="shared" si="3849"/>
        <v>132048</v>
      </c>
      <c r="Q5449" s="44">
        <f t="shared" si="3850"/>
        <v>16260.716257823527</v>
      </c>
      <c r="R5449" s="44">
        <f t="shared" si="3851"/>
        <v>32521.432515647055</v>
      </c>
      <c r="S5449" s="123"/>
      <c r="T5449" s="219">
        <f t="shared" si="3852"/>
        <v>32521.432515647055</v>
      </c>
      <c r="U5449" s="87"/>
      <c r="V5449" s="47"/>
      <c r="W5449" s="48"/>
      <c r="X5449" s="48"/>
      <c r="Y5449" s="48"/>
      <c r="Z5449" s="135"/>
      <c r="AA5449" s="49"/>
      <c r="AB5449" s="50">
        <f t="shared" si="3853"/>
        <v>16260.716257823527</v>
      </c>
      <c r="AC5449" s="42">
        <f t="shared" si="3854"/>
        <v>2</v>
      </c>
      <c r="AD5449" s="90">
        <f>AD5450+AD5455+AD5462+AD5470</f>
        <v>32521.432515647055</v>
      </c>
      <c r="AE5449" s="188">
        <f t="shared" ref="AE5449:AH5449" si="3890">AE5450+AE5455+AE5462+AE5470</f>
        <v>0</v>
      </c>
      <c r="AF5449" s="189">
        <f t="shared" si="3890"/>
        <v>0</v>
      </c>
      <c r="AG5449" s="189">
        <f t="shared" si="3890"/>
        <v>0</v>
      </c>
      <c r="AH5449" s="189">
        <f t="shared" si="3890"/>
        <v>0</v>
      </c>
      <c r="AI5449" s="161">
        <f t="shared" ref="AI5449" si="3891">SUM(AE5449:AH5449)</f>
        <v>0</v>
      </c>
      <c r="AK5449" s="169">
        <v>5</v>
      </c>
      <c r="AO5449" s="19" t="s">
        <v>63</v>
      </c>
    </row>
    <row r="5450" spans="1:41" s="103" customFormat="1" ht="19.899999999999999" customHeight="1" x14ac:dyDescent="0.25">
      <c r="A5450" s="51"/>
      <c r="B5450" s="52"/>
      <c r="C5450" s="165"/>
      <c r="D5450" s="52"/>
      <c r="E5450" s="115"/>
      <c r="F5450" s="58"/>
      <c r="G5450" s="58"/>
      <c r="H5450" s="58"/>
      <c r="I5450" s="55"/>
      <c r="J5450" s="113">
        <f>J5449</f>
        <v>2</v>
      </c>
      <c r="K5450" s="212">
        <f>K5449</f>
        <v>2</v>
      </c>
      <c r="L5450" s="58"/>
      <c r="M5450" s="58">
        <f>K5450-L5450</f>
        <v>2</v>
      </c>
      <c r="N5450" s="166"/>
      <c r="O5450" s="58"/>
      <c r="P5450" s="58"/>
      <c r="Q5450" s="58"/>
      <c r="R5450" s="58"/>
      <c r="S5450" s="58"/>
      <c r="T5450" s="220"/>
      <c r="U5450" s="88"/>
      <c r="V5450" s="56"/>
      <c r="W5450" s="57" t="s">
        <v>1550</v>
      </c>
      <c r="X5450" s="53"/>
      <c r="Y5450" s="91" t="s">
        <v>35</v>
      </c>
      <c r="Z5450" s="136">
        <f>AD5450/AC5450</f>
        <v>199.09327058823527</v>
      </c>
      <c r="AA5450" s="58"/>
      <c r="AB5450" s="53">
        <f>AD5450/AC5450</f>
        <v>199.09327058823527</v>
      </c>
      <c r="AC5450" s="53">
        <f>M5450+$AE$10</f>
        <v>2</v>
      </c>
      <c r="AD5450" s="54">
        <f>SUM(AD5451:AD5454)</f>
        <v>398.18654117647054</v>
      </c>
      <c r="AE5450" s="184">
        <f>SUMIFS($AD$37:$AD$12971,$V$37:$V$12971,$V5450,$X$37:$X$12971,AE$13)</f>
        <v>0</v>
      </c>
      <c r="AF5450" s="185">
        <f>SUMIFS($AD$37:$AD$12971,$V$37:$V$12971,$V5450,$X$37:$X$12971,AF$13)</f>
        <v>0</v>
      </c>
      <c r="AG5450" s="185">
        <f>SUMIFS($AD$37:$AD$12971,$V$37:$V$12971,$V5450,$X$37:$X$12971,AG$13)</f>
        <v>0</v>
      </c>
      <c r="AH5450" s="187">
        <f>SUMIFS($AD$37:$AD$12971,$V$37:$V$12971,$V5450,$X$37:$X$12971,AH$13)</f>
        <v>0</v>
      </c>
      <c r="AI5450" s="161">
        <f t="shared" ref="AI5450" si="3892">SUM(AE5450:AH5450)</f>
        <v>0</v>
      </c>
      <c r="AK5450" s="172"/>
    </row>
    <row r="5451" spans="1:41" s="102" customFormat="1" ht="19.899999999999999" customHeight="1" x14ac:dyDescent="0.25">
      <c r="A5451" s="45"/>
      <c r="B5451" s="59"/>
      <c r="C5451" s="137"/>
      <c r="D5451" s="59"/>
      <c r="E5451" s="116"/>
      <c r="F5451" s="120"/>
      <c r="G5451" s="120"/>
      <c r="H5451" s="120"/>
      <c r="I5451" s="60"/>
      <c r="J5451" s="116"/>
      <c r="K5451" s="213"/>
      <c r="L5451" s="120"/>
      <c r="M5451" s="120"/>
      <c r="N5451" s="167"/>
      <c r="O5451" s="120"/>
      <c r="P5451" s="120"/>
      <c r="Q5451" s="120"/>
      <c r="R5451" s="120"/>
      <c r="S5451" s="120"/>
      <c r="T5451" s="221"/>
      <c r="U5451" s="89"/>
      <c r="V5451" s="61"/>
      <c r="W5451" s="92" t="s">
        <v>129</v>
      </c>
      <c r="X5451" s="93" t="s">
        <v>29</v>
      </c>
      <c r="Y5451" s="93" t="s">
        <v>93</v>
      </c>
      <c r="Z5451" s="134">
        <f>VLOOKUP(W5451,Sheet2!$B:$D,3,FALSE)</f>
        <v>56</v>
      </c>
      <c r="AA5451" s="93">
        <f>100/(3*3*5.5)</f>
        <v>2.0202020202020203</v>
      </c>
      <c r="AB5451" s="93">
        <f t="shared" ref="AB5451" si="3893">AD5451/AC5450</f>
        <v>27.72</v>
      </c>
      <c r="AC5451" s="93">
        <f>AC5450/AA5451</f>
        <v>0.99</v>
      </c>
      <c r="AD5451" s="94">
        <f t="shared" ref="AD5451:AD5452" si="3894">AC5451*Z5451</f>
        <v>55.44</v>
      </c>
      <c r="AE5451" s="190"/>
      <c r="AF5451" s="191"/>
      <c r="AG5451" s="191"/>
      <c r="AH5451" s="191"/>
      <c r="AI5451" s="186"/>
      <c r="AK5451" s="171"/>
    </row>
    <row r="5452" spans="1:41" s="102" customFormat="1" ht="19.899999999999999" customHeight="1" x14ac:dyDescent="0.25">
      <c r="A5452" s="45"/>
      <c r="B5452" s="59"/>
      <c r="C5452" s="137"/>
      <c r="D5452" s="59"/>
      <c r="E5452" s="116"/>
      <c r="F5452" s="120"/>
      <c r="G5452" s="120"/>
      <c r="H5452" s="120"/>
      <c r="I5452" s="60"/>
      <c r="J5452" s="116"/>
      <c r="K5452" s="213"/>
      <c r="L5452" s="120"/>
      <c r="M5452" s="120"/>
      <c r="N5452" s="167"/>
      <c r="O5452" s="120"/>
      <c r="P5452" s="120"/>
      <c r="Q5452" s="120"/>
      <c r="R5452" s="120"/>
      <c r="S5452" s="120"/>
      <c r="T5452" s="221"/>
      <c r="U5452" s="89"/>
      <c r="V5452" s="61"/>
      <c r="W5452" s="92" t="s">
        <v>65</v>
      </c>
      <c r="X5452" s="93" t="s">
        <v>30</v>
      </c>
      <c r="Y5452" s="93" t="s">
        <v>1011</v>
      </c>
      <c r="Z5452" s="134">
        <f>VLOOKUP(W5452,Sheet2!$B:$D,3,FALSE)</f>
        <v>1.76</v>
      </c>
      <c r="AA5452" s="93">
        <f>AA5451/14</f>
        <v>0.14430014430014432</v>
      </c>
      <c r="AB5452" s="93">
        <f>AD5452/AC5450</f>
        <v>12.196799999999998</v>
      </c>
      <c r="AC5452" s="93">
        <f>AC5450/AA5452</f>
        <v>13.859999999999998</v>
      </c>
      <c r="AD5452" s="94">
        <f t="shared" si="3894"/>
        <v>24.393599999999996</v>
      </c>
      <c r="AE5452" s="190"/>
      <c r="AF5452" s="191"/>
      <c r="AG5452" s="191"/>
      <c r="AH5452" s="191"/>
      <c r="AI5452" s="186"/>
      <c r="AK5452" s="171"/>
    </row>
    <row r="5453" spans="1:41" s="102" customFormat="1" ht="19.899999999999999" customHeight="1" x14ac:dyDescent="0.25">
      <c r="A5453" s="45"/>
      <c r="B5453" s="59"/>
      <c r="C5453" s="137"/>
      <c r="D5453" s="59"/>
      <c r="E5453" s="116"/>
      <c r="F5453" s="120"/>
      <c r="G5453" s="120"/>
      <c r="H5453" s="120"/>
      <c r="I5453" s="60"/>
      <c r="J5453" s="116"/>
      <c r="K5453" s="213"/>
      <c r="L5453" s="120"/>
      <c r="M5453" s="120"/>
      <c r="N5453" s="167"/>
      <c r="O5453" s="120"/>
      <c r="P5453" s="120"/>
      <c r="Q5453" s="120"/>
      <c r="R5453" s="120"/>
      <c r="S5453" s="120"/>
      <c r="T5453" s="221"/>
      <c r="U5453" s="89"/>
      <c r="V5453" s="61"/>
      <c r="W5453" s="92" t="s">
        <v>161</v>
      </c>
      <c r="X5453" s="93" t="s">
        <v>29</v>
      </c>
      <c r="Y5453" s="93" t="s">
        <v>93</v>
      </c>
      <c r="Z5453" s="134">
        <f>VLOOKUP(W5453,Sheet2!$B:$D,3,FALSE)</f>
        <v>48</v>
      </c>
      <c r="AA5453" s="93">
        <f>(16*0.85*1.5)/(3*3*5.5)</f>
        <v>0.41212121212121211</v>
      </c>
      <c r="AB5453" s="93">
        <f>AD5453/AC5450</f>
        <v>116.47058823529413</v>
      </c>
      <c r="AC5453" s="93">
        <f>AC5450/AA5453</f>
        <v>4.8529411764705888</v>
      </c>
      <c r="AD5453" s="94">
        <f>AC5453*Z5453</f>
        <v>232.94117647058826</v>
      </c>
      <c r="AE5453" s="190"/>
      <c r="AF5453" s="191"/>
      <c r="AG5453" s="191"/>
      <c r="AH5453" s="191"/>
      <c r="AI5453" s="186"/>
      <c r="AK5453" s="171"/>
    </row>
    <row r="5454" spans="1:41" s="102" customFormat="1" ht="19.899999999999999" customHeight="1" x14ac:dyDescent="0.25">
      <c r="A5454" s="45"/>
      <c r="B5454" s="59"/>
      <c r="C5454" s="137"/>
      <c r="D5454" s="59"/>
      <c r="E5454" s="116"/>
      <c r="F5454" s="120"/>
      <c r="G5454" s="120"/>
      <c r="H5454" s="120"/>
      <c r="I5454" s="60"/>
      <c r="J5454" s="116"/>
      <c r="K5454" s="213"/>
      <c r="L5454" s="120"/>
      <c r="M5454" s="120"/>
      <c r="N5454" s="167"/>
      <c r="O5454" s="120"/>
      <c r="P5454" s="120"/>
      <c r="Q5454" s="120"/>
      <c r="R5454" s="120"/>
      <c r="S5454" s="120"/>
      <c r="T5454" s="221"/>
      <c r="U5454" s="89"/>
      <c r="V5454" s="61"/>
      <c r="W5454" s="92" t="s">
        <v>65</v>
      </c>
      <c r="X5454" s="93" t="s">
        <v>30</v>
      </c>
      <c r="Y5454" s="93" t="s">
        <v>1011</v>
      </c>
      <c r="Z5454" s="134">
        <f>VLOOKUP(W5454,Sheet2!$B:$D,3,FALSE)</f>
        <v>1.76</v>
      </c>
      <c r="AA5454" s="93">
        <f>AA5453/10</f>
        <v>4.1212121212121214E-2</v>
      </c>
      <c r="AB5454" s="93">
        <f>AD5454/AC5450</f>
        <v>42.705882352941174</v>
      </c>
      <c r="AC5454" s="93">
        <f>AC5450/AA5454</f>
        <v>48.529411764705877</v>
      </c>
      <c r="AD5454" s="94">
        <f>AC5454*Z5454</f>
        <v>85.411764705882348</v>
      </c>
      <c r="AE5454" s="190"/>
      <c r="AF5454" s="191"/>
      <c r="AG5454" s="191"/>
      <c r="AH5454" s="191"/>
      <c r="AI5454" s="186"/>
      <c r="AK5454" s="171"/>
    </row>
    <row r="5455" spans="1:41" s="103" customFormat="1" ht="19.899999999999999" customHeight="1" x14ac:dyDescent="0.25">
      <c r="A5455" s="51"/>
      <c r="B5455" s="52"/>
      <c r="C5455" s="165"/>
      <c r="D5455" s="52"/>
      <c r="E5455" s="115"/>
      <c r="F5455" s="58"/>
      <c r="G5455" s="58"/>
      <c r="H5455" s="58"/>
      <c r="I5455" s="55"/>
      <c r="J5455" s="113">
        <f>J5449</f>
        <v>2</v>
      </c>
      <c r="K5455" s="212">
        <f>K5449</f>
        <v>2</v>
      </c>
      <c r="L5455" s="58"/>
      <c r="M5455" s="58">
        <f>K5455-L5455</f>
        <v>2</v>
      </c>
      <c r="N5455" s="166"/>
      <c r="O5455" s="58"/>
      <c r="P5455" s="58"/>
      <c r="Q5455" s="58"/>
      <c r="R5455" s="58"/>
      <c r="S5455" s="58"/>
      <c r="T5455" s="220"/>
      <c r="U5455" s="88"/>
      <c r="V5455" s="56"/>
      <c r="W5455" s="57" t="s">
        <v>1486</v>
      </c>
      <c r="X5455" s="53"/>
      <c r="Y5455" s="91" t="s">
        <v>35</v>
      </c>
      <c r="Z5455" s="136">
        <f>AD5455/AC5455</f>
        <v>1883.8374999999999</v>
      </c>
      <c r="AA5455" s="58"/>
      <c r="AB5455" s="53">
        <f>AD5455/AC5455</f>
        <v>1883.8374999999999</v>
      </c>
      <c r="AC5455" s="53">
        <f>M5455+$AE$10</f>
        <v>2</v>
      </c>
      <c r="AD5455" s="54">
        <f>SUM(AD5456:AD5461)</f>
        <v>3767.6749999999997</v>
      </c>
      <c r="AE5455" s="184">
        <f>SUMIFS($AD$37:$AD$12971,$V$37:$V$12971,$V5455,$X$37:$X$12971,AE$13)</f>
        <v>0</v>
      </c>
      <c r="AF5455" s="185">
        <f>SUMIFS($AD$37:$AD$12971,$V$37:$V$12971,$V5455,$X$37:$X$12971,AF$13)</f>
        <v>0</v>
      </c>
      <c r="AG5455" s="185">
        <f>SUMIFS($AD$37:$AD$12971,$V$37:$V$12971,$V5455,$X$37:$X$12971,AG$13)</f>
        <v>0</v>
      </c>
      <c r="AH5455" s="187">
        <f>SUMIFS($AD$37:$AD$12971,$V$37:$V$12971,$V5455,$X$37:$X$12971,AH$13)</f>
        <v>0</v>
      </c>
      <c r="AI5455" s="161">
        <f t="shared" ref="AI5455" si="3895">SUM(AE5455:AH5455)</f>
        <v>0</v>
      </c>
      <c r="AK5455" s="172"/>
    </row>
    <row r="5456" spans="1:41" s="102" customFormat="1" ht="19.899999999999999" customHeight="1" x14ac:dyDescent="0.25">
      <c r="A5456" s="45"/>
      <c r="B5456" s="59"/>
      <c r="C5456" s="137"/>
      <c r="D5456" s="59"/>
      <c r="E5456" s="116"/>
      <c r="F5456" s="120"/>
      <c r="G5456" s="120"/>
      <c r="H5456" s="120"/>
      <c r="I5456" s="60"/>
      <c r="J5456" s="116"/>
      <c r="K5456" s="213"/>
      <c r="L5456" s="120"/>
      <c r="M5456" s="120"/>
      <c r="N5456" s="167"/>
      <c r="O5456" s="120"/>
      <c r="P5456" s="120"/>
      <c r="Q5456" s="120"/>
      <c r="R5456" s="120"/>
      <c r="S5456" s="120"/>
      <c r="T5456" s="221"/>
      <c r="U5456" s="89"/>
      <c r="V5456" s="61"/>
      <c r="W5456" s="92" t="s">
        <v>1032</v>
      </c>
      <c r="X5456" s="93" t="s">
        <v>30</v>
      </c>
      <c r="Y5456" s="93" t="s">
        <v>66</v>
      </c>
      <c r="Z5456" s="134">
        <f>VLOOKUP(W5456,Sheet2!$B:$D,3,FALSE)</f>
        <v>250</v>
      </c>
      <c r="AA5456" s="93">
        <f>1/(2.4*2.4*0.1)</f>
        <v>1.7361111111111112</v>
      </c>
      <c r="AB5456" s="93">
        <f>AD5456/AC5462</f>
        <v>144</v>
      </c>
      <c r="AC5456" s="93">
        <f>AC5462/AA5456</f>
        <v>1.1519999999999999</v>
      </c>
      <c r="AD5456" s="94">
        <f t="shared" ref="AD5456:AD5458" si="3896">AC5456*Z5456</f>
        <v>288</v>
      </c>
      <c r="AE5456" s="190"/>
      <c r="AF5456" s="191"/>
      <c r="AG5456" s="191"/>
      <c r="AH5456" s="191"/>
      <c r="AI5456" s="186"/>
      <c r="AK5456" s="171"/>
    </row>
    <row r="5457" spans="1:37" s="102" customFormat="1" ht="19.899999999999999" customHeight="1" x14ac:dyDescent="0.25">
      <c r="A5457" s="45"/>
      <c r="B5457" s="59"/>
      <c r="C5457" s="137"/>
      <c r="D5457" s="59"/>
      <c r="E5457" s="116"/>
      <c r="F5457" s="120"/>
      <c r="G5457" s="120"/>
      <c r="H5457" s="120"/>
      <c r="I5457" s="60"/>
      <c r="J5457" s="116"/>
      <c r="K5457" s="213"/>
      <c r="L5457" s="120"/>
      <c r="M5457" s="120"/>
      <c r="N5457" s="167"/>
      <c r="O5457" s="120"/>
      <c r="P5457" s="120"/>
      <c r="Q5457" s="120"/>
      <c r="R5457" s="120"/>
      <c r="S5457" s="120"/>
      <c r="T5457" s="221"/>
      <c r="U5457" s="89"/>
      <c r="V5457" s="61"/>
      <c r="W5457" s="92" t="s">
        <v>1353</v>
      </c>
      <c r="X5457" s="93" t="s">
        <v>30</v>
      </c>
      <c r="Y5457" s="93" t="s">
        <v>66</v>
      </c>
      <c r="Z5457" s="134">
        <f>VLOOKUP(W5457,Sheet2!$B:$D,3,FALSE)</f>
        <v>350</v>
      </c>
      <c r="AA5457" s="93">
        <f>1/(2.3*2.3*0.3)</f>
        <v>0.63011972274732209</v>
      </c>
      <c r="AB5457" s="93">
        <f>AD5457/AC5462</f>
        <v>555.44999999999993</v>
      </c>
      <c r="AC5457" s="93">
        <f>AC5462/AA5457</f>
        <v>3.1739999999999995</v>
      </c>
      <c r="AD5457" s="94">
        <f t="shared" si="3896"/>
        <v>1110.8999999999999</v>
      </c>
      <c r="AE5457" s="190"/>
      <c r="AF5457" s="191"/>
      <c r="AG5457" s="191"/>
      <c r="AH5457" s="191"/>
      <c r="AI5457" s="186"/>
      <c r="AK5457" s="171"/>
    </row>
    <row r="5458" spans="1:37" s="102" customFormat="1" ht="19.899999999999999" customHeight="1" x14ac:dyDescent="0.25">
      <c r="A5458" s="45"/>
      <c r="B5458" s="59"/>
      <c r="C5458" s="137"/>
      <c r="D5458" s="59"/>
      <c r="E5458" s="116"/>
      <c r="F5458" s="120"/>
      <c r="G5458" s="120"/>
      <c r="H5458" s="120"/>
      <c r="I5458" s="60"/>
      <c r="J5458" s="116"/>
      <c r="K5458" s="213"/>
      <c r="L5458" s="120"/>
      <c r="M5458" s="120"/>
      <c r="N5458" s="167"/>
      <c r="O5458" s="120"/>
      <c r="P5458" s="120"/>
      <c r="Q5458" s="120"/>
      <c r="R5458" s="120"/>
      <c r="S5458" s="120"/>
      <c r="T5458" s="221"/>
      <c r="U5458" s="89"/>
      <c r="V5458" s="61"/>
      <c r="W5458" s="92" t="s">
        <v>99</v>
      </c>
      <c r="X5458" s="93" t="s">
        <v>30</v>
      </c>
      <c r="Y5458" s="93" t="s">
        <v>67</v>
      </c>
      <c r="Z5458" s="134">
        <f>VLOOKUP(W5458,Sheet2!$B:$D,3,FALSE)</f>
        <v>2500</v>
      </c>
      <c r="AA5458" s="93">
        <f>AA5457/0.08</f>
        <v>7.8764965343415261</v>
      </c>
      <c r="AB5458" s="93">
        <f>AD5458/AC5462</f>
        <v>317.39999999999998</v>
      </c>
      <c r="AC5458" s="93">
        <f>AC5462/AA5458</f>
        <v>0.25391999999999998</v>
      </c>
      <c r="AD5458" s="94">
        <f t="shared" si="3896"/>
        <v>634.79999999999995</v>
      </c>
      <c r="AE5458" s="190"/>
      <c r="AF5458" s="191"/>
      <c r="AG5458" s="191"/>
      <c r="AH5458" s="191"/>
      <c r="AI5458" s="186"/>
      <c r="AK5458" s="171"/>
    </row>
    <row r="5459" spans="1:37" s="102" customFormat="1" ht="19.899999999999999" customHeight="1" x14ac:dyDescent="0.25">
      <c r="A5459" s="45"/>
      <c r="B5459" s="59"/>
      <c r="C5459" s="137"/>
      <c r="D5459" s="59"/>
      <c r="E5459" s="116"/>
      <c r="F5459" s="120"/>
      <c r="G5459" s="120"/>
      <c r="H5459" s="120"/>
      <c r="I5459" s="60"/>
      <c r="J5459" s="116"/>
      <c r="K5459" s="213"/>
      <c r="L5459" s="120"/>
      <c r="M5459" s="120"/>
      <c r="N5459" s="167"/>
      <c r="O5459" s="120"/>
      <c r="P5459" s="120"/>
      <c r="Q5459" s="120"/>
      <c r="R5459" s="120"/>
      <c r="S5459" s="120"/>
      <c r="T5459" s="221"/>
      <c r="U5459" s="89"/>
      <c r="V5459" s="61"/>
      <c r="W5459" s="92" t="s">
        <v>1354</v>
      </c>
      <c r="X5459" s="93" t="s">
        <v>32</v>
      </c>
      <c r="Y5459" s="93" t="s">
        <v>66</v>
      </c>
      <c r="Z5459" s="134">
        <f>VLOOKUP(W5459,Sheet2!$B:$D,3,FALSE)</f>
        <v>150</v>
      </c>
      <c r="AA5459" s="93">
        <f>AA5456</f>
        <v>1.7361111111111112</v>
      </c>
      <c r="AB5459" s="93">
        <f>AD5459/AC5462</f>
        <v>86.399999999999991</v>
      </c>
      <c r="AC5459" s="93">
        <f>AC5462/AA5459</f>
        <v>1.1519999999999999</v>
      </c>
      <c r="AD5459" s="94">
        <f>AC5459*Z5459</f>
        <v>172.79999999999998</v>
      </c>
      <c r="AE5459" s="190"/>
      <c r="AF5459" s="191"/>
      <c r="AG5459" s="191"/>
      <c r="AH5459" s="191"/>
      <c r="AI5459" s="186"/>
      <c r="AK5459" s="171"/>
    </row>
    <row r="5460" spans="1:37" s="102" customFormat="1" ht="19.899999999999999" customHeight="1" x14ac:dyDescent="0.25">
      <c r="A5460" s="45"/>
      <c r="B5460" s="59"/>
      <c r="C5460" s="137"/>
      <c r="D5460" s="59"/>
      <c r="E5460" s="116"/>
      <c r="F5460" s="120"/>
      <c r="G5460" s="120"/>
      <c r="H5460" s="120"/>
      <c r="I5460" s="60"/>
      <c r="J5460" s="116"/>
      <c r="K5460" s="213"/>
      <c r="L5460" s="120"/>
      <c r="M5460" s="120"/>
      <c r="N5460" s="167"/>
      <c r="O5460" s="120"/>
      <c r="P5460" s="120"/>
      <c r="Q5460" s="120"/>
      <c r="R5460" s="120"/>
      <c r="S5460" s="120"/>
      <c r="T5460" s="221"/>
      <c r="U5460" s="89"/>
      <c r="V5460" s="61"/>
      <c r="W5460" s="92" t="s">
        <v>1355</v>
      </c>
      <c r="X5460" s="93" t="s">
        <v>32</v>
      </c>
      <c r="Y5460" s="93" t="s">
        <v>66</v>
      </c>
      <c r="Z5460" s="134">
        <f>VLOOKUP(W5460,Sheet2!$B:$D,3,FALSE)</f>
        <v>450</v>
      </c>
      <c r="AA5460" s="93">
        <f>AA5457</f>
        <v>0.63011972274732209</v>
      </c>
      <c r="AB5460" s="93">
        <f>AD5460/AC5462</f>
        <v>714.14999999999986</v>
      </c>
      <c r="AC5460" s="93">
        <f>AC5462/AA5460</f>
        <v>3.1739999999999995</v>
      </c>
      <c r="AD5460" s="94">
        <f>AC5460*Z5460</f>
        <v>1428.2999999999997</v>
      </c>
      <c r="AE5460" s="190"/>
      <c r="AF5460" s="191"/>
      <c r="AG5460" s="191"/>
      <c r="AH5460" s="191"/>
      <c r="AI5460" s="186"/>
      <c r="AK5460" s="171"/>
    </row>
    <row r="5461" spans="1:37" s="102" customFormat="1" ht="19.899999999999999" customHeight="1" x14ac:dyDescent="0.25">
      <c r="A5461" s="45"/>
      <c r="B5461" s="59"/>
      <c r="C5461" s="137"/>
      <c r="D5461" s="59"/>
      <c r="E5461" s="116"/>
      <c r="F5461" s="120"/>
      <c r="G5461" s="120"/>
      <c r="H5461" s="120"/>
      <c r="I5461" s="60"/>
      <c r="J5461" s="116"/>
      <c r="K5461" s="213"/>
      <c r="L5461" s="120"/>
      <c r="M5461" s="120"/>
      <c r="N5461" s="167"/>
      <c r="O5461" s="120"/>
      <c r="P5461" s="120"/>
      <c r="Q5461" s="120"/>
      <c r="R5461" s="120"/>
      <c r="S5461" s="120"/>
      <c r="T5461" s="221"/>
      <c r="U5461" s="89"/>
      <c r="V5461" s="61"/>
      <c r="W5461" s="92" t="s">
        <v>124</v>
      </c>
      <c r="X5461" s="93" t="s">
        <v>32</v>
      </c>
      <c r="Y5461" s="93" t="s">
        <v>64</v>
      </c>
      <c r="Z5461" s="134">
        <f>VLOOKUP(W5461,Sheet2!$B:$D,3,FALSE)</f>
        <v>10</v>
      </c>
      <c r="AA5461" s="93">
        <f>1/((2.9*2.9)-(3.14*1.5*1.5/4))</f>
        <v>0.15051740357478832</v>
      </c>
      <c r="AB5461" s="93">
        <f t="shared" ref="AB5461" si="3897">AD5461/AC5455</f>
        <v>66.4375</v>
      </c>
      <c r="AC5461" s="93">
        <f>AC5455/AA5461</f>
        <v>13.287500000000001</v>
      </c>
      <c r="AD5461" s="94">
        <f t="shared" ref="AD5461" si="3898">AC5461*Z5461</f>
        <v>132.875</v>
      </c>
      <c r="AE5461" s="190"/>
      <c r="AF5461" s="191"/>
      <c r="AG5461" s="191"/>
      <c r="AH5461" s="191"/>
      <c r="AI5461" s="186"/>
      <c r="AK5461" s="171"/>
    </row>
    <row r="5462" spans="1:37" s="103" customFormat="1" ht="19.899999999999999" customHeight="1" x14ac:dyDescent="0.25">
      <c r="A5462" s="51"/>
      <c r="B5462" s="52"/>
      <c r="C5462" s="165"/>
      <c r="D5462" s="52"/>
      <c r="E5462" s="115"/>
      <c r="F5462" s="58"/>
      <c r="G5462" s="58"/>
      <c r="H5462" s="58"/>
      <c r="I5462" s="55"/>
      <c r="J5462" s="113">
        <f>J5449</f>
        <v>2</v>
      </c>
      <c r="K5462" s="212">
        <f>K5449</f>
        <v>2</v>
      </c>
      <c r="L5462" s="58"/>
      <c r="M5462" s="58">
        <f>K5462-L5462</f>
        <v>2</v>
      </c>
      <c r="N5462" s="166"/>
      <c r="O5462" s="58"/>
      <c r="P5462" s="58"/>
      <c r="Q5462" s="58"/>
      <c r="R5462" s="58"/>
      <c r="S5462" s="58"/>
      <c r="T5462" s="220"/>
      <c r="U5462" s="88"/>
      <c r="V5462" s="56"/>
      <c r="W5462" s="57" t="s">
        <v>1275</v>
      </c>
      <c r="X5462" s="53"/>
      <c r="Y5462" s="91" t="s">
        <v>35</v>
      </c>
      <c r="Z5462" s="136">
        <f>AD5462/AC5462</f>
        <v>13422.8</v>
      </c>
      <c r="AA5462" s="58"/>
      <c r="AB5462" s="53">
        <f>AD5462/AC5462</f>
        <v>13422.8</v>
      </c>
      <c r="AC5462" s="53">
        <f>M5462+$AE$10</f>
        <v>2</v>
      </c>
      <c r="AD5462" s="54">
        <f>SUM(AD5463:AD5469)</f>
        <v>26845.599999999999</v>
      </c>
      <c r="AE5462" s="184">
        <f>SUMIFS($AD$37:$AD$12971,$V$37:$V$12971,$V5462,$X$37:$X$12971,AE$13)</f>
        <v>0</v>
      </c>
      <c r="AF5462" s="185">
        <f>SUMIFS($AD$37:$AD$12971,$V$37:$V$12971,$V5462,$X$37:$X$12971,AF$13)</f>
        <v>0</v>
      </c>
      <c r="AG5462" s="185">
        <f>SUMIFS($AD$37:$AD$12971,$V$37:$V$12971,$V5462,$X$37:$X$12971,AG$13)</f>
        <v>0</v>
      </c>
      <c r="AH5462" s="187">
        <f>SUMIFS($AD$37:$AD$12971,$V$37:$V$12971,$V5462,$X$37:$X$12971,AH$13)</f>
        <v>0</v>
      </c>
      <c r="AI5462" s="161">
        <f t="shared" ref="AI5462" si="3899">SUM(AE5462:AH5462)</f>
        <v>0</v>
      </c>
      <c r="AK5462" s="172"/>
    </row>
    <row r="5463" spans="1:37" s="102" customFormat="1" ht="19.899999999999999" customHeight="1" x14ac:dyDescent="0.25">
      <c r="A5463" s="45"/>
      <c r="B5463" s="59"/>
      <c r="C5463" s="137"/>
      <c r="D5463" s="59"/>
      <c r="E5463" s="116"/>
      <c r="F5463" s="120"/>
      <c r="G5463" s="120"/>
      <c r="H5463" s="120"/>
      <c r="I5463" s="60"/>
      <c r="J5463" s="116"/>
      <c r="K5463" s="213"/>
      <c r="L5463" s="120"/>
      <c r="M5463" s="120"/>
      <c r="N5463" s="167"/>
      <c r="O5463" s="120"/>
      <c r="P5463" s="120"/>
      <c r="Q5463" s="120"/>
      <c r="R5463" s="120"/>
      <c r="S5463" s="120"/>
      <c r="T5463" s="221"/>
      <c r="U5463" s="89"/>
      <c r="V5463" s="61"/>
      <c r="W5463" s="92" t="s">
        <v>1544</v>
      </c>
      <c r="X5463" s="93" t="s">
        <v>30</v>
      </c>
      <c r="Y5463" s="93" t="s">
        <v>35</v>
      </c>
      <c r="Z5463" s="134">
        <f>VLOOKUP(W5463,Sheet2!$B:$D,3,FALSE)</f>
        <v>8150</v>
      </c>
      <c r="AA5463" s="93">
        <v>1</v>
      </c>
      <c r="AB5463" s="93">
        <f>AD5463/AC5462</f>
        <v>8150</v>
      </c>
      <c r="AC5463" s="93">
        <f>AC5462/AA5463</f>
        <v>2</v>
      </c>
      <c r="AD5463" s="94">
        <f t="shared" ref="AD5463:AD5465" si="3900">AC5463*Z5463</f>
        <v>16300</v>
      </c>
      <c r="AE5463" s="190"/>
      <c r="AF5463" s="191"/>
      <c r="AG5463" s="191"/>
      <c r="AH5463" s="191"/>
      <c r="AI5463" s="186"/>
      <c r="AK5463" s="171"/>
    </row>
    <row r="5464" spans="1:37" s="102" customFormat="1" ht="19.899999999999999" customHeight="1" x14ac:dyDescent="0.25">
      <c r="A5464" s="45"/>
      <c r="B5464" s="59"/>
      <c r="C5464" s="137"/>
      <c r="D5464" s="59"/>
      <c r="E5464" s="116"/>
      <c r="F5464" s="120"/>
      <c r="G5464" s="120"/>
      <c r="H5464" s="120"/>
      <c r="I5464" s="60"/>
      <c r="J5464" s="116"/>
      <c r="K5464" s="213"/>
      <c r="L5464" s="120"/>
      <c r="M5464" s="120"/>
      <c r="N5464" s="167"/>
      <c r="O5464" s="120"/>
      <c r="P5464" s="120"/>
      <c r="Q5464" s="120"/>
      <c r="R5464" s="120"/>
      <c r="S5464" s="120"/>
      <c r="T5464" s="221"/>
      <c r="U5464" s="89"/>
      <c r="V5464" s="61"/>
      <c r="W5464" s="92" t="s">
        <v>1542</v>
      </c>
      <c r="X5464" s="93" t="s">
        <v>30</v>
      </c>
      <c r="Y5464" s="93" t="s">
        <v>1349</v>
      </c>
      <c r="Z5464" s="134">
        <f>VLOOKUP(W5464,Sheet2!$B:$D,3,FALSE)</f>
        <v>3500</v>
      </c>
      <c r="AA5464" s="93">
        <v>1</v>
      </c>
      <c r="AB5464" s="93">
        <f>AD5464/AC5462</f>
        <v>3500</v>
      </c>
      <c r="AC5464" s="93">
        <f>AC5462/AA5464</f>
        <v>2</v>
      </c>
      <c r="AD5464" s="94">
        <f t="shared" si="3900"/>
        <v>7000</v>
      </c>
      <c r="AE5464" s="190"/>
      <c r="AF5464" s="191"/>
      <c r="AG5464" s="191"/>
      <c r="AH5464" s="191"/>
      <c r="AI5464" s="186"/>
      <c r="AK5464" s="171"/>
    </row>
    <row r="5465" spans="1:37" s="102" customFormat="1" ht="19.899999999999999" customHeight="1" x14ac:dyDescent="0.25">
      <c r="A5465" s="45"/>
      <c r="B5465" s="59"/>
      <c r="C5465" s="137"/>
      <c r="D5465" s="59"/>
      <c r="E5465" s="116"/>
      <c r="F5465" s="120"/>
      <c r="G5465" s="120"/>
      <c r="H5465" s="120"/>
      <c r="I5465" s="60"/>
      <c r="J5465" s="116"/>
      <c r="K5465" s="213"/>
      <c r="L5465" s="120"/>
      <c r="M5465" s="120"/>
      <c r="N5465" s="167"/>
      <c r="O5465" s="120"/>
      <c r="P5465" s="120"/>
      <c r="Q5465" s="120"/>
      <c r="R5465" s="120"/>
      <c r="S5465" s="120"/>
      <c r="T5465" s="221"/>
      <c r="U5465" s="89"/>
      <c r="V5465" s="61"/>
      <c r="W5465" s="92" t="s">
        <v>174</v>
      </c>
      <c r="X5465" s="93" t="s">
        <v>29</v>
      </c>
      <c r="Y5465" s="93" t="s">
        <v>93</v>
      </c>
      <c r="Z5465" s="134">
        <f>VLOOKUP(W5465,Sheet2!$B:$D,3,FALSE)</f>
        <v>80</v>
      </c>
      <c r="AA5465" s="93">
        <f>1/2</f>
        <v>0.5</v>
      </c>
      <c r="AB5465" s="93">
        <f>AD5465/AC5462</f>
        <v>160</v>
      </c>
      <c r="AC5465" s="93">
        <f>AC5462/AA5465</f>
        <v>4</v>
      </c>
      <c r="AD5465" s="94">
        <f t="shared" si="3900"/>
        <v>320</v>
      </c>
      <c r="AE5465" s="190"/>
      <c r="AF5465" s="191"/>
      <c r="AG5465" s="191"/>
      <c r="AH5465" s="191"/>
      <c r="AI5465" s="186"/>
      <c r="AK5465" s="171"/>
    </row>
    <row r="5466" spans="1:37" s="102" customFormat="1" ht="19.899999999999999" customHeight="1" x14ac:dyDescent="0.25">
      <c r="A5466" s="45"/>
      <c r="B5466" s="59"/>
      <c r="C5466" s="137"/>
      <c r="D5466" s="59"/>
      <c r="E5466" s="116"/>
      <c r="F5466" s="120"/>
      <c r="G5466" s="120"/>
      <c r="H5466" s="120"/>
      <c r="I5466" s="60"/>
      <c r="J5466" s="116"/>
      <c r="K5466" s="213"/>
      <c r="L5466" s="120"/>
      <c r="M5466" s="120"/>
      <c r="N5466" s="167"/>
      <c r="O5466" s="120"/>
      <c r="P5466" s="120"/>
      <c r="Q5466" s="120"/>
      <c r="R5466" s="120"/>
      <c r="S5466" s="120"/>
      <c r="T5466" s="221"/>
      <c r="U5466" s="89"/>
      <c r="V5466" s="61"/>
      <c r="W5466" s="92" t="s">
        <v>65</v>
      </c>
      <c r="X5466" s="93" t="s">
        <v>30</v>
      </c>
      <c r="Y5466" s="93" t="s">
        <v>93</v>
      </c>
      <c r="Z5466" s="134">
        <f>VLOOKUP(W5466,Sheet2!$B:$D,3,FALSE)</f>
        <v>1.76</v>
      </c>
      <c r="AA5466" s="93">
        <f>AA5465/15</f>
        <v>3.3333333333333333E-2</v>
      </c>
      <c r="AB5466" s="93">
        <f>AD5466/AC5462</f>
        <v>52.8</v>
      </c>
      <c r="AC5466" s="93">
        <f>AC5462/AA5466</f>
        <v>60</v>
      </c>
      <c r="AD5466" s="94">
        <f>AC5466*Z5466</f>
        <v>105.6</v>
      </c>
      <c r="AE5466" s="190"/>
      <c r="AF5466" s="191"/>
      <c r="AG5466" s="191"/>
      <c r="AH5466" s="191"/>
      <c r="AI5466" s="186"/>
      <c r="AK5466" s="171"/>
    </row>
    <row r="5467" spans="1:37" s="102" customFormat="1" ht="19.899999999999999" customHeight="1" x14ac:dyDescent="0.25">
      <c r="A5467" s="45"/>
      <c r="B5467" s="59"/>
      <c r="C5467" s="137"/>
      <c r="D5467" s="59"/>
      <c r="E5467" s="116"/>
      <c r="F5467" s="120"/>
      <c r="G5467" s="120"/>
      <c r="H5467" s="120"/>
      <c r="I5467" s="60"/>
      <c r="J5467" s="116"/>
      <c r="K5467" s="213"/>
      <c r="L5467" s="120"/>
      <c r="M5467" s="120"/>
      <c r="N5467" s="167"/>
      <c r="O5467" s="120"/>
      <c r="P5467" s="120"/>
      <c r="Q5467" s="120"/>
      <c r="R5467" s="120"/>
      <c r="S5467" s="120"/>
      <c r="T5467" s="221"/>
      <c r="U5467" s="89"/>
      <c r="V5467" s="61"/>
      <c r="W5467" s="92" t="s">
        <v>1487</v>
      </c>
      <c r="X5467" s="93" t="s">
        <v>32</v>
      </c>
      <c r="Y5467" s="93" t="s">
        <v>1349</v>
      </c>
      <c r="Z5467" s="134">
        <f>VLOOKUP(W5467,Sheet2!$B:$D,3,FALSE)</f>
        <v>1500</v>
      </c>
      <c r="AA5467" s="93">
        <v>1</v>
      </c>
      <c r="AB5467" s="93">
        <f>AD5467/AC5462</f>
        <v>1500</v>
      </c>
      <c r="AC5467" s="93">
        <f>AC5462/AA5467</f>
        <v>2</v>
      </c>
      <c r="AD5467" s="94">
        <f>AC5467*Z5467</f>
        <v>3000</v>
      </c>
      <c r="AE5467" s="190"/>
      <c r="AF5467" s="191"/>
      <c r="AG5467" s="191"/>
      <c r="AH5467" s="191"/>
      <c r="AI5467" s="186"/>
      <c r="AK5467" s="171"/>
    </row>
    <row r="5468" spans="1:37" s="102" customFormat="1" ht="19.899999999999999" customHeight="1" x14ac:dyDescent="0.25">
      <c r="A5468" s="45"/>
      <c r="B5468" s="59"/>
      <c r="C5468" s="137"/>
      <c r="D5468" s="59"/>
      <c r="E5468" s="116"/>
      <c r="F5468" s="120"/>
      <c r="G5468" s="120"/>
      <c r="H5468" s="120"/>
      <c r="I5468" s="60"/>
      <c r="J5468" s="116"/>
      <c r="K5468" s="213"/>
      <c r="L5468" s="120"/>
      <c r="M5468" s="120"/>
      <c r="N5468" s="167"/>
      <c r="O5468" s="120"/>
      <c r="P5468" s="120"/>
      <c r="Q5468" s="120"/>
      <c r="R5468" s="120"/>
      <c r="S5468" s="120"/>
      <c r="T5468" s="221"/>
      <c r="U5468" s="89"/>
      <c r="V5468" s="61"/>
      <c r="W5468" s="92" t="s">
        <v>107</v>
      </c>
      <c r="X5468" s="93" t="s">
        <v>31</v>
      </c>
      <c r="Y5468" s="93" t="s">
        <v>93</v>
      </c>
      <c r="Z5468" s="134">
        <f>VLOOKUP(W5468,Sheet2!$B:$D,3,FALSE)</f>
        <v>17</v>
      </c>
      <c r="AA5468" s="93">
        <f>AA5465</f>
        <v>0.5</v>
      </c>
      <c r="AB5468" s="93">
        <f>AD5468/AC5462</f>
        <v>34</v>
      </c>
      <c r="AC5468" s="93">
        <f>AC5462/AA5468</f>
        <v>4</v>
      </c>
      <c r="AD5468" s="94">
        <f>AC5468*Z5468</f>
        <v>68</v>
      </c>
      <c r="AE5468" s="190"/>
      <c r="AF5468" s="191"/>
      <c r="AG5468" s="191"/>
      <c r="AH5468" s="191"/>
      <c r="AI5468" s="186"/>
      <c r="AK5468" s="171"/>
    </row>
    <row r="5469" spans="1:37" s="102" customFormat="1" ht="19.899999999999999" customHeight="1" x14ac:dyDescent="0.25">
      <c r="A5469" s="45"/>
      <c r="B5469" s="59"/>
      <c r="C5469" s="137"/>
      <c r="D5469" s="59"/>
      <c r="E5469" s="116"/>
      <c r="F5469" s="120"/>
      <c r="G5469" s="120"/>
      <c r="H5469" s="120"/>
      <c r="I5469" s="60"/>
      <c r="J5469" s="116"/>
      <c r="K5469" s="213"/>
      <c r="L5469" s="120"/>
      <c r="M5469" s="120"/>
      <c r="N5469" s="167"/>
      <c r="O5469" s="120"/>
      <c r="P5469" s="120"/>
      <c r="Q5469" s="120"/>
      <c r="R5469" s="120"/>
      <c r="S5469" s="120"/>
      <c r="T5469" s="221"/>
      <c r="U5469" s="89"/>
      <c r="V5469" s="61"/>
      <c r="W5469" s="92" t="s">
        <v>112</v>
      </c>
      <c r="X5469" s="93" t="s">
        <v>31</v>
      </c>
      <c r="Y5469" s="93" t="s">
        <v>93</v>
      </c>
      <c r="Z5469" s="134">
        <f>VLOOKUP(W5469,Sheet2!$B:$D,3,FALSE)</f>
        <v>13</v>
      </c>
      <c r="AA5469" s="93">
        <f>AA5468</f>
        <v>0.5</v>
      </c>
      <c r="AB5469" s="93">
        <f>AD5469/AC5462</f>
        <v>26</v>
      </c>
      <c r="AC5469" s="93">
        <f>AC5462/AA5469</f>
        <v>4</v>
      </c>
      <c r="AD5469" s="94">
        <f>AC5469*Z5469</f>
        <v>52</v>
      </c>
      <c r="AE5469" s="190"/>
      <c r="AF5469" s="191"/>
      <c r="AG5469" s="191"/>
      <c r="AH5469" s="191"/>
      <c r="AI5469" s="186"/>
      <c r="AK5469" s="171"/>
    </row>
    <row r="5470" spans="1:37" s="103" customFormat="1" ht="19.899999999999999" customHeight="1" x14ac:dyDescent="0.25">
      <c r="A5470" s="51"/>
      <c r="B5470" s="52"/>
      <c r="C5470" s="165"/>
      <c r="D5470" s="52"/>
      <c r="E5470" s="115"/>
      <c r="F5470" s="58"/>
      <c r="G5470" s="58"/>
      <c r="H5470" s="58"/>
      <c r="I5470" s="55"/>
      <c r="J5470" s="113">
        <f>J5449</f>
        <v>2</v>
      </c>
      <c r="K5470" s="212">
        <f>K5449</f>
        <v>2</v>
      </c>
      <c r="L5470" s="58"/>
      <c r="M5470" s="58">
        <f>K5470-L5470</f>
        <v>2</v>
      </c>
      <c r="N5470" s="166"/>
      <c r="O5470" s="58"/>
      <c r="P5470" s="58"/>
      <c r="Q5470" s="58"/>
      <c r="R5470" s="58"/>
      <c r="S5470" s="58"/>
      <c r="T5470" s="220"/>
      <c r="U5470" s="88"/>
      <c r="V5470" s="56"/>
      <c r="W5470" s="57" t="s">
        <v>1272</v>
      </c>
      <c r="X5470" s="53"/>
      <c r="Y5470" s="91" t="s">
        <v>35</v>
      </c>
      <c r="Z5470" s="136">
        <f>AD5470/AC5470</f>
        <v>754.98548723529427</v>
      </c>
      <c r="AA5470" s="58"/>
      <c r="AB5470" s="53">
        <f>AD5470/AC5470</f>
        <v>754.98548723529427</v>
      </c>
      <c r="AC5470" s="53">
        <f>M5470+$AE$10</f>
        <v>2</v>
      </c>
      <c r="AD5470" s="54">
        <f>SUM(AD5471:AD5479)</f>
        <v>1509.9709744705885</v>
      </c>
      <c r="AE5470" s="184">
        <f>SUMIFS($AD$37:$AD$12971,$V$37:$V$12971,$V5470,$X$37:$X$12971,AE$13)</f>
        <v>0</v>
      </c>
      <c r="AF5470" s="185">
        <f>SUMIFS($AD$37:$AD$12971,$V$37:$V$12971,$V5470,$X$37:$X$12971,AF$13)</f>
        <v>0</v>
      </c>
      <c r="AG5470" s="185">
        <f>SUMIFS($AD$37:$AD$12971,$V$37:$V$12971,$V5470,$X$37:$X$12971,AG$13)</f>
        <v>0</v>
      </c>
      <c r="AH5470" s="187">
        <f>SUMIFS($AD$37:$AD$12971,$V$37:$V$12971,$V5470,$X$37:$X$12971,AH$13)</f>
        <v>0</v>
      </c>
      <c r="AI5470" s="161">
        <f t="shared" ref="AI5470" si="3901">SUM(AE5470:AH5470)</f>
        <v>0</v>
      </c>
      <c r="AK5470" s="172"/>
    </row>
    <row r="5471" spans="1:37" s="102" customFormat="1" ht="19.899999999999999" customHeight="1" x14ac:dyDescent="0.25">
      <c r="A5471" s="45"/>
      <c r="B5471" s="59"/>
      <c r="C5471" s="137"/>
      <c r="D5471" s="59"/>
      <c r="E5471" s="116"/>
      <c r="F5471" s="120"/>
      <c r="G5471" s="120"/>
      <c r="H5471" s="120"/>
      <c r="I5471" s="60"/>
      <c r="J5471" s="116"/>
      <c r="K5471" s="213"/>
      <c r="L5471" s="120"/>
      <c r="M5471" s="120"/>
      <c r="N5471" s="167"/>
      <c r="O5471" s="120"/>
      <c r="P5471" s="120"/>
      <c r="Q5471" s="120"/>
      <c r="R5471" s="120"/>
      <c r="S5471" s="120"/>
      <c r="T5471" s="221"/>
      <c r="U5471" s="89"/>
      <c r="V5471" s="61"/>
      <c r="W5471" s="92" t="s">
        <v>1273</v>
      </c>
      <c r="X5471" s="93" t="s">
        <v>30</v>
      </c>
      <c r="Y5471" s="93" t="s">
        <v>66</v>
      </c>
      <c r="Z5471" s="134">
        <f>VLOOKUP(W5471,Sheet2!$B:$D,3,FALSE)</f>
        <v>10</v>
      </c>
      <c r="AA5471" s="93">
        <f>1/((3*3*5.5)-(3.14/4*1.5*1.5*5.5))</f>
        <v>2.5134706316665881E-2</v>
      </c>
      <c r="AB5471" s="93">
        <f>AD5471/AC5470</f>
        <v>397.85625000000005</v>
      </c>
      <c r="AC5471" s="93">
        <f>AC5470/AA5471</f>
        <v>79.571250000000006</v>
      </c>
      <c r="AD5471" s="94">
        <f t="shared" ref="AD5471:AD5473" si="3902">AC5471*Z5471</f>
        <v>795.71250000000009</v>
      </c>
      <c r="AE5471" s="190"/>
      <c r="AF5471" s="191"/>
      <c r="AG5471" s="191"/>
      <c r="AH5471" s="191"/>
      <c r="AI5471" s="186"/>
      <c r="AK5471" s="171"/>
    </row>
    <row r="5472" spans="1:37" s="102" customFormat="1" ht="19.899999999999999" customHeight="1" x14ac:dyDescent="0.25">
      <c r="A5472" s="45"/>
      <c r="B5472" s="59"/>
      <c r="C5472" s="137"/>
      <c r="D5472" s="59"/>
      <c r="E5472" s="116"/>
      <c r="F5472" s="120"/>
      <c r="G5472" s="120"/>
      <c r="H5472" s="120"/>
      <c r="I5472" s="60"/>
      <c r="J5472" s="116"/>
      <c r="K5472" s="213"/>
      <c r="L5472" s="120"/>
      <c r="M5472" s="120"/>
      <c r="N5472" s="167"/>
      <c r="O5472" s="120"/>
      <c r="P5472" s="120"/>
      <c r="Q5472" s="120"/>
      <c r="R5472" s="120"/>
      <c r="S5472" s="120"/>
      <c r="T5472" s="221"/>
      <c r="U5472" s="89"/>
      <c r="V5472" s="61"/>
      <c r="W5472" s="92" t="s">
        <v>134</v>
      </c>
      <c r="X5472" s="93" t="s">
        <v>29</v>
      </c>
      <c r="Y5472" s="93" t="s">
        <v>93</v>
      </c>
      <c r="Z5472" s="134">
        <f>VLOOKUP(W5472,Sheet2!$B:$D,3,FALSE)</f>
        <v>65.599999999999994</v>
      </c>
      <c r="AA5472" s="93">
        <f>100/((3*3*5.5)-(3.14/4*1.5*1.5*5.5))</f>
        <v>2.5134706316665878</v>
      </c>
      <c r="AB5472" s="93">
        <f t="shared" ref="AB5472" si="3903">AD5472/AC5470</f>
        <v>26.099370000000004</v>
      </c>
      <c r="AC5472" s="93">
        <f>AC5470/AA5472</f>
        <v>0.79571250000000016</v>
      </c>
      <c r="AD5472" s="94">
        <f t="shared" si="3902"/>
        <v>52.198740000000008</v>
      </c>
      <c r="AE5472" s="190"/>
      <c r="AF5472" s="191"/>
      <c r="AG5472" s="191"/>
      <c r="AH5472" s="191"/>
      <c r="AI5472" s="186"/>
      <c r="AK5472" s="171"/>
    </row>
    <row r="5473" spans="1:41" s="102" customFormat="1" ht="19.899999999999999" customHeight="1" x14ac:dyDescent="0.25">
      <c r="A5473" s="45"/>
      <c r="B5473" s="59"/>
      <c r="C5473" s="137"/>
      <c r="D5473" s="59"/>
      <c r="E5473" s="116"/>
      <c r="F5473" s="120"/>
      <c r="G5473" s="120"/>
      <c r="H5473" s="120"/>
      <c r="I5473" s="60"/>
      <c r="J5473" s="116"/>
      <c r="K5473" s="213"/>
      <c r="L5473" s="120"/>
      <c r="M5473" s="120"/>
      <c r="N5473" s="167"/>
      <c r="O5473" s="120"/>
      <c r="P5473" s="120"/>
      <c r="Q5473" s="120"/>
      <c r="R5473" s="120"/>
      <c r="S5473" s="120"/>
      <c r="T5473" s="221"/>
      <c r="U5473" s="89"/>
      <c r="V5473" s="61"/>
      <c r="W5473" s="92" t="s">
        <v>65</v>
      </c>
      <c r="X5473" s="93" t="s">
        <v>30</v>
      </c>
      <c r="Y5473" s="93" t="s">
        <v>1011</v>
      </c>
      <c r="Z5473" s="134">
        <f>VLOOKUP(W5473,Sheet2!$B:$D,3,FALSE)</f>
        <v>1.76</v>
      </c>
      <c r="AA5473" s="93">
        <f>AA5472/9</f>
        <v>0.27927451462962088</v>
      </c>
      <c r="AB5473" s="93">
        <f>AD5473/AC5470</f>
        <v>6.3020430000000012</v>
      </c>
      <c r="AC5473" s="93">
        <f>AC5470/AA5473</f>
        <v>7.1614125000000008</v>
      </c>
      <c r="AD5473" s="94">
        <f t="shared" si="3902"/>
        <v>12.604086000000002</v>
      </c>
      <c r="AE5473" s="190"/>
      <c r="AF5473" s="191"/>
      <c r="AG5473" s="191"/>
      <c r="AH5473" s="191"/>
      <c r="AI5473" s="186"/>
      <c r="AK5473" s="171"/>
    </row>
    <row r="5474" spans="1:41" s="102" customFormat="1" ht="19.899999999999999" customHeight="1" x14ac:dyDescent="0.25">
      <c r="A5474" s="45"/>
      <c r="B5474" s="59"/>
      <c r="C5474" s="137"/>
      <c r="D5474" s="59"/>
      <c r="E5474" s="116"/>
      <c r="F5474" s="120"/>
      <c r="G5474" s="120"/>
      <c r="H5474" s="120"/>
      <c r="I5474" s="60"/>
      <c r="J5474" s="116"/>
      <c r="K5474" s="213"/>
      <c r="L5474" s="120"/>
      <c r="M5474" s="120"/>
      <c r="N5474" s="167"/>
      <c r="O5474" s="120"/>
      <c r="P5474" s="120"/>
      <c r="Q5474" s="120"/>
      <c r="R5474" s="120"/>
      <c r="S5474" s="120"/>
      <c r="T5474" s="221"/>
      <c r="U5474" s="89"/>
      <c r="V5474" s="61"/>
      <c r="W5474" s="92" t="s">
        <v>161</v>
      </c>
      <c r="X5474" s="93" t="s">
        <v>29</v>
      </c>
      <c r="Y5474" s="93" t="s">
        <v>93</v>
      </c>
      <c r="Z5474" s="134">
        <f>VLOOKUP(W5474,Sheet2!$B:$D,3,FALSE)</f>
        <v>48</v>
      </c>
      <c r="AA5474" s="93">
        <f>(16*0.85*1.5)/((3*3*5.5)-(3.14/4*1.5*1.5*5.5))</f>
        <v>0.51274800885998395</v>
      </c>
      <c r="AB5474" s="93">
        <f>AD5474/AC5470</f>
        <v>93.613235294117658</v>
      </c>
      <c r="AC5474" s="93">
        <f>AC5470/AA5474</f>
        <v>3.9005514705882356</v>
      </c>
      <c r="AD5474" s="94">
        <f>AC5474*Z5474</f>
        <v>187.22647058823532</v>
      </c>
      <c r="AE5474" s="190"/>
      <c r="AF5474" s="191"/>
      <c r="AG5474" s="191"/>
      <c r="AH5474" s="191"/>
      <c r="AI5474" s="186"/>
      <c r="AK5474" s="171"/>
    </row>
    <row r="5475" spans="1:41" s="102" customFormat="1" ht="19.899999999999999" customHeight="1" x14ac:dyDescent="0.25">
      <c r="A5475" s="45"/>
      <c r="B5475" s="59"/>
      <c r="C5475" s="137"/>
      <c r="D5475" s="59"/>
      <c r="E5475" s="116"/>
      <c r="F5475" s="120"/>
      <c r="G5475" s="120"/>
      <c r="H5475" s="120"/>
      <c r="I5475" s="60"/>
      <c r="J5475" s="116"/>
      <c r="K5475" s="213"/>
      <c r="L5475" s="120"/>
      <c r="M5475" s="120"/>
      <c r="N5475" s="167"/>
      <c r="O5475" s="120"/>
      <c r="P5475" s="120"/>
      <c r="Q5475" s="120"/>
      <c r="R5475" s="120"/>
      <c r="S5475" s="120"/>
      <c r="T5475" s="221"/>
      <c r="U5475" s="89"/>
      <c r="V5475" s="61"/>
      <c r="W5475" s="92" t="s">
        <v>65</v>
      </c>
      <c r="X5475" s="93" t="s">
        <v>30</v>
      </c>
      <c r="Y5475" s="93" t="s">
        <v>1011</v>
      </c>
      <c r="Z5475" s="134">
        <f>VLOOKUP(W5475,Sheet2!$B:$D,3,FALSE)</f>
        <v>1.76</v>
      </c>
      <c r="AA5475" s="93">
        <f>AA5474/10</f>
        <v>5.1274800885998395E-2</v>
      </c>
      <c r="AB5475" s="93">
        <f>AD5475/AC5470</f>
        <v>34.324852941176474</v>
      </c>
      <c r="AC5475" s="93">
        <f>AC5470/AA5475</f>
        <v>39.005514705882355</v>
      </c>
      <c r="AD5475" s="94">
        <f>AC5475*Z5475</f>
        <v>68.649705882352947</v>
      </c>
      <c r="AE5475" s="190"/>
      <c r="AF5475" s="191"/>
      <c r="AG5475" s="191"/>
      <c r="AH5475" s="191"/>
      <c r="AI5475" s="186"/>
      <c r="AK5475" s="171"/>
    </row>
    <row r="5476" spans="1:41" s="102" customFormat="1" ht="19.899999999999999" customHeight="1" x14ac:dyDescent="0.25">
      <c r="A5476" s="45"/>
      <c r="B5476" s="59"/>
      <c r="C5476" s="137"/>
      <c r="D5476" s="59"/>
      <c r="E5476" s="116"/>
      <c r="F5476" s="120"/>
      <c r="G5476" s="120"/>
      <c r="H5476" s="120"/>
      <c r="I5476" s="60"/>
      <c r="J5476" s="116"/>
      <c r="K5476" s="213"/>
      <c r="L5476" s="120"/>
      <c r="M5476" s="120"/>
      <c r="N5476" s="167"/>
      <c r="O5476" s="120"/>
      <c r="P5476" s="120"/>
      <c r="Q5476" s="120"/>
      <c r="R5476" s="120"/>
      <c r="S5476" s="120"/>
      <c r="T5476" s="221"/>
      <c r="U5476" s="89"/>
      <c r="V5476" s="61"/>
      <c r="W5476" s="92" t="s">
        <v>173</v>
      </c>
      <c r="X5476" s="93" t="s">
        <v>29</v>
      </c>
      <c r="Y5476" s="93" t="s">
        <v>93</v>
      </c>
      <c r="Z5476" s="134">
        <f>VLOOKUP(W5476,Sheet2!$B:$D,3,FALSE)</f>
        <v>36</v>
      </c>
      <c r="AA5476" s="93">
        <f>50/((3*3*5.5)-(3.14/4*1.5*1.5*5.5))</f>
        <v>1.2567353158332939</v>
      </c>
      <c r="AB5476" s="93">
        <f>AD5476/AC5470</f>
        <v>28.645650000000007</v>
      </c>
      <c r="AC5476" s="93">
        <f>AC5470/AA5476</f>
        <v>1.5914250000000003</v>
      </c>
      <c r="AD5476" s="94">
        <f>AC5476*Z5476</f>
        <v>57.291300000000014</v>
      </c>
      <c r="AE5476" s="190"/>
      <c r="AF5476" s="191"/>
      <c r="AG5476" s="191"/>
      <c r="AH5476" s="191"/>
      <c r="AI5476" s="186"/>
      <c r="AK5476" s="171"/>
    </row>
    <row r="5477" spans="1:41" s="102" customFormat="1" ht="19.899999999999999" customHeight="1" x14ac:dyDescent="0.25">
      <c r="A5477" s="45"/>
      <c r="B5477" s="59"/>
      <c r="C5477" s="137"/>
      <c r="D5477" s="59"/>
      <c r="E5477" s="116"/>
      <c r="F5477" s="120"/>
      <c r="G5477" s="120"/>
      <c r="H5477" s="120"/>
      <c r="I5477" s="60"/>
      <c r="J5477" s="116"/>
      <c r="K5477" s="213"/>
      <c r="L5477" s="120"/>
      <c r="M5477" s="120"/>
      <c r="N5477" s="167"/>
      <c r="O5477" s="120"/>
      <c r="P5477" s="120"/>
      <c r="Q5477" s="120"/>
      <c r="R5477" s="120"/>
      <c r="S5477" s="120"/>
      <c r="T5477" s="221"/>
      <c r="U5477" s="89"/>
      <c r="V5477" s="61"/>
      <c r="W5477" s="92" t="s">
        <v>65</v>
      </c>
      <c r="X5477" s="93" t="s">
        <v>30</v>
      </c>
      <c r="Y5477" s="93" t="s">
        <v>1011</v>
      </c>
      <c r="Z5477" s="134">
        <f>VLOOKUP(W5477,Sheet2!$B:$D,3,FALSE)</f>
        <v>1.76</v>
      </c>
      <c r="AA5477" s="93">
        <f>AA5476/9</f>
        <v>0.13963725731481044</v>
      </c>
      <c r="AB5477" s="93">
        <f>AD5477/AC5470</f>
        <v>12.604086000000002</v>
      </c>
      <c r="AC5477" s="93">
        <f>AC5470/AA5477</f>
        <v>14.322825000000002</v>
      </c>
      <c r="AD5477" s="94">
        <f>AC5477*Z5477</f>
        <v>25.208172000000005</v>
      </c>
      <c r="AE5477" s="190"/>
      <c r="AF5477" s="191"/>
      <c r="AG5477" s="191"/>
      <c r="AH5477" s="191"/>
      <c r="AI5477" s="186"/>
      <c r="AK5477" s="171"/>
    </row>
    <row r="5478" spans="1:41" s="102" customFormat="1" ht="19.899999999999999" customHeight="1" x14ac:dyDescent="0.25">
      <c r="A5478" s="45"/>
      <c r="B5478" s="59"/>
      <c r="C5478" s="137"/>
      <c r="D5478" s="59"/>
      <c r="E5478" s="116"/>
      <c r="F5478" s="120"/>
      <c r="G5478" s="120"/>
      <c r="H5478" s="120"/>
      <c r="I5478" s="60"/>
      <c r="J5478" s="116"/>
      <c r="K5478" s="213"/>
      <c r="L5478" s="120"/>
      <c r="M5478" s="120"/>
      <c r="N5478" s="167"/>
      <c r="O5478" s="120"/>
      <c r="P5478" s="120"/>
      <c r="Q5478" s="120"/>
      <c r="R5478" s="120"/>
      <c r="S5478" s="120"/>
      <c r="T5478" s="221"/>
      <c r="U5478" s="89"/>
      <c r="V5478" s="61"/>
      <c r="W5478" s="92" t="s">
        <v>1030</v>
      </c>
      <c r="X5478" s="93" t="s">
        <v>29</v>
      </c>
      <c r="Y5478" s="93" t="s">
        <v>93</v>
      </c>
      <c r="Z5478" s="134">
        <f>VLOOKUP(W5478,Sheet2!$B:$D,3,FALSE)</f>
        <v>23</v>
      </c>
      <c r="AA5478" s="93">
        <f>1/(5.5*1)</f>
        <v>0.18181818181818182</v>
      </c>
      <c r="AB5478" s="93">
        <f>AD5478/AC5470</f>
        <v>126.5</v>
      </c>
      <c r="AC5478" s="93">
        <f>AC5470/AA5478</f>
        <v>11</v>
      </c>
      <c r="AD5478" s="94">
        <f t="shared" ref="AD5478:AD5479" si="3904">AC5478*Z5478</f>
        <v>253</v>
      </c>
      <c r="AE5478" s="190"/>
      <c r="AF5478" s="191"/>
      <c r="AG5478" s="191"/>
      <c r="AH5478" s="191"/>
      <c r="AI5478" s="186"/>
      <c r="AK5478" s="171"/>
    </row>
    <row r="5479" spans="1:41" s="102" customFormat="1" ht="19.899999999999999" customHeight="1" x14ac:dyDescent="0.25">
      <c r="A5479" s="45"/>
      <c r="B5479" s="59"/>
      <c r="C5479" s="137"/>
      <c r="D5479" s="59"/>
      <c r="E5479" s="116"/>
      <c r="F5479" s="120"/>
      <c r="G5479" s="120"/>
      <c r="H5479" s="120"/>
      <c r="I5479" s="60"/>
      <c r="J5479" s="116"/>
      <c r="K5479" s="213"/>
      <c r="L5479" s="120"/>
      <c r="M5479" s="120"/>
      <c r="N5479" s="167"/>
      <c r="O5479" s="120"/>
      <c r="P5479" s="120"/>
      <c r="Q5479" s="120"/>
      <c r="R5479" s="120"/>
      <c r="S5479" s="120"/>
      <c r="T5479" s="221"/>
      <c r="U5479" s="89"/>
      <c r="V5479" s="61"/>
      <c r="W5479" s="92" t="s">
        <v>65</v>
      </c>
      <c r="X5479" s="93" t="s">
        <v>30</v>
      </c>
      <c r="Y5479" s="93" t="s">
        <v>1011</v>
      </c>
      <c r="Z5479" s="134">
        <f>VLOOKUP(W5479,Sheet2!$B:$D,3,FALSE)</f>
        <v>1.76</v>
      </c>
      <c r="AA5479" s="93">
        <f>AA5478/3</f>
        <v>6.0606060606060608E-2</v>
      </c>
      <c r="AB5479" s="93">
        <f>AD5479/AC5470</f>
        <v>29.04</v>
      </c>
      <c r="AC5479" s="93">
        <f>AC5470/AA5479</f>
        <v>33</v>
      </c>
      <c r="AD5479" s="94">
        <f t="shared" si="3904"/>
        <v>58.08</v>
      </c>
      <c r="AE5479" s="190"/>
      <c r="AF5479" s="191"/>
      <c r="AG5479" s="191"/>
      <c r="AH5479" s="191"/>
      <c r="AI5479" s="186"/>
      <c r="AK5479" s="171"/>
    </row>
    <row r="5480" spans="1:41" ht="20.100000000000001" customHeight="1" x14ac:dyDescent="0.25">
      <c r="A5480" s="277" t="s">
        <v>491</v>
      </c>
      <c r="B5480" s="278"/>
      <c r="C5480" s="64" t="s">
        <v>582</v>
      </c>
      <c r="D5480" s="46" t="s">
        <v>215</v>
      </c>
      <c r="E5480" s="114">
        <v>2.29</v>
      </c>
      <c r="F5480" s="44">
        <v>72533</v>
      </c>
      <c r="G5480" s="44">
        <f t="shared" si="3841"/>
        <v>166100.57</v>
      </c>
      <c r="H5480" s="44">
        <f t="shared" si="3842"/>
        <v>17205.165890352942</v>
      </c>
      <c r="I5480" s="43">
        <f t="shared" si="3843"/>
        <v>39399.829888908236</v>
      </c>
      <c r="J5480" s="112">
        <f t="shared" si="3844"/>
        <v>2.29</v>
      </c>
      <c r="K5480" s="211">
        <f t="shared" si="3845"/>
        <v>2.29</v>
      </c>
      <c r="L5480" s="44"/>
      <c r="M5480" s="44">
        <f t="shared" si="3846"/>
        <v>2.29</v>
      </c>
      <c r="N5480" s="173">
        <f t="shared" si="3847"/>
        <v>1</v>
      </c>
      <c r="O5480" s="44">
        <f t="shared" si="3848"/>
        <v>72533</v>
      </c>
      <c r="P5480" s="44">
        <f t="shared" si="3849"/>
        <v>166100.57</v>
      </c>
      <c r="Q5480" s="44">
        <f t="shared" si="3850"/>
        <v>17205.165890352942</v>
      </c>
      <c r="R5480" s="44">
        <f t="shared" si="3851"/>
        <v>39399.829888908236</v>
      </c>
      <c r="S5480" s="123"/>
      <c r="T5480" s="219">
        <f t="shared" si="3852"/>
        <v>39399.829888908236</v>
      </c>
      <c r="U5480" s="87"/>
      <c r="V5480" s="47"/>
      <c r="W5480" s="48"/>
      <c r="X5480" s="48"/>
      <c r="Y5480" s="48"/>
      <c r="Z5480" s="135"/>
      <c r="AA5480" s="49"/>
      <c r="AB5480" s="50">
        <f t="shared" si="3853"/>
        <v>17205.165890352942</v>
      </c>
      <c r="AC5480" s="42">
        <f t="shared" si="3854"/>
        <v>2.29</v>
      </c>
      <c r="AD5480" s="90">
        <f>AD5481+AD5486+AD5493+AD5501</f>
        <v>39399.829888908236</v>
      </c>
      <c r="AE5480" s="188">
        <f t="shared" ref="AE5480" si="3905">AE5481+AE5486+AE5493+AE5501</f>
        <v>0</v>
      </c>
      <c r="AF5480" s="189">
        <f t="shared" ref="AF5480" si="3906">AF5481+AF5486+AF5493+AF5501</f>
        <v>0</v>
      </c>
      <c r="AG5480" s="189">
        <f t="shared" ref="AG5480" si="3907">AG5481+AG5486+AG5493+AG5501</f>
        <v>0</v>
      </c>
      <c r="AH5480" s="189">
        <f t="shared" ref="AH5480" si="3908">AH5481+AH5486+AH5493+AH5501</f>
        <v>0</v>
      </c>
      <c r="AI5480" s="161">
        <f t="shared" ref="AI5480" si="3909">SUM(AE5480:AH5480)</f>
        <v>0</v>
      </c>
      <c r="AK5480" s="169">
        <v>5</v>
      </c>
      <c r="AO5480" s="19" t="s">
        <v>63</v>
      </c>
    </row>
    <row r="5481" spans="1:41" s="103" customFormat="1" ht="19.899999999999999" customHeight="1" x14ac:dyDescent="0.25">
      <c r="A5481" s="51"/>
      <c r="B5481" s="52"/>
      <c r="C5481" s="165"/>
      <c r="D5481" s="52"/>
      <c r="E5481" s="115"/>
      <c r="F5481" s="58"/>
      <c r="G5481" s="58"/>
      <c r="H5481" s="58"/>
      <c r="I5481" s="55"/>
      <c r="J5481" s="113">
        <f>J5480</f>
        <v>2.29</v>
      </c>
      <c r="K5481" s="212">
        <f>K5480</f>
        <v>2.29</v>
      </c>
      <c r="L5481" s="58"/>
      <c r="M5481" s="58">
        <f>K5481-L5481</f>
        <v>2.29</v>
      </c>
      <c r="N5481" s="166"/>
      <c r="O5481" s="58"/>
      <c r="P5481" s="58"/>
      <c r="Q5481" s="58"/>
      <c r="R5481" s="58"/>
      <c r="S5481" s="58"/>
      <c r="T5481" s="220"/>
      <c r="U5481" s="88"/>
      <c r="V5481" s="56"/>
      <c r="W5481" s="57" t="s">
        <v>1551</v>
      </c>
      <c r="X5481" s="53"/>
      <c r="Y5481" s="91" t="s">
        <v>35</v>
      </c>
      <c r="Z5481" s="136">
        <f>AD5481/AC5481</f>
        <v>274.90785882352935</v>
      </c>
      <c r="AA5481" s="58"/>
      <c r="AB5481" s="53">
        <f>AD5481/AC5481</f>
        <v>274.90785882352935</v>
      </c>
      <c r="AC5481" s="53">
        <f>M5481+$AE$10</f>
        <v>2.29</v>
      </c>
      <c r="AD5481" s="54">
        <f>SUM(AD5482:AD5485)</f>
        <v>629.53899670588225</v>
      </c>
      <c r="AE5481" s="184">
        <f>SUMIFS($AD$37:$AD$12971,$V$37:$V$12971,$V5481,$X$37:$X$12971,AE$13)</f>
        <v>0</v>
      </c>
      <c r="AF5481" s="185">
        <f>SUMIFS($AD$37:$AD$12971,$V$37:$V$12971,$V5481,$X$37:$X$12971,AF$13)</f>
        <v>0</v>
      </c>
      <c r="AG5481" s="185">
        <f>SUMIFS($AD$37:$AD$12971,$V$37:$V$12971,$V5481,$X$37:$X$12971,AG$13)</f>
        <v>0</v>
      </c>
      <c r="AH5481" s="187">
        <f>SUMIFS($AD$37:$AD$12971,$V$37:$V$12971,$V5481,$X$37:$X$12971,AH$13)</f>
        <v>0</v>
      </c>
      <c r="AI5481" s="161">
        <f t="shared" ref="AI5481" si="3910">SUM(AE5481:AH5481)</f>
        <v>0</v>
      </c>
      <c r="AK5481" s="172"/>
    </row>
    <row r="5482" spans="1:41" s="102" customFormat="1" ht="19.899999999999999" customHeight="1" x14ac:dyDescent="0.25">
      <c r="A5482" s="45"/>
      <c r="B5482" s="59"/>
      <c r="C5482" s="137"/>
      <c r="D5482" s="59"/>
      <c r="E5482" s="116"/>
      <c r="F5482" s="120"/>
      <c r="G5482" s="120"/>
      <c r="H5482" s="120"/>
      <c r="I5482" s="60"/>
      <c r="J5482" s="116"/>
      <c r="K5482" s="213"/>
      <c r="L5482" s="120"/>
      <c r="M5482" s="120"/>
      <c r="N5482" s="167"/>
      <c r="O5482" s="120"/>
      <c r="P5482" s="120"/>
      <c r="Q5482" s="120"/>
      <c r="R5482" s="120"/>
      <c r="S5482" s="120"/>
      <c r="T5482" s="221"/>
      <c r="U5482" s="89"/>
      <c r="V5482" s="61"/>
      <c r="W5482" s="92" t="s">
        <v>131</v>
      </c>
      <c r="X5482" s="93" t="s">
        <v>29</v>
      </c>
      <c r="Y5482" s="93" t="s">
        <v>93</v>
      </c>
      <c r="Z5482" s="134">
        <f>VLOOKUP(W5482,Sheet2!$B:$D,3,FALSE)</f>
        <v>131.19999999999999</v>
      </c>
      <c r="AA5482" s="93">
        <f>100/(3*3*6)</f>
        <v>1.8518518518518519</v>
      </c>
      <c r="AB5482" s="93">
        <f t="shared" ref="AB5482" si="3911">AD5482/AC5481</f>
        <v>70.847999999999985</v>
      </c>
      <c r="AC5482" s="93">
        <f>AC5481/AA5482</f>
        <v>1.2365999999999999</v>
      </c>
      <c r="AD5482" s="94">
        <f t="shared" ref="AD5482:AD5483" si="3912">AC5482*Z5482</f>
        <v>162.24191999999996</v>
      </c>
      <c r="AE5482" s="190"/>
      <c r="AF5482" s="191"/>
      <c r="AG5482" s="191"/>
      <c r="AH5482" s="191"/>
      <c r="AI5482" s="186"/>
      <c r="AK5482" s="171"/>
    </row>
    <row r="5483" spans="1:41" s="102" customFormat="1" ht="19.899999999999999" customHeight="1" x14ac:dyDescent="0.25">
      <c r="A5483" s="45"/>
      <c r="B5483" s="59"/>
      <c r="C5483" s="137"/>
      <c r="D5483" s="59"/>
      <c r="E5483" s="116"/>
      <c r="F5483" s="120"/>
      <c r="G5483" s="120"/>
      <c r="H5483" s="120"/>
      <c r="I5483" s="60"/>
      <c r="J5483" s="116"/>
      <c r="K5483" s="213"/>
      <c r="L5483" s="120"/>
      <c r="M5483" s="120"/>
      <c r="N5483" s="167"/>
      <c r="O5483" s="120"/>
      <c r="P5483" s="120"/>
      <c r="Q5483" s="120"/>
      <c r="R5483" s="120"/>
      <c r="S5483" s="120"/>
      <c r="T5483" s="221"/>
      <c r="U5483" s="89"/>
      <c r="V5483" s="61"/>
      <c r="W5483" s="92" t="s">
        <v>65</v>
      </c>
      <c r="X5483" s="93" t="s">
        <v>30</v>
      </c>
      <c r="Y5483" s="93" t="s">
        <v>1011</v>
      </c>
      <c r="Z5483" s="134">
        <f>VLOOKUP(W5483,Sheet2!$B:$D,3,FALSE)</f>
        <v>1.76</v>
      </c>
      <c r="AA5483" s="93">
        <f>AA5482/32</f>
        <v>5.7870370370370371E-2</v>
      </c>
      <c r="AB5483" s="93">
        <f>AD5483/AC5481</f>
        <v>30.412799999999994</v>
      </c>
      <c r="AC5483" s="93">
        <f>AC5481/AA5483</f>
        <v>39.571199999999997</v>
      </c>
      <c r="AD5483" s="94">
        <f t="shared" si="3912"/>
        <v>69.64531199999999</v>
      </c>
      <c r="AE5483" s="190"/>
      <c r="AF5483" s="191"/>
      <c r="AG5483" s="191"/>
      <c r="AH5483" s="191"/>
      <c r="AI5483" s="186"/>
      <c r="AK5483" s="171"/>
    </row>
    <row r="5484" spans="1:41" s="102" customFormat="1" ht="19.899999999999999" customHeight="1" x14ac:dyDescent="0.25">
      <c r="A5484" s="45"/>
      <c r="B5484" s="59"/>
      <c r="C5484" s="137"/>
      <c r="D5484" s="59"/>
      <c r="E5484" s="116"/>
      <c r="F5484" s="120"/>
      <c r="G5484" s="120"/>
      <c r="H5484" s="120"/>
      <c r="I5484" s="60"/>
      <c r="J5484" s="116"/>
      <c r="K5484" s="213"/>
      <c r="L5484" s="120"/>
      <c r="M5484" s="120"/>
      <c r="N5484" s="167"/>
      <c r="O5484" s="120"/>
      <c r="P5484" s="120"/>
      <c r="Q5484" s="120"/>
      <c r="R5484" s="120"/>
      <c r="S5484" s="120"/>
      <c r="T5484" s="221"/>
      <c r="U5484" s="89"/>
      <c r="V5484" s="61"/>
      <c r="W5484" s="92" t="s">
        <v>161</v>
      </c>
      <c r="X5484" s="93" t="s">
        <v>29</v>
      </c>
      <c r="Y5484" s="93" t="s">
        <v>93</v>
      </c>
      <c r="Z5484" s="134">
        <f>VLOOKUP(W5484,Sheet2!$B:$D,3,FALSE)</f>
        <v>48</v>
      </c>
      <c r="AA5484" s="93">
        <f>(16*0.85*1.5)/(3*3*6)</f>
        <v>0.37777777777777777</v>
      </c>
      <c r="AB5484" s="93">
        <f>AD5484/AC5481</f>
        <v>127.05882352941178</v>
      </c>
      <c r="AC5484" s="93">
        <f>AC5481/AA5484</f>
        <v>6.0617647058823536</v>
      </c>
      <c r="AD5484" s="94">
        <f>AC5484*Z5484</f>
        <v>290.96470588235297</v>
      </c>
      <c r="AE5484" s="190"/>
      <c r="AF5484" s="191"/>
      <c r="AG5484" s="191"/>
      <c r="AH5484" s="191"/>
      <c r="AI5484" s="186"/>
      <c r="AK5484" s="171"/>
    </row>
    <row r="5485" spans="1:41" s="102" customFormat="1" ht="19.899999999999999" customHeight="1" x14ac:dyDescent="0.25">
      <c r="A5485" s="45"/>
      <c r="B5485" s="59"/>
      <c r="C5485" s="137"/>
      <c r="D5485" s="59"/>
      <c r="E5485" s="116"/>
      <c r="F5485" s="120"/>
      <c r="G5485" s="120"/>
      <c r="H5485" s="120"/>
      <c r="I5485" s="60"/>
      <c r="J5485" s="116"/>
      <c r="K5485" s="213"/>
      <c r="L5485" s="120"/>
      <c r="M5485" s="120"/>
      <c r="N5485" s="167"/>
      <c r="O5485" s="120"/>
      <c r="P5485" s="120"/>
      <c r="Q5485" s="120"/>
      <c r="R5485" s="120"/>
      <c r="S5485" s="120"/>
      <c r="T5485" s="221"/>
      <c r="U5485" s="89"/>
      <c r="V5485" s="61"/>
      <c r="W5485" s="92" t="s">
        <v>65</v>
      </c>
      <c r="X5485" s="93" t="s">
        <v>30</v>
      </c>
      <c r="Y5485" s="93" t="s">
        <v>1011</v>
      </c>
      <c r="Z5485" s="134">
        <f>VLOOKUP(W5485,Sheet2!$B:$D,3,FALSE)</f>
        <v>1.76</v>
      </c>
      <c r="AA5485" s="93">
        <f>AA5484/10</f>
        <v>3.7777777777777778E-2</v>
      </c>
      <c r="AB5485" s="93">
        <f>AD5485/AC5481</f>
        <v>46.588235294117645</v>
      </c>
      <c r="AC5485" s="93">
        <f>AC5481/AA5485</f>
        <v>60.617647058823529</v>
      </c>
      <c r="AD5485" s="94">
        <f>AC5485*Z5485</f>
        <v>106.68705882352941</v>
      </c>
      <c r="AE5485" s="190"/>
      <c r="AF5485" s="191"/>
      <c r="AG5485" s="191"/>
      <c r="AH5485" s="191"/>
      <c r="AI5485" s="186"/>
      <c r="AK5485" s="171"/>
    </row>
    <row r="5486" spans="1:41" s="103" customFormat="1" ht="19.899999999999999" customHeight="1" x14ac:dyDescent="0.25">
      <c r="A5486" s="51"/>
      <c r="B5486" s="52"/>
      <c r="C5486" s="165"/>
      <c r="D5486" s="52"/>
      <c r="E5486" s="115"/>
      <c r="F5486" s="58"/>
      <c r="G5486" s="58"/>
      <c r="H5486" s="58"/>
      <c r="I5486" s="55"/>
      <c r="J5486" s="113">
        <f>J5480</f>
        <v>2.29</v>
      </c>
      <c r="K5486" s="212">
        <f>K5480</f>
        <v>2.29</v>
      </c>
      <c r="L5486" s="58"/>
      <c r="M5486" s="58">
        <f>K5486-L5486</f>
        <v>2.29</v>
      </c>
      <c r="N5486" s="166"/>
      <c r="O5486" s="58"/>
      <c r="P5486" s="58"/>
      <c r="Q5486" s="58"/>
      <c r="R5486" s="58"/>
      <c r="S5486" s="58"/>
      <c r="T5486" s="220"/>
      <c r="U5486" s="88"/>
      <c r="V5486" s="56"/>
      <c r="W5486" s="57" t="s">
        <v>1486</v>
      </c>
      <c r="X5486" s="53"/>
      <c r="Y5486" s="91" t="s">
        <v>35</v>
      </c>
      <c r="Z5486" s="136">
        <f>AD5486/AC5486</f>
        <v>1883.8374999999999</v>
      </c>
      <c r="AA5486" s="58"/>
      <c r="AB5486" s="53">
        <f>AD5486/AC5486</f>
        <v>1883.8374999999999</v>
      </c>
      <c r="AC5486" s="53">
        <f>M5486+$AE$10</f>
        <v>2.29</v>
      </c>
      <c r="AD5486" s="54">
        <f>SUM(AD5487:AD5492)</f>
        <v>4313.9878749999998</v>
      </c>
      <c r="AE5486" s="184">
        <f>SUMIFS($AD$37:$AD$12971,$V$37:$V$12971,$V5486,$X$37:$X$12971,AE$13)</f>
        <v>0</v>
      </c>
      <c r="AF5486" s="185">
        <f>SUMIFS($AD$37:$AD$12971,$V$37:$V$12971,$V5486,$X$37:$X$12971,AF$13)</f>
        <v>0</v>
      </c>
      <c r="AG5486" s="185">
        <f>SUMIFS($AD$37:$AD$12971,$V$37:$V$12971,$V5486,$X$37:$X$12971,AG$13)</f>
        <v>0</v>
      </c>
      <c r="AH5486" s="187">
        <f>SUMIFS($AD$37:$AD$12971,$V$37:$V$12971,$V5486,$X$37:$X$12971,AH$13)</f>
        <v>0</v>
      </c>
      <c r="AI5486" s="161">
        <f t="shared" ref="AI5486" si="3913">SUM(AE5486:AH5486)</f>
        <v>0</v>
      </c>
      <c r="AK5486" s="172"/>
    </row>
    <row r="5487" spans="1:41" s="102" customFormat="1" ht="19.899999999999999" customHeight="1" x14ac:dyDescent="0.25">
      <c r="A5487" s="45"/>
      <c r="B5487" s="59"/>
      <c r="C5487" s="137"/>
      <c r="D5487" s="59"/>
      <c r="E5487" s="116"/>
      <c r="F5487" s="120"/>
      <c r="G5487" s="120"/>
      <c r="H5487" s="120"/>
      <c r="I5487" s="60"/>
      <c r="J5487" s="116"/>
      <c r="K5487" s="213"/>
      <c r="L5487" s="120"/>
      <c r="M5487" s="120"/>
      <c r="N5487" s="167"/>
      <c r="O5487" s="120"/>
      <c r="P5487" s="120"/>
      <c r="Q5487" s="120"/>
      <c r="R5487" s="120"/>
      <c r="S5487" s="120"/>
      <c r="T5487" s="221"/>
      <c r="U5487" s="89"/>
      <c r="V5487" s="61"/>
      <c r="W5487" s="92" t="s">
        <v>1032</v>
      </c>
      <c r="X5487" s="93" t="s">
        <v>30</v>
      </c>
      <c r="Y5487" s="93" t="s">
        <v>66</v>
      </c>
      <c r="Z5487" s="134">
        <f>VLOOKUP(W5487,Sheet2!$B:$D,3,FALSE)</f>
        <v>250</v>
      </c>
      <c r="AA5487" s="93">
        <f>1/(2.4*2.4*0.1)</f>
        <v>1.7361111111111112</v>
      </c>
      <c r="AB5487" s="93">
        <f>AD5487/AC5493</f>
        <v>144</v>
      </c>
      <c r="AC5487" s="93">
        <f>AC5493/AA5487</f>
        <v>1.31904</v>
      </c>
      <c r="AD5487" s="94">
        <f t="shared" ref="AD5487:AD5489" si="3914">AC5487*Z5487</f>
        <v>329.76</v>
      </c>
      <c r="AE5487" s="190"/>
      <c r="AF5487" s="191"/>
      <c r="AG5487" s="191"/>
      <c r="AH5487" s="191"/>
      <c r="AI5487" s="186"/>
      <c r="AK5487" s="171"/>
    </row>
    <row r="5488" spans="1:41" s="102" customFormat="1" ht="19.899999999999999" customHeight="1" x14ac:dyDescent="0.25">
      <c r="A5488" s="45"/>
      <c r="B5488" s="59"/>
      <c r="C5488" s="137"/>
      <c r="D5488" s="59"/>
      <c r="E5488" s="116"/>
      <c r="F5488" s="120"/>
      <c r="G5488" s="120"/>
      <c r="H5488" s="120"/>
      <c r="I5488" s="60"/>
      <c r="J5488" s="116"/>
      <c r="K5488" s="213"/>
      <c r="L5488" s="120"/>
      <c r="M5488" s="120"/>
      <c r="N5488" s="167"/>
      <c r="O5488" s="120"/>
      <c r="P5488" s="120"/>
      <c r="Q5488" s="120"/>
      <c r="R5488" s="120"/>
      <c r="S5488" s="120"/>
      <c r="T5488" s="221"/>
      <c r="U5488" s="89"/>
      <c r="V5488" s="61"/>
      <c r="W5488" s="92" t="s">
        <v>1353</v>
      </c>
      <c r="X5488" s="93" t="s">
        <v>30</v>
      </c>
      <c r="Y5488" s="93" t="s">
        <v>66</v>
      </c>
      <c r="Z5488" s="134">
        <f>VLOOKUP(W5488,Sheet2!$B:$D,3,FALSE)</f>
        <v>350</v>
      </c>
      <c r="AA5488" s="93">
        <f>1/(2.3*2.3*0.3)</f>
        <v>0.63011972274732209</v>
      </c>
      <c r="AB5488" s="93">
        <f>AD5488/AC5493</f>
        <v>555.44999999999993</v>
      </c>
      <c r="AC5488" s="93">
        <f>AC5493/AA5488</f>
        <v>3.6342299999999996</v>
      </c>
      <c r="AD5488" s="94">
        <f t="shared" si="3914"/>
        <v>1271.9804999999999</v>
      </c>
      <c r="AE5488" s="190"/>
      <c r="AF5488" s="191"/>
      <c r="AG5488" s="191"/>
      <c r="AH5488" s="191"/>
      <c r="AI5488" s="186"/>
      <c r="AK5488" s="171"/>
    </row>
    <row r="5489" spans="1:37" s="102" customFormat="1" ht="19.899999999999999" customHeight="1" x14ac:dyDescent="0.25">
      <c r="A5489" s="45"/>
      <c r="B5489" s="59"/>
      <c r="C5489" s="137"/>
      <c r="D5489" s="59"/>
      <c r="E5489" s="116"/>
      <c r="F5489" s="120"/>
      <c r="G5489" s="120"/>
      <c r="H5489" s="120"/>
      <c r="I5489" s="60"/>
      <c r="J5489" s="116"/>
      <c r="K5489" s="213"/>
      <c r="L5489" s="120"/>
      <c r="M5489" s="120"/>
      <c r="N5489" s="167"/>
      <c r="O5489" s="120"/>
      <c r="P5489" s="120"/>
      <c r="Q5489" s="120"/>
      <c r="R5489" s="120"/>
      <c r="S5489" s="120"/>
      <c r="T5489" s="221"/>
      <c r="U5489" s="89"/>
      <c r="V5489" s="61"/>
      <c r="W5489" s="92" t="s">
        <v>99</v>
      </c>
      <c r="X5489" s="93" t="s">
        <v>30</v>
      </c>
      <c r="Y5489" s="93" t="s">
        <v>67</v>
      </c>
      <c r="Z5489" s="134">
        <f>VLOOKUP(W5489,Sheet2!$B:$D,3,FALSE)</f>
        <v>2500</v>
      </c>
      <c r="AA5489" s="93">
        <f>AA5488/0.08</f>
        <v>7.8764965343415261</v>
      </c>
      <c r="AB5489" s="93">
        <f>AD5489/AC5493</f>
        <v>317.39999999999992</v>
      </c>
      <c r="AC5489" s="93">
        <f>AC5493/AA5489</f>
        <v>0.29073839999999995</v>
      </c>
      <c r="AD5489" s="94">
        <f t="shared" si="3914"/>
        <v>726.84599999999989</v>
      </c>
      <c r="AE5489" s="190"/>
      <c r="AF5489" s="191"/>
      <c r="AG5489" s="191"/>
      <c r="AH5489" s="191"/>
      <c r="AI5489" s="186"/>
      <c r="AK5489" s="171"/>
    </row>
    <row r="5490" spans="1:37" s="102" customFormat="1" ht="19.899999999999999" customHeight="1" x14ac:dyDescent="0.25">
      <c r="A5490" s="45"/>
      <c r="B5490" s="59"/>
      <c r="C5490" s="137"/>
      <c r="D5490" s="59"/>
      <c r="E5490" s="116"/>
      <c r="F5490" s="120"/>
      <c r="G5490" s="120"/>
      <c r="H5490" s="120"/>
      <c r="I5490" s="60"/>
      <c r="J5490" s="116"/>
      <c r="K5490" s="213"/>
      <c r="L5490" s="120"/>
      <c r="M5490" s="120"/>
      <c r="N5490" s="167"/>
      <c r="O5490" s="120"/>
      <c r="P5490" s="120"/>
      <c r="Q5490" s="120"/>
      <c r="R5490" s="120"/>
      <c r="S5490" s="120"/>
      <c r="T5490" s="221"/>
      <c r="U5490" s="89"/>
      <c r="V5490" s="61"/>
      <c r="W5490" s="92" t="s">
        <v>1354</v>
      </c>
      <c r="X5490" s="93" t="s">
        <v>32</v>
      </c>
      <c r="Y5490" s="93" t="s">
        <v>66</v>
      </c>
      <c r="Z5490" s="134">
        <f>VLOOKUP(W5490,Sheet2!$B:$D,3,FALSE)</f>
        <v>150</v>
      </c>
      <c r="AA5490" s="93">
        <f>AA5487</f>
        <v>1.7361111111111112</v>
      </c>
      <c r="AB5490" s="93">
        <f>AD5490/AC5493</f>
        <v>86.399999999999991</v>
      </c>
      <c r="AC5490" s="93">
        <f>AC5493/AA5490</f>
        <v>1.31904</v>
      </c>
      <c r="AD5490" s="94">
        <f>AC5490*Z5490</f>
        <v>197.85599999999999</v>
      </c>
      <c r="AE5490" s="190"/>
      <c r="AF5490" s="191"/>
      <c r="AG5490" s="191"/>
      <c r="AH5490" s="191"/>
      <c r="AI5490" s="186"/>
      <c r="AK5490" s="171"/>
    </row>
    <row r="5491" spans="1:37" s="102" customFormat="1" ht="19.899999999999999" customHeight="1" x14ac:dyDescent="0.25">
      <c r="A5491" s="45"/>
      <c r="B5491" s="59"/>
      <c r="C5491" s="137"/>
      <c r="D5491" s="59"/>
      <c r="E5491" s="116"/>
      <c r="F5491" s="120"/>
      <c r="G5491" s="120"/>
      <c r="H5491" s="120"/>
      <c r="I5491" s="60"/>
      <c r="J5491" s="116"/>
      <c r="K5491" s="213"/>
      <c r="L5491" s="120"/>
      <c r="M5491" s="120"/>
      <c r="N5491" s="167"/>
      <c r="O5491" s="120"/>
      <c r="P5491" s="120"/>
      <c r="Q5491" s="120"/>
      <c r="R5491" s="120"/>
      <c r="S5491" s="120"/>
      <c r="T5491" s="221"/>
      <c r="U5491" s="89"/>
      <c r="V5491" s="61"/>
      <c r="W5491" s="92" t="s">
        <v>1355</v>
      </c>
      <c r="X5491" s="93" t="s">
        <v>32</v>
      </c>
      <c r="Y5491" s="93" t="s">
        <v>66</v>
      </c>
      <c r="Z5491" s="134">
        <f>VLOOKUP(W5491,Sheet2!$B:$D,3,FALSE)</f>
        <v>450</v>
      </c>
      <c r="AA5491" s="93">
        <f>AA5488</f>
        <v>0.63011972274732209</v>
      </c>
      <c r="AB5491" s="93">
        <f>AD5491/AC5493</f>
        <v>714.15</v>
      </c>
      <c r="AC5491" s="93">
        <f>AC5493/AA5491</f>
        <v>3.6342299999999996</v>
      </c>
      <c r="AD5491" s="94">
        <f>AC5491*Z5491</f>
        <v>1635.4034999999999</v>
      </c>
      <c r="AE5491" s="190"/>
      <c r="AF5491" s="191"/>
      <c r="AG5491" s="191"/>
      <c r="AH5491" s="191"/>
      <c r="AI5491" s="186"/>
      <c r="AK5491" s="171"/>
    </row>
    <row r="5492" spans="1:37" s="102" customFormat="1" ht="19.899999999999999" customHeight="1" x14ac:dyDescent="0.25">
      <c r="A5492" s="45"/>
      <c r="B5492" s="59"/>
      <c r="C5492" s="137"/>
      <c r="D5492" s="59"/>
      <c r="E5492" s="116"/>
      <c r="F5492" s="120"/>
      <c r="G5492" s="120"/>
      <c r="H5492" s="120"/>
      <c r="I5492" s="60"/>
      <c r="J5492" s="116"/>
      <c r="K5492" s="213"/>
      <c r="L5492" s="120"/>
      <c r="M5492" s="120"/>
      <c r="N5492" s="167"/>
      <c r="O5492" s="120"/>
      <c r="P5492" s="120"/>
      <c r="Q5492" s="120"/>
      <c r="R5492" s="120"/>
      <c r="S5492" s="120"/>
      <c r="T5492" s="221"/>
      <c r="U5492" s="89"/>
      <c r="V5492" s="61"/>
      <c r="W5492" s="92" t="s">
        <v>124</v>
      </c>
      <c r="X5492" s="93" t="s">
        <v>32</v>
      </c>
      <c r="Y5492" s="93" t="s">
        <v>64</v>
      </c>
      <c r="Z5492" s="134">
        <f>VLOOKUP(W5492,Sheet2!$B:$D,3,FALSE)</f>
        <v>10</v>
      </c>
      <c r="AA5492" s="93">
        <f>1/((2.9*2.9)-(3.14*1.5*1.5/4))</f>
        <v>0.15051740357478832</v>
      </c>
      <c r="AB5492" s="93">
        <f t="shared" ref="AB5492" si="3915">AD5492/AC5486</f>
        <v>66.437500000000014</v>
      </c>
      <c r="AC5492" s="93">
        <f>AC5486/AA5492</f>
        <v>15.214187500000001</v>
      </c>
      <c r="AD5492" s="94">
        <f t="shared" ref="AD5492" si="3916">AC5492*Z5492</f>
        <v>152.14187500000003</v>
      </c>
      <c r="AE5492" s="190"/>
      <c r="AF5492" s="191"/>
      <c r="AG5492" s="191"/>
      <c r="AH5492" s="191"/>
      <c r="AI5492" s="186"/>
      <c r="AK5492" s="171"/>
    </row>
    <row r="5493" spans="1:37" s="103" customFormat="1" ht="19.899999999999999" customHeight="1" x14ac:dyDescent="0.25">
      <c r="A5493" s="51"/>
      <c r="B5493" s="52"/>
      <c r="C5493" s="165"/>
      <c r="D5493" s="52"/>
      <c r="E5493" s="115"/>
      <c r="F5493" s="58"/>
      <c r="G5493" s="58"/>
      <c r="H5493" s="58"/>
      <c r="I5493" s="55"/>
      <c r="J5493" s="113">
        <f>J5480</f>
        <v>2.29</v>
      </c>
      <c r="K5493" s="212">
        <f>K5480</f>
        <v>2.29</v>
      </c>
      <c r="L5493" s="58"/>
      <c r="M5493" s="58">
        <f>K5493-L5493</f>
        <v>2.29</v>
      </c>
      <c r="N5493" s="166"/>
      <c r="O5493" s="58"/>
      <c r="P5493" s="58"/>
      <c r="Q5493" s="58"/>
      <c r="R5493" s="58"/>
      <c r="S5493" s="58"/>
      <c r="T5493" s="220"/>
      <c r="U5493" s="88"/>
      <c r="V5493" s="56"/>
      <c r="W5493" s="57" t="s">
        <v>1275</v>
      </c>
      <c r="X5493" s="53"/>
      <c r="Y5493" s="91" t="s">
        <v>35</v>
      </c>
      <c r="Z5493" s="136">
        <f>AD5493/AC5493</f>
        <v>14222.800000000001</v>
      </c>
      <c r="AA5493" s="58"/>
      <c r="AB5493" s="53">
        <f>AD5493/AC5493</f>
        <v>14222.800000000001</v>
      </c>
      <c r="AC5493" s="53">
        <f>M5493+$AE$10</f>
        <v>2.29</v>
      </c>
      <c r="AD5493" s="54">
        <f>SUM(AD5494:AD5500)</f>
        <v>32570.212000000003</v>
      </c>
      <c r="AE5493" s="184">
        <f>SUMIFS($AD$37:$AD$12971,$V$37:$V$12971,$V5493,$X$37:$X$12971,AE$13)</f>
        <v>0</v>
      </c>
      <c r="AF5493" s="185">
        <f>SUMIFS($AD$37:$AD$12971,$V$37:$V$12971,$V5493,$X$37:$X$12971,AF$13)</f>
        <v>0</v>
      </c>
      <c r="AG5493" s="185">
        <f>SUMIFS($AD$37:$AD$12971,$V$37:$V$12971,$V5493,$X$37:$X$12971,AG$13)</f>
        <v>0</v>
      </c>
      <c r="AH5493" s="187">
        <f>SUMIFS($AD$37:$AD$12971,$V$37:$V$12971,$V5493,$X$37:$X$12971,AH$13)</f>
        <v>0</v>
      </c>
      <c r="AI5493" s="161">
        <f t="shared" ref="AI5493" si="3917">SUM(AE5493:AH5493)</f>
        <v>0</v>
      </c>
      <c r="AK5493" s="172"/>
    </row>
    <row r="5494" spans="1:37" s="102" customFormat="1" ht="19.899999999999999" customHeight="1" x14ac:dyDescent="0.25">
      <c r="A5494" s="45"/>
      <c r="B5494" s="59"/>
      <c r="C5494" s="137"/>
      <c r="D5494" s="59"/>
      <c r="E5494" s="116"/>
      <c r="F5494" s="120"/>
      <c r="G5494" s="120"/>
      <c r="H5494" s="120"/>
      <c r="I5494" s="60"/>
      <c r="J5494" s="116"/>
      <c r="K5494" s="213"/>
      <c r="L5494" s="120"/>
      <c r="M5494" s="120"/>
      <c r="N5494" s="167"/>
      <c r="O5494" s="120"/>
      <c r="P5494" s="120"/>
      <c r="Q5494" s="120"/>
      <c r="R5494" s="120"/>
      <c r="S5494" s="120"/>
      <c r="T5494" s="221"/>
      <c r="U5494" s="89"/>
      <c r="V5494" s="61"/>
      <c r="W5494" s="92" t="s">
        <v>1545</v>
      </c>
      <c r="X5494" s="93" t="s">
        <v>30</v>
      </c>
      <c r="Y5494" s="93" t="s">
        <v>35</v>
      </c>
      <c r="Z5494" s="134">
        <f>VLOOKUP(W5494,Sheet2!$B:$D,3,FALSE)</f>
        <v>8950</v>
      </c>
      <c r="AA5494" s="93">
        <v>1</v>
      </c>
      <c r="AB5494" s="93">
        <f>AD5494/AC5493</f>
        <v>8950</v>
      </c>
      <c r="AC5494" s="93">
        <f>AC5493/AA5494</f>
        <v>2.29</v>
      </c>
      <c r="AD5494" s="94">
        <f t="shared" ref="AD5494:AD5496" si="3918">AC5494*Z5494</f>
        <v>20495.5</v>
      </c>
      <c r="AE5494" s="190"/>
      <c r="AF5494" s="191"/>
      <c r="AG5494" s="191"/>
      <c r="AH5494" s="191"/>
      <c r="AI5494" s="186"/>
      <c r="AK5494" s="171"/>
    </row>
    <row r="5495" spans="1:37" s="102" customFormat="1" ht="19.899999999999999" customHeight="1" x14ac:dyDescent="0.25">
      <c r="A5495" s="45"/>
      <c r="B5495" s="59"/>
      <c r="C5495" s="137"/>
      <c r="D5495" s="59"/>
      <c r="E5495" s="116"/>
      <c r="F5495" s="120"/>
      <c r="G5495" s="120"/>
      <c r="H5495" s="120"/>
      <c r="I5495" s="60"/>
      <c r="J5495" s="116"/>
      <c r="K5495" s="213"/>
      <c r="L5495" s="120"/>
      <c r="M5495" s="120"/>
      <c r="N5495" s="167"/>
      <c r="O5495" s="120"/>
      <c r="P5495" s="120"/>
      <c r="Q5495" s="120"/>
      <c r="R5495" s="120"/>
      <c r="S5495" s="120"/>
      <c r="T5495" s="221"/>
      <c r="U5495" s="89"/>
      <c r="V5495" s="61"/>
      <c r="W5495" s="92" t="s">
        <v>1542</v>
      </c>
      <c r="X5495" s="93" t="s">
        <v>30</v>
      </c>
      <c r="Y5495" s="93" t="s">
        <v>1349</v>
      </c>
      <c r="Z5495" s="134">
        <f>VLOOKUP(W5495,Sheet2!$B:$D,3,FALSE)</f>
        <v>3500</v>
      </c>
      <c r="AA5495" s="93">
        <v>1</v>
      </c>
      <c r="AB5495" s="93">
        <f>AD5495/AC5493</f>
        <v>3500</v>
      </c>
      <c r="AC5495" s="93">
        <f>AC5493/AA5495</f>
        <v>2.29</v>
      </c>
      <c r="AD5495" s="94">
        <f t="shared" si="3918"/>
        <v>8015</v>
      </c>
      <c r="AE5495" s="190"/>
      <c r="AF5495" s="191"/>
      <c r="AG5495" s="191"/>
      <c r="AH5495" s="191"/>
      <c r="AI5495" s="186"/>
      <c r="AK5495" s="171"/>
    </row>
    <row r="5496" spans="1:37" s="102" customFormat="1" ht="19.899999999999999" customHeight="1" x14ac:dyDescent="0.25">
      <c r="A5496" s="45"/>
      <c r="B5496" s="59"/>
      <c r="C5496" s="137"/>
      <c r="D5496" s="59"/>
      <c r="E5496" s="116"/>
      <c r="F5496" s="120"/>
      <c r="G5496" s="120"/>
      <c r="H5496" s="120"/>
      <c r="I5496" s="60"/>
      <c r="J5496" s="116"/>
      <c r="K5496" s="213"/>
      <c r="L5496" s="120"/>
      <c r="M5496" s="120"/>
      <c r="N5496" s="167"/>
      <c r="O5496" s="120"/>
      <c r="P5496" s="120"/>
      <c r="Q5496" s="120"/>
      <c r="R5496" s="120"/>
      <c r="S5496" s="120"/>
      <c r="T5496" s="221"/>
      <c r="U5496" s="89"/>
      <c r="V5496" s="61"/>
      <c r="W5496" s="92" t="s">
        <v>174</v>
      </c>
      <c r="X5496" s="93" t="s">
        <v>29</v>
      </c>
      <c r="Y5496" s="93" t="s">
        <v>93</v>
      </c>
      <c r="Z5496" s="134">
        <f>VLOOKUP(W5496,Sheet2!$B:$D,3,FALSE)</f>
        <v>80</v>
      </c>
      <c r="AA5496" s="93">
        <f>1/2</f>
        <v>0.5</v>
      </c>
      <c r="AB5496" s="93">
        <f>AD5496/AC5493</f>
        <v>160</v>
      </c>
      <c r="AC5496" s="93">
        <f>AC5493/AA5496</f>
        <v>4.58</v>
      </c>
      <c r="AD5496" s="94">
        <f t="shared" si="3918"/>
        <v>366.4</v>
      </c>
      <c r="AE5496" s="190"/>
      <c r="AF5496" s="191"/>
      <c r="AG5496" s="191"/>
      <c r="AH5496" s="191"/>
      <c r="AI5496" s="186"/>
      <c r="AK5496" s="171"/>
    </row>
    <row r="5497" spans="1:37" s="102" customFormat="1" ht="19.899999999999999" customHeight="1" x14ac:dyDescent="0.25">
      <c r="A5497" s="45"/>
      <c r="B5497" s="59"/>
      <c r="C5497" s="137"/>
      <c r="D5497" s="59"/>
      <c r="E5497" s="116"/>
      <c r="F5497" s="120"/>
      <c r="G5497" s="120"/>
      <c r="H5497" s="120"/>
      <c r="I5497" s="60"/>
      <c r="J5497" s="116"/>
      <c r="K5497" s="213"/>
      <c r="L5497" s="120"/>
      <c r="M5497" s="120"/>
      <c r="N5497" s="167"/>
      <c r="O5497" s="120"/>
      <c r="P5497" s="120"/>
      <c r="Q5497" s="120"/>
      <c r="R5497" s="120"/>
      <c r="S5497" s="120"/>
      <c r="T5497" s="221"/>
      <c r="U5497" s="89"/>
      <c r="V5497" s="61"/>
      <c r="W5497" s="92" t="s">
        <v>65</v>
      </c>
      <c r="X5497" s="93" t="s">
        <v>30</v>
      </c>
      <c r="Y5497" s="93" t="s">
        <v>93</v>
      </c>
      <c r="Z5497" s="134">
        <f>VLOOKUP(W5497,Sheet2!$B:$D,3,FALSE)</f>
        <v>1.76</v>
      </c>
      <c r="AA5497" s="93">
        <f>AA5496/15</f>
        <v>3.3333333333333333E-2</v>
      </c>
      <c r="AB5497" s="93">
        <f>AD5497/AC5493</f>
        <v>52.800000000000004</v>
      </c>
      <c r="AC5497" s="93">
        <f>AC5493/AA5497</f>
        <v>68.7</v>
      </c>
      <c r="AD5497" s="94">
        <f>AC5497*Z5497</f>
        <v>120.91200000000001</v>
      </c>
      <c r="AE5497" s="190"/>
      <c r="AF5497" s="191"/>
      <c r="AG5497" s="191"/>
      <c r="AH5497" s="191"/>
      <c r="AI5497" s="186"/>
      <c r="AK5497" s="171"/>
    </row>
    <row r="5498" spans="1:37" s="102" customFormat="1" ht="19.899999999999999" customHeight="1" x14ac:dyDescent="0.25">
      <c r="A5498" s="45"/>
      <c r="B5498" s="59"/>
      <c r="C5498" s="137"/>
      <c r="D5498" s="59"/>
      <c r="E5498" s="116"/>
      <c r="F5498" s="120"/>
      <c r="G5498" s="120"/>
      <c r="H5498" s="120"/>
      <c r="I5498" s="60"/>
      <c r="J5498" s="116"/>
      <c r="K5498" s="213"/>
      <c r="L5498" s="120"/>
      <c r="M5498" s="120"/>
      <c r="N5498" s="167"/>
      <c r="O5498" s="120"/>
      <c r="P5498" s="120"/>
      <c r="Q5498" s="120"/>
      <c r="R5498" s="120"/>
      <c r="S5498" s="120"/>
      <c r="T5498" s="221"/>
      <c r="U5498" s="89"/>
      <c r="V5498" s="61"/>
      <c r="W5498" s="92" t="s">
        <v>1487</v>
      </c>
      <c r="X5498" s="93" t="s">
        <v>32</v>
      </c>
      <c r="Y5498" s="93" t="s">
        <v>1349</v>
      </c>
      <c r="Z5498" s="134">
        <f>VLOOKUP(W5498,Sheet2!$B:$D,3,FALSE)</f>
        <v>1500</v>
      </c>
      <c r="AA5498" s="93">
        <v>1</v>
      </c>
      <c r="AB5498" s="93">
        <f>AD5498/AC5493</f>
        <v>1500</v>
      </c>
      <c r="AC5498" s="93">
        <f>AC5493/AA5498</f>
        <v>2.29</v>
      </c>
      <c r="AD5498" s="94">
        <f>AC5498*Z5498</f>
        <v>3435</v>
      </c>
      <c r="AE5498" s="190"/>
      <c r="AF5498" s="191"/>
      <c r="AG5498" s="191"/>
      <c r="AH5498" s="191"/>
      <c r="AI5498" s="186"/>
      <c r="AK5498" s="171"/>
    </row>
    <row r="5499" spans="1:37" s="102" customFormat="1" ht="19.899999999999999" customHeight="1" x14ac:dyDescent="0.25">
      <c r="A5499" s="45"/>
      <c r="B5499" s="59"/>
      <c r="C5499" s="137"/>
      <c r="D5499" s="59"/>
      <c r="E5499" s="116"/>
      <c r="F5499" s="120"/>
      <c r="G5499" s="120"/>
      <c r="H5499" s="120"/>
      <c r="I5499" s="60"/>
      <c r="J5499" s="116"/>
      <c r="K5499" s="213"/>
      <c r="L5499" s="120"/>
      <c r="M5499" s="120"/>
      <c r="N5499" s="167"/>
      <c r="O5499" s="120"/>
      <c r="P5499" s="120"/>
      <c r="Q5499" s="120"/>
      <c r="R5499" s="120"/>
      <c r="S5499" s="120"/>
      <c r="T5499" s="221"/>
      <c r="U5499" s="89"/>
      <c r="V5499" s="61"/>
      <c r="W5499" s="92" t="s">
        <v>107</v>
      </c>
      <c r="X5499" s="93" t="s">
        <v>31</v>
      </c>
      <c r="Y5499" s="93" t="s">
        <v>93</v>
      </c>
      <c r="Z5499" s="134">
        <f>VLOOKUP(W5499,Sheet2!$B:$D,3,FALSE)</f>
        <v>17</v>
      </c>
      <c r="AA5499" s="93">
        <f>AA5496</f>
        <v>0.5</v>
      </c>
      <c r="AB5499" s="93">
        <f>AD5499/AC5493</f>
        <v>34</v>
      </c>
      <c r="AC5499" s="93">
        <f>AC5493/AA5499</f>
        <v>4.58</v>
      </c>
      <c r="AD5499" s="94">
        <f>AC5499*Z5499</f>
        <v>77.86</v>
      </c>
      <c r="AE5499" s="190"/>
      <c r="AF5499" s="191"/>
      <c r="AG5499" s="191"/>
      <c r="AH5499" s="191"/>
      <c r="AI5499" s="186"/>
      <c r="AK5499" s="171"/>
    </row>
    <row r="5500" spans="1:37" s="102" customFormat="1" ht="19.899999999999999" customHeight="1" x14ac:dyDescent="0.25">
      <c r="A5500" s="45"/>
      <c r="B5500" s="59"/>
      <c r="C5500" s="137"/>
      <c r="D5500" s="59"/>
      <c r="E5500" s="116"/>
      <c r="F5500" s="120"/>
      <c r="G5500" s="120"/>
      <c r="H5500" s="120"/>
      <c r="I5500" s="60"/>
      <c r="J5500" s="116"/>
      <c r="K5500" s="213"/>
      <c r="L5500" s="120"/>
      <c r="M5500" s="120"/>
      <c r="N5500" s="167"/>
      <c r="O5500" s="120"/>
      <c r="P5500" s="120"/>
      <c r="Q5500" s="120"/>
      <c r="R5500" s="120"/>
      <c r="S5500" s="120"/>
      <c r="T5500" s="221"/>
      <c r="U5500" s="89"/>
      <c r="V5500" s="61"/>
      <c r="W5500" s="92" t="s">
        <v>112</v>
      </c>
      <c r="X5500" s="93" t="s">
        <v>31</v>
      </c>
      <c r="Y5500" s="93" t="s">
        <v>93</v>
      </c>
      <c r="Z5500" s="134">
        <f>VLOOKUP(W5500,Sheet2!$B:$D,3,FALSE)</f>
        <v>13</v>
      </c>
      <c r="AA5500" s="93">
        <f>AA5499</f>
        <v>0.5</v>
      </c>
      <c r="AB5500" s="93">
        <f>AD5500/AC5493</f>
        <v>26</v>
      </c>
      <c r="AC5500" s="93">
        <f>AC5493/AA5500</f>
        <v>4.58</v>
      </c>
      <c r="AD5500" s="94">
        <f>AC5500*Z5500</f>
        <v>59.54</v>
      </c>
      <c r="AE5500" s="190"/>
      <c r="AF5500" s="191"/>
      <c r="AG5500" s="191"/>
      <c r="AH5500" s="191"/>
      <c r="AI5500" s="186"/>
      <c r="AK5500" s="171"/>
    </row>
    <row r="5501" spans="1:37" s="103" customFormat="1" ht="19.899999999999999" customHeight="1" x14ac:dyDescent="0.25">
      <c r="A5501" s="51"/>
      <c r="B5501" s="52"/>
      <c r="C5501" s="165"/>
      <c r="D5501" s="52"/>
      <c r="E5501" s="115"/>
      <c r="F5501" s="58"/>
      <c r="G5501" s="58"/>
      <c r="H5501" s="58"/>
      <c r="I5501" s="55"/>
      <c r="J5501" s="113">
        <f>J5480</f>
        <v>2.29</v>
      </c>
      <c r="K5501" s="212">
        <f>K5480</f>
        <v>2.29</v>
      </c>
      <c r="L5501" s="58"/>
      <c r="M5501" s="58">
        <f>K5501-L5501</f>
        <v>2.29</v>
      </c>
      <c r="N5501" s="166"/>
      <c r="O5501" s="58"/>
      <c r="P5501" s="58"/>
      <c r="Q5501" s="58"/>
      <c r="R5501" s="58"/>
      <c r="S5501" s="58"/>
      <c r="T5501" s="220"/>
      <c r="U5501" s="88"/>
      <c r="V5501" s="56"/>
      <c r="W5501" s="57" t="s">
        <v>1272</v>
      </c>
      <c r="X5501" s="53"/>
      <c r="Y5501" s="91" t="s">
        <v>35</v>
      </c>
      <c r="Z5501" s="136">
        <f>AD5501/AC5501</f>
        <v>823.62053152941166</v>
      </c>
      <c r="AA5501" s="58"/>
      <c r="AB5501" s="53">
        <f>AD5501/AC5501</f>
        <v>823.62053152941166</v>
      </c>
      <c r="AC5501" s="53">
        <f>M5501+$AE$10</f>
        <v>2.29</v>
      </c>
      <c r="AD5501" s="54">
        <f>SUM(AD5502:AD5510)</f>
        <v>1886.0910172023528</v>
      </c>
      <c r="AE5501" s="184">
        <f>SUMIFS($AD$37:$AD$12971,$V$37:$V$12971,$V5501,$X$37:$X$12971,AE$13)</f>
        <v>0</v>
      </c>
      <c r="AF5501" s="185">
        <f>SUMIFS($AD$37:$AD$12971,$V$37:$V$12971,$V5501,$X$37:$X$12971,AF$13)</f>
        <v>0</v>
      </c>
      <c r="AG5501" s="185">
        <f>SUMIFS($AD$37:$AD$12971,$V$37:$V$12971,$V5501,$X$37:$X$12971,AG$13)</f>
        <v>0</v>
      </c>
      <c r="AH5501" s="187">
        <f>SUMIFS($AD$37:$AD$12971,$V$37:$V$12971,$V5501,$X$37:$X$12971,AH$13)</f>
        <v>0</v>
      </c>
      <c r="AI5501" s="161">
        <f t="shared" ref="AI5501" si="3919">SUM(AE5501:AH5501)</f>
        <v>0</v>
      </c>
      <c r="AK5501" s="172"/>
    </row>
    <row r="5502" spans="1:37" s="102" customFormat="1" ht="19.899999999999999" customHeight="1" x14ac:dyDescent="0.25">
      <c r="A5502" s="45"/>
      <c r="B5502" s="59"/>
      <c r="C5502" s="137"/>
      <c r="D5502" s="59"/>
      <c r="E5502" s="116"/>
      <c r="F5502" s="120"/>
      <c r="G5502" s="120"/>
      <c r="H5502" s="120"/>
      <c r="I5502" s="60"/>
      <c r="J5502" s="116"/>
      <c r="K5502" s="213"/>
      <c r="L5502" s="120"/>
      <c r="M5502" s="120"/>
      <c r="N5502" s="167"/>
      <c r="O5502" s="120"/>
      <c r="P5502" s="120"/>
      <c r="Q5502" s="120"/>
      <c r="R5502" s="120"/>
      <c r="S5502" s="120"/>
      <c r="T5502" s="221"/>
      <c r="U5502" s="89"/>
      <c r="V5502" s="61"/>
      <c r="W5502" s="92" t="s">
        <v>1273</v>
      </c>
      <c r="X5502" s="93" t="s">
        <v>30</v>
      </c>
      <c r="Y5502" s="93" t="s">
        <v>66</v>
      </c>
      <c r="Z5502" s="134">
        <f>VLOOKUP(W5502,Sheet2!$B:$D,3,FALSE)</f>
        <v>10</v>
      </c>
      <c r="AA5502" s="93">
        <f>1/((3*3*6)-(3.14/4*1.5*1.5*6))</f>
        <v>2.3040147456943723E-2</v>
      </c>
      <c r="AB5502" s="93">
        <f>AD5502/AC5501</f>
        <v>434.02500000000003</v>
      </c>
      <c r="AC5502" s="93">
        <f>AC5501/AA5502</f>
        <v>99.391725000000008</v>
      </c>
      <c r="AD5502" s="94">
        <f t="shared" ref="AD5502:AD5504" si="3920">AC5502*Z5502</f>
        <v>993.91725000000008</v>
      </c>
      <c r="AE5502" s="190"/>
      <c r="AF5502" s="191"/>
      <c r="AG5502" s="191"/>
      <c r="AH5502" s="191"/>
      <c r="AI5502" s="186"/>
      <c r="AK5502" s="171"/>
    </row>
    <row r="5503" spans="1:37" s="102" customFormat="1" ht="19.899999999999999" customHeight="1" x14ac:dyDescent="0.25">
      <c r="A5503" s="45"/>
      <c r="B5503" s="59"/>
      <c r="C5503" s="137"/>
      <c r="D5503" s="59"/>
      <c r="E5503" s="116"/>
      <c r="F5503" s="120"/>
      <c r="G5503" s="120"/>
      <c r="H5503" s="120"/>
      <c r="I5503" s="60"/>
      <c r="J5503" s="116"/>
      <c r="K5503" s="213"/>
      <c r="L5503" s="120"/>
      <c r="M5503" s="120"/>
      <c r="N5503" s="167"/>
      <c r="O5503" s="120"/>
      <c r="P5503" s="120"/>
      <c r="Q5503" s="120"/>
      <c r="R5503" s="120"/>
      <c r="S5503" s="120"/>
      <c r="T5503" s="221"/>
      <c r="U5503" s="89"/>
      <c r="V5503" s="61"/>
      <c r="W5503" s="92" t="s">
        <v>134</v>
      </c>
      <c r="X5503" s="93" t="s">
        <v>29</v>
      </c>
      <c r="Y5503" s="93" t="s">
        <v>93</v>
      </c>
      <c r="Z5503" s="134">
        <f>VLOOKUP(W5503,Sheet2!$B:$D,3,FALSE)</f>
        <v>65.599999999999994</v>
      </c>
      <c r="AA5503" s="93">
        <f>100/((3*3*6)-(3.14/4*1.5*1.5*6))</f>
        <v>2.3040147456943725</v>
      </c>
      <c r="AB5503" s="93">
        <f t="shared" ref="AB5503" si="3921">AD5503/AC5501</f>
        <v>28.472039999999996</v>
      </c>
      <c r="AC5503" s="93">
        <f>AC5501/AA5503</f>
        <v>0.99391724999999997</v>
      </c>
      <c r="AD5503" s="94">
        <f t="shared" si="3920"/>
        <v>65.200971599999988</v>
      </c>
      <c r="AE5503" s="190"/>
      <c r="AF5503" s="191"/>
      <c r="AG5503" s="191"/>
      <c r="AH5503" s="191"/>
      <c r="AI5503" s="186"/>
      <c r="AK5503" s="171"/>
    </row>
    <row r="5504" spans="1:37" s="102" customFormat="1" ht="19.899999999999999" customHeight="1" x14ac:dyDescent="0.25">
      <c r="A5504" s="45"/>
      <c r="B5504" s="59"/>
      <c r="C5504" s="137"/>
      <c r="D5504" s="59"/>
      <c r="E5504" s="116"/>
      <c r="F5504" s="120"/>
      <c r="G5504" s="120"/>
      <c r="H5504" s="120"/>
      <c r="I5504" s="60"/>
      <c r="J5504" s="116"/>
      <c r="K5504" s="213"/>
      <c r="L5504" s="120"/>
      <c r="M5504" s="120"/>
      <c r="N5504" s="167"/>
      <c r="O5504" s="120"/>
      <c r="P5504" s="120"/>
      <c r="Q5504" s="120"/>
      <c r="R5504" s="120"/>
      <c r="S5504" s="120"/>
      <c r="T5504" s="221"/>
      <c r="U5504" s="89"/>
      <c r="V5504" s="61"/>
      <c r="W5504" s="92" t="s">
        <v>65</v>
      </c>
      <c r="X5504" s="93" t="s">
        <v>30</v>
      </c>
      <c r="Y5504" s="93" t="s">
        <v>1011</v>
      </c>
      <c r="Z5504" s="134">
        <f>VLOOKUP(W5504,Sheet2!$B:$D,3,FALSE)</f>
        <v>1.76</v>
      </c>
      <c r="AA5504" s="93">
        <f>AA5503/9</f>
        <v>0.25600163841048584</v>
      </c>
      <c r="AB5504" s="93">
        <f>AD5504/AC5501</f>
        <v>6.8749559999999992</v>
      </c>
      <c r="AC5504" s="93">
        <f>AC5501/AA5504</f>
        <v>8.9452552499999989</v>
      </c>
      <c r="AD5504" s="94">
        <f t="shared" si="3920"/>
        <v>15.743649239999998</v>
      </c>
      <c r="AE5504" s="190"/>
      <c r="AF5504" s="191"/>
      <c r="AG5504" s="191"/>
      <c r="AH5504" s="191"/>
      <c r="AI5504" s="186"/>
      <c r="AK5504" s="171"/>
    </row>
    <row r="5505" spans="1:41" s="102" customFormat="1" ht="19.899999999999999" customHeight="1" x14ac:dyDescent="0.25">
      <c r="A5505" s="45"/>
      <c r="B5505" s="59"/>
      <c r="C5505" s="137"/>
      <c r="D5505" s="59"/>
      <c r="E5505" s="116"/>
      <c r="F5505" s="120"/>
      <c r="G5505" s="120"/>
      <c r="H5505" s="120"/>
      <c r="I5505" s="60"/>
      <c r="J5505" s="116"/>
      <c r="K5505" s="213"/>
      <c r="L5505" s="120"/>
      <c r="M5505" s="120"/>
      <c r="N5505" s="167"/>
      <c r="O5505" s="120"/>
      <c r="P5505" s="120"/>
      <c r="Q5505" s="120"/>
      <c r="R5505" s="120"/>
      <c r="S5505" s="120"/>
      <c r="T5505" s="221"/>
      <c r="U5505" s="89"/>
      <c r="V5505" s="61"/>
      <c r="W5505" s="92" t="s">
        <v>161</v>
      </c>
      <c r="X5505" s="93" t="s">
        <v>29</v>
      </c>
      <c r="Y5505" s="93" t="s">
        <v>93</v>
      </c>
      <c r="Z5505" s="134">
        <f>VLOOKUP(W5505,Sheet2!$B:$D,3,FALSE)</f>
        <v>48</v>
      </c>
      <c r="AA5505" s="93">
        <f>(16*0.85*1.5)/((3*3*6)-(3.14/4*1.5*1.5*6))</f>
        <v>0.47001900812165193</v>
      </c>
      <c r="AB5505" s="93">
        <f>AD5505/AC5501</f>
        <v>102.12352941176471</v>
      </c>
      <c r="AC5505" s="93">
        <f>AC5501/AA5505</f>
        <v>4.8721433823529416</v>
      </c>
      <c r="AD5505" s="94">
        <f>AC5505*Z5505</f>
        <v>233.8628823529412</v>
      </c>
      <c r="AE5505" s="190"/>
      <c r="AF5505" s="191"/>
      <c r="AG5505" s="191"/>
      <c r="AH5505" s="191"/>
      <c r="AI5505" s="186"/>
      <c r="AK5505" s="171"/>
    </row>
    <row r="5506" spans="1:41" s="102" customFormat="1" ht="19.899999999999999" customHeight="1" x14ac:dyDescent="0.25">
      <c r="A5506" s="45"/>
      <c r="B5506" s="59"/>
      <c r="C5506" s="137"/>
      <c r="D5506" s="59"/>
      <c r="E5506" s="116"/>
      <c r="F5506" s="120"/>
      <c r="G5506" s="120"/>
      <c r="H5506" s="120"/>
      <c r="I5506" s="60"/>
      <c r="J5506" s="116"/>
      <c r="K5506" s="213"/>
      <c r="L5506" s="120"/>
      <c r="M5506" s="120"/>
      <c r="N5506" s="167"/>
      <c r="O5506" s="120"/>
      <c r="P5506" s="120"/>
      <c r="Q5506" s="120"/>
      <c r="R5506" s="120"/>
      <c r="S5506" s="120"/>
      <c r="T5506" s="221"/>
      <c r="U5506" s="89"/>
      <c r="V5506" s="61"/>
      <c r="W5506" s="92" t="s">
        <v>65</v>
      </c>
      <c r="X5506" s="93" t="s">
        <v>30</v>
      </c>
      <c r="Y5506" s="93" t="s">
        <v>1011</v>
      </c>
      <c r="Z5506" s="134">
        <f>VLOOKUP(W5506,Sheet2!$B:$D,3,FALSE)</f>
        <v>1.76</v>
      </c>
      <c r="AA5506" s="93">
        <f>AA5505/10</f>
        <v>4.7001900812165195E-2</v>
      </c>
      <c r="AB5506" s="93">
        <f>AD5506/AC5501</f>
        <v>37.445294117647059</v>
      </c>
      <c r="AC5506" s="93">
        <f>AC5501/AA5506</f>
        <v>48.721433823529416</v>
      </c>
      <c r="AD5506" s="94">
        <f>AC5506*Z5506</f>
        <v>85.749723529411767</v>
      </c>
      <c r="AE5506" s="190"/>
      <c r="AF5506" s="191"/>
      <c r="AG5506" s="191"/>
      <c r="AH5506" s="191"/>
      <c r="AI5506" s="186"/>
      <c r="AK5506" s="171"/>
    </row>
    <row r="5507" spans="1:41" s="102" customFormat="1" ht="19.899999999999999" customHeight="1" x14ac:dyDescent="0.25">
      <c r="A5507" s="45"/>
      <c r="B5507" s="59"/>
      <c r="C5507" s="137"/>
      <c r="D5507" s="59"/>
      <c r="E5507" s="116"/>
      <c r="F5507" s="120"/>
      <c r="G5507" s="120"/>
      <c r="H5507" s="120"/>
      <c r="I5507" s="60"/>
      <c r="J5507" s="116"/>
      <c r="K5507" s="213"/>
      <c r="L5507" s="120"/>
      <c r="M5507" s="120"/>
      <c r="N5507" s="167"/>
      <c r="O5507" s="120"/>
      <c r="P5507" s="120"/>
      <c r="Q5507" s="120"/>
      <c r="R5507" s="120"/>
      <c r="S5507" s="120"/>
      <c r="T5507" s="221"/>
      <c r="U5507" s="89"/>
      <c r="V5507" s="61"/>
      <c r="W5507" s="92" t="s">
        <v>173</v>
      </c>
      <c r="X5507" s="93" t="s">
        <v>29</v>
      </c>
      <c r="Y5507" s="93" t="s">
        <v>93</v>
      </c>
      <c r="Z5507" s="134">
        <f>VLOOKUP(W5507,Sheet2!$B:$D,3,FALSE)</f>
        <v>36</v>
      </c>
      <c r="AA5507" s="93">
        <f>50/((3*3*6)-(3.14/4*1.5*1.5*6))</f>
        <v>1.1520073728471862</v>
      </c>
      <c r="AB5507" s="93">
        <f>AD5507/AC5501</f>
        <v>31.249799999999997</v>
      </c>
      <c r="AC5507" s="93">
        <f>AC5501/AA5507</f>
        <v>1.9878344999999999</v>
      </c>
      <c r="AD5507" s="94">
        <f>AC5507*Z5507</f>
        <v>71.562041999999991</v>
      </c>
      <c r="AE5507" s="190"/>
      <c r="AF5507" s="191"/>
      <c r="AG5507" s="191"/>
      <c r="AH5507" s="191"/>
      <c r="AI5507" s="186"/>
      <c r="AK5507" s="171"/>
    </row>
    <row r="5508" spans="1:41" s="102" customFormat="1" ht="19.899999999999999" customHeight="1" x14ac:dyDescent="0.25">
      <c r="A5508" s="45"/>
      <c r="B5508" s="59"/>
      <c r="C5508" s="137"/>
      <c r="D5508" s="59"/>
      <c r="E5508" s="116"/>
      <c r="F5508" s="120"/>
      <c r="G5508" s="120"/>
      <c r="H5508" s="120"/>
      <c r="I5508" s="60"/>
      <c r="J5508" s="116"/>
      <c r="K5508" s="213"/>
      <c r="L5508" s="120"/>
      <c r="M5508" s="120"/>
      <c r="N5508" s="167"/>
      <c r="O5508" s="120"/>
      <c r="P5508" s="120"/>
      <c r="Q5508" s="120"/>
      <c r="R5508" s="120"/>
      <c r="S5508" s="120"/>
      <c r="T5508" s="221"/>
      <c r="U5508" s="89"/>
      <c r="V5508" s="61"/>
      <c r="W5508" s="92" t="s">
        <v>65</v>
      </c>
      <c r="X5508" s="93" t="s">
        <v>30</v>
      </c>
      <c r="Y5508" s="93" t="s">
        <v>1011</v>
      </c>
      <c r="Z5508" s="134">
        <f>VLOOKUP(W5508,Sheet2!$B:$D,3,FALSE)</f>
        <v>1.76</v>
      </c>
      <c r="AA5508" s="93">
        <f>AA5507/9</f>
        <v>0.12800081920524292</v>
      </c>
      <c r="AB5508" s="93">
        <f>AD5508/AC5501</f>
        <v>13.749911999999998</v>
      </c>
      <c r="AC5508" s="93">
        <f>AC5501/AA5508</f>
        <v>17.890510499999998</v>
      </c>
      <c r="AD5508" s="94">
        <f>AC5508*Z5508</f>
        <v>31.487298479999996</v>
      </c>
      <c r="AE5508" s="190"/>
      <c r="AF5508" s="191"/>
      <c r="AG5508" s="191"/>
      <c r="AH5508" s="191"/>
      <c r="AI5508" s="186"/>
      <c r="AK5508" s="171"/>
    </row>
    <row r="5509" spans="1:41" s="102" customFormat="1" ht="19.899999999999999" customHeight="1" x14ac:dyDescent="0.25">
      <c r="A5509" s="45"/>
      <c r="B5509" s="59"/>
      <c r="C5509" s="137"/>
      <c r="D5509" s="59"/>
      <c r="E5509" s="116"/>
      <c r="F5509" s="120"/>
      <c r="G5509" s="120"/>
      <c r="H5509" s="120"/>
      <c r="I5509" s="60"/>
      <c r="J5509" s="116"/>
      <c r="K5509" s="213"/>
      <c r="L5509" s="120"/>
      <c r="M5509" s="120"/>
      <c r="N5509" s="167"/>
      <c r="O5509" s="120"/>
      <c r="P5509" s="120"/>
      <c r="Q5509" s="120"/>
      <c r="R5509" s="120"/>
      <c r="S5509" s="120"/>
      <c r="T5509" s="221"/>
      <c r="U5509" s="89"/>
      <c r="V5509" s="61"/>
      <c r="W5509" s="92" t="s">
        <v>1030</v>
      </c>
      <c r="X5509" s="93" t="s">
        <v>29</v>
      </c>
      <c r="Y5509" s="93" t="s">
        <v>93</v>
      </c>
      <c r="Z5509" s="134">
        <f>VLOOKUP(W5509,Sheet2!$B:$D,3,FALSE)</f>
        <v>23</v>
      </c>
      <c r="AA5509" s="93">
        <f>1/(6*1)</f>
        <v>0.16666666666666666</v>
      </c>
      <c r="AB5509" s="93">
        <f>AD5509/AC5501</f>
        <v>138</v>
      </c>
      <c r="AC5509" s="93">
        <f>AC5501/AA5509</f>
        <v>13.74</v>
      </c>
      <c r="AD5509" s="94">
        <f t="shared" ref="AD5509:AD5510" si="3922">AC5509*Z5509</f>
        <v>316.02</v>
      </c>
      <c r="AE5509" s="190"/>
      <c r="AF5509" s="191"/>
      <c r="AG5509" s="191"/>
      <c r="AH5509" s="191"/>
      <c r="AI5509" s="186"/>
      <c r="AK5509" s="171"/>
    </row>
    <row r="5510" spans="1:41" s="102" customFormat="1" ht="19.899999999999999" customHeight="1" x14ac:dyDescent="0.25">
      <c r="A5510" s="45"/>
      <c r="B5510" s="59"/>
      <c r="C5510" s="137"/>
      <c r="D5510" s="59"/>
      <c r="E5510" s="116"/>
      <c r="F5510" s="120"/>
      <c r="G5510" s="120"/>
      <c r="H5510" s="120"/>
      <c r="I5510" s="60"/>
      <c r="J5510" s="116"/>
      <c r="K5510" s="213"/>
      <c r="L5510" s="120"/>
      <c r="M5510" s="120"/>
      <c r="N5510" s="167"/>
      <c r="O5510" s="120"/>
      <c r="P5510" s="120"/>
      <c r="Q5510" s="120"/>
      <c r="R5510" s="120"/>
      <c r="S5510" s="120"/>
      <c r="T5510" s="221"/>
      <c r="U5510" s="89"/>
      <c r="V5510" s="61"/>
      <c r="W5510" s="92" t="s">
        <v>65</v>
      </c>
      <c r="X5510" s="93" t="s">
        <v>30</v>
      </c>
      <c r="Y5510" s="93" t="s">
        <v>1011</v>
      </c>
      <c r="Z5510" s="134">
        <f>VLOOKUP(W5510,Sheet2!$B:$D,3,FALSE)</f>
        <v>1.76</v>
      </c>
      <c r="AA5510" s="93">
        <f>AA5509/3</f>
        <v>5.5555555555555552E-2</v>
      </c>
      <c r="AB5510" s="93">
        <f>AD5510/AC5501</f>
        <v>31.680000000000007</v>
      </c>
      <c r="AC5510" s="93">
        <f>AC5501/AA5510</f>
        <v>41.220000000000006</v>
      </c>
      <c r="AD5510" s="94">
        <f t="shared" si="3922"/>
        <v>72.547200000000018</v>
      </c>
      <c r="AE5510" s="190"/>
      <c r="AF5510" s="191"/>
      <c r="AG5510" s="191"/>
      <c r="AH5510" s="191"/>
      <c r="AI5510" s="186"/>
      <c r="AK5510" s="171"/>
    </row>
    <row r="5511" spans="1:41" ht="20.100000000000001" customHeight="1" x14ac:dyDescent="0.25">
      <c r="A5511" s="277" t="s">
        <v>491</v>
      </c>
      <c r="B5511" s="278"/>
      <c r="C5511" s="64" t="s">
        <v>583</v>
      </c>
      <c r="D5511" s="46" t="s">
        <v>215</v>
      </c>
      <c r="E5511" s="114">
        <v>0.10999999999999965</v>
      </c>
      <c r="F5511" s="44">
        <v>79305</v>
      </c>
      <c r="G5511" s="44">
        <f t="shared" si="3841"/>
        <v>8723.549999999972</v>
      </c>
      <c r="H5511" s="44">
        <f t="shared" si="3842"/>
        <v>18146.709922882354</v>
      </c>
      <c r="I5511" s="43">
        <f t="shared" si="3843"/>
        <v>1996.1380915170525</v>
      </c>
      <c r="J5511" s="112">
        <f t="shared" si="3844"/>
        <v>0.10999999999999965</v>
      </c>
      <c r="K5511" s="211">
        <f t="shared" si="3845"/>
        <v>0.10999999999999965</v>
      </c>
      <c r="L5511" s="44"/>
      <c r="M5511" s="44">
        <f t="shared" si="3846"/>
        <v>0.10999999999999965</v>
      </c>
      <c r="N5511" s="173">
        <f t="shared" si="3847"/>
        <v>1</v>
      </c>
      <c r="O5511" s="44">
        <f t="shared" si="3848"/>
        <v>79305</v>
      </c>
      <c r="P5511" s="44">
        <f t="shared" si="3849"/>
        <v>8723.549999999972</v>
      </c>
      <c r="Q5511" s="44">
        <f t="shared" si="3850"/>
        <v>18146.709922882354</v>
      </c>
      <c r="R5511" s="44">
        <f t="shared" si="3851"/>
        <v>1996.1380915170525</v>
      </c>
      <c r="S5511" s="123"/>
      <c r="T5511" s="219">
        <f t="shared" si="3852"/>
        <v>1996.1380915170525</v>
      </c>
      <c r="U5511" s="87"/>
      <c r="V5511" s="47"/>
      <c r="W5511" s="48"/>
      <c r="X5511" s="48"/>
      <c r="Y5511" s="48"/>
      <c r="Z5511" s="135"/>
      <c r="AA5511" s="49"/>
      <c r="AB5511" s="50">
        <f t="shared" si="3853"/>
        <v>18146.709922882354</v>
      </c>
      <c r="AC5511" s="42">
        <f t="shared" si="3854"/>
        <v>0.10999999999999965</v>
      </c>
      <c r="AD5511" s="90">
        <f>AD5512+AD5517+AD5524+AD5532</f>
        <v>1996.1380915170528</v>
      </c>
      <c r="AE5511" s="188">
        <f t="shared" ref="AE5511" si="3923">AE5512+AE5517+AE5524+AE5532</f>
        <v>0</v>
      </c>
      <c r="AF5511" s="189">
        <f t="shared" ref="AF5511" si="3924">AF5512+AF5517+AF5524+AF5532</f>
        <v>0</v>
      </c>
      <c r="AG5511" s="189">
        <f t="shared" ref="AG5511" si="3925">AG5512+AG5517+AG5524+AG5532</f>
        <v>0</v>
      </c>
      <c r="AH5511" s="189">
        <f t="shared" ref="AH5511" si="3926">AH5512+AH5517+AH5524+AH5532</f>
        <v>0</v>
      </c>
      <c r="AI5511" s="161">
        <f t="shared" ref="AI5511" si="3927">SUM(AE5511:AH5511)</f>
        <v>0</v>
      </c>
      <c r="AK5511" s="169">
        <v>5</v>
      </c>
      <c r="AO5511" s="19" t="s">
        <v>63</v>
      </c>
    </row>
    <row r="5512" spans="1:41" s="103" customFormat="1" ht="19.899999999999999" customHeight="1" x14ac:dyDescent="0.25">
      <c r="A5512" s="51"/>
      <c r="B5512" s="52"/>
      <c r="C5512" s="165"/>
      <c r="D5512" s="52"/>
      <c r="E5512" s="115"/>
      <c r="F5512" s="58"/>
      <c r="G5512" s="58"/>
      <c r="H5512" s="58"/>
      <c r="I5512" s="55"/>
      <c r="J5512" s="113">
        <f>J5511</f>
        <v>0.10999999999999965</v>
      </c>
      <c r="K5512" s="212">
        <f>K5511</f>
        <v>0.10999999999999965</v>
      </c>
      <c r="L5512" s="58"/>
      <c r="M5512" s="58">
        <f>K5512-L5512</f>
        <v>0.10999999999999965</v>
      </c>
      <c r="N5512" s="166"/>
      <c r="O5512" s="58"/>
      <c r="P5512" s="58"/>
      <c r="Q5512" s="58"/>
      <c r="R5512" s="58"/>
      <c r="S5512" s="58"/>
      <c r="T5512" s="220"/>
      <c r="U5512" s="88"/>
      <c r="V5512" s="56"/>
      <c r="W5512" s="57" t="s">
        <v>1552</v>
      </c>
      <c r="X5512" s="53"/>
      <c r="Y5512" s="91" t="s">
        <v>35</v>
      </c>
      <c r="Z5512" s="136">
        <f>AD5512/AC5512</f>
        <v>297.81684705882356</v>
      </c>
      <c r="AA5512" s="58"/>
      <c r="AB5512" s="53">
        <f>AD5512/AC5512</f>
        <v>297.81684705882356</v>
      </c>
      <c r="AC5512" s="53">
        <f>M5512+$AE$10</f>
        <v>0.10999999999999965</v>
      </c>
      <c r="AD5512" s="54">
        <f>SUM(AD5513:AD5516)</f>
        <v>32.759853176470486</v>
      </c>
      <c r="AE5512" s="184">
        <f>SUMIFS($AD$37:$AD$12971,$V$37:$V$12971,$V5512,$X$37:$X$12971,AE$13)</f>
        <v>0</v>
      </c>
      <c r="AF5512" s="185">
        <f>SUMIFS($AD$37:$AD$12971,$V$37:$V$12971,$V5512,$X$37:$X$12971,AF$13)</f>
        <v>0</v>
      </c>
      <c r="AG5512" s="185">
        <f>SUMIFS($AD$37:$AD$12971,$V$37:$V$12971,$V5512,$X$37:$X$12971,AG$13)</f>
        <v>0</v>
      </c>
      <c r="AH5512" s="187">
        <f>SUMIFS($AD$37:$AD$12971,$V$37:$V$12971,$V5512,$X$37:$X$12971,AH$13)</f>
        <v>0</v>
      </c>
      <c r="AI5512" s="161">
        <f t="shared" ref="AI5512" si="3928">SUM(AE5512:AH5512)</f>
        <v>0</v>
      </c>
      <c r="AK5512" s="172"/>
    </row>
    <row r="5513" spans="1:41" s="102" customFormat="1" ht="19.899999999999999" customHeight="1" x14ac:dyDescent="0.25">
      <c r="A5513" s="45"/>
      <c r="B5513" s="59"/>
      <c r="C5513" s="137"/>
      <c r="D5513" s="59"/>
      <c r="E5513" s="116"/>
      <c r="F5513" s="120"/>
      <c r="G5513" s="120"/>
      <c r="H5513" s="120"/>
      <c r="I5513" s="60"/>
      <c r="J5513" s="116"/>
      <c r="K5513" s="213"/>
      <c r="L5513" s="120"/>
      <c r="M5513" s="120"/>
      <c r="N5513" s="167"/>
      <c r="O5513" s="120"/>
      <c r="P5513" s="120"/>
      <c r="Q5513" s="120"/>
      <c r="R5513" s="120"/>
      <c r="S5513" s="120"/>
      <c r="T5513" s="221"/>
      <c r="U5513" s="89"/>
      <c r="V5513" s="61"/>
      <c r="W5513" s="92" t="s">
        <v>131</v>
      </c>
      <c r="X5513" s="93" t="s">
        <v>29</v>
      </c>
      <c r="Y5513" s="93" t="s">
        <v>93</v>
      </c>
      <c r="Z5513" s="134">
        <f>VLOOKUP(W5513,Sheet2!$B:$D,3,FALSE)</f>
        <v>131.19999999999999</v>
      </c>
      <c r="AA5513" s="93">
        <f>100/(3*3*6.5)</f>
        <v>1.7094017094017093</v>
      </c>
      <c r="AB5513" s="93">
        <f t="shared" ref="AB5513" si="3929">AD5513/AC5512</f>
        <v>76.751999999999995</v>
      </c>
      <c r="AC5513" s="93">
        <f>AC5512/AA5513</f>
        <v>6.4349999999999796E-2</v>
      </c>
      <c r="AD5513" s="94">
        <f t="shared" ref="AD5513:AD5514" si="3930">AC5513*Z5513</f>
        <v>8.4427199999999729</v>
      </c>
      <c r="AE5513" s="190"/>
      <c r="AF5513" s="191"/>
      <c r="AG5513" s="191"/>
      <c r="AH5513" s="191"/>
      <c r="AI5513" s="186"/>
      <c r="AK5513" s="171"/>
    </row>
    <row r="5514" spans="1:41" s="102" customFormat="1" ht="19.899999999999999" customHeight="1" x14ac:dyDescent="0.25">
      <c r="A5514" s="45"/>
      <c r="B5514" s="59"/>
      <c r="C5514" s="137"/>
      <c r="D5514" s="59"/>
      <c r="E5514" s="116"/>
      <c r="F5514" s="120"/>
      <c r="G5514" s="120"/>
      <c r="H5514" s="120"/>
      <c r="I5514" s="60"/>
      <c r="J5514" s="116"/>
      <c r="K5514" s="213"/>
      <c r="L5514" s="120"/>
      <c r="M5514" s="120"/>
      <c r="N5514" s="167"/>
      <c r="O5514" s="120"/>
      <c r="P5514" s="120"/>
      <c r="Q5514" s="120"/>
      <c r="R5514" s="120"/>
      <c r="S5514" s="120"/>
      <c r="T5514" s="221"/>
      <c r="U5514" s="89"/>
      <c r="V5514" s="61"/>
      <c r="W5514" s="92" t="s">
        <v>65</v>
      </c>
      <c r="X5514" s="93" t="s">
        <v>30</v>
      </c>
      <c r="Y5514" s="93" t="s">
        <v>1011</v>
      </c>
      <c r="Z5514" s="134">
        <f>VLOOKUP(W5514,Sheet2!$B:$D,3,FALSE)</f>
        <v>1.76</v>
      </c>
      <c r="AA5514" s="93">
        <f>AA5513/32</f>
        <v>5.3418803418803416E-2</v>
      </c>
      <c r="AB5514" s="93">
        <f>AD5514/AC5512</f>
        <v>32.947200000000002</v>
      </c>
      <c r="AC5514" s="93">
        <f>AC5512/AA5514</f>
        <v>2.0591999999999935</v>
      </c>
      <c r="AD5514" s="94">
        <f t="shared" si="3930"/>
        <v>3.6241919999999888</v>
      </c>
      <c r="AE5514" s="190"/>
      <c r="AF5514" s="191"/>
      <c r="AG5514" s="191"/>
      <c r="AH5514" s="191"/>
      <c r="AI5514" s="186"/>
      <c r="AK5514" s="171"/>
    </row>
    <row r="5515" spans="1:41" s="102" customFormat="1" ht="19.899999999999999" customHeight="1" x14ac:dyDescent="0.25">
      <c r="A5515" s="45"/>
      <c r="B5515" s="59"/>
      <c r="C5515" s="137"/>
      <c r="D5515" s="59"/>
      <c r="E5515" s="116"/>
      <c r="F5515" s="120"/>
      <c r="G5515" s="120"/>
      <c r="H5515" s="120"/>
      <c r="I5515" s="60"/>
      <c r="J5515" s="116"/>
      <c r="K5515" s="213"/>
      <c r="L5515" s="120"/>
      <c r="M5515" s="120"/>
      <c r="N5515" s="167"/>
      <c r="O5515" s="120"/>
      <c r="P5515" s="120"/>
      <c r="Q5515" s="120"/>
      <c r="R5515" s="120"/>
      <c r="S5515" s="120"/>
      <c r="T5515" s="221"/>
      <c r="U5515" s="89"/>
      <c r="V5515" s="61"/>
      <c r="W5515" s="92" t="s">
        <v>161</v>
      </c>
      <c r="X5515" s="93" t="s">
        <v>29</v>
      </c>
      <c r="Y5515" s="93" t="s">
        <v>93</v>
      </c>
      <c r="Z5515" s="134">
        <f>VLOOKUP(W5515,Sheet2!$B:$D,3,FALSE)</f>
        <v>48</v>
      </c>
      <c r="AA5515" s="93">
        <f>(16*0.85*1.5)/(3*3*6.5)</f>
        <v>0.3487179487179487</v>
      </c>
      <c r="AB5515" s="93">
        <f>AD5515/AC5512</f>
        <v>137.64705882352942</v>
      </c>
      <c r="AC5515" s="93">
        <f>AC5512/AA5515</f>
        <v>0.31544117647058728</v>
      </c>
      <c r="AD5515" s="94">
        <f>AC5515*Z5515</f>
        <v>15.141176470588189</v>
      </c>
      <c r="AE5515" s="190"/>
      <c r="AF5515" s="191"/>
      <c r="AG5515" s="191"/>
      <c r="AH5515" s="191"/>
      <c r="AI5515" s="186"/>
      <c r="AK5515" s="171"/>
    </row>
    <row r="5516" spans="1:41" s="102" customFormat="1" ht="19.899999999999999" customHeight="1" x14ac:dyDescent="0.25">
      <c r="A5516" s="45"/>
      <c r="B5516" s="59"/>
      <c r="C5516" s="137"/>
      <c r="D5516" s="59"/>
      <c r="E5516" s="116"/>
      <c r="F5516" s="120"/>
      <c r="G5516" s="120"/>
      <c r="H5516" s="120"/>
      <c r="I5516" s="60"/>
      <c r="J5516" s="116"/>
      <c r="K5516" s="213"/>
      <c r="L5516" s="120"/>
      <c r="M5516" s="120"/>
      <c r="N5516" s="167"/>
      <c r="O5516" s="120"/>
      <c r="P5516" s="120"/>
      <c r="Q5516" s="120"/>
      <c r="R5516" s="120"/>
      <c r="S5516" s="120"/>
      <c r="T5516" s="221"/>
      <c r="U5516" s="89"/>
      <c r="V5516" s="61"/>
      <c r="W5516" s="92" t="s">
        <v>65</v>
      </c>
      <c r="X5516" s="93" t="s">
        <v>30</v>
      </c>
      <c r="Y5516" s="93" t="s">
        <v>1011</v>
      </c>
      <c r="Z5516" s="134">
        <f>VLOOKUP(W5516,Sheet2!$B:$D,3,FALSE)</f>
        <v>1.76</v>
      </c>
      <c r="AA5516" s="93">
        <f>AA5515/10</f>
        <v>3.487179487179487E-2</v>
      </c>
      <c r="AB5516" s="93">
        <f>AD5516/AC5512</f>
        <v>50.470588235294116</v>
      </c>
      <c r="AC5516" s="93">
        <f>AC5512/AA5516</f>
        <v>3.1544117647058725</v>
      </c>
      <c r="AD5516" s="94">
        <f>AC5516*Z5516</f>
        <v>5.5517647058823352</v>
      </c>
      <c r="AE5516" s="190"/>
      <c r="AF5516" s="191"/>
      <c r="AG5516" s="191"/>
      <c r="AH5516" s="191"/>
      <c r="AI5516" s="186"/>
      <c r="AK5516" s="171"/>
    </row>
    <row r="5517" spans="1:41" s="103" customFormat="1" ht="19.899999999999999" customHeight="1" x14ac:dyDescent="0.25">
      <c r="A5517" s="51"/>
      <c r="B5517" s="52"/>
      <c r="C5517" s="165"/>
      <c r="D5517" s="52"/>
      <c r="E5517" s="115"/>
      <c r="F5517" s="58"/>
      <c r="G5517" s="58"/>
      <c r="H5517" s="58"/>
      <c r="I5517" s="55"/>
      <c r="J5517" s="113">
        <f>J5511</f>
        <v>0.10999999999999965</v>
      </c>
      <c r="K5517" s="212">
        <f>K5511</f>
        <v>0.10999999999999965</v>
      </c>
      <c r="L5517" s="58"/>
      <c r="M5517" s="58">
        <f>K5517-L5517</f>
        <v>0.10999999999999965</v>
      </c>
      <c r="N5517" s="166"/>
      <c r="O5517" s="58"/>
      <c r="P5517" s="58"/>
      <c r="Q5517" s="58"/>
      <c r="R5517" s="58"/>
      <c r="S5517" s="58"/>
      <c r="T5517" s="220"/>
      <c r="U5517" s="88"/>
      <c r="V5517" s="56"/>
      <c r="W5517" s="57" t="s">
        <v>1486</v>
      </c>
      <c r="X5517" s="53"/>
      <c r="Y5517" s="91" t="s">
        <v>35</v>
      </c>
      <c r="Z5517" s="136">
        <f>AD5517/AC5517</f>
        <v>1883.8375000000001</v>
      </c>
      <c r="AA5517" s="58"/>
      <c r="AB5517" s="53">
        <f>AD5517/AC5517</f>
        <v>1883.8375000000001</v>
      </c>
      <c r="AC5517" s="53">
        <f>M5517+$AE$10</f>
        <v>0.10999999999999965</v>
      </c>
      <c r="AD5517" s="54">
        <f>SUM(AD5518:AD5523)</f>
        <v>207.22212499999935</v>
      </c>
      <c r="AE5517" s="184">
        <f>SUMIFS($AD$37:$AD$12971,$V$37:$V$12971,$V5517,$X$37:$X$12971,AE$13)</f>
        <v>0</v>
      </c>
      <c r="AF5517" s="185">
        <f>SUMIFS($AD$37:$AD$12971,$V$37:$V$12971,$V5517,$X$37:$X$12971,AF$13)</f>
        <v>0</v>
      </c>
      <c r="AG5517" s="185">
        <f>SUMIFS($AD$37:$AD$12971,$V$37:$V$12971,$V5517,$X$37:$X$12971,AG$13)</f>
        <v>0</v>
      </c>
      <c r="AH5517" s="187">
        <f>SUMIFS($AD$37:$AD$12971,$V$37:$V$12971,$V5517,$X$37:$X$12971,AH$13)</f>
        <v>0</v>
      </c>
      <c r="AI5517" s="161">
        <f t="shared" ref="AI5517" si="3931">SUM(AE5517:AH5517)</f>
        <v>0</v>
      </c>
      <c r="AK5517" s="172"/>
    </row>
    <row r="5518" spans="1:41" s="102" customFormat="1" ht="19.899999999999999" customHeight="1" x14ac:dyDescent="0.25">
      <c r="A5518" s="45"/>
      <c r="B5518" s="59"/>
      <c r="C5518" s="137"/>
      <c r="D5518" s="59"/>
      <c r="E5518" s="116"/>
      <c r="F5518" s="120"/>
      <c r="G5518" s="120"/>
      <c r="H5518" s="120"/>
      <c r="I5518" s="60"/>
      <c r="J5518" s="116"/>
      <c r="K5518" s="213"/>
      <c r="L5518" s="120"/>
      <c r="M5518" s="120"/>
      <c r="N5518" s="167"/>
      <c r="O5518" s="120"/>
      <c r="P5518" s="120"/>
      <c r="Q5518" s="120"/>
      <c r="R5518" s="120"/>
      <c r="S5518" s="120"/>
      <c r="T5518" s="221"/>
      <c r="U5518" s="89"/>
      <c r="V5518" s="61"/>
      <c r="W5518" s="92" t="s">
        <v>1032</v>
      </c>
      <c r="X5518" s="93" t="s">
        <v>30</v>
      </c>
      <c r="Y5518" s="93" t="s">
        <v>66</v>
      </c>
      <c r="Z5518" s="134">
        <f>VLOOKUP(W5518,Sheet2!$B:$D,3,FALSE)</f>
        <v>250</v>
      </c>
      <c r="AA5518" s="93">
        <f>1/(2.4*2.4*0.1)</f>
        <v>1.7361111111111112</v>
      </c>
      <c r="AB5518" s="93">
        <f>AD5518/AC5524</f>
        <v>144.00000000000003</v>
      </c>
      <c r="AC5518" s="93">
        <f>AC5524/AA5518</f>
        <v>6.3359999999999805E-2</v>
      </c>
      <c r="AD5518" s="94">
        <f t="shared" ref="AD5518:AD5520" si="3932">AC5518*Z5518</f>
        <v>15.839999999999952</v>
      </c>
      <c r="AE5518" s="190"/>
      <c r="AF5518" s="191"/>
      <c r="AG5518" s="191"/>
      <c r="AH5518" s="191"/>
      <c r="AI5518" s="186"/>
      <c r="AK5518" s="171"/>
    </row>
    <row r="5519" spans="1:41" s="102" customFormat="1" ht="19.899999999999999" customHeight="1" x14ac:dyDescent="0.25">
      <c r="A5519" s="45"/>
      <c r="B5519" s="59"/>
      <c r="C5519" s="137"/>
      <c r="D5519" s="59"/>
      <c r="E5519" s="116"/>
      <c r="F5519" s="120"/>
      <c r="G5519" s="120"/>
      <c r="H5519" s="120"/>
      <c r="I5519" s="60"/>
      <c r="J5519" s="116"/>
      <c r="K5519" s="213"/>
      <c r="L5519" s="120"/>
      <c r="M5519" s="120"/>
      <c r="N5519" s="167"/>
      <c r="O5519" s="120"/>
      <c r="P5519" s="120"/>
      <c r="Q5519" s="120"/>
      <c r="R5519" s="120"/>
      <c r="S5519" s="120"/>
      <c r="T5519" s="221"/>
      <c r="U5519" s="89"/>
      <c r="V5519" s="61"/>
      <c r="W5519" s="92" t="s">
        <v>1353</v>
      </c>
      <c r="X5519" s="93" t="s">
        <v>30</v>
      </c>
      <c r="Y5519" s="93" t="s">
        <v>66</v>
      </c>
      <c r="Z5519" s="134">
        <f>VLOOKUP(W5519,Sheet2!$B:$D,3,FALSE)</f>
        <v>350</v>
      </c>
      <c r="AA5519" s="93">
        <f>1/(2.3*2.3*0.3)</f>
        <v>0.63011972274732209</v>
      </c>
      <c r="AB5519" s="93">
        <f>AD5519/AC5524</f>
        <v>555.44999999999993</v>
      </c>
      <c r="AC5519" s="93">
        <f>AC5524/AA5519</f>
        <v>0.17456999999999942</v>
      </c>
      <c r="AD5519" s="94">
        <f t="shared" si="3932"/>
        <v>61.0994999999998</v>
      </c>
      <c r="AE5519" s="190"/>
      <c r="AF5519" s="191"/>
      <c r="AG5519" s="191"/>
      <c r="AH5519" s="191"/>
      <c r="AI5519" s="186"/>
      <c r="AK5519" s="171"/>
    </row>
    <row r="5520" spans="1:41" s="102" customFormat="1" ht="19.899999999999999" customHeight="1" x14ac:dyDescent="0.25">
      <c r="A5520" s="45"/>
      <c r="B5520" s="59"/>
      <c r="C5520" s="137"/>
      <c r="D5520" s="59"/>
      <c r="E5520" s="116"/>
      <c r="F5520" s="120"/>
      <c r="G5520" s="120"/>
      <c r="H5520" s="120"/>
      <c r="I5520" s="60"/>
      <c r="J5520" s="116"/>
      <c r="K5520" s="213"/>
      <c r="L5520" s="120"/>
      <c r="M5520" s="120"/>
      <c r="N5520" s="167"/>
      <c r="O5520" s="120"/>
      <c r="P5520" s="120"/>
      <c r="Q5520" s="120"/>
      <c r="R5520" s="120"/>
      <c r="S5520" s="120"/>
      <c r="T5520" s="221"/>
      <c r="U5520" s="89"/>
      <c r="V5520" s="61"/>
      <c r="W5520" s="92" t="s">
        <v>99</v>
      </c>
      <c r="X5520" s="93" t="s">
        <v>30</v>
      </c>
      <c r="Y5520" s="93" t="s">
        <v>67</v>
      </c>
      <c r="Z5520" s="134">
        <f>VLOOKUP(W5520,Sheet2!$B:$D,3,FALSE)</f>
        <v>2500</v>
      </c>
      <c r="AA5520" s="93">
        <f>AA5519/0.08</f>
        <v>7.8764965343415261</v>
      </c>
      <c r="AB5520" s="93">
        <f>AD5520/AC5524</f>
        <v>317.39999999999992</v>
      </c>
      <c r="AC5520" s="93">
        <f>AC5524/AA5520</f>
        <v>1.3965599999999953E-2</v>
      </c>
      <c r="AD5520" s="94">
        <f t="shared" si="3932"/>
        <v>34.913999999999881</v>
      </c>
      <c r="AE5520" s="190"/>
      <c r="AF5520" s="191"/>
      <c r="AG5520" s="191"/>
      <c r="AH5520" s="191"/>
      <c r="AI5520" s="186"/>
      <c r="AK5520" s="171"/>
    </row>
    <row r="5521" spans="1:37" s="102" customFormat="1" ht="19.899999999999999" customHeight="1" x14ac:dyDescent="0.25">
      <c r="A5521" s="45"/>
      <c r="B5521" s="59"/>
      <c r="C5521" s="137"/>
      <c r="D5521" s="59"/>
      <c r="E5521" s="116"/>
      <c r="F5521" s="120"/>
      <c r="G5521" s="120"/>
      <c r="H5521" s="120"/>
      <c r="I5521" s="60"/>
      <c r="J5521" s="116"/>
      <c r="K5521" s="213"/>
      <c r="L5521" s="120"/>
      <c r="M5521" s="120"/>
      <c r="N5521" s="167"/>
      <c r="O5521" s="120"/>
      <c r="P5521" s="120"/>
      <c r="Q5521" s="120"/>
      <c r="R5521" s="120"/>
      <c r="S5521" s="120"/>
      <c r="T5521" s="221"/>
      <c r="U5521" s="89"/>
      <c r="V5521" s="61"/>
      <c r="W5521" s="92" t="s">
        <v>1354</v>
      </c>
      <c r="X5521" s="93" t="s">
        <v>32</v>
      </c>
      <c r="Y5521" s="93" t="s">
        <v>66</v>
      </c>
      <c r="Z5521" s="134">
        <f>VLOOKUP(W5521,Sheet2!$B:$D,3,FALSE)</f>
        <v>150</v>
      </c>
      <c r="AA5521" s="93">
        <f>AA5518</f>
        <v>1.7361111111111112</v>
      </c>
      <c r="AB5521" s="93">
        <f>AD5521/AC5524</f>
        <v>86.4</v>
      </c>
      <c r="AC5521" s="93">
        <f>AC5524/AA5521</f>
        <v>6.3359999999999805E-2</v>
      </c>
      <c r="AD5521" s="94">
        <f>AC5521*Z5521</f>
        <v>9.5039999999999711</v>
      </c>
      <c r="AE5521" s="190"/>
      <c r="AF5521" s="191"/>
      <c r="AG5521" s="191"/>
      <c r="AH5521" s="191"/>
      <c r="AI5521" s="186"/>
      <c r="AK5521" s="171"/>
    </row>
    <row r="5522" spans="1:37" s="102" customFormat="1" ht="19.899999999999999" customHeight="1" x14ac:dyDescent="0.25">
      <c r="A5522" s="45"/>
      <c r="B5522" s="59"/>
      <c r="C5522" s="137"/>
      <c r="D5522" s="59"/>
      <c r="E5522" s="116"/>
      <c r="F5522" s="120"/>
      <c r="G5522" s="120"/>
      <c r="H5522" s="120"/>
      <c r="I5522" s="60"/>
      <c r="J5522" s="116"/>
      <c r="K5522" s="213"/>
      <c r="L5522" s="120"/>
      <c r="M5522" s="120"/>
      <c r="N5522" s="167"/>
      <c r="O5522" s="120"/>
      <c r="P5522" s="120"/>
      <c r="Q5522" s="120"/>
      <c r="R5522" s="120"/>
      <c r="S5522" s="120"/>
      <c r="T5522" s="221"/>
      <c r="U5522" s="89"/>
      <c r="V5522" s="61"/>
      <c r="W5522" s="92" t="s">
        <v>1355</v>
      </c>
      <c r="X5522" s="93" t="s">
        <v>32</v>
      </c>
      <c r="Y5522" s="93" t="s">
        <v>66</v>
      </c>
      <c r="Z5522" s="134">
        <f>VLOOKUP(W5522,Sheet2!$B:$D,3,FALSE)</f>
        <v>450</v>
      </c>
      <c r="AA5522" s="93">
        <f>AA5519</f>
        <v>0.63011972274732209</v>
      </c>
      <c r="AB5522" s="93">
        <f>AD5522/AC5524</f>
        <v>714.15</v>
      </c>
      <c r="AC5522" s="93">
        <f>AC5524/AA5522</f>
        <v>0.17456999999999942</v>
      </c>
      <c r="AD5522" s="94">
        <f>AC5522*Z5522</f>
        <v>78.556499999999744</v>
      </c>
      <c r="AE5522" s="190"/>
      <c r="AF5522" s="191"/>
      <c r="AG5522" s="191"/>
      <c r="AH5522" s="191"/>
      <c r="AI5522" s="186"/>
      <c r="AK5522" s="171"/>
    </row>
    <row r="5523" spans="1:37" s="102" customFormat="1" ht="19.899999999999999" customHeight="1" x14ac:dyDescent="0.25">
      <c r="A5523" s="45"/>
      <c r="B5523" s="59"/>
      <c r="C5523" s="137"/>
      <c r="D5523" s="59"/>
      <c r="E5523" s="116"/>
      <c r="F5523" s="120"/>
      <c r="G5523" s="120"/>
      <c r="H5523" s="120"/>
      <c r="I5523" s="60"/>
      <c r="J5523" s="116"/>
      <c r="K5523" s="213"/>
      <c r="L5523" s="120"/>
      <c r="M5523" s="120"/>
      <c r="N5523" s="167"/>
      <c r="O5523" s="120"/>
      <c r="P5523" s="120"/>
      <c r="Q5523" s="120"/>
      <c r="R5523" s="120"/>
      <c r="S5523" s="120"/>
      <c r="T5523" s="221"/>
      <c r="U5523" s="89"/>
      <c r="V5523" s="61"/>
      <c r="W5523" s="92" t="s">
        <v>124</v>
      </c>
      <c r="X5523" s="93" t="s">
        <v>32</v>
      </c>
      <c r="Y5523" s="93" t="s">
        <v>64</v>
      </c>
      <c r="Z5523" s="134">
        <f>VLOOKUP(W5523,Sheet2!$B:$D,3,FALSE)</f>
        <v>10</v>
      </c>
      <c r="AA5523" s="93">
        <f>1/((2.9*2.9)-(3.14*1.5*1.5/4))</f>
        <v>0.15051740357478832</v>
      </c>
      <c r="AB5523" s="93">
        <f t="shared" ref="AB5523" si="3933">AD5523/AC5517</f>
        <v>66.4375</v>
      </c>
      <c r="AC5523" s="93">
        <f>AC5517/AA5523</f>
        <v>0.73081249999999776</v>
      </c>
      <c r="AD5523" s="94">
        <f t="shared" ref="AD5523" si="3934">AC5523*Z5523</f>
        <v>7.3081249999999773</v>
      </c>
      <c r="AE5523" s="190"/>
      <c r="AF5523" s="191"/>
      <c r="AG5523" s="191"/>
      <c r="AH5523" s="191"/>
      <c r="AI5523" s="186"/>
      <c r="AK5523" s="171"/>
    </row>
    <row r="5524" spans="1:37" s="103" customFormat="1" ht="19.899999999999999" customHeight="1" x14ac:dyDescent="0.25">
      <c r="A5524" s="51"/>
      <c r="B5524" s="52"/>
      <c r="C5524" s="165"/>
      <c r="D5524" s="52"/>
      <c r="E5524" s="115"/>
      <c r="F5524" s="58"/>
      <c r="G5524" s="58"/>
      <c r="H5524" s="58"/>
      <c r="I5524" s="55"/>
      <c r="J5524" s="113">
        <f>J5511</f>
        <v>0.10999999999999965</v>
      </c>
      <c r="K5524" s="212">
        <f>K5511</f>
        <v>0.10999999999999965</v>
      </c>
      <c r="L5524" s="58"/>
      <c r="M5524" s="58">
        <f>K5524-L5524</f>
        <v>0.10999999999999965</v>
      </c>
      <c r="N5524" s="166"/>
      <c r="O5524" s="58"/>
      <c r="P5524" s="58"/>
      <c r="Q5524" s="58"/>
      <c r="R5524" s="58"/>
      <c r="S5524" s="58"/>
      <c r="T5524" s="220"/>
      <c r="U5524" s="88"/>
      <c r="V5524" s="56"/>
      <c r="W5524" s="57" t="s">
        <v>1275</v>
      </c>
      <c r="X5524" s="53"/>
      <c r="Y5524" s="91" t="s">
        <v>35</v>
      </c>
      <c r="Z5524" s="136">
        <f>AD5524/AC5524</f>
        <v>15072.800000000001</v>
      </c>
      <c r="AA5524" s="58"/>
      <c r="AB5524" s="53">
        <f>AD5524/AC5524</f>
        <v>15072.800000000001</v>
      </c>
      <c r="AC5524" s="53">
        <f>M5524+$AE$10</f>
        <v>0.10999999999999965</v>
      </c>
      <c r="AD5524" s="54">
        <f>SUM(AD5525:AD5531)</f>
        <v>1658.0079999999948</v>
      </c>
      <c r="AE5524" s="184">
        <f>SUMIFS($AD$37:$AD$12971,$V$37:$V$12971,$V5524,$X$37:$X$12971,AE$13)</f>
        <v>0</v>
      </c>
      <c r="AF5524" s="185">
        <f>SUMIFS($AD$37:$AD$12971,$V$37:$V$12971,$V5524,$X$37:$X$12971,AF$13)</f>
        <v>0</v>
      </c>
      <c r="AG5524" s="185">
        <f>SUMIFS($AD$37:$AD$12971,$V$37:$V$12971,$V5524,$X$37:$X$12971,AG$13)</f>
        <v>0</v>
      </c>
      <c r="AH5524" s="187">
        <f>SUMIFS($AD$37:$AD$12971,$V$37:$V$12971,$V5524,$X$37:$X$12971,AH$13)</f>
        <v>0</v>
      </c>
      <c r="AI5524" s="161">
        <f t="shared" ref="AI5524" si="3935">SUM(AE5524:AH5524)</f>
        <v>0</v>
      </c>
      <c r="AK5524" s="172"/>
    </row>
    <row r="5525" spans="1:37" s="102" customFormat="1" ht="19.899999999999999" customHeight="1" x14ac:dyDescent="0.25">
      <c r="A5525" s="45"/>
      <c r="B5525" s="59"/>
      <c r="C5525" s="137"/>
      <c r="D5525" s="59"/>
      <c r="E5525" s="116"/>
      <c r="F5525" s="120"/>
      <c r="G5525" s="120"/>
      <c r="H5525" s="120"/>
      <c r="I5525" s="60"/>
      <c r="J5525" s="116"/>
      <c r="K5525" s="213"/>
      <c r="L5525" s="120"/>
      <c r="M5525" s="120"/>
      <c r="N5525" s="167"/>
      <c r="O5525" s="120"/>
      <c r="P5525" s="120"/>
      <c r="Q5525" s="120"/>
      <c r="R5525" s="120"/>
      <c r="S5525" s="120"/>
      <c r="T5525" s="221"/>
      <c r="U5525" s="89"/>
      <c r="V5525" s="61"/>
      <c r="W5525" s="92" t="s">
        <v>1546</v>
      </c>
      <c r="X5525" s="93" t="s">
        <v>30</v>
      </c>
      <c r="Y5525" s="93" t="s">
        <v>35</v>
      </c>
      <c r="Z5525" s="134">
        <f>VLOOKUP(W5525,Sheet2!$B:$D,3,FALSE)</f>
        <v>9800</v>
      </c>
      <c r="AA5525" s="93">
        <v>1</v>
      </c>
      <c r="AB5525" s="93">
        <f>AD5525/AC5524</f>
        <v>9800</v>
      </c>
      <c r="AC5525" s="93">
        <f>AC5524/AA5525</f>
        <v>0.10999999999999965</v>
      </c>
      <c r="AD5525" s="94">
        <f t="shared" ref="AD5525:AD5527" si="3936">AC5525*Z5525</f>
        <v>1077.9999999999966</v>
      </c>
      <c r="AE5525" s="190"/>
      <c r="AF5525" s="191"/>
      <c r="AG5525" s="191"/>
      <c r="AH5525" s="191"/>
      <c r="AI5525" s="186"/>
      <c r="AK5525" s="171"/>
    </row>
    <row r="5526" spans="1:37" s="102" customFormat="1" ht="19.899999999999999" customHeight="1" x14ac:dyDescent="0.25">
      <c r="A5526" s="45"/>
      <c r="B5526" s="59"/>
      <c r="C5526" s="137"/>
      <c r="D5526" s="59"/>
      <c r="E5526" s="116"/>
      <c r="F5526" s="120"/>
      <c r="G5526" s="120"/>
      <c r="H5526" s="120"/>
      <c r="I5526" s="60"/>
      <c r="J5526" s="116"/>
      <c r="K5526" s="213"/>
      <c r="L5526" s="120"/>
      <c r="M5526" s="120"/>
      <c r="N5526" s="167"/>
      <c r="O5526" s="120"/>
      <c r="P5526" s="120"/>
      <c r="Q5526" s="120"/>
      <c r="R5526" s="120"/>
      <c r="S5526" s="120"/>
      <c r="T5526" s="221"/>
      <c r="U5526" s="89"/>
      <c r="V5526" s="61"/>
      <c r="W5526" s="92" t="s">
        <v>1542</v>
      </c>
      <c r="X5526" s="93" t="s">
        <v>30</v>
      </c>
      <c r="Y5526" s="93" t="s">
        <v>1349</v>
      </c>
      <c r="Z5526" s="134">
        <f>VLOOKUP(W5526,Sheet2!$B:$D,3,FALSE)</f>
        <v>3500</v>
      </c>
      <c r="AA5526" s="93">
        <v>1</v>
      </c>
      <c r="AB5526" s="93">
        <f>AD5526/AC5524</f>
        <v>3500</v>
      </c>
      <c r="AC5526" s="93">
        <f>AC5524/AA5526</f>
        <v>0.10999999999999965</v>
      </c>
      <c r="AD5526" s="94">
        <f t="shared" si="3936"/>
        <v>384.99999999999881</v>
      </c>
      <c r="AE5526" s="190"/>
      <c r="AF5526" s="191"/>
      <c r="AG5526" s="191"/>
      <c r="AH5526" s="191"/>
      <c r="AI5526" s="186"/>
      <c r="AK5526" s="171"/>
    </row>
    <row r="5527" spans="1:37" s="102" customFormat="1" ht="19.899999999999999" customHeight="1" x14ac:dyDescent="0.25">
      <c r="A5527" s="45"/>
      <c r="B5527" s="59"/>
      <c r="C5527" s="137"/>
      <c r="D5527" s="59"/>
      <c r="E5527" s="116"/>
      <c r="F5527" s="120"/>
      <c r="G5527" s="120"/>
      <c r="H5527" s="120"/>
      <c r="I5527" s="60"/>
      <c r="J5527" s="116"/>
      <c r="K5527" s="213"/>
      <c r="L5527" s="120"/>
      <c r="M5527" s="120"/>
      <c r="N5527" s="167"/>
      <c r="O5527" s="120"/>
      <c r="P5527" s="120"/>
      <c r="Q5527" s="120"/>
      <c r="R5527" s="120"/>
      <c r="S5527" s="120"/>
      <c r="T5527" s="221"/>
      <c r="U5527" s="89"/>
      <c r="V5527" s="61"/>
      <c r="W5527" s="92" t="s">
        <v>174</v>
      </c>
      <c r="X5527" s="93" t="s">
        <v>29</v>
      </c>
      <c r="Y5527" s="93" t="s">
        <v>93</v>
      </c>
      <c r="Z5527" s="134">
        <f>VLOOKUP(W5527,Sheet2!$B:$D,3,FALSE)</f>
        <v>80</v>
      </c>
      <c r="AA5527" s="93">
        <f>1/2</f>
        <v>0.5</v>
      </c>
      <c r="AB5527" s="93">
        <f>AD5527/AC5524</f>
        <v>160</v>
      </c>
      <c r="AC5527" s="93">
        <f>AC5524/AA5527</f>
        <v>0.21999999999999931</v>
      </c>
      <c r="AD5527" s="94">
        <f t="shared" si="3936"/>
        <v>17.599999999999945</v>
      </c>
      <c r="AE5527" s="190"/>
      <c r="AF5527" s="191"/>
      <c r="AG5527" s="191"/>
      <c r="AH5527" s="191"/>
      <c r="AI5527" s="186"/>
      <c r="AK5527" s="171"/>
    </row>
    <row r="5528" spans="1:37" s="102" customFormat="1" ht="19.899999999999999" customHeight="1" x14ac:dyDescent="0.25">
      <c r="A5528" s="45"/>
      <c r="B5528" s="59"/>
      <c r="C5528" s="137"/>
      <c r="D5528" s="59"/>
      <c r="E5528" s="116"/>
      <c r="F5528" s="120"/>
      <c r="G5528" s="120"/>
      <c r="H5528" s="120"/>
      <c r="I5528" s="60"/>
      <c r="J5528" s="116"/>
      <c r="K5528" s="213"/>
      <c r="L5528" s="120"/>
      <c r="M5528" s="120"/>
      <c r="N5528" s="167"/>
      <c r="O5528" s="120"/>
      <c r="P5528" s="120"/>
      <c r="Q5528" s="120"/>
      <c r="R5528" s="120"/>
      <c r="S5528" s="120"/>
      <c r="T5528" s="221"/>
      <c r="U5528" s="89"/>
      <c r="V5528" s="61"/>
      <c r="W5528" s="92" t="s">
        <v>65</v>
      </c>
      <c r="X5528" s="93" t="s">
        <v>30</v>
      </c>
      <c r="Y5528" s="93" t="s">
        <v>93</v>
      </c>
      <c r="Z5528" s="134">
        <f>VLOOKUP(W5528,Sheet2!$B:$D,3,FALSE)</f>
        <v>1.76</v>
      </c>
      <c r="AA5528" s="93">
        <f>AA5527/15</f>
        <v>3.3333333333333333E-2</v>
      </c>
      <c r="AB5528" s="93">
        <f>AD5528/AC5524</f>
        <v>52.800000000000004</v>
      </c>
      <c r="AC5528" s="93">
        <f>AC5524/AA5528</f>
        <v>3.2999999999999896</v>
      </c>
      <c r="AD5528" s="94">
        <f>AC5528*Z5528</f>
        <v>5.8079999999999821</v>
      </c>
      <c r="AE5528" s="190"/>
      <c r="AF5528" s="191"/>
      <c r="AG5528" s="191"/>
      <c r="AH5528" s="191"/>
      <c r="AI5528" s="186"/>
      <c r="AK5528" s="171"/>
    </row>
    <row r="5529" spans="1:37" s="102" customFormat="1" ht="19.899999999999999" customHeight="1" x14ac:dyDescent="0.25">
      <c r="A5529" s="45"/>
      <c r="B5529" s="59"/>
      <c r="C5529" s="137"/>
      <c r="D5529" s="59"/>
      <c r="E5529" s="116"/>
      <c r="F5529" s="120"/>
      <c r="G5529" s="120"/>
      <c r="H5529" s="120"/>
      <c r="I5529" s="60"/>
      <c r="J5529" s="116"/>
      <c r="K5529" s="213"/>
      <c r="L5529" s="120"/>
      <c r="M5529" s="120"/>
      <c r="N5529" s="167"/>
      <c r="O5529" s="120"/>
      <c r="P5529" s="120"/>
      <c r="Q5529" s="120"/>
      <c r="R5529" s="120"/>
      <c r="S5529" s="120"/>
      <c r="T5529" s="221"/>
      <c r="U5529" s="89"/>
      <c r="V5529" s="61"/>
      <c r="W5529" s="92" t="s">
        <v>1487</v>
      </c>
      <c r="X5529" s="93" t="s">
        <v>32</v>
      </c>
      <c r="Y5529" s="93" t="s">
        <v>1349</v>
      </c>
      <c r="Z5529" s="134">
        <f>VLOOKUP(W5529,Sheet2!$B:$D,3,FALSE)</f>
        <v>1500</v>
      </c>
      <c r="AA5529" s="93">
        <v>1</v>
      </c>
      <c r="AB5529" s="93">
        <f>AD5529/AC5524</f>
        <v>1500</v>
      </c>
      <c r="AC5529" s="93">
        <f>AC5524/AA5529</f>
        <v>0.10999999999999965</v>
      </c>
      <c r="AD5529" s="94">
        <f>AC5529*Z5529</f>
        <v>164.99999999999949</v>
      </c>
      <c r="AE5529" s="190"/>
      <c r="AF5529" s="191"/>
      <c r="AG5529" s="191"/>
      <c r="AH5529" s="191"/>
      <c r="AI5529" s="186"/>
      <c r="AK5529" s="171"/>
    </row>
    <row r="5530" spans="1:37" s="102" customFormat="1" ht="19.899999999999999" customHeight="1" x14ac:dyDescent="0.25">
      <c r="A5530" s="45"/>
      <c r="B5530" s="59"/>
      <c r="C5530" s="137"/>
      <c r="D5530" s="59"/>
      <c r="E5530" s="116"/>
      <c r="F5530" s="120"/>
      <c r="G5530" s="120"/>
      <c r="H5530" s="120"/>
      <c r="I5530" s="60"/>
      <c r="J5530" s="116"/>
      <c r="K5530" s="213"/>
      <c r="L5530" s="120"/>
      <c r="M5530" s="120"/>
      <c r="N5530" s="167"/>
      <c r="O5530" s="120"/>
      <c r="P5530" s="120"/>
      <c r="Q5530" s="120"/>
      <c r="R5530" s="120"/>
      <c r="S5530" s="120"/>
      <c r="T5530" s="221"/>
      <c r="U5530" s="89"/>
      <c r="V5530" s="61"/>
      <c r="W5530" s="92" t="s">
        <v>107</v>
      </c>
      <c r="X5530" s="93" t="s">
        <v>31</v>
      </c>
      <c r="Y5530" s="93" t="s">
        <v>93</v>
      </c>
      <c r="Z5530" s="134">
        <f>VLOOKUP(W5530,Sheet2!$B:$D,3,FALSE)</f>
        <v>17</v>
      </c>
      <c r="AA5530" s="93">
        <f>AA5527</f>
        <v>0.5</v>
      </c>
      <c r="AB5530" s="93">
        <f>AD5530/AC5524</f>
        <v>34</v>
      </c>
      <c r="AC5530" s="93">
        <f>AC5524/AA5530</f>
        <v>0.21999999999999931</v>
      </c>
      <c r="AD5530" s="94">
        <f>AC5530*Z5530</f>
        <v>3.7399999999999882</v>
      </c>
      <c r="AE5530" s="190"/>
      <c r="AF5530" s="191"/>
      <c r="AG5530" s="191"/>
      <c r="AH5530" s="191"/>
      <c r="AI5530" s="186"/>
      <c r="AK5530" s="171"/>
    </row>
    <row r="5531" spans="1:37" s="102" customFormat="1" ht="19.899999999999999" customHeight="1" x14ac:dyDescent="0.25">
      <c r="A5531" s="45"/>
      <c r="B5531" s="59"/>
      <c r="C5531" s="137"/>
      <c r="D5531" s="59"/>
      <c r="E5531" s="116"/>
      <c r="F5531" s="120"/>
      <c r="G5531" s="120"/>
      <c r="H5531" s="120"/>
      <c r="I5531" s="60"/>
      <c r="J5531" s="116"/>
      <c r="K5531" s="213"/>
      <c r="L5531" s="120"/>
      <c r="M5531" s="120"/>
      <c r="N5531" s="167"/>
      <c r="O5531" s="120"/>
      <c r="P5531" s="120"/>
      <c r="Q5531" s="120"/>
      <c r="R5531" s="120"/>
      <c r="S5531" s="120"/>
      <c r="T5531" s="221"/>
      <c r="U5531" s="89"/>
      <c r="V5531" s="61"/>
      <c r="W5531" s="92" t="s">
        <v>112</v>
      </c>
      <c r="X5531" s="93" t="s">
        <v>31</v>
      </c>
      <c r="Y5531" s="93" t="s">
        <v>93</v>
      </c>
      <c r="Z5531" s="134">
        <f>VLOOKUP(W5531,Sheet2!$B:$D,3,FALSE)</f>
        <v>13</v>
      </c>
      <c r="AA5531" s="93">
        <f>AA5530</f>
        <v>0.5</v>
      </c>
      <c r="AB5531" s="93">
        <f>AD5531/AC5524</f>
        <v>26</v>
      </c>
      <c r="AC5531" s="93">
        <f>AC5524/AA5531</f>
        <v>0.21999999999999931</v>
      </c>
      <c r="AD5531" s="94">
        <f>AC5531*Z5531</f>
        <v>2.859999999999991</v>
      </c>
      <c r="AE5531" s="190"/>
      <c r="AF5531" s="191"/>
      <c r="AG5531" s="191"/>
      <c r="AH5531" s="191"/>
      <c r="AI5531" s="186"/>
      <c r="AK5531" s="171"/>
    </row>
    <row r="5532" spans="1:37" s="103" customFormat="1" ht="19.899999999999999" customHeight="1" x14ac:dyDescent="0.25">
      <c r="A5532" s="51"/>
      <c r="B5532" s="52"/>
      <c r="C5532" s="165"/>
      <c r="D5532" s="52"/>
      <c r="E5532" s="115"/>
      <c r="F5532" s="58"/>
      <c r="G5532" s="58"/>
      <c r="H5532" s="58"/>
      <c r="I5532" s="55"/>
      <c r="J5532" s="113">
        <f>J5511</f>
        <v>0.10999999999999965</v>
      </c>
      <c r="K5532" s="212">
        <f>K5511</f>
        <v>0.10999999999999965</v>
      </c>
      <c r="L5532" s="58"/>
      <c r="M5532" s="58">
        <f>K5532-L5532</f>
        <v>0.10999999999999965</v>
      </c>
      <c r="N5532" s="166"/>
      <c r="O5532" s="58"/>
      <c r="P5532" s="58"/>
      <c r="Q5532" s="58"/>
      <c r="R5532" s="58"/>
      <c r="S5532" s="58"/>
      <c r="T5532" s="220"/>
      <c r="U5532" s="88"/>
      <c r="V5532" s="56"/>
      <c r="W5532" s="57" t="s">
        <v>1272</v>
      </c>
      <c r="X5532" s="53"/>
      <c r="Y5532" s="91" t="s">
        <v>35</v>
      </c>
      <c r="Z5532" s="136">
        <f>AD5532/AC5532</f>
        <v>892.25557582352928</v>
      </c>
      <c r="AA5532" s="58"/>
      <c r="AB5532" s="53">
        <f>AD5532/AC5532</f>
        <v>892.25557582352928</v>
      </c>
      <c r="AC5532" s="53">
        <f>M5532+$AE$10</f>
        <v>0.10999999999999965</v>
      </c>
      <c r="AD5532" s="54">
        <f>SUM(AD5533:AD5541)</f>
        <v>98.148113340587912</v>
      </c>
      <c r="AE5532" s="184">
        <f>SUMIFS($AD$37:$AD$12971,$V$37:$V$12971,$V5532,$X$37:$X$12971,AE$13)</f>
        <v>0</v>
      </c>
      <c r="AF5532" s="185">
        <f>SUMIFS($AD$37:$AD$12971,$V$37:$V$12971,$V5532,$X$37:$X$12971,AF$13)</f>
        <v>0</v>
      </c>
      <c r="AG5532" s="185">
        <f>SUMIFS($AD$37:$AD$12971,$V$37:$V$12971,$V5532,$X$37:$X$12971,AG$13)</f>
        <v>0</v>
      </c>
      <c r="AH5532" s="187">
        <f>SUMIFS($AD$37:$AD$12971,$V$37:$V$12971,$V5532,$X$37:$X$12971,AH$13)</f>
        <v>0</v>
      </c>
      <c r="AI5532" s="161">
        <f t="shared" ref="AI5532" si="3937">SUM(AE5532:AH5532)</f>
        <v>0</v>
      </c>
      <c r="AK5532" s="172"/>
    </row>
    <row r="5533" spans="1:37" s="102" customFormat="1" ht="19.899999999999999" customHeight="1" x14ac:dyDescent="0.25">
      <c r="A5533" s="45"/>
      <c r="B5533" s="59"/>
      <c r="C5533" s="137"/>
      <c r="D5533" s="59"/>
      <c r="E5533" s="116"/>
      <c r="F5533" s="120"/>
      <c r="G5533" s="120"/>
      <c r="H5533" s="120"/>
      <c r="I5533" s="60"/>
      <c r="J5533" s="116"/>
      <c r="K5533" s="213"/>
      <c r="L5533" s="120"/>
      <c r="M5533" s="120"/>
      <c r="N5533" s="167"/>
      <c r="O5533" s="120"/>
      <c r="P5533" s="120"/>
      <c r="Q5533" s="120"/>
      <c r="R5533" s="120"/>
      <c r="S5533" s="120"/>
      <c r="T5533" s="221"/>
      <c r="U5533" s="89"/>
      <c r="V5533" s="61"/>
      <c r="W5533" s="92" t="s">
        <v>1273</v>
      </c>
      <c r="X5533" s="93" t="s">
        <v>30</v>
      </c>
      <c r="Y5533" s="93" t="s">
        <v>66</v>
      </c>
      <c r="Z5533" s="134">
        <f>VLOOKUP(W5533,Sheet2!$B:$D,3,FALSE)</f>
        <v>10</v>
      </c>
      <c r="AA5533" s="93">
        <f>1/((3*3*6.5)-(3.14/4*1.5*1.5*6.5))</f>
        <v>2.126782842179421E-2</v>
      </c>
      <c r="AB5533" s="93">
        <f>AD5533/AC5532</f>
        <v>470.19374999999991</v>
      </c>
      <c r="AC5533" s="93">
        <f>AC5532/AA5533</f>
        <v>5.1721312499999827</v>
      </c>
      <c r="AD5533" s="94">
        <f t="shared" ref="AD5533:AD5535" si="3938">AC5533*Z5533</f>
        <v>51.721312499999826</v>
      </c>
      <c r="AE5533" s="190"/>
      <c r="AF5533" s="191"/>
      <c r="AG5533" s="191"/>
      <c r="AH5533" s="191"/>
      <c r="AI5533" s="186"/>
      <c r="AK5533" s="171"/>
    </row>
    <row r="5534" spans="1:37" s="102" customFormat="1" ht="19.899999999999999" customHeight="1" x14ac:dyDescent="0.25">
      <c r="A5534" s="45"/>
      <c r="B5534" s="59"/>
      <c r="C5534" s="137"/>
      <c r="D5534" s="59"/>
      <c r="E5534" s="116"/>
      <c r="F5534" s="120"/>
      <c r="G5534" s="120"/>
      <c r="H5534" s="120"/>
      <c r="I5534" s="60"/>
      <c r="J5534" s="116"/>
      <c r="K5534" s="213"/>
      <c r="L5534" s="120"/>
      <c r="M5534" s="120"/>
      <c r="N5534" s="167"/>
      <c r="O5534" s="120"/>
      <c r="P5534" s="120"/>
      <c r="Q5534" s="120"/>
      <c r="R5534" s="120"/>
      <c r="S5534" s="120"/>
      <c r="T5534" s="221"/>
      <c r="U5534" s="89"/>
      <c r="V5534" s="61"/>
      <c r="W5534" s="92" t="s">
        <v>134</v>
      </c>
      <c r="X5534" s="93" t="s">
        <v>29</v>
      </c>
      <c r="Y5534" s="93" t="s">
        <v>93</v>
      </c>
      <c r="Z5534" s="134">
        <f>VLOOKUP(W5534,Sheet2!$B:$D,3,FALSE)</f>
        <v>65.599999999999994</v>
      </c>
      <c r="AA5534" s="93">
        <f>100/((3*3*6.5)-(3.14/4*1.5*1.5*6.5))</f>
        <v>2.1267828421794208</v>
      </c>
      <c r="AB5534" s="93">
        <f t="shared" ref="AB5534" si="3939">AD5534/AC5532</f>
        <v>30.844709999999992</v>
      </c>
      <c r="AC5534" s="93">
        <f>AC5532/AA5534</f>
        <v>5.1721312499999832E-2</v>
      </c>
      <c r="AD5534" s="94">
        <f t="shared" si="3938"/>
        <v>3.3929180999999886</v>
      </c>
      <c r="AE5534" s="190"/>
      <c r="AF5534" s="191"/>
      <c r="AG5534" s="191"/>
      <c r="AH5534" s="191"/>
      <c r="AI5534" s="186"/>
      <c r="AK5534" s="171"/>
    </row>
    <row r="5535" spans="1:37" s="102" customFormat="1" ht="19.899999999999999" customHeight="1" x14ac:dyDescent="0.25">
      <c r="A5535" s="45"/>
      <c r="B5535" s="59"/>
      <c r="C5535" s="137"/>
      <c r="D5535" s="59"/>
      <c r="E5535" s="116"/>
      <c r="F5535" s="120"/>
      <c r="G5535" s="120"/>
      <c r="H5535" s="120"/>
      <c r="I5535" s="60"/>
      <c r="J5535" s="116"/>
      <c r="K5535" s="213"/>
      <c r="L5535" s="120"/>
      <c r="M5535" s="120"/>
      <c r="N5535" s="167"/>
      <c r="O5535" s="120"/>
      <c r="P5535" s="120"/>
      <c r="Q5535" s="120"/>
      <c r="R5535" s="120"/>
      <c r="S5535" s="120"/>
      <c r="T5535" s="221"/>
      <c r="U5535" s="89"/>
      <c r="V5535" s="61"/>
      <c r="W5535" s="92" t="s">
        <v>65</v>
      </c>
      <c r="X5535" s="93" t="s">
        <v>30</v>
      </c>
      <c r="Y5535" s="93" t="s">
        <v>1011</v>
      </c>
      <c r="Z5535" s="134">
        <f>VLOOKUP(W5535,Sheet2!$B:$D,3,FALSE)</f>
        <v>1.76</v>
      </c>
      <c r="AA5535" s="93">
        <f>AA5534/9</f>
        <v>0.23630920468660233</v>
      </c>
      <c r="AB5535" s="93">
        <f>AD5535/AC5532</f>
        <v>7.447868999999999</v>
      </c>
      <c r="AC5535" s="93">
        <f>AC5532/AA5535</f>
        <v>0.46549181249999849</v>
      </c>
      <c r="AD5535" s="94">
        <f t="shared" si="3938"/>
        <v>0.81926558999999732</v>
      </c>
      <c r="AE5535" s="190"/>
      <c r="AF5535" s="191"/>
      <c r="AG5535" s="191"/>
      <c r="AH5535" s="191"/>
      <c r="AI5535" s="186"/>
      <c r="AK5535" s="171"/>
    </row>
    <row r="5536" spans="1:37" s="102" customFormat="1" ht="19.899999999999999" customHeight="1" x14ac:dyDescent="0.25">
      <c r="A5536" s="45"/>
      <c r="B5536" s="59"/>
      <c r="C5536" s="137"/>
      <c r="D5536" s="59"/>
      <c r="E5536" s="116"/>
      <c r="F5536" s="120"/>
      <c r="G5536" s="120"/>
      <c r="H5536" s="120"/>
      <c r="I5536" s="60"/>
      <c r="J5536" s="116"/>
      <c r="K5536" s="213"/>
      <c r="L5536" s="120"/>
      <c r="M5536" s="120"/>
      <c r="N5536" s="167"/>
      <c r="O5536" s="120"/>
      <c r="P5536" s="120"/>
      <c r="Q5536" s="120"/>
      <c r="R5536" s="120"/>
      <c r="S5536" s="120"/>
      <c r="T5536" s="221"/>
      <c r="U5536" s="89"/>
      <c r="V5536" s="61"/>
      <c r="W5536" s="92" t="s">
        <v>161</v>
      </c>
      <c r="X5536" s="93" t="s">
        <v>29</v>
      </c>
      <c r="Y5536" s="93" t="s">
        <v>93</v>
      </c>
      <c r="Z5536" s="134">
        <f>VLOOKUP(W5536,Sheet2!$B:$D,3,FALSE)</f>
        <v>48</v>
      </c>
      <c r="AA5536" s="93">
        <f>(16*0.85*1.5)/((3*3*6.5)-(3.14/4*1.5*1.5*6.5))</f>
        <v>0.43386369980460182</v>
      </c>
      <c r="AB5536" s="93">
        <f>AD5536/AC5532</f>
        <v>110.63382352941177</v>
      </c>
      <c r="AC5536" s="93">
        <f>AC5532/AA5536</f>
        <v>0.2535358455882345</v>
      </c>
      <c r="AD5536" s="94">
        <f>AC5536*Z5536</f>
        <v>12.169720588235256</v>
      </c>
      <c r="AE5536" s="190"/>
      <c r="AF5536" s="191"/>
      <c r="AG5536" s="191"/>
      <c r="AH5536" s="191"/>
      <c r="AI5536" s="186"/>
      <c r="AK5536" s="171"/>
    </row>
    <row r="5537" spans="1:41" s="102" customFormat="1" ht="19.899999999999999" customHeight="1" x14ac:dyDescent="0.25">
      <c r="A5537" s="45"/>
      <c r="B5537" s="59"/>
      <c r="C5537" s="137"/>
      <c r="D5537" s="59"/>
      <c r="E5537" s="116"/>
      <c r="F5537" s="120"/>
      <c r="G5537" s="120"/>
      <c r="H5537" s="120"/>
      <c r="I5537" s="60"/>
      <c r="J5537" s="116"/>
      <c r="K5537" s="213"/>
      <c r="L5537" s="120"/>
      <c r="M5537" s="120"/>
      <c r="N5537" s="167"/>
      <c r="O5537" s="120"/>
      <c r="P5537" s="120"/>
      <c r="Q5537" s="120"/>
      <c r="R5537" s="120"/>
      <c r="S5537" s="120"/>
      <c r="T5537" s="221"/>
      <c r="U5537" s="89"/>
      <c r="V5537" s="61"/>
      <c r="W5537" s="92" t="s">
        <v>65</v>
      </c>
      <c r="X5537" s="93" t="s">
        <v>30</v>
      </c>
      <c r="Y5537" s="93" t="s">
        <v>1011</v>
      </c>
      <c r="Z5537" s="134">
        <f>VLOOKUP(W5537,Sheet2!$B:$D,3,FALSE)</f>
        <v>1.76</v>
      </c>
      <c r="AA5537" s="93">
        <f>AA5536/10</f>
        <v>4.3386369980460179E-2</v>
      </c>
      <c r="AB5537" s="93">
        <f>AD5537/AC5532</f>
        <v>40.565735294117651</v>
      </c>
      <c r="AC5537" s="93">
        <f>AC5532/AA5537</f>
        <v>2.5353584558823452</v>
      </c>
      <c r="AD5537" s="94">
        <f>AC5537*Z5537</f>
        <v>4.4622308823529275</v>
      </c>
      <c r="AE5537" s="190"/>
      <c r="AF5537" s="191"/>
      <c r="AG5537" s="191"/>
      <c r="AH5537" s="191"/>
      <c r="AI5537" s="186"/>
      <c r="AK5537" s="171"/>
    </row>
    <row r="5538" spans="1:41" s="102" customFormat="1" ht="19.899999999999999" customHeight="1" x14ac:dyDescent="0.25">
      <c r="A5538" s="45"/>
      <c r="B5538" s="59"/>
      <c r="C5538" s="137"/>
      <c r="D5538" s="59"/>
      <c r="E5538" s="116"/>
      <c r="F5538" s="120"/>
      <c r="G5538" s="120"/>
      <c r="H5538" s="120"/>
      <c r="I5538" s="60"/>
      <c r="J5538" s="116"/>
      <c r="K5538" s="213"/>
      <c r="L5538" s="120"/>
      <c r="M5538" s="120"/>
      <c r="N5538" s="167"/>
      <c r="O5538" s="120"/>
      <c r="P5538" s="120"/>
      <c r="Q5538" s="120"/>
      <c r="R5538" s="120"/>
      <c r="S5538" s="120"/>
      <c r="T5538" s="221"/>
      <c r="U5538" s="89"/>
      <c r="V5538" s="61"/>
      <c r="W5538" s="92" t="s">
        <v>173</v>
      </c>
      <c r="X5538" s="93" t="s">
        <v>29</v>
      </c>
      <c r="Y5538" s="93" t="s">
        <v>93</v>
      </c>
      <c r="Z5538" s="134">
        <f>VLOOKUP(W5538,Sheet2!$B:$D,3,FALSE)</f>
        <v>36</v>
      </c>
      <c r="AA5538" s="93">
        <f>50/((3*3*6.5)-(3.14/4*1.5*1.5*6.5))</f>
        <v>1.0633914210897104</v>
      </c>
      <c r="AB5538" s="93">
        <f>AD5538/AC5532</f>
        <v>33.853949999999998</v>
      </c>
      <c r="AC5538" s="93">
        <f>AC5532/AA5538</f>
        <v>0.10344262499999966</v>
      </c>
      <c r="AD5538" s="94">
        <f>AC5538*Z5538</f>
        <v>3.7239344999999879</v>
      </c>
      <c r="AE5538" s="190"/>
      <c r="AF5538" s="191"/>
      <c r="AG5538" s="191"/>
      <c r="AH5538" s="191"/>
      <c r="AI5538" s="186"/>
      <c r="AK5538" s="171"/>
    </row>
    <row r="5539" spans="1:41" s="102" customFormat="1" ht="19.899999999999999" customHeight="1" x14ac:dyDescent="0.25">
      <c r="A5539" s="45"/>
      <c r="B5539" s="59"/>
      <c r="C5539" s="137"/>
      <c r="D5539" s="59"/>
      <c r="E5539" s="116"/>
      <c r="F5539" s="120"/>
      <c r="G5539" s="120"/>
      <c r="H5539" s="120"/>
      <c r="I5539" s="60"/>
      <c r="J5539" s="116"/>
      <c r="K5539" s="213"/>
      <c r="L5539" s="120"/>
      <c r="M5539" s="120"/>
      <c r="N5539" s="167"/>
      <c r="O5539" s="120"/>
      <c r="P5539" s="120"/>
      <c r="Q5539" s="120"/>
      <c r="R5539" s="120"/>
      <c r="S5539" s="120"/>
      <c r="T5539" s="221"/>
      <c r="U5539" s="89"/>
      <c r="V5539" s="61"/>
      <c r="W5539" s="92" t="s">
        <v>65</v>
      </c>
      <c r="X5539" s="93" t="s">
        <v>30</v>
      </c>
      <c r="Y5539" s="93" t="s">
        <v>1011</v>
      </c>
      <c r="Z5539" s="134">
        <f>VLOOKUP(W5539,Sheet2!$B:$D,3,FALSE)</f>
        <v>1.76</v>
      </c>
      <c r="AA5539" s="93">
        <f>AA5538/9</f>
        <v>0.11815460234330116</v>
      </c>
      <c r="AB5539" s="93">
        <f>AD5539/AC5532</f>
        <v>14.895737999999998</v>
      </c>
      <c r="AC5539" s="93">
        <f>AC5532/AA5539</f>
        <v>0.93098362499999698</v>
      </c>
      <c r="AD5539" s="94">
        <f>AC5539*Z5539</f>
        <v>1.6385311799999946</v>
      </c>
      <c r="AE5539" s="190"/>
      <c r="AF5539" s="191"/>
      <c r="AG5539" s="191"/>
      <c r="AH5539" s="191"/>
      <c r="AI5539" s="186"/>
      <c r="AK5539" s="171"/>
    </row>
    <row r="5540" spans="1:41" s="102" customFormat="1" ht="19.899999999999999" customHeight="1" x14ac:dyDescent="0.25">
      <c r="A5540" s="45"/>
      <c r="B5540" s="59"/>
      <c r="C5540" s="137"/>
      <c r="D5540" s="59"/>
      <c r="E5540" s="116"/>
      <c r="F5540" s="120"/>
      <c r="G5540" s="120"/>
      <c r="H5540" s="120"/>
      <c r="I5540" s="60"/>
      <c r="J5540" s="116"/>
      <c r="K5540" s="213"/>
      <c r="L5540" s="120"/>
      <c r="M5540" s="120"/>
      <c r="N5540" s="167"/>
      <c r="O5540" s="120"/>
      <c r="P5540" s="120"/>
      <c r="Q5540" s="120"/>
      <c r="R5540" s="120"/>
      <c r="S5540" s="120"/>
      <c r="T5540" s="221"/>
      <c r="U5540" s="89"/>
      <c r="V5540" s="61"/>
      <c r="W5540" s="92" t="s">
        <v>1030</v>
      </c>
      <c r="X5540" s="93" t="s">
        <v>29</v>
      </c>
      <c r="Y5540" s="93" t="s">
        <v>93</v>
      </c>
      <c r="Z5540" s="134">
        <f>VLOOKUP(W5540,Sheet2!$B:$D,3,FALSE)</f>
        <v>23</v>
      </c>
      <c r="AA5540" s="93">
        <f>1/(6.5*1)</f>
        <v>0.15384615384615385</v>
      </c>
      <c r="AB5540" s="93">
        <f>AD5540/AC5532</f>
        <v>149.5</v>
      </c>
      <c r="AC5540" s="93">
        <f>AC5532/AA5540</f>
        <v>0.71499999999999775</v>
      </c>
      <c r="AD5540" s="94">
        <f t="shared" ref="AD5540:AD5541" si="3940">AC5540*Z5540</f>
        <v>16.444999999999947</v>
      </c>
      <c r="AE5540" s="190"/>
      <c r="AF5540" s="191"/>
      <c r="AG5540" s="191"/>
      <c r="AH5540" s="191"/>
      <c r="AI5540" s="186"/>
      <c r="AK5540" s="171"/>
    </row>
    <row r="5541" spans="1:41" s="102" customFormat="1" ht="19.899999999999999" customHeight="1" x14ac:dyDescent="0.25">
      <c r="A5541" s="45"/>
      <c r="B5541" s="59"/>
      <c r="C5541" s="137"/>
      <c r="D5541" s="59"/>
      <c r="E5541" s="116"/>
      <c r="F5541" s="120"/>
      <c r="G5541" s="120"/>
      <c r="H5541" s="120"/>
      <c r="I5541" s="60"/>
      <c r="J5541" s="116"/>
      <c r="K5541" s="213"/>
      <c r="L5541" s="120"/>
      <c r="M5541" s="120"/>
      <c r="N5541" s="167"/>
      <c r="O5541" s="120"/>
      <c r="P5541" s="120"/>
      <c r="Q5541" s="120"/>
      <c r="R5541" s="120"/>
      <c r="S5541" s="120"/>
      <c r="T5541" s="221"/>
      <c r="U5541" s="89"/>
      <c r="V5541" s="61"/>
      <c r="W5541" s="92" t="s">
        <v>65</v>
      </c>
      <c r="X5541" s="93" t="s">
        <v>30</v>
      </c>
      <c r="Y5541" s="93" t="s">
        <v>1011</v>
      </c>
      <c r="Z5541" s="134">
        <f>VLOOKUP(W5541,Sheet2!$B:$D,3,FALSE)</f>
        <v>1.76</v>
      </c>
      <c r="AA5541" s="93">
        <f>AA5540/3</f>
        <v>5.1282051282051287E-2</v>
      </c>
      <c r="AB5541" s="93">
        <f>AD5541/AC5532</f>
        <v>34.319999999999993</v>
      </c>
      <c r="AC5541" s="93">
        <f>AC5532/AA5541</f>
        <v>2.1449999999999929</v>
      </c>
      <c r="AD5541" s="94">
        <f t="shared" si="3940"/>
        <v>3.7751999999999875</v>
      </c>
      <c r="AE5541" s="190"/>
      <c r="AF5541" s="191"/>
      <c r="AG5541" s="191"/>
      <c r="AH5541" s="191"/>
      <c r="AI5541" s="186"/>
      <c r="AK5541" s="171"/>
    </row>
    <row r="5542" spans="1:41" ht="20.100000000000001" customHeight="1" x14ac:dyDescent="0.25">
      <c r="A5542" s="277" t="s">
        <v>491</v>
      </c>
      <c r="B5542" s="278"/>
      <c r="C5542" s="64" t="s">
        <v>600</v>
      </c>
      <c r="D5542" s="46" t="s">
        <v>215</v>
      </c>
      <c r="E5542" s="114"/>
      <c r="F5542" s="44"/>
      <c r="G5542" s="44">
        <f t="shared" si="3841"/>
        <v>0</v>
      </c>
      <c r="H5542" s="44">
        <f t="shared" si="3842"/>
        <v>0</v>
      </c>
      <c r="I5542" s="43">
        <f t="shared" si="3843"/>
        <v>0</v>
      </c>
      <c r="J5542" s="112">
        <f t="shared" si="3844"/>
        <v>0</v>
      </c>
      <c r="K5542" s="211">
        <f t="shared" si="3845"/>
        <v>0</v>
      </c>
      <c r="L5542" s="44"/>
      <c r="M5542" s="44">
        <f t="shared" si="3846"/>
        <v>0</v>
      </c>
      <c r="N5542" s="173">
        <f t="shared" si="3847"/>
        <v>0</v>
      </c>
      <c r="O5542" s="44">
        <f t="shared" si="3848"/>
        <v>0</v>
      </c>
      <c r="P5542" s="44">
        <f t="shared" si="3849"/>
        <v>0</v>
      </c>
      <c r="Q5542" s="44">
        <f t="shared" si="3850"/>
        <v>0</v>
      </c>
      <c r="R5542" s="44">
        <f t="shared" si="3851"/>
        <v>0</v>
      </c>
      <c r="S5542" s="123"/>
      <c r="T5542" s="219">
        <f t="shared" si="3852"/>
        <v>0</v>
      </c>
      <c r="U5542" s="87"/>
      <c r="V5542" s="47"/>
      <c r="W5542" s="48"/>
      <c r="X5542" s="48"/>
      <c r="Y5542" s="48"/>
      <c r="Z5542" s="135"/>
      <c r="AA5542" s="49"/>
      <c r="AB5542" s="50">
        <f t="shared" si="3853"/>
        <v>0</v>
      </c>
      <c r="AC5542" s="42">
        <f t="shared" si="3854"/>
        <v>9.9999999999999998E-20</v>
      </c>
      <c r="AD5542" s="90"/>
      <c r="AE5542" s="188"/>
      <c r="AF5542" s="189"/>
      <c r="AG5542" s="189"/>
      <c r="AH5542" s="189"/>
      <c r="AI5542" s="161"/>
    </row>
    <row r="5543" spans="1:41" ht="20.100000000000001" customHeight="1" x14ac:dyDescent="0.25">
      <c r="A5543" s="277" t="s">
        <v>491</v>
      </c>
      <c r="B5543" s="278"/>
      <c r="C5543" s="64" t="s">
        <v>601</v>
      </c>
      <c r="D5543" s="46" t="s">
        <v>215</v>
      </c>
      <c r="E5543" s="114"/>
      <c r="F5543" s="44"/>
      <c r="G5543" s="44">
        <f t="shared" si="3841"/>
        <v>0</v>
      </c>
      <c r="H5543" s="44">
        <f t="shared" si="3842"/>
        <v>0</v>
      </c>
      <c r="I5543" s="43">
        <f t="shared" si="3843"/>
        <v>0</v>
      </c>
      <c r="J5543" s="112">
        <f t="shared" si="3844"/>
        <v>0</v>
      </c>
      <c r="K5543" s="211">
        <f t="shared" si="3845"/>
        <v>0</v>
      </c>
      <c r="L5543" s="44"/>
      <c r="M5543" s="44">
        <f t="shared" si="3846"/>
        <v>0</v>
      </c>
      <c r="N5543" s="173">
        <f t="shared" si="3847"/>
        <v>0</v>
      </c>
      <c r="O5543" s="44">
        <f t="shared" si="3848"/>
        <v>0</v>
      </c>
      <c r="P5543" s="44">
        <f t="shared" si="3849"/>
        <v>0</v>
      </c>
      <c r="Q5543" s="44">
        <f t="shared" si="3850"/>
        <v>0</v>
      </c>
      <c r="R5543" s="44">
        <f t="shared" si="3851"/>
        <v>0</v>
      </c>
      <c r="S5543" s="123"/>
      <c r="T5543" s="219">
        <f t="shared" si="3852"/>
        <v>0</v>
      </c>
      <c r="U5543" s="87"/>
      <c r="V5543" s="47"/>
      <c r="W5543" s="48"/>
      <c r="X5543" s="48"/>
      <c r="Y5543" s="48"/>
      <c r="Z5543" s="135"/>
      <c r="AA5543" s="49"/>
      <c r="AB5543" s="50">
        <f t="shared" si="3853"/>
        <v>0</v>
      </c>
      <c r="AC5543" s="42">
        <f t="shared" si="3854"/>
        <v>9.9999999999999998E-20</v>
      </c>
      <c r="AD5543" s="90"/>
      <c r="AE5543" s="188"/>
      <c r="AF5543" s="189"/>
      <c r="AG5543" s="189"/>
      <c r="AH5543" s="189"/>
      <c r="AI5543" s="161"/>
    </row>
    <row r="5544" spans="1:41" ht="20.100000000000001" customHeight="1" x14ac:dyDescent="0.25">
      <c r="A5544" s="277" t="s">
        <v>491</v>
      </c>
      <c r="B5544" s="278"/>
      <c r="C5544" s="64" t="s">
        <v>603</v>
      </c>
      <c r="D5544" s="46" t="s">
        <v>215</v>
      </c>
      <c r="E5544" s="114"/>
      <c r="F5544" s="44"/>
      <c r="G5544" s="44">
        <f t="shared" si="3841"/>
        <v>0</v>
      </c>
      <c r="H5544" s="44">
        <f t="shared" si="3842"/>
        <v>0</v>
      </c>
      <c r="I5544" s="43">
        <f t="shared" si="3843"/>
        <v>0</v>
      </c>
      <c r="J5544" s="112">
        <f t="shared" si="3844"/>
        <v>0</v>
      </c>
      <c r="K5544" s="211">
        <f t="shared" si="3845"/>
        <v>0</v>
      </c>
      <c r="L5544" s="44"/>
      <c r="M5544" s="44">
        <f t="shared" si="3846"/>
        <v>0</v>
      </c>
      <c r="N5544" s="173">
        <f t="shared" si="3847"/>
        <v>0</v>
      </c>
      <c r="O5544" s="44">
        <f t="shared" si="3848"/>
        <v>0</v>
      </c>
      <c r="P5544" s="44">
        <f t="shared" si="3849"/>
        <v>0</v>
      </c>
      <c r="Q5544" s="44">
        <f t="shared" si="3850"/>
        <v>0</v>
      </c>
      <c r="R5544" s="44">
        <f t="shared" si="3851"/>
        <v>0</v>
      </c>
      <c r="S5544" s="123"/>
      <c r="T5544" s="219">
        <f t="shared" si="3852"/>
        <v>0</v>
      </c>
      <c r="U5544" s="87"/>
      <c r="V5544" s="47"/>
      <c r="W5544" s="48"/>
      <c r="X5544" s="48"/>
      <c r="Y5544" s="48"/>
      <c r="Z5544" s="135"/>
      <c r="AA5544" s="49"/>
      <c r="AB5544" s="50">
        <f t="shared" si="3853"/>
        <v>0</v>
      </c>
      <c r="AC5544" s="42">
        <f t="shared" si="3854"/>
        <v>9.9999999999999998E-20</v>
      </c>
      <c r="AD5544" s="90"/>
      <c r="AE5544" s="188"/>
      <c r="AF5544" s="189"/>
      <c r="AG5544" s="189"/>
      <c r="AH5544" s="189"/>
      <c r="AI5544" s="161"/>
    </row>
    <row r="5545" spans="1:41" ht="20.100000000000001" customHeight="1" x14ac:dyDescent="0.25">
      <c r="A5545" s="277" t="s">
        <v>491</v>
      </c>
      <c r="B5545" s="278"/>
      <c r="C5545" s="64" t="s">
        <v>604</v>
      </c>
      <c r="D5545" s="46" t="s">
        <v>215</v>
      </c>
      <c r="E5545" s="114"/>
      <c r="F5545" s="44"/>
      <c r="G5545" s="44">
        <f t="shared" si="3841"/>
        <v>0</v>
      </c>
      <c r="H5545" s="44">
        <f t="shared" si="3842"/>
        <v>0</v>
      </c>
      <c r="I5545" s="43">
        <f t="shared" si="3843"/>
        <v>0</v>
      </c>
      <c r="J5545" s="112">
        <f t="shared" si="3844"/>
        <v>0</v>
      </c>
      <c r="K5545" s="211">
        <f t="shared" si="3845"/>
        <v>0</v>
      </c>
      <c r="L5545" s="44"/>
      <c r="M5545" s="44">
        <f t="shared" si="3846"/>
        <v>0</v>
      </c>
      <c r="N5545" s="173">
        <f t="shared" si="3847"/>
        <v>0</v>
      </c>
      <c r="O5545" s="44">
        <f t="shared" si="3848"/>
        <v>0</v>
      </c>
      <c r="P5545" s="44">
        <f t="shared" si="3849"/>
        <v>0</v>
      </c>
      <c r="Q5545" s="44">
        <f t="shared" si="3850"/>
        <v>0</v>
      </c>
      <c r="R5545" s="44">
        <f t="shared" si="3851"/>
        <v>0</v>
      </c>
      <c r="S5545" s="123"/>
      <c r="T5545" s="219">
        <f t="shared" si="3852"/>
        <v>0</v>
      </c>
      <c r="U5545" s="87"/>
      <c r="V5545" s="47"/>
      <c r="W5545" s="48"/>
      <c r="X5545" s="48"/>
      <c r="Y5545" s="48"/>
      <c r="Z5545" s="135"/>
      <c r="AA5545" s="49"/>
      <c r="AB5545" s="50">
        <f t="shared" si="3853"/>
        <v>0</v>
      </c>
      <c r="AC5545" s="42">
        <f t="shared" si="3854"/>
        <v>9.9999999999999998E-20</v>
      </c>
      <c r="AD5545" s="90"/>
      <c r="AE5545" s="188"/>
      <c r="AF5545" s="189"/>
      <c r="AG5545" s="189"/>
      <c r="AH5545" s="189"/>
      <c r="AI5545" s="161"/>
    </row>
    <row r="5546" spans="1:41" ht="20.100000000000001" customHeight="1" x14ac:dyDescent="0.25">
      <c r="A5546" s="277" t="s">
        <v>491</v>
      </c>
      <c r="B5546" s="278"/>
      <c r="C5546" s="64" t="s">
        <v>605</v>
      </c>
      <c r="D5546" s="46" t="s">
        <v>215</v>
      </c>
      <c r="E5546" s="114"/>
      <c r="F5546" s="44"/>
      <c r="G5546" s="44">
        <f t="shared" si="3841"/>
        <v>0</v>
      </c>
      <c r="H5546" s="44">
        <f t="shared" si="3842"/>
        <v>0</v>
      </c>
      <c r="I5546" s="43">
        <f t="shared" si="3843"/>
        <v>0</v>
      </c>
      <c r="J5546" s="112">
        <f t="shared" si="3844"/>
        <v>0</v>
      </c>
      <c r="K5546" s="211">
        <f t="shared" si="3845"/>
        <v>0</v>
      </c>
      <c r="L5546" s="44"/>
      <c r="M5546" s="44">
        <f t="shared" si="3846"/>
        <v>0</v>
      </c>
      <c r="N5546" s="173">
        <f t="shared" si="3847"/>
        <v>0</v>
      </c>
      <c r="O5546" s="44">
        <f t="shared" si="3848"/>
        <v>0</v>
      </c>
      <c r="P5546" s="44">
        <f t="shared" si="3849"/>
        <v>0</v>
      </c>
      <c r="Q5546" s="44">
        <f t="shared" si="3850"/>
        <v>0</v>
      </c>
      <c r="R5546" s="44">
        <f t="shared" si="3851"/>
        <v>0</v>
      </c>
      <c r="S5546" s="123"/>
      <c r="T5546" s="219">
        <f t="shared" si="3852"/>
        <v>0</v>
      </c>
      <c r="U5546" s="87"/>
      <c r="V5546" s="47"/>
      <c r="W5546" s="48"/>
      <c r="X5546" s="48"/>
      <c r="Y5546" s="48"/>
      <c r="Z5546" s="135"/>
      <c r="AA5546" s="49"/>
      <c r="AB5546" s="50">
        <f t="shared" si="3853"/>
        <v>0</v>
      </c>
      <c r="AC5546" s="42">
        <f t="shared" si="3854"/>
        <v>9.9999999999999998E-20</v>
      </c>
      <c r="AD5546" s="90"/>
      <c r="AE5546" s="188"/>
      <c r="AF5546" s="189"/>
      <c r="AG5546" s="189"/>
      <c r="AH5546" s="189"/>
      <c r="AI5546" s="161"/>
    </row>
    <row r="5547" spans="1:41" ht="20.100000000000001" customHeight="1" x14ac:dyDescent="0.25">
      <c r="A5547" s="277" t="s">
        <v>491</v>
      </c>
      <c r="B5547" s="278"/>
      <c r="C5547" s="64" t="s">
        <v>606</v>
      </c>
      <c r="D5547" s="46" t="s">
        <v>215</v>
      </c>
      <c r="E5547" s="114"/>
      <c r="F5547" s="44"/>
      <c r="G5547" s="44">
        <f t="shared" si="3841"/>
        <v>0</v>
      </c>
      <c r="H5547" s="44">
        <f t="shared" si="3842"/>
        <v>0</v>
      </c>
      <c r="I5547" s="43">
        <f t="shared" si="3843"/>
        <v>0</v>
      </c>
      <c r="J5547" s="112">
        <f t="shared" si="3844"/>
        <v>0</v>
      </c>
      <c r="K5547" s="211">
        <f t="shared" si="3845"/>
        <v>0</v>
      </c>
      <c r="L5547" s="44"/>
      <c r="M5547" s="44">
        <f t="shared" si="3846"/>
        <v>0</v>
      </c>
      <c r="N5547" s="173">
        <f t="shared" si="3847"/>
        <v>0</v>
      </c>
      <c r="O5547" s="44">
        <f t="shared" si="3848"/>
        <v>0</v>
      </c>
      <c r="P5547" s="44">
        <f t="shared" si="3849"/>
        <v>0</v>
      </c>
      <c r="Q5547" s="44">
        <f t="shared" si="3850"/>
        <v>0</v>
      </c>
      <c r="R5547" s="44">
        <f t="shared" si="3851"/>
        <v>0</v>
      </c>
      <c r="S5547" s="123"/>
      <c r="T5547" s="219">
        <f t="shared" si="3852"/>
        <v>0</v>
      </c>
      <c r="U5547" s="87"/>
      <c r="V5547" s="47"/>
      <c r="W5547" s="48"/>
      <c r="X5547" s="48"/>
      <c r="Y5547" s="48"/>
      <c r="Z5547" s="135"/>
      <c r="AA5547" s="49"/>
      <c r="AB5547" s="50">
        <f t="shared" si="3853"/>
        <v>0</v>
      </c>
      <c r="AC5547" s="42">
        <f t="shared" si="3854"/>
        <v>9.9999999999999998E-20</v>
      </c>
      <c r="AD5547" s="90"/>
      <c r="AE5547" s="188"/>
      <c r="AF5547" s="189"/>
      <c r="AG5547" s="189"/>
      <c r="AH5547" s="189"/>
      <c r="AI5547" s="161"/>
    </row>
    <row r="5548" spans="1:41" s="102" customFormat="1" ht="157.5" x14ac:dyDescent="0.25">
      <c r="A5548" s="45" t="s">
        <v>491</v>
      </c>
      <c r="B5548" s="276"/>
      <c r="C5548" s="285" t="s">
        <v>607</v>
      </c>
      <c r="D5548" s="59"/>
      <c r="E5548" s="116"/>
      <c r="F5548" s="120"/>
      <c r="G5548" s="120">
        <f t="shared" si="3841"/>
        <v>0</v>
      </c>
      <c r="H5548" s="120">
        <f t="shared" si="3842"/>
        <v>0</v>
      </c>
      <c r="I5548" s="60">
        <f t="shared" si="3843"/>
        <v>0</v>
      </c>
      <c r="J5548" s="116">
        <f t="shared" si="3844"/>
        <v>0</v>
      </c>
      <c r="K5548" s="213">
        <f t="shared" si="3845"/>
        <v>0</v>
      </c>
      <c r="L5548" s="120"/>
      <c r="M5548" s="120">
        <f t="shared" si="3846"/>
        <v>0</v>
      </c>
      <c r="N5548" s="167">
        <f t="shared" si="3847"/>
        <v>0</v>
      </c>
      <c r="O5548" s="120">
        <f t="shared" si="3848"/>
        <v>0</v>
      </c>
      <c r="P5548" s="120">
        <f t="shared" si="3849"/>
        <v>0</v>
      </c>
      <c r="Q5548" s="120">
        <f t="shared" si="3850"/>
        <v>0</v>
      </c>
      <c r="R5548" s="120">
        <f t="shared" si="3851"/>
        <v>0</v>
      </c>
      <c r="S5548" s="120"/>
      <c r="T5548" s="221">
        <f t="shared" si="3852"/>
        <v>0</v>
      </c>
      <c r="U5548" s="89"/>
      <c r="V5548" s="61"/>
      <c r="W5548" s="92"/>
      <c r="X5548" s="38"/>
      <c r="Y5548" s="93"/>
      <c r="Z5548" s="134"/>
      <c r="AA5548" s="93"/>
      <c r="AB5548" s="93">
        <f t="shared" si="3853"/>
        <v>0</v>
      </c>
      <c r="AC5548" s="93">
        <f t="shared" si="3854"/>
        <v>9.9999999999999998E-20</v>
      </c>
      <c r="AD5548" s="94"/>
      <c r="AE5548" s="190"/>
      <c r="AF5548" s="191"/>
      <c r="AG5548" s="191"/>
      <c r="AH5548" s="191"/>
      <c r="AI5548" s="186"/>
      <c r="AK5548" s="171"/>
    </row>
    <row r="5549" spans="1:41" ht="20.100000000000001" customHeight="1" x14ac:dyDescent="0.25">
      <c r="A5549" s="277" t="s">
        <v>491</v>
      </c>
      <c r="B5549" s="278"/>
      <c r="C5549" s="64" t="s">
        <v>608</v>
      </c>
      <c r="D5549" s="46"/>
      <c r="E5549" s="114"/>
      <c r="F5549" s="44"/>
      <c r="G5549" s="44">
        <f t="shared" si="3841"/>
        <v>0</v>
      </c>
      <c r="H5549" s="44">
        <f t="shared" si="3842"/>
        <v>0</v>
      </c>
      <c r="I5549" s="43">
        <f t="shared" si="3843"/>
        <v>0</v>
      </c>
      <c r="J5549" s="112">
        <f t="shared" si="3844"/>
        <v>0</v>
      </c>
      <c r="K5549" s="211">
        <f t="shared" si="3845"/>
        <v>0</v>
      </c>
      <c r="L5549" s="44"/>
      <c r="M5549" s="44">
        <f t="shared" si="3846"/>
        <v>0</v>
      </c>
      <c r="N5549" s="173">
        <f t="shared" si="3847"/>
        <v>0</v>
      </c>
      <c r="O5549" s="44">
        <f t="shared" si="3848"/>
        <v>0</v>
      </c>
      <c r="P5549" s="44">
        <f t="shared" si="3849"/>
        <v>0</v>
      </c>
      <c r="Q5549" s="44">
        <f t="shared" si="3850"/>
        <v>0</v>
      </c>
      <c r="R5549" s="44">
        <f t="shared" si="3851"/>
        <v>0</v>
      </c>
      <c r="S5549" s="123"/>
      <c r="T5549" s="219">
        <f t="shared" si="3852"/>
        <v>0</v>
      </c>
      <c r="U5549" s="87"/>
      <c r="V5549" s="47"/>
      <c r="W5549" s="48"/>
      <c r="X5549" s="48"/>
      <c r="Y5549" s="48"/>
      <c r="Z5549" s="135"/>
      <c r="AA5549" s="49"/>
      <c r="AB5549" s="50">
        <f t="shared" si="3853"/>
        <v>0</v>
      </c>
      <c r="AC5549" s="42">
        <f t="shared" si="3854"/>
        <v>9.9999999999999998E-20</v>
      </c>
      <c r="AD5549" s="90"/>
      <c r="AE5549" s="188"/>
      <c r="AF5549" s="189"/>
      <c r="AG5549" s="189"/>
      <c r="AH5549" s="189"/>
      <c r="AI5549" s="161"/>
    </row>
    <row r="5550" spans="1:41" ht="20.100000000000001" customHeight="1" x14ac:dyDescent="0.25">
      <c r="A5550" s="277" t="s">
        <v>491</v>
      </c>
      <c r="B5550" s="278"/>
      <c r="C5550" s="64" t="s">
        <v>575</v>
      </c>
      <c r="D5550" s="46" t="s">
        <v>215</v>
      </c>
      <c r="E5550" s="114"/>
      <c r="F5550" s="44"/>
      <c r="G5550" s="44">
        <f t="shared" si="3841"/>
        <v>0</v>
      </c>
      <c r="H5550" s="44">
        <f t="shared" si="3842"/>
        <v>0</v>
      </c>
      <c r="I5550" s="43">
        <f t="shared" si="3843"/>
        <v>0</v>
      </c>
      <c r="J5550" s="112">
        <f t="shared" si="3844"/>
        <v>0</v>
      </c>
      <c r="K5550" s="211">
        <f t="shared" si="3845"/>
        <v>0</v>
      </c>
      <c r="L5550" s="44"/>
      <c r="M5550" s="44">
        <f t="shared" si="3846"/>
        <v>0</v>
      </c>
      <c r="N5550" s="173">
        <f t="shared" si="3847"/>
        <v>0</v>
      </c>
      <c r="O5550" s="44">
        <f t="shared" si="3848"/>
        <v>0</v>
      </c>
      <c r="P5550" s="44">
        <f t="shared" si="3849"/>
        <v>0</v>
      </c>
      <c r="Q5550" s="44">
        <f t="shared" si="3850"/>
        <v>0</v>
      </c>
      <c r="R5550" s="44">
        <f t="shared" si="3851"/>
        <v>0</v>
      </c>
      <c r="S5550" s="123"/>
      <c r="T5550" s="219">
        <f t="shared" si="3852"/>
        <v>0</v>
      </c>
      <c r="U5550" s="87"/>
      <c r="V5550" s="47"/>
      <c r="W5550" s="48"/>
      <c r="X5550" s="48"/>
      <c r="Y5550" s="48"/>
      <c r="Z5550" s="135"/>
      <c r="AA5550" s="49"/>
      <c r="AB5550" s="50">
        <f t="shared" si="3853"/>
        <v>0</v>
      </c>
      <c r="AC5550" s="42">
        <f t="shared" si="3854"/>
        <v>9.9999999999999998E-20</v>
      </c>
      <c r="AD5550" s="90"/>
      <c r="AE5550" s="188"/>
      <c r="AF5550" s="189"/>
      <c r="AG5550" s="189"/>
      <c r="AH5550" s="189"/>
      <c r="AI5550" s="161"/>
    </row>
    <row r="5551" spans="1:41" ht="20.100000000000001" customHeight="1" x14ac:dyDescent="0.25">
      <c r="A5551" s="277" t="s">
        <v>491</v>
      </c>
      <c r="B5551" s="278"/>
      <c r="C5551" s="64" t="s">
        <v>576</v>
      </c>
      <c r="D5551" s="46" t="s">
        <v>215</v>
      </c>
      <c r="E5551" s="114">
        <v>0.70999999999999908</v>
      </c>
      <c r="F5551" s="44">
        <v>28575</v>
      </c>
      <c r="G5551" s="44">
        <f t="shared" si="3841"/>
        <v>20288.249999999975</v>
      </c>
      <c r="H5551" s="44">
        <f t="shared" si="3842"/>
        <v>10735.762385524707</v>
      </c>
      <c r="I5551" s="43">
        <f t="shared" si="3843"/>
        <v>7622.3912937225323</v>
      </c>
      <c r="J5551" s="112">
        <f t="shared" si="3844"/>
        <v>0.70999999999999908</v>
      </c>
      <c r="K5551" s="211">
        <f t="shared" si="3845"/>
        <v>0.70999999999999908</v>
      </c>
      <c r="L5551" s="44"/>
      <c r="M5551" s="44">
        <f t="shared" si="3846"/>
        <v>0.70999999999999908</v>
      </c>
      <c r="N5551" s="173">
        <f t="shared" si="3847"/>
        <v>1</v>
      </c>
      <c r="O5551" s="44">
        <f t="shared" si="3848"/>
        <v>28575</v>
      </c>
      <c r="P5551" s="44">
        <f t="shared" si="3849"/>
        <v>20288.249999999975</v>
      </c>
      <c r="Q5551" s="44">
        <f t="shared" si="3850"/>
        <v>10735.762385524707</v>
      </c>
      <c r="R5551" s="44">
        <f t="shared" si="3851"/>
        <v>7622.3912937225323</v>
      </c>
      <c r="S5551" s="123"/>
      <c r="T5551" s="219">
        <f t="shared" si="3852"/>
        <v>7622.3912937225323</v>
      </c>
      <c r="U5551" s="87"/>
      <c r="V5551" s="47"/>
      <c r="W5551" s="48"/>
      <c r="X5551" s="48"/>
      <c r="Y5551" s="48"/>
      <c r="Z5551" s="135"/>
      <c r="AA5551" s="49"/>
      <c r="AB5551" s="50">
        <f t="shared" si="3853"/>
        <v>10735.762385524707</v>
      </c>
      <c r="AC5551" s="42">
        <f t="shared" si="3854"/>
        <v>0.70999999999999908</v>
      </c>
      <c r="AD5551" s="90">
        <f>AD5552+AD5557+AD5564+AD5571</f>
        <v>7622.3912937225323</v>
      </c>
      <c r="AE5551" s="188">
        <f t="shared" ref="AE5551:AH5551" si="3941">AE5552+AE5557+AE5564+AE5571</f>
        <v>0</v>
      </c>
      <c r="AF5551" s="189">
        <f t="shared" si="3941"/>
        <v>0</v>
      </c>
      <c r="AG5551" s="189">
        <f t="shared" si="3941"/>
        <v>0</v>
      </c>
      <c r="AH5551" s="189">
        <f t="shared" si="3941"/>
        <v>0</v>
      </c>
      <c r="AI5551" s="161">
        <f t="shared" ref="AI5551" si="3942">SUM(AE5551:AH5551)</f>
        <v>0</v>
      </c>
      <c r="AK5551" s="169">
        <v>5</v>
      </c>
      <c r="AO5551" s="19" t="s">
        <v>63</v>
      </c>
    </row>
    <row r="5552" spans="1:41" s="103" customFormat="1" ht="19.899999999999999" customHeight="1" x14ac:dyDescent="0.25">
      <c r="A5552" s="51"/>
      <c r="B5552" s="52"/>
      <c r="C5552" s="165"/>
      <c r="D5552" s="52"/>
      <c r="E5552" s="115"/>
      <c r="F5552" s="58"/>
      <c r="G5552" s="58"/>
      <c r="H5552" s="58"/>
      <c r="I5552" s="55"/>
      <c r="J5552" s="113">
        <f>J5551</f>
        <v>0.70999999999999908</v>
      </c>
      <c r="K5552" s="212">
        <f>K5551</f>
        <v>0.70999999999999908</v>
      </c>
      <c r="L5552" s="58"/>
      <c r="M5552" s="58">
        <f>K5552-L5552</f>
        <v>0.70999999999999908</v>
      </c>
      <c r="N5552" s="166"/>
      <c r="O5552" s="58"/>
      <c r="P5552" s="58"/>
      <c r="Q5552" s="58"/>
      <c r="R5552" s="58"/>
      <c r="S5552" s="58"/>
      <c r="T5552" s="220"/>
      <c r="U5552" s="88"/>
      <c r="V5552" s="56"/>
      <c r="W5552" s="57" t="s">
        <v>1516</v>
      </c>
      <c r="X5552" s="53"/>
      <c r="Y5552" s="91" t="s">
        <v>35</v>
      </c>
      <c r="Z5552" s="136">
        <f>AD5552/AC5552</f>
        <v>147.8116705882353</v>
      </c>
      <c r="AA5552" s="58"/>
      <c r="AB5552" s="53">
        <f>AD5552/AC5552</f>
        <v>147.8116705882353</v>
      </c>
      <c r="AC5552" s="53">
        <f>M5552+$AE$10</f>
        <v>0.70999999999999908</v>
      </c>
      <c r="AD5552" s="54">
        <f>SUM(AD5553:AD5556)</f>
        <v>104.94628611764693</v>
      </c>
      <c r="AE5552" s="184">
        <f>SUMIFS($AD$37:$AD$12971,$V$37:$V$12971,$V5552,$X$37:$X$12971,AE$13)</f>
        <v>0</v>
      </c>
      <c r="AF5552" s="185">
        <f>SUMIFS($AD$37:$AD$12971,$V$37:$V$12971,$V5552,$X$37:$X$12971,AF$13)</f>
        <v>0</v>
      </c>
      <c r="AG5552" s="185">
        <f>SUMIFS($AD$37:$AD$12971,$V$37:$V$12971,$V5552,$X$37:$X$12971,AG$13)</f>
        <v>0</v>
      </c>
      <c r="AH5552" s="187">
        <f>SUMIFS($AD$37:$AD$12971,$V$37:$V$12971,$V5552,$X$37:$X$12971,AH$13)</f>
        <v>0</v>
      </c>
      <c r="AI5552" s="161">
        <f t="shared" ref="AI5552" si="3943">SUM(AE5552:AH5552)</f>
        <v>0</v>
      </c>
      <c r="AK5552" s="172"/>
    </row>
    <row r="5553" spans="1:37" s="102" customFormat="1" ht="19.899999999999999" customHeight="1" x14ac:dyDescent="0.25">
      <c r="A5553" s="45"/>
      <c r="B5553" s="59"/>
      <c r="C5553" s="137"/>
      <c r="D5553" s="59"/>
      <c r="E5553" s="116"/>
      <c r="F5553" s="120"/>
      <c r="G5553" s="120"/>
      <c r="H5553" s="120"/>
      <c r="I5553" s="60"/>
      <c r="J5553" s="116"/>
      <c r="K5553" s="213"/>
      <c r="L5553" s="120"/>
      <c r="M5553" s="120"/>
      <c r="N5553" s="167"/>
      <c r="O5553" s="120"/>
      <c r="P5553" s="120"/>
      <c r="Q5553" s="120"/>
      <c r="R5553" s="120"/>
      <c r="S5553" s="120"/>
      <c r="T5553" s="221"/>
      <c r="U5553" s="89"/>
      <c r="V5553" s="61"/>
      <c r="W5553" s="92" t="s">
        <v>129</v>
      </c>
      <c r="X5553" s="93" t="s">
        <v>29</v>
      </c>
      <c r="Y5553" s="93" t="s">
        <v>93</v>
      </c>
      <c r="Z5553" s="134">
        <f>VLOOKUP(W5553,Sheet2!$B:$D,3,FALSE)</f>
        <v>56</v>
      </c>
      <c r="AA5553" s="93">
        <f>100/(3.5*3.5*3)</f>
        <v>2.7210884353741496</v>
      </c>
      <c r="AB5553" s="93">
        <f t="shared" ref="AB5553" si="3944">AD5553/AC5552</f>
        <v>20.580000000000002</v>
      </c>
      <c r="AC5553" s="93">
        <f>AC5552/AA5553</f>
        <v>0.26092499999999968</v>
      </c>
      <c r="AD5553" s="94">
        <f t="shared" ref="AD5553:AD5554" si="3945">AC5553*Z5553</f>
        <v>14.611799999999983</v>
      </c>
      <c r="AE5553" s="190"/>
      <c r="AF5553" s="191"/>
      <c r="AG5553" s="191"/>
      <c r="AH5553" s="191"/>
      <c r="AI5553" s="186"/>
      <c r="AK5553" s="171"/>
    </row>
    <row r="5554" spans="1:37" s="102" customFormat="1" ht="19.899999999999999" customHeight="1" x14ac:dyDescent="0.25">
      <c r="A5554" s="45"/>
      <c r="B5554" s="59"/>
      <c r="C5554" s="137"/>
      <c r="D5554" s="59"/>
      <c r="E5554" s="116"/>
      <c r="F5554" s="120"/>
      <c r="G5554" s="120"/>
      <c r="H5554" s="120"/>
      <c r="I5554" s="60"/>
      <c r="J5554" s="116"/>
      <c r="K5554" s="213"/>
      <c r="L5554" s="120"/>
      <c r="M5554" s="120"/>
      <c r="N5554" s="167"/>
      <c r="O5554" s="120"/>
      <c r="P5554" s="120"/>
      <c r="Q5554" s="120"/>
      <c r="R5554" s="120"/>
      <c r="S5554" s="120"/>
      <c r="T5554" s="221"/>
      <c r="U5554" s="89"/>
      <c r="V5554" s="61"/>
      <c r="W5554" s="92" t="s">
        <v>65</v>
      </c>
      <c r="X5554" s="93" t="s">
        <v>30</v>
      </c>
      <c r="Y5554" s="93" t="s">
        <v>1011</v>
      </c>
      <c r="Z5554" s="134">
        <f>VLOOKUP(W5554,Sheet2!$B:$D,3,FALSE)</f>
        <v>1.76</v>
      </c>
      <c r="AA5554" s="93">
        <f>AA5553/14</f>
        <v>0.1943634596695821</v>
      </c>
      <c r="AB5554" s="93">
        <f>AD5554/AC5552</f>
        <v>9.055200000000001</v>
      </c>
      <c r="AC5554" s="93">
        <f>AC5552/AA5554</f>
        <v>3.6529499999999957</v>
      </c>
      <c r="AD5554" s="94">
        <f t="shared" si="3945"/>
        <v>6.4291919999999925</v>
      </c>
      <c r="AE5554" s="190"/>
      <c r="AF5554" s="191"/>
      <c r="AG5554" s="191"/>
      <c r="AH5554" s="191"/>
      <c r="AI5554" s="186"/>
      <c r="AK5554" s="171"/>
    </row>
    <row r="5555" spans="1:37" s="102" customFormat="1" ht="19.899999999999999" customHeight="1" x14ac:dyDescent="0.25">
      <c r="A5555" s="45"/>
      <c r="B5555" s="59"/>
      <c r="C5555" s="137"/>
      <c r="D5555" s="59"/>
      <c r="E5555" s="116"/>
      <c r="F5555" s="120"/>
      <c r="G5555" s="120"/>
      <c r="H5555" s="120"/>
      <c r="I5555" s="60"/>
      <c r="J5555" s="116"/>
      <c r="K5555" s="213"/>
      <c r="L5555" s="120"/>
      <c r="M5555" s="120"/>
      <c r="N5555" s="167"/>
      <c r="O5555" s="120"/>
      <c r="P5555" s="120"/>
      <c r="Q5555" s="120"/>
      <c r="R5555" s="120"/>
      <c r="S5555" s="120"/>
      <c r="T5555" s="221"/>
      <c r="U5555" s="89"/>
      <c r="V5555" s="61"/>
      <c r="W5555" s="92" t="s">
        <v>161</v>
      </c>
      <c r="X5555" s="93" t="s">
        <v>29</v>
      </c>
      <c r="Y5555" s="93" t="s">
        <v>93</v>
      </c>
      <c r="Z5555" s="134">
        <f>VLOOKUP(W5555,Sheet2!$B:$D,3,FALSE)</f>
        <v>48</v>
      </c>
      <c r="AA5555" s="93">
        <f>(16*0.85*1.5)/(3.5*3.5*3)</f>
        <v>0.55510204081632653</v>
      </c>
      <c r="AB5555" s="93">
        <f>AD5555/AC5552</f>
        <v>86.47058823529413</v>
      </c>
      <c r="AC5555" s="93">
        <f>AC5552/AA5555</f>
        <v>1.2790441176470573</v>
      </c>
      <c r="AD5555" s="94">
        <f>AC5555*Z5555</f>
        <v>61.394117647058749</v>
      </c>
      <c r="AE5555" s="190"/>
      <c r="AF5555" s="191"/>
      <c r="AG5555" s="191"/>
      <c r="AH5555" s="191"/>
      <c r="AI5555" s="186"/>
      <c r="AK5555" s="171"/>
    </row>
    <row r="5556" spans="1:37" s="102" customFormat="1" ht="19.899999999999999" customHeight="1" x14ac:dyDescent="0.25">
      <c r="A5556" s="45"/>
      <c r="B5556" s="59"/>
      <c r="C5556" s="137"/>
      <c r="D5556" s="59"/>
      <c r="E5556" s="116"/>
      <c r="F5556" s="120"/>
      <c r="G5556" s="120"/>
      <c r="H5556" s="120"/>
      <c r="I5556" s="60"/>
      <c r="J5556" s="116"/>
      <c r="K5556" s="213"/>
      <c r="L5556" s="120"/>
      <c r="M5556" s="120"/>
      <c r="N5556" s="167"/>
      <c r="O5556" s="120"/>
      <c r="P5556" s="120"/>
      <c r="Q5556" s="120"/>
      <c r="R5556" s="120"/>
      <c r="S5556" s="120"/>
      <c r="T5556" s="221"/>
      <c r="U5556" s="89"/>
      <c r="V5556" s="61"/>
      <c r="W5556" s="92" t="s">
        <v>65</v>
      </c>
      <c r="X5556" s="93" t="s">
        <v>30</v>
      </c>
      <c r="Y5556" s="93" t="s">
        <v>1011</v>
      </c>
      <c r="Z5556" s="134">
        <f>VLOOKUP(W5556,Sheet2!$B:$D,3,FALSE)</f>
        <v>1.76</v>
      </c>
      <c r="AA5556" s="93">
        <f>AA5555/10</f>
        <v>5.5510204081632653E-2</v>
      </c>
      <c r="AB5556" s="93">
        <f>AD5556/AC5552</f>
        <v>31.705882352941174</v>
      </c>
      <c r="AC5556" s="93">
        <f>AC5552/AA5556</f>
        <v>12.790441176470571</v>
      </c>
      <c r="AD5556" s="94">
        <f>AC5556*Z5556</f>
        <v>22.511176470588204</v>
      </c>
      <c r="AE5556" s="190"/>
      <c r="AF5556" s="191"/>
      <c r="AG5556" s="191"/>
      <c r="AH5556" s="191"/>
      <c r="AI5556" s="186"/>
      <c r="AK5556" s="171"/>
    </row>
    <row r="5557" spans="1:37" s="103" customFormat="1" ht="19.899999999999999" customHeight="1" x14ac:dyDescent="0.25">
      <c r="A5557" s="51"/>
      <c r="B5557" s="52"/>
      <c r="C5557" s="165"/>
      <c r="D5557" s="52"/>
      <c r="E5557" s="115"/>
      <c r="F5557" s="58"/>
      <c r="G5557" s="58"/>
      <c r="H5557" s="58"/>
      <c r="I5557" s="55"/>
      <c r="J5557" s="113">
        <f>J5551</f>
        <v>0.70999999999999908</v>
      </c>
      <c r="K5557" s="212">
        <f>K5551</f>
        <v>0.70999999999999908</v>
      </c>
      <c r="L5557" s="58"/>
      <c r="M5557" s="58">
        <f>K5557-L5557</f>
        <v>0.70999999999999908</v>
      </c>
      <c r="N5557" s="166"/>
      <c r="O5557" s="58"/>
      <c r="P5557" s="58"/>
      <c r="Q5557" s="58"/>
      <c r="R5557" s="58"/>
      <c r="S5557" s="58"/>
      <c r="T5557" s="220"/>
      <c r="U5557" s="88"/>
      <c r="V5557" s="56"/>
      <c r="W5557" s="57" t="s">
        <v>1486</v>
      </c>
      <c r="X5557" s="53"/>
      <c r="Y5557" s="91" t="s">
        <v>35</v>
      </c>
      <c r="Z5557" s="136">
        <f>AD5557/AC5557</f>
        <v>2396.5659999999998</v>
      </c>
      <c r="AA5557" s="58"/>
      <c r="AB5557" s="53">
        <f>AD5557/AC5557</f>
        <v>2396.5659999999998</v>
      </c>
      <c r="AC5557" s="53">
        <f>M5557+$AE$10</f>
        <v>0.70999999999999908</v>
      </c>
      <c r="AD5557" s="54">
        <f>SUM(AD5558:AD5563)</f>
        <v>1701.5618599999978</v>
      </c>
      <c r="AE5557" s="184">
        <f>SUMIFS($AD$37:$AD$12971,$V$37:$V$12971,$V5557,$X$37:$X$12971,AE$13)</f>
        <v>0</v>
      </c>
      <c r="AF5557" s="185">
        <f>SUMIFS($AD$37:$AD$12971,$V$37:$V$12971,$V5557,$X$37:$X$12971,AF$13)</f>
        <v>0</v>
      </c>
      <c r="AG5557" s="185">
        <f>SUMIFS($AD$37:$AD$12971,$V$37:$V$12971,$V5557,$X$37:$X$12971,AG$13)</f>
        <v>0</v>
      </c>
      <c r="AH5557" s="187">
        <f>SUMIFS($AD$37:$AD$12971,$V$37:$V$12971,$V5557,$X$37:$X$12971,AH$13)</f>
        <v>0</v>
      </c>
      <c r="AI5557" s="161">
        <f t="shared" ref="AI5557" si="3946">SUM(AE5557:AH5557)</f>
        <v>0</v>
      </c>
      <c r="AK5557" s="172"/>
    </row>
    <row r="5558" spans="1:37" s="102" customFormat="1" ht="19.899999999999999" customHeight="1" x14ac:dyDescent="0.25">
      <c r="A5558" s="45"/>
      <c r="B5558" s="59"/>
      <c r="C5558" s="137"/>
      <c r="D5558" s="59"/>
      <c r="E5558" s="116"/>
      <c r="F5558" s="120"/>
      <c r="G5558" s="120"/>
      <c r="H5558" s="120"/>
      <c r="I5558" s="60"/>
      <c r="J5558" s="116"/>
      <c r="K5558" s="213"/>
      <c r="L5558" s="120"/>
      <c r="M5558" s="120"/>
      <c r="N5558" s="167"/>
      <c r="O5558" s="120"/>
      <c r="P5558" s="120"/>
      <c r="Q5558" s="120"/>
      <c r="R5558" s="120"/>
      <c r="S5558" s="120"/>
      <c r="T5558" s="221"/>
      <c r="U5558" s="89"/>
      <c r="V5558" s="61"/>
      <c r="W5558" s="92" t="s">
        <v>1032</v>
      </c>
      <c r="X5558" s="93" t="s">
        <v>30</v>
      </c>
      <c r="Y5558" s="93" t="s">
        <v>66</v>
      </c>
      <c r="Z5558" s="134">
        <f>VLOOKUP(W5558,Sheet2!$B:$D,3,FALSE)</f>
        <v>250</v>
      </c>
      <c r="AA5558" s="93">
        <f>1/(2.7*2.7*0.1)</f>
        <v>1.371742112482853</v>
      </c>
      <c r="AB5558" s="93">
        <f>AD5558/AC5564</f>
        <v>182.25000000000006</v>
      </c>
      <c r="AC5558" s="93">
        <f>AC5564/AA5558</f>
        <v>0.51758999999999944</v>
      </c>
      <c r="AD5558" s="94">
        <f t="shared" ref="AD5558:AD5560" si="3947">AC5558*Z5558</f>
        <v>129.39749999999987</v>
      </c>
      <c r="AE5558" s="190"/>
      <c r="AF5558" s="191"/>
      <c r="AG5558" s="191"/>
      <c r="AH5558" s="191"/>
      <c r="AI5558" s="186"/>
      <c r="AK5558" s="171"/>
    </row>
    <row r="5559" spans="1:37" s="102" customFormat="1" ht="19.899999999999999" customHeight="1" x14ac:dyDescent="0.25">
      <c r="A5559" s="45"/>
      <c r="B5559" s="59"/>
      <c r="C5559" s="137"/>
      <c r="D5559" s="59"/>
      <c r="E5559" s="116"/>
      <c r="F5559" s="120"/>
      <c r="G5559" s="120"/>
      <c r="H5559" s="120"/>
      <c r="I5559" s="60"/>
      <c r="J5559" s="116"/>
      <c r="K5559" s="213"/>
      <c r="L5559" s="120"/>
      <c r="M5559" s="120"/>
      <c r="N5559" s="167"/>
      <c r="O5559" s="120"/>
      <c r="P5559" s="120"/>
      <c r="Q5559" s="120"/>
      <c r="R5559" s="120"/>
      <c r="S5559" s="120"/>
      <c r="T5559" s="221"/>
      <c r="U5559" s="89"/>
      <c r="V5559" s="61"/>
      <c r="W5559" s="92" t="s">
        <v>1353</v>
      </c>
      <c r="X5559" s="93" t="s">
        <v>30</v>
      </c>
      <c r="Y5559" s="93" t="s">
        <v>66</v>
      </c>
      <c r="Z5559" s="134">
        <f>VLOOKUP(W5559,Sheet2!$B:$D,3,FALSE)</f>
        <v>350</v>
      </c>
      <c r="AA5559" s="93">
        <f>1/(2.6*2.6*0.3)</f>
        <v>0.49309664694280081</v>
      </c>
      <c r="AB5559" s="93">
        <f>AD5559/AC5564</f>
        <v>709.8</v>
      </c>
      <c r="AC5559" s="93">
        <f>AC5564/AA5559</f>
        <v>1.4398799999999981</v>
      </c>
      <c r="AD5559" s="94">
        <f t="shared" si="3947"/>
        <v>503.95799999999934</v>
      </c>
      <c r="AE5559" s="190"/>
      <c r="AF5559" s="191"/>
      <c r="AG5559" s="191"/>
      <c r="AH5559" s="191"/>
      <c r="AI5559" s="186"/>
      <c r="AK5559" s="171"/>
    </row>
    <row r="5560" spans="1:37" s="102" customFormat="1" ht="19.899999999999999" customHeight="1" x14ac:dyDescent="0.25">
      <c r="A5560" s="45"/>
      <c r="B5560" s="59"/>
      <c r="C5560" s="137"/>
      <c r="D5560" s="59"/>
      <c r="E5560" s="116"/>
      <c r="F5560" s="120"/>
      <c r="G5560" s="120"/>
      <c r="H5560" s="120"/>
      <c r="I5560" s="60"/>
      <c r="J5560" s="116"/>
      <c r="K5560" s="213"/>
      <c r="L5560" s="120"/>
      <c r="M5560" s="120"/>
      <c r="N5560" s="167"/>
      <c r="O5560" s="120"/>
      <c r="P5560" s="120"/>
      <c r="Q5560" s="120"/>
      <c r="R5560" s="120"/>
      <c r="S5560" s="120"/>
      <c r="T5560" s="221"/>
      <c r="U5560" s="89"/>
      <c r="V5560" s="61"/>
      <c r="W5560" s="92" t="s">
        <v>99</v>
      </c>
      <c r="X5560" s="93" t="s">
        <v>30</v>
      </c>
      <c r="Y5560" s="93" t="s">
        <v>67</v>
      </c>
      <c r="Z5560" s="134">
        <f>VLOOKUP(W5560,Sheet2!$B:$D,3,FALSE)</f>
        <v>2500</v>
      </c>
      <c r="AA5560" s="93">
        <f>AA5559/0.08</f>
        <v>6.16370808678501</v>
      </c>
      <c r="AB5560" s="93">
        <f>AD5560/AC5564</f>
        <v>405.59999999999997</v>
      </c>
      <c r="AC5560" s="93">
        <f>AC5564/AA5560</f>
        <v>0.11519039999999985</v>
      </c>
      <c r="AD5560" s="94">
        <f t="shared" si="3947"/>
        <v>287.9759999999996</v>
      </c>
      <c r="AE5560" s="190"/>
      <c r="AF5560" s="191"/>
      <c r="AG5560" s="191"/>
      <c r="AH5560" s="191"/>
      <c r="AI5560" s="186"/>
      <c r="AK5560" s="171"/>
    </row>
    <row r="5561" spans="1:37" s="102" customFormat="1" ht="19.899999999999999" customHeight="1" x14ac:dyDescent="0.25">
      <c r="A5561" s="45"/>
      <c r="B5561" s="59"/>
      <c r="C5561" s="137"/>
      <c r="D5561" s="59"/>
      <c r="E5561" s="116"/>
      <c r="F5561" s="120"/>
      <c r="G5561" s="120"/>
      <c r="H5561" s="120"/>
      <c r="I5561" s="60"/>
      <c r="J5561" s="116"/>
      <c r="K5561" s="213"/>
      <c r="L5561" s="120"/>
      <c r="M5561" s="120"/>
      <c r="N5561" s="167"/>
      <c r="O5561" s="120"/>
      <c r="P5561" s="120"/>
      <c r="Q5561" s="120"/>
      <c r="R5561" s="120"/>
      <c r="S5561" s="120"/>
      <c r="T5561" s="221"/>
      <c r="U5561" s="89"/>
      <c r="V5561" s="61"/>
      <c r="W5561" s="92" t="s">
        <v>1354</v>
      </c>
      <c r="X5561" s="93" t="s">
        <v>32</v>
      </c>
      <c r="Y5561" s="93" t="s">
        <v>66</v>
      </c>
      <c r="Z5561" s="134">
        <f>VLOOKUP(W5561,Sheet2!$B:$D,3,FALSE)</f>
        <v>150</v>
      </c>
      <c r="AA5561" s="93">
        <f>AA5558</f>
        <v>1.371742112482853</v>
      </c>
      <c r="AB5561" s="93">
        <f>AD5561/AC5564</f>
        <v>109.35000000000004</v>
      </c>
      <c r="AC5561" s="93">
        <f>AC5564/AA5561</f>
        <v>0.51758999999999944</v>
      </c>
      <c r="AD5561" s="94">
        <f>AC5561*Z5561</f>
        <v>77.638499999999922</v>
      </c>
      <c r="AE5561" s="190"/>
      <c r="AF5561" s="191"/>
      <c r="AG5561" s="191"/>
      <c r="AH5561" s="191"/>
      <c r="AI5561" s="186"/>
      <c r="AK5561" s="171"/>
    </row>
    <row r="5562" spans="1:37" s="102" customFormat="1" ht="19.899999999999999" customHeight="1" x14ac:dyDescent="0.25">
      <c r="A5562" s="45"/>
      <c r="B5562" s="59"/>
      <c r="C5562" s="137"/>
      <c r="D5562" s="59"/>
      <c r="E5562" s="116"/>
      <c r="F5562" s="120"/>
      <c r="G5562" s="120"/>
      <c r="H5562" s="120"/>
      <c r="I5562" s="60"/>
      <c r="J5562" s="116"/>
      <c r="K5562" s="213"/>
      <c r="L5562" s="120"/>
      <c r="M5562" s="120"/>
      <c r="N5562" s="167"/>
      <c r="O5562" s="120"/>
      <c r="P5562" s="120"/>
      <c r="Q5562" s="120"/>
      <c r="R5562" s="120"/>
      <c r="S5562" s="120"/>
      <c r="T5562" s="221"/>
      <c r="U5562" s="89"/>
      <c r="V5562" s="61"/>
      <c r="W5562" s="92" t="s">
        <v>1355</v>
      </c>
      <c r="X5562" s="93" t="s">
        <v>32</v>
      </c>
      <c r="Y5562" s="93" t="s">
        <v>66</v>
      </c>
      <c r="Z5562" s="134">
        <f>VLOOKUP(W5562,Sheet2!$B:$D,3,FALSE)</f>
        <v>450</v>
      </c>
      <c r="AA5562" s="93">
        <f>AA5559</f>
        <v>0.49309664694280081</v>
      </c>
      <c r="AB5562" s="93">
        <f>AD5562/AC5564</f>
        <v>912.59999999999991</v>
      </c>
      <c r="AC5562" s="93">
        <f>AC5564/AA5562</f>
        <v>1.4398799999999981</v>
      </c>
      <c r="AD5562" s="94">
        <f>AC5562*Z5562</f>
        <v>647.94599999999912</v>
      </c>
      <c r="AE5562" s="190"/>
      <c r="AF5562" s="191"/>
      <c r="AG5562" s="191"/>
      <c r="AH5562" s="191"/>
      <c r="AI5562" s="186"/>
      <c r="AK5562" s="171"/>
    </row>
    <row r="5563" spans="1:37" s="102" customFormat="1" ht="19.899999999999999" customHeight="1" x14ac:dyDescent="0.25">
      <c r="A5563" s="45"/>
      <c r="B5563" s="59"/>
      <c r="C5563" s="137"/>
      <c r="D5563" s="59"/>
      <c r="E5563" s="116"/>
      <c r="F5563" s="120"/>
      <c r="G5563" s="120"/>
      <c r="H5563" s="120"/>
      <c r="I5563" s="60"/>
      <c r="J5563" s="116"/>
      <c r="K5563" s="213"/>
      <c r="L5563" s="120"/>
      <c r="M5563" s="120"/>
      <c r="N5563" s="167"/>
      <c r="O5563" s="120"/>
      <c r="P5563" s="120"/>
      <c r="Q5563" s="120"/>
      <c r="R5563" s="120"/>
      <c r="S5563" s="120"/>
      <c r="T5563" s="221"/>
      <c r="U5563" s="89"/>
      <c r="V5563" s="61"/>
      <c r="W5563" s="92" t="s">
        <v>124</v>
      </c>
      <c r="X5563" s="93" t="s">
        <v>32</v>
      </c>
      <c r="Y5563" s="93" t="s">
        <v>64</v>
      </c>
      <c r="Z5563" s="134">
        <f>VLOOKUP(W5563,Sheet2!$B:$D,3,FALSE)</f>
        <v>10</v>
      </c>
      <c r="AA5563" s="93">
        <f>1/((3.2*3.2)-(3.14*1.8*1.8/4))</f>
        <v>0.12992750045474621</v>
      </c>
      <c r="AB5563" s="93">
        <f t="shared" ref="AB5563" si="3948">AD5563/AC5557</f>
        <v>76.966000000000022</v>
      </c>
      <c r="AC5563" s="93">
        <f>AC5557/AA5563</f>
        <v>5.4645859999999944</v>
      </c>
      <c r="AD5563" s="94">
        <f t="shared" ref="AD5563" si="3949">AC5563*Z5563</f>
        <v>54.645859999999942</v>
      </c>
      <c r="AE5563" s="190"/>
      <c r="AF5563" s="191"/>
      <c r="AG5563" s="191"/>
      <c r="AH5563" s="191"/>
      <c r="AI5563" s="186"/>
      <c r="AK5563" s="171"/>
    </row>
    <row r="5564" spans="1:37" s="103" customFormat="1" ht="19.899999999999999" customHeight="1" x14ac:dyDescent="0.25">
      <c r="A5564" s="51"/>
      <c r="B5564" s="52"/>
      <c r="C5564" s="165"/>
      <c r="D5564" s="52"/>
      <c r="E5564" s="115"/>
      <c r="F5564" s="58"/>
      <c r="G5564" s="58"/>
      <c r="H5564" s="58"/>
      <c r="I5564" s="55"/>
      <c r="J5564" s="113">
        <f>J5551</f>
        <v>0.70999999999999908</v>
      </c>
      <c r="K5564" s="212">
        <f>K5551</f>
        <v>0.70999999999999908</v>
      </c>
      <c r="L5564" s="58"/>
      <c r="M5564" s="58">
        <f>K5564-L5564</f>
        <v>0.70999999999999908</v>
      </c>
      <c r="N5564" s="166"/>
      <c r="O5564" s="58"/>
      <c r="P5564" s="58"/>
      <c r="Q5564" s="58"/>
      <c r="R5564" s="58"/>
      <c r="S5564" s="58"/>
      <c r="T5564" s="220"/>
      <c r="U5564" s="88"/>
      <c r="V5564" s="56"/>
      <c r="W5564" s="57" t="s">
        <v>1275</v>
      </c>
      <c r="X5564" s="53"/>
      <c r="Y5564" s="91" t="s">
        <v>35</v>
      </c>
      <c r="Z5564" s="136">
        <f>AD5564/AC5564</f>
        <v>7667.8000000000011</v>
      </c>
      <c r="AA5564" s="58"/>
      <c r="AB5564" s="53">
        <f>AD5564/AC5564</f>
        <v>7667.8000000000011</v>
      </c>
      <c r="AC5564" s="53">
        <f>M5564+$AE$10</f>
        <v>0.70999999999999908</v>
      </c>
      <c r="AD5564" s="54">
        <f>SUM(AD5565:AD5570)</f>
        <v>5444.1379999999936</v>
      </c>
      <c r="AE5564" s="184">
        <f>SUMIFS($AD$37:$AD$12971,$V$37:$V$12971,$V5564,$X$37:$X$12971,AE$13)</f>
        <v>0</v>
      </c>
      <c r="AF5564" s="185">
        <f>SUMIFS($AD$37:$AD$12971,$V$37:$V$12971,$V5564,$X$37:$X$12971,AF$13)</f>
        <v>0</v>
      </c>
      <c r="AG5564" s="185">
        <f>SUMIFS($AD$37:$AD$12971,$V$37:$V$12971,$V5564,$X$37:$X$12971,AG$13)</f>
        <v>0</v>
      </c>
      <c r="AH5564" s="187">
        <f>SUMIFS($AD$37:$AD$12971,$V$37:$V$12971,$V5564,$X$37:$X$12971,AH$13)</f>
        <v>0</v>
      </c>
      <c r="AI5564" s="161">
        <f t="shared" ref="AI5564" si="3950">SUM(AE5564:AH5564)</f>
        <v>0</v>
      </c>
      <c r="AK5564" s="172"/>
    </row>
    <row r="5565" spans="1:37" s="102" customFormat="1" ht="19.899999999999999" customHeight="1" x14ac:dyDescent="0.25">
      <c r="A5565" s="45"/>
      <c r="B5565" s="59"/>
      <c r="C5565" s="137"/>
      <c r="D5565" s="59"/>
      <c r="E5565" s="116"/>
      <c r="F5565" s="120"/>
      <c r="G5565" s="120"/>
      <c r="H5565" s="120"/>
      <c r="I5565" s="60"/>
      <c r="J5565" s="116"/>
      <c r="K5565" s="213"/>
      <c r="L5565" s="120"/>
      <c r="M5565" s="120"/>
      <c r="N5565" s="167"/>
      <c r="O5565" s="120"/>
      <c r="P5565" s="120"/>
      <c r="Q5565" s="120"/>
      <c r="R5565" s="120"/>
      <c r="S5565" s="120"/>
      <c r="T5565" s="221"/>
      <c r="U5565" s="89"/>
      <c r="V5565" s="61"/>
      <c r="W5565" s="92" t="s">
        <v>1501</v>
      </c>
      <c r="X5565" s="93" t="s">
        <v>30</v>
      </c>
      <c r="Y5565" s="93" t="s">
        <v>35</v>
      </c>
      <c r="Z5565" s="134">
        <f>VLOOKUP(W5565,Sheet2!$B:$D,3,FALSE)</f>
        <v>5895</v>
      </c>
      <c r="AA5565" s="93">
        <v>1</v>
      </c>
      <c r="AB5565" s="93">
        <f>AD5565/AC5564</f>
        <v>5895</v>
      </c>
      <c r="AC5565" s="93">
        <f>AC5564/AA5565</f>
        <v>0.70999999999999908</v>
      </c>
      <c r="AD5565" s="94">
        <f t="shared" ref="AD5565:AD5566" si="3951">AC5565*Z5565</f>
        <v>4185.4499999999944</v>
      </c>
      <c r="AE5565" s="190"/>
      <c r="AF5565" s="191"/>
      <c r="AG5565" s="191"/>
      <c r="AH5565" s="191"/>
      <c r="AI5565" s="186"/>
      <c r="AK5565" s="171"/>
    </row>
    <row r="5566" spans="1:37" s="102" customFormat="1" ht="19.899999999999999" customHeight="1" x14ac:dyDescent="0.25">
      <c r="A5566" s="45"/>
      <c r="B5566" s="59"/>
      <c r="C5566" s="137"/>
      <c r="D5566" s="59"/>
      <c r="E5566" s="116"/>
      <c r="F5566" s="120"/>
      <c r="G5566" s="120"/>
      <c r="H5566" s="120"/>
      <c r="I5566" s="60"/>
      <c r="J5566" s="116"/>
      <c r="K5566" s="213"/>
      <c r="L5566" s="120"/>
      <c r="M5566" s="120"/>
      <c r="N5566" s="167"/>
      <c r="O5566" s="120"/>
      <c r="P5566" s="120"/>
      <c r="Q5566" s="120"/>
      <c r="R5566" s="120"/>
      <c r="S5566" s="120"/>
      <c r="T5566" s="221"/>
      <c r="U5566" s="89"/>
      <c r="V5566" s="61"/>
      <c r="W5566" s="92" t="s">
        <v>174</v>
      </c>
      <c r="X5566" s="93" t="s">
        <v>29</v>
      </c>
      <c r="Y5566" s="93" t="s">
        <v>93</v>
      </c>
      <c r="Z5566" s="134">
        <f>VLOOKUP(W5566,Sheet2!$B:$D,3,FALSE)</f>
        <v>80</v>
      </c>
      <c r="AA5566" s="93">
        <f>1/2</f>
        <v>0.5</v>
      </c>
      <c r="AB5566" s="93">
        <f>AD5566/AC5564</f>
        <v>160</v>
      </c>
      <c r="AC5566" s="93">
        <f>AC5564/AA5566</f>
        <v>1.4199999999999982</v>
      </c>
      <c r="AD5566" s="94">
        <f t="shared" si="3951"/>
        <v>113.59999999999985</v>
      </c>
      <c r="AE5566" s="190"/>
      <c r="AF5566" s="191"/>
      <c r="AG5566" s="191"/>
      <c r="AH5566" s="191"/>
      <c r="AI5566" s="186"/>
      <c r="AK5566" s="171"/>
    </row>
    <row r="5567" spans="1:37" s="102" customFormat="1" ht="19.899999999999999" customHeight="1" x14ac:dyDescent="0.25">
      <c r="A5567" s="45"/>
      <c r="B5567" s="59"/>
      <c r="C5567" s="137"/>
      <c r="D5567" s="59"/>
      <c r="E5567" s="116"/>
      <c r="F5567" s="120"/>
      <c r="G5567" s="120"/>
      <c r="H5567" s="120"/>
      <c r="I5567" s="60"/>
      <c r="J5567" s="116"/>
      <c r="K5567" s="213"/>
      <c r="L5567" s="120"/>
      <c r="M5567" s="120"/>
      <c r="N5567" s="167"/>
      <c r="O5567" s="120"/>
      <c r="P5567" s="120"/>
      <c r="Q5567" s="120"/>
      <c r="R5567" s="120"/>
      <c r="S5567" s="120"/>
      <c r="T5567" s="221"/>
      <c r="U5567" s="89"/>
      <c r="V5567" s="61"/>
      <c r="W5567" s="92" t="s">
        <v>65</v>
      </c>
      <c r="X5567" s="93" t="s">
        <v>30</v>
      </c>
      <c r="Y5567" s="93" t="s">
        <v>93</v>
      </c>
      <c r="Z5567" s="134">
        <f>VLOOKUP(W5567,Sheet2!$B:$D,3,FALSE)</f>
        <v>1.76</v>
      </c>
      <c r="AA5567" s="93">
        <f>AA5566/15</f>
        <v>3.3333333333333333E-2</v>
      </c>
      <c r="AB5567" s="93">
        <f>AD5567/AC5564</f>
        <v>52.8</v>
      </c>
      <c r="AC5567" s="93">
        <f>AC5564/AA5567</f>
        <v>21.299999999999972</v>
      </c>
      <c r="AD5567" s="94">
        <f>AC5567*Z5567</f>
        <v>37.48799999999995</v>
      </c>
      <c r="AE5567" s="190"/>
      <c r="AF5567" s="191"/>
      <c r="AG5567" s="191"/>
      <c r="AH5567" s="191"/>
      <c r="AI5567" s="186"/>
      <c r="AK5567" s="171"/>
    </row>
    <row r="5568" spans="1:37" s="102" customFormat="1" ht="19.899999999999999" customHeight="1" x14ac:dyDescent="0.25">
      <c r="A5568" s="45"/>
      <c r="B5568" s="59"/>
      <c r="C5568" s="137"/>
      <c r="D5568" s="59"/>
      <c r="E5568" s="116"/>
      <c r="F5568" s="120"/>
      <c r="G5568" s="120"/>
      <c r="H5568" s="120"/>
      <c r="I5568" s="60"/>
      <c r="J5568" s="116"/>
      <c r="K5568" s="213"/>
      <c r="L5568" s="120"/>
      <c r="M5568" s="120"/>
      <c r="N5568" s="167"/>
      <c r="O5568" s="120"/>
      <c r="P5568" s="120"/>
      <c r="Q5568" s="120"/>
      <c r="R5568" s="120"/>
      <c r="S5568" s="120"/>
      <c r="T5568" s="221"/>
      <c r="U5568" s="89"/>
      <c r="V5568" s="61"/>
      <c r="W5568" s="92" t="s">
        <v>1487</v>
      </c>
      <c r="X5568" s="93" t="s">
        <v>32</v>
      </c>
      <c r="Y5568" s="93" t="s">
        <v>1349</v>
      </c>
      <c r="Z5568" s="134">
        <f>VLOOKUP(W5568,Sheet2!$B:$D,3,FALSE)</f>
        <v>1500</v>
      </c>
      <c r="AA5568" s="93">
        <v>1</v>
      </c>
      <c r="AB5568" s="93">
        <f>AD5568/AC5564</f>
        <v>1500</v>
      </c>
      <c r="AC5568" s="93">
        <f>AC5564/AA5568</f>
        <v>0.70999999999999908</v>
      </c>
      <c r="AD5568" s="94">
        <f>AC5568*Z5568</f>
        <v>1064.9999999999986</v>
      </c>
      <c r="AE5568" s="190"/>
      <c r="AF5568" s="191"/>
      <c r="AG5568" s="191"/>
      <c r="AH5568" s="191"/>
      <c r="AI5568" s="186"/>
      <c r="AK5568" s="171"/>
    </row>
    <row r="5569" spans="1:41" s="102" customFormat="1" ht="19.899999999999999" customHeight="1" x14ac:dyDescent="0.25">
      <c r="A5569" s="45"/>
      <c r="B5569" s="59"/>
      <c r="C5569" s="137"/>
      <c r="D5569" s="59"/>
      <c r="E5569" s="116"/>
      <c r="F5569" s="120"/>
      <c r="G5569" s="120"/>
      <c r="H5569" s="120"/>
      <c r="I5569" s="60"/>
      <c r="J5569" s="116"/>
      <c r="K5569" s="213"/>
      <c r="L5569" s="120"/>
      <c r="M5569" s="120"/>
      <c r="N5569" s="167"/>
      <c r="O5569" s="120"/>
      <c r="P5569" s="120"/>
      <c r="Q5569" s="120"/>
      <c r="R5569" s="120"/>
      <c r="S5569" s="120"/>
      <c r="T5569" s="221"/>
      <c r="U5569" s="89"/>
      <c r="V5569" s="61"/>
      <c r="W5569" s="92" t="s">
        <v>107</v>
      </c>
      <c r="X5569" s="93" t="s">
        <v>31</v>
      </c>
      <c r="Y5569" s="93" t="s">
        <v>93</v>
      </c>
      <c r="Z5569" s="134">
        <f>VLOOKUP(W5569,Sheet2!$B:$D,3,FALSE)</f>
        <v>17</v>
      </c>
      <c r="AA5569" s="93">
        <f>AA5566</f>
        <v>0.5</v>
      </c>
      <c r="AB5569" s="93">
        <f>AD5569/AC5564</f>
        <v>34</v>
      </c>
      <c r="AC5569" s="93">
        <f>AC5564/AA5569</f>
        <v>1.4199999999999982</v>
      </c>
      <c r="AD5569" s="94">
        <f>AC5569*Z5569</f>
        <v>24.139999999999969</v>
      </c>
      <c r="AE5569" s="190"/>
      <c r="AF5569" s="191"/>
      <c r="AG5569" s="191"/>
      <c r="AH5569" s="191"/>
      <c r="AI5569" s="186"/>
      <c r="AK5569" s="171"/>
    </row>
    <row r="5570" spans="1:41" s="102" customFormat="1" ht="19.899999999999999" customHeight="1" x14ac:dyDescent="0.25">
      <c r="A5570" s="45"/>
      <c r="B5570" s="59"/>
      <c r="C5570" s="137"/>
      <c r="D5570" s="59"/>
      <c r="E5570" s="116"/>
      <c r="F5570" s="120"/>
      <c r="G5570" s="120"/>
      <c r="H5570" s="120"/>
      <c r="I5570" s="60"/>
      <c r="J5570" s="116"/>
      <c r="K5570" s="213"/>
      <c r="L5570" s="120"/>
      <c r="M5570" s="120"/>
      <c r="N5570" s="167"/>
      <c r="O5570" s="120"/>
      <c r="P5570" s="120"/>
      <c r="Q5570" s="120"/>
      <c r="R5570" s="120"/>
      <c r="S5570" s="120"/>
      <c r="T5570" s="221"/>
      <c r="U5570" s="89"/>
      <c r="V5570" s="61"/>
      <c r="W5570" s="92" t="s">
        <v>112</v>
      </c>
      <c r="X5570" s="93" t="s">
        <v>31</v>
      </c>
      <c r="Y5570" s="93" t="s">
        <v>93</v>
      </c>
      <c r="Z5570" s="134">
        <f>VLOOKUP(W5570,Sheet2!$B:$D,3,FALSE)</f>
        <v>13</v>
      </c>
      <c r="AA5570" s="93">
        <f>AA5569</f>
        <v>0.5</v>
      </c>
      <c r="AB5570" s="93">
        <f>AD5570/AC5564</f>
        <v>26</v>
      </c>
      <c r="AC5570" s="93">
        <f>AC5564/AA5570</f>
        <v>1.4199999999999982</v>
      </c>
      <c r="AD5570" s="94">
        <f>AC5570*Z5570</f>
        <v>18.459999999999976</v>
      </c>
      <c r="AE5570" s="190"/>
      <c r="AF5570" s="191"/>
      <c r="AG5570" s="191"/>
      <c r="AH5570" s="191"/>
      <c r="AI5570" s="186"/>
      <c r="AK5570" s="171"/>
    </row>
    <row r="5571" spans="1:41" s="103" customFormat="1" ht="19.899999999999999" customHeight="1" x14ac:dyDescent="0.25">
      <c r="A5571" s="51"/>
      <c r="B5571" s="52"/>
      <c r="C5571" s="165"/>
      <c r="D5571" s="52"/>
      <c r="E5571" s="115"/>
      <c r="F5571" s="58"/>
      <c r="G5571" s="58"/>
      <c r="H5571" s="58"/>
      <c r="I5571" s="55"/>
      <c r="J5571" s="113">
        <f>J5551</f>
        <v>0.70999999999999908</v>
      </c>
      <c r="K5571" s="212">
        <f>K5551</f>
        <v>0.70999999999999908</v>
      </c>
      <c r="L5571" s="58"/>
      <c r="M5571" s="58">
        <f>K5571-L5571</f>
        <v>0.70999999999999908</v>
      </c>
      <c r="N5571" s="166"/>
      <c r="O5571" s="58"/>
      <c r="P5571" s="58"/>
      <c r="Q5571" s="58"/>
      <c r="R5571" s="58"/>
      <c r="S5571" s="58"/>
      <c r="T5571" s="220"/>
      <c r="U5571" s="88"/>
      <c r="V5571" s="56"/>
      <c r="W5571" s="57" t="s">
        <v>1272</v>
      </c>
      <c r="X5571" s="53"/>
      <c r="Y5571" s="91" t="s">
        <v>35</v>
      </c>
      <c r="Z5571" s="136">
        <f>AD5571/AC5571</f>
        <v>523.58471493647062</v>
      </c>
      <c r="AA5571" s="58"/>
      <c r="AB5571" s="53">
        <f>AD5571/AC5571</f>
        <v>523.58471493647062</v>
      </c>
      <c r="AC5571" s="53">
        <f>M5571+$AE$10</f>
        <v>0.70999999999999908</v>
      </c>
      <c r="AD5571" s="54">
        <f>SUM(AD5572:AD5580)</f>
        <v>371.74514760489365</v>
      </c>
      <c r="AE5571" s="184">
        <f>SUMIFS($AD$37:$AD$12971,$V$37:$V$12971,$V5571,$X$37:$X$12971,AE$13)</f>
        <v>0</v>
      </c>
      <c r="AF5571" s="185">
        <f>SUMIFS($AD$37:$AD$12971,$V$37:$V$12971,$V5571,$X$37:$X$12971,AF$13)</f>
        <v>0</v>
      </c>
      <c r="AG5571" s="185">
        <f>SUMIFS($AD$37:$AD$12971,$V$37:$V$12971,$V5571,$X$37:$X$12971,AG$13)</f>
        <v>0</v>
      </c>
      <c r="AH5571" s="187">
        <f>SUMIFS($AD$37:$AD$12971,$V$37:$V$12971,$V5571,$X$37:$X$12971,AH$13)</f>
        <v>0</v>
      </c>
      <c r="AI5571" s="161">
        <f t="shared" ref="AI5571" si="3952">SUM(AE5571:AH5571)</f>
        <v>0</v>
      </c>
      <c r="AK5571" s="172"/>
    </row>
    <row r="5572" spans="1:41" s="102" customFormat="1" ht="19.899999999999999" customHeight="1" x14ac:dyDescent="0.25">
      <c r="A5572" s="45"/>
      <c r="B5572" s="59"/>
      <c r="C5572" s="137"/>
      <c r="D5572" s="59"/>
      <c r="E5572" s="116"/>
      <c r="F5572" s="120"/>
      <c r="G5572" s="120"/>
      <c r="H5572" s="120"/>
      <c r="I5572" s="60"/>
      <c r="J5572" s="116"/>
      <c r="K5572" s="213"/>
      <c r="L5572" s="120"/>
      <c r="M5572" s="120"/>
      <c r="N5572" s="167"/>
      <c r="O5572" s="120"/>
      <c r="P5572" s="120"/>
      <c r="Q5572" s="120"/>
      <c r="R5572" s="120"/>
      <c r="S5572" s="120"/>
      <c r="T5572" s="221"/>
      <c r="U5572" s="89"/>
      <c r="V5572" s="61"/>
      <c r="W5572" s="92" t="s">
        <v>1273</v>
      </c>
      <c r="X5572" s="93" t="s">
        <v>30</v>
      </c>
      <c r="Y5572" s="93" t="s">
        <v>66</v>
      </c>
      <c r="Z5572" s="134">
        <f>VLOOKUP(W5572,Sheet2!$B:$D,3,FALSE)</f>
        <v>10</v>
      </c>
      <c r="AA5572" s="93">
        <f>1/((3.5*3.5*3)-(3.14/4*1.8*1.8*3))</f>
        <v>3.4340895198456033E-2</v>
      </c>
      <c r="AB5572" s="93">
        <f>AD5572/AC5571</f>
        <v>291.19800000000004</v>
      </c>
      <c r="AC5572" s="93">
        <f>AC5571/AA5572</f>
        <v>20.675057999999975</v>
      </c>
      <c r="AD5572" s="94">
        <f t="shared" ref="AD5572:AD5574" si="3953">AC5572*Z5572</f>
        <v>206.75057999999976</v>
      </c>
      <c r="AE5572" s="190"/>
      <c r="AF5572" s="191"/>
      <c r="AG5572" s="191"/>
      <c r="AH5572" s="191"/>
      <c r="AI5572" s="186"/>
      <c r="AK5572" s="171"/>
    </row>
    <row r="5573" spans="1:41" s="102" customFormat="1" ht="19.899999999999999" customHeight="1" x14ac:dyDescent="0.25">
      <c r="A5573" s="45"/>
      <c r="B5573" s="59"/>
      <c r="C5573" s="137"/>
      <c r="D5573" s="59"/>
      <c r="E5573" s="116"/>
      <c r="F5573" s="120"/>
      <c r="G5573" s="120"/>
      <c r="H5573" s="120"/>
      <c r="I5573" s="60"/>
      <c r="J5573" s="116"/>
      <c r="K5573" s="213"/>
      <c r="L5573" s="120"/>
      <c r="M5573" s="120"/>
      <c r="N5573" s="167"/>
      <c r="O5573" s="120"/>
      <c r="P5573" s="120"/>
      <c r="Q5573" s="120"/>
      <c r="R5573" s="120"/>
      <c r="S5573" s="120"/>
      <c r="T5573" s="221"/>
      <c r="U5573" s="89"/>
      <c r="V5573" s="61"/>
      <c r="W5573" s="92" t="s">
        <v>134</v>
      </c>
      <c r="X5573" s="93" t="s">
        <v>29</v>
      </c>
      <c r="Y5573" s="93" t="s">
        <v>93</v>
      </c>
      <c r="Z5573" s="134">
        <f>VLOOKUP(W5573,Sheet2!$B:$D,3,FALSE)</f>
        <v>65.599999999999994</v>
      </c>
      <c r="AA5573" s="93">
        <f>100/((3.5*3.5*3)-(3.14/4*1.8*1.8*3))</f>
        <v>3.4340895198456036</v>
      </c>
      <c r="AB5573" s="93">
        <f t="shared" ref="AB5573" si="3954">AD5573/AC5571</f>
        <v>19.102588799999996</v>
      </c>
      <c r="AC5573" s="93">
        <f>AC5571/AA5573</f>
        <v>0.20675057999999971</v>
      </c>
      <c r="AD5573" s="94">
        <f t="shared" si="3953"/>
        <v>13.56283804799998</v>
      </c>
      <c r="AE5573" s="190"/>
      <c r="AF5573" s="191"/>
      <c r="AG5573" s="191"/>
      <c r="AH5573" s="191"/>
      <c r="AI5573" s="186"/>
      <c r="AK5573" s="171"/>
    </row>
    <row r="5574" spans="1:41" s="102" customFormat="1" ht="19.899999999999999" customHeight="1" x14ac:dyDescent="0.25">
      <c r="A5574" s="45"/>
      <c r="B5574" s="59"/>
      <c r="C5574" s="137"/>
      <c r="D5574" s="59"/>
      <c r="E5574" s="116"/>
      <c r="F5574" s="120"/>
      <c r="G5574" s="120"/>
      <c r="H5574" s="120"/>
      <c r="I5574" s="60"/>
      <c r="J5574" s="116"/>
      <c r="K5574" s="213"/>
      <c r="L5574" s="120"/>
      <c r="M5574" s="120"/>
      <c r="N5574" s="167"/>
      <c r="O5574" s="120"/>
      <c r="P5574" s="120"/>
      <c r="Q5574" s="120"/>
      <c r="R5574" s="120"/>
      <c r="S5574" s="120"/>
      <c r="T5574" s="221"/>
      <c r="U5574" s="89"/>
      <c r="V5574" s="61"/>
      <c r="W5574" s="92" t="s">
        <v>65</v>
      </c>
      <c r="X5574" s="93" t="s">
        <v>30</v>
      </c>
      <c r="Y5574" s="93" t="s">
        <v>1011</v>
      </c>
      <c r="Z5574" s="134">
        <f>VLOOKUP(W5574,Sheet2!$B:$D,3,FALSE)</f>
        <v>1.76</v>
      </c>
      <c r="AA5574" s="93">
        <f>AA5573/9</f>
        <v>0.38156550220506708</v>
      </c>
      <c r="AB5574" s="93">
        <f>AD5574/AC5571</f>
        <v>4.6125763199999996</v>
      </c>
      <c r="AC5574" s="93">
        <f>AC5571/AA5574</f>
        <v>1.8607552199999975</v>
      </c>
      <c r="AD5574" s="94">
        <f t="shared" si="3953"/>
        <v>3.2749291871999957</v>
      </c>
      <c r="AE5574" s="190"/>
      <c r="AF5574" s="191"/>
      <c r="AG5574" s="191"/>
      <c r="AH5574" s="191"/>
      <c r="AI5574" s="186"/>
      <c r="AK5574" s="171"/>
    </row>
    <row r="5575" spans="1:41" s="102" customFormat="1" ht="19.899999999999999" customHeight="1" x14ac:dyDescent="0.25">
      <c r="A5575" s="45"/>
      <c r="B5575" s="59"/>
      <c r="C5575" s="137"/>
      <c r="D5575" s="59"/>
      <c r="E5575" s="116"/>
      <c r="F5575" s="120"/>
      <c r="G5575" s="120"/>
      <c r="H5575" s="120"/>
      <c r="I5575" s="60"/>
      <c r="J5575" s="116"/>
      <c r="K5575" s="213"/>
      <c r="L5575" s="120"/>
      <c r="M5575" s="120"/>
      <c r="N5575" s="167"/>
      <c r="O5575" s="120"/>
      <c r="P5575" s="120"/>
      <c r="Q5575" s="120"/>
      <c r="R5575" s="120"/>
      <c r="S5575" s="120"/>
      <c r="T5575" s="221"/>
      <c r="U5575" s="89"/>
      <c r="V5575" s="61"/>
      <c r="W5575" s="92" t="s">
        <v>161</v>
      </c>
      <c r="X5575" s="93" t="s">
        <v>29</v>
      </c>
      <c r="Y5575" s="93" t="s">
        <v>93</v>
      </c>
      <c r="Z5575" s="134">
        <f>VLOOKUP(W5575,Sheet2!$B:$D,3,FALSE)</f>
        <v>48</v>
      </c>
      <c r="AA5575" s="93">
        <f>(16*0.85*1.5)/((3.5*3.5*3)-(3.14/4*1.8*1.8*3))</f>
        <v>0.70055426204850313</v>
      </c>
      <c r="AB5575" s="93">
        <f>AD5575/AC5571</f>
        <v>68.517176470588225</v>
      </c>
      <c r="AC5575" s="93">
        <f>AC5571/AA5575</f>
        <v>1.0134832352941163</v>
      </c>
      <c r="AD5575" s="94">
        <f>AC5575*Z5575</f>
        <v>48.64719529411758</v>
      </c>
      <c r="AE5575" s="190"/>
      <c r="AF5575" s="191"/>
      <c r="AG5575" s="191"/>
      <c r="AH5575" s="191"/>
      <c r="AI5575" s="186"/>
      <c r="AK5575" s="171"/>
    </row>
    <row r="5576" spans="1:41" s="102" customFormat="1" ht="19.899999999999999" customHeight="1" x14ac:dyDescent="0.25">
      <c r="A5576" s="45"/>
      <c r="B5576" s="59"/>
      <c r="C5576" s="137"/>
      <c r="D5576" s="59"/>
      <c r="E5576" s="116"/>
      <c r="F5576" s="120"/>
      <c r="G5576" s="120"/>
      <c r="H5576" s="120"/>
      <c r="I5576" s="60"/>
      <c r="J5576" s="116"/>
      <c r="K5576" s="213"/>
      <c r="L5576" s="120"/>
      <c r="M5576" s="120"/>
      <c r="N5576" s="167"/>
      <c r="O5576" s="120"/>
      <c r="P5576" s="120"/>
      <c r="Q5576" s="120"/>
      <c r="R5576" s="120"/>
      <c r="S5576" s="120"/>
      <c r="T5576" s="221"/>
      <c r="U5576" s="89"/>
      <c r="V5576" s="61"/>
      <c r="W5576" s="92" t="s">
        <v>65</v>
      </c>
      <c r="X5576" s="93" t="s">
        <v>30</v>
      </c>
      <c r="Y5576" s="93" t="s">
        <v>1011</v>
      </c>
      <c r="Z5576" s="134">
        <f>VLOOKUP(W5576,Sheet2!$B:$D,3,FALSE)</f>
        <v>1.76</v>
      </c>
      <c r="AA5576" s="93">
        <f>AA5575/10</f>
        <v>7.0055426204850307E-2</v>
      </c>
      <c r="AB5576" s="93">
        <f>AD5576/AC5571</f>
        <v>25.122964705882353</v>
      </c>
      <c r="AC5576" s="93">
        <f>AC5571/AA5576</f>
        <v>10.134832352941164</v>
      </c>
      <c r="AD5576" s="94">
        <f>AC5576*Z5576</f>
        <v>17.837304941176448</v>
      </c>
      <c r="AE5576" s="190"/>
      <c r="AF5576" s="191"/>
      <c r="AG5576" s="191"/>
      <c r="AH5576" s="191"/>
      <c r="AI5576" s="186"/>
      <c r="AK5576" s="171"/>
    </row>
    <row r="5577" spans="1:41" s="102" customFormat="1" ht="19.899999999999999" customHeight="1" x14ac:dyDescent="0.25">
      <c r="A5577" s="45"/>
      <c r="B5577" s="59"/>
      <c r="C5577" s="137"/>
      <c r="D5577" s="59"/>
      <c r="E5577" s="116"/>
      <c r="F5577" s="120"/>
      <c r="G5577" s="120"/>
      <c r="H5577" s="120"/>
      <c r="I5577" s="60"/>
      <c r="J5577" s="116"/>
      <c r="K5577" s="213"/>
      <c r="L5577" s="120"/>
      <c r="M5577" s="120"/>
      <c r="N5577" s="167"/>
      <c r="O5577" s="120"/>
      <c r="P5577" s="120"/>
      <c r="Q5577" s="120"/>
      <c r="R5577" s="120"/>
      <c r="S5577" s="120"/>
      <c r="T5577" s="221"/>
      <c r="U5577" s="89"/>
      <c r="V5577" s="61"/>
      <c r="W5577" s="92" t="s">
        <v>173</v>
      </c>
      <c r="X5577" s="93" t="s">
        <v>29</v>
      </c>
      <c r="Y5577" s="93" t="s">
        <v>93</v>
      </c>
      <c r="Z5577" s="134">
        <f>VLOOKUP(W5577,Sheet2!$B:$D,3,FALSE)</f>
        <v>36</v>
      </c>
      <c r="AA5577" s="93">
        <f>50/((3.5*3.5*3)-(3.14/4*1.8*1.8*3))</f>
        <v>1.7170447599228018</v>
      </c>
      <c r="AB5577" s="93">
        <f>AD5577/AC5571</f>
        <v>20.966255999999998</v>
      </c>
      <c r="AC5577" s="93">
        <f>AC5571/AA5577</f>
        <v>0.41350115999999942</v>
      </c>
      <c r="AD5577" s="94">
        <f>AC5577*Z5577</f>
        <v>14.88604175999998</v>
      </c>
      <c r="AE5577" s="190"/>
      <c r="AF5577" s="191"/>
      <c r="AG5577" s="191"/>
      <c r="AH5577" s="191"/>
      <c r="AI5577" s="186"/>
      <c r="AK5577" s="171"/>
    </row>
    <row r="5578" spans="1:41" s="102" customFormat="1" ht="19.899999999999999" customHeight="1" x14ac:dyDescent="0.25">
      <c r="A5578" s="45"/>
      <c r="B5578" s="59"/>
      <c r="C5578" s="137"/>
      <c r="D5578" s="59"/>
      <c r="E5578" s="116"/>
      <c r="F5578" s="120"/>
      <c r="G5578" s="120"/>
      <c r="H5578" s="120"/>
      <c r="I5578" s="60"/>
      <c r="J5578" s="116"/>
      <c r="K5578" s="213"/>
      <c r="L5578" s="120"/>
      <c r="M5578" s="120"/>
      <c r="N5578" s="167"/>
      <c r="O5578" s="120"/>
      <c r="P5578" s="120"/>
      <c r="Q5578" s="120"/>
      <c r="R5578" s="120"/>
      <c r="S5578" s="120"/>
      <c r="T5578" s="221"/>
      <c r="U5578" s="89"/>
      <c r="V5578" s="61"/>
      <c r="W5578" s="92" t="s">
        <v>65</v>
      </c>
      <c r="X5578" s="93" t="s">
        <v>30</v>
      </c>
      <c r="Y5578" s="93" t="s">
        <v>1011</v>
      </c>
      <c r="Z5578" s="134">
        <f>VLOOKUP(W5578,Sheet2!$B:$D,3,FALSE)</f>
        <v>1.76</v>
      </c>
      <c r="AA5578" s="93">
        <f>AA5577/9</f>
        <v>0.19078275110253354</v>
      </c>
      <c r="AB5578" s="93">
        <f>AD5578/AC5571</f>
        <v>9.2251526399999992</v>
      </c>
      <c r="AC5578" s="93">
        <f>AC5571/AA5578</f>
        <v>3.721510439999995</v>
      </c>
      <c r="AD5578" s="94">
        <f>AC5578*Z5578</f>
        <v>6.5498583743999914</v>
      </c>
      <c r="AE5578" s="190"/>
      <c r="AF5578" s="191"/>
      <c r="AG5578" s="191"/>
      <c r="AH5578" s="191"/>
      <c r="AI5578" s="186"/>
      <c r="AK5578" s="171"/>
    </row>
    <row r="5579" spans="1:41" s="102" customFormat="1" ht="19.899999999999999" customHeight="1" x14ac:dyDescent="0.25">
      <c r="A5579" s="45"/>
      <c r="B5579" s="59"/>
      <c r="C5579" s="137"/>
      <c r="D5579" s="59"/>
      <c r="E5579" s="116"/>
      <c r="F5579" s="120"/>
      <c r="G5579" s="120"/>
      <c r="H5579" s="120"/>
      <c r="I5579" s="60"/>
      <c r="J5579" s="116"/>
      <c r="K5579" s="213"/>
      <c r="L5579" s="120"/>
      <c r="M5579" s="120"/>
      <c r="N5579" s="167"/>
      <c r="O5579" s="120"/>
      <c r="P5579" s="120"/>
      <c r="Q5579" s="120"/>
      <c r="R5579" s="120"/>
      <c r="S5579" s="120"/>
      <c r="T5579" s="221"/>
      <c r="U5579" s="89"/>
      <c r="V5579" s="61"/>
      <c r="W5579" s="92" t="s">
        <v>1030</v>
      </c>
      <c r="X5579" s="93" t="s">
        <v>29</v>
      </c>
      <c r="Y5579" s="93" t="s">
        <v>93</v>
      </c>
      <c r="Z5579" s="134">
        <f>VLOOKUP(W5579,Sheet2!$B:$D,3,FALSE)</f>
        <v>23</v>
      </c>
      <c r="AA5579" s="93">
        <f>1/(3*1)</f>
        <v>0.33333333333333331</v>
      </c>
      <c r="AB5579" s="93">
        <f>AD5579/AC5571</f>
        <v>69</v>
      </c>
      <c r="AC5579" s="93">
        <f>AC5571/AA5579</f>
        <v>2.1299999999999972</v>
      </c>
      <c r="AD5579" s="94">
        <f t="shared" ref="AD5579:AD5580" si="3955">AC5579*Z5579</f>
        <v>48.989999999999938</v>
      </c>
      <c r="AE5579" s="190"/>
      <c r="AF5579" s="191"/>
      <c r="AG5579" s="191"/>
      <c r="AH5579" s="191"/>
      <c r="AI5579" s="186"/>
      <c r="AK5579" s="171"/>
    </row>
    <row r="5580" spans="1:41" s="102" customFormat="1" ht="19.899999999999999" customHeight="1" x14ac:dyDescent="0.25">
      <c r="A5580" s="45"/>
      <c r="B5580" s="59"/>
      <c r="C5580" s="137"/>
      <c r="D5580" s="59"/>
      <c r="E5580" s="116"/>
      <c r="F5580" s="120"/>
      <c r="G5580" s="120"/>
      <c r="H5580" s="120"/>
      <c r="I5580" s="60"/>
      <c r="J5580" s="116"/>
      <c r="K5580" s="213"/>
      <c r="L5580" s="120"/>
      <c r="M5580" s="120"/>
      <c r="N5580" s="167"/>
      <c r="O5580" s="120"/>
      <c r="P5580" s="120"/>
      <c r="Q5580" s="120"/>
      <c r="R5580" s="120"/>
      <c r="S5580" s="120"/>
      <c r="T5580" s="221"/>
      <c r="U5580" s="89"/>
      <c r="V5580" s="61"/>
      <c r="W5580" s="92" t="s">
        <v>65</v>
      </c>
      <c r="X5580" s="93" t="s">
        <v>30</v>
      </c>
      <c r="Y5580" s="93" t="s">
        <v>1011</v>
      </c>
      <c r="Z5580" s="134">
        <f>VLOOKUP(W5580,Sheet2!$B:$D,3,FALSE)</f>
        <v>1.76</v>
      </c>
      <c r="AA5580" s="93">
        <f>AA5579/3</f>
        <v>0.1111111111111111</v>
      </c>
      <c r="AB5580" s="93">
        <f>AD5580/AC5571</f>
        <v>15.84</v>
      </c>
      <c r="AC5580" s="93">
        <f>AC5571/AA5580</f>
        <v>6.3899999999999917</v>
      </c>
      <c r="AD5580" s="94">
        <f t="shared" si="3955"/>
        <v>11.246399999999985</v>
      </c>
      <c r="AE5580" s="190"/>
      <c r="AF5580" s="191"/>
      <c r="AG5580" s="191"/>
      <c r="AH5580" s="191"/>
      <c r="AI5580" s="186"/>
      <c r="AK5580" s="171"/>
    </row>
    <row r="5581" spans="1:41" ht="20.100000000000001" customHeight="1" x14ac:dyDescent="0.25">
      <c r="A5581" s="277" t="s">
        <v>491</v>
      </c>
      <c r="B5581" s="278"/>
      <c r="C5581" s="64" t="s">
        <v>577</v>
      </c>
      <c r="D5581" s="46" t="s">
        <v>215</v>
      </c>
      <c r="E5581" s="114">
        <v>7.9999999999999627E-2</v>
      </c>
      <c r="F5581" s="44">
        <v>34366</v>
      </c>
      <c r="G5581" s="44">
        <f t="shared" si="3841"/>
        <v>2749.279999999987</v>
      </c>
      <c r="H5581" s="44">
        <f t="shared" si="3842"/>
        <v>11657.661783112157</v>
      </c>
      <c r="I5581" s="43">
        <f t="shared" si="3843"/>
        <v>932.61294264896821</v>
      </c>
      <c r="J5581" s="112">
        <f t="shared" si="3844"/>
        <v>7.9999999999999627E-2</v>
      </c>
      <c r="K5581" s="211">
        <f t="shared" si="3845"/>
        <v>7.9999999999999627E-2</v>
      </c>
      <c r="L5581" s="44"/>
      <c r="M5581" s="44">
        <f t="shared" si="3846"/>
        <v>7.9999999999999627E-2</v>
      </c>
      <c r="N5581" s="173">
        <f t="shared" si="3847"/>
        <v>1</v>
      </c>
      <c r="O5581" s="44">
        <f t="shared" si="3848"/>
        <v>34366</v>
      </c>
      <c r="P5581" s="44">
        <f t="shared" si="3849"/>
        <v>2749.279999999987</v>
      </c>
      <c r="Q5581" s="44">
        <f t="shared" si="3850"/>
        <v>11657.661783112157</v>
      </c>
      <c r="R5581" s="44">
        <f t="shared" si="3851"/>
        <v>932.61294264896821</v>
      </c>
      <c r="S5581" s="123"/>
      <c r="T5581" s="219">
        <f t="shared" si="3852"/>
        <v>932.61294264896821</v>
      </c>
      <c r="U5581" s="87"/>
      <c r="V5581" s="47"/>
      <c r="W5581" s="48"/>
      <c r="X5581" s="48"/>
      <c r="Y5581" s="48"/>
      <c r="Z5581" s="135"/>
      <c r="AA5581" s="49"/>
      <c r="AB5581" s="50">
        <f t="shared" si="3853"/>
        <v>11657.661783112157</v>
      </c>
      <c r="AC5581" s="42">
        <f t="shared" si="3854"/>
        <v>7.9999999999999627E-2</v>
      </c>
      <c r="AD5581" s="90">
        <f>AD5582+AD5587+AD5594+AD5601</f>
        <v>932.61294264896821</v>
      </c>
      <c r="AE5581" s="188">
        <f t="shared" ref="AE5581:AH5581" si="3956">AE5582+AE5587+AE5594+AE5601</f>
        <v>0</v>
      </c>
      <c r="AF5581" s="189">
        <f t="shared" si="3956"/>
        <v>0</v>
      </c>
      <c r="AG5581" s="189">
        <f t="shared" si="3956"/>
        <v>0</v>
      </c>
      <c r="AH5581" s="189">
        <f t="shared" si="3956"/>
        <v>0</v>
      </c>
      <c r="AI5581" s="161">
        <f t="shared" ref="AI5581" si="3957">SUM(AE5581:AH5581)</f>
        <v>0</v>
      </c>
      <c r="AK5581" s="169">
        <v>5</v>
      </c>
      <c r="AO5581" s="19" t="s">
        <v>63</v>
      </c>
    </row>
    <row r="5582" spans="1:41" s="103" customFormat="1" ht="19.899999999999999" customHeight="1" x14ac:dyDescent="0.25">
      <c r="A5582" s="51"/>
      <c r="B5582" s="52"/>
      <c r="C5582" s="165"/>
      <c r="D5582" s="52"/>
      <c r="E5582" s="115"/>
      <c r="F5582" s="58"/>
      <c r="G5582" s="58"/>
      <c r="H5582" s="58"/>
      <c r="I5582" s="55"/>
      <c r="J5582" s="113">
        <f>J5581</f>
        <v>7.9999999999999627E-2</v>
      </c>
      <c r="K5582" s="212">
        <f>K5581</f>
        <v>7.9999999999999627E-2</v>
      </c>
      <c r="L5582" s="58"/>
      <c r="M5582" s="58">
        <f>K5582-L5582</f>
        <v>7.9999999999999627E-2</v>
      </c>
      <c r="N5582" s="166"/>
      <c r="O5582" s="58"/>
      <c r="P5582" s="58"/>
      <c r="Q5582" s="58"/>
      <c r="R5582" s="58"/>
      <c r="S5582" s="58"/>
      <c r="T5582" s="220"/>
      <c r="U5582" s="88"/>
      <c r="V5582" s="56"/>
      <c r="W5582" s="57" t="s">
        <v>1517</v>
      </c>
      <c r="X5582" s="53"/>
      <c r="Y5582" s="91" t="s">
        <v>35</v>
      </c>
      <c r="Z5582" s="136">
        <f>AD5582/AC5582</f>
        <v>172.4469490196079</v>
      </c>
      <c r="AA5582" s="58"/>
      <c r="AB5582" s="53">
        <f>AD5582/AC5582</f>
        <v>172.4469490196079</v>
      </c>
      <c r="AC5582" s="53">
        <f>M5582+$AE$10</f>
        <v>7.9999999999999627E-2</v>
      </c>
      <c r="AD5582" s="54">
        <f>SUM(AD5583:AD5586)</f>
        <v>13.795755921568567</v>
      </c>
      <c r="AE5582" s="184">
        <f>SUMIFS($AD$37:$AD$12971,$V$37:$V$12971,$V5582,$X$37:$X$12971,AE$13)</f>
        <v>0</v>
      </c>
      <c r="AF5582" s="185">
        <f>SUMIFS($AD$37:$AD$12971,$V$37:$V$12971,$V5582,$X$37:$X$12971,AF$13)</f>
        <v>0</v>
      </c>
      <c r="AG5582" s="185">
        <f>SUMIFS($AD$37:$AD$12971,$V$37:$V$12971,$V5582,$X$37:$X$12971,AG$13)</f>
        <v>0</v>
      </c>
      <c r="AH5582" s="187">
        <f>SUMIFS($AD$37:$AD$12971,$V$37:$V$12971,$V5582,$X$37:$X$12971,AH$13)</f>
        <v>0</v>
      </c>
      <c r="AI5582" s="161">
        <f t="shared" ref="AI5582" si="3958">SUM(AE5582:AH5582)</f>
        <v>0</v>
      </c>
      <c r="AK5582" s="172"/>
    </row>
    <row r="5583" spans="1:41" s="102" customFormat="1" ht="19.899999999999999" customHeight="1" x14ac:dyDescent="0.25">
      <c r="A5583" s="45"/>
      <c r="B5583" s="59"/>
      <c r="C5583" s="137"/>
      <c r="D5583" s="59"/>
      <c r="E5583" s="116"/>
      <c r="F5583" s="120"/>
      <c r="G5583" s="120"/>
      <c r="H5583" s="120"/>
      <c r="I5583" s="60"/>
      <c r="J5583" s="116"/>
      <c r="K5583" s="213"/>
      <c r="L5583" s="120"/>
      <c r="M5583" s="120"/>
      <c r="N5583" s="167"/>
      <c r="O5583" s="120"/>
      <c r="P5583" s="120"/>
      <c r="Q5583" s="120"/>
      <c r="R5583" s="120"/>
      <c r="S5583" s="120"/>
      <c r="T5583" s="221"/>
      <c r="U5583" s="89"/>
      <c r="V5583" s="61"/>
      <c r="W5583" s="92" t="s">
        <v>129</v>
      </c>
      <c r="X5583" s="93" t="s">
        <v>29</v>
      </c>
      <c r="Y5583" s="93" t="s">
        <v>93</v>
      </c>
      <c r="Z5583" s="134">
        <f>VLOOKUP(W5583,Sheet2!$B:$D,3,FALSE)</f>
        <v>56</v>
      </c>
      <c r="AA5583" s="93">
        <f>100/(3.5*3.5*3.5)</f>
        <v>2.3323615160349855</v>
      </c>
      <c r="AB5583" s="93">
        <f t="shared" ref="AB5583" si="3959">AD5583/AC5582</f>
        <v>24.009999999999998</v>
      </c>
      <c r="AC5583" s="93">
        <f>AC5582/AA5583</f>
        <v>3.4299999999999838E-2</v>
      </c>
      <c r="AD5583" s="94">
        <f t="shared" ref="AD5583:AD5584" si="3960">AC5583*Z5583</f>
        <v>1.920799999999991</v>
      </c>
      <c r="AE5583" s="190"/>
      <c r="AF5583" s="191"/>
      <c r="AG5583" s="191"/>
      <c r="AH5583" s="191"/>
      <c r="AI5583" s="186"/>
      <c r="AK5583" s="171"/>
    </row>
    <row r="5584" spans="1:41" s="102" customFormat="1" ht="19.899999999999999" customHeight="1" x14ac:dyDescent="0.25">
      <c r="A5584" s="45"/>
      <c r="B5584" s="59"/>
      <c r="C5584" s="137"/>
      <c r="D5584" s="59"/>
      <c r="E5584" s="116"/>
      <c r="F5584" s="120"/>
      <c r="G5584" s="120"/>
      <c r="H5584" s="120"/>
      <c r="I5584" s="60"/>
      <c r="J5584" s="116"/>
      <c r="K5584" s="213"/>
      <c r="L5584" s="120"/>
      <c r="M5584" s="120"/>
      <c r="N5584" s="167"/>
      <c r="O5584" s="120"/>
      <c r="P5584" s="120"/>
      <c r="Q5584" s="120"/>
      <c r="R5584" s="120"/>
      <c r="S5584" s="120"/>
      <c r="T5584" s="221"/>
      <c r="U5584" s="89"/>
      <c r="V5584" s="61"/>
      <c r="W5584" s="92" t="s">
        <v>65</v>
      </c>
      <c r="X5584" s="93" t="s">
        <v>30</v>
      </c>
      <c r="Y5584" s="93" t="s">
        <v>1011</v>
      </c>
      <c r="Z5584" s="134">
        <f>VLOOKUP(W5584,Sheet2!$B:$D,3,FALSE)</f>
        <v>1.76</v>
      </c>
      <c r="AA5584" s="93">
        <f>AA5583/14</f>
        <v>0.16659725114535612</v>
      </c>
      <c r="AB5584" s="93">
        <f>AD5584/AC5582</f>
        <v>10.564399999999999</v>
      </c>
      <c r="AC5584" s="93">
        <f>AC5582/AA5584</f>
        <v>0.48019999999999774</v>
      </c>
      <c r="AD5584" s="94">
        <f t="shared" si="3960"/>
        <v>0.84515199999999602</v>
      </c>
      <c r="AE5584" s="190"/>
      <c r="AF5584" s="191"/>
      <c r="AG5584" s="191"/>
      <c r="AH5584" s="191"/>
      <c r="AI5584" s="186"/>
      <c r="AK5584" s="171"/>
    </row>
    <row r="5585" spans="1:37" s="102" customFormat="1" ht="19.899999999999999" customHeight="1" x14ac:dyDescent="0.25">
      <c r="A5585" s="45"/>
      <c r="B5585" s="59"/>
      <c r="C5585" s="137"/>
      <c r="D5585" s="59"/>
      <c r="E5585" s="116"/>
      <c r="F5585" s="120"/>
      <c r="G5585" s="120"/>
      <c r="H5585" s="120"/>
      <c r="I5585" s="60"/>
      <c r="J5585" s="116"/>
      <c r="K5585" s="213"/>
      <c r="L5585" s="120"/>
      <c r="M5585" s="120"/>
      <c r="N5585" s="167"/>
      <c r="O5585" s="120"/>
      <c r="P5585" s="120"/>
      <c r="Q5585" s="120"/>
      <c r="R5585" s="120"/>
      <c r="S5585" s="120"/>
      <c r="T5585" s="221"/>
      <c r="U5585" s="89"/>
      <c r="V5585" s="61"/>
      <c r="W5585" s="92" t="s">
        <v>161</v>
      </c>
      <c r="X5585" s="93" t="s">
        <v>29</v>
      </c>
      <c r="Y5585" s="93" t="s">
        <v>93</v>
      </c>
      <c r="Z5585" s="134">
        <f>VLOOKUP(W5585,Sheet2!$B:$D,3,FALSE)</f>
        <v>48</v>
      </c>
      <c r="AA5585" s="93">
        <f>(16*0.85*1.5)/(3.5*3.5*3.5)</f>
        <v>0.475801749271137</v>
      </c>
      <c r="AB5585" s="93">
        <f>AD5585/AC5582</f>
        <v>100.88235294117649</v>
      </c>
      <c r="AC5585" s="93">
        <f>AC5582/AA5585</f>
        <v>0.16813725490196002</v>
      </c>
      <c r="AD5585" s="94">
        <f>AC5585*Z5585</f>
        <v>8.0705882352940819</v>
      </c>
      <c r="AE5585" s="190"/>
      <c r="AF5585" s="191"/>
      <c r="AG5585" s="191"/>
      <c r="AH5585" s="191"/>
      <c r="AI5585" s="186"/>
      <c r="AK5585" s="171"/>
    </row>
    <row r="5586" spans="1:37" s="102" customFormat="1" ht="19.899999999999999" customHeight="1" x14ac:dyDescent="0.25">
      <c r="A5586" s="45"/>
      <c r="B5586" s="59"/>
      <c r="C5586" s="137"/>
      <c r="D5586" s="59"/>
      <c r="E5586" s="116"/>
      <c r="F5586" s="120"/>
      <c r="G5586" s="120"/>
      <c r="H5586" s="120"/>
      <c r="I5586" s="60"/>
      <c r="J5586" s="116"/>
      <c r="K5586" s="213"/>
      <c r="L5586" s="120"/>
      <c r="M5586" s="120"/>
      <c r="N5586" s="167"/>
      <c r="O5586" s="120"/>
      <c r="P5586" s="120"/>
      <c r="Q5586" s="120"/>
      <c r="R5586" s="120"/>
      <c r="S5586" s="120"/>
      <c r="T5586" s="221"/>
      <c r="U5586" s="89"/>
      <c r="V5586" s="61"/>
      <c r="W5586" s="92" t="s">
        <v>65</v>
      </c>
      <c r="X5586" s="93" t="s">
        <v>30</v>
      </c>
      <c r="Y5586" s="93" t="s">
        <v>1011</v>
      </c>
      <c r="Z5586" s="134">
        <f>VLOOKUP(W5586,Sheet2!$B:$D,3,FALSE)</f>
        <v>1.76</v>
      </c>
      <c r="AA5586" s="93">
        <f>AA5585/10</f>
        <v>4.7580174927113701E-2</v>
      </c>
      <c r="AB5586" s="93">
        <f>AD5586/AC5582</f>
        <v>36.990196078431374</v>
      </c>
      <c r="AC5586" s="93">
        <f>AC5582/AA5586</f>
        <v>1.6813725490196001</v>
      </c>
      <c r="AD5586" s="94">
        <f>AC5586*Z5586</f>
        <v>2.9592156862744963</v>
      </c>
      <c r="AE5586" s="190"/>
      <c r="AF5586" s="191"/>
      <c r="AG5586" s="191"/>
      <c r="AH5586" s="191"/>
      <c r="AI5586" s="186"/>
      <c r="AK5586" s="171"/>
    </row>
    <row r="5587" spans="1:37" s="103" customFormat="1" ht="19.899999999999999" customHeight="1" x14ac:dyDescent="0.25">
      <c r="A5587" s="51"/>
      <c r="B5587" s="52"/>
      <c r="C5587" s="165"/>
      <c r="D5587" s="52"/>
      <c r="E5587" s="115"/>
      <c r="F5587" s="58"/>
      <c r="G5587" s="58"/>
      <c r="H5587" s="58"/>
      <c r="I5587" s="55"/>
      <c r="J5587" s="113">
        <f>J5581</f>
        <v>7.9999999999999627E-2</v>
      </c>
      <c r="K5587" s="212">
        <f>K5581</f>
        <v>7.9999999999999627E-2</v>
      </c>
      <c r="L5587" s="58"/>
      <c r="M5587" s="58">
        <f>K5587-L5587</f>
        <v>7.9999999999999627E-2</v>
      </c>
      <c r="N5587" s="166"/>
      <c r="O5587" s="58"/>
      <c r="P5587" s="58"/>
      <c r="Q5587" s="58"/>
      <c r="R5587" s="58"/>
      <c r="S5587" s="58"/>
      <c r="T5587" s="220"/>
      <c r="U5587" s="88"/>
      <c r="V5587" s="56"/>
      <c r="W5587" s="57" t="s">
        <v>1486</v>
      </c>
      <c r="X5587" s="53"/>
      <c r="Y5587" s="91" t="s">
        <v>35</v>
      </c>
      <c r="Z5587" s="136">
        <f>AD5587/AC5587</f>
        <v>2396.5660000000003</v>
      </c>
      <c r="AA5587" s="58"/>
      <c r="AB5587" s="53">
        <f>AD5587/AC5587</f>
        <v>2396.5660000000003</v>
      </c>
      <c r="AC5587" s="53">
        <f>M5587+$AE$10</f>
        <v>7.9999999999999627E-2</v>
      </c>
      <c r="AD5587" s="54">
        <f>SUM(AD5588:AD5593)</f>
        <v>191.72527999999912</v>
      </c>
      <c r="AE5587" s="184">
        <f>SUMIFS($AD$37:$AD$12971,$V$37:$V$12971,$V5587,$X$37:$X$12971,AE$13)</f>
        <v>0</v>
      </c>
      <c r="AF5587" s="185">
        <f>SUMIFS($AD$37:$AD$12971,$V$37:$V$12971,$V5587,$X$37:$X$12971,AF$13)</f>
        <v>0</v>
      </c>
      <c r="AG5587" s="185">
        <f>SUMIFS($AD$37:$AD$12971,$V$37:$V$12971,$V5587,$X$37:$X$12971,AG$13)</f>
        <v>0</v>
      </c>
      <c r="AH5587" s="187">
        <f>SUMIFS($AD$37:$AD$12971,$V$37:$V$12971,$V5587,$X$37:$X$12971,AH$13)</f>
        <v>0</v>
      </c>
      <c r="AI5587" s="161">
        <f t="shared" ref="AI5587" si="3961">SUM(AE5587:AH5587)</f>
        <v>0</v>
      </c>
      <c r="AK5587" s="172"/>
    </row>
    <row r="5588" spans="1:37" s="102" customFormat="1" ht="19.899999999999999" customHeight="1" x14ac:dyDescent="0.25">
      <c r="A5588" s="45"/>
      <c r="B5588" s="59"/>
      <c r="C5588" s="137"/>
      <c r="D5588" s="59"/>
      <c r="E5588" s="116"/>
      <c r="F5588" s="120"/>
      <c r="G5588" s="120"/>
      <c r="H5588" s="120"/>
      <c r="I5588" s="60"/>
      <c r="J5588" s="116"/>
      <c r="K5588" s="213"/>
      <c r="L5588" s="120"/>
      <c r="M5588" s="120"/>
      <c r="N5588" s="167"/>
      <c r="O5588" s="120"/>
      <c r="P5588" s="120"/>
      <c r="Q5588" s="120"/>
      <c r="R5588" s="120"/>
      <c r="S5588" s="120"/>
      <c r="T5588" s="221"/>
      <c r="U5588" s="89"/>
      <c r="V5588" s="61"/>
      <c r="W5588" s="92" t="s">
        <v>1032</v>
      </c>
      <c r="X5588" s="93" t="s">
        <v>30</v>
      </c>
      <c r="Y5588" s="93" t="s">
        <v>66</v>
      </c>
      <c r="Z5588" s="134">
        <f>VLOOKUP(W5588,Sheet2!$B:$D,3,FALSE)</f>
        <v>250</v>
      </c>
      <c r="AA5588" s="93">
        <f>1/(2.7*2.7*0.1)</f>
        <v>1.371742112482853</v>
      </c>
      <c r="AB5588" s="93">
        <f>AD5588/AC5594</f>
        <v>182.25</v>
      </c>
      <c r="AC5588" s="93">
        <f>AC5594/AA5588</f>
        <v>5.8319999999999733E-2</v>
      </c>
      <c r="AD5588" s="94">
        <f t="shared" ref="AD5588:AD5590" si="3962">AC5588*Z5588</f>
        <v>14.579999999999933</v>
      </c>
      <c r="AE5588" s="190"/>
      <c r="AF5588" s="191"/>
      <c r="AG5588" s="191"/>
      <c r="AH5588" s="191"/>
      <c r="AI5588" s="186"/>
      <c r="AK5588" s="171"/>
    </row>
    <row r="5589" spans="1:37" s="102" customFormat="1" ht="19.899999999999999" customHeight="1" x14ac:dyDescent="0.25">
      <c r="A5589" s="45"/>
      <c r="B5589" s="59"/>
      <c r="C5589" s="137"/>
      <c r="D5589" s="59"/>
      <c r="E5589" s="116"/>
      <c r="F5589" s="120"/>
      <c r="G5589" s="120"/>
      <c r="H5589" s="120"/>
      <c r="I5589" s="60"/>
      <c r="J5589" s="116"/>
      <c r="K5589" s="213"/>
      <c r="L5589" s="120"/>
      <c r="M5589" s="120"/>
      <c r="N5589" s="167"/>
      <c r="O5589" s="120"/>
      <c r="P5589" s="120"/>
      <c r="Q5589" s="120"/>
      <c r="R5589" s="120"/>
      <c r="S5589" s="120"/>
      <c r="T5589" s="221"/>
      <c r="U5589" s="89"/>
      <c r="V5589" s="61"/>
      <c r="W5589" s="92" t="s">
        <v>1353</v>
      </c>
      <c r="X5589" s="93" t="s">
        <v>30</v>
      </c>
      <c r="Y5589" s="93" t="s">
        <v>66</v>
      </c>
      <c r="Z5589" s="134">
        <f>VLOOKUP(W5589,Sheet2!$B:$D,3,FALSE)</f>
        <v>350</v>
      </c>
      <c r="AA5589" s="93">
        <f>1/(2.6*2.6*0.3)</f>
        <v>0.49309664694280081</v>
      </c>
      <c r="AB5589" s="93">
        <f>AD5589/AC5594</f>
        <v>709.8</v>
      </c>
      <c r="AC5589" s="93">
        <f>AC5594/AA5589</f>
        <v>0.16223999999999925</v>
      </c>
      <c r="AD5589" s="94">
        <f t="shared" si="3962"/>
        <v>56.783999999999736</v>
      </c>
      <c r="AE5589" s="190"/>
      <c r="AF5589" s="191"/>
      <c r="AG5589" s="191"/>
      <c r="AH5589" s="191"/>
      <c r="AI5589" s="186"/>
      <c r="AK5589" s="171"/>
    </row>
    <row r="5590" spans="1:37" s="102" customFormat="1" ht="19.899999999999999" customHeight="1" x14ac:dyDescent="0.25">
      <c r="A5590" s="45"/>
      <c r="B5590" s="59"/>
      <c r="C5590" s="137"/>
      <c r="D5590" s="59"/>
      <c r="E5590" s="116"/>
      <c r="F5590" s="120"/>
      <c r="G5590" s="120"/>
      <c r="H5590" s="120"/>
      <c r="I5590" s="60"/>
      <c r="J5590" s="116"/>
      <c r="K5590" s="213"/>
      <c r="L5590" s="120"/>
      <c r="M5590" s="120"/>
      <c r="N5590" s="167"/>
      <c r="O5590" s="120"/>
      <c r="P5590" s="120"/>
      <c r="Q5590" s="120"/>
      <c r="R5590" s="120"/>
      <c r="S5590" s="120"/>
      <c r="T5590" s="221"/>
      <c r="U5590" s="89"/>
      <c r="V5590" s="61"/>
      <c r="W5590" s="92" t="s">
        <v>99</v>
      </c>
      <c r="X5590" s="93" t="s">
        <v>30</v>
      </c>
      <c r="Y5590" s="93" t="s">
        <v>67</v>
      </c>
      <c r="Z5590" s="134">
        <f>VLOOKUP(W5590,Sheet2!$B:$D,3,FALSE)</f>
        <v>2500</v>
      </c>
      <c r="AA5590" s="93">
        <f>AA5589/0.08</f>
        <v>6.16370808678501</v>
      </c>
      <c r="AB5590" s="93">
        <f>AD5590/AC5594</f>
        <v>405.59999999999997</v>
      </c>
      <c r="AC5590" s="93">
        <f>AC5594/AA5590</f>
        <v>1.2979199999999939E-2</v>
      </c>
      <c r="AD5590" s="94">
        <f t="shared" si="3962"/>
        <v>32.447999999999844</v>
      </c>
      <c r="AE5590" s="190"/>
      <c r="AF5590" s="191"/>
      <c r="AG5590" s="191"/>
      <c r="AH5590" s="191"/>
      <c r="AI5590" s="186"/>
      <c r="AK5590" s="171"/>
    </row>
    <row r="5591" spans="1:37" s="102" customFormat="1" ht="19.899999999999999" customHeight="1" x14ac:dyDescent="0.25">
      <c r="A5591" s="45"/>
      <c r="B5591" s="59"/>
      <c r="C5591" s="137"/>
      <c r="D5591" s="59"/>
      <c r="E5591" s="116"/>
      <c r="F5591" s="120"/>
      <c r="G5591" s="120"/>
      <c r="H5591" s="120"/>
      <c r="I5591" s="60"/>
      <c r="J5591" s="116"/>
      <c r="K5591" s="213"/>
      <c r="L5591" s="120"/>
      <c r="M5591" s="120"/>
      <c r="N5591" s="167"/>
      <c r="O5591" s="120"/>
      <c r="P5591" s="120"/>
      <c r="Q5591" s="120"/>
      <c r="R5591" s="120"/>
      <c r="S5591" s="120"/>
      <c r="T5591" s="221"/>
      <c r="U5591" s="89"/>
      <c r="V5591" s="61"/>
      <c r="W5591" s="92" t="s">
        <v>1354</v>
      </c>
      <c r="X5591" s="93" t="s">
        <v>32</v>
      </c>
      <c r="Y5591" s="93" t="s">
        <v>66</v>
      </c>
      <c r="Z5591" s="134">
        <f>VLOOKUP(W5591,Sheet2!$B:$D,3,FALSE)</f>
        <v>150</v>
      </c>
      <c r="AA5591" s="93">
        <f>AA5588</f>
        <v>1.371742112482853</v>
      </c>
      <c r="AB5591" s="93">
        <f>AD5591/AC5594</f>
        <v>109.35000000000001</v>
      </c>
      <c r="AC5591" s="93">
        <f>AC5594/AA5591</f>
        <v>5.8319999999999733E-2</v>
      </c>
      <c r="AD5591" s="94">
        <f>AC5591*Z5591</f>
        <v>8.7479999999999603</v>
      </c>
      <c r="AE5591" s="190"/>
      <c r="AF5591" s="191"/>
      <c r="AG5591" s="191"/>
      <c r="AH5591" s="191"/>
      <c r="AI5591" s="186"/>
      <c r="AK5591" s="171"/>
    </row>
    <row r="5592" spans="1:37" s="102" customFormat="1" ht="19.899999999999999" customHeight="1" x14ac:dyDescent="0.25">
      <c r="A5592" s="45"/>
      <c r="B5592" s="59"/>
      <c r="C5592" s="137"/>
      <c r="D5592" s="59"/>
      <c r="E5592" s="116"/>
      <c r="F5592" s="120"/>
      <c r="G5592" s="120"/>
      <c r="H5592" s="120"/>
      <c r="I5592" s="60"/>
      <c r="J5592" s="116"/>
      <c r="K5592" s="213"/>
      <c r="L5592" s="120"/>
      <c r="M5592" s="120"/>
      <c r="N5592" s="167"/>
      <c r="O5592" s="120"/>
      <c r="P5592" s="120"/>
      <c r="Q5592" s="120"/>
      <c r="R5592" s="120"/>
      <c r="S5592" s="120"/>
      <c r="T5592" s="221"/>
      <c r="U5592" s="89"/>
      <c r="V5592" s="61"/>
      <c r="W5592" s="92" t="s">
        <v>1355</v>
      </c>
      <c r="X5592" s="93" t="s">
        <v>32</v>
      </c>
      <c r="Y5592" s="93" t="s">
        <v>66</v>
      </c>
      <c r="Z5592" s="134">
        <f>VLOOKUP(W5592,Sheet2!$B:$D,3,FALSE)</f>
        <v>450</v>
      </c>
      <c r="AA5592" s="93">
        <f>AA5589</f>
        <v>0.49309664694280081</v>
      </c>
      <c r="AB5592" s="93">
        <f>AD5592/AC5594</f>
        <v>912.59999999999991</v>
      </c>
      <c r="AC5592" s="93">
        <f>AC5594/AA5592</f>
        <v>0.16223999999999925</v>
      </c>
      <c r="AD5592" s="94">
        <f>AC5592*Z5592</f>
        <v>73.007999999999655</v>
      </c>
      <c r="AE5592" s="190"/>
      <c r="AF5592" s="191"/>
      <c r="AG5592" s="191"/>
      <c r="AH5592" s="191"/>
      <c r="AI5592" s="186"/>
      <c r="AK5592" s="171"/>
    </row>
    <row r="5593" spans="1:37" s="102" customFormat="1" ht="19.899999999999999" customHeight="1" x14ac:dyDescent="0.25">
      <c r="A5593" s="45"/>
      <c r="B5593" s="59"/>
      <c r="C5593" s="137"/>
      <c r="D5593" s="59"/>
      <c r="E5593" s="116"/>
      <c r="F5593" s="120"/>
      <c r="G5593" s="120"/>
      <c r="H5593" s="120"/>
      <c r="I5593" s="60"/>
      <c r="J5593" s="116"/>
      <c r="K5593" s="213"/>
      <c r="L5593" s="120"/>
      <c r="M5593" s="120"/>
      <c r="N5593" s="167"/>
      <c r="O5593" s="120"/>
      <c r="P5593" s="120"/>
      <c r="Q5593" s="120"/>
      <c r="R5593" s="120"/>
      <c r="S5593" s="120"/>
      <c r="T5593" s="221"/>
      <c r="U5593" s="89"/>
      <c r="V5593" s="61"/>
      <c r="W5593" s="92" t="s">
        <v>124</v>
      </c>
      <c r="X5593" s="93" t="s">
        <v>32</v>
      </c>
      <c r="Y5593" s="93" t="s">
        <v>64</v>
      </c>
      <c r="Z5593" s="134">
        <f>VLOOKUP(W5593,Sheet2!$B:$D,3,FALSE)</f>
        <v>10</v>
      </c>
      <c r="AA5593" s="93">
        <f>1/((3.2*3.2)-(3.14*1.8*1.8/4))</f>
        <v>0.12992750045474621</v>
      </c>
      <c r="AB5593" s="93">
        <f t="shared" ref="AB5593" si="3963">AD5593/AC5587</f>
        <v>76.966000000000022</v>
      </c>
      <c r="AC5593" s="93">
        <f>AC5587/AA5593</f>
        <v>0.61572799999999728</v>
      </c>
      <c r="AD5593" s="94">
        <f t="shared" ref="AD5593" si="3964">AC5593*Z5593</f>
        <v>6.1572799999999726</v>
      </c>
      <c r="AE5593" s="190"/>
      <c r="AF5593" s="191"/>
      <c r="AG5593" s="191"/>
      <c r="AH5593" s="191"/>
      <c r="AI5593" s="186"/>
      <c r="AK5593" s="171"/>
    </row>
    <row r="5594" spans="1:37" s="103" customFormat="1" ht="19.899999999999999" customHeight="1" x14ac:dyDescent="0.25">
      <c r="A5594" s="51"/>
      <c r="B5594" s="52"/>
      <c r="C5594" s="165"/>
      <c r="D5594" s="52"/>
      <c r="E5594" s="115"/>
      <c r="F5594" s="58"/>
      <c r="G5594" s="58"/>
      <c r="H5594" s="58"/>
      <c r="I5594" s="55"/>
      <c r="J5594" s="113">
        <f>J5581</f>
        <v>7.9999999999999627E-2</v>
      </c>
      <c r="K5594" s="212">
        <f>K5581</f>
        <v>7.9999999999999627E-2</v>
      </c>
      <c r="L5594" s="58"/>
      <c r="M5594" s="58">
        <f>K5594-L5594</f>
        <v>7.9999999999999627E-2</v>
      </c>
      <c r="N5594" s="166"/>
      <c r="O5594" s="58"/>
      <c r="P5594" s="58"/>
      <c r="Q5594" s="58"/>
      <c r="R5594" s="58"/>
      <c r="S5594" s="58"/>
      <c r="T5594" s="220"/>
      <c r="U5594" s="88"/>
      <c r="V5594" s="56"/>
      <c r="W5594" s="57" t="s">
        <v>1275</v>
      </c>
      <c r="X5594" s="53"/>
      <c r="Y5594" s="91" t="s">
        <v>35</v>
      </c>
      <c r="Z5594" s="136">
        <f>AD5594/AC5594</f>
        <v>8477.8000000000011</v>
      </c>
      <c r="AA5594" s="58"/>
      <c r="AB5594" s="53">
        <f>AD5594/AC5594</f>
        <v>8477.8000000000011</v>
      </c>
      <c r="AC5594" s="53">
        <f>M5594+$AE$10</f>
        <v>7.9999999999999627E-2</v>
      </c>
      <c r="AD5594" s="54">
        <f>SUM(AD5595:AD5600)</f>
        <v>678.22399999999686</v>
      </c>
      <c r="AE5594" s="184">
        <f>SUMIFS($AD$37:$AD$12971,$V$37:$V$12971,$V5594,$X$37:$X$12971,AE$13)</f>
        <v>0</v>
      </c>
      <c r="AF5594" s="185">
        <f>SUMIFS($AD$37:$AD$12971,$V$37:$V$12971,$V5594,$X$37:$X$12971,AF$13)</f>
        <v>0</v>
      </c>
      <c r="AG5594" s="185">
        <f>SUMIFS($AD$37:$AD$12971,$V$37:$V$12971,$V5594,$X$37:$X$12971,AG$13)</f>
        <v>0</v>
      </c>
      <c r="AH5594" s="187">
        <f>SUMIFS($AD$37:$AD$12971,$V$37:$V$12971,$V5594,$X$37:$X$12971,AH$13)</f>
        <v>0</v>
      </c>
      <c r="AI5594" s="161">
        <f t="shared" ref="AI5594" si="3965">SUM(AE5594:AH5594)</f>
        <v>0</v>
      </c>
      <c r="AK5594" s="172"/>
    </row>
    <row r="5595" spans="1:37" s="102" customFormat="1" ht="19.899999999999999" customHeight="1" x14ac:dyDescent="0.25">
      <c r="A5595" s="45"/>
      <c r="B5595" s="59"/>
      <c r="C5595" s="137"/>
      <c r="D5595" s="59"/>
      <c r="E5595" s="116"/>
      <c r="F5595" s="120"/>
      <c r="G5595" s="120"/>
      <c r="H5595" s="120"/>
      <c r="I5595" s="60"/>
      <c r="J5595" s="116"/>
      <c r="K5595" s="213"/>
      <c r="L5595" s="120"/>
      <c r="M5595" s="120"/>
      <c r="N5595" s="167"/>
      <c r="O5595" s="120"/>
      <c r="P5595" s="120"/>
      <c r="Q5595" s="120"/>
      <c r="R5595" s="120"/>
      <c r="S5595" s="120"/>
      <c r="T5595" s="221"/>
      <c r="U5595" s="89"/>
      <c r="V5595" s="61"/>
      <c r="W5595" s="92" t="s">
        <v>1502</v>
      </c>
      <c r="X5595" s="93" t="s">
        <v>30</v>
      </c>
      <c r="Y5595" s="93" t="s">
        <v>35</v>
      </c>
      <c r="Z5595" s="134">
        <f>VLOOKUP(W5595,Sheet2!$B:$D,3,FALSE)</f>
        <v>6705</v>
      </c>
      <c r="AA5595" s="93">
        <v>1</v>
      </c>
      <c r="AB5595" s="93">
        <f>AD5595/AC5594</f>
        <v>6705</v>
      </c>
      <c r="AC5595" s="93">
        <f>AC5594/AA5595</f>
        <v>7.9999999999999627E-2</v>
      </c>
      <c r="AD5595" s="94">
        <f t="shared" ref="AD5595:AD5596" si="3966">AC5595*Z5595</f>
        <v>536.39999999999748</v>
      </c>
      <c r="AE5595" s="190"/>
      <c r="AF5595" s="191"/>
      <c r="AG5595" s="191"/>
      <c r="AH5595" s="191"/>
      <c r="AI5595" s="186"/>
      <c r="AK5595" s="171"/>
    </row>
    <row r="5596" spans="1:37" s="102" customFormat="1" ht="19.899999999999999" customHeight="1" x14ac:dyDescent="0.25">
      <c r="A5596" s="45"/>
      <c r="B5596" s="59"/>
      <c r="C5596" s="137"/>
      <c r="D5596" s="59"/>
      <c r="E5596" s="116"/>
      <c r="F5596" s="120"/>
      <c r="G5596" s="120"/>
      <c r="H5596" s="120"/>
      <c r="I5596" s="60"/>
      <c r="J5596" s="116"/>
      <c r="K5596" s="213"/>
      <c r="L5596" s="120"/>
      <c r="M5596" s="120"/>
      <c r="N5596" s="167"/>
      <c r="O5596" s="120"/>
      <c r="P5596" s="120"/>
      <c r="Q5596" s="120"/>
      <c r="R5596" s="120"/>
      <c r="S5596" s="120"/>
      <c r="T5596" s="221"/>
      <c r="U5596" s="89"/>
      <c r="V5596" s="61"/>
      <c r="W5596" s="92" t="s">
        <v>174</v>
      </c>
      <c r="X5596" s="93" t="s">
        <v>29</v>
      </c>
      <c r="Y5596" s="93" t="s">
        <v>93</v>
      </c>
      <c r="Z5596" s="134">
        <f>VLOOKUP(W5596,Sheet2!$B:$D,3,FALSE)</f>
        <v>80</v>
      </c>
      <c r="AA5596" s="93">
        <f>1/2</f>
        <v>0.5</v>
      </c>
      <c r="AB5596" s="93">
        <f>AD5596/AC5594</f>
        <v>160</v>
      </c>
      <c r="AC5596" s="93">
        <f>AC5594/AA5596</f>
        <v>0.15999999999999925</v>
      </c>
      <c r="AD5596" s="94">
        <f t="shared" si="3966"/>
        <v>12.79999999999994</v>
      </c>
      <c r="AE5596" s="190"/>
      <c r="AF5596" s="191"/>
      <c r="AG5596" s="191"/>
      <c r="AH5596" s="191"/>
      <c r="AI5596" s="186"/>
      <c r="AK5596" s="171"/>
    </row>
    <row r="5597" spans="1:37" s="102" customFormat="1" ht="19.899999999999999" customHeight="1" x14ac:dyDescent="0.25">
      <c r="A5597" s="45"/>
      <c r="B5597" s="59"/>
      <c r="C5597" s="137"/>
      <c r="D5597" s="59"/>
      <c r="E5597" s="116"/>
      <c r="F5597" s="120"/>
      <c r="G5597" s="120"/>
      <c r="H5597" s="120"/>
      <c r="I5597" s="60"/>
      <c r="J5597" s="116"/>
      <c r="K5597" s="213"/>
      <c r="L5597" s="120"/>
      <c r="M5597" s="120"/>
      <c r="N5597" s="167"/>
      <c r="O5597" s="120"/>
      <c r="P5597" s="120"/>
      <c r="Q5597" s="120"/>
      <c r="R5597" s="120"/>
      <c r="S5597" s="120"/>
      <c r="T5597" s="221"/>
      <c r="U5597" s="89"/>
      <c r="V5597" s="61"/>
      <c r="W5597" s="92" t="s">
        <v>65</v>
      </c>
      <c r="X5597" s="93" t="s">
        <v>30</v>
      </c>
      <c r="Y5597" s="93" t="s">
        <v>93</v>
      </c>
      <c r="Z5597" s="134">
        <f>VLOOKUP(W5597,Sheet2!$B:$D,3,FALSE)</f>
        <v>1.76</v>
      </c>
      <c r="AA5597" s="93">
        <f>AA5596/15</f>
        <v>3.3333333333333333E-2</v>
      </c>
      <c r="AB5597" s="93">
        <f>AD5597/AC5594</f>
        <v>52.800000000000004</v>
      </c>
      <c r="AC5597" s="93">
        <f>AC5594/AA5597</f>
        <v>2.3999999999999888</v>
      </c>
      <c r="AD5597" s="94">
        <f>AC5597*Z5597</f>
        <v>4.2239999999999807</v>
      </c>
      <c r="AE5597" s="190"/>
      <c r="AF5597" s="191"/>
      <c r="AG5597" s="191"/>
      <c r="AH5597" s="191"/>
      <c r="AI5597" s="186"/>
      <c r="AK5597" s="171"/>
    </row>
    <row r="5598" spans="1:37" s="102" customFormat="1" ht="19.899999999999999" customHeight="1" x14ac:dyDescent="0.25">
      <c r="A5598" s="45"/>
      <c r="B5598" s="59"/>
      <c r="C5598" s="137"/>
      <c r="D5598" s="59"/>
      <c r="E5598" s="116"/>
      <c r="F5598" s="120"/>
      <c r="G5598" s="120"/>
      <c r="H5598" s="120"/>
      <c r="I5598" s="60"/>
      <c r="J5598" s="116"/>
      <c r="K5598" s="213"/>
      <c r="L5598" s="120"/>
      <c r="M5598" s="120"/>
      <c r="N5598" s="167"/>
      <c r="O5598" s="120"/>
      <c r="P5598" s="120"/>
      <c r="Q5598" s="120"/>
      <c r="R5598" s="120"/>
      <c r="S5598" s="120"/>
      <c r="T5598" s="221"/>
      <c r="U5598" s="89"/>
      <c r="V5598" s="61"/>
      <c r="W5598" s="92" t="s">
        <v>1487</v>
      </c>
      <c r="X5598" s="93" t="s">
        <v>32</v>
      </c>
      <c r="Y5598" s="93" t="s">
        <v>1349</v>
      </c>
      <c r="Z5598" s="134">
        <f>VLOOKUP(W5598,Sheet2!$B:$D,3,FALSE)</f>
        <v>1500</v>
      </c>
      <c r="AA5598" s="93">
        <v>1</v>
      </c>
      <c r="AB5598" s="93">
        <f>AD5598/AC5594</f>
        <v>1500</v>
      </c>
      <c r="AC5598" s="93">
        <f>AC5594/AA5598</f>
        <v>7.9999999999999627E-2</v>
      </c>
      <c r="AD5598" s="94">
        <f>AC5598*Z5598</f>
        <v>119.99999999999945</v>
      </c>
      <c r="AE5598" s="190"/>
      <c r="AF5598" s="191"/>
      <c r="AG5598" s="191"/>
      <c r="AH5598" s="191"/>
      <c r="AI5598" s="186"/>
      <c r="AK5598" s="171"/>
    </row>
    <row r="5599" spans="1:37" s="102" customFormat="1" ht="19.899999999999999" customHeight="1" x14ac:dyDescent="0.25">
      <c r="A5599" s="45"/>
      <c r="B5599" s="59"/>
      <c r="C5599" s="137"/>
      <c r="D5599" s="59"/>
      <c r="E5599" s="116"/>
      <c r="F5599" s="120"/>
      <c r="G5599" s="120"/>
      <c r="H5599" s="120"/>
      <c r="I5599" s="60"/>
      <c r="J5599" s="116"/>
      <c r="K5599" s="213"/>
      <c r="L5599" s="120"/>
      <c r="M5599" s="120"/>
      <c r="N5599" s="167"/>
      <c r="O5599" s="120"/>
      <c r="P5599" s="120"/>
      <c r="Q5599" s="120"/>
      <c r="R5599" s="120"/>
      <c r="S5599" s="120"/>
      <c r="T5599" s="221"/>
      <c r="U5599" s="89"/>
      <c r="V5599" s="61"/>
      <c r="W5599" s="92" t="s">
        <v>107</v>
      </c>
      <c r="X5599" s="93" t="s">
        <v>31</v>
      </c>
      <c r="Y5599" s="93" t="s">
        <v>93</v>
      </c>
      <c r="Z5599" s="134">
        <f>VLOOKUP(W5599,Sheet2!$B:$D,3,FALSE)</f>
        <v>17</v>
      </c>
      <c r="AA5599" s="93">
        <f>AA5596</f>
        <v>0.5</v>
      </c>
      <c r="AB5599" s="93">
        <f>AD5599/AC5594</f>
        <v>34</v>
      </c>
      <c r="AC5599" s="93">
        <f>AC5594/AA5599</f>
        <v>0.15999999999999925</v>
      </c>
      <c r="AD5599" s="94">
        <f>AC5599*Z5599</f>
        <v>2.7199999999999873</v>
      </c>
      <c r="AE5599" s="190"/>
      <c r="AF5599" s="191"/>
      <c r="AG5599" s="191"/>
      <c r="AH5599" s="191"/>
      <c r="AI5599" s="186"/>
      <c r="AK5599" s="171"/>
    </row>
    <row r="5600" spans="1:37" s="102" customFormat="1" ht="19.899999999999999" customHeight="1" x14ac:dyDescent="0.25">
      <c r="A5600" s="45"/>
      <c r="B5600" s="59"/>
      <c r="C5600" s="137"/>
      <c r="D5600" s="59"/>
      <c r="E5600" s="116"/>
      <c r="F5600" s="120"/>
      <c r="G5600" s="120"/>
      <c r="H5600" s="120"/>
      <c r="I5600" s="60"/>
      <c r="J5600" s="116"/>
      <c r="K5600" s="213"/>
      <c r="L5600" s="120"/>
      <c r="M5600" s="120"/>
      <c r="N5600" s="167"/>
      <c r="O5600" s="120"/>
      <c r="P5600" s="120"/>
      <c r="Q5600" s="120"/>
      <c r="R5600" s="120"/>
      <c r="S5600" s="120"/>
      <c r="T5600" s="221"/>
      <c r="U5600" s="89"/>
      <c r="V5600" s="61"/>
      <c r="W5600" s="92" t="s">
        <v>112</v>
      </c>
      <c r="X5600" s="93" t="s">
        <v>31</v>
      </c>
      <c r="Y5600" s="93" t="s">
        <v>93</v>
      </c>
      <c r="Z5600" s="134">
        <f>VLOOKUP(W5600,Sheet2!$B:$D,3,FALSE)</f>
        <v>13</v>
      </c>
      <c r="AA5600" s="93">
        <f>AA5599</f>
        <v>0.5</v>
      </c>
      <c r="AB5600" s="93">
        <f>AD5600/AC5594</f>
        <v>26</v>
      </c>
      <c r="AC5600" s="93">
        <f>AC5594/AA5600</f>
        <v>0.15999999999999925</v>
      </c>
      <c r="AD5600" s="94">
        <f>AC5600*Z5600</f>
        <v>2.0799999999999903</v>
      </c>
      <c r="AE5600" s="190"/>
      <c r="AF5600" s="191"/>
      <c r="AG5600" s="191"/>
      <c r="AH5600" s="191"/>
      <c r="AI5600" s="186"/>
      <c r="AK5600" s="171"/>
    </row>
    <row r="5601" spans="1:41" s="103" customFormat="1" ht="19.899999999999999" customHeight="1" x14ac:dyDescent="0.25">
      <c r="A5601" s="51"/>
      <c r="B5601" s="52"/>
      <c r="C5601" s="165"/>
      <c r="D5601" s="52"/>
      <c r="E5601" s="115"/>
      <c r="F5601" s="58"/>
      <c r="G5601" s="58"/>
      <c r="H5601" s="58"/>
      <c r="I5601" s="55"/>
      <c r="J5601" s="113">
        <f>J5581</f>
        <v>7.9999999999999627E-2</v>
      </c>
      <c r="K5601" s="212">
        <f>K5581</f>
        <v>7.9999999999999627E-2</v>
      </c>
      <c r="L5601" s="58"/>
      <c r="M5601" s="58">
        <f>K5601-L5601</f>
        <v>7.9999999999999627E-2</v>
      </c>
      <c r="N5601" s="166"/>
      <c r="O5601" s="58"/>
      <c r="P5601" s="58"/>
      <c r="Q5601" s="58"/>
      <c r="R5601" s="58"/>
      <c r="S5601" s="58"/>
      <c r="T5601" s="220"/>
      <c r="U5601" s="88"/>
      <c r="V5601" s="56"/>
      <c r="W5601" s="57" t="s">
        <v>1272</v>
      </c>
      <c r="X5601" s="53"/>
      <c r="Y5601" s="91" t="s">
        <v>35</v>
      </c>
      <c r="Z5601" s="136">
        <f>AD5601/AC5601</f>
        <v>610.84883409254905</v>
      </c>
      <c r="AA5601" s="58"/>
      <c r="AB5601" s="53">
        <f>AD5601/AC5601</f>
        <v>610.84883409254905</v>
      </c>
      <c r="AC5601" s="53">
        <f>M5601+$AE$10</f>
        <v>7.9999999999999627E-2</v>
      </c>
      <c r="AD5601" s="54">
        <f>SUM(AD5602:AD5610)</f>
        <v>48.8679067274037</v>
      </c>
      <c r="AE5601" s="184">
        <f>SUMIFS($AD$37:$AD$12971,$V$37:$V$12971,$V5601,$X$37:$X$12971,AE$13)</f>
        <v>0</v>
      </c>
      <c r="AF5601" s="185">
        <f>SUMIFS($AD$37:$AD$12971,$V$37:$V$12971,$V5601,$X$37:$X$12971,AF$13)</f>
        <v>0</v>
      </c>
      <c r="AG5601" s="185">
        <f>SUMIFS($AD$37:$AD$12971,$V$37:$V$12971,$V5601,$X$37:$X$12971,AG$13)</f>
        <v>0</v>
      </c>
      <c r="AH5601" s="187">
        <f>SUMIFS($AD$37:$AD$12971,$V$37:$V$12971,$V5601,$X$37:$X$12971,AH$13)</f>
        <v>0</v>
      </c>
      <c r="AI5601" s="161">
        <f t="shared" ref="AI5601" si="3967">SUM(AE5601:AH5601)</f>
        <v>0</v>
      </c>
      <c r="AK5601" s="172"/>
    </row>
    <row r="5602" spans="1:41" s="102" customFormat="1" ht="19.899999999999999" customHeight="1" x14ac:dyDescent="0.25">
      <c r="A5602" s="45"/>
      <c r="B5602" s="59"/>
      <c r="C5602" s="137"/>
      <c r="D5602" s="59"/>
      <c r="E5602" s="116"/>
      <c r="F5602" s="120"/>
      <c r="G5602" s="120"/>
      <c r="H5602" s="120"/>
      <c r="I5602" s="60"/>
      <c r="J5602" s="116"/>
      <c r="K5602" s="213"/>
      <c r="L5602" s="120"/>
      <c r="M5602" s="120"/>
      <c r="N5602" s="167"/>
      <c r="O5602" s="120"/>
      <c r="P5602" s="120"/>
      <c r="Q5602" s="120"/>
      <c r="R5602" s="120"/>
      <c r="S5602" s="120"/>
      <c r="T5602" s="221"/>
      <c r="U5602" s="89"/>
      <c r="V5602" s="61"/>
      <c r="W5602" s="92" t="s">
        <v>1273</v>
      </c>
      <c r="X5602" s="93" t="s">
        <v>30</v>
      </c>
      <c r="Y5602" s="93" t="s">
        <v>66</v>
      </c>
      <c r="Z5602" s="134">
        <f>VLOOKUP(W5602,Sheet2!$B:$D,3,FALSE)</f>
        <v>10</v>
      </c>
      <c r="AA5602" s="93">
        <f>1/((3.5*3.5*3.5)-(3.14/4*1.8*1.8*3.5))</f>
        <v>2.9435053027248026E-2</v>
      </c>
      <c r="AB5602" s="93">
        <f>AD5602/AC5601</f>
        <v>339.73100000000005</v>
      </c>
      <c r="AC5602" s="93">
        <f>AC5601/AA5602</f>
        <v>2.7178479999999876</v>
      </c>
      <c r="AD5602" s="94">
        <f t="shared" ref="AD5602:AD5604" si="3968">AC5602*Z5602</f>
        <v>27.178479999999876</v>
      </c>
      <c r="AE5602" s="190"/>
      <c r="AF5602" s="191"/>
      <c r="AG5602" s="191"/>
      <c r="AH5602" s="191"/>
      <c r="AI5602" s="186"/>
      <c r="AK5602" s="171"/>
    </row>
    <row r="5603" spans="1:41" s="102" customFormat="1" ht="19.899999999999999" customHeight="1" x14ac:dyDescent="0.25">
      <c r="A5603" s="45"/>
      <c r="B5603" s="59"/>
      <c r="C5603" s="137"/>
      <c r="D5603" s="59"/>
      <c r="E5603" s="116"/>
      <c r="F5603" s="120"/>
      <c r="G5603" s="120"/>
      <c r="H5603" s="120"/>
      <c r="I5603" s="60"/>
      <c r="J5603" s="116"/>
      <c r="K5603" s="213"/>
      <c r="L5603" s="120"/>
      <c r="M5603" s="120"/>
      <c r="N5603" s="167"/>
      <c r="O5603" s="120"/>
      <c r="P5603" s="120"/>
      <c r="Q5603" s="120"/>
      <c r="R5603" s="120"/>
      <c r="S5603" s="120"/>
      <c r="T5603" s="221"/>
      <c r="U5603" s="89"/>
      <c r="V5603" s="61"/>
      <c r="W5603" s="92" t="s">
        <v>134</v>
      </c>
      <c r="X5603" s="93" t="s">
        <v>29</v>
      </c>
      <c r="Y5603" s="93" t="s">
        <v>93</v>
      </c>
      <c r="Z5603" s="134">
        <f>VLOOKUP(W5603,Sheet2!$B:$D,3,FALSE)</f>
        <v>65.599999999999994</v>
      </c>
      <c r="AA5603" s="93">
        <f>100/((3.5*3.5*3.5)-(3.14/4*1.8*1.8*3.5))</f>
        <v>2.9435053027248026</v>
      </c>
      <c r="AB5603" s="93">
        <f t="shared" ref="AB5603" si="3969">AD5603/AC5601</f>
        <v>22.286353600000002</v>
      </c>
      <c r="AC5603" s="93">
        <f>AC5601/AA5603</f>
        <v>2.7178479999999876E-2</v>
      </c>
      <c r="AD5603" s="94">
        <f t="shared" si="3968"/>
        <v>1.7829082879999918</v>
      </c>
      <c r="AE5603" s="190"/>
      <c r="AF5603" s="191"/>
      <c r="AG5603" s="191"/>
      <c r="AH5603" s="191"/>
      <c r="AI5603" s="186"/>
      <c r="AK5603" s="171"/>
    </row>
    <row r="5604" spans="1:41" s="102" customFormat="1" ht="19.899999999999999" customHeight="1" x14ac:dyDescent="0.25">
      <c r="A5604" s="45"/>
      <c r="B5604" s="59"/>
      <c r="C5604" s="137"/>
      <c r="D5604" s="59"/>
      <c r="E5604" s="116"/>
      <c r="F5604" s="120"/>
      <c r="G5604" s="120"/>
      <c r="H5604" s="120"/>
      <c r="I5604" s="60"/>
      <c r="J5604" s="116"/>
      <c r="K5604" s="213"/>
      <c r="L5604" s="120"/>
      <c r="M5604" s="120"/>
      <c r="N5604" s="167"/>
      <c r="O5604" s="120"/>
      <c r="P5604" s="120"/>
      <c r="Q5604" s="120"/>
      <c r="R5604" s="120"/>
      <c r="S5604" s="120"/>
      <c r="T5604" s="221"/>
      <c r="U5604" s="89"/>
      <c r="V5604" s="61"/>
      <c r="W5604" s="92" t="s">
        <v>65</v>
      </c>
      <c r="X5604" s="93" t="s">
        <v>30</v>
      </c>
      <c r="Y5604" s="93" t="s">
        <v>1011</v>
      </c>
      <c r="Z5604" s="134">
        <f>VLOOKUP(W5604,Sheet2!$B:$D,3,FALSE)</f>
        <v>1.76</v>
      </c>
      <c r="AA5604" s="93">
        <f>AA5603/9</f>
        <v>0.32705614474720029</v>
      </c>
      <c r="AB5604" s="93">
        <f>AD5604/AC5601</f>
        <v>5.3813390400000003</v>
      </c>
      <c r="AC5604" s="93">
        <f>AC5601/AA5604</f>
        <v>0.24460631999999888</v>
      </c>
      <c r="AD5604" s="94">
        <f t="shared" si="3968"/>
        <v>0.43050712319999801</v>
      </c>
      <c r="AE5604" s="190"/>
      <c r="AF5604" s="191"/>
      <c r="AG5604" s="191"/>
      <c r="AH5604" s="191"/>
      <c r="AI5604" s="186"/>
      <c r="AK5604" s="171"/>
    </row>
    <row r="5605" spans="1:41" s="102" customFormat="1" ht="19.899999999999999" customHeight="1" x14ac:dyDescent="0.25">
      <c r="A5605" s="45"/>
      <c r="B5605" s="59"/>
      <c r="C5605" s="137"/>
      <c r="D5605" s="59"/>
      <c r="E5605" s="116"/>
      <c r="F5605" s="120"/>
      <c r="G5605" s="120"/>
      <c r="H5605" s="120"/>
      <c r="I5605" s="60"/>
      <c r="J5605" s="116"/>
      <c r="K5605" s="213"/>
      <c r="L5605" s="120"/>
      <c r="M5605" s="120"/>
      <c r="N5605" s="167"/>
      <c r="O5605" s="120"/>
      <c r="P5605" s="120"/>
      <c r="Q5605" s="120"/>
      <c r="R5605" s="120"/>
      <c r="S5605" s="120"/>
      <c r="T5605" s="221"/>
      <c r="U5605" s="89"/>
      <c r="V5605" s="61"/>
      <c r="W5605" s="92" t="s">
        <v>161</v>
      </c>
      <c r="X5605" s="93" t="s">
        <v>29</v>
      </c>
      <c r="Y5605" s="93" t="s">
        <v>93</v>
      </c>
      <c r="Z5605" s="134">
        <f>VLOOKUP(W5605,Sheet2!$B:$D,3,FALSE)</f>
        <v>48</v>
      </c>
      <c r="AA5605" s="93">
        <f>(16*0.85*1.5)/((3.5*3.5*3.5)-(3.14/4*1.8*1.8*3.5))</f>
        <v>0.60047508175585973</v>
      </c>
      <c r="AB5605" s="93">
        <f>AD5605/AC5601</f>
        <v>79.936705882352953</v>
      </c>
      <c r="AC5605" s="93">
        <f>AC5601/AA5605</f>
        <v>0.1332278431372543</v>
      </c>
      <c r="AD5605" s="94">
        <f>AC5605*Z5605</f>
        <v>6.3949364705882061</v>
      </c>
      <c r="AE5605" s="190"/>
      <c r="AF5605" s="191"/>
      <c r="AG5605" s="191"/>
      <c r="AH5605" s="191"/>
      <c r="AI5605" s="186"/>
      <c r="AK5605" s="171"/>
    </row>
    <row r="5606" spans="1:41" s="102" customFormat="1" ht="19.899999999999999" customHeight="1" x14ac:dyDescent="0.25">
      <c r="A5606" s="45"/>
      <c r="B5606" s="59"/>
      <c r="C5606" s="137"/>
      <c r="D5606" s="59"/>
      <c r="E5606" s="116"/>
      <c r="F5606" s="120"/>
      <c r="G5606" s="120"/>
      <c r="H5606" s="120"/>
      <c r="I5606" s="60"/>
      <c r="J5606" s="116"/>
      <c r="K5606" s="213"/>
      <c r="L5606" s="120"/>
      <c r="M5606" s="120"/>
      <c r="N5606" s="167"/>
      <c r="O5606" s="120"/>
      <c r="P5606" s="120"/>
      <c r="Q5606" s="120"/>
      <c r="R5606" s="120"/>
      <c r="S5606" s="120"/>
      <c r="T5606" s="221"/>
      <c r="U5606" s="89"/>
      <c r="V5606" s="61"/>
      <c r="W5606" s="92" t="s">
        <v>65</v>
      </c>
      <c r="X5606" s="93" t="s">
        <v>30</v>
      </c>
      <c r="Y5606" s="93" t="s">
        <v>1011</v>
      </c>
      <c r="Z5606" s="134">
        <f>VLOOKUP(W5606,Sheet2!$B:$D,3,FALSE)</f>
        <v>1.76</v>
      </c>
      <c r="AA5606" s="93">
        <f>AA5605/10</f>
        <v>6.0047508175585976E-2</v>
      </c>
      <c r="AB5606" s="93">
        <f>AD5606/AC5601</f>
        <v>29.310125490196079</v>
      </c>
      <c r="AC5606" s="93">
        <f>AC5601/AA5606</f>
        <v>1.3322784313725429</v>
      </c>
      <c r="AD5606" s="94">
        <f>AC5606*Z5606</f>
        <v>2.3448100392156754</v>
      </c>
      <c r="AE5606" s="190"/>
      <c r="AF5606" s="191"/>
      <c r="AG5606" s="191"/>
      <c r="AH5606" s="191"/>
      <c r="AI5606" s="186"/>
      <c r="AK5606" s="171"/>
    </row>
    <row r="5607" spans="1:41" s="102" customFormat="1" ht="19.899999999999999" customHeight="1" x14ac:dyDescent="0.25">
      <c r="A5607" s="45"/>
      <c r="B5607" s="59"/>
      <c r="C5607" s="137"/>
      <c r="D5607" s="59"/>
      <c r="E5607" s="116"/>
      <c r="F5607" s="120"/>
      <c r="G5607" s="120"/>
      <c r="H5607" s="120"/>
      <c r="I5607" s="60"/>
      <c r="J5607" s="116"/>
      <c r="K5607" s="213"/>
      <c r="L5607" s="120"/>
      <c r="M5607" s="120"/>
      <c r="N5607" s="167"/>
      <c r="O5607" s="120"/>
      <c r="P5607" s="120"/>
      <c r="Q5607" s="120"/>
      <c r="R5607" s="120"/>
      <c r="S5607" s="120"/>
      <c r="T5607" s="221"/>
      <c r="U5607" s="89"/>
      <c r="V5607" s="61"/>
      <c r="W5607" s="92" t="s">
        <v>173</v>
      </c>
      <c r="X5607" s="93" t="s">
        <v>29</v>
      </c>
      <c r="Y5607" s="93" t="s">
        <v>93</v>
      </c>
      <c r="Z5607" s="134">
        <f>VLOOKUP(W5607,Sheet2!$B:$D,3,FALSE)</f>
        <v>36</v>
      </c>
      <c r="AA5607" s="93">
        <f>50/((3.5*3.5*3.5)-(3.14/4*1.8*1.8*3.5))</f>
        <v>1.4717526513624013</v>
      </c>
      <c r="AB5607" s="93">
        <f>AD5607/AC5601</f>
        <v>24.460632</v>
      </c>
      <c r="AC5607" s="93">
        <f>AC5601/AA5607</f>
        <v>5.4356959999999753E-2</v>
      </c>
      <c r="AD5607" s="94">
        <f>AC5607*Z5607</f>
        <v>1.956850559999991</v>
      </c>
      <c r="AE5607" s="190"/>
      <c r="AF5607" s="191"/>
      <c r="AG5607" s="191"/>
      <c r="AH5607" s="191"/>
      <c r="AI5607" s="186"/>
      <c r="AK5607" s="171"/>
    </row>
    <row r="5608" spans="1:41" s="102" customFormat="1" ht="19.899999999999999" customHeight="1" x14ac:dyDescent="0.25">
      <c r="A5608" s="45"/>
      <c r="B5608" s="59"/>
      <c r="C5608" s="137"/>
      <c r="D5608" s="59"/>
      <c r="E5608" s="116"/>
      <c r="F5608" s="120"/>
      <c r="G5608" s="120"/>
      <c r="H5608" s="120"/>
      <c r="I5608" s="60"/>
      <c r="J5608" s="116"/>
      <c r="K5608" s="213"/>
      <c r="L5608" s="120"/>
      <c r="M5608" s="120"/>
      <c r="N5608" s="167"/>
      <c r="O5608" s="120"/>
      <c r="P5608" s="120"/>
      <c r="Q5608" s="120"/>
      <c r="R5608" s="120"/>
      <c r="S5608" s="120"/>
      <c r="T5608" s="221"/>
      <c r="U5608" s="89"/>
      <c r="V5608" s="61"/>
      <c r="W5608" s="92" t="s">
        <v>65</v>
      </c>
      <c r="X5608" s="93" t="s">
        <v>30</v>
      </c>
      <c r="Y5608" s="93" t="s">
        <v>1011</v>
      </c>
      <c r="Z5608" s="134">
        <f>VLOOKUP(W5608,Sheet2!$B:$D,3,FALSE)</f>
        <v>1.76</v>
      </c>
      <c r="AA5608" s="93">
        <f>AA5607/9</f>
        <v>0.16352807237360015</v>
      </c>
      <c r="AB5608" s="93">
        <f>AD5608/AC5601</f>
        <v>10.762678080000001</v>
      </c>
      <c r="AC5608" s="93">
        <f>AC5601/AA5608</f>
        <v>0.48921263999999776</v>
      </c>
      <c r="AD5608" s="94">
        <f>AC5608*Z5608</f>
        <v>0.86101424639999602</v>
      </c>
      <c r="AE5608" s="190"/>
      <c r="AF5608" s="191"/>
      <c r="AG5608" s="191"/>
      <c r="AH5608" s="191"/>
      <c r="AI5608" s="186"/>
      <c r="AK5608" s="171"/>
    </row>
    <row r="5609" spans="1:41" s="102" customFormat="1" ht="19.899999999999999" customHeight="1" x14ac:dyDescent="0.25">
      <c r="A5609" s="45"/>
      <c r="B5609" s="59"/>
      <c r="C5609" s="137"/>
      <c r="D5609" s="59"/>
      <c r="E5609" s="116"/>
      <c r="F5609" s="120"/>
      <c r="G5609" s="120"/>
      <c r="H5609" s="120"/>
      <c r="I5609" s="60"/>
      <c r="J5609" s="116"/>
      <c r="K5609" s="213"/>
      <c r="L5609" s="120"/>
      <c r="M5609" s="120"/>
      <c r="N5609" s="167"/>
      <c r="O5609" s="120"/>
      <c r="P5609" s="120"/>
      <c r="Q5609" s="120"/>
      <c r="R5609" s="120"/>
      <c r="S5609" s="120"/>
      <c r="T5609" s="221"/>
      <c r="U5609" s="89"/>
      <c r="V5609" s="61"/>
      <c r="W5609" s="92" t="s">
        <v>1030</v>
      </c>
      <c r="X5609" s="93" t="s">
        <v>29</v>
      </c>
      <c r="Y5609" s="93" t="s">
        <v>93</v>
      </c>
      <c r="Z5609" s="134">
        <f>VLOOKUP(W5609,Sheet2!$B:$D,3,FALSE)</f>
        <v>23</v>
      </c>
      <c r="AA5609" s="93">
        <f>1/(3.5*1)</f>
        <v>0.2857142857142857</v>
      </c>
      <c r="AB5609" s="93">
        <f>AD5609/AC5601</f>
        <v>80.5</v>
      </c>
      <c r="AC5609" s="93">
        <f>AC5601/AA5609</f>
        <v>0.27999999999999869</v>
      </c>
      <c r="AD5609" s="94">
        <f t="shared" ref="AD5609:AD5610" si="3970">AC5609*Z5609</f>
        <v>6.4399999999999702</v>
      </c>
      <c r="AE5609" s="190"/>
      <c r="AF5609" s="191"/>
      <c r="AG5609" s="191"/>
      <c r="AH5609" s="191"/>
      <c r="AI5609" s="186"/>
      <c r="AK5609" s="171"/>
    </row>
    <row r="5610" spans="1:41" s="102" customFormat="1" ht="19.899999999999999" customHeight="1" x14ac:dyDescent="0.25">
      <c r="A5610" s="45"/>
      <c r="B5610" s="59"/>
      <c r="C5610" s="137"/>
      <c r="D5610" s="59"/>
      <c r="E5610" s="116"/>
      <c r="F5610" s="120"/>
      <c r="G5610" s="120"/>
      <c r="H5610" s="120"/>
      <c r="I5610" s="60"/>
      <c r="J5610" s="116"/>
      <c r="K5610" s="213"/>
      <c r="L5610" s="120"/>
      <c r="M5610" s="120"/>
      <c r="N5610" s="167"/>
      <c r="O5610" s="120"/>
      <c r="P5610" s="120"/>
      <c r="Q5610" s="120"/>
      <c r="R5610" s="120"/>
      <c r="S5610" s="120"/>
      <c r="T5610" s="221"/>
      <c r="U5610" s="89"/>
      <c r="V5610" s="61"/>
      <c r="W5610" s="92" t="s">
        <v>65</v>
      </c>
      <c r="X5610" s="93" t="s">
        <v>30</v>
      </c>
      <c r="Y5610" s="93" t="s">
        <v>1011</v>
      </c>
      <c r="Z5610" s="134">
        <f>VLOOKUP(W5610,Sheet2!$B:$D,3,FALSE)</f>
        <v>1.76</v>
      </c>
      <c r="AA5610" s="93">
        <f>AA5609/3</f>
        <v>9.5238095238095233E-2</v>
      </c>
      <c r="AB5610" s="93">
        <f>AD5610/AC5601</f>
        <v>18.48</v>
      </c>
      <c r="AC5610" s="93">
        <f>AC5601/AA5610</f>
        <v>0.83999999999999608</v>
      </c>
      <c r="AD5610" s="94">
        <f t="shared" si="3970"/>
        <v>1.4783999999999931</v>
      </c>
      <c r="AE5610" s="190"/>
      <c r="AF5610" s="191"/>
      <c r="AG5610" s="191"/>
      <c r="AH5610" s="191"/>
      <c r="AI5610" s="186"/>
      <c r="AK5610" s="171"/>
    </row>
    <row r="5611" spans="1:41" ht="20.100000000000001" customHeight="1" x14ac:dyDescent="0.25">
      <c r="A5611" s="277" t="s">
        <v>491</v>
      </c>
      <c r="B5611" s="278"/>
      <c r="C5611" s="64" t="s">
        <v>578</v>
      </c>
      <c r="D5611" s="46" t="s">
        <v>215</v>
      </c>
      <c r="E5611" s="114"/>
      <c r="F5611" s="44"/>
      <c r="G5611" s="44">
        <f t="shared" si="3841"/>
        <v>0</v>
      </c>
      <c r="H5611" s="44">
        <f t="shared" si="3842"/>
        <v>0</v>
      </c>
      <c r="I5611" s="43">
        <f t="shared" si="3843"/>
        <v>0</v>
      </c>
      <c r="J5611" s="112">
        <f t="shared" si="3844"/>
        <v>0</v>
      </c>
      <c r="K5611" s="211">
        <f t="shared" si="3845"/>
        <v>0</v>
      </c>
      <c r="L5611" s="44"/>
      <c r="M5611" s="44">
        <f t="shared" si="3846"/>
        <v>0</v>
      </c>
      <c r="N5611" s="173">
        <f t="shared" si="3847"/>
        <v>0</v>
      </c>
      <c r="O5611" s="44">
        <f t="shared" si="3848"/>
        <v>0</v>
      </c>
      <c r="P5611" s="44">
        <f t="shared" si="3849"/>
        <v>0</v>
      </c>
      <c r="Q5611" s="44">
        <f t="shared" si="3850"/>
        <v>0</v>
      </c>
      <c r="R5611" s="44">
        <f t="shared" si="3851"/>
        <v>0</v>
      </c>
      <c r="S5611" s="123"/>
      <c r="T5611" s="219">
        <f t="shared" si="3852"/>
        <v>0</v>
      </c>
      <c r="U5611" s="87"/>
      <c r="V5611" s="47"/>
      <c r="W5611" s="48"/>
      <c r="X5611" s="48"/>
      <c r="Y5611" s="48"/>
      <c r="Z5611" s="135"/>
      <c r="AA5611" s="49"/>
      <c r="AB5611" s="50">
        <f t="shared" si="3853"/>
        <v>0</v>
      </c>
      <c r="AC5611" s="42">
        <f t="shared" si="3854"/>
        <v>9.9999999999999998E-20</v>
      </c>
      <c r="AD5611" s="90"/>
      <c r="AE5611" s="188"/>
      <c r="AF5611" s="189"/>
      <c r="AG5611" s="189"/>
      <c r="AH5611" s="189"/>
      <c r="AI5611" s="161"/>
    </row>
    <row r="5612" spans="1:41" ht="20.100000000000001" customHeight="1" x14ac:dyDescent="0.25">
      <c r="A5612" s="277" t="s">
        <v>491</v>
      </c>
      <c r="B5612" s="278"/>
      <c r="C5612" s="64" t="s">
        <v>579</v>
      </c>
      <c r="D5612" s="46" t="s">
        <v>215</v>
      </c>
      <c r="E5612" s="114">
        <v>0.44999999999999929</v>
      </c>
      <c r="F5612" s="44">
        <v>40030</v>
      </c>
      <c r="G5612" s="44">
        <f t="shared" si="3841"/>
        <v>18013.499999999971</v>
      </c>
      <c r="H5612" s="44">
        <f t="shared" si="3842"/>
        <v>13676.46057828706</v>
      </c>
      <c r="I5612" s="43">
        <f t="shared" si="3843"/>
        <v>6154.4072602291672</v>
      </c>
      <c r="J5612" s="112">
        <f t="shared" si="3844"/>
        <v>0.44999999999999929</v>
      </c>
      <c r="K5612" s="211">
        <f t="shared" si="3845"/>
        <v>0.44999999999999929</v>
      </c>
      <c r="L5612" s="44"/>
      <c r="M5612" s="44">
        <f t="shared" si="3846"/>
        <v>0.44999999999999929</v>
      </c>
      <c r="N5612" s="173">
        <f t="shared" si="3847"/>
        <v>1</v>
      </c>
      <c r="O5612" s="44">
        <f t="shared" si="3848"/>
        <v>40030</v>
      </c>
      <c r="P5612" s="44">
        <f t="shared" si="3849"/>
        <v>18013.499999999971</v>
      </c>
      <c r="Q5612" s="44">
        <f t="shared" si="3850"/>
        <v>13676.46057828706</v>
      </c>
      <c r="R5612" s="44">
        <f t="shared" si="3851"/>
        <v>6154.4072602291672</v>
      </c>
      <c r="S5612" s="123"/>
      <c r="T5612" s="219">
        <f t="shared" si="3852"/>
        <v>6154.4072602291672</v>
      </c>
      <c r="U5612" s="87"/>
      <c r="V5612" s="47"/>
      <c r="W5612" s="48"/>
      <c r="X5612" s="48"/>
      <c r="Y5612" s="48"/>
      <c r="Z5612" s="135"/>
      <c r="AA5612" s="49"/>
      <c r="AB5612" s="50">
        <f t="shared" si="3853"/>
        <v>13676.46057828706</v>
      </c>
      <c r="AC5612" s="42">
        <f t="shared" si="3854"/>
        <v>0.44999999999999929</v>
      </c>
      <c r="AD5612" s="90">
        <f>AD5613+AD5618+AD5625+AD5632</f>
        <v>6154.4072602291672</v>
      </c>
      <c r="AE5612" s="188">
        <f t="shared" ref="AE5612:AH5612" si="3971">AE5613+AE5618+AE5625+AE5632</f>
        <v>0</v>
      </c>
      <c r="AF5612" s="189">
        <f t="shared" si="3971"/>
        <v>0</v>
      </c>
      <c r="AG5612" s="189">
        <f t="shared" si="3971"/>
        <v>0</v>
      </c>
      <c r="AH5612" s="189">
        <f t="shared" si="3971"/>
        <v>0</v>
      </c>
      <c r="AI5612" s="161">
        <f t="shared" ref="AI5612" si="3972">SUM(AE5612:AH5612)</f>
        <v>0</v>
      </c>
      <c r="AK5612" s="169">
        <v>5</v>
      </c>
      <c r="AO5612" s="19" t="s">
        <v>63</v>
      </c>
    </row>
    <row r="5613" spans="1:41" s="103" customFormat="1" ht="19.899999999999999" customHeight="1" x14ac:dyDescent="0.25">
      <c r="A5613" s="51"/>
      <c r="B5613" s="52"/>
      <c r="C5613" s="165"/>
      <c r="D5613" s="52"/>
      <c r="E5613" s="115"/>
      <c r="F5613" s="58"/>
      <c r="G5613" s="58"/>
      <c r="H5613" s="58"/>
      <c r="I5613" s="55"/>
      <c r="J5613" s="113">
        <f>J5612</f>
        <v>0.44999999999999929</v>
      </c>
      <c r="K5613" s="212">
        <f>K5612</f>
        <v>0.44999999999999929</v>
      </c>
      <c r="L5613" s="58"/>
      <c r="M5613" s="58">
        <f>K5613-L5613</f>
        <v>0.44999999999999929</v>
      </c>
      <c r="N5613" s="166"/>
      <c r="O5613" s="58"/>
      <c r="P5613" s="58"/>
      <c r="Q5613" s="58"/>
      <c r="R5613" s="58"/>
      <c r="S5613" s="58"/>
      <c r="T5613" s="220"/>
      <c r="U5613" s="88"/>
      <c r="V5613" s="56"/>
      <c r="W5613" s="57" t="s">
        <v>1560</v>
      </c>
      <c r="X5613" s="53"/>
      <c r="Y5613" s="91" t="s">
        <v>35</v>
      </c>
      <c r="Z5613" s="136">
        <f>AD5613/AC5613</f>
        <v>221.71750588235292</v>
      </c>
      <c r="AA5613" s="58"/>
      <c r="AB5613" s="53">
        <f>AD5613/AC5613</f>
        <v>221.71750588235292</v>
      </c>
      <c r="AC5613" s="53">
        <f>M5613+$AE$10</f>
        <v>0.44999999999999929</v>
      </c>
      <c r="AD5613" s="54">
        <f>SUM(AD5614:AD5617)</f>
        <v>99.772877647058664</v>
      </c>
      <c r="AE5613" s="184">
        <f>SUMIFS($AD$37:$AD$12971,$V$37:$V$12971,$V5613,$X$37:$X$12971,AE$13)</f>
        <v>0</v>
      </c>
      <c r="AF5613" s="185">
        <f>SUMIFS($AD$37:$AD$12971,$V$37:$V$12971,$V5613,$X$37:$X$12971,AF$13)</f>
        <v>0</v>
      </c>
      <c r="AG5613" s="185">
        <f>SUMIFS($AD$37:$AD$12971,$V$37:$V$12971,$V5613,$X$37:$X$12971,AG$13)</f>
        <v>0</v>
      </c>
      <c r="AH5613" s="187">
        <f>SUMIFS($AD$37:$AD$12971,$V$37:$V$12971,$V5613,$X$37:$X$12971,AH$13)</f>
        <v>0</v>
      </c>
      <c r="AI5613" s="161">
        <f t="shared" ref="AI5613" si="3973">SUM(AE5613:AH5613)</f>
        <v>0</v>
      </c>
      <c r="AK5613" s="172"/>
    </row>
    <row r="5614" spans="1:41" s="102" customFormat="1" ht="19.899999999999999" customHeight="1" x14ac:dyDescent="0.25">
      <c r="A5614" s="45"/>
      <c r="B5614" s="59"/>
      <c r="C5614" s="137"/>
      <c r="D5614" s="59"/>
      <c r="E5614" s="116"/>
      <c r="F5614" s="120"/>
      <c r="G5614" s="120"/>
      <c r="H5614" s="120"/>
      <c r="I5614" s="60"/>
      <c r="J5614" s="116"/>
      <c r="K5614" s="213"/>
      <c r="L5614" s="120"/>
      <c r="M5614" s="120"/>
      <c r="N5614" s="167"/>
      <c r="O5614" s="120"/>
      <c r="P5614" s="120"/>
      <c r="Q5614" s="120"/>
      <c r="R5614" s="120"/>
      <c r="S5614" s="120"/>
      <c r="T5614" s="221"/>
      <c r="U5614" s="89"/>
      <c r="V5614" s="61"/>
      <c r="W5614" s="92" t="s">
        <v>129</v>
      </c>
      <c r="X5614" s="93" t="s">
        <v>29</v>
      </c>
      <c r="Y5614" s="93" t="s">
        <v>93</v>
      </c>
      <c r="Z5614" s="134">
        <f>VLOOKUP(W5614,Sheet2!$B:$D,3,FALSE)</f>
        <v>56</v>
      </c>
      <c r="AA5614" s="93">
        <f>100/(3.5*3.5*4.5)</f>
        <v>1.8140589569160999</v>
      </c>
      <c r="AB5614" s="93">
        <f t="shared" ref="AB5614" si="3974">AD5614/AC5613</f>
        <v>30.869999999999997</v>
      </c>
      <c r="AC5614" s="93">
        <f>AC5613/AA5614</f>
        <v>0.2480624999999996</v>
      </c>
      <c r="AD5614" s="94">
        <f t="shared" ref="AD5614:AD5615" si="3975">AC5614*Z5614</f>
        <v>13.891499999999978</v>
      </c>
      <c r="AE5614" s="190"/>
      <c r="AF5614" s="191"/>
      <c r="AG5614" s="191"/>
      <c r="AH5614" s="191"/>
      <c r="AI5614" s="186"/>
      <c r="AK5614" s="171"/>
    </row>
    <row r="5615" spans="1:41" s="102" customFormat="1" ht="19.899999999999999" customHeight="1" x14ac:dyDescent="0.25">
      <c r="A5615" s="45"/>
      <c r="B5615" s="59"/>
      <c r="C5615" s="137"/>
      <c r="D5615" s="59"/>
      <c r="E5615" s="116"/>
      <c r="F5615" s="120"/>
      <c r="G5615" s="120"/>
      <c r="H5615" s="120"/>
      <c r="I5615" s="60"/>
      <c r="J5615" s="116"/>
      <c r="K5615" s="213"/>
      <c r="L5615" s="120"/>
      <c r="M5615" s="120"/>
      <c r="N5615" s="167"/>
      <c r="O5615" s="120"/>
      <c r="P5615" s="120"/>
      <c r="Q5615" s="120"/>
      <c r="R5615" s="120"/>
      <c r="S5615" s="120"/>
      <c r="T5615" s="221"/>
      <c r="U5615" s="89"/>
      <c r="V5615" s="61"/>
      <c r="W5615" s="92" t="s">
        <v>65</v>
      </c>
      <c r="X5615" s="93" t="s">
        <v>30</v>
      </c>
      <c r="Y5615" s="93" t="s">
        <v>1011</v>
      </c>
      <c r="Z5615" s="134">
        <f>VLOOKUP(W5615,Sheet2!$B:$D,3,FALSE)</f>
        <v>1.76</v>
      </c>
      <c r="AA5615" s="93">
        <f>AA5614/14</f>
        <v>0.12957563977972142</v>
      </c>
      <c r="AB5615" s="93">
        <f>AD5615/AC5613</f>
        <v>13.582800000000001</v>
      </c>
      <c r="AC5615" s="93">
        <f>AC5613/AA5615</f>
        <v>3.4728749999999944</v>
      </c>
      <c r="AD5615" s="94">
        <f t="shared" si="3975"/>
        <v>6.1122599999999903</v>
      </c>
      <c r="AE5615" s="190"/>
      <c r="AF5615" s="191"/>
      <c r="AG5615" s="191"/>
      <c r="AH5615" s="191"/>
      <c r="AI5615" s="186"/>
      <c r="AK5615" s="171"/>
    </row>
    <row r="5616" spans="1:41" s="102" customFormat="1" ht="19.899999999999999" customHeight="1" x14ac:dyDescent="0.25">
      <c r="A5616" s="45"/>
      <c r="B5616" s="59"/>
      <c r="C5616" s="137"/>
      <c r="D5616" s="59"/>
      <c r="E5616" s="116"/>
      <c r="F5616" s="120"/>
      <c r="G5616" s="120"/>
      <c r="H5616" s="120"/>
      <c r="I5616" s="60"/>
      <c r="J5616" s="116"/>
      <c r="K5616" s="213"/>
      <c r="L5616" s="120"/>
      <c r="M5616" s="120"/>
      <c r="N5616" s="167"/>
      <c r="O5616" s="120"/>
      <c r="P5616" s="120"/>
      <c r="Q5616" s="120"/>
      <c r="R5616" s="120"/>
      <c r="S5616" s="120"/>
      <c r="T5616" s="221"/>
      <c r="U5616" s="89"/>
      <c r="V5616" s="61"/>
      <c r="W5616" s="92" t="s">
        <v>161</v>
      </c>
      <c r="X5616" s="93" t="s">
        <v>29</v>
      </c>
      <c r="Y5616" s="93" t="s">
        <v>93</v>
      </c>
      <c r="Z5616" s="134">
        <f>VLOOKUP(W5616,Sheet2!$B:$D,3,FALSE)</f>
        <v>48</v>
      </c>
      <c r="AA5616" s="93">
        <f>(16*0.85*1.5)/(3.5*3.5*4.5)</f>
        <v>0.37006802721088433</v>
      </c>
      <c r="AB5616" s="93">
        <f>AD5616/AC5613</f>
        <v>129.70588235294119</v>
      </c>
      <c r="AC5616" s="93">
        <f>AC5613/AA5616</f>
        <v>1.2159926470588216</v>
      </c>
      <c r="AD5616" s="94">
        <f>AC5616*Z5616</f>
        <v>58.367647058823437</v>
      </c>
      <c r="AE5616" s="190"/>
      <c r="AF5616" s="191"/>
      <c r="AG5616" s="191"/>
      <c r="AH5616" s="191"/>
      <c r="AI5616" s="186"/>
      <c r="AK5616" s="171"/>
    </row>
    <row r="5617" spans="1:37" s="102" customFormat="1" ht="19.899999999999999" customHeight="1" x14ac:dyDescent="0.25">
      <c r="A5617" s="45"/>
      <c r="B5617" s="59"/>
      <c r="C5617" s="137"/>
      <c r="D5617" s="59"/>
      <c r="E5617" s="116"/>
      <c r="F5617" s="120"/>
      <c r="G5617" s="120"/>
      <c r="H5617" s="120"/>
      <c r="I5617" s="60"/>
      <c r="J5617" s="116"/>
      <c r="K5617" s="213"/>
      <c r="L5617" s="120"/>
      <c r="M5617" s="120"/>
      <c r="N5617" s="167"/>
      <c r="O5617" s="120"/>
      <c r="P5617" s="120"/>
      <c r="Q5617" s="120"/>
      <c r="R5617" s="120"/>
      <c r="S5617" s="120"/>
      <c r="T5617" s="221"/>
      <c r="U5617" s="89"/>
      <c r="V5617" s="61"/>
      <c r="W5617" s="92" t="s">
        <v>65</v>
      </c>
      <c r="X5617" s="93" t="s">
        <v>30</v>
      </c>
      <c r="Y5617" s="93" t="s">
        <v>1011</v>
      </c>
      <c r="Z5617" s="134">
        <f>VLOOKUP(W5617,Sheet2!$B:$D,3,FALSE)</f>
        <v>1.76</v>
      </c>
      <c r="AA5617" s="93">
        <f>AA5616/10</f>
        <v>3.700680272108843E-2</v>
      </c>
      <c r="AB5617" s="93">
        <f>AD5617/AC5613</f>
        <v>47.558823529411768</v>
      </c>
      <c r="AC5617" s="93">
        <f>AC5613/AA5617</f>
        <v>12.159926470588218</v>
      </c>
      <c r="AD5617" s="94">
        <f>AC5617*Z5617</f>
        <v>21.401470588235263</v>
      </c>
      <c r="AE5617" s="190"/>
      <c r="AF5617" s="191"/>
      <c r="AG5617" s="191"/>
      <c r="AH5617" s="191"/>
      <c r="AI5617" s="186"/>
      <c r="AK5617" s="171"/>
    </row>
    <row r="5618" spans="1:37" s="103" customFormat="1" ht="19.899999999999999" customHeight="1" x14ac:dyDescent="0.25">
      <c r="A5618" s="51"/>
      <c r="B5618" s="52"/>
      <c r="C5618" s="165"/>
      <c r="D5618" s="52"/>
      <c r="E5618" s="115"/>
      <c r="F5618" s="58"/>
      <c r="G5618" s="58"/>
      <c r="H5618" s="58"/>
      <c r="I5618" s="55"/>
      <c r="J5618" s="113">
        <f>J5612</f>
        <v>0.44999999999999929</v>
      </c>
      <c r="K5618" s="212">
        <f>K5612</f>
        <v>0.44999999999999929</v>
      </c>
      <c r="L5618" s="58"/>
      <c r="M5618" s="58">
        <f>K5618-L5618</f>
        <v>0.44999999999999929</v>
      </c>
      <c r="N5618" s="166"/>
      <c r="O5618" s="58"/>
      <c r="P5618" s="58"/>
      <c r="Q5618" s="58"/>
      <c r="R5618" s="58"/>
      <c r="S5618" s="58"/>
      <c r="T5618" s="220"/>
      <c r="U5618" s="88"/>
      <c r="V5618" s="56"/>
      <c r="W5618" s="57" t="s">
        <v>1486</v>
      </c>
      <c r="X5618" s="53"/>
      <c r="Y5618" s="91" t="s">
        <v>35</v>
      </c>
      <c r="Z5618" s="136">
        <f>AD5618/AC5618</f>
        <v>2396.5660000000003</v>
      </c>
      <c r="AA5618" s="58"/>
      <c r="AB5618" s="53">
        <f>AD5618/AC5618</f>
        <v>2396.5660000000003</v>
      </c>
      <c r="AC5618" s="53">
        <f>M5618+$AE$10</f>
        <v>0.44999999999999929</v>
      </c>
      <c r="AD5618" s="54">
        <f>SUM(AD5619:AD5624)</f>
        <v>1078.4546999999984</v>
      </c>
      <c r="AE5618" s="184">
        <f>SUMIFS($AD$37:$AD$12971,$V$37:$V$12971,$V5618,$X$37:$X$12971,AE$13)</f>
        <v>0</v>
      </c>
      <c r="AF5618" s="185">
        <f>SUMIFS($AD$37:$AD$12971,$V$37:$V$12971,$V5618,$X$37:$X$12971,AF$13)</f>
        <v>0</v>
      </c>
      <c r="AG5618" s="185">
        <f>SUMIFS($AD$37:$AD$12971,$V$37:$V$12971,$V5618,$X$37:$X$12971,AG$13)</f>
        <v>0</v>
      </c>
      <c r="AH5618" s="187">
        <f>SUMIFS($AD$37:$AD$12971,$V$37:$V$12971,$V5618,$X$37:$X$12971,AH$13)</f>
        <v>0</v>
      </c>
      <c r="AI5618" s="161">
        <f t="shared" ref="AI5618" si="3976">SUM(AE5618:AH5618)</f>
        <v>0</v>
      </c>
      <c r="AK5618" s="172"/>
    </row>
    <row r="5619" spans="1:37" s="102" customFormat="1" ht="19.899999999999999" customHeight="1" x14ac:dyDescent="0.25">
      <c r="A5619" s="45"/>
      <c r="B5619" s="59"/>
      <c r="C5619" s="137"/>
      <c r="D5619" s="59"/>
      <c r="E5619" s="116"/>
      <c r="F5619" s="120"/>
      <c r="G5619" s="120"/>
      <c r="H5619" s="120"/>
      <c r="I5619" s="60"/>
      <c r="J5619" s="116"/>
      <c r="K5619" s="213"/>
      <c r="L5619" s="120"/>
      <c r="M5619" s="120"/>
      <c r="N5619" s="167"/>
      <c r="O5619" s="120"/>
      <c r="P5619" s="120"/>
      <c r="Q5619" s="120"/>
      <c r="R5619" s="120"/>
      <c r="S5619" s="120"/>
      <c r="T5619" s="221"/>
      <c r="U5619" s="89"/>
      <c r="V5619" s="61"/>
      <c r="W5619" s="92" t="s">
        <v>1032</v>
      </c>
      <c r="X5619" s="93" t="s">
        <v>30</v>
      </c>
      <c r="Y5619" s="93" t="s">
        <v>66</v>
      </c>
      <c r="Z5619" s="134">
        <f>VLOOKUP(W5619,Sheet2!$B:$D,3,FALSE)</f>
        <v>250</v>
      </c>
      <c r="AA5619" s="93">
        <f>1/(2.7*2.7*0.1)</f>
        <v>1.371742112482853</v>
      </c>
      <c r="AB5619" s="93">
        <f>AD5619/AC5625</f>
        <v>182.25</v>
      </c>
      <c r="AC5619" s="93">
        <f>AC5625/AA5619</f>
        <v>0.32804999999999951</v>
      </c>
      <c r="AD5619" s="94">
        <f t="shared" ref="AD5619:AD5621" si="3977">AC5619*Z5619</f>
        <v>82.012499999999875</v>
      </c>
      <c r="AE5619" s="190"/>
      <c r="AF5619" s="191"/>
      <c r="AG5619" s="191"/>
      <c r="AH5619" s="191"/>
      <c r="AI5619" s="186"/>
      <c r="AK5619" s="171"/>
    </row>
    <row r="5620" spans="1:37" s="102" customFormat="1" ht="19.899999999999999" customHeight="1" x14ac:dyDescent="0.25">
      <c r="A5620" s="45"/>
      <c r="B5620" s="59"/>
      <c r="C5620" s="137"/>
      <c r="D5620" s="59"/>
      <c r="E5620" s="116"/>
      <c r="F5620" s="120"/>
      <c r="G5620" s="120"/>
      <c r="H5620" s="120"/>
      <c r="I5620" s="60"/>
      <c r="J5620" s="116"/>
      <c r="K5620" s="213"/>
      <c r="L5620" s="120"/>
      <c r="M5620" s="120"/>
      <c r="N5620" s="167"/>
      <c r="O5620" s="120"/>
      <c r="P5620" s="120"/>
      <c r="Q5620" s="120"/>
      <c r="R5620" s="120"/>
      <c r="S5620" s="120"/>
      <c r="T5620" s="221"/>
      <c r="U5620" s="89"/>
      <c r="V5620" s="61"/>
      <c r="W5620" s="92" t="s">
        <v>1353</v>
      </c>
      <c r="X5620" s="93" t="s">
        <v>30</v>
      </c>
      <c r="Y5620" s="93" t="s">
        <v>66</v>
      </c>
      <c r="Z5620" s="134">
        <f>VLOOKUP(W5620,Sheet2!$B:$D,3,FALSE)</f>
        <v>350</v>
      </c>
      <c r="AA5620" s="93">
        <f>1/(2.6*2.6*0.3)</f>
        <v>0.49309664694280081</v>
      </c>
      <c r="AB5620" s="93">
        <f>AD5620/AC5625</f>
        <v>709.8</v>
      </c>
      <c r="AC5620" s="93">
        <f>AC5625/AA5620</f>
        <v>0.91259999999999852</v>
      </c>
      <c r="AD5620" s="94">
        <f t="shared" si="3977"/>
        <v>319.40999999999946</v>
      </c>
      <c r="AE5620" s="190"/>
      <c r="AF5620" s="191"/>
      <c r="AG5620" s="191"/>
      <c r="AH5620" s="191"/>
      <c r="AI5620" s="186"/>
      <c r="AK5620" s="171"/>
    </row>
    <row r="5621" spans="1:37" s="102" customFormat="1" ht="19.899999999999999" customHeight="1" x14ac:dyDescent="0.25">
      <c r="A5621" s="45"/>
      <c r="B5621" s="59"/>
      <c r="C5621" s="137"/>
      <c r="D5621" s="59"/>
      <c r="E5621" s="116"/>
      <c r="F5621" s="120"/>
      <c r="G5621" s="120"/>
      <c r="H5621" s="120"/>
      <c r="I5621" s="60"/>
      <c r="J5621" s="116"/>
      <c r="K5621" s="213"/>
      <c r="L5621" s="120"/>
      <c r="M5621" s="120"/>
      <c r="N5621" s="167"/>
      <c r="O5621" s="120"/>
      <c r="P5621" s="120"/>
      <c r="Q5621" s="120"/>
      <c r="R5621" s="120"/>
      <c r="S5621" s="120"/>
      <c r="T5621" s="221"/>
      <c r="U5621" s="89"/>
      <c r="V5621" s="61"/>
      <c r="W5621" s="92" t="s">
        <v>99</v>
      </c>
      <c r="X5621" s="93" t="s">
        <v>30</v>
      </c>
      <c r="Y5621" s="93" t="s">
        <v>67</v>
      </c>
      <c r="Z5621" s="134">
        <f>VLOOKUP(W5621,Sheet2!$B:$D,3,FALSE)</f>
        <v>2500</v>
      </c>
      <c r="AA5621" s="93">
        <f>AA5620/0.08</f>
        <v>6.16370808678501</v>
      </c>
      <c r="AB5621" s="93">
        <f>AD5621/AC5625</f>
        <v>405.59999999999997</v>
      </c>
      <c r="AC5621" s="93">
        <f>AC5625/AA5621</f>
        <v>7.3007999999999879E-2</v>
      </c>
      <c r="AD5621" s="94">
        <f t="shared" si="3977"/>
        <v>182.5199999999997</v>
      </c>
      <c r="AE5621" s="190"/>
      <c r="AF5621" s="191"/>
      <c r="AG5621" s="191"/>
      <c r="AH5621" s="191"/>
      <c r="AI5621" s="186"/>
      <c r="AK5621" s="171"/>
    </row>
    <row r="5622" spans="1:37" s="102" customFormat="1" ht="19.899999999999999" customHeight="1" x14ac:dyDescent="0.25">
      <c r="A5622" s="45"/>
      <c r="B5622" s="59"/>
      <c r="C5622" s="137"/>
      <c r="D5622" s="59"/>
      <c r="E5622" s="116"/>
      <c r="F5622" s="120"/>
      <c r="G5622" s="120"/>
      <c r="H5622" s="120"/>
      <c r="I5622" s="60"/>
      <c r="J5622" s="116"/>
      <c r="K5622" s="213"/>
      <c r="L5622" s="120"/>
      <c r="M5622" s="120"/>
      <c r="N5622" s="167"/>
      <c r="O5622" s="120"/>
      <c r="P5622" s="120"/>
      <c r="Q5622" s="120"/>
      <c r="R5622" s="120"/>
      <c r="S5622" s="120"/>
      <c r="T5622" s="221"/>
      <c r="U5622" s="89"/>
      <c r="V5622" s="61"/>
      <c r="W5622" s="92" t="s">
        <v>1354</v>
      </c>
      <c r="X5622" s="93" t="s">
        <v>32</v>
      </c>
      <c r="Y5622" s="93" t="s">
        <v>66</v>
      </c>
      <c r="Z5622" s="134">
        <f>VLOOKUP(W5622,Sheet2!$B:$D,3,FALSE)</f>
        <v>150</v>
      </c>
      <c r="AA5622" s="93">
        <f>AA5619</f>
        <v>1.371742112482853</v>
      </c>
      <c r="AB5622" s="93">
        <f>AD5622/AC5625</f>
        <v>109.35000000000001</v>
      </c>
      <c r="AC5622" s="93">
        <f>AC5625/AA5622</f>
        <v>0.32804999999999951</v>
      </c>
      <c r="AD5622" s="94">
        <f>AC5622*Z5622</f>
        <v>49.207499999999925</v>
      </c>
      <c r="AE5622" s="190"/>
      <c r="AF5622" s="191"/>
      <c r="AG5622" s="191"/>
      <c r="AH5622" s="191"/>
      <c r="AI5622" s="186"/>
      <c r="AK5622" s="171"/>
    </row>
    <row r="5623" spans="1:37" s="102" customFormat="1" ht="19.899999999999999" customHeight="1" x14ac:dyDescent="0.25">
      <c r="A5623" s="45"/>
      <c r="B5623" s="59"/>
      <c r="C5623" s="137"/>
      <c r="D5623" s="59"/>
      <c r="E5623" s="116"/>
      <c r="F5623" s="120"/>
      <c r="G5623" s="120"/>
      <c r="H5623" s="120"/>
      <c r="I5623" s="60"/>
      <c r="J5623" s="116"/>
      <c r="K5623" s="213"/>
      <c r="L5623" s="120"/>
      <c r="M5623" s="120"/>
      <c r="N5623" s="167"/>
      <c r="O5623" s="120"/>
      <c r="P5623" s="120"/>
      <c r="Q5623" s="120"/>
      <c r="R5623" s="120"/>
      <c r="S5623" s="120"/>
      <c r="T5623" s="221"/>
      <c r="U5623" s="89"/>
      <c r="V5623" s="61"/>
      <c r="W5623" s="92" t="s">
        <v>1355</v>
      </c>
      <c r="X5623" s="93" t="s">
        <v>32</v>
      </c>
      <c r="Y5623" s="93" t="s">
        <v>66</v>
      </c>
      <c r="Z5623" s="134">
        <f>VLOOKUP(W5623,Sheet2!$B:$D,3,FALSE)</f>
        <v>450</v>
      </c>
      <c r="AA5623" s="93">
        <f>AA5620</f>
        <v>0.49309664694280081</v>
      </c>
      <c r="AB5623" s="93">
        <f>AD5623/AC5625</f>
        <v>912.59999999999991</v>
      </c>
      <c r="AC5623" s="93">
        <f>AC5625/AA5623</f>
        <v>0.91259999999999852</v>
      </c>
      <c r="AD5623" s="94">
        <f>AC5623*Z5623</f>
        <v>410.66999999999933</v>
      </c>
      <c r="AE5623" s="190"/>
      <c r="AF5623" s="191"/>
      <c r="AG5623" s="191"/>
      <c r="AH5623" s="191"/>
      <c r="AI5623" s="186"/>
      <c r="AK5623" s="171"/>
    </row>
    <row r="5624" spans="1:37" s="102" customFormat="1" ht="19.899999999999999" customHeight="1" x14ac:dyDescent="0.25">
      <c r="A5624" s="45"/>
      <c r="B5624" s="59"/>
      <c r="C5624" s="137"/>
      <c r="D5624" s="59"/>
      <c r="E5624" s="116"/>
      <c r="F5624" s="120"/>
      <c r="G5624" s="120"/>
      <c r="H5624" s="120"/>
      <c r="I5624" s="60"/>
      <c r="J5624" s="116"/>
      <c r="K5624" s="213"/>
      <c r="L5624" s="120"/>
      <c r="M5624" s="120"/>
      <c r="N5624" s="167"/>
      <c r="O5624" s="120"/>
      <c r="P5624" s="120"/>
      <c r="Q5624" s="120"/>
      <c r="R5624" s="120"/>
      <c r="S5624" s="120"/>
      <c r="T5624" s="221"/>
      <c r="U5624" s="89"/>
      <c r="V5624" s="61"/>
      <c r="W5624" s="92" t="s">
        <v>124</v>
      </c>
      <c r="X5624" s="93" t="s">
        <v>32</v>
      </c>
      <c r="Y5624" s="93" t="s">
        <v>64</v>
      </c>
      <c r="Z5624" s="134">
        <f>VLOOKUP(W5624,Sheet2!$B:$D,3,FALSE)</f>
        <v>10</v>
      </c>
      <c r="AA5624" s="93">
        <f>1/((3.2*3.2)-(3.14*1.8*1.8/4))</f>
        <v>0.12992750045474621</v>
      </c>
      <c r="AB5624" s="93">
        <f t="shared" ref="AB5624" si="3978">AD5624/AC5618</f>
        <v>76.966000000000022</v>
      </c>
      <c r="AC5624" s="93">
        <f>AC5618/AA5624</f>
        <v>3.4634699999999956</v>
      </c>
      <c r="AD5624" s="94">
        <f t="shared" ref="AD5624" si="3979">AC5624*Z5624</f>
        <v>34.634699999999953</v>
      </c>
      <c r="AE5624" s="190"/>
      <c r="AF5624" s="191"/>
      <c r="AG5624" s="191"/>
      <c r="AH5624" s="191"/>
      <c r="AI5624" s="186"/>
      <c r="AK5624" s="171"/>
    </row>
    <row r="5625" spans="1:37" s="103" customFormat="1" ht="19.899999999999999" customHeight="1" x14ac:dyDescent="0.25">
      <c r="A5625" s="51"/>
      <c r="B5625" s="52"/>
      <c r="C5625" s="165"/>
      <c r="D5625" s="52"/>
      <c r="E5625" s="115"/>
      <c r="F5625" s="58"/>
      <c r="G5625" s="58"/>
      <c r="H5625" s="58"/>
      <c r="I5625" s="55"/>
      <c r="J5625" s="113">
        <f>J5612</f>
        <v>0.44999999999999929</v>
      </c>
      <c r="K5625" s="212">
        <f>K5612</f>
        <v>0.44999999999999929</v>
      </c>
      <c r="L5625" s="58"/>
      <c r="M5625" s="58">
        <f>K5625-L5625</f>
        <v>0.44999999999999929</v>
      </c>
      <c r="N5625" s="166"/>
      <c r="O5625" s="58"/>
      <c r="P5625" s="58"/>
      <c r="Q5625" s="58"/>
      <c r="R5625" s="58"/>
      <c r="S5625" s="58"/>
      <c r="T5625" s="220"/>
      <c r="U5625" s="88"/>
      <c r="V5625" s="56"/>
      <c r="W5625" s="57" t="s">
        <v>1275</v>
      </c>
      <c r="X5625" s="53"/>
      <c r="Y5625" s="91" t="s">
        <v>35</v>
      </c>
      <c r="Z5625" s="136">
        <f>AD5625/AC5625</f>
        <v>10272.800000000001</v>
      </c>
      <c r="AA5625" s="58"/>
      <c r="AB5625" s="53">
        <f>AD5625/AC5625</f>
        <v>10272.800000000001</v>
      </c>
      <c r="AC5625" s="53">
        <f>M5625+$AE$10</f>
        <v>0.44999999999999929</v>
      </c>
      <c r="AD5625" s="54">
        <f>SUM(AD5626:AD5631)</f>
        <v>4622.7599999999929</v>
      </c>
      <c r="AE5625" s="184">
        <f>SUMIFS($AD$37:$AD$12971,$V$37:$V$12971,$V5625,$X$37:$X$12971,AE$13)</f>
        <v>0</v>
      </c>
      <c r="AF5625" s="185">
        <f>SUMIFS($AD$37:$AD$12971,$V$37:$V$12971,$V5625,$X$37:$X$12971,AF$13)</f>
        <v>0</v>
      </c>
      <c r="AG5625" s="185">
        <f>SUMIFS($AD$37:$AD$12971,$V$37:$V$12971,$V5625,$X$37:$X$12971,AG$13)</f>
        <v>0</v>
      </c>
      <c r="AH5625" s="187">
        <f>SUMIFS($AD$37:$AD$12971,$V$37:$V$12971,$V5625,$X$37:$X$12971,AH$13)</f>
        <v>0</v>
      </c>
      <c r="AI5625" s="161">
        <f t="shared" ref="AI5625" si="3980">SUM(AE5625:AH5625)</f>
        <v>0</v>
      </c>
      <c r="AK5625" s="172"/>
    </row>
    <row r="5626" spans="1:37" s="102" customFormat="1" ht="19.899999999999999" customHeight="1" x14ac:dyDescent="0.25">
      <c r="A5626" s="45"/>
      <c r="B5626" s="59"/>
      <c r="C5626" s="137"/>
      <c r="D5626" s="59"/>
      <c r="E5626" s="116"/>
      <c r="F5626" s="120"/>
      <c r="G5626" s="120"/>
      <c r="H5626" s="120"/>
      <c r="I5626" s="60"/>
      <c r="J5626" s="116"/>
      <c r="K5626" s="213"/>
      <c r="L5626" s="120"/>
      <c r="M5626" s="120"/>
      <c r="N5626" s="167"/>
      <c r="O5626" s="120"/>
      <c r="P5626" s="120"/>
      <c r="Q5626" s="120"/>
      <c r="R5626" s="120"/>
      <c r="S5626" s="120"/>
      <c r="T5626" s="221"/>
      <c r="U5626" s="89"/>
      <c r="V5626" s="61"/>
      <c r="W5626" s="92" t="s">
        <v>1555</v>
      </c>
      <c r="X5626" s="93" t="s">
        <v>30</v>
      </c>
      <c r="Y5626" s="93" t="s">
        <v>35</v>
      </c>
      <c r="Z5626" s="134">
        <f>VLOOKUP(W5626,Sheet2!$B:$D,3,FALSE)</f>
        <v>8500</v>
      </c>
      <c r="AA5626" s="93">
        <v>1</v>
      </c>
      <c r="AB5626" s="93">
        <f>AD5626/AC5625</f>
        <v>8500</v>
      </c>
      <c r="AC5626" s="93">
        <f>AC5625/AA5626</f>
        <v>0.44999999999999929</v>
      </c>
      <c r="AD5626" s="94">
        <f t="shared" ref="AD5626:AD5627" si="3981">AC5626*Z5626</f>
        <v>3824.9999999999941</v>
      </c>
      <c r="AE5626" s="190"/>
      <c r="AF5626" s="191"/>
      <c r="AG5626" s="191"/>
      <c r="AH5626" s="191"/>
      <c r="AI5626" s="186"/>
      <c r="AK5626" s="171"/>
    </row>
    <row r="5627" spans="1:37" s="102" customFormat="1" ht="19.899999999999999" customHeight="1" x14ac:dyDescent="0.25">
      <c r="A5627" s="45"/>
      <c r="B5627" s="59"/>
      <c r="C5627" s="137"/>
      <c r="D5627" s="59"/>
      <c r="E5627" s="116"/>
      <c r="F5627" s="120"/>
      <c r="G5627" s="120"/>
      <c r="H5627" s="120"/>
      <c r="I5627" s="60"/>
      <c r="J5627" s="116"/>
      <c r="K5627" s="213"/>
      <c r="L5627" s="120"/>
      <c r="M5627" s="120"/>
      <c r="N5627" s="167"/>
      <c r="O5627" s="120"/>
      <c r="P5627" s="120"/>
      <c r="Q5627" s="120"/>
      <c r="R5627" s="120"/>
      <c r="S5627" s="120"/>
      <c r="T5627" s="221"/>
      <c r="U5627" s="89"/>
      <c r="V5627" s="61"/>
      <c r="W5627" s="92" t="s">
        <v>174</v>
      </c>
      <c r="X5627" s="93" t="s">
        <v>29</v>
      </c>
      <c r="Y5627" s="93" t="s">
        <v>93</v>
      </c>
      <c r="Z5627" s="134">
        <f>VLOOKUP(W5627,Sheet2!$B:$D,3,FALSE)</f>
        <v>80</v>
      </c>
      <c r="AA5627" s="93">
        <f>1/2</f>
        <v>0.5</v>
      </c>
      <c r="AB5627" s="93">
        <f>AD5627/AC5625</f>
        <v>160</v>
      </c>
      <c r="AC5627" s="93">
        <f>AC5625/AA5627</f>
        <v>0.89999999999999858</v>
      </c>
      <c r="AD5627" s="94">
        <f t="shared" si="3981"/>
        <v>71.999999999999886</v>
      </c>
      <c r="AE5627" s="190"/>
      <c r="AF5627" s="191"/>
      <c r="AG5627" s="191"/>
      <c r="AH5627" s="191"/>
      <c r="AI5627" s="186"/>
      <c r="AK5627" s="171"/>
    </row>
    <row r="5628" spans="1:37" s="102" customFormat="1" ht="19.899999999999999" customHeight="1" x14ac:dyDescent="0.25">
      <c r="A5628" s="45"/>
      <c r="B5628" s="59"/>
      <c r="C5628" s="137"/>
      <c r="D5628" s="59"/>
      <c r="E5628" s="116"/>
      <c r="F5628" s="120"/>
      <c r="G5628" s="120"/>
      <c r="H5628" s="120"/>
      <c r="I5628" s="60"/>
      <c r="J5628" s="116"/>
      <c r="K5628" s="213"/>
      <c r="L5628" s="120"/>
      <c r="M5628" s="120"/>
      <c r="N5628" s="167"/>
      <c r="O5628" s="120"/>
      <c r="P5628" s="120"/>
      <c r="Q5628" s="120"/>
      <c r="R5628" s="120"/>
      <c r="S5628" s="120"/>
      <c r="T5628" s="221"/>
      <c r="U5628" s="89"/>
      <c r="V5628" s="61"/>
      <c r="W5628" s="92" t="s">
        <v>65</v>
      </c>
      <c r="X5628" s="93" t="s">
        <v>30</v>
      </c>
      <c r="Y5628" s="93" t="s">
        <v>93</v>
      </c>
      <c r="Z5628" s="134">
        <f>VLOOKUP(W5628,Sheet2!$B:$D,3,FALSE)</f>
        <v>1.76</v>
      </c>
      <c r="AA5628" s="93">
        <f>AA5627/15</f>
        <v>3.3333333333333333E-2</v>
      </c>
      <c r="AB5628" s="93">
        <f>AD5628/AC5625</f>
        <v>52.8</v>
      </c>
      <c r="AC5628" s="93">
        <f>AC5625/AA5628</f>
        <v>13.499999999999979</v>
      </c>
      <c r="AD5628" s="94">
        <f>AC5628*Z5628</f>
        <v>23.759999999999962</v>
      </c>
      <c r="AE5628" s="190"/>
      <c r="AF5628" s="191"/>
      <c r="AG5628" s="191"/>
      <c r="AH5628" s="191"/>
      <c r="AI5628" s="186"/>
      <c r="AK5628" s="171"/>
    </row>
    <row r="5629" spans="1:37" s="102" customFormat="1" ht="19.899999999999999" customHeight="1" x14ac:dyDescent="0.25">
      <c r="A5629" s="45"/>
      <c r="B5629" s="59"/>
      <c r="C5629" s="137"/>
      <c r="D5629" s="59"/>
      <c r="E5629" s="116"/>
      <c r="F5629" s="120"/>
      <c r="G5629" s="120"/>
      <c r="H5629" s="120"/>
      <c r="I5629" s="60"/>
      <c r="J5629" s="116"/>
      <c r="K5629" s="213"/>
      <c r="L5629" s="120"/>
      <c r="M5629" s="120"/>
      <c r="N5629" s="167"/>
      <c r="O5629" s="120"/>
      <c r="P5629" s="120"/>
      <c r="Q5629" s="120"/>
      <c r="R5629" s="120"/>
      <c r="S5629" s="120"/>
      <c r="T5629" s="221"/>
      <c r="U5629" s="89"/>
      <c r="V5629" s="61"/>
      <c r="W5629" s="92" t="s">
        <v>1487</v>
      </c>
      <c r="X5629" s="93" t="s">
        <v>32</v>
      </c>
      <c r="Y5629" s="93" t="s">
        <v>1349</v>
      </c>
      <c r="Z5629" s="134">
        <f>VLOOKUP(W5629,Sheet2!$B:$D,3,FALSE)</f>
        <v>1500</v>
      </c>
      <c r="AA5629" s="93">
        <v>1</v>
      </c>
      <c r="AB5629" s="93">
        <f>AD5629/AC5625</f>
        <v>1500</v>
      </c>
      <c r="AC5629" s="93">
        <f>AC5625/AA5629</f>
        <v>0.44999999999999929</v>
      </c>
      <c r="AD5629" s="94">
        <f>AC5629*Z5629</f>
        <v>674.99999999999898</v>
      </c>
      <c r="AE5629" s="190"/>
      <c r="AF5629" s="191"/>
      <c r="AG5629" s="191"/>
      <c r="AH5629" s="191"/>
      <c r="AI5629" s="186"/>
      <c r="AK5629" s="171"/>
    </row>
    <row r="5630" spans="1:37" s="102" customFormat="1" ht="19.899999999999999" customHeight="1" x14ac:dyDescent="0.25">
      <c r="A5630" s="45"/>
      <c r="B5630" s="59"/>
      <c r="C5630" s="137"/>
      <c r="D5630" s="59"/>
      <c r="E5630" s="116"/>
      <c r="F5630" s="120"/>
      <c r="G5630" s="120"/>
      <c r="H5630" s="120"/>
      <c r="I5630" s="60"/>
      <c r="J5630" s="116"/>
      <c r="K5630" s="213"/>
      <c r="L5630" s="120"/>
      <c r="M5630" s="120"/>
      <c r="N5630" s="167"/>
      <c r="O5630" s="120"/>
      <c r="P5630" s="120"/>
      <c r="Q5630" s="120"/>
      <c r="R5630" s="120"/>
      <c r="S5630" s="120"/>
      <c r="T5630" s="221"/>
      <c r="U5630" s="89"/>
      <c r="V5630" s="61"/>
      <c r="W5630" s="92" t="s">
        <v>107</v>
      </c>
      <c r="X5630" s="93" t="s">
        <v>31</v>
      </c>
      <c r="Y5630" s="93" t="s">
        <v>93</v>
      </c>
      <c r="Z5630" s="134">
        <f>VLOOKUP(W5630,Sheet2!$B:$D,3,FALSE)</f>
        <v>17</v>
      </c>
      <c r="AA5630" s="93">
        <f>AA5627</f>
        <v>0.5</v>
      </c>
      <c r="AB5630" s="93">
        <f>AD5630/AC5625</f>
        <v>34</v>
      </c>
      <c r="AC5630" s="93">
        <f>AC5625/AA5630</f>
        <v>0.89999999999999858</v>
      </c>
      <c r="AD5630" s="94">
        <f>AC5630*Z5630</f>
        <v>15.299999999999976</v>
      </c>
      <c r="AE5630" s="190"/>
      <c r="AF5630" s="191"/>
      <c r="AG5630" s="191"/>
      <c r="AH5630" s="191"/>
      <c r="AI5630" s="186"/>
      <c r="AK5630" s="171"/>
    </row>
    <row r="5631" spans="1:37" s="102" customFormat="1" ht="19.899999999999999" customHeight="1" x14ac:dyDescent="0.25">
      <c r="A5631" s="45"/>
      <c r="B5631" s="59"/>
      <c r="C5631" s="137"/>
      <c r="D5631" s="59"/>
      <c r="E5631" s="116"/>
      <c r="F5631" s="120"/>
      <c r="G5631" s="120"/>
      <c r="H5631" s="120"/>
      <c r="I5631" s="60"/>
      <c r="J5631" s="116"/>
      <c r="K5631" s="213"/>
      <c r="L5631" s="120"/>
      <c r="M5631" s="120"/>
      <c r="N5631" s="167"/>
      <c r="O5631" s="120"/>
      <c r="P5631" s="120"/>
      <c r="Q5631" s="120"/>
      <c r="R5631" s="120"/>
      <c r="S5631" s="120"/>
      <c r="T5631" s="221"/>
      <c r="U5631" s="89"/>
      <c r="V5631" s="61"/>
      <c r="W5631" s="92" t="s">
        <v>112</v>
      </c>
      <c r="X5631" s="93" t="s">
        <v>31</v>
      </c>
      <c r="Y5631" s="93" t="s">
        <v>93</v>
      </c>
      <c r="Z5631" s="134">
        <f>VLOOKUP(W5631,Sheet2!$B:$D,3,FALSE)</f>
        <v>13</v>
      </c>
      <c r="AA5631" s="93">
        <f>AA5630</f>
        <v>0.5</v>
      </c>
      <c r="AB5631" s="93">
        <f>AD5631/AC5625</f>
        <v>26</v>
      </c>
      <c r="AC5631" s="93">
        <f>AC5625/AA5631</f>
        <v>0.89999999999999858</v>
      </c>
      <c r="AD5631" s="94">
        <f>AC5631*Z5631</f>
        <v>11.699999999999982</v>
      </c>
      <c r="AE5631" s="190"/>
      <c r="AF5631" s="191"/>
      <c r="AG5631" s="191"/>
      <c r="AH5631" s="191"/>
      <c r="AI5631" s="186"/>
      <c r="AK5631" s="171"/>
    </row>
    <row r="5632" spans="1:37" s="103" customFormat="1" ht="19.899999999999999" customHeight="1" x14ac:dyDescent="0.25">
      <c r="A5632" s="51"/>
      <c r="B5632" s="52"/>
      <c r="C5632" s="165"/>
      <c r="D5632" s="52"/>
      <c r="E5632" s="115"/>
      <c r="F5632" s="58"/>
      <c r="G5632" s="58"/>
      <c r="H5632" s="58"/>
      <c r="I5632" s="55"/>
      <c r="J5632" s="113">
        <f>J5612</f>
        <v>0.44999999999999929</v>
      </c>
      <c r="K5632" s="212">
        <f>K5612</f>
        <v>0.44999999999999929</v>
      </c>
      <c r="L5632" s="58"/>
      <c r="M5632" s="58">
        <f>K5632-L5632</f>
        <v>0.44999999999999929</v>
      </c>
      <c r="N5632" s="166"/>
      <c r="O5632" s="58"/>
      <c r="P5632" s="58"/>
      <c r="Q5632" s="58"/>
      <c r="R5632" s="58"/>
      <c r="S5632" s="58"/>
      <c r="T5632" s="220"/>
      <c r="U5632" s="88"/>
      <c r="V5632" s="56"/>
      <c r="W5632" s="57" t="s">
        <v>1272</v>
      </c>
      <c r="X5632" s="53"/>
      <c r="Y5632" s="91" t="s">
        <v>35</v>
      </c>
      <c r="Z5632" s="136">
        <f>AD5632/AC5632</f>
        <v>785.37707240470593</v>
      </c>
      <c r="AA5632" s="58"/>
      <c r="AB5632" s="53">
        <f>AD5632/AC5632</f>
        <v>785.37707240470593</v>
      </c>
      <c r="AC5632" s="53">
        <f>M5632+$AE$10</f>
        <v>0.44999999999999929</v>
      </c>
      <c r="AD5632" s="54">
        <f>SUM(AD5633:AD5641)</f>
        <v>353.4196825821171</v>
      </c>
      <c r="AE5632" s="184">
        <f>SUMIFS($AD$37:$AD$12971,$V$37:$V$12971,$V5632,$X$37:$X$12971,AE$13)</f>
        <v>0</v>
      </c>
      <c r="AF5632" s="185">
        <f>SUMIFS($AD$37:$AD$12971,$V$37:$V$12971,$V5632,$X$37:$X$12971,AF$13)</f>
        <v>0</v>
      </c>
      <c r="AG5632" s="185">
        <f>SUMIFS($AD$37:$AD$12971,$V$37:$V$12971,$V5632,$X$37:$X$12971,AG$13)</f>
        <v>0</v>
      </c>
      <c r="AH5632" s="187">
        <f>SUMIFS($AD$37:$AD$12971,$V$37:$V$12971,$V5632,$X$37:$X$12971,AH$13)</f>
        <v>0</v>
      </c>
      <c r="AI5632" s="161">
        <f t="shared" ref="AI5632" si="3982">SUM(AE5632:AH5632)</f>
        <v>0</v>
      </c>
      <c r="AK5632" s="172"/>
    </row>
    <row r="5633" spans="1:41" s="102" customFormat="1" ht="19.899999999999999" customHeight="1" x14ac:dyDescent="0.25">
      <c r="A5633" s="45"/>
      <c r="B5633" s="59"/>
      <c r="C5633" s="137"/>
      <c r="D5633" s="59"/>
      <c r="E5633" s="116"/>
      <c r="F5633" s="120"/>
      <c r="G5633" s="120"/>
      <c r="H5633" s="120"/>
      <c r="I5633" s="60"/>
      <c r="J5633" s="116"/>
      <c r="K5633" s="213"/>
      <c r="L5633" s="120"/>
      <c r="M5633" s="120"/>
      <c r="N5633" s="167"/>
      <c r="O5633" s="120"/>
      <c r="P5633" s="120"/>
      <c r="Q5633" s="120"/>
      <c r="R5633" s="120"/>
      <c r="S5633" s="120"/>
      <c r="T5633" s="221"/>
      <c r="U5633" s="89"/>
      <c r="V5633" s="61"/>
      <c r="W5633" s="92" t="s">
        <v>1273</v>
      </c>
      <c r="X5633" s="93" t="s">
        <v>30</v>
      </c>
      <c r="Y5633" s="93" t="s">
        <v>66</v>
      </c>
      <c r="Z5633" s="134">
        <f>VLOOKUP(W5633,Sheet2!$B:$D,3,FALSE)</f>
        <v>10</v>
      </c>
      <c r="AA5633" s="93">
        <f>1/((3.5*3.5*4.5)-(3.14/4*1.8*1.8*4.5))</f>
        <v>2.2893930132304025E-2</v>
      </c>
      <c r="AB5633" s="93">
        <f>AD5633/AC5632</f>
        <v>436.79699999999991</v>
      </c>
      <c r="AC5633" s="93">
        <f>AC5632/AA5633</f>
        <v>19.655864999999967</v>
      </c>
      <c r="AD5633" s="94">
        <f t="shared" ref="AD5633:AD5635" si="3983">AC5633*Z5633</f>
        <v>196.55864999999966</v>
      </c>
      <c r="AE5633" s="190"/>
      <c r="AF5633" s="191"/>
      <c r="AG5633" s="191"/>
      <c r="AH5633" s="191"/>
      <c r="AI5633" s="186"/>
      <c r="AK5633" s="171"/>
    </row>
    <row r="5634" spans="1:41" s="102" customFormat="1" ht="19.899999999999999" customHeight="1" x14ac:dyDescent="0.25">
      <c r="A5634" s="45"/>
      <c r="B5634" s="59"/>
      <c r="C5634" s="137"/>
      <c r="D5634" s="59"/>
      <c r="E5634" s="116"/>
      <c r="F5634" s="120"/>
      <c r="G5634" s="120"/>
      <c r="H5634" s="120"/>
      <c r="I5634" s="60"/>
      <c r="J5634" s="116"/>
      <c r="K5634" s="213"/>
      <c r="L5634" s="120"/>
      <c r="M5634" s="120"/>
      <c r="N5634" s="167"/>
      <c r="O5634" s="120"/>
      <c r="P5634" s="120"/>
      <c r="Q5634" s="120"/>
      <c r="R5634" s="120"/>
      <c r="S5634" s="120"/>
      <c r="T5634" s="221"/>
      <c r="U5634" s="89"/>
      <c r="V5634" s="61"/>
      <c r="W5634" s="92" t="s">
        <v>134</v>
      </c>
      <c r="X5634" s="93" t="s">
        <v>29</v>
      </c>
      <c r="Y5634" s="93" t="s">
        <v>93</v>
      </c>
      <c r="Z5634" s="134">
        <f>VLOOKUP(W5634,Sheet2!$B:$D,3,FALSE)</f>
        <v>65.599999999999994</v>
      </c>
      <c r="AA5634" s="93">
        <f>100/((3.5*3.5*4.5)-(3.14/4*1.8*1.8*4.5))</f>
        <v>2.2893930132304026</v>
      </c>
      <c r="AB5634" s="93">
        <f t="shared" ref="AB5634" si="3984">AD5634/AC5632</f>
        <v>28.653883199999996</v>
      </c>
      <c r="AC5634" s="93">
        <f>AC5632/AA5634</f>
        <v>0.19655864999999967</v>
      </c>
      <c r="AD5634" s="94">
        <f t="shared" si="3983"/>
        <v>12.894247439999978</v>
      </c>
      <c r="AE5634" s="190"/>
      <c r="AF5634" s="191"/>
      <c r="AG5634" s="191"/>
      <c r="AH5634" s="191"/>
      <c r="AI5634" s="186"/>
      <c r="AK5634" s="171"/>
    </row>
    <row r="5635" spans="1:41" s="102" customFormat="1" ht="19.899999999999999" customHeight="1" x14ac:dyDescent="0.25">
      <c r="A5635" s="45"/>
      <c r="B5635" s="59"/>
      <c r="C5635" s="137"/>
      <c r="D5635" s="59"/>
      <c r="E5635" s="116"/>
      <c r="F5635" s="120"/>
      <c r="G5635" s="120"/>
      <c r="H5635" s="120"/>
      <c r="I5635" s="60"/>
      <c r="J5635" s="116"/>
      <c r="K5635" s="213"/>
      <c r="L5635" s="120"/>
      <c r="M5635" s="120"/>
      <c r="N5635" s="167"/>
      <c r="O5635" s="120"/>
      <c r="P5635" s="120"/>
      <c r="Q5635" s="120"/>
      <c r="R5635" s="120"/>
      <c r="S5635" s="120"/>
      <c r="T5635" s="221"/>
      <c r="U5635" s="89"/>
      <c r="V5635" s="61"/>
      <c r="W5635" s="92" t="s">
        <v>65</v>
      </c>
      <c r="X5635" s="93" t="s">
        <v>30</v>
      </c>
      <c r="Y5635" s="93" t="s">
        <v>1011</v>
      </c>
      <c r="Z5635" s="134">
        <f>VLOOKUP(W5635,Sheet2!$B:$D,3,FALSE)</f>
        <v>1.76</v>
      </c>
      <c r="AA5635" s="93">
        <f>AA5634/9</f>
        <v>0.25437700147004472</v>
      </c>
      <c r="AB5635" s="93">
        <f>AD5635/AC5632</f>
        <v>6.918864479999999</v>
      </c>
      <c r="AC5635" s="93">
        <f>AC5632/AA5635</f>
        <v>1.769027849999997</v>
      </c>
      <c r="AD5635" s="94">
        <f t="shared" si="3983"/>
        <v>3.1134890159999946</v>
      </c>
      <c r="AE5635" s="190"/>
      <c r="AF5635" s="191"/>
      <c r="AG5635" s="191"/>
      <c r="AH5635" s="191"/>
      <c r="AI5635" s="186"/>
      <c r="AK5635" s="171"/>
    </row>
    <row r="5636" spans="1:41" s="102" customFormat="1" ht="19.899999999999999" customHeight="1" x14ac:dyDescent="0.25">
      <c r="A5636" s="45"/>
      <c r="B5636" s="59"/>
      <c r="C5636" s="137"/>
      <c r="D5636" s="59"/>
      <c r="E5636" s="116"/>
      <c r="F5636" s="120"/>
      <c r="G5636" s="120"/>
      <c r="H5636" s="120"/>
      <c r="I5636" s="60"/>
      <c r="J5636" s="116"/>
      <c r="K5636" s="213"/>
      <c r="L5636" s="120"/>
      <c r="M5636" s="120"/>
      <c r="N5636" s="167"/>
      <c r="O5636" s="120"/>
      <c r="P5636" s="120"/>
      <c r="Q5636" s="120"/>
      <c r="R5636" s="120"/>
      <c r="S5636" s="120"/>
      <c r="T5636" s="221"/>
      <c r="U5636" s="89"/>
      <c r="V5636" s="61"/>
      <c r="W5636" s="92" t="s">
        <v>161</v>
      </c>
      <c r="X5636" s="93" t="s">
        <v>29</v>
      </c>
      <c r="Y5636" s="93" t="s">
        <v>93</v>
      </c>
      <c r="Z5636" s="134">
        <f>VLOOKUP(W5636,Sheet2!$B:$D,3,FALSE)</f>
        <v>48</v>
      </c>
      <c r="AA5636" s="93">
        <f>(16*0.85*1.5)/((3.5*3.5*4.5)-(3.14/4*1.8*1.8*4.5))</f>
        <v>0.46703617469900205</v>
      </c>
      <c r="AB5636" s="93">
        <f>AD5636/AC5632</f>
        <v>102.77576470588235</v>
      </c>
      <c r="AC5636" s="93">
        <f>AC5632/AA5636</f>
        <v>0.96352279411764552</v>
      </c>
      <c r="AD5636" s="94">
        <f>AC5636*Z5636</f>
        <v>46.249094117646983</v>
      </c>
      <c r="AE5636" s="190"/>
      <c r="AF5636" s="191"/>
      <c r="AG5636" s="191"/>
      <c r="AH5636" s="191"/>
      <c r="AI5636" s="186"/>
      <c r="AK5636" s="171"/>
    </row>
    <row r="5637" spans="1:41" s="102" customFormat="1" ht="19.899999999999999" customHeight="1" x14ac:dyDescent="0.25">
      <c r="A5637" s="45"/>
      <c r="B5637" s="59"/>
      <c r="C5637" s="137"/>
      <c r="D5637" s="59"/>
      <c r="E5637" s="116"/>
      <c r="F5637" s="120"/>
      <c r="G5637" s="120"/>
      <c r="H5637" s="120"/>
      <c r="I5637" s="60"/>
      <c r="J5637" s="116"/>
      <c r="K5637" s="213"/>
      <c r="L5637" s="120"/>
      <c r="M5637" s="120"/>
      <c r="N5637" s="167"/>
      <c r="O5637" s="120"/>
      <c r="P5637" s="120"/>
      <c r="Q5637" s="120"/>
      <c r="R5637" s="120"/>
      <c r="S5637" s="120"/>
      <c r="T5637" s="221"/>
      <c r="U5637" s="89"/>
      <c r="V5637" s="61"/>
      <c r="W5637" s="92" t="s">
        <v>65</v>
      </c>
      <c r="X5637" s="93" t="s">
        <v>30</v>
      </c>
      <c r="Y5637" s="93" t="s">
        <v>1011</v>
      </c>
      <c r="Z5637" s="134">
        <f>VLOOKUP(W5637,Sheet2!$B:$D,3,FALSE)</f>
        <v>1.76</v>
      </c>
      <c r="AA5637" s="93">
        <f>AA5636/10</f>
        <v>4.6703617469900205E-2</v>
      </c>
      <c r="AB5637" s="93">
        <f>AD5637/AC5632</f>
        <v>37.684447058823537</v>
      </c>
      <c r="AC5637" s="93">
        <f>AC5632/AA5637</f>
        <v>9.6352279411764563</v>
      </c>
      <c r="AD5637" s="94">
        <f>AC5637*Z5637</f>
        <v>16.958001176470564</v>
      </c>
      <c r="AE5637" s="190"/>
      <c r="AF5637" s="191"/>
      <c r="AG5637" s="191"/>
      <c r="AH5637" s="191"/>
      <c r="AI5637" s="186"/>
      <c r="AK5637" s="171"/>
    </row>
    <row r="5638" spans="1:41" s="102" customFormat="1" ht="19.899999999999999" customHeight="1" x14ac:dyDescent="0.25">
      <c r="A5638" s="45"/>
      <c r="B5638" s="59"/>
      <c r="C5638" s="137"/>
      <c r="D5638" s="59"/>
      <c r="E5638" s="116"/>
      <c r="F5638" s="120"/>
      <c r="G5638" s="120"/>
      <c r="H5638" s="120"/>
      <c r="I5638" s="60"/>
      <c r="J5638" s="116"/>
      <c r="K5638" s="213"/>
      <c r="L5638" s="120"/>
      <c r="M5638" s="120"/>
      <c r="N5638" s="167"/>
      <c r="O5638" s="120"/>
      <c r="P5638" s="120"/>
      <c r="Q5638" s="120"/>
      <c r="R5638" s="120"/>
      <c r="S5638" s="120"/>
      <c r="T5638" s="221"/>
      <c r="U5638" s="89"/>
      <c r="V5638" s="61"/>
      <c r="W5638" s="92" t="s">
        <v>173</v>
      </c>
      <c r="X5638" s="93" t="s">
        <v>29</v>
      </c>
      <c r="Y5638" s="93" t="s">
        <v>93</v>
      </c>
      <c r="Z5638" s="134">
        <f>VLOOKUP(W5638,Sheet2!$B:$D,3,FALSE)</f>
        <v>36</v>
      </c>
      <c r="AA5638" s="93">
        <f>50/((3.5*3.5*4.5)-(3.14/4*1.8*1.8*4.5))</f>
        <v>1.1446965066152013</v>
      </c>
      <c r="AB5638" s="93">
        <f>AD5638/AC5632</f>
        <v>31.449383999999995</v>
      </c>
      <c r="AC5638" s="93">
        <f>AC5632/AA5638</f>
        <v>0.39311729999999934</v>
      </c>
      <c r="AD5638" s="94">
        <f>AC5638*Z5638</f>
        <v>14.152222799999976</v>
      </c>
      <c r="AE5638" s="190"/>
      <c r="AF5638" s="191"/>
      <c r="AG5638" s="191"/>
      <c r="AH5638" s="191"/>
      <c r="AI5638" s="186"/>
      <c r="AK5638" s="171"/>
    </row>
    <row r="5639" spans="1:41" s="102" customFormat="1" ht="19.899999999999999" customHeight="1" x14ac:dyDescent="0.25">
      <c r="A5639" s="45"/>
      <c r="B5639" s="59"/>
      <c r="C5639" s="137"/>
      <c r="D5639" s="59"/>
      <c r="E5639" s="116"/>
      <c r="F5639" s="120"/>
      <c r="G5639" s="120"/>
      <c r="H5639" s="120"/>
      <c r="I5639" s="60"/>
      <c r="J5639" s="116"/>
      <c r="K5639" s="213"/>
      <c r="L5639" s="120"/>
      <c r="M5639" s="120"/>
      <c r="N5639" s="167"/>
      <c r="O5639" s="120"/>
      <c r="P5639" s="120"/>
      <c r="Q5639" s="120"/>
      <c r="R5639" s="120"/>
      <c r="S5639" s="120"/>
      <c r="T5639" s="221"/>
      <c r="U5639" s="89"/>
      <c r="V5639" s="61"/>
      <c r="W5639" s="92" t="s">
        <v>65</v>
      </c>
      <c r="X5639" s="93" t="s">
        <v>30</v>
      </c>
      <c r="Y5639" s="93" t="s">
        <v>1011</v>
      </c>
      <c r="Z5639" s="134">
        <f>VLOOKUP(W5639,Sheet2!$B:$D,3,FALSE)</f>
        <v>1.76</v>
      </c>
      <c r="AA5639" s="93">
        <f>AA5638/9</f>
        <v>0.12718850073502236</v>
      </c>
      <c r="AB5639" s="93">
        <f>AD5639/AC5632</f>
        <v>13.837728959999998</v>
      </c>
      <c r="AC5639" s="93">
        <f>AC5632/AA5639</f>
        <v>3.5380556999999939</v>
      </c>
      <c r="AD5639" s="94">
        <f>AC5639*Z5639</f>
        <v>6.2269780319999892</v>
      </c>
      <c r="AE5639" s="190"/>
      <c r="AF5639" s="191"/>
      <c r="AG5639" s="191"/>
      <c r="AH5639" s="191"/>
      <c r="AI5639" s="186"/>
      <c r="AK5639" s="171"/>
    </row>
    <row r="5640" spans="1:41" s="102" customFormat="1" ht="19.899999999999999" customHeight="1" x14ac:dyDescent="0.25">
      <c r="A5640" s="45"/>
      <c r="B5640" s="59"/>
      <c r="C5640" s="137"/>
      <c r="D5640" s="59"/>
      <c r="E5640" s="116"/>
      <c r="F5640" s="120"/>
      <c r="G5640" s="120"/>
      <c r="H5640" s="120"/>
      <c r="I5640" s="60"/>
      <c r="J5640" s="116"/>
      <c r="K5640" s="213"/>
      <c r="L5640" s="120"/>
      <c r="M5640" s="120"/>
      <c r="N5640" s="167"/>
      <c r="O5640" s="120"/>
      <c r="P5640" s="120"/>
      <c r="Q5640" s="120"/>
      <c r="R5640" s="120"/>
      <c r="S5640" s="120"/>
      <c r="T5640" s="221"/>
      <c r="U5640" s="89"/>
      <c r="V5640" s="61"/>
      <c r="W5640" s="92" t="s">
        <v>1030</v>
      </c>
      <c r="X5640" s="93" t="s">
        <v>29</v>
      </c>
      <c r="Y5640" s="93" t="s">
        <v>93</v>
      </c>
      <c r="Z5640" s="134">
        <f>VLOOKUP(W5640,Sheet2!$B:$D,3,FALSE)</f>
        <v>23</v>
      </c>
      <c r="AA5640" s="93">
        <f>1/(4.5*1)</f>
        <v>0.22222222222222221</v>
      </c>
      <c r="AB5640" s="93">
        <f>AD5640/AC5632</f>
        <v>103.5</v>
      </c>
      <c r="AC5640" s="93">
        <f>AC5632/AA5640</f>
        <v>2.0249999999999968</v>
      </c>
      <c r="AD5640" s="94">
        <f t="shared" ref="AD5640:AD5641" si="3985">AC5640*Z5640</f>
        <v>46.574999999999925</v>
      </c>
      <c r="AE5640" s="190"/>
      <c r="AF5640" s="191"/>
      <c r="AG5640" s="191"/>
      <c r="AH5640" s="191"/>
      <c r="AI5640" s="186"/>
      <c r="AK5640" s="171"/>
    </row>
    <row r="5641" spans="1:41" s="102" customFormat="1" ht="19.899999999999999" customHeight="1" x14ac:dyDescent="0.25">
      <c r="A5641" s="45"/>
      <c r="B5641" s="59"/>
      <c r="C5641" s="137"/>
      <c r="D5641" s="59"/>
      <c r="E5641" s="116"/>
      <c r="F5641" s="120"/>
      <c r="G5641" s="120"/>
      <c r="H5641" s="120"/>
      <c r="I5641" s="60"/>
      <c r="J5641" s="116"/>
      <c r="K5641" s="213"/>
      <c r="L5641" s="120"/>
      <c r="M5641" s="120"/>
      <c r="N5641" s="167"/>
      <c r="O5641" s="120"/>
      <c r="P5641" s="120"/>
      <c r="Q5641" s="120"/>
      <c r="R5641" s="120"/>
      <c r="S5641" s="120"/>
      <c r="T5641" s="221"/>
      <c r="U5641" s="89"/>
      <c r="V5641" s="61"/>
      <c r="W5641" s="92" t="s">
        <v>65</v>
      </c>
      <c r="X5641" s="93" t="s">
        <v>30</v>
      </c>
      <c r="Y5641" s="93" t="s">
        <v>1011</v>
      </c>
      <c r="Z5641" s="134">
        <f>VLOOKUP(W5641,Sheet2!$B:$D,3,FALSE)</f>
        <v>1.76</v>
      </c>
      <c r="AA5641" s="93">
        <f>AA5640/3</f>
        <v>7.407407407407407E-2</v>
      </c>
      <c r="AB5641" s="93">
        <f>AD5641/AC5632</f>
        <v>23.759999999999998</v>
      </c>
      <c r="AC5641" s="93">
        <f>AC5632/AA5641</f>
        <v>6.0749999999999904</v>
      </c>
      <c r="AD5641" s="94">
        <f t="shared" si="3985"/>
        <v>10.691999999999982</v>
      </c>
      <c r="AE5641" s="190"/>
      <c r="AF5641" s="191"/>
      <c r="AG5641" s="191"/>
      <c r="AH5641" s="191"/>
      <c r="AI5641" s="186"/>
      <c r="AK5641" s="171"/>
    </row>
    <row r="5642" spans="1:41" ht="20.100000000000001" customHeight="1" x14ac:dyDescent="0.25">
      <c r="A5642" s="277" t="s">
        <v>491</v>
      </c>
      <c r="B5642" s="278"/>
      <c r="C5642" s="64" t="s">
        <v>580</v>
      </c>
      <c r="D5642" s="46" t="s">
        <v>215</v>
      </c>
      <c r="E5642" s="114">
        <v>3.9999999999999813E-2</v>
      </c>
      <c r="F5642" s="44">
        <v>51485</v>
      </c>
      <c r="G5642" s="44">
        <f t="shared" si="3841"/>
        <v>2059.3999999999905</v>
      </c>
      <c r="H5642" s="44">
        <f t="shared" si="3842"/>
        <v>14738.359975874511</v>
      </c>
      <c r="I5642" s="43">
        <f t="shared" si="3843"/>
        <v>589.5343990349777</v>
      </c>
      <c r="J5642" s="112">
        <f t="shared" si="3844"/>
        <v>3.9999999999999813E-2</v>
      </c>
      <c r="K5642" s="211">
        <f t="shared" si="3845"/>
        <v>3.9999999999999813E-2</v>
      </c>
      <c r="L5642" s="44"/>
      <c r="M5642" s="44">
        <f t="shared" si="3846"/>
        <v>3.9999999999999813E-2</v>
      </c>
      <c r="N5642" s="173">
        <f t="shared" si="3847"/>
        <v>1</v>
      </c>
      <c r="O5642" s="44">
        <f t="shared" si="3848"/>
        <v>51485</v>
      </c>
      <c r="P5642" s="44">
        <f t="shared" si="3849"/>
        <v>2059.3999999999905</v>
      </c>
      <c r="Q5642" s="44">
        <f t="shared" si="3850"/>
        <v>14738.359975874511</v>
      </c>
      <c r="R5642" s="44">
        <f t="shared" si="3851"/>
        <v>589.5343990349777</v>
      </c>
      <c r="S5642" s="123"/>
      <c r="T5642" s="219">
        <f t="shared" si="3852"/>
        <v>589.5343990349777</v>
      </c>
      <c r="U5642" s="87"/>
      <c r="V5642" s="47"/>
      <c r="W5642" s="48"/>
      <c r="X5642" s="48"/>
      <c r="Y5642" s="48"/>
      <c r="Z5642" s="135"/>
      <c r="AA5642" s="49"/>
      <c r="AB5642" s="50">
        <f t="shared" si="3853"/>
        <v>14738.359975874511</v>
      </c>
      <c r="AC5642" s="42">
        <f t="shared" si="3854"/>
        <v>3.9999999999999813E-2</v>
      </c>
      <c r="AD5642" s="90">
        <f>AD5643+AD5648+AD5655+AD5662</f>
        <v>589.5343990349777</v>
      </c>
      <c r="AE5642" s="188">
        <f t="shared" ref="AE5642:AH5642" si="3986">AE5643+AE5648+AE5655+AE5662</f>
        <v>0</v>
      </c>
      <c r="AF5642" s="189">
        <f t="shared" si="3986"/>
        <v>0</v>
      </c>
      <c r="AG5642" s="189">
        <f t="shared" si="3986"/>
        <v>0</v>
      </c>
      <c r="AH5642" s="189">
        <f t="shared" si="3986"/>
        <v>0</v>
      </c>
      <c r="AI5642" s="161">
        <f t="shared" ref="AI5642" si="3987">SUM(AE5642:AH5642)</f>
        <v>0</v>
      </c>
      <c r="AK5642" s="169">
        <v>5</v>
      </c>
      <c r="AO5642" s="19" t="s">
        <v>63</v>
      </c>
    </row>
    <row r="5643" spans="1:41" s="103" customFormat="1" ht="19.899999999999999" customHeight="1" x14ac:dyDescent="0.25">
      <c r="A5643" s="51"/>
      <c r="B5643" s="52"/>
      <c r="C5643" s="165"/>
      <c r="D5643" s="52"/>
      <c r="E5643" s="115"/>
      <c r="F5643" s="58"/>
      <c r="G5643" s="58"/>
      <c r="H5643" s="58"/>
      <c r="I5643" s="55"/>
      <c r="J5643" s="113">
        <f>J5642</f>
        <v>3.9999999999999813E-2</v>
      </c>
      <c r="K5643" s="212">
        <f>K5642</f>
        <v>3.9999999999999813E-2</v>
      </c>
      <c r="L5643" s="58"/>
      <c r="M5643" s="58">
        <f>K5643-L5643</f>
        <v>3.9999999999999813E-2</v>
      </c>
      <c r="N5643" s="166"/>
      <c r="O5643" s="58"/>
      <c r="P5643" s="58"/>
      <c r="Q5643" s="58"/>
      <c r="R5643" s="58"/>
      <c r="S5643" s="58"/>
      <c r="T5643" s="220"/>
      <c r="U5643" s="88"/>
      <c r="V5643" s="56"/>
      <c r="W5643" s="57" t="s">
        <v>1561</v>
      </c>
      <c r="X5643" s="53"/>
      <c r="Y5643" s="91" t="s">
        <v>35</v>
      </c>
      <c r="Z5643" s="136">
        <f>AD5643/AC5643</f>
        <v>246.35278431372546</v>
      </c>
      <c r="AA5643" s="58"/>
      <c r="AB5643" s="53">
        <f>AD5643/AC5643</f>
        <v>246.35278431372546</v>
      </c>
      <c r="AC5643" s="53">
        <f>M5643+$AE$10</f>
        <v>3.9999999999999813E-2</v>
      </c>
      <c r="AD5643" s="54">
        <f>SUM(AD5644:AD5647)</f>
        <v>9.8541113725489726</v>
      </c>
      <c r="AE5643" s="184">
        <f>SUMIFS($AD$37:$AD$12971,$V$37:$V$12971,$V5643,$X$37:$X$12971,AE$13)</f>
        <v>0</v>
      </c>
      <c r="AF5643" s="185">
        <f>SUMIFS($AD$37:$AD$12971,$V$37:$V$12971,$V5643,$X$37:$X$12971,AF$13)</f>
        <v>0</v>
      </c>
      <c r="AG5643" s="185">
        <f>SUMIFS($AD$37:$AD$12971,$V$37:$V$12971,$V5643,$X$37:$X$12971,AG$13)</f>
        <v>0</v>
      </c>
      <c r="AH5643" s="187">
        <f>SUMIFS($AD$37:$AD$12971,$V$37:$V$12971,$V5643,$X$37:$X$12971,AH$13)</f>
        <v>0</v>
      </c>
      <c r="AI5643" s="161">
        <f t="shared" ref="AI5643" si="3988">SUM(AE5643:AH5643)</f>
        <v>0</v>
      </c>
      <c r="AK5643" s="172"/>
    </row>
    <row r="5644" spans="1:41" s="102" customFormat="1" ht="19.899999999999999" customHeight="1" x14ac:dyDescent="0.25">
      <c r="A5644" s="45"/>
      <c r="B5644" s="59"/>
      <c r="C5644" s="137"/>
      <c r="D5644" s="59"/>
      <c r="E5644" s="116"/>
      <c r="F5644" s="120"/>
      <c r="G5644" s="120"/>
      <c r="H5644" s="120"/>
      <c r="I5644" s="60"/>
      <c r="J5644" s="116"/>
      <c r="K5644" s="213"/>
      <c r="L5644" s="120"/>
      <c r="M5644" s="120"/>
      <c r="N5644" s="167"/>
      <c r="O5644" s="120"/>
      <c r="P5644" s="120"/>
      <c r="Q5644" s="120"/>
      <c r="R5644" s="120"/>
      <c r="S5644" s="120"/>
      <c r="T5644" s="221"/>
      <c r="U5644" s="89"/>
      <c r="V5644" s="61"/>
      <c r="W5644" s="92" t="s">
        <v>129</v>
      </c>
      <c r="X5644" s="93" t="s">
        <v>29</v>
      </c>
      <c r="Y5644" s="93" t="s">
        <v>93</v>
      </c>
      <c r="Z5644" s="134">
        <f>VLOOKUP(W5644,Sheet2!$B:$D,3,FALSE)</f>
        <v>56</v>
      </c>
      <c r="AA5644" s="93">
        <f>100/(3.5*3.5*5)</f>
        <v>1.6326530612244898</v>
      </c>
      <c r="AB5644" s="93">
        <f t="shared" ref="AB5644" si="3989">AD5644/AC5643</f>
        <v>34.300000000000004</v>
      </c>
      <c r="AC5644" s="93">
        <f>AC5643/AA5644</f>
        <v>2.4499999999999886E-2</v>
      </c>
      <c r="AD5644" s="94">
        <f t="shared" ref="AD5644:AD5645" si="3990">AC5644*Z5644</f>
        <v>1.3719999999999937</v>
      </c>
      <c r="AE5644" s="190"/>
      <c r="AF5644" s="191"/>
      <c r="AG5644" s="191"/>
      <c r="AH5644" s="191"/>
      <c r="AI5644" s="186"/>
      <c r="AK5644" s="171"/>
    </row>
    <row r="5645" spans="1:41" s="102" customFormat="1" ht="19.899999999999999" customHeight="1" x14ac:dyDescent="0.25">
      <c r="A5645" s="45"/>
      <c r="B5645" s="59"/>
      <c r="C5645" s="137"/>
      <c r="D5645" s="59"/>
      <c r="E5645" s="116"/>
      <c r="F5645" s="120"/>
      <c r="G5645" s="120"/>
      <c r="H5645" s="120"/>
      <c r="I5645" s="60"/>
      <c r="J5645" s="116"/>
      <c r="K5645" s="213"/>
      <c r="L5645" s="120"/>
      <c r="M5645" s="120"/>
      <c r="N5645" s="167"/>
      <c r="O5645" s="120"/>
      <c r="P5645" s="120"/>
      <c r="Q5645" s="120"/>
      <c r="R5645" s="120"/>
      <c r="S5645" s="120"/>
      <c r="T5645" s="221"/>
      <c r="U5645" s="89"/>
      <c r="V5645" s="61"/>
      <c r="W5645" s="92" t="s">
        <v>65</v>
      </c>
      <c r="X5645" s="93" t="s">
        <v>30</v>
      </c>
      <c r="Y5645" s="93" t="s">
        <v>1011</v>
      </c>
      <c r="Z5645" s="134">
        <f>VLOOKUP(W5645,Sheet2!$B:$D,3,FALSE)</f>
        <v>1.76</v>
      </c>
      <c r="AA5645" s="93">
        <f>AA5644/14</f>
        <v>0.11661807580174928</v>
      </c>
      <c r="AB5645" s="93">
        <f>AD5645/AC5643</f>
        <v>15.091999999999999</v>
      </c>
      <c r="AC5645" s="93">
        <f>AC5643/AA5645</f>
        <v>0.34299999999999836</v>
      </c>
      <c r="AD5645" s="94">
        <f t="shared" si="3990"/>
        <v>0.60367999999999711</v>
      </c>
      <c r="AE5645" s="190"/>
      <c r="AF5645" s="191"/>
      <c r="AG5645" s="191"/>
      <c r="AH5645" s="191"/>
      <c r="AI5645" s="186"/>
      <c r="AK5645" s="171"/>
    </row>
    <row r="5646" spans="1:41" s="102" customFormat="1" ht="19.899999999999999" customHeight="1" x14ac:dyDescent="0.25">
      <c r="A5646" s="45"/>
      <c r="B5646" s="59"/>
      <c r="C5646" s="137"/>
      <c r="D5646" s="59"/>
      <c r="E5646" s="116"/>
      <c r="F5646" s="120"/>
      <c r="G5646" s="120"/>
      <c r="H5646" s="120"/>
      <c r="I5646" s="60"/>
      <c r="J5646" s="116"/>
      <c r="K5646" s="213"/>
      <c r="L5646" s="120"/>
      <c r="M5646" s="120"/>
      <c r="N5646" s="167"/>
      <c r="O5646" s="120"/>
      <c r="P5646" s="120"/>
      <c r="Q5646" s="120"/>
      <c r="R5646" s="120"/>
      <c r="S5646" s="120"/>
      <c r="T5646" s="221"/>
      <c r="U5646" s="89"/>
      <c r="V5646" s="61"/>
      <c r="W5646" s="92" t="s">
        <v>161</v>
      </c>
      <c r="X5646" s="93" t="s">
        <v>29</v>
      </c>
      <c r="Y5646" s="93" t="s">
        <v>93</v>
      </c>
      <c r="Z5646" s="134">
        <f>VLOOKUP(W5646,Sheet2!$B:$D,3,FALSE)</f>
        <v>48</v>
      </c>
      <c r="AA5646" s="93">
        <f>(16*0.85*1.5)/(3.5*3.5*5)</f>
        <v>0.33306122448979592</v>
      </c>
      <c r="AB5646" s="93">
        <f>AD5646/AC5643</f>
        <v>144.11764705882351</v>
      </c>
      <c r="AC5646" s="93">
        <f>AC5643/AA5646</f>
        <v>0.12009803921568571</v>
      </c>
      <c r="AD5646" s="94">
        <f>AC5646*Z5646</f>
        <v>5.7647058823529136</v>
      </c>
      <c r="AE5646" s="190"/>
      <c r="AF5646" s="191"/>
      <c r="AG5646" s="191"/>
      <c r="AH5646" s="191"/>
      <c r="AI5646" s="186"/>
      <c r="AK5646" s="171"/>
    </row>
    <row r="5647" spans="1:41" s="102" customFormat="1" ht="19.899999999999999" customHeight="1" x14ac:dyDescent="0.25">
      <c r="A5647" s="45"/>
      <c r="B5647" s="59"/>
      <c r="C5647" s="137"/>
      <c r="D5647" s="59"/>
      <c r="E5647" s="116"/>
      <c r="F5647" s="120"/>
      <c r="G5647" s="120"/>
      <c r="H5647" s="120"/>
      <c r="I5647" s="60"/>
      <c r="J5647" s="116"/>
      <c r="K5647" s="213"/>
      <c r="L5647" s="120"/>
      <c r="M5647" s="120"/>
      <c r="N5647" s="167"/>
      <c r="O5647" s="120"/>
      <c r="P5647" s="120"/>
      <c r="Q5647" s="120"/>
      <c r="R5647" s="120"/>
      <c r="S5647" s="120"/>
      <c r="T5647" s="221"/>
      <c r="U5647" s="89"/>
      <c r="V5647" s="61"/>
      <c r="W5647" s="92" t="s">
        <v>65</v>
      </c>
      <c r="X5647" s="93" t="s">
        <v>30</v>
      </c>
      <c r="Y5647" s="93" t="s">
        <v>1011</v>
      </c>
      <c r="Z5647" s="134">
        <f>VLOOKUP(W5647,Sheet2!$B:$D,3,FALSE)</f>
        <v>1.76</v>
      </c>
      <c r="AA5647" s="93">
        <f>AA5646/10</f>
        <v>3.330612244897959E-2</v>
      </c>
      <c r="AB5647" s="93">
        <f>AD5647/AC5643</f>
        <v>52.843137254901961</v>
      </c>
      <c r="AC5647" s="93">
        <f>AC5643/AA5647</f>
        <v>1.2009803921568571</v>
      </c>
      <c r="AD5647" s="94">
        <f>AC5647*Z5647</f>
        <v>2.1137254901960687</v>
      </c>
      <c r="AE5647" s="190"/>
      <c r="AF5647" s="191"/>
      <c r="AG5647" s="191"/>
      <c r="AH5647" s="191"/>
      <c r="AI5647" s="186"/>
      <c r="AK5647" s="171"/>
    </row>
    <row r="5648" spans="1:41" s="103" customFormat="1" ht="19.899999999999999" customHeight="1" x14ac:dyDescent="0.25">
      <c r="A5648" s="51"/>
      <c r="B5648" s="52"/>
      <c r="C5648" s="165"/>
      <c r="D5648" s="52"/>
      <c r="E5648" s="115"/>
      <c r="F5648" s="58"/>
      <c r="G5648" s="58"/>
      <c r="H5648" s="58"/>
      <c r="I5648" s="55"/>
      <c r="J5648" s="113">
        <f>J5642</f>
        <v>3.9999999999999813E-2</v>
      </c>
      <c r="K5648" s="212">
        <f>K5642</f>
        <v>3.9999999999999813E-2</v>
      </c>
      <c r="L5648" s="58"/>
      <c r="M5648" s="58">
        <f>K5648-L5648</f>
        <v>3.9999999999999813E-2</v>
      </c>
      <c r="N5648" s="166"/>
      <c r="O5648" s="58"/>
      <c r="P5648" s="58"/>
      <c r="Q5648" s="58"/>
      <c r="R5648" s="58"/>
      <c r="S5648" s="58"/>
      <c r="T5648" s="220"/>
      <c r="U5648" s="88"/>
      <c r="V5648" s="56"/>
      <c r="W5648" s="57" t="s">
        <v>1486</v>
      </c>
      <c r="X5648" s="53"/>
      <c r="Y5648" s="91" t="s">
        <v>35</v>
      </c>
      <c r="Z5648" s="136">
        <f>AD5648/AC5648</f>
        <v>2396.5660000000003</v>
      </c>
      <c r="AA5648" s="58"/>
      <c r="AB5648" s="53">
        <f>AD5648/AC5648</f>
        <v>2396.5660000000003</v>
      </c>
      <c r="AC5648" s="53">
        <f>M5648+$AE$10</f>
        <v>3.9999999999999813E-2</v>
      </c>
      <c r="AD5648" s="54">
        <f>SUM(AD5649:AD5654)</f>
        <v>95.862639999999558</v>
      </c>
      <c r="AE5648" s="184">
        <f>SUMIFS($AD$37:$AD$12971,$V$37:$V$12971,$V5648,$X$37:$X$12971,AE$13)</f>
        <v>0</v>
      </c>
      <c r="AF5648" s="185">
        <f>SUMIFS($AD$37:$AD$12971,$V$37:$V$12971,$V5648,$X$37:$X$12971,AF$13)</f>
        <v>0</v>
      </c>
      <c r="AG5648" s="185">
        <f>SUMIFS($AD$37:$AD$12971,$V$37:$V$12971,$V5648,$X$37:$X$12971,AG$13)</f>
        <v>0</v>
      </c>
      <c r="AH5648" s="187">
        <f>SUMIFS($AD$37:$AD$12971,$V$37:$V$12971,$V5648,$X$37:$X$12971,AH$13)</f>
        <v>0</v>
      </c>
      <c r="AI5648" s="161">
        <f t="shared" ref="AI5648" si="3991">SUM(AE5648:AH5648)</f>
        <v>0</v>
      </c>
      <c r="AK5648" s="172"/>
    </row>
    <row r="5649" spans="1:37" s="102" customFormat="1" ht="19.899999999999999" customHeight="1" x14ac:dyDescent="0.25">
      <c r="A5649" s="45"/>
      <c r="B5649" s="59"/>
      <c r="C5649" s="137"/>
      <c r="D5649" s="59"/>
      <c r="E5649" s="116"/>
      <c r="F5649" s="120"/>
      <c r="G5649" s="120"/>
      <c r="H5649" s="120"/>
      <c r="I5649" s="60"/>
      <c r="J5649" s="116"/>
      <c r="K5649" s="213"/>
      <c r="L5649" s="120"/>
      <c r="M5649" s="120"/>
      <c r="N5649" s="167"/>
      <c r="O5649" s="120"/>
      <c r="P5649" s="120"/>
      <c r="Q5649" s="120"/>
      <c r="R5649" s="120"/>
      <c r="S5649" s="120"/>
      <c r="T5649" s="221"/>
      <c r="U5649" s="89"/>
      <c r="V5649" s="61"/>
      <c r="W5649" s="92" t="s">
        <v>1032</v>
      </c>
      <c r="X5649" s="93" t="s">
        <v>30</v>
      </c>
      <c r="Y5649" s="93" t="s">
        <v>66</v>
      </c>
      <c r="Z5649" s="134">
        <f>VLOOKUP(W5649,Sheet2!$B:$D,3,FALSE)</f>
        <v>250</v>
      </c>
      <c r="AA5649" s="93">
        <f>1/(2.7*2.7*0.1)</f>
        <v>1.371742112482853</v>
      </c>
      <c r="AB5649" s="93">
        <f>AD5649/AC5655</f>
        <v>182.25</v>
      </c>
      <c r="AC5649" s="93">
        <f>AC5655/AA5649</f>
        <v>2.9159999999999867E-2</v>
      </c>
      <c r="AD5649" s="94">
        <f t="shared" ref="AD5649:AD5651" si="3992">AC5649*Z5649</f>
        <v>7.2899999999999663</v>
      </c>
      <c r="AE5649" s="190"/>
      <c r="AF5649" s="191"/>
      <c r="AG5649" s="191"/>
      <c r="AH5649" s="191"/>
      <c r="AI5649" s="186"/>
      <c r="AK5649" s="171"/>
    </row>
    <row r="5650" spans="1:37" s="102" customFormat="1" ht="19.899999999999999" customHeight="1" x14ac:dyDescent="0.25">
      <c r="A5650" s="45"/>
      <c r="B5650" s="59"/>
      <c r="C5650" s="137"/>
      <c r="D5650" s="59"/>
      <c r="E5650" s="116"/>
      <c r="F5650" s="120"/>
      <c r="G5650" s="120"/>
      <c r="H5650" s="120"/>
      <c r="I5650" s="60"/>
      <c r="J5650" s="116"/>
      <c r="K5650" s="213"/>
      <c r="L5650" s="120"/>
      <c r="M5650" s="120"/>
      <c r="N5650" s="167"/>
      <c r="O5650" s="120"/>
      <c r="P5650" s="120"/>
      <c r="Q5650" s="120"/>
      <c r="R5650" s="120"/>
      <c r="S5650" s="120"/>
      <c r="T5650" s="221"/>
      <c r="U5650" s="89"/>
      <c r="V5650" s="61"/>
      <c r="W5650" s="92" t="s">
        <v>1353</v>
      </c>
      <c r="X5650" s="93" t="s">
        <v>30</v>
      </c>
      <c r="Y5650" s="93" t="s">
        <v>66</v>
      </c>
      <c r="Z5650" s="134">
        <f>VLOOKUP(W5650,Sheet2!$B:$D,3,FALSE)</f>
        <v>350</v>
      </c>
      <c r="AA5650" s="93">
        <f>1/(2.6*2.6*0.3)</f>
        <v>0.49309664694280081</v>
      </c>
      <c r="AB5650" s="93">
        <f>AD5650/AC5655</f>
        <v>709.8</v>
      </c>
      <c r="AC5650" s="93">
        <f>AC5655/AA5650</f>
        <v>8.1119999999999623E-2</v>
      </c>
      <c r="AD5650" s="94">
        <f t="shared" si="3992"/>
        <v>28.391999999999868</v>
      </c>
      <c r="AE5650" s="190"/>
      <c r="AF5650" s="191"/>
      <c r="AG5650" s="191"/>
      <c r="AH5650" s="191"/>
      <c r="AI5650" s="186"/>
      <c r="AK5650" s="171"/>
    </row>
    <row r="5651" spans="1:37" s="102" customFormat="1" ht="19.899999999999999" customHeight="1" x14ac:dyDescent="0.25">
      <c r="A5651" s="45"/>
      <c r="B5651" s="59"/>
      <c r="C5651" s="137"/>
      <c r="D5651" s="59"/>
      <c r="E5651" s="116"/>
      <c r="F5651" s="120"/>
      <c r="G5651" s="120"/>
      <c r="H5651" s="120"/>
      <c r="I5651" s="60"/>
      <c r="J5651" s="116"/>
      <c r="K5651" s="213"/>
      <c r="L5651" s="120"/>
      <c r="M5651" s="120"/>
      <c r="N5651" s="167"/>
      <c r="O5651" s="120"/>
      <c r="P5651" s="120"/>
      <c r="Q5651" s="120"/>
      <c r="R5651" s="120"/>
      <c r="S5651" s="120"/>
      <c r="T5651" s="221"/>
      <c r="U5651" s="89"/>
      <c r="V5651" s="61"/>
      <c r="W5651" s="92" t="s">
        <v>99</v>
      </c>
      <c r="X5651" s="93" t="s">
        <v>30</v>
      </c>
      <c r="Y5651" s="93" t="s">
        <v>67</v>
      </c>
      <c r="Z5651" s="134">
        <f>VLOOKUP(W5651,Sheet2!$B:$D,3,FALSE)</f>
        <v>2500</v>
      </c>
      <c r="AA5651" s="93">
        <f>AA5650/0.08</f>
        <v>6.16370808678501</v>
      </c>
      <c r="AB5651" s="93">
        <f>AD5651/AC5655</f>
        <v>405.59999999999997</v>
      </c>
      <c r="AC5651" s="93">
        <f>AC5655/AA5651</f>
        <v>6.4895999999999695E-3</v>
      </c>
      <c r="AD5651" s="94">
        <f t="shared" si="3992"/>
        <v>16.223999999999922</v>
      </c>
      <c r="AE5651" s="190"/>
      <c r="AF5651" s="191"/>
      <c r="AG5651" s="191"/>
      <c r="AH5651" s="191"/>
      <c r="AI5651" s="186"/>
      <c r="AK5651" s="171"/>
    </row>
    <row r="5652" spans="1:37" s="102" customFormat="1" ht="19.899999999999999" customHeight="1" x14ac:dyDescent="0.25">
      <c r="A5652" s="45"/>
      <c r="B5652" s="59"/>
      <c r="C5652" s="137"/>
      <c r="D5652" s="59"/>
      <c r="E5652" s="116"/>
      <c r="F5652" s="120"/>
      <c r="G5652" s="120"/>
      <c r="H5652" s="120"/>
      <c r="I5652" s="60"/>
      <c r="J5652" s="116"/>
      <c r="K5652" s="213"/>
      <c r="L5652" s="120"/>
      <c r="M5652" s="120"/>
      <c r="N5652" s="167"/>
      <c r="O5652" s="120"/>
      <c r="P5652" s="120"/>
      <c r="Q5652" s="120"/>
      <c r="R5652" s="120"/>
      <c r="S5652" s="120"/>
      <c r="T5652" s="221"/>
      <c r="U5652" s="89"/>
      <c r="V5652" s="61"/>
      <c r="W5652" s="92" t="s">
        <v>1354</v>
      </c>
      <c r="X5652" s="93" t="s">
        <v>32</v>
      </c>
      <c r="Y5652" s="93" t="s">
        <v>66</v>
      </c>
      <c r="Z5652" s="134">
        <f>VLOOKUP(W5652,Sheet2!$B:$D,3,FALSE)</f>
        <v>150</v>
      </c>
      <c r="AA5652" s="93">
        <f>AA5649</f>
        <v>1.371742112482853</v>
      </c>
      <c r="AB5652" s="93">
        <f>AD5652/AC5655</f>
        <v>109.35000000000001</v>
      </c>
      <c r="AC5652" s="93">
        <f>AC5655/AA5652</f>
        <v>2.9159999999999867E-2</v>
      </c>
      <c r="AD5652" s="94">
        <f>AC5652*Z5652</f>
        <v>4.3739999999999801</v>
      </c>
      <c r="AE5652" s="190"/>
      <c r="AF5652" s="191"/>
      <c r="AG5652" s="191"/>
      <c r="AH5652" s="191"/>
      <c r="AI5652" s="186"/>
      <c r="AK5652" s="171"/>
    </row>
    <row r="5653" spans="1:37" s="102" customFormat="1" ht="19.899999999999999" customHeight="1" x14ac:dyDescent="0.25">
      <c r="A5653" s="45"/>
      <c r="B5653" s="59"/>
      <c r="C5653" s="137"/>
      <c r="D5653" s="59"/>
      <c r="E5653" s="116"/>
      <c r="F5653" s="120"/>
      <c r="G5653" s="120"/>
      <c r="H5653" s="120"/>
      <c r="I5653" s="60"/>
      <c r="J5653" s="116"/>
      <c r="K5653" s="213"/>
      <c r="L5653" s="120"/>
      <c r="M5653" s="120"/>
      <c r="N5653" s="167"/>
      <c r="O5653" s="120"/>
      <c r="P5653" s="120"/>
      <c r="Q5653" s="120"/>
      <c r="R5653" s="120"/>
      <c r="S5653" s="120"/>
      <c r="T5653" s="221"/>
      <c r="U5653" s="89"/>
      <c r="V5653" s="61"/>
      <c r="W5653" s="92" t="s">
        <v>1355</v>
      </c>
      <c r="X5653" s="93" t="s">
        <v>32</v>
      </c>
      <c r="Y5653" s="93" t="s">
        <v>66</v>
      </c>
      <c r="Z5653" s="134">
        <f>VLOOKUP(W5653,Sheet2!$B:$D,3,FALSE)</f>
        <v>450</v>
      </c>
      <c r="AA5653" s="93">
        <f>AA5650</f>
        <v>0.49309664694280081</v>
      </c>
      <c r="AB5653" s="93">
        <f>AD5653/AC5655</f>
        <v>912.59999999999991</v>
      </c>
      <c r="AC5653" s="93">
        <f>AC5655/AA5653</f>
        <v>8.1119999999999623E-2</v>
      </c>
      <c r="AD5653" s="94">
        <f>AC5653*Z5653</f>
        <v>36.503999999999827</v>
      </c>
      <c r="AE5653" s="190"/>
      <c r="AF5653" s="191"/>
      <c r="AG5653" s="191"/>
      <c r="AH5653" s="191"/>
      <c r="AI5653" s="186"/>
      <c r="AK5653" s="171"/>
    </row>
    <row r="5654" spans="1:37" s="102" customFormat="1" ht="19.899999999999999" customHeight="1" x14ac:dyDescent="0.25">
      <c r="A5654" s="45"/>
      <c r="B5654" s="59"/>
      <c r="C5654" s="137"/>
      <c r="D5654" s="59"/>
      <c r="E5654" s="116"/>
      <c r="F5654" s="120"/>
      <c r="G5654" s="120"/>
      <c r="H5654" s="120"/>
      <c r="I5654" s="60"/>
      <c r="J5654" s="116"/>
      <c r="K5654" s="213"/>
      <c r="L5654" s="120"/>
      <c r="M5654" s="120"/>
      <c r="N5654" s="167"/>
      <c r="O5654" s="120"/>
      <c r="P5654" s="120"/>
      <c r="Q5654" s="120"/>
      <c r="R5654" s="120"/>
      <c r="S5654" s="120"/>
      <c r="T5654" s="221"/>
      <c r="U5654" s="89"/>
      <c r="V5654" s="61"/>
      <c r="W5654" s="92" t="s">
        <v>124</v>
      </c>
      <c r="X5654" s="93" t="s">
        <v>32</v>
      </c>
      <c r="Y5654" s="93" t="s">
        <v>64</v>
      </c>
      <c r="Z5654" s="134">
        <f>VLOOKUP(W5654,Sheet2!$B:$D,3,FALSE)</f>
        <v>10</v>
      </c>
      <c r="AA5654" s="93">
        <f>1/((3.2*3.2)-(3.14*1.8*1.8/4))</f>
        <v>0.12992750045474621</v>
      </c>
      <c r="AB5654" s="93">
        <f t="shared" ref="AB5654" si="3993">AD5654/AC5648</f>
        <v>76.966000000000022</v>
      </c>
      <c r="AC5654" s="93">
        <f>AC5648/AA5654</f>
        <v>0.30786399999999864</v>
      </c>
      <c r="AD5654" s="94">
        <f t="shared" ref="AD5654" si="3994">AC5654*Z5654</f>
        <v>3.0786399999999863</v>
      </c>
      <c r="AE5654" s="190"/>
      <c r="AF5654" s="191"/>
      <c r="AG5654" s="191"/>
      <c r="AH5654" s="191"/>
      <c r="AI5654" s="186"/>
      <c r="AK5654" s="171"/>
    </row>
    <row r="5655" spans="1:37" s="103" customFormat="1" ht="19.899999999999999" customHeight="1" x14ac:dyDescent="0.25">
      <c r="A5655" s="51"/>
      <c r="B5655" s="52"/>
      <c r="C5655" s="165"/>
      <c r="D5655" s="52"/>
      <c r="E5655" s="115"/>
      <c r="F5655" s="58"/>
      <c r="G5655" s="58"/>
      <c r="H5655" s="58"/>
      <c r="I5655" s="55"/>
      <c r="J5655" s="113">
        <f>J5642</f>
        <v>3.9999999999999813E-2</v>
      </c>
      <c r="K5655" s="212">
        <f>K5642</f>
        <v>3.9999999999999813E-2</v>
      </c>
      <c r="L5655" s="58"/>
      <c r="M5655" s="58">
        <f>K5655-L5655</f>
        <v>3.9999999999999813E-2</v>
      </c>
      <c r="N5655" s="166"/>
      <c r="O5655" s="58"/>
      <c r="P5655" s="58"/>
      <c r="Q5655" s="58"/>
      <c r="R5655" s="58"/>
      <c r="S5655" s="58"/>
      <c r="T5655" s="220"/>
      <c r="U5655" s="88"/>
      <c r="V5655" s="56"/>
      <c r="W5655" s="57" t="s">
        <v>1275</v>
      </c>
      <c r="X5655" s="53"/>
      <c r="Y5655" s="91" t="s">
        <v>35</v>
      </c>
      <c r="Z5655" s="136">
        <f>AD5655/AC5655</f>
        <v>11222.800000000001</v>
      </c>
      <c r="AA5655" s="58"/>
      <c r="AB5655" s="53">
        <f>AD5655/AC5655</f>
        <v>11222.800000000001</v>
      </c>
      <c r="AC5655" s="53">
        <f>M5655+$AE$10</f>
        <v>3.9999999999999813E-2</v>
      </c>
      <c r="AD5655" s="54">
        <f>SUM(AD5656:AD5661)</f>
        <v>448.91199999999793</v>
      </c>
      <c r="AE5655" s="184">
        <f>SUMIFS($AD$37:$AD$12971,$V$37:$V$12971,$V5655,$X$37:$X$12971,AE$13)</f>
        <v>0</v>
      </c>
      <c r="AF5655" s="185">
        <f>SUMIFS($AD$37:$AD$12971,$V$37:$V$12971,$V5655,$X$37:$X$12971,AF$13)</f>
        <v>0</v>
      </c>
      <c r="AG5655" s="185">
        <f>SUMIFS($AD$37:$AD$12971,$V$37:$V$12971,$V5655,$X$37:$X$12971,AG$13)</f>
        <v>0</v>
      </c>
      <c r="AH5655" s="187">
        <f>SUMIFS($AD$37:$AD$12971,$V$37:$V$12971,$V5655,$X$37:$X$12971,AH$13)</f>
        <v>0</v>
      </c>
      <c r="AI5655" s="161">
        <f t="shared" ref="AI5655" si="3995">SUM(AE5655:AH5655)</f>
        <v>0</v>
      </c>
      <c r="AK5655" s="172"/>
    </row>
    <row r="5656" spans="1:37" s="102" customFormat="1" ht="19.899999999999999" customHeight="1" x14ac:dyDescent="0.25">
      <c r="A5656" s="45"/>
      <c r="B5656" s="59"/>
      <c r="C5656" s="137"/>
      <c r="D5656" s="59"/>
      <c r="E5656" s="116"/>
      <c r="F5656" s="120"/>
      <c r="G5656" s="120"/>
      <c r="H5656" s="120"/>
      <c r="I5656" s="60"/>
      <c r="J5656" s="116"/>
      <c r="K5656" s="213"/>
      <c r="L5656" s="120"/>
      <c r="M5656" s="120"/>
      <c r="N5656" s="167"/>
      <c r="O5656" s="120"/>
      <c r="P5656" s="120"/>
      <c r="Q5656" s="120"/>
      <c r="R5656" s="120"/>
      <c r="S5656" s="120"/>
      <c r="T5656" s="221"/>
      <c r="U5656" s="89"/>
      <c r="V5656" s="61"/>
      <c r="W5656" s="92" t="s">
        <v>1556</v>
      </c>
      <c r="X5656" s="93" t="s">
        <v>30</v>
      </c>
      <c r="Y5656" s="93" t="s">
        <v>35</v>
      </c>
      <c r="Z5656" s="134">
        <f>VLOOKUP(W5656,Sheet2!$B:$D,3,FALSE)</f>
        <v>9450</v>
      </c>
      <c r="AA5656" s="93">
        <v>1</v>
      </c>
      <c r="AB5656" s="93">
        <f>AD5656/AC5655</f>
        <v>9450</v>
      </c>
      <c r="AC5656" s="93">
        <f>AC5655/AA5656</f>
        <v>3.9999999999999813E-2</v>
      </c>
      <c r="AD5656" s="94">
        <f t="shared" ref="AD5656:AD5657" si="3996">AC5656*Z5656</f>
        <v>377.99999999999824</v>
      </c>
      <c r="AE5656" s="190"/>
      <c r="AF5656" s="191"/>
      <c r="AG5656" s="191"/>
      <c r="AH5656" s="191"/>
      <c r="AI5656" s="186"/>
      <c r="AK5656" s="171"/>
    </row>
    <row r="5657" spans="1:37" s="102" customFormat="1" ht="19.899999999999999" customHeight="1" x14ac:dyDescent="0.25">
      <c r="A5657" s="45"/>
      <c r="B5657" s="59"/>
      <c r="C5657" s="137"/>
      <c r="D5657" s="59"/>
      <c r="E5657" s="116"/>
      <c r="F5657" s="120"/>
      <c r="G5657" s="120"/>
      <c r="H5657" s="120"/>
      <c r="I5657" s="60"/>
      <c r="J5657" s="116"/>
      <c r="K5657" s="213"/>
      <c r="L5657" s="120"/>
      <c r="M5657" s="120"/>
      <c r="N5657" s="167"/>
      <c r="O5657" s="120"/>
      <c r="P5657" s="120"/>
      <c r="Q5657" s="120"/>
      <c r="R5657" s="120"/>
      <c r="S5657" s="120"/>
      <c r="T5657" s="221"/>
      <c r="U5657" s="89"/>
      <c r="V5657" s="61"/>
      <c r="W5657" s="92" t="s">
        <v>174</v>
      </c>
      <c r="X5657" s="93" t="s">
        <v>29</v>
      </c>
      <c r="Y5657" s="93" t="s">
        <v>93</v>
      </c>
      <c r="Z5657" s="134">
        <f>VLOOKUP(W5657,Sheet2!$B:$D,3,FALSE)</f>
        <v>80</v>
      </c>
      <c r="AA5657" s="93">
        <f>1/2</f>
        <v>0.5</v>
      </c>
      <c r="AB5657" s="93">
        <f>AD5657/AC5655</f>
        <v>160</v>
      </c>
      <c r="AC5657" s="93">
        <f>AC5655/AA5657</f>
        <v>7.9999999999999627E-2</v>
      </c>
      <c r="AD5657" s="94">
        <f t="shared" si="3996"/>
        <v>6.3999999999999702</v>
      </c>
      <c r="AE5657" s="190"/>
      <c r="AF5657" s="191"/>
      <c r="AG5657" s="191"/>
      <c r="AH5657" s="191"/>
      <c r="AI5657" s="186"/>
      <c r="AK5657" s="171"/>
    </row>
    <row r="5658" spans="1:37" s="102" customFormat="1" ht="19.899999999999999" customHeight="1" x14ac:dyDescent="0.25">
      <c r="A5658" s="45"/>
      <c r="B5658" s="59"/>
      <c r="C5658" s="137"/>
      <c r="D5658" s="59"/>
      <c r="E5658" s="116"/>
      <c r="F5658" s="120"/>
      <c r="G5658" s="120"/>
      <c r="H5658" s="120"/>
      <c r="I5658" s="60"/>
      <c r="J5658" s="116"/>
      <c r="K5658" s="213"/>
      <c r="L5658" s="120"/>
      <c r="M5658" s="120"/>
      <c r="N5658" s="167"/>
      <c r="O5658" s="120"/>
      <c r="P5658" s="120"/>
      <c r="Q5658" s="120"/>
      <c r="R5658" s="120"/>
      <c r="S5658" s="120"/>
      <c r="T5658" s="221"/>
      <c r="U5658" s="89"/>
      <c r="V5658" s="61"/>
      <c r="W5658" s="92" t="s">
        <v>65</v>
      </c>
      <c r="X5658" s="93" t="s">
        <v>30</v>
      </c>
      <c r="Y5658" s="93" t="s">
        <v>93</v>
      </c>
      <c r="Z5658" s="134">
        <f>VLOOKUP(W5658,Sheet2!$B:$D,3,FALSE)</f>
        <v>1.76</v>
      </c>
      <c r="AA5658" s="93">
        <f>AA5657/15</f>
        <v>3.3333333333333333E-2</v>
      </c>
      <c r="AB5658" s="93">
        <f>AD5658/AC5655</f>
        <v>52.800000000000004</v>
      </c>
      <c r="AC5658" s="93">
        <f>AC5655/AA5658</f>
        <v>1.1999999999999944</v>
      </c>
      <c r="AD5658" s="94">
        <f>AC5658*Z5658</f>
        <v>2.1119999999999903</v>
      </c>
      <c r="AE5658" s="190"/>
      <c r="AF5658" s="191"/>
      <c r="AG5658" s="191"/>
      <c r="AH5658" s="191"/>
      <c r="AI5658" s="186"/>
      <c r="AK5658" s="171"/>
    </row>
    <row r="5659" spans="1:37" s="102" customFormat="1" ht="19.899999999999999" customHeight="1" x14ac:dyDescent="0.25">
      <c r="A5659" s="45"/>
      <c r="B5659" s="59"/>
      <c r="C5659" s="137"/>
      <c r="D5659" s="59"/>
      <c r="E5659" s="116"/>
      <c r="F5659" s="120"/>
      <c r="G5659" s="120"/>
      <c r="H5659" s="120"/>
      <c r="I5659" s="60"/>
      <c r="J5659" s="116"/>
      <c r="K5659" s="213"/>
      <c r="L5659" s="120"/>
      <c r="M5659" s="120"/>
      <c r="N5659" s="167"/>
      <c r="O5659" s="120"/>
      <c r="P5659" s="120"/>
      <c r="Q5659" s="120"/>
      <c r="R5659" s="120"/>
      <c r="S5659" s="120"/>
      <c r="T5659" s="221"/>
      <c r="U5659" s="89"/>
      <c r="V5659" s="61"/>
      <c r="W5659" s="92" t="s">
        <v>1487</v>
      </c>
      <c r="X5659" s="93" t="s">
        <v>32</v>
      </c>
      <c r="Y5659" s="93" t="s">
        <v>1349</v>
      </c>
      <c r="Z5659" s="134">
        <f>VLOOKUP(W5659,Sheet2!$B:$D,3,FALSE)</f>
        <v>1500</v>
      </c>
      <c r="AA5659" s="93">
        <v>1</v>
      </c>
      <c r="AB5659" s="93">
        <f>AD5659/AC5655</f>
        <v>1500</v>
      </c>
      <c r="AC5659" s="93">
        <f>AC5655/AA5659</f>
        <v>3.9999999999999813E-2</v>
      </c>
      <c r="AD5659" s="94">
        <f>AC5659*Z5659</f>
        <v>59.999999999999723</v>
      </c>
      <c r="AE5659" s="190"/>
      <c r="AF5659" s="191"/>
      <c r="AG5659" s="191"/>
      <c r="AH5659" s="191"/>
      <c r="AI5659" s="186"/>
      <c r="AK5659" s="171"/>
    </row>
    <row r="5660" spans="1:37" s="102" customFormat="1" ht="19.899999999999999" customHeight="1" x14ac:dyDescent="0.25">
      <c r="A5660" s="45"/>
      <c r="B5660" s="59"/>
      <c r="C5660" s="137"/>
      <c r="D5660" s="59"/>
      <c r="E5660" s="116"/>
      <c r="F5660" s="120"/>
      <c r="G5660" s="120"/>
      <c r="H5660" s="120"/>
      <c r="I5660" s="60"/>
      <c r="J5660" s="116"/>
      <c r="K5660" s="213"/>
      <c r="L5660" s="120"/>
      <c r="M5660" s="120"/>
      <c r="N5660" s="167"/>
      <c r="O5660" s="120"/>
      <c r="P5660" s="120"/>
      <c r="Q5660" s="120"/>
      <c r="R5660" s="120"/>
      <c r="S5660" s="120"/>
      <c r="T5660" s="221"/>
      <c r="U5660" s="89"/>
      <c r="V5660" s="61"/>
      <c r="W5660" s="92" t="s">
        <v>107</v>
      </c>
      <c r="X5660" s="93" t="s">
        <v>31</v>
      </c>
      <c r="Y5660" s="93" t="s">
        <v>93</v>
      </c>
      <c r="Z5660" s="134">
        <f>VLOOKUP(W5660,Sheet2!$B:$D,3,FALSE)</f>
        <v>17</v>
      </c>
      <c r="AA5660" s="93">
        <f>AA5657</f>
        <v>0.5</v>
      </c>
      <c r="AB5660" s="93">
        <f>AD5660/AC5655</f>
        <v>34</v>
      </c>
      <c r="AC5660" s="93">
        <f>AC5655/AA5660</f>
        <v>7.9999999999999627E-2</v>
      </c>
      <c r="AD5660" s="94">
        <f>AC5660*Z5660</f>
        <v>1.3599999999999937</v>
      </c>
      <c r="AE5660" s="190"/>
      <c r="AF5660" s="191"/>
      <c r="AG5660" s="191"/>
      <c r="AH5660" s="191"/>
      <c r="AI5660" s="186"/>
      <c r="AK5660" s="171"/>
    </row>
    <row r="5661" spans="1:37" s="102" customFormat="1" ht="19.899999999999999" customHeight="1" x14ac:dyDescent="0.25">
      <c r="A5661" s="45"/>
      <c r="B5661" s="59"/>
      <c r="C5661" s="137"/>
      <c r="D5661" s="59"/>
      <c r="E5661" s="116"/>
      <c r="F5661" s="120"/>
      <c r="G5661" s="120"/>
      <c r="H5661" s="120"/>
      <c r="I5661" s="60"/>
      <c r="J5661" s="116"/>
      <c r="K5661" s="213"/>
      <c r="L5661" s="120"/>
      <c r="M5661" s="120"/>
      <c r="N5661" s="167"/>
      <c r="O5661" s="120"/>
      <c r="P5661" s="120"/>
      <c r="Q5661" s="120"/>
      <c r="R5661" s="120"/>
      <c r="S5661" s="120"/>
      <c r="T5661" s="221"/>
      <c r="U5661" s="89"/>
      <c r="V5661" s="61"/>
      <c r="W5661" s="92" t="s">
        <v>112</v>
      </c>
      <c r="X5661" s="93" t="s">
        <v>31</v>
      </c>
      <c r="Y5661" s="93" t="s">
        <v>93</v>
      </c>
      <c r="Z5661" s="134">
        <f>VLOOKUP(W5661,Sheet2!$B:$D,3,FALSE)</f>
        <v>13</v>
      </c>
      <c r="AA5661" s="93">
        <f>AA5660</f>
        <v>0.5</v>
      </c>
      <c r="AB5661" s="93">
        <f>AD5661/AC5655</f>
        <v>26</v>
      </c>
      <c r="AC5661" s="93">
        <f>AC5655/AA5661</f>
        <v>7.9999999999999627E-2</v>
      </c>
      <c r="AD5661" s="94">
        <f>AC5661*Z5661</f>
        <v>1.0399999999999952</v>
      </c>
      <c r="AE5661" s="190"/>
      <c r="AF5661" s="191"/>
      <c r="AG5661" s="191"/>
      <c r="AH5661" s="191"/>
      <c r="AI5661" s="186"/>
      <c r="AK5661" s="171"/>
    </row>
    <row r="5662" spans="1:37" s="103" customFormat="1" ht="19.899999999999999" customHeight="1" x14ac:dyDescent="0.25">
      <c r="A5662" s="51"/>
      <c r="B5662" s="52"/>
      <c r="C5662" s="165"/>
      <c r="D5662" s="52"/>
      <c r="E5662" s="115"/>
      <c r="F5662" s="58"/>
      <c r="G5662" s="58"/>
      <c r="H5662" s="58"/>
      <c r="I5662" s="55"/>
      <c r="J5662" s="113">
        <f>J5642</f>
        <v>3.9999999999999813E-2</v>
      </c>
      <c r="K5662" s="212">
        <f>K5642</f>
        <v>3.9999999999999813E-2</v>
      </c>
      <c r="L5662" s="58"/>
      <c r="M5662" s="58">
        <f>K5662-L5662</f>
        <v>3.9999999999999813E-2</v>
      </c>
      <c r="N5662" s="166"/>
      <c r="O5662" s="58"/>
      <c r="P5662" s="58"/>
      <c r="Q5662" s="58"/>
      <c r="R5662" s="58"/>
      <c r="S5662" s="58"/>
      <c r="T5662" s="220"/>
      <c r="U5662" s="88"/>
      <c r="V5662" s="56"/>
      <c r="W5662" s="57" t="s">
        <v>1272</v>
      </c>
      <c r="X5662" s="53"/>
      <c r="Y5662" s="91" t="s">
        <v>35</v>
      </c>
      <c r="Z5662" s="136">
        <f>AD5662/AC5662</f>
        <v>872.64119156078436</v>
      </c>
      <c r="AA5662" s="58"/>
      <c r="AB5662" s="53">
        <f>AD5662/AC5662</f>
        <v>872.64119156078436</v>
      </c>
      <c r="AC5662" s="53">
        <f>M5662+$AE$10</f>
        <v>3.9999999999999813E-2</v>
      </c>
      <c r="AD5662" s="54">
        <f>SUM(AD5663:AD5671)</f>
        <v>34.905647662431214</v>
      </c>
      <c r="AE5662" s="184">
        <f>SUMIFS($AD$37:$AD$12971,$V$37:$V$12971,$V5662,$X$37:$X$12971,AE$13)</f>
        <v>0</v>
      </c>
      <c r="AF5662" s="185">
        <f>SUMIFS($AD$37:$AD$12971,$V$37:$V$12971,$V5662,$X$37:$X$12971,AF$13)</f>
        <v>0</v>
      </c>
      <c r="AG5662" s="185">
        <f>SUMIFS($AD$37:$AD$12971,$V$37:$V$12971,$V5662,$X$37:$X$12971,AG$13)</f>
        <v>0</v>
      </c>
      <c r="AH5662" s="187">
        <f>SUMIFS($AD$37:$AD$12971,$V$37:$V$12971,$V5662,$X$37:$X$12971,AH$13)</f>
        <v>0</v>
      </c>
      <c r="AI5662" s="161">
        <f t="shared" ref="AI5662" si="3997">SUM(AE5662:AH5662)</f>
        <v>0</v>
      </c>
      <c r="AK5662" s="172"/>
    </row>
    <row r="5663" spans="1:37" s="102" customFormat="1" ht="19.899999999999999" customHeight="1" x14ac:dyDescent="0.25">
      <c r="A5663" s="45"/>
      <c r="B5663" s="59"/>
      <c r="C5663" s="137"/>
      <c r="D5663" s="59"/>
      <c r="E5663" s="116"/>
      <c r="F5663" s="120"/>
      <c r="G5663" s="120"/>
      <c r="H5663" s="120"/>
      <c r="I5663" s="60"/>
      <c r="J5663" s="116"/>
      <c r="K5663" s="213"/>
      <c r="L5663" s="120"/>
      <c r="M5663" s="120"/>
      <c r="N5663" s="167"/>
      <c r="O5663" s="120"/>
      <c r="P5663" s="120"/>
      <c r="Q5663" s="120"/>
      <c r="R5663" s="120"/>
      <c r="S5663" s="120"/>
      <c r="T5663" s="221"/>
      <c r="U5663" s="89"/>
      <c r="V5663" s="61"/>
      <c r="W5663" s="92" t="s">
        <v>1273</v>
      </c>
      <c r="X5663" s="93" t="s">
        <v>30</v>
      </c>
      <c r="Y5663" s="93" t="s">
        <v>66</v>
      </c>
      <c r="Z5663" s="134">
        <f>VLOOKUP(W5663,Sheet2!$B:$D,3,FALSE)</f>
        <v>10</v>
      </c>
      <c r="AA5663" s="93">
        <f>1/((3.5*3.5*5)-(3.14/4*1.8*1.8*5))</f>
        <v>2.0604537119073618E-2</v>
      </c>
      <c r="AB5663" s="93">
        <f>AD5663/AC5662</f>
        <v>485.33000000000004</v>
      </c>
      <c r="AC5663" s="93">
        <f>AC5662/AA5663</f>
        <v>1.9413199999999911</v>
      </c>
      <c r="AD5663" s="94">
        <f t="shared" ref="AD5663:AD5665" si="3998">AC5663*Z5663</f>
        <v>19.413199999999911</v>
      </c>
      <c r="AE5663" s="190"/>
      <c r="AF5663" s="191"/>
      <c r="AG5663" s="191"/>
      <c r="AH5663" s="191"/>
      <c r="AI5663" s="186"/>
      <c r="AK5663" s="171"/>
    </row>
    <row r="5664" spans="1:37" s="102" customFormat="1" ht="19.899999999999999" customHeight="1" x14ac:dyDescent="0.25">
      <c r="A5664" s="45"/>
      <c r="B5664" s="59"/>
      <c r="C5664" s="137"/>
      <c r="D5664" s="59"/>
      <c r="E5664" s="116"/>
      <c r="F5664" s="120"/>
      <c r="G5664" s="120"/>
      <c r="H5664" s="120"/>
      <c r="I5664" s="60"/>
      <c r="J5664" s="116"/>
      <c r="K5664" s="213"/>
      <c r="L5664" s="120"/>
      <c r="M5664" s="120"/>
      <c r="N5664" s="167"/>
      <c r="O5664" s="120"/>
      <c r="P5664" s="120"/>
      <c r="Q5664" s="120"/>
      <c r="R5664" s="120"/>
      <c r="S5664" s="120"/>
      <c r="T5664" s="221"/>
      <c r="U5664" s="89"/>
      <c r="V5664" s="61"/>
      <c r="W5664" s="92" t="s">
        <v>134</v>
      </c>
      <c r="X5664" s="93" t="s">
        <v>29</v>
      </c>
      <c r="Y5664" s="93" t="s">
        <v>93</v>
      </c>
      <c r="Z5664" s="134">
        <f>VLOOKUP(W5664,Sheet2!$B:$D,3,FALSE)</f>
        <v>65.599999999999994</v>
      </c>
      <c r="AA5664" s="93">
        <f>100/((3.5*3.5*5)-(3.14/4*1.8*1.8*5))</f>
        <v>2.0604537119073618</v>
      </c>
      <c r="AB5664" s="93">
        <f t="shared" ref="AB5664" si="3999">AD5664/AC5662</f>
        <v>31.837648000000002</v>
      </c>
      <c r="AC5664" s="93">
        <f>AC5662/AA5664</f>
        <v>1.9413199999999912E-2</v>
      </c>
      <c r="AD5664" s="94">
        <f t="shared" si="3998"/>
        <v>1.2735059199999941</v>
      </c>
      <c r="AE5664" s="190"/>
      <c r="AF5664" s="191"/>
      <c r="AG5664" s="191"/>
      <c r="AH5664" s="191"/>
      <c r="AI5664" s="186"/>
      <c r="AK5664" s="171"/>
    </row>
    <row r="5665" spans="1:41" s="102" customFormat="1" ht="19.899999999999999" customHeight="1" x14ac:dyDescent="0.25">
      <c r="A5665" s="45"/>
      <c r="B5665" s="59"/>
      <c r="C5665" s="137"/>
      <c r="D5665" s="59"/>
      <c r="E5665" s="116"/>
      <c r="F5665" s="120"/>
      <c r="G5665" s="120"/>
      <c r="H5665" s="120"/>
      <c r="I5665" s="60"/>
      <c r="J5665" s="116"/>
      <c r="K5665" s="213"/>
      <c r="L5665" s="120"/>
      <c r="M5665" s="120"/>
      <c r="N5665" s="167"/>
      <c r="O5665" s="120"/>
      <c r="P5665" s="120"/>
      <c r="Q5665" s="120"/>
      <c r="R5665" s="120"/>
      <c r="S5665" s="120"/>
      <c r="T5665" s="221"/>
      <c r="U5665" s="89"/>
      <c r="V5665" s="61"/>
      <c r="W5665" s="92" t="s">
        <v>65</v>
      </c>
      <c r="X5665" s="93" t="s">
        <v>30</v>
      </c>
      <c r="Y5665" s="93" t="s">
        <v>1011</v>
      </c>
      <c r="Z5665" s="134">
        <f>VLOOKUP(W5665,Sheet2!$B:$D,3,FALSE)</f>
        <v>1.76</v>
      </c>
      <c r="AA5665" s="93">
        <f>AA5664/9</f>
        <v>0.22893930132304019</v>
      </c>
      <c r="AB5665" s="93">
        <f>AD5665/AC5662</f>
        <v>7.6876272000000005</v>
      </c>
      <c r="AC5665" s="93">
        <f>AC5662/AA5665</f>
        <v>0.1747187999999992</v>
      </c>
      <c r="AD5665" s="94">
        <f t="shared" si="3998"/>
        <v>0.30750508799999859</v>
      </c>
      <c r="AE5665" s="190"/>
      <c r="AF5665" s="191"/>
      <c r="AG5665" s="191"/>
      <c r="AH5665" s="191"/>
      <c r="AI5665" s="186"/>
      <c r="AK5665" s="171"/>
    </row>
    <row r="5666" spans="1:41" s="102" customFormat="1" ht="19.899999999999999" customHeight="1" x14ac:dyDescent="0.25">
      <c r="A5666" s="45"/>
      <c r="B5666" s="59"/>
      <c r="C5666" s="137"/>
      <c r="D5666" s="59"/>
      <c r="E5666" s="116"/>
      <c r="F5666" s="120"/>
      <c r="G5666" s="120"/>
      <c r="H5666" s="120"/>
      <c r="I5666" s="60"/>
      <c r="J5666" s="116"/>
      <c r="K5666" s="213"/>
      <c r="L5666" s="120"/>
      <c r="M5666" s="120"/>
      <c r="N5666" s="167"/>
      <c r="O5666" s="120"/>
      <c r="P5666" s="120"/>
      <c r="Q5666" s="120"/>
      <c r="R5666" s="120"/>
      <c r="S5666" s="120"/>
      <c r="T5666" s="221"/>
      <c r="U5666" s="89"/>
      <c r="V5666" s="61"/>
      <c r="W5666" s="92" t="s">
        <v>161</v>
      </c>
      <c r="X5666" s="93" t="s">
        <v>29</v>
      </c>
      <c r="Y5666" s="93" t="s">
        <v>93</v>
      </c>
      <c r="Z5666" s="134">
        <f>VLOOKUP(W5666,Sheet2!$B:$D,3,FALSE)</f>
        <v>48</v>
      </c>
      <c r="AA5666" s="93">
        <f>(16*0.85*1.5)/((3.5*3.5*5)-(3.14/4*1.8*1.8*5))</f>
        <v>0.42033255722910179</v>
      </c>
      <c r="AB5666" s="93">
        <f>AD5666/AC5662</f>
        <v>114.19529411764708</v>
      </c>
      <c r="AC5666" s="93">
        <f>AC5662/AA5666</f>
        <v>9.5162745098038792E-2</v>
      </c>
      <c r="AD5666" s="94">
        <f>AC5666*Z5666</f>
        <v>4.567811764705862</v>
      </c>
      <c r="AE5666" s="190"/>
      <c r="AF5666" s="191"/>
      <c r="AG5666" s="191"/>
      <c r="AH5666" s="191"/>
      <c r="AI5666" s="186"/>
      <c r="AK5666" s="171"/>
    </row>
    <row r="5667" spans="1:41" s="102" customFormat="1" ht="19.899999999999999" customHeight="1" x14ac:dyDescent="0.25">
      <c r="A5667" s="45"/>
      <c r="B5667" s="59"/>
      <c r="C5667" s="137"/>
      <c r="D5667" s="59"/>
      <c r="E5667" s="116"/>
      <c r="F5667" s="120"/>
      <c r="G5667" s="120"/>
      <c r="H5667" s="120"/>
      <c r="I5667" s="60"/>
      <c r="J5667" s="116"/>
      <c r="K5667" s="213"/>
      <c r="L5667" s="120"/>
      <c r="M5667" s="120"/>
      <c r="N5667" s="167"/>
      <c r="O5667" s="120"/>
      <c r="P5667" s="120"/>
      <c r="Q5667" s="120"/>
      <c r="R5667" s="120"/>
      <c r="S5667" s="120"/>
      <c r="T5667" s="221"/>
      <c r="U5667" s="89"/>
      <c r="V5667" s="61"/>
      <c r="W5667" s="92" t="s">
        <v>65</v>
      </c>
      <c r="X5667" s="93" t="s">
        <v>30</v>
      </c>
      <c r="Y5667" s="93" t="s">
        <v>1011</v>
      </c>
      <c r="Z5667" s="134">
        <f>VLOOKUP(W5667,Sheet2!$B:$D,3,FALSE)</f>
        <v>1.76</v>
      </c>
      <c r="AA5667" s="93">
        <f>AA5666/10</f>
        <v>4.2033255722910182E-2</v>
      </c>
      <c r="AB5667" s="93">
        <f>AD5667/AC5662</f>
        <v>41.871607843137262</v>
      </c>
      <c r="AC5667" s="93">
        <f>AC5662/AA5667</f>
        <v>0.95162745098038781</v>
      </c>
      <c r="AD5667" s="94">
        <f>AC5667*Z5667</f>
        <v>1.6748643137254826</v>
      </c>
      <c r="AE5667" s="190"/>
      <c r="AF5667" s="191"/>
      <c r="AG5667" s="191"/>
      <c r="AH5667" s="191"/>
      <c r="AI5667" s="186"/>
      <c r="AK5667" s="171"/>
    </row>
    <row r="5668" spans="1:41" s="102" customFormat="1" ht="19.899999999999999" customHeight="1" x14ac:dyDescent="0.25">
      <c r="A5668" s="45"/>
      <c r="B5668" s="59"/>
      <c r="C5668" s="137"/>
      <c r="D5668" s="59"/>
      <c r="E5668" s="116"/>
      <c r="F5668" s="120"/>
      <c r="G5668" s="120"/>
      <c r="H5668" s="120"/>
      <c r="I5668" s="60"/>
      <c r="J5668" s="116"/>
      <c r="K5668" s="213"/>
      <c r="L5668" s="120"/>
      <c r="M5668" s="120"/>
      <c r="N5668" s="167"/>
      <c r="O5668" s="120"/>
      <c r="P5668" s="120"/>
      <c r="Q5668" s="120"/>
      <c r="R5668" s="120"/>
      <c r="S5668" s="120"/>
      <c r="T5668" s="221"/>
      <c r="U5668" s="89"/>
      <c r="V5668" s="61"/>
      <c r="W5668" s="92" t="s">
        <v>173</v>
      </c>
      <c r="X5668" s="93" t="s">
        <v>29</v>
      </c>
      <c r="Y5668" s="93" t="s">
        <v>93</v>
      </c>
      <c r="Z5668" s="134">
        <f>VLOOKUP(W5668,Sheet2!$B:$D,3,FALSE)</f>
        <v>36</v>
      </c>
      <c r="AA5668" s="93">
        <f>50/((3.5*3.5*5)-(3.14/4*1.8*1.8*5))</f>
        <v>1.0302268559536809</v>
      </c>
      <c r="AB5668" s="93">
        <f>AD5668/AC5662</f>
        <v>34.943760000000005</v>
      </c>
      <c r="AC5668" s="93">
        <f>AC5662/AA5668</f>
        <v>3.8826399999999824E-2</v>
      </c>
      <c r="AD5668" s="94">
        <f>AC5668*Z5668</f>
        <v>1.3977503999999936</v>
      </c>
      <c r="AE5668" s="190"/>
      <c r="AF5668" s="191"/>
      <c r="AG5668" s="191"/>
      <c r="AH5668" s="191"/>
      <c r="AI5668" s="186"/>
      <c r="AK5668" s="171"/>
    </row>
    <row r="5669" spans="1:41" s="102" customFormat="1" ht="19.899999999999999" customHeight="1" x14ac:dyDescent="0.25">
      <c r="A5669" s="45"/>
      <c r="B5669" s="59"/>
      <c r="C5669" s="137"/>
      <c r="D5669" s="59"/>
      <c r="E5669" s="116"/>
      <c r="F5669" s="120"/>
      <c r="G5669" s="120"/>
      <c r="H5669" s="120"/>
      <c r="I5669" s="60"/>
      <c r="J5669" s="116"/>
      <c r="K5669" s="213"/>
      <c r="L5669" s="120"/>
      <c r="M5669" s="120"/>
      <c r="N5669" s="167"/>
      <c r="O5669" s="120"/>
      <c r="P5669" s="120"/>
      <c r="Q5669" s="120"/>
      <c r="R5669" s="120"/>
      <c r="S5669" s="120"/>
      <c r="T5669" s="221"/>
      <c r="U5669" s="89"/>
      <c r="V5669" s="61"/>
      <c r="W5669" s="92" t="s">
        <v>65</v>
      </c>
      <c r="X5669" s="93" t="s">
        <v>30</v>
      </c>
      <c r="Y5669" s="93" t="s">
        <v>1011</v>
      </c>
      <c r="Z5669" s="134">
        <f>VLOOKUP(W5669,Sheet2!$B:$D,3,FALSE)</f>
        <v>1.76</v>
      </c>
      <c r="AA5669" s="93">
        <f>AA5668/9</f>
        <v>0.11446965066152009</v>
      </c>
      <c r="AB5669" s="93">
        <f>AD5669/AC5662</f>
        <v>15.375254400000001</v>
      </c>
      <c r="AC5669" s="93">
        <f>AC5662/AA5669</f>
        <v>0.34943759999999841</v>
      </c>
      <c r="AD5669" s="94">
        <f>AC5669*Z5669</f>
        <v>0.61501017599999719</v>
      </c>
      <c r="AE5669" s="190"/>
      <c r="AF5669" s="191"/>
      <c r="AG5669" s="191"/>
      <c r="AH5669" s="191"/>
      <c r="AI5669" s="186"/>
      <c r="AK5669" s="171"/>
    </row>
    <row r="5670" spans="1:41" s="102" customFormat="1" ht="19.899999999999999" customHeight="1" x14ac:dyDescent="0.25">
      <c r="A5670" s="45"/>
      <c r="B5670" s="59"/>
      <c r="C5670" s="137"/>
      <c r="D5670" s="59"/>
      <c r="E5670" s="116"/>
      <c r="F5670" s="120"/>
      <c r="G5670" s="120"/>
      <c r="H5670" s="120"/>
      <c r="I5670" s="60"/>
      <c r="J5670" s="116"/>
      <c r="K5670" s="213"/>
      <c r="L5670" s="120"/>
      <c r="M5670" s="120"/>
      <c r="N5670" s="167"/>
      <c r="O5670" s="120"/>
      <c r="P5670" s="120"/>
      <c r="Q5670" s="120"/>
      <c r="R5670" s="120"/>
      <c r="S5670" s="120"/>
      <c r="T5670" s="221"/>
      <c r="U5670" s="89"/>
      <c r="V5670" s="61"/>
      <c r="W5670" s="92" t="s">
        <v>1030</v>
      </c>
      <c r="X5670" s="93" t="s">
        <v>29</v>
      </c>
      <c r="Y5670" s="93" t="s">
        <v>93</v>
      </c>
      <c r="Z5670" s="134">
        <f>VLOOKUP(W5670,Sheet2!$B:$D,3,FALSE)</f>
        <v>23</v>
      </c>
      <c r="AA5670" s="93">
        <f>1/(5*1)</f>
        <v>0.2</v>
      </c>
      <c r="AB5670" s="93">
        <f>AD5670/AC5662</f>
        <v>115</v>
      </c>
      <c r="AC5670" s="93">
        <f>AC5662/AA5670</f>
        <v>0.19999999999999907</v>
      </c>
      <c r="AD5670" s="94">
        <f t="shared" ref="AD5670:AD5671" si="4000">AC5670*Z5670</f>
        <v>4.5999999999999783</v>
      </c>
      <c r="AE5670" s="190"/>
      <c r="AF5670" s="191"/>
      <c r="AG5670" s="191"/>
      <c r="AH5670" s="191"/>
      <c r="AI5670" s="186"/>
      <c r="AK5670" s="171"/>
    </row>
    <row r="5671" spans="1:41" s="102" customFormat="1" ht="19.899999999999999" customHeight="1" x14ac:dyDescent="0.25">
      <c r="A5671" s="45"/>
      <c r="B5671" s="59"/>
      <c r="C5671" s="137"/>
      <c r="D5671" s="59"/>
      <c r="E5671" s="116"/>
      <c r="F5671" s="120"/>
      <c r="G5671" s="120"/>
      <c r="H5671" s="120"/>
      <c r="I5671" s="60"/>
      <c r="J5671" s="116"/>
      <c r="K5671" s="213"/>
      <c r="L5671" s="120"/>
      <c r="M5671" s="120"/>
      <c r="N5671" s="167"/>
      <c r="O5671" s="120"/>
      <c r="P5671" s="120"/>
      <c r="Q5671" s="120"/>
      <c r="R5671" s="120"/>
      <c r="S5671" s="120"/>
      <c r="T5671" s="221"/>
      <c r="U5671" s="89"/>
      <c r="V5671" s="61"/>
      <c r="W5671" s="92" t="s">
        <v>65</v>
      </c>
      <c r="X5671" s="93" t="s">
        <v>30</v>
      </c>
      <c r="Y5671" s="93" t="s">
        <v>1011</v>
      </c>
      <c r="Z5671" s="134">
        <f>VLOOKUP(W5671,Sheet2!$B:$D,3,FALSE)</f>
        <v>1.76</v>
      </c>
      <c r="AA5671" s="93">
        <f>AA5670/3</f>
        <v>6.6666666666666666E-2</v>
      </c>
      <c r="AB5671" s="93">
        <f>AD5671/AC5662</f>
        <v>26.400000000000002</v>
      </c>
      <c r="AC5671" s="93">
        <f>AC5662/AA5671</f>
        <v>0.5999999999999972</v>
      </c>
      <c r="AD5671" s="94">
        <f t="shared" si="4000"/>
        <v>1.0559999999999952</v>
      </c>
      <c r="AE5671" s="190"/>
      <c r="AF5671" s="191"/>
      <c r="AG5671" s="191"/>
      <c r="AH5671" s="191"/>
      <c r="AI5671" s="186"/>
      <c r="AK5671" s="171"/>
    </row>
    <row r="5672" spans="1:41" ht="20.100000000000001" customHeight="1" x14ac:dyDescent="0.25">
      <c r="A5672" s="277" t="s">
        <v>491</v>
      </c>
      <c r="B5672" s="278"/>
      <c r="C5672" s="64" t="s">
        <v>581</v>
      </c>
      <c r="D5672" s="46" t="s">
        <v>215</v>
      </c>
      <c r="E5672" s="114">
        <v>0.16999999999999971</v>
      </c>
      <c r="F5672" s="44">
        <v>57276</v>
      </c>
      <c r="G5672" s="44">
        <f t="shared" si="3841"/>
        <v>9736.9199999999837</v>
      </c>
      <c r="H5672" s="44">
        <f t="shared" si="3842"/>
        <v>15900.259373461964</v>
      </c>
      <c r="I5672" s="43">
        <f t="shared" si="3843"/>
        <v>2703.0440934885291</v>
      </c>
      <c r="J5672" s="112">
        <f t="shared" si="3844"/>
        <v>0.16999999999999971</v>
      </c>
      <c r="K5672" s="211">
        <f t="shared" si="3845"/>
        <v>0.16999999999999971</v>
      </c>
      <c r="L5672" s="44"/>
      <c r="M5672" s="44">
        <f t="shared" si="3846"/>
        <v>0.16999999999999971</v>
      </c>
      <c r="N5672" s="173">
        <f t="shared" si="3847"/>
        <v>1</v>
      </c>
      <c r="O5672" s="44">
        <f t="shared" si="3848"/>
        <v>57276</v>
      </c>
      <c r="P5672" s="44">
        <f t="shared" si="3849"/>
        <v>9736.9199999999837</v>
      </c>
      <c r="Q5672" s="44">
        <f t="shared" si="3850"/>
        <v>15900.259373461964</v>
      </c>
      <c r="R5672" s="44">
        <f t="shared" si="3851"/>
        <v>2703.0440934885291</v>
      </c>
      <c r="S5672" s="123"/>
      <c r="T5672" s="219">
        <f t="shared" si="3852"/>
        <v>2703.0440934885291</v>
      </c>
      <c r="U5672" s="87"/>
      <c r="V5672" s="47"/>
      <c r="W5672" s="48"/>
      <c r="X5672" s="48"/>
      <c r="Y5672" s="48"/>
      <c r="Z5672" s="135"/>
      <c r="AA5672" s="49"/>
      <c r="AB5672" s="50">
        <f t="shared" si="3853"/>
        <v>15900.259373461964</v>
      </c>
      <c r="AC5672" s="42">
        <f t="shared" si="3854"/>
        <v>0.16999999999999971</v>
      </c>
      <c r="AD5672" s="90">
        <f>AD5673+AD5678+AD5685+AD5692</f>
        <v>2703.0440934885291</v>
      </c>
      <c r="AE5672" s="188">
        <f t="shared" ref="AE5672:AH5672" si="4001">AE5673+AE5678+AE5685+AE5692</f>
        <v>0</v>
      </c>
      <c r="AF5672" s="189">
        <f t="shared" si="4001"/>
        <v>0</v>
      </c>
      <c r="AG5672" s="189">
        <f t="shared" si="4001"/>
        <v>0</v>
      </c>
      <c r="AH5672" s="189">
        <f t="shared" si="4001"/>
        <v>0</v>
      </c>
      <c r="AI5672" s="161">
        <f t="shared" ref="AI5672" si="4002">SUM(AE5672:AH5672)</f>
        <v>0</v>
      </c>
      <c r="AK5672" s="169">
        <v>5</v>
      </c>
      <c r="AO5672" s="19" t="s">
        <v>63</v>
      </c>
    </row>
    <row r="5673" spans="1:41" s="103" customFormat="1" ht="19.899999999999999" customHeight="1" x14ac:dyDescent="0.25">
      <c r="A5673" s="51"/>
      <c r="B5673" s="52"/>
      <c r="C5673" s="165"/>
      <c r="D5673" s="52"/>
      <c r="E5673" s="115"/>
      <c r="F5673" s="58"/>
      <c r="G5673" s="58"/>
      <c r="H5673" s="58"/>
      <c r="I5673" s="55"/>
      <c r="J5673" s="113">
        <f>J5672</f>
        <v>0.16999999999999971</v>
      </c>
      <c r="K5673" s="212">
        <f>K5672</f>
        <v>0.16999999999999971</v>
      </c>
      <c r="L5673" s="58"/>
      <c r="M5673" s="58">
        <f>K5673-L5673</f>
        <v>0.16999999999999971</v>
      </c>
      <c r="N5673" s="166"/>
      <c r="O5673" s="58"/>
      <c r="P5673" s="58"/>
      <c r="Q5673" s="58"/>
      <c r="R5673" s="58"/>
      <c r="S5673" s="58"/>
      <c r="T5673" s="220"/>
      <c r="U5673" s="88"/>
      <c r="V5673" s="56"/>
      <c r="W5673" s="57" t="s">
        <v>1562</v>
      </c>
      <c r="X5673" s="53"/>
      <c r="Y5673" s="91" t="s">
        <v>35</v>
      </c>
      <c r="Z5673" s="136">
        <f>AD5673/AC5673</f>
        <v>270.98806274509803</v>
      </c>
      <c r="AA5673" s="58"/>
      <c r="AB5673" s="53">
        <f>AD5673/AC5673</f>
        <v>270.98806274509803</v>
      </c>
      <c r="AC5673" s="53">
        <f>M5673+$AE$10</f>
        <v>0.16999999999999971</v>
      </c>
      <c r="AD5673" s="54">
        <f>SUM(AD5674:AD5677)</f>
        <v>46.067970666666582</v>
      </c>
      <c r="AE5673" s="184">
        <f>SUMIFS($AD$37:$AD$12971,$V$37:$V$12971,$V5673,$X$37:$X$12971,AE$13)</f>
        <v>0</v>
      </c>
      <c r="AF5673" s="185">
        <f>SUMIFS($AD$37:$AD$12971,$V$37:$V$12971,$V5673,$X$37:$X$12971,AF$13)</f>
        <v>0</v>
      </c>
      <c r="AG5673" s="185">
        <f>SUMIFS($AD$37:$AD$12971,$V$37:$V$12971,$V5673,$X$37:$X$12971,AG$13)</f>
        <v>0</v>
      </c>
      <c r="AH5673" s="187">
        <f>SUMIFS($AD$37:$AD$12971,$V$37:$V$12971,$V5673,$X$37:$X$12971,AH$13)</f>
        <v>0</v>
      </c>
      <c r="AI5673" s="161">
        <f t="shared" ref="AI5673" si="4003">SUM(AE5673:AH5673)</f>
        <v>0</v>
      </c>
      <c r="AK5673" s="172"/>
    </row>
    <row r="5674" spans="1:41" s="102" customFormat="1" ht="19.899999999999999" customHeight="1" x14ac:dyDescent="0.25">
      <c r="A5674" s="45"/>
      <c r="B5674" s="59"/>
      <c r="C5674" s="137"/>
      <c r="D5674" s="59"/>
      <c r="E5674" s="116"/>
      <c r="F5674" s="120"/>
      <c r="G5674" s="120"/>
      <c r="H5674" s="120"/>
      <c r="I5674" s="60"/>
      <c r="J5674" s="116"/>
      <c r="K5674" s="213"/>
      <c r="L5674" s="120"/>
      <c r="M5674" s="120"/>
      <c r="N5674" s="167"/>
      <c r="O5674" s="120"/>
      <c r="P5674" s="120"/>
      <c r="Q5674" s="120"/>
      <c r="R5674" s="120"/>
      <c r="S5674" s="120"/>
      <c r="T5674" s="221"/>
      <c r="U5674" s="89"/>
      <c r="V5674" s="61"/>
      <c r="W5674" s="92" t="s">
        <v>129</v>
      </c>
      <c r="X5674" s="93" t="s">
        <v>29</v>
      </c>
      <c r="Y5674" s="93" t="s">
        <v>93</v>
      </c>
      <c r="Z5674" s="134">
        <f>VLOOKUP(W5674,Sheet2!$B:$D,3,FALSE)</f>
        <v>56</v>
      </c>
      <c r="AA5674" s="93">
        <f>100/(3.5*3.5*5.5)</f>
        <v>1.484230055658627</v>
      </c>
      <c r="AB5674" s="93">
        <f t="shared" ref="AB5674" si="4004">AD5674/AC5673</f>
        <v>37.729999999999997</v>
      </c>
      <c r="AC5674" s="93">
        <f>AC5673/AA5674</f>
        <v>0.11453749999999981</v>
      </c>
      <c r="AD5674" s="94">
        <f t="shared" ref="AD5674:AD5675" si="4005">AC5674*Z5674</f>
        <v>6.4140999999999888</v>
      </c>
      <c r="AE5674" s="190"/>
      <c r="AF5674" s="191"/>
      <c r="AG5674" s="191"/>
      <c r="AH5674" s="191"/>
      <c r="AI5674" s="186"/>
      <c r="AK5674" s="171"/>
    </row>
    <row r="5675" spans="1:41" s="102" customFormat="1" ht="19.899999999999999" customHeight="1" x14ac:dyDescent="0.25">
      <c r="A5675" s="45"/>
      <c r="B5675" s="59"/>
      <c r="C5675" s="137"/>
      <c r="D5675" s="59"/>
      <c r="E5675" s="116"/>
      <c r="F5675" s="120"/>
      <c r="G5675" s="120"/>
      <c r="H5675" s="120"/>
      <c r="I5675" s="60"/>
      <c r="J5675" s="116"/>
      <c r="K5675" s="213"/>
      <c r="L5675" s="120"/>
      <c r="M5675" s="120"/>
      <c r="N5675" s="167"/>
      <c r="O5675" s="120"/>
      <c r="P5675" s="120"/>
      <c r="Q5675" s="120"/>
      <c r="R5675" s="120"/>
      <c r="S5675" s="120"/>
      <c r="T5675" s="221"/>
      <c r="U5675" s="89"/>
      <c r="V5675" s="61"/>
      <c r="W5675" s="92" t="s">
        <v>65</v>
      </c>
      <c r="X5675" s="93" t="s">
        <v>30</v>
      </c>
      <c r="Y5675" s="93" t="s">
        <v>1011</v>
      </c>
      <c r="Z5675" s="134">
        <f>VLOOKUP(W5675,Sheet2!$B:$D,3,FALSE)</f>
        <v>1.76</v>
      </c>
      <c r="AA5675" s="93">
        <f>AA5674/14</f>
        <v>0.10601643254704478</v>
      </c>
      <c r="AB5675" s="93">
        <f>AD5675/AC5673</f>
        <v>16.601200000000002</v>
      </c>
      <c r="AC5675" s="93">
        <f>AC5673/AA5675</f>
        <v>1.6035249999999974</v>
      </c>
      <c r="AD5675" s="94">
        <f t="shared" si="4005"/>
        <v>2.8222039999999953</v>
      </c>
      <c r="AE5675" s="190"/>
      <c r="AF5675" s="191"/>
      <c r="AG5675" s="191"/>
      <c r="AH5675" s="191"/>
      <c r="AI5675" s="186"/>
      <c r="AK5675" s="171"/>
    </row>
    <row r="5676" spans="1:41" s="102" customFormat="1" ht="19.899999999999999" customHeight="1" x14ac:dyDescent="0.25">
      <c r="A5676" s="45"/>
      <c r="B5676" s="59"/>
      <c r="C5676" s="137"/>
      <c r="D5676" s="59"/>
      <c r="E5676" s="116"/>
      <c r="F5676" s="120"/>
      <c r="G5676" s="120"/>
      <c r="H5676" s="120"/>
      <c r="I5676" s="60"/>
      <c r="J5676" s="116"/>
      <c r="K5676" s="213"/>
      <c r="L5676" s="120"/>
      <c r="M5676" s="120"/>
      <c r="N5676" s="167"/>
      <c r="O5676" s="120"/>
      <c r="P5676" s="120"/>
      <c r="Q5676" s="120"/>
      <c r="R5676" s="120"/>
      <c r="S5676" s="120"/>
      <c r="T5676" s="221"/>
      <c r="U5676" s="89"/>
      <c r="V5676" s="61"/>
      <c r="W5676" s="92" t="s">
        <v>161</v>
      </c>
      <c r="X5676" s="93" t="s">
        <v>29</v>
      </c>
      <c r="Y5676" s="93" t="s">
        <v>93</v>
      </c>
      <c r="Z5676" s="134">
        <f>VLOOKUP(W5676,Sheet2!$B:$D,3,FALSE)</f>
        <v>48</v>
      </c>
      <c r="AA5676" s="93">
        <f>(16*0.85*1.5)/(3.5*3.5*5.5)</f>
        <v>0.30278293135435991</v>
      </c>
      <c r="AB5676" s="93">
        <f>AD5676/AC5673</f>
        <v>158.52941176470588</v>
      </c>
      <c r="AC5676" s="93">
        <f>AC5673/AA5676</f>
        <v>0.56145833333333239</v>
      </c>
      <c r="AD5676" s="94">
        <f>AC5676*Z5676</f>
        <v>26.949999999999953</v>
      </c>
      <c r="AE5676" s="190"/>
      <c r="AF5676" s="191"/>
      <c r="AG5676" s="191"/>
      <c r="AH5676" s="191"/>
      <c r="AI5676" s="186"/>
      <c r="AK5676" s="171"/>
    </row>
    <row r="5677" spans="1:41" s="102" customFormat="1" ht="19.899999999999999" customHeight="1" x14ac:dyDescent="0.25">
      <c r="A5677" s="45"/>
      <c r="B5677" s="59"/>
      <c r="C5677" s="137"/>
      <c r="D5677" s="59"/>
      <c r="E5677" s="116"/>
      <c r="F5677" s="120"/>
      <c r="G5677" s="120"/>
      <c r="H5677" s="120"/>
      <c r="I5677" s="60"/>
      <c r="J5677" s="116"/>
      <c r="K5677" s="213"/>
      <c r="L5677" s="120"/>
      <c r="M5677" s="120"/>
      <c r="N5677" s="167"/>
      <c r="O5677" s="120"/>
      <c r="P5677" s="120"/>
      <c r="Q5677" s="120"/>
      <c r="R5677" s="120"/>
      <c r="S5677" s="120"/>
      <c r="T5677" s="221"/>
      <c r="U5677" s="89"/>
      <c r="V5677" s="61"/>
      <c r="W5677" s="92" t="s">
        <v>65</v>
      </c>
      <c r="X5677" s="93" t="s">
        <v>30</v>
      </c>
      <c r="Y5677" s="93" t="s">
        <v>1011</v>
      </c>
      <c r="Z5677" s="134">
        <f>VLOOKUP(W5677,Sheet2!$B:$D,3,FALSE)</f>
        <v>1.76</v>
      </c>
      <c r="AA5677" s="93">
        <f>AA5676/10</f>
        <v>3.027829313543599E-2</v>
      </c>
      <c r="AB5677" s="93">
        <f>AD5677/AC5673</f>
        <v>58.127450980392162</v>
      </c>
      <c r="AC5677" s="93">
        <f>AC5673/AA5677</f>
        <v>5.6145833333333242</v>
      </c>
      <c r="AD5677" s="94">
        <f>AC5677*Z5677</f>
        <v>9.8816666666666499</v>
      </c>
      <c r="AE5677" s="190"/>
      <c r="AF5677" s="191"/>
      <c r="AG5677" s="191"/>
      <c r="AH5677" s="191"/>
      <c r="AI5677" s="186"/>
      <c r="AK5677" s="171"/>
    </row>
    <row r="5678" spans="1:41" s="103" customFormat="1" ht="19.899999999999999" customHeight="1" x14ac:dyDescent="0.25">
      <c r="A5678" s="51"/>
      <c r="B5678" s="52"/>
      <c r="C5678" s="165"/>
      <c r="D5678" s="52"/>
      <c r="E5678" s="115"/>
      <c r="F5678" s="58"/>
      <c r="G5678" s="58"/>
      <c r="H5678" s="58"/>
      <c r="I5678" s="55"/>
      <c r="J5678" s="113">
        <f>J5672</f>
        <v>0.16999999999999971</v>
      </c>
      <c r="K5678" s="212">
        <f>K5672</f>
        <v>0.16999999999999971</v>
      </c>
      <c r="L5678" s="58"/>
      <c r="M5678" s="58">
        <f>K5678-L5678</f>
        <v>0.16999999999999971</v>
      </c>
      <c r="N5678" s="166"/>
      <c r="O5678" s="58"/>
      <c r="P5678" s="58"/>
      <c r="Q5678" s="58"/>
      <c r="R5678" s="58"/>
      <c r="S5678" s="58"/>
      <c r="T5678" s="220"/>
      <c r="U5678" s="88"/>
      <c r="V5678" s="56"/>
      <c r="W5678" s="57" t="s">
        <v>1486</v>
      </c>
      <c r="X5678" s="53"/>
      <c r="Y5678" s="91" t="s">
        <v>35</v>
      </c>
      <c r="Z5678" s="136">
        <f>AD5678/AC5678</f>
        <v>2396.5659999999998</v>
      </c>
      <c r="AA5678" s="58"/>
      <c r="AB5678" s="53">
        <f>AD5678/AC5678</f>
        <v>2396.5659999999998</v>
      </c>
      <c r="AC5678" s="53">
        <f>M5678+$AE$10</f>
        <v>0.16999999999999971</v>
      </c>
      <c r="AD5678" s="54">
        <f>SUM(AD5679:AD5684)</f>
        <v>407.41621999999927</v>
      </c>
      <c r="AE5678" s="184">
        <f>SUMIFS($AD$37:$AD$12971,$V$37:$V$12971,$V5678,$X$37:$X$12971,AE$13)</f>
        <v>0</v>
      </c>
      <c r="AF5678" s="185">
        <f>SUMIFS($AD$37:$AD$12971,$V$37:$V$12971,$V5678,$X$37:$X$12971,AF$13)</f>
        <v>0</v>
      </c>
      <c r="AG5678" s="185">
        <f>SUMIFS($AD$37:$AD$12971,$V$37:$V$12971,$V5678,$X$37:$X$12971,AG$13)</f>
        <v>0</v>
      </c>
      <c r="AH5678" s="187">
        <f>SUMIFS($AD$37:$AD$12971,$V$37:$V$12971,$V5678,$X$37:$X$12971,AH$13)</f>
        <v>0</v>
      </c>
      <c r="AI5678" s="161">
        <f t="shared" ref="AI5678" si="4006">SUM(AE5678:AH5678)</f>
        <v>0</v>
      </c>
      <c r="AK5678" s="172"/>
    </row>
    <row r="5679" spans="1:41" s="102" customFormat="1" ht="19.899999999999999" customHeight="1" x14ac:dyDescent="0.25">
      <c r="A5679" s="45"/>
      <c r="B5679" s="59"/>
      <c r="C5679" s="137"/>
      <c r="D5679" s="59"/>
      <c r="E5679" s="116"/>
      <c r="F5679" s="120"/>
      <c r="G5679" s="120"/>
      <c r="H5679" s="120"/>
      <c r="I5679" s="60"/>
      <c r="J5679" s="116"/>
      <c r="K5679" s="213"/>
      <c r="L5679" s="120"/>
      <c r="M5679" s="120"/>
      <c r="N5679" s="167"/>
      <c r="O5679" s="120"/>
      <c r="P5679" s="120"/>
      <c r="Q5679" s="120"/>
      <c r="R5679" s="120"/>
      <c r="S5679" s="120"/>
      <c r="T5679" s="221"/>
      <c r="U5679" s="89"/>
      <c r="V5679" s="61"/>
      <c r="W5679" s="92" t="s">
        <v>1032</v>
      </c>
      <c r="X5679" s="93" t="s">
        <v>30</v>
      </c>
      <c r="Y5679" s="93" t="s">
        <v>66</v>
      </c>
      <c r="Z5679" s="134">
        <f>VLOOKUP(W5679,Sheet2!$B:$D,3,FALSE)</f>
        <v>250</v>
      </c>
      <c r="AA5679" s="93">
        <f>1/(2.7*2.7*0.1)</f>
        <v>1.371742112482853</v>
      </c>
      <c r="AB5679" s="93">
        <f>AD5679/AC5685</f>
        <v>182.25000000000003</v>
      </c>
      <c r="AC5679" s="93">
        <f>AC5685/AA5679</f>
        <v>0.1239299999999998</v>
      </c>
      <c r="AD5679" s="94">
        <f t="shared" ref="AD5679:AD5681" si="4007">AC5679*Z5679</f>
        <v>30.982499999999952</v>
      </c>
      <c r="AE5679" s="190"/>
      <c r="AF5679" s="191"/>
      <c r="AG5679" s="191"/>
      <c r="AH5679" s="191"/>
      <c r="AI5679" s="186"/>
      <c r="AK5679" s="171"/>
    </row>
    <row r="5680" spans="1:41" s="102" customFormat="1" ht="19.899999999999999" customHeight="1" x14ac:dyDescent="0.25">
      <c r="A5680" s="45"/>
      <c r="B5680" s="59"/>
      <c r="C5680" s="137"/>
      <c r="D5680" s="59"/>
      <c r="E5680" s="116"/>
      <c r="F5680" s="120"/>
      <c r="G5680" s="120"/>
      <c r="H5680" s="120"/>
      <c r="I5680" s="60"/>
      <c r="J5680" s="116"/>
      <c r="K5680" s="213"/>
      <c r="L5680" s="120"/>
      <c r="M5680" s="120"/>
      <c r="N5680" s="167"/>
      <c r="O5680" s="120"/>
      <c r="P5680" s="120"/>
      <c r="Q5680" s="120"/>
      <c r="R5680" s="120"/>
      <c r="S5680" s="120"/>
      <c r="T5680" s="221"/>
      <c r="U5680" s="89"/>
      <c r="V5680" s="61"/>
      <c r="W5680" s="92" t="s">
        <v>1353</v>
      </c>
      <c r="X5680" s="93" t="s">
        <v>30</v>
      </c>
      <c r="Y5680" s="93" t="s">
        <v>66</v>
      </c>
      <c r="Z5680" s="134">
        <f>VLOOKUP(W5680,Sheet2!$B:$D,3,FALSE)</f>
        <v>350</v>
      </c>
      <c r="AA5680" s="93">
        <f>1/(2.6*2.6*0.3)</f>
        <v>0.49309664694280081</v>
      </c>
      <c r="AB5680" s="93">
        <f>AD5680/AC5685</f>
        <v>709.8</v>
      </c>
      <c r="AC5680" s="93">
        <f>AC5685/AA5680</f>
        <v>0.3447599999999994</v>
      </c>
      <c r="AD5680" s="94">
        <f t="shared" si="4007"/>
        <v>120.66599999999978</v>
      </c>
      <c r="AE5680" s="190"/>
      <c r="AF5680" s="191"/>
      <c r="AG5680" s="191"/>
      <c r="AH5680" s="191"/>
      <c r="AI5680" s="186"/>
      <c r="AK5680" s="171"/>
    </row>
    <row r="5681" spans="1:37" s="102" customFormat="1" ht="19.899999999999999" customHeight="1" x14ac:dyDescent="0.25">
      <c r="A5681" s="45"/>
      <c r="B5681" s="59"/>
      <c r="C5681" s="137"/>
      <c r="D5681" s="59"/>
      <c r="E5681" s="116"/>
      <c r="F5681" s="120"/>
      <c r="G5681" s="120"/>
      <c r="H5681" s="120"/>
      <c r="I5681" s="60"/>
      <c r="J5681" s="116"/>
      <c r="K5681" s="213"/>
      <c r="L5681" s="120"/>
      <c r="M5681" s="120"/>
      <c r="N5681" s="167"/>
      <c r="O5681" s="120"/>
      <c r="P5681" s="120"/>
      <c r="Q5681" s="120"/>
      <c r="R5681" s="120"/>
      <c r="S5681" s="120"/>
      <c r="T5681" s="221"/>
      <c r="U5681" s="89"/>
      <c r="V5681" s="61"/>
      <c r="W5681" s="92" t="s">
        <v>99</v>
      </c>
      <c r="X5681" s="93" t="s">
        <v>30</v>
      </c>
      <c r="Y5681" s="93" t="s">
        <v>67</v>
      </c>
      <c r="Z5681" s="134">
        <f>VLOOKUP(W5681,Sheet2!$B:$D,3,FALSE)</f>
        <v>2500</v>
      </c>
      <c r="AA5681" s="93">
        <f>AA5680/0.08</f>
        <v>6.16370808678501</v>
      </c>
      <c r="AB5681" s="93">
        <f>AD5681/AC5685</f>
        <v>405.59999999999991</v>
      </c>
      <c r="AC5681" s="93">
        <f>AC5685/AA5681</f>
        <v>2.758079999999995E-2</v>
      </c>
      <c r="AD5681" s="94">
        <f t="shared" si="4007"/>
        <v>68.95199999999987</v>
      </c>
      <c r="AE5681" s="190"/>
      <c r="AF5681" s="191"/>
      <c r="AG5681" s="191"/>
      <c r="AH5681" s="191"/>
      <c r="AI5681" s="186"/>
      <c r="AK5681" s="171"/>
    </row>
    <row r="5682" spans="1:37" s="102" customFormat="1" ht="19.899999999999999" customHeight="1" x14ac:dyDescent="0.25">
      <c r="A5682" s="45"/>
      <c r="B5682" s="59"/>
      <c r="C5682" s="137"/>
      <c r="D5682" s="59"/>
      <c r="E5682" s="116"/>
      <c r="F5682" s="120"/>
      <c r="G5682" s="120"/>
      <c r="H5682" s="120"/>
      <c r="I5682" s="60"/>
      <c r="J5682" s="116"/>
      <c r="K5682" s="213"/>
      <c r="L5682" s="120"/>
      <c r="M5682" s="120"/>
      <c r="N5682" s="167"/>
      <c r="O5682" s="120"/>
      <c r="P5682" s="120"/>
      <c r="Q5682" s="120"/>
      <c r="R5682" s="120"/>
      <c r="S5682" s="120"/>
      <c r="T5682" s="221"/>
      <c r="U5682" s="89"/>
      <c r="V5682" s="61"/>
      <c r="W5682" s="92" t="s">
        <v>1354</v>
      </c>
      <c r="X5682" s="93" t="s">
        <v>32</v>
      </c>
      <c r="Y5682" s="93" t="s">
        <v>66</v>
      </c>
      <c r="Z5682" s="134">
        <f>VLOOKUP(W5682,Sheet2!$B:$D,3,FALSE)</f>
        <v>150</v>
      </c>
      <c r="AA5682" s="93">
        <f>AA5679</f>
        <v>1.371742112482853</v>
      </c>
      <c r="AB5682" s="93">
        <f>AD5682/AC5685</f>
        <v>109.35000000000001</v>
      </c>
      <c r="AC5682" s="93">
        <f>AC5685/AA5682</f>
        <v>0.1239299999999998</v>
      </c>
      <c r="AD5682" s="94">
        <f>AC5682*Z5682</f>
        <v>18.589499999999969</v>
      </c>
      <c r="AE5682" s="190"/>
      <c r="AF5682" s="191"/>
      <c r="AG5682" s="191"/>
      <c r="AH5682" s="191"/>
      <c r="AI5682" s="186"/>
      <c r="AK5682" s="171"/>
    </row>
    <row r="5683" spans="1:37" s="102" customFormat="1" ht="19.899999999999999" customHeight="1" x14ac:dyDescent="0.25">
      <c r="A5683" s="45"/>
      <c r="B5683" s="59"/>
      <c r="C5683" s="137"/>
      <c r="D5683" s="59"/>
      <c r="E5683" s="116"/>
      <c r="F5683" s="120"/>
      <c r="G5683" s="120"/>
      <c r="H5683" s="120"/>
      <c r="I5683" s="60"/>
      <c r="J5683" s="116"/>
      <c r="K5683" s="213"/>
      <c r="L5683" s="120"/>
      <c r="M5683" s="120"/>
      <c r="N5683" s="167"/>
      <c r="O5683" s="120"/>
      <c r="P5683" s="120"/>
      <c r="Q5683" s="120"/>
      <c r="R5683" s="120"/>
      <c r="S5683" s="120"/>
      <c r="T5683" s="221"/>
      <c r="U5683" s="89"/>
      <c r="V5683" s="61"/>
      <c r="W5683" s="92" t="s">
        <v>1355</v>
      </c>
      <c r="X5683" s="93" t="s">
        <v>32</v>
      </c>
      <c r="Y5683" s="93" t="s">
        <v>66</v>
      </c>
      <c r="Z5683" s="134">
        <f>VLOOKUP(W5683,Sheet2!$B:$D,3,FALSE)</f>
        <v>450</v>
      </c>
      <c r="AA5683" s="93">
        <f>AA5680</f>
        <v>0.49309664694280081</v>
      </c>
      <c r="AB5683" s="93">
        <f>AD5683/AC5685</f>
        <v>912.6</v>
      </c>
      <c r="AC5683" s="93">
        <f>AC5685/AA5683</f>
        <v>0.3447599999999994</v>
      </c>
      <c r="AD5683" s="94">
        <f>AC5683*Z5683</f>
        <v>155.14199999999974</v>
      </c>
      <c r="AE5683" s="190"/>
      <c r="AF5683" s="191"/>
      <c r="AG5683" s="191"/>
      <c r="AH5683" s="191"/>
      <c r="AI5683" s="186"/>
      <c r="AK5683" s="171"/>
    </row>
    <row r="5684" spans="1:37" s="102" customFormat="1" ht="19.899999999999999" customHeight="1" x14ac:dyDescent="0.25">
      <c r="A5684" s="45"/>
      <c r="B5684" s="59"/>
      <c r="C5684" s="137"/>
      <c r="D5684" s="59"/>
      <c r="E5684" s="116"/>
      <c r="F5684" s="120"/>
      <c r="G5684" s="120"/>
      <c r="H5684" s="120"/>
      <c r="I5684" s="60"/>
      <c r="J5684" s="116"/>
      <c r="K5684" s="213"/>
      <c r="L5684" s="120"/>
      <c r="M5684" s="120"/>
      <c r="N5684" s="167"/>
      <c r="O5684" s="120"/>
      <c r="P5684" s="120"/>
      <c r="Q5684" s="120"/>
      <c r="R5684" s="120"/>
      <c r="S5684" s="120"/>
      <c r="T5684" s="221"/>
      <c r="U5684" s="89"/>
      <c r="V5684" s="61"/>
      <c r="W5684" s="92" t="s">
        <v>124</v>
      </c>
      <c r="X5684" s="93" t="s">
        <v>32</v>
      </c>
      <c r="Y5684" s="93" t="s">
        <v>64</v>
      </c>
      <c r="Z5684" s="134">
        <f>VLOOKUP(W5684,Sheet2!$B:$D,3,FALSE)</f>
        <v>10</v>
      </c>
      <c r="AA5684" s="93">
        <f>1/((3.2*3.2)-(3.14*1.8*1.8/4))</f>
        <v>0.12992750045474621</v>
      </c>
      <c r="AB5684" s="93">
        <f t="shared" ref="AB5684" si="4008">AD5684/AC5678</f>
        <v>76.966000000000022</v>
      </c>
      <c r="AC5684" s="93">
        <f>AC5678/AA5684</f>
        <v>1.3084219999999982</v>
      </c>
      <c r="AD5684" s="94">
        <f t="shared" ref="AD5684" si="4009">AC5684*Z5684</f>
        <v>13.084219999999982</v>
      </c>
      <c r="AE5684" s="190"/>
      <c r="AF5684" s="191"/>
      <c r="AG5684" s="191"/>
      <c r="AH5684" s="191"/>
      <c r="AI5684" s="186"/>
      <c r="AK5684" s="171"/>
    </row>
    <row r="5685" spans="1:37" s="103" customFormat="1" ht="19.899999999999999" customHeight="1" x14ac:dyDescent="0.25">
      <c r="A5685" s="51"/>
      <c r="B5685" s="52"/>
      <c r="C5685" s="165"/>
      <c r="D5685" s="52"/>
      <c r="E5685" s="115"/>
      <c r="F5685" s="58"/>
      <c r="G5685" s="58"/>
      <c r="H5685" s="58"/>
      <c r="I5685" s="55"/>
      <c r="J5685" s="113">
        <f>J5672</f>
        <v>0.16999999999999971</v>
      </c>
      <c r="K5685" s="212">
        <f>K5672</f>
        <v>0.16999999999999971</v>
      </c>
      <c r="L5685" s="58"/>
      <c r="M5685" s="58">
        <f>K5685-L5685</f>
        <v>0.16999999999999971</v>
      </c>
      <c r="N5685" s="166"/>
      <c r="O5685" s="58"/>
      <c r="P5685" s="58"/>
      <c r="Q5685" s="58"/>
      <c r="R5685" s="58"/>
      <c r="S5685" s="58"/>
      <c r="T5685" s="220"/>
      <c r="U5685" s="88"/>
      <c r="V5685" s="56"/>
      <c r="W5685" s="57" t="s">
        <v>1275</v>
      </c>
      <c r="X5685" s="53"/>
      <c r="Y5685" s="91" t="s">
        <v>35</v>
      </c>
      <c r="Z5685" s="136">
        <f>AD5685/AC5685</f>
        <v>12272.800000000001</v>
      </c>
      <c r="AA5685" s="58"/>
      <c r="AB5685" s="53">
        <f>AD5685/AC5685</f>
        <v>12272.800000000001</v>
      </c>
      <c r="AC5685" s="53">
        <f>M5685+$AE$10</f>
        <v>0.16999999999999971</v>
      </c>
      <c r="AD5685" s="54">
        <f>SUM(AD5686:AD5691)</f>
        <v>2086.3759999999966</v>
      </c>
      <c r="AE5685" s="184">
        <f>SUMIFS($AD$37:$AD$12971,$V$37:$V$12971,$V5685,$X$37:$X$12971,AE$13)</f>
        <v>0</v>
      </c>
      <c r="AF5685" s="185">
        <f>SUMIFS($AD$37:$AD$12971,$V$37:$V$12971,$V5685,$X$37:$X$12971,AF$13)</f>
        <v>0</v>
      </c>
      <c r="AG5685" s="185">
        <f>SUMIFS($AD$37:$AD$12971,$V$37:$V$12971,$V5685,$X$37:$X$12971,AG$13)</f>
        <v>0</v>
      </c>
      <c r="AH5685" s="187">
        <f>SUMIFS($AD$37:$AD$12971,$V$37:$V$12971,$V5685,$X$37:$X$12971,AH$13)</f>
        <v>0</v>
      </c>
      <c r="AI5685" s="161">
        <f t="shared" ref="AI5685" si="4010">SUM(AE5685:AH5685)</f>
        <v>0</v>
      </c>
      <c r="AK5685" s="172"/>
    </row>
    <row r="5686" spans="1:37" s="102" customFormat="1" ht="19.899999999999999" customHeight="1" x14ac:dyDescent="0.25">
      <c r="A5686" s="45"/>
      <c r="B5686" s="59"/>
      <c r="C5686" s="137"/>
      <c r="D5686" s="59"/>
      <c r="E5686" s="116"/>
      <c r="F5686" s="120"/>
      <c r="G5686" s="120"/>
      <c r="H5686" s="120"/>
      <c r="I5686" s="60"/>
      <c r="J5686" s="116"/>
      <c r="K5686" s="213"/>
      <c r="L5686" s="120"/>
      <c r="M5686" s="120"/>
      <c r="N5686" s="167"/>
      <c r="O5686" s="120"/>
      <c r="P5686" s="120"/>
      <c r="Q5686" s="120"/>
      <c r="R5686" s="120"/>
      <c r="S5686" s="120"/>
      <c r="T5686" s="221"/>
      <c r="U5686" s="89"/>
      <c r="V5686" s="61"/>
      <c r="W5686" s="92" t="s">
        <v>1557</v>
      </c>
      <c r="X5686" s="93" t="s">
        <v>30</v>
      </c>
      <c r="Y5686" s="93" t="s">
        <v>35</v>
      </c>
      <c r="Z5686" s="134">
        <f>VLOOKUP(W5686,Sheet2!$B:$D,3,FALSE)</f>
        <v>10500</v>
      </c>
      <c r="AA5686" s="93">
        <v>1</v>
      </c>
      <c r="AB5686" s="93">
        <f>AD5686/AC5685</f>
        <v>10500</v>
      </c>
      <c r="AC5686" s="93">
        <f>AC5685/AA5686</f>
        <v>0.16999999999999971</v>
      </c>
      <c r="AD5686" s="94">
        <f t="shared" ref="AD5686:AD5687" si="4011">AC5686*Z5686</f>
        <v>1784.9999999999968</v>
      </c>
      <c r="AE5686" s="190"/>
      <c r="AF5686" s="191"/>
      <c r="AG5686" s="191"/>
      <c r="AH5686" s="191"/>
      <c r="AI5686" s="186"/>
      <c r="AK5686" s="171"/>
    </row>
    <row r="5687" spans="1:37" s="102" customFormat="1" ht="19.899999999999999" customHeight="1" x14ac:dyDescent="0.25">
      <c r="A5687" s="45"/>
      <c r="B5687" s="59"/>
      <c r="C5687" s="137"/>
      <c r="D5687" s="59"/>
      <c r="E5687" s="116"/>
      <c r="F5687" s="120"/>
      <c r="G5687" s="120"/>
      <c r="H5687" s="120"/>
      <c r="I5687" s="60"/>
      <c r="J5687" s="116"/>
      <c r="K5687" s="213"/>
      <c r="L5687" s="120"/>
      <c r="M5687" s="120"/>
      <c r="N5687" s="167"/>
      <c r="O5687" s="120"/>
      <c r="P5687" s="120"/>
      <c r="Q5687" s="120"/>
      <c r="R5687" s="120"/>
      <c r="S5687" s="120"/>
      <c r="T5687" s="221"/>
      <c r="U5687" s="89"/>
      <c r="V5687" s="61"/>
      <c r="W5687" s="92" t="s">
        <v>174</v>
      </c>
      <c r="X5687" s="93" t="s">
        <v>29</v>
      </c>
      <c r="Y5687" s="93" t="s">
        <v>93</v>
      </c>
      <c r="Z5687" s="134">
        <f>VLOOKUP(W5687,Sheet2!$B:$D,3,FALSE)</f>
        <v>80</v>
      </c>
      <c r="AA5687" s="93">
        <f>1/2</f>
        <v>0.5</v>
      </c>
      <c r="AB5687" s="93">
        <f>AD5687/AC5685</f>
        <v>160</v>
      </c>
      <c r="AC5687" s="93">
        <f>AC5685/AA5687</f>
        <v>0.33999999999999941</v>
      </c>
      <c r="AD5687" s="94">
        <f t="shared" si="4011"/>
        <v>27.199999999999953</v>
      </c>
      <c r="AE5687" s="190"/>
      <c r="AF5687" s="191"/>
      <c r="AG5687" s="191"/>
      <c r="AH5687" s="191"/>
      <c r="AI5687" s="186"/>
      <c r="AK5687" s="171"/>
    </row>
    <row r="5688" spans="1:37" s="102" customFormat="1" ht="19.899999999999999" customHeight="1" x14ac:dyDescent="0.25">
      <c r="A5688" s="45"/>
      <c r="B5688" s="59"/>
      <c r="C5688" s="137"/>
      <c r="D5688" s="59"/>
      <c r="E5688" s="116"/>
      <c r="F5688" s="120"/>
      <c r="G5688" s="120"/>
      <c r="H5688" s="120"/>
      <c r="I5688" s="60"/>
      <c r="J5688" s="116"/>
      <c r="K5688" s="213"/>
      <c r="L5688" s="120"/>
      <c r="M5688" s="120"/>
      <c r="N5688" s="167"/>
      <c r="O5688" s="120"/>
      <c r="P5688" s="120"/>
      <c r="Q5688" s="120"/>
      <c r="R5688" s="120"/>
      <c r="S5688" s="120"/>
      <c r="T5688" s="221"/>
      <c r="U5688" s="89"/>
      <c r="V5688" s="61"/>
      <c r="W5688" s="92" t="s">
        <v>65</v>
      </c>
      <c r="X5688" s="93" t="s">
        <v>30</v>
      </c>
      <c r="Y5688" s="93" t="s">
        <v>93</v>
      </c>
      <c r="Z5688" s="134">
        <f>VLOOKUP(W5688,Sheet2!$B:$D,3,FALSE)</f>
        <v>1.76</v>
      </c>
      <c r="AA5688" s="93">
        <f>AA5687/15</f>
        <v>3.3333333333333333E-2</v>
      </c>
      <c r="AB5688" s="93">
        <f>AD5688/AC5685</f>
        <v>52.800000000000004</v>
      </c>
      <c r="AC5688" s="93">
        <f>AC5685/AA5688</f>
        <v>5.0999999999999917</v>
      </c>
      <c r="AD5688" s="94">
        <f>AC5688*Z5688</f>
        <v>8.9759999999999849</v>
      </c>
      <c r="AE5688" s="190"/>
      <c r="AF5688" s="191"/>
      <c r="AG5688" s="191"/>
      <c r="AH5688" s="191"/>
      <c r="AI5688" s="186"/>
      <c r="AK5688" s="171"/>
    </row>
    <row r="5689" spans="1:37" s="102" customFormat="1" ht="19.899999999999999" customHeight="1" x14ac:dyDescent="0.25">
      <c r="A5689" s="45"/>
      <c r="B5689" s="59"/>
      <c r="C5689" s="137"/>
      <c r="D5689" s="59"/>
      <c r="E5689" s="116"/>
      <c r="F5689" s="120"/>
      <c r="G5689" s="120"/>
      <c r="H5689" s="120"/>
      <c r="I5689" s="60"/>
      <c r="J5689" s="116"/>
      <c r="K5689" s="213"/>
      <c r="L5689" s="120"/>
      <c r="M5689" s="120"/>
      <c r="N5689" s="167"/>
      <c r="O5689" s="120"/>
      <c r="P5689" s="120"/>
      <c r="Q5689" s="120"/>
      <c r="R5689" s="120"/>
      <c r="S5689" s="120"/>
      <c r="T5689" s="221"/>
      <c r="U5689" s="89"/>
      <c r="V5689" s="61"/>
      <c r="W5689" s="92" t="s">
        <v>1487</v>
      </c>
      <c r="X5689" s="93" t="s">
        <v>32</v>
      </c>
      <c r="Y5689" s="93" t="s">
        <v>1349</v>
      </c>
      <c r="Z5689" s="134">
        <f>VLOOKUP(W5689,Sheet2!$B:$D,3,FALSE)</f>
        <v>1500</v>
      </c>
      <c r="AA5689" s="93">
        <v>1</v>
      </c>
      <c r="AB5689" s="93">
        <f>AD5689/AC5685</f>
        <v>1500</v>
      </c>
      <c r="AC5689" s="93">
        <f>AC5685/AA5689</f>
        <v>0.16999999999999971</v>
      </c>
      <c r="AD5689" s="94">
        <f>AC5689*Z5689</f>
        <v>254.99999999999957</v>
      </c>
      <c r="AE5689" s="190"/>
      <c r="AF5689" s="191"/>
      <c r="AG5689" s="191"/>
      <c r="AH5689" s="191"/>
      <c r="AI5689" s="186"/>
      <c r="AK5689" s="171"/>
    </row>
    <row r="5690" spans="1:37" s="102" customFormat="1" ht="19.899999999999999" customHeight="1" x14ac:dyDescent="0.25">
      <c r="A5690" s="45"/>
      <c r="B5690" s="59"/>
      <c r="C5690" s="137"/>
      <c r="D5690" s="59"/>
      <c r="E5690" s="116"/>
      <c r="F5690" s="120"/>
      <c r="G5690" s="120"/>
      <c r="H5690" s="120"/>
      <c r="I5690" s="60"/>
      <c r="J5690" s="116"/>
      <c r="K5690" s="213"/>
      <c r="L5690" s="120"/>
      <c r="M5690" s="120"/>
      <c r="N5690" s="167"/>
      <c r="O5690" s="120"/>
      <c r="P5690" s="120"/>
      <c r="Q5690" s="120"/>
      <c r="R5690" s="120"/>
      <c r="S5690" s="120"/>
      <c r="T5690" s="221"/>
      <c r="U5690" s="89"/>
      <c r="V5690" s="61"/>
      <c r="W5690" s="92" t="s">
        <v>107</v>
      </c>
      <c r="X5690" s="93" t="s">
        <v>31</v>
      </c>
      <c r="Y5690" s="93" t="s">
        <v>93</v>
      </c>
      <c r="Z5690" s="134">
        <f>VLOOKUP(W5690,Sheet2!$B:$D,3,FALSE)</f>
        <v>17</v>
      </c>
      <c r="AA5690" s="93">
        <f>AA5687</f>
        <v>0.5</v>
      </c>
      <c r="AB5690" s="93">
        <f>AD5690/AC5685</f>
        <v>34</v>
      </c>
      <c r="AC5690" s="93">
        <f>AC5685/AA5690</f>
        <v>0.33999999999999941</v>
      </c>
      <c r="AD5690" s="94">
        <f>AC5690*Z5690</f>
        <v>5.7799999999999905</v>
      </c>
      <c r="AE5690" s="190"/>
      <c r="AF5690" s="191"/>
      <c r="AG5690" s="191"/>
      <c r="AH5690" s="191"/>
      <c r="AI5690" s="186"/>
      <c r="AK5690" s="171"/>
    </row>
    <row r="5691" spans="1:37" s="102" customFormat="1" ht="19.899999999999999" customHeight="1" x14ac:dyDescent="0.25">
      <c r="A5691" s="45"/>
      <c r="B5691" s="59"/>
      <c r="C5691" s="137"/>
      <c r="D5691" s="59"/>
      <c r="E5691" s="116"/>
      <c r="F5691" s="120"/>
      <c r="G5691" s="120"/>
      <c r="H5691" s="120"/>
      <c r="I5691" s="60"/>
      <c r="J5691" s="116"/>
      <c r="K5691" s="213"/>
      <c r="L5691" s="120"/>
      <c r="M5691" s="120"/>
      <c r="N5691" s="167"/>
      <c r="O5691" s="120"/>
      <c r="P5691" s="120"/>
      <c r="Q5691" s="120"/>
      <c r="R5691" s="120"/>
      <c r="S5691" s="120"/>
      <c r="T5691" s="221"/>
      <c r="U5691" s="89"/>
      <c r="V5691" s="61"/>
      <c r="W5691" s="92" t="s">
        <v>112</v>
      </c>
      <c r="X5691" s="93" t="s">
        <v>31</v>
      </c>
      <c r="Y5691" s="93" t="s">
        <v>93</v>
      </c>
      <c r="Z5691" s="134">
        <f>VLOOKUP(W5691,Sheet2!$B:$D,3,FALSE)</f>
        <v>13</v>
      </c>
      <c r="AA5691" s="93">
        <f>AA5690</f>
        <v>0.5</v>
      </c>
      <c r="AB5691" s="93">
        <f>AD5691/AC5685</f>
        <v>26.000000000000004</v>
      </c>
      <c r="AC5691" s="93">
        <f>AC5685/AA5691</f>
        <v>0.33999999999999941</v>
      </c>
      <c r="AD5691" s="94">
        <f>AC5691*Z5691</f>
        <v>4.4199999999999928</v>
      </c>
      <c r="AE5691" s="190"/>
      <c r="AF5691" s="191"/>
      <c r="AG5691" s="191"/>
      <c r="AH5691" s="191"/>
      <c r="AI5691" s="186"/>
      <c r="AK5691" s="171"/>
    </row>
    <row r="5692" spans="1:37" s="103" customFormat="1" ht="19.899999999999999" customHeight="1" x14ac:dyDescent="0.25">
      <c r="A5692" s="51"/>
      <c r="B5692" s="52"/>
      <c r="C5692" s="165"/>
      <c r="D5692" s="52"/>
      <c r="E5692" s="115"/>
      <c r="F5692" s="58"/>
      <c r="G5692" s="58"/>
      <c r="H5692" s="58"/>
      <c r="I5692" s="55"/>
      <c r="J5692" s="113">
        <f>J5672</f>
        <v>0.16999999999999971</v>
      </c>
      <c r="K5692" s="212">
        <f>K5672</f>
        <v>0.16999999999999971</v>
      </c>
      <c r="L5692" s="58"/>
      <c r="M5692" s="58">
        <f>K5692-L5692</f>
        <v>0.16999999999999971</v>
      </c>
      <c r="N5692" s="166"/>
      <c r="O5692" s="58"/>
      <c r="P5692" s="58"/>
      <c r="Q5692" s="58"/>
      <c r="R5692" s="58"/>
      <c r="S5692" s="58"/>
      <c r="T5692" s="220"/>
      <c r="U5692" s="88"/>
      <c r="V5692" s="56"/>
      <c r="W5692" s="57" t="s">
        <v>1272</v>
      </c>
      <c r="X5692" s="53"/>
      <c r="Y5692" s="91" t="s">
        <v>35</v>
      </c>
      <c r="Z5692" s="136">
        <f>AD5692/AC5692</f>
        <v>959.90531071686269</v>
      </c>
      <c r="AA5692" s="58"/>
      <c r="AB5692" s="53">
        <f>AD5692/AC5692</f>
        <v>959.90531071686269</v>
      </c>
      <c r="AC5692" s="53">
        <f>M5692+$AE$10</f>
        <v>0.16999999999999971</v>
      </c>
      <c r="AD5692" s="54">
        <f>SUM(AD5693:AD5701)</f>
        <v>163.18390282186638</v>
      </c>
      <c r="AE5692" s="184">
        <f>SUMIFS($AD$37:$AD$12971,$V$37:$V$12971,$V5692,$X$37:$X$12971,AE$13)</f>
        <v>0</v>
      </c>
      <c r="AF5692" s="185">
        <f>SUMIFS($AD$37:$AD$12971,$V$37:$V$12971,$V5692,$X$37:$X$12971,AF$13)</f>
        <v>0</v>
      </c>
      <c r="AG5692" s="185">
        <f>SUMIFS($AD$37:$AD$12971,$V$37:$V$12971,$V5692,$X$37:$X$12971,AG$13)</f>
        <v>0</v>
      </c>
      <c r="AH5692" s="187">
        <f>SUMIFS($AD$37:$AD$12971,$V$37:$V$12971,$V5692,$X$37:$X$12971,AH$13)</f>
        <v>0</v>
      </c>
      <c r="AI5692" s="161">
        <f t="shared" ref="AI5692" si="4012">SUM(AE5692:AH5692)</f>
        <v>0</v>
      </c>
      <c r="AK5692" s="172"/>
    </row>
    <row r="5693" spans="1:37" s="102" customFormat="1" ht="19.899999999999999" customHeight="1" x14ac:dyDescent="0.25">
      <c r="A5693" s="45"/>
      <c r="B5693" s="59"/>
      <c r="C5693" s="137"/>
      <c r="D5693" s="59"/>
      <c r="E5693" s="116"/>
      <c r="F5693" s="120"/>
      <c r="G5693" s="120"/>
      <c r="H5693" s="120"/>
      <c r="I5693" s="60"/>
      <c r="J5693" s="116"/>
      <c r="K5693" s="213"/>
      <c r="L5693" s="120"/>
      <c r="M5693" s="120"/>
      <c r="N5693" s="167"/>
      <c r="O5693" s="120"/>
      <c r="P5693" s="120"/>
      <c r="Q5693" s="120"/>
      <c r="R5693" s="120"/>
      <c r="S5693" s="120"/>
      <c r="T5693" s="221"/>
      <c r="U5693" s="89"/>
      <c r="V5693" s="61"/>
      <c r="W5693" s="92" t="s">
        <v>1273</v>
      </c>
      <c r="X5693" s="93" t="s">
        <v>30</v>
      </c>
      <c r="Y5693" s="93" t="s">
        <v>66</v>
      </c>
      <c r="Z5693" s="134">
        <f>VLOOKUP(W5693,Sheet2!$B:$D,3,FALSE)</f>
        <v>10</v>
      </c>
      <c r="AA5693" s="93">
        <f>1/((3.5*3.5*5.5)-(3.14/4*1.8*1.8*5.5))</f>
        <v>1.8731397380976018E-2</v>
      </c>
      <c r="AB5693" s="93">
        <f>AD5693/AC5692</f>
        <v>533.86299999999994</v>
      </c>
      <c r="AC5693" s="93">
        <f>AC5692/AA5693</f>
        <v>9.0756709999999838</v>
      </c>
      <c r="AD5693" s="94">
        <f t="shared" ref="AD5693:AD5695" si="4013">AC5693*Z5693</f>
        <v>90.756709999999842</v>
      </c>
      <c r="AE5693" s="190"/>
      <c r="AF5693" s="191"/>
      <c r="AG5693" s="191"/>
      <c r="AH5693" s="191"/>
      <c r="AI5693" s="186"/>
      <c r="AK5693" s="171"/>
    </row>
    <row r="5694" spans="1:37" s="102" customFormat="1" ht="19.899999999999999" customHeight="1" x14ac:dyDescent="0.25">
      <c r="A5694" s="45"/>
      <c r="B5694" s="59"/>
      <c r="C5694" s="137"/>
      <c r="D5694" s="59"/>
      <c r="E5694" s="116"/>
      <c r="F5694" s="120"/>
      <c r="G5694" s="120"/>
      <c r="H5694" s="120"/>
      <c r="I5694" s="60"/>
      <c r="J5694" s="116"/>
      <c r="K5694" s="213"/>
      <c r="L5694" s="120"/>
      <c r="M5694" s="120"/>
      <c r="N5694" s="167"/>
      <c r="O5694" s="120"/>
      <c r="P5694" s="120"/>
      <c r="Q5694" s="120"/>
      <c r="R5694" s="120"/>
      <c r="S5694" s="120"/>
      <c r="T5694" s="221"/>
      <c r="U5694" s="89"/>
      <c r="V5694" s="61"/>
      <c r="W5694" s="92" t="s">
        <v>134</v>
      </c>
      <c r="X5694" s="93" t="s">
        <v>29</v>
      </c>
      <c r="Y5694" s="93" t="s">
        <v>93</v>
      </c>
      <c r="Z5694" s="134">
        <f>VLOOKUP(W5694,Sheet2!$B:$D,3,FALSE)</f>
        <v>65.599999999999994</v>
      </c>
      <c r="AA5694" s="93">
        <f>100/((3.5*3.5*5.5)-(3.14/4*1.8*1.8*5.5))</f>
        <v>1.8731397380976018</v>
      </c>
      <c r="AB5694" s="93">
        <f t="shared" ref="AB5694" si="4014">AD5694/AC5692</f>
        <v>35.021412799999993</v>
      </c>
      <c r="AC5694" s="93">
        <f>AC5692/AA5694</f>
        <v>9.0756709999999838E-2</v>
      </c>
      <c r="AD5694" s="94">
        <f t="shared" si="4013"/>
        <v>5.9536401759999888</v>
      </c>
      <c r="AE5694" s="190"/>
      <c r="AF5694" s="191"/>
      <c r="AG5694" s="191"/>
      <c r="AH5694" s="191"/>
      <c r="AI5694" s="186"/>
      <c r="AK5694" s="171"/>
    </row>
    <row r="5695" spans="1:37" s="102" customFormat="1" ht="19.899999999999999" customHeight="1" x14ac:dyDescent="0.25">
      <c r="A5695" s="45"/>
      <c r="B5695" s="59"/>
      <c r="C5695" s="137"/>
      <c r="D5695" s="59"/>
      <c r="E5695" s="116"/>
      <c r="F5695" s="120"/>
      <c r="G5695" s="120"/>
      <c r="H5695" s="120"/>
      <c r="I5695" s="60"/>
      <c r="J5695" s="116"/>
      <c r="K5695" s="213"/>
      <c r="L5695" s="120"/>
      <c r="M5695" s="120"/>
      <c r="N5695" s="167"/>
      <c r="O5695" s="120"/>
      <c r="P5695" s="120"/>
      <c r="Q5695" s="120"/>
      <c r="R5695" s="120"/>
      <c r="S5695" s="120"/>
      <c r="T5695" s="221"/>
      <c r="U5695" s="89"/>
      <c r="V5695" s="61"/>
      <c r="W5695" s="92" t="s">
        <v>65</v>
      </c>
      <c r="X5695" s="93" t="s">
        <v>30</v>
      </c>
      <c r="Y5695" s="93" t="s">
        <v>1011</v>
      </c>
      <c r="Z5695" s="134">
        <f>VLOOKUP(W5695,Sheet2!$B:$D,3,FALSE)</f>
        <v>1.76</v>
      </c>
      <c r="AA5695" s="93">
        <f>AA5694/9</f>
        <v>0.20812663756640021</v>
      </c>
      <c r="AB5695" s="93">
        <f>AD5695/AC5692</f>
        <v>8.4563899199999994</v>
      </c>
      <c r="AC5695" s="93">
        <f>AC5692/AA5695</f>
        <v>0.81681038999999855</v>
      </c>
      <c r="AD5695" s="94">
        <f t="shared" si="4013"/>
        <v>1.4375862863999975</v>
      </c>
      <c r="AE5695" s="190"/>
      <c r="AF5695" s="191"/>
      <c r="AG5695" s="191"/>
      <c r="AH5695" s="191"/>
      <c r="AI5695" s="186"/>
      <c r="AK5695" s="171"/>
    </row>
    <row r="5696" spans="1:37" s="102" customFormat="1" ht="19.899999999999999" customHeight="1" x14ac:dyDescent="0.25">
      <c r="A5696" s="45"/>
      <c r="B5696" s="59"/>
      <c r="C5696" s="137"/>
      <c r="D5696" s="59"/>
      <c r="E5696" s="116"/>
      <c r="F5696" s="120"/>
      <c r="G5696" s="120"/>
      <c r="H5696" s="120"/>
      <c r="I5696" s="60"/>
      <c r="J5696" s="116"/>
      <c r="K5696" s="213"/>
      <c r="L5696" s="120"/>
      <c r="M5696" s="120"/>
      <c r="N5696" s="167"/>
      <c r="O5696" s="120"/>
      <c r="P5696" s="120"/>
      <c r="Q5696" s="120"/>
      <c r="R5696" s="120"/>
      <c r="S5696" s="120"/>
      <c r="T5696" s="221"/>
      <c r="U5696" s="89"/>
      <c r="V5696" s="61"/>
      <c r="W5696" s="92" t="s">
        <v>161</v>
      </c>
      <c r="X5696" s="93" t="s">
        <v>29</v>
      </c>
      <c r="Y5696" s="93" t="s">
        <v>93</v>
      </c>
      <c r="Z5696" s="134">
        <f>VLOOKUP(W5696,Sheet2!$B:$D,3,FALSE)</f>
        <v>48</v>
      </c>
      <c r="AA5696" s="93">
        <f>(16*0.85*1.5)/((3.5*3.5*5.5)-(3.14/4*1.8*1.8*5.5))</f>
        <v>0.38212050657191077</v>
      </c>
      <c r="AB5696" s="93">
        <f>AD5696/AC5692</f>
        <v>125.61482352941178</v>
      </c>
      <c r="AC5696" s="93">
        <f>AC5692/AA5696</f>
        <v>0.44488583333333259</v>
      </c>
      <c r="AD5696" s="94">
        <f>AC5696*Z5696</f>
        <v>21.354519999999965</v>
      </c>
      <c r="AE5696" s="190"/>
      <c r="AF5696" s="191"/>
      <c r="AG5696" s="191"/>
      <c r="AH5696" s="191"/>
      <c r="AI5696" s="186"/>
      <c r="AK5696" s="171"/>
    </row>
    <row r="5697" spans="1:41" s="102" customFormat="1" ht="19.899999999999999" customHeight="1" x14ac:dyDescent="0.25">
      <c r="A5697" s="45"/>
      <c r="B5697" s="59"/>
      <c r="C5697" s="137"/>
      <c r="D5697" s="59"/>
      <c r="E5697" s="116"/>
      <c r="F5697" s="120"/>
      <c r="G5697" s="120"/>
      <c r="H5697" s="120"/>
      <c r="I5697" s="60"/>
      <c r="J5697" s="116"/>
      <c r="K5697" s="213"/>
      <c r="L5697" s="120"/>
      <c r="M5697" s="120"/>
      <c r="N5697" s="167"/>
      <c r="O5697" s="120"/>
      <c r="P5697" s="120"/>
      <c r="Q5697" s="120"/>
      <c r="R5697" s="120"/>
      <c r="S5697" s="120"/>
      <c r="T5697" s="221"/>
      <c r="U5697" s="89"/>
      <c r="V5697" s="61"/>
      <c r="W5697" s="92" t="s">
        <v>65</v>
      </c>
      <c r="X5697" s="93" t="s">
        <v>30</v>
      </c>
      <c r="Y5697" s="93" t="s">
        <v>1011</v>
      </c>
      <c r="Z5697" s="134">
        <f>VLOOKUP(W5697,Sheet2!$B:$D,3,FALSE)</f>
        <v>1.76</v>
      </c>
      <c r="AA5697" s="93">
        <f>AA5696/10</f>
        <v>3.8212050657191077E-2</v>
      </c>
      <c r="AB5697" s="93">
        <f>AD5697/AC5692</f>
        <v>46.058768627450988</v>
      </c>
      <c r="AC5697" s="93">
        <f>AC5692/AA5697</f>
        <v>4.4488583333333258</v>
      </c>
      <c r="AD5697" s="94">
        <f>AC5697*Z5697</f>
        <v>7.8299906666666539</v>
      </c>
      <c r="AE5697" s="190"/>
      <c r="AF5697" s="191"/>
      <c r="AG5697" s="191"/>
      <c r="AH5697" s="191"/>
      <c r="AI5697" s="186"/>
      <c r="AK5697" s="171"/>
    </row>
    <row r="5698" spans="1:41" s="102" customFormat="1" ht="19.899999999999999" customHeight="1" x14ac:dyDescent="0.25">
      <c r="A5698" s="45"/>
      <c r="B5698" s="59"/>
      <c r="C5698" s="137"/>
      <c r="D5698" s="59"/>
      <c r="E5698" s="116"/>
      <c r="F5698" s="120"/>
      <c r="G5698" s="120"/>
      <c r="H5698" s="120"/>
      <c r="I5698" s="60"/>
      <c r="J5698" s="116"/>
      <c r="K5698" s="213"/>
      <c r="L5698" s="120"/>
      <c r="M5698" s="120"/>
      <c r="N5698" s="167"/>
      <c r="O5698" s="120"/>
      <c r="P5698" s="120"/>
      <c r="Q5698" s="120"/>
      <c r="R5698" s="120"/>
      <c r="S5698" s="120"/>
      <c r="T5698" s="221"/>
      <c r="U5698" s="89"/>
      <c r="V5698" s="61"/>
      <c r="W5698" s="92" t="s">
        <v>173</v>
      </c>
      <c r="X5698" s="93" t="s">
        <v>29</v>
      </c>
      <c r="Y5698" s="93" t="s">
        <v>93</v>
      </c>
      <c r="Z5698" s="134">
        <f>VLOOKUP(W5698,Sheet2!$B:$D,3,FALSE)</f>
        <v>36</v>
      </c>
      <c r="AA5698" s="93">
        <f>50/((3.5*3.5*5.5)-(3.14/4*1.8*1.8*5.5))</f>
        <v>0.93656986904880091</v>
      </c>
      <c r="AB5698" s="93">
        <f>AD5698/AC5692</f>
        <v>38.438136</v>
      </c>
      <c r="AC5698" s="93">
        <f>AC5692/AA5698</f>
        <v>0.18151341999999968</v>
      </c>
      <c r="AD5698" s="94">
        <f>AC5698*Z5698</f>
        <v>6.5344831199999884</v>
      </c>
      <c r="AE5698" s="190"/>
      <c r="AF5698" s="191"/>
      <c r="AG5698" s="191"/>
      <c r="AH5698" s="191"/>
      <c r="AI5698" s="186"/>
      <c r="AK5698" s="171"/>
    </row>
    <row r="5699" spans="1:41" s="102" customFormat="1" ht="19.899999999999999" customHeight="1" x14ac:dyDescent="0.25">
      <c r="A5699" s="45"/>
      <c r="B5699" s="59"/>
      <c r="C5699" s="137"/>
      <c r="D5699" s="59"/>
      <c r="E5699" s="116"/>
      <c r="F5699" s="120"/>
      <c r="G5699" s="120"/>
      <c r="H5699" s="120"/>
      <c r="I5699" s="60"/>
      <c r="J5699" s="116"/>
      <c r="K5699" s="213"/>
      <c r="L5699" s="120"/>
      <c r="M5699" s="120"/>
      <c r="N5699" s="167"/>
      <c r="O5699" s="120"/>
      <c r="P5699" s="120"/>
      <c r="Q5699" s="120"/>
      <c r="R5699" s="120"/>
      <c r="S5699" s="120"/>
      <c r="T5699" s="221"/>
      <c r="U5699" s="89"/>
      <c r="V5699" s="61"/>
      <c r="W5699" s="92" t="s">
        <v>65</v>
      </c>
      <c r="X5699" s="93" t="s">
        <v>30</v>
      </c>
      <c r="Y5699" s="93" t="s">
        <v>1011</v>
      </c>
      <c r="Z5699" s="134">
        <f>VLOOKUP(W5699,Sheet2!$B:$D,3,FALSE)</f>
        <v>1.76</v>
      </c>
      <c r="AA5699" s="93">
        <f>AA5698/9</f>
        <v>0.1040633187832001</v>
      </c>
      <c r="AB5699" s="93">
        <f>AD5699/AC5692</f>
        <v>16.912779839999999</v>
      </c>
      <c r="AC5699" s="93">
        <f>AC5692/AA5699</f>
        <v>1.6336207799999971</v>
      </c>
      <c r="AD5699" s="94">
        <f>AC5699*Z5699</f>
        <v>2.8751725727999951</v>
      </c>
      <c r="AE5699" s="190"/>
      <c r="AF5699" s="191"/>
      <c r="AG5699" s="191"/>
      <c r="AH5699" s="191"/>
      <c r="AI5699" s="186"/>
      <c r="AK5699" s="171"/>
    </row>
    <row r="5700" spans="1:41" s="102" customFormat="1" ht="19.899999999999999" customHeight="1" x14ac:dyDescent="0.25">
      <c r="A5700" s="45"/>
      <c r="B5700" s="59"/>
      <c r="C5700" s="137"/>
      <c r="D5700" s="59"/>
      <c r="E5700" s="116"/>
      <c r="F5700" s="120"/>
      <c r="G5700" s="120"/>
      <c r="H5700" s="120"/>
      <c r="I5700" s="60"/>
      <c r="J5700" s="116"/>
      <c r="K5700" s="213"/>
      <c r="L5700" s="120"/>
      <c r="M5700" s="120"/>
      <c r="N5700" s="167"/>
      <c r="O5700" s="120"/>
      <c r="P5700" s="120"/>
      <c r="Q5700" s="120"/>
      <c r="R5700" s="120"/>
      <c r="S5700" s="120"/>
      <c r="T5700" s="221"/>
      <c r="U5700" s="89"/>
      <c r="V5700" s="61"/>
      <c r="W5700" s="92" t="s">
        <v>1030</v>
      </c>
      <c r="X5700" s="93" t="s">
        <v>29</v>
      </c>
      <c r="Y5700" s="93" t="s">
        <v>93</v>
      </c>
      <c r="Z5700" s="134">
        <f>VLOOKUP(W5700,Sheet2!$B:$D,3,FALSE)</f>
        <v>23</v>
      </c>
      <c r="AA5700" s="93">
        <f>1/(5.5*1)</f>
        <v>0.18181818181818182</v>
      </c>
      <c r="AB5700" s="93">
        <f>AD5700/AC5692</f>
        <v>126.5</v>
      </c>
      <c r="AC5700" s="93">
        <f>AC5692/AA5700</f>
        <v>0.93499999999999839</v>
      </c>
      <c r="AD5700" s="94">
        <f t="shared" ref="AD5700:AD5701" si="4015">AC5700*Z5700</f>
        <v>21.504999999999963</v>
      </c>
      <c r="AE5700" s="190"/>
      <c r="AF5700" s="191"/>
      <c r="AG5700" s="191"/>
      <c r="AH5700" s="191"/>
      <c r="AI5700" s="186"/>
      <c r="AK5700" s="171"/>
    </row>
    <row r="5701" spans="1:41" s="102" customFormat="1" ht="19.899999999999999" customHeight="1" x14ac:dyDescent="0.25">
      <c r="A5701" s="45"/>
      <c r="B5701" s="59"/>
      <c r="C5701" s="137"/>
      <c r="D5701" s="59"/>
      <c r="E5701" s="116"/>
      <c r="F5701" s="120"/>
      <c r="G5701" s="120"/>
      <c r="H5701" s="120"/>
      <c r="I5701" s="60"/>
      <c r="J5701" s="116"/>
      <c r="K5701" s="213"/>
      <c r="L5701" s="120"/>
      <c r="M5701" s="120"/>
      <c r="N5701" s="167"/>
      <c r="O5701" s="120"/>
      <c r="P5701" s="120"/>
      <c r="Q5701" s="120"/>
      <c r="R5701" s="120"/>
      <c r="S5701" s="120"/>
      <c r="T5701" s="221"/>
      <c r="U5701" s="89"/>
      <c r="V5701" s="61"/>
      <c r="W5701" s="92" t="s">
        <v>65</v>
      </c>
      <c r="X5701" s="93" t="s">
        <v>30</v>
      </c>
      <c r="Y5701" s="93" t="s">
        <v>1011</v>
      </c>
      <c r="Z5701" s="134">
        <f>VLOOKUP(W5701,Sheet2!$B:$D,3,FALSE)</f>
        <v>1.76</v>
      </c>
      <c r="AA5701" s="93">
        <f>AA5700/3</f>
        <v>6.0606060606060608E-2</v>
      </c>
      <c r="AB5701" s="93">
        <f>AD5701/AC5692</f>
        <v>29.040000000000003</v>
      </c>
      <c r="AC5701" s="93">
        <f>AC5692/AA5701</f>
        <v>2.8049999999999953</v>
      </c>
      <c r="AD5701" s="94">
        <f t="shared" si="4015"/>
        <v>4.9367999999999919</v>
      </c>
      <c r="AE5701" s="190"/>
      <c r="AF5701" s="191"/>
      <c r="AG5701" s="191"/>
      <c r="AH5701" s="191"/>
      <c r="AI5701" s="186"/>
      <c r="AK5701" s="171"/>
    </row>
    <row r="5702" spans="1:41" ht="20.100000000000001" customHeight="1" x14ac:dyDescent="0.25">
      <c r="A5702" s="277" t="s">
        <v>491</v>
      </c>
      <c r="B5702" s="278"/>
      <c r="C5702" s="64" t="s">
        <v>582</v>
      </c>
      <c r="D5702" s="46" t="s">
        <v>215</v>
      </c>
      <c r="E5702" s="114">
        <v>0.78999999999999915</v>
      </c>
      <c r="F5702" s="44">
        <v>62941</v>
      </c>
      <c r="G5702" s="44">
        <f t="shared" si="3841"/>
        <v>49723.389999999948</v>
      </c>
      <c r="H5702" s="44">
        <f t="shared" si="3842"/>
        <v>17040.715571049412</v>
      </c>
      <c r="I5702" s="43">
        <f t="shared" si="3843"/>
        <v>13462.16530112902</v>
      </c>
      <c r="J5702" s="112">
        <f t="shared" si="3844"/>
        <v>0.78999999999999915</v>
      </c>
      <c r="K5702" s="211">
        <f t="shared" si="3845"/>
        <v>0.78999999999999915</v>
      </c>
      <c r="L5702" s="44"/>
      <c r="M5702" s="44">
        <f t="shared" si="3846"/>
        <v>0.78999999999999915</v>
      </c>
      <c r="N5702" s="173">
        <f t="shared" si="3847"/>
        <v>1</v>
      </c>
      <c r="O5702" s="44">
        <f t="shared" si="3848"/>
        <v>62941</v>
      </c>
      <c r="P5702" s="44">
        <f t="shared" si="3849"/>
        <v>49723.389999999948</v>
      </c>
      <c r="Q5702" s="44">
        <f t="shared" si="3850"/>
        <v>17040.715571049412</v>
      </c>
      <c r="R5702" s="44">
        <f t="shared" si="3851"/>
        <v>13462.16530112902</v>
      </c>
      <c r="S5702" s="123"/>
      <c r="T5702" s="219">
        <f t="shared" si="3852"/>
        <v>13462.16530112902</v>
      </c>
      <c r="U5702" s="87"/>
      <c r="V5702" s="47"/>
      <c r="W5702" s="48"/>
      <c r="X5702" s="48"/>
      <c r="Y5702" s="48"/>
      <c r="Z5702" s="135"/>
      <c r="AA5702" s="49"/>
      <c r="AB5702" s="50">
        <f t="shared" si="3853"/>
        <v>17040.715571049412</v>
      </c>
      <c r="AC5702" s="42">
        <f t="shared" si="3854"/>
        <v>0.78999999999999915</v>
      </c>
      <c r="AD5702" s="90">
        <f>AD5703+AD5708+AD5715+AD5722</f>
        <v>13462.165301129022</v>
      </c>
      <c r="AE5702" s="188">
        <f t="shared" ref="AE5702:AH5702" si="4016">AE5703+AE5708+AE5715+AE5722</f>
        <v>0</v>
      </c>
      <c r="AF5702" s="189">
        <f t="shared" si="4016"/>
        <v>0</v>
      </c>
      <c r="AG5702" s="189">
        <f t="shared" si="4016"/>
        <v>0</v>
      </c>
      <c r="AH5702" s="189">
        <f t="shared" si="4016"/>
        <v>0</v>
      </c>
      <c r="AI5702" s="161">
        <f t="shared" ref="AI5702" si="4017">SUM(AE5702:AH5702)</f>
        <v>0</v>
      </c>
      <c r="AK5702" s="169">
        <v>5</v>
      </c>
      <c r="AO5702" s="19" t="s">
        <v>63</v>
      </c>
    </row>
    <row r="5703" spans="1:41" s="103" customFormat="1" ht="19.899999999999999" customHeight="1" x14ac:dyDescent="0.25">
      <c r="A5703" s="51"/>
      <c r="B5703" s="52"/>
      <c r="C5703" s="165"/>
      <c r="D5703" s="52"/>
      <c r="E5703" s="115"/>
      <c r="F5703" s="58"/>
      <c r="G5703" s="58"/>
      <c r="H5703" s="58"/>
      <c r="I5703" s="55"/>
      <c r="J5703" s="113">
        <f>J5702</f>
        <v>0.78999999999999915</v>
      </c>
      <c r="K5703" s="212">
        <f>K5702</f>
        <v>0.78999999999999915</v>
      </c>
      <c r="L5703" s="58"/>
      <c r="M5703" s="58">
        <f>K5703-L5703</f>
        <v>0.78999999999999915</v>
      </c>
      <c r="N5703" s="166"/>
      <c r="O5703" s="58"/>
      <c r="P5703" s="58"/>
      <c r="Q5703" s="58"/>
      <c r="R5703" s="58"/>
      <c r="S5703" s="58"/>
      <c r="T5703" s="220"/>
      <c r="U5703" s="88"/>
      <c r="V5703" s="56"/>
      <c r="W5703" s="57" t="s">
        <v>1563</v>
      </c>
      <c r="X5703" s="53"/>
      <c r="Y5703" s="91" t="s">
        <v>35</v>
      </c>
      <c r="Z5703" s="136">
        <f>AD5703/AC5703</f>
        <v>374.18014117647061</v>
      </c>
      <c r="AA5703" s="58"/>
      <c r="AB5703" s="53">
        <f>AD5703/AC5703</f>
        <v>374.18014117647061</v>
      </c>
      <c r="AC5703" s="53">
        <f>M5703+$AE$10</f>
        <v>0.78999999999999915</v>
      </c>
      <c r="AD5703" s="54">
        <f>SUM(AD5704:AD5707)</f>
        <v>295.60231152941145</v>
      </c>
      <c r="AE5703" s="184">
        <f>SUMIFS($AD$37:$AD$12971,$V$37:$V$12971,$V5703,$X$37:$X$12971,AE$13)</f>
        <v>0</v>
      </c>
      <c r="AF5703" s="185">
        <f>SUMIFS($AD$37:$AD$12971,$V$37:$V$12971,$V5703,$X$37:$X$12971,AF$13)</f>
        <v>0</v>
      </c>
      <c r="AG5703" s="185">
        <f>SUMIFS($AD$37:$AD$12971,$V$37:$V$12971,$V5703,$X$37:$X$12971,AG$13)</f>
        <v>0</v>
      </c>
      <c r="AH5703" s="187">
        <f>SUMIFS($AD$37:$AD$12971,$V$37:$V$12971,$V5703,$X$37:$X$12971,AH$13)</f>
        <v>0</v>
      </c>
      <c r="AI5703" s="161">
        <f t="shared" ref="AI5703" si="4018">SUM(AE5703:AH5703)</f>
        <v>0</v>
      </c>
      <c r="AK5703" s="172"/>
    </row>
    <row r="5704" spans="1:41" s="102" customFormat="1" ht="19.899999999999999" customHeight="1" x14ac:dyDescent="0.25">
      <c r="A5704" s="45"/>
      <c r="B5704" s="59"/>
      <c r="C5704" s="137"/>
      <c r="D5704" s="59"/>
      <c r="E5704" s="116"/>
      <c r="F5704" s="120"/>
      <c r="G5704" s="120"/>
      <c r="H5704" s="120"/>
      <c r="I5704" s="60"/>
      <c r="J5704" s="116"/>
      <c r="K5704" s="213"/>
      <c r="L5704" s="120"/>
      <c r="M5704" s="120"/>
      <c r="N5704" s="167"/>
      <c r="O5704" s="120"/>
      <c r="P5704" s="120"/>
      <c r="Q5704" s="120"/>
      <c r="R5704" s="120"/>
      <c r="S5704" s="120"/>
      <c r="T5704" s="221"/>
      <c r="U5704" s="89"/>
      <c r="V5704" s="61"/>
      <c r="W5704" s="92" t="s">
        <v>131</v>
      </c>
      <c r="X5704" s="93" t="s">
        <v>29</v>
      </c>
      <c r="Y5704" s="93" t="s">
        <v>93</v>
      </c>
      <c r="Z5704" s="134">
        <f>VLOOKUP(W5704,Sheet2!$B:$D,3,FALSE)</f>
        <v>131.19999999999999</v>
      </c>
      <c r="AA5704" s="93">
        <f>100/(3.5*3.5*6)</f>
        <v>1.3605442176870748</v>
      </c>
      <c r="AB5704" s="93">
        <f t="shared" ref="AB5704" si="4019">AD5704/AC5703</f>
        <v>96.432000000000002</v>
      </c>
      <c r="AC5704" s="93">
        <f>AC5703/AA5704</f>
        <v>0.58064999999999944</v>
      </c>
      <c r="AD5704" s="94">
        <f t="shared" ref="AD5704:AD5705" si="4020">AC5704*Z5704</f>
        <v>76.181279999999916</v>
      </c>
      <c r="AE5704" s="190"/>
      <c r="AF5704" s="191"/>
      <c r="AG5704" s="191"/>
      <c r="AH5704" s="191"/>
      <c r="AI5704" s="186"/>
      <c r="AK5704" s="171"/>
    </row>
    <row r="5705" spans="1:41" s="102" customFormat="1" ht="19.899999999999999" customHeight="1" x14ac:dyDescent="0.25">
      <c r="A5705" s="45"/>
      <c r="B5705" s="59"/>
      <c r="C5705" s="137"/>
      <c r="D5705" s="59"/>
      <c r="E5705" s="116"/>
      <c r="F5705" s="120"/>
      <c r="G5705" s="120"/>
      <c r="H5705" s="120"/>
      <c r="I5705" s="60"/>
      <c r="J5705" s="116"/>
      <c r="K5705" s="213"/>
      <c r="L5705" s="120"/>
      <c r="M5705" s="120"/>
      <c r="N5705" s="167"/>
      <c r="O5705" s="120"/>
      <c r="P5705" s="120"/>
      <c r="Q5705" s="120"/>
      <c r="R5705" s="120"/>
      <c r="S5705" s="120"/>
      <c r="T5705" s="221"/>
      <c r="U5705" s="89"/>
      <c r="V5705" s="61"/>
      <c r="W5705" s="92" t="s">
        <v>65</v>
      </c>
      <c r="X5705" s="93" t="s">
        <v>30</v>
      </c>
      <c r="Y5705" s="93" t="s">
        <v>1011</v>
      </c>
      <c r="Z5705" s="134">
        <f>VLOOKUP(W5705,Sheet2!$B:$D,3,FALSE)</f>
        <v>1.76</v>
      </c>
      <c r="AA5705" s="93">
        <f>AA5704/32</f>
        <v>4.2517006802721087E-2</v>
      </c>
      <c r="AB5705" s="93">
        <f>AD5705/AC5703</f>
        <v>41.39520000000001</v>
      </c>
      <c r="AC5705" s="93">
        <f>AC5703/AA5705</f>
        <v>18.580799999999982</v>
      </c>
      <c r="AD5705" s="94">
        <f t="shared" si="4020"/>
        <v>32.70220799999997</v>
      </c>
      <c r="AE5705" s="190"/>
      <c r="AF5705" s="191"/>
      <c r="AG5705" s="191"/>
      <c r="AH5705" s="191"/>
      <c r="AI5705" s="186"/>
      <c r="AK5705" s="171"/>
    </row>
    <row r="5706" spans="1:41" s="102" customFormat="1" ht="19.899999999999999" customHeight="1" x14ac:dyDescent="0.25">
      <c r="A5706" s="45"/>
      <c r="B5706" s="59"/>
      <c r="C5706" s="137"/>
      <c r="D5706" s="59"/>
      <c r="E5706" s="116"/>
      <c r="F5706" s="120"/>
      <c r="G5706" s="120"/>
      <c r="H5706" s="120"/>
      <c r="I5706" s="60"/>
      <c r="J5706" s="116"/>
      <c r="K5706" s="213"/>
      <c r="L5706" s="120"/>
      <c r="M5706" s="120"/>
      <c r="N5706" s="167"/>
      <c r="O5706" s="120"/>
      <c r="P5706" s="120"/>
      <c r="Q5706" s="120"/>
      <c r="R5706" s="120"/>
      <c r="S5706" s="120"/>
      <c r="T5706" s="221"/>
      <c r="U5706" s="89"/>
      <c r="V5706" s="61"/>
      <c r="W5706" s="92" t="s">
        <v>161</v>
      </c>
      <c r="X5706" s="93" t="s">
        <v>29</v>
      </c>
      <c r="Y5706" s="93" t="s">
        <v>93</v>
      </c>
      <c r="Z5706" s="134">
        <f>VLOOKUP(W5706,Sheet2!$B:$D,3,FALSE)</f>
        <v>48</v>
      </c>
      <c r="AA5706" s="93">
        <f>(16*0.85*1.5)/(3.5*3.5*6)</f>
        <v>0.27755102040816326</v>
      </c>
      <c r="AB5706" s="93">
        <f>AD5706/AC5703</f>
        <v>172.9411764705882</v>
      </c>
      <c r="AC5706" s="93">
        <f>AC5703/AA5706</f>
        <v>2.8463235294117615</v>
      </c>
      <c r="AD5706" s="94">
        <f>AC5706*Z5706</f>
        <v>136.62352941176454</v>
      </c>
      <c r="AE5706" s="190"/>
      <c r="AF5706" s="191"/>
      <c r="AG5706" s="191"/>
      <c r="AH5706" s="191"/>
      <c r="AI5706" s="186"/>
      <c r="AK5706" s="171"/>
    </row>
    <row r="5707" spans="1:41" s="102" customFormat="1" ht="19.899999999999999" customHeight="1" x14ac:dyDescent="0.25">
      <c r="A5707" s="45"/>
      <c r="B5707" s="59"/>
      <c r="C5707" s="137"/>
      <c r="D5707" s="59"/>
      <c r="E5707" s="116"/>
      <c r="F5707" s="120"/>
      <c r="G5707" s="120"/>
      <c r="H5707" s="120"/>
      <c r="I5707" s="60"/>
      <c r="J5707" s="116"/>
      <c r="K5707" s="213"/>
      <c r="L5707" s="120"/>
      <c r="M5707" s="120"/>
      <c r="N5707" s="167"/>
      <c r="O5707" s="120"/>
      <c r="P5707" s="120"/>
      <c r="Q5707" s="120"/>
      <c r="R5707" s="120"/>
      <c r="S5707" s="120"/>
      <c r="T5707" s="221"/>
      <c r="U5707" s="89"/>
      <c r="V5707" s="61"/>
      <c r="W5707" s="92" t="s">
        <v>65</v>
      </c>
      <c r="X5707" s="93" t="s">
        <v>30</v>
      </c>
      <c r="Y5707" s="93" t="s">
        <v>1011</v>
      </c>
      <c r="Z5707" s="134">
        <f>VLOOKUP(W5707,Sheet2!$B:$D,3,FALSE)</f>
        <v>1.76</v>
      </c>
      <c r="AA5707" s="93">
        <f>AA5706/10</f>
        <v>2.7755102040816326E-2</v>
      </c>
      <c r="AB5707" s="93">
        <f>AD5707/AC5703</f>
        <v>63.411764705882355</v>
      </c>
      <c r="AC5707" s="93">
        <f>AC5703/AA5707</f>
        <v>28.463235294117617</v>
      </c>
      <c r="AD5707" s="94">
        <f>AC5707*Z5707</f>
        <v>50.095294117647008</v>
      </c>
      <c r="AE5707" s="190"/>
      <c r="AF5707" s="191"/>
      <c r="AG5707" s="191"/>
      <c r="AH5707" s="191"/>
      <c r="AI5707" s="186"/>
      <c r="AK5707" s="171"/>
    </row>
    <row r="5708" spans="1:41" s="103" customFormat="1" ht="19.899999999999999" customHeight="1" x14ac:dyDescent="0.25">
      <c r="A5708" s="51"/>
      <c r="B5708" s="52"/>
      <c r="C5708" s="165"/>
      <c r="D5708" s="52"/>
      <c r="E5708" s="115"/>
      <c r="F5708" s="58"/>
      <c r="G5708" s="58"/>
      <c r="H5708" s="58"/>
      <c r="I5708" s="55"/>
      <c r="J5708" s="113">
        <f>J5702</f>
        <v>0.78999999999999915</v>
      </c>
      <c r="K5708" s="212">
        <f>K5702</f>
        <v>0.78999999999999915</v>
      </c>
      <c r="L5708" s="58"/>
      <c r="M5708" s="58">
        <f>K5708-L5708</f>
        <v>0.78999999999999915</v>
      </c>
      <c r="N5708" s="166"/>
      <c r="O5708" s="58"/>
      <c r="P5708" s="58"/>
      <c r="Q5708" s="58"/>
      <c r="R5708" s="58"/>
      <c r="S5708" s="58"/>
      <c r="T5708" s="220"/>
      <c r="U5708" s="88"/>
      <c r="V5708" s="56"/>
      <c r="W5708" s="57" t="s">
        <v>1486</v>
      </c>
      <c r="X5708" s="53"/>
      <c r="Y5708" s="91" t="s">
        <v>35</v>
      </c>
      <c r="Z5708" s="136">
        <f>AD5708/AC5708</f>
        <v>2396.5659999999998</v>
      </c>
      <c r="AA5708" s="58"/>
      <c r="AB5708" s="53">
        <f>AD5708/AC5708</f>
        <v>2396.5659999999998</v>
      </c>
      <c r="AC5708" s="53">
        <f>M5708+$AE$10</f>
        <v>0.78999999999999915</v>
      </c>
      <c r="AD5708" s="54">
        <f>SUM(AD5709:AD5714)</f>
        <v>1893.2871399999976</v>
      </c>
      <c r="AE5708" s="184">
        <f>SUMIFS($AD$37:$AD$12971,$V$37:$V$12971,$V5708,$X$37:$X$12971,AE$13)</f>
        <v>0</v>
      </c>
      <c r="AF5708" s="185">
        <f>SUMIFS($AD$37:$AD$12971,$V$37:$V$12971,$V5708,$X$37:$X$12971,AF$13)</f>
        <v>0</v>
      </c>
      <c r="AG5708" s="185">
        <f>SUMIFS($AD$37:$AD$12971,$V$37:$V$12971,$V5708,$X$37:$X$12971,AG$13)</f>
        <v>0</v>
      </c>
      <c r="AH5708" s="187">
        <f>SUMIFS($AD$37:$AD$12971,$V$37:$V$12971,$V5708,$X$37:$X$12971,AH$13)</f>
        <v>0</v>
      </c>
      <c r="AI5708" s="161">
        <f t="shared" ref="AI5708" si="4021">SUM(AE5708:AH5708)</f>
        <v>0</v>
      </c>
      <c r="AK5708" s="172"/>
    </row>
    <row r="5709" spans="1:41" s="102" customFormat="1" ht="19.899999999999999" customHeight="1" x14ac:dyDescent="0.25">
      <c r="A5709" s="45"/>
      <c r="B5709" s="59"/>
      <c r="C5709" s="137"/>
      <c r="D5709" s="59"/>
      <c r="E5709" s="116"/>
      <c r="F5709" s="120"/>
      <c r="G5709" s="120"/>
      <c r="H5709" s="120"/>
      <c r="I5709" s="60"/>
      <c r="J5709" s="116"/>
      <c r="K5709" s="213"/>
      <c r="L5709" s="120"/>
      <c r="M5709" s="120"/>
      <c r="N5709" s="167"/>
      <c r="O5709" s="120"/>
      <c r="P5709" s="120"/>
      <c r="Q5709" s="120"/>
      <c r="R5709" s="120"/>
      <c r="S5709" s="120"/>
      <c r="T5709" s="221"/>
      <c r="U5709" s="89"/>
      <c r="V5709" s="61"/>
      <c r="W5709" s="92" t="s">
        <v>1032</v>
      </c>
      <c r="X5709" s="93" t="s">
        <v>30</v>
      </c>
      <c r="Y5709" s="93" t="s">
        <v>66</v>
      </c>
      <c r="Z5709" s="134">
        <f>VLOOKUP(W5709,Sheet2!$B:$D,3,FALSE)</f>
        <v>250</v>
      </c>
      <c r="AA5709" s="93">
        <f>1/(2.7*2.7*0.1)</f>
        <v>1.371742112482853</v>
      </c>
      <c r="AB5709" s="93">
        <f>AD5709/AC5715</f>
        <v>182.25000000000006</v>
      </c>
      <c r="AC5709" s="93">
        <f>AC5715/AA5709</f>
        <v>0.57590999999999948</v>
      </c>
      <c r="AD5709" s="94">
        <f t="shared" ref="AD5709:AD5711" si="4022">AC5709*Z5709</f>
        <v>143.97749999999988</v>
      </c>
      <c r="AE5709" s="190"/>
      <c r="AF5709" s="191"/>
      <c r="AG5709" s="191"/>
      <c r="AH5709" s="191"/>
      <c r="AI5709" s="186"/>
      <c r="AK5709" s="171"/>
    </row>
    <row r="5710" spans="1:41" s="102" customFormat="1" ht="19.899999999999999" customHeight="1" x14ac:dyDescent="0.25">
      <c r="A5710" s="45"/>
      <c r="B5710" s="59"/>
      <c r="C5710" s="137"/>
      <c r="D5710" s="59"/>
      <c r="E5710" s="116"/>
      <c r="F5710" s="120"/>
      <c r="G5710" s="120"/>
      <c r="H5710" s="120"/>
      <c r="I5710" s="60"/>
      <c r="J5710" s="116"/>
      <c r="K5710" s="213"/>
      <c r="L5710" s="120"/>
      <c r="M5710" s="120"/>
      <c r="N5710" s="167"/>
      <c r="O5710" s="120"/>
      <c r="P5710" s="120"/>
      <c r="Q5710" s="120"/>
      <c r="R5710" s="120"/>
      <c r="S5710" s="120"/>
      <c r="T5710" s="221"/>
      <c r="U5710" s="89"/>
      <c r="V5710" s="61"/>
      <c r="W5710" s="92" t="s">
        <v>1353</v>
      </c>
      <c r="X5710" s="93" t="s">
        <v>30</v>
      </c>
      <c r="Y5710" s="93" t="s">
        <v>66</v>
      </c>
      <c r="Z5710" s="134">
        <f>VLOOKUP(W5710,Sheet2!$B:$D,3,FALSE)</f>
        <v>350</v>
      </c>
      <c r="AA5710" s="93">
        <f>1/(2.6*2.6*0.3)</f>
        <v>0.49309664694280081</v>
      </c>
      <c r="AB5710" s="93">
        <f>AD5710/AC5715</f>
        <v>709.8</v>
      </c>
      <c r="AC5710" s="93">
        <f>AC5715/AA5710</f>
        <v>1.6021199999999982</v>
      </c>
      <c r="AD5710" s="94">
        <f t="shared" si="4022"/>
        <v>560.74199999999939</v>
      </c>
      <c r="AE5710" s="190"/>
      <c r="AF5710" s="191"/>
      <c r="AG5710" s="191"/>
      <c r="AH5710" s="191"/>
      <c r="AI5710" s="186"/>
      <c r="AK5710" s="171"/>
    </row>
    <row r="5711" spans="1:41" s="102" customFormat="1" ht="19.899999999999999" customHeight="1" x14ac:dyDescent="0.25">
      <c r="A5711" s="45"/>
      <c r="B5711" s="59"/>
      <c r="C5711" s="137"/>
      <c r="D5711" s="59"/>
      <c r="E5711" s="116"/>
      <c r="F5711" s="120"/>
      <c r="G5711" s="120"/>
      <c r="H5711" s="120"/>
      <c r="I5711" s="60"/>
      <c r="J5711" s="116"/>
      <c r="K5711" s="213"/>
      <c r="L5711" s="120"/>
      <c r="M5711" s="120"/>
      <c r="N5711" s="167"/>
      <c r="O5711" s="120"/>
      <c r="P5711" s="120"/>
      <c r="Q5711" s="120"/>
      <c r="R5711" s="120"/>
      <c r="S5711" s="120"/>
      <c r="T5711" s="221"/>
      <c r="U5711" s="89"/>
      <c r="V5711" s="61"/>
      <c r="W5711" s="92" t="s">
        <v>99</v>
      </c>
      <c r="X5711" s="93" t="s">
        <v>30</v>
      </c>
      <c r="Y5711" s="93" t="s">
        <v>67</v>
      </c>
      <c r="Z5711" s="134">
        <f>VLOOKUP(W5711,Sheet2!$B:$D,3,FALSE)</f>
        <v>2500</v>
      </c>
      <c r="AA5711" s="93">
        <f>AA5710/0.08</f>
        <v>6.16370808678501</v>
      </c>
      <c r="AB5711" s="93">
        <f>AD5711/AC5715</f>
        <v>405.59999999999997</v>
      </c>
      <c r="AC5711" s="93">
        <f>AC5715/AA5711</f>
        <v>0.12816959999999986</v>
      </c>
      <c r="AD5711" s="94">
        <f t="shared" si="4022"/>
        <v>320.42399999999964</v>
      </c>
      <c r="AE5711" s="190"/>
      <c r="AF5711" s="191"/>
      <c r="AG5711" s="191"/>
      <c r="AH5711" s="191"/>
      <c r="AI5711" s="186"/>
      <c r="AK5711" s="171"/>
    </row>
    <row r="5712" spans="1:41" s="102" customFormat="1" ht="19.899999999999999" customHeight="1" x14ac:dyDescent="0.25">
      <c r="A5712" s="45"/>
      <c r="B5712" s="59"/>
      <c r="C5712" s="137"/>
      <c r="D5712" s="59"/>
      <c r="E5712" s="116"/>
      <c r="F5712" s="120"/>
      <c r="G5712" s="120"/>
      <c r="H5712" s="120"/>
      <c r="I5712" s="60"/>
      <c r="J5712" s="116"/>
      <c r="K5712" s="213"/>
      <c r="L5712" s="120"/>
      <c r="M5712" s="120"/>
      <c r="N5712" s="167"/>
      <c r="O5712" s="120"/>
      <c r="P5712" s="120"/>
      <c r="Q5712" s="120"/>
      <c r="R5712" s="120"/>
      <c r="S5712" s="120"/>
      <c r="T5712" s="221"/>
      <c r="U5712" s="89"/>
      <c r="V5712" s="61"/>
      <c r="W5712" s="92" t="s">
        <v>1354</v>
      </c>
      <c r="X5712" s="93" t="s">
        <v>32</v>
      </c>
      <c r="Y5712" s="93" t="s">
        <v>66</v>
      </c>
      <c r="Z5712" s="134">
        <f>VLOOKUP(W5712,Sheet2!$B:$D,3,FALSE)</f>
        <v>150</v>
      </c>
      <c r="AA5712" s="93">
        <f>AA5709</f>
        <v>1.371742112482853</v>
      </c>
      <c r="AB5712" s="93">
        <f>AD5712/AC5715</f>
        <v>109.35000000000002</v>
      </c>
      <c r="AC5712" s="93">
        <f>AC5715/AA5712</f>
        <v>0.57590999999999948</v>
      </c>
      <c r="AD5712" s="94">
        <f>AC5712*Z5712</f>
        <v>86.386499999999927</v>
      </c>
      <c r="AE5712" s="190"/>
      <c r="AF5712" s="191"/>
      <c r="AG5712" s="191"/>
      <c r="AH5712" s="191"/>
      <c r="AI5712" s="186"/>
      <c r="AK5712" s="171"/>
    </row>
    <row r="5713" spans="1:37" s="102" customFormat="1" ht="19.899999999999999" customHeight="1" x14ac:dyDescent="0.25">
      <c r="A5713" s="45"/>
      <c r="B5713" s="59"/>
      <c r="C5713" s="137"/>
      <c r="D5713" s="59"/>
      <c r="E5713" s="116"/>
      <c r="F5713" s="120"/>
      <c r="G5713" s="120"/>
      <c r="H5713" s="120"/>
      <c r="I5713" s="60"/>
      <c r="J5713" s="116"/>
      <c r="K5713" s="213"/>
      <c r="L5713" s="120"/>
      <c r="M5713" s="120"/>
      <c r="N5713" s="167"/>
      <c r="O5713" s="120"/>
      <c r="P5713" s="120"/>
      <c r="Q5713" s="120"/>
      <c r="R5713" s="120"/>
      <c r="S5713" s="120"/>
      <c r="T5713" s="221"/>
      <c r="U5713" s="89"/>
      <c r="V5713" s="61"/>
      <c r="W5713" s="92" t="s">
        <v>1355</v>
      </c>
      <c r="X5713" s="93" t="s">
        <v>32</v>
      </c>
      <c r="Y5713" s="93" t="s">
        <v>66</v>
      </c>
      <c r="Z5713" s="134">
        <f>VLOOKUP(W5713,Sheet2!$B:$D,3,FALSE)</f>
        <v>450</v>
      </c>
      <c r="AA5713" s="93">
        <f>AA5710</f>
        <v>0.49309664694280081</v>
      </c>
      <c r="AB5713" s="93">
        <f>AD5713/AC5715</f>
        <v>912.59999999999991</v>
      </c>
      <c r="AC5713" s="93">
        <f>AC5715/AA5713</f>
        <v>1.6021199999999982</v>
      </c>
      <c r="AD5713" s="94">
        <f>AC5713*Z5713</f>
        <v>720.95399999999916</v>
      </c>
      <c r="AE5713" s="190"/>
      <c r="AF5713" s="191"/>
      <c r="AG5713" s="191"/>
      <c r="AH5713" s="191"/>
      <c r="AI5713" s="186"/>
      <c r="AK5713" s="171"/>
    </row>
    <row r="5714" spans="1:37" s="102" customFormat="1" ht="19.899999999999999" customHeight="1" x14ac:dyDescent="0.25">
      <c r="A5714" s="45"/>
      <c r="B5714" s="59"/>
      <c r="C5714" s="137"/>
      <c r="D5714" s="59"/>
      <c r="E5714" s="116"/>
      <c r="F5714" s="120"/>
      <c r="G5714" s="120"/>
      <c r="H5714" s="120"/>
      <c r="I5714" s="60"/>
      <c r="J5714" s="116"/>
      <c r="K5714" s="213"/>
      <c r="L5714" s="120"/>
      <c r="M5714" s="120"/>
      <c r="N5714" s="167"/>
      <c r="O5714" s="120"/>
      <c r="P5714" s="120"/>
      <c r="Q5714" s="120"/>
      <c r="R5714" s="120"/>
      <c r="S5714" s="120"/>
      <c r="T5714" s="221"/>
      <c r="U5714" s="89"/>
      <c r="V5714" s="61"/>
      <c r="W5714" s="92" t="s">
        <v>124</v>
      </c>
      <c r="X5714" s="93" t="s">
        <v>32</v>
      </c>
      <c r="Y5714" s="93" t="s">
        <v>64</v>
      </c>
      <c r="Z5714" s="134">
        <f>VLOOKUP(W5714,Sheet2!$B:$D,3,FALSE)</f>
        <v>10</v>
      </c>
      <c r="AA5714" s="93">
        <f>1/((3.2*3.2)-(3.14*1.8*1.8/4))</f>
        <v>0.12992750045474621</v>
      </c>
      <c r="AB5714" s="93">
        <f t="shared" ref="AB5714" si="4023">AD5714/AC5708</f>
        <v>76.966000000000022</v>
      </c>
      <c r="AC5714" s="93">
        <f>AC5708/AA5714</f>
        <v>6.0803139999999951</v>
      </c>
      <c r="AD5714" s="94">
        <f t="shared" ref="AD5714" si="4024">AC5714*Z5714</f>
        <v>60.803139999999949</v>
      </c>
      <c r="AE5714" s="190"/>
      <c r="AF5714" s="191"/>
      <c r="AG5714" s="191"/>
      <c r="AH5714" s="191"/>
      <c r="AI5714" s="186"/>
      <c r="AK5714" s="171"/>
    </row>
    <row r="5715" spans="1:37" s="103" customFormat="1" ht="19.899999999999999" customHeight="1" x14ac:dyDescent="0.25">
      <c r="A5715" s="51"/>
      <c r="B5715" s="52"/>
      <c r="C5715" s="165"/>
      <c r="D5715" s="52"/>
      <c r="E5715" s="115"/>
      <c r="F5715" s="58"/>
      <c r="G5715" s="58"/>
      <c r="H5715" s="58"/>
      <c r="I5715" s="55"/>
      <c r="J5715" s="113">
        <f>J5702</f>
        <v>0.78999999999999915</v>
      </c>
      <c r="K5715" s="212">
        <f>K5702</f>
        <v>0.78999999999999915</v>
      </c>
      <c r="L5715" s="58"/>
      <c r="M5715" s="58">
        <f>K5715-L5715</f>
        <v>0.78999999999999915</v>
      </c>
      <c r="N5715" s="166"/>
      <c r="O5715" s="58"/>
      <c r="P5715" s="58"/>
      <c r="Q5715" s="58"/>
      <c r="R5715" s="58"/>
      <c r="S5715" s="58"/>
      <c r="T5715" s="220"/>
      <c r="U5715" s="88"/>
      <c r="V5715" s="56"/>
      <c r="W5715" s="57" t="s">
        <v>1275</v>
      </c>
      <c r="X5715" s="53"/>
      <c r="Y5715" s="91" t="s">
        <v>35</v>
      </c>
      <c r="Z5715" s="136">
        <f>AD5715/AC5715</f>
        <v>13222.800000000001</v>
      </c>
      <c r="AA5715" s="58"/>
      <c r="AB5715" s="53">
        <f>AD5715/AC5715</f>
        <v>13222.800000000001</v>
      </c>
      <c r="AC5715" s="53">
        <f>M5715+$AE$10</f>
        <v>0.78999999999999915</v>
      </c>
      <c r="AD5715" s="54">
        <f>SUM(AD5716:AD5721)</f>
        <v>10446.01199999999</v>
      </c>
      <c r="AE5715" s="184">
        <f>SUMIFS($AD$37:$AD$12971,$V$37:$V$12971,$V5715,$X$37:$X$12971,AE$13)</f>
        <v>0</v>
      </c>
      <c r="AF5715" s="185">
        <f>SUMIFS($AD$37:$AD$12971,$V$37:$V$12971,$V5715,$X$37:$X$12971,AF$13)</f>
        <v>0</v>
      </c>
      <c r="AG5715" s="185">
        <f>SUMIFS($AD$37:$AD$12971,$V$37:$V$12971,$V5715,$X$37:$X$12971,AG$13)</f>
        <v>0</v>
      </c>
      <c r="AH5715" s="187">
        <f>SUMIFS($AD$37:$AD$12971,$V$37:$V$12971,$V5715,$X$37:$X$12971,AH$13)</f>
        <v>0</v>
      </c>
      <c r="AI5715" s="161">
        <f t="shared" ref="AI5715" si="4025">SUM(AE5715:AH5715)</f>
        <v>0</v>
      </c>
      <c r="AK5715" s="172"/>
    </row>
    <row r="5716" spans="1:37" s="102" customFormat="1" ht="19.899999999999999" customHeight="1" x14ac:dyDescent="0.25">
      <c r="A5716" s="45"/>
      <c r="B5716" s="59"/>
      <c r="C5716" s="137"/>
      <c r="D5716" s="59"/>
      <c r="E5716" s="116"/>
      <c r="F5716" s="120"/>
      <c r="G5716" s="120"/>
      <c r="H5716" s="120"/>
      <c r="I5716" s="60"/>
      <c r="J5716" s="116"/>
      <c r="K5716" s="213"/>
      <c r="L5716" s="120"/>
      <c r="M5716" s="120"/>
      <c r="N5716" s="167"/>
      <c r="O5716" s="120"/>
      <c r="P5716" s="120"/>
      <c r="Q5716" s="120"/>
      <c r="R5716" s="120"/>
      <c r="S5716" s="120"/>
      <c r="T5716" s="221"/>
      <c r="U5716" s="89"/>
      <c r="V5716" s="61"/>
      <c r="W5716" s="92" t="s">
        <v>1558</v>
      </c>
      <c r="X5716" s="93" t="s">
        <v>30</v>
      </c>
      <c r="Y5716" s="93" t="s">
        <v>35</v>
      </c>
      <c r="Z5716" s="134">
        <f>VLOOKUP(W5716,Sheet2!$B:$D,3,FALSE)</f>
        <v>11450</v>
      </c>
      <c r="AA5716" s="93">
        <v>1</v>
      </c>
      <c r="AB5716" s="93">
        <f>AD5716/AC5715</f>
        <v>11450</v>
      </c>
      <c r="AC5716" s="93">
        <f>AC5715/AA5716</f>
        <v>0.78999999999999915</v>
      </c>
      <c r="AD5716" s="94">
        <f t="shared" ref="AD5716:AD5717" si="4026">AC5716*Z5716</f>
        <v>9045.4999999999909</v>
      </c>
      <c r="AE5716" s="190"/>
      <c r="AF5716" s="191"/>
      <c r="AG5716" s="191"/>
      <c r="AH5716" s="191"/>
      <c r="AI5716" s="186"/>
      <c r="AK5716" s="171"/>
    </row>
    <row r="5717" spans="1:37" s="102" customFormat="1" ht="19.899999999999999" customHeight="1" x14ac:dyDescent="0.25">
      <c r="A5717" s="45"/>
      <c r="B5717" s="59"/>
      <c r="C5717" s="137"/>
      <c r="D5717" s="59"/>
      <c r="E5717" s="116"/>
      <c r="F5717" s="120"/>
      <c r="G5717" s="120"/>
      <c r="H5717" s="120"/>
      <c r="I5717" s="60"/>
      <c r="J5717" s="116"/>
      <c r="K5717" s="213"/>
      <c r="L5717" s="120"/>
      <c r="M5717" s="120"/>
      <c r="N5717" s="167"/>
      <c r="O5717" s="120"/>
      <c r="P5717" s="120"/>
      <c r="Q5717" s="120"/>
      <c r="R5717" s="120"/>
      <c r="S5717" s="120"/>
      <c r="T5717" s="221"/>
      <c r="U5717" s="89"/>
      <c r="V5717" s="61"/>
      <c r="W5717" s="92" t="s">
        <v>174</v>
      </c>
      <c r="X5717" s="93" t="s">
        <v>29</v>
      </c>
      <c r="Y5717" s="93" t="s">
        <v>93</v>
      </c>
      <c r="Z5717" s="134">
        <f>VLOOKUP(W5717,Sheet2!$B:$D,3,FALSE)</f>
        <v>80</v>
      </c>
      <c r="AA5717" s="93">
        <f>1/2</f>
        <v>0.5</v>
      </c>
      <c r="AB5717" s="93">
        <f>AD5717/AC5715</f>
        <v>160</v>
      </c>
      <c r="AC5717" s="93">
        <f>AC5715/AA5717</f>
        <v>1.5799999999999983</v>
      </c>
      <c r="AD5717" s="94">
        <f t="shared" si="4026"/>
        <v>126.39999999999986</v>
      </c>
      <c r="AE5717" s="190"/>
      <c r="AF5717" s="191"/>
      <c r="AG5717" s="191"/>
      <c r="AH5717" s="191"/>
      <c r="AI5717" s="186"/>
      <c r="AK5717" s="171"/>
    </row>
    <row r="5718" spans="1:37" s="102" customFormat="1" ht="19.899999999999999" customHeight="1" x14ac:dyDescent="0.25">
      <c r="A5718" s="45"/>
      <c r="B5718" s="59"/>
      <c r="C5718" s="137"/>
      <c r="D5718" s="59"/>
      <c r="E5718" s="116"/>
      <c r="F5718" s="120"/>
      <c r="G5718" s="120"/>
      <c r="H5718" s="120"/>
      <c r="I5718" s="60"/>
      <c r="J5718" s="116"/>
      <c r="K5718" s="213"/>
      <c r="L5718" s="120"/>
      <c r="M5718" s="120"/>
      <c r="N5718" s="167"/>
      <c r="O5718" s="120"/>
      <c r="P5718" s="120"/>
      <c r="Q5718" s="120"/>
      <c r="R5718" s="120"/>
      <c r="S5718" s="120"/>
      <c r="T5718" s="221"/>
      <c r="U5718" s="89"/>
      <c r="V5718" s="61"/>
      <c r="W5718" s="92" t="s">
        <v>65</v>
      </c>
      <c r="X5718" s="93" t="s">
        <v>30</v>
      </c>
      <c r="Y5718" s="93" t="s">
        <v>93</v>
      </c>
      <c r="Z5718" s="134">
        <f>VLOOKUP(W5718,Sheet2!$B:$D,3,FALSE)</f>
        <v>1.76</v>
      </c>
      <c r="AA5718" s="93">
        <f>AA5717/15</f>
        <v>3.3333333333333333E-2</v>
      </c>
      <c r="AB5718" s="93">
        <f>AD5718/AC5715</f>
        <v>52.8</v>
      </c>
      <c r="AC5718" s="93">
        <f>AC5715/AA5718</f>
        <v>23.699999999999974</v>
      </c>
      <c r="AD5718" s="94">
        <f>AC5718*Z5718</f>
        <v>41.711999999999954</v>
      </c>
      <c r="AE5718" s="190"/>
      <c r="AF5718" s="191"/>
      <c r="AG5718" s="191"/>
      <c r="AH5718" s="191"/>
      <c r="AI5718" s="186"/>
      <c r="AK5718" s="171"/>
    </row>
    <row r="5719" spans="1:37" s="102" customFormat="1" ht="19.899999999999999" customHeight="1" x14ac:dyDescent="0.25">
      <c r="A5719" s="45"/>
      <c r="B5719" s="59"/>
      <c r="C5719" s="137"/>
      <c r="D5719" s="59"/>
      <c r="E5719" s="116"/>
      <c r="F5719" s="120"/>
      <c r="G5719" s="120"/>
      <c r="H5719" s="120"/>
      <c r="I5719" s="60"/>
      <c r="J5719" s="116"/>
      <c r="K5719" s="213"/>
      <c r="L5719" s="120"/>
      <c r="M5719" s="120"/>
      <c r="N5719" s="167"/>
      <c r="O5719" s="120"/>
      <c r="P5719" s="120"/>
      <c r="Q5719" s="120"/>
      <c r="R5719" s="120"/>
      <c r="S5719" s="120"/>
      <c r="T5719" s="221"/>
      <c r="U5719" s="89"/>
      <c r="V5719" s="61"/>
      <c r="W5719" s="92" t="s">
        <v>1487</v>
      </c>
      <c r="X5719" s="93" t="s">
        <v>32</v>
      </c>
      <c r="Y5719" s="93" t="s">
        <v>1349</v>
      </c>
      <c r="Z5719" s="134">
        <f>VLOOKUP(W5719,Sheet2!$B:$D,3,FALSE)</f>
        <v>1500</v>
      </c>
      <c r="AA5719" s="93">
        <v>1</v>
      </c>
      <c r="AB5719" s="93">
        <f>AD5719/AC5715</f>
        <v>1500</v>
      </c>
      <c r="AC5719" s="93">
        <f>AC5715/AA5719</f>
        <v>0.78999999999999915</v>
      </c>
      <c r="AD5719" s="94">
        <f>AC5719*Z5719</f>
        <v>1184.9999999999986</v>
      </c>
      <c r="AE5719" s="190"/>
      <c r="AF5719" s="191"/>
      <c r="AG5719" s="191"/>
      <c r="AH5719" s="191"/>
      <c r="AI5719" s="186"/>
      <c r="AK5719" s="171"/>
    </row>
    <row r="5720" spans="1:37" s="102" customFormat="1" ht="19.899999999999999" customHeight="1" x14ac:dyDescent="0.25">
      <c r="A5720" s="45"/>
      <c r="B5720" s="59"/>
      <c r="C5720" s="137"/>
      <c r="D5720" s="59"/>
      <c r="E5720" s="116"/>
      <c r="F5720" s="120"/>
      <c r="G5720" s="120"/>
      <c r="H5720" s="120"/>
      <c r="I5720" s="60"/>
      <c r="J5720" s="116"/>
      <c r="K5720" s="213"/>
      <c r="L5720" s="120"/>
      <c r="M5720" s="120"/>
      <c r="N5720" s="167"/>
      <c r="O5720" s="120"/>
      <c r="P5720" s="120"/>
      <c r="Q5720" s="120"/>
      <c r="R5720" s="120"/>
      <c r="S5720" s="120"/>
      <c r="T5720" s="221"/>
      <c r="U5720" s="89"/>
      <c r="V5720" s="61"/>
      <c r="W5720" s="92" t="s">
        <v>107</v>
      </c>
      <c r="X5720" s="93" t="s">
        <v>31</v>
      </c>
      <c r="Y5720" s="93" t="s">
        <v>93</v>
      </c>
      <c r="Z5720" s="134">
        <f>VLOOKUP(W5720,Sheet2!$B:$D,3,FALSE)</f>
        <v>17</v>
      </c>
      <c r="AA5720" s="93">
        <f>AA5717</f>
        <v>0.5</v>
      </c>
      <c r="AB5720" s="93">
        <f>AD5720/AC5715</f>
        <v>34</v>
      </c>
      <c r="AC5720" s="93">
        <f>AC5715/AA5720</f>
        <v>1.5799999999999983</v>
      </c>
      <c r="AD5720" s="94">
        <f>AC5720*Z5720</f>
        <v>26.859999999999971</v>
      </c>
      <c r="AE5720" s="190"/>
      <c r="AF5720" s="191"/>
      <c r="AG5720" s="191"/>
      <c r="AH5720" s="191"/>
      <c r="AI5720" s="186"/>
      <c r="AK5720" s="171"/>
    </row>
    <row r="5721" spans="1:37" s="102" customFormat="1" ht="19.899999999999999" customHeight="1" x14ac:dyDescent="0.25">
      <c r="A5721" s="45"/>
      <c r="B5721" s="59"/>
      <c r="C5721" s="137"/>
      <c r="D5721" s="59"/>
      <c r="E5721" s="116"/>
      <c r="F5721" s="120"/>
      <c r="G5721" s="120"/>
      <c r="H5721" s="120"/>
      <c r="I5721" s="60"/>
      <c r="J5721" s="116"/>
      <c r="K5721" s="213"/>
      <c r="L5721" s="120"/>
      <c r="M5721" s="120"/>
      <c r="N5721" s="167"/>
      <c r="O5721" s="120"/>
      <c r="P5721" s="120"/>
      <c r="Q5721" s="120"/>
      <c r="R5721" s="120"/>
      <c r="S5721" s="120"/>
      <c r="T5721" s="221"/>
      <c r="U5721" s="89"/>
      <c r="V5721" s="61"/>
      <c r="W5721" s="92" t="s">
        <v>112</v>
      </c>
      <c r="X5721" s="93" t="s">
        <v>31</v>
      </c>
      <c r="Y5721" s="93" t="s">
        <v>93</v>
      </c>
      <c r="Z5721" s="134">
        <f>VLOOKUP(W5721,Sheet2!$B:$D,3,FALSE)</f>
        <v>13</v>
      </c>
      <c r="AA5721" s="93">
        <f>AA5720</f>
        <v>0.5</v>
      </c>
      <c r="AB5721" s="93">
        <f>AD5721/AC5715</f>
        <v>26</v>
      </c>
      <c r="AC5721" s="93">
        <f>AC5715/AA5721</f>
        <v>1.5799999999999983</v>
      </c>
      <c r="AD5721" s="94">
        <f>AC5721*Z5721</f>
        <v>20.539999999999978</v>
      </c>
      <c r="AE5721" s="190"/>
      <c r="AF5721" s="191"/>
      <c r="AG5721" s="191"/>
      <c r="AH5721" s="191"/>
      <c r="AI5721" s="186"/>
      <c r="AK5721" s="171"/>
    </row>
    <row r="5722" spans="1:37" s="103" customFormat="1" ht="19.899999999999999" customHeight="1" x14ac:dyDescent="0.25">
      <c r="A5722" s="51"/>
      <c r="B5722" s="52"/>
      <c r="C5722" s="165"/>
      <c r="D5722" s="52"/>
      <c r="E5722" s="115"/>
      <c r="F5722" s="58"/>
      <c r="G5722" s="58"/>
      <c r="H5722" s="58"/>
      <c r="I5722" s="55"/>
      <c r="J5722" s="113">
        <f>J5702</f>
        <v>0.78999999999999915</v>
      </c>
      <c r="K5722" s="212">
        <f>K5702</f>
        <v>0.78999999999999915</v>
      </c>
      <c r="L5722" s="58"/>
      <c r="M5722" s="58">
        <f>K5722-L5722</f>
        <v>0.78999999999999915</v>
      </c>
      <c r="N5722" s="166"/>
      <c r="O5722" s="58"/>
      <c r="P5722" s="58"/>
      <c r="Q5722" s="58"/>
      <c r="R5722" s="58"/>
      <c r="S5722" s="58"/>
      <c r="T5722" s="220"/>
      <c r="U5722" s="88"/>
      <c r="V5722" s="56"/>
      <c r="W5722" s="57" t="s">
        <v>1272</v>
      </c>
      <c r="X5722" s="53"/>
      <c r="Y5722" s="91" t="s">
        <v>35</v>
      </c>
      <c r="Z5722" s="136">
        <f>AD5722/AC5722</f>
        <v>1047.1694298729412</v>
      </c>
      <c r="AA5722" s="58"/>
      <c r="AB5722" s="53">
        <f>AD5722/AC5722</f>
        <v>1047.1694298729412</v>
      </c>
      <c r="AC5722" s="53">
        <f>M5722+$AE$10</f>
        <v>0.78999999999999915</v>
      </c>
      <c r="AD5722" s="54">
        <f>SUM(AD5723:AD5731)</f>
        <v>827.26384959962263</v>
      </c>
      <c r="AE5722" s="184">
        <f>SUMIFS($AD$37:$AD$12971,$V$37:$V$12971,$V5722,$X$37:$X$12971,AE$13)</f>
        <v>0</v>
      </c>
      <c r="AF5722" s="185">
        <f>SUMIFS($AD$37:$AD$12971,$V$37:$V$12971,$V5722,$X$37:$X$12971,AF$13)</f>
        <v>0</v>
      </c>
      <c r="AG5722" s="185">
        <f>SUMIFS($AD$37:$AD$12971,$V$37:$V$12971,$V5722,$X$37:$X$12971,AG$13)</f>
        <v>0</v>
      </c>
      <c r="AH5722" s="187">
        <f>SUMIFS($AD$37:$AD$12971,$V$37:$V$12971,$V5722,$X$37:$X$12971,AH$13)</f>
        <v>0</v>
      </c>
      <c r="AI5722" s="161">
        <f t="shared" ref="AI5722" si="4027">SUM(AE5722:AH5722)</f>
        <v>0</v>
      </c>
      <c r="AK5722" s="172"/>
    </row>
    <row r="5723" spans="1:37" s="102" customFormat="1" ht="19.899999999999999" customHeight="1" x14ac:dyDescent="0.25">
      <c r="A5723" s="45"/>
      <c r="B5723" s="59"/>
      <c r="C5723" s="137"/>
      <c r="D5723" s="59"/>
      <c r="E5723" s="116"/>
      <c r="F5723" s="120"/>
      <c r="G5723" s="120"/>
      <c r="H5723" s="120"/>
      <c r="I5723" s="60"/>
      <c r="J5723" s="116"/>
      <c r="K5723" s="213"/>
      <c r="L5723" s="120"/>
      <c r="M5723" s="120"/>
      <c r="N5723" s="167"/>
      <c r="O5723" s="120"/>
      <c r="P5723" s="120"/>
      <c r="Q5723" s="120"/>
      <c r="R5723" s="120"/>
      <c r="S5723" s="120"/>
      <c r="T5723" s="221"/>
      <c r="U5723" s="89"/>
      <c r="V5723" s="61"/>
      <c r="W5723" s="92" t="s">
        <v>1273</v>
      </c>
      <c r="X5723" s="93" t="s">
        <v>30</v>
      </c>
      <c r="Y5723" s="93" t="s">
        <v>66</v>
      </c>
      <c r="Z5723" s="134">
        <f>VLOOKUP(W5723,Sheet2!$B:$D,3,FALSE)</f>
        <v>10</v>
      </c>
      <c r="AA5723" s="93">
        <f>1/((3.5*3.5*6)-(3.14/4*1.8*1.8*6))</f>
        <v>1.7170447599228016E-2</v>
      </c>
      <c r="AB5723" s="93">
        <f>AD5723/AC5722</f>
        <v>582.39599999999996</v>
      </c>
      <c r="AC5723" s="93">
        <f>AC5722/AA5723</f>
        <v>46.009283999999951</v>
      </c>
      <c r="AD5723" s="94">
        <f t="shared" ref="AD5723:AD5725" si="4028">AC5723*Z5723</f>
        <v>460.09283999999951</v>
      </c>
      <c r="AE5723" s="190"/>
      <c r="AF5723" s="191"/>
      <c r="AG5723" s="191"/>
      <c r="AH5723" s="191"/>
      <c r="AI5723" s="186"/>
      <c r="AK5723" s="171"/>
    </row>
    <row r="5724" spans="1:37" s="102" customFormat="1" ht="19.899999999999999" customHeight="1" x14ac:dyDescent="0.25">
      <c r="A5724" s="45"/>
      <c r="B5724" s="59"/>
      <c r="C5724" s="137"/>
      <c r="D5724" s="59"/>
      <c r="E5724" s="116"/>
      <c r="F5724" s="120"/>
      <c r="G5724" s="120"/>
      <c r="H5724" s="120"/>
      <c r="I5724" s="60"/>
      <c r="J5724" s="116"/>
      <c r="K5724" s="213"/>
      <c r="L5724" s="120"/>
      <c r="M5724" s="120"/>
      <c r="N5724" s="167"/>
      <c r="O5724" s="120"/>
      <c r="P5724" s="120"/>
      <c r="Q5724" s="120"/>
      <c r="R5724" s="120"/>
      <c r="S5724" s="120"/>
      <c r="T5724" s="221"/>
      <c r="U5724" s="89"/>
      <c r="V5724" s="61"/>
      <c r="W5724" s="92" t="s">
        <v>134</v>
      </c>
      <c r="X5724" s="93" t="s">
        <v>29</v>
      </c>
      <c r="Y5724" s="93" t="s">
        <v>93</v>
      </c>
      <c r="Z5724" s="134">
        <f>VLOOKUP(W5724,Sheet2!$B:$D,3,FALSE)</f>
        <v>65.599999999999994</v>
      </c>
      <c r="AA5724" s="93">
        <f>100/((3.5*3.5*6)-(3.14/4*1.8*1.8*6))</f>
        <v>1.7170447599228018</v>
      </c>
      <c r="AB5724" s="93">
        <f t="shared" ref="AB5724" si="4029">AD5724/AC5722</f>
        <v>38.205177599999992</v>
      </c>
      <c r="AC5724" s="93">
        <f>AC5722/AA5724</f>
        <v>0.46009283999999945</v>
      </c>
      <c r="AD5724" s="94">
        <f t="shared" si="4028"/>
        <v>30.18209030399996</v>
      </c>
      <c r="AE5724" s="190"/>
      <c r="AF5724" s="191"/>
      <c r="AG5724" s="191"/>
      <c r="AH5724" s="191"/>
      <c r="AI5724" s="186"/>
      <c r="AK5724" s="171"/>
    </row>
    <row r="5725" spans="1:37" s="102" customFormat="1" ht="19.899999999999999" customHeight="1" x14ac:dyDescent="0.25">
      <c r="A5725" s="45"/>
      <c r="B5725" s="59"/>
      <c r="C5725" s="137"/>
      <c r="D5725" s="59"/>
      <c r="E5725" s="116"/>
      <c r="F5725" s="120"/>
      <c r="G5725" s="120"/>
      <c r="H5725" s="120"/>
      <c r="I5725" s="60"/>
      <c r="J5725" s="116"/>
      <c r="K5725" s="213"/>
      <c r="L5725" s="120"/>
      <c r="M5725" s="120"/>
      <c r="N5725" s="167"/>
      <c r="O5725" s="120"/>
      <c r="P5725" s="120"/>
      <c r="Q5725" s="120"/>
      <c r="R5725" s="120"/>
      <c r="S5725" s="120"/>
      <c r="T5725" s="221"/>
      <c r="U5725" s="89"/>
      <c r="V5725" s="61"/>
      <c r="W5725" s="92" t="s">
        <v>65</v>
      </c>
      <c r="X5725" s="93" t="s">
        <v>30</v>
      </c>
      <c r="Y5725" s="93" t="s">
        <v>1011</v>
      </c>
      <c r="Z5725" s="134">
        <f>VLOOKUP(W5725,Sheet2!$B:$D,3,FALSE)</f>
        <v>1.76</v>
      </c>
      <c r="AA5725" s="93">
        <f>AA5724/9</f>
        <v>0.19078275110253354</v>
      </c>
      <c r="AB5725" s="93">
        <f>AD5725/AC5722</f>
        <v>9.2251526399999975</v>
      </c>
      <c r="AC5725" s="93">
        <f>AC5722/AA5725</f>
        <v>4.1408355599999949</v>
      </c>
      <c r="AD5725" s="94">
        <f t="shared" si="4028"/>
        <v>7.2878705855999906</v>
      </c>
      <c r="AE5725" s="190"/>
      <c r="AF5725" s="191"/>
      <c r="AG5725" s="191"/>
      <c r="AH5725" s="191"/>
      <c r="AI5725" s="186"/>
      <c r="AK5725" s="171"/>
    </row>
    <row r="5726" spans="1:37" s="102" customFormat="1" ht="19.899999999999999" customHeight="1" x14ac:dyDescent="0.25">
      <c r="A5726" s="45"/>
      <c r="B5726" s="59"/>
      <c r="C5726" s="137"/>
      <c r="D5726" s="59"/>
      <c r="E5726" s="116"/>
      <c r="F5726" s="120"/>
      <c r="G5726" s="120"/>
      <c r="H5726" s="120"/>
      <c r="I5726" s="60"/>
      <c r="J5726" s="116"/>
      <c r="K5726" s="213"/>
      <c r="L5726" s="120"/>
      <c r="M5726" s="120"/>
      <c r="N5726" s="167"/>
      <c r="O5726" s="120"/>
      <c r="P5726" s="120"/>
      <c r="Q5726" s="120"/>
      <c r="R5726" s="120"/>
      <c r="S5726" s="120"/>
      <c r="T5726" s="221"/>
      <c r="U5726" s="89"/>
      <c r="V5726" s="61"/>
      <c r="W5726" s="92" t="s">
        <v>161</v>
      </c>
      <c r="X5726" s="93" t="s">
        <v>29</v>
      </c>
      <c r="Y5726" s="93" t="s">
        <v>93</v>
      </c>
      <c r="Z5726" s="134">
        <f>VLOOKUP(W5726,Sheet2!$B:$D,3,FALSE)</f>
        <v>48</v>
      </c>
      <c r="AA5726" s="93">
        <f>(16*0.85*1.5)/((3.5*3.5*6)-(3.14/4*1.8*1.8*6))</f>
        <v>0.35027713102425156</v>
      </c>
      <c r="AB5726" s="93">
        <f>AD5726/AC5722</f>
        <v>137.03435294117645</v>
      </c>
      <c r="AC5726" s="93">
        <f>AC5722/AA5726</f>
        <v>2.255357058823527</v>
      </c>
      <c r="AD5726" s="94">
        <f>AC5726*Z5726</f>
        <v>108.25713882352929</v>
      </c>
      <c r="AE5726" s="190"/>
      <c r="AF5726" s="191"/>
      <c r="AG5726" s="191"/>
      <c r="AH5726" s="191"/>
      <c r="AI5726" s="186"/>
      <c r="AK5726" s="171"/>
    </row>
    <row r="5727" spans="1:37" s="102" customFormat="1" ht="19.899999999999999" customHeight="1" x14ac:dyDescent="0.25">
      <c r="A5727" s="45"/>
      <c r="B5727" s="59"/>
      <c r="C5727" s="137"/>
      <c r="D5727" s="59"/>
      <c r="E5727" s="116"/>
      <c r="F5727" s="120"/>
      <c r="G5727" s="120"/>
      <c r="H5727" s="120"/>
      <c r="I5727" s="60"/>
      <c r="J5727" s="116"/>
      <c r="K5727" s="213"/>
      <c r="L5727" s="120"/>
      <c r="M5727" s="120"/>
      <c r="N5727" s="167"/>
      <c r="O5727" s="120"/>
      <c r="P5727" s="120"/>
      <c r="Q5727" s="120"/>
      <c r="R5727" s="120"/>
      <c r="S5727" s="120"/>
      <c r="T5727" s="221"/>
      <c r="U5727" s="89"/>
      <c r="V5727" s="61"/>
      <c r="W5727" s="92" t="s">
        <v>65</v>
      </c>
      <c r="X5727" s="93" t="s">
        <v>30</v>
      </c>
      <c r="Y5727" s="93" t="s">
        <v>1011</v>
      </c>
      <c r="Z5727" s="134">
        <f>VLOOKUP(W5727,Sheet2!$B:$D,3,FALSE)</f>
        <v>1.76</v>
      </c>
      <c r="AA5727" s="93">
        <f>AA5726/10</f>
        <v>3.5027713102425154E-2</v>
      </c>
      <c r="AB5727" s="93">
        <f>AD5727/AC5722</f>
        <v>50.245929411764706</v>
      </c>
      <c r="AC5727" s="93">
        <f>AC5722/AA5727</f>
        <v>22.553570588235271</v>
      </c>
      <c r="AD5727" s="94">
        <f>AC5727*Z5727</f>
        <v>39.694284235294077</v>
      </c>
      <c r="AE5727" s="190"/>
      <c r="AF5727" s="191"/>
      <c r="AG5727" s="191"/>
      <c r="AH5727" s="191"/>
      <c r="AI5727" s="186"/>
      <c r="AK5727" s="171"/>
    </row>
    <row r="5728" spans="1:37" s="102" customFormat="1" ht="19.899999999999999" customHeight="1" x14ac:dyDescent="0.25">
      <c r="A5728" s="45"/>
      <c r="B5728" s="59"/>
      <c r="C5728" s="137"/>
      <c r="D5728" s="59"/>
      <c r="E5728" s="116"/>
      <c r="F5728" s="120"/>
      <c r="G5728" s="120"/>
      <c r="H5728" s="120"/>
      <c r="I5728" s="60"/>
      <c r="J5728" s="116"/>
      <c r="K5728" s="213"/>
      <c r="L5728" s="120"/>
      <c r="M5728" s="120"/>
      <c r="N5728" s="167"/>
      <c r="O5728" s="120"/>
      <c r="P5728" s="120"/>
      <c r="Q5728" s="120"/>
      <c r="R5728" s="120"/>
      <c r="S5728" s="120"/>
      <c r="T5728" s="221"/>
      <c r="U5728" s="89"/>
      <c r="V5728" s="61"/>
      <c r="W5728" s="92" t="s">
        <v>173</v>
      </c>
      <c r="X5728" s="93" t="s">
        <v>29</v>
      </c>
      <c r="Y5728" s="93" t="s">
        <v>93</v>
      </c>
      <c r="Z5728" s="134">
        <f>VLOOKUP(W5728,Sheet2!$B:$D,3,FALSE)</f>
        <v>36</v>
      </c>
      <c r="AA5728" s="93">
        <f>50/((3.5*3.5*6)-(3.14/4*1.8*1.8*6))</f>
        <v>0.85852237996140091</v>
      </c>
      <c r="AB5728" s="93">
        <f>AD5728/AC5722</f>
        <v>41.932511999999996</v>
      </c>
      <c r="AC5728" s="93">
        <f>AC5722/AA5728</f>
        <v>0.9201856799999989</v>
      </c>
      <c r="AD5728" s="94">
        <f>AC5728*Z5728</f>
        <v>33.126684479999959</v>
      </c>
      <c r="AE5728" s="190"/>
      <c r="AF5728" s="191"/>
      <c r="AG5728" s="191"/>
      <c r="AH5728" s="191"/>
      <c r="AI5728" s="186"/>
      <c r="AK5728" s="171"/>
    </row>
    <row r="5729" spans="1:41" s="102" customFormat="1" ht="19.899999999999999" customHeight="1" x14ac:dyDescent="0.25">
      <c r="A5729" s="45"/>
      <c r="B5729" s="59"/>
      <c r="C5729" s="137"/>
      <c r="D5729" s="59"/>
      <c r="E5729" s="116"/>
      <c r="F5729" s="120"/>
      <c r="G5729" s="120"/>
      <c r="H5729" s="120"/>
      <c r="I5729" s="60"/>
      <c r="J5729" s="116"/>
      <c r="K5729" s="213"/>
      <c r="L5729" s="120"/>
      <c r="M5729" s="120"/>
      <c r="N5729" s="167"/>
      <c r="O5729" s="120"/>
      <c r="P5729" s="120"/>
      <c r="Q5729" s="120"/>
      <c r="R5729" s="120"/>
      <c r="S5729" s="120"/>
      <c r="T5729" s="221"/>
      <c r="U5729" s="89"/>
      <c r="V5729" s="61"/>
      <c r="W5729" s="92" t="s">
        <v>65</v>
      </c>
      <c r="X5729" s="93" t="s">
        <v>30</v>
      </c>
      <c r="Y5729" s="93" t="s">
        <v>1011</v>
      </c>
      <c r="Z5729" s="134">
        <f>VLOOKUP(W5729,Sheet2!$B:$D,3,FALSE)</f>
        <v>1.76</v>
      </c>
      <c r="AA5729" s="93">
        <f>AA5728/9</f>
        <v>9.5391375551266769E-2</v>
      </c>
      <c r="AB5729" s="93">
        <f>AD5729/AC5722</f>
        <v>18.450305279999995</v>
      </c>
      <c r="AC5729" s="93">
        <f>AC5722/AA5729</f>
        <v>8.2816711199999897</v>
      </c>
      <c r="AD5729" s="94">
        <f>AC5729*Z5729</f>
        <v>14.575741171199981</v>
      </c>
      <c r="AE5729" s="190"/>
      <c r="AF5729" s="191"/>
      <c r="AG5729" s="191"/>
      <c r="AH5729" s="191"/>
      <c r="AI5729" s="186"/>
      <c r="AK5729" s="171"/>
    </row>
    <row r="5730" spans="1:41" s="102" customFormat="1" ht="19.899999999999999" customHeight="1" x14ac:dyDescent="0.25">
      <c r="A5730" s="45"/>
      <c r="B5730" s="59"/>
      <c r="C5730" s="137"/>
      <c r="D5730" s="59"/>
      <c r="E5730" s="116"/>
      <c r="F5730" s="120"/>
      <c r="G5730" s="120"/>
      <c r="H5730" s="120"/>
      <c r="I5730" s="60"/>
      <c r="J5730" s="116"/>
      <c r="K5730" s="213"/>
      <c r="L5730" s="120"/>
      <c r="M5730" s="120"/>
      <c r="N5730" s="167"/>
      <c r="O5730" s="120"/>
      <c r="P5730" s="120"/>
      <c r="Q5730" s="120"/>
      <c r="R5730" s="120"/>
      <c r="S5730" s="120"/>
      <c r="T5730" s="221"/>
      <c r="U5730" s="89"/>
      <c r="V5730" s="61"/>
      <c r="W5730" s="92" t="s">
        <v>1030</v>
      </c>
      <c r="X5730" s="93" t="s">
        <v>29</v>
      </c>
      <c r="Y5730" s="93" t="s">
        <v>93</v>
      </c>
      <c r="Z5730" s="134">
        <f>VLOOKUP(W5730,Sheet2!$B:$D,3,FALSE)</f>
        <v>23</v>
      </c>
      <c r="AA5730" s="93">
        <f>1/(6*1)</f>
        <v>0.16666666666666666</v>
      </c>
      <c r="AB5730" s="93">
        <f>AD5730/AC5722</f>
        <v>138</v>
      </c>
      <c r="AC5730" s="93">
        <f>AC5722/AA5730</f>
        <v>4.7399999999999949</v>
      </c>
      <c r="AD5730" s="94">
        <f t="shared" ref="AD5730:AD5731" si="4030">AC5730*Z5730</f>
        <v>109.01999999999988</v>
      </c>
      <c r="AE5730" s="190"/>
      <c r="AF5730" s="191"/>
      <c r="AG5730" s="191"/>
      <c r="AH5730" s="191"/>
      <c r="AI5730" s="186"/>
      <c r="AK5730" s="171"/>
    </row>
    <row r="5731" spans="1:41" s="102" customFormat="1" ht="19.899999999999999" customHeight="1" x14ac:dyDescent="0.25">
      <c r="A5731" s="45"/>
      <c r="B5731" s="59"/>
      <c r="C5731" s="137"/>
      <c r="D5731" s="59"/>
      <c r="E5731" s="116"/>
      <c r="F5731" s="120"/>
      <c r="G5731" s="120"/>
      <c r="H5731" s="120"/>
      <c r="I5731" s="60"/>
      <c r="J5731" s="116"/>
      <c r="K5731" s="213"/>
      <c r="L5731" s="120"/>
      <c r="M5731" s="120"/>
      <c r="N5731" s="167"/>
      <c r="O5731" s="120"/>
      <c r="P5731" s="120"/>
      <c r="Q5731" s="120"/>
      <c r="R5731" s="120"/>
      <c r="S5731" s="120"/>
      <c r="T5731" s="221"/>
      <c r="U5731" s="89"/>
      <c r="V5731" s="61"/>
      <c r="W5731" s="92" t="s">
        <v>65</v>
      </c>
      <c r="X5731" s="93" t="s">
        <v>30</v>
      </c>
      <c r="Y5731" s="93" t="s">
        <v>1011</v>
      </c>
      <c r="Z5731" s="134">
        <f>VLOOKUP(W5731,Sheet2!$B:$D,3,FALSE)</f>
        <v>1.76</v>
      </c>
      <c r="AA5731" s="93">
        <f>AA5730/3</f>
        <v>5.5555555555555552E-2</v>
      </c>
      <c r="AB5731" s="93">
        <f>AD5731/AC5722</f>
        <v>31.68</v>
      </c>
      <c r="AC5731" s="93">
        <f>AC5722/AA5731</f>
        <v>14.219999999999985</v>
      </c>
      <c r="AD5731" s="94">
        <f t="shared" si="4030"/>
        <v>25.027199999999972</v>
      </c>
      <c r="AE5731" s="190"/>
      <c r="AF5731" s="191"/>
      <c r="AG5731" s="191"/>
      <c r="AH5731" s="191"/>
      <c r="AI5731" s="186"/>
      <c r="AK5731" s="171"/>
    </row>
    <row r="5732" spans="1:41" ht="20.100000000000001" customHeight="1" x14ac:dyDescent="0.25">
      <c r="A5732" s="277" t="s">
        <v>491</v>
      </c>
      <c r="B5732" s="278"/>
      <c r="C5732" s="64" t="s">
        <v>583</v>
      </c>
      <c r="D5732" s="46" t="s">
        <v>215</v>
      </c>
      <c r="E5732" s="114">
        <v>0.76999999999999957</v>
      </c>
      <c r="F5732" s="44">
        <v>68731</v>
      </c>
      <c r="G5732" s="44">
        <f t="shared" si="3841"/>
        <v>52922.869999999974</v>
      </c>
      <c r="H5732" s="44">
        <f t="shared" si="3842"/>
        <v>18259.161368636866</v>
      </c>
      <c r="I5732" s="43">
        <f t="shared" si="3843"/>
        <v>14059.554253850378</v>
      </c>
      <c r="J5732" s="112">
        <f t="shared" si="3844"/>
        <v>0.76999999999999957</v>
      </c>
      <c r="K5732" s="211">
        <f t="shared" si="3845"/>
        <v>0.76999999999999957</v>
      </c>
      <c r="L5732" s="44"/>
      <c r="M5732" s="44">
        <f t="shared" si="3846"/>
        <v>0.76999999999999957</v>
      </c>
      <c r="N5732" s="173">
        <f t="shared" si="3847"/>
        <v>1</v>
      </c>
      <c r="O5732" s="44">
        <f t="shared" si="3848"/>
        <v>68731</v>
      </c>
      <c r="P5732" s="44">
        <f t="shared" si="3849"/>
        <v>52922.869999999974</v>
      </c>
      <c r="Q5732" s="44">
        <f t="shared" si="3850"/>
        <v>18259.161368636866</v>
      </c>
      <c r="R5732" s="44">
        <f t="shared" si="3851"/>
        <v>14059.554253850378</v>
      </c>
      <c r="S5732" s="123"/>
      <c r="T5732" s="219">
        <f t="shared" si="3852"/>
        <v>14059.554253850378</v>
      </c>
      <c r="U5732" s="87"/>
      <c r="V5732" s="47"/>
      <c r="W5732" s="48"/>
      <c r="X5732" s="48"/>
      <c r="Y5732" s="48"/>
      <c r="Z5732" s="135"/>
      <c r="AA5732" s="49"/>
      <c r="AB5732" s="50">
        <f t="shared" si="3853"/>
        <v>18259.161368636866</v>
      </c>
      <c r="AC5732" s="42">
        <f t="shared" si="3854"/>
        <v>0.76999999999999957</v>
      </c>
      <c r="AD5732" s="90">
        <f>AD5733+AD5738+AD5745+AD5752</f>
        <v>14059.55425385038</v>
      </c>
      <c r="AE5732" s="188">
        <f t="shared" ref="AE5732:AH5732" si="4031">AE5733+AE5738+AE5745+AE5752</f>
        <v>0</v>
      </c>
      <c r="AF5732" s="189">
        <f t="shared" si="4031"/>
        <v>0</v>
      </c>
      <c r="AG5732" s="189">
        <f t="shared" si="4031"/>
        <v>0</v>
      </c>
      <c r="AH5732" s="189">
        <f t="shared" si="4031"/>
        <v>0</v>
      </c>
      <c r="AI5732" s="161">
        <f t="shared" ref="AI5732" si="4032">SUM(AE5732:AH5732)</f>
        <v>0</v>
      </c>
      <c r="AK5732" s="169">
        <v>5</v>
      </c>
      <c r="AO5732" s="19" t="s">
        <v>63</v>
      </c>
    </row>
    <row r="5733" spans="1:41" s="103" customFormat="1" ht="19.899999999999999" customHeight="1" x14ac:dyDescent="0.25">
      <c r="A5733" s="51"/>
      <c r="B5733" s="52"/>
      <c r="C5733" s="165"/>
      <c r="D5733" s="52"/>
      <c r="E5733" s="115"/>
      <c r="F5733" s="58"/>
      <c r="G5733" s="58"/>
      <c r="H5733" s="58"/>
      <c r="I5733" s="55"/>
      <c r="J5733" s="113">
        <f>J5732</f>
        <v>0.76999999999999957</v>
      </c>
      <c r="K5733" s="212">
        <f>K5732</f>
        <v>0.76999999999999957</v>
      </c>
      <c r="L5733" s="58"/>
      <c r="M5733" s="58">
        <f>K5733-L5733</f>
        <v>0.76999999999999957</v>
      </c>
      <c r="N5733" s="166"/>
      <c r="O5733" s="58"/>
      <c r="P5733" s="58"/>
      <c r="Q5733" s="58"/>
      <c r="R5733" s="58"/>
      <c r="S5733" s="58"/>
      <c r="T5733" s="220"/>
      <c r="U5733" s="88"/>
      <c r="V5733" s="56"/>
      <c r="W5733" s="57" t="s">
        <v>1564</v>
      </c>
      <c r="X5733" s="53"/>
      <c r="Y5733" s="91" t="s">
        <v>35</v>
      </c>
      <c r="Z5733" s="136">
        <f>AD5733/AC5733</f>
        <v>405.36181960784307</v>
      </c>
      <c r="AA5733" s="58"/>
      <c r="AB5733" s="53">
        <f>AD5733/AC5733</f>
        <v>405.36181960784307</v>
      </c>
      <c r="AC5733" s="53">
        <f>M5733+$AE$10</f>
        <v>0.76999999999999957</v>
      </c>
      <c r="AD5733" s="54">
        <f>SUM(AD5734:AD5737)</f>
        <v>312.12860109803898</v>
      </c>
      <c r="AE5733" s="184">
        <f>SUMIFS($AD$37:$AD$12971,$V$37:$V$12971,$V5733,$X$37:$X$12971,AE$13)</f>
        <v>0</v>
      </c>
      <c r="AF5733" s="185">
        <f>SUMIFS($AD$37:$AD$12971,$V$37:$V$12971,$V5733,$X$37:$X$12971,AF$13)</f>
        <v>0</v>
      </c>
      <c r="AG5733" s="185">
        <f>SUMIFS($AD$37:$AD$12971,$V$37:$V$12971,$V5733,$X$37:$X$12971,AG$13)</f>
        <v>0</v>
      </c>
      <c r="AH5733" s="187">
        <f>SUMIFS($AD$37:$AD$12971,$V$37:$V$12971,$V5733,$X$37:$X$12971,AH$13)</f>
        <v>0</v>
      </c>
      <c r="AI5733" s="161">
        <f t="shared" ref="AI5733" si="4033">SUM(AE5733:AH5733)</f>
        <v>0</v>
      </c>
      <c r="AK5733" s="172"/>
    </row>
    <row r="5734" spans="1:41" s="102" customFormat="1" ht="19.899999999999999" customHeight="1" x14ac:dyDescent="0.25">
      <c r="A5734" s="45"/>
      <c r="B5734" s="59"/>
      <c r="C5734" s="137"/>
      <c r="D5734" s="59"/>
      <c r="E5734" s="116"/>
      <c r="F5734" s="120"/>
      <c r="G5734" s="120"/>
      <c r="H5734" s="120"/>
      <c r="I5734" s="60"/>
      <c r="J5734" s="116"/>
      <c r="K5734" s="213"/>
      <c r="L5734" s="120"/>
      <c r="M5734" s="120"/>
      <c r="N5734" s="167"/>
      <c r="O5734" s="120"/>
      <c r="P5734" s="120"/>
      <c r="Q5734" s="120"/>
      <c r="R5734" s="120"/>
      <c r="S5734" s="120"/>
      <c r="T5734" s="221"/>
      <c r="U5734" s="89"/>
      <c r="V5734" s="61"/>
      <c r="W5734" s="92" t="s">
        <v>131</v>
      </c>
      <c r="X5734" s="93" t="s">
        <v>29</v>
      </c>
      <c r="Y5734" s="93" t="s">
        <v>93</v>
      </c>
      <c r="Z5734" s="134">
        <f>VLOOKUP(W5734,Sheet2!$B:$D,3,FALSE)</f>
        <v>131.19999999999999</v>
      </c>
      <c r="AA5734" s="93">
        <f>100/(3.5*3.5*6.5)</f>
        <v>1.2558869701726845</v>
      </c>
      <c r="AB5734" s="93">
        <f t="shared" ref="AB5734" si="4034">AD5734/AC5733</f>
        <v>104.46799999999998</v>
      </c>
      <c r="AC5734" s="93">
        <f>AC5733/AA5734</f>
        <v>0.61311249999999962</v>
      </c>
      <c r="AD5734" s="94">
        <f t="shared" ref="AD5734:AD5735" si="4035">AC5734*Z5734</f>
        <v>80.440359999999941</v>
      </c>
      <c r="AE5734" s="190"/>
      <c r="AF5734" s="191"/>
      <c r="AG5734" s="191"/>
      <c r="AH5734" s="191"/>
      <c r="AI5734" s="186"/>
      <c r="AK5734" s="171"/>
    </row>
    <row r="5735" spans="1:41" s="102" customFormat="1" ht="19.899999999999999" customHeight="1" x14ac:dyDescent="0.25">
      <c r="A5735" s="45"/>
      <c r="B5735" s="59"/>
      <c r="C5735" s="137"/>
      <c r="D5735" s="59"/>
      <c r="E5735" s="116"/>
      <c r="F5735" s="120"/>
      <c r="G5735" s="120"/>
      <c r="H5735" s="120"/>
      <c r="I5735" s="60"/>
      <c r="J5735" s="116"/>
      <c r="K5735" s="213"/>
      <c r="L5735" s="120"/>
      <c r="M5735" s="120"/>
      <c r="N5735" s="167"/>
      <c r="O5735" s="120"/>
      <c r="P5735" s="120"/>
      <c r="Q5735" s="120"/>
      <c r="R5735" s="120"/>
      <c r="S5735" s="120"/>
      <c r="T5735" s="221"/>
      <c r="U5735" s="89"/>
      <c r="V5735" s="61"/>
      <c r="W5735" s="92" t="s">
        <v>65</v>
      </c>
      <c r="X5735" s="93" t="s">
        <v>30</v>
      </c>
      <c r="Y5735" s="93" t="s">
        <v>1011</v>
      </c>
      <c r="Z5735" s="134">
        <f>VLOOKUP(W5735,Sheet2!$B:$D,3,FALSE)</f>
        <v>1.76</v>
      </c>
      <c r="AA5735" s="93">
        <f>AA5734/32</f>
        <v>3.924646781789639E-2</v>
      </c>
      <c r="AB5735" s="93">
        <f>AD5735/AC5733</f>
        <v>44.844799999999999</v>
      </c>
      <c r="AC5735" s="93">
        <f>AC5733/AA5735</f>
        <v>19.619599999999988</v>
      </c>
      <c r="AD5735" s="94">
        <f t="shared" si="4035"/>
        <v>34.530495999999978</v>
      </c>
      <c r="AE5735" s="190"/>
      <c r="AF5735" s="191"/>
      <c r="AG5735" s="191"/>
      <c r="AH5735" s="191"/>
      <c r="AI5735" s="186"/>
      <c r="AK5735" s="171"/>
    </row>
    <row r="5736" spans="1:41" s="102" customFormat="1" ht="19.899999999999999" customHeight="1" x14ac:dyDescent="0.25">
      <c r="A5736" s="45"/>
      <c r="B5736" s="59"/>
      <c r="C5736" s="137"/>
      <c r="D5736" s="59"/>
      <c r="E5736" s="116"/>
      <c r="F5736" s="120"/>
      <c r="G5736" s="120"/>
      <c r="H5736" s="120"/>
      <c r="I5736" s="60"/>
      <c r="J5736" s="116"/>
      <c r="K5736" s="213"/>
      <c r="L5736" s="120"/>
      <c r="M5736" s="120"/>
      <c r="N5736" s="167"/>
      <c r="O5736" s="120"/>
      <c r="P5736" s="120"/>
      <c r="Q5736" s="120"/>
      <c r="R5736" s="120"/>
      <c r="S5736" s="120"/>
      <c r="T5736" s="221"/>
      <c r="U5736" s="89"/>
      <c r="V5736" s="61"/>
      <c r="W5736" s="92" t="s">
        <v>161</v>
      </c>
      <c r="X5736" s="93" t="s">
        <v>29</v>
      </c>
      <c r="Y5736" s="93" t="s">
        <v>93</v>
      </c>
      <c r="Z5736" s="134">
        <f>VLOOKUP(W5736,Sheet2!$B:$D,3,FALSE)</f>
        <v>48</v>
      </c>
      <c r="AA5736" s="93">
        <f>(16*0.85*1.5)/(3.5*3.5*6.5)</f>
        <v>0.25620094191522763</v>
      </c>
      <c r="AB5736" s="93">
        <f>AD5736/AC5733</f>
        <v>187.35294117647058</v>
      </c>
      <c r="AC5736" s="93">
        <f>AC5733/AA5736</f>
        <v>3.0054534313725472</v>
      </c>
      <c r="AD5736" s="94">
        <f>AC5736*Z5736</f>
        <v>144.26176470588226</v>
      </c>
      <c r="AE5736" s="190"/>
      <c r="AF5736" s="191"/>
      <c r="AG5736" s="191"/>
      <c r="AH5736" s="191"/>
      <c r="AI5736" s="186"/>
      <c r="AK5736" s="171"/>
    </row>
    <row r="5737" spans="1:41" s="102" customFormat="1" ht="19.899999999999999" customHeight="1" x14ac:dyDescent="0.25">
      <c r="A5737" s="45"/>
      <c r="B5737" s="59"/>
      <c r="C5737" s="137"/>
      <c r="D5737" s="59"/>
      <c r="E5737" s="116"/>
      <c r="F5737" s="120"/>
      <c r="G5737" s="120"/>
      <c r="H5737" s="120"/>
      <c r="I5737" s="60"/>
      <c r="J5737" s="116"/>
      <c r="K5737" s="213"/>
      <c r="L5737" s="120"/>
      <c r="M5737" s="120"/>
      <c r="N5737" s="167"/>
      <c r="O5737" s="120"/>
      <c r="P5737" s="120"/>
      <c r="Q5737" s="120"/>
      <c r="R5737" s="120"/>
      <c r="S5737" s="120"/>
      <c r="T5737" s="221"/>
      <c r="U5737" s="89"/>
      <c r="V5737" s="61"/>
      <c r="W5737" s="92" t="s">
        <v>65</v>
      </c>
      <c r="X5737" s="93" t="s">
        <v>30</v>
      </c>
      <c r="Y5737" s="93" t="s">
        <v>1011</v>
      </c>
      <c r="Z5737" s="134">
        <f>VLOOKUP(W5737,Sheet2!$B:$D,3,FALSE)</f>
        <v>1.76</v>
      </c>
      <c r="AA5737" s="93">
        <f>AA5736/10</f>
        <v>2.5620094191522762E-2</v>
      </c>
      <c r="AB5737" s="93">
        <f>AD5737/AC5733</f>
        <v>68.696078431372541</v>
      </c>
      <c r="AC5737" s="93">
        <f>AC5733/AA5737</f>
        <v>30.054534313725473</v>
      </c>
      <c r="AD5737" s="94">
        <f>AC5737*Z5737</f>
        <v>52.895980392156829</v>
      </c>
      <c r="AE5737" s="190"/>
      <c r="AF5737" s="191"/>
      <c r="AG5737" s="191"/>
      <c r="AH5737" s="191"/>
      <c r="AI5737" s="186"/>
      <c r="AK5737" s="171"/>
    </row>
    <row r="5738" spans="1:41" s="103" customFormat="1" ht="19.899999999999999" customHeight="1" x14ac:dyDescent="0.25">
      <c r="A5738" s="51"/>
      <c r="B5738" s="52"/>
      <c r="C5738" s="165"/>
      <c r="D5738" s="52"/>
      <c r="E5738" s="115"/>
      <c r="F5738" s="58"/>
      <c r="G5738" s="58"/>
      <c r="H5738" s="58"/>
      <c r="I5738" s="55"/>
      <c r="J5738" s="113">
        <f>J5732</f>
        <v>0.76999999999999957</v>
      </c>
      <c r="K5738" s="212">
        <f>K5732</f>
        <v>0.76999999999999957</v>
      </c>
      <c r="L5738" s="58"/>
      <c r="M5738" s="58">
        <f>K5738-L5738</f>
        <v>0.76999999999999957</v>
      </c>
      <c r="N5738" s="166"/>
      <c r="O5738" s="58"/>
      <c r="P5738" s="58"/>
      <c r="Q5738" s="58"/>
      <c r="R5738" s="58"/>
      <c r="S5738" s="58"/>
      <c r="T5738" s="220"/>
      <c r="U5738" s="88"/>
      <c r="V5738" s="56"/>
      <c r="W5738" s="57" t="s">
        <v>1486</v>
      </c>
      <c r="X5738" s="53"/>
      <c r="Y5738" s="91" t="s">
        <v>35</v>
      </c>
      <c r="Z5738" s="136">
        <f>AD5738/AC5738</f>
        <v>2396.5660000000003</v>
      </c>
      <c r="AA5738" s="58"/>
      <c r="AB5738" s="53">
        <f>AD5738/AC5738</f>
        <v>2396.5660000000003</v>
      </c>
      <c r="AC5738" s="53">
        <f>M5738+$AE$10</f>
        <v>0.76999999999999957</v>
      </c>
      <c r="AD5738" s="54">
        <f>SUM(AD5739:AD5744)</f>
        <v>1845.3558199999991</v>
      </c>
      <c r="AE5738" s="184">
        <f>SUMIFS($AD$37:$AD$12971,$V$37:$V$12971,$V5738,$X$37:$X$12971,AE$13)</f>
        <v>0</v>
      </c>
      <c r="AF5738" s="185">
        <f>SUMIFS($AD$37:$AD$12971,$V$37:$V$12971,$V5738,$X$37:$X$12971,AF$13)</f>
        <v>0</v>
      </c>
      <c r="AG5738" s="185">
        <f>SUMIFS($AD$37:$AD$12971,$V$37:$V$12971,$V5738,$X$37:$X$12971,AG$13)</f>
        <v>0</v>
      </c>
      <c r="AH5738" s="187">
        <f>SUMIFS($AD$37:$AD$12971,$V$37:$V$12971,$V5738,$X$37:$X$12971,AH$13)</f>
        <v>0</v>
      </c>
      <c r="AI5738" s="161">
        <f t="shared" ref="AI5738" si="4036">SUM(AE5738:AH5738)</f>
        <v>0</v>
      </c>
      <c r="AK5738" s="172"/>
    </row>
    <row r="5739" spans="1:41" s="102" customFormat="1" ht="19.899999999999999" customHeight="1" x14ac:dyDescent="0.25">
      <c r="A5739" s="45"/>
      <c r="B5739" s="59"/>
      <c r="C5739" s="137"/>
      <c r="D5739" s="59"/>
      <c r="E5739" s="116"/>
      <c r="F5739" s="120"/>
      <c r="G5739" s="120"/>
      <c r="H5739" s="120"/>
      <c r="I5739" s="60"/>
      <c r="J5739" s="116"/>
      <c r="K5739" s="213"/>
      <c r="L5739" s="120"/>
      <c r="M5739" s="120"/>
      <c r="N5739" s="167"/>
      <c r="O5739" s="120"/>
      <c r="P5739" s="120"/>
      <c r="Q5739" s="120"/>
      <c r="R5739" s="120"/>
      <c r="S5739" s="120"/>
      <c r="T5739" s="221"/>
      <c r="U5739" s="89"/>
      <c r="V5739" s="61"/>
      <c r="W5739" s="92" t="s">
        <v>1032</v>
      </c>
      <c r="X5739" s="93" t="s">
        <v>30</v>
      </c>
      <c r="Y5739" s="93" t="s">
        <v>66</v>
      </c>
      <c r="Z5739" s="134">
        <f>VLOOKUP(W5739,Sheet2!$B:$D,3,FALSE)</f>
        <v>250</v>
      </c>
      <c r="AA5739" s="93">
        <f>1/(2.7*2.7*0.1)</f>
        <v>1.371742112482853</v>
      </c>
      <c r="AB5739" s="93">
        <f>AD5739/AC5745</f>
        <v>182.25000000000003</v>
      </c>
      <c r="AC5739" s="93">
        <f>AC5745/AA5739</f>
        <v>0.56132999999999977</v>
      </c>
      <c r="AD5739" s="94">
        <f t="shared" ref="AD5739:AD5741" si="4037">AC5739*Z5739</f>
        <v>140.33249999999995</v>
      </c>
      <c r="AE5739" s="190"/>
      <c r="AF5739" s="191"/>
      <c r="AG5739" s="191"/>
      <c r="AH5739" s="191"/>
      <c r="AI5739" s="186"/>
      <c r="AK5739" s="171"/>
    </row>
    <row r="5740" spans="1:41" s="102" customFormat="1" ht="19.899999999999999" customHeight="1" x14ac:dyDescent="0.25">
      <c r="A5740" s="45"/>
      <c r="B5740" s="59"/>
      <c r="C5740" s="137"/>
      <c r="D5740" s="59"/>
      <c r="E5740" s="116"/>
      <c r="F5740" s="120"/>
      <c r="G5740" s="120"/>
      <c r="H5740" s="120"/>
      <c r="I5740" s="60"/>
      <c r="J5740" s="116"/>
      <c r="K5740" s="213"/>
      <c r="L5740" s="120"/>
      <c r="M5740" s="120"/>
      <c r="N5740" s="167"/>
      <c r="O5740" s="120"/>
      <c r="P5740" s="120"/>
      <c r="Q5740" s="120"/>
      <c r="R5740" s="120"/>
      <c r="S5740" s="120"/>
      <c r="T5740" s="221"/>
      <c r="U5740" s="89"/>
      <c r="V5740" s="61"/>
      <c r="W5740" s="92" t="s">
        <v>1353</v>
      </c>
      <c r="X5740" s="93" t="s">
        <v>30</v>
      </c>
      <c r="Y5740" s="93" t="s">
        <v>66</v>
      </c>
      <c r="Z5740" s="134">
        <f>VLOOKUP(W5740,Sheet2!$B:$D,3,FALSE)</f>
        <v>350</v>
      </c>
      <c r="AA5740" s="93">
        <f>1/(2.6*2.6*0.3)</f>
        <v>0.49309664694280081</v>
      </c>
      <c r="AB5740" s="93">
        <f>AD5740/AC5745</f>
        <v>709.80000000000007</v>
      </c>
      <c r="AC5740" s="93">
        <f>AC5745/AA5740</f>
        <v>1.5615599999999992</v>
      </c>
      <c r="AD5740" s="94">
        <f t="shared" si="4037"/>
        <v>546.54599999999971</v>
      </c>
      <c r="AE5740" s="190"/>
      <c r="AF5740" s="191"/>
      <c r="AG5740" s="191"/>
      <c r="AH5740" s="191"/>
      <c r="AI5740" s="186"/>
      <c r="AK5740" s="171"/>
    </row>
    <row r="5741" spans="1:41" s="102" customFormat="1" ht="19.899999999999999" customHeight="1" x14ac:dyDescent="0.25">
      <c r="A5741" s="45"/>
      <c r="B5741" s="59"/>
      <c r="C5741" s="137"/>
      <c r="D5741" s="59"/>
      <c r="E5741" s="116"/>
      <c r="F5741" s="120"/>
      <c r="G5741" s="120"/>
      <c r="H5741" s="120"/>
      <c r="I5741" s="60"/>
      <c r="J5741" s="116"/>
      <c r="K5741" s="213"/>
      <c r="L5741" s="120"/>
      <c r="M5741" s="120"/>
      <c r="N5741" s="167"/>
      <c r="O5741" s="120"/>
      <c r="P5741" s="120"/>
      <c r="Q5741" s="120"/>
      <c r="R5741" s="120"/>
      <c r="S5741" s="120"/>
      <c r="T5741" s="221"/>
      <c r="U5741" s="89"/>
      <c r="V5741" s="61"/>
      <c r="W5741" s="92" t="s">
        <v>99</v>
      </c>
      <c r="X5741" s="93" t="s">
        <v>30</v>
      </c>
      <c r="Y5741" s="93" t="s">
        <v>67</v>
      </c>
      <c r="Z5741" s="134">
        <f>VLOOKUP(W5741,Sheet2!$B:$D,3,FALSE)</f>
        <v>2500</v>
      </c>
      <c r="AA5741" s="93">
        <f>AA5740/0.08</f>
        <v>6.16370808678501</v>
      </c>
      <c r="AB5741" s="93">
        <f>AD5741/AC5745</f>
        <v>405.6</v>
      </c>
      <c r="AC5741" s="93">
        <f>AC5745/AA5741</f>
        <v>0.12492479999999993</v>
      </c>
      <c r="AD5741" s="94">
        <f t="shared" si="4037"/>
        <v>312.31199999999984</v>
      </c>
      <c r="AE5741" s="190"/>
      <c r="AF5741" s="191"/>
      <c r="AG5741" s="191"/>
      <c r="AH5741" s="191"/>
      <c r="AI5741" s="186"/>
      <c r="AK5741" s="171"/>
    </row>
    <row r="5742" spans="1:41" s="102" customFormat="1" ht="19.899999999999999" customHeight="1" x14ac:dyDescent="0.25">
      <c r="A5742" s="45"/>
      <c r="B5742" s="59"/>
      <c r="C5742" s="137"/>
      <c r="D5742" s="59"/>
      <c r="E5742" s="116"/>
      <c r="F5742" s="120"/>
      <c r="G5742" s="120"/>
      <c r="H5742" s="120"/>
      <c r="I5742" s="60"/>
      <c r="J5742" s="116"/>
      <c r="K5742" s="213"/>
      <c r="L5742" s="120"/>
      <c r="M5742" s="120"/>
      <c r="N5742" s="167"/>
      <c r="O5742" s="120"/>
      <c r="P5742" s="120"/>
      <c r="Q5742" s="120"/>
      <c r="R5742" s="120"/>
      <c r="S5742" s="120"/>
      <c r="T5742" s="221"/>
      <c r="U5742" s="89"/>
      <c r="V5742" s="61"/>
      <c r="W5742" s="92" t="s">
        <v>1354</v>
      </c>
      <c r="X5742" s="93" t="s">
        <v>32</v>
      </c>
      <c r="Y5742" s="93" t="s">
        <v>66</v>
      </c>
      <c r="Z5742" s="134">
        <f>VLOOKUP(W5742,Sheet2!$B:$D,3,FALSE)</f>
        <v>150</v>
      </c>
      <c r="AA5742" s="93">
        <f>AA5739</f>
        <v>1.371742112482853</v>
      </c>
      <c r="AB5742" s="93">
        <f>AD5742/AC5745</f>
        <v>109.35000000000002</v>
      </c>
      <c r="AC5742" s="93">
        <f>AC5745/AA5742</f>
        <v>0.56132999999999977</v>
      </c>
      <c r="AD5742" s="94">
        <f>AC5742*Z5742</f>
        <v>84.199499999999972</v>
      </c>
      <c r="AE5742" s="190"/>
      <c r="AF5742" s="191"/>
      <c r="AG5742" s="191"/>
      <c r="AH5742" s="191"/>
      <c r="AI5742" s="186"/>
      <c r="AK5742" s="171"/>
    </row>
    <row r="5743" spans="1:41" s="102" customFormat="1" ht="19.899999999999999" customHeight="1" x14ac:dyDescent="0.25">
      <c r="A5743" s="45"/>
      <c r="B5743" s="59"/>
      <c r="C5743" s="137"/>
      <c r="D5743" s="59"/>
      <c r="E5743" s="116"/>
      <c r="F5743" s="120"/>
      <c r="G5743" s="120"/>
      <c r="H5743" s="120"/>
      <c r="I5743" s="60"/>
      <c r="J5743" s="116"/>
      <c r="K5743" s="213"/>
      <c r="L5743" s="120"/>
      <c r="M5743" s="120"/>
      <c r="N5743" s="167"/>
      <c r="O5743" s="120"/>
      <c r="P5743" s="120"/>
      <c r="Q5743" s="120"/>
      <c r="R5743" s="120"/>
      <c r="S5743" s="120"/>
      <c r="T5743" s="221"/>
      <c r="U5743" s="89"/>
      <c r="V5743" s="61"/>
      <c r="W5743" s="92" t="s">
        <v>1355</v>
      </c>
      <c r="X5743" s="93" t="s">
        <v>32</v>
      </c>
      <c r="Y5743" s="93" t="s">
        <v>66</v>
      </c>
      <c r="Z5743" s="134">
        <f>VLOOKUP(W5743,Sheet2!$B:$D,3,FALSE)</f>
        <v>450</v>
      </c>
      <c r="AA5743" s="93">
        <f>AA5740</f>
        <v>0.49309664694280081</v>
      </c>
      <c r="AB5743" s="93">
        <f>AD5743/AC5745</f>
        <v>912.6</v>
      </c>
      <c r="AC5743" s="93">
        <f>AC5745/AA5743</f>
        <v>1.5615599999999992</v>
      </c>
      <c r="AD5743" s="94">
        <f>AC5743*Z5743</f>
        <v>702.70199999999966</v>
      </c>
      <c r="AE5743" s="190"/>
      <c r="AF5743" s="191"/>
      <c r="AG5743" s="191"/>
      <c r="AH5743" s="191"/>
      <c r="AI5743" s="186"/>
      <c r="AK5743" s="171"/>
    </row>
    <row r="5744" spans="1:41" s="102" customFormat="1" ht="19.899999999999999" customHeight="1" x14ac:dyDescent="0.25">
      <c r="A5744" s="45"/>
      <c r="B5744" s="59"/>
      <c r="C5744" s="137"/>
      <c r="D5744" s="59"/>
      <c r="E5744" s="116"/>
      <c r="F5744" s="120"/>
      <c r="G5744" s="120"/>
      <c r="H5744" s="120"/>
      <c r="I5744" s="60"/>
      <c r="J5744" s="116"/>
      <c r="K5744" s="213"/>
      <c r="L5744" s="120"/>
      <c r="M5744" s="120"/>
      <c r="N5744" s="167"/>
      <c r="O5744" s="120"/>
      <c r="P5744" s="120"/>
      <c r="Q5744" s="120"/>
      <c r="R5744" s="120"/>
      <c r="S5744" s="120"/>
      <c r="T5744" s="221"/>
      <c r="U5744" s="89"/>
      <c r="V5744" s="61"/>
      <c r="W5744" s="92" t="s">
        <v>124</v>
      </c>
      <c r="X5744" s="93" t="s">
        <v>32</v>
      </c>
      <c r="Y5744" s="93" t="s">
        <v>64</v>
      </c>
      <c r="Z5744" s="134">
        <f>VLOOKUP(W5744,Sheet2!$B:$D,3,FALSE)</f>
        <v>10</v>
      </c>
      <c r="AA5744" s="93">
        <f>1/((3.2*3.2)-(3.14*1.8*1.8/4))</f>
        <v>0.12992750045474621</v>
      </c>
      <c r="AB5744" s="93">
        <f t="shared" ref="AB5744" si="4038">AD5744/AC5738</f>
        <v>76.966000000000022</v>
      </c>
      <c r="AC5744" s="93">
        <f>AC5738/AA5744</f>
        <v>5.9263819999999985</v>
      </c>
      <c r="AD5744" s="94">
        <f t="shared" ref="AD5744" si="4039">AC5744*Z5744</f>
        <v>59.263819999999981</v>
      </c>
      <c r="AE5744" s="190"/>
      <c r="AF5744" s="191"/>
      <c r="AG5744" s="191"/>
      <c r="AH5744" s="191"/>
      <c r="AI5744" s="186"/>
      <c r="AK5744" s="171"/>
    </row>
    <row r="5745" spans="1:37" s="103" customFormat="1" ht="19.899999999999999" customHeight="1" x14ac:dyDescent="0.25">
      <c r="A5745" s="51"/>
      <c r="B5745" s="52"/>
      <c r="C5745" s="165"/>
      <c r="D5745" s="52"/>
      <c r="E5745" s="115"/>
      <c r="F5745" s="58"/>
      <c r="G5745" s="58"/>
      <c r="H5745" s="58"/>
      <c r="I5745" s="55"/>
      <c r="J5745" s="113">
        <f>J5732</f>
        <v>0.76999999999999957</v>
      </c>
      <c r="K5745" s="212">
        <f>K5732</f>
        <v>0.76999999999999957</v>
      </c>
      <c r="L5745" s="58"/>
      <c r="M5745" s="58">
        <f>K5745-L5745</f>
        <v>0.76999999999999957</v>
      </c>
      <c r="N5745" s="166"/>
      <c r="O5745" s="58"/>
      <c r="P5745" s="58"/>
      <c r="Q5745" s="58"/>
      <c r="R5745" s="58"/>
      <c r="S5745" s="58"/>
      <c r="T5745" s="220"/>
      <c r="U5745" s="88"/>
      <c r="V5745" s="56"/>
      <c r="W5745" s="57" t="s">
        <v>1275</v>
      </c>
      <c r="X5745" s="53"/>
      <c r="Y5745" s="91" t="s">
        <v>35</v>
      </c>
      <c r="Z5745" s="136">
        <f>AD5745/AC5745</f>
        <v>14322.800000000005</v>
      </c>
      <c r="AA5745" s="58"/>
      <c r="AB5745" s="53">
        <f>AD5745/AC5745</f>
        <v>14322.800000000005</v>
      </c>
      <c r="AC5745" s="53">
        <f>M5745+$AE$10</f>
        <v>0.76999999999999957</v>
      </c>
      <c r="AD5745" s="54">
        <f>SUM(AD5746:AD5751)</f>
        <v>11028.555999999997</v>
      </c>
      <c r="AE5745" s="184">
        <f>SUMIFS($AD$37:$AD$12971,$V$37:$V$12971,$V5745,$X$37:$X$12971,AE$13)</f>
        <v>0</v>
      </c>
      <c r="AF5745" s="185">
        <f>SUMIFS($AD$37:$AD$12971,$V$37:$V$12971,$V5745,$X$37:$X$12971,AF$13)</f>
        <v>0</v>
      </c>
      <c r="AG5745" s="185">
        <f>SUMIFS($AD$37:$AD$12971,$V$37:$V$12971,$V5745,$X$37:$X$12971,AG$13)</f>
        <v>0</v>
      </c>
      <c r="AH5745" s="187">
        <f>SUMIFS($AD$37:$AD$12971,$V$37:$V$12971,$V5745,$X$37:$X$12971,AH$13)</f>
        <v>0</v>
      </c>
      <c r="AI5745" s="161">
        <f t="shared" ref="AI5745" si="4040">SUM(AE5745:AH5745)</f>
        <v>0</v>
      </c>
      <c r="AK5745" s="172"/>
    </row>
    <row r="5746" spans="1:37" s="102" customFormat="1" ht="19.899999999999999" customHeight="1" x14ac:dyDescent="0.25">
      <c r="A5746" s="45"/>
      <c r="B5746" s="59"/>
      <c r="C5746" s="137"/>
      <c r="D5746" s="59"/>
      <c r="E5746" s="116"/>
      <c r="F5746" s="120"/>
      <c r="G5746" s="120"/>
      <c r="H5746" s="120"/>
      <c r="I5746" s="60"/>
      <c r="J5746" s="116"/>
      <c r="K5746" s="213"/>
      <c r="L5746" s="120"/>
      <c r="M5746" s="120"/>
      <c r="N5746" s="167"/>
      <c r="O5746" s="120"/>
      <c r="P5746" s="120"/>
      <c r="Q5746" s="120"/>
      <c r="R5746" s="120"/>
      <c r="S5746" s="120"/>
      <c r="T5746" s="221"/>
      <c r="U5746" s="89"/>
      <c r="V5746" s="61"/>
      <c r="W5746" s="92" t="s">
        <v>1559</v>
      </c>
      <c r="X5746" s="93" t="s">
        <v>30</v>
      </c>
      <c r="Y5746" s="93" t="s">
        <v>35</v>
      </c>
      <c r="Z5746" s="134">
        <f>VLOOKUP(W5746,Sheet2!$B:$D,3,FALSE)</f>
        <v>12550</v>
      </c>
      <c r="AA5746" s="93">
        <v>1</v>
      </c>
      <c r="AB5746" s="93">
        <f>AD5746/AC5745</f>
        <v>12550</v>
      </c>
      <c r="AC5746" s="93">
        <f>AC5745/AA5746</f>
        <v>0.76999999999999957</v>
      </c>
      <c r="AD5746" s="94">
        <f t="shared" ref="AD5746:AD5747" si="4041">AC5746*Z5746</f>
        <v>9663.4999999999945</v>
      </c>
      <c r="AE5746" s="190"/>
      <c r="AF5746" s="191"/>
      <c r="AG5746" s="191"/>
      <c r="AH5746" s="191"/>
      <c r="AI5746" s="186"/>
      <c r="AK5746" s="171"/>
    </row>
    <row r="5747" spans="1:37" s="102" customFormat="1" ht="19.899999999999999" customHeight="1" x14ac:dyDescent="0.25">
      <c r="A5747" s="45"/>
      <c r="B5747" s="59"/>
      <c r="C5747" s="137"/>
      <c r="D5747" s="59"/>
      <c r="E5747" s="116"/>
      <c r="F5747" s="120"/>
      <c r="G5747" s="120"/>
      <c r="H5747" s="120"/>
      <c r="I5747" s="60"/>
      <c r="J5747" s="116"/>
      <c r="K5747" s="213"/>
      <c r="L5747" s="120"/>
      <c r="M5747" s="120"/>
      <c r="N5747" s="167"/>
      <c r="O5747" s="120"/>
      <c r="P5747" s="120"/>
      <c r="Q5747" s="120"/>
      <c r="R5747" s="120"/>
      <c r="S5747" s="120"/>
      <c r="T5747" s="221"/>
      <c r="U5747" s="89"/>
      <c r="V5747" s="61"/>
      <c r="W5747" s="92" t="s">
        <v>174</v>
      </c>
      <c r="X5747" s="93" t="s">
        <v>29</v>
      </c>
      <c r="Y5747" s="93" t="s">
        <v>93</v>
      </c>
      <c r="Z5747" s="134">
        <f>VLOOKUP(W5747,Sheet2!$B:$D,3,FALSE)</f>
        <v>80</v>
      </c>
      <c r="AA5747" s="93">
        <f>1/2</f>
        <v>0.5</v>
      </c>
      <c r="AB5747" s="93">
        <f>AD5747/AC5745</f>
        <v>160</v>
      </c>
      <c r="AC5747" s="93">
        <f>AC5745/AA5747</f>
        <v>1.5399999999999991</v>
      </c>
      <c r="AD5747" s="94">
        <f t="shared" si="4041"/>
        <v>123.19999999999993</v>
      </c>
      <c r="AE5747" s="190"/>
      <c r="AF5747" s="191"/>
      <c r="AG5747" s="191"/>
      <c r="AH5747" s="191"/>
      <c r="AI5747" s="186"/>
      <c r="AK5747" s="171"/>
    </row>
    <row r="5748" spans="1:37" s="102" customFormat="1" ht="19.899999999999999" customHeight="1" x14ac:dyDescent="0.25">
      <c r="A5748" s="45"/>
      <c r="B5748" s="59"/>
      <c r="C5748" s="137"/>
      <c r="D5748" s="59"/>
      <c r="E5748" s="116"/>
      <c r="F5748" s="120"/>
      <c r="G5748" s="120"/>
      <c r="H5748" s="120"/>
      <c r="I5748" s="60"/>
      <c r="J5748" s="116"/>
      <c r="K5748" s="213"/>
      <c r="L5748" s="120"/>
      <c r="M5748" s="120"/>
      <c r="N5748" s="167"/>
      <c r="O5748" s="120"/>
      <c r="P5748" s="120"/>
      <c r="Q5748" s="120"/>
      <c r="R5748" s="120"/>
      <c r="S5748" s="120"/>
      <c r="T5748" s="221"/>
      <c r="U5748" s="89"/>
      <c r="V5748" s="61"/>
      <c r="W5748" s="92" t="s">
        <v>65</v>
      </c>
      <c r="X5748" s="93" t="s">
        <v>30</v>
      </c>
      <c r="Y5748" s="93" t="s">
        <v>93</v>
      </c>
      <c r="Z5748" s="134">
        <f>VLOOKUP(W5748,Sheet2!$B:$D,3,FALSE)</f>
        <v>1.76</v>
      </c>
      <c r="AA5748" s="93">
        <f>AA5747/15</f>
        <v>3.3333333333333333E-2</v>
      </c>
      <c r="AB5748" s="93">
        <f>AD5748/AC5745</f>
        <v>52.8</v>
      </c>
      <c r="AC5748" s="93">
        <f>AC5745/AA5748</f>
        <v>23.099999999999987</v>
      </c>
      <c r="AD5748" s="94">
        <f>AC5748*Z5748</f>
        <v>40.655999999999977</v>
      </c>
      <c r="AE5748" s="190"/>
      <c r="AF5748" s="191"/>
      <c r="AG5748" s="191"/>
      <c r="AH5748" s="191"/>
      <c r="AI5748" s="186"/>
      <c r="AK5748" s="171"/>
    </row>
    <row r="5749" spans="1:37" s="102" customFormat="1" ht="19.899999999999999" customHeight="1" x14ac:dyDescent="0.25">
      <c r="A5749" s="45"/>
      <c r="B5749" s="59"/>
      <c r="C5749" s="137"/>
      <c r="D5749" s="59"/>
      <c r="E5749" s="116"/>
      <c r="F5749" s="120"/>
      <c r="G5749" s="120"/>
      <c r="H5749" s="120"/>
      <c r="I5749" s="60"/>
      <c r="J5749" s="116"/>
      <c r="K5749" s="213"/>
      <c r="L5749" s="120"/>
      <c r="M5749" s="120"/>
      <c r="N5749" s="167"/>
      <c r="O5749" s="120"/>
      <c r="P5749" s="120"/>
      <c r="Q5749" s="120"/>
      <c r="R5749" s="120"/>
      <c r="S5749" s="120"/>
      <c r="T5749" s="221"/>
      <c r="U5749" s="89"/>
      <c r="V5749" s="61"/>
      <c r="W5749" s="92" t="s">
        <v>1487</v>
      </c>
      <c r="X5749" s="93" t="s">
        <v>32</v>
      </c>
      <c r="Y5749" s="93" t="s">
        <v>1349</v>
      </c>
      <c r="Z5749" s="134">
        <f>VLOOKUP(W5749,Sheet2!$B:$D,3,FALSE)</f>
        <v>1500</v>
      </c>
      <c r="AA5749" s="93">
        <v>1</v>
      </c>
      <c r="AB5749" s="93">
        <f>AD5749/AC5745</f>
        <v>1500</v>
      </c>
      <c r="AC5749" s="93">
        <f>AC5745/AA5749</f>
        <v>0.76999999999999957</v>
      </c>
      <c r="AD5749" s="94">
        <f>AC5749*Z5749</f>
        <v>1154.9999999999993</v>
      </c>
      <c r="AE5749" s="190"/>
      <c r="AF5749" s="191"/>
      <c r="AG5749" s="191"/>
      <c r="AH5749" s="191"/>
      <c r="AI5749" s="186"/>
      <c r="AK5749" s="171"/>
    </row>
    <row r="5750" spans="1:37" s="102" customFormat="1" ht="19.899999999999999" customHeight="1" x14ac:dyDescent="0.25">
      <c r="A5750" s="45"/>
      <c r="B5750" s="59"/>
      <c r="C5750" s="137"/>
      <c r="D5750" s="59"/>
      <c r="E5750" s="116"/>
      <c r="F5750" s="120"/>
      <c r="G5750" s="120"/>
      <c r="H5750" s="120"/>
      <c r="I5750" s="60"/>
      <c r="J5750" s="116"/>
      <c r="K5750" s="213"/>
      <c r="L5750" s="120"/>
      <c r="M5750" s="120"/>
      <c r="N5750" s="167"/>
      <c r="O5750" s="120"/>
      <c r="P5750" s="120"/>
      <c r="Q5750" s="120"/>
      <c r="R5750" s="120"/>
      <c r="S5750" s="120"/>
      <c r="T5750" s="221"/>
      <c r="U5750" s="89"/>
      <c r="V5750" s="61"/>
      <c r="W5750" s="92" t="s">
        <v>107</v>
      </c>
      <c r="X5750" s="93" t="s">
        <v>31</v>
      </c>
      <c r="Y5750" s="93" t="s">
        <v>93</v>
      </c>
      <c r="Z5750" s="134">
        <f>VLOOKUP(W5750,Sheet2!$B:$D,3,FALSE)</f>
        <v>17</v>
      </c>
      <c r="AA5750" s="93">
        <f>AA5747</f>
        <v>0.5</v>
      </c>
      <c r="AB5750" s="93">
        <f>AD5750/AC5745</f>
        <v>34</v>
      </c>
      <c r="AC5750" s="93">
        <f>AC5745/AA5750</f>
        <v>1.5399999999999991</v>
      </c>
      <c r="AD5750" s="94">
        <f>AC5750*Z5750</f>
        <v>26.179999999999986</v>
      </c>
      <c r="AE5750" s="190"/>
      <c r="AF5750" s="191"/>
      <c r="AG5750" s="191"/>
      <c r="AH5750" s="191"/>
      <c r="AI5750" s="186"/>
      <c r="AK5750" s="171"/>
    </row>
    <row r="5751" spans="1:37" s="102" customFormat="1" ht="19.899999999999999" customHeight="1" x14ac:dyDescent="0.25">
      <c r="A5751" s="45"/>
      <c r="B5751" s="59"/>
      <c r="C5751" s="137"/>
      <c r="D5751" s="59"/>
      <c r="E5751" s="116"/>
      <c r="F5751" s="120"/>
      <c r="G5751" s="120"/>
      <c r="H5751" s="120"/>
      <c r="I5751" s="60"/>
      <c r="J5751" s="116"/>
      <c r="K5751" s="213"/>
      <c r="L5751" s="120"/>
      <c r="M5751" s="120"/>
      <c r="N5751" s="167"/>
      <c r="O5751" s="120"/>
      <c r="P5751" s="120"/>
      <c r="Q5751" s="120"/>
      <c r="R5751" s="120"/>
      <c r="S5751" s="120"/>
      <c r="T5751" s="221"/>
      <c r="U5751" s="89"/>
      <c r="V5751" s="61"/>
      <c r="W5751" s="92" t="s">
        <v>112</v>
      </c>
      <c r="X5751" s="93" t="s">
        <v>31</v>
      </c>
      <c r="Y5751" s="93" t="s">
        <v>93</v>
      </c>
      <c r="Z5751" s="134">
        <f>VLOOKUP(W5751,Sheet2!$B:$D,3,FALSE)</f>
        <v>13</v>
      </c>
      <c r="AA5751" s="93">
        <f>AA5750</f>
        <v>0.5</v>
      </c>
      <c r="AB5751" s="93">
        <f>AD5751/AC5745</f>
        <v>26</v>
      </c>
      <c r="AC5751" s="93">
        <f>AC5745/AA5751</f>
        <v>1.5399999999999991</v>
      </c>
      <c r="AD5751" s="94">
        <f>AC5751*Z5751</f>
        <v>20.019999999999989</v>
      </c>
      <c r="AE5751" s="190"/>
      <c r="AF5751" s="191"/>
      <c r="AG5751" s="191"/>
      <c r="AH5751" s="191"/>
      <c r="AI5751" s="186"/>
      <c r="AK5751" s="171"/>
    </row>
    <row r="5752" spans="1:37" s="103" customFormat="1" ht="19.899999999999999" customHeight="1" x14ac:dyDescent="0.25">
      <c r="A5752" s="51"/>
      <c r="B5752" s="52"/>
      <c r="C5752" s="165"/>
      <c r="D5752" s="52"/>
      <c r="E5752" s="115"/>
      <c r="F5752" s="58"/>
      <c r="G5752" s="58"/>
      <c r="H5752" s="58"/>
      <c r="I5752" s="55"/>
      <c r="J5752" s="113">
        <f>J5732</f>
        <v>0.76999999999999957</v>
      </c>
      <c r="K5752" s="212">
        <f>K5732</f>
        <v>0.76999999999999957</v>
      </c>
      <c r="L5752" s="58"/>
      <c r="M5752" s="58">
        <f>K5752-L5752</f>
        <v>0.76999999999999957</v>
      </c>
      <c r="N5752" s="166"/>
      <c r="O5752" s="58"/>
      <c r="P5752" s="58"/>
      <c r="Q5752" s="58"/>
      <c r="R5752" s="58"/>
      <c r="S5752" s="58"/>
      <c r="T5752" s="220"/>
      <c r="U5752" s="88"/>
      <c r="V5752" s="56"/>
      <c r="W5752" s="57" t="s">
        <v>1272</v>
      </c>
      <c r="X5752" s="53"/>
      <c r="Y5752" s="91" t="s">
        <v>35</v>
      </c>
      <c r="Z5752" s="136">
        <f>AD5752/AC5752</f>
        <v>1134.4335490290198</v>
      </c>
      <c r="AA5752" s="58"/>
      <c r="AB5752" s="53">
        <f>AD5752/AC5752</f>
        <v>1134.4335490290198</v>
      </c>
      <c r="AC5752" s="53">
        <f>M5752+$AE$10</f>
        <v>0.76999999999999957</v>
      </c>
      <c r="AD5752" s="54">
        <f>SUM(AD5753:AD5761)</f>
        <v>873.51383275234468</v>
      </c>
      <c r="AE5752" s="184">
        <f>SUMIFS($AD$37:$AD$12971,$V$37:$V$12971,$V5752,$X$37:$X$12971,AE$13)</f>
        <v>0</v>
      </c>
      <c r="AF5752" s="185">
        <f>SUMIFS($AD$37:$AD$12971,$V$37:$V$12971,$V5752,$X$37:$X$12971,AF$13)</f>
        <v>0</v>
      </c>
      <c r="AG5752" s="185">
        <f>SUMIFS($AD$37:$AD$12971,$V$37:$V$12971,$V5752,$X$37:$X$12971,AG$13)</f>
        <v>0</v>
      </c>
      <c r="AH5752" s="187">
        <f>SUMIFS($AD$37:$AD$12971,$V$37:$V$12971,$V5752,$X$37:$X$12971,AH$13)</f>
        <v>0</v>
      </c>
      <c r="AI5752" s="161">
        <f t="shared" ref="AI5752" si="4042">SUM(AE5752:AH5752)</f>
        <v>0</v>
      </c>
      <c r="AK5752" s="172"/>
    </row>
    <row r="5753" spans="1:37" s="102" customFormat="1" ht="19.899999999999999" customHeight="1" x14ac:dyDescent="0.25">
      <c r="A5753" s="45"/>
      <c r="B5753" s="59"/>
      <c r="C5753" s="137"/>
      <c r="D5753" s="59"/>
      <c r="E5753" s="116"/>
      <c r="F5753" s="120"/>
      <c r="G5753" s="120"/>
      <c r="H5753" s="120"/>
      <c r="I5753" s="60"/>
      <c r="J5753" s="116"/>
      <c r="K5753" s="213"/>
      <c r="L5753" s="120"/>
      <c r="M5753" s="120"/>
      <c r="N5753" s="167"/>
      <c r="O5753" s="120"/>
      <c r="P5753" s="120"/>
      <c r="Q5753" s="120"/>
      <c r="R5753" s="120"/>
      <c r="S5753" s="120"/>
      <c r="T5753" s="221"/>
      <c r="U5753" s="89"/>
      <c r="V5753" s="61"/>
      <c r="W5753" s="92" t="s">
        <v>1273</v>
      </c>
      <c r="X5753" s="93" t="s">
        <v>30</v>
      </c>
      <c r="Y5753" s="93" t="s">
        <v>66</v>
      </c>
      <c r="Z5753" s="134">
        <f>VLOOKUP(W5753,Sheet2!$B:$D,3,FALSE)</f>
        <v>10</v>
      </c>
      <c r="AA5753" s="93">
        <f>1/((3.5*3.5*6.5)-(3.14/4*1.8*1.8*6.5))</f>
        <v>1.5849643937748938E-2</v>
      </c>
      <c r="AB5753" s="93">
        <f>AD5753/AC5752</f>
        <v>630.92900000000009</v>
      </c>
      <c r="AC5753" s="93">
        <f>AC5752/AA5753</f>
        <v>48.581532999999979</v>
      </c>
      <c r="AD5753" s="94">
        <f t="shared" ref="AD5753:AD5755" si="4043">AC5753*Z5753</f>
        <v>485.81532999999979</v>
      </c>
      <c r="AE5753" s="190"/>
      <c r="AF5753" s="191"/>
      <c r="AG5753" s="191"/>
      <c r="AH5753" s="191"/>
      <c r="AI5753" s="186"/>
      <c r="AK5753" s="171"/>
    </row>
    <row r="5754" spans="1:37" s="102" customFormat="1" ht="19.899999999999999" customHeight="1" x14ac:dyDescent="0.25">
      <c r="A5754" s="45"/>
      <c r="B5754" s="59"/>
      <c r="C5754" s="137"/>
      <c r="D5754" s="59"/>
      <c r="E5754" s="116"/>
      <c r="F5754" s="120"/>
      <c r="G5754" s="120"/>
      <c r="H5754" s="120"/>
      <c r="I5754" s="60"/>
      <c r="J5754" s="116"/>
      <c r="K5754" s="213"/>
      <c r="L5754" s="120"/>
      <c r="M5754" s="120"/>
      <c r="N5754" s="167"/>
      <c r="O5754" s="120"/>
      <c r="P5754" s="120"/>
      <c r="Q5754" s="120"/>
      <c r="R5754" s="120"/>
      <c r="S5754" s="120"/>
      <c r="T5754" s="221"/>
      <c r="U5754" s="89"/>
      <c r="V5754" s="61"/>
      <c r="W5754" s="92" t="s">
        <v>134</v>
      </c>
      <c r="X5754" s="93" t="s">
        <v>29</v>
      </c>
      <c r="Y5754" s="93" t="s">
        <v>93</v>
      </c>
      <c r="Z5754" s="134">
        <f>VLOOKUP(W5754,Sheet2!$B:$D,3,FALSE)</f>
        <v>65.599999999999994</v>
      </c>
      <c r="AA5754" s="93">
        <f>100/((3.5*3.5*6.5)-(3.14/4*1.8*1.8*6.5))</f>
        <v>1.5849643937748938</v>
      </c>
      <c r="AB5754" s="93">
        <f t="shared" ref="AB5754" si="4044">AD5754/AC5752</f>
        <v>41.388942399999998</v>
      </c>
      <c r="AC5754" s="93">
        <f>AC5752/AA5754</f>
        <v>0.48581532999999971</v>
      </c>
      <c r="AD5754" s="94">
        <f t="shared" si="4043"/>
        <v>31.86948564799998</v>
      </c>
      <c r="AE5754" s="190"/>
      <c r="AF5754" s="191"/>
      <c r="AG5754" s="191"/>
      <c r="AH5754" s="191"/>
      <c r="AI5754" s="186"/>
      <c r="AK5754" s="171"/>
    </row>
    <row r="5755" spans="1:37" s="102" customFormat="1" ht="19.899999999999999" customHeight="1" x14ac:dyDescent="0.25">
      <c r="A5755" s="45"/>
      <c r="B5755" s="59"/>
      <c r="C5755" s="137"/>
      <c r="D5755" s="59"/>
      <c r="E5755" s="116"/>
      <c r="F5755" s="120"/>
      <c r="G5755" s="120"/>
      <c r="H5755" s="120"/>
      <c r="I5755" s="60"/>
      <c r="J5755" s="116"/>
      <c r="K5755" s="213"/>
      <c r="L5755" s="120"/>
      <c r="M5755" s="120"/>
      <c r="N5755" s="167"/>
      <c r="O5755" s="120"/>
      <c r="P5755" s="120"/>
      <c r="Q5755" s="120"/>
      <c r="R5755" s="120"/>
      <c r="S5755" s="120"/>
      <c r="T5755" s="221"/>
      <c r="U5755" s="89"/>
      <c r="V5755" s="61"/>
      <c r="W5755" s="92" t="s">
        <v>65</v>
      </c>
      <c r="X5755" s="93" t="s">
        <v>30</v>
      </c>
      <c r="Y5755" s="93" t="s">
        <v>1011</v>
      </c>
      <c r="Z5755" s="134">
        <f>VLOOKUP(W5755,Sheet2!$B:$D,3,FALSE)</f>
        <v>1.76</v>
      </c>
      <c r="AA5755" s="93">
        <f>AA5754/9</f>
        <v>0.1761071548638771</v>
      </c>
      <c r="AB5755" s="93">
        <f>AD5755/AC5752</f>
        <v>9.993915359999999</v>
      </c>
      <c r="AC5755" s="93">
        <f>AC5752/AA5755</f>
        <v>4.3723379699999976</v>
      </c>
      <c r="AD5755" s="94">
        <f t="shared" si="4043"/>
        <v>7.6953148271999954</v>
      </c>
      <c r="AE5755" s="190"/>
      <c r="AF5755" s="191"/>
      <c r="AG5755" s="191"/>
      <c r="AH5755" s="191"/>
      <c r="AI5755" s="186"/>
      <c r="AK5755" s="171"/>
    </row>
    <row r="5756" spans="1:37" s="102" customFormat="1" ht="19.899999999999999" customHeight="1" x14ac:dyDescent="0.25">
      <c r="A5756" s="45"/>
      <c r="B5756" s="59"/>
      <c r="C5756" s="137"/>
      <c r="D5756" s="59"/>
      <c r="E5756" s="116"/>
      <c r="F5756" s="120"/>
      <c r="G5756" s="120"/>
      <c r="H5756" s="120"/>
      <c r="I5756" s="60"/>
      <c r="J5756" s="116"/>
      <c r="K5756" s="213"/>
      <c r="L5756" s="120"/>
      <c r="M5756" s="120"/>
      <c r="N5756" s="167"/>
      <c r="O5756" s="120"/>
      <c r="P5756" s="120"/>
      <c r="Q5756" s="120"/>
      <c r="R5756" s="120"/>
      <c r="S5756" s="120"/>
      <c r="T5756" s="221"/>
      <c r="U5756" s="89"/>
      <c r="V5756" s="61"/>
      <c r="W5756" s="92" t="s">
        <v>161</v>
      </c>
      <c r="X5756" s="93" t="s">
        <v>29</v>
      </c>
      <c r="Y5756" s="93" t="s">
        <v>93</v>
      </c>
      <c r="Z5756" s="134">
        <f>VLOOKUP(W5756,Sheet2!$B:$D,3,FALSE)</f>
        <v>48</v>
      </c>
      <c r="AA5756" s="93">
        <f>(16*0.85*1.5)/((3.5*3.5*6.5)-(3.14/4*1.8*1.8*6.5))</f>
        <v>0.32333273633007831</v>
      </c>
      <c r="AB5756" s="93">
        <f>AD5756/AC5752</f>
        <v>148.45388235294121</v>
      </c>
      <c r="AC5756" s="93">
        <f>AC5752/AA5756</f>
        <v>2.3814476960784305</v>
      </c>
      <c r="AD5756" s="94">
        <f>AC5756*Z5756</f>
        <v>114.30948941176467</v>
      </c>
      <c r="AE5756" s="190"/>
      <c r="AF5756" s="191"/>
      <c r="AG5756" s="191"/>
      <c r="AH5756" s="191"/>
      <c r="AI5756" s="186"/>
      <c r="AK5756" s="171"/>
    </row>
    <row r="5757" spans="1:37" s="102" customFormat="1" ht="19.899999999999999" customHeight="1" x14ac:dyDescent="0.25">
      <c r="A5757" s="45"/>
      <c r="B5757" s="59"/>
      <c r="C5757" s="137"/>
      <c r="D5757" s="59"/>
      <c r="E5757" s="116"/>
      <c r="F5757" s="120"/>
      <c r="G5757" s="120"/>
      <c r="H5757" s="120"/>
      <c r="I5757" s="60"/>
      <c r="J5757" s="116"/>
      <c r="K5757" s="213"/>
      <c r="L5757" s="120"/>
      <c r="M5757" s="120"/>
      <c r="N5757" s="167"/>
      <c r="O5757" s="120"/>
      <c r="P5757" s="120"/>
      <c r="Q5757" s="120"/>
      <c r="R5757" s="120"/>
      <c r="S5757" s="120"/>
      <c r="T5757" s="221"/>
      <c r="U5757" s="89"/>
      <c r="V5757" s="61"/>
      <c r="W5757" s="92" t="s">
        <v>65</v>
      </c>
      <c r="X5757" s="93" t="s">
        <v>30</v>
      </c>
      <c r="Y5757" s="93" t="s">
        <v>1011</v>
      </c>
      <c r="Z5757" s="134">
        <f>VLOOKUP(W5757,Sheet2!$B:$D,3,FALSE)</f>
        <v>1.76</v>
      </c>
      <c r="AA5757" s="93">
        <f>AA5756/10</f>
        <v>3.2333273633007829E-2</v>
      </c>
      <c r="AB5757" s="93">
        <f>AD5757/AC5752</f>
        <v>54.433090196078439</v>
      </c>
      <c r="AC5757" s="93">
        <f>AC5752/AA5757</f>
        <v>23.814476960784305</v>
      </c>
      <c r="AD5757" s="94">
        <f>AC5757*Z5757</f>
        <v>41.913479450980375</v>
      </c>
      <c r="AE5757" s="190"/>
      <c r="AF5757" s="191"/>
      <c r="AG5757" s="191"/>
      <c r="AH5757" s="191"/>
      <c r="AI5757" s="186"/>
      <c r="AK5757" s="171"/>
    </row>
    <row r="5758" spans="1:37" s="102" customFormat="1" ht="19.899999999999999" customHeight="1" x14ac:dyDescent="0.25">
      <c r="A5758" s="45"/>
      <c r="B5758" s="59"/>
      <c r="C5758" s="137"/>
      <c r="D5758" s="59"/>
      <c r="E5758" s="116"/>
      <c r="F5758" s="120"/>
      <c r="G5758" s="120"/>
      <c r="H5758" s="120"/>
      <c r="I5758" s="60"/>
      <c r="J5758" s="116"/>
      <c r="K5758" s="213"/>
      <c r="L5758" s="120"/>
      <c r="M5758" s="120"/>
      <c r="N5758" s="167"/>
      <c r="O5758" s="120"/>
      <c r="P5758" s="120"/>
      <c r="Q5758" s="120"/>
      <c r="R5758" s="120"/>
      <c r="S5758" s="120"/>
      <c r="T5758" s="221"/>
      <c r="U5758" s="89"/>
      <c r="V5758" s="61"/>
      <c r="W5758" s="92" t="s">
        <v>173</v>
      </c>
      <c r="X5758" s="93" t="s">
        <v>29</v>
      </c>
      <c r="Y5758" s="93" t="s">
        <v>93</v>
      </c>
      <c r="Z5758" s="134">
        <f>VLOOKUP(W5758,Sheet2!$B:$D,3,FALSE)</f>
        <v>36</v>
      </c>
      <c r="AA5758" s="93">
        <f>50/((3.5*3.5*6.5)-(3.14/4*1.8*1.8*6.5))</f>
        <v>0.79248219688744692</v>
      </c>
      <c r="AB5758" s="93">
        <f>AD5758/AC5752</f>
        <v>45.426887999999998</v>
      </c>
      <c r="AC5758" s="93">
        <f>AC5752/AA5758</f>
        <v>0.97163065999999942</v>
      </c>
      <c r="AD5758" s="94">
        <f>AC5758*Z5758</f>
        <v>34.978703759999981</v>
      </c>
      <c r="AE5758" s="190"/>
      <c r="AF5758" s="191"/>
      <c r="AG5758" s="191"/>
      <c r="AH5758" s="191"/>
      <c r="AI5758" s="186"/>
      <c r="AK5758" s="171"/>
    </row>
    <row r="5759" spans="1:37" s="102" customFormat="1" ht="19.899999999999999" customHeight="1" x14ac:dyDescent="0.25">
      <c r="A5759" s="45"/>
      <c r="B5759" s="59"/>
      <c r="C5759" s="137"/>
      <c r="D5759" s="59"/>
      <c r="E5759" s="116"/>
      <c r="F5759" s="120"/>
      <c r="G5759" s="120"/>
      <c r="H5759" s="120"/>
      <c r="I5759" s="60"/>
      <c r="J5759" s="116"/>
      <c r="K5759" s="213"/>
      <c r="L5759" s="120"/>
      <c r="M5759" s="120"/>
      <c r="N5759" s="167"/>
      <c r="O5759" s="120"/>
      <c r="P5759" s="120"/>
      <c r="Q5759" s="120"/>
      <c r="R5759" s="120"/>
      <c r="S5759" s="120"/>
      <c r="T5759" s="221"/>
      <c r="U5759" s="89"/>
      <c r="V5759" s="61"/>
      <c r="W5759" s="92" t="s">
        <v>65</v>
      </c>
      <c r="X5759" s="93" t="s">
        <v>30</v>
      </c>
      <c r="Y5759" s="93" t="s">
        <v>1011</v>
      </c>
      <c r="Z5759" s="134">
        <f>VLOOKUP(W5759,Sheet2!$B:$D,3,FALSE)</f>
        <v>1.76</v>
      </c>
      <c r="AA5759" s="93">
        <f>AA5758/9</f>
        <v>8.8053577431938548E-2</v>
      </c>
      <c r="AB5759" s="93">
        <f>AD5759/AC5752</f>
        <v>19.987830719999998</v>
      </c>
      <c r="AC5759" s="93">
        <f>AC5752/AA5759</f>
        <v>8.7446759399999952</v>
      </c>
      <c r="AD5759" s="94">
        <f>AC5759*Z5759</f>
        <v>15.390629654399991</v>
      </c>
      <c r="AE5759" s="190"/>
      <c r="AF5759" s="191"/>
      <c r="AG5759" s="191"/>
      <c r="AH5759" s="191"/>
      <c r="AI5759" s="186"/>
      <c r="AK5759" s="171"/>
    </row>
    <row r="5760" spans="1:37" s="102" customFormat="1" ht="19.899999999999999" customHeight="1" x14ac:dyDescent="0.25">
      <c r="A5760" s="45"/>
      <c r="B5760" s="59"/>
      <c r="C5760" s="137"/>
      <c r="D5760" s="59"/>
      <c r="E5760" s="116"/>
      <c r="F5760" s="120"/>
      <c r="G5760" s="120"/>
      <c r="H5760" s="120"/>
      <c r="I5760" s="60"/>
      <c r="J5760" s="116"/>
      <c r="K5760" s="213"/>
      <c r="L5760" s="120"/>
      <c r="M5760" s="120"/>
      <c r="N5760" s="167"/>
      <c r="O5760" s="120"/>
      <c r="P5760" s="120"/>
      <c r="Q5760" s="120"/>
      <c r="R5760" s="120"/>
      <c r="S5760" s="120"/>
      <c r="T5760" s="221"/>
      <c r="U5760" s="89"/>
      <c r="V5760" s="61"/>
      <c r="W5760" s="92" t="s">
        <v>1030</v>
      </c>
      <c r="X5760" s="93" t="s">
        <v>29</v>
      </c>
      <c r="Y5760" s="93" t="s">
        <v>93</v>
      </c>
      <c r="Z5760" s="134">
        <f>VLOOKUP(W5760,Sheet2!$B:$D,3,FALSE)</f>
        <v>23</v>
      </c>
      <c r="AA5760" s="93">
        <f>1/(6.5*1)</f>
        <v>0.15384615384615385</v>
      </c>
      <c r="AB5760" s="93">
        <f>AD5760/AC5752</f>
        <v>149.5</v>
      </c>
      <c r="AC5760" s="93">
        <f>AC5752/AA5760</f>
        <v>5.0049999999999972</v>
      </c>
      <c r="AD5760" s="94">
        <f t="shared" ref="AD5760:AD5761" si="4045">AC5760*Z5760</f>
        <v>115.11499999999994</v>
      </c>
      <c r="AE5760" s="190"/>
      <c r="AF5760" s="191"/>
      <c r="AG5760" s="191"/>
      <c r="AH5760" s="191"/>
      <c r="AI5760" s="186"/>
      <c r="AK5760" s="171"/>
    </row>
    <row r="5761" spans="1:41" s="102" customFormat="1" ht="19.899999999999999" customHeight="1" x14ac:dyDescent="0.25">
      <c r="A5761" s="45"/>
      <c r="B5761" s="59"/>
      <c r="C5761" s="137"/>
      <c r="D5761" s="59"/>
      <c r="E5761" s="116"/>
      <c r="F5761" s="120"/>
      <c r="G5761" s="120"/>
      <c r="H5761" s="120"/>
      <c r="I5761" s="60"/>
      <c r="J5761" s="116"/>
      <c r="K5761" s="213"/>
      <c r="L5761" s="120"/>
      <c r="M5761" s="120"/>
      <c r="N5761" s="167"/>
      <c r="O5761" s="120"/>
      <c r="P5761" s="120"/>
      <c r="Q5761" s="120"/>
      <c r="R5761" s="120"/>
      <c r="S5761" s="120"/>
      <c r="T5761" s="221"/>
      <c r="U5761" s="89"/>
      <c r="V5761" s="61"/>
      <c r="W5761" s="92" t="s">
        <v>65</v>
      </c>
      <c r="X5761" s="93" t="s">
        <v>30</v>
      </c>
      <c r="Y5761" s="93" t="s">
        <v>1011</v>
      </c>
      <c r="Z5761" s="134">
        <f>VLOOKUP(W5761,Sheet2!$B:$D,3,FALSE)</f>
        <v>1.76</v>
      </c>
      <c r="AA5761" s="93">
        <f>AA5760/3</f>
        <v>5.1282051282051287E-2</v>
      </c>
      <c r="AB5761" s="93">
        <f>AD5761/AC5752</f>
        <v>34.32</v>
      </c>
      <c r="AC5761" s="93">
        <f>AC5752/AA5761</f>
        <v>15.01499999999999</v>
      </c>
      <c r="AD5761" s="94">
        <f t="shared" si="4045"/>
        <v>26.426399999999983</v>
      </c>
      <c r="AE5761" s="190"/>
      <c r="AF5761" s="191"/>
      <c r="AG5761" s="191"/>
      <c r="AH5761" s="191"/>
      <c r="AI5761" s="186"/>
      <c r="AK5761" s="171"/>
    </row>
    <row r="5762" spans="1:41" ht="20.100000000000001" customHeight="1" x14ac:dyDescent="0.25">
      <c r="A5762" s="277" t="s">
        <v>491</v>
      </c>
      <c r="B5762" s="278"/>
      <c r="C5762" s="64" t="s">
        <v>609</v>
      </c>
      <c r="D5762" s="46" t="s">
        <v>215</v>
      </c>
      <c r="E5762" s="114"/>
      <c r="F5762" s="44"/>
      <c r="G5762" s="44">
        <f t="shared" si="3841"/>
        <v>0</v>
      </c>
      <c r="H5762" s="44">
        <f t="shared" si="3842"/>
        <v>0</v>
      </c>
      <c r="I5762" s="43">
        <f t="shared" si="3843"/>
        <v>0</v>
      </c>
      <c r="J5762" s="112">
        <f t="shared" si="3844"/>
        <v>0</v>
      </c>
      <c r="K5762" s="211">
        <f t="shared" si="3845"/>
        <v>0</v>
      </c>
      <c r="L5762" s="44"/>
      <c r="M5762" s="44">
        <f t="shared" si="3846"/>
        <v>0</v>
      </c>
      <c r="N5762" s="173">
        <f t="shared" si="3847"/>
        <v>0</v>
      </c>
      <c r="O5762" s="44">
        <f t="shared" si="3848"/>
        <v>0</v>
      </c>
      <c r="P5762" s="44">
        <f t="shared" si="3849"/>
        <v>0</v>
      </c>
      <c r="Q5762" s="44">
        <f t="shared" si="3850"/>
        <v>0</v>
      </c>
      <c r="R5762" s="44">
        <f t="shared" si="3851"/>
        <v>0</v>
      </c>
      <c r="S5762" s="123"/>
      <c r="T5762" s="219">
        <f t="shared" si="3852"/>
        <v>0</v>
      </c>
      <c r="U5762" s="87"/>
      <c r="V5762" s="47"/>
      <c r="W5762" s="48"/>
      <c r="X5762" s="48"/>
      <c r="Y5762" s="48"/>
      <c r="Z5762" s="135"/>
      <c r="AA5762" s="49"/>
      <c r="AB5762" s="50">
        <f t="shared" si="3853"/>
        <v>0</v>
      </c>
      <c r="AC5762" s="42">
        <f t="shared" si="3854"/>
        <v>9.9999999999999998E-20</v>
      </c>
      <c r="AD5762" s="90"/>
      <c r="AE5762" s="188"/>
      <c r="AF5762" s="189"/>
      <c r="AG5762" s="189"/>
      <c r="AH5762" s="189"/>
      <c r="AI5762" s="161"/>
    </row>
    <row r="5763" spans="1:41" ht="20.100000000000001" customHeight="1" x14ac:dyDescent="0.25">
      <c r="A5763" s="277" t="s">
        <v>491</v>
      </c>
      <c r="B5763" s="278"/>
      <c r="C5763" s="64" t="s">
        <v>610</v>
      </c>
      <c r="D5763" s="46" t="s">
        <v>215</v>
      </c>
      <c r="E5763" s="114"/>
      <c r="F5763" s="44"/>
      <c r="G5763" s="44">
        <f t="shared" si="3841"/>
        <v>0</v>
      </c>
      <c r="H5763" s="44">
        <f t="shared" si="3842"/>
        <v>0</v>
      </c>
      <c r="I5763" s="43">
        <f t="shared" si="3843"/>
        <v>0</v>
      </c>
      <c r="J5763" s="112">
        <f t="shared" si="3844"/>
        <v>0</v>
      </c>
      <c r="K5763" s="211">
        <f t="shared" si="3845"/>
        <v>0</v>
      </c>
      <c r="L5763" s="44"/>
      <c r="M5763" s="44">
        <f t="shared" si="3846"/>
        <v>0</v>
      </c>
      <c r="N5763" s="173">
        <f t="shared" si="3847"/>
        <v>0</v>
      </c>
      <c r="O5763" s="44">
        <f t="shared" si="3848"/>
        <v>0</v>
      </c>
      <c r="P5763" s="44">
        <f t="shared" si="3849"/>
        <v>0</v>
      </c>
      <c r="Q5763" s="44">
        <f t="shared" si="3850"/>
        <v>0</v>
      </c>
      <c r="R5763" s="44">
        <f t="shared" si="3851"/>
        <v>0</v>
      </c>
      <c r="S5763" s="123"/>
      <c r="T5763" s="219">
        <f t="shared" si="3852"/>
        <v>0</v>
      </c>
      <c r="U5763" s="87"/>
      <c r="V5763" s="47"/>
      <c r="W5763" s="48"/>
      <c r="X5763" s="48"/>
      <c r="Y5763" s="48"/>
      <c r="Z5763" s="135"/>
      <c r="AA5763" s="49"/>
      <c r="AB5763" s="50">
        <f t="shared" si="3853"/>
        <v>0</v>
      </c>
      <c r="AC5763" s="42">
        <f t="shared" si="3854"/>
        <v>9.9999999999999998E-20</v>
      </c>
      <c r="AD5763" s="90"/>
      <c r="AE5763" s="188"/>
      <c r="AF5763" s="189"/>
      <c r="AG5763" s="189"/>
      <c r="AH5763" s="189"/>
      <c r="AI5763" s="161"/>
    </row>
    <row r="5764" spans="1:41" ht="20.100000000000001" customHeight="1" x14ac:dyDescent="0.25">
      <c r="A5764" s="277" t="s">
        <v>491</v>
      </c>
      <c r="B5764" s="278"/>
      <c r="C5764" s="64" t="s">
        <v>611</v>
      </c>
      <c r="D5764" s="46" t="s">
        <v>215</v>
      </c>
      <c r="E5764" s="114"/>
      <c r="F5764" s="44"/>
      <c r="G5764" s="44">
        <f t="shared" si="3841"/>
        <v>0</v>
      </c>
      <c r="H5764" s="44">
        <f t="shared" si="3842"/>
        <v>0</v>
      </c>
      <c r="I5764" s="43">
        <f t="shared" si="3843"/>
        <v>0</v>
      </c>
      <c r="J5764" s="112">
        <f t="shared" si="3844"/>
        <v>0</v>
      </c>
      <c r="K5764" s="211">
        <f t="shared" si="3845"/>
        <v>0</v>
      </c>
      <c r="L5764" s="44"/>
      <c r="M5764" s="44">
        <f t="shared" si="3846"/>
        <v>0</v>
      </c>
      <c r="N5764" s="173">
        <f t="shared" si="3847"/>
        <v>0</v>
      </c>
      <c r="O5764" s="44">
        <f t="shared" si="3848"/>
        <v>0</v>
      </c>
      <c r="P5764" s="44">
        <f t="shared" si="3849"/>
        <v>0</v>
      </c>
      <c r="Q5764" s="44">
        <f t="shared" si="3850"/>
        <v>0</v>
      </c>
      <c r="R5764" s="44">
        <f t="shared" si="3851"/>
        <v>0</v>
      </c>
      <c r="S5764" s="123"/>
      <c r="T5764" s="219">
        <f t="shared" si="3852"/>
        <v>0</v>
      </c>
      <c r="U5764" s="87"/>
      <c r="V5764" s="47"/>
      <c r="W5764" s="48"/>
      <c r="X5764" s="48"/>
      <c r="Y5764" s="48"/>
      <c r="Z5764" s="135"/>
      <c r="AA5764" s="49"/>
      <c r="AB5764" s="50">
        <f t="shared" si="3853"/>
        <v>0</v>
      </c>
      <c r="AC5764" s="42">
        <f t="shared" si="3854"/>
        <v>9.9999999999999998E-20</v>
      </c>
      <c r="AD5764" s="90"/>
      <c r="AE5764" s="188"/>
      <c r="AF5764" s="189"/>
      <c r="AG5764" s="189"/>
      <c r="AH5764" s="189"/>
      <c r="AI5764" s="161"/>
    </row>
    <row r="5765" spans="1:41" ht="20.100000000000001" customHeight="1" x14ac:dyDescent="0.25">
      <c r="A5765" s="277" t="s">
        <v>491</v>
      </c>
      <c r="B5765" s="278"/>
      <c r="C5765" s="64" t="s">
        <v>612</v>
      </c>
      <c r="D5765" s="46" t="s">
        <v>215</v>
      </c>
      <c r="E5765" s="114"/>
      <c r="F5765" s="44"/>
      <c r="G5765" s="44">
        <f t="shared" si="3841"/>
        <v>0</v>
      </c>
      <c r="H5765" s="44">
        <f t="shared" si="3842"/>
        <v>0</v>
      </c>
      <c r="I5765" s="43">
        <f t="shared" si="3843"/>
        <v>0</v>
      </c>
      <c r="J5765" s="112">
        <f t="shared" si="3844"/>
        <v>0</v>
      </c>
      <c r="K5765" s="211">
        <f t="shared" si="3845"/>
        <v>0</v>
      </c>
      <c r="L5765" s="44"/>
      <c r="M5765" s="44">
        <f t="shared" si="3846"/>
        <v>0</v>
      </c>
      <c r="N5765" s="173">
        <f t="shared" si="3847"/>
        <v>0</v>
      </c>
      <c r="O5765" s="44">
        <f t="shared" si="3848"/>
        <v>0</v>
      </c>
      <c r="P5765" s="44">
        <f t="shared" si="3849"/>
        <v>0</v>
      </c>
      <c r="Q5765" s="44">
        <f t="shared" si="3850"/>
        <v>0</v>
      </c>
      <c r="R5765" s="44">
        <f t="shared" si="3851"/>
        <v>0</v>
      </c>
      <c r="S5765" s="123"/>
      <c r="T5765" s="219">
        <f t="shared" si="3852"/>
        <v>0</v>
      </c>
      <c r="U5765" s="87"/>
      <c r="V5765" s="47"/>
      <c r="W5765" s="48"/>
      <c r="X5765" s="48"/>
      <c r="Y5765" s="48"/>
      <c r="Z5765" s="135"/>
      <c r="AA5765" s="49"/>
      <c r="AB5765" s="50">
        <f t="shared" si="3853"/>
        <v>0</v>
      </c>
      <c r="AC5765" s="42">
        <f t="shared" si="3854"/>
        <v>9.9999999999999998E-20</v>
      </c>
      <c r="AD5765" s="90"/>
      <c r="AE5765" s="188"/>
      <c r="AF5765" s="189"/>
      <c r="AG5765" s="189"/>
      <c r="AH5765" s="189"/>
      <c r="AI5765" s="161"/>
    </row>
    <row r="5766" spans="1:41" ht="20.100000000000001" customHeight="1" x14ac:dyDescent="0.25">
      <c r="A5766" s="277" t="s">
        <v>491</v>
      </c>
      <c r="B5766" s="278"/>
      <c r="C5766" s="64" t="s">
        <v>613</v>
      </c>
      <c r="D5766" s="46" t="s">
        <v>215</v>
      </c>
      <c r="E5766" s="114"/>
      <c r="F5766" s="44"/>
      <c r="G5766" s="44">
        <f t="shared" si="3841"/>
        <v>0</v>
      </c>
      <c r="H5766" s="44">
        <f t="shared" si="3842"/>
        <v>0</v>
      </c>
      <c r="I5766" s="43">
        <f t="shared" si="3843"/>
        <v>0</v>
      </c>
      <c r="J5766" s="112">
        <f t="shared" si="3844"/>
        <v>0</v>
      </c>
      <c r="K5766" s="211">
        <f t="shared" si="3845"/>
        <v>0</v>
      </c>
      <c r="L5766" s="44"/>
      <c r="M5766" s="44">
        <f t="shared" si="3846"/>
        <v>0</v>
      </c>
      <c r="N5766" s="173">
        <f t="shared" si="3847"/>
        <v>0</v>
      </c>
      <c r="O5766" s="44">
        <f t="shared" si="3848"/>
        <v>0</v>
      </c>
      <c r="P5766" s="44">
        <f t="shared" si="3849"/>
        <v>0</v>
      </c>
      <c r="Q5766" s="44">
        <f t="shared" si="3850"/>
        <v>0</v>
      </c>
      <c r="R5766" s="44">
        <f t="shared" si="3851"/>
        <v>0</v>
      </c>
      <c r="S5766" s="123"/>
      <c r="T5766" s="219">
        <f t="shared" si="3852"/>
        <v>0</v>
      </c>
      <c r="U5766" s="87"/>
      <c r="V5766" s="47"/>
      <c r="W5766" s="48"/>
      <c r="X5766" s="48"/>
      <c r="Y5766" s="48"/>
      <c r="Z5766" s="135"/>
      <c r="AA5766" s="49"/>
      <c r="AB5766" s="50">
        <f t="shared" si="3853"/>
        <v>0</v>
      </c>
      <c r="AC5766" s="42">
        <f t="shared" si="3854"/>
        <v>9.9999999999999998E-20</v>
      </c>
      <c r="AD5766" s="90"/>
      <c r="AE5766" s="188"/>
      <c r="AF5766" s="189"/>
      <c r="AG5766" s="189"/>
      <c r="AH5766" s="189"/>
      <c r="AI5766" s="161"/>
    </row>
    <row r="5767" spans="1:41" ht="20.100000000000001" customHeight="1" x14ac:dyDescent="0.25">
      <c r="A5767" s="277" t="s">
        <v>491</v>
      </c>
      <c r="B5767" s="278"/>
      <c r="C5767" s="64" t="s">
        <v>614</v>
      </c>
      <c r="D5767" s="46" t="s">
        <v>215</v>
      </c>
      <c r="E5767" s="114"/>
      <c r="F5767" s="44"/>
      <c r="G5767" s="44">
        <f t="shared" si="3841"/>
        <v>0</v>
      </c>
      <c r="H5767" s="44">
        <f t="shared" si="3842"/>
        <v>0</v>
      </c>
      <c r="I5767" s="43">
        <f t="shared" si="3843"/>
        <v>0</v>
      </c>
      <c r="J5767" s="112">
        <f t="shared" si="3844"/>
        <v>0</v>
      </c>
      <c r="K5767" s="211">
        <f t="shared" si="3845"/>
        <v>0</v>
      </c>
      <c r="L5767" s="44"/>
      <c r="M5767" s="44">
        <f t="shared" si="3846"/>
        <v>0</v>
      </c>
      <c r="N5767" s="173">
        <f t="shared" si="3847"/>
        <v>0</v>
      </c>
      <c r="O5767" s="44">
        <f t="shared" si="3848"/>
        <v>0</v>
      </c>
      <c r="P5767" s="44">
        <f t="shared" si="3849"/>
        <v>0</v>
      </c>
      <c r="Q5767" s="44">
        <f t="shared" si="3850"/>
        <v>0</v>
      </c>
      <c r="R5767" s="44">
        <f t="shared" si="3851"/>
        <v>0</v>
      </c>
      <c r="S5767" s="123"/>
      <c r="T5767" s="219">
        <f t="shared" si="3852"/>
        <v>0</v>
      </c>
      <c r="U5767" s="87"/>
      <c r="V5767" s="47"/>
      <c r="W5767" s="48"/>
      <c r="X5767" s="48"/>
      <c r="Y5767" s="48"/>
      <c r="Z5767" s="135"/>
      <c r="AA5767" s="49"/>
      <c r="AB5767" s="50">
        <f t="shared" si="3853"/>
        <v>0</v>
      </c>
      <c r="AC5767" s="42">
        <f t="shared" si="3854"/>
        <v>9.9999999999999998E-20</v>
      </c>
      <c r="AD5767" s="90"/>
      <c r="AE5767" s="188"/>
      <c r="AF5767" s="189"/>
      <c r="AG5767" s="189"/>
      <c r="AH5767" s="189"/>
      <c r="AI5767" s="161"/>
    </row>
    <row r="5768" spans="1:41" ht="20.100000000000001" customHeight="1" x14ac:dyDescent="0.25">
      <c r="A5768" s="277" t="s">
        <v>491</v>
      </c>
      <c r="B5768" s="278"/>
      <c r="C5768" s="64" t="s">
        <v>615</v>
      </c>
      <c r="D5768" s="46" t="s">
        <v>215</v>
      </c>
      <c r="E5768" s="114"/>
      <c r="F5768" s="44"/>
      <c r="G5768" s="44">
        <f t="shared" si="3841"/>
        <v>0</v>
      </c>
      <c r="H5768" s="44">
        <f t="shared" si="3842"/>
        <v>0</v>
      </c>
      <c r="I5768" s="43">
        <f t="shared" si="3843"/>
        <v>0</v>
      </c>
      <c r="J5768" s="112">
        <f t="shared" si="3844"/>
        <v>0</v>
      </c>
      <c r="K5768" s="211">
        <f t="shared" si="3845"/>
        <v>0</v>
      </c>
      <c r="L5768" s="44"/>
      <c r="M5768" s="44">
        <f t="shared" si="3846"/>
        <v>0</v>
      </c>
      <c r="N5768" s="173">
        <f t="shared" si="3847"/>
        <v>0</v>
      </c>
      <c r="O5768" s="44">
        <f t="shared" si="3848"/>
        <v>0</v>
      </c>
      <c r="P5768" s="44">
        <f t="shared" si="3849"/>
        <v>0</v>
      </c>
      <c r="Q5768" s="44">
        <f t="shared" si="3850"/>
        <v>0</v>
      </c>
      <c r="R5768" s="44">
        <f t="shared" si="3851"/>
        <v>0</v>
      </c>
      <c r="S5768" s="123"/>
      <c r="T5768" s="219">
        <f t="shared" si="3852"/>
        <v>0</v>
      </c>
      <c r="U5768" s="87"/>
      <c r="V5768" s="47"/>
      <c r="W5768" s="48"/>
      <c r="X5768" s="48"/>
      <c r="Y5768" s="48"/>
      <c r="Z5768" s="135"/>
      <c r="AA5768" s="49"/>
      <c r="AB5768" s="50">
        <f t="shared" si="3853"/>
        <v>0</v>
      </c>
      <c r="AC5768" s="42">
        <f t="shared" si="3854"/>
        <v>9.9999999999999998E-20</v>
      </c>
      <c r="AD5768" s="90"/>
      <c r="AE5768" s="188"/>
      <c r="AF5768" s="189"/>
      <c r="AG5768" s="189"/>
      <c r="AH5768" s="189"/>
      <c r="AI5768" s="161"/>
    </row>
    <row r="5769" spans="1:41" ht="20.100000000000001" customHeight="1" x14ac:dyDescent="0.25">
      <c r="A5769" s="277" t="s">
        <v>491</v>
      </c>
      <c r="B5769" s="278"/>
      <c r="C5769" s="64" t="s">
        <v>616</v>
      </c>
      <c r="D5769" s="46" t="s">
        <v>215</v>
      </c>
      <c r="E5769" s="114"/>
      <c r="F5769" s="44"/>
      <c r="G5769" s="44">
        <f t="shared" si="3841"/>
        <v>0</v>
      </c>
      <c r="H5769" s="44">
        <f t="shared" si="3842"/>
        <v>0</v>
      </c>
      <c r="I5769" s="43">
        <f t="shared" si="3843"/>
        <v>0</v>
      </c>
      <c r="J5769" s="112">
        <f t="shared" si="3844"/>
        <v>0</v>
      </c>
      <c r="K5769" s="211">
        <f t="shared" si="3845"/>
        <v>0</v>
      </c>
      <c r="L5769" s="44"/>
      <c r="M5769" s="44">
        <f t="shared" si="3846"/>
        <v>0</v>
      </c>
      <c r="N5769" s="173">
        <f t="shared" si="3847"/>
        <v>0</v>
      </c>
      <c r="O5769" s="44">
        <f t="shared" si="3848"/>
        <v>0</v>
      </c>
      <c r="P5769" s="44">
        <f t="shared" si="3849"/>
        <v>0</v>
      </c>
      <c r="Q5769" s="44">
        <f t="shared" si="3850"/>
        <v>0</v>
      </c>
      <c r="R5769" s="44">
        <f t="shared" si="3851"/>
        <v>0</v>
      </c>
      <c r="S5769" s="123"/>
      <c r="T5769" s="219">
        <f t="shared" si="3852"/>
        <v>0</v>
      </c>
      <c r="U5769" s="87"/>
      <c r="V5769" s="47"/>
      <c r="W5769" s="48"/>
      <c r="X5769" s="48"/>
      <c r="Y5769" s="48"/>
      <c r="Z5769" s="135"/>
      <c r="AA5769" s="49"/>
      <c r="AB5769" s="50">
        <f t="shared" si="3853"/>
        <v>0</v>
      </c>
      <c r="AC5769" s="42">
        <f t="shared" si="3854"/>
        <v>9.9999999999999998E-20</v>
      </c>
      <c r="AD5769" s="90"/>
      <c r="AE5769" s="188"/>
      <c r="AF5769" s="189"/>
      <c r="AG5769" s="189"/>
      <c r="AH5769" s="189"/>
      <c r="AI5769" s="161"/>
    </row>
    <row r="5770" spans="1:41" ht="20.100000000000001" customHeight="1" x14ac:dyDescent="0.25">
      <c r="A5770" s="277" t="s">
        <v>491</v>
      </c>
      <c r="B5770" s="278"/>
      <c r="C5770" s="64" t="s">
        <v>617</v>
      </c>
      <c r="D5770" s="46" t="s">
        <v>215</v>
      </c>
      <c r="E5770" s="114"/>
      <c r="F5770" s="44"/>
      <c r="G5770" s="44">
        <f t="shared" si="3841"/>
        <v>0</v>
      </c>
      <c r="H5770" s="44">
        <f t="shared" si="3842"/>
        <v>0</v>
      </c>
      <c r="I5770" s="43">
        <f t="shared" si="3843"/>
        <v>0</v>
      </c>
      <c r="J5770" s="112">
        <f t="shared" si="3844"/>
        <v>0</v>
      </c>
      <c r="K5770" s="211">
        <f t="shared" si="3845"/>
        <v>0</v>
      </c>
      <c r="L5770" s="44"/>
      <c r="M5770" s="44">
        <f t="shared" si="3846"/>
        <v>0</v>
      </c>
      <c r="N5770" s="173">
        <f t="shared" si="3847"/>
        <v>0</v>
      </c>
      <c r="O5770" s="44">
        <f t="shared" si="3848"/>
        <v>0</v>
      </c>
      <c r="P5770" s="44">
        <f t="shared" si="3849"/>
        <v>0</v>
      </c>
      <c r="Q5770" s="44">
        <f t="shared" si="3850"/>
        <v>0</v>
      </c>
      <c r="R5770" s="44">
        <f t="shared" si="3851"/>
        <v>0</v>
      </c>
      <c r="S5770" s="123"/>
      <c r="T5770" s="219">
        <f t="shared" si="3852"/>
        <v>0</v>
      </c>
      <c r="U5770" s="87"/>
      <c r="V5770" s="47"/>
      <c r="W5770" s="48"/>
      <c r="X5770" s="48"/>
      <c r="Y5770" s="48"/>
      <c r="Z5770" s="135"/>
      <c r="AA5770" s="49"/>
      <c r="AB5770" s="50">
        <f t="shared" si="3853"/>
        <v>0</v>
      </c>
      <c r="AC5770" s="42">
        <f t="shared" si="3854"/>
        <v>9.9999999999999998E-20</v>
      </c>
      <c r="AD5770" s="90"/>
      <c r="AE5770" s="188"/>
      <c r="AF5770" s="189"/>
      <c r="AG5770" s="189"/>
      <c r="AH5770" s="189"/>
      <c r="AI5770" s="161"/>
    </row>
    <row r="5771" spans="1:41" s="102" customFormat="1" ht="20.100000000000001" customHeight="1" x14ac:dyDescent="0.25">
      <c r="A5771" s="45" t="s">
        <v>491</v>
      </c>
      <c r="B5771" s="276"/>
      <c r="C5771" s="285" t="s">
        <v>594</v>
      </c>
      <c r="D5771" s="59"/>
      <c r="E5771" s="116"/>
      <c r="F5771" s="120"/>
      <c r="G5771" s="120">
        <f t="shared" si="3841"/>
        <v>0</v>
      </c>
      <c r="H5771" s="120">
        <f t="shared" si="3842"/>
        <v>0</v>
      </c>
      <c r="I5771" s="60">
        <f t="shared" si="3843"/>
        <v>0</v>
      </c>
      <c r="J5771" s="116">
        <f t="shared" si="3844"/>
        <v>0</v>
      </c>
      <c r="K5771" s="213">
        <f t="shared" si="3845"/>
        <v>0</v>
      </c>
      <c r="L5771" s="120"/>
      <c r="M5771" s="120">
        <f t="shared" si="3846"/>
        <v>0</v>
      </c>
      <c r="N5771" s="167">
        <f t="shared" si="3847"/>
        <v>0</v>
      </c>
      <c r="O5771" s="120">
        <f t="shared" si="3848"/>
        <v>0</v>
      </c>
      <c r="P5771" s="120">
        <f t="shared" si="3849"/>
        <v>0</v>
      </c>
      <c r="Q5771" s="120">
        <f t="shared" si="3850"/>
        <v>0</v>
      </c>
      <c r="R5771" s="120">
        <f t="shared" si="3851"/>
        <v>0</v>
      </c>
      <c r="S5771" s="120"/>
      <c r="T5771" s="221">
        <f t="shared" si="3852"/>
        <v>0</v>
      </c>
      <c r="U5771" s="89"/>
      <c r="V5771" s="61"/>
      <c r="W5771" s="92"/>
      <c r="X5771" s="38"/>
      <c r="Y5771" s="93"/>
      <c r="Z5771" s="134"/>
      <c r="AA5771" s="93"/>
      <c r="AB5771" s="93">
        <f t="shared" si="3853"/>
        <v>0</v>
      </c>
      <c r="AC5771" s="93">
        <f t="shared" si="3854"/>
        <v>9.9999999999999998E-20</v>
      </c>
      <c r="AD5771" s="94"/>
      <c r="AE5771" s="190"/>
      <c r="AF5771" s="191"/>
      <c r="AG5771" s="191"/>
      <c r="AH5771" s="191"/>
      <c r="AI5771" s="186"/>
      <c r="AK5771" s="171"/>
    </row>
    <row r="5772" spans="1:41" s="102" customFormat="1" ht="94.5" x14ac:dyDescent="0.25">
      <c r="A5772" s="45" t="s">
        <v>491</v>
      </c>
      <c r="B5772" s="276"/>
      <c r="C5772" s="285" t="s">
        <v>595</v>
      </c>
      <c r="D5772" s="59"/>
      <c r="E5772" s="116"/>
      <c r="F5772" s="120"/>
      <c r="G5772" s="120">
        <f t="shared" si="3841"/>
        <v>0</v>
      </c>
      <c r="H5772" s="120">
        <f t="shared" si="3842"/>
        <v>0</v>
      </c>
      <c r="I5772" s="60">
        <f t="shared" si="3843"/>
        <v>0</v>
      </c>
      <c r="J5772" s="116">
        <f t="shared" si="3844"/>
        <v>0</v>
      </c>
      <c r="K5772" s="213">
        <f t="shared" si="3845"/>
        <v>0</v>
      </c>
      <c r="L5772" s="120"/>
      <c r="M5772" s="120">
        <f t="shared" si="3846"/>
        <v>0</v>
      </c>
      <c r="N5772" s="167">
        <f t="shared" si="3847"/>
        <v>0</v>
      </c>
      <c r="O5772" s="120">
        <f t="shared" si="3848"/>
        <v>0</v>
      </c>
      <c r="P5772" s="120">
        <f t="shared" si="3849"/>
        <v>0</v>
      </c>
      <c r="Q5772" s="120">
        <f t="shared" si="3850"/>
        <v>0</v>
      </c>
      <c r="R5772" s="120">
        <f t="shared" si="3851"/>
        <v>0</v>
      </c>
      <c r="S5772" s="120"/>
      <c r="T5772" s="221">
        <f t="shared" si="3852"/>
        <v>0</v>
      </c>
      <c r="U5772" s="89"/>
      <c r="V5772" s="61"/>
      <c r="W5772" s="92"/>
      <c r="X5772" s="38"/>
      <c r="Y5772" s="93"/>
      <c r="Z5772" s="134"/>
      <c r="AA5772" s="93"/>
      <c r="AB5772" s="93">
        <f t="shared" si="3853"/>
        <v>0</v>
      </c>
      <c r="AC5772" s="93">
        <f t="shared" si="3854"/>
        <v>9.9999999999999998E-20</v>
      </c>
      <c r="AD5772" s="94"/>
      <c r="AE5772" s="190"/>
      <c r="AF5772" s="191"/>
      <c r="AG5772" s="191"/>
      <c r="AH5772" s="191"/>
      <c r="AI5772" s="186"/>
      <c r="AK5772" s="171"/>
    </row>
    <row r="5773" spans="1:41" ht="20.100000000000001" customHeight="1" x14ac:dyDescent="0.25">
      <c r="A5773" s="277" t="s">
        <v>491</v>
      </c>
      <c r="B5773" s="278"/>
      <c r="C5773" s="64" t="s">
        <v>618</v>
      </c>
      <c r="D5773" s="46"/>
      <c r="E5773" s="114"/>
      <c r="F5773" s="44"/>
      <c r="G5773" s="44">
        <f t="shared" si="3841"/>
        <v>0</v>
      </c>
      <c r="H5773" s="44">
        <f t="shared" si="3842"/>
        <v>0</v>
      </c>
      <c r="I5773" s="43">
        <f t="shared" si="3843"/>
        <v>0</v>
      </c>
      <c r="J5773" s="112">
        <f t="shared" si="3844"/>
        <v>0</v>
      </c>
      <c r="K5773" s="211">
        <f t="shared" si="3845"/>
        <v>0</v>
      </c>
      <c r="L5773" s="44"/>
      <c r="M5773" s="44">
        <f t="shared" si="3846"/>
        <v>0</v>
      </c>
      <c r="N5773" s="173">
        <f t="shared" si="3847"/>
        <v>0</v>
      </c>
      <c r="O5773" s="44">
        <f t="shared" si="3848"/>
        <v>0</v>
      </c>
      <c r="P5773" s="44">
        <f t="shared" si="3849"/>
        <v>0</v>
      </c>
      <c r="Q5773" s="44">
        <f t="shared" si="3850"/>
        <v>0</v>
      </c>
      <c r="R5773" s="44">
        <f t="shared" si="3851"/>
        <v>0</v>
      </c>
      <c r="S5773" s="123"/>
      <c r="T5773" s="219">
        <f t="shared" si="3852"/>
        <v>0</v>
      </c>
      <c r="U5773" s="87"/>
      <c r="V5773" s="47"/>
      <c r="W5773" s="48"/>
      <c r="X5773" s="48"/>
      <c r="Y5773" s="48"/>
      <c r="Z5773" s="135"/>
      <c r="AA5773" s="49"/>
      <c r="AB5773" s="50">
        <f t="shared" si="3853"/>
        <v>0</v>
      </c>
      <c r="AC5773" s="42">
        <f t="shared" si="3854"/>
        <v>9.9999999999999998E-20</v>
      </c>
      <c r="AD5773" s="90"/>
      <c r="AE5773" s="188"/>
      <c r="AF5773" s="189"/>
      <c r="AG5773" s="189"/>
      <c r="AH5773" s="189"/>
      <c r="AI5773" s="161"/>
    </row>
    <row r="5774" spans="1:41" ht="20.100000000000001" customHeight="1" x14ac:dyDescent="0.25">
      <c r="A5774" s="277" t="s">
        <v>491</v>
      </c>
      <c r="B5774" s="278"/>
      <c r="C5774" s="64" t="s">
        <v>582</v>
      </c>
      <c r="D5774" s="46" t="s">
        <v>215</v>
      </c>
      <c r="E5774" s="114">
        <v>0.11999999999999988</v>
      </c>
      <c r="F5774" s="44">
        <v>67787</v>
      </c>
      <c r="G5774" s="44">
        <f t="shared" si="3841"/>
        <v>8134.4399999999923</v>
      </c>
      <c r="H5774" s="44">
        <f t="shared" si="3842"/>
        <v>20540.715571049412</v>
      </c>
      <c r="I5774" s="43">
        <f t="shared" si="3843"/>
        <v>2464.885868525927</v>
      </c>
      <c r="J5774" s="112">
        <f t="shared" si="3844"/>
        <v>0.11999999999999988</v>
      </c>
      <c r="K5774" s="211">
        <f t="shared" si="3845"/>
        <v>0.11999999999999988</v>
      </c>
      <c r="L5774" s="44"/>
      <c r="M5774" s="44">
        <f t="shared" si="3846"/>
        <v>0.11999999999999988</v>
      </c>
      <c r="N5774" s="173">
        <f t="shared" si="3847"/>
        <v>1</v>
      </c>
      <c r="O5774" s="44">
        <f t="shared" si="3848"/>
        <v>67787</v>
      </c>
      <c r="P5774" s="44">
        <f t="shared" si="3849"/>
        <v>8134.4399999999923</v>
      </c>
      <c r="Q5774" s="44">
        <f t="shared" si="3850"/>
        <v>20540.715571049412</v>
      </c>
      <c r="R5774" s="44">
        <f t="shared" si="3851"/>
        <v>2464.885868525927</v>
      </c>
      <c r="S5774" s="123"/>
      <c r="T5774" s="219">
        <f t="shared" si="3852"/>
        <v>2464.885868525927</v>
      </c>
      <c r="U5774" s="87"/>
      <c r="V5774" s="47"/>
      <c r="W5774" s="48"/>
      <c r="X5774" s="48"/>
      <c r="Y5774" s="48"/>
      <c r="Z5774" s="135"/>
      <c r="AA5774" s="49"/>
      <c r="AB5774" s="50">
        <f t="shared" si="3853"/>
        <v>20540.715571049412</v>
      </c>
      <c r="AC5774" s="42">
        <f t="shared" si="3854"/>
        <v>0.11999999999999988</v>
      </c>
      <c r="AD5774" s="90">
        <f>AD5775+AD5780+AD5787+AD5795</f>
        <v>2464.885868525927</v>
      </c>
      <c r="AE5774" s="188">
        <f t="shared" ref="AE5774:AH5774" si="4046">AE5775+AE5780+AE5787+AE5795</f>
        <v>0</v>
      </c>
      <c r="AF5774" s="189">
        <f t="shared" si="4046"/>
        <v>0</v>
      </c>
      <c r="AG5774" s="189">
        <f t="shared" si="4046"/>
        <v>0</v>
      </c>
      <c r="AH5774" s="189">
        <f t="shared" si="4046"/>
        <v>0</v>
      </c>
      <c r="AI5774" s="161">
        <f t="shared" ref="AI5774" si="4047">SUM(AE5774:AH5774)</f>
        <v>0</v>
      </c>
      <c r="AK5774" s="169">
        <v>5</v>
      </c>
      <c r="AO5774" s="19" t="s">
        <v>63</v>
      </c>
    </row>
    <row r="5775" spans="1:41" s="103" customFormat="1" ht="19.899999999999999" customHeight="1" x14ac:dyDescent="0.25">
      <c r="A5775" s="51"/>
      <c r="B5775" s="52"/>
      <c r="C5775" s="165"/>
      <c r="D5775" s="52"/>
      <c r="E5775" s="115"/>
      <c r="F5775" s="58"/>
      <c r="G5775" s="58"/>
      <c r="H5775" s="58"/>
      <c r="I5775" s="55"/>
      <c r="J5775" s="113">
        <f>J5774</f>
        <v>0.11999999999999988</v>
      </c>
      <c r="K5775" s="212">
        <f>K5774</f>
        <v>0.11999999999999988</v>
      </c>
      <c r="L5775" s="58"/>
      <c r="M5775" s="58">
        <f>K5775-L5775</f>
        <v>0.11999999999999988</v>
      </c>
      <c r="N5775" s="166"/>
      <c r="O5775" s="58"/>
      <c r="P5775" s="58"/>
      <c r="Q5775" s="58"/>
      <c r="R5775" s="58"/>
      <c r="S5775" s="58"/>
      <c r="T5775" s="220"/>
      <c r="U5775" s="88"/>
      <c r="V5775" s="56"/>
      <c r="W5775" s="57" t="s">
        <v>1563</v>
      </c>
      <c r="X5775" s="53"/>
      <c r="Y5775" s="91" t="s">
        <v>35</v>
      </c>
      <c r="Z5775" s="136">
        <f>AD5775/AC5775</f>
        <v>374.18014117647056</v>
      </c>
      <c r="AA5775" s="58"/>
      <c r="AB5775" s="53">
        <f>AD5775/AC5775</f>
        <v>374.18014117647056</v>
      </c>
      <c r="AC5775" s="53">
        <f>M5775+$AE$10</f>
        <v>0.11999999999999988</v>
      </c>
      <c r="AD5775" s="54">
        <f>SUM(AD5776:AD5779)</f>
        <v>44.901616941176421</v>
      </c>
      <c r="AE5775" s="184">
        <f>SUMIFS($AD$37:$AD$12971,$V$37:$V$12971,$V5775,$X$37:$X$12971,AE$13)</f>
        <v>0</v>
      </c>
      <c r="AF5775" s="185">
        <f>SUMIFS($AD$37:$AD$12971,$V$37:$V$12971,$V5775,$X$37:$X$12971,AF$13)</f>
        <v>0</v>
      </c>
      <c r="AG5775" s="185">
        <f>SUMIFS($AD$37:$AD$12971,$V$37:$V$12971,$V5775,$X$37:$X$12971,AG$13)</f>
        <v>0</v>
      </c>
      <c r="AH5775" s="187">
        <f>SUMIFS($AD$37:$AD$12971,$V$37:$V$12971,$V5775,$X$37:$X$12971,AH$13)</f>
        <v>0</v>
      </c>
      <c r="AI5775" s="161">
        <f t="shared" ref="AI5775" si="4048">SUM(AE5775:AH5775)</f>
        <v>0</v>
      </c>
      <c r="AK5775" s="172"/>
    </row>
    <row r="5776" spans="1:41" s="102" customFormat="1" ht="19.899999999999999" customHeight="1" x14ac:dyDescent="0.25">
      <c r="A5776" s="45"/>
      <c r="B5776" s="59"/>
      <c r="C5776" s="137"/>
      <c r="D5776" s="59"/>
      <c r="E5776" s="116"/>
      <c r="F5776" s="120"/>
      <c r="G5776" s="120"/>
      <c r="H5776" s="120"/>
      <c r="I5776" s="60"/>
      <c r="J5776" s="116"/>
      <c r="K5776" s="213"/>
      <c r="L5776" s="120"/>
      <c r="M5776" s="120"/>
      <c r="N5776" s="167"/>
      <c r="O5776" s="120"/>
      <c r="P5776" s="120"/>
      <c r="Q5776" s="120"/>
      <c r="R5776" s="120"/>
      <c r="S5776" s="120"/>
      <c r="T5776" s="221"/>
      <c r="U5776" s="89"/>
      <c r="V5776" s="61"/>
      <c r="W5776" s="92" t="s">
        <v>131</v>
      </c>
      <c r="X5776" s="93" t="s">
        <v>29</v>
      </c>
      <c r="Y5776" s="93" t="s">
        <v>93</v>
      </c>
      <c r="Z5776" s="134">
        <f>VLOOKUP(W5776,Sheet2!$B:$D,3,FALSE)</f>
        <v>131.19999999999999</v>
      </c>
      <c r="AA5776" s="93">
        <f>100/(3.5*3.5*6)</f>
        <v>1.3605442176870748</v>
      </c>
      <c r="AB5776" s="93">
        <f t="shared" ref="AB5776" si="4049">AD5776/AC5775</f>
        <v>96.431999999999988</v>
      </c>
      <c r="AC5776" s="93">
        <f>AC5775/AA5776</f>
        <v>8.8199999999999917E-2</v>
      </c>
      <c r="AD5776" s="94">
        <f t="shared" ref="AD5776:AD5777" si="4050">AC5776*Z5776</f>
        <v>11.571839999999987</v>
      </c>
      <c r="AE5776" s="190"/>
      <c r="AF5776" s="191"/>
      <c r="AG5776" s="191"/>
      <c r="AH5776" s="191"/>
      <c r="AI5776" s="186"/>
      <c r="AK5776" s="171"/>
    </row>
    <row r="5777" spans="1:37" s="102" customFormat="1" ht="19.899999999999999" customHeight="1" x14ac:dyDescent="0.25">
      <c r="A5777" s="45"/>
      <c r="B5777" s="59"/>
      <c r="C5777" s="137"/>
      <c r="D5777" s="59"/>
      <c r="E5777" s="116"/>
      <c r="F5777" s="120"/>
      <c r="G5777" s="120"/>
      <c r="H5777" s="120"/>
      <c r="I5777" s="60"/>
      <c r="J5777" s="116"/>
      <c r="K5777" s="213"/>
      <c r="L5777" s="120"/>
      <c r="M5777" s="120"/>
      <c r="N5777" s="167"/>
      <c r="O5777" s="120"/>
      <c r="P5777" s="120"/>
      <c r="Q5777" s="120"/>
      <c r="R5777" s="120"/>
      <c r="S5777" s="120"/>
      <c r="T5777" s="221"/>
      <c r="U5777" s="89"/>
      <c r="V5777" s="61"/>
      <c r="W5777" s="92" t="s">
        <v>65</v>
      </c>
      <c r="X5777" s="93" t="s">
        <v>30</v>
      </c>
      <c r="Y5777" s="93" t="s">
        <v>1011</v>
      </c>
      <c r="Z5777" s="134">
        <f>VLOOKUP(W5777,Sheet2!$B:$D,3,FALSE)</f>
        <v>1.76</v>
      </c>
      <c r="AA5777" s="93">
        <f>AA5776/32</f>
        <v>4.2517006802721087E-2</v>
      </c>
      <c r="AB5777" s="93">
        <f>AD5777/AC5775</f>
        <v>41.395199999999996</v>
      </c>
      <c r="AC5777" s="93">
        <f>AC5775/AA5777</f>
        <v>2.8223999999999974</v>
      </c>
      <c r="AD5777" s="94">
        <f t="shared" si="4050"/>
        <v>4.967423999999995</v>
      </c>
      <c r="AE5777" s="190"/>
      <c r="AF5777" s="191"/>
      <c r="AG5777" s="191"/>
      <c r="AH5777" s="191"/>
      <c r="AI5777" s="186"/>
      <c r="AK5777" s="171"/>
    </row>
    <row r="5778" spans="1:37" s="102" customFormat="1" ht="19.899999999999999" customHeight="1" x14ac:dyDescent="0.25">
      <c r="A5778" s="45"/>
      <c r="B5778" s="59"/>
      <c r="C5778" s="137"/>
      <c r="D5778" s="59"/>
      <c r="E5778" s="116"/>
      <c r="F5778" s="120"/>
      <c r="G5778" s="120"/>
      <c r="H5778" s="120"/>
      <c r="I5778" s="60"/>
      <c r="J5778" s="116"/>
      <c r="K5778" s="213"/>
      <c r="L5778" s="120"/>
      <c r="M5778" s="120"/>
      <c r="N5778" s="167"/>
      <c r="O5778" s="120"/>
      <c r="P5778" s="120"/>
      <c r="Q5778" s="120"/>
      <c r="R5778" s="120"/>
      <c r="S5778" s="120"/>
      <c r="T5778" s="221"/>
      <c r="U5778" s="89"/>
      <c r="V5778" s="61"/>
      <c r="W5778" s="92" t="s">
        <v>161</v>
      </c>
      <c r="X5778" s="93" t="s">
        <v>29</v>
      </c>
      <c r="Y5778" s="93" t="s">
        <v>93</v>
      </c>
      <c r="Z5778" s="134">
        <f>VLOOKUP(W5778,Sheet2!$B:$D,3,FALSE)</f>
        <v>48</v>
      </c>
      <c r="AA5778" s="93">
        <f>(16*0.85*1.5)/(3.5*3.5*6)</f>
        <v>0.27755102040816326</v>
      </c>
      <c r="AB5778" s="93">
        <f>AD5778/AC5775</f>
        <v>172.94117647058823</v>
      </c>
      <c r="AC5778" s="93">
        <f>AC5775/AA5778</f>
        <v>0.43235294117647016</v>
      </c>
      <c r="AD5778" s="94">
        <f>AC5778*Z5778</f>
        <v>20.752941176470568</v>
      </c>
      <c r="AE5778" s="190"/>
      <c r="AF5778" s="191"/>
      <c r="AG5778" s="191"/>
      <c r="AH5778" s="191"/>
      <c r="AI5778" s="186"/>
      <c r="AK5778" s="171"/>
    </row>
    <row r="5779" spans="1:37" s="102" customFormat="1" ht="19.899999999999999" customHeight="1" x14ac:dyDescent="0.25">
      <c r="A5779" s="45"/>
      <c r="B5779" s="59"/>
      <c r="C5779" s="137"/>
      <c r="D5779" s="59"/>
      <c r="E5779" s="116"/>
      <c r="F5779" s="120"/>
      <c r="G5779" s="120"/>
      <c r="H5779" s="120"/>
      <c r="I5779" s="60"/>
      <c r="J5779" s="116"/>
      <c r="K5779" s="213"/>
      <c r="L5779" s="120"/>
      <c r="M5779" s="120"/>
      <c r="N5779" s="167"/>
      <c r="O5779" s="120"/>
      <c r="P5779" s="120"/>
      <c r="Q5779" s="120"/>
      <c r="R5779" s="120"/>
      <c r="S5779" s="120"/>
      <c r="T5779" s="221"/>
      <c r="U5779" s="89"/>
      <c r="V5779" s="61"/>
      <c r="W5779" s="92" t="s">
        <v>65</v>
      </c>
      <c r="X5779" s="93" t="s">
        <v>30</v>
      </c>
      <c r="Y5779" s="93" t="s">
        <v>1011</v>
      </c>
      <c r="Z5779" s="134">
        <f>VLOOKUP(W5779,Sheet2!$B:$D,3,FALSE)</f>
        <v>1.76</v>
      </c>
      <c r="AA5779" s="93">
        <f>AA5778/10</f>
        <v>2.7755102040816326E-2</v>
      </c>
      <c r="AB5779" s="93">
        <f>AD5779/AC5775</f>
        <v>63.411764705882362</v>
      </c>
      <c r="AC5779" s="93">
        <f>AC5775/AA5779</f>
        <v>4.3235294117647021</v>
      </c>
      <c r="AD5779" s="94">
        <f>AC5779*Z5779</f>
        <v>7.6094117647058761</v>
      </c>
      <c r="AE5779" s="190"/>
      <c r="AF5779" s="191"/>
      <c r="AG5779" s="191"/>
      <c r="AH5779" s="191"/>
      <c r="AI5779" s="186"/>
      <c r="AK5779" s="171"/>
    </row>
    <row r="5780" spans="1:37" s="103" customFormat="1" ht="19.899999999999999" customHeight="1" x14ac:dyDescent="0.25">
      <c r="A5780" s="51"/>
      <c r="B5780" s="52"/>
      <c r="C5780" s="165"/>
      <c r="D5780" s="52"/>
      <c r="E5780" s="115"/>
      <c r="F5780" s="58"/>
      <c r="G5780" s="58"/>
      <c r="H5780" s="58"/>
      <c r="I5780" s="55"/>
      <c r="J5780" s="113">
        <f>J5774</f>
        <v>0.11999999999999988</v>
      </c>
      <c r="K5780" s="212">
        <f>K5774</f>
        <v>0.11999999999999988</v>
      </c>
      <c r="L5780" s="58"/>
      <c r="M5780" s="58">
        <f>K5780-L5780</f>
        <v>0.11999999999999988</v>
      </c>
      <c r="N5780" s="166"/>
      <c r="O5780" s="58"/>
      <c r="P5780" s="58"/>
      <c r="Q5780" s="58"/>
      <c r="R5780" s="58"/>
      <c r="S5780" s="58"/>
      <c r="T5780" s="220"/>
      <c r="U5780" s="88"/>
      <c r="V5780" s="56"/>
      <c r="W5780" s="57" t="s">
        <v>1486</v>
      </c>
      <c r="X5780" s="53"/>
      <c r="Y5780" s="91" t="s">
        <v>35</v>
      </c>
      <c r="Z5780" s="136">
        <f>AD5780/AC5780</f>
        <v>2396.5660000000003</v>
      </c>
      <c r="AA5780" s="58"/>
      <c r="AB5780" s="53">
        <f>AD5780/AC5780</f>
        <v>2396.5660000000003</v>
      </c>
      <c r="AC5780" s="53">
        <f>M5780+$AE$10</f>
        <v>0.11999999999999988</v>
      </c>
      <c r="AD5780" s="54">
        <f>SUM(AD5781:AD5786)</f>
        <v>287.58791999999977</v>
      </c>
      <c r="AE5780" s="184">
        <f>SUMIFS($AD$37:$AD$12971,$V$37:$V$12971,$V5780,$X$37:$X$12971,AE$13)</f>
        <v>0</v>
      </c>
      <c r="AF5780" s="185">
        <f>SUMIFS($AD$37:$AD$12971,$V$37:$V$12971,$V5780,$X$37:$X$12971,AF$13)</f>
        <v>0</v>
      </c>
      <c r="AG5780" s="185">
        <f>SUMIFS($AD$37:$AD$12971,$V$37:$V$12971,$V5780,$X$37:$X$12971,AG$13)</f>
        <v>0</v>
      </c>
      <c r="AH5780" s="187">
        <f>SUMIFS($AD$37:$AD$12971,$V$37:$V$12971,$V5780,$X$37:$X$12971,AH$13)</f>
        <v>0</v>
      </c>
      <c r="AI5780" s="161">
        <f t="shared" ref="AI5780" si="4051">SUM(AE5780:AH5780)</f>
        <v>0</v>
      </c>
      <c r="AK5780" s="172"/>
    </row>
    <row r="5781" spans="1:37" s="102" customFormat="1" ht="19.899999999999999" customHeight="1" x14ac:dyDescent="0.25">
      <c r="A5781" s="45"/>
      <c r="B5781" s="59"/>
      <c r="C5781" s="137"/>
      <c r="D5781" s="59"/>
      <c r="E5781" s="116"/>
      <c r="F5781" s="120"/>
      <c r="G5781" s="120"/>
      <c r="H5781" s="120"/>
      <c r="I5781" s="60"/>
      <c r="J5781" s="116"/>
      <c r="K5781" s="213"/>
      <c r="L5781" s="120"/>
      <c r="M5781" s="120"/>
      <c r="N5781" s="167"/>
      <c r="O5781" s="120"/>
      <c r="P5781" s="120"/>
      <c r="Q5781" s="120"/>
      <c r="R5781" s="120"/>
      <c r="S5781" s="120"/>
      <c r="T5781" s="221"/>
      <c r="U5781" s="89"/>
      <c r="V5781" s="61"/>
      <c r="W5781" s="92" t="s">
        <v>1032</v>
      </c>
      <c r="X5781" s="93" t="s">
        <v>30</v>
      </c>
      <c r="Y5781" s="93" t="s">
        <v>66</v>
      </c>
      <c r="Z5781" s="134">
        <f>VLOOKUP(W5781,Sheet2!$B:$D,3,FALSE)</f>
        <v>250</v>
      </c>
      <c r="AA5781" s="93">
        <f>1/(2.7*2.7*0.1)</f>
        <v>1.371742112482853</v>
      </c>
      <c r="AB5781" s="93">
        <f>AD5781/AC5787</f>
        <v>182.25000000000003</v>
      </c>
      <c r="AC5781" s="93">
        <f>AC5787/AA5781</f>
        <v>8.7479999999999933E-2</v>
      </c>
      <c r="AD5781" s="94">
        <f t="shared" ref="AD5781:AD5783" si="4052">AC5781*Z5781</f>
        <v>21.869999999999983</v>
      </c>
      <c r="AE5781" s="190"/>
      <c r="AF5781" s="191"/>
      <c r="AG5781" s="191"/>
      <c r="AH5781" s="191"/>
      <c r="AI5781" s="186"/>
      <c r="AK5781" s="171"/>
    </row>
    <row r="5782" spans="1:37" s="102" customFormat="1" ht="19.899999999999999" customHeight="1" x14ac:dyDescent="0.25">
      <c r="A5782" s="45"/>
      <c r="B5782" s="59"/>
      <c r="C5782" s="137"/>
      <c r="D5782" s="59"/>
      <c r="E5782" s="116"/>
      <c r="F5782" s="120"/>
      <c r="G5782" s="120"/>
      <c r="H5782" s="120"/>
      <c r="I5782" s="60"/>
      <c r="J5782" s="116"/>
      <c r="K5782" s="213"/>
      <c r="L5782" s="120"/>
      <c r="M5782" s="120"/>
      <c r="N5782" s="167"/>
      <c r="O5782" s="120"/>
      <c r="P5782" s="120"/>
      <c r="Q5782" s="120"/>
      <c r="R5782" s="120"/>
      <c r="S5782" s="120"/>
      <c r="T5782" s="221"/>
      <c r="U5782" s="89"/>
      <c r="V5782" s="61"/>
      <c r="W5782" s="92" t="s">
        <v>1353</v>
      </c>
      <c r="X5782" s="93" t="s">
        <v>30</v>
      </c>
      <c r="Y5782" s="93" t="s">
        <v>66</v>
      </c>
      <c r="Z5782" s="134">
        <f>VLOOKUP(W5782,Sheet2!$B:$D,3,FALSE)</f>
        <v>350</v>
      </c>
      <c r="AA5782" s="93">
        <f>1/(2.6*2.6*0.3)</f>
        <v>0.49309664694280081</v>
      </c>
      <c r="AB5782" s="93">
        <f>AD5782/AC5787</f>
        <v>709.8</v>
      </c>
      <c r="AC5782" s="93">
        <f>AC5787/AA5782</f>
        <v>0.24335999999999974</v>
      </c>
      <c r="AD5782" s="94">
        <f t="shared" si="4052"/>
        <v>85.175999999999917</v>
      </c>
      <c r="AE5782" s="190"/>
      <c r="AF5782" s="191"/>
      <c r="AG5782" s="191"/>
      <c r="AH5782" s="191"/>
      <c r="AI5782" s="186"/>
      <c r="AK5782" s="171"/>
    </row>
    <row r="5783" spans="1:37" s="102" customFormat="1" ht="19.899999999999999" customHeight="1" x14ac:dyDescent="0.25">
      <c r="A5783" s="45"/>
      <c r="B5783" s="59"/>
      <c r="C5783" s="137"/>
      <c r="D5783" s="59"/>
      <c r="E5783" s="116"/>
      <c r="F5783" s="120"/>
      <c r="G5783" s="120"/>
      <c r="H5783" s="120"/>
      <c r="I5783" s="60"/>
      <c r="J5783" s="116"/>
      <c r="K5783" s="213"/>
      <c r="L5783" s="120"/>
      <c r="M5783" s="120"/>
      <c r="N5783" s="167"/>
      <c r="O5783" s="120"/>
      <c r="P5783" s="120"/>
      <c r="Q5783" s="120"/>
      <c r="R5783" s="120"/>
      <c r="S5783" s="120"/>
      <c r="T5783" s="221"/>
      <c r="U5783" s="89"/>
      <c r="V5783" s="61"/>
      <c r="W5783" s="92" t="s">
        <v>99</v>
      </c>
      <c r="X5783" s="93" t="s">
        <v>30</v>
      </c>
      <c r="Y5783" s="93" t="s">
        <v>67</v>
      </c>
      <c r="Z5783" s="134">
        <f>VLOOKUP(W5783,Sheet2!$B:$D,3,FALSE)</f>
        <v>2500</v>
      </c>
      <c r="AA5783" s="93">
        <f>AA5782/0.08</f>
        <v>6.16370808678501</v>
      </c>
      <c r="AB5783" s="93">
        <f>AD5783/AC5787</f>
        <v>405.6</v>
      </c>
      <c r="AC5783" s="93">
        <f>AC5787/AA5783</f>
        <v>1.9468799999999981E-2</v>
      </c>
      <c r="AD5783" s="94">
        <f t="shared" si="4052"/>
        <v>48.671999999999954</v>
      </c>
      <c r="AE5783" s="190"/>
      <c r="AF5783" s="191"/>
      <c r="AG5783" s="191"/>
      <c r="AH5783" s="191"/>
      <c r="AI5783" s="186"/>
      <c r="AK5783" s="171"/>
    </row>
    <row r="5784" spans="1:37" s="102" customFormat="1" ht="19.899999999999999" customHeight="1" x14ac:dyDescent="0.25">
      <c r="A5784" s="45"/>
      <c r="B5784" s="59"/>
      <c r="C5784" s="137"/>
      <c r="D5784" s="59"/>
      <c r="E5784" s="116"/>
      <c r="F5784" s="120"/>
      <c r="G5784" s="120"/>
      <c r="H5784" s="120"/>
      <c r="I5784" s="60"/>
      <c r="J5784" s="116"/>
      <c r="K5784" s="213"/>
      <c r="L5784" s="120"/>
      <c r="M5784" s="120"/>
      <c r="N5784" s="167"/>
      <c r="O5784" s="120"/>
      <c r="P5784" s="120"/>
      <c r="Q5784" s="120"/>
      <c r="R5784" s="120"/>
      <c r="S5784" s="120"/>
      <c r="T5784" s="221"/>
      <c r="U5784" s="89"/>
      <c r="V5784" s="61"/>
      <c r="W5784" s="92" t="s">
        <v>1354</v>
      </c>
      <c r="X5784" s="93" t="s">
        <v>32</v>
      </c>
      <c r="Y5784" s="93" t="s">
        <v>66</v>
      </c>
      <c r="Z5784" s="134">
        <f>VLOOKUP(W5784,Sheet2!$B:$D,3,FALSE)</f>
        <v>150</v>
      </c>
      <c r="AA5784" s="93">
        <f>AA5781</f>
        <v>1.371742112482853</v>
      </c>
      <c r="AB5784" s="93">
        <f>AD5784/AC5787</f>
        <v>109.35000000000001</v>
      </c>
      <c r="AC5784" s="93">
        <f>AC5787/AA5784</f>
        <v>8.7479999999999933E-2</v>
      </c>
      <c r="AD5784" s="94">
        <f>AC5784*Z5784</f>
        <v>13.121999999999989</v>
      </c>
      <c r="AE5784" s="190"/>
      <c r="AF5784" s="191"/>
      <c r="AG5784" s="191"/>
      <c r="AH5784" s="191"/>
      <c r="AI5784" s="186"/>
      <c r="AK5784" s="171"/>
    </row>
    <row r="5785" spans="1:37" s="102" customFormat="1" ht="19.899999999999999" customHeight="1" x14ac:dyDescent="0.25">
      <c r="A5785" s="45"/>
      <c r="B5785" s="59"/>
      <c r="C5785" s="137"/>
      <c r="D5785" s="59"/>
      <c r="E5785" s="116"/>
      <c r="F5785" s="120"/>
      <c r="G5785" s="120"/>
      <c r="H5785" s="120"/>
      <c r="I5785" s="60"/>
      <c r="J5785" s="116"/>
      <c r="K5785" s="213"/>
      <c r="L5785" s="120"/>
      <c r="M5785" s="120"/>
      <c r="N5785" s="167"/>
      <c r="O5785" s="120"/>
      <c r="P5785" s="120"/>
      <c r="Q5785" s="120"/>
      <c r="R5785" s="120"/>
      <c r="S5785" s="120"/>
      <c r="T5785" s="221"/>
      <c r="U5785" s="89"/>
      <c r="V5785" s="61"/>
      <c r="W5785" s="92" t="s">
        <v>1355</v>
      </c>
      <c r="X5785" s="93" t="s">
        <v>32</v>
      </c>
      <c r="Y5785" s="93" t="s">
        <v>66</v>
      </c>
      <c r="Z5785" s="134">
        <f>VLOOKUP(W5785,Sheet2!$B:$D,3,FALSE)</f>
        <v>450</v>
      </c>
      <c r="AA5785" s="93">
        <f>AA5782</f>
        <v>0.49309664694280081</v>
      </c>
      <c r="AB5785" s="93">
        <f>AD5785/AC5787</f>
        <v>912.59999999999991</v>
      </c>
      <c r="AC5785" s="93">
        <f>AC5787/AA5785</f>
        <v>0.24335999999999974</v>
      </c>
      <c r="AD5785" s="94">
        <f>AC5785*Z5785</f>
        <v>109.51199999999989</v>
      </c>
      <c r="AE5785" s="190"/>
      <c r="AF5785" s="191"/>
      <c r="AG5785" s="191"/>
      <c r="AH5785" s="191"/>
      <c r="AI5785" s="186"/>
      <c r="AK5785" s="171"/>
    </row>
    <row r="5786" spans="1:37" s="102" customFormat="1" ht="19.899999999999999" customHeight="1" x14ac:dyDescent="0.25">
      <c r="A5786" s="45"/>
      <c r="B5786" s="59"/>
      <c r="C5786" s="137"/>
      <c r="D5786" s="59"/>
      <c r="E5786" s="116"/>
      <c r="F5786" s="120"/>
      <c r="G5786" s="120"/>
      <c r="H5786" s="120"/>
      <c r="I5786" s="60"/>
      <c r="J5786" s="116"/>
      <c r="K5786" s="213"/>
      <c r="L5786" s="120"/>
      <c r="M5786" s="120"/>
      <c r="N5786" s="167"/>
      <c r="O5786" s="120"/>
      <c r="P5786" s="120"/>
      <c r="Q5786" s="120"/>
      <c r="R5786" s="120"/>
      <c r="S5786" s="120"/>
      <c r="T5786" s="221"/>
      <c r="U5786" s="89"/>
      <c r="V5786" s="61"/>
      <c r="W5786" s="92" t="s">
        <v>124</v>
      </c>
      <c r="X5786" s="93" t="s">
        <v>32</v>
      </c>
      <c r="Y5786" s="93" t="s">
        <v>64</v>
      </c>
      <c r="Z5786" s="134">
        <f>VLOOKUP(W5786,Sheet2!$B:$D,3,FALSE)</f>
        <v>10</v>
      </c>
      <c r="AA5786" s="93">
        <f>1/((3.2*3.2)-(3.14*1.8*1.8/4))</f>
        <v>0.12992750045474621</v>
      </c>
      <c r="AB5786" s="93">
        <f t="shared" ref="AB5786" si="4053">AD5786/AC5780</f>
        <v>76.966000000000037</v>
      </c>
      <c r="AC5786" s="93">
        <f>AC5780/AA5786</f>
        <v>0.92359199999999941</v>
      </c>
      <c r="AD5786" s="94">
        <f t="shared" ref="AD5786" si="4054">AC5786*Z5786</f>
        <v>9.2359199999999948</v>
      </c>
      <c r="AE5786" s="190"/>
      <c r="AF5786" s="191"/>
      <c r="AG5786" s="191"/>
      <c r="AH5786" s="191"/>
      <c r="AI5786" s="186"/>
      <c r="AK5786" s="171"/>
    </row>
    <row r="5787" spans="1:37" s="103" customFormat="1" ht="19.899999999999999" customHeight="1" x14ac:dyDescent="0.25">
      <c r="A5787" s="51"/>
      <c r="B5787" s="52"/>
      <c r="C5787" s="165"/>
      <c r="D5787" s="52"/>
      <c r="E5787" s="115"/>
      <c r="F5787" s="58"/>
      <c r="G5787" s="58"/>
      <c r="H5787" s="58"/>
      <c r="I5787" s="55"/>
      <c r="J5787" s="113">
        <f>J5774</f>
        <v>0.11999999999999988</v>
      </c>
      <c r="K5787" s="212">
        <f>K5774</f>
        <v>0.11999999999999988</v>
      </c>
      <c r="L5787" s="58"/>
      <c r="M5787" s="58">
        <f>K5787-L5787</f>
        <v>0.11999999999999988</v>
      </c>
      <c r="N5787" s="166"/>
      <c r="O5787" s="58"/>
      <c r="P5787" s="58"/>
      <c r="Q5787" s="58"/>
      <c r="R5787" s="58"/>
      <c r="S5787" s="58"/>
      <c r="T5787" s="220"/>
      <c r="U5787" s="88"/>
      <c r="V5787" s="56"/>
      <c r="W5787" s="57" t="s">
        <v>1275</v>
      </c>
      <c r="X5787" s="53"/>
      <c r="Y5787" s="91" t="s">
        <v>35</v>
      </c>
      <c r="Z5787" s="136">
        <f>AD5787/AC5787</f>
        <v>16722.8</v>
      </c>
      <c r="AA5787" s="58"/>
      <c r="AB5787" s="53">
        <f>AD5787/AC5787</f>
        <v>16722.8</v>
      </c>
      <c r="AC5787" s="53">
        <f>M5787+$AE$10</f>
        <v>0.11999999999999988</v>
      </c>
      <c r="AD5787" s="54">
        <f>SUM(AD5788:AD5794)</f>
        <v>2006.7359999999978</v>
      </c>
      <c r="AE5787" s="184">
        <f>SUMIFS($AD$37:$AD$12971,$V$37:$V$12971,$V5787,$X$37:$X$12971,AE$13)</f>
        <v>0</v>
      </c>
      <c r="AF5787" s="185">
        <f>SUMIFS($AD$37:$AD$12971,$V$37:$V$12971,$V5787,$X$37:$X$12971,AF$13)</f>
        <v>0</v>
      </c>
      <c r="AG5787" s="185">
        <f>SUMIFS($AD$37:$AD$12971,$V$37:$V$12971,$V5787,$X$37:$X$12971,AG$13)</f>
        <v>0</v>
      </c>
      <c r="AH5787" s="187">
        <f>SUMIFS($AD$37:$AD$12971,$V$37:$V$12971,$V5787,$X$37:$X$12971,AH$13)</f>
        <v>0</v>
      </c>
      <c r="AI5787" s="161">
        <f t="shared" ref="AI5787" si="4055">SUM(AE5787:AH5787)</f>
        <v>0</v>
      </c>
      <c r="AK5787" s="172"/>
    </row>
    <row r="5788" spans="1:37" s="102" customFormat="1" ht="19.899999999999999" customHeight="1" x14ac:dyDescent="0.25">
      <c r="A5788" s="45"/>
      <c r="B5788" s="59"/>
      <c r="C5788" s="137"/>
      <c r="D5788" s="59"/>
      <c r="E5788" s="116"/>
      <c r="F5788" s="120"/>
      <c r="G5788" s="120"/>
      <c r="H5788" s="120"/>
      <c r="I5788" s="60"/>
      <c r="J5788" s="116"/>
      <c r="K5788" s="213"/>
      <c r="L5788" s="120"/>
      <c r="M5788" s="120"/>
      <c r="N5788" s="167"/>
      <c r="O5788" s="120"/>
      <c r="P5788" s="120"/>
      <c r="Q5788" s="120"/>
      <c r="R5788" s="120"/>
      <c r="S5788" s="120"/>
      <c r="T5788" s="221"/>
      <c r="U5788" s="89"/>
      <c r="V5788" s="61"/>
      <c r="W5788" s="92" t="s">
        <v>1558</v>
      </c>
      <c r="X5788" s="93" t="s">
        <v>30</v>
      </c>
      <c r="Y5788" s="93" t="s">
        <v>35</v>
      </c>
      <c r="Z5788" s="134">
        <f>VLOOKUP(W5788,Sheet2!$B:$D,3,FALSE)</f>
        <v>11450</v>
      </c>
      <c r="AA5788" s="93">
        <v>1</v>
      </c>
      <c r="AB5788" s="93">
        <f>AD5788/AC5787</f>
        <v>11450</v>
      </c>
      <c r="AC5788" s="93">
        <f>AC5787/AA5788</f>
        <v>0.11999999999999988</v>
      </c>
      <c r="AD5788" s="94">
        <f t="shared" ref="AD5788:AD5790" si="4056">AC5788*Z5788</f>
        <v>1373.9999999999986</v>
      </c>
      <c r="AE5788" s="190"/>
      <c r="AF5788" s="191"/>
      <c r="AG5788" s="191"/>
      <c r="AH5788" s="191"/>
      <c r="AI5788" s="186"/>
      <c r="AK5788" s="171"/>
    </row>
    <row r="5789" spans="1:37" s="102" customFormat="1" ht="19.899999999999999" customHeight="1" x14ac:dyDescent="0.25">
      <c r="A5789" s="45"/>
      <c r="B5789" s="59"/>
      <c r="C5789" s="137"/>
      <c r="D5789" s="59"/>
      <c r="E5789" s="116"/>
      <c r="F5789" s="120"/>
      <c r="G5789" s="120"/>
      <c r="H5789" s="120"/>
      <c r="I5789" s="60"/>
      <c r="J5789" s="116"/>
      <c r="K5789" s="213"/>
      <c r="L5789" s="120"/>
      <c r="M5789" s="120"/>
      <c r="N5789" s="167"/>
      <c r="O5789" s="120"/>
      <c r="P5789" s="120"/>
      <c r="Q5789" s="120"/>
      <c r="R5789" s="120"/>
      <c r="S5789" s="120"/>
      <c r="T5789" s="221"/>
      <c r="U5789" s="89"/>
      <c r="V5789" s="61"/>
      <c r="W5789" s="92" t="s">
        <v>1542</v>
      </c>
      <c r="X5789" s="93" t="s">
        <v>30</v>
      </c>
      <c r="Y5789" s="93" t="s">
        <v>1349</v>
      </c>
      <c r="Z5789" s="134">
        <f>VLOOKUP(W5789,Sheet2!$B:$D,3,FALSE)</f>
        <v>3500</v>
      </c>
      <c r="AA5789" s="93">
        <v>1</v>
      </c>
      <c r="AB5789" s="93">
        <f>AD5789/AC5787</f>
        <v>3500</v>
      </c>
      <c r="AC5789" s="93">
        <f>AC5787/AA5789</f>
        <v>0.11999999999999988</v>
      </c>
      <c r="AD5789" s="94">
        <f t="shared" si="4056"/>
        <v>419.9999999999996</v>
      </c>
      <c r="AE5789" s="190"/>
      <c r="AF5789" s="191"/>
      <c r="AG5789" s="191"/>
      <c r="AH5789" s="191"/>
      <c r="AI5789" s="186"/>
      <c r="AK5789" s="171"/>
    </row>
    <row r="5790" spans="1:37" s="102" customFormat="1" ht="19.899999999999999" customHeight="1" x14ac:dyDescent="0.25">
      <c r="A5790" s="45"/>
      <c r="B5790" s="59"/>
      <c r="C5790" s="137"/>
      <c r="D5790" s="59"/>
      <c r="E5790" s="116"/>
      <c r="F5790" s="120"/>
      <c r="G5790" s="120"/>
      <c r="H5790" s="120"/>
      <c r="I5790" s="60"/>
      <c r="J5790" s="116"/>
      <c r="K5790" s="213"/>
      <c r="L5790" s="120"/>
      <c r="M5790" s="120"/>
      <c r="N5790" s="167"/>
      <c r="O5790" s="120"/>
      <c r="P5790" s="120"/>
      <c r="Q5790" s="120"/>
      <c r="R5790" s="120"/>
      <c r="S5790" s="120"/>
      <c r="T5790" s="221"/>
      <c r="U5790" s="89"/>
      <c r="V5790" s="61"/>
      <c r="W5790" s="92" t="s">
        <v>174</v>
      </c>
      <c r="X5790" s="93" t="s">
        <v>29</v>
      </c>
      <c r="Y5790" s="93" t="s">
        <v>93</v>
      </c>
      <c r="Z5790" s="134">
        <f>VLOOKUP(W5790,Sheet2!$B:$D,3,FALSE)</f>
        <v>80</v>
      </c>
      <c r="AA5790" s="93">
        <f>1/2</f>
        <v>0.5</v>
      </c>
      <c r="AB5790" s="93">
        <f>AD5790/AC5787</f>
        <v>160</v>
      </c>
      <c r="AC5790" s="93">
        <f>AC5787/AA5790</f>
        <v>0.23999999999999977</v>
      </c>
      <c r="AD5790" s="94">
        <f t="shared" si="4056"/>
        <v>19.199999999999982</v>
      </c>
      <c r="AE5790" s="190"/>
      <c r="AF5790" s="191"/>
      <c r="AG5790" s="191"/>
      <c r="AH5790" s="191"/>
      <c r="AI5790" s="186"/>
      <c r="AK5790" s="171"/>
    </row>
    <row r="5791" spans="1:37" s="102" customFormat="1" ht="19.899999999999999" customHeight="1" x14ac:dyDescent="0.25">
      <c r="A5791" s="45"/>
      <c r="B5791" s="59"/>
      <c r="C5791" s="137"/>
      <c r="D5791" s="59"/>
      <c r="E5791" s="116"/>
      <c r="F5791" s="120"/>
      <c r="G5791" s="120"/>
      <c r="H5791" s="120"/>
      <c r="I5791" s="60"/>
      <c r="J5791" s="116"/>
      <c r="K5791" s="213"/>
      <c r="L5791" s="120"/>
      <c r="M5791" s="120"/>
      <c r="N5791" s="167"/>
      <c r="O5791" s="120"/>
      <c r="P5791" s="120"/>
      <c r="Q5791" s="120"/>
      <c r="R5791" s="120"/>
      <c r="S5791" s="120"/>
      <c r="T5791" s="221"/>
      <c r="U5791" s="89"/>
      <c r="V5791" s="61"/>
      <c r="W5791" s="92" t="s">
        <v>65</v>
      </c>
      <c r="X5791" s="93" t="s">
        <v>30</v>
      </c>
      <c r="Y5791" s="93" t="s">
        <v>93</v>
      </c>
      <c r="Z5791" s="134">
        <f>VLOOKUP(W5791,Sheet2!$B:$D,3,FALSE)</f>
        <v>1.76</v>
      </c>
      <c r="AA5791" s="93">
        <f>AA5790/15</f>
        <v>3.3333333333333333E-2</v>
      </c>
      <c r="AB5791" s="93">
        <f>AD5791/AC5787</f>
        <v>52.800000000000004</v>
      </c>
      <c r="AC5791" s="93">
        <f>AC5787/AA5791</f>
        <v>3.5999999999999965</v>
      </c>
      <c r="AD5791" s="94">
        <f>AC5791*Z5791</f>
        <v>6.3359999999999941</v>
      </c>
      <c r="AE5791" s="190"/>
      <c r="AF5791" s="191"/>
      <c r="AG5791" s="191"/>
      <c r="AH5791" s="191"/>
      <c r="AI5791" s="186"/>
      <c r="AK5791" s="171"/>
    </row>
    <row r="5792" spans="1:37" s="102" customFormat="1" ht="19.899999999999999" customHeight="1" x14ac:dyDescent="0.25">
      <c r="A5792" s="45"/>
      <c r="B5792" s="59"/>
      <c r="C5792" s="137"/>
      <c r="D5792" s="59"/>
      <c r="E5792" s="116"/>
      <c r="F5792" s="120"/>
      <c r="G5792" s="120"/>
      <c r="H5792" s="120"/>
      <c r="I5792" s="60"/>
      <c r="J5792" s="116"/>
      <c r="K5792" s="213"/>
      <c r="L5792" s="120"/>
      <c r="M5792" s="120"/>
      <c r="N5792" s="167"/>
      <c r="O5792" s="120"/>
      <c r="P5792" s="120"/>
      <c r="Q5792" s="120"/>
      <c r="R5792" s="120"/>
      <c r="S5792" s="120"/>
      <c r="T5792" s="221"/>
      <c r="U5792" s="89"/>
      <c r="V5792" s="61"/>
      <c r="W5792" s="92" t="s">
        <v>1487</v>
      </c>
      <c r="X5792" s="93" t="s">
        <v>32</v>
      </c>
      <c r="Y5792" s="93" t="s">
        <v>1349</v>
      </c>
      <c r="Z5792" s="134">
        <f>VLOOKUP(W5792,Sheet2!$B:$D,3,FALSE)</f>
        <v>1500</v>
      </c>
      <c r="AA5792" s="93">
        <v>1</v>
      </c>
      <c r="AB5792" s="93">
        <f>AD5792/AC5787</f>
        <v>1500</v>
      </c>
      <c r="AC5792" s="93">
        <f>AC5787/AA5792</f>
        <v>0.11999999999999988</v>
      </c>
      <c r="AD5792" s="94">
        <f>AC5792*Z5792</f>
        <v>179.99999999999983</v>
      </c>
      <c r="AE5792" s="190"/>
      <c r="AF5792" s="191"/>
      <c r="AG5792" s="191"/>
      <c r="AH5792" s="191"/>
      <c r="AI5792" s="186"/>
      <c r="AK5792" s="171"/>
    </row>
    <row r="5793" spans="1:41" s="102" customFormat="1" ht="19.899999999999999" customHeight="1" x14ac:dyDescent="0.25">
      <c r="A5793" s="45"/>
      <c r="B5793" s="59"/>
      <c r="C5793" s="137"/>
      <c r="D5793" s="59"/>
      <c r="E5793" s="116"/>
      <c r="F5793" s="120"/>
      <c r="G5793" s="120"/>
      <c r="H5793" s="120"/>
      <c r="I5793" s="60"/>
      <c r="J5793" s="116"/>
      <c r="K5793" s="213"/>
      <c r="L5793" s="120"/>
      <c r="M5793" s="120"/>
      <c r="N5793" s="167"/>
      <c r="O5793" s="120"/>
      <c r="P5793" s="120"/>
      <c r="Q5793" s="120"/>
      <c r="R5793" s="120"/>
      <c r="S5793" s="120"/>
      <c r="T5793" s="221"/>
      <c r="U5793" s="89"/>
      <c r="V5793" s="61"/>
      <c r="W5793" s="92" t="s">
        <v>107</v>
      </c>
      <c r="X5793" s="93" t="s">
        <v>31</v>
      </c>
      <c r="Y5793" s="93" t="s">
        <v>93</v>
      </c>
      <c r="Z5793" s="134">
        <f>VLOOKUP(W5793,Sheet2!$B:$D,3,FALSE)</f>
        <v>17</v>
      </c>
      <c r="AA5793" s="93">
        <f>AA5790</f>
        <v>0.5</v>
      </c>
      <c r="AB5793" s="93">
        <f>AD5793/AC5787</f>
        <v>34.000000000000007</v>
      </c>
      <c r="AC5793" s="93">
        <f>AC5787/AA5793</f>
        <v>0.23999999999999977</v>
      </c>
      <c r="AD5793" s="94">
        <f>AC5793*Z5793</f>
        <v>4.0799999999999965</v>
      </c>
      <c r="AE5793" s="190"/>
      <c r="AF5793" s="191"/>
      <c r="AG5793" s="191"/>
      <c r="AH5793" s="191"/>
      <c r="AI5793" s="186"/>
      <c r="AK5793" s="171"/>
    </row>
    <row r="5794" spans="1:41" s="102" customFormat="1" ht="19.899999999999999" customHeight="1" x14ac:dyDescent="0.25">
      <c r="A5794" s="45"/>
      <c r="B5794" s="59"/>
      <c r="C5794" s="137"/>
      <c r="D5794" s="59"/>
      <c r="E5794" s="116"/>
      <c r="F5794" s="120"/>
      <c r="G5794" s="120"/>
      <c r="H5794" s="120"/>
      <c r="I5794" s="60"/>
      <c r="J5794" s="116"/>
      <c r="K5794" s="213"/>
      <c r="L5794" s="120"/>
      <c r="M5794" s="120"/>
      <c r="N5794" s="167"/>
      <c r="O5794" s="120"/>
      <c r="P5794" s="120"/>
      <c r="Q5794" s="120"/>
      <c r="R5794" s="120"/>
      <c r="S5794" s="120"/>
      <c r="T5794" s="221"/>
      <c r="U5794" s="89"/>
      <c r="V5794" s="61"/>
      <c r="W5794" s="92" t="s">
        <v>112</v>
      </c>
      <c r="X5794" s="93" t="s">
        <v>31</v>
      </c>
      <c r="Y5794" s="93" t="s">
        <v>93</v>
      </c>
      <c r="Z5794" s="134">
        <f>VLOOKUP(W5794,Sheet2!$B:$D,3,FALSE)</f>
        <v>13</v>
      </c>
      <c r="AA5794" s="93">
        <f>AA5793</f>
        <v>0.5</v>
      </c>
      <c r="AB5794" s="93">
        <f>AD5794/AC5787</f>
        <v>26</v>
      </c>
      <c r="AC5794" s="93">
        <f>AC5787/AA5794</f>
        <v>0.23999999999999977</v>
      </c>
      <c r="AD5794" s="94">
        <f>AC5794*Z5794</f>
        <v>3.119999999999997</v>
      </c>
      <c r="AE5794" s="190"/>
      <c r="AF5794" s="191"/>
      <c r="AG5794" s="191"/>
      <c r="AH5794" s="191"/>
      <c r="AI5794" s="186"/>
      <c r="AK5794" s="171"/>
    </row>
    <row r="5795" spans="1:41" s="103" customFormat="1" ht="19.899999999999999" customHeight="1" x14ac:dyDescent="0.25">
      <c r="A5795" s="51"/>
      <c r="B5795" s="52"/>
      <c r="C5795" s="165"/>
      <c r="D5795" s="52"/>
      <c r="E5795" s="115"/>
      <c r="F5795" s="58"/>
      <c r="G5795" s="58"/>
      <c r="H5795" s="58"/>
      <c r="I5795" s="55"/>
      <c r="J5795" s="113">
        <f>J5774</f>
        <v>0.11999999999999988</v>
      </c>
      <c r="K5795" s="212">
        <f>K5774</f>
        <v>0.11999999999999988</v>
      </c>
      <c r="L5795" s="58"/>
      <c r="M5795" s="58">
        <f>K5795-L5795</f>
        <v>0.11999999999999988</v>
      </c>
      <c r="N5795" s="166"/>
      <c r="O5795" s="58"/>
      <c r="P5795" s="58"/>
      <c r="Q5795" s="58"/>
      <c r="R5795" s="58"/>
      <c r="S5795" s="58"/>
      <c r="T5795" s="220"/>
      <c r="U5795" s="88"/>
      <c r="V5795" s="56"/>
      <c r="W5795" s="57" t="s">
        <v>1272</v>
      </c>
      <c r="X5795" s="53"/>
      <c r="Y5795" s="91" t="s">
        <v>35</v>
      </c>
      <c r="Z5795" s="136">
        <f>AD5795/AC5795</f>
        <v>1047.1694298729412</v>
      </c>
      <c r="AA5795" s="58"/>
      <c r="AB5795" s="53">
        <f>AD5795/AC5795</f>
        <v>1047.1694298729412</v>
      </c>
      <c r="AC5795" s="53">
        <f>M5795+$AE$10</f>
        <v>0.11999999999999988</v>
      </c>
      <c r="AD5795" s="54">
        <f>SUM(AD5796:AD5804)</f>
        <v>125.66033158475284</v>
      </c>
      <c r="AE5795" s="184">
        <f>SUMIFS($AD$37:$AD$12971,$V$37:$V$12971,$V5795,$X$37:$X$12971,AE$13)</f>
        <v>0</v>
      </c>
      <c r="AF5795" s="185">
        <f>SUMIFS($AD$37:$AD$12971,$V$37:$V$12971,$V5795,$X$37:$X$12971,AF$13)</f>
        <v>0</v>
      </c>
      <c r="AG5795" s="185">
        <f>SUMIFS($AD$37:$AD$12971,$V$37:$V$12971,$V5795,$X$37:$X$12971,AG$13)</f>
        <v>0</v>
      </c>
      <c r="AH5795" s="187">
        <f>SUMIFS($AD$37:$AD$12971,$V$37:$V$12971,$V5795,$X$37:$X$12971,AH$13)</f>
        <v>0</v>
      </c>
      <c r="AI5795" s="161">
        <f t="shared" ref="AI5795" si="4057">SUM(AE5795:AH5795)</f>
        <v>0</v>
      </c>
      <c r="AK5795" s="172"/>
    </row>
    <row r="5796" spans="1:41" s="102" customFormat="1" ht="19.899999999999999" customHeight="1" x14ac:dyDescent="0.25">
      <c r="A5796" s="45"/>
      <c r="B5796" s="59"/>
      <c r="C5796" s="137"/>
      <c r="D5796" s="59"/>
      <c r="E5796" s="116"/>
      <c r="F5796" s="120"/>
      <c r="G5796" s="120"/>
      <c r="H5796" s="120"/>
      <c r="I5796" s="60"/>
      <c r="J5796" s="116"/>
      <c r="K5796" s="213"/>
      <c r="L5796" s="120"/>
      <c r="M5796" s="120"/>
      <c r="N5796" s="167"/>
      <c r="O5796" s="120"/>
      <c r="P5796" s="120"/>
      <c r="Q5796" s="120"/>
      <c r="R5796" s="120"/>
      <c r="S5796" s="120"/>
      <c r="T5796" s="221"/>
      <c r="U5796" s="89"/>
      <c r="V5796" s="61"/>
      <c r="W5796" s="92" t="s">
        <v>1273</v>
      </c>
      <c r="X5796" s="93" t="s">
        <v>30</v>
      </c>
      <c r="Y5796" s="93" t="s">
        <v>66</v>
      </c>
      <c r="Z5796" s="134">
        <f>VLOOKUP(W5796,Sheet2!$B:$D,3,FALSE)</f>
        <v>10</v>
      </c>
      <c r="AA5796" s="93">
        <f>1/((3.5*3.5*6)-(3.14/4*1.8*1.8*6))</f>
        <v>1.7170447599228016E-2</v>
      </c>
      <c r="AB5796" s="93">
        <f>AD5796/AC5795</f>
        <v>582.39600000000007</v>
      </c>
      <c r="AC5796" s="93">
        <f>AC5795/AA5796</f>
        <v>6.9887519999999936</v>
      </c>
      <c r="AD5796" s="94">
        <f t="shared" ref="AD5796:AD5798" si="4058">AC5796*Z5796</f>
        <v>69.887519999999938</v>
      </c>
      <c r="AE5796" s="190"/>
      <c r="AF5796" s="191"/>
      <c r="AG5796" s="191"/>
      <c r="AH5796" s="191"/>
      <c r="AI5796" s="186"/>
      <c r="AK5796" s="171"/>
    </row>
    <row r="5797" spans="1:41" s="102" customFormat="1" ht="19.899999999999999" customHeight="1" x14ac:dyDescent="0.25">
      <c r="A5797" s="45"/>
      <c r="B5797" s="59"/>
      <c r="C5797" s="137"/>
      <c r="D5797" s="59"/>
      <c r="E5797" s="116"/>
      <c r="F5797" s="120"/>
      <c r="G5797" s="120"/>
      <c r="H5797" s="120"/>
      <c r="I5797" s="60"/>
      <c r="J5797" s="116"/>
      <c r="K5797" s="213"/>
      <c r="L5797" s="120"/>
      <c r="M5797" s="120"/>
      <c r="N5797" s="167"/>
      <c r="O5797" s="120"/>
      <c r="P5797" s="120"/>
      <c r="Q5797" s="120"/>
      <c r="R5797" s="120"/>
      <c r="S5797" s="120"/>
      <c r="T5797" s="221"/>
      <c r="U5797" s="89"/>
      <c r="V5797" s="61"/>
      <c r="W5797" s="92" t="s">
        <v>134</v>
      </c>
      <c r="X5797" s="93" t="s">
        <v>29</v>
      </c>
      <c r="Y5797" s="93" t="s">
        <v>93</v>
      </c>
      <c r="Z5797" s="134">
        <f>VLOOKUP(W5797,Sheet2!$B:$D,3,FALSE)</f>
        <v>65.599999999999994</v>
      </c>
      <c r="AA5797" s="93">
        <f>100/((3.5*3.5*6)-(3.14/4*1.8*1.8*6))</f>
        <v>1.7170447599228018</v>
      </c>
      <c r="AB5797" s="93">
        <f t="shared" ref="AB5797" si="4059">AD5797/AC5795</f>
        <v>38.205177599999992</v>
      </c>
      <c r="AC5797" s="93">
        <f>AC5795/AA5797</f>
        <v>6.9887519999999925E-2</v>
      </c>
      <c r="AD5797" s="94">
        <f t="shared" si="4058"/>
        <v>4.584621311999995</v>
      </c>
      <c r="AE5797" s="190"/>
      <c r="AF5797" s="191"/>
      <c r="AG5797" s="191"/>
      <c r="AH5797" s="191"/>
      <c r="AI5797" s="186"/>
      <c r="AK5797" s="171"/>
    </row>
    <row r="5798" spans="1:41" s="102" customFormat="1" ht="19.899999999999999" customHeight="1" x14ac:dyDescent="0.25">
      <c r="A5798" s="45"/>
      <c r="B5798" s="59"/>
      <c r="C5798" s="137"/>
      <c r="D5798" s="59"/>
      <c r="E5798" s="116"/>
      <c r="F5798" s="120"/>
      <c r="G5798" s="120"/>
      <c r="H5798" s="120"/>
      <c r="I5798" s="60"/>
      <c r="J5798" s="116"/>
      <c r="K5798" s="213"/>
      <c r="L5798" s="120"/>
      <c r="M5798" s="120"/>
      <c r="N5798" s="167"/>
      <c r="O5798" s="120"/>
      <c r="P5798" s="120"/>
      <c r="Q5798" s="120"/>
      <c r="R5798" s="120"/>
      <c r="S5798" s="120"/>
      <c r="T5798" s="221"/>
      <c r="U5798" s="89"/>
      <c r="V5798" s="61"/>
      <c r="W5798" s="92" t="s">
        <v>65</v>
      </c>
      <c r="X5798" s="93" t="s">
        <v>30</v>
      </c>
      <c r="Y5798" s="93" t="s">
        <v>1011</v>
      </c>
      <c r="Z5798" s="134">
        <f>VLOOKUP(W5798,Sheet2!$B:$D,3,FALSE)</f>
        <v>1.76</v>
      </c>
      <c r="AA5798" s="93">
        <f>AA5797/9</f>
        <v>0.19078275110253354</v>
      </c>
      <c r="AB5798" s="93">
        <f>AD5798/AC5795</f>
        <v>9.225152640000001</v>
      </c>
      <c r="AC5798" s="93">
        <f>AC5795/AA5798</f>
        <v>0.62898767999999938</v>
      </c>
      <c r="AD5798" s="94">
        <f t="shared" si="4058"/>
        <v>1.107018316799999</v>
      </c>
      <c r="AE5798" s="190"/>
      <c r="AF5798" s="191"/>
      <c r="AG5798" s="191"/>
      <c r="AH5798" s="191"/>
      <c r="AI5798" s="186"/>
      <c r="AK5798" s="171"/>
    </row>
    <row r="5799" spans="1:41" s="102" customFormat="1" ht="19.899999999999999" customHeight="1" x14ac:dyDescent="0.25">
      <c r="A5799" s="45"/>
      <c r="B5799" s="59"/>
      <c r="C5799" s="137"/>
      <c r="D5799" s="59"/>
      <c r="E5799" s="116"/>
      <c r="F5799" s="120"/>
      <c r="G5799" s="120"/>
      <c r="H5799" s="120"/>
      <c r="I5799" s="60"/>
      <c r="J5799" s="116"/>
      <c r="K5799" s="213"/>
      <c r="L5799" s="120"/>
      <c r="M5799" s="120"/>
      <c r="N5799" s="167"/>
      <c r="O5799" s="120"/>
      <c r="P5799" s="120"/>
      <c r="Q5799" s="120"/>
      <c r="R5799" s="120"/>
      <c r="S5799" s="120"/>
      <c r="T5799" s="221"/>
      <c r="U5799" s="89"/>
      <c r="V5799" s="61"/>
      <c r="W5799" s="92" t="s">
        <v>161</v>
      </c>
      <c r="X5799" s="93" t="s">
        <v>29</v>
      </c>
      <c r="Y5799" s="93" t="s">
        <v>93</v>
      </c>
      <c r="Z5799" s="134">
        <f>VLOOKUP(W5799,Sheet2!$B:$D,3,FALSE)</f>
        <v>48</v>
      </c>
      <c r="AA5799" s="93">
        <f>(16*0.85*1.5)/((3.5*3.5*6)-(3.14/4*1.8*1.8*6))</f>
        <v>0.35027713102425156</v>
      </c>
      <c r="AB5799" s="93">
        <f>AD5799/AC5795</f>
        <v>137.03435294117645</v>
      </c>
      <c r="AC5799" s="93">
        <f>AC5795/AA5799</f>
        <v>0.3425858823529408</v>
      </c>
      <c r="AD5799" s="94">
        <f>AC5799*Z5799</f>
        <v>16.444122352941157</v>
      </c>
      <c r="AE5799" s="190"/>
      <c r="AF5799" s="191"/>
      <c r="AG5799" s="191"/>
      <c r="AH5799" s="191"/>
      <c r="AI5799" s="186"/>
      <c r="AK5799" s="171"/>
    </row>
    <row r="5800" spans="1:41" s="102" customFormat="1" ht="19.899999999999999" customHeight="1" x14ac:dyDescent="0.25">
      <c r="A5800" s="45"/>
      <c r="B5800" s="59"/>
      <c r="C5800" s="137"/>
      <c r="D5800" s="59"/>
      <c r="E5800" s="116"/>
      <c r="F5800" s="120"/>
      <c r="G5800" s="120"/>
      <c r="H5800" s="120"/>
      <c r="I5800" s="60"/>
      <c r="J5800" s="116"/>
      <c r="K5800" s="213"/>
      <c r="L5800" s="120"/>
      <c r="M5800" s="120"/>
      <c r="N5800" s="167"/>
      <c r="O5800" s="120"/>
      <c r="P5800" s="120"/>
      <c r="Q5800" s="120"/>
      <c r="R5800" s="120"/>
      <c r="S5800" s="120"/>
      <c r="T5800" s="221"/>
      <c r="U5800" s="89"/>
      <c r="V5800" s="61"/>
      <c r="W5800" s="92" t="s">
        <v>65</v>
      </c>
      <c r="X5800" s="93" t="s">
        <v>30</v>
      </c>
      <c r="Y5800" s="93" t="s">
        <v>1011</v>
      </c>
      <c r="Z5800" s="134">
        <f>VLOOKUP(W5800,Sheet2!$B:$D,3,FALSE)</f>
        <v>1.76</v>
      </c>
      <c r="AA5800" s="93">
        <f>AA5799/10</f>
        <v>3.5027713102425154E-2</v>
      </c>
      <c r="AB5800" s="93">
        <f>AD5800/AC5795</f>
        <v>50.245929411764706</v>
      </c>
      <c r="AC5800" s="93">
        <f>AC5795/AA5800</f>
        <v>3.4258588235294085</v>
      </c>
      <c r="AD5800" s="94">
        <f>AC5800*Z5800</f>
        <v>6.0295115294117592</v>
      </c>
      <c r="AE5800" s="190"/>
      <c r="AF5800" s="191"/>
      <c r="AG5800" s="191"/>
      <c r="AH5800" s="191"/>
      <c r="AI5800" s="186"/>
      <c r="AK5800" s="171"/>
    </row>
    <row r="5801" spans="1:41" s="102" customFormat="1" ht="19.899999999999999" customHeight="1" x14ac:dyDescent="0.25">
      <c r="A5801" s="45"/>
      <c r="B5801" s="59"/>
      <c r="C5801" s="137"/>
      <c r="D5801" s="59"/>
      <c r="E5801" s="116"/>
      <c r="F5801" s="120"/>
      <c r="G5801" s="120"/>
      <c r="H5801" s="120"/>
      <c r="I5801" s="60"/>
      <c r="J5801" s="116"/>
      <c r="K5801" s="213"/>
      <c r="L5801" s="120"/>
      <c r="M5801" s="120"/>
      <c r="N5801" s="167"/>
      <c r="O5801" s="120"/>
      <c r="P5801" s="120"/>
      <c r="Q5801" s="120"/>
      <c r="R5801" s="120"/>
      <c r="S5801" s="120"/>
      <c r="T5801" s="221"/>
      <c r="U5801" s="89"/>
      <c r="V5801" s="61"/>
      <c r="W5801" s="92" t="s">
        <v>173</v>
      </c>
      <c r="X5801" s="93" t="s">
        <v>29</v>
      </c>
      <c r="Y5801" s="93" t="s">
        <v>93</v>
      </c>
      <c r="Z5801" s="134">
        <f>VLOOKUP(W5801,Sheet2!$B:$D,3,FALSE)</f>
        <v>36</v>
      </c>
      <c r="AA5801" s="93">
        <f>50/((3.5*3.5*6)-(3.14/4*1.8*1.8*6))</f>
        <v>0.85852237996140091</v>
      </c>
      <c r="AB5801" s="93">
        <f>AD5801/AC5795</f>
        <v>41.932512000000003</v>
      </c>
      <c r="AC5801" s="93">
        <f>AC5795/AA5801</f>
        <v>0.13977503999999985</v>
      </c>
      <c r="AD5801" s="94">
        <f>AC5801*Z5801</f>
        <v>5.0319014399999951</v>
      </c>
      <c r="AE5801" s="190"/>
      <c r="AF5801" s="191"/>
      <c r="AG5801" s="191"/>
      <c r="AH5801" s="191"/>
      <c r="AI5801" s="186"/>
      <c r="AK5801" s="171"/>
    </row>
    <row r="5802" spans="1:41" s="102" customFormat="1" ht="19.899999999999999" customHeight="1" x14ac:dyDescent="0.25">
      <c r="A5802" s="45"/>
      <c r="B5802" s="59"/>
      <c r="C5802" s="137"/>
      <c r="D5802" s="59"/>
      <c r="E5802" s="116"/>
      <c r="F5802" s="120"/>
      <c r="G5802" s="120"/>
      <c r="H5802" s="120"/>
      <c r="I5802" s="60"/>
      <c r="J5802" s="116"/>
      <c r="K5802" s="213"/>
      <c r="L5802" s="120"/>
      <c r="M5802" s="120"/>
      <c r="N5802" s="167"/>
      <c r="O5802" s="120"/>
      <c r="P5802" s="120"/>
      <c r="Q5802" s="120"/>
      <c r="R5802" s="120"/>
      <c r="S5802" s="120"/>
      <c r="T5802" s="221"/>
      <c r="U5802" s="89"/>
      <c r="V5802" s="61"/>
      <c r="W5802" s="92" t="s">
        <v>65</v>
      </c>
      <c r="X5802" s="93" t="s">
        <v>30</v>
      </c>
      <c r="Y5802" s="93" t="s">
        <v>1011</v>
      </c>
      <c r="Z5802" s="134">
        <f>VLOOKUP(W5802,Sheet2!$B:$D,3,FALSE)</f>
        <v>1.76</v>
      </c>
      <c r="AA5802" s="93">
        <f>AA5801/9</f>
        <v>9.5391375551266769E-2</v>
      </c>
      <c r="AB5802" s="93">
        <f>AD5802/AC5795</f>
        <v>18.450305280000002</v>
      </c>
      <c r="AC5802" s="93">
        <f>AC5795/AA5802</f>
        <v>1.2579753599999988</v>
      </c>
      <c r="AD5802" s="94">
        <f>AC5802*Z5802</f>
        <v>2.2140366335999979</v>
      </c>
      <c r="AE5802" s="190"/>
      <c r="AF5802" s="191"/>
      <c r="AG5802" s="191"/>
      <c r="AH5802" s="191"/>
      <c r="AI5802" s="186"/>
      <c r="AK5802" s="171"/>
    </row>
    <row r="5803" spans="1:41" s="102" customFormat="1" ht="19.899999999999999" customHeight="1" x14ac:dyDescent="0.25">
      <c r="A5803" s="45"/>
      <c r="B5803" s="59"/>
      <c r="C5803" s="137"/>
      <c r="D5803" s="59"/>
      <c r="E5803" s="116"/>
      <c r="F5803" s="120"/>
      <c r="G5803" s="120"/>
      <c r="H5803" s="120"/>
      <c r="I5803" s="60"/>
      <c r="J5803" s="116"/>
      <c r="K5803" s="213"/>
      <c r="L5803" s="120"/>
      <c r="M5803" s="120"/>
      <c r="N5803" s="167"/>
      <c r="O5803" s="120"/>
      <c r="P5803" s="120"/>
      <c r="Q5803" s="120"/>
      <c r="R5803" s="120"/>
      <c r="S5803" s="120"/>
      <c r="T5803" s="221"/>
      <c r="U5803" s="89"/>
      <c r="V5803" s="61"/>
      <c r="W5803" s="92" t="s">
        <v>1030</v>
      </c>
      <c r="X5803" s="93" t="s">
        <v>29</v>
      </c>
      <c r="Y5803" s="93" t="s">
        <v>93</v>
      </c>
      <c r="Z5803" s="134">
        <f>VLOOKUP(W5803,Sheet2!$B:$D,3,FALSE)</f>
        <v>23</v>
      </c>
      <c r="AA5803" s="93">
        <f>1/(6*1)</f>
        <v>0.16666666666666666</v>
      </c>
      <c r="AB5803" s="93">
        <f>AD5803/AC5795</f>
        <v>138</v>
      </c>
      <c r="AC5803" s="93">
        <f>AC5795/AA5803</f>
        <v>0.71999999999999931</v>
      </c>
      <c r="AD5803" s="94">
        <f t="shared" ref="AD5803:AD5804" si="4060">AC5803*Z5803</f>
        <v>16.559999999999985</v>
      </c>
      <c r="AE5803" s="190"/>
      <c r="AF5803" s="191"/>
      <c r="AG5803" s="191"/>
      <c r="AH5803" s="191"/>
      <c r="AI5803" s="186"/>
      <c r="AK5803" s="171"/>
    </row>
    <row r="5804" spans="1:41" s="102" customFormat="1" ht="19.899999999999999" customHeight="1" x14ac:dyDescent="0.25">
      <c r="A5804" s="45"/>
      <c r="B5804" s="59"/>
      <c r="C5804" s="137"/>
      <c r="D5804" s="59"/>
      <c r="E5804" s="116"/>
      <c r="F5804" s="120"/>
      <c r="G5804" s="120"/>
      <c r="H5804" s="120"/>
      <c r="I5804" s="60"/>
      <c r="J5804" s="116"/>
      <c r="K5804" s="213"/>
      <c r="L5804" s="120"/>
      <c r="M5804" s="120"/>
      <c r="N5804" s="167"/>
      <c r="O5804" s="120"/>
      <c r="P5804" s="120"/>
      <c r="Q5804" s="120"/>
      <c r="R5804" s="120"/>
      <c r="S5804" s="120"/>
      <c r="T5804" s="221"/>
      <c r="U5804" s="89"/>
      <c r="V5804" s="61"/>
      <c r="W5804" s="92" t="s">
        <v>65</v>
      </c>
      <c r="X5804" s="93" t="s">
        <v>30</v>
      </c>
      <c r="Y5804" s="93" t="s">
        <v>1011</v>
      </c>
      <c r="Z5804" s="134">
        <f>VLOOKUP(W5804,Sheet2!$B:$D,3,FALSE)</f>
        <v>1.76</v>
      </c>
      <c r="AA5804" s="93">
        <f>AA5803/3</f>
        <v>5.5555555555555552E-2</v>
      </c>
      <c r="AB5804" s="93">
        <f>AD5804/AC5795</f>
        <v>31.680000000000003</v>
      </c>
      <c r="AC5804" s="93">
        <f>AC5795/AA5804</f>
        <v>2.1599999999999979</v>
      </c>
      <c r="AD5804" s="94">
        <f t="shared" si="4060"/>
        <v>3.8015999999999965</v>
      </c>
      <c r="AE5804" s="190"/>
      <c r="AF5804" s="191"/>
      <c r="AG5804" s="191"/>
      <c r="AH5804" s="191"/>
      <c r="AI5804" s="186"/>
      <c r="AK5804" s="171"/>
    </row>
    <row r="5805" spans="1:41" ht="20.100000000000001" customHeight="1" x14ac:dyDescent="0.25">
      <c r="A5805" s="277" t="s">
        <v>491</v>
      </c>
      <c r="B5805" s="278"/>
      <c r="C5805" s="64" t="s">
        <v>619</v>
      </c>
      <c r="D5805" s="46" t="s">
        <v>215</v>
      </c>
      <c r="E5805" s="114"/>
      <c r="F5805" s="44"/>
      <c r="G5805" s="44">
        <f t="shared" si="3841"/>
        <v>0</v>
      </c>
      <c r="H5805" s="44">
        <f t="shared" si="3842"/>
        <v>0</v>
      </c>
      <c r="I5805" s="43">
        <f t="shared" si="3843"/>
        <v>0</v>
      </c>
      <c r="J5805" s="112">
        <f t="shared" si="3844"/>
        <v>0</v>
      </c>
      <c r="K5805" s="211">
        <f t="shared" si="3845"/>
        <v>0</v>
      </c>
      <c r="L5805" s="44"/>
      <c r="M5805" s="44">
        <f t="shared" si="3846"/>
        <v>0</v>
      </c>
      <c r="N5805" s="173">
        <f t="shared" si="3847"/>
        <v>0</v>
      </c>
      <c r="O5805" s="44">
        <f t="shared" si="3848"/>
        <v>0</v>
      </c>
      <c r="P5805" s="44">
        <f t="shared" si="3849"/>
        <v>0</v>
      </c>
      <c r="Q5805" s="44">
        <f t="shared" si="3850"/>
        <v>0</v>
      </c>
      <c r="R5805" s="44">
        <f t="shared" si="3851"/>
        <v>0</v>
      </c>
      <c r="S5805" s="123"/>
      <c r="T5805" s="219">
        <f t="shared" si="3852"/>
        <v>0</v>
      </c>
      <c r="U5805" s="87"/>
      <c r="V5805" s="47"/>
      <c r="W5805" s="48"/>
      <c r="X5805" s="48"/>
      <c r="Y5805" s="48"/>
      <c r="Z5805" s="135"/>
      <c r="AA5805" s="49"/>
      <c r="AB5805" s="50">
        <f t="shared" si="3853"/>
        <v>0</v>
      </c>
      <c r="AC5805" s="42">
        <f t="shared" si="3854"/>
        <v>9.9999999999999998E-20</v>
      </c>
      <c r="AD5805" s="90"/>
      <c r="AE5805" s="188"/>
      <c r="AF5805" s="189"/>
      <c r="AG5805" s="189"/>
      <c r="AH5805" s="189"/>
      <c r="AI5805" s="161"/>
    </row>
    <row r="5806" spans="1:41" s="102" customFormat="1" ht="157.5" x14ac:dyDescent="0.25">
      <c r="A5806" s="45" t="s">
        <v>491</v>
      </c>
      <c r="B5806" s="276"/>
      <c r="C5806" s="285" t="s">
        <v>607</v>
      </c>
      <c r="D5806" s="59"/>
      <c r="E5806" s="116"/>
      <c r="F5806" s="120"/>
      <c r="G5806" s="120">
        <f t="shared" si="3841"/>
        <v>0</v>
      </c>
      <c r="H5806" s="120">
        <f t="shared" si="3842"/>
        <v>0</v>
      </c>
      <c r="I5806" s="60">
        <f t="shared" si="3843"/>
        <v>0</v>
      </c>
      <c r="J5806" s="116">
        <f t="shared" si="3844"/>
        <v>0</v>
      </c>
      <c r="K5806" s="213">
        <f t="shared" si="3845"/>
        <v>0</v>
      </c>
      <c r="L5806" s="120"/>
      <c r="M5806" s="120">
        <f t="shared" si="3846"/>
        <v>0</v>
      </c>
      <c r="N5806" s="167">
        <f t="shared" si="3847"/>
        <v>0</v>
      </c>
      <c r="O5806" s="120">
        <f t="shared" si="3848"/>
        <v>0</v>
      </c>
      <c r="P5806" s="120">
        <f t="shared" si="3849"/>
        <v>0</v>
      </c>
      <c r="Q5806" s="120">
        <f t="shared" si="3850"/>
        <v>0</v>
      </c>
      <c r="R5806" s="120">
        <f t="shared" si="3851"/>
        <v>0</v>
      </c>
      <c r="S5806" s="120"/>
      <c r="T5806" s="221">
        <f t="shared" si="3852"/>
        <v>0</v>
      </c>
      <c r="U5806" s="89"/>
      <c r="V5806" s="61"/>
      <c r="W5806" s="92"/>
      <c r="X5806" s="38"/>
      <c r="Y5806" s="93"/>
      <c r="Z5806" s="134"/>
      <c r="AA5806" s="93"/>
      <c r="AB5806" s="93">
        <f t="shared" si="3853"/>
        <v>0</v>
      </c>
      <c r="AC5806" s="93">
        <f t="shared" si="3854"/>
        <v>9.9999999999999998E-20</v>
      </c>
      <c r="AD5806" s="94"/>
      <c r="AE5806" s="190"/>
      <c r="AF5806" s="191"/>
      <c r="AG5806" s="191"/>
      <c r="AH5806" s="191"/>
      <c r="AI5806" s="186"/>
      <c r="AK5806" s="171"/>
    </row>
    <row r="5807" spans="1:41" s="102" customFormat="1" ht="20.100000000000001" customHeight="1" x14ac:dyDescent="0.25">
      <c r="A5807" s="45" t="s">
        <v>491</v>
      </c>
      <c r="B5807" s="276"/>
      <c r="C5807" s="285" t="s">
        <v>620</v>
      </c>
      <c r="D5807" s="59"/>
      <c r="E5807" s="116"/>
      <c r="F5807" s="120"/>
      <c r="G5807" s="120">
        <f t="shared" si="3841"/>
        <v>0</v>
      </c>
      <c r="H5807" s="120">
        <f t="shared" si="3842"/>
        <v>0</v>
      </c>
      <c r="I5807" s="60">
        <f t="shared" si="3843"/>
        <v>0</v>
      </c>
      <c r="J5807" s="116">
        <f t="shared" si="3844"/>
        <v>0</v>
      </c>
      <c r="K5807" s="213">
        <f t="shared" si="3845"/>
        <v>0</v>
      </c>
      <c r="L5807" s="120"/>
      <c r="M5807" s="120">
        <f t="shared" si="3846"/>
        <v>0</v>
      </c>
      <c r="N5807" s="167">
        <f t="shared" si="3847"/>
        <v>0</v>
      </c>
      <c r="O5807" s="120">
        <f t="shared" si="3848"/>
        <v>0</v>
      </c>
      <c r="P5807" s="120">
        <f t="shared" si="3849"/>
        <v>0</v>
      </c>
      <c r="Q5807" s="120">
        <f t="shared" si="3850"/>
        <v>0</v>
      </c>
      <c r="R5807" s="120">
        <f t="shared" si="3851"/>
        <v>0</v>
      </c>
      <c r="S5807" s="120"/>
      <c r="T5807" s="221">
        <f t="shared" si="3852"/>
        <v>0</v>
      </c>
      <c r="U5807" s="89"/>
      <c r="V5807" s="61"/>
      <c r="W5807" s="92"/>
      <c r="X5807" s="38"/>
      <c r="Y5807" s="93"/>
      <c r="Z5807" s="134"/>
      <c r="AA5807" s="93"/>
      <c r="AB5807" s="93">
        <f t="shared" si="3853"/>
        <v>0</v>
      </c>
      <c r="AC5807" s="93">
        <f t="shared" si="3854"/>
        <v>9.9999999999999998E-20</v>
      </c>
      <c r="AD5807" s="94"/>
      <c r="AE5807" s="190"/>
      <c r="AF5807" s="191"/>
      <c r="AG5807" s="191"/>
      <c r="AH5807" s="191"/>
      <c r="AI5807" s="186"/>
      <c r="AK5807" s="171"/>
    </row>
    <row r="5808" spans="1:41" ht="20.100000000000001" customHeight="1" x14ac:dyDescent="0.25">
      <c r="A5808" s="277" t="s">
        <v>491</v>
      </c>
      <c r="B5808" s="278"/>
      <c r="C5808" s="64" t="s">
        <v>583</v>
      </c>
      <c r="D5808" s="46" t="s">
        <v>215</v>
      </c>
      <c r="E5808" s="114">
        <v>0.2799999999999998</v>
      </c>
      <c r="F5808" s="44">
        <v>71627</v>
      </c>
      <c r="G5808" s="44">
        <f t="shared" si="3841"/>
        <v>20055.559999999987</v>
      </c>
      <c r="H5808" s="44">
        <f t="shared" si="3842"/>
        <v>20663.713382588237</v>
      </c>
      <c r="I5808" s="43">
        <f t="shared" si="3843"/>
        <v>5785.8397471247026</v>
      </c>
      <c r="J5808" s="112">
        <f t="shared" si="3844"/>
        <v>0.2799999999999998</v>
      </c>
      <c r="K5808" s="211">
        <f t="shared" si="3845"/>
        <v>0.2799999999999998</v>
      </c>
      <c r="L5808" s="44"/>
      <c r="M5808" s="44">
        <f t="shared" si="3846"/>
        <v>0.2799999999999998</v>
      </c>
      <c r="N5808" s="173">
        <f t="shared" si="3847"/>
        <v>1</v>
      </c>
      <c r="O5808" s="44">
        <f t="shared" si="3848"/>
        <v>71627</v>
      </c>
      <c r="P5808" s="44">
        <f t="shared" si="3849"/>
        <v>20055.559999999987</v>
      </c>
      <c r="Q5808" s="44">
        <f t="shared" si="3850"/>
        <v>20663.713382588237</v>
      </c>
      <c r="R5808" s="44">
        <f t="shared" si="3851"/>
        <v>5785.8397471247026</v>
      </c>
      <c r="S5808" s="123"/>
      <c r="T5808" s="219">
        <f t="shared" si="3852"/>
        <v>5785.8397471247026</v>
      </c>
      <c r="U5808" s="87"/>
      <c r="V5808" s="47"/>
      <c r="W5808" s="48"/>
      <c r="X5808" s="48"/>
      <c r="Y5808" s="48"/>
      <c r="Z5808" s="135"/>
      <c r="AA5808" s="49"/>
      <c r="AB5808" s="50">
        <f t="shared" si="3853"/>
        <v>20663.713382588237</v>
      </c>
      <c r="AC5808" s="42">
        <f t="shared" si="3854"/>
        <v>0.2799999999999998</v>
      </c>
      <c r="AD5808" s="90">
        <f>AD5809+AD5814+AD5821+AD5828</f>
        <v>5785.8397471247026</v>
      </c>
      <c r="AE5808" s="188">
        <f t="shared" ref="AE5808:AH5808" si="4061">AE5809+AE5814+AE5821+AE5828</f>
        <v>0</v>
      </c>
      <c r="AF5808" s="189">
        <f t="shared" si="4061"/>
        <v>0</v>
      </c>
      <c r="AG5808" s="189">
        <f t="shared" si="4061"/>
        <v>0</v>
      </c>
      <c r="AH5808" s="189">
        <f t="shared" si="4061"/>
        <v>0</v>
      </c>
      <c r="AI5808" s="161">
        <f t="shared" ref="AI5808" si="4062">SUM(AE5808:AH5808)</f>
        <v>0</v>
      </c>
      <c r="AK5808" s="169">
        <v>5</v>
      </c>
      <c r="AO5808" s="19" t="s">
        <v>63</v>
      </c>
    </row>
    <row r="5809" spans="1:37" s="103" customFormat="1" ht="19.899999999999999" customHeight="1" x14ac:dyDescent="0.25">
      <c r="A5809" s="51"/>
      <c r="B5809" s="52"/>
      <c r="C5809" s="165"/>
      <c r="D5809" s="52"/>
      <c r="E5809" s="115"/>
      <c r="F5809" s="58"/>
      <c r="G5809" s="58"/>
      <c r="H5809" s="58"/>
      <c r="I5809" s="55"/>
      <c r="J5809" s="113">
        <f>J5808</f>
        <v>0.2799999999999998</v>
      </c>
      <c r="K5809" s="212">
        <f>K5808</f>
        <v>0.2799999999999998</v>
      </c>
      <c r="L5809" s="58"/>
      <c r="M5809" s="58">
        <f>K5809-L5809</f>
        <v>0.2799999999999998</v>
      </c>
      <c r="N5809" s="166"/>
      <c r="O5809" s="58"/>
      <c r="P5809" s="58"/>
      <c r="Q5809" s="58"/>
      <c r="R5809" s="58"/>
      <c r="S5809" s="58"/>
      <c r="T5809" s="220"/>
      <c r="U5809" s="88"/>
      <c r="V5809" s="56"/>
      <c r="W5809" s="57" t="s">
        <v>1567</v>
      </c>
      <c r="X5809" s="53"/>
      <c r="Y5809" s="91" t="s">
        <v>35</v>
      </c>
      <c r="Z5809" s="136">
        <f>AD5809/AC5809</f>
        <v>477.83058572549021</v>
      </c>
      <c r="AA5809" s="58"/>
      <c r="AB5809" s="53">
        <f>AD5809/AC5809</f>
        <v>477.83058572549021</v>
      </c>
      <c r="AC5809" s="53">
        <f>M5809+$AE$10</f>
        <v>0.2799999999999998</v>
      </c>
      <c r="AD5809" s="54">
        <f>SUM(AD5810:AD5813)</f>
        <v>133.79256400313716</v>
      </c>
      <c r="AE5809" s="184">
        <f>SUMIFS($AD$37:$AD$12971,$V$37:$V$12971,$V5809,$X$37:$X$12971,AE$13)</f>
        <v>0</v>
      </c>
      <c r="AF5809" s="185">
        <f>SUMIFS($AD$37:$AD$12971,$V$37:$V$12971,$V5809,$X$37:$X$12971,AF$13)</f>
        <v>0</v>
      </c>
      <c r="AG5809" s="185">
        <f>SUMIFS($AD$37:$AD$12971,$V$37:$V$12971,$V5809,$X$37:$X$12971,AG$13)</f>
        <v>0</v>
      </c>
      <c r="AH5809" s="187">
        <f>SUMIFS($AD$37:$AD$12971,$V$37:$V$12971,$V5809,$X$37:$X$12971,AH$13)</f>
        <v>0</v>
      </c>
      <c r="AI5809" s="161">
        <f t="shared" ref="AI5809" si="4063">SUM(AE5809:AH5809)</f>
        <v>0</v>
      </c>
      <c r="AK5809" s="172"/>
    </row>
    <row r="5810" spans="1:37" s="102" customFormat="1" ht="19.899999999999999" customHeight="1" x14ac:dyDescent="0.25">
      <c r="A5810" s="45"/>
      <c r="B5810" s="59"/>
      <c r="C5810" s="137"/>
      <c r="D5810" s="59"/>
      <c r="E5810" s="116"/>
      <c r="F5810" s="120"/>
      <c r="G5810" s="120"/>
      <c r="H5810" s="120"/>
      <c r="I5810" s="60"/>
      <c r="J5810" s="116"/>
      <c r="K5810" s="213"/>
      <c r="L5810" s="120"/>
      <c r="M5810" s="120"/>
      <c r="N5810" s="167"/>
      <c r="O5810" s="120"/>
      <c r="P5810" s="120"/>
      <c r="Q5810" s="120"/>
      <c r="R5810" s="120"/>
      <c r="S5810" s="120"/>
      <c r="T5810" s="221"/>
      <c r="U5810" s="89"/>
      <c r="V5810" s="61"/>
      <c r="W5810" s="92" t="s">
        <v>131</v>
      </c>
      <c r="X5810" s="93" t="s">
        <v>29</v>
      </c>
      <c r="Y5810" s="93" t="s">
        <v>93</v>
      </c>
      <c r="Z5810" s="134">
        <f>VLOOKUP(W5810,Sheet2!$B:$D,3,FALSE)</f>
        <v>131.19999999999999</v>
      </c>
      <c r="AA5810" s="93">
        <f>100/(3.8*3.8*6.5)</f>
        <v>1.0654165778819518</v>
      </c>
      <c r="AB5810" s="93">
        <f t="shared" ref="AB5810" si="4064">AD5810/AC5809</f>
        <v>123.14431999999999</v>
      </c>
      <c r="AC5810" s="93">
        <f>AC5809/AA5810</f>
        <v>0.26280799999999982</v>
      </c>
      <c r="AD5810" s="94">
        <f t="shared" ref="AD5810:AD5811" si="4065">AC5810*Z5810</f>
        <v>34.480409599999973</v>
      </c>
      <c r="AE5810" s="190"/>
      <c r="AF5810" s="191"/>
      <c r="AG5810" s="191"/>
      <c r="AH5810" s="191"/>
      <c r="AI5810" s="186"/>
      <c r="AK5810" s="171"/>
    </row>
    <row r="5811" spans="1:37" s="102" customFormat="1" ht="19.899999999999999" customHeight="1" x14ac:dyDescent="0.25">
      <c r="A5811" s="45"/>
      <c r="B5811" s="59"/>
      <c r="C5811" s="137"/>
      <c r="D5811" s="59"/>
      <c r="E5811" s="116"/>
      <c r="F5811" s="120"/>
      <c r="G5811" s="120"/>
      <c r="H5811" s="120"/>
      <c r="I5811" s="60"/>
      <c r="J5811" s="116"/>
      <c r="K5811" s="213"/>
      <c r="L5811" s="120"/>
      <c r="M5811" s="120"/>
      <c r="N5811" s="167"/>
      <c r="O5811" s="120"/>
      <c r="P5811" s="120"/>
      <c r="Q5811" s="120"/>
      <c r="R5811" s="120"/>
      <c r="S5811" s="120"/>
      <c r="T5811" s="221"/>
      <c r="U5811" s="89"/>
      <c r="V5811" s="61"/>
      <c r="W5811" s="92" t="s">
        <v>65</v>
      </c>
      <c r="X5811" s="93" t="s">
        <v>30</v>
      </c>
      <c r="Y5811" s="93" t="s">
        <v>1011</v>
      </c>
      <c r="Z5811" s="134">
        <f>VLOOKUP(W5811,Sheet2!$B:$D,3,FALSE)</f>
        <v>1.76</v>
      </c>
      <c r="AA5811" s="93">
        <f>AA5810/32</f>
        <v>3.3294268058810993E-2</v>
      </c>
      <c r="AB5811" s="93">
        <f>AD5811/AC5809</f>
        <v>52.861952000000002</v>
      </c>
      <c r="AC5811" s="93">
        <f>AC5809/AA5811</f>
        <v>8.4098559999999942</v>
      </c>
      <c r="AD5811" s="94">
        <f t="shared" si="4065"/>
        <v>14.80134655999999</v>
      </c>
      <c r="AE5811" s="190"/>
      <c r="AF5811" s="191"/>
      <c r="AG5811" s="191"/>
      <c r="AH5811" s="191"/>
      <c r="AI5811" s="186"/>
      <c r="AK5811" s="171"/>
    </row>
    <row r="5812" spans="1:37" s="102" customFormat="1" ht="19.899999999999999" customHeight="1" x14ac:dyDescent="0.25">
      <c r="A5812" s="45"/>
      <c r="B5812" s="59"/>
      <c r="C5812" s="137"/>
      <c r="D5812" s="59"/>
      <c r="E5812" s="116"/>
      <c r="F5812" s="120"/>
      <c r="G5812" s="120"/>
      <c r="H5812" s="120"/>
      <c r="I5812" s="60"/>
      <c r="J5812" s="116"/>
      <c r="K5812" s="213"/>
      <c r="L5812" s="120"/>
      <c r="M5812" s="120"/>
      <c r="N5812" s="167"/>
      <c r="O5812" s="120"/>
      <c r="P5812" s="120"/>
      <c r="Q5812" s="120"/>
      <c r="R5812" s="120"/>
      <c r="S5812" s="120"/>
      <c r="T5812" s="221"/>
      <c r="U5812" s="89"/>
      <c r="V5812" s="61"/>
      <c r="W5812" s="92" t="s">
        <v>161</v>
      </c>
      <c r="X5812" s="93" t="s">
        <v>29</v>
      </c>
      <c r="Y5812" s="93" t="s">
        <v>93</v>
      </c>
      <c r="Z5812" s="134">
        <f>VLOOKUP(W5812,Sheet2!$B:$D,3,FALSE)</f>
        <v>48</v>
      </c>
      <c r="AA5812" s="93">
        <f>(16*0.85*1.5)/(3.8*3.8*6.5)</f>
        <v>0.21734498188791815</v>
      </c>
      <c r="AB5812" s="93">
        <f>AD5812/AC5809</f>
        <v>220.84705882352944</v>
      </c>
      <c r="AC5812" s="93">
        <f>AC5809/AA5812</f>
        <v>1.2882745098039208</v>
      </c>
      <c r="AD5812" s="94">
        <f>AC5812*Z5812</f>
        <v>61.837176470588197</v>
      </c>
      <c r="AE5812" s="190"/>
      <c r="AF5812" s="191"/>
      <c r="AG5812" s="191"/>
      <c r="AH5812" s="191"/>
      <c r="AI5812" s="186"/>
      <c r="AK5812" s="171"/>
    </row>
    <row r="5813" spans="1:37" s="102" customFormat="1" ht="19.899999999999999" customHeight="1" x14ac:dyDescent="0.25">
      <c r="A5813" s="45"/>
      <c r="B5813" s="59"/>
      <c r="C5813" s="137"/>
      <c r="D5813" s="59"/>
      <c r="E5813" s="116"/>
      <c r="F5813" s="120"/>
      <c r="G5813" s="120"/>
      <c r="H5813" s="120"/>
      <c r="I5813" s="60"/>
      <c r="J5813" s="116"/>
      <c r="K5813" s="213"/>
      <c r="L5813" s="120"/>
      <c r="M5813" s="120"/>
      <c r="N5813" s="167"/>
      <c r="O5813" s="120"/>
      <c r="P5813" s="120"/>
      <c r="Q5813" s="120"/>
      <c r="R5813" s="120"/>
      <c r="S5813" s="120"/>
      <c r="T5813" s="221"/>
      <c r="U5813" s="89"/>
      <c r="V5813" s="61"/>
      <c r="W5813" s="92" t="s">
        <v>65</v>
      </c>
      <c r="X5813" s="93" t="s">
        <v>30</v>
      </c>
      <c r="Y5813" s="93" t="s">
        <v>1011</v>
      </c>
      <c r="Z5813" s="134">
        <f>VLOOKUP(W5813,Sheet2!$B:$D,3,FALSE)</f>
        <v>1.76</v>
      </c>
      <c r="AA5813" s="93">
        <f>AA5812/10</f>
        <v>2.1734498188791813E-2</v>
      </c>
      <c r="AB5813" s="93">
        <f>AD5813/AC5809</f>
        <v>80.977254901960791</v>
      </c>
      <c r="AC5813" s="93">
        <f>AC5809/AA5813</f>
        <v>12.882745098039209</v>
      </c>
      <c r="AD5813" s="94">
        <f>AC5813*Z5813</f>
        <v>22.673631372549007</v>
      </c>
      <c r="AE5813" s="190"/>
      <c r="AF5813" s="191"/>
      <c r="AG5813" s="191"/>
      <c r="AH5813" s="191"/>
      <c r="AI5813" s="186"/>
      <c r="AK5813" s="171"/>
    </row>
    <row r="5814" spans="1:37" s="103" customFormat="1" ht="19.899999999999999" customHeight="1" x14ac:dyDescent="0.25">
      <c r="A5814" s="51"/>
      <c r="B5814" s="52"/>
      <c r="C5814" s="165"/>
      <c r="D5814" s="52"/>
      <c r="E5814" s="115"/>
      <c r="F5814" s="58"/>
      <c r="G5814" s="58"/>
      <c r="H5814" s="58"/>
      <c r="I5814" s="55"/>
      <c r="J5814" s="113">
        <f>J5808</f>
        <v>0.2799999999999998</v>
      </c>
      <c r="K5814" s="212">
        <f>K5808</f>
        <v>0.2799999999999998</v>
      </c>
      <c r="L5814" s="58"/>
      <c r="M5814" s="58">
        <f>K5814-L5814</f>
        <v>0.2799999999999998</v>
      </c>
      <c r="N5814" s="166"/>
      <c r="O5814" s="58"/>
      <c r="P5814" s="58"/>
      <c r="Q5814" s="58"/>
      <c r="R5814" s="58"/>
      <c r="S5814" s="58"/>
      <c r="T5814" s="220"/>
      <c r="U5814" s="88"/>
      <c r="V5814" s="56"/>
      <c r="W5814" s="57" t="s">
        <v>1486</v>
      </c>
      <c r="X5814" s="53"/>
      <c r="Y5814" s="91" t="s">
        <v>35</v>
      </c>
      <c r="Z5814" s="136">
        <f>AD5814/AC5814</f>
        <v>2772.5999999999995</v>
      </c>
      <c r="AA5814" s="58"/>
      <c r="AB5814" s="53">
        <f>AD5814/AC5814</f>
        <v>2772.5999999999995</v>
      </c>
      <c r="AC5814" s="53">
        <f>M5814+$AE$10</f>
        <v>0.2799999999999998</v>
      </c>
      <c r="AD5814" s="54">
        <f>SUM(AD5815:AD5820)</f>
        <v>776.32799999999929</v>
      </c>
      <c r="AE5814" s="184">
        <f>SUMIFS($AD$37:$AD$12971,$V$37:$V$12971,$V5814,$X$37:$X$12971,AE$13)</f>
        <v>0</v>
      </c>
      <c r="AF5814" s="185">
        <f>SUMIFS($AD$37:$AD$12971,$V$37:$V$12971,$V5814,$X$37:$X$12971,AF$13)</f>
        <v>0</v>
      </c>
      <c r="AG5814" s="185">
        <f>SUMIFS($AD$37:$AD$12971,$V$37:$V$12971,$V5814,$X$37:$X$12971,AG$13)</f>
        <v>0</v>
      </c>
      <c r="AH5814" s="187">
        <f>SUMIFS($AD$37:$AD$12971,$V$37:$V$12971,$V5814,$X$37:$X$12971,AH$13)</f>
        <v>0</v>
      </c>
      <c r="AI5814" s="161">
        <f t="shared" ref="AI5814" si="4066">SUM(AE5814:AH5814)</f>
        <v>0</v>
      </c>
      <c r="AK5814" s="172"/>
    </row>
    <row r="5815" spans="1:37" s="102" customFormat="1" ht="19.899999999999999" customHeight="1" x14ac:dyDescent="0.25">
      <c r="A5815" s="45"/>
      <c r="B5815" s="59"/>
      <c r="C5815" s="137"/>
      <c r="D5815" s="59"/>
      <c r="E5815" s="116"/>
      <c r="F5815" s="120"/>
      <c r="G5815" s="120"/>
      <c r="H5815" s="120"/>
      <c r="I5815" s="60"/>
      <c r="J5815" s="116"/>
      <c r="K5815" s="213"/>
      <c r="L5815" s="120"/>
      <c r="M5815" s="120"/>
      <c r="N5815" s="167"/>
      <c r="O5815" s="120"/>
      <c r="P5815" s="120"/>
      <c r="Q5815" s="120"/>
      <c r="R5815" s="120"/>
      <c r="S5815" s="120"/>
      <c r="T5815" s="221"/>
      <c r="U5815" s="89"/>
      <c r="V5815" s="61"/>
      <c r="W5815" s="92" t="s">
        <v>1032</v>
      </c>
      <c r="X5815" s="93" t="s">
        <v>30</v>
      </c>
      <c r="Y5815" s="93" t="s">
        <v>66</v>
      </c>
      <c r="Z5815" s="134">
        <f>VLOOKUP(W5815,Sheet2!$B:$D,3,FALSE)</f>
        <v>250</v>
      </c>
      <c r="AA5815" s="93">
        <f>1/(2.9*2.9*0.1)</f>
        <v>1.1890606420927465</v>
      </c>
      <c r="AB5815" s="93">
        <f>AD5815/AC5821</f>
        <v>210.25000000000003</v>
      </c>
      <c r="AC5815" s="93">
        <f>AC5821/AA5815</f>
        <v>0.23547999999999988</v>
      </c>
      <c r="AD5815" s="94">
        <f t="shared" ref="AD5815:AD5817" si="4067">AC5815*Z5815</f>
        <v>58.869999999999969</v>
      </c>
      <c r="AE5815" s="190"/>
      <c r="AF5815" s="191"/>
      <c r="AG5815" s="191"/>
      <c r="AH5815" s="191"/>
      <c r="AI5815" s="186"/>
      <c r="AK5815" s="171"/>
    </row>
    <row r="5816" spans="1:37" s="102" customFormat="1" ht="19.899999999999999" customHeight="1" x14ac:dyDescent="0.25">
      <c r="A5816" s="45"/>
      <c r="B5816" s="59"/>
      <c r="C5816" s="137"/>
      <c r="D5816" s="59"/>
      <c r="E5816" s="116"/>
      <c r="F5816" s="120"/>
      <c r="G5816" s="120"/>
      <c r="H5816" s="120"/>
      <c r="I5816" s="60"/>
      <c r="J5816" s="116"/>
      <c r="K5816" s="213"/>
      <c r="L5816" s="120"/>
      <c r="M5816" s="120"/>
      <c r="N5816" s="167"/>
      <c r="O5816" s="120"/>
      <c r="P5816" s="120"/>
      <c r="Q5816" s="120"/>
      <c r="R5816" s="120"/>
      <c r="S5816" s="120"/>
      <c r="T5816" s="221"/>
      <c r="U5816" s="89"/>
      <c r="V5816" s="61"/>
      <c r="W5816" s="92" t="s">
        <v>1353</v>
      </c>
      <c r="X5816" s="93" t="s">
        <v>30</v>
      </c>
      <c r="Y5816" s="93" t="s">
        <v>66</v>
      </c>
      <c r="Z5816" s="134">
        <f>VLOOKUP(W5816,Sheet2!$B:$D,3,FALSE)</f>
        <v>350</v>
      </c>
      <c r="AA5816" s="93">
        <f>1/(2.8*2.8*0.3)</f>
        <v>0.42517006802721097</v>
      </c>
      <c r="AB5816" s="93">
        <f>AD5816/AC5821</f>
        <v>823.19999999999982</v>
      </c>
      <c r="AC5816" s="93">
        <f>AC5821/AA5816</f>
        <v>0.65855999999999937</v>
      </c>
      <c r="AD5816" s="94">
        <f t="shared" si="4067"/>
        <v>230.49599999999978</v>
      </c>
      <c r="AE5816" s="190"/>
      <c r="AF5816" s="191"/>
      <c r="AG5816" s="191"/>
      <c r="AH5816" s="191"/>
      <c r="AI5816" s="186"/>
      <c r="AK5816" s="171"/>
    </row>
    <row r="5817" spans="1:37" s="102" customFormat="1" ht="19.899999999999999" customHeight="1" x14ac:dyDescent="0.25">
      <c r="A5817" s="45"/>
      <c r="B5817" s="59"/>
      <c r="C5817" s="137"/>
      <c r="D5817" s="59"/>
      <c r="E5817" s="116"/>
      <c r="F5817" s="120"/>
      <c r="G5817" s="120"/>
      <c r="H5817" s="120"/>
      <c r="I5817" s="60"/>
      <c r="J5817" s="116"/>
      <c r="K5817" s="213"/>
      <c r="L5817" s="120"/>
      <c r="M5817" s="120"/>
      <c r="N5817" s="167"/>
      <c r="O5817" s="120"/>
      <c r="P5817" s="120"/>
      <c r="Q5817" s="120"/>
      <c r="R5817" s="120"/>
      <c r="S5817" s="120"/>
      <c r="T5817" s="221"/>
      <c r="U5817" s="89"/>
      <c r="V5817" s="61"/>
      <c r="W5817" s="92" t="s">
        <v>99</v>
      </c>
      <c r="X5817" s="93" t="s">
        <v>30</v>
      </c>
      <c r="Y5817" s="93" t="s">
        <v>67</v>
      </c>
      <c r="Z5817" s="134">
        <f>VLOOKUP(W5817,Sheet2!$B:$D,3,FALSE)</f>
        <v>2500</v>
      </c>
      <c r="AA5817" s="93">
        <f>AA5816/0.08</f>
        <v>5.3146258503401373</v>
      </c>
      <c r="AB5817" s="93">
        <f>AD5817/AC5821</f>
        <v>470.39999999999986</v>
      </c>
      <c r="AC5817" s="93">
        <f>AC5821/AA5817</f>
        <v>5.2684799999999948E-2</v>
      </c>
      <c r="AD5817" s="94">
        <f t="shared" si="4067"/>
        <v>131.71199999999988</v>
      </c>
      <c r="AE5817" s="190"/>
      <c r="AF5817" s="191"/>
      <c r="AG5817" s="191"/>
      <c r="AH5817" s="191"/>
      <c r="AI5817" s="186"/>
      <c r="AK5817" s="171"/>
    </row>
    <row r="5818" spans="1:37" s="102" customFormat="1" ht="19.899999999999999" customHeight="1" x14ac:dyDescent="0.25">
      <c r="A5818" s="45"/>
      <c r="B5818" s="59"/>
      <c r="C5818" s="137"/>
      <c r="D5818" s="59"/>
      <c r="E5818" s="116"/>
      <c r="F5818" s="120"/>
      <c r="G5818" s="120"/>
      <c r="H5818" s="120"/>
      <c r="I5818" s="60"/>
      <c r="J5818" s="116"/>
      <c r="K5818" s="213"/>
      <c r="L5818" s="120"/>
      <c r="M5818" s="120"/>
      <c r="N5818" s="167"/>
      <c r="O5818" s="120"/>
      <c r="P5818" s="120"/>
      <c r="Q5818" s="120"/>
      <c r="R5818" s="120"/>
      <c r="S5818" s="120"/>
      <c r="T5818" s="221"/>
      <c r="U5818" s="89"/>
      <c r="V5818" s="61"/>
      <c r="W5818" s="92" t="s">
        <v>1354</v>
      </c>
      <c r="X5818" s="93" t="s">
        <v>32</v>
      </c>
      <c r="Y5818" s="93" t="s">
        <v>66</v>
      </c>
      <c r="Z5818" s="134">
        <f>VLOOKUP(W5818,Sheet2!$B:$D,3,FALSE)</f>
        <v>150</v>
      </c>
      <c r="AA5818" s="93">
        <f>AA5815</f>
        <v>1.1890606420927465</v>
      </c>
      <c r="AB5818" s="93">
        <f>AD5818/AC5821</f>
        <v>126.15000000000002</v>
      </c>
      <c r="AC5818" s="93">
        <f>AC5821/AA5818</f>
        <v>0.23547999999999988</v>
      </c>
      <c r="AD5818" s="94">
        <f>AC5818*Z5818</f>
        <v>35.321999999999981</v>
      </c>
      <c r="AE5818" s="190"/>
      <c r="AF5818" s="191"/>
      <c r="AG5818" s="191"/>
      <c r="AH5818" s="191"/>
      <c r="AI5818" s="186"/>
      <c r="AK5818" s="171"/>
    </row>
    <row r="5819" spans="1:37" s="102" customFormat="1" ht="19.899999999999999" customHeight="1" x14ac:dyDescent="0.25">
      <c r="A5819" s="45"/>
      <c r="B5819" s="59"/>
      <c r="C5819" s="137"/>
      <c r="D5819" s="59"/>
      <c r="E5819" s="116"/>
      <c r="F5819" s="120"/>
      <c r="G5819" s="120"/>
      <c r="H5819" s="120"/>
      <c r="I5819" s="60"/>
      <c r="J5819" s="116"/>
      <c r="K5819" s="213"/>
      <c r="L5819" s="120"/>
      <c r="M5819" s="120"/>
      <c r="N5819" s="167"/>
      <c r="O5819" s="120"/>
      <c r="P5819" s="120"/>
      <c r="Q5819" s="120"/>
      <c r="R5819" s="120"/>
      <c r="S5819" s="120"/>
      <c r="T5819" s="221"/>
      <c r="U5819" s="89"/>
      <c r="V5819" s="61"/>
      <c r="W5819" s="92" t="s">
        <v>1355</v>
      </c>
      <c r="X5819" s="93" t="s">
        <v>32</v>
      </c>
      <c r="Y5819" s="93" t="s">
        <v>66</v>
      </c>
      <c r="Z5819" s="134">
        <f>VLOOKUP(W5819,Sheet2!$B:$D,3,FALSE)</f>
        <v>450</v>
      </c>
      <c r="AA5819" s="93">
        <f>AA5816</f>
        <v>0.42517006802721097</v>
      </c>
      <c r="AB5819" s="93">
        <f>AD5819/AC5821</f>
        <v>1058.3999999999996</v>
      </c>
      <c r="AC5819" s="93">
        <f>AC5821/AA5819</f>
        <v>0.65855999999999937</v>
      </c>
      <c r="AD5819" s="94">
        <f>AC5819*Z5819</f>
        <v>296.35199999999969</v>
      </c>
      <c r="AE5819" s="190"/>
      <c r="AF5819" s="191"/>
      <c r="AG5819" s="191"/>
      <c r="AH5819" s="191"/>
      <c r="AI5819" s="186"/>
      <c r="AK5819" s="171"/>
    </row>
    <row r="5820" spans="1:37" s="102" customFormat="1" ht="19.899999999999999" customHeight="1" x14ac:dyDescent="0.25">
      <c r="A5820" s="45"/>
      <c r="B5820" s="59"/>
      <c r="C5820" s="137"/>
      <c r="D5820" s="59"/>
      <c r="E5820" s="116"/>
      <c r="F5820" s="120"/>
      <c r="G5820" s="120"/>
      <c r="H5820" s="120"/>
      <c r="I5820" s="60"/>
      <c r="J5820" s="116"/>
      <c r="K5820" s="213"/>
      <c r="L5820" s="120"/>
      <c r="M5820" s="120"/>
      <c r="N5820" s="167"/>
      <c r="O5820" s="120"/>
      <c r="P5820" s="120"/>
      <c r="Q5820" s="120"/>
      <c r="R5820" s="120"/>
      <c r="S5820" s="120"/>
      <c r="T5820" s="221"/>
      <c r="U5820" s="89"/>
      <c r="V5820" s="61"/>
      <c r="W5820" s="92" t="s">
        <v>124</v>
      </c>
      <c r="X5820" s="93" t="s">
        <v>32</v>
      </c>
      <c r="Y5820" s="93" t="s">
        <v>64</v>
      </c>
      <c r="Z5820" s="134">
        <f>VLOOKUP(W5820,Sheet2!$B:$D,3,FALSE)</f>
        <v>10</v>
      </c>
      <c r="AA5820" s="93">
        <f>1/((3.4*3.4)-(3.14*2*2/4))</f>
        <v>0.11876484560570073</v>
      </c>
      <c r="AB5820" s="93">
        <f t="shared" ref="AB5820" si="4068">AD5820/AC5814</f>
        <v>84.199999999999989</v>
      </c>
      <c r="AC5820" s="93">
        <f>AC5814/AA5820</f>
        <v>2.3575999999999979</v>
      </c>
      <c r="AD5820" s="94">
        <f t="shared" ref="AD5820" si="4069">AC5820*Z5820</f>
        <v>23.575999999999979</v>
      </c>
      <c r="AE5820" s="190"/>
      <c r="AF5820" s="191"/>
      <c r="AG5820" s="191"/>
      <c r="AH5820" s="191"/>
      <c r="AI5820" s="186"/>
      <c r="AK5820" s="171"/>
    </row>
    <row r="5821" spans="1:37" s="103" customFormat="1" ht="19.899999999999999" customHeight="1" x14ac:dyDescent="0.25">
      <c r="A5821" s="51"/>
      <c r="B5821" s="52"/>
      <c r="C5821" s="165"/>
      <c r="D5821" s="52"/>
      <c r="E5821" s="115"/>
      <c r="F5821" s="58"/>
      <c r="G5821" s="58"/>
      <c r="H5821" s="58"/>
      <c r="I5821" s="55"/>
      <c r="J5821" s="113">
        <f>J5808</f>
        <v>0.2799999999999998</v>
      </c>
      <c r="K5821" s="212">
        <f>K5808</f>
        <v>0.2799999999999998</v>
      </c>
      <c r="L5821" s="58"/>
      <c r="M5821" s="58">
        <f>K5821-L5821</f>
        <v>0.2799999999999998</v>
      </c>
      <c r="N5821" s="166"/>
      <c r="O5821" s="58"/>
      <c r="P5821" s="58"/>
      <c r="Q5821" s="58"/>
      <c r="R5821" s="58"/>
      <c r="S5821" s="58"/>
      <c r="T5821" s="220"/>
      <c r="U5821" s="88"/>
      <c r="V5821" s="56"/>
      <c r="W5821" s="57" t="s">
        <v>1275</v>
      </c>
      <c r="X5821" s="53"/>
      <c r="Y5821" s="91" t="s">
        <v>35</v>
      </c>
      <c r="Z5821" s="136">
        <f>AD5821/AC5821</f>
        <v>16122.800000000001</v>
      </c>
      <c r="AA5821" s="58"/>
      <c r="AB5821" s="53">
        <f>AD5821/AC5821</f>
        <v>16122.800000000001</v>
      </c>
      <c r="AC5821" s="53">
        <f>M5821+$AE$10</f>
        <v>0.2799999999999998</v>
      </c>
      <c r="AD5821" s="54">
        <f>SUM(AD5822:AD5827)</f>
        <v>4514.3839999999973</v>
      </c>
      <c r="AE5821" s="184">
        <f>SUMIFS($AD$37:$AD$12971,$V$37:$V$12971,$V5821,$X$37:$X$12971,AE$13)</f>
        <v>0</v>
      </c>
      <c r="AF5821" s="185">
        <f>SUMIFS($AD$37:$AD$12971,$V$37:$V$12971,$V5821,$X$37:$X$12971,AF$13)</f>
        <v>0</v>
      </c>
      <c r="AG5821" s="185">
        <f>SUMIFS($AD$37:$AD$12971,$V$37:$V$12971,$V5821,$X$37:$X$12971,AG$13)</f>
        <v>0</v>
      </c>
      <c r="AH5821" s="187">
        <f>SUMIFS($AD$37:$AD$12971,$V$37:$V$12971,$V5821,$X$37:$X$12971,AH$13)</f>
        <v>0</v>
      </c>
      <c r="AI5821" s="161">
        <f t="shared" ref="AI5821" si="4070">SUM(AE5821:AH5821)</f>
        <v>0</v>
      </c>
      <c r="AK5821" s="172"/>
    </row>
    <row r="5822" spans="1:37" s="102" customFormat="1" ht="19.899999999999999" customHeight="1" x14ac:dyDescent="0.25">
      <c r="A5822" s="45"/>
      <c r="B5822" s="59"/>
      <c r="C5822" s="137"/>
      <c r="D5822" s="59"/>
      <c r="E5822" s="116"/>
      <c r="F5822" s="120"/>
      <c r="G5822" s="120"/>
      <c r="H5822" s="120"/>
      <c r="I5822" s="60"/>
      <c r="J5822" s="116"/>
      <c r="K5822" s="213"/>
      <c r="L5822" s="120"/>
      <c r="M5822" s="120"/>
      <c r="N5822" s="167"/>
      <c r="O5822" s="120"/>
      <c r="P5822" s="120"/>
      <c r="Q5822" s="120"/>
      <c r="R5822" s="120"/>
      <c r="S5822" s="120"/>
      <c r="T5822" s="221"/>
      <c r="U5822" s="89"/>
      <c r="V5822" s="61"/>
      <c r="W5822" s="92" t="s">
        <v>1566</v>
      </c>
      <c r="X5822" s="93" t="s">
        <v>30</v>
      </c>
      <c r="Y5822" s="93" t="s">
        <v>35</v>
      </c>
      <c r="Z5822" s="134">
        <f>VLOOKUP(W5822,Sheet2!$B:$D,3,FALSE)</f>
        <v>14350</v>
      </c>
      <c r="AA5822" s="93">
        <v>1</v>
      </c>
      <c r="AB5822" s="93">
        <f>AD5822/AC5821</f>
        <v>14350</v>
      </c>
      <c r="AC5822" s="93">
        <f>AC5821/AA5822</f>
        <v>0.2799999999999998</v>
      </c>
      <c r="AD5822" s="94">
        <f t="shared" ref="AD5822:AD5823" si="4071">AC5822*Z5822</f>
        <v>4017.9999999999973</v>
      </c>
      <c r="AE5822" s="190"/>
      <c r="AF5822" s="191"/>
      <c r="AG5822" s="191"/>
      <c r="AH5822" s="191"/>
      <c r="AI5822" s="186"/>
      <c r="AK5822" s="171"/>
    </row>
    <row r="5823" spans="1:37" s="102" customFormat="1" ht="19.899999999999999" customHeight="1" x14ac:dyDescent="0.25">
      <c r="A5823" s="45"/>
      <c r="B5823" s="59"/>
      <c r="C5823" s="137"/>
      <c r="D5823" s="59"/>
      <c r="E5823" s="116"/>
      <c r="F5823" s="120"/>
      <c r="G5823" s="120"/>
      <c r="H5823" s="120"/>
      <c r="I5823" s="60"/>
      <c r="J5823" s="116"/>
      <c r="K5823" s="213"/>
      <c r="L5823" s="120"/>
      <c r="M5823" s="120"/>
      <c r="N5823" s="167"/>
      <c r="O5823" s="120"/>
      <c r="P5823" s="120"/>
      <c r="Q5823" s="120"/>
      <c r="R5823" s="120"/>
      <c r="S5823" s="120"/>
      <c r="T5823" s="221"/>
      <c r="U5823" s="89"/>
      <c r="V5823" s="61"/>
      <c r="W5823" s="92" t="s">
        <v>174</v>
      </c>
      <c r="X5823" s="93" t="s">
        <v>29</v>
      </c>
      <c r="Y5823" s="93" t="s">
        <v>93</v>
      </c>
      <c r="Z5823" s="134">
        <f>VLOOKUP(W5823,Sheet2!$B:$D,3,FALSE)</f>
        <v>80</v>
      </c>
      <c r="AA5823" s="93">
        <f>1/2</f>
        <v>0.5</v>
      </c>
      <c r="AB5823" s="93">
        <f>AD5823/AC5821</f>
        <v>160</v>
      </c>
      <c r="AC5823" s="93">
        <f>AC5821/AA5823</f>
        <v>0.55999999999999961</v>
      </c>
      <c r="AD5823" s="94">
        <f t="shared" si="4071"/>
        <v>44.799999999999969</v>
      </c>
      <c r="AE5823" s="190"/>
      <c r="AF5823" s="191"/>
      <c r="AG5823" s="191"/>
      <c r="AH5823" s="191"/>
      <c r="AI5823" s="186"/>
      <c r="AK5823" s="171"/>
    </row>
    <row r="5824" spans="1:37" s="102" customFormat="1" ht="19.899999999999999" customHeight="1" x14ac:dyDescent="0.25">
      <c r="A5824" s="45"/>
      <c r="B5824" s="59"/>
      <c r="C5824" s="137"/>
      <c r="D5824" s="59"/>
      <c r="E5824" s="116"/>
      <c r="F5824" s="120"/>
      <c r="G5824" s="120"/>
      <c r="H5824" s="120"/>
      <c r="I5824" s="60"/>
      <c r="J5824" s="116"/>
      <c r="K5824" s="213"/>
      <c r="L5824" s="120"/>
      <c r="M5824" s="120"/>
      <c r="N5824" s="167"/>
      <c r="O5824" s="120"/>
      <c r="P5824" s="120"/>
      <c r="Q5824" s="120"/>
      <c r="R5824" s="120"/>
      <c r="S5824" s="120"/>
      <c r="T5824" s="221"/>
      <c r="U5824" s="89"/>
      <c r="V5824" s="61"/>
      <c r="W5824" s="92" t="s">
        <v>65</v>
      </c>
      <c r="X5824" s="93" t="s">
        <v>30</v>
      </c>
      <c r="Y5824" s="93" t="s">
        <v>93</v>
      </c>
      <c r="Z5824" s="134">
        <f>VLOOKUP(W5824,Sheet2!$B:$D,3,FALSE)</f>
        <v>1.76</v>
      </c>
      <c r="AA5824" s="93">
        <f>AA5823/15</f>
        <v>3.3333333333333333E-2</v>
      </c>
      <c r="AB5824" s="93">
        <f>AD5824/AC5821</f>
        <v>52.800000000000004</v>
      </c>
      <c r="AC5824" s="93">
        <f>AC5821/AA5824</f>
        <v>8.399999999999995</v>
      </c>
      <c r="AD5824" s="94">
        <f>AC5824*Z5824</f>
        <v>14.783999999999992</v>
      </c>
      <c r="AE5824" s="190"/>
      <c r="AF5824" s="191"/>
      <c r="AG5824" s="191"/>
      <c r="AH5824" s="191"/>
      <c r="AI5824" s="186"/>
      <c r="AK5824" s="171"/>
    </row>
    <row r="5825" spans="1:41" s="102" customFormat="1" ht="19.899999999999999" customHeight="1" x14ac:dyDescent="0.25">
      <c r="A5825" s="45"/>
      <c r="B5825" s="59"/>
      <c r="C5825" s="137"/>
      <c r="D5825" s="59"/>
      <c r="E5825" s="116"/>
      <c r="F5825" s="120"/>
      <c r="G5825" s="120"/>
      <c r="H5825" s="120"/>
      <c r="I5825" s="60"/>
      <c r="J5825" s="116"/>
      <c r="K5825" s="213"/>
      <c r="L5825" s="120"/>
      <c r="M5825" s="120"/>
      <c r="N5825" s="167"/>
      <c r="O5825" s="120"/>
      <c r="P5825" s="120"/>
      <c r="Q5825" s="120"/>
      <c r="R5825" s="120"/>
      <c r="S5825" s="120"/>
      <c r="T5825" s="221"/>
      <c r="U5825" s="89"/>
      <c r="V5825" s="61"/>
      <c r="W5825" s="92" t="s">
        <v>1487</v>
      </c>
      <c r="X5825" s="93" t="s">
        <v>32</v>
      </c>
      <c r="Y5825" s="93" t="s">
        <v>1349</v>
      </c>
      <c r="Z5825" s="134">
        <f>VLOOKUP(W5825,Sheet2!$B:$D,3,FALSE)</f>
        <v>1500</v>
      </c>
      <c r="AA5825" s="93">
        <v>1</v>
      </c>
      <c r="AB5825" s="93">
        <f>AD5825/AC5821</f>
        <v>1500</v>
      </c>
      <c r="AC5825" s="93">
        <f>AC5821/AA5825</f>
        <v>0.2799999999999998</v>
      </c>
      <c r="AD5825" s="94">
        <f>AC5825*Z5825</f>
        <v>419.99999999999972</v>
      </c>
      <c r="AE5825" s="190"/>
      <c r="AF5825" s="191"/>
      <c r="AG5825" s="191"/>
      <c r="AH5825" s="191"/>
      <c r="AI5825" s="186"/>
      <c r="AK5825" s="171"/>
    </row>
    <row r="5826" spans="1:41" s="102" customFormat="1" ht="19.899999999999999" customHeight="1" x14ac:dyDescent="0.25">
      <c r="A5826" s="45"/>
      <c r="B5826" s="59"/>
      <c r="C5826" s="137"/>
      <c r="D5826" s="59"/>
      <c r="E5826" s="116"/>
      <c r="F5826" s="120"/>
      <c r="G5826" s="120"/>
      <c r="H5826" s="120"/>
      <c r="I5826" s="60"/>
      <c r="J5826" s="116"/>
      <c r="K5826" s="213"/>
      <c r="L5826" s="120"/>
      <c r="M5826" s="120"/>
      <c r="N5826" s="167"/>
      <c r="O5826" s="120"/>
      <c r="P5826" s="120"/>
      <c r="Q5826" s="120"/>
      <c r="R5826" s="120"/>
      <c r="S5826" s="120"/>
      <c r="T5826" s="221"/>
      <c r="U5826" s="89"/>
      <c r="V5826" s="61"/>
      <c r="W5826" s="92" t="s">
        <v>107</v>
      </c>
      <c r="X5826" s="93" t="s">
        <v>31</v>
      </c>
      <c r="Y5826" s="93" t="s">
        <v>93</v>
      </c>
      <c r="Z5826" s="134">
        <f>VLOOKUP(W5826,Sheet2!$B:$D,3,FALSE)</f>
        <v>17</v>
      </c>
      <c r="AA5826" s="93">
        <f>AA5823</f>
        <v>0.5</v>
      </c>
      <c r="AB5826" s="93">
        <f>AD5826/AC5821</f>
        <v>34</v>
      </c>
      <c r="AC5826" s="93">
        <f>AC5821/AA5826</f>
        <v>0.55999999999999961</v>
      </c>
      <c r="AD5826" s="94">
        <f>AC5826*Z5826</f>
        <v>9.5199999999999925</v>
      </c>
      <c r="AE5826" s="190"/>
      <c r="AF5826" s="191"/>
      <c r="AG5826" s="191"/>
      <c r="AH5826" s="191"/>
      <c r="AI5826" s="186"/>
      <c r="AK5826" s="171"/>
    </row>
    <row r="5827" spans="1:41" s="102" customFormat="1" ht="19.899999999999999" customHeight="1" x14ac:dyDescent="0.25">
      <c r="A5827" s="45"/>
      <c r="B5827" s="59"/>
      <c r="C5827" s="137"/>
      <c r="D5827" s="59"/>
      <c r="E5827" s="116"/>
      <c r="F5827" s="120"/>
      <c r="G5827" s="120"/>
      <c r="H5827" s="120"/>
      <c r="I5827" s="60"/>
      <c r="J5827" s="116"/>
      <c r="K5827" s="213"/>
      <c r="L5827" s="120"/>
      <c r="M5827" s="120"/>
      <c r="N5827" s="167"/>
      <c r="O5827" s="120"/>
      <c r="P5827" s="120"/>
      <c r="Q5827" s="120"/>
      <c r="R5827" s="120"/>
      <c r="S5827" s="120"/>
      <c r="T5827" s="221"/>
      <c r="U5827" s="89"/>
      <c r="V5827" s="61"/>
      <c r="W5827" s="92" t="s">
        <v>112</v>
      </c>
      <c r="X5827" s="93" t="s">
        <v>31</v>
      </c>
      <c r="Y5827" s="93" t="s">
        <v>93</v>
      </c>
      <c r="Z5827" s="134">
        <f>VLOOKUP(W5827,Sheet2!$B:$D,3,FALSE)</f>
        <v>13</v>
      </c>
      <c r="AA5827" s="93">
        <f>AA5826</f>
        <v>0.5</v>
      </c>
      <c r="AB5827" s="93">
        <f>AD5827/AC5821</f>
        <v>26</v>
      </c>
      <c r="AC5827" s="93">
        <f>AC5821/AA5827</f>
        <v>0.55999999999999961</v>
      </c>
      <c r="AD5827" s="94">
        <f>AC5827*Z5827</f>
        <v>7.2799999999999949</v>
      </c>
      <c r="AE5827" s="190"/>
      <c r="AF5827" s="191"/>
      <c r="AG5827" s="191"/>
      <c r="AH5827" s="191"/>
      <c r="AI5827" s="186"/>
      <c r="AK5827" s="171"/>
    </row>
    <row r="5828" spans="1:41" s="103" customFormat="1" ht="19.899999999999999" customHeight="1" x14ac:dyDescent="0.25">
      <c r="A5828" s="51"/>
      <c r="B5828" s="52"/>
      <c r="C5828" s="165"/>
      <c r="D5828" s="52"/>
      <c r="E5828" s="115"/>
      <c r="F5828" s="58"/>
      <c r="G5828" s="58"/>
      <c r="H5828" s="58"/>
      <c r="I5828" s="55"/>
      <c r="J5828" s="113">
        <f>J5808</f>
        <v>0.2799999999999998</v>
      </c>
      <c r="K5828" s="212">
        <f>K5808</f>
        <v>0.2799999999999998</v>
      </c>
      <c r="L5828" s="58"/>
      <c r="M5828" s="58">
        <f>K5828-L5828</f>
        <v>0.2799999999999998</v>
      </c>
      <c r="N5828" s="166"/>
      <c r="O5828" s="58"/>
      <c r="P5828" s="58"/>
      <c r="Q5828" s="58"/>
      <c r="R5828" s="58"/>
      <c r="S5828" s="58"/>
      <c r="T5828" s="220"/>
      <c r="U5828" s="88"/>
      <c r="V5828" s="56"/>
      <c r="W5828" s="57" t="s">
        <v>1272</v>
      </c>
      <c r="X5828" s="53"/>
      <c r="Y5828" s="91" t="s">
        <v>35</v>
      </c>
      <c r="Z5828" s="136">
        <f>AD5828/AC5828</f>
        <v>1290.4827968627453</v>
      </c>
      <c r="AA5828" s="58"/>
      <c r="AB5828" s="53">
        <f>AD5828/AC5828</f>
        <v>1290.4827968627453</v>
      </c>
      <c r="AC5828" s="53">
        <f>M5828+$AE$10</f>
        <v>0.2799999999999998</v>
      </c>
      <c r="AD5828" s="54">
        <f>SUM(AD5829:AD5837)</f>
        <v>361.33518312156843</v>
      </c>
      <c r="AE5828" s="184">
        <f>SUMIFS($AD$37:$AD$12971,$V$37:$V$12971,$V5828,$X$37:$X$12971,AE$13)</f>
        <v>0</v>
      </c>
      <c r="AF5828" s="185">
        <f>SUMIFS($AD$37:$AD$12971,$V$37:$V$12971,$V5828,$X$37:$X$12971,AF$13)</f>
        <v>0</v>
      </c>
      <c r="AG5828" s="185">
        <f>SUMIFS($AD$37:$AD$12971,$V$37:$V$12971,$V5828,$X$37:$X$12971,AG$13)</f>
        <v>0</v>
      </c>
      <c r="AH5828" s="187">
        <f>SUMIFS($AD$37:$AD$12971,$V$37:$V$12971,$V5828,$X$37:$X$12971,AH$13)</f>
        <v>0</v>
      </c>
      <c r="AI5828" s="161">
        <f t="shared" ref="AI5828" si="4072">SUM(AE5828:AH5828)</f>
        <v>0</v>
      </c>
      <c r="AK5828" s="172"/>
    </row>
    <row r="5829" spans="1:41" s="102" customFormat="1" ht="19.899999999999999" customHeight="1" x14ac:dyDescent="0.25">
      <c r="A5829" s="45"/>
      <c r="B5829" s="59"/>
      <c r="C5829" s="137"/>
      <c r="D5829" s="59"/>
      <c r="E5829" s="116"/>
      <c r="F5829" s="120"/>
      <c r="G5829" s="120"/>
      <c r="H5829" s="120"/>
      <c r="I5829" s="60"/>
      <c r="J5829" s="116"/>
      <c r="K5829" s="213"/>
      <c r="L5829" s="120"/>
      <c r="M5829" s="120"/>
      <c r="N5829" s="167"/>
      <c r="O5829" s="120"/>
      <c r="P5829" s="120"/>
      <c r="Q5829" s="120"/>
      <c r="R5829" s="120"/>
      <c r="S5829" s="120"/>
      <c r="T5829" s="221"/>
      <c r="U5829" s="89"/>
      <c r="V5829" s="61"/>
      <c r="W5829" s="92" t="s">
        <v>1273</v>
      </c>
      <c r="X5829" s="93" t="s">
        <v>30</v>
      </c>
      <c r="Y5829" s="93" t="s">
        <v>66</v>
      </c>
      <c r="Z5829" s="134">
        <f>VLOOKUP(W5829,Sheet2!$B:$D,3,FALSE)</f>
        <v>10</v>
      </c>
      <c r="AA5829" s="93">
        <f>1/((3.8*3.8*6.5)-(3.14/4*2*2*6.5))</f>
        <v>1.3614703880190605E-2</v>
      </c>
      <c r="AB5829" s="93">
        <f>AD5829/AC5828</f>
        <v>734.50000000000011</v>
      </c>
      <c r="AC5829" s="93">
        <f>AC5828/AA5829</f>
        <v>20.565999999999988</v>
      </c>
      <c r="AD5829" s="94">
        <f t="shared" ref="AD5829:AD5831" si="4073">AC5829*Z5829</f>
        <v>205.65999999999988</v>
      </c>
      <c r="AE5829" s="190"/>
      <c r="AF5829" s="191"/>
      <c r="AG5829" s="191"/>
      <c r="AH5829" s="191"/>
      <c r="AI5829" s="186"/>
      <c r="AK5829" s="171"/>
    </row>
    <row r="5830" spans="1:41" s="102" customFormat="1" ht="19.899999999999999" customHeight="1" x14ac:dyDescent="0.25">
      <c r="A5830" s="45"/>
      <c r="B5830" s="59"/>
      <c r="C5830" s="137"/>
      <c r="D5830" s="59"/>
      <c r="E5830" s="116"/>
      <c r="F5830" s="120"/>
      <c r="G5830" s="120"/>
      <c r="H5830" s="120"/>
      <c r="I5830" s="60"/>
      <c r="J5830" s="116"/>
      <c r="K5830" s="213"/>
      <c r="L5830" s="120"/>
      <c r="M5830" s="120"/>
      <c r="N5830" s="167"/>
      <c r="O5830" s="120"/>
      <c r="P5830" s="120"/>
      <c r="Q5830" s="120"/>
      <c r="R5830" s="120"/>
      <c r="S5830" s="120"/>
      <c r="T5830" s="221"/>
      <c r="U5830" s="89"/>
      <c r="V5830" s="61"/>
      <c r="W5830" s="92" t="s">
        <v>134</v>
      </c>
      <c r="X5830" s="93" t="s">
        <v>29</v>
      </c>
      <c r="Y5830" s="93" t="s">
        <v>93</v>
      </c>
      <c r="Z5830" s="134">
        <f>VLOOKUP(W5830,Sheet2!$B:$D,3,FALSE)</f>
        <v>65.599999999999994</v>
      </c>
      <c r="AA5830" s="93">
        <f>100/((3.8*3.8*6.5)-(3.14/4*2*2*6.5))</f>
        <v>1.3614703880190606</v>
      </c>
      <c r="AB5830" s="93">
        <f t="shared" ref="AB5830" si="4074">AD5830/AC5828</f>
        <v>48.183199999999992</v>
      </c>
      <c r="AC5830" s="93">
        <f>AC5828/AA5830</f>
        <v>0.20565999999999984</v>
      </c>
      <c r="AD5830" s="94">
        <f t="shared" si="4073"/>
        <v>13.491295999999988</v>
      </c>
      <c r="AE5830" s="190"/>
      <c r="AF5830" s="191"/>
      <c r="AG5830" s="191"/>
      <c r="AH5830" s="191"/>
      <c r="AI5830" s="186"/>
      <c r="AK5830" s="171"/>
    </row>
    <row r="5831" spans="1:41" s="102" customFormat="1" ht="19.899999999999999" customHeight="1" x14ac:dyDescent="0.25">
      <c r="A5831" s="45"/>
      <c r="B5831" s="59"/>
      <c r="C5831" s="137"/>
      <c r="D5831" s="59"/>
      <c r="E5831" s="116"/>
      <c r="F5831" s="120"/>
      <c r="G5831" s="120"/>
      <c r="H5831" s="120"/>
      <c r="I5831" s="60"/>
      <c r="J5831" s="116"/>
      <c r="K5831" s="213"/>
      <c r="L5831" s="120"/>
      <c r="M5831" s="120"/>
      <c r="N5831" s="167"/>
      <c r="O5831" s="120"/>
      <c r="P5831" s="120"/>
      <c r="Q5831" s="120"/>
      <c r="R5831" s="120"/>
      <c r="S5831" s="120"/>
      <c r="T5831" s="221"/>
      <c r="U5831" s="89"/>
      <c r="V5831" s="61"/>
      <c r="W5831" s="92" t="s">
        <v>65</v>
      </c>
      <c r="X5831" s="93" t="s">
        <v>30</v>
      </c>
      <c r="Y5831" s="93" t="s">
        <v>1011</v>
      </c>
      <c r="Z5831" s="134">
        <f>VLOOKUP(W5831,Sheet2!$B:$D,3,FALSE)</f>
        <v>1.76</v>
      </c>
      <c r="AA5831" s="93">
        <f>AA5830/9</f>
        <v>0.15127448755767339</v>
      </c>
      <c r="AB5831" s="93">
        <f>AD5831/AC5828</f>
        <v>11.63448</v>
      </c>
      <c r="AC5831" s="93">
        <f>AC5828/AA5831</f>
        <v>1.8509399999999987</v>
      </c>
      <c r="AD5831" s="94">
        <f t="shared" si="4073"/>
        <v>3.2576543999999976</v>
      </c>
      <c r="AE5831" s="190"/>
      <c r="AF5831" s="191"/>
      <c r="AG5831" s="191"/>
      <c r="AH5831" s="191"/>
      <c r="AI5831" s="186"/>
      <c r="AK5831" s="171"/>
    </row>
    <row r="5832" spans="1:41" s="102" customFormat="1" ht="19.899999999999999" customHeight="1" x14ac:dyDescent="0.25">
      <c r="A5832" s="45"/>
      <c r="B5832" s="59"/>
      <c r="C5832" s="137"/>
      <c r="D5832" s="59"/>
      <c r="E5832" s="116"/>
      <c r="F5832" s="120"/>
      <c r="G5832" s="120"/>
      <c r="H5832" s="120"/>
      <c r="I5832" s="60"/>
      <c r="J5832" s="116"/>
      <c r="K5832" s="213"/>
      <c r="L5832" s="120"/>
      <c r="M5832" s="120"/>
      <c r="N5832" s="167"/>
      <c r="O5832" s="120"/>
      <c r="P5832" s="120"/>
      <c r="Q5832" s="120"/>
      <c r="R5832" s="120"/>
      <c r="S5832" s="120"/>
      <c r="T5832" s="221"/>
      <c r="U5832" s="89"/>
      <c r="V5832" s="61"/>
      <c r="W5832" s="92" t="s">
        <v>161</v>
      </c>
      <c r="X5832" s="93" t="s">
        <v>29</v>
      </c>
      <c r="Y5832" s="93" t="s">
        <v>93</v>
      </c>
      <c r="Z5832" s="134">
        <f>VLOOKUP(W5832,Sheet2!$B:$D,3,FALSE)</f>
        <v>48</v>
      </c>
      <c r="AA5832" s="93">
        <f>(16*0.85*1.5)/((3.8*3.8*6.5)-(3.14/4*2*2*6.5))</f>
        <v>0.27773995915588834</v>
      </c>
      <c r="AB5832" s="93">
        <f>AD5832/AC5828</f>
        <v>172.82352941176472</v>
      </c>
      <c r="AC5832" s="93">
        <f>AC5828/AA5832</f>
        <v>1.0081372549019603</v>
      </c>
      <c r="AD5832" s="94">
        <f>AC5832*Z5832</f>
        <v>48.390588235294089</v>
      </c>
      <c r="AE5832" s="190"/>
      <c r="AF5832" s="191"/>
      <c r="AG5832" s="191"/>
      <c r="AH5832" s="191"/>
      <c r="AI5832" s="186"/>
      <c r="AK5832" s="171"/>
    </row>
    <row r="5833" spans="1:41" s="102" customFormat="1" ht="19.899999999999999" customHeight="1" x14ac:dyDescent="0.25">
      <c r="A5833" s="45"/>
      <c r="B5833" s="59"/>
      <c r="C5833" s="137"/>
      <c r="D5833" s="59"/>
      <c r="E5833" s="116"/>
      <c r="F5833" s="120"/>
      <c r="G5833" s="120"/>
      <c r="H5833" s="120"/>
      <c r="I5833" s="60"/>
      <c r="J5833" s="116"/>
      <c r="K5833" s="213"/>
      <c r="L5833" s="120"/>
      <c r="M5833" s="120"/>
      <c r="N5833" s="167"/>
      <c r="O5833" s="120"/>
      <c r="P5833" s="120"/>
      <c r="Q5833" s="120"/>
      <c r="R5833" s="120"/>
      <c r="S5833" s="120"/>
      <c r="T5833" s="221"/>
      <c r="U5833" s="89"/>
      <c r="V5833" s="61"/>
      <c r="W5833" s="92" t="s">
        <v>65</v>
      </c>
      <c r="X5833" s="93" t="s">
        <v>30</v>
      </c>
      <c r="Y5833" s="93" t="s">
        <v>1011</v>
      </c>
      <c r="Z5833" s="134">
        <f>VLOOKUP(W5833,Sheet2!$B:$D,3,FALSE)</f>
        <v>1.76</v>
      </c>
      <c r="AA5833" s="93">
        <f>AA5832/10</f>
        <v>2.7773995915588833E-2</v>
      </c>
      <c r="AB5833" s="93">
        <f>AD5833/AC5828</f>
        <v>63.368627450980398</v>
      </c>
      <c r="AC5833" s="93">
        <f>AC5828/AA5833</f>
        <v>10.081372549019601</v>
      </c>
      <c r="AD5833" s="94">
        <f>AC5833*Z5833</f>
        <v>17.7432156862745</v>
      </c>
      <c r="AE5833" s="190"/>
      <c r="AF5833" s="191"/>
      <c r="AG5833" s="191"/>
      <c r="AH5833" s="191"/>
      <c r="AI5833" s="186"/>
      <c r="AK5833" s="171"/>
    </row>
    <row r="5834" spans="1:41" s="102" customFormat="1" ht="19.899999999999999" customHeight="1" x14ac:dyDescent="0.25">
      <c r="A5834" s="45"/>
      <c r="B5834" s="59"/>
      <c r="C5834" s="137"/>
      <c r="D5834" s="59"/>
      <c r="E5834" s="116"/>
      <c r="F5834" s="120"/>
      <c r="G5834" s="120"/>
      <c r="H5834" s="120"/>
      <c r="I5834" s="60"/>
      <c r="J5834" s="116"/>
      <c r="K5834" s="213"/>
      <c r="L5834" s="120"/>
      <c r="M5834" s="120"/>
      <c r="N5834" s="167"/>
      <c r="O5834" s="120"/>
      <c r="P5834" s="120"/>
      <c r="Q5834" s="120"/>
      <c r="R5834" s="120"/>
      <c r="S5834" s="120"/>
      <c r="T5834" s="221"/>
      <c r="U5834" s="89"/>
      <c r="V5834" s="61"/>
      <c r="W5834" s="92" t="s">
        <v>173</v>
      </c>
      <c r="X5834" s="93" t="s">
        <v>29</v>
      </c>
      <c r="Y5834" s="93" t="s">
        <v>93</v>
      </c>
      <c r="Z5834" s="134">
        <f>VLOOKUP(W5834,Sheet2!$B:$D,3,FALSE)</f>
        <v>36</v>
      </c>
      <c r="AA5834" s="93">
        <f>50/((3.8*3.8*6.5)-(3.14/4*2*2*6.5))</f>
        <v>0.68073519400953031</v>
      </c>
      <c r="AB5834" s="93">
        <f>AD5834/AC5828</f>
        <v>52.884</v>
      </c>
      <c r="AC5834" s="93">
        <f>AC5828/AA5834</f>
        <v>0.41131999999999969</v>
      </c>
      <c r="AD5834" s="94">
        <f>AC5834*Z5834</f>
        <v>14.80751999999999</v>
      </c>
      <c r="AE5834" s="190"/>
      <c r="AF5834" s="191"/>
      <c r="AG5834" s="191"/>
      <c r="AH5834" s="191"/>
      <c r="AI5834" s="186"/>
      <c r="AK5834" s="171"/>
    </row>
    <row r="5835" spans="1:41" s="102" customFormat="1" ht="19.899999999999999" customHeight="1" x14ac:dyDescent="0.25">
      <c r="A5835" s="45"/>
      <c r="B5835" s="59"/>
      <c r="C5835" s="137"/>
      <c r="D5835" s="59"/>
      <c r="E5835" s="116"/>
      <c r="F5835" s="120"/>
      <c r="G5835" s="120"/>
      <c r="H5835" s="120"/>
      <c r="I5835" s="60"/>
      <c r="J5835" s="116"/>
      <c r="K5835" s="213"/>
      <c r="L5835" s="120"/>
      <c r="M5835" s="120"/>
      <c r="N5835" s="167"/>
      <c r="O5835" s="120"/>
      <c r="P5835" s="120"/>
      <c r="Q5835" s="120"/>
      <c r="R5835" s="120"/>
      <c r="S5835" s="120"/>
      <c r="T5835" s="221"/>
      <c r="U5835" s="89"/>
      <c r="V5835" s="61"/>
      <c r="W5835" s="92" t="s">
        <v>65</v>
      </c>
      <c r="X5835" s="93" t="s">
        <v>30</v>
      </c>
      <c r="Y5835" s="93" t="s">
        <v>1011</v>
      </c>
      <c r="Z5835" s="134">
        <f>VLOOKUP(W5835,Sheet2!$B:$D,3,FALSE)</f>
        <v>1.76</v>
      </c>
      <c r="AA5835" s="93">
        <f>AA5834/9</f>
        <v>7.5637243778836696E-2</v>
      </c>
      <c r="AB5835" s="93">
        <f>AD5835/AC5828</f>
        <v>23.26896</v>
      </c>
      <c r="AC5835" s="93">
        <f>AC5828/AA5835</f>
        <v>3.7018799999999974</v>
      </c>
      <c r="AD5835" s="94">
        <f>AC5835*Z5835</f>
        <v>6.5153087999999952</v>
      </c>
      <c r="AE5835" s="190"/>
      <c r="AF5835" s="191"/>
      <c r="AG5835" s="191"/>
      <c r="AH5835" s="191"/>
      <c r="AI5835" s="186"/>
      <c r="AK5835" s="171"/>
    </row>
    <row r="5836" spans="1:41" s="102" customFormat="1" ht="19.899999999999999" customHeight="1" x14ac:dyDescent="0.25">
      <c r="A5836" s="45"/>
      <c r="B5836" s="59"/>
      <c r="C5836" s="137"/>
      <c r="D5836" s="59"/>
      <c r="E5836" s="116"/>
      <c r="F5836" s="120"/>
      <c r="G5836" s="120"/>
      <c r="H5836" s="120"/>
      <c r="I5836" s="60"/>
      <c r="J5836" s="116"/>
      <c r="K5836" s="213"/>
      <c r="L5836" s="120"/>
      <c r="M5836" s="120"/>
      <c r="N5836" s="167"/>
      <c r="O5836" s="120"/>
      <c r="P5836" s="120"/>
      <c r="Q5836" s="120"/>
      <c r="R5836" s="120"/>
      <c r="S5836" s="120"/>
      <c r="T5836" s="221"/>
      <c r="U5836" s="89"/>
      <c r="V5836" s="61"/>
      <c r="W5836" s="92" t="s">
        <v>1030</v>
      </c>
      <c r="X5836" s="93" t="s">
        <v>29</v>
      </c>
      <c r="Y5836" s="93" t="s">
        <v>93</v>
      </c>
      <c r="Z5836" s="134">
        <f>VLOOKUP(W5836,Sheet2!$B:$D,3,FALSE)</f>
        <v>23</v>
      </c>
      <c r="AA5836" s="93">
        <f>1/(6.5*1)</f>
        <v>0.15384615384615385</v>
      </c>
      <c r="AB5836" s="93">
        <f>AD5836/AC5828</f>
        <v>149.5</v>
      </c>
      <c r="AC5836" s="93">
        <f>AC5828/AA5836</f>
        <v>1.8199999999999987</v>
      </c>
      <c r="AD5836" s="94">
        <f t="shared" ref="AD5836:AD5837" si="4075">AC5836*Z5836</f>
        <v>41.859999999999971</v>
      </c>
      <c r="AE5836" s="190"/>
      <c r="AF5836" s="191"/>
      <c r="AG5836" s="191"/>
      <c r="AH5836" s="191"/>
      <c r="AI5836" s="186"/>
      <c r="AK5836" s="171"/>
    </row>
    <row r="5837" spans="1:41" s="102" customFormat="1" ht="19.899999999999999" customHeight="1" x14ac:dyDescent="0.25">
      <c r="A5837" s="45"/>
      <c r="B5837" s="59"/>
      <c r="C5837" s="137"/>
      <c r="D5837" s="59"/>
      <c r="E5837" s="116"/>
      <c r="F5837" s="120"/>
      <c r="G5837" s="120"/>
      <c r="H5837" s="120"/>
      <c r="I5837" s="60"/>
      <c r="J5837" s="116"/>
      <c r="K5837" s="213"/>
      <c r="L5837" s="120"/>
      <c r="M5837" s="120"/>
      <c r="N5837" s="167"/>
      <c r="O5837" s="120"/>
      <c r="P5837" s="120"/>
      <c r="Q5837" s="120"/>
      <c r="R5837" s="120"/>
      <c r="S5837" s="120"/>
      <c r="T5837" s="221"/>
      <c r="U5837" s="89"/>
      <c r="V5837" s="61"/>
      <c r="W5837" s="92" t="s">
        <v>65</v>
      </c>
      <c r="X5837" s="93" t="s">
        <v>30</v>
      </c>
      <c r="Y5837" s="93" t="s">
        <v>1011</v>
      </c>
      <c r="Z5837" s="134">
        <f>VLOOKUP(W5837,Sheet2!$B:$D,3,FALSE)</f>
        <v>1.76</v>
      </c>
      <c r="AA5837" s="93">
        <f>AA5836/3</f>
        <v>5.1282051282051287E-2</v>
      </c>
      <c r="AB5837" s="93">
        <f>AD5837/AC5828</f>
        <v>34.319999999999993</v>
      </c>
      <c r="AC5837" s="93">
        <f>AC5828/AA5837</f>
        <v>5.4599999999999955</v>
      </c>
      <c r="AD5837" s="94">
        <f t="shared" si="4075"/>
        <v>9.6095999999999915</v>
      </c>
      <c r="AE5837" s="190"/>
      <c r="AF5837" s="191"/>
      <c r="AG5837" s="191"/>
      <c r="AH5837" s="191"/>
      <c r="AI5837" s="186"/>
      <c r="AK5837" s="171"/>
    </row>
    <row r="5838" spans="1:41" ht="20.100000000000001" customHeight="1" x14ac:dyDescent="0.25">
      <c r="A5838" s="277" t="s">
        <v>491</v>
      </c>
      <c r="B5838" s="278"/>
      <c r="C5838" s="64" t="s">
        <v>600</v>
      </c>
      <c r="D5838" s="46" t="s">
        <v>215</v>
      </c>
      <c r="E5838" s="114">
        <v>0.12</v>
      </c>
      <c r="F5838" s="44">
        <v>83585</v>
      </c>
      <c r="G5838" s="44">
        <f t="shared" si="3841"/>
        <v>10030.199999999999</v>
      </c>
      <c r="H5838" s="44">
        <f t="shared" si="3842"/>
        <v>24435.761595294112</v>
      </c>
      <c r="I5838" s="43">
        <f t="shared" si="3843"/>
        <v>2932.2913914352935</v>
      </c>
      <c r="J5838" s="112">
        <f t="shared" si="3844"/>
        <v>0.12</v>
      </c>
      <c r="K5838" s="211">
        <f t="shared" si="3845"/>
        <v>0.12</v>
      </c>
      <c r="L5838" s="44"/>
      <c r="M5838" s="44">
        <f t="shared" si="3846"/>
        <v>0.12</v>
      </c>
      <c r="N5838" s="173">
        <f t="shared" si="3847"/>
        <v>1</v>
      </c>
      <c r="O5838" s="44">
        <f t="shared" si="3848"/>
        <v>83585</v>
      </c>
      <c r="P5838" s="44">
        <f t="shared" si="3849"/>
        <v>10030.199999999999</v>
      </c>
      <c r="Q5838" s="44">
        <f t="shared" si="3850"/>
        <v>24435.761595294112</v>
      </c>
      <c r="R5838" s="44">
        <f t="shared" si="3851"/>
        <v>2932.2913914352935</v>
      </c>
      <c r="S5838" s="123"/>
      <c r="T5838" s="219">
        <f t="shared" si="3852"/>
        <v>2932.2913914352935</v>
      </c>
      <c r="U5838" s="87"/>
      <c r="V5838" s="47"/>
      <c r="W5838" s="48"/>
      <c r="X5838" s="48"/>
      <c r="Y5838" s="48"/>
      <c r="Z5838" s="135"/>
      <c r="AA5838" s="49"/>
      <c r="AB5838" s="50">
        <f t="shared" si="3853"/>
        <v>24435.761595294112</v>
      </c>
      <c r="AC5838" s="42">
        <f t="shared" si="3854"/>
        <v>0.12</v>
      </c>
      <c r="AD5838" s="90">
        <f>AD5839+AD5844+AD5851+AD5858</f>
        <v>2932.2913914352935</v>
      </c>
      <c r="AE5838" s="188">
        <f t="shared" ref="AE5838" si="4076">AE5839+AE5844+AE5851+AE5858</f>
        <v>0</v>
      </c>
      <c r="AF5838" s="189">
        <f t="shared" ref="AF5838" si="4077">AF5839+AF5844+AF5851+AF5858</f>
        <v>0</v>
      </c>
      <c r="AG5838" s="189">
        <f t="shared" ref="AG5838" si="4078">AG5839+AG5844+AG5851+AG5858</f>
        <v>0</v>
      </c>
      <c r="AH5838" s="189">
        <f t="shared" ref="AH5838" si="4079">AH5839+AH5844+AH5851+AH5858</f>
        <v>0</v>
      </c>
      <c r="AI5838" s="161">
        <f t="shared" ref="AI5838" si="4080">SUM(AE5838:AH5838)</f>
        <v>0</v>
      </c>
      <c r="AK5838" s="169">
        <v>5</v>
      </c>
      <c r="AO5838" s="19" t="s">
        <v>63</v>
      </c>
    </row>
    <row r="5839" spans="1:41" s="103" customFormat="1" ht="19.899999999999999" customHeight="1" x14ac:dyDescent="0.25">
      <c r="A5839" s="51"/>
      <c r="B5839" s="52"/>
      <c r="C5839" s="165"/>
      <c r="D5839" s="52"/>
      <c r="E5839" s="115"/>
      <c r="F5839" s="58"/>
      <c r="G5839" s="58"/>
      <c r="H5839" s="58"/>
      <c r="I5839" s="55"/>
      <c r="J5839" s="113">
        <f>J5838</f>
        <v>0.12</v>
      </c>
      <c r="K5839" s="212">
        <f>K5838</f>
        <v>0.12</v>
      </c>
      <c r="L5839" s="58"/>
      <c r="M5839" s="58">
        <f>K5839-L5839</f>
        <v>0.12</v>
      </c>
      <c r="N5839" s="166"/>
      <c r="O5839" s="58"/>
      <c r="P5839" s="58"/>
      <c r="Q5839" s="58"/>
      <c r="R5839" s="58"/>
      <c r="S5839" s="58"/>
      <c r="T5839" s="220"/>
      <c r="U5839" s="88"/>
      <c r="V5839" s="56"/>
      <c r="W5839" s="57" t="s">
        <v>1568</v>
      </c>
      <c r="X5839" s="53"/>
      <c r="Y5839" s="91" t="s">
        <v>35</v>
      </c>
      <c r="Z5839" s="136">
        <f>AD5839/AC5839</f>
        <v>551.34298352941175</v>
      </c>
      <c r="AA5839" s="58"/>
      <c r="AB5839" s="53">
        <f>AD5839/AC5839</f>
        <v>551.34298352941175</v>
      </c>
      <c r="AC5839" s="53">
        <f>M5839+$AE$10</f>
        <v>0.12</v>
      </c>
      <c r="AD5839" s="54">
        <f>SUM(AD5840:AD5843)</f>
        <v>66.16115802352941</v>
      </c>
      <c r="AE5839" s="184">
        <f>SUMIFS($AD$37:$AD$12971,$V$37:$V$12971,$V5839,$X$37:$X$12971,AE$13)</f>
        <v>0</v>
      </c>
      <c r="AF5839" s="185">
        <f>SUMIFS($AD$37:$AD$12971,$V$37:$V$12971,$V5839,$X$37:$X$12971,AF$13)</f>
        <v>0</v>
      </c>
      <c r="AG5839" s="185">
        <f>SUMIFS($AD$37:$AD$12971,$V$37:$V$12971,$V5839,$X$37:$X$12971,AG$13)</f>
        <v>0</v>
      </c>
      <c r="AH5839" s="187">
        <f>SUMIFS($AD$37:$AD$12971,$V$37:$V$12971,$V5839,$X$37:$X$12971,AH$13)</f>
        <v>0</v>
      </c>
      <c r="AI5839" s="161">
        <f t="shared" ref="AI5839" si="4081">SUM(AE5839:AH5839)</f>
        <v>0</v>
      </c>
      <c r="AK5839" s="172"/>
    </row>
    <row r="5840" spans="1:41" s="102" customFormat="1" ht="19.899999999999999" customHeight="1" x14ac:dyDescent="0.25">
      <c r="A5840" s="45"/>
      <c r="B5840" s="59"/>
      <c r="C5840" s="137"/>
      <c r="D5840" s="59"/>
      <c r="E5840" s="116"/>
      <c r="F5840" s="120"/>
      <c r="G5840" s="120"/>
      <c r="H5840" s="120"/>
      <c r="I5840" s="60"/>
      <c r="J5840" s="116"/>
      <c r="K5840" s="213"/>
      <c r="L5840" s="120"/>
      <c r="M5840" s="120"/>
      <c r="N5840" s="167"/>
      <c r="O5840" s="120"/>
      <c r="P5840" s="120"/>
      <c r="Q5840" s="120"/>
      <c r="R5840" s="120"/>
      <c r="S5840" s="120"/>
      <c r="T5840" s="221"/>
      <c r="U5840" s="89"/>
      <c r="V5840" s="61"/>
      <c r="W5840" s="92" t="s">
        <v>131</v>
      </c>
      <c r="X5840" s="93" t="s">
        <v>29</v>
      </c>
      <c r="Y5840" s="93" t="s">
        <v>93</v>
      </c>
      <c r="Z5840" s="134">
        <f>VLOOKUP(W5840,Sheet2!$B:$D,3,FALSE)</f>
        <v>131.19999999999999</v>
      </c>
      <c r="AA5840" s="93">
        <f>100/(3.8*3.8*7.5)</f>
        <v>0.92336103416435833</v>
      </c>
      <c r="AB5840" s="93">
        <f t="shared" ref="AB5840" si="4082">AD5840/AC5839</f>
        <v>142.08959999999999</v>
      </c>
      <c r="AC5840" s="93">
        <f>AC5839/AA5840</f>
        <v>0.12995999999999999</v>
      </c>
      <c r="AD5840" s="94">
        <f t="shared" ref="AD5840:AD5841" si="4083">AC5840*Z5840</f>
        <v>17.050751999999999</v>
      </c>
      <c r="AE5840" s="190"/>
      <c r="AF5840" s="191"/>
      <c r="AG5840" s="191"/>
      <c r="AH5840" s="191"/>
      <c r="AI5840" s="186"/>
      <c r="AK5840" s="171"/>
    </row>
    <row r="5841" spans="1:37" s="102" customFormat="1" ht="19.899999999999999" customHeight="1" x14ac:dyDescent="0.25">
      <c r="A5841" s="45"/>
      <c r="B5841" s="59"/>
      <c r="C5841" s="137"/>
      <c r="D5841" s="59"/>
      <c r="E5841" s="116"/>
      <c r="F5841" s="120"/>
      <c r="G5841" s="120"/>
      <c r="H5841" s="120"/>
      <c r="I5841" s="60"/>
      <c r="J5841" s="116"/>
      <c r="K5841" s="213"/>
      <c r="L5841" s="120"/>
      <c r="M5841" s="120"/>
      <c r="N5841" s="167"/>
      <c r="O5841" s="120"/>
      <c r="P5841" s="120"/>
      <c r="Q5841" s="120"/>
      <c r="R5841" s="120"/>
      <c r="S5841" s="120"/>
      <c r="T5841" s="221"/>
      <c r="U5841" s="89"/>
      <c r="V5841" s="61"/>
      <c r="W5841" s="92" t="s">
        <v>65</v>
      </c>
      <c r="X5841" s="93" t="s">
        <v>30</v>
      </c>
      <c r="Y5841" s="93" t="s">
        <v>1011</v>
      </c>
      <c r="Z5841" s="134">
        <f>VLOOKUP(W5841,Sheet2!$B:$D,3,FALSE)</f>
        <v>1.76</v>
      </c>
      <c r="AA5841" s="93">
        <f>AA5840/32</f>
        <v>2.8855032317636198E-2</v>
      </c>
      <c r="AB5841" s="93">
        <f>AD5841/AC5839</f>
        <v>60.994559999999993</v>
      </c>
      <c r="AC5841" s="93">
        <f>AC5839/AA5841</f>
        <v>4.1587199999999998</v>
      </c>
      <c r="AD5841" s="94">
        <f t="shared" si="4083"/>
        <v>7.3193471999999993</v>
      </c>
      <c r="AE5841" s="190"/>
      <c r="AF5841" s="191"/>
      <c r="AG5841" s="191"/>
      <c r="AH5841" s="191"/>
      <c r="AI5841" s="186"/>
      <c r="AK5841" s="171"/>
    </row>
    <row r="5842" spans="1:37" s="102" customFormat="1" ht="19.899999999999999" customHeight="1" x14ac:dyDescent="0.25">
      <c r="A5842" s="45"/>
      <c r="B5842" s="59"/>
      <c r="C5842" s="137"/>
      <c r="D5842" s="59"/>
      <c r="E5842" s="116"/>
      <c r="F5842" s="120"/>
      <c r="G5842" s="120"/>
      <c r="H5842" s="120"/>
      <c r="I5842" s="60"/>
      <c r="J5842" s="116"/>
      <c r="K5842" s="213"/>
      <c r="L5842" s="120"/>
      <c r="M5842" s="120"/>
      <c r="N5842" s="167"/>
      <c r="O5842" s="120"/>
      <c r="P5842" s="120"/>
      <c r="Q5842" s="120"/>
      <c r="R5842" s="120"/>
      <c r="S5842" s="120"/>
      <c r="T5842" s="221"/>
      <c r="U5842" s="89"/>
      <c r="V5842" s="61"/>
      <c r="W5842" s="92" t="s">
        <v>161</v>
      </c>
      <c r="X5842" s="93" t="s">
        <v>29</v>
      </c>
      <c r="Y5842" s="93" t="s">
        <v>93</v>
      </c>
      <c r="Z5842" s="134">
        <f>VLOOKUP(W5842,Sheet2!$B:$D,3,FALSE)</f>
        <v>48</v>
      </c>
      <c r="AA5842" s="93">
        <f>(16*0.85*1.5)/(3.8*3.8*7.5)</f>
        <v>0.18836565096952909</v>
      </c>
      <c r="AB5842" s="93">
        <f>AD5842/AC5839</f>
        <v>254.82352941176467</v>
      </c>
      <c r="AC5842" s="93">
        <f>AC5839/AA5842</f>
        <v>0.63705882352941168</v>
      </c>
      <c r="AD5842" s="94">
        <f>AC5842*Z5842</f>
        <v>30.578823529411761</v>
      </c>
      <c r="AE5842" s="190"/>
      <c r="AF5842" s="191"/>
      <c r="AG5842" s="191"/>
      <c r="AH5842" s="191"/>
      <c r="AI5842" s="186"/>
      <c r="AK5842" s="171"/>
    </row>
    <row r="5843" spans="1:37" s="102" customFormat="1" ht="19.899999999999999" customHeight="1" x14ac:dyDescent="0.25">
      <c r="A5843" s="45"/>
      <c r="B5843" s="59"/>
      <c r="C5843" s="137"/>
      <c r="D5843" s="59"/>
      <c r="E5843" s="116"/>
      <c r="F5843" s="120"/>
      <c r="G5843" s="120"/>
      <c r="H5843" s="120"/>
      <c r="I5843" s="60"/>
      <c r="J5843" s="116"/>
      <c r="K5843" s="213"/>
      <c r="L5843" s="120"/>
      <c r="M5843" s="120"/>
      <c r="N5843" s="167"/>
      <c r="O5843" s="120"/>
      <c r="P5843" s="120"/>
      <c r="Q5843" s="120"/>
      <c r="R5843" s="120"/>
      <c r="S5843" s="120"/>
      <c r="T5843" s="221"/>
      <c r="U5843" s="89"/>
      <c r="V5843" s="61"/>
      <c r="W5843" s="92" t="s">
        <v>65</v>
      </c>
      <c r="X5843" s="93" t="s">
        <v>30</v>
      </c>
      <c r="Y5843" s="93" t="s">
        <v>1011</v>
      </c>
      <c r="Z5843" s="134">
        <f>VLOOKUP(W5843,Sheet2!$B:$D,3,FALSE)</f>
        <v>1.76</v>
      </c>
      <c r="AA5843" s="93">
        <f>AA5842/10</f>
        <v>1.8836565096952911E-2</v>
      </c>
      <c r="AB5843" s="93">
        <f>AD5843/AC5839</f>
        <v>93.435294117647047</v>
      </c>
      <c r="AC5843" s="93">
        <f>AC5839/AA5843</f>
        <v>6.3705882352941163</v>
      </c>
      <c r="AD5843" s="94">
        <f>AC5843*Z5843</f>
        <v>11.212235294117646</v>
      </c>
      <c r="AE5843" s="190"/>
      <c r="AF5843" s="191"/>
      <c r="AG5843" s="191"/>
      <c r="AH5843" s="191"/>
      <c r="AI5843" s="186"/>
      <c r="AK5843" s="171"/>
    </row>
    <row r="5844" spans="1:37" s="103" customFormat="1" ht="19.899999999999999" customHeight="1" x14ac:dyDescent="0.25">
      <c r="A5844" s="51"/>
      <c r="B5844" s="52"/>
      <c r="C5844" s="165"/>
      <c r="D5844" s="52"/>
      <c r="E5844" s="115"/>
      <c r="F5844" s="58"/>
      <c r="G5844" s="58"/>
      <c r="H5844" s="58"/>
      <c r="I5844" s="55"/>
      <c r="J5844" s="113">
        <f>J5838</f>
        <v>0.12</v>
      </c>
      <c r="K5844" s="212">
        <f>K5838</f>
        <v>0.12</v>
      </c>
      <c r="L5844" s="58"/>
      <c r="M5844" s="58">
        <f>K5844-L5844</f>
        <v>0.12</v>
      </c>
      <c r="N5844" s="166"/>
      <c r="O5844" s="58"/>
      <c r="P5844" s="58"/>
      <c r="Q5844" s="58"/>
      <c r="R5844" s="58"/>
      <c r="S5844" s="58"/>
      <c r="T5844" s="220"/>
      <c r="U5844" s="88"/>
      <c r="V5844" s="56"/>
      <c r="W5844" s="57" t="s">
        <v>1486</v>
      </c>
      <c r="X5844" s="53"/>
      <c r="Y5844" s="91" t="s">
        <v>35</v>
      </c>
      <c r="Z5844" s="136">
        <f>AD5844/AC5844</f>
        <v>2772.5999999999995</v>
      </c>
      <c r="AA5844" s="58"/>
      <c r="AB5844" s="53">
        <f>AD5844/AC5844</f>
        <v>2772.5999999999995</v>
      </c>
      <c r="AC5844" s="53">
        <f>M5844+$AE$10</f>
        <v>0.12</v>
      </c>
      <c r="AD5844" s="54">
        <f>SUM(AD5845:AD5850)</f>
        <v>332.71199999999993</v>
      </c>
      <c r="AE5844" s="184">
        <f>SUMIFS($AD$37:$AD$12971,$V$37:$V$12971,$V5844,$X$37:$X$12971,AE$13)</f>
        <v>0</v>
      </c>
      <c r="AF5844" s="185">
        <f>SUMIFS($AD$37:$AD$12971,$V$37:$V$12971,$V5844,$X$37:$X$12971,AF$13)</f>
        <v>0</v>
      </c>
      <c r="AG5844" s="185">
        <f>SUMIFS($AD$37:$AD$12971,$V$37:$V$12971,$V5844,$X$37:$X$12971,AG$13)</f>
        <v>0</v>
      </c>
      <c r="AH5844" s="187">
        <f>SUMIFS($AD$37:$AD$12971,$V$37:$V$12971,$V5844,$X$37:$X$12971,AH$13)</f>
        <v>0</v>
      </c>
      <c r="AI5844" s="161">
        <f t="shared" ref="AI5844" si="4084">SUM(AE5844:AH5844)</f>
        <v>0</v>
      </c>
      <c r="AK5844" s="172"/>
    </row>
    <row r="5845" spans="1:37" s="102" customFormat="1" ht="19.899999999999999" customHeight="1" x14ac:dyDescent="0.25">
      <c r="A5845" s="45"/>
      <c r="B5845" s="59"/>
      <c r="C5845" s="137"/>
      <c r="D5845" s="59"/>
      <c r="E5845" s="116"/>
      <c r="F5845" s="120"/>
      <c r="G5845" s="120"/>
      <c r="H5845" s="120"/>
      <c r="I5845" s="60"/>
      <c r="J5845" s="116"/>
      <c r="K5845" s="213"/>
      <c r="L5845" s="120"/>
      <c r="M5845" s="120"/>
      <c r="N5845" s="167"/>
      <c r="O5845" s="120"/>
      <c r="P5845" s="120"/>
      <c r="Q5845" s="120"/>
      <c r="R5845" s="120"/>
      <c r="S5845" s="120"/>
      <c r="T5845" s="221"/>
      <c r="U5845" s="89"/>
      <c r="V5845" s="61"/>
      <c r="W5845" s="92" t="s">
        <v>1032</v>
      </c>
      <c r="X5845" s="93" t="s">
        <v>30</v>
      </c>
      <c r="Y5845" s="93" t="s">
        <v>66</v>
      </c>
      <c r="Z5845" s="134">
        <f>VLOOKUP(W5845,Sheet2!$B:$D,3,FALSE)</f>
        <v>250</v>
      </c>
      <c r="AA5845" s="93">
        <f>1/(2.9*2.9*0.1)</f>
        <v>1.1890606420927465</v>
      </c>
      <c r="AB5845" s="93">
        <f>AD5845/AC5851</f>
        <v>210.25000000000003</v>
      </c>
      <c r="AC5845" s="93">
        <f>AC5851/AA5845</f>
        <v>0.10092000000000001</v>
      </c>
      <c r="AD5845" s="94">
        <f t="shared" ref="AD5845:AD5847" si="4085">AC5845*Z5845</f>
        <v>25.230000000000004</v>
      </c>
      <c r="AE5845" s="190"/>
      <c r="AF5845" s="191"/>
      <c r="AG5845" s="191"/>
      <c r="AH5845" s="191"/>
      <c r="AI5845" s="186"/>
      <c r="AK5845" s="171"/>
    </row>
    <row r="5846" spans="1:37" s="102" customFormat="1" ht="19.899999999999999" customHeight="1" x14ac:dyDescent="0.25">
      <c r="A5846" s="45"/>
      <c r="B5846" s="59"/>
      <c r="C5846" s="137"/>
      <c r="D5846" s="59"/>
      <c r="E5846" s="116"/>
      <c r="F5846" s="120"/>
      <c r="G5846" s="120"/>
      <c r="H5846" s="120"/>
      <c r="I5846" s="60"/>
      <c r="J5846" s="116"/>
      <c r="K5846" s="213"/>
      <c r="L5846" s="120"/>
      <c r="M5846" s="120"/>
      <c r="N5846" s="167"/>
      <c r="O5846" s="120"/>
      <c r="P5846" s="120"/>
      <c r="Q5846" s="120"/>
      <c r="R5846" s="120"/>
      <c r="S5846" s="120"/>
      <c r="T5846" s="221"/>
      <c r="U5846" s="89"/>
      <c r="V5846" s="61"/>
      <c r="W5846" s="92" t="s">
        <v>1353</v>
      </c>
      <c r="X5846" s="93" t="s">
        <v>30</v>
      </c>
      <c r="Y5846" s="93" t="s">
        <v>66</v>
      </c>
      <c r="Z5846" s="134">
        <f>VLOOKUP(W5846,Sheet2!$B:$D,3,FALSE)</f>
        <v>350</v>
      </c>
      <c r="AA5846" s="93">
        <f>1/(2.8*2.8*0.3)</f>
        <v>0.42517006802721097</v>
      </c>
      <c r="AB5846" s="93">
        <f>AD5846/AC5851</f>
        <v>823.19999999999982</v>
      </c>
      <c r="AC5846" s="93">
        <f>AC5851/AA5846</f>
        <v>0.28223999999999994</v>
      </c>
      <c r="AD5846" s="94">
        <f t="shared" si="4085"/>
        <v>98.783999999999978</v>
      </c>
      <c r="AE5846" s="190"/>
      <c r="AF5846" s="191"/>
      <c r="AG5846" s="191"/>
      <c r="AH5846" s="191"/>
      <c r="AI5846" s="186"/>
      <c r="AK5846" s="171"/>
    </row>
    <row r="5847" spans="1:37" s="102" customFormat="1" ht="19.899999999999999" customHeight="1" x14ac:dyDescent="0.25">
      <c r="A5847" s="45"/>
      <c r="B5847" s="59"/>
      <c r="C5847" s="137"/>
      <c r="D5847" s="59"/>
      <c r="E5847" s="116"/>
      <c r="F5847" s="120"/>
      <c r="G5847" s="120"/>
      <c r="H5847" s="120"/>
      <c r="I5847" s="60"/>
      <c r="J5847" s="116"/>
      <c r="K5847" s="213"/>
      <c r="L5847" s="120"/>
      <c r="M5847" s="120"/>
      <c r="N5847" s="167"/>
      <c r="O5847" s="120"/>
      <c r="P5847" s="120"/>
      <c r="Q5847" s="120"/>
      <c r="R5847" s="120"/>
      <c r="S5847" s="120"/>
      <c r="T5847" s="221"/>
      <c r="U5847" s="89"/>
      <c r="V5847" s="61"/>
      <c r="W5847" s="92" t="s">
        <v>99</v>
      </c>
      <c r="X5847" s="93" t="s">
        <v>30</v>
      </c>
      <c r="Y5847" s="93" t="s">
        <v>67</v>
      </c>
      <c r="Z5847" s="134">
        <f>VLOOKUP(W5847,Sheet2!$B:$D,3,FALSE)</f>
        <v>2500</v>
      </c>
      <c r="AA5847" s="93">
        <f>AA5846/0.08</f>
        <v>5.3146258503401373</v>
      </c>
      <c r="AB5847" s="93">
        <f>AD5847/AC5851</f>
        <v>470.39999999999992</v>
      </c>
      <c r="AC5847" s="93">
        <f>AC5851/AA5847</f>
        <v>2.2579199999999994E-2</v>
      </c>
      <c r="AD5847" s="94">
        <f t="shared" si="4085"/>
        <v>56.447999999999986</v>
      </c>
      <c r="AE5847" s="190"/>
      <c r="AF5847" s="191"/>
      <c r="AG5847" s="191"/>
      <c r="AH5847" s="191"/>
      <c r="AI5847" s="186"/>
      <c r="AK5847" s="171"/>
    </row>
    <row r="5848" spans="1:37" s="102" customFormat="1" ht="19.899999999999999" customHeight="1" x14ac:dyDescent="0.25">
      <c r="A5848" s="45"/>
      <c r="B5848" s="59"/>
      <c r="C5848" s="137"/>
      <c r="D5848" s="59"/>
      <c r="E5848" s="116"/>
      <c r="F5848" s="120"/>
      <c r="G5848" s="120"/>
      <c r="H5848" s="120"/>
      <c r="I5848" s="60"/>
      <c r="J5848" s="116"/>
      <c r="K5848" s="213"/>
      <c r="L5848" s="120"/>
      <c r="M5848" s="120"/>
      <c r="N5848" s="167"/>
      <c r="O5848" s="120"/>
      <c r="P5848" s="120"/>
      <c r="Q5848" s="120"/>
      <c r="R5848" s="120"/>
      <c r="S5848" s="120"/>
      <c r="T5848" s="221"/>
      <c r="U5848" s="89"/>
      <c r="V5848" s="61"/>
      <c r="W5848" s="92" t="s">
        <v>1354</v>
      </c>
      <c r="X5848" s="93" t="s">
        <v>32</v>
      </c>
      <c r="Y5848" s="93" t="s">
        <v>66</v>
      </c>
      <c r="Z5848" s="134">
        <f>VLOOKUP(W5848,Sheet2!$B:$D,3,FALSE)</f>
        <v>150</v>
      </c>
      <c r="AA5848" s="93">
        <f>AA5845</f>
        <v>1.1890606420927465</v>
      </c>
      <c r="AB5848" s="93">
        <f>AD5848/AC5851</f>
        <v>126.15000000000002</v>
      </c>
      <c r="AC5848" s="93">
        <f>AC5851/AA5848</f>
        <v>0.10092000000000001</v>
      </c>
      <c r="AD5848" s="94">
        <f>AC5848*Z5848</f>
        <v>15.138000000000002</v>
      </c>
      <c r="AE5848" s="190"/>
      <c r="AF5848" s="191"/>
      <c r="AG5848" s="191"/>
      <c r="AH5848" s="191"/>
      <c r="AI5848" s="186"/>
      <c r="AK5848" s="171"/>
    </row>
    <row r="5849" spans="1:37" s="102" customFormat="1" ht="19.899999999999999" customHeight="1" x14ac:dyDescent="0.25">
      <c r="A5849" s="45"/>
      <c r="B5849" s="59"/>
      <c r="C5849" s="137"/>
      <c r="D5849" s="59"/>
      <c r="E5849" s="116"/>
      <c r="F5849" s="120"/>
      <c r="G5849" s="120"/>
      <c r="H5849" s="120"/>
      <c r="I5849" s="60"/>
      <c r="J5849" s="116"/>
      <c r="K5849" s="213"/>
      <c r="L5849" s="120"/>
      <c r="M5849" s="120"/>
      <c r="N5849" s="167"/>
      <c r="O5849" s="120"/>
      <c r="P5849" s="120"/>
      <c r="Q5849" s="120"/>
      <c r="R5849" s="120"/>
      <c r="S5849" s="120"/>
      <c r="T5849" s="221"/>
      <c r="U5849" s="89"/>
      <c r="V5849" s="61"/>
      <c r="W5849" s="92" t="s">
        <v>1355</v>
      </c>
      <c r="X5849" s="93" t="s">
        <v>32</v>
      </c>
      <c r="Y5849" s="93" t="s">
        <v>66</v>
      </c>
      <c r="Z5849" s="134">
        <f>VLOOKUP(W5849,Sheet2!$B:$D,3,FALSE)</f>
        <v>450</v>
      </c>
      <c r="AA5849" s="93">
        <f>AA5846</f>
        <v>0.42517006802721097</v>
      </c>
      <c r="AB5849" s="93">
        <f>AD5849/AC5851</f>
        <v>1058.3999999999999</v>
      </c>
      <c r="AC5849" s="93">
        <f>AC5851/AA5849</f>
        <v>0.28223999999999994</v>
      </c>
      <c r="AD5849" s="94">
        <f>AC5849*Z5849</f>
        <v>127.00799999999997</v>
      </c>
      <c r="AE5849" s="190"/>
      <c r="AF5849" s="191"/>
      <c r="AG5849" s="191"/>
      <c r="AH5849" s="191"/>
      <c r="AI5849" s="186"/>
      <c r="AK5849" s="171"/>
    </row>
    <row r="5850" spans="1:37" s="102" customFormat="1" ht="19.899999999999999" customHeight="1" x14ac:dyDescent="0.25">
      <c r="A5850" s="45"/>
      <c r="B5850" s="59"/>
      <c r="C5850" s="137"/>
      <c r="D5850" s="59"/>
      <c r="E5850" s="116"/>
      <c r="F5850" s="120"/>
      <c r="G5850" s="120"/>
      <c r="H5850" s="120"/>
      <c r="I5850" s="60"/>
      <c r="J5850" s="116"/>
      <c r="K5850" s="213"/>
      <c r="L5850" s="120"/>
      <c r="M5850" s="120"/>
      <c r="N5850" s="167"/>
      <c r="O5850" s="120"/>
      <c r="P5850" s="120"/>
      <c r="Q5850" s="120"/>
      <c r="R5850" s="120"/>
      <c r="S5850" s="120"/>
      <c r="T5850" s="221"/>
      <c r="U5850" s="89"/>
      <c r="V5850" s="61"/>
      <c r="W5850" s="92" t="s">
        <v>124</v>
      </c>
      <c r="X5850" s="93" t="s">
        <v>32</v>
      </c>
      <c r="Y5850" s="93" t="s">
        <v>64</v>
      </c>
      <c r="Z5850" s="134">
        <f>VLOOKUP(W5850,Sheet2!$B:$D,3,FALSE)</f>
        <v>10</v>
      </c>
      <c r="AA5850" s="93">
        <f>1/((3.4*3.4)-(3.14*2*2/4))</f>
        <v>0.11876484560570073</v>
      </c>
      <c r="AB5850" s="93">
        <f t="shared" ref="AB5850" si="4086">AD5850/AC5844</f>
        <v>84.199999999999989</v>
      </c>
      <c r="AC5850" s="93">
        <f>AC5844/AA5850</f>
        <v>1.0103999999999997</v>
      </c>
      <c r="AD5850" s="94">
        <f t="shared" ref="AD5850" si="4087">AC5850*Z5850</f>
        <v>10.103999999999997</v>
      </c>
      <c r="AE5850" s="190"/>
      <c r="AF5850" s="191"/>
      <c r="AG5850" s="191"/>
      <c r="AH5850" s="191"/>
      <c r="AI5850" s="186"/>
      <c r="AK5850" s="171"/>
    </row>
    <row r="5851" spans="1:37" s="103" customFormat="1" ht="19.899999999999999" customHeight="1" x14ac:dyDescent="0.25">
      <c r="A5851" s="51"/>
      <c r="B5851" s="52"/>
      <c r="C5851" s="165"/>
      <c r="D5851" s="52"/>
      <c r="E5851" s="115"/>
      <c r="F5851" s="58"/>
      <c r="G5851" s="58"/>
      <c r="H5851" s="58"/>
      <c r="I5851" s="55"/>
      <c r="J5851" s="113">
        <f>J5838</f>
        <v>0.12</v>
      </c>
      <c r="K5851" s="212">
        <f>K5838</f>
        <v>0.12</v>
      </c>
      <c r="L5851" s="58"/>
      <c r="M5851" s="58">
        <f>K5851-L5851</f>
        <v>0.12</v>
      </c>
      <c r="N5851" s="166"/>
      <c r="O5851" s="58"/>
      <c r="P5851" s="58"/>
      <c r="Q5851" s="58"/>
      <c r="R5851" s="58"/>
      <c r="S5851" s="58"/>
      <c r="T5851" s="220"/>
      <c r="U5851" s="88"/>
      <c r="V5851" s="56"/>
      <c r="W5851" s="57" t="s">
        <v>1275</v>
      </c>
      <c r="X5851" s="53"/>
      <c r="Y5851" s="91" t="s">
        <v>35</v>
      </c>
      <c r="Z5851" s="136">
        <f>AD5851/AC5851</f>
        <v>19622.799999999996</v>
      </c>
      <c r="AA5851" s="58"/>
      <c r="AB5851" s="53">
        <f>AD5851/AC5851</f>
        <v>19622.799999999996</v>
      </c>
      <c r="AC5851" s="53">
        <f>M5851+$AE$10</f>
        <v>0.12</v>
      </c>
      <c r="AD5851" s="54">
        <f>SUM(AD5852:AD5857)</f>
        <v>2354.7359999999994</v>
      </c>
      <c r="AE5851" s="184">
        <f>SUMIFS($AD$37:$AD$12971,$V$37:$V$12971,$V5851,$X$37:$X$12971,AE$13)</f>
        <v>0</v>
      </c>
      <c r="AF5851" s="185">
        <f>SUMIFS($AD$37:$AD$12971,$V$37:$V$12971,$V5851,$X$37:$X$12971,AF$13)</f>
        <v>0</v>
      </c>
      <c r="AG5851" s="185">
        <f>SUMIFS($AD$37:$AD$12971,$V$37:$V$12971,$V5851,$X$37:$X$12971,AG$13)</f>
        <v>0</v>
      </c>
      <c r="AH5851" s="187">
        <f>SUMIFS($AD$37:$AD$12971,$V$37:$V$12971,$V5851,$X$37:$X$12971,AH$13)</f>
        <v>0</v>
      </c>
      <c r="AI5851" s="161">
        <f t="shared" ref="AI5851" si="4088">SUM(AE5851:AH5851)</f>
        <v>0</v>
      </c>
      <c r="AK5851" s="172"/>
    </row>
    <row r="5852" spans="1:37" s="102" customFormat="1" ht="19.899999999999999" customHeight="1" x14ac:dyDescent="0.25">
      <c r="A5852" s="45"/>
      <c r="B5852" s="59"/>
      <c r="C5852" s="137"/>
      <c r="D5852" s="59"/>
      <c r="E5852" s="116"/>
      <c r="F5852" s="120"/>
      <c r="G5852" s="120"/>
      <c r="H5852" s="120"/>
      <c r="I5852" s="60"/>
      <c r="J5852" s="116"/>
      <c r="K5852" s="213"/>
      <c r="L5852" s="120"/>
      <c r="M5852" s="120"/>
      <c r="N5852" s="167"/>
      <c r="O5852" s="120"/>
      <c r="P5852" s="120"/>
      <c r="Q5852" s="120"/>
      <c r="R5852" s="120"/>
      <c r="S5852" s="120"/>
      <c r="T5852" s="221"/>
      <c r="U5852" s="89"/>
      <c r="V5852" s="61"/>
      <c r="W5852" s="92" t="s">
        <v>1565</v>
      </c>
      <c r="X5852" s="93" t="s">
        <v>30</v>
      </c>
      <c r="Y5852" s="93" t="s">
        <v>35</v>
      </c>
      <c r="Z5852" s="134">
        <f>VLOOKUP(W5852,Sheet2!$B:$D,3,FALSE)</f>
        <v>17850</v>
      </c>
      <c r="AA5852" s="93">
        <v>1</v>
      </c>
      <c r="AB5852" s="93">
        <f>AD5852/AC5851</f>
        <v>17850</v>
      </c>
      <c r="AC5852" s="93">
        <f>AC5851/AA5852</f>
        <v>0.12</v>
      </c>
      <c r="AD5852" s="94">
        <f t="shared" ref="AD5852:AD5853" si="4089">AC5852*Z5852</f>
        <v>2142</v>
      </c>
      <c r="AE5852" s="190"/>
      <c r="AF5852" s="191"/>
      <c r="AG5852" s="191"/>
      <c r="AH5852" s="191"/>
      <c r="AI5852" s="186"/>
      <c r="AK5852" s="171"/>
    </row>
    <row r="5853" spans="1:37" s="102" customFormat="1" ht="19.899999999999999" customHeight="1" x14ac:dyDescent="0.25">
      <c r="A5853" s="45"/>
      <c r="B5853" s="59"/>
      <c r="C5853" s="137"/>
      <c r="D5853" s="59"/>
      <c r="E5853" s="116"/>
      <c r="F5853" s="120"/>
      <c r="G5853" s="120"/>
      <c r="H5853" s="120"/>
      <c r="I5853" s="60"/>
      <c r="J5853" s="116"/>
      <c r="K5853" s="213"/>
      <c r="L5853" s="120"/>
      <c r="M5853" s="120"/>
      <c r="N5853" s="167"/>
      <c r="O5853" s="120"/>
      <c r="P5853" s="120"/>
      <c r="Q5853" s="120"/>
      <c r="R5853" s="120"/>
      <c r="S5853" s="120"/>
      <c r="T5853" s="221"/>
      <c r="U5853" s="89"/>
      <c r="V5853" s="61"/>
      <c r="W5853" s="92" t="s">
        <v>174</v>
      </c>
      <c r="X5853" s="93" t="s">
        <v>29</v>
      </c>
      <c r="Y5853" s="93" t="s">
        <v>93</v>
      </c>
      <c r="Z5853" s="134">
        <f>VLOOKUP(W5853,Sheet2!$B:$D,3,FALSE)</f>
        <v>80</v>
      </c>
      <c r="AA5853" s="93">
        <f>1/2</f>
        <v>0.5</v>
      </c>
      <c r="AB5853" s="93">
        <f>AD5853/AC5851</f>
        <v>160</v>
      </c>
      <c r="AC5853" s="93">
        <f>AC5851/AA5853</f>
        <v>0.24</v>
      </c>
      <c r="AD5853" s="94">
        <f t="shared" si="4089"/>
        <v>19.2</v>
      </c>
      <c r="AE5853" s="190"/>
      <c r="AF5853" s="191"/>
      <c r="AG5853" s="191"/>
      <c r="AH5853" s="191"/>
      <c r="AI5853" s="186"/>
      <c r="AK5853" s="171"/>
    </row>
    <row r="5854" spans="1:37" s="102" customFormat="1" ht="19.899999999999999" customHeight="1" x14ac:dyDescent="0.25">
      <c r="A5854" s="45"/>
      <c r="B5854" s="59"/>
      <c r="C5854" s="137"/>
      <c r="D5854" s="59"/>
      <c r="E5854" s="116"/>
      <c r="F5854" s="120"/>
      <c r="G5854" s="120"/>
      <c r="H5854" s="120"/>
      <c r="I5854" s="60"/>
      <c r="J5854" s="116"/>
      <c r="K5854" s="213"/>
      <c r="L5854" s="120"/>
      <c r="M5854" s="120"/>
      <c r="N5854" s="167"/>
      <c r="O5854" s="120"/>
      <c r="P5854" s="120"/>
      <c r="Q5854" s="120"/>
      <c r="R5854" s="120"/>
      <c r="S5854" s="120"/>
      <c r="T5854" s="221"/>
      <c r="U5854" s="89"/>
      <c r="V5854" s="61"/>
      <c r="W5854" s="92" t="s">
        <v>65</v>
      </c>
      <c r="X5854" s="93" t="s">
        <v>30</v>
      </c>
      <c r="Y5854" s="93" t="s">
        <v>93</v>
      </c>
      <c r="Z5854" s="134">
        <f>VLOOKUP(W5854,Sheet2!$B:$D,3,FALSE)</f>
        <v>1.76</v>
      </c>
      <c r="AA5854" s="93">
        <f>AA5853/15</f>
        <v>3.3333333333333333E-2</v>
      </c>
      <c r="AB5854" s="93">
        <f>AD5854/AC5851</f>
        <v>52.800000000000004</v>
      </c>
      <c r="AC5854" s="93">
        <f>AC5851/AA5854</f>
        <v>3.6</v>
      </c>
      <c r="AD5854" s="94">
        <f>AC5854*Z5854</f>
        <v>6.3360000000000003</v>
      </c>
      <c r="AE5854" s="190"/>
      <c r="AF5854" s="191"/>
      <c r="AG5854" s="191"/>
      <c r="AH5854" s="191"/>
      <c r="AI5854" s="186"/>
      <c r="AK5854" s="171"/>
    </row>
    <row r="5855" spans="1:37" s="102" customFormat="1" ht="19.899999999999999" customHeight="1" x14ac:dyDescent="0.25">
      <c r="A5855" s="45"/>
      <c r="B5855" s="59"/>
      <c r="C5855" s="137"/>
      <c r="D5855" s="59"/>
      <c r="E5855" s="116"/>
      <c r="F5855" s="120"/>
      <c r="G5855" s="120"/>
      <c r="H5855" s="120"/>
      <c r="I5855" s="60"/>
      <c r="J5855" s="116"/>
      <c r="K5855" s="213"/>
      <c r="L5855" s="120"/>
      <c r="M5855" s="120"/>
      <c r="N5855" s="167"/>
      <c r="O5855" s="120"/>
      <c r="P5855" s="120"/>
      <c r="Q5855" s="120"/>
      <c r="R5855" s="120"/>
      <c r="S5855" s="120"/>
      <c r="T5855" s="221"/>
      <c r="U5855" s="89"/>
      <c r="V5855" s="61"/>
      <c r="W5855" s="92" t="s">
        <v>1487</v>
      </c>
      <c r="X5855" s="93" t="s">
        <v>32</v>
      </c>
      <c r="Y5855" s="93" t="s">
        <v>1349</v>
      </c>
      <c r="Z5855" s="134">
        <f>VLOOKUP(W5855,Sheet2!$B:$D,3,FALSE)</f>
        <v>1500</v>
      </c>
      <c r="AA5855" s="93">
        <v>1</v>
      </c>
      <c r="AB5855" s="93">
        <f>AD5855/AC5851</f>
        <v>1500</v>
      </c>
      <c r="AC5855" s="93">
        <f>AC5851/AA5855</f>
        <v>0.12</v>
      </c>
      <c r="AD5855" s="94">
        <f>AC5855*Z5855</f>
        <v>180</v>
      </c>
      <c r="AE5855" s="190"/>
      <c r="AF5855" s="191"/>
      <c r="AG5855" s="191"/>
      <c r="AH5855" s="191"/>
      <c r="AI5855" s="186"/>
      <c r="AK5855" s="171"/>
    </row>
    <row r="5856" spans="1:37" s="102" customFormat="1" ht="19.899999999999999" customHeight="1" x14ac:dyDescent="0.25">
      <c r="A5856" s="45"/>
      <c r="B5856" s="59"/>
      <c r="C5856" s="137"/>
      <c r="D5856" s="59"/>
      <c r="E5856" s="116"/>
      <c r="F5856" s="120"/>
      <c r="G5856" s="120"/>
      <c r="H5856" s="120"/>
      <c r="I5856" s="60"/>
      <c r="J5856" s="116"/>
      <c r="K5856" s="213"/>
      <c r="L5856" s="120"/>
      <c r="M5856" s="120"/>
      <c r="N5856" s="167"/>
      <c r="O5856" s="120"/>
      <c r="P5856" s="120"/>
      <c r="Q5856" s="120"/>
      <c r="R5856" s="120"/>
      <c r="S5856" s="120"/>
      <c r="T5856" s="221"/>
      <c r="U5856" s="89"/>
      <c r="V5856" s="61"/>
      <c r="W5856" s="92" t="s">
        <v>107</v>
      </c>
      <c r="X5856" s="93" t="s">
        <v>31</v>
      </c>
      <c r="Y5856" s="93" t="s">
        <v>93</v>
      </c>
      <c r="Z5856" s="134">
        <f>VLOOKUP(W5856,Sheet2!$B:$D,3,FALSE)</f>
        <v>17</v>
      </c>
      <c r="AA5856" s="93">
        <f>AA5853</f>
        <v>0.5</v>
      </c>
      <c r="AB5856" s="93">
        <f>AD5856/AC5851</f>
        <v>34</v>
      </c>
      <c r="AC5856" s="93">
        <f>AC5851/AA5856</f>
        <v>0.24</v>
      </c>
      <c r="AD5856" s="94">
        <f>AC5856*Z5856</f>
        <v>4.08</v>
      </c>
      <c r="AE5856" s="190"/>
      <c r="AF5856" s="191"/>
      <c r="AG5856" s="191"/>
      <c r="AH5856" s="191"/>
      <c r="AI5856" s="186"/>
      <c r="AK5856" s="171"/>
    </row>
    <row r="5857" spans="1:41" s="102" customFormat="1" ht="19.899999999999999" customHeight="1" x14ac:dyDescent="0.25">
      <c r="A5857" s="45"/>
      <c r="B5857" s="59"/>
      <c r="C5857" s="137"/>
      <c r="D5857" s="59"/>
      <c r="E5857" s="116"/>
      <c r="F5857" s="120"/>
      <c r="G5857" s="120"/>
      <c r="H5857" s="120"/>
      <c r="I5857" s="60"/>
      <c r="J5857" s="116"/>
      <c r="K5857" s="213"/>
      <c r="L5857" s="120"/>
      <c r="M5857" s="120"/>
      <c r="N5857" s="167"/>
      <c r="O5857" s="120"/>
      <c r="P5857" s="120"/>
      <c r="Q5857" s="120"/>
      <c r="R5857" s="120"/>
      <c r="S5857" s="120"/>
      <c r="T5857" s="221"/>
      <c r="U5857" s="89"/>
      <c r="V5857" s="61"/>
      <c r="W5857" s="92" t="s">
        <v>112</v>
      </c>
      <c r="X5857" s="93" t="s">
        <v>31</v>
      </c>
      <c r="Y5857" s="93" t="s">
        <v>93</v>
      </c>
      <c r="Z5857" s="134">
        <f>VLOOKUP(W5857,Sheet2!$B:$D,3,FALSE)</f>
        <v>13</v>
      </c>
      <c r="AA5857" s="93">
        <f>AA5856</f>
        <v>0.5</v>
      </c>
      <c r="AB5857" s="93">
        <f>AD5857/AC5851</f>
        <v>26.000000000000004</v>
      </c>
      <c r="AC5857" s="93">
        <f>AC5851/AA5857</f>
        <v>0.24</v>
      </c>
      <c r="AD5857" s="94">
        <f>AC5857*Z5857</f>
        <v>3.12</v>
      </c>
      <c r="AE5857" s="190"/>
      <c r="AF5857" s="191"/>
      <c r="AG5857" s="191"/>
      <c r="AH5857" s="191"/>
      <c r="AI5857" s="186"/>
      <c r="AK5857" s="171"/>
    </row>
    <row r="5858" spans="1:41" s="103" customFormat="1" ht="19.899999999999999" customHeight="1" x14ac:dyDescent="0.25">
      <c r="A5858" s="51"/>
      <c r="B5858" s="52"/>
      <c r="C5858" s="165"/>
      <c r="D5858" s="52"/>
      <c r="E5858" s="115"/>
      <c r="F5858" s="58"/>
      <c r="G5858" s="58"/>
      <c r="H5858" s="58"/>
      <c r="I5858" s="55"/>
      <c r="J5858" s="113">
        <f>J5838</f>
        <v>0.12</v>
      </c>
      <c r="K5858" s="212">
        <f>K5838</f>
        <v>0.12</v>
      </c>
      <c r="L5858" s="58"/>
      <c r="M5858" s="58">
        <f>K5858-L5858</f>
        <v>0.12</v>
      </c>
      <c r="N5858" s="166"/>
      <c r="O5858" s="58"/>
      <c r="P5858" s="58"/>
      <c r="Q5858" s="58"/>
      <c r="R5858" s="58"/>
      <c r="S5858" s="58"/>
      <c r="T5858" s="220"/>
      <c r="U5858" s="88"/>
      <c r="V5858" s="56"/>
      <c r="W5858" s="57" t="s">
        <v>1272</v>
      </c>
      <c r="X5858" s="53"/>
      <c r="Y5858" s="91" t="s">
        <v>35</v>
      </c>
      <c r="Z5858" s="136">
        <f>AD5858/AC5858</f>
        <v>1489.0186117647061</v>
      </c>
      <c r="AA5858" s="58"/>
      <c r="AB5858" s="53">
        <f>AD5858/AC5858</f>
        <v>1489.0186117647061</v>
      </c>
      <c r="AC5858" s="53">
        <f>M5858+$AE$10</f>
        <v>0.12</v>
      </c>
      <c r="AD5858" s="54">
        <f>SUM(AD5859:AD5867)</f>
        <v>178.68223341176471</v>
      </c>
      <c r="AE5858" s="184">
        <f>SUMIFS($AD$37:$AD$12971,$V$37:$V$12971,$V5858,$X$37:$X$12971,AE$13)</f>
        <v>0</v>
      </c>
      <c r="AF5858" s="185">
        <f>SUMIFS($AD$37:$AD$12971,$V$37:$V$12971,$V5858,$X$37:$X$12971,AF$13)</f>
        <v>0</v>
      </c>
      <c r="AG5858" s="185">
        <f>SUMIFS($AD$37:$AD$12971,$V$37:$V$12971,$V5858,$X$37:$X$12971,AG$13)</f>
        <v>0</v>
      </c>
      <c r="AH5858" s="187">
        <f>SUMIFS($AD$37:$AD$12971,$V$37:$V$12971,$V5858,$X$37:$X$12971,AH$13)</f>
        <v>0</v>
      </c>
      <c r="AI5858" s="161">
        <f t="shared" ref="AI5858" si="4090">SUM(AE5858:AH5858)</f>
        <v>0</v>
      </c>
      <c r="AK5858" s="172"/>
    </row>
    <row r="5859" spans="1:41" s="102" customFormat="1" ht="19.899999999999999" customHeight="1" x14ac:dyDescent="0.25">
      <c r="A5859" s="45"/>
      <c r="B5859" s="59"/>
      <c r="C5859" s="137"/>
      <c r="D5859" s="59"/>
      <c r="E5859" s="116"/>
      <c r="F5859" s="120"/>
      <c r="G5859" s="120"/>
      <c r="H5859" s="120"/>
      <c r="I5859" s="60"/>
      <c r="J5859" s="116"/>
      <c r="K5859" s="213"/>
      <c r="L5859" s="120"/>
      <c r="M5859" s="120"/>
      <c r="N5859" s="167"/>
      <c r="O5859" s="120"/>
      <c r="P5859" s="120"/>
      <c r="Q5859" s="120"/>
      <c r="R5859" s="120"/>
      <c r="S5859" s="120"/>
      <c r="T5859" s="221"/>
      <c r="U5859" s="89"/>
      <c r="V5859" s="61"/>
      <c r="W5859" s="92" t="s">
        <v>1273</v>
      </c>
      <c r="X5859" s="93" t="s">
        <v>30</v>
      </c>
      <c r="Y5859" s="93" t="s">
        <v>66</v>
      </c>
      <c r="Z5859" s="134">
        <f>VLOOKUP(W5859,Sheet2!$B:$D,3,FALSE)</f>
        <v>10</v>
      </c>
      <c r="AA5859" s="93">
        <f>1/((3.8*3.8*7.5)-(3.14/4*2*2*7.5))</f>
        <v>1.1799410029498525E-2</v>
      </c>
      <c r="AB5859" s="93">
        <f>AD5859/AC5858</f>
        <v>847.5</v>
      </c>
      <c r="AC5859" s="93">
        <f>AC5858/AA5859</f>
        <v>10.17</v>
      </c>
      <c r="AD5859" s="94">
        <f t="shared" ref="AD5859:AD5861" si="4091">AC5859*Z5859</f>
        <v>101.7</v>
      </c>
      <c r="AE5859" s="190"/>
      <c r="AF5859" s="191"/>
      <c r="AG5859" s="191"/>
      <c r="AH5859" s="191"/>
      <c r="AI5859" s="186"/>
      <c r="AK5859" s="171"/>
    </row>
    <row r="5860" spans="1:41" s="102" customFormat="1" ht="19.899999999999999" customHeight="1" x14ac:dyDescent="0.25">
      <c r="A5860" s="45"/>
      <c r="B5860" s="59"/>
      <c r="C5860" s="137"/>
      <c r="D5860" s="59"/>
      <c r="E5860" s="116"/>
      <c r="F5860" s="120"/>
      <c r="G5860" s="120"/>
      <c r="H5860" s="120"/>
      <c r="I5860" s="60"/>
      <c r="J5860" s="116"/>
      <c r="K5860" s="213"/>
      <c r="L5860" s="120"/>
      <c r="M5860" s="120"/>
      <c r="N5860" s="167"/>
      <c r="O5860" s="120"/>
      <c r="P5860" s="120"/>
      <c r="Q5860" s="120"/>
      <c r="R5860" s="120"/>
      <c r="S5860" s="120"/>
      <c r="T5860" s="221"/>
      <c r="U5860" s="89"/>
      <c r="V5860" s="61"/>
      <c r="W5860" s="92" t="s">
        <v>134</v>
      </c>
      <c r="X5860" s="93" t="s">
        <v>29</v>
      </c>
      <c r="Y5860" s="93" t="s">
        <v>93</v>
      </c>
      <c r="Z5860" s="134">
        <f>VLOOKUP(W5860,Sheet2!$B:$D,3,FALSE)</f>
        <v>65.599999999999994</v>
      </c>
      <c r="AA5860" s="93">
        <f>100/((3.8*3.8*7.5)-(3.14/4*2*2*7.5))</f>
        <v>1.1799410029498525</v>
      </c>
      <c r="AB5860" s="93">
        <f t="shared" ref="AB5860" si="4092">AD5860/AC5858</f>
        <v>55.595999999999997</v>
      </c>
      <c r="AC5860" s="93">
        <f>AC5858/AA5860</f>
        <v>0.1017</v>
      </c>
      <c r="AD5860" s="94">
        <f t="shared" si="4091"/>
        <v>6.6715199999999992</v>
      </c>
      <c r="AE5860" s="190"/>
      <c r="AF5860" s="191"/>
      <c r="AG5860" s="191"/>
      <c r="AH5860" s="191"/>
      <c r="AI5860" s="186"/>
      <c r="AK5860" s="171"/>
    </row>
    <row r="5861" spans="1:41" s="102" customFormat="1" ht="19.899999999999999" customHeight="1" x14ac:dyDescent="0.25">
      <c r="A5861" s="45"/>
      <c r="B5861" s="59"/>
      <c r="C5861" s="137"/>
      <c r="D5861" s="59"/>
      <c r="E5861" s="116"/>
      <c r="F5861" s="120"/>
      <c r="G5861" s="120"/>
      <c r="H5861" s="120"/>
      <c r="I5861" s="60"/>
      <c r="J5861" s="116"/>
      <c r="K5861" s="213"/>
      <c r="L5861" s="120"/>
      <c r="M5861" s="120"/>
      <c r="N5861" s="167"/>
      <c r="O5861" s="120"/>
      <c r="P5861" s="120"/>
      <c r="Q5861" s="120"/>
      <c r="R5861" s="120"/>
      <c r="S5861" s="120"/>
      <c r="T5861" s="221"/>
      <c r="U5861" s="89"/>
      <c r="V5861" s="61"/>
      <c r="W5861" s="92" t="s">
        <v>65</v>
      </c>
      <c r="X5861" s="93" t="s">
        <v>30</v>
      </c>
      <c r="Y5861" s="93" t="s">
        <v>1011</v>
      </c>
      <c r="Z5861" s="134">
        <f>VLOOKUP(W5861,Sheet2!$B:$D,3,FALSE)</f>
        <v>1.76</v>
      </c>
      <c r="AA5861" s="93">
        <f>AA5860/9</f>
        <v>0.13110455588331693</v>
      </c>
      <c r="AB5861" s="93">
        <f>AD5861/AC5858</f>
        <v>13.424400000000002</v>
      </c>
      <c r="AC5861" s="93">
        <f>AC5858/AA5861</f>
        <v>0.91530000000000011</v>
      </c>
      <c r="AD5861" s="94">
        <f t="shared" si="4091"/>
        <v>1.6109280000000001</v>
      </c>
      <c r="AE5861" s="190"/>
      <c r="AF5861" s="191"/>
      <c r="AG5861" s="191"/>
      <c r="AH5861" s="191"/>
      <c r="AI5861" s="186"/>
      <c r="AK5861" s="171"/>
    </row>
    <row r="5862" spans="1:41" s="102" customFormat="1" ht="19.899999999999999" customHeight="1" x14ac:dyDescent="0.25">
      <c r="A5862" s="45"/>
      <c r="B5862" s="59"/>
      <c r="C5862" s="137"/>
      <c r="D5862" s="59"/>
      <c r="E5862" s="116"/>
      <c r="F5862" s="120"/>
      <c r="G5862" s="120"/>
      <c r="H5862" s="120"/>
      <c r="I5862" s="60"/>
      <c r="J5862" s="116"/>
      <c r="K5862" s="213"/>
      <c r="L5862" s="120"/>
      <c r="M5862" s="120"/>
      <c r="N5862" s="167"/>
      <c r="O5862" s="120"/>
      <c r="P5862" s="120"/>
      <c r="Q5862" s="120"/>
      <c r="R5862" s="120"/>
      <c r="S5862" s="120"/>
      <c r="T5862" s="221"/>
      <c r="U5862" s="89"/>
      <c r="V5862" s="61"/>
      <c r="W5862" s="92" t="s">
        <v>161</v>
      </c>
      <c r="X5862" s="93" t="s">
        <v>29</v>
      </c>
      <c r="Y5862" s="93" t="s">
        <v>93</v>
      </c>
      <c r="Z5862" s="134">
        <f>VLOOKUP(W5862,Sheet2!$B:$D,3,FALSE)</f>
        <v>48</v>
      </c>
      <c r="AA5862" s="93">
        <f>(16*0.85*1.5)/((3.8*3.8*7.5)-(3.14/4*2*2*7.5))</f>
        <v>0.24070796460176991</v>
      </c>
      <c r="AB5862" s="93">
        <f>AD5862/AC5858</f>
        <v>199.41176470588238</v>
      </c>
      <c r="AC5862" s="93">
        <f>AC5858/AA5862</f>
        <v>0.49852941176470589</v>
      </c>
      <c r="AD5862" s="94">
        <f>AC5862*Z5862</f>
        <v>23.929411764705883</v>
      </c>
      <c r="AE5862" s="190"/>
      <c r="AF5862" s="191"/>
      <c r="AG5862" s="191"/>
      <c r="AH5862" s="191"/>
      <c r="AI5862" s="186"/>
      <c r="AK5862" s="171"/>
    </row>
    <row r="5863" spans="1:41" s="102" customFormat="1" ht="19.899999999999999" customHeight="1" x14ac:dyDescent="0.25">
      <c r="A5863" s="45"/>
      <c r="B5863" s="59"/>
      <c r="C5863" s="137"/>
      <c r="D5863" s="59"/>
      <c r="E5863" s="116"/>
      <c r="F5863" s="120"/>
      <c r="G5863" s="120"/>
      <c r="H5863" s="120"/>
      <c r="I5863" s="60"/>
      <c r="J5863" s="116"/>
      <c r="K5863" s="213"/>
      <c r="L5863" s="120"/>
      <c r="M5863" s="120"/>
      <c r="N5863" s="167"/>
      <c r="O5863" s="120"/>
      <c r="P5863" s="120"/>
      <c r="Q5863" s="120"/>
      <c r="R5863" s="120"/>
      <c r="S5863" s="120"/>
      <c r="T5863" s="221"/>
      <c r="U5863" s="89"/>
      <c r="V5863" s="61"/>
      <c r="W5863" s="92" t="s">
        <v>65</v>
      </c>
      <c r="X5863" s="93" t="s">
        <v>30</v>
      </c>
      <c r="Y5863" s="93" t="s">
        <v>1011</v>
      </c>
      <c r="Z5863" s="134">
        <f>VLOOKUP(W5863,Sheet2!$B:$D,3,FALSE)</f>
        <v>1.76</v>
      </c>
      <c r="AA5863" s="93">
        <f>AA5862/10</f>
        <v>2.4070796460176992E-2</v>
      </c>
      <c r="AB5863" s="93">
        <f>AD5863/AC5858</f>
        <v>73.117647058823522</v>
      </c>
      <c r="AC5863" s="93">
        <f>AC5858/AA5863</f>
        <v>4.985294117647058</v>
      </c>
      <c r="AD5863" s="94">
        <f>AC5863*Z5863</f>
        <v>8.7741176470588229</v>
      </c>
      <c r="AE5863" s="190"/>
      <c r="AF5863" s="191"/>
      <c r="AG5863" s="191"/>
      <c r="AH5863" s="191"/>
      <c r="AI5863" s="186"/>
      <c r="AK5863" s="171"/>
    </row>
    <row r="5864" spans="1:41" s="102" customFormat="1" ht="19.899999999999999" customHeight="1" x14ac:dyDescent="0.25">
      <c r="A5864" s="45"/>
      <c r="B5864" s="59"/>
      <c r="C5864" s="137"/>
      <c r="D5864" s="59"/>
      <c r="E5864" s="116"/>
      <c r="F5864" s="120"/>
      <c r="G5864" s="120"/>
      <c r="H5864" s="120"/>
      <c r="I5864" s="60"/>
      <c r="J5864" s="116"/>
      <c r="K5864" s="213"/>
      <c r="L5864" s="120"/>
      <c r="M5864" s="120"/>
      <c r="N5864" s="167"/>
      <c r="O5864" s="120"/>
      <c r="P5864" s="120"/>
      <c r="Q5864" s="120"/>
      <c r="R5864" s="120"/>
      <c r="S5864" s="120"/>
      <c r="T5864" s="221"/>
      <c r="U5864" s="89"/>
      <c r="V5864" s="61"/>
      <c r="W5864" s="92" t="s">
        <v>173</v>
      </c>
      <c r="X5864" s="93" t="s">
        <v>29</v>
      </c>
      <c r="Y5864" s="93" t="s">
        <v>93</v>
      </c>
      <c r="Z5864" s="134">
        <f>VLOOKUP(W5864,Sheet2!$B:$D,3,FALSE)</f>
        <v>36</v>
      </c>
      <c r="AA5864" s="93">
        <f>50/((3.8*3.8*7.5)-(3.14/4*2*2*7.5))</f>
        <v>0.58997050147492625</v>
      </c>
      <c r="AB5864" s="93">
        <f>AD5864/AC5858</f>
        <v>61.02</v>
      </c>
      <c r="AC5864" s="93">
        <f>AC5858/AA5864</f>
        <v>0.2034</v>
      </c>
      <c r="AD5864" s="94">
        <f>AC5864*Z5864</f>
        <v>7.3224</v>
      </c>
      <c r="AE5864" s="190"/>
      <c r="AF5864" s="191"/>
      <c r="AG5864" s="191"/>
      <c r="AH5864" s="191"/>
      <c r="AI5864" s="186"/>
      <c r="AK5864" s="171"/>
    </row>
    <row r="5865" spans="1:41" s="102" customFormat="1" ht="19.899999999999999" customHeight="1" x14ac:dyDescent="0.25">
      <c r="A5865" s="45"/>
      <c r="B5865" s="59"/>
      <c r="C5865" s="137"/>
      <c r="D5865" s="59"/>
      <c r="E5865" s="116"/>
      <c r="F5865" s="120"/>
      <c r="G5865" s="120"/>
      <c r="H5865" s="120"/>
      <c r="I5865" s="60"/>
      <c r="J5865" s="116"/>
      <c r="K5865" s="213"/>
      <c r="L5865" s="120"/>
      <c r="M5865" s="120"/>
      <c r="N5865" s="167"/>
      <c r="O5865" s="120"/>
      <c r="P5865" s="120"/>
      <c r="Q5865" s="120"/>
      <c r="R5865" s="120"/>
      <c r="S5865" s="120"/>
      <c r="T5865" s="221"/>
      <c r="U5865" s="89"/>
      <c r="V5865" s="61"/>
      <c r="W5865" s="92" t="s">
        <v>65</v>
      </c>
      <c r="X5865" s="93" t="s">
        <v>30</v>
      </c>
      <c r="Y5865" s="93" t="s">
        <v>1011</v>
      </c>
      <c r="Z5865" s="134">
        <f>VLOOKUP(W5865,Sheet2!$B:$D,3,FALSE)</f>
        <v>1.76</v>
      </c>
      <c r="AA5865" s="93">
        <f>AA5864/9</f>
        <v>6.5552277941658466E-2</v>
      </c>
      <c r="AB5865" s="93">
        <f>AD5865/AC5858</f>
        <v>26.848800000000004</v>
      </c>
      <c r="AC5865" s="93">
        <f>AC5858/AA5865</f>
        <v>1.8306000000000002</v>
      </c>
      <c r="AD5865" s="94">
        <f>AC5865*Z5865</f>
        <v>3.2218560000000003</v>
      </c>
      <c r="AE5865" s="190"/>
      <c r="AF5865" s="191"/>
      <c r="AG5865" s="191"/>
      <c r="AH5865" s="191"/>
      <c r="AI5865" s="186"/>
      <c r="AK5865" s="171"/>
    </row>
    <row r="5866" spans="1:41" s="102" customFormat="1" ht="19.899999999999999" customHeight="1" x14ac:dyDescent="0.25">
      <c r="A5866" s="45"/>
      <c r="B5866" s="59"/>
      <c r="C5866" s="137"/>
      <c r="D5866" s="59"/>
      <c r="E5866" s="116"/>
      <c r="F5866" s="120"/>
      <c r="G5866" s="120"/>
      <c r="H5866" s="120"/>
      <c r="I5866" s="60"/>
      <c r="J5866" s="116"/>
      <c r="K5866" s="213"/>
      <c r="L5866" s="120"/>
      <c r="M5866" s="120"/>
      <c r="N5866" s="167"/>
      <c r="O5866" s="120"/>
      <c r="P5866" s="120"/>
      <c r="Q5866" s="120"/>
      <c r="R5866" s="120"/>
      <c r="S5866" s="120"/>
      <c r="T5866" s="221"/>
      <c r="U5866" s="89"/>
      <c r="V5866" s="61"/>
      <c r="W5866" s="92" t="s">
        <v>1030</v>
      </c>
      <c r="X5866" s="93" t="s">
        <v>29</v>
      </c>
      <c r="Y5866" s="93" t="s">
        <v>93</v>
      </c>
      <c r="Z5866" s="134">
        <f>VLOOKUP(W5866,Sheet2!$B:$D,3,FALSE)</f>
        <v>23</v>
      </c>
      <c r="AA5866" s="93">
        <f>1/(7.5*1)</f>
        <v>0.13333333333333333</v>
      </c>
      <c r="AB5866" s="93">
        <f>AD5866/AC5858</f>
        <v>172.5</v>
      </c>
      <c r="AC5866" s="93">
        <f>AC5858/AA5866</f>
        <v>0.9</v>
      </c>
      <c r="AD5866" s="94">
        <f t="shared" ref="AD5866:AD5867" si="4093">AC5866*Z5866</f>
        <v>20.7</v>
      </c>
      <c r="AE5866" s="190"/>
      <c r="AF5866" s="191"/>
      <c r="AG5866" s="191"/>
      <c r="AH5866" s="191"/>
      <c r="AI5866" s="186"/>
      <c r="AK5866" s="171"/>
    </row>
    <row r="5867" spans="1:41" s="102" customFormat="1" ht="19.899999999999999" customHeight="1" x14ac:dyDescent="0.25">
      <c r="A5867" s="45"/>
      <c r="B5867" s="59"/>
      <c r="C5867" s="137"/>
      <c r="D5867" s="59"/>
      <c r="E5867" s="116"/>
      <c r="F5867" s="120"/>
      <c r="G5867" s="120"/>
      <c r="H5867" s="120"/>
      <c r="I5867" s="60"/>
      <c r="J5867" s="116"/>
      <c r="K5867" s="213"/>
      <c r="L5867" s="120"/>
      <c r="M5867" s="120"/>
      <c r="N5867" s="167"/>
      <c r="O5867" s="120"/>
      <c r="P5867" s="120"/>
      <c r="Q5867" s="120"/>
      <c r="R5867" s="120"/>
      <c r="S5867" s="120"/>
      <c r="T5867" s="221"/>
      <c r="U5867" s="89"/>
      <c r="V5867" s="61"/>
      <c r="W5867" s="92" t="s">
        <v>65</v>
      </c>
      <c r="X5867" s="93" t="s">
        <v>30</v>
      </c>
      <c r="Y5867" s="93" t="s">
        <v>1011</v>
      </c>
      <c r="Z5867" s="134">
        <f>VLOOKUP(W5867,Sheet2!$B:$D,3,FALSE)</f>
        <v>1.76</v>
      </c>
      <c r="AA5867" s="93">
        <f>AA5866/3</f>
        <v>4.4444444444444446E-2</v>
      </c>
      <c r="AB5867" s="93">
        <f>AD5867/AC5858</f>
        <v>39.6</v>
      </c>
      <c r="AC5867" s="93">
        <f>AC5858/AA5867</f>
        <v>2.6999999999999997</v>
      </c>
      <c r="AD5867" s="94">
        <f t="shared" si="4093"/>
        <v>4.7519999999999998</v>
      </c>
      <c r="AE5867" s="190"/>
      <c r="AF5867" s="191"/>
      <c r="AG5867" s="191"/>
      <c r="AH5867" s="191"/>
      <c r="AI5867" s="186"/>
      <c r="AK5867" s="171"/>
    </row>
    <row r="5868" spans="1:41" ht="25.5" x14ac:dyDescent="0.25">
      <c r="A5868" s="277" t="s">
        <v>491</v>
      </c>
      <c r="B5868" s="278"/>
      <c r="C5868" s="64" t="s">
        <v>621</v>
      </c>
      <c r="D5868" s="46" t="s">
        <v>215</v>
      </c>
      <c r="E5868" s="114">
        <v>0.2799999999999998</v>
      </c>
      <c r="F5868" s="44">
        <v>5970</v>
      </c>
      <c r="G5868" s="44">
        <f t="shared" si="3841"/>
        <v>1671.5999999999988</v>
      </c>
      <c r="H5868" s="44">
        <f t="shared" si="3842"/>
        <v>136.02410635294115</v>
      </c>
      <c r="I5868" s="43">
        <f t="shared" si="3843"/>
        <v>38.086749778823496</v>
      </c>
      <c r="J5868" s="112">
        <f t="shared" si="3844"/>
        <v>0.2799999999999998</v>
      </c>
      <c r="K5868" s="211">
        <f t="shared" si="3845"/>
        <v>0.2799999999999998</v>
      </c>
      <c r="L5868" s="44"/>
      <c r="M5868" s="44">
        <f t="shared" si="3846"/>
        <v>0.2799999999999998</v>
      </c>
      <c r="N5868" s="173">
        <f t="shared" si="3847"/>
        <v>1</v>
      </c>
      <c r="O5868" s="44">
        <f t="shared" si="3848"/>
        <v>5970</v>
      </c>
      <c r="P5868" s="44">
        <f t="shared" si="3849"/>
        <v>1671.5999999999988</v>
      </c>
      <c r="Q5868" s="44">
        <f t="shared" si="3850"/>
        <v>136.02410635294115</v>
      </c>
      <c r="R5868" s="44">
        <f t="shared" si="3851"/>
        <v>38.086749778823496</v>
      </c>
      <c r="S5868" s="123"/>
      <c r="T5868" s="219">
        <f t="shared" si="3852"/>
        <v>38.086749778823496</v>
      </c>
      <c r="U5868" s="87"/>
      <c r="V5868" s="47"/>
      <c r="W5868" s="48"/>
      <c r="X5868" s="48"/>
      <c r="Y5868" s="48"/>
      <c r="Z5868" s="135"/>
      <c r="AA5868" s="49"/>
      <c r="AB5868" s="50">
        <f t="shared" si="3853"/>
        <v>136.02410635294115</v>
      </c>
      <c r="AC5868" s="42">
        <f t="shared" si="3854"/>
        <v>0.2799999999999998</v>
      </c>
      <c r="AD5868" s="90">
        <f>AD5869+AD5874</f>
        <v>38.086749778823496</v>
      </c>
      <c r="AE5868" s="188">
        <f t="shared" ref="AE5868:AH5868" si="4094">AE5869+AE5874</f>
        <v>0</v>
      </c>
      <c r="AF5868" s="189">
        <f t="shared" si="4094"/>
        <v>0</v>
      </c>
      <c r="AG5868" s="189">
        <f t="shared" si="4094"/>
        <v>0</v>
      </c>
      <c r="AH5868" s="189">
        <f t="shared" si="4094"/>
        <v>0</v>
      </c>
      <c r="AI5868" s="161">
        <f t="shared" ref="AI5868" si="4095">SUM(AE5868:AH5868)</f>
        <v>0</v>
      </c>
      <c r="AK5868" s="169">
        <v>5</v>
      </c>
      <c r="AO5868" s="19" t="s">
        <v>63</v>
      </c>
    </row>
    <row r="5869" spans="1:41" s="103" customFormat="1" ht="19.899999999999999" customHeight="1" x14ac:dyDescent="0.25">
      <c r="A5869" s="51"/>
      <c r="B5869" s="52"/>
      <c r="C5869" s="165"/>
      <c r="D5869" s="52"/>
      <c r="E5869" s="115"/>
      <c r="F5869" s="58"/>
      <c r="G5869" s="58"/>
      <c r="H5869" s="58"/>
      <c r="I5869" s="55"/>
      <c r="J5869" s="113">
        <f>J5868</f>
        <v>0.2799999999999998</v>
      </c>
      <c r="K5869" s="212">
        <f>K5868</f>
        <v>0.2799999999999998</v>
      </c>
      <c r="L5869" s="58"/>
      <c r="M5869" s="58">
        <f>K5869-L5869</f>
        <v>0.2799999999999998</v>
      </c>
      <c r="N5869" s="166"/>
      <c r="O5869" s="58"/>
      <c r="P5869" s="58"/>
      <c r="Q5869" s="58"/>
      <c r="R5869" s="58"/>
      <c r="S5869" s="58"/>
      <c r="T5869" s="220"/>
      <c r="U5869" s="88"/>
      <c r="V5869" s="56"/>
      <c r="W5869" s="57" t="s">
        <v>1569</v>
      </c>
      <c r="X5869" s="53"/>
      <c r="Y5869" s="91" t="s">
        <v>35</v>
      </c>
      <c r="Z5869" s="136">
        <f>AD5869/AC5869</f>
        <v>36.756198901960779</v>
      </c>
      <c r="AA5869" s="58"/>
      <c r="AB5869" s="53">
        <f>AD5869/AC5869</f>
        <v>36.756198901960779</v>
      </c>
      <c r="AC5869" s="53">
        <f>M5869+$AE$10</f>
        <v>0.2799999999999998</v>
      </c>
      <c r="AD5869" s="54">
        <f>SUM(AD5870:AD5873)</f>
        <v>10.291735692549011</v>
      </c>
      <c r="AE5869" s="184">
        <f>SUMIFS($AD$37:$AD$12971,$V$37:$V$12971,$V5869,$X$37:$X$12971,AE$13)</f>
        <v>0</v>
      </c>
      <c r="AF5869" s="185">
        <f>SUMIFS($AD$37:$AD$12971,$V$37:$V$12971,$V5869,$X$37:$X$12971,AF$13)</f>
        <v>0</v>
      </c>
      <c r="AG5869" s="185">
        <f>SUMIFS($AD$37:$AD$12971,$V$37:$V$12971,$V5869,$X$37:$X$12971,AG$13)</f>
        <v>0</v>
      </c>
      <c r="AH5869" s="187">
        <f>SUMIFS($AD$37:$AD$12971,$V$37:$V$12971,$V5869,$X$37:$X$12971,AH$13)</f>
        <v>0</v>
      </c>
      <c r="AI5869" s="161">
        <f t="shared" ref="AI5869" si="4096">SUM(AE5869:AH5869)</f>
        <v>0</v>
      </c>
      <c r="AK5869" s="172"/>
    </row>
    <row r="5870" spans="1:41" s="102" customFormat="1" ht="19.899999999999999" customHeight="1" x14ac:dyDescent="0.25">
      <c r="A5870" s="45"/>
      <c r="B5870" s="59"/>
      <c r="C5870" s="137"/>
      <c r="D5870" s="59"/>
      <c r="E5870" s="116"/>
      <c r="F5870" s="120"/>
      <c r="G5870" s="120"/>
      <c r="H5870" s="120"/>
      <c r="I5870" s="60"/>
      <c r="J5870" s="116"/>
      <c r="K5870" s="213"/>
      <c r="L5870" s="120"/>
      <c r="M5870" s="120"/>
      <c r="N5870" s="167"/>
      <c r="O5870" s="120"/>
      <c r="P5870" s="120"/>
      <c r="Q5870" s="120"/>
      <c r="R5870" s="120"/>
      <c r="S5870" s="120"/>
      <c r="T5870" s="221"/>
      <c r="U5870" s="89"/>
      <c r="V5870" s="61"/>
      <c r="W5870" s="92" t="s">
        <v>131</v>
      </c>
      <c r="X5870" s="93" t="s">
        <v>29</v>
      </c>
      <c r="Y5870" s="93" t="s">
        <v>93</v>
      </c>
      <c r="Z5870" s="134">
        <f>VLOOKUP(W5870,Sheet2!$B:$D,3,FALSE)</f>
        <v>131.19999999999999</v>
      </c>
      <c r="AA5870" s="93">
        <f>100/(3.8*3.8*0.5)</f>
        <v>13.850415512465375</v>
      </c>
      <c r="AB5870" s="93">
        <f t="shared" ref="AB5870" si="4097">AD5870/AC5869</f>
        <v>9.4726399999999984</v>
      </c>
      <c r="AC5870" s="93">
        <f>AC5869/AA5870</f>
        <v>2.0215999999999984E-2</v>
      </c>
      <c r="AD5870" s="94">
        <f t="shared" ref="AD5870:AD5871" si="4098">AC5870*Z5870</f>
        <v>2.6523391999999975</v>
      </c>
      <c r="AE5870" s="190"/>
      <c r="AF5870" s="191"/>
      <c r="AG5870" s="191"/>
      <c r="AH5870" s="191"/>
      <c r="AI5870" s="186"/>
      <c r="AK5870" s="171"/>
    </row>
    <row r="5871" spans="1:41" s="102" customFormat="1" ht="19.899999999999999" customHeight="1" x14ac:dyDescent="0.25">
      <c r="A5871" s="45"/>
      <c r="B5871" s="59"/>
      <c r="C5871" s="137"/>
      <c r="D5871" s="59"/>
      <c r="E5871" s="116"/>
      <c r="F5871" s="120"/>
      <c r="G5871" s="120"/>
      <c r="H5871" s="120"/>
      <c r="I5871" s="60"/>
      <c r="J5871" s="116"/>
      <c r="K5871" s="213"/>
      <c r="L5871" s="120"/>
      <c r="M5871" s="120"/>
      <c r="N5871" s="167"/>
      <c r="O5871" s="120"/>
      <c r="P5871" s="120"/>
      <c r="Q5871" s="120"/>
      <c r="R5871" s="120"/>
      <c r="S5871" s="120"/>
      <c r="T5871" s="221"/>
      <c r="U5871" s="89"/>
      <c r="V5871" s="61"/>
      <c r="W5871" s="92" t="s">
        <v>65</v>
      </c>
      <c r="X5871" s="93" t="s">
        <v>30</v>
      </c>
      <c r="Y5871" s="93" t="s">
        <v>1011</v>
      </c>
      <c r="Z5871" s="134">
        <f>VLOOKUP(W5871,Sheet2!$B:$D,3,FALSE)</f>
        <v>1.76</v>
      </c>
      <c r="AA5871" s="93">
        <f>AA5870/32</f>
        <v>0.43282548476454297</v>
      </c>
      <c r="AB5871" s="93">
        <f>AD5871/AC5869</f>
        <v>4.0663039999999997</v>
      </c>
      <c r="AC5871" s="93">
        <f>AC5869/AA5871</f>
        <v>0.64691199999999949</v>
      </c>
      <c r="AD5871" s="94">
        <f t="shared" si="4098"/>
        <v>1.1385651199999991</v>
      </c>
      <c r="AE5871" s="190"/>
      <c r="AF5871" s="191"/>
      <c r="AG5871" s="191"/>
      <c r="AH5871" s="191"/>
      <c r="AI5871" s="186"/>
      <c r="AK5871" s="171"/>
    </row>
    <row r="5872" spans="1:41" s="102" customFormat="1" ht="19.899999999999999" customHeight="1" x14ac:dyDescent="0.25">
      <c r="A5872" s="45"/>
      <c r="B5872" s="59"/>
      <c r="C5872" s="137"/>
      <c r="D5872" s="59"/>
      <c r="E5872" s="116"/>
      <c r="F5872" s="120"/>
      <c r="G5872" s="120"/>
      <c r="H5872" s="120"/>
      <c r="I5872" s="60"/>
      <c r="J5872" s="116"/>
      <c r="K5872" s="213"/>
      <c r="L5872" s="120"/>
      <c r="M5872" s="120"/>
      <c r="N5872" s="167"/>
      <c r="O5872" s="120"/>
      <c r="P5872" s="120"/>
      <c r="Q5872" s="120"/>
      <c r="R5872" s="120"/>
      <c r="S5872" s="120"/>
      <c r="T5872" s="221"/>
      <c r="U5872" s="89"/>
      <c r="V5872" s="61"/>
      <c r="W5872" s="92" t="s">
        <v>161</v>
      </c>
      <c r="X5872" s="93" t="s">
        <v>29</v>
      </c>
      <c r="Y5872" s="93" t="s">
        <v>93</v>
      </c>
      <c r="Z5872" s="134">
        <f>VLOOKUP(W5872,Sheet2!$B:$D,3,FALSE)</f>
        <v>48</v>
      </c>
      <c r="AA5872" s="93">
        <f>(16*0.85*1.5)/(3.8*3.8*0.5)</f>
        <v>2.8254847645429364</v>
      </c>
      <c r="AB5872" s="93">
        <f>AD5872/AC5869</f>
        <v>16.988235294117647</v>
      </c>
      <c r="AC5872" s="93">
        <f>AC5869/AA5872</f>
        <v>9.9098039215686204E-2</v>
      </c>
      <c r="AD5872" s="94">
        <f>AC5872*Z5872</f>
        <v>4.7567058823529376</v>
      </c>
      <c r="AE5872" s="190"/>
      <c r="AF5872" s="191"/>
      <c r="AG5872" s="191"/>
      <c r="AH5872" s="191"/>
      <c r="AI5872" s="186"/>
      <c r="AK5872" s="171"/>
    </row>
    <row r="5873" spans="1:37" s="102" customFormat="1" ht="19.899999999999999" customHeight="1" x14ac:dyDescent="0.25">
      <c r="A5873" s="45"/>
      <c r="B5873" s="59"/>
      <c r="C5873" s="137"/>
      <c r="D5873" s="59"/>
      <c r="E5873" s="116"/>
      <c r="F5873" s="120"/>
      <c r="G5873" s="120"/>
      <c r="H5873" s="120"/>
      <c r="I5873" s="60"/>
      <c r="J5873" s="116"/>
      <c r="K5873" s="213"/>
      <c r="L5873" s="120"/>
      <c r="M5873" s="120"/>
      <c r="N5873" s="167"/>
      <c r="O5873" s="120"/>
      <c r="P5873" s="120"/>
      <c r="Q5873" s="120"/>
      <c r="R5873" s="120"/>
      <c r="S5873" s="120"/>
      <c r="T5873" s="221"/>
      <c r="U5873" s="89"/>
      <c r="V5873" s="61"/>
      <c r="W5873" s="92" t="s">
        <v>65</v>
      </c>
      <c r="X5873" s="93" t="s">
        <v>30</v>
      </c>
      <c r="Y5873" s="93" t="s">
        <v>1011</v>
      </c>
      <c r="Z5873" s="134">
        <f>VLOOKUP(W5873,Sheet2!$B:$D,3,FALSE)</f>
        <v>1.76</v>
      </c>
      <c r="AA5873" s="93">
        <f>AA5872/10</f>
        <v>0.28254847645429365</v>
      </c>
      <c r="AB5873" s="93">
        <f>AD5873/AC5869</f>
        <v>6.2290196078431368</v>
      </c>
      <c r="AC5873" s="93">
        <f>AC5869/AA5873</f>
        <v>0.99098039215686196</v>
      </c>
      <c r="AD5873" s="94">
        <f>AC5873*Z5873</f>
        <v>1.744125490196077</v>
      </c>
      <c r="AE5873" s="190"/>
      <c r="AF5873" s="191"/>
      <c r="AG5873" s="191"/>
      <c r="AH5873" s="191"/>
      <c r="AI5873" s="186"/>
      <c r="AK5873" s="171"/>
    </row>
    <row r="5874" spans="1:37" s="103" customFormat="1" ht="19.899999999999999" customHeight="1" x14ac:dyDescent="0.25">
      <c r="A5874" s="51"/>
      <c r="B5874" s="52"/>
      <c r="C5874" s="165"/>
      <c r="D5874" s="52"/>
      <c r="E5874" s="115"/>
      <c r="F5874" s="58"/>
      <c r="G5874" s="58"/>
      <c r="H5874" s="58"/>
      <c r="I5874" s="55"/>
      <c r="J5874" s="113">
        <f>J5868</f>
        <v>0.2799999999999998</v>
      </c>
      <c r="K5874" s="212">
        <f>K5868</f>
        <v>0.2799999999999998</v>
      </c>
      <c r="L5874" s="58"/>
      <c r="M5874" s="58">
        <f>K5874-L5874</f>
        <v>0.2799999999999998</v>
      </c>
      <c r="N5874" s="166"/>
      <c r="O5874" s="58"/>
      <c r="P5874" s="58"/>
      <c r="Q5874" s="58"/>
      <c r="R5874" s="58"/>
      <c r="S5874" s="58"/>
      <c r="T5874" s="220"/>
      <c r="U5874" s="88"/>
      <c r="V5874" s="56"/>
      <c r="W5874" s="57" t="s">
        <v>1272</v>
      </c>
      <c r="X5874" s="53"/>
      <c r="Y5874" s="91" t="s">
        <v>35</v>
      </c>
      <c r="Z5874" s="136">
        <f>AD5874/AC5874</f>
        <v>99.267907450980374</v>
      </c>
      <c r="AA5874" s="58"/>
      <c r="AB5874" s="53">
        <f>AD5874/AC5874</f>
        <v>99.267907450980374</v>
      </c>
      <c r="AC5874" s="53">
        <f>M5874+$AE$10</f>
        <v>0.2799999999999998</v>
      </c>
      <c r="AD5874" s="54">
        <f>SUM(AD5875:AD5883)</f>
        <v>27.795014086274485</v>
      </c>
      <c r="AE5874" s="184">
        <f>SUMIFS($AD$37:$AD$12971,$V$37:$V$12971,$V5874,$X$37:$X$12971,AE$13)</f>
        <v>0</v>
      </c>
      <c r="AF5874" s="185">
        <f>SUMIFS($AD$37:$AD$12971,$V$37:$V$12971,$V5874,$X$37:$X$12971,AF$13)</f>
        <v>0</v>
      </c>
      <c r="AG5874" s="185">
        <f>SUMIFS($AD$37:$AD$12971,$V$37:$V$12971,$V5874,$X$37:$X$12971,AG$13)</f>
        <v>0</v>
      </c>
      <c r="AH5874" s="187">
        <f>SUMIFS($AD$37:$AD$12971,$V$37:$V$12971,$V5874,$X$37:$X$12971,AH$13)</f>
        <v>0</v>
      </c>
      <c r="AI5874" s="161">
        <f t="shared" ref="AI5874" si="4099">SUM(AE5874:AH5874)</f>
        <v>0</v>
      </c>
      <c r="AK5874" s="172"/>
    </row>
    <row r="5875" spans="1:37" s="102" customFormat="1" ht="19.899999999999999" customHeight="1" x14ac:dyDescent="0.25">
      <c r="A5875" s="45"/>
      <c r="B5875" s="59"/>
      <c r="C5875" s="137"/>
      <c r="D5875" s="59"/>
      <c r="E5875" s="116"/>
      <c r="F5875" s="120"/>
      <c r="G5875" s="120"/>
      <c r="H5875" s="120"/>
      <c r="I5875" s="60"/>
      <c r="J5875" s="116"/>
      <c r="K5875" s="213"/>
      <c r="L5875" s="120"/>
      <c r="M5875" s="120"/>
      <c r="N5875" s="167"/>
      <c r="O5875" s="120"/>
      <c r="P5875" s="120"/>
      <c r="Q5875" s="120"/>
      <c r="R5875" s="120"/>
      <c r="S5875" s="120"/>
      <c r="T5875" s="221"/>
      <c r="U5875" s="89"/>
      <c r="V5875" s="61"/>
      <c r="W5875" s="92" t="s">
        <v>1273</v>
      </c>
      <c r="X5875" s="93" t="s">
        <v>30</v>
      </c>
      <c r="Y5875" s="93" t="s">
        <v>66</v>
      </c>
      <c r="Z5875" s="134">
        <f>VLOOKUP(W5875,Sheet2!$B:$D,3,FALSE)</f>
        <v>10</v>
      </c>
      <c r="AA5875" s="93">
        <f>1/((3.8*3.8*0.5)-(3.14/4*2*2*0.5))</f>
        <v>0.1769911504424779</v>
      </c>
      <c r="AB5875" s="93">
        <f>AD5875/AC5874</f>
        <v>56.499999999999993</v>
      </c>
      <c r="AC5875" s="93">
        <f>AC5874/AA5875</f>
        <v>1.5819999999999987</v>
      </c>
      <c r="AD5875" s="94">
        <f t="shared" ref="AD5875:AD5877" si="4100">AC5875*Z5875</f>
        <v>15.819999999999988</v>
      </c>
      <c r="AE5875" s="190"/>
      <c r="AF5875" s="191"/>
      <c r="AG5875" s="191"/>
      <c r="AH5875" s="191"/>
      <c r="AI5875" s="186"/>
      <c r="AK5875" s="171"/>
    </row>
    <row r="5876" spans="1:37" s="102" customFormat="1" ht="19.899999999999999" customHeight="1" x14ac:dyDescent="0.25">
      <c r="A5876" s="45"/>
      <c r="B5876" s="59"/>
      <c r="C5876" s="137"/>
      <c r="D5876" s="59"/>
      <c r="E5876" s="116"/>
      <c r="F5876" s="120"/>
      <c r="G5876" s="120"/>
      <c r="H5876" s="120"/>
      <c r="I5876" s="60"/>
      <c r="J5876" s="116"/>
      <c r="K5876" s="213"/>
      <c r="L5876" s="120"/>
      <c r="M5876" s="120"/>
      <c r="N5876" s="167"/>
      <c r="O5876" s="120"/>
      <c r="P5876" s="120"/>
      <c r="Q5876" s="120"/>
      <c r="R5876" s="120"/>
      <c r="S5876" s="120"/>
      <c r="T5876" s="221"/>
      <c r="U5876" s="89"/>
      <c r="V5876" s="61"/>
      <c r="W5876" s="92" t="s">
        <v>134</v>
      </c>
      <c r="X5876" s="93" t="s">
        <v>29</v>
      </c>
      <c r="Y5876" s="93" t="s">
        <v>93</v>
      </c>
      <c r="Z5876" s="134">
        <f>VLOOKUP(W5876,Sheet2!$B:$D,3,FALSE)</f>
        <v>65.599999999999994</v>
      </c>
      <c r="AA5876" s="93">
        <f>100/((3.8*3.8*0.5)-(3.14/4*2*2*0.5))</f>
        <v>17.69911504424779</v>
      </c>
      <c r="AB5876" s="93">
        <f t="shared" ref="AB5876" si="4101">AD5876/AC5874</f>
        <v>3.7063999999999986</v>
      </c>
      <c r="AC5876" s="93">
        <f>AC5874/AA5876</f>
        <v>1.5819999999999987E-2</v>
      </c>
      <c r="AD5876" s="94">
        <f t="shared" si="4100"/>
        <v>1.0377919999999989</v>
      </c>
      <c r="AE5876" s="190"/>
      <c r="AF5876" s="191"/>
      <c r="AG5876" s="191"/>
      <c r="AH5876" s="191"/>
      <c r="AI5876" s="186"/>
      <c r="AK5876" s="171"/>
    </row>
    <row r="5877" spans="1:37" s="102" customFormat="1" ht="19.899999999999999" customHeight="1" x14ac:dyDescent="0.25">
      <c r="A5877" s="45"/>
      <c r="B5877" s="59"/>
      <c r="C5877" s="137"/>
      <c r="D5877" s="59"/>
      <c r="E5877" s="116"/>
      <c r="F5877" s="120"/>
      <c r="G5877" s="120"/>
      <c r="H5877" s="120"/>
      <c r="I5877" s="60"/>
      <c r="J5877" s="116"/>
      <c r="K5877" s="213"/>
      <c r="L5877" s="120"/>
      <c r="M5877" s="120"/>
      <c r="N5877" s="167"/>
      <c r="O5877" s="120"/>
      <c r="P5877" s="120"/>
      <c r="Q5877" s="120"/>
      <c r="R5877" s="120"/>
      <c r="S5877" s="120"/>
      <c r="T5877" s="221"/>
      <c r="U5877" s="89"/>
      <c r="V5877" s="61"/>
      <c r="W5877" s="92" t="s">
        <v>65</v>
      </c>
      <c r="X5877" s="93" t="s">
        <v>30</v>
      </c>
      <c r="Y5877" s="93" t="s">
        <v>1011</v>
      </c>
      <c r="Z5877" s="134">
        <f>VLOOKUP(W5877,Sheet2!$B:$D,3,FALSE)</f>
        <v>1.76</v>
      </c>
      <c r="AA5877" s="93">
        <f>AA5876/9</f>
        <v>1.9665683382497545</v>
      </c>
      <c r="AB5877" s="93">
        <f>AD5877/AC5874</f>
        <v>0.89495999999999987</v>
      </c>
      <c r="AC5877" s="93">
        <f>AC5874/AA5877</f>
        <v>0.14237999999999987</v>
      </c>
      <c r="AD5877" s="94">
        <f t="shared" si="4100"/>
        <v>0.25058879999999978</v>
      </c>
      <c r="AE5877" s="190"/>
      <c r="AF5877" s="191"/>
      <c r="AG5877" s="191"/>
      <c r="AH5877" s="191"/>
      <c r="AI5877" s="186"/>
      <c r="AK5877" s="171"/>
    </row>
    <row r="5878" spans="1:37" s="102" customFormat="1" ht="19.899999999999999" customHeight="1" x14ac:dyDescent="0.25">
      <c r="A5878" s="45"/>
      <c r="B5878" s="59"/>
      <c r="C5878" s="137"/>
      <c r="D5878" s="59"/>
      <c r="E5878" s="116"/>
      <c r="F5878" s="120"/>
      <c r="G5878" s="120"/>
      <c r="H5878" s="120"/>
      <c r="I5878" s="60"/>
      <c r="J5878" s="116"/>
      <c r="K5878" s="213"/>
      <c r="L5878" s="120"/>
      <c r="M5878" s="120"/>
      <c r="N5878" s="167"/>
      <c r="O5878" s="120"/>
      <c r="P5878" s="120"/>
      <c r="Q5878" s="120"/>
      <c r="R5878" s="120"/>
      <c r="S5878" s="120"/>
      <c r="T5878" s="221"/>
      <c r="U5878" s="89"/>
      <c r="V5878" s="61"/>
      <c r="W5878" s="92" t="s">
        <v>161</v>
      </c>
      <c r="X5878" s="93" t="s">
        <v>29</v>
      </c>
      <c r="Y5878" s="93" t="s">
        <v>93</v>
      </c>
      <c r="Z5878" s="134">
        <f>VLOOKUP(W5878,Sheet2!$B:$D,3,FALSE)</f>
        <v>48</v>
      </c>
      <c r="AA5878" s="93">
        <f>(16*0.85*1.5)/((3.8*3.8*0.5)-(3.14/4*2*2*0.5))</f>
        <v>3.610619469026549</v>
      </c>
      <c r="AB5878" s="93">
        <f>AD5878/AC5874</f>
        <v>13.294117647058822</v>
      </c>
      <c r="AC5878" s="93">
        <f>AC5874/AA5878</f>
        <v>7.7549019607843078E-2</v>
      </c>
      <c r="AD5878" s="94">
        <f>AC5878*Z5878</f>
        <v>3.7223529411764678</v>
      </c>
      <c r="AE5878" s="190"/>
      <c r="AF5878" s="191"/>
      <c r="AG5878" s="191"/>
      <c r="AH5878" s="191"/>
      <c r="AI5878" s="186"/>
      <c r="AK5878" s="171"/>
    </row>
    <row r="5879" spans="1:37" s="102" customFormat="1" ht="19.899999999999999" customHeight="1" x14ac:dyDescent="0.25">
      <c r="A5879" s="45"/>
      <c r="B5879" s="59"/>
      <c r="C5879" s="137"/>
      <c r="D5879" s="59"/>
      <c r="E5879" s="116"/>
      <c r="F5879" s="120"/>
      <c r="G5879" s="120"/>
      <c r="H5879" s="120"/>
      <c r="I5879" s="60"/>
      <c r="J5879" s="116"/>
      <c r="K5879" s="213"/>
      <c r="L5879" s="120"/>
      <c r="M5879" s="120"/>
      <c r="N5879" s="167"/>
      <c r="O5879" s="120"/>
      <c r="P5879" s="120"/>
      <c r="Q5879" s="120"/>
      <c r="R5879" s="120"/>
      <c r="S5879" s="120"/>
      <c r="T5879" s="221"/>
      <c r="U5879" s="89"/>
      <c r="V5879" s="61"/>
      <c r="W5879" s="92" t="s">
        <v>65</v>
      </c>
      <c r="X5879" s="93" t="s">
        <v>30</v>
      </c>
      <c r="Y5879" s="93" t="s">
        <v>1011</v>
      </c>
      <c r="Z5879" s="134">
        <f>VLOOKUP(W5879,Sheet2!$B:$D,3,FALSE)</f>
        <v>1.76</v>
      </c>
      <c r="AA5879" s="93">
        <f>AA5878/10</f>
        <v>0.36106194690265492</v>
      </c>
      <c r="AB5879" s="93">
        <f>AD5879/AC5874</f>
        <v>4.8745098039215682</v>
      </c>
      <c r="AC5879" s="93">
        <f>AC5874/AA5879</f>
        <v>0.77549019607843073</v>
      </c>
      <c r="AD5879" s="94">
        <f>AC5879*Z5879</f>
        <v>1.3648627450980382</v>
      </c>
      <c r="AE5879" s="190"/>
      <c r="AF5879" s="191"/>
      <c r="AG5879" s="191"/>
      <c r="AH5879" s="191"/>
      <c r="AI5879" s="186"/>
      <c r="AK5879" s="171"/>
    </row>
    <row r="5880" spans="1:37" s="102" customFormat="1" ht="19.899999999999999" customHeight="1" x14ac:dyDescent="0.25">
      <c r="A5880" s="45"/>
      <c r="B5880" s="59"/>
      <c r="C5880" s="137"/>
      <c r="D5880" s="59"/>
      <c r="E5880" s="116"/>
      <c r="F5880" s="120"/>
      <c r="G5880" s="120"/>
      <c r="H5880" s="120"/>
      <c r="I5880" s="60"/>
      <c r="J5880" s="116"/>
      <c r="K5880" s="213"/>
      <c r="L5880" s="120"/>
      <c r="M5880" s="120"/>
      <c r="N5880" s="167"/>
      <c r="O5880" s="120"/>
      <c r="P5880" s="120"/>
      <c r="Q5880" s="120"/>
      <c r="R5880" s="120"/>
      <c r="S5880" s="120"/>
      <c r="T5880" s="221"/>
      <c r="U5880" s="89"/>
      <c r="V5880" s="61"/>
      <c r="W5880" s="92" t="s">
        <v>173</v>
      </c>
      <c r="X5880" s="93" t="s">
        <v>29</v>
      </c>
      <c r="Y5880" s="93" t="s">
        <v>93</v>
      </c>
      <c r="Z5880" s="134">
        <f>VLOOKUP(W5880,Sheet2!$B:$D,3,FALSE)</f>
        <v>36</v>
      </c>
      <c r="AA5880" s="93">
        <f>50/((3.8*3.8*0.5)-(3.14/4*2*2*0.5))</f>
        <v>8.8495575221238951</v>
      </c>
      <c r="AB5880" s="93">
        <f>AD5880/AC5874</f>
        <v>4.0679999999999996</v>
      </c>
      <c r="AC5880" s="93">
        <f>AC5874/AA5880</f>
        <v>3.1639999999999974E-2</v>
      </c>
      <c r="AD5880" s="94">
        <f>AC5880*Z5880</f>
        <v>1.1390399999999992</v>
      </c>
      <c r="AE5880" s="190"/>
      <c r="AF5880" s="191"/>
      <c r="AG5880" s="191"/>
      <c r="AH5880" s="191"/>
      <c r="AI5880" s="186"/>
      <c r="AK5880" s="171"/>
    </row>
    <row r="5881" spans="1:37" s="102" customFormat="1" ht="19.899999999999999" customHeight="1" x14ac:dyDescent="0.25">
      <c r="A5881" s="45"/>
      <c r="B5881" s="59"/>
      <c r="C5881" s="137"/>
      <c r="D5881" s="59"/>
      <c r="E5881" s="116"/>
      <c r="F5881" s="120"/>
      <c r="G5881" s="120"/>
      <c r="H5881" s="120"/>
      <c r="I5881" s="60"/>
      <c r="J5881" s="116"/>
      <c r="K5881" s="213"/>
      <c r="L5881" s="120"/>
      <c r="M5881" s="120"/>
      <c r="N5881" s="167"/>
      <c r="O5881" s="120"/>
      <c r="P5881" s="120"/>
      <c r="Q5881" s="120"/>
      <c r="R5881" s="120"/>
      <c r="S5881" s="120"/>
      <c r="T5881" s="221"/>
      <c r="U5881" s="89"/>
      <c r="V5881" s="61"/>
      <c r="W5881" s="92" t="s">
        <v>65</v>
      </c>
      <c r="X5881" s="93" t="s">
        <v>30</v>
      </c>
      <c r="Y5881" s="93" t="s">
        <v>1011</v>
      </c>
      <c r="Z5881" s="134">
        <f>VLOOKUP(W5881,Sheet2!$B:$D,3,FALSE)</f>
        <v>1.76</v>
      </c>
      <c r="AA5881" s="93">
        <f>AA5880/9</f>
        <v>0.98328416912487726</v>
      </c>
      <c r="AB5881" s="93">
        <f>AD5881/AC5874</f>
        <v>1.7899199999999997</v>
      </c>
      <c r="AC5881" s="93">
        <f>AC5874/AA5881</f>
        <v>0.28475999999999974</v>
      </c>
      <c r="AD5881" s="94">
        <f>AC5881*Z5881</f>
        <v>0.50117759999999956</v>
      </c>
      <c r="AE5881" s="190"/>
      <c r="AF5881" s="191"/>
      <c r="AG5881" s="191"/>
      <c r="AH5881" s="191"/>
      <c r="AI5881" s="186"/>
      <c r="AK5881" s="171"/>
    </row>
    <row r="5882" spans="1:37" s="102" customFormat="1" ht="19.899999999999999" customHeight="1" x14ac:dyDescent="0.25">
      <c r="A5882" s="45"/>
      <c r="B5882" s="59"/>
      <c r="C5882" s="137"/>
      <c r="D5882" s="59"/>
      <c r="E5882" s="116"/>
      <c r="F5882" s="120"/>
      <c r="G5882" s="120"/>
      <c r="H5882" s="120"/>
      <c r="I5882" s="60"/>
      <c r="J5882" s="116"/>
      <c r="K5882" s="213"/>
      <c r="L5882" s="120"/>
      <c r="M5882" s="120"/>
      <c r="N5882" s="167"/>
      <c r="O5882" s="120"/>
      <c r="P5882" s="120"/>
      <c r="Q5882" s="120"/>
      <c r="R5882" s="120"/>
      <c r="S5882" s="120"/>
      <c r="T5882" s="221"/>
      <c r="U5882" s="89"/>
      <c r="V5882" s="61"/>
      <c r="W5882" s="92" t="s">
        <v>1030</v>
      </c>
      <c r="X5882" s="93" t="s">
        <v>29</v>
      </c>
      <c r="Y5882" s="93" t="s">
        <v>93</v>
      </c>
      <c r="Z5882" s="134">
        <f>VLOOKUP(W5882,Sheet2!$B:$D,3,FALSE)</f>
        <v>23</v>
      </c>
      <c r="AA5882" s="93">
        <f>1/(0.5*1)</f>
        <v>2</v>
      </c>
      <c r="AB5882" s="93">
        <f>AD5882/AC5874</f>
        <v>11.5</v>
      </c>
      <c r="AC5882" s="93">
        <f>AC5874/AA5882</f>
        <v>0.1399999999999999</v>
      </c>
      <c r="AD5882" s="94">
        <f t="shared" ref="AD5882:AD5883" si="4102">AC5882*Z5882</f>
        <v>3.219999999999998</v>
      </c>
      <c r="AE5882" s="190"/>
      <c r="AF5882" s="191"/>
      <c r="AG5882" s="191"/>
      <c r="AH5882" s="191"/>
      <c r="AI5882" s="186"/>
      <c r="AK5882" s="171"/>
    </row>
    <row r="5883" spans="1:37" s="102" customFormat="1" ht="19.899999999999999" customHeight="1" x14ac:dyDescent="0.25">
      <c r="A5883" s="45"/>
      <c r="B5883" s="59"/>
      <c r="C5883" s="137"/>
      <c r="D5883" s="59"/>
      <c r="E5883" s="116"/>
      <c r="F5883" s="120"/>
      <c r="G5883" s="120"/>
      <c r="H5883" s="120"/>
      <c r="I5883" s="60"/>
      <c r="J5883" s="116"/>
      <c r="K5883" s="213"/>
      <c r="L5883" s="120"/>
      <c r="M5883" s="120"/>
      <c r="N5883" s="167"/>
      <c r="O5883" s="120"/>
      <c r="P5883" s="120"/>
      <c r="Q5883" s="120"/>
      <c r="R5883" s="120"/>
      <c r="S5883" s="120"/>
      <c r="T5883" s="221"/>
      <c r="U5883" s="89"/>
      <c r="V5883" s="61"/>
      <c r="W5883" s="92" t="s">
        <v>65</v>
      </c>
      <c r="X5883" s="93" t="s">
        <v>30</v>
      </c>
      <c r="Y5883" s="93" t="s">
        <v>1011</v>
      </c>
      <c r="Z5883" s="134">
        <f>VLOOKUP(W5883,Sheet2!$B:$D,3,FALSE)</f>
        <v>1.76</v>
      </c>
      <c r="AA5883" s="93">
        <f>AA5882/3</f>
        <v>0.66666666666666663</v>
      </c>
      <c r="AB5883" s="93">
        <f>AD5883/AC5874</f>
        <v>2.64</v>
      </c>
      <c r="AC5883" s="93">
        <f>AC5874/AA5883</f>
        <v>0.41999999999999971</v>
      </c>
      <c r="AD5883" s="94">
        <f t="shared" si="4102"/>
        <v>0.73919999999999952</v>
      </c>
      <c r="AE5883" s="190"/>
      <c r="AF5883" s="191"/>
      <c r="AG5883" s="191"/>
      <c r="AH5883" s="191"/>
      <c r="AI5883" s="186"/>
      <c r="AK5883" s="171"/>
    </row>
    <row r="5884" spans="1:37" ht="20.100000000000001" customHeight="1" x14ac:dyDescent="0.25">
      <c r="A5884" s="277" t="s">
        <v>491</v>
      </c>
      <c r="B5884" s="278"/>
      <c r="C5884" s="64" t="s">
        <v>622</v>
      </c>
      <c r="D5884" s="46" t="s">
        <v>215</v>
      </c>
      <c r="E5884" s="114"/>
      <c r="F5884" s="44"/>
      <c r="G5884" s="44">
        <f t="shared" si="3841"/>
        <v>0</v>
      </c>
      <c r="H5884" s="44">
        <f t="shared" si="3842"/>
        <v>0</v>
      </c>
      <c r="I5884" s="43">
        <f t="shared" si="3843"/>
        <v>0</v>
      </c>
      <c r="J5884" s="112">
        <f t="shared" si="3844"/>
        <v>0</v>
      </c>
      <c r="K5884" s="211">
        <f t="shared" si="3845"/>
        <v>0</v>
      </c>
      <c r="L5884" s="44"/>
      <c r="M5884" s="44">
        <f t="shared" si="3846"/>
        <v>0</v>
      </c>
      <c r="N5884" s="173">
        <f t="shared" si="3847"/>
        <v>0</v>
      </c>
      <c r="O5884" s="44">
        <f t="shared" si="3848"/>
        <v>0</v>
      </c>
      <c r="P5884" s="44">
        <f t="shared" si="3849"/>
        <v>0</v>
      </c>
      <c r="Q5884" s="44">
        <f t="shared" si="3850"/>
        <v>0</v>
      </c>
      <c r="R5884" s="44">
        <f t="shared" si="3851"/>
        <v>0</v>
      </c>
      <c r="S5884" s="123"/>
      <c r="T5884" s="219">
        <f t="shared" si="3852"/>
        <v>0</v>
      </c>
      <c r="U5884" s="87"/>
      <c r="V5884" s="47"/>
      <c r="W5884" s="48"/>
      <c r="X5884" s="48"/>
      <c r="Y5884" s="48"/>
      <c r="Z5884" s="135"/>
      <c r="AA5884" s="49"/>
      <c r="AB5884" s="50">
        <f t="shared" si="3853"/>
        <v>0</v>
      </c>
      <c r="AC5884" s="42">
        <f t="shared" si="3854"/>
        <v>9.9999999999999998E-20</v>
      </c>
      <c r="AD5884" s="90"/>
      <c r="AE5884" s="188"/>
      <c r="AF5884" s="189"/>
      <c r="AG5884" s="189"/>
      <c r="AH5884" s="189"/>
      <c r="AI5884" s="161"/>
    </row>
    <row r="5885" spans="1:37" s="102" customFormat="1" ht="20.100000000000001" customHeight="1" x14ac:dyDescent="0.25">
      <c r="A5885" s="45" t="s">
        <v>491</v>
      </c>
      <c r="B5885" s="276"/>
      <c r="C5885" s="285" t="s">
        <v>594</v>
      </c>
      <c r="D5885" s="59"/>
      <c r="E5885" s="116"/>
      <c r="F5885" s="120"/>
      <c r="G5885" s="120">
        <f t="shared" si="3841"/>
        <v>0</v>
      </c>
      <c r="H5885" s="120">
        <f t="shared" si="3842"/>
        <v>0</v>
      </c>
      <c r="I5885" s="60">
        <f t="shared" si="3843"/>
        <v>0</v>
      </c>
      <c r="J5885" s="116">
        <f t="shared" si="3844"/>
        <v>0</v>
      </c>
      <c r="K5885" s="213">
        <f t="shared" si="3845"/>
        <v>0</v>
      </c>
      <c r="L5885" s="120"/>
      <c r="M5885" s="120">
        <f t="shared" si="3846"/>
        <v>0</v>
      </c>
      <c r="N5885" s="167">
        <f t="shared" si="3847"/>
        <v>0</v>
      </c>
      <c r="O5885" s="120">
        <f t="shared" si="3848"/>
        <v>0</v>
      </c>
      <c r="P5885" s="120">
        <f t="shared" si="3849"/>
        <v>0</v>
      </c>
      <c r="Q5885" s="120">
        <f t="shared" si="3850"/>
        <v>0</v>
      </c>
      <c r="R5885" s="120">
        <f t="shared" si="3851"/>
        <v>0</v>
      </c>
      <c r="S5885" s="120"/>
      <c r="T5885" s="221">
        <f t="shared" si="3852"/>
        <v>0</v>
      </c>
      <c r="U5885" s="89"/>
      <c r="V5885" s="61"/>
      <c r="W5885" s="92"/>
      <c r="X5885" s="38"/>
      <c r="Y5885" s="93"/>
      <c r="Z5885" s="134"/>
      <c r="AA5885" s="93"/>
      <c r="AB5885" s="93">
        <f t="shared" si="3853"/>
        <v>0</v>
      </c>
      <c r="AC5885" s="93">
        <f t="shared" si="3854"/>
        <v>9.9999999999999998E-20</v>
      </c>
      <c r="AD5885" s="94"/>
      <c r="AE5885" s="190"/>
      <c r="AF5885" s="191"/>
      <c r="AG5885" s="191"/>
      <c r="AH5885" s="191"/>
      <c r="AI5885" s="186"/>
      <c r="AK5885" s="171"/>
    </row>
    <row r="5886" spans="1:37" s="102" customFormat="1" ht="94.5" x14ac:dyDescent="0.25">
      <c r="A5886" s="45" t="s">
        <v>491</v>
      </c>
      <c r="B5886" s="276"/>
      <c r="C5886" s="285" t="s">
        <v>595</v>
      </c>
      <c r="D5886" s="59"/>
      <c r="E5886" s="116"/>
      <c r="F5886" s="120"/>
      <c r="G5886" s="120">
        <f t="shared" si="3841"/>
        <v>0</v>
      </c>
      <c r="H5886" s="120">
        <f t="shared" si="3842"/>
        <v>0</v>
      </c>
      <c r="I5886" s="60">
        <f t="shared" si="3843"/>
        <v>0</v>
      </c>
      <c r="J5886" s="116">
        <f t="shared" si="3844"/>
        <v>0</v>
      </c>
      <c r="K5886" s="213">
        <f t="shared" si="3845"/>
        <v>0</v>
      </c>
      <c r="L5886" s="120"/>
      <c r="M5886" s="120">
        <f t="shared" si="3846"/>
        <v>0</v>
      </c>
      <c r="N5886" s="167">
        <f t="shared" si="3847"/>
        <v>0</v>
      </c>
      <c r="O5886" s="120">
        <f t="shared" si="3848"/>
        <v>0</v>
      </c>
      <c r="P5886" s="120">
        <f t="shared" si="3849"/>
        <v>0</v>
      </c>
      <c r="Q5886" s="120">
        <f t="shared" si="3850"/>
        <v>0</v>
      </c>
      <c r="R5886" s="120">
        <f t="shared" si="3851"/>
        <v>0</v>
      </c>
      <c r="S5886" s="120"/>
      <c r="T5886" s="221">
        <f t="shared" si="3852"/>
        <v>0</v>
      </c>
      <c r="U5886" s="89"/>
      <c r="V5886" s="61"/>
      <c r="W5886" s="92"/>
      <c r="X5886" s="38"/>
      <c r="Y5886" s="93"/>
      <c r="Z5886" s="134"/>
      <c r="AA5886" s="93"/>
      <c r="AB5886" s="93">
        <f t="shared" si="3853"/>
        <v>0</v>
      </c>
      <c r="AC5886" s="93">
        <f t="shared" si="3854"/>
        <v>9.9999999999999998E-20</v>
      </c>
      <c r="AD5886" s="94"/>
      <c r="AE5886" s="190"/>
      <c r="AF5886" s="191"/>
      <c r="AG5886" s="191"/>
      <c r="AH5886" s="191"/>
      <c r="AI5886" s="186"/>
      <c r="AK5886" s="171"/>
    </row>
    <row r="5887" spans="1:37" s="102" customFormat="1" ht="20.100000000000001" customHeight="1" x14ac:dyDescent="0.25">
      <c r="A5887" s="45" t="s">
        <v>491</v>
      </c>
      <c r="B5887" s="276"/>
      <c r="C5887" s="285" t="s">
        <v>623</v>
      </c>
      <c r="D5887" s="59"/>
      <c r="E5887" s="116"/>
      <c r="F5887" s="120"/>
      <c r="G5887" s="120">
        <f t="shared" si="3841"/>
        <v>0</v>
      </c>
      <c r="H5887" s="120">
        <f t="shared" si="3842"/>
        <v>0</v>
      </c>
      <c r="I5887" s="60">
        <f t="shared" si="3843"/>
        <v>0</v>
      </c>
      <c r="J5887" s="116">
        <f t="shared" si="3844"/>
        <v>0</v>
      </c>
      <c r="K5887" s="213">
        <f t="shared" si="3845"/>
        <v>0</v>
      </c>
      <c r="L5887" s="120"/>
      <c r="M5887" s="120">
        <f t="shared" si="3846"/>
        <v>0</v>
      </c>
      <c r="N5887" s="167">
        <f t="shared" si="3847"/>
        <v>0</v>
      </c>
      <c r="O5887" s="120">
        <f t="shared" si="3848"/>
        <v>0</v>
      </c>
      <c r="P5887" s="120">
        <f t="shared" si="3849"/>
        <v>0</v>
      </c>
      <c r="Q5887" s="120">
        <f t="shared" si="3850"/>
        <v>0</v>
      </c>
      <c r="R5887" s="120">
        <f t="shared" si="3851"/>
        <v>0</v>
      </c>
      <c r="S5887" s="120"/>
      <c r="T5887" s="221">
        <f t="shared" si="3852"/>
        <v>0</v>
      </c>
      <c r="U5887" s="89"/>
      <c r="V5887" s="61"/>
      <c r="W5887" s="92"/>
      <c r="X5887" s="38"/>
      <c r="Y5887" s="93"/>
      <c r="Z5887" s="134"/>
      <c r="AA5887" s="93"/>
      <c r="AB5887" s="93">
        <f t="shared" si="3853"/>
        <v>0</v>
      </c>
      <c r="AC5887" s="93">
        <f t="shared" si="3854"/>
        <v>9.9999999999999998E-20</v>
      </c>
      <c r="AD5887" s="94"/>
      <c r="AE5887" s="190"/>
      <c r="AF5887" s="191"/>
      <c r="AG5887" s="191"/>
      <c r="AH5887" s="191"/>
      <c r="AI5887" s="186"/>
      <c r="AK5887" s="171"/>
    </row>
    <row r="5888" spans="1:37" ht="20.100000000000001" customHeight="1" x14ac:dyDescent="0.25">
      <c r="A5888" s="277" t="s">
        <v>491</v>
      </c>
      <c r="B5888" s="278"/>
      <c r="C5888" s="64" t="s">
        <v>599</v>
      </c>
      <c r="D5888" s="46" t="s">
        <v>215</v>
      </c>
      <c r="E5888" s="114"/>
      <c r="F5888" s="44"/>
      <c r="G5888" s="44">
        <f t="shared" si="3841"/>
        <v>0</v>
      </c>
      <c r="H5888" s="44">
        <f t="shared" si="3842"/>
        <v>0</v>
      </c>
      <c r="I5888" s="43">
        <f t="shared" si="3843"/>
        <v>0</v>
      </c>
      <c r="J5888" s="112">
        <f t="shared" si="3844"/>
        <v>0</v>
      </c>
      <c r="K5888" s="211">
        <f t="shared" si="3845"/>
        <v>0</v>
      </c>
      <c r="L5888" s="44"/>
      <c r="M5888" s="44">
        <f t="shared" si="3846"/>
        <v>0</v>
      </c>
      <c r="N5888" s="173">
        <f t="shared" si="3847"/>
        <v>0</v>
      </c>
      <c r="O5888" s="44">
        <f t="shared" si="3848"/>
        <v>0</v>
      </c>
      <c r="P5888" s="44">
        <f t="shared" si="3849"/>
        <v>0</v>
      </c>
      <c r="Q5888" s="44">
        <f t="shared" si="3850"/>
        <v>0</v>
      </c>
      <c r="R5888" s="44">
        <f t="shared" si="3851"/>
        <v>0</v>
      </c>
      <c r="S5888" s="123"/>
      <c r="T5888" s="219">
        <f t="shared" si="3852"/>
        <v>0</v>
      </c>
      <c r="U5888" s="87"/>
      <c r="V5888" s="47"/>
      <c r="W5888" s="48"/>
      <c r="X5888" s="48"/>
      <c r="Y5888" s="48"/>
      <c r="Z5888" s="135"/>
      <c r="AA5888" s="49"/>
      <c r="AB5888" s="50">
        <f t="shared" si="3853"/>
        <v>0</v>
      </c>
      <c r="AC5888" s="42">
        <f t="shared" si="3854"/>
        <v>9.9999999999999998E-20</v>
      </c>
      <c r="AD5888" s="90"/>
      <c r="AE5888" s="188"/>
      <c r="AF5888" s="189"/>
      <c r="AG5888" s="189"/>
      <c r="AH5888" s="189"/>
      <c r="AI5888" s="161"/>
    </row>
    <row r="5889" spans="1:41" ht="20.100000000000001" customHeight="1" x14ac:dyDescent="0.25">
      <c r="A5889" s="277" t="s">
        <v>491</v>
      </c>
      <c r="B5889" s="278"/>
      <c r="C5889" s="64" t="s">
        <v>624</v>
      </c>
      <c r="D5889" s="46" t="s">
        <v>215</v>
      </c>
      <c r="E5889" s="114">
        <v>0.23999999999999977</v>
      </c>
      <c r="F5889" s="44">
        <v>83585</v>
      </c>
      <c r="G5889" s="44">
        <f t="shared" si="3841"/>
        <v>20060.39999999998</v>
      </c>
      <c r="H5889" s="44">
        <f t="shared" si="3842"/>
        <v>27935.761595294112</v>
      </c>
      <c r="I5889" s="43">
        <f t="shared" si="3843"/>
        <v>6704.5827828705806</v>
      </c>
      <c r="J5889" s="112">
        <f t="shared" si="3844"/>
        <v>0.23999999999999977</v>
      </c>
      <c r="K5889" s="211">
        <f t="shared" si="3845"/>
        <v>0.23999999999999977</v>
      </c>
      <c r="L5889" s="44"/>
      <c r="M5889" s="44">
        <f t="shared" si="3846"/>
        <v>0.23999999999999977</v>
      </c>
      <c r="N5889" s="173">
        <f t="shared" si="3847"/>
        <v>1</v>
      </c>
      <c r="O5889" s="44">
        <f t="shared" si="3848"/>
        <v>83585</v>
      </c>
      <c r="P5889" s="44">
        <f t="shared" si="3849"/>
        <v>20060.39999999998</v>
      </c>
      <c r="Q5889" s="44">
        <f t="shared" si="3850"/>
        <v>27935.761595294112</v>
      </c>
      <c r="R5889" s="44">
        <f t="shared" si="3851"/>
        <v>6704.5827828705806</v>
      </c>
      <c r="S5889" s="123"/>
      <c r="T5889" s="219">
        <f t="shared" si="3852"/>
        <v>6704.5827828705806</v>
      </c>
      <c r="U5889" s="87"/>
      <c r="V5889" s="47"/>
      <c r="W5889" s="48"/>
      <c r="X5889" s="48"/>
      <c r="Y5889" s="48"/>
      <c r="Z5889" s="135"/>
      <c r="AA5889" s="49"/>
      <c r="AB5889" s="50">
        <f t="shared" si="3853"/>
        <v>27935.761595294112</v>
      </c>
      <c r="AC5889" s="42">
        <f t="shared" si="3854"/>
        <v>0.23999999999999977</v>
      </c>
      <c r="AD5889" s="90">
        <f>AD5890+AD5895+AD5902+AD5910</f>
        <v>6704.5827828705806</v>
      </c>
      <c r="AE5889" s="188">
        <f t="shared" ref="AE5889:AH5889" si="4103">AE5890+AE5895+AE5902+AE5910</f>
        <v>0</v>
      </c>
      <c r="AF5889" s="189">
        <f t="shared" si="4103"/>
        <v>0</v>
      </c>
      <c r="AG5889" s="189">
        <f t="shared" si="4103"/>
        <v>0</v>
      </c>
      <c r="AH5889" s="189">
        <f t="shared" si="4103"/>
        <v>0</v>
      </c>
      <c r="AI5889" s="161">
        <f t="shared" ref="AI5889" si="4104">SUM(AE5889:AH5889)</f>
        <v>0</v>
      </c>
      <c r="AK5889" s="169">
        <v>5</v>
      </c>
      <c r="AO5889" s="19" t="s">
        <v>63</v>
      </c>
    </row>
    <row r="5890" spans="1:41" s="103" customFormat="1" ht="19.899999999999999" customHeight="1" x14ac:dyDescent="0.25">
      <c r="A5890" s="51"/>
      <c r="B5890" s="52"/>
      <c r="C5890" s="165"/>
      <c r="D5890" s="52"/>
      <c r="E5890" s="115"/>
      <c r="F5890" s="58"/>
      <c r="G5890" s="58"/>
      <c r="H5890" s="58"/>
      <c r="I5890" s="55"/>
      <c r="J5890" s="113">
        <f>J5889</f>
        <v>0.23999999999999977</v>
      </c>
      <c r="K5890" s="212">
        <f>K5889</f>
        <v>0.23999999999999977</v>
      </c>
      <c r="L5890" s="58"/>
      <c r="M5890" s="58">
        <f>K5890-L5890</f>
        <v>0.23999999999999977</v>
      </c>
      <c r="N5890" s="166"/>
      <c r="O5890" s="58"/>
      <c r="P5890" s="58"/>
      <c r="Q5890" s="58"/>
      <c r="R5890" s="58"/>
      <c r="S5890" s="58"/>
      <c r="T5890" s="220"/>
      <c r="U5890" s="88"/>
      <c r="V5890" s="56"/>
      <c r="W5890" s="57" t="s">
        <v>1568</v>
      </c>
      <c r="X5890" s="53"/>
      <c r="Y5890" s="91" t="s">
        <v>35</v>
      </c>
      <c r="Z5890" s="136">
        <f>AD5890/AC5890</f>
        <v>551.34298352941164</v>
      </c>
      <c r="AA5890" s="58"/>
      <c r="AB5890" s="53">
        <f>AD5890/AC5890</f>
        <v>551.34298352941164</v>
      </c>
      <c r="AC5890" s="53">
        <f>M5890+$AE$10</f>
        <v>0.23999999999999977</v>
      </c>
      <c r="AD5890" s="54">
        <f>SUM(AD5891:AD5894)</f>
        <v>132.32231604705868</v>
      </c>
      <c r="AE5890" s="184">
        <f>SUMIFS($AD$37:$AD$12971,$V$37:$V$12971,$V5890,$X$37:$X$12971,AE$13)</f>
        <v>0</v>
      </c>
      <c r="AF5890" s="185">
        <f>SUMIFS($AD$37:$AD$12971,$V$37:$V$12971,$V5890,$X$37:$X$12971,AF$13)</f>
        <v>0</v>
      </c>
      <c r="AG5890" s="185">
        <f>SUMIFS($AD$37:$AD$12971,$V$37:$V$12971,$V5890,$X$37:$X$12971,AG$13)</f>
        <v>0</v>
      </c>
      <c r="AH5890" s="187">
        <f>SUMIFS($AD$37:$AD$12971,$V$37:$V$12971,$V5890,$X$37:$X$12971,AH$13)</f>
        <v>0</v>
      </c>
      <c r="AI5890" s="161">
        <f t="shared" ref="AI5890" si="4105">SUM(AE5890:AH5890)</f>
        <v>0</v>
      </c>
      <c r="AK5890" s="172"/>
    </row>
    <row r="5891" spans="1:41" s="102" customFormat="1" ht="19.899999999999999" customHeight="1" x14ac:dyDescent="0.25">
      <c r="A5891" s="45"/>
      <c r="B5891" s="59"/>
      <c r="C5891" s="137"/>
      <c r="D5891" s="59"/>
      <c r="E5891" s="116"/>
      <c r="F5891" s="120"/>
      <c r="G5891" s="120"/>
      <c r="H5891" s="120"/>
      <c r="I5891" s="60"/>
      <c r="J5891" s="116"/>
      <c r="K5891" s="213"/>
      <c r="L5891" s="120"/>
      <c r="M5891" s="120"/>
      <c r="N5891" s="167"/>
      <c r="O5891" s="120"/>
      <c r="P5891" s="120"/>
      <c r="Q5891" s="120"/>
      <c r="R5891" s="120"/>
      <c r="S5891" s="120"/>
      <c r="T5891" s="221"/>
      <c r="U5891" s="89"/>
      <c r="V5891" s="61"/>
      <c r="W5891" s="92" t="s">
        <v>131</v>
      </c>
      <c r="X5891" s="93" t="s">
        <v>29</v>
      </c>
      <c r="Y5891" s="93" t="s">
        <v>93</v>
      </c>
      <c r="Z5891" s="134">
        <f>VLOOKUP(W5891,Sheet2!$B:$D,3,FALSE)</f>
        <v>131.19999999999999</v>
      </c>
      <c r="AA5891" s="93">
        <f>100/(3.8*3.8*7.5)</f>
        <v>0.92336103416435833</v>
      </c>
      <c r="AB5891" s="93">
        <f t="shared" ref="AB5891" si="4106">AD5891/AC5890</f>
        <v>142.08959999999996</v>
      </c>
      <c r="AC5891" s="93">
        <f>AC5890/AA5891</f>
        <v>0.25991999999999971</v>
      </c>
      <c r="AD5891" s="94">
        <f t="shared" ref="AD5891:AD5892" si="4107">AC5891*Z5891</f>
        <v>34.101503999999956</v>
      </c>
      <c r="AE5891" s="190"/>
      <c r="AF5891" s="191"/>
      <c r="AG5891" s="191"/>
      <c r="AH5891" s="191"/>
      <c r="AI5891" s="186"/>
      <c r="AK5891" s="171"/>
    </row>
    <row r="5892" spans="1:41" s="102" customFormat="1" ht="19.899999999999999" customHeight="1" x14ac:dyDescent="0.25">
      <c r="A5892" s="45"/>
      <c r="B5892" s="59"/>
      <c r="C5892" s="137"/>
      <c r="D5892" s="59"/>
      <c r="E5892" s="116"/>
      <c r="F5892" s="120"/>
      <c r="G5892" s="120"/>
      <c r="H5892" s="120"/>
      <c r="I5892" s="60"/>
      <c r="J5892" s="116"/>
      <c r="K5892" s="213"/>
      <c r="L5892" s="120"/>
      <c r="M5892" s="120"/>
      <c r="N5892" s="167"/>
      <c r="O5892" s="120"/>
      <c r="P5892" s="120"/>
      <c r="Q5892" s="120"/>
      <c r="R5892" s="120"/>
      <c r="S5892" s="120"/>
      <c r="T5892" s="221"/>
      <c r="U5892" s="89"/>
      <c r="V5892" s="61"/>
      <c r="W5892" s="92" t="s">
        <v>65</v>
      </c>
      <c r="X5892" s="93" t="s">
        <v>30</v>
      </c>
      <c r="Y5892" s="93" t="s">
        <v>1011</v>
      </c>
      <c r="Z5892" s="134">
        <f>VLOOKUP(W5892,Sheet2!$B:$D,3,FALSE)</f>
        <v>1.76</v>
      </c>
      <c r="AA5892" s="93">
        <f>AA5891/32</f>
        <v>2.8855032317636198E-2</v>
      </c>
      <c r="AB5892" s="93">
        <f>AD5892/AC5890</f>
        <v>60.994559999999993</v>
      </c>
      <c r="AC5892" s="93">
        <f>AC5890/AA5892</f>
        <v>8.3174399999999906</v>
      </c>
      <c r="AD5892" s="94">
        <f t="shared" si="4107"/>
        <v>14.638694399999984</v>
      </c>
      <c r="AE5892" s="190"/>
      <c r="AF5892" s="191"/>
      <c r="AG5892" s="191"/>
      <c r="AH5892" s="191"/>
      <c r="AI5892" s="186"/>
      <c r="AK5892" s="171"/>
    </row>
    <row r="5893" spans="1:41" s="102" customFormat="1" ht="19.899999999999999" customHeight="1" x14ac:dyDescent="0.25">
      <c r="A5893" s="45"/>
      <c r="B5893" s="59"/>
      <c r="C5893" s="137"/>
      <c r="D5893" s="59"/>
      <c r="E5893" s="116"/>
      <c r="F5893" s="120"/>
      <c r="G5893" s="120"/>
      <c r="H5893" s="120"/>
      <c r="I5893" s="60"/>
      <c r="J5893" s="116"/>
      <c r="K5893" s="213"/>
      <c r="L5893" s="120"/>
      <c r="M5893" s="120"/>
      <c r="N5893" s="167"/>
      <c r="O5893" s="120"/>
      <c r="P5893" s="120"/>
      <c r="Q5893" s="120"/>
      <c r="R5893" s="120"/>
      <c r="S5893" s="120"/>
      <c r="T5893" s="221"/>
      <c r="U5893" s="89"/>
      <c r="V5893" s="61"/>
      <c r="W5893" s="92" t="s">
        <v>161</v>
      </c>
      <c r="X5893" s="93" t="s">
        <v>29</v>
      </c>
      <c r="Y5893" s="93" t="s">
        <v>93</v>
      </c>
      <c r="Z5893" s="134">
        <f>VLOOKUP(W5893,Sheet2!$B:$D,3,FALSE)</f>
        <v>48</v>
      </c>
      <c r="AA5893" s="93">
        <f>(16*0.85*1.5)/(3.8*3.8*7.5)</f>
        <v>0.18836565096952909</v>
      </c>
      <c r="AB5893" s="93">
        <f>AD5893/AC5890</f>
        <v>254.8235294117647</v>
      </c>
      <c r="AC5893" s="93">
        <f>AC5890/AA5893</f>
        <v>1.2741176470588222</v>
      </c>
      <c r="AD5893" s="94">
        <f>AC5893*Z5893</f>
        <v>61.157647058823471</v>
      </c>
      <c r="AE5893" s="190"/>
      <c r="AF5893" s="191"/>
      <c r="AG5893" s="191"/>
      <c r="AH5893" s="191"/>
      <c r="AI5893" s="186"/>
      <c r="AK5893" s="171"/>
    </row>
    <row r="5894" spans="1:41" s="102" customFormat="1" ht="19.899999999999999" customHeight="1" x14ac:dyDescent="0.25">
      <c r="A5894" s="45"/>
      <c r="B5894" s="59"/>
      <c r="C5894" s="137"/>
      <c r="D5894" s="59"/>
      <c r="E5894" s="116"/>
      <c r="F5894" s="120"/>
      <c r="G5894" s="120"/>
      <c r="H5894" s="120"/>
      <c r="I5894" s="60"/>
      <c r="J5894" s="116"/>
      <c r="K5894" s="213"/>
      <c r="L5894" s="120"/>
      <c r="M5894" s="120"/>
      <c r="N5894" s="167"/>
      <c r="O5894" s="120"/>
      <c r="P5894" s="120"/>
      <c r="Q5894" s="120"/>
      <c r="R5894" s="120"/>
      <c r="S5894" s="120"/>
      <c r="T5894" s="221"/>
      <c r="U5894" s="89"/>
      <c r="V5894" s="61"/>
      <c r="W5894" s="92" t="s">
        <v>65</v>
      </c>
      <c r="X5894" s="93" t="s">
        <v>30</v>
      </c>
      <c r="Y5894" s="93" t="s">
        <v>1011</v>
      </c>
      <c r="Z5894" s="134">
        <f>VLOOKUP(W5894,Sheet2!$B:$D,3,FALSE)</f>
        <v>1.76</v>
      </c>
      <c r="AA5894" s="93">
        <f>AA5893/10</f>
        <v>1.8836565096952911E-2</v>
      </c>
      <c r="AB5894" s="93">
        <f>AD5894/AC5890</f>
        <v>93.435294117647047</v>
      </c>
      <c r="AC5894" s="93">
        <f>AC5890/AA5894</f>
        <v>12.741176470588222</v>
      </c>
      <c r="AD5894" s="94">
        <f>AC5894*Z5894</f>
        <v>22.42447058823527</v>
      </c>
      <c r="AE5894" s="190"/>
      <c r="AF5894" s="191"/>
      <c r="AG5894" s="191"/>
      <c r="AH5894" s="191"/>
      <c r="AI5894" s="186"/>
      <c r="AK5894" s="171"/>
    </row>
    <row r="5895" spans="1:41" s="103" customFormat="1" ht="19.899999999999999" customHeight="1" x14ac:dyDescent="0.25">
      <c r="A5895" s="51"/>
      <c r="B5895" s="52"/>
      <c r="C5895" s="165"/>
      <c r="D5895" s="52"/>
      <c r="E5895" s="115"/>
      <c r="F5895" s="58"/>
      <c r="G5895" s="58"/>
      <c r="H5895" s="58"/>
      <c r="I5895" s="55"/>
      <c r="J5895" s="113">
        <f>J5889</f>
        <v>0.23999999999999977</v>
      </c>
      <c r="K5895" s="212">
        <f>K5889</f>
        <v>0.23999999999999977</v>
      </c>
      <c r="L5895" s="58"/>
      <c r="M5895" s="58">
        <f>K5895-L5895</f>
        <v>0.23999999999999977</v>
      </c>
      <c r="N5895" s="166"/>
      <c r="O5895" s="58"/>
      <c r="P5895" s="58"/>
      <c r="Q5895" s="58"/>
      <c r="R5895" s="58"/>
      <c r="S5895" s="58"/>
      <c r="T5895" s="220"/>
      <c r="U5895" s="88"/>
      <c r="V5895" s="56"/>
      <c r="W5895" s="57" t="s">
        <v>1486</v>
      </c>
      <c r="X5895" s="53"/>
      <c r="Y5895" s="91" t="s">
        <v>35</v>
      </c>
      <c r="Z5895" s="136">
        <f>AD5895/AC5895</f>
        <v>2772.5999999999995</v>
      </c>
      <c r="AA5895" s="58"/>
      <c r="AB5895" s="53">
        <f>AD5895/AC5895</f>
        <v>2772.5999999999995</v>
      </c>
      <c r="AC5895" s="53">
        <f>M5895+$AE$10</f>
        <v>0.23999999999999977</v>
      </c>
      <c r="AD5895" s="54">
        <f>SUM(AD5896:AD5901)</f>
        <v>665.42399999999918</v>
      </c>
      <c r="AE5895" s="184">
        <f>SUMIFS($AD$37:$AD$12971,$V$37:$V$12971,$V5895,$X$37:$X$12971,AE$13)</f>
        <v>0</v>
      </c>
      <c r="AF5895" s="185">
        <f>SUMIFS($AD$37:$AD$12971,$V$37:$V$12971,$V5895,$X$37:$X$12971,AF$13)</f>
        <v>0</v>
      </c>
      <c r="AG5895" s="185">
        <f>SUMIFS($AD$37:$AD$12971,$V$37:$V$12971,$V5895,$X$37:$X$12971,AG$13)</f>
        <v>0</v>
      </c>
      <c r="AH5895" s="187">
        <f>SUMIFS($AD$37:$AD$12971,$V$37:$V$12971,$V5895,$X$37:$X$12971,AH$13)</f>
        <v>0</v>
      </c>
      <c r="AI5895" s="161">
        <f t="shared" ref="AI5895" si="4108">SUM(AE5895:AH5895)</f>
        <v>0</v>
      </c>
      <c r="AK5895" s="172"/>
    </row>
    <row r="5896" spans="1:41" s="102" customFormat="1" ht="19.899999999999999" customHeight="1" x14ac:dyDescent="0.25">
      <c r="A5896" s="45"/>
      <c r="B5896" s="59"/>
      <c r="C5896" s="137"/>
      <c r="D5896" s="59"/>
      <c r="E5896" s="116"/>
      <c r="F5896" s="120"/>
      <c r="G5896" s="120"/>
      <c r="H5896" s="120"/>
      <c r="I5896" s="60"/>
      <c r="J5896" s="116"/>
      <c r="K5896" s="213"/>
      <c r="L5896" s="120"/>
      <c r="M5896" s="120"/>
      <c r="N5896" s="167"/>
      <c r="O5896" s="120"/>
      <c r="P5896" s="120"/>
      <c r="Q5896" s="120"/>
      <c r="R5896" s="120"/>
      <c r="S5896" s="120"/>
      <c r="T5896" s="221"/>
      <c r="U5896" s="89"/>
      <c r="V5896" s="61"/>
      <c r="W5896" s="92" t="s">
        <v>1032</v>
      </c>
      <c r="X5896" s="93" t="s">
        <v>30</v>
      </c>
      <c r="Y5896" s="93" t="s">
        <v>66</v>
      </c>
      <c r="Z5896" s="134">
        <f>VLOOKUP(W5896,Sheet2!$B:$D,3,FALSE)</f>
        <v>250</v>
      </c>
      <c r="AA5896" s="93">
        <f>1/(2.9*2.9*0.1)</f>
        <v>1.1890606420927465</v>
      </c>
      <c r="AB5896" s="93">
        <f>AD5896/AC5902</f>
        <v>210.25000000000006</v>
      </c>
      <c r="AC5896" s="93">
        <f>AC5902/AA5896</f>
        <v>0.20183999999999985</v>
      </c>
      <c r="AD5896" s="94">
        <f t="shared" ref="AD5896:AD5898" si="4109">AC5896*Z5896</f>
        <v>50.459999999999965</v>
      </c>
      <c r="AE5896" s="190"/>
      <c r="AF5896" s="191"/>
      <c r="AG5896" s="191"/>
      <c r="AH5896" s="191"/>
      <c r="AI5896" s="186"/>
      <c r="AK5896" s="171"/>
    </row>
    <row r="5897" spans="1:41" s="102" customFormat="1" ht="19.899999999999999" customHeight="1" x14ac:dyDescent="0.25">
      <c r="A5897" s="45"/>
      <c r="B5897" s="59"/>
      <c r="C5897" s="137"/>
      <c r="D5897" s="59"/>
      <c r="E5897" s="116"/>
      <c r="F5897" s="120"/>
      <c r="G5897" s="120"/>
      <c r="H5897" s="120"/>
      <c r="I5897" s="60"/>
      <c r="J5897" s="116"/>
      <c r="K5897" s="213"/>
      <c r="L5897" s="120"/>
      <c r="M5897" s="120"/>
      <c r="N5897" s="167"/>
      <c r="O5897" s="120"/>
      <c r="P5897" s="120"/>
      <c r="Q5897" s="120"/>
      <c r="R5897" s="120"/>
      <c r="S5897" s="120"/>
      <c r="T5897" s="221"/>
      <c r="U5897" s="89"/>
      <c r="V5897" s="61"/>
      <c r="W5897" s="92" t="s">
        <v>1353</v>
      </c>
      <c r="X5897" s="93" t="s">
        <v>30</v>
      </c>
      <c r="Y5897" s="93" t="s">
        <v>66</v>
      </c>
      <c r="Z5897" s="134">
        <f>VLOOKUP(W5897,Sheet2!$B:$D,3,FALSE)</f>
        <v>350</v>
      </c>
      <c r="AA5897" s="93">
        <f>1/(2.8*2.8*0.3)</f>
        <v>0.42517006802721097</v>
      </c>
      <c r="AB5897" s="93">
        <f>AD5897/AC5902</f>
        <v>823.19999999999982</v>
      </c>
      <c r="AC5897" s="93">
        <f>AC5902/AA5897</f>
        <v>0.56447999999999932</v>
      </c>
      <c r="AD5897" s="94">
        <f t="shared" si="4109"/>
        <v>197.56799999999976</v>
      </c>
      <c r="AE5897" s="190"/>
      <c r="AF5897" s="191"/>
      <c r="AG5897" s="191"/>
      <c r="AH5897" s="191"/>
      <c r="AI5897" s="186"/>
      <c r="AK5897" s="171"/>
    </row>
    <row r="5898" spans="1:41" s="102" customFormat="1" ht="19.899999999999999" customHeight="1" x14ac:dyDescent="0.25">
      <c r="A5898" s="45"/>
      <c r="B5898" s="59"/>
      <c r="C5898" s="137"/>
      <c r="D5898" s="59"/>
      <c r="E5898" s="116"/>
      <c r="F5898" s="120"/>
      <c r="G5898" s="120"/>
      <c r="H5898" s="120"/>
      <c r="I5898" s="60"/>
      <c r="J5898" s="116"/>
      <c r="K5898" s="213"/>
      <c r="L5898" s="120"/>
      <c r="M5898" s="120"/>
      <c r="N5898" s="167"/>
      <c r="O5898" s="120"/>
      <c r="P5898" s="120"/>
      <c r="Q5898" s="120"/>
      <c r="R5898" s="120"/>
      <c r="S5898" s="120"/>
      <c r="T5898" s="221"/>
      <c r="U5898" s="89"/>
      <c r="V5898" s="61"/>
      <c r="W5898" s="92" t="s">
        <v>99</v>
      </c>
      <c r="X5898" s="93" t="s">
        <v>30</v>
      </c>
      <c r="Y5898" s="93" t="s">
        <v>67</v>
      </c>
      <c r="Z5898" s="134">
        <f>VLOOKUP(W5898,Sheet2!$B:$D,3,FALSE)</f>
        <v>2500</v>
      </c>
      <c r="AA5898" s="93">
        <f>AA5897/0.08</f>
        <v>5.3146258503401373</v>
      </c>
      <c r="AB5898" s="93">
        <f>AD5898/AC5902</f>
        <v>470.39999999999986</v>
      </c>
      <c r="AC5898" s="93">
        <f>AC5902/AA5898</f>
        <v>4.5158399999999946E-2</v>
      </c>
      <c r="AD5898" s="94">
        <f t="shared" si="4109"/>
        <v>112.89599999999986</v>
      </c>
      <c r="AE5898" s="190"/>
      <c r="AF5898" s="191"/>
      <c r="AG5898" s="191"/>
      <c r="AH5898" s="191"/>
      <c r="AI5898" s="186"/>
      <c r="AK5898" s="171"/>
    </row>
    <row r="5899" spans="1:41" s="102" customFormat="1" ht="19.899999999999999" customHeight="1" x14ac:dyDescent="0.25">
      <c r="A5899" s="45"/>
      <c r="B5899" s="59"/>
      <c r="C5899" s="137"/>
      <c r="D5899" s="59"/>
      <c r="E5899" s="116"/>
      <c r="F5899" s="120"/>
      <c r="G5899" s="120"/>
      <c r="H5899" s="120"/>
      <c r="I5899" s="60"/>
      <c r="J5899" s="116"/>
      <c r="K5899" s="213"/>
      <c r="L5899" s="120"/>
      <c r="M5899" s="120"/>
      <c r="N5899" s="167"/>
      <c r="O5899" s="120"/>
      <c r="P5899" s="120"/>
      <c r="Q5899" s="120"/>
      <c r="R5899" s="120"/>
      <c r="S5899" s="120"/>
      <c r="T5899" s="221"/>
      <c r="U5899" s="89"/>
      <c r="V5899" s="61"/>
      <c r="W5899" s="92" t="s">
        <v>1354</v>
      </c>
      <c r="X5899" s="93" t="s">
        <v>32</v>
      </c>
      <c r="Y5899" s="93" t="s">
        <v>66</v>
      </c>
      <c r="Z5899" s="134">
        <f>VLOOKUP(W5899,Sheet2!$B:$D,3,FALSE)</f>
        <v>150</v>
      </c>
      <c r="AA5899" s="93">
        <f>AA5896</f>
        <v>1.1890606420927465</v>
      </c>
      <c r="AB5899" s="93">
        <f>AD5899/AC5902</f>
        <v>126.15000000000003</v>
      </c>
      <c r="AC5899" s="93">
        <f>AC5902/AA5899</f>
        <v>0.20183999999999985</v>
      </c>
      <c r="AD5899" s="94">
        <f>AC5899*Z5899</f>
        <v>30.275999999999978</v>
      </c>
      <c r="AE5899" s="190"/>
      <c r="AF5899" s="191"/>
      <c r="AG5899" s="191"/>
      <c r="AH5899" s="191"/>
      <c r="AI5899" s="186"/>
      <c r="AK5899" s="171"/>
    </row>
    <row r="5900" spans="1:41" s="102" customFormat="1" ht="19.899999999999999" customHeight="1" x14ac:dyDescent="0.25">
      <c r="A5900" s="45"/>
      <c r="B5900" s="59"/>
      <c r="C5900" s="137"/>
      <c r="D5900" s="59"/>
      <c r="E5900" s="116"/>
      <c r="F5900" s="120"/>
      <c r="G5900" s="120"/>
      <c r="H5900" s="120"/>
      <c r="I5900" s="60"/>
      <c r="J5900" s="116"/>
      <c r="K5900" s="213"/>
      <c r="L5900" s="120"/>
      <c r="M5900" s="120"/>
      <c r="N5900" s="167"/>
      <c r="O5900" s="120"/>
      <c r="P5900" s="120"/>
      <c r="Q5900" s="120"/>
      <c r="R5900" s="120"/>
      <c r="S5900" s="120"/>
      <c r="T5900" s="221"/>
      <c r="U5900" s="89"/>
      <c r="V5900" s="61"/>
      <c r="W5900" s="92" t="s">
        <v>1355</v>
      </c>
      <c r="X5900" s="93" t="s">
        <v>32</v>
      </c>
      <c r="Y5900" s="93" t="s">
        <v>66</v>
      </c>
      <c r="Z5900" s="134">
        <f>VLOOKUP(W5900,Sheet2!$B:$D,3,FALSE)</f>
        <v>450</v>
      </c>
      <c r="AA5900" s="93">
        <f>AA5897</f>
        <v>0.42517006802721097</v>
      </c>
      <c r="AB5900" s="93">
        <f>AD5900/AC5902</f>
        <v>1058.3999999999996</v>
      </c>
      <c r="AC5900" s="93">
        <f>AC5902/AA5900</f>
        <v>0.56447999999999932</v>
      </c>
      <c r="AD5900" s="94">
        <f>AC5900*Z5900</f>
        <v>254.01599999999968</v>
      </c>
      <c r="AE5900" s="190"/>
      <c r="AF5900" s="191"/>
      <c r="AG5900" s="191"/>
      <c r="AH5900" s="191"/>
      <c r="AI5900" s="186"/>
      <c r="AK5900" s="171"/>
    </row>
    <row r="5901" spans="1:41" s="102" customFormat="1" ht="19.899999999999999" customHeight="1" x14ac:dyDescent="0.25">
      <c r="A5901" s="45"/>
      <c r="B5901" s="59"/>
      <c r="C5901" s="137"/>
      <c r="D5901" s="59"/>
      <c r="E5901" s="116"/>
      <c r="F5901" s="120"/>
      <c r="G5901" s="120"/>
      <c r="H5901" s="120"/>
      <c r="I5901" s="60"/>
      <c r="J5901" s="116"/>
      <c r="K5901" s="213"/>
      <c r="L5901" s="120"/>
      <c r="M5901" s="120"/>
      <c r="N5901" s="167"/>
      <c r="O5901" s="120"/>
      <c r="P5901" s="120"/>
      <c r="Q5901" s="120"/>
      <c r="R5901" s="120"/>
      <c r="S5901" s="120"/>
      <c r="T5901" s="221"/>
      <c r="U5901" s="89"/>
      <c r="V5901" s="61"/>
      <c r="W5901" s="92" t="s">
        <v>124</v>
      </c>
      <c r="X5901" s="93" t="s">
        <v>32</v>
      </c>
      <c r="Y5901" s="93" t="s">
        <v>64</v>
      </c>
      <c r="Z5901" s="134">
        <f>VLOOKUP(W5901,Sheet2!$B:$D,3,FALSE)</f>
        <v>10</v>
      </c>
      <c r="AA5901" s="93">
        <f>1/((3.4*3.4)-(3.14*2*2/4))</f>
        <v>0.11876484560570073</v>
      </c>
      <c r="AB5901" s="93">
        <f t="shared" ref="AB5901" si="4110">AD5901/AC5895</f>
        <v>84.199999999999989</v>
      </c>
      <c r="AC5901" s="93">
        <f>AC5895/AA5901</f>
        <v>2.0207999999999977</v>
      </c>
      <c r="AD5901" s="94">
        <f t="shared" ref="AD5901" si="4111">AC5901*Z5901</f>
        <v>20.207999999999977</v>
      </c>
      <c r="AE5901" s="190"/>
      <c r="AF5901" s="191"/>
      <c r="AG5901" s="191"/>
      <c r="AH5901" s="191"/>
      <c r="AI5901" s="186"/>
      <c r="AK5901" s="171"/>
    </row>
    <row r="5902" spans="1:41" s="103" customFormat="1" ht="19.899999999999999" customHeight="1" x14ac:dyDescent="0.25">
      <c r="A5902" s="51"/>
      <c r="B5902" s="52"/>
      <c r="C5902" s="165"/>
      <c r="D5902" s="52"/>
      <c r="E5902" s="115"/>
      <c r="F5902" s="58"/>
      <c r="G5902" s="58"/>
      <c r="H5902" s="58"/>
      <c r="I5902" s="55"/>
      <c r="J5902" s="113">
        <f>J5889</f>
        <v>0.23999999999999977</v>
      </c>
      <c r="K5902" s="212">
        <f>K5889</f>
        <v>0.23999999999999977</v>
      </c>
      <c r="L5902" s="58"/>
      <c r="M5902" s="58">
        <f>K5902-L5902</f>
        <v>0.23999999999999977</v>
      </c>
      <c r="N5902" s="166"/>
      <c r="O5902" s="58"/>
      <c r="P5902" s="58"/>
      <c r="Q5902" s="58"/>
      <c r="R5902" s="58"/>
      <c r="S5902" s="58"/>
      <c r="T5902" s="220"/>
      <c r="U5902" s="88"/>
      <c r="V5902" s="56"/>
      <c r="W5902" s="57" t="s">
        <v>1275</v>
      </c>
      <c r="X5902" s="53"/>
      <c r="Y5902" s="91" t="s">
        <v>35</v>
      </c>
      <c r="Z5902" s="136">
        <f>AD5902/AC5902</f>
        <v>23122.799999999996</v>
      </c>
      <c r="AA5902" s="58"/>
      <c r="AB5902" s="53">
        <f>AD5902/AC5902</f>
        <v>23122.799999999996</v>
      </c>
      <c r="AC5902" s="53">
        <f>M5902+$AE$10</f>
        <v>0.23999999999999977</v>
      </c>
      <c r="AD5902" s="54">
        <f>SUM(AD5903:AD5909)</f>
        <v>5549.4719999999934</v>
      </c>
      <c r="AE5902" s="184">
        <f>SUMIFS($AD$37:$AD$12971,$V$37:$V$12971,$V5902,$X$37:$X$12971,AE$13)</f>
        <v>0</v>
      </c>
      <c r="AF5902" s="185">
        <f>SUMIFS($AD$37:$AD$12971,$V$37:$V$12971,$V5902,$X$37:$X$12971,AF$13)</f>
        <v>0</v>
      </c>
      <c r="AG5902" s="185">
        <f>SUMIFS($AD$37:$AD$12971,$V$37:$V$12971,$V5902,$X$37:$X$12971,AG$13)</f>
        <v>0</v>
      </c>
      <c r="AH5902" s="187">
        <f>SUMIFS($AD$37:$AD$12971,$V$37:$V$12971,$V5902,$X$37:$X$12971,AH$13)</f>
        <v>0</v>
      </c>
      <c r="AI5902" s="161">
        <f t="shared" ref="AI5902" si="4112">SUM(AE5902:AH5902)</f>
        <v>0</v>
      </c>
      <c r="AK5902" s="172"/>
    </row>
    <row r="5903" spans="1:41" s="102" customFormat="1" ht="19.899999999999999" customHeight="1" x14ac:dyDescent="0.25">
      <c r="A5903" s="45"/>
      <c r="B5903" s="59"/>
      <c r="C5903" s="137"/>
      <c r="D5903" s="59"/>
      <c r="E5903" s="116"/>
      <c r="F5903" s="120"/>
      <c r="G5903" s="120"/>
      <c r="H5903" s="120"/>
      <c r="I5903" s="60"/>
      <c r="J5903" s="116"/>
      <c r="K5903" s="213"/>
      <c r="L5903" s="120"/>
      <c r="M5903" s="120"/>
      <c r="N5903" s="167"/>
      <c r="O5903" s="120"/>
      <c r="P5903" s="120"/>
      <c r="Q5903" s="120"/>
      <c r="R5903" s="120"/>
      <c r="S5903" s="120"/>
      <c r="T5903" s="221"/>
      <c r="U5903" s="89"/>
      <c r="V5903" s="61"/>
      <c r="W5903" s="92" t="s">
        <v>1565</v>
      </c>
      <c r="X5903" s="93" t="s">
        <v>30</v>
      </c>
      <c r="Y5903" s="93" t="s">
        <v>35</v>
      </c>
      <c r="Z5903" s="134">
        <f>VLOOKUP(W5903,Sheet2!$B:$D,3,FALSE)</f>
        <v>17850</v>
      </c>
      <c r="AA5903" s="93">
        <v>1</v>
      </c>
      <c r="AB5903" s="93">
        <f>AD5903/AC5902</f>
        <v>17850</v>
      </c>
      <c r="AC5903" s="93">
        <f>AC5902/AA5903</f>
        <v>0.23999999999999977</v>
      </c>
      <c r="AD5903" s="94">
        <f t="shared" ref="AD5903:AD5905" si="4113">AC5903*Z5903</f>
        <v>4283.9999999999955</v>
      </c>
      <c r="AE5903" s="190"/>
      <c r="AF5903" s="191"/>
      <c r="AG5903" s="191"/>
      <c r="AH5903" s="191"/>
      <c r="AI5903" s="186"/>
      <c r="AK5903" s="171"/>
    </row>
    <row r="5904" spans="1:41" s="102" customFormat="1" ht="19.899999999999999" customHeight="1" x14ac:dyDescent="0.25">
      <c r="A5904" s="45"/>
      <c r="B5904" s="59"/>
      <c r="C5904" s="137"/>
      <c r="D5904" s="59"/>
      <c r="E5904" s="116"/>
      <c r="F5904" s="120"/>
      <c r="G5904" s="120"/>
      <c r="H5904" s="120"/>
      <c r="I5904" s="60"/>
      <c r="J5904" s="116"/>
      <c r="K5904" s="213"/>
      <c r="L5904" s="120"/>
      <c r="M5904" s="120"/>
      <c r="N5904" s="167"/>
      <c r="O5904" s="120"/>
      <c r="P5904" s="120"/>
      <c r="Q5904" s="120"/>
      <c r="R5904" s="120"/>
      <c r="S5904" s="120"/>
      <c r="T5904" s="221"/>
      <c r="U5904" s="89"/>
      <c r="V5904" s="61"/>
      <c r="W5904" s="92" t="s">
        <v>1542</v>
      </c>
      <c r="X5904" s="93" t="s">
        <v>30</v>
      </c>
      <c r="Y5904" s="93" t="s">
        <v>1349</v>
      </c>
      <c r="Z5904" s="134">
        <f>VLOOKUP(W5904,Sheet2!$B:$D,3,FALSE)</f>
        <v>3500</v>
      </c>
      <c r="AA5904" s="93">
        <v>1</v>
      </c>
      <c r="AB5904" s="93">
        <f>AD5904/AC5902</f>
        <v>3500</v>
      </c>
      <c r="AC5904" s="93">
        <f>AC5902/AA5904</f>
        <v>0.23999999999999977</v>
      </c>
      <c r="AD5904" s="94">
        <f t="shared" si="4113"/>
        <v>839.9999999999992</v>
      </c>
      <c r="AE5904" s="190"/>
      <c r="AF5904" s="191"/>
      <c r="AG5904" s="191"/>
      <c r="AH5904" s="191"/>
      <c r="AI5904" s="186"/>
      <c r="AK5904" s="171"/>
    </row>
    <row r="5905" spans="1:41" s="102" customFormat="1" ht="19.899999999999999" customHeight="1" x14ac:dyDescent="0.25">
      <c r="A5905" s="45"/>
      <c r="B5905" s="59"/>
      <c r="C5905" s="137"/>
      <c r="D5905" s="59"/>
      <c r="E5905" s="116"/>
      <c r="F5905" s="120"/>
      <c r="G5905" s="120"/>
      <c r="H5905" s="120"/>
      <c r="I5905" s="60"/>
      <c r="J5905" s="116"/>
      <c r="K5905" s="213"/>
      <c r="L5905" s="120"/>
      <c r="M5905" s="120"/>
      <c r="N5905" s="167"/>
      <c r="O5905" s="120"/>
      <c r="P5905" s="120"/>
      <c r="Q5905" s="120"/>
      <c r="R5905" s="120"/>
      <c r="S5905" s="120"/>
      <c r="T5905" s="221"/>
      <c r="U5905" s="89"/>
      <c r="V5905" s="61"/>
      <c r="W5905" s="92" t="s">
        <v>174</v>
      </c>
      <c r="X5905" s="93" t="s">
        <v>29</v>
      </c>
      <c r="Y5905" s="93" t="s">
        <v>93</v>
      </c>
      <c r="Z5905" s="134">
        <f>VLOOKUP(W5905,Sheet2!$B:$D,3,FALSE)</f>
        <v>80</v>
      </c>
      <c r="AA5905" s="93">
        <f>1/2</f>
        <v>0.5</v>
      </c>
      <c r="AB5905" s="93">
        <f>AD5905/AC5902</f>
        <v>160</v>
      </c>
      <c r="AC5905" s="93">
        <f>AC5902/AA5905</f>
        <v>0.47999999999999954</v>
      </c>
      <c r="AD5905" s="94">
        <f t="shared" si="4113"/>
        <v>38.399999999999963</v>
      </c>
      <c r="AE5905" s="190"/>
      <c r="AF5905" s="191"/>
      <c r="AG5905" s="191"/>
      <c r="AH5905" s="191"/>
      <c r="AI5905" s="186"/>
      <c r="AK5905" s="171"/>
    </row>
    <row r="5906" spans="1:41" s="102" customFormat="1" ht="19.899999999999999" customHeight="1" x14ac:dyDescent="0.25">
      <c r="A5906" s="45"/>
      <c r="B5906" s="59"/>
      <c r="C5906" s="137"/>
      <c r="D5906" s="59"/>
      <c r="E5906" s="116"/>
      <c r="F5906" s="120"/>
      <c r="G5906" s="120"/>
      <c r="H5906" s="120"/>
      <c r="I5906" s="60"/>
      <c r="J5906" s="116"/>
      <c r="K5906" s="213"/>
      <c r="L5906" s="120"/>
      <c r="M5906" s="120"/>
      <c r="N5906" s="167"/>
      <c r="O5906" s="120"/>
      <c r="P5906" s="120"/>
      <c r="Q5906" s="120"/>
      <c r="R5906" s="120"/>
      <c r="S5906" s="120"/>
      <c r="T5906" s="221"/>
      <c r="U5906" s="89"/>
      <c r="V5906" s="61"/>
      <c r="W5906" s="92" t="s">
        <v>65</v>
      </c>
      <c r="X5906" s="93" t="s">
        <v>30</v>
      </c>
      <c r="Y5906" s="93" t="s">
        <v>93</v>
      </c>
      <c r="Z5906" s="134">
        <f>VLOOKUP(W5906,Sheet2!$B:$D,3,FALSE)</f>
        <v>1.76</v>
      </c>
      <c r="AA5906" s="93">
        <f>AA5905/15</f>
        <v>3.3333333333333333E-2</v>
      </c>
      <c r="AB5906" s="93">
        <f>AD5906/AC5902</f>
        <v>52.800000000000004</v>
      </c>
      <c r="AC5906" s="93">
        <f>AC5902/AA5906</f>
        <v>7.1999999999999931</v>
      </c>
      <c r="AD5906" s="94">
        <f>AC5906*Z5906</f>
        <v>12.671999999999988</v>
      </c>
      <c r="AE5906" s="190"/>
      <c r="AF5906" s="191"/>
      <c r="AG5906" s="191"/>
      <c r="AH5906" s="191"/>
      <c r="AI5906" s="186"/>
      <c r="AK5906" s="171"/>
    </row>
    <row r="5907" spans="1:41" s="102" customFormat="1" ht="19.899999999999999" customHeight="1" x14ac:dyDescent="0.25">
      <c r="A5907" s="45"/>
      <c r="B5907" s="59"/>
      <c r="C5907" s="137"/>
      <c r="D5907" s="59"/>
      <c r="E5907" s="116"/>
      <c r="F5907" s="120"/>
      <c r="G5907" s="120"/>
      <c r="H5907" s="120"/>
      <c r="I5907" s="60"/>
      <c r="J5907" s="116"/>
      <c r="K5907" s="213"/>
      <c r="L5907" s="120"/>
      <c r="M5907" s="120"/>
      <c r="N5907" s="167"/>
      <c r="O5907" s="120"/>
      <c r="P5907" s="120"/>
      <c r="Q5907" s="120"/>
      <c r="R5907" s="120"/>
      <c r="S5907" s="120"/>
      <c r="T5907" s="221"/>
      <c r="U5907" s="89"/>
      <c r="V5907" s="61"/>
      <c r="W5907" s="92" t="s">
        <v>1487</v>
      </c>
      <c r="X5907" s="93" t="s">
        <v>32</v>
      </c>
      <c r="Y5907" s="93" t="s">
        <v>1349</v>
      </c>
      <c r="Z5907" s="134">
        <f>VLOOKUP(W5907,Sheet2!$B:$D,3,FALSE)</f>
        <v>1500</v>
      </c>
      <c r="AA5907" s="93">
        <v>1</v>
      </c>
      <c r="AB5907" s="93">
        <f>AD5907/AC5902</f>
        <v>1500</v>
      </c>
      <c r="AC5907" s="93">
        <f>AC5902/AA5907</f>
        <v>0.23999999999999977</v>
      </c>
      <c r="AD5907" s="94">
        <f>AC5907*Z5907</f>
        <v>359.99999999999966</v>
      </c>
      <c r="AE5907" s="190"/>
      <c r="AF5907" s="191"/>
      <c r="AG5907" s="191"/>
      <c r="AH5907" s="191"/>
      <c r="AI5907" s="186"/>
      <c r="AK5907" s="171"/>
    </row>
    <row r="5908" spans="1:41" s="102" customFormat="1" ht="19.899999999999999" customHeight="1" x14ac:dyDescent="0.25">
      <c r="A5908" s="45"/>
      <c r="B5908" s="59"/>
      <c r="C5908" s="137"/>
      <c r="D5908" s="59"/>
      <c r="E5908" s="116"/>
      <c r="F5908" s="120"/>
      <c r="G5908" s="120"/>
      <c r="H5908" s="120"/>
      <c r="I5908" s="60"/>
      <c r="J5908" s="116"/>
      <c r="K5908" s="213"/>
      <c r="L5908" s="120"/>
      <c r="M5908" s="120"/>
      <c r="N5908" s="167"/>
      <c r="O5908" s="120"/>
      <c r="P5908" s="120"/>
      <c r="Q5908" s="120"/>
      <c r="R5908" s="120"/>
      <c r="S5908" s="120"/>
      <c r="T5908" s="221"/>
      <c r="U5908" s="89"/>
      <c r="V5908" s="61"/>
      <c r="W5908" s="92" t="s">
        <v>107</v>
      </c>
      <c r="X5908" s="93" t="s">
        <v>31</v>
      </c>
      <c r="Y5908" s="93" t="s">
        <v>93</v>
      </c>
      <c r="Z5908" s="134">
        <f>VLOOKUP(W5908,Sheet2!$B:$D,3,FALSE)</f>
        <v>17</v>
      </c>
      <c r="AA5908" s="93">
        <f>AA5905</f>
        <v>0.5</v>
      </c>
      <c r="AB5908" s="93">
        <f>AD5908/AC5902</f>
        <v>34.000000000000007</v>
      </c>
      <c r="AC5908" s="93">
        <f>AC5902/AA5908</f>
        <v>0.47999999999999954</v>
      </c>
      <c r="AD5908" s="94">
        <f>AC5908*Z5908</f>
        <v>8.159999999999993</v>
      </c>
      <c r="AE5908" s="190"/>
      <c r="AF5908" s="191"/>
      <c r="AG5908" s="191"/>
      <c r="AH5908" s="191"/>
      <c r="AI5908" s="186"/>
      <c r="AK5908" s="171"/>
    </row>
    <row r="5909" spans="1:41" s="102" customFormat="1" ht="19.899999999999999" customHeight="1" x14ac:dyDescent="0.25">
      <c r="A5909" s="45"/>
      <c r="B5909" s="59"/>
      <c r="C5909" s="137"/>
      <c r="D5909" s="59"/>
      <c r="E5909" s="116"/>
      <c r="F5909" s="120"/>
      <c r="G5909" s="120"/>
      <c r="H5909" s="120"/>
      <c r="I5909" s="60"/>
      <c r="J5909" s="116"/>
      <c r="K5909" s="213"/>
      <c r="L5909" s="120"/>
      <c r="M5909" s="120"/>
      <c r="N5909" s="167"/>
      <c r="O5909" s="120"/>
      <c r="P5909" s="120"/>
      <c r="Q5909" s="120"/>
      <c r="R5909" s="120"/>
      <c r="S5909" s="120"/>
      <c r="T5909" s="221"/>
      <c r="U5909" s="89"/>
      <c r="V5909" s="61"/>
      <c r="W5909" s="92" t="s">
        <v>112</v>
      </c>
      <c r="X5909" s="93" t="s">
        <v>31</v>
      </c>
      <c r="Y5909" s="93" t="s">
        <v>93</v>
      </c>
      <c r="Z5909" s="134">
        <f>VLOOKUP(W5909,Sheet2!$B:$D,3,FALSE)</f>
        <v>13</v>
      </c>
      <c r="AA5909" s="93">
        <f>AA5908</f>
        <v>0.5</v>
      </c>
      <c r="AB5909" s="93">
        <f>AD5909/AC5902</f>
        <v>26</v>
      </c>
      <c r="AC5909" s="93">
        <f>AC5902/AA5909</f>
        <v>0.47999999999999954</v>
      </c>
      <c r="AD5909" s="94">
        <f>AC5909*Z5909</f>
        <v>6.239999999999994</v>
      </c>
      <c r="AE5909" s="190"/>
      <c r="AF5909" s="191"/>
      <c r="AG5909" s="191"/>
      <c r="AH5909" s="191"/>
      <c r="AI5909" s="186"/>
      <c r="AK5909" s="171"/>
    </row>
    <row r="5910" spans="1:41" s="103" customFormat="1" ht="19.899999999999999" customHeight="1" x14ac:dyDescent="0.25">
      <c r="A5910" s="51"/>
      <c r="B5910" s="52"/>
      <c r="C5910" s="165"/>
      <c r="D5910" s="52"/>
      <c r="E5910" s="115"/>
      <c r="F5910" s="58"/>
      <c r="G5910" s="58"/>
      <c r="H5910" s="58"/>
      <c r="I5910" s="55"/>
      <c r="J5910" s="113">
        <f>J5889</f>
        <v>0.23999999999999977</v>
      </c>
      <c r="K5910" s="212">
        <f>K5889</f>
        <v>0.23999999999999977</v>
      </c>
      <c r="L5910" s="58"/>
      <c r="M5910" s="58">
        <f>K5910-L5910</f>
        <v>0.23999999999999977</v>
      </c>
      <c r="N5910" s="166"/>
      <c r="O5910" s="58"/>
      <c r="P5910" s="58"/>
      <c r="Q5910" s="58"/>
      <c r="R5910" s="58"/>
      <c r="S5910" s="58"/>
      <c r="T5910" s="220"/>
      <c r="U5910" s="88"/>
      <c r="V5910" s="56"/>
      <c r="W5910" s="57" t="s">
        <v>1272</v>
      </c>
      <c r="X5910" s="53"/>
      <c r="Y5910" s="91" t="s">
        <v>35</v>
      </c>
      <c r="Z5910" s="136">
        <f>AD5910/AC5910</f>
        <v>1489.0186117647056</v>
      </c>
      <c r="AA5910" s="58"/>
      <c r="AB5910" s="53">
        <f>AD5910/AC5910</f>
        <v>1489.0186117647056</v>
      </c>
      <c r="AC5910" s="53">
        <f>M5910+$AE$10</f>
        <v>0.23999999999999977</v>
      </c>
      <c r="AD5910" s="54">
        <f>SUM(AD5911:AD5919)</f>
        <v>357.36446682352903</v>
      </c>
      <c r="AE5910" s="184">
        <f>SUMIFS($AD$37:$AD$12971,$V$37:$V$12971,$V5910,$X$37:$X$12971,AE$13)</f>
        <v>0</v>
      </c>
      <c r="AF5910" s="185">
        <f>SUMIFS($AD$37:$AD$12971,$V$37:$V$12971,$V5910,$X$37:$X$12971,AF$13)</f>
        <v>0</v>
      </c>
      <c r="AG5910" s="185">
        <f>SUMIFS($AD$37:$AD$12971,$V$37:$V$12971,$V5910,$X$37:$X$12971,AG$13)</f>
        <v>0</v>
      </c>
      <c r="AH5910" s="187">
        <f>SUMIFS($AD$37:$AD$12971,$V$37:$V$12971,$V5910,$X$37:$X$12971,AH$13)</f>
        <v>0</v>
      </c>
      <c r="AI5910" s="161">
        <f t="shared" ref="AI5910" si="4114">SUM(AE5910:AH5910)</f>
        <v>0</v>
      </c>
      <c r="AK5910" s="172"/>
    </row>
    <row r="5911" spans="1:41" s="102" customFormat="1" ht="19.899999999999999" customHeight="1" x14ac:dyDescent="0.25">
      <c r="A5911" s="45"/>
      <c r="B5911" s="59"/>
      <c r="C5911" s="137"/>
      <c r="D5911" s="59"/>
      <c r="E5911" s="116"/>
      <c r="F5911" s="120"/>
      <c r="G5911" s="120"/>
      <c r="H5911" s="120"/>
      <c r="I5911" s="60"/>
      <c r="J5911" s="116"/>
      <c r="K5911" s="213"/>
      <c r="L5911" s="120"/>
      <c r="M5911" s="120"/>
      <c r="N5911" s="167"/>
      <c r="O5911" s="120"/>
      <c r="P5911" s="120"/>
      <c r="Q5911" s="120"/>
      <c r="R5911" s="120"/>
      <c r="S5911" s="120"/>
      <c r="T5911" s="221"/>
      <c r="U5911" s="89"/>
      <c r="V5911" s="61"/>
      <c r="W5911" s="92" t="s">
        <v>1273</v>
      </c>
      <c r="X5911" s="93" t="s">
        <v>30</v>
      </c>
      <c r="Y5911" s="93" t="s">
        <v>66</v>
      </c>
      <c r="Z5911" s="134">
        <f>VLOOKUP(W5911,Sheet2!$B:$D,3,FALSE)</f>
        <v>10</v>
      </c>
      <c r="AA5911" s="93">
        <f>1/((3.8*3.8*7.5)-(3.14/4*2*2*7.5))</f>
        <v>1.1799410029498525E-2</v>
      </c>
      <c r="AB5911" s="93">
        <f>AD5911/AC5910</f>
        <v>847.5</v>
      </c>
      <c r="AC5911" s="93">
        <f>AC5910/AA5911</f>
        <v>20.339999999999982</v>
      </c>
      <c r="AD5911" s="94">
        <f t="shared" ref="AD5911:AD5913" si="4115">AC5911*Z5911</f>
        <v>203.39999999999981</v>
      </c>
      <c r="AE5911" s="190"/>
      <c r="AF5911" s="191"/>
      <c r="AG5911" s="191"/>
      <c r="AH5911" s="191"/>
      <c r="AI5911" s="186"/>
      <c r="AK5911" s="171"/>
    </row>
    <row r="5912" spans="1:41" s="102" customFormat="1" ht="19.899999999999999" customHeight="1" x14ac:dyDescent="0.25">
      <c r="A5912" s="45"/>
      <c r="B5912" s="59"/>
      <c r="C5912" s="137"/>
      <c r="D5912" s="59"/>
      <c r="E5912" s="116"/>
      <c r="F5912" s="120"/>
      <c r="G5912" s="120"/>
      <c r="H5912" s="120"/>
      <c r="I5912" s="60"/>
      <c r="J5912" s="116"/>
      <c r="K5912" s="213"/>
      <c r="L5912" s="120"/>
      <c r="M5912" s="120"/>
      <c r="N5912" s="167"/>
      <c r="O5912" s="120"/>
      <c r="P5912" s="120"/>
      <c r="Q5912" s="120"/>
      <c r="R5912" s="120"/>
      <c r="S5912" s="120"/>
      <c r="T5912" s="221"/>
      <c r="U5912" s="89"/>
      <c r="V5912" s="61"/>
      <c r="W5912" s="92" t="s">
        <v>134</v>
      </c>
      <c r="X5912" s="93" t="s">
        <v>29</v>
      </c>
      <c r="Y5912" s="93" t="s">
        <v>93</v>
      </c>
      <c r="Z5912" s="134">
        <f>VLOOKUP(W5912,Sheet2!$B:$D,3,FALSE)</f>
        <v>65.599999999999994</v>
      </c>
      <c r="AA5912" s="93">
        <f>100/((3.8*3.8*7.5)-(3.14/4*2*2*7.5))</f>
        <v>1.1799410029498525</v>
      </c>
      <c r="AB5912" s="93">
        <f t="shared" ref="AB5912" si="4116">AD5912/AC5910</f>
        <v>55.595999999999997</v>
      </c>
      <c r="AC5912" s="93">
        <f>AC5910/AA5912</f>
        <v>0.2033999999999998</v>
      </c>
      <c r="AD5912" s="94">
        <f t="shared" si="4115"/>
        <v>13.343039999999986</v>
      </c>
      <c r="AE5912" s="190"/>
      <c r="AF5912" s="191"/>
      <c r="AG5912" s="191"/>
      <c r="AH5912" s="191"/>
      <c r="AI5912" s="186"/>
      <c r="AK5912" s="171"/>
    </row>
    <row r="5913" spans="1:41" s="102" customFormat="1" ht="19.899999999999999" customHeight="1" x14ac:dyDescent="0.25">
      <c r="A5913" s="45"/>
      <c r="B5913" s="59"/>
      <c r="C5913" s="137"/>
      <c r="D5913" s="59"/>
      <c r="E5913" s="116"/>
      <c r="F5913" s="120"/>
      <c r="G5913" s="120"/>
      <c r="H5913" s="120"/>
      <c r="I5913" s="60"/>
      <c r="J5913" s="116"/>
      <c r="K5913" s="213"/>
      <c r="L5913" s="120"/>
      <c r="M5913" s="120"/>
      <c r="N5913" s="167"/>
      <c r="O5913" s="120"/>
      <c r="P5913" s="120"/>
      <c r="Q5913" s="120"/>
      <c r="R5913" s="120"/>
      <c r="S5913" s="120"/>
      <c r="T5913" s="221"/>
      <c r="U5913" s="89"/>
      <c r="V5913" s="61"/>
      <c r="W5913" s="92" t="s">
        <v>65</v>
      </c>
      <c r="X5913" s="93" t="s">
        <v>30</v>
      </c>
      <c r="Y5913" s="93" t="s">
        <v>1011</v>
      </c>
      <c r="Z5913" s="134">
        <f>VLOOKUP(W5913,Sheet2!$B:$D,3,FALSE)</f>
        <v>1.76</v>
      </c>
      <c r="AA5913" s="93">
        <f>AA5912/9</f>
        <v>0.13110455588331693</v>
      </c>
      <c r="AB5913" s="93">
        <f>AD5913/AC5910</f>
        <v>13.4244</v>
      </c>
      <c r="AC5913" s="93">
        <f>AC5910/AA5913</f>
        <v>1.8305999999999985</v>
      </c>
      <c r="AD5913" s="94">
        <f t="shared" si="4115"/>
        <v>3.2218559999999972</v>
      </c>
      <c r="AE5913" s="190"/>
      <c r="AF5913" s="191"/>
      <c r="AG5913" s="191"/>
      <c r="AH5913" s="191"/>
      <c r="AI5913" s="186"/>
      <c r="AK5913" s="171"/>
    </row>
    <row r="5914" spans="1:41" s="102" customFormat="1" ht="19.899999999999999" customHeight="1" x14ac:dyDescent="0.25">
      <c r="A5914" s="45"/>
      <c r="B5914" s="59"/>
      <c r="C5914" s="137"/>
      <c r="D5914" s="59"/>
      <c r="E5914" s="116"/>
      <c r="F5914" s="120"/>
      <c r="G5914" s="120"/>
      <c r="H5914" s="120"/>
      <c r="I5914" s="60"/>
      <c r="J5914" s="116"/>
      <c r="K5914" s="213"/>
      <c r="L5914" s="120"/>
      <c r="M5914" s="120"/>
      <c r="N5914" s="167"/>
      <c r="O5914" s="120"/>
      <c r="P5914" s="120"/>
      <c r="Q5914" s="120"/>
      <c r="R5914" s="120"/>
      <c r="S5914" s="120"/>
      <c r="T5914" s="221"/>
      <c r="U5914" s="89"/>
      <c r="V5914" s="61"/>
      <c r="W5914" s="92" t="s">
        <v>161</v>
      </c>
      <c r="X5914" s="93" t="s">
        <v>29</v>
      </c>
      <c r="Y5914" s="93" t="s">
        <v>93</v>
      </c>
      <c r="Z5914" s="134">
        <f>VLOOKUP(W5914,Sheet2!$B:$D,3,FALSE)</f>
        <v>48</v>
      </c>
      <c r="AA5914" s="93">
        <f>(16*0.85*1.5)/((3.8*3.8*7.5)-(3.14/4*2*2*7.5))</f>
        <v>0.24070796460176991</v>
      </c>
      <c r="AB5914" s="93">
        <f>AD5914/AC5910</f>
        <v>199.41176470588235</v>
      </c>
      <c r="AC5914" s="93">
        <f>AC5910/AA5914</f>
        <v>0.99705882352941078</v>
      </c>
      <c r="AD5914" s="94">
        <f>AC5914*Z5914</f>
        <v>47.858823529411715</v>
      </c>
      <c r="AE5914" s="190"/>
      <c r="AF5914" s="191"/>
      <c r="AG5914" s="191"/>
      <c r="AH5914" s="191"/>
      <c r="AI5914" s="186"/>
      <c r="AK5914" s="171"/>
    </row>
    <row r="5915" spans="1:41" s="102" customFormat="1" ht="19.899999999999999" customHeight="1" x14ac:dyDescent="0.25">
      <c r="A5915" s="45"/>
      <c r="B5915" s="59"/>
      <c r="C5915" s="137"/>
      <c r="D5915" s="59"/>
      <c r="E5915" s="116"/>
      <c r="F5915" s="120"/>
      <c r="G5915" s="120"/>
      <c r="H5915" s="120"/>
      <c r="I5915" s="60"/>
      <c r="J5915" s="116"/>
      <c r="K5915" s="213"/>
      <c r="L5915" s="120"/>
      <c r="M5915" s="120"/>
      <c r="N5915" s="167"/>
      <c r="O5915" s="120"/>
      <c r="P5915" s="120"/>
      <c r="Q5915" s="120"/>
      <c r="R5915" s="120"/>
      <c r="S5915" s="120"/>
      <c r="T5915" s="221"/>
      <c r="U5915" s="89"/>
      <c r="V5915" s="61"/>
      <c r="W5915" s="92" t="s">
        <v>65</v>
      </c>
      <c r="X5915" s="93" t="s">
        <v>30</v>
      </c>
      <c r="Y5915" s="93" t="s">
        <v>1011</v>
      </c>
      <c r="Z5915" s="134">
        <f>VLOOKUP(W5915,Sheet2!$B:$D,3,FALSE)</f>
        <v>1.76</v>
      </c>
      <c r="AA5915" s="93">
        <f>AA5914/10</f>
        <v>2.4070796460176992E-2</v>
      </c>
      <c r="AB5915" s="93">
        <f>AD5915/AC5910</f>
        <v>73.117647058823522</v>
      </c>
      <c r="AC5915" s="93">
        <f>AC5910/AA5915</f>
        <v>9.9705882352941071</v>
      </c>
      <c r="AD5915" s="94">
        <f>AC5915*Z5915</f>
        <v>17.548235294117628</v>
      </c>
      <c r="AE5915" s="190"/>
      <c r="AF5915" s="191"/>
      <c r="AG5915" s="191"/>
      <c r="AH5915" s="191"/>
      <c r="AI5915" s="186"/>
      <c r="AK5915" s="171"/>
    </row>
    <row r="5916" spans="1:41" s="102" customFormat="1" ht="19.899999999999999" customHeight="1" x14ac:dyDescent="0.25">
      <c r="A5916" s="45"/>
      <c r="B5916" s="59"/>
      <c r="C5916" s="137"/>
      <c r="D5916" s="59"/>
      <c r="E5916" s="116"/>
      <c r="F5916" s="120"/>
      <c r="G5916" s="120"/>
      <c r="H5916" s="120"/>
      <c r="I5916" s="60"/>
      <c r="J5916" s="116"/>
      <c r="K5916" s="213"/>
      <c r="L5916" s="120"/>
      <c r="M5916" s="120"/>
      <c r="N5916" s="167"/>
      <c r="O5916" s="120"/>
      <c r="P5916" s="120"/>
      <c r="Q5916" s="120"/>
      <c r="R5916" s="120"/>
      <c r="S5916" s="120"/>
      <c r="T5916" s="221"/>
      <c r="U5916" s="89"/>
      <c r="V5916" s="61"/>
      <c r="W5916" s="92" t="s">
        <v>173</v>
      </c>
      <c r="X5916" s="93" t="s">
        <v>29</v>
      </c>
      <c r="Y5916" s="93" t="s">
        <v>93</v>
      </c>
      <c r="Z5916" s="134">
        <f>VLOOKUP(W5916,Sheet2!$B:$D,3,FALSE)</f>
        <v>36</v>
      </c>
      <c r="AA5916" s="93">
        <f>50/((3.8*3.8*7.5)-(3.14/4*2*2*7.5))</f>
        <v>0.58997050147492625</v>
      </c>
      <c r="AB5916" s="93">
        <f>AD5916/AC5910</f>
        <v>61.02</v>
      </c>
      <c r="AC5916" s="93">
        <f>AC5910/AA5916</f>
        <v>0.40679999999999961</v>
      </c>
      <c r="AD5916" s="94">
        <f>AC5916*Z5916</f>
        <v>14.644799999999986</v>
      </c>
      <c r="AE5916" s="190"/>
      <c r="AF5916" s="191"/>
      <c r="AG5916" s="191"/>
      <c r="AH5916" s="191"/>
      <c r="AI5916" s="186"/>
      <c r="AK5916" s="171"/>
    </row>
    <row r="5917" spans="1:41" s="102" customFormat="1" ht="19.899999999999999" customHeight="1" x14ac:dyDescent="0.25">
      <c r="A5917" s="45"/>
      <c r="B5917" s="59"/>
      <c r="C5917" s="137"/>
      <c r="D5917" s="59"/>
      <c r="E5917" s="116"/>
      <c r="F5917" s="120"/>
      <c r="G5917" s="120"/>
      <c r="H5917" s="120"/>
      <c r="I5917" s="60"/>
      <c r="J5917" s="116"/>
      <c r="K5917" s="213"/>
      <c r="L5917" s="120"/>
      <c r="M5917" s="120"/>
      <c r="N5917" s="167"/>
      <c r="O5917" s="120"/>
      <c r="P5917" s="120"/>
      <c r="Q5917" s="120"/>
      <c r="R5917" s="120"/>
      <c r="S5917" s="120"/>
      <c r="T5917" s="221"/>
      <c r="U5917" s="89"/>
      <c r="V5917" s="61"/>
      <c r="W5917" s="92" t="s">
        <v>65</v>
      </c>
      <c r="X5917" s="93" t="s">
        <v>30</v>
      </c>
      <c r="Y5917" s="93" t="s">
        <v>1011</v>
      </c>
      <c r="Z5917" s="134">
        <f>VLOOKUP(W5917,Sheet2!$B:$D,3,FALSE)</f>
        <v>1.76</v>
      </c>
      <c r="AA5917" s="93">
        <f>AA5916/9</f>
        <v>6.5552277941658466E-2</v>
      </c>
      <c r="AB5917" s="93">
        <f>AD5917/AC5910</f>
        <v>26.848800000000001</v>
      </c>
      <c r="AC5917" s="93">
        <f>AC5910/AA5917</f>
        <v>3.6611999999999969</v>
      </c>
      <c r="AD5917" s="94">
        <f>AC5917*Z5917</f>
        <v>6.4437119999999943</v>
      </c>
      <c r="AE5917" s="190"/>
      <c r="AF5917" s="191"/>
      <c r="AG5917" s="191"/>
      <c r="AH5917" s="191"/>
      <c r="AI5917" s="186"/>
      <c r="AK5917" s="171"/>
    </row>
    <row r="5918" spans="1:41" s="102" customFormat="1" ht="19.899999999999999" customHeight="1" x14ac:dyDescent="0.25">
      <c r="A5918" s="45"/>
      <c r="B5918" s="59"/>
      <c r="C5918" s="137"/>
      <c r="D5918" s="59"/>
      <c r="E5918" s="116"/>
      <c r="F5918" s="120"/>
      <c r="G5918" s="120"/>
      <c r="H5918" s="120"/>
      <c r="I5918" s="60"/>
      <c r="J5918" s="116"/>
      <c r="K5918" s="213"/>
      <c r="L5918" s="120"/>
      <c r="M5918" s="120"/>
      <c r="N5918" s="167"/>
      <c r="O5918" s="120"/>
      <c r="P5918" s="120"/>
      <c r="Q5918" s="120"/>
      <c r="R5918" s="120"/>
      <c r="S5918" s="120"/>
      <c r="T5918" s="221"/>
      <c r="U5918" s="89"/>
      <c r="V5918" s="61"/>
      <c r="W5918" s="92" t="s">
        <v>1030</v>
      </c>
      <c r="X5918" s="93" t="s">
        <v>29</v>
      </c>
      <c r="Y5918" s="93" t="s">
        <v>93</v>
      </c>
      <c r="Z5918" s="134">
        <f>VLOOKUP(W5918,Sheet2!$B:$D,3,FALSE)</f>
        <v>23</v>
      </c>
      <c r="AA5918" s="93">
        <f>1/(7.5*1)</f>
        <v>0.13333333333333333</v>
      </c>
      <c r="AB5918" s="93">
        <f>AD5918/AC5910</f>
        <v>172.5</v>
      </c>
      <c r="AC5918" s="93">
        <f>AC5910/AA5918</f>
        <v>1.7999999999999983</v>
      </c>
      <c r="AD5918" s="94">
        <f t="shared" ref="AD5918:AD5919" si="4117">AC5918*Z5918</f>
        <v>41.399999999999963</v>
      </c>
      <c r="AE5918" s="190"/>
      <c r="AF5918" s="191"/>
      <c r="AG5918" s="191"/>
      <c r="AH5918" s="191"/>
      <c r="AI5918" s="186"/>
      <c r="AK5918" s="171"/>
    </row>
    <row r="5919" spans="1:41" s="102" customFormat="1" ht="19.899999999999999" customHeight="1" x14ac:dyDescent="0.25">
      <c r="A5919" s="45"/>
      <c r="B5919" s="59"/>
      <c r="C5919" s="137"/>
      <c r="D5919" s="59"/>
      <c r="E5919" s="116"/>
      <c r="F5919" s="120"/>
      <c r="G5919" s="120"/>
      <c r="H5919" s="120"/>
      <c r="I5919" s="60"/>
      <c r="J5919" s="116"/>
      <c r="K5919" s="213"/>
      <c r="L5919" s="120"/>
      <c r="M5919" s="120"/>
      <c r="N5919" s="167"/>
      <c r="O5919" s="120"/>
      <c r="P5919" s="120"/>
      <c r="Q5919" s="120"/>
      <c r="R5919" s="120"/>
      <c r="S5919" s="120"/>
      <c r="T5919" s="221"/>
      <c r="U5919" s="89"/>
      <c r="V5919" s="61"/>
      <c r="W5919" s="92" t="s">
        <v>65</v>
      </c>
      <c r="X5919" s="93" t="s">
        <v>30</v>
      </c>
      <c r="Y5919" s="93" t="s">
        <v>1011</v>
      </c>
      <c r="Z5919" s="134">
        <f>VLOOKUP(W5919,Sheet2!$B:$D,3,FALSE)</f>
        <v>1.76</v>
      </c>
      <c r="AA5919" s="93">
        <f>AA5918/3</f>
        <v>4.4444444444444446E-2</v>
      </c>
      <c r="AB5919" s="93">
        <f>AD5919/AC5910</f>
        <v>39.6</v>
      </c>
      <c r="AC5919" s="93">
        <f>AC5910/AA5919</f>
        <v>5.399999999999995</v>
      </c>
      <c r="AD5919" s="94">
        <f t="shared" si="4117"/>
        <v>9.5039999999999907</v>
      </c>
      <c r="AE5919" s="190"/>
      <c r="AF5919" s="191"/>
      <c r="AG5919" s="191"/>
      <c r="AH5919" s="191"/>
      <c r="AI5919" s="186"/>
      <c r="AK5919" s="171"/>
    </row>
    <row r="5920" spans="1:41" ht="25.5" x14ac:dyDescent="0.25">
      <c r="A5920" s="277" t="s">
        <v>491</v>
      </c>
      <c r="B5920" s="278"/>
      <c r="C5920" s="64" t="s">
        <v>625</v>
      </c>
      <c r="D5920" s="46" t="s">
        <v>215</v>
      </c>
      <c r="E5920" s="114">
        <v>0.11999999999999988</v>
      </c>
      <c r="F5920" s="44">
        <v>6429</v>
      </c>
      <c r="G5920" s="44">
        <f t="shared" si="3841"/>
        <v>771.47999999999922</v>
      </c>
      <c r="H5920" s="44">
        <f t="shared" si="3842"/>
        <v>136.02410635294115</v>
      </c>
      <c r="I5920" s="43">
        <f t="shared" si="3843"/>
        <v>16.322892762352922</v>
      </c>
      <c r="J5920" s="112">
        <f t="shared" si="3844"/>
        <v>0.11999999999999988</v>
      </c>
      <c r="K5920" s="211">
        <f t="shared" si="3845"/>
        <v>0.11999999999999988</v>
      </c>
      <c r="L5920" s="44"/>
      <c r="M5920" s="44">
        <f t="shared" si="3846"/>
        <v>0.11999999999999988</v>
      </c>
      <c r="N5920" s="173">
        <f t="shared" si="3847"/>
        <v>1</v>
      </c>
      <c r="O5920" s="44">
        <f t="shared" si="3848"/>
        <v>6429</v>
      </c>
      <c r="P5920" s="44">
        <f t="shared" si="3849"/>
        <v>771.47999999999922</v>
      </c>
      <c r="Q5920" s="44">
        <f t="shared" si="3850"/>
        <v>136.02410635294115</v>
      </c>
      <c r="R5920" s="44">
        <f t="shared" si="3851"/>
        <v>16.322892762352922</v>
      </c>
      <c r="S5920" s="123"/>
      <c r="T5920" s="219">
        <f t="shared" si="3852"/>
        <v>16.322892762352922</v>
      </c>
      <c r="U5920" s="87"/>
      <c r="V5920" s="47"/>
      <c r="W5920" s="48"/>
      <c r="X5920" s="48"/>
      <c r="Y5920" s="48"/>
      <c r="Z5920" s="135"/>
      <c r="AA5920" s="49"/>
      <c r="AB5920" s="50">
        <f t="shared" si="3853"/>
        <v>136.02410635294115</v>
      </c>
      <c r="AC5920" s="42">
        <f t="shared" si="3854"/>
        <v>0.11999999999999988</v>
      </c>
      <c r="AD5920" s="90">
        <f>AD5921+AD5926</f>
        <v>16.322892762352922</v>
      </c>
      <c r="AE5920" s="188">
        <f t="shared" ref="AE5920" si="4118">AE5921+AE5926</f>
        <v>0</v>
      </c>
      <c r="AF5920" s="189">
        <f t="shared" ref="AF5920" si="4119">AF5921+AF5926</f>
        <v>0</v>
      </c>
      <c r="AG5920" s="189">
        <f t="shared" ref="AG5920" si="4120">AG5921+AG5926</f>
        <v>0</v>
      </c>
      <c r="AH5920" s="189">
        <f t="shared" ref="AH5920" si="4121">AH5921+AH5926</f>
        <v>0</v>
      </c>
      <c r="AI5920" s="161">
        <f t="shared" ref="AI5920" si="4122">SUM(AE5920:AH5920)</f>
        <v>0</v>
      </c>
      <c r="AK5920" s="169">
        <v>5</v>
      </c>
      <c r="AO5920" s="19" t="s">
        <v>63</v>
      </c>
    </row>
    <row r="5921" spans="1:37" s="103" customFormat="1" ht="19.899999999999999" customHeight="1" x14ac:dyDescent="0.25">
      <c r="A5921" s="51"/>
      <c r="B5921" s="52"/>
      <c r="C5921" s="165"/>
      <c r="D5921" s="52"/>
      <c r="E5921" s="115"/>
      <c r="F5921" s="58"/>
      <c r="G5921" s="58"/>
      <c r="H5921" s="58"/>
      <c r="I5921" s="55"/>
      <c r="J5921" s="113">
        <f>J5920</f>
        <v>0.11999999999999988</v>
      </c>
      <c r="K5921" s="212">
        <f>K5920</f>
        <v>0.11999999999999988</v>
      </c>
      <c r="L5921" s="58"/>
      <c r="M5921" s="58">
        <f>K5921-L5921</f>
        <v>0.11999999999999988</v>
      </c>
      <c r="N5921" s="166"/>
      <c r="O5921" s="58"/>
      <c r="P5921" s="58"/>
      <c r="Q5921" s="58"/>
      <c r="R5921" s="58"/>
      <c r="S5921" s="58"/>
      <c r="T5921" s="220"/>
      <c r="U5921" s="88"/>
      <c r="V5921" s="56"/>
      <c r="W5921" s="57" t="s">
        <v>1569</v>
      </c>
      <c r="X5921" s="53"/>
      <c r="Y5921" s="91" t="s">
        <v>35</v>
      </c>
      <c r="Z5921" s="136">
        <f>AD5921/AC5921</f>
        <v>36.756198901960786</v>
      </c>
      <c r="AA5921" s="58"/>
      <c r="AB5921" s="53">
        <f>AD5921/AC5921</f>
        <v>36.756198901960786</v>
      </c>
      <c r="AC5921" s="53">
        <f>M5921+$AE$10</f>
        <v>0.11999999999999988</v>
      </c>
      <c r="AD5921" s="54">
        <f>SUM(AD5922:AD5925)</f>
        <v>4.41074386823529</v>
      </c>
      <c r="AE5921" s="184">
        <f>SUMIFS($AD$37:$AD$12971,$V$37:$V$12971,$V5921,$X$37:$X$12971,AE$13)</f>
        <v>0</v>
      </c>
      <c r="AF5921" s="185">
        <f>SUMIFS($AD$37:$AD$12971,$V$37:$V$12971,$V5921,$X$37:$X$12971,AF$13)</f>
        <v>0</v>
      </c>
      <c r="AG5921" s="185">
        <f>SUMIFS($AD$37:$AD$12971,$V$37:$V$12971,$V5921,$X$37:$X$12971,AG$13)</f>
        <v>0</v>
      </c>
      <c r="AH5921" s="187">
        <f>SUMIFS($AD$37:$AD$12971,$V$37:$V$12971,$V5921,$X$37:$X$12971,AH$13)</f>
        <v>0</v>
      </c>
      <c r="AI5921" s="161">
        <f t="shared" ref="AI5921" si="4123">SUM(AE5921:AH5921)</f>
        <v>0</v>
      </c>
      <c r="AK5921" s="172"/>
    </row>
    <row r="5922" spans="1:37" s="102" customFormat="1" ht="19.899999999999999" customHeight="1" x14ac:dyDescent="0.25">
      <c r="A5922" s="45"/>
      <c r="B5922" s="59"/>
      <c r="C5922" s="137"/>
      <c r="D5922" s="59"/>
      <c r="E5922" s="116"/>
      <c r="F5922" s="120"/>
      <c r="G5922" s="120"/>
      <c r="H5922" s="120"/>
      <c r="I5922" s="60"/>
      <c r="J5922" s="116"/>
      <c r="K5922" s="213"/>
      <c r="L5922" s="120"/>
      <c r="M5922" s="120"/>
      <c r="N5922" s="167"/>
      <c r="O5922" s="120"/>
      <c r="P5922" s="120"/>
      <c r="Q5922" s="120"/>
      <c r="R5922" s="120"/>
      <c r="S5922" s="120"/>
      <c r="T5922" s="221"/>
      <c r="U5922" s="89"/>
      <c r="V5922" s="61"/>
      <c r="W5922" s="92" t="s">
        <v>131</v>
      </c>
      <c r="X5922" s="93" t="s">
        <v>29</v>
      </c>
      <c r="Y5922" s="93" t="s">
        <v>93</v>
      </c>
      <c r="Z5922" s="134">
        <f>VLOOKUP(W5922,Sheet2!$B:$D,3,FALSE)</f>
        <v>131.19999999999999</v>
      </c>
      <c r="AA5922" s="93">
        <f>100/(3.8*3.8*0.5)</f>
        <v>13.850415512465375</v>
      </c>
      <c r="AB5922" s="93">
        <f t="shared" ref="AB5922" si="4124">AD5922/AC5921</f>
        <v>9.4726399999999984</v>
      </c>
      <c r="AC5922" s="93">
        <f>AC5921/AA5922</f>
        <v>8.6639999999999912E-3</v>
      </c>
      <c r="AD5922" s="94">
        <f t="shared" ref="AD5922:AD5923" si="4125">AC5922*Z5922</f>
        <v>1.1367167999999988</v>
      </c>
      <c r="AE5922" s="190"/>
      <c r="AF5922" s="191"/>
      <c r="AG5922" s="191"/>
      <c r="AH5922" s="191"/>
      <c r="AI5922" s="186"/>
      <c r="AK5922" s="171"/>
    </row>
    <row r="5923" spans="1:37" s="102" customFormat="1" ht="19.899999999999999" customHeight="1" x14ac:dyDescent="0.25">
      <c r="A5923" s="45"/>
      <c r="B5923" s="59"/>
      <c r="C5923" s="137"/>
      <c r="D5923" s="59"/>
      <c r="E5923" s="116"/>
      <c r="F5923" s="120"/>
      <c r="G5923" s="120"/>
      <c r="H5923" s="120"/>
      <c r="I5923" s="60"/>
      <c r="J5923" s="116"/>
      <c r="K5923" s="213"/>
      <c r="L5923" s="120"/>
      <c r="M5923" s="120"/>
      <c r="N5923" s="167"/>
      <c r="O5923" s="120"/>
      <c r="P5923" s="120"/>
      <c r="Q5923" s="120"/>
      <c r="R5923" s="120"/>
      <c r="S5923" s="120"/>
      <c r="T5923" s="221"/>
      <c r="U5923" s="89"/>
      <c r="V5923" s="61"/>
      <c r="W5923" s="92" t="s">
        <v>65</v>
      </c>
      <c r="X5923" s="93" t="s">
        <v>30</v>
      </c>
      <c r="Y5923" s="93" t="s">
        <v>1011</v>
      </c>
      <c r="Z5923" s="134">
        <f>VLOOKUP(W5923,Sheet2!$B:$D,3,FALSE)</f>
        <v>1.76</v>
      </c>
      <c r="AA5923" s="93">
        <f>AA5922/32</f>
        <v>0.43282548476454297</v>
      </c>
      <c r="AB5923" s="93">
        <f>AD5923/AC5921</f>
        <v>4.0663039999999997</v>
      </c>
      <c r="AC5923" s="93">
        <f>AC5921/AA5923</f>
        <v>0.27724799999999972</v>
      </c>
      <c r="AD5923" s="94">
        <f t="shared" si="4125"/>
        <v>0.48795647999999953</v>
      </c>
      <c r="AE5923" s="190"/>
      <c r="AF5923" s="191"/>
      <c r="AG5923" s="191"/>
      <c r="AH5923" s="191"/>
      <c r="AI5923" s="186"/>
      <c r="AK5923" s="171"/>
    </row>
    <row r="5924" spans="1:37" s="102" customFormat="1" ht="19.899999999999999" customHeight="1" x14ac:dyDescent="0.25">
      <c r="A5924" s="45"/>
      <c r="B5924" s="59"/>
      <c r="C5924" s="137"/>
      <c r="D5924" s="59"/>
      <c r="E5924" s="116"/>
      <c r="F5924" s="120"/>
      <c r="G5924" s="120"/>
      <c r="H5924" s="120"/>
      <c r="I5924" s="60"/>
      <c r="J5924" s="116"/>
      <c r="K5924" s="213"/>
      <c r="L5924" s="120"/>
      <c r="M5924" s="120"/>
      <c r="N5924" s="167"/>
      <c r="O5924" s="120"/>
      <c r="P5924" s="120"/>
      <c r="Q5924" s="120"/>
      <c r="R5924" s="120"/>
      <c r="S5924" s="120"/>
      <c r="T5924" s="221"/>
      <c r="U5924" s="89"/>
      <c r="V5924" s="61"/>
      <c r="W5924" s="92" t="s">
        <v>161</v>
      </c>
      <c r="X5924" s="93" t="s">
        <v>29</v>
      </c>
      <c r="Y5924" s="93" t="s">
        <v>93</v>
      </c>
      <c r="Z5924" s="134">
        <f>VLOOKUP(W5924,Sheet2!$B:$D,3,FALSE)</f>
        <v>48</v>
      </c>
      <c r="AA5924" s="93">
        <f>(16*0.85*1.5)/(3.8*3.8*0.5)</f>
        <v>2.8254847645429364</v>
      </c>
      <c r="AB5924" s="93">
        <f>AD5924/AC5921</f>
        <v>16.988235294117647</v>
      </c>
      <c r="AC5924" s="93">
        <f>AC5921/AA5924</f>
        <v>4.2470588235294073E-2</v>
      </c>
      <c r="AD5924" s="94">
        <f>AC5924*Z5924</f>
        <v>2.0385882352941156</v>
      </c>
      <c r="AE5924" s="190"/>
      <c r="AF5924" s="191"/>
      <c r="AG5924" s="191"/>
      <c r="AH5924" s="191"/>
      <c r="AI5924" s="186"/>
      <c r="AK5924" s="171"/>
    </row>
    <row r="5925" spans="1:37" s="102" customFormat="1" ht="19.899999999999999" customHeight="1" x14ac:dyDescent="0.25">
      <c r="A5925" s="45"/>
      <c r="B5925" s="59"/>
      <c r="C5925" s="137"/>
      <c r="D5925" s="59"/>
      <c r="E5925" s="116"/>
      <c r="F5925" s="120"/>
      <c r="G5925" s="120"/>
      <c r="H5925" s="120"/>
      <c r="I5925" s="60"/>
      <c r="J5925" s="116"/>
      <c r="K5925" s="213"/>
      <c r="L5925" s="120"/>
      <c r="M5925" s="120"/>
      <c r="N5925" s="167"/>
      <c r="O5925" s="120"/>
      <c r="P5925" s="120"/>
      <c r="Q5925" s="120"/>
      <c r="R5925" s="120"/>
      <c r="S5925" s="120"/>
      <c r="T5925" s="221"/>
      <c r="U5925" s="89"/>
      <c r="V5925" s="61"/>
      <c r="W5925" s="92" t="s">
        <v>65</v>
      </c>
      <c r="X5925" s="93" t="s">
        <v>30</v>
      </c>
      <c r="Y5925" s="93" t="s">
        <v>1011</v>
      </c>
      <c r="Z5925" s="134">
        <f>VLOOKUP(W5925,Sheet2!$B:$D,3,FALSE)</f>
        <v>1.76</v>
      </c>
      <c r="AA5925" s="93">
        <f>AA5924/10</f>
        <v>0.28254847645429365</v>
      </c>
      <c r="AB5925" s="93">
        <f>AD5925/AC5921</f>
        <v>6.2290196078431368</v>
      </c>
      <c r="AC5925" s="93">
        <f>AC5921/AA5925</f>
        <v>0.42470588235294071</v>
      </c>
      <c r="AD5925" s="94">
        <f>AC5925*Z5925</f>
        <v>0.74748235294117571</v>
      </c>
      <c r="AE5925" s="190"/>
      <c r="AF5925" s="191"/>
      <c r="AG5925" s="191"/>
      <c r="AH5925" s="191"/>
      <c r="AI5925" s="186"/>
      <c r="AK5925" s="171"/>
    </row>
    <row r="5926" spans="1:37" s="103" customFormat="1" ht="19.899999999999999" customHeight="1" x14ac:dyDescent="0.25">
      <c r="A5926" s="51"/>
      <c r="B5926" s="52"/>
      <c r="C5926" s="165"/>
      <c r="D5926" s="52"/>
      <c r="E5926" s="115"/>
      <c r="F5926" s="58"/>
      <c r="G5926" s="58"/>
      <c r="H5926" s="58"/>
      <c r="I5926" s="55"/>
      <c r="J5926" s="113">
        <f>J5920</f>
        <v>0.11999999999999988</v>
      </c>
      <c r="K5926" s="212">
        <f>K5920</f>
        <v>0.11999999999999988</v>
      </c>
      <c r="L5926" s="58"/>
      <c r="M5926" s="58">
        <f>K5926-L5926</f>
        <v>0.11999999999999988</v>
      </c>
      <c r="N5926" s="166"/>
      <c r="O5926" s="58"/>
      <c r="P5926" s="58"/>
      <c r="Q5926" s="58"/>
      <c r="R5926" s="58"/>
      <c r="S5926" s="58"/>
      <c r="T5926" s="220"/>
      <c r="U5926" s="88"/>
      <c r="V5926" s="56"/>
      <c r="W5926" s="57" t="s">
        <v>1272</v>
      </c>
      <c r="X5926" s="53"/>
      <c r="Y5926" s="91" t="s">
        <v>35</v>
      </c>
      <c r="Z5926" s="136">
        <f>AD5926/AC5926</f>
        <v>99.267907450980374</v>
      </c>
      <c r="AA5926" s="58"/>
      <c r="AB5926" s="53">
        <f>AD5926/AC5926</f>
        <v>99.267907450980374</v>
      </c>
      <c r="AC5926" s="53">
        <f>M5926+$AE$10</f>
        <v>0.11999999999999988</v>
      </c>
      <c r="AD5926" s="54">
        <f>SUM(AD5927:AD5935)</f>
        <v>11.912148894117633</v>
      </c>
      <c r="AE5926" s="184">
        <f>SUMIFS($AD$37:$AD$12971,$V$37:$V$12971,$V5926,$X$37:$X$12971,AE$13)</f>
        <v>0</v>
      </c>
      <c r="AF5926" s="185">
        <f>SUMIFS($AD$37:$AD$12971,$V$37:$V$12971,$V5926,$X$37:$X$12971,AF$13)</f>
        <v>0</v>
      </c>
      <c r="AG5926" s="185">
        <f>SUMIFS($AD$37:$AD$12971,$V$37:$V$12971,$V5926,$X$37:$X$12971,AG$13)</f>
        <v>0</v>
      </c>
      <c r="AH5926" s="187">
        <f>SUMIFS($AD$37:$AD$12971,$V$37:$V$12971,$V5926,$X$37:$X$12971,AH$13)</f>
        <v>0</v>
      </c>
      <c r="AI5926" s="161">
        <f t="shared" ref="AI5926" si="4126">SUM(AE5926:AH5926)</f>
        <v>0</v>
      </c>
      <c r="AK5926" s="172"/>
    </row>
    <row r="5927" spans="1:37" s="102" customFormat="1" ht="19.899999999999999" customHeight="1" x14ac:dyDescent="0.25">
      <c r="A5927" s="45"/>
      <c r="B5927" s="59"/>
      <c r="C5927" s="137"/>
      <c r="D5927" s="59"/>
      <c r="E5927" s="116"/>
      <c r="F5927" s="120"/>
      <c r="G5927" s="120"/>
      <c r="H5927" s="120"/>
      <c r="I5927" s="60"/>
      <c r="J5927" s="116"/>
      <c r="K5927" s="213"/>
      <c r="L5927" s="120"/>
      <c r="M5927" s="120"/>
      <c r="N5927" s="167"/>
      <c r="O5927" s="120"/>
      <c r="P5927" s="120"/>
      <c r="Q5927" s="120"/>
      <c r="R5927" s="120"/>
      <c r="S5927" s="120"/>
      <c r="T5927" s="221"/>
      <c r="U5927" s="89"/>
      <c r="V5927" s="61"/>
      <c r="W5927" s="92" t="s">
        <v>1273</v>
      </c>
      <c r="X5927" s="93" t="s">
        <v>30</v>
      </c>
      <c r="Y5927" s="93" t="s">
        <v>66</v>
      </c>
      <c r="Z5927" s="134">
        <f>VLOOKUP(W5927,Sheet2!$B:$D,3,FALSE)</f>
        <v>10</v>
      </c>
      <c r="AA5927" s="93">
        <f>1/((3.8*3.8*0.5)-(3.14/4*2*2*0.5))</f>
        <v>0.1769911504424779</v>
      </c>
      <c r="AB5927" s="93">
        <f>AD5927/AC5926</f>
        <v>56.499999999999993</v>
      </c>
      <c r="AC5927" s="93">
        <f>AC5926/AA5927</f>
        <v>0.67799999999999927</v>
      </c>
      <c r="AD5927" s="94">
        <f t="shared" ref="AD5927:AD5929" si="4127">AC5927*Z5927</f>
        <v>6.7799999999999923</v>
      </c>
      <c r="AE5927" s="190"/>
      <c r="AF5927" s="191"/>
      <c r="AG5927" s="191"/>
      <c r="AH5927" s="191"/>
      <c r="AI5927" s="186"/>
      <c r="AK5927" s="171"/>
    </row>
    <row r="5928" spans="1:37" s="102" customFormat="1" ht="19.899999999999999" customHeight="1" x14ac:dyDescent="0.25">
      <c r="A5928" s="45"/>
      <c r="B5928" s="59"/>
      <c r="C5928" s="137"/>
      <c r="D5928" s="59"/>
      <c r="E5928" s="116"/>
      <c r="F5928" s="120"/>
      <c r="G5928" s="120"/>
      <c r="H5928" s="120"/>
      <c r="I5928" s="60"/>
      <c r="J5928" s="116"/>
      <c r="K5928" s="213"/>
      <c r="L5928" s="120"/>
      <c r="M5928" s="120"/>
      <c r="N5928" s="167"/>
      <c r="O5928" s="120"/>
      <c r="P5928" s="120"/>
      <c r="Q5928" s="120"/>
      <c r="R5928" s="120"/>
      <c r="S5928" s="120"/>
      <c r="T5928" s="221"/>
      <c r="U5928" s="89"/>
      <c r="V5928" s="61"/>
      <c r="W5928" s="92" t="s">
        <v>134</v>
      </c>
      <c r="X5928" s="93" t="s">
        <v>29</v>
      </c>
      <c r="Y5928" s="93" t="s">
        <v>93</v>
      </c>
      <c r="Z5928" s="134">
        <f>VLOOKUP(W5928,Sheet2!$B:$D,3,FALSE)</f>
        <v>65.599999999999994</v>
      </c>
      <c r="AA5928" s="93">
        <f>100/((3.8*3.8*0.5)-(3.14/4*2*2*0.5))</f>
        <v>17.69911504424779</v>
      </c>
      <c r="AB5928" s="93">
        <f t="shared" ref="AB5928" si="4128">AD5928/AC5926</f>
        <v>3.7063999999999995</v>
      </c>
      <c r="AC5928" s="93">
        <f>AC5926/AA5928</f>
        <v>6.7799999999999926E-3</v>
      </c>
      <c r="AD5928" s="94">
        <f t="shared" si="4127"/>
        <v>0.4447679999999995</v>
      </c>
      <c r="AE5928" s="190"/>
      <c r="AF5928" s="191"/>
      <c r="AG5928" s="191"/>
      <c r="AH5928" s="191"/>
      <c r="AI5928" s="186"/>
      <c r="AK5928" s="171"/>
    </row>
    <row r="5929" spans="1:37" s="102" customFormat="1" ht="19.899999999999999" customHeight="1" x14ac:dyDescent="0.25">
      <c r="A5929" s="45"/>
      <c r="B5929" s="59"/>
      <c r="C5929" s="137"/>
      <c r="D5929" s="59"/>
      <c r="E5929" s="116"/>
      <c r="F5929" s="120"/>
      <c r="G5929" s="120"/>
      <c r="H5929" s="120"/>
      <c r="I5929" s="60"/>
      <c r="J5929" s="116"/>
      <c r="K5929" s="213"/>
      <c r="L5929" s="120"/>
      <c r="M5929" s="120"/>
      <c r="N5929" s="167"/>
      <c r="O5929" s="120"/>
      <c r="P5929" s="120"/>
      <c r="Q5929" s="120"/>
      <c r="R5929" s="120"/>
      <c r="S5929" s="120"/>
      <c r="T5929" s="221"/>
      <c r="U5929" s="89"/>
      <c r="V5929" s="61"/>
      <c r="W5929" s="92" t="s">
        <v>65</v>
      </c>
      <c r="X5929" s="93" t="s">
        <v>30</v>
      </c>
      <c r="Y5929" s="93" t="s">
        <v>1011</v>
      </c>
      <c r="Z5929" s="134">
        <f>VLOOKUP(W5929,Sheet2!$B:$D,3,FALSE)</f>
        <v>1.76</v>
      </c>
      <c r="AA5929" s="93">
        <f>AA5928/9</f>
        <v>1.9665683382497545</v>
      </c>
      <c r="AB5929" s="93">
        <f>AD5929/AC5926</f>
        <v>0.89495999999999976</v>
      </c>
      <c r="AC5929" s="93">
        <f>AC5926/AA5929</f>
        <v>6.1019999999999928E-2</v>
      </c>
      <c r="AD5929" s="94">
        <f t="shared" si="4127"/>
        <v>0.10739519999999987</v>
      </c>
      <c r="AE5929" s="190"/>
      <c r="AF5929" s="191"/>
      <c r="AG5929" s="191"/>
      <c r="AH5929" s="191"/>
      <c r="AI5929" s="186"/>
      <c r="AK5929" s="171"/>
    </row>
    <row r="5930" spans="1:37" s="102" customFormat="1" ht="19.899999999999999" customHeight="1" x14ac:dyDescent="0.25">
      <c r="A5930" s="45"/>
      <c r="B5930" s="59"/>
      <c r="C5930" s="137"/>
      <c r="D5930" s="59"/>
      <c r="E5930" s="116"/>
      <c r="F5930" s="120"/>
      <c r="G5930" s="120"/>
      <c r="H5930" s="120"/>
      <c r="I5930" s="60"/>
      <c r="J5930" s="116"/>
      <c r="K5930" s="213"/>
      <c r="L5930" s="120"/>
      <c r="M5930" s="120"/>
      <c r="N5930" s="167"/>
      <c r="O5930" s="120"/>
      <c r="P5930" s="120"/>
      <c r="Q5930" s="120"/>
      <c r="R5930" s="120"/>
      <c r="S5930" s="120"/>
      <c r="T5930" s="221"/>
      <c r="U5930" s="89"/>
      <c r="V5930" s="61"/>
      <c r="W5930" s="92" t="s">
        <v>161</v>
      </c>
      <c r="X5930" s="93" t="s">
        <v>29</v>
      </c>
      <c r="Y5930" s="93" t="s">
        <v>93</v>
      </c>
      <c r="Z5930" s="134">
        <f>VLOOKUP(W5930,Sheet2!$B:$D,3,FALSE)</f>
        <v>48</v>
      </c>
      <c r="AA5930" s="93">
        <f>(16*0.85*1.5)/((3.8*3.8*0.5)-(3.14/4*2*2*0.5))</f>
        <v>3.610619469026549</v>
      </c>
      <c r="AB5930" s="93">
        <f>AD5930/AC5926</f>
        <v>13.294117647058821</v>
      </c>
      <c r="AC5930" s="93">
        <f>AC5926/AA5930</f>
        <v>3.3235294117647023E-2</v>
      </c>
      <c r="AD5930" s="94">
        <f>AC5930*Z5930</f>
        <v>1.595294117647057</v>
      </c>
      <c r="AE5930" s="190"/>
      <c r="AF5930" s="191"/>
      <c r="AG5930" s="191"/>
      <c r="AH5930" s="191"/>
      <c r="AI5930" s="186"/>
      <c r="AK5930" s="171"/>
    </row>
    <row r="5931" spans="1:37" s="102" customFormat="1" ht="19.899999999999999" customHeight="1" x14ac:dyDescent="0.25">
      <c r="A5931" s="45"/>
      <c r="B5931" s="59"/>
      <c r="C5931" s="137"/>
      <c r="D5931" s="59"/>
      <c r="E5931" s="116"/>
      <c r="F5931" s="120"/>
      <c r="G5931" s="120"/>
      <c r="H5931" s="120"/>
      <c r="I5931" s="60"/>
      <c r="J5931" s="116"/>
      <c r="K5931" s="213"/>
      <c r="L5931" s="120"/>
      <c r="M5931" s="120"/>
      <c r="N5931" s="167"/>
      <c r="O5931" s="120"/>
      <c r="P5931" s="120"/>
      <c r="Q5931" s="120"/>
      <c r="R5931" s="120"/>
      <c r="S5931" s="120"/>
      <c r="T5931" s="221"/>
      <c r="U5931" s="89"/>
      <c r="V5931" s="61"/>
      <c r="W5931" s="92" t="s">
        <v>65</v>
      </c>
      <c r="X5931" s="93" t="s">
        <v>30</v>
      </c>
      <c r="Y5931" s="93" t="s">
        <v>1011</v>
      </c>
      <c r="Z5931" s="134">
        <f>VLOOKUP(W5931,Sheet2!$B:$D,3,FALSE)</f>
        <v>1.76</v>
      </c>
      <c r="AA5931" s="93">
        <f>AA5930/10</f>
        <v>0.36106194690265492</v>
      </c>
      <c r="AB5931" s="93">
        <f>AD5931/AC5926</f>
        <v>4.8745098039215682</v>
      </c>
      <c r="AC5931" s="93">
        <f>AC5926/AA5931</f>
        <v>0.33235294117647024</v>
      </c>
      <c r="AD5931" s="94">
        <f>AC5931*Z5931</f>
        <v>0.58494117647058763</v>
      </c>
      <c r="AE5931" s="190"/>
      <c r="AF5931" s="191"/>
      <c r="AG5931" s="191"/>
      <c r="AH5931" s="191"/>
      <c r="AI5931" s="186"/>
      <c r="AK5931" s="171"/>
    </row>
    <row r="5932" spans="1:37" s="102" customFormat="1" ht="19.899999999999999" customHeight="1" x14ac:dyDescent="0.25">
      <c r="A5932" s="45"/>
      <c r="B5932" s="59"/>
      <c r="C5932" s="137"/>
      <c r="D5932" s="59"/>
      <c r="E5932" s="116"/>
      <c r="F5932" s="120"/>
      <c r="G5932" s="120"/>
      <c r="H5932" s="120"/>
      <c r="I5932" s="60"/>
      <c r="J5932" s="116"/>
      <c r="K5932" s="213"/>
      <c r="L5932" s="120"/>
      <c r="M5932" s="120"/>
      <c r="N5932" s="167"/>
      <c r="O5932" s="120"/>
      <c r="P5932" s="120"/>
      <c r="Q5932" s="120"/>
      <c r="R5932" s="120"/>
      <c r="S5932" s="120"/>
      <c r="T5932" s="221"/>
      <c r="U5932" s="89"/>
      <c r="V5932" s="61"/>
      <c r="W5932" s="92" t="s">
        <v>173</v>
      </c>
      <c r="X5932" s="93" t="s">
        <v>29</v>
      </c>
      <c r="Y5932" s="93" t="s">
        <v>93</v>
      </c>
      <c r="Z5932" s="134">
        <f>VLOOKUP(W5932,Sheet2!$B:$D,3,FALSE)</f>
        <v>36</v>
      </c>
      <c r="AA5932" s="93">
        <f>50/((3.8*3.8*0.5)-(3.14/4*2*2*0.5))</f>
        <v>8.8495575221238951</v>
      </c>
      <c r="AB5932" s="93">
        <f>AD5932/AC5926</f>
        <v>4.0679999999999996</v>
      </c>
      <c r="AC5932" s="93">
        <f>AC5926/AA5932</f>
        <v>1.3559999999999985E-2</v>
      </c>
      <c r="AD5932" s="94">
        <f>AC5932*Z5932</f>
        <v>0.48815999999999948</v>
      </c>
      <c r="AE5932" s="190"/>
      <c r="AF5932" s="191"/>
      <c r="AG5932" s="191"/>
      <c r="AH5932" s="191"/>
      <c r="AI5932" s="186"/>
      <c r="AK5932" s="171"/>
    </row>
    <row r="5933" spans="1:37" s="102" customFormat="1" ht="19.899999999999999" customHeight="1" x14ac:dyDescent="0.25">
      <c r="A5933" s="45"/>
      <c r="B5933" s="59"/>
      <c r="C5933" s="137"/>
      <c r="D5933" s="59"/>
      <c r="E5933" s="116"/>
      <c r="F5933" s="120"/>
      <c r="G5933" s="120"/>
      <c r="H5933" s="120"/>
      <c r="I5933" s="60"/>
      <c r="J5933" s="116"/>
      <c r="K5933" s="213"/>
      <c r="L5933" s="120"/>
      <c r="M5933" s="120"/>
      <c r="N5933" s="167"/>
      <c r="O5933" s="120"/>
      <c r="P5933" s="120"/>
      <c r="Q5933" s="120"/>
      <c r="R5933" s="120"/>
      <c r="S5933" s="120"/>
      <c r="T5933" s="221"/>
      <c r="U5933" s="89"/>
      <c r="V5933" s="61"/>
      <c r="W5933" s="92" t="s">
        <v>65</v>
      </c>
      <c r="X5933" s="93" t="s">
        <v>30</v>
      </c>
      <c r="Y5933" s="93" t="s">
        <v>1011</v>
      </c>
      <c r="Z5933" s="134">
        <f>VLOOKUP(W5933,Sheet2!$B:$D,3,FALSE)</f>
        <v>1.76</v>
      </c>
      <c r="AA5933" s="93">
        <f>AA5932/9</f>
        <v>0.98328416912487726</v>
      </c>
      <c r="AB5933" s="93">
        <f>AD5933/AC5926</f>
        <v>1.7899199999999995</v>
      </c>
      <c r="AC5933" s="93">
        <f>AC5926/AA5933</f>
        <v>0.12203999999999986</v>
      </c>
      <c r="AD5933" s="94">
        <f>AC5933*Z5933</f>
        <v>0.21479039999999974</v>
      </c>
      <c r="AE5933" s="190"/>
      <c r="AF5933" s="191"/>
      <c r="AG5933" s="191"/>
      <c r="AH5933" s="191"/>
      <c r="AI5933" s="186"/>
      <c r="AK5933" s="171"/>
    </row>
    <row r="5934" spans="1:37" s="102" customFormat="1" ht="19.899999999999999" customHeight="1" x14ac:dyDescent="0.25">
      <c r="A5934" s="45"/>
      <c r="B5934" s="59"/>
      <c r="C5934" s="137"/>
      <c r="D5934" s="59"/>
      <c r="E5934" s="116"/>
      <c r="F5934" s="120"/>
      <c r="G5934" s="120"/>
      <c r="H5934" s="120"/>
      <c r="I5934" s="60"/>
      <c r="J5934" s="116"/>
      <c r="K5934" s="213"/>
      <c r="L5934" s="120"/>
      <c r="M5934" s="120"/>
      <c r="N5934" s="167"/>
      <c r="O5934" s="120"/>
      <c r="P5934" s="120"/>
      <c r="Q5934" s="120"/>
      <c r="R5934" s="120"/>
      <c r="S5934" s="120"/>
      <c r="T5934" s="221"/>
      <c r="U5934" s="89"/>
      <c r="V5934" s="61"/>
      <c r="W5934" s="92" t="s">
        <v>1030</v>
      </c>
      <c r="X5934" s="93" t="s">
        <v>29</v>
      </c>
      <c r="Y5934" s="93" t="s">
        <v>93</v>
      </c>
      <c r="Z5934" s="134">
        <f>VLOOKUP(W5934,Sheet2!$B:$D,3,FALSE)</f>
        <v>23</v>
      </c>
      <c r="AA5934" s="93">
        <f>1/(0.5*1)</f>
        <v>2</v>
      </c>
      <c r="AB5934" s="93">
        <f>AD5934/AC5926</f>
        <v>11.499999999999998</v>
      </c>
      <c r="AC5934" s="93">
        <f>AC5926/AA5934</f>
        <v>5.9999999999999942E-2</v>
      </c>
      <c r="AD5934" s="94">
        <f t="shared" ref="AD5934:AD5935" si="4129">AC5934*Z5934</f>
        <v>1.3799999999999986</v>
      </c>
      <c r="AE5934" s="190"/>
      <c r="AF5934" s="191"/>
      <c r="AG5934" s="191"/>
      <c r="AH5934" s="191"/>
      <c r="AI5934" s="186"/>
      <c r="AK5934" s="171"/>
    </row>
    <row r="5935" spans="1:37" s="102" customFormat="1" ht="19.899999999999999" customHeight="1" x14ac:dyDescent="0.25">
      <c r="A5935" s="45"/>
      <c r="B5935" s="59"/>
      <c r="C5935" s="137"/>
      <c r="D5935" s="59"/>
      <c r="E5935" s="116"/>
      <c r="F5935" s="120"/>
      <c r="G5935" s="120"/>
      <c r="H5935" s="120"/>
      <c r="I5935" s="60"/>
      <c r="J5935" s="116"/>
      <c r="K5935" s="213"/>
      <c r="L5935" s="120"/>
      <c r="M5935" s="120"/>
      <c r="N5935" s="167"/>
      <c r="O5935" s="120"/>
      <c r="P5935" s="120"/>
      <c r="Q5935" s="120"/>
      <c r="R5935" s="120"/>
      <c r="S5935" s="120"/>
      <c r="T5935" s="221"/>
      <c r="U5935" s="89"/>
      <c r="V5935" s="61"/>
      <c r="W5935" s="92" t="s">
        <v>65</v>
      </c>
      <c r="X5935" s="93" t="s">
        <v>30</v>
      </c>
      <c r="Y5935" s="93" t="s">
        <v>1011</v>
      </c>
      <c r="Z5935" s="134">
        <f>VLOOKUP(W5935,Sheet2!$B:$D,3,FALSE)</f>
        <v>1.76</v>
      </c>
      <c r="AA5935" s="93">
        <f>AA5934/3</f>
        <v>0.66666666666666663</v>
      </c>
      <c r="AB5935" s="93">
        <f>AD5935/AC5926</f>
        <v>2.64</v>
      </c>
      <c r="AC5935" s="93">
        <f>AC5926/AA5935</f>
        <v>0.17999999999999983</v>
      </c>
      <c r="AD5935" s="94">
        <f t="shared" si="4129"/>
        <v>0.31679999999999969</v>
      </c>
      <c r="AE5935" s="190"/>
      <c r="AF5935" s="191"/>
      <c r="AG5935" s="191"/>
      <c r="AH5935" s="191"/>
      <c r="AI5935" s="186"/>
      <c r="AK5935" s="171"/>
    </row>
    <row r="5936" spans="1:37" ht="20.100000000000001" customHeight="1" x14ac:dyDescent="0.25">
      <c r="A5936" s="277" t="s">
        <v>491</v>
      </c>
      <c r="B5936" s="278"/>
      <c r="C5936" s="64" t="s">
        <v>626</v>
      </c>
      <c r="D5936" s="46" t="s">
        <v>215</v>
      </c>
      <c r="E5936" s="114"/>
      <c r="F5936" s="44"/>
      <c r="G5936" s="44">
        <f t="shared" si="3841"/>
        <v>0</v>
      </c>
      <c r="H5936" s="44">
        <f t="shared" si="3842"/>
        <v>0</v>
      </c>
      <c r="I5936" s="43">
        <f t="shared" si="3843"/>
        <v>0</v>
      </c>
      <c r="J5936" s="112">
        <f t="shared" si="3844"/>
        <v>0</v>
      </c>
      <c r="K5936" s="211">
        <f t="shared" si="3845"/>
        <v>0</v>
      </c>
      <c r="L5936" s="44"/>
      <c r="M5936" s="44">
        <f t="shared" si="3846"/>
        <v>0</v>
      </c>
      <c r="N5936" s="173">
        <f t="shared" si="3847"/>
        <v>0</v>
      </c>
      <c r="O5936" s="44">
        <f t="shared" si="3848"/>
        <v>0</v>
      </c>
      <c r="P5936" s="44">
        <f t="shared" si="3849"/>
        <v>0</v>
      </c>
      <c r="Q5936" s="44">
        <f t="shared" si="3850"/>
        <v>0</v>
      </c>
      <c r="R5936" s="44">
        <f t="shared" si="3851"/>
        <v>0</v>
      </c>
      <c r="S5936" s="123"/>
      <c r="T5936" s="219">
        <f t="shared" si="3852"/>
        <v>0</v>
      </c>
      <c r="U5936" s="87"/>
      <c r="V5936" s="47"/>
      <c r="W5936" s="48"/>
      <c r="X5936" s="48"/>
      <c r="Y5936" s="48"/>
      <c r="Z5936" s="135"/>
      <c r="AA5936" s="49"/>
      <c r="AB5936" s="50">
        <f t="shared" si="3853"/>
        <v>0</v>
      </c>
      <c r="AC5936" s="42">
        <f t="shared" si="3854"/>
        <v>9.9999999999999998E-20</v>
      </c>
      <c r="AD5936" s="90"/>
      <c r="AE5936" s="188"/>
      <c r="AF5936" s="189"/>
      <c r="AG5936" s="189"/>
      <c r="AH5936" s="189"/>
      <c r="AI5936" s="161"/>
    </row>
    <row r="5937" spans="1:41" s="102" customFormat="1" ht="31.5" x14ac:dyDescent="0.25">
      <c r="A5937" s="45" t="s">
        <v>491</v>
      </c>
      <c r="B5937" s="276"/>
      <c r="C5937" s="285" t="s">
        <v>366</v>
      </c>
      <c r="D5937" s="59"/>
      <c r="E5937" s="116"/>
      <c r="F5937" s="120"/>
      <c r="G5937" s="120">
        <f t="shared" si="3841"/>
        <v>0</v>
      </c>
      <c r="H5937" s="120">
        <f t="shared" si="3842"/>
        <v>0</v>
      </c>
      <c r="I5937" s="60">
        <f t="shared" si="3843"/>
        <v>0</v>
      </c>
      <c r="J5937" s="116">
        <f t="shared" si="3844"/>
        <v>0</v>
      </c>
      <c r="K5937" s="213">
        <f t="shared" si="3845"/>
        <v>0</v>
      </c>
      <c r="L5937" s="120"/>
      <c r="M5937" s="120">
        <f t="shared" si="3846"/>
        <v>0</v>
      </c>
      <c r="N5937" s="167">
        <f t="shared" si="3847"/>
        <v>0</v>
      </c>
      <c r="O5937" s="120">
        <f t="shared" si="3848"/>
        <v>0</v>
      </c>
      <c r="P5937" s="120">
        <f t="shared" si="3849"/>
        <v>0</v>
      </c>
      <c r="Q5937" s="120">
        <f t="shared" si="3850"/>
        <v>0</v>
      </c>
      <c r="R5937" s="120">
        <f t="shared" si="3851"/>
        <v>0</v>
      </c>
      <c r="S5937" s="120"/>
      <c r="T5937" s="221">
        <f t="shared" si="3852"/>
        <v>0</v>
      </c>
      <c r="U5937" s="89"/>
      <c r="V5937" s="61"/>
      <c r="W5937" s="92"/>
      <c r="X5937" s="38"/>
      <c r="Y5937" s="93"/>
      <c r="Z5937" s="134"/>
      <c r="AA5937" s="93"/>
      <c r="AB5937" s="93"/>
      <c r="AC5937" s="93"/>
      <c r="AD5937" s="94"/>
      <c r="AE5937" s="190"/>
      <c r="AF5937" s="191"/>
      <c r="AG5937" s="191"/>
      <c r="AH5937" s="191"/>
      <c r="AI5937" s="186"/>
      <c r="AK5937" s="171"/>
    </row>
    <row r="5938" spans="1:41" s="102" customFormat="1" ht="20.100000000000001" customHeight="1" x14ac:dyDescent="0.25">
      <c r="A5938" s="45" t="s">
        <v>491</v>
      </c>
      <c r="B5938" s="276"/>
      <c r="C5938" s="285" t="s">
        <v>627</v>
      </c>
      <c r="D5938" s="59"/>
      <c r="E5938" s="116"/>
      <c r="F5938" s="120"/>
      <c r="G5938" s="120">
        <f t="shared" si="3841"/>
        <v>0</v>
      </c>
      <c r="H5938" s="120">
        <f t="shared" si="3842"/>
        <v>0</v>
      </c>
      <c r="I5938" s="60">
        <f t="shared" si="3843"/>
        <v>0</v>
      </c>
      <c r="J5938" s="116">
        <f t="shared" si="3844"/>
        <v>0</v>
      </c>
      <c r="K5938" s="213">
        <f t="shared" si="3845"/>
        <v>0</v>
      </c>
      <c r="L5938" s="120"/>
      <c r="M5938" s="120">
        <f t="shared" si="3846"/>
        <v>0</v>
      </c>
      <c r="N5938" s="167">
        <f t="shared" si="3847"/>
        <v>0</v>
      </c>
      <c r="O5938" s="120">
        <f t="shared" si="3848"/>
        <v>0</v>
      </c>
      <c r="P5938" s="120">
        <f t="shared" si="3849"/>
        <v>0</v>
      </c>
      <c r="Q5938" s="120">
        <f t="shared" si="3850"/>
        <v>0</v>
      </c>
      <c r="R5938" s="120">
        <f t="shared" si="3851"/>
        <v>0</v>
      </c>
      <c r="S5938" s="120"/>
      <c r="T5938" s="221">
        <f t="shared" si="3852"/>
        <v>0</v>
      </c>
      <c r="U5938" s="89"/>
      <c r="V5938" s="61"/>
      <c r="W5938" s="92"/>
      <c r="X5938" s="38"/>
      <c r="Y5938" s="93"/>
      <c r="Z5938" s="134"/>
      <c r="AA5938" s="93"/>
      <c r="AB5938" s="93"/>
      <c r="AC5938" s="93"/>
      <c r="AD5938" s="94"/>
      <c r="AE5938" s="190"/>
      <c r="AF5938" s="191"/>
      <c r="AG5938" s="191"/>
      <c r="AH5938" s="191"/>
      <c r="AI5938" s="186"/>
      <c r="AK5938" s="171"/>
    </row>
    <row r="5939" spans="1:41" s="102" customFormat="1" ht="94.5" x14ac:dyDescent="0.25">
      <c r="A5939" s="45" t="s">
        <v>491</v>
      </c>
      <c r="B5939" s="276"/>
      <c r="C5939" s="285" t="s">
        <v>628</v>
      </c>
      <c r="D5939" s="59"/>
      <c r="E5939" s="116"/>
      <c r="F5939" s="120"/>
      <c r="G5939" s="120">
        <f t="shared" si="3841"/>
        <v>0</v>
      </c>
      <c r="H5939" s="120">
        <f t="shared" si="3842"/>
        <v>0</v>
      </c>
      <c r="I5939" s="60">
        <f t="shared" si="3843"/>
        <v>0</v>
      </c>
      <c r="J5939" s="116">
        <f t="shared" si="3844"/>
        <v>0</v>
      </c>
      <c r="K5939" s="213">
        <f t="shared" si="3845"/>
        <v>0</v>
      </c>
      <c r="L5939" s="120"/>
      <c r="M5939" s="120">
        <f t="shared" si="3846"/>
        <v>0</v>
      </c>
      <c r="N5939" s="167">
        <f t="shared" si="3847"/>
        <v>0</v>
      </c>
      <c r="O5939" s="120">
        <f t="shared" si="3848"/>
        <v>0</v>
      </c>
      <c r="P5939" s="120">
        <f t="shared" si="3849"/>
        <v>0</v>
      </c>
      <c r="Q5939" s="120">
        <f t="shared" si="3850"/>
        <v>0</v>
      </c>
      <c r="R5939" s="120">
        <f t="shared" si="3851"/>
        <v>0</v>
      </c>
      <c r="S5939" s="120"/>
      <c r="T5939" s="221">
        <f t="shared" si="3852"/>
        <v>0</v>
      </c>
      <c r="U5939" s="89"/>
      <c r="V5939" s="61"/>
      <c r="W5939" s="92"/>
      <c r="X5939" s="38"/>
      <c r="Y5939" s="93"/>
      <c r="Z5939" s="134"/>
      <c r="AA5939" s="93"/>
      <c r="AB5939" s="93"/>
      <c r="AC5939" s="93"/>
      <c r="AD5939" s="94"/>
      <c r="AE5939" s="190"/>
      <c r="AF5939" s="191"/>
      <c r="AG5939" s="191"/>
      <c r="AH5939" s="191"/>
      <c r="AI5939" s="186"/>
      <c r="AK5939" s="171"/>
    </row>
    <row r="5940" spans="1:41" ht="20.100000000000001" customHeight="1" x14ac:dyDescent="0.25">
      <c r="A5940" s="277" t="s">
        <v>491</v>
      </c>
      <c r="B5940" s="278"/>
      <c r="C5940" s="64" t="s">
        <v>573</v>
      </c>
      <c r="D5940" s="46" t="s">
        <v>215</v>
      </c>
      <c r="E5940" s="114"/>
      <c r="F5940" s="44"/>
      <c r="G5940" s="44">
        <f t="shared" si="3841"/>
        <v>0</v>
      </c>
      <c r="H5940" s="44">
        <f t="shared" si="3842"/>
        <v>0</v>
      </c>
      <c r="I5940" s="43">
        <f t="shared" si="3843"/>
        <v>0</v>
      </c>
      <c r="J5940" s="112">
        <f t="shared" si="3844"/>
        <v>0</v>
      </c>
      <c r="K5940" s="211">
        <f t="shared" si="3845"/>
        <v>0</v>
      </c>
      <c r="L5940" s="44"/>
      <c r="M5940" s="44">
        <f t="shared" si="3846"/>
        <v>0</v>
      </c>
      <c r="N5940" s="173">
        <f t="shared" si="3847"/>
        <v>0</v>
      </c>
      <c r="O5940" s="44">
        <f t="shared" si="3848"/>
        <v>0</v>
      </c>
      <c r="P5940" s="44">
        <f t="shared" si="3849"/>
        <v>0</v>
      </c>
      <c r="Q5940" s="44">
        <f t="shared" si="3850"/>
        <v>0</v>
      </c>
      <c r="R5940" s="44">
        <f t="shared" si="3851"/>
        <v>0</v>
      </c>
      <c r="S5940" s="123"/>
      <c r="T5940" s="219">
        <f t="shared" si="3852"/>
        <v>0</v>
      </c>
      <c r="U5940" s="87"/>
      <c r="V5940" s="47"/>
      <c r="W5940" s="48"/>
      <c r="X5940" s="48"/>
      <c r="Y5940" s="48"/>
      <c r="Z5940" s="135"/>
      <c r="AA5940" s="49"/>
      <c r="AB5940" s="50">
        <f t="shared" si="3853"/>
        <v>0</v>
      </c>
      <c r="AC5940" s="42">
        <f t="shared" si="3854"/>
        <v>9.9999999999999998E-20</v>
      </c>
      <c r="AD5940" s="90"/>
      <c r="AE5940" s="188"/>
      <c r="AF5940" s="189"/>
      <c r="AG5940" s="189"/>
      <c r="AH5940" s="189"/>
      <c r="AI5940" s="161"/>
    </row>
    <row r="5941" spans="1:41" s="102" customFormat="1" ht="20.100000000000001" customHeight="1" x14ac:dyDescent="0.25">
      <c r="A5941" s="45" t="s">
        <v>491</v>
      </c>
      <c r="B5941" s="276"/>
      <c r="C5941" s="285" t="s">
        <v>629</v>
      </c>
      <c r="D5941" s="59"/>
      <c r="E5941" s="116"/>
      <c r="F5941" s="120"/>
      <c r="G5941" s="120">
        <f t="shared" si="3841"/>
        <v>0</v>
      </c>
      <c r="H5941" s="120">
        <f t="shared" si="3842"/>
        <v>0</v>
      </c>
      <c r="I5941" s="60">
        <f t="shared" si="3843"/>
        <v>0</v>
      </c>
      <c r="J5941" s="116">
        <f t="shared" si="3844"/>
        <v>0</v>
      </c>
      <c r="K5941" s="213">
        <f t="shared" si="3845"/>
        <v>0</v>
      </c>
      <c r="L5941" s="120"/>
      <c r="M5941" s="120">
        <f t="shared" si="3846"/>
        <v>0</v>
      </c>
      <c r="N5941" s="167">
        <f t="shared" si="3847"/>
        <v>0</v>
      </c>
      <c r="O5941" s="120">
        <f t="shared" si="3848"/>
        <v>0</v>
      </c>
      <c r="P5941" s="120">
        <f t="shared" si="3849"/>
        <v>0</v>
      </c>
      <c r="Q5941" s="120">
        <f t="shared" si="3850"/>
        <v>0</v>
      </c>
      <c r="R5941" s="120">
        <f t="shared" si="3851"/>
        <v>0</v>
      </c>
      <c r="S5941" s="120"/>
      <c r="T5941" s="221">
        <f t="shared" si="3852"/>
        <v>0</v>
      </c>
      <c r="U5941" s="89"/>
      <c r="V5941" s="61"/>
      <c r="W5941" s="92"/>
      <c r="X5941" s="38"/>
      <c r="Y5941" s="93"/>
      <c r="Z5941" s="134"/>
      <c r="AA5941" s="93"/>
      <c r="AB5941" s="93"/>
      <c r="AC5941" s="93"/>
      <c r="AD5941" s="94"/>
      <c r="AE5941" s="190"/>
      <c r="AF5941" s="191"/>
      <c r="AG5941" s="191"/>
      <c r="AH5941" s="191"/>
      <c r="AI5941" s="186"/>
      <c r="AK5941" s="171"/>
    </row>
    <row r="5942" spans="1:41" s="102" customFormat="1" ht="63" x14ac:dyDescent="0.25">
      <c r="A5942" s="45" t="s">
        <v>491</v>
      </c>
      <c r="B5942" s="276"/>
      <c r="C5942" s="285" t="s">
        <v>630</v>
      </c>
      <c r="D5942" s="59"/>
      <c r="E5942" s="116"/>
      <c r="F5942" s="120"/>
      <c r="G5942" s="120">
        <f t="shared" si="3841"/>
        <v>0</v>
      </c>
      <c r="H5942" s="120">
        <f t="shared" si="3842"/>
        <v>0</v>
      </c>
      <c r="I5942" s="60">
        <f t="shared" si="3843"/>
        <v>0</v>
      </c>
      <c r="J5942" s="116">
        <f t="shared" si="3844"/>
        <v>0</v>
      </c>
      <c r="K5942" s="213">
        <f t="shared" si="3845"/>
        <v>0</v>
      </c>
      <c r="L5942" s="120"/>
      <c r="M5942" s="120">
        <f t="shared" si="3846"/>
        <v>0</v>
      </c>
      <c r="N5942" s="167">
        <f t="shared" si="3847"/>
        <v>0</v>
      </c>
      <c r="O5942" s="120">
        <f t="shared" si="3848"/>
        <v>0</v>
      </c>
      <c r="P5942" s="120">
        <f t="shared" si="3849"/>
        <v>0</v>
      </c>
      <c r="Q5942" s="120">
        <f t="shared" si="3850"/>
        <v>0</v>
      </c>
      <c r="R5942" s="120">
        <f t="shared" si="3851"/>
        <v>0</v>
      </c>
      <c r="S5942" s="120"/>
      <c r="T5942" s="221">
        <f t="shared" si="3852"/>
        <v>0</v>
      </c>
      <c r="U5942" s="89"/>
      <c r="V5942" s="61"/>
      <c r="W5942" s="92"/>
      <c r="X5942" s="38"/>
      <c r="Y5942" s="93"/>
      <c r="Z5942" s="134"/>
      <c r="AA5942" s="93"/>
      <c r="AB5942" s="93"/>
      <c r="AC5942" s="93"/>
      <c r="AD5942" s="94"/>
      <c r="AE5942" s="190"/>
      <c r="AF5942" s="191"/>
      <c r="AG5942" s="191"/>
      <c r="AH5942" s="191"/>
      <c r="AI5942" s="186"/>
      <c r="AK5942" s="171"/>
    </row>
    <row r="5943" spans="1:41" ht="20.100000000000001" customHeight="1" x14ac:dyDescent="0.25">
      <c r="A5943" s="277" t="s">
        <v>491</v>
      </c>
      <c r="B5943" s="278"/>
      <c r="C5943" s="64" t="s">
        <v>562</v>
      </c>
      <c r="D5943" s="46" t="s">
        <v>97</v>
      </c>
      <c r="E5943" s="114">
        <v>368.15565000000242</v>
      </c>
      <c r="F5943" s="44">
        <v>83</v>
      </c>
      <c r="G5943" s="44">
        <f t="shared" si="3841"/>
        <v>30556.918950000203</v>
      </c>
      <c r="H5943" s="44">
        <f t="shared" si="3842"/>
        <v>56.151779650588246</v>
      </c>
      <c r="I5943" s="43">
        <f t="shared" si="3843"/>
        <v>20672.594935919224</v>
      </c>
      <c r="J5943" s="112">
        <f t="shared" si="3844"/>
        <v>368.15565000000242</v>
      </c>
      <c r="K5943" s="211">
        <f t="shared" si="3845"/>
        <v>368.15565000000242</v>
      </c>
      <c r="L5943" s="44"/>
      <c r="M5943" s="44">
        <f t="shared" si="3846"/>
        <v>368.15565000000242</v>
      </c>
      <c r="N5943" s="173">
        <f t="shared" si="3847"/>
        <v>1</v>
      </c>
      <c r="O5943" s="44">
        <f t="shared" si="3848"/>
        <v>83</v>
      </c>
      <c r="P5943" s="44">
        <f t="shared" si="3849"/>
        <v>30556.918950000203</v>
      </c>
      <c r="Q5943" s="44">
        <f t="shared" si="3850"/>
        <v>56.151779650588246</v>
      </c>
      <c r="R5943" s="44">
        <f t="shared" si="3851"/>
        <v>20672.594935919224</v>
      </c>
      <c r="S5943" s="123"/>
      <c r="T5943" s="219">
        <f t="shared" si="3852"/>
        <v>20672.594935919224</v>
      </c>
      <c r="U5943" s="87"/>
      <c r="V5943" s="47"/>
      <c r="W5943" s="48"/>
      <c r="X5943" s="48"/>
      <c r="Y5943" s="48"/>
      <c r="Z5943" s="135"/>
      <c r="AA5943" s="49"/>
      <c r="AB5943" s="50">
        <f t="shared" si="3853"/>
        <v>56.151779650588246</v>
      </c>
      <c r="AC5943" s="42">
        <f t="shared" si="3854"/>
        <v>368.15565000000242</v>
      </c>
      <c r="AD5943" s="90">
        <f>AD5944</f>
        <v>20672.594935919224</v>
      </c>
      <c r="AE5943" s="188">
        <f t="shared" ref="AE5943:AH5943" si="4130">AE5944</f>
        <v>0</v>
      </c>
      <c r="AF5943" s="189">
        <f t="shared" si="4130"/>
        <v>0</v>
      </c>
      <c r="AG5943" s="189">
        <f t="shared" si="4130"/>
        <v>0</v>
      </c>
      <c r="AH5943" s="189">
        <f t="shared" si="4130"/>
        <v>0</v>
      </c>
      <c r="AI5943" s="161">
        <f t="shared" ref="AI5943" si="4131">SUM(AE5943:AH5943)</f>
        <v>0</v>
      </c>
      <c r="AK5943" s="169">
        <v>5</v>
      </c>
      <c r="AO5943" s="19" t="s">
        <v>63</v>
      </c>
    </row>
    <row r="5944" spans="1:41" s="103" customFormat="1" ht="19.899999999999999" customHeight="1" x14ac:dyDescent="0.25">
      <c r="A5944" s="51"/>
      <c r="B5944" s="52"/>
      <c r="C5944" s="165"/>
      <c r="D5944" s="52"/>
      <c r="E5944" s="115"/>
      <c r="F5944" s="58"/>
      <c r="G5944" s="58"/>
      <c r="H5944" s="58"/>
      <c r="I5944" s="55"/>
      <c r="J5944" s="113">
        <f>J5943</f>
        <v>368.15565000000242</v>
      </c>
      <c r="K5944" s="212">
        <f>K5943</f>
        <v>368.15565000000242</v>
      </c>
      <c r="L5944" s="58"/>
      <c r="M5944" s="58">
        <f>K5944-L5944</f>
        <v>368.15565000000242</v>
      </c>
      <c r="N5944" s="166"/>
      <c r="O5944" s="58"/>
      <c r="P5944" s="58"/>
      <c r="Q5944" s="58"/>
      <c r="R5944" s="58"/>
      <c r="S5944" s="58"/>
      <c r="T5944" s="220"/>
      <c r="U5944" s="88"/>
      <c r="V5944" s="56"/>
      <c r="W5944" s="57" t="s">
        <v>1571</v>
      </c>
      <c r="X5944" s="53"/>
      <c r="Y5944" s="91" t="s">
        <v>68</v>
      </c>
      <c r="Z5944" s="136">
        <f>AD5944/AC5944</f>
        <v>56.151779650588246</v>
      </c>
      <c r="AA5944" s="58"/>
      <c r="AB5944" s="53">
        <f>AD5944/AC5944</f>
        <v>56.151779650588246</v>
      </c>
      <c r="AC5944" s="53">
        <f>M5944+$AE$10</f>
        <v>368.15565000000242</v>
      </c>
      <c r="AD5944" s="54">
        <f>SUM(AD5945:AD5951)</f>
        <v>20672.594935919224</v>
      </c>
      <c r="AE5944" s="184">
        <f>SUMIFS($AD$37:$AD$12971,$V$37:$V$12971,$V5944,$X$37:$X$12971,AE$13)</f>
        <v>0</v>
      </c>
      <c r="AF5944" s="185">
        <f>SUMIFS($AD$37:$AD$12971,$V$37:$V$12971,$V5944,$X$37:$X$12971,AF$13)</f>
        <v>0</v>
      </c>
      <c r="AG5944" s="185">
        <f>SUMIFS($AD$37:$AD$12971,$V$37:$V$12971,$V5944,$X$37:$X$12971,AG$13)</f>
        <v>0</v>
      </c>
      <c r="AH5944" s="187">
        <f>SUMIFS($AD$37:$AD$12971,$V$37:$V$12971,$V5944,$X$37:$X$12971,AH$13)</f>
        <v>0</v>
      </c>
      <c r="AI5944" s="161">
        <f t="shared" ref="AI5944" si="4132">SUM(AE5944:AH5944)</f>
        <v>0</v>
      </c>
      <c r="AK5944" s="172"/>
    </row>
    <row r="5945" spans="1:41" s="102" customFormat="1" ht="19.899999999999999" customHeight="1" x14ac:dyDescent="0.25">
      <c r="A5945" s="45"/>
      <c r="B5945" s="59"/>
      <c r="C5945" s="137"/>
      <c r="D5945" s="59"/>
      <c r="E5945" s="116"/>
      <c r="F5945" s="120"/>
      <c r="G5945" s="120"/>
      <c r="H5945" s="120"/>
      <c r="I5945" s="60"/>
      <c r="J5945" s="116"/>
      <c r="K5945" s="213"/>
      <c r="L5945" s="120"/>
      <c r="M5945" s="120"/>
      <c r="N5945" s="167"/>
      <c r="O5945" s="120"/>
      <c r="P5945" s="120"/>
      <c r="Q5945" s="120"/>
      <c r="R5945" s="120"/>
      <c r="S5945" s="120"/>
      <c r="T5945" s="221"/>
      <c r="U5945" s="89"/>
      <c r="V5945" s="61"/>
      <c r="W5945" s="92" t="s">
        <v>1570</v>
      </c>
      <c r="X5945" s="93" t="s">
        <v>30</v>
      </c>
      <c r="Y5945" s="93" t="s">
        <v>66</v>
      </c>
      <c r="Z5945" s="134">
        <f>VLOOKUP(W5945,Sheet2!$B:$D,3,FALSE)</f>
        <v>70</v>
      </c>
      <c r="AA5945" s="93">
        <f>1/((1*(0.15+0.3+0.3))-(3.14/4*0.15*0.15))</f>
        <v>1.3654906378548142</v>
      </c>
      <c r="AB5945" s="93">
        <f>AD5945/AC5944</f>
        <v>51.263624999999998</v>
      </c>
      <c r="AC5945" s="93">
        <f>AC5944/AA5945</f>
        <v>269.61418833187679</v>
      </c>
      <c r="AD5945" s="94">
        <f t="shared" ref="AD5945" si="4133">AC5945*Z5945</f>
        <v>18872.993183231374</v>
      </c>
      <c r="AE5945" s="190"/>
      <c r="AF5945" s="191"/>
      <c r="AG5945" s="191"/>
      <c r="AH5945" s="191"/>
      <c r="AI5945" s="186"/>
      <c r="AK5945" s="171"/>
    </row>
    <row r="5946" spans="1:41" s="102" customFormat="1" ht="19.899999999999999" customHeight="1" x14ac:dyDescent="0.25">
      <c r="A5946" s="45"/>
      <c r="B5946" s="59"/>
      <c r="C5946" s="137"/>
      <c r="D5946" s="59"/>
      <c r="E5946" s="116"/>
      <c r="F5946" s="120"/>
      <c r="G5946" s="120"/>
      <c r="H5946" s="120"/>
      <c r="I5946" s="60"/>
      <c r="J5946" s="116"/>
      <c r="K5946" s="213"/>
      <c r="L5946" s="120"/>
      <c r="M5946" s="120"/>
      <c r="N5946" s="167"/>
      <c r="O5946" s="120"/>
      <c r="P5946" s="120"/>
      <c r="Q5946" s="120"/>
      <c r="R5946" s="120"/>
      <c r="S5946" s="120"/>
      <c r="T5946" s="221"/>
      <c r="U5946" s="89"/>
      <c r="V5946" s="61"/>
      <c r="W5946" s="92" t="s">
        <v>134</v>
      </c>
      <c r="X5946" s="93" t="s">
        <v>29</v>
      </c>
      <c r="Y5946" s="93" t="s">
        <v>93</v>
      </c>
      <c r="Z5946" s="134">
        <f>VLOOKUP(W5946,Sheet2!$B:$D,3,FALSE)</f>
        <v>65.599999999999994</v>
      </c>
      <c r="AA5946" s="93">
        <f>100/((1*(0.15+0.3+0.3))-(3.14/4*0.15*0.15))</f>
        <v>136.54906378548142</v>
      </c>
      <c r="AB5946" s="93">
        <f>AD5946/AC5944</f>
        <v>0.48041339999999993</v>
      </c>
      <c r="AC5946" s="93">
        <f>AC5944/AA5946</f>
        <v>2.6961418833187678</v>
      </c>
      <c r="AD5946" s="94">
        <f t="shared" ref="AD5946:AD5947" si="4134">AC5946*Z5946</f>
        <v>176.86690754571114</v>
      </c>
      <c r="AE5946" s="190"/>
      <c r="AF5946" s="191"/>
      <c r="AG5946" s="191"/>
      <c r="AH5946" s="191"/>
      <c r="AI5946" s="186"/>
      <c r="AK5946" s="171"/>
    </row>
    <row r="5947" spans="1:41" s="102" customFormat="1" ht="19.899999999999999" customHeight="1" x14ac:dyDescent="0.25">
      <c r="A5947" s="45"/>
      <c r="B5947" s="59"/>
      <c r="C5947" s="137"/>
      <c r="D5947" s="59"/>
      <c r="E5947" s="116"/>
      <c r="F5947" s="120"/>
      <c r="G5947" s="120"/>
      <c r="H5947" s="120"/>
      <c r="I5947" s="60"/>
      <c r="J5947" s="116"/>
      <c r="K5947" s="213"/>
      <c r="L5947" s="120"/>
      <c r="M5947" s="120"/>
      <c r="N5947" s="167"/>
      <c r="O5947" s="120"/>
      <c r="P5947" s="120"/>
      <c r="Q5947" s="120"/>
      <c r="R5947" s="120"/>
      <c r="S5947" s="120"/>
      <c r="T5947" s="221"/>
      <c r="U5947" s="89"/>
      <c r="V5947" s="61"/>
      <c r="W5947" s="92" t="s">
        <v>65</v>
      </c>
      <c r="X5947" s="93" t="s">
        <v>30</v>
      </c>
      <c r="Y5947" s="93" t="s">
        <v>1011</v>
      </c>
      <c r="Z5947" s="134">
        <f>VLOOKUP(W5947,Sheet2!$B:$D,3,FALSE)</f>
        <v>1.76</v>
      </c>
      <c r="AA5947" s="93">
        <f>AA5946/9</f>
        <v>15.172118198386825</v>
      </c>
      <c r="AB5947" s="93">
        <f>AD5947/AC5944</f>
        <v>0.11600226</v>
      </c>
      <c r="AC5947" s="93">
        <f>AC5944/AA5947</f>
        <v>24.265276949868909</v>
      </c>
      <c r="AD5947" s="94">
        <f t="shared" si="4134"/>
        <v>42.706887431769282</v>
      </c>
      <c r="AE5947" s="190"/>
      <c r="AF5947" s="191"/>
      <c r="AG5947" s="191"/>
      <c r="AH5947" s="191"/>
      <c r="AI5947" s="186"/>
      <c r="AK5947" s="171"/>
    </row>
    <row r="5948" spans="1:41" s="102" customFormat="1" ht="19.899999999999999" customHeight="1" x14ac:dyDescent="0.25">
      <c r="A5948" s="45"/>
      <c r="B5948" s="59"/>
      <c r="C5948" s="137"/>
      <c r="D5948" s="59"/>
      <c r="E5948" s="116"/>
      <c r="F5948" s="120"/>
      <c r="G5948" s="120"/>
      <c r="H5948" s="120"/>
      <c r="I5948" s="60"/>
      <c r="J5948" s="116"/>
      <c r="K5948" s="213"/>
      <c r="L5948" s="120"/>
      <c r="M5948" s="120"/>
      <c r="N5948" s="167"/>
      <c r="O5948" s="120"/>
      <c r="P5948" s="120"/>
      <c r="Q5948" s="120"/>
      <c r="R5948" s="120"/>
      <c r="S5948" s="120"/>
      <c r="T5948" s="221"/>
      <c r="U5948" s="89"/>
      <c r="V5948" s="61"/>
      <c r="W5948" s="92" t="s">
        <v>161</v>
      </c>
      <c r="X5948" s="93" t="s">
        <v>29</v>
      </c>
      <c r="Y5948" s="93" t="s">
        <v>93</v>
      </c>
      <c r="Z5948" s="134">
        <f>VLOOKUP(W5948,Sheet2!$B:$D,3,FALSE)</f>
        <v>48</v>
      </c>
      <c r="AA5948" s="93">
        <f>(16*0.85*1)/((1*(0.15+0.3+0.3))-(3.14/4*0.15*0.15))</f>
        <v>18.570672674825474</v>
      </c>
      <c r="AB5948" s="93">
        <f>AD5948/AC5944</f>
        <v>2.5847205882352942</v>
      </c>
      <c r="AC5948" s="93">
        <f>AC5944/AA5948</f>
        <v>19.824572671461528</v>
      </c>
      <c r="AD5948" s="94">
        <f>AC5948*Z5948</f>
        <v>951.5794882301534</v>
      </c>
      <c r="AE5948" s="190"/>
      <c r="AF5948" s="191"/>
      <c r="AG5948" s="191"/>
      <c r="AH5948" s="191"/>
      <c r="AI5948" s="186"/>
      <c r="AK5948" s="171"/>
    </row>
    <row r="5949" spans="1:41" s="102" customFormat="1" ht="19.899999999999999" customHeight="1" x14ac:dyDescent="0.25">
      <c r="A5949" s="45"/>
      <c r="B5949" s="59"/>
      <c r="C5949" s="137"/>
      <c r="D5949" s="59"/>
      <c r="E5949" s="116"/>
      <c r="F5949" s="120"/>
      <c r="G5949" s="120"/>
      <c r="H5949" s="120"/>
      <c r="I5949" s="60"/>
      <c r="J5949" s="116"/>
      <c r="K5949" s="213"/>
      <c r="L5949" s="120"/>
      <c r="M5949" s="120"/>
      <c r="N5949" s="167"/>
      <c r="O5949" s="120"/>
      <c r="P5949" s="120"/>
      <c r="Q5949" s="120"/>
      <c r="R5949" s="120"/>
      <c r="S5949" s="120"/>
      <c r="T5949" s="221"/>
      <c r="U5949" s="89"/>
      <c r="V5949" s="61"/>
      <c r="W5949" s="92" t="s">
        <v>65</v>
      </c>
      <c r="X5949" s="93" t="s">
        <v>30</v>
      </c>
      <c r="Y5949" s="93" t="s">
        <v>1011</v>
      </c>
      <c r="Z5949" s="134">
        <f>VLOOKUP(W5949,Sheet2!$B:$D,3,FALSE)</f>
        <v>1.76</v>
      </c>
      <c r="AA5949" s="93">
        <f>AA5948/10</f>
        <v>1.8570672674825475</v>
      </c>
      <c r="AB5949" s="93">
        <f>AD5949/AC5944</f>
        <v>0.94773088235294123</v>
      </c>
      <c r="AC5949" s="93">
        <f>AC5944/AA5949</f>
        <v>198.24572671461527</v>
      </c>
      <c r="AD5949" s="94">
        <f>AC5949*Z5949</f>
        <v>348.91247901772289</v>
      </c>
      <c r="AE5949" s="190"/>
      <c r="AF5949" s="191"/>
      <c r="AG5949" s="191"/>
      <c r="AH5949" s="191"/>
      <c r="AI5949" s="186"/>
      <c r="AK5949" s="171"/>
    </row>
    <row r="5950" spans="1:41" s="102" customFormat="1" ht="19.899999999999999" customHeight="1" x14ac:dyDescent="0.25">
      <c r="A5950" s="45"/>
      <c r="B5950" s="59"/>
      <c r="C5950" s="137"/>
      <c r="D5950" s="59"/>
      <c r="E5950" s="116"/>
      <c r="F5950" s="120"/>
      <c r="G5950" s="120"/>
      <c r="H5950" s="120"/>
      <c r="I5950" s="60"/>
      <c r="J5950" s="116"/>
      <c r="K5950" s="213"/>
      <c r="L5950" s="120"/>
      <c r="M5950" s="120"/>
      <c r="N5950" s="167"/>
      <c r="O5950" s="120"/>
      <c r="P5950" s="120"/>
      <c r="Q5950" s="120"/>
      <c r="R5950" s="120"/>
      <c r="S5950" s="120"/>
      <c r="T5950" s="221"/>
      <c r="U5950" s="89"/>
      <c r="V5950" s="61"/>
      <c r="W5950" s="92" t="s">
        <v>173</v>
      </c>
      <c r="X5950" s="93" t="s">
        <v>29</v>
      </c>
      <c r="Y5950" s="93" t="s">
        <v>93</v>
      </c>
      <c r="Z5950" s="134">
        <f>VLOOKUP(W5950,Sheet2!$B:$D,3,FALSE)</f>
        <v>36</v>
      </c>
      <c r="AA5950" s="93">
        <f>50/((1*(0.15+0.3+0.3))-(3.14/4*0.15*0.15))</f>
        <v>68.274531892740711</v>
      </c>
      <c r="AB5950" s="93">
        <f>AD5950/AC5944</f>
        <v>0.52728299999999995</v>
      </c>
      <c r="AC5950" s="93">
        <f>AC5944/AA5950</f>
        <v>5.3922837666375356</v>
      </c>
      <c r="AD5950" s="94">
        <f>AC5950*Z5950</f>
        <v>194.12221559895127</v>
      </c>
      <c r="AE5950" s="190"/>
      <c r="AF5950" s="191"/>
      <c r="AG5950" s="191"/>
      <c r="AH5950" s="191"/>
      <c r="AI5950" s="186"/>
      <c r="AK5950" s="171"/>
    </row>
    <row r="5951" spans="1:41" s="102" customFormat="1" ht="19.899999999999999" customHeight="1" x14ac:dyDescent="0.25">
      <c r="A5951" s="45"/>
      <c r="B5951" s="59"/>
      <c r="C5951" s="137"/>
      <c r="D5951" s="59"/>
      <c r="E5951" s="116"/>
      <c r="F5951" s="120"/>
      <c r="G5951" s="120"/>
      <c r="H5951" s="120"/>
      <c r="I5951" s="60"/>
      <c r="J5951" s="116"/>
      <c r="K5951" s="213"/>
      <c r="L5951" s="120"/>
      <c r="M5951" s="120"/>
      <c r="N5951" s="167"/>
      <c r="O5951" s="120"/>
      <c r="P5951" s="120"/>
      <c r="Q5951" s="120"/>
      <c r="R5951" s="120"/>
      <c r="S5951" s="120"/>
      <c r="T5951" s="221"/>
      <c r="U5951" s="89"/>
      <c r="V5951" s="61"/>
      <c r="W5951" s="92" t="s">
        <v>65</v>
      </c>
      <c r="X5951" s="93" t="s">
        <v>30</v>
      </c>
      <c r="Y5951" s="93" t="s">
        <v>1011</v>
      </c>
      <c r="Z5951" s="134">
        <f>VLOOKUP(W5951,Sheet2!$B:$D,3,FALSE)</f>
        <v>1.76</v>
      </c>
      <c r="AA5951" s="93">
        <f>AA5950/9</f>
        <v>7.5860590991934123</v>
      </c>
      <c r="AB5951" s="93">
        <f>AD5951/AC5944</f>
        <v>0.23200451999999999</v>
      </c>
      <c r="AC5951" s="93">
        <f>AC5944/AA5951</f>
        <v>48.530553899737818</v>
      </c>
      <c r="AD5951" s="94">
        <f>AC5951*Z5951</f>
        <v>85.413774863538563</v>
      </c>
      <c r="AE5951" s="190"/>
      <c r="AF5951" s="191"/>
      <c r="AG5951" s="191"/>
      <c r="AH5951" s="191"/>
      <c r="AI5951" s="186"/>
      <c r="AK5951" s="171"/>
    </row>
    <row r="5952" spans="1:41" ht="20.100000000000001" customHeight="1" x14ac:dyDescent="0.25">
      <c r="A5952" s="277" t="s">
        <v>491</v>
      </c>
      <c r="B5952" s="278"/>
      <c r="C5952" s="64" t="s">
        <v>563</v>
      </c>
      <c r="D5952" s="46" t="s">
        <v>97</v>
      </c>
      <c r="E5952" s="114">
        <v>1846.7768500000166</v>
      </c>
      <c r="F5952" s="44">
        <v>95</v>
      </c>
      <c r="G5952" s="44">
        <f t="shared" si="3841"/>
        <v>175443.80075000157</v>
      </c>
      <c r="H5952" s="44">
        <f t="shared" si="3842"/>
        <v>58.932197025882353</v>
      </c>
      <c r="I5952" s="43">
        <f t="shared" si="3843"/>
        <v>108834.61718703936</v>
      </c>
      <c r="J5952" s="112">
        <f t="shared" si="3844"/>
        <v>1846.7768500000166</v>
      </c>
      <c r="K5952" s="211">
        <f t="shared" si="3845"/>
        <v>1846.7768500000166</v>
      </c>
      <c r="L5952" s="44"/>
      <c r="M5952" s="44">
        <f t="shared" si="3846"/>
        <v>1846.7768500000166</v>
      </c>
      <c r="N5952" s="173">
        <f t="shared" si="3847"/>
        <v>1</v>
      </c>
      <c r="O5952" s="44">
        <f t="shared" si="3848"/>
        <v>95</v>
      </c>
      <c r="P5952" s="44">
        <f t="shared" si="3849"/>
        <v>175443.80075000157</v>
      </c>
      <c r="Q5952" s="44">
        <f t="shared" si="3850"/>
        <v>58.932197025882353</v>
      </c>
      <c r="R5952" s="44">
        <f t="shared" si="3851"/>
        <v>108834.61718703936</v>
      </c>
      <c r="S5952" s="123"/>
      <c r="T5952" s="219">
        <f t="shared" si="3852"/>
        <v>108834.61718703936</v>
      </c>
      <c r="U5952" s="87"/>
      <c r="V5952" s="47"/>
      <c r="W5952" s="48"/>
      <c r="X5952" s="48"/>
      <c r="Y5952" s="48"/>
      <c r="Z5952" s="135"/>
      <c r="AA5952" s="49"/>
      <c r="AB5952" s="50">
        <f t="shared" si="3853"/>
        <v>58.932197025882353</v>
      </c>
      <c r="AC5952" s="42">
        <f t="shared" si="3854"/>
        <v>1846.7768500000166</v>
      </c>
      <c r="AD5952" s="90">
        <f>AD5953</f>
        <v>108834.61718703936</v>
      </c>
      <c r="AE5952" s="188">
        <f t="shared" ref="AE5952" si="4135">AE5953</f>
        <v>0</v>
      </c>
      <c r="AF5952" s="189">
        <f t="shared" ref="AF5952" si="4136">AF5953</f>
        <v>0</v>
      </c>
      <c r="AG5952" s="189">
        <f t="shared" ref="AG5952" si="4137">AG5953</f>
        <v>0</v>
      </c>
      <c r="AH5952" s="189">
        <f t="shared" ref="AH5952" si="4138">AH5953</f>
        <v>0</v>
      </c>
      <c r="AI5952" s="161">
        <f t="shared" ref="AI5952" si="4139">SUM(AE5952:AH5952)</f>
        <v>0</v>
      </c>
      <c r="AK5952" s="169">
        <v>5</v>
      </c>
      <c r="AO5952" s="19" t="s">
        <v>63</v>
      </c>
    </row>
    <row r="5953" spans="1:41" s="103" customFormat="1" ht="19.899999999999999" customHeight="1" x14ac:dyDescent="0.25">
      <c r="A5953" s="51"/>
      <c r="B5953" s="52"/>
      <c r="C5953" s="165"/>
      <c r="D5953" s="52"/>
      <c r="E5953" s="115"/>
      <c r="F5953" s="58"/>
      <c r="G5953" s="58"/>
      <c r="H5953" s="58"/>
      <c r="I5953" s="55"/>
      <c r="J5953" s="113">
        <f>J5952</f>
        <v>1846.7768500000166</v>
      </c>
      <c r="K5953" s="212">
        <f>K5952</f>
        <v>1846.7768500000166</v>
      </c>
      <c r="L5953" s="58"/>
      <c r="M5953" s="58">
        <f>K5953-L5953</f>
        <v>1846.7768500000166</v>
      </c>
      <c r="N5953" s="166"/>
      <c r="O5953" s="58"/>
      <c r="P5953" s="58"/>
      <c r="Q5953" s="58"/>
      <c r="R5953" s="58"/>
      <c r="S5953" s="58"/>
      <c r="T5953" s="220"/>
      <c r="U5953" s="88"/>
      <c r="V5953" s="56"/>
      <c r="W5953" s="57" t="s">
        <v>1571</v>
      </c>
      <c r="X5953" s="53"/>
      <c r="Y5953" s="91" t="s">
        <v>68</v>
      </c>
      <c r="Z5953" s="136">
        <f>AD5953/AC5953</f>
        <v>58.932197025882353</v>
      </c>
      <c r="AA5953" s="58"/>
      <c r="AB5953" s="53">
        <f>AD5953/AC5953</f>
        <v>58.932197025882353</v>
      </c>
      <c r="AC5953" s="53">
        <f>M5953+$AE$10</f>
        <v>1846.7768500000166</v>
      </c>
      <c r="AD5953" s="54">
        <f>SUM(AD5954:AD5960)</f>
        <v>108834.61718703936</v>
      </c>
      <c r="AE5953" s="184">
        <f>SUMIFS($AD$37:$AD$12971,$V$37:$V$12971,$V5953,$X$37:$X$12971,AE$13)</f>
        <v>0</v>
      </c>
      <c r="AF5953" s="185">
        <f>SUMIFS($AD$37:$AD$12971,$V$37:$V$12971,$V5953,$X$37:$X$12971,AF$13)</f>
        <v>0</v>
      </c>
      <c r="AG5953" s="185">
        <f>SUMIFS($AD$37:$AD$12971,$V$37:$V$12971,$V5953,$X$37:$X$12971,AG$13)</f>
        <v>0</v>
      </c>
      <c r="AH5953" s="187">
        <f>SUMIFS($AD$37:$AD$12971,$V$37:$V$12971,$V5953,$X$37:$X$12971,AH$13)</f>
        <v>0</v>
      </c>
      <c r="AI5953" s="161">
        <f t="shared" ref="AI5953" si="4140">SUM(AE5953:AH5953)</f>
        <v>0</v>
      </c>
      <c r="AK5953" s="172"/>
    </row>
    <row r="5954" spans="1:41" s="102" customFormat="1" ht="19.899999999999999" customHeight="1" x14ac:dyDescent="0.25">
      <c r="A5954" s="45"/>
      <c r="B5954" s="59"/>
      <c r="C5954" s="137"/>
      <c r="D5954" s="59"/>
      <c r="E5954" s="116"/>
      <c r="F5954" s="120"/>
      <c r="G5954" s="120"/>
      <c r="H5954" s="120"/>
      <c r="I5954" s="60"/>
      <c r="J5954" s="116"/>
      <c r="K5954" s="213"/>
      <c r="L5954" s="120"/>
      <c r="M5954" s="120"/>
      <c r="N5954" s="167"/>
      <c r="O5954" s="120"/>
      <c r="P5954" s="120"/>
      <c r="Q5954" s="120"/>
      <c r="R5954" s="120"/>
      <c r="S5954" s="120"/>
      <c r="T5954" s="221"/>
      <c r="U5954" s="89"/>
      <c r="V5954" s="61"/>
      <c r="W5954" s="92" t="s">
        <v>1570</v>
      </c>
      <c r="X5954" s="93" t="s">
        <v>30</v>
      </c>
      <c r="Y5954" s="93" t="s">
        <v>66</v>
      </c>
      <c r="Z5954" s="134">
        <f>VLOOKUP(W5954,Sheet2!$B:$D,3,FALSE)</f>
        <v>70</v>
      </c>
      <c r="AA5954" s="93">
        <f>1/((1*(0.2+0.3+0.3))-(3.14/4*0.2*0.2))</f>
        <v>1.3010668748373666</v>
      </c>
      <c r="AB5954" s="93">
        <f>AD5954/AC5953</f>
        <v>53.802000000000007</v>
      </c>
      <c r="AC5954" s="93">
        <f>AC5953/AA5954</f>
        <v>1419.4326869100128</v>
      </c>
      <c r="AD5954" s="94">
        <f t="shared" ref="AD5954:AD5956" si="4141">AC5954*Z5954</f>
        <v>99360.2880837009</v>
      </c>
      <c r="AE5954" s="190"/>
      <c r="AF5954" s="191"/>
      <c r="AG5954" s="191"/>
      <c r="AH5954" s="191"/>
      <c r="AI5954" s="186"/>
      <c r="AK5954" s="171"/>
    </row>
    <row r="5955" spans="1:41" s="102" customFormat="1" ht="19.899999999999999" customHeight="1" x14ac:dyDescent="0.25">
      <c r="A5955" s="45"/>
      <c r="B5955" s="59"/>
      <c r="C5955" s="137"/>
      <c r="D5955" s="59"/>
      <c r="E5955" s="116"/>
      <c r="F5955" s="120"/>
      <c r="G5955" s="120"/>
      <c r="H5955" s="120"/>
      <c r="I5955" s="60"/>
      <c r="J5955" s="116"/>
      <c r="K5955" s="213"/>
      <c r="L5955" s="120"/>
      <c r="M5955" s="120"/>
      <c r="N5955" s="167"/>
      <c r="O5955" s="120"/>
      <c r="P5955" s="120"/>
      <c r="Q5955" s="120"/>
      <c r="R5955" s="120"/>
      <c r="S5955" s="120"/>
      <c r="T5955" s="221"/>
      <c r="U5955" s="89"/>
      <c r="V5955" s="61"/>
      <c r="W5955" s="92" t="s">
        <v>134</v>
      </c>
      <c r="X5955" s="93" t="s">
        <v>29</v>
      </c>
      <c r="Y5955" s="93" t="s">
        <v>93</v>
      </c>
      <c r="Z5955" s="134">
        <f>VLOOKUP(W5955,Sheet2!$B:$D,3,FALSE)</f>
        <v>65.599999999999994</v>
      </c>
      <c r="AA5955" s="93">
        <f>100/((1*(0.2+0.3+0.3))-(3.14/4*0.2*0.2))</f>
        <v>130.10668748373666</v>
      </c>
      <c r="AB5955" s="93">
        <f>AD5955/AC5953</f>
        <v>0.50420159999999992</v>
      </c>
      <c r="AC5955" s="93">
        <f>AC5953/AA5955</f>
        <v>14.194326869100127</v>
      </c>
      <c r="AD5955" s="94">
        <f t="shared" si="4141"/>
        <v>931.14784261296825</v>
      </c>
      <c r="AE5955" s="190"/>
      <c r="AF5955" s="191"/>
      <c r="AG5955" s="191"/>
      <c r="AH5955" s="191"/>
      <c r="AI5955" s="186"/>
      <c r="AK5955" s="171"/>
    </row>
    <row r="5956" spans="1:41" s="102" customFormat="1" ht="19.899999999999999" customHeight="1" x14ac:dyDescent="0.25">
      <c r="A5956" s="45"/>
      <c r="B5956" s="59"/>
      <c r="C5956" s="137"/>
      <c r="D5956" s="59"/>
      <c r="E5956" s="116"/>
      <c r="F5956" s="120"/>
      <c r="G5956" s="120"/>
      <c r="H5956" s="120"/>
      <c r="I5956" s="60"/>
      <c r="J5956" s="116"/>
      <c r="K5956" s="213"/>
      <c r="L5956" s="120"/>
      <c r="M5956" s="120"/>
      <c r="N5956" s="167"/>
      <c r="O5956" s="120"/>
      <c r="P5956" s="120"/>
      <c r="Q5956" s="120"/>
      <c r="R5956" s="120"/>
      <c r="S5956" s="120"/>
      <c r="T5956" s="221"/>
      <c r="U5956" s="89"/>
      <c r="V5956" s="61"/>
      <c r="W5956" s="92" t="s">
        <v>65</v>
      </c>
      <c r="X5956" s="93" t="s">
        <v>30</v>
      </c>
      <c r="Y5956" s="93" t="s">
        <v>1011</v>
      </c>
      <c r="Z5956" s="134">
        <f>VLOOKUP(W5956,Sheet2!$B:$D,3,FALSE)</f>
        <v>1.76</v>
      </c>
      <c r="AA5956" s="93">
        <f>AA5955/9</f>
        <v>14.456298609304074</v>
      </c>
      <c r="AB5956" s="93">
        <f>AD5956/AC5953</f>
        <v>0.12174623999999999</v>
      </c>
      <c r="AC5956" s="93">
        <f>AC5953/AA5956</f>
        <v>127.74894182190114</v>
      </c>
      <c r="AD5956" s="94">
        <f t="shared" si="4141"/>
        <v>224.83813760654601</v>
      </c>
      <c r="AE5956" s="190"/>
      <c r="AF5956" s="191"/>
      <c r="AG5956" s="191"/>
      <c r="AH5956" s="191"/>
      <c r="AI5956" s="186"/>
      <c r="AK5956" s="171"/>
    </row>
    <row r="5957" spans="1:41" s="102" customFormat="1" ht="19.899999999999999" customHeight="1" x14ac:dyDescent="0.25">
      <c r="A5957" s="45"/>
      <c r="B5957" s="59"/>
      <c r="C5957" s="137"/>
      <c r="D5957" s="59"/>
      <c r="E5957" s="116"/>
      <c r="F5957" s="120"/>
      <c r="G5957" s="120"/>
      <c r="H5957" s="120"/>
      <c r="I5957" s="60"/>
      <c r="J5957" s="116"/>
      <c r="K5957" s="213"/>
      <c r="L5957" s="120"/>
      <c r="M5957" s="120"/>
      <c r="N5957" s="167"/>
      <c r="O5957" s="120"/>
      <c r="P5957" s="120"/>
      <c r="Q5957" s="120"/>
      <c r="R5957" s="120"/>
      <c r="S5957" s="120"/>
      <c r="T5957" s="221"/>
      <c r="U5957" s="89"/>
      <c r="V5957" s="61"/>
      <c r="W5957" s="92" t="s">
        <v>161</v>
      </c>
      <c r="X5957" s="93" t="s">
        <v>29</v>
      </c>
      <c r="Y5957" s="93" t="s">
        <v>93</v>
      </c>
      <c r="Z5957" s="134">
        <f>VLOOKUP(W5957,Sheet2!$B:$D,3,FALSE)</f>
        <v>48</v>
      </c>
      <c r="AA5957" s="93">
        <f>(16*0.85*1)/((1*(0.2+0.3+0.3))-(3.14/4*0.2*0.2))</f>
        <v>17.694509497788186</v>
      </c>
      <c r="AB5957" s="93">
        <f>AD5957/AC5953</f>
        <v>2.7127058823529411</v>
      </c>
      <c r="AC5957" s="93">
        <f>AC5953/AA5957</f>
        <v>104.37005050808918</v>
      </c>
      <c r="AD5957" s="94">
        <f>AC5957*Z5957</f>
        <v>5009.7624243882801</v>
      </c>
      <c r="AE5957" s="190"/>
      <c r="AF5957" s="191"/>
      <c r="AG5957" s="191"/>
      <c r="AH5957" s="191"/>
      <c r="AI5957" s="186"/>
      <c r="AK5957" s="171"/>
    </row>
    <row r="5958" spans="1:41" s="102" customFormat="1" ht="19.899999999999999" customHeight="1" x14ac:dyDescent="0.25">
      <c r="A5958" s="45"/>
      <c r="B5958" s="59"/>
      <c r="C5958" s="137"/>
      <c r="D5958" s="59"/>
      <c r="E5958" s="116"/>
      <c r="F5958" s="120"/>
      <c r="G5958" s="120"/>
      <c r="H5958" s="120"/>
      <c r="I5958" s="60"/>
      <c r="J5958" s="116"/>
      <c r="K5958" s="213"/>
      <c r="L5958" s="120"/>
      <c r="M5958" s="120"/>
      <c r="N5958" s="167"/>
      <c r="O5958" s="120"/>
      <c r="P5958" s="120"/>
      <c r="Q5958" s="120"/>
      <c r="R5958" s="120"/>
      <c r="S5958" s="120"/>
      <c r="T5958" s="221"/>
      <c r="U5958" s="89"/>
      <c r="V5958" s="61"/>
      <c r="W5958" s="92" t="s">
        <v>65</v>
      </c>
      <c r="X5958" s="93" t="s">
        <v>30</v>
      </c>
      <c r="Y5958" s="93" t="s">
        <v>1011</v>
      </c>
      <c r="Z5958" s="134">
        <f>VLOOKUP(W5958,Sheet2!$B:$D,3,FALSE)</f>
        <v>1.76</v>
      </c>
      <c r="AA5958" s="93">
        <f>AA5957/10</f>
        <v>1.7694509497788187</v>
      </c>
      <c r="AB5958" s="93">
        <f>AD5958/AC5953</f>
        <v>0.99465882352941171</v>
      </c>
      <c r="AC5958" s="93">
        <f>AC5953/AA5958</f>
        <v>1043.7005050808916</v>
      </c>
      <c r="AD5958" s="94">
        <f>AC5958*Z5958</f>
        <v>1836.9128889423694</v>
      </c>
      <c r="AE5958" s="190"/>
      <c r="AF5958" s="191"/>
      <c r="AG5958" s="191"/>
      <c r="AH5958" s="191"/>
      <c r="AI5958" s="186"/>
      <c r="AK5958" s="171"/>
    </row>
    <row r="5959" spans="1:41" s="102" customFormat="1" ht="19.899999999999999" customHeight="1" x14ac:dyDescent="0.25">
      <c r="A5959" s="45"/>
      <c r="B5959" s="59"/>
      <c r="C5959" s="137"/>
      <c r="D5959" s="59"/>
      <c r="E5959" s="116"/>
      <c r="F5959" s="120"/>
      <c r="G5959" s="120"/>
      <c r="H5959" s="120"/>
      <c r="I5959" s="60"/>
      <c r="J5959" s="116"/>
      <c r="K5959" s="213"/>
      <c r="L5959" s="120"/>
      <c r="M5959" s="120"/>
      <c r="N5959" s="167"/>
      <c r="O5959" s="120"/>
      <c r="P5959" s="120"/>
      <c r="Q5959" s="120"/>
      <c r="R5959" s="120"/>
      <c r="S5959" s="120"/>
      <c r="T5959" s="221"/>
      <c r="U5959" s="89"/>
      <c r="V5959" s="61"/>
      <c r="W5959" s="92" t="s">
        <v>173</v>
      </c>
      <c r="X5959" s="93" t="s">
        <v>29</v>
      </c>
      <c r="Y5959" s="93" t="s">
        <v>93</v>
      </c>
      <c r="Z5959" s="134">
        <f>VLOOKUP(W5959,Sheet2!$B:$D,3,FALSE)</f>
        <v>36</v>
      </c>
      <c r="AA5959" s="93">
        <f>50/((1*(0.2+0.3+0.3))-(3.14/4*0.2*0.2))</f>
        <v>65.053343741868332</v>
      </c>
      <c r="AB5959" s="93">
        <f>AD5959/AC5953</f>
        <v>0.553392</v>
      </c>
      <c r="AC5959" s="93">
        <f>AC5953/AA5959</f>
        <v>28.388653738200254</v>
      </c>
      <c r="AD5959" s="94">
        <f>AC5959*Z5959</f>
        <v>1021.9915345752091</v>
      </c>
      <c r="AE5959" s="190"/>
      <c r="AF5959" s="191"/>
      <c r="AG5959" s="191"/>
      <c r="AH5959" s="191"/>
      <c r="AI5959" s="186"/>
      <c r="AK5959" s="171"/>
    </row>
    <row r="5960" spans="1:41" s="102" customFormat="1" ht="19.899999999999999" customHeight="1" x14ac:dyDescent="0.25">
      <c r="A5960" s="45"/>
      <c r="B5960" s="59"/>
      <c r="C5960" s="137"/>
      <c r="D5960" s="59"/>
      <c r="E5960" s="116"/>
      <c r="F5960" s="120"/>
      <c r="G5960" s="120"/>
      <c r="H5960" s="120"/>
      <c r="I5960" s="60"/>
      <c r="J5960" s="116"/>
      <c r="K5960" s="213"/>
      <c r="L5960" s="120"/>
      <c r="M5960" s="120"/>
      <c r="N5960" s="167"/>
      <c r="O5960" s="120"/>
      <c r="P5960" s="120"/>
      <c r="Q5960" s="120"/>
      <c r="R5960" s="120"/>
      <c r="S5960" s="120"/>
      <c r="T5960" s="221"/>
      <c r="U5960" s="89"/>
      <c r="V5960" s="61"/>
      <c r="W5960" s="92" t="s">
        <v>65</v>
      </c>
      <c r="X5960" s="93" t="s">
        <v>30</v>
      </c>
      <c r="Y5960" s="93" t="s">
        <v>1011</v>
      </c>
      <c r="Z5960" s="134">
        <f>VLOOKUP(W5960,Sheet2!$B:$D,3,FALSE)</f>
        <v>1.76</v>
      </c>
      <c r="AA5960" s="93">
        <f>AA5959/9</f>
        <v>7.2281493046520371</v>
      </c>
      <c r="AB5960" s="93">
        <f>AD5960/AC5953</f>
        <v>0.24349247999999998</v>
      </c>
      <c r="AC5960" s="93">
        <f>AC5953/AA5960</f>
        <v>255.49788364380228</v>
      </c>
      <c r="AD5960" s="94">
        <f>AC5960*Z5960</f>
        <v>449.67627521309203</v>
      </c>
      <c r="AE5960" s="190"/>
      <c r="AF5960" s="191"/>
      <c r="AG5960" s="191"/>
      <c r="AH5960" s="191"/>
      <c r="AI5960" s="186"/>
      <c r="AK5960" s="171"/>
    </row>
    <row r="5961" spans="1:41" ht="20.100000000000001" customHeight="1" x14ac:dyDescent="0.25">
      <c r="A5961" s="277" t="s">
        <v>491</v>
      </c>
      <c r="B5961" s="278"/>
      <c r="C5961" s="64" t="s">
        <v>564</v>
      </c>
      <c r="D5961" s="46" t="s">
        <v>97</v>
      </c>
      <c r="E5961" s="114">
        <v>530.56600000000071</v>
      </c>
      <c r="F5961" s="44">
        <v>108</v>
      </c>
      <c r="G5961" s="44">
        <f t="shared" si="3841"/>
        <v>57301.128000000077</v>
      </c>
      <c r="H5961" s="44">
        <f t="shared" si="3842"/>
        <v>61.411666088235293</v>
      </c>
      <c r="I5961" s="43">
        <f t="shared" si="3843"/>
        <v>32582.942029770689</v>
      </c>
      <c r="J5961" s="112">
        <f t="shared" si="3844"/>
        <v>530.56600000000071</v>
      </c>
      <c r="K5961" s="211">
        <f t="shared" si="3845"/>
        <v>530.56600000000071</v>
      </c>
      <c r="L5961" s="44"/>
      <c r="M5961" s="44">
        <f t="shared" si="3846"/>
        <v>530.56600000000071</v>
      </c>
      <c r="N5961" s="173">
        <f t="shared" si="3847"/>
        <v>1</v>
      </c>
      <c r="O5961" s="44">
        <f t="shared" si="3848"/>
        <v>108</v>
      </c>
      <c r="P5961" s="44">
        <f t="shared" si="3849"/>
        <v>57301.128000000077</v>
      </c>
      <c r="Q5961" s="44">
        <f t="shared" si="3850"/>
        <v>61.411666088235293</v>
      </c>
      <c r="R5961" s="44">
        <f t="shared" si="3851"/>
        <v>32582.942029770689</v>
      </c>
      <c r="S5961" s="123"/>
      <c r="T5961" s="219">
        <f t="shared" si="3852"/>
        <v>32582.942029770689</v>
      </c>
      <c r="U5961" s="87"/>
      <c r="V5961" s="47"/>
      <c r="W5961" s="48"/>
      <c r="X5961" s="48"/>
      <c r="Y5961" s="48"/>
      <c r="Z5961" s="135"/>
      <c r="AA5961" s="49"/>
      <c r="AB5961" s="50">
        <f t="shared" si="3853"/>
        <v>61.411666088235293</v>
      </c>
      <c r="AC5961" s="42">
        <f t="shared" si="3854"/>
        <v>530.56600000000071</v>
      </c>
      <c r="AD5961" s="90">
        <f>AD5962</f>
        <v>32582.942029770689</v>
      </c>
      <c r="AE5961" s="188">
        <f t="shared" ref="AE5961" si="4142">AE5962</f>
        <v>0</v>
      </c>
      <c r="AF5961" s="189">
        <f t="shared" ref="AF5961" si="4143">AF5962</f>
        <v>0</v>
      </c>
      <c r="AG5961" s="189">
        <f t="shared" ref="AG5961" si="4144">AG5962</f>
        <v>0</v>
      </c>
      <c r="AH5961" s="189">
        <f t="shared" ref="AH5961" si="4145">AH5962</f>
        <v>0</v>
      </c>
      <c r="AI5961" s="161">
        <f t="shared" ref="AI5961:AI5962" si="4146">SUM(AE5961:AH5961)</f>
        <v>0</v>
      </c>
      <c r="AK5961" s="169">
        <v>5</v>
      </c>
      <c r="AO5961" s="19" t="s">
        <v>63</v>
      </c>
    </row>
    <row r="5962" spans="1:41" s="103" customFormat="1" ht="19.899999999999999" customHeight="1" x14ac:dyDescent="0.25">
      <c r="A5962" s="51"/>
      <c r="B5962" s="52"/>
      <c r="C5962" s="165"/>
      <c r="D5962" s="52"/>
      <c r="E5962" s="115"/>
      <c r="F5962" s="58"/>
      <c r="G5962" s="58"/>
      <c r="H5962" s="58"/>
      <c r="I5962" s="55"/>
      <c r="J5962" s="113">
        <f>J5961</f>
        <v>530.56600000000071</v>
      </c>
      <c r="K5962" s="212">
        <f>K5961</f>
        <v>530.56600000000071</v>
      </c>
      <c r="L5962" s="58"/>
      <c r="M5962" s="58">
        <f>K5962-L5962</f>
        <v>530.56600000000071</v>
      </c>
      <c r="N5962" s="166"/>
      <c r="O5962" s="58"/>
      <c r="P5962" s="58"/>
      <c r="Q5962" s="58"/>
      <c r="R5962" s="58"/>
      <c r="S5962" s="58"/>
      <c r="T5962" s="220"/>
      <c r="U5962" s="88"/>
      <c r="V5962" s="56"/>
      <c r="W5962" s="57" t="s">
        <v>1571</v>
      </c>
      <c r="X5962" s="53"/>
      <c r="Y5962" s="91" t="s">
        <v>68</v>
      </c>
      <c r="Z5962" s="136">
        <f>AD5962/AC5962</f>
        <v>61.411666088235293</v>
      </c>
      <c r="AA5962" s="58"/>
      <c r="AB5962" s="53">
        <f>AD5962/AC5962</f>
        <v>61.411666088235293</v>
      </c>
      <c r="AC5962" s="53">
        <f>M5962+$AE$10</f>
        <v>530.56600000000071</v>
      </c>
      <c r="AD5962" s="54">
        <f>SUM(AD5963:AD5969)</f>
        <v>32582.942029770689</v>
      </c>
      <c r="AE5962" s="184">
        <f>SUMIFS($AD$37:$AD$12971,$V$37:$V$12971,$V5962,$X$37:$X$12971,AE$13)</f>
        <v>0</v>
      </c>
      <c r="AF5962" s="185">
        <f>SUMIFS($AD$37:$AD$12971,$V$37:$V$12971,$V5962,$X$37:$X$12971,AF$13)</f>
        <v>0</v>
      </c>
      <c r="AG5962" s="185">
        <f>SUMIFS($AD$37:$AD$12971,$V$37:$V$12971,$V5962,$X$37:$X$12971,AG$13)</f>
        <v>0</v>
      </c>
      <c r="AH5962" s="187">
        <f>SUMIFS($AD$37:$AD$12971,$V$37:$V$12971,$V5962,$X$37:$X$12971,AH$13)</f>
        <v>0</v>
      </c>
      <c r="AI5962" s="161">
        <f t="shared" si="4146"/>
        <v>0</v>
      </c>
      <c r="AK5962" s="172"/>
    </row>
    <row r="5963" spans="1:41" s="102" customFormat="1" ht="19.899999999999999" customHeight="1" x14ac:dyDescent="0.25">
      <c r="A5963" s="45"/>
      <c r="B5963" s="59"/>
      <c r="C5963" s="137"/>
      <c r="D5963" s="59"/>
      <c r="E5963" s="116"/>
      <c r="F5963" s="120"/>
      <c r="G5963" s="120"/>
      <c r="H5963" s="120"/>
      <c r="I5963" s="60"/>
      <c r="J5963" s="116"/>
      <c r="K5963" s="213"/>
      <c r="L5963" s="120"/>
      <c r="M5963" s="120"/>
      <c r="N5963" s="167"/>
      <c r="O5963" s="120"/>
      <c r="P5963" s="120"/>
      <c r="Q5963" s="120"/>
      <c r="R5963" s="120"/>
      <c r="S5963" s="120"/>
      <c r="T5963" s="221"/>
      <c r="U5963" s="89"/>
      <c r="V5963" s="61"/>
      <c r="W5963" s="92" t="s">
        <v>1570</v>
      </c>
      <c r="X5963" s="93" t="s">
        <v>30</v>
      </c>
      <c r="Y5963" s="93" t="s">
        <v>66</v>
      </c>
      <c r="Z5963" s="134">
        <f>VLOOKUP(W5963,Sheet2!$B:$D,3,FALSE)</f>
        <v>70</v>
      </c>
      <c r="AA5963" s="93">
        <f>1/((1*(0.25+0.3+0.3))-(3.14/4*0.25*0.25))</f>
        <v>1.2485368708544673</v>
      </c>
      <c r="AB5963" s="93">
        <f>AD5963/AC5962</f>
        <v>56.065624999999997</v>
      </c>
      <c r="AC5963" s="93">
        <f>AC5962/AA5963</f>
        <v>424.95020562500059</v>
      </c>
      <c r="AD5963" s="94">
        <f t="shared" ref="AD5963:AD5965" si="4147">AC5963*Z5963</f>
        <v>29746.51439375004</v>
      </c>
      <c r="AE5963" s="190"/>
      <c r="AF5963" s="191"/>
      <c r="AG5963" s="191"/>
      <c r="AH5963" s="191"/>
      <c r="AI5963" s="186"/>
      <c r="AK5963" s="171"/>
    </row>
    <row r="5964" spans="1:41" s="102" customFormat="1" ht="19.899999999999999" customHeight="1" x14ac:dyDescent="0.25">
      <c r="A5964" s="45"/>
      <c r="B5964" s="59"/>
      <c r="C5964" s="137"/>
      <c r="D5964" s="59"/>
      <c r="E5964" s="116"/>
      <c r="F5964" s="120"/>
      <c r="G5964" s="120"/>
      <c r="H5964" s="120"/>
      <c r="I5964" s="60"/>
      <c r="J5964" s="116"/>
      <c r="K5964" s="213"/>
      <c r="L5964" s="120"/>
      <c r="M5964" s="120"/>
      <c r="N5964" s="167"/>
      <c r="O5964" s="120"/>
      <c r="P5964" s="120"/>
      <c r="Q5964" s="120"/>
      <c r="R5964" s="120"/>
      <c r="S5964" s="120"/>
      <c r="T5964" s="221"/>
      <c r="U5964" s="89"/>
      <c r="V5964" s="61"/>
      <c r="W5964" s="92" t="s">
        <v>134</v>
      </c>
      <c r="X5964" s="93" t="s">
        <v>29</v>
      </c>
      <c r="Y5964" s="93" t="s">
        <v>93</v>
      </c>
      <c r="Z5964" s="134">
        <f>VLOOKUP(W5964,Sheet2!$B:$D,3,FALSE)</f>
        <v>65.599999999999994</v>
      </c>
      <c r="AA5964" s="93">
        <f>100/((1*(0.25+0.3+0.3))-(3.14/4*0.25*0.25))</f>
        <v>124.85368708544674</v>
      </c>
      <c r="AB5964" s="93">
        <f>AD5964/AC5962</f>
        <v>0.52541499999999997</v>
      </c>
      <c r="AC5964" s="93">
        <f>AC5962/AA5964</f>
        <v>4.2495020562500061</v>
      </c>
      <c r="AD5964" s="94">
        <f t="shared" si="4147"/>
        <v>278.76733489000037</v>
      </c>
      <c r="AE5964" s="190"/>
      <c r="AF5964" s="191"/>
      <c r="AG5964" s="191"/>
      <c r="AH5964" s="191"/>
      <c r="AI5964" s="186"/>
      <c r="AK5964" s="171"/>
    </row>
    <row r="5965" spans="1:41" s="102" customFormat="1" ht="19.899999999999999" customHeight="1" x14ac:dyDescent="0.25">
      <c r="A5965" s="45"/>
      <c r="B5965" s="59"/>
      <c r="C5965" s="137"/>
      <c r="D5965" s="59"/>
      <c r="E5965" s="116"/>
      <c r="F5965" s="120"/>
      <c r="G5965" s="120"/>
      <c r="H5965" s="120"/>
      <c r="I5965" s="60"/>
      <c r="J5965" s="116"/>
      <c r="K5965" s="213"/>
      <c r="L5965" s="120"/>
      <c r="M5965" s="120"/>
      <c r="N5965" s="167"/>
      <c r="O5965" s="120"/>
      <c r="P5965" s="120"/>
      <c r="Q5965" s="120"/>
      <c r="R5965" s="120"/>
      <c r="S5965" s="120"/>
      <c r="T5965" s="221"/>
      <c r="U5965" s="89"/>
      <c r="V5965" s="61"/>
      <c r="W5965" s="92" t="s">
        <v>65</v>
      </c>
      <c r="X5965" s="93" t="s">
        <v>30</v>
      </c>
      <c r="Y5965" s="93" t="s">
        <v>1011</v>
      </c>
      <c r="Z5965" s="134">
        <f>VLOOKUP(W5965,Sheet2!$B:$D,3,FALSE)</f>
        <v>1.76</v>
      </c>
      <c r="AA5965" s="93">
        <f>AA5964/9</f>
        <v>13.87263189838297</v>
      </c>
      <c r="AB5965" s="93">
        <f>AD5965/AC5962</f>
        <v>0.12686850000000002</v>
      </c>
      <c r="AC5965" s="93">
        <f>AC5962/AA5965</f>
        <v>38.245518506250058</v>
      </c>
      <c r="AD5965" s="94">
        <f t="shared" si="4147"/>
        <v>67.3121125710001</v>
      </c>
      <c r="AE5965" s="190"/>
      <c r="AF5965" s="191"/>
      <c r="AG5965" s="191"/>
      <c r="AH5965" s="191"/>
      <c r="AI5965" s="186"/>
      <c r="AK5965" s="171"/>
    </row>
    <row r="5966" spans="1:41" s="102" customFormat="1" ht="19.899999999999999" customHeight="1" x14ac:dyDescent="0.25">
      <c r="A5966" s="45"/>
      <c r="B5966" s="59"/>
      <c r="C5966" s="137"/>
      <c r="D5966" s="59"/>
      <c r="E5966" s="116"/>
      <c r="F5966" s="120"/>
      <c r="G5966" s="120"/>
      <c r="H5966" s="120"/>
      <c r="I5966" s="60"/>
      <c r="J5966" s="116"/>
      <c r="K5966" s="213"/>
      <c r="L5966" s="120"/>
      <c r="M5966" s="120"/>
      <c r="N5966" s="167"/>
      <c r="O5966" s="120"/>
      <c r="P5966" s="120"/>
      <c r="Q5966" s="120"/>
      <c r="R5966" s="120"/>
      <c r="S5966" s="120"/>
      <c r="T5966" s="221"/>
      <c r="U5966" s="89"/>
      <c r="V5966" s="61"/>
      <c r="W5966" s="92" t="s">
        <v>161</v>
      </c>
      <c r="X5966" s="93" t="s">
        <v>29</v>
      </c>
      <c r="Y5966" s="93" t="s">
        <v>93</v>
      </c>
      <c r="Z5966" s="134">
        <f>VLOOKUP(W5966,Sheet2!$B:$D,3,FALSE)</f>
        <v>48</v>
      </c>
      <c r="AA5966" s="93">
        <f>(16*0.85*1)/((1*(0.25+0.3+0.3))-(3.14/4*0.25*0.25))</f>
        <v>16.980101443620754</v>
      </c>
      <c r="AB5966" s="93">
        <f>AD5966/AC5962</f>
        <v>2.8268382352941184</v>
      </c>
      <c r="AC5966" s="93">
        <f>AC5962/AA5966</f>
        <v>31.246338648897108</v>
      </c>
      <c r="AD5966" s="94">
        <f>AC5966*Z5966</f>
        <v>1499.8242551470612</v>
      </c>
      <c r="AE5966" s="190"/>
      <c r="AF5966" s="191"/>
      <c r="AG5966" s="191"/>
      <c r="AH5966" s="191"/>
      <c r="AI5966" s="186"/>
      <c r="AK5966" s="171"/>
    </row>
    <row r="5967" spans="1:41" s="102" customFormat="1" ht="19.899999999999999" customHeight="1" x14ac:dyDescent="0.25">
      <c r="A5967" s="45"/>
      <c r="B5967" s="59"/>
      <c r="C5967" s="137"/>
      <c r="D5967" s="59"/>
      <c r="E5967" s="116"/>
      <c r="F5967" s="120"/>
      <c r="G5967" s="120"/>
      <c r="H5967" s="120"/>
      <c r="I5967" s="60"/>
      <c r="J5967" s="116"/>
      <c r="K5967" s="213"/>
      <c r="L5967" s="120"/>
      <c r="M5967" s="120"/>
      <c r="N5967" s="167"/>
      <c r="O5967" s="120"/>
      <c r="P5967" s="120"/>
      <c r="Q5967" s="120"/>
      <c r="R5967" s="120"/>
      <c r="S5967" s="120"/>
      <c r="T5967" s="221"/>
      <c r="U5967" s="89"/>
      <c r="V5967" s="61"/>
      <c r="W5967" s="92" t="s">
        <v>65</v>
      </c>
      <c r="X5967" s="93" t="s">
        <v>30</v>
      </c>
      <c r="Y5967" s="93" t="s">
        <v>1011</v>
      </c>
      <c r="Z5967" s="134">
        <f>VLOOKUP(W5967,Sheet2!$B:$D,3,FALSE)</f>
        <v>1.76</v>
      </c>
      <c r="AA5967" s="93">
        <f>AA5966/10</f>
        <v>1.6980101443620754</v>
      </c>
      <c r="AB5967" s="93">
        <f>AD5967/AC5962</f>
        <v>1.0365073529411766</v>
      </c>
      <c r="AC5967" s="93">
        <f>AC5962/AA5967</f>
        <v>312.46338648897108</v>
      </c>
      <c r="AD5967" s="94">
        <f>AC5967*Z5967</f>
        <v>549.93556022058908</v>
      </c>
      <c r="AE5967" s="190"/>
      <c r="AF5967" s="191"/>
      <c r="AG5967" s="191"/>
      <c r="AH5967" s="191"/>
      <c r="AI5967" s="186"/>
      <c r="AK5967" s="171"/>
    </row>
    <row r="5968" spans="1:41" s="102" customFormat="1" ht="19.899999999999999" customHeight="1" x14ac:dyDescent="0.25">
      <c r="A5968" s="45"/>
      <c r="B5968" s="59"/>
      <c r="C5968" s="137"/>
      <c r="D5968" s="59"/>
      <c r="E5968" s="116"/>
      <c r="F5968" s="120"/>
      <c r="G5968" s="120"/>
      <c r="H5968" s="120"/>
      <c r="I5968" s="60"/>
      <c r="J5968" s="116"/>
      <c r="K5968" s="213"/>
      <c r="L5968" s="120"/>
      <c r="M5968" s="120"/>
      <c r="N5968" s="167"/>
      <c r="O5968" s="120"/>
      <c r="P5968" s="120"/>
      <c r="Q5968" s="120"/>
      <c r="R5968" s="120"/>
      <c r="S5968" s="120"/>
      <c r="T5968" s="221"/>
      <c r="U5968" s="89"/>
      <c r="V5968" s="61"/>
      <c r="W5968" s="92" t="s">
        <v>173</v>
      </c>
      <c r="X5968" s="93" t="s">
        <v>29</v>
      </c>
      <c r="Y5968" s="93" t="s">
        <v>93</v>
      </c>
      <c r="Z5968" s="134">
        <f>VLOOKUP(W5968,Sheet2!$B:$D,3,FALSE)</f>
        <v>36</v>
      </c>
      <c r="AA5968" s="93">
        <f>50/((1*(0.25+0.3+0.3))-(3.14/4*0.25*0.25))</f>
        <v>62.426843542723368</v>
      </c>
      <c r="AB5968" s="93">
        <f>AD5968/AC5962</f>
        <v>0.57667500000000005</v>
      </c>
      <c r="AC5968" s="93">
        <f>AC5962/AA5968</f>
        <v>8.4990041125000122</v>
      </c>
      <c r="AD5968" s="94">
        <f>AC5968*Z5968</f>
        <v>305.96414805000046</v>
      </c>
      <c r="AE5968" s="190"/>
      <c r="AF5968" s="191"/>
      <c r="AG5968" s="191"/>
      <c r="AH5968" s="191"/>
      <c r="AI5968" s="186"/>
      <c r="AK5968" s="171"/>
    </row>
    <row r="5969" spans="1:41" s="102" customFormat="1" ht="19.899999999999999" customHeight="1" x14ac:dyDescent="0.25">
      <c r="A5969" s="45"/>
      <c r="B5969" s="59"/>
      <c r="C5969" s="137"/>
      <c r="D5969" s="59"/>
      <c r="E5969" s="116"/>
      <c r="F5969" s="120"/>
      <c r="G5969" s="120"/>
      <c r="H5969" s="120"/>
      <c r="I5969" s="60"/>
      <c r="J5969" s="116"/>
      <c r="K5969" s="213"/>
      <c r="L5969" s="120"/>
      <c r="M5969" s="120"/>
      <c r="N5969" s="167"/>
      <c r="O5969" s="120"/>
      <c r="P5969" s="120"/>
      <c r="Q5969" s="120"/>
      <c r="R5969" s="120"/>
      <c r="S5969" s="120"/>
      <c r="T5969" s="221"/>
      <c r="U5969" s="89"/>
      <c r="V5969" s="61"/>
      <c r="W5969" s="92" t="s">
        <v>65</v>
      </c>
      <c r="X5969" s="93" t="s">
        <v>30</v>
      </c>
      <c r="Y5969" s="93" t="s">
        <v>1011</v>
      </c>
      <c r="Z5969" s="134">
        <f>VLOOKUP(W5969,Sheet2!$B:$D,3,FALSE)</f>
        <v>1.76</v>
      </c>
      <c r="AA5969" s="93">
        <f>AA5968/9</f>
        <v>6.936315949191485</v>
      </c>
      <c r="AB5969" s="93">
        <f>AD5969/AC5962</f>
        <v>0.25373700000000005</v>
      </c>
      <c r="AC5969" s="93">
        <f>AC5962/AA5969</f>
        <v>76.491037012500115</v>
      </c>
      <c r="AD5969" s="94">
        <f>AC5969*Z5969</f>
        <v>134.6242251420002</v>
      </c>
      <c r="AE5969" s="190"/>
      <c r="AF5969" s="191"/>
      <c r="AG5969" s="191"/>
      <c r="AH5969" s="191"/>
      <c r="AI5969" s="186"/>
      <c r="AK5969" s="171"/>
    </row>
    <row r="5970" spans="1:41" ht="20.100000000000001" customHeight="1" x14ac:dyDescent="0.25">
      <c r="A5970" s="277" t="s">
        <v>491</v>
      </c>
      <c r="B5970" s="278"/>
      <c r="C5970" s="64" t="s">
        <v>565</v>
      </c>
      <c r="D5970" s="46" t="s">
        <v>97</v>
      </c>
      <c r="E5970" s="114">
        <v>231.67704999999978</v>
      </c>
      <c r="F5970" s="44">
        <v>124</v>
      </c>
      <c r="G5970" s="44">
        <f t="shared" si="3841"/>
        <v>28727.954199999971</v>
      </c>
      <c r="H5970" s="44">
        <f t="shared" si="3842"/>
        <v>64.185058141447058</v>
      </c>
      <c r="I5970" s="43">
        <f t="shared" si="3843"/>
        <v>14870.204924288922</v>
      </c>
      <c r="J5970" s="112">
        <f t="shared" si="3844"/>
        <v>231.67704999999978</v>
      </c>
      <c r="K5970" s="211">
        <f t="shared" si="3845"/>
        <v>231.67704999999978</v>
      </c>
      <c r="L5970" s="44"/>
      <c r="M5970" s="44">
        <f t="shared" si="3846"/>
        <v>231.67704999999978</v>
      </c>
      <c r="N5970" s="173">
        <f t="shared" si="3847"/>
        <v>1</v>
      </c>
      <c r="O5970" s="44">
        <f t="shared" si="3848"/>
        <v>124</v>
      </c>
      <c r="P5970" s="44">
        <f t="shared" si="3849"/>
        <v>28727.954199999971</v>
      </c>
      <c r="Q5970" s="44">
        <f t="shared" si="3850"/>
        <v>64.185058141447058</v>
      </c>
      <c r="R5970" s="44">
        <f t="shared" si="3851"/>
        <v>14870.204924288922</v>
      </c>
      <c r="S5970" s="123"/>
      <c r="T5970" s="219">
        <f t="shared" si="3852"/>
        <v>14870.204924288922</v>
      </c>
      <c r="U5970" s="87"/>
      <c r="V5970" s="47"/>
      <c r="W5970" s="48"/>
      <c r="X5970" s="48"/>
      <c r="Y5970" s="48"/>
      <c r="Z5970" s="135"/>
      <c r="AA5970" s="49"/>
      <c r="AB5970" s="50">
        <f t="shared" si="3853"/>
        <v>64.185058141447058</v>
      </c>
      <c r="AC5970" s="42">
        <f t="shared" si="3854"/>
        <v>231.67704999999978</v>
      </c>
      <c r="AD5970" s="90">
        <f>AD5971</f>
        <v>14870.204924288922</v>
      </c>
      <c r="AE5970" s="188">
        <f t="shared" ref="AE5970" si="4148">AE5971</f>
        <v>0</v>
      </c>
      <c r="AF5970" s="189">
        <f t="shared" ref="AF5970" si="4149">AF5971</f>
        <v>0</v>
      </c>
      <c r="AG5970" s="189">
        <f t="shared" ref="AG5970" si="4150">AG5971</f>
        <v>0</v>
      </c>
      <c r="AH5970" s="189">
        <f t="shared" ref="AH5970" si="4151">AH5971</f>
        <v>0</v>
      </c>
      <c r="AI5970" s="161">
        <f t="shared" ref="AI5970:AI5971" si="4152">SUM(AE5970:AH5970)</f>
        <v>0</v>
      </c>
      <c r="AK5970" s="169">
        <v>5</v>
      </c>
      <c r="AO5970" s="19" t="s">
        <v>63</v>
      </c>
    </row>
    <row r="5971" spans="1:41" s="103" customFormat="1" ht="19.899999999999999" customHeight="1" x14ac:dyDescent="0.25">
      <c r="A5971" s="51"/>
      <c r="B5971" s="52"/>
      <c r="C5971" s="165"/>
      <c r="D5971" s="52"/>
      <c r="E5971" s="115"/>
      <c r="F5971" s="58"/>
      <c r="G5971" s="58"/>
      <c r="H5971" s="58"/>
      <c r="I5971" s="55"/>
      <c r="J5971" s="113">
        <f>J5970</f>
        <v>231.67704999999978</v>
      </c>
      <c r="K5971" s="212">
        <f>K5970</f>
        <v>231.67704999999978</v>
      </c>
      <c r="L5971" s="58"/>
      <c r="M5971" s="58">
        <f>K5971-L5971</f>
        <v>231.67704999999978</v>
      </c>
      <c r="N5971" s="166"/>
      <c r="O5971" s="58"/>
      <c r="P5971" s="58"/>
      <c r="Q5971" s="58"/>
      <c r="R5971" s="58"/>
      <c r="S5971" s="58"/>
      <c r="T5971" s="220"/>
      <c r="U5971" s="88"/>
      <c r="V5971" s="56"/>
      <c r="W5971" s="57" t="s">
        <v>1571</v>
      </c>
      <c r="X5971" s="53"/>
      <c r="Y5971" s="91" t="s">
        <v>68</v>
      </c>
      <c r="Z5971" s="136">
        <f>AD5971/AC5971</f>
        <v>64.185058141447058</v>
      </c>
      <c r="AA5971" s="58"/>
      <c r="AB5971" s="53">
        <f>AD5971/AC5971</f>
        <v>64.185058141447058</v>
      </c>
      <c r="AC5971" s="53">
        <f>M5971+$AE$10</f>
        <v>231.67704999999978</v>
      </c>
      <c r="AD5971" s="54">
        <f>SUM(AD5972:AD5978)</f>
        <v>14870.204924288922</v>
      </c>
      <c r="AE5971" s="184">
        <f>SUMIFS($AD$37:$AD$12971,$V$37:$V$12971,$V5971,$X$37:$X$12971,AE$13)</f>
        <v>0</v>
      </c>
      <c r="AF5971" s="185">
        <f>SUMIFS($AD$37:$AD$12971,$V$37:$V$12971,$V5971,$X$37:$X$12971,AF$13)</f>
        <v>0</v>
      </c>
      <c r="AG5971" s="185">
        <f>SUMIFS($AD$37:$AD$12971,$V$37:$V$12971,$V5971,$X$37:$X$12971,AG$13)</f>
        <v>0</v>
      </c>
      <c r="AH5971" s="187">
        <f>SUMIFS($AD$37:$AD$12971,$V$37:$V$12971,$V5971,$X$37:$X$12971,AH$13)</f>
        <v>0</v>
      </c>
      <c r="AI5971" s="161">
        <f t="shared" si="4152"/>
        <v>0</v>
      </c>
      <c r="AK5971" s="172"/>
    </row>
    <row r="5972" spans="1:41" s="102" customFormat="1" ht="19.899999999999999" customHeight="1" x14ac:dyDescent="0.25">
      <c r="A5972" s="45"/>
      <c r="B5972" s="59"/>
      <c r="C5972" s="137"/>
      <c r="D5972" s="59"/>
      <c r="E5972" s="116"/>
      <c r="F5972" s="120"/>
      <c r="G5972" s="120"/>
      <c r="H5972" s="120"/>
      <c r="I5972" s="60"/>
      <c r="J5972" s="116"/>
      <c r="K5972" s="213"/>
      <c r="L5972" s="120"/>
      <c r="M5972" s="120"/>
      <c r="N5972" s="167"/>
      <c r="O5972" s="120"/>
      <c r="P5972" s="120"/>
      <c r="Q5972" s="120"/>
      <c r="R5972" s="120"/>
      <c r="S5972" s="120"/>
      <c r="T5972" s="221"/>
      <c r="U5972" s="89"/>
      <c r="V5972" s="61"/>
      <c r="W5972" s="92" t="s">
        <v>1570</v>
      </c>
      <c r="X5972" s="93" t="s">
        <v>30</v>
      </c>
      <c r="Y5972" s="93" t="s">
        <v>66</v>
      </c>
      <c r="Z5972" s="134">
        <f>VLOOKUP(W5972,Sheet2!$B:$D,3,FALSE)</f>
        <v>70</v>
      </c>
      <c r="AA5972" s="93">
        <f>1/((1*(0.315+0.3+0.3))-(3.14/4*0.315*0.315))</f>
        <v>1.194588454571369</v>
      </c>
      <c r="AB5972" s="93">
        <f>AD5972/AC5971</f>
        <v>58.597586250000006</v>
      </c>
      <c r="AC5972" s="93">
        <f>AC5971/AA5972</f>
        <v>193.93879885029358</v>
      </c>
      <c r="AD5972" s="94">
        <f t="shared" ref="AD5972:AD5974" si="4153">AC5972*Z5972</f>
        <v>13575.715919520551</v>
      </c>
      <c r="AE5972" s="190"/>
      <c r="AF5972" s="191"/>
      <c r="AG5972" s="191"/>
      <c r="AH5972" s="191"/>
      <c r="AI5972" s="186"/>
      <c r="AK5972" s="171"/>
    </row>
    <row r="5973" spans="1:41" s="102" customFormat="1" ht="19.899999999999999" customHeight="1" x14ac:dyDescent="0.25">
      <c r="A5973" s="45"/>
      <c r="B5973" s="59"/>
      <c r="C5973" s="137"/>
      <c r="D5973" s="59"/>
      <c r="E5973" s="116"/>
      <c r="F5973" s="120"/>
      <c r="G5973" s="120"/>
      <c r="H5973" s="120"/>
      <c r="I5973" s="60"/>
      <c r="J5973" s="116"/>
      <c r="K5973" s="213"/>
      <c r="L5973" s="120"/>
      <c r="M5973" s="120"/>
      <c r="N5973" s="167"/>
      <c r="O5973" s="120"/>
      <c r="P5973" s="120"/>
      <c r="Q5973" s="120"/>
      <c r="R5973" s="120"/>
      <c r="S5973" s="120"/>
      <c r="T5973" s="221"/>
      <c r="U5973" s="89"/>
      <c r="V5973" s="61"/>
      <c r="W5973" s="92" t="s">
        <v>134</v>
      </c>
      <c r="X5973" s="93" t="s">
        <v>29</v>
      </c>
      <c r="Y5973" s="93" t="s">
        <v>93</v>
      </c>
      <c r="Z5973" s="134">
        <f>VLOOKUP(W5973,Sheet2!$B:$D,3,FALSE)</f>
        <v>65.599999999999994</v>
      </c>
      <c r="AA5973" s="93">
        <f>100/((1*(0.315+0.3+0.3))-(3.14/4*0.315*0.315))</f>
        <v>119.45884545713689</v>
      </c>
      <c r="AB5973" s="93">
        <f>AD5973/AC5971</f>
        <v>0.54914309399999994</v>
      </c>
      <c r="AC5973" s="93">
        <f>AC5971/AA5973</f>
        <v>1.9393879885029357</v>
      </c>
      <c r="AD5973" s="94">
        <f t="shared" si="4153"/>
        <v>127.22385204579257</v>
      </c>
      <c r="AE5973" s="190"/>
      <c r="AF5973" s="191"/>
      <c r="AG5973" s="191"/>
      <c r="AH5973" s="191"/>
      <c r="AI5973" s="186"/>
      <c r="AK5973" s="171"/>
    </row>
    <row r="5974" spans="1:41" s="102" customFormat="1" ht="19.899999999999999" customHeight="1" x14ac:dyDescent="0.25">
      <c r="A5974" s="45"/>
      <c r="B5974" s="59"/>
      <c r="C5974" s="137"/>
      <c r="D5974" s="59"/>
      <c r="E5974" s="116"/>
      <c r="F5974" s="120"/>
      <c r="G5974" s="120"/>
      <c r="H5974" s="120"/>
      <c r="I5974" s="60"/>
      <c r="J5974" s="116"/>
      <c r="K5974" s="213"/>
      <c r="L5974" s="120"/>
      <c r="M5974" s="120"/>
      <c r="N5974" s="167"/>
      <c r="O5974" s="120"/>
      <c r="P5974" s="120"/>
      <c r="Q5974" s="120"/>
      <c r="R5974" s="120"/>
      <c r="S5974" s="120"/>
      <c r="T5974" s="221"/>
      <c r="U5974" s="89"/>
      <c r="V5974" s="61"/>
      <c r="W5974" s="92" t="s">
        <v>65</v>
      </c>
      <c r="X5974" s="93" t="s">
        <v>30</v>
      </c>
      <c r="Y5974" s="93" t="s">
        <v>1011</v>
      </c>
      <c r="Z5974" s="134">
        <f>VLOOKUP(W5974,Sheet2!$B:$D,3,FALSE)</f>
        <v>1.76</v>
      </c>
      <c r="AA5974" s="93">
        <f>AA5973/9</f>
        <v>13.273205050792988</v>
      </c>
      <c r="AB5974" s="93">
        <f>AD5974/AC5971</f>
        <v>0.13259796660000001</v>
      </c>
      <c r="AC5974" s="93">
        <f>AC5971/AA5974</f>
        <v>17.45449189652642</v>
      </c>
      <c r="AD5974" s="94">
        <f t="shared" si="4153"/>
        <v>30.719905737886499</v>
      </c>
      <c r="AE5974" s="190"/>
      <c r="AF5974" s="191"/>
      <c r="AG5974" s="191"/>
      <c r="AH5974" s="191"/>
      <c r="AI5974" s="186"/>
      <c r="AK5974" s="171"/>
    </row>
    <row r="5975" spans="1:41" s="102" customFormat="1" ht="19.899999999999999" customHeight="1" x14ac:dyDescent="0.25">
      <c r="A5975" s="45"/>
      <c r="B5975" s="59"/>
      <c r="C5975" s="137"/>
      <c r="D5975" s="59"/>
      <c r="E5975" s="116"/>
      <c r="F5975" s="120"/>
      <c r="G5975" s="120"/>
      <c r="H5975" s="120"/>
      <c r="I5975" s="60"/>
      <c r="J5975" s="116"/>
      <c r="K5975" s="213"/>
      <c r="L5975" s="120"/>
      <c r="M5975" s="120"/>
      <c r="N5975" s="167"/>
      <c r="O5975" s="120"/>
      <c r="P5975" s="120"/>
      <c r="Q5975" s="120"/>
      <c r="R5975" s="120"/>
      <c r="S5975" s="120"/>
      <c r="T5975" s="221"/>
      <c r="U5975" s="89"/>
      <c r="V5975" s="61"/>
      <c r="W5975" s="92" t="s">
        <v>161</v>
      </c>
      <c r="X5975" s="93" t="s">
        <v>29</v>
      </c>
      <c r="Y5975" s="93" t="s">
        <v>93</v>
      </c>
      <c r="Z5975" s="134">
        <f>VLOOKUP(W5975,Sheet2!$B:$D,3,FALSE)</f>
        <v>48</v>
      </c>
      <c r="AA5975" s="93">
        <f>(16*0.85*1)/((1*(0.315+0.3+0.3))-(3.14/4*0.315*0.315))</f>
        <v>16.246402982170618</v>
      </c>
      <c r="AB5975" s="93">
        <f>AD5975/AC5971</f>
        <v>2.9545001470588232</v>
      </c>
      <c r="AC5975" s="93">
        <f>AC5971/AA5975</f>
        <v>14.260205797815702</v>
      </c>
      <c r="AD5975" s="94">
        <f>AC5975*Z5975</f>
        <v>684.48987829515374</v>
      </c>
      <c r="AE5975" s="190"/>
      <c r="AF5975" s="191"/>
      <c r="AG5975" s="191"/>
      <c r="AH5975" s="191"/>
      <c r="AI5975" s="186"/>
      <c r="AK5975" s="171"/>
    </row>
    <row r="5976" spans="1:41" s="102" customFormat="1" ht="19.899999999999999" customHeight="1" x14ac:dyDescent="0.25">
      <c r="A5976" s="45"/>
      <c r="B5976" s="59"/>
      <c r="C5976" s="137"/>
      <c r="D5976" s="59"/>
      <c r="E5976" s="116"/>
      <c r="F5976" s="120"/>
      <c r="G5976" s="120"/>
      <c r="H5976" s="120"/>
      <c r="I5976" s="60"/>
      <c r="J5976" s="116"/>
      <c r="K5976" s="213"/>
      <c r="L5976" s="120"/>
      <c r="M5976" s="120"/>
      <c r="N5976" s="167"/>
      <c r="O5976" s="120"/>
      <c r="P5976" s="120"/>
      <c r="Q5976" s="120"/>
      <c r="R5976" s="120"/>
      <c r="S5976" s="120"/>
      <c r="T5976" s="221"/>
      <c r="U5976" s="89"/>
      <c r="V5976" s="61"/>
      <c r="W5976" s="92" t="s">
        <v>65</v>
      </c>
      <c r="X5976" s="93" t="s">
        <v>30</v>
      </c>
      <c r="Y5976" s="93" t="s">
        <v>1011</v>
      </c>
      <c r="Z5976" s="134">
        <f>VLOOKUP(W5976,Sheet2!$B:$D,3,FALSE)</f>
        <v>1.76</v>
      </c>
      <c r="AA5976" s="93">
        <f>AA5975/10</f>
        <v>1.6246402982170618</v>
      </c>
      <c r="AB5976" s="93">
        <f>AD5976/AC5971</f>
        <v>1.0833167205882352</v>
      </c>
      <c r="AC5976" s="93">
        <f>AC5971/AA5976</f>
        <v>142.60205797815703</v>
      </c>
      <c r="AD5976" s="94">
        <f>AC5976*Z5976</f>
        <v>250.97962204155638</v>
      </c>
      <c r="AE5976" s="190"/>
      <c r="AF5976" s="191"/>
      <c r="AG5976" s="191"/>
      <c r="AH5976" s="191"/>
      <c r="AI5976" s="186"/>
      <c r="AK5976" s="171"/>
    </row>
    <row r="5977" spans="1:41" s="102" customFormat="1" ht="19.899999999999999" customHeight="1" x14ac:dyDescent="0.25">
      <c r="A5977" s="45"/>
      <c r="B5977" s="59"/>
      <c r="C5977" s="137"/>
      <c r="D5977" s="59"/>
      <c r="E5977" s="116"/>
      <c r="F5977" s="120"/>
      <c r="G5977" s="120"/>
      <c r="H5977" s="120"/>
      <c r="I5977" s="60"/>
      <c r="J5977" s="116"/>
      <c r="K5977" s="213"/>
      <c r="L5977" s="120"/>
      <c r="M5977" s="120"/>
      <c r="N5977" s="167"/>
      <c r="O5977" s="120"/>
      <c r="P5977" s="120"/>
      <c r="Q5977" s="120"/>
      <c r="R5977" s="120"/>
      <c r="S5977" s="120"/>
      <c r="T5977" s="221"/>
      <c r="U5977" s="89"/>
      <c r="V5977" s="61"/>
      <c r="W5977" s="92" t="s">
        <v>173</v>
      </c>
      <c r="X5977" s="93" t="s">
        <v>29</v>
      </c>
      <c r="Y5977" s="93" t="s">
        <v>93</v>
      </c>
      <c r="Z5977" s="134">
        <f>VLOOKUP(W5977,Sheet2!$B:$D,3,FALSE)</f>
        <v>36</v>
      </c>
      <c r="AA5977" s="93">
        <f>50/((1*(0.315+0.3+0.3))-(3.14/4*0.315*0.315))</f>
        <v>59.729422728568444</v>
      </c>
      <c r="AB5977" s="93">
        <f>AD5977/AC5971</f>
        <v>0.60271803000000002</v>
      </c>
      <c r="AC5977" s="93">
        <f>AC5971/AA5977</f>
        <v>3.8787759770058714</v>
      </c>
      <c r="AD5977" s="94">
        <f>AC5977*Z5977</f>
        <v>139.63593517221136</v>
      </c>
      <c r="AE5977" s="190"/>
      <c r="AF5977" s="191"/>
      <c r="AG5977" s="191"/>
      <c r="AH5977" s="191"/>
      <c r="AI5977" s="186"/>
      <c r="AK5977" s="171"/>
    </row>
    <row r="5978" spans="1:41" s="102" customFormat="1" ht="19.899999999999999" customHeight="1" x14ac:dyDescent="0.25">
      <c r="A5978" s="45"/>
      <c r="B5978" s="59"/>
      <c r="C5978" s="137"/>
      <c r="D5978" s="59"/>
      <c r="E5978" s="116"/>
      <c r="F5978" s="120"/>
      <c r="G5978" s="120"/>
      <c r="H5978" s="120"/>
      <c r="I5978" s="60"/>
      <c r="J5978" s="116"/>
      <c r="K5978" s="213"/>
      <c r="L5978" s="120"/>
      <c r="M5978" s="120"/>
      <c r="N5978" s="167"/>
      <c r="O5978" s="120"/>
      <c r="P5978" s="120"/>
      <c r="Q5978" s="120"/>
      <c r="R5978" s="120"/>
      <c r="S5978" s="120"/>
      <c r="T5978" s="221"/>
      <c r="U5978" s="89"/>
      <c r="V5978" s="61"/>
      <c r="W5978" s="92" t="s">
        <v>65</v>
      </c>
      <c r="X5978" s="93" t="s">
        <v>30</v>
      </c>
      <c r="Y5978" s="93" t="s">
        <v>1011</v>
      </c>
      <c r="Z5978" s="134">
        <f>VLOOKUP(W5978,Sheet2!$B:$D,3,FALSE)</f>
        <v>1.76</v>
      </c>
      <c r="AA5978" s="93">
        <f>AA5977/9</f>
        <v>6.6366025253964942</v>
      </c>
      <c r="AB5978" s="93">
        <f>AD5978/AC5971</f>
        <v>0.26519593320000001</v>
      </c>
      <c r="AC5978" s="93">
        <f>AC5971/AA5978</f>
        <v>34.90898379305284</v>
      </c>
      <c r="AD5978" s="94">
        <f>AC5978*Z5978</f>
        <v>61.439811475772999</v>
      </c>
      <c r="AE5978" s="190"/>
      <c r="AF5978" s="191"/>
      <c r="AG5978" s="191"/>
      <c r="AH5978" s="191"/>
      <c r="AI5978" s="186"/>
      <c r="AK5978" s="171"/>
    </row>
    <row r="5979" spans="1:41" ht="20.100000000000001" customHeight="1" x14ac:dyDescent="0.25">
      <c r="A5979" s="277" t="s">
        <v>491</v>
      </c>
      <c r="B5979" s="278"/>
      <c r="C5979" s="64" t="s">
        <v>566</v>
      </c>
      <c r="D5979" s="46" t="s">
        <v>97</v>
      </c>
      <c r="E5979" s="114"/>
      <c r="F5979" s="44"/>
      <c r="G5979" s="44">
        <f t="shared" si="3841"/>
        <v>0</v>
      </c>
      <c r="H5979" s="44">
        <f t="shared" si="3842"/>
        <v>0</v>
      </c>
      <c r="I5979" s="43">
        <f t="shared" si="3843"/>
        <v>0</v>
      </c>
      <c r="J5979" s="112">
        <f t="shared" si="3844"/>
        <v>0</v>
      </c>
      <c r="K5979" s="211">
        <f t="shared" si="3845"/>
        <v>0</v>
      </c>
      <c r="L5979" s="44"/>
      <c r="M5979" s="44">
        <f t="shared" si="3846"/>
        <v>0</v>
      </c>
      <c r="N5979" s="173">
        <f t="shared" si="3847"/>
        <v>0</v>
      </c>
      <c r="O5979" s="44">
        <f t="shared" si="3848"/>
        <v>0</v>
      </c>
      <c r="P5979" s="44">
        <f t="shared" si="3849"/>
        <v>0</v>
      </c>
      <c r="Q5979" s="44">
        <f t="shared" si="3850"/>
        <v>0</v>
      </c>
      <c r="R5979" s="44">
        <f t="shared" si="3851"/>
        <v>0</v>
      </c>
      <c r="S5979" s="123"/>
      <c r="T5979" s="219">
        <f t="shared" si="3852"/>
        <v>0</v>
      </c>
      <c r="U5979" s="87"/>
      <c r="V5979" s="47"/>
      <c r="W5979" s="48"/>
      <c r="X5979" s="48"/>
      <c r="Y5979" s="48"/>
      <c r="Z5979" s="135"/>
      <c r="AA5979" s="49"/>
      <c r="AB5979" s="50">
        <f t="shared" si="3853"/>
        <v>0</v>
      </c>
      <c r="AC5979" s="42">
        <f t="shared" si="3854"/>
        <v>9.9999999999999998E-20</v>
      </c>
      <c r="AD5979" s="90"/>
      <c r="AE5979" s="188"/>
      <c r="AF5979" s="189"/>
      <c r="AG5979" s="189"/>
      <c r="AH5979" s="189"/>
      <c r="AI5979" s="161"/>
    </row>
    <row r="5980" spans="1:41" ht="20.100000000000001" customHeight="1" x14ac:dyDescent="0.25">
      <c r="A5980" s="277" t="s">
        <v>491</v>
      </c>
      <c r="B5980" s="278"/>
      <c r="C5980" s="64" t="s">
        <v>567</v>
      </c>
      <c r="D5980" s="46" t="s">
        <v>97</v>
      </c>
      <c r="E5980" s="114">
        <v>248.85124999999994</v>
      </c>
      <c r="F5980" s="44">
        <v>148</v>
      </c>
      <c r="G5980" s="44">
        <f t="shared" si="3841"/>
        <v>36829.984999999993</v>
      </c>
      <c r="H5980" s="44">
        <f t="shared" si="3842"/>
        <v>82.379329279999979</v>
      </c>
      <c r="I5980" s="43">
        <f t="shared" si="3843"/>
        <v>20500.199065489589</v>
      </c>
      <c r="J5980" s="112">
        <f t="shared" si="3844"/>
        <v>248.85124999999994</v>
      </c>
      <c r="K5980" s="211">
        <f t="shared" si="3845"/>
        <v>248.85124999999994</v>
      </c>
      <c r="L5980" s="44"/>
      <c r="M5980" s="44">
        <f t="shared" si="3846"/>
        <v>248.85124999999994</v>
      </c>
      <c r="N5980" s="173">
        <f t="shared" si="3847"/>
        <v>1</v>
      </c>
      <c r="O5980" s="44">
        <f t="shared" si="3848"/>
        <v>148</v>
      </c>
      <c r="P5980" s="44">
        <f t="shared" si="3849"/>
        <v>36829.984999999993</v>
      </c>
      <c r="Q5980" s="44">
        <f t="shared" si="3850"/>
        <v>82.379329279999979</v>
      </c>
      <c r="R5980" s="44">
        <f t="shared" si="3851"/>
        <v>20500.199065489589</v>
      </c>
      <c r="S5980" s="123"/>
      <c r="T5980" s="219">
        <f t="shared" si="3852"/>
        <v>20500.199065489589</v>
      </c>
      <c r="U5980" s="87"/>
      <c r="V5980" s="47"/>
      <c r="W5980" s="48"/>
      <c r="X5980" s="48"/>
      <c r="Y5980" s="48"/>
      <c r="Z5980" s="135"/>
      <c r="AA5980" s="49"/>
      <c r="AB5980" s="50">
        <f t="shared" si="3853"/>
        <v>82.379329279999979</v>
      </c>
      <c r="AC5980" s="42">
        <f t="shared" si="3854"/>
        <v>248.85124999999994</v>
      </c>
      <c r="AD5980" s="90">
        <f>AD5981</f>
        <v>20500.199065489589</v>
      </c>
      <c r="AE5980" s="188">
        <f t="shared" ref="AE5980" si="4154">AE5981</f>
        <v>0</v>
      </c>
      <c r="AF5980" s="189">
        <f t="shared" ref="AF5980" si="4155">AF5981</f>
        <v>0</v>
      </c>
      <c r="AG5980" s="189">
        <f t="shared" ref="AG5980" si="4156">AG5981</f>
        <v>0</v>
      </c>
      <c r="AH5980" s="189">
        <f t="shared" ref="AH5980" si="4157">AH5981</f>
        <v>0</v>
      </c>
      <c r="AI5980" s="161">
        <f t="shared" ref="AI5980:AI5981" si="4158">SUM(AE5980:AH5980)</f>
        <v>0</v>
      </c>
      <c r="AK5980" s="169">
        <v>5</v>
      </c>
      <c r="AO5980" s="19" t="s">
        <v>63</v>
      </c>
    </row>
    <row r="5981" spans="1:41" s="103" customFormat="1" ht="19.899999999999999" customHeight="1" x14ac:dyDescent="0.25">
      <c r="A5981" s="51"/>
      <c r="B5981" s="52"/>
      <c r="C5981" s="165"/>
      <c r="D5981" s="52"/>
      <c r="E5981" s="115"/>
      <c r="F5981" s="58"/>
      <c r="G5981" s="58"/>
      <c r="H5981" s="58"/>
      <c r="I5981" s="55"/>
      <c r="J5981" s="113">
        <f>J5980</f>
        <v>248.85124999999994</v>
      </c>
      <c r="K5981" s="212">
        <f>K5980</f>
        <v>248.85124999999994</v>
      </c>
      <c r="L5981" s="58"/>
      <c r="M5981" s="58">
        <f>K5981-L5981</f>
        <v>248.85124999999994</v>
      </c>
      <c r="N5981" s="166"/>
      <c r="O5981" s="58"/>
      <c r="P5981" s="58"/>
      <c r="Q5981" s="58"/>
      <c r="R5981" s="58"/>
      <c r="S5981" s="58"/>
      <c r="T5981" s="220"/>
      <c r="U5981" s="88"/>
      <c r="V5981" s="56"/>
      <c r="W5981" s="57" t="s">
        <v>1572</v>
      </c>
      <c r="X5981" s="53"/>
      <c r="Y5981" s="91" t="s">
        <v>68</v>
      </c>
      <c r="Z5981" s="136">
        <f>AD5981/AC5981</f>
        <v>82.379329279999979</v>
      </c>
      <c r="AA5981" s="58"/>
      <c r="AB5981" s="53">
        <f>AD5981/AC5981</f>
        <v>82.379329279999979</v>
      </c>
      <c r="AC5981" s="53">
        <f>M5981+$AE$10</f>
        <v>248.85124999999994</v>
      </c>
      <c r="AD5981" s="54">
        <f>SUM(AD5982:AD5988)</f>
        <v>20500.199065489589</v>
      </c>
      <c r="AE5981" s="184">
        <f>SUMIFS($AD$37:$AD$12971,$V$37:$V$12971,$V5981,$X$37:$X$12971,AE$13)</f>
        <v>0</v>
      </c>
      <c r="AF5981" s="185">
        <f>SUMIFS($AD$37:$AD$12971,$V$37:$V$12971,$V5981,$X$37:$X$12971,AF$13)</f>
        <v>0</v>
      </c>
      <c r="AG5981" s="185">
        <f>SUMIFS($AD$37:$AD$12971,$V$37:$V$12971,$V5981,$X$37:$X$12971,AG$13)</f>
        <v>0</v>
      </c>
      <c r="AH5981" s="187">
        <f>SUMIFS($AD$37:$AD$12971,$V$37:$V$12971,$V5981,$X$37:$X$12971,AH$13)</f>
        <v>0</v>
      </c>
      <c r="AI5981" s="161">
        <f t="shared" si="4158"/>
        <v>0</v>
      </c>
      <c r="AK5981" s="172"/>
    </row>
    <row r="5982" spans="1:41" s="102" customFormat="1" ht="19.899999999999999" customHeight="1" x14ac:dyDescent="0.25">
      <c r="A5982" s="45"/>
      <c r="B5982" s="59"/>
      <c r="C5982" s="137"/>
      <c r="D5982" s="59"/>
      <c r="E5982" s="116"/>
      <c r="F5982" s="120"/>
      <c r="G5982" s="120"/>
      <c r="H5982" s="120"/>
      <c r="I5982" s="60"/>
      <c r="J5982" s="116"/>
      <c r="K5982" s="213"/>
      <c r="L5982" s="120"/>
      <c r="M5982" s="120"/>
      <c r="N5982" s="167"/>
      <c r="O5982" s="120"/>
      <c r="P5982" s="120"/>
      <c r="Q5982" s="120"/>
      <c r="R5982" s="120"/>
      <c r="S5982" s="120"/>
      <c r="T5982" s="221"/>
      <c r="U5982" s="89"/>
      <c r="V5982" s="61"/>
      <c r="W5982" s="92" t="s">
        <v>1570</v>
      </c>
      <c r="X5982" s="93" t="s">
        <v>30</v>
      </c>
      <c r="Y5982" s="93" t="s">
        <v>66</v>
      </c>
      <c r="Z5982" s="134">
        <f>VLOOKUP(W5982,Sheet2!$B:$D,3,FALSE)</f>
        <v>70</v>
      </c>
      <c r="AA5982" s="93">
        <f>1/((1.2*(0.4+0.3+0.3))-(3.14/4*0.4*0.4))</f>
        <v>0.93075204765450481</v>
      </c>
      <c r="AB5982" s="93">
        <f>AD5982/AC5981</f>
        <v>75.208000000000013</v>
      </c>
      <c r="AC5982" s="93">
        <f>AC5981/AA5982</f>
        <v>267.36578299999996</v>
      </c>
      <c r="AD5982" s="94">
        <f t="shared" ref="AD5982:AD5984" si="4159">AC5982*Z5982</f>
        <v>18715.604809999997</v>
      </c>
      <c r="AE5982" s="190"/>
      <c r="AF5982" s="191"/>
      <c r="AG5982" s="191"/>
      <c r="AH5982" s="191"/>
      <c r="AI5982" s="186"/>
      <c r="AK5982" s="171"/>
    </row>
    <row r="5983" spans="1:41" s="102" customFormat="1" ht="19.899999999999999" customHeight="1" x14ac:dyDescent="0.25">
      <c r="A5983" s="45"/>
      <c r="B5983" s="59"/>
      <c r="C5983" s="137"/>
      <c r="D5983" s="59"/>
      <c r="E5983" s="116"/>
      <c r="F5983" s="120"/>
      <c r="G5983" s="120"/>
      <c r="H5983" s="120"/>
      <c r="I5983" s="60"/>
      <c r="J5983" s="116"/>
      <c r="K5983" s="213"/>
      <c r="L5983" s="120"/>
      <c r="M5983" s="120"/>
      <c r="N5983" s="167"/>
      <c r="O5983" s="120"/>
      <c r="P5983" s="120"/>
      <c r="Q5983" s="120"/>
      <c r="R5983" s="120"/>
      <c r="S5983" s="120"/>
      <c r="T5983" s="221"/>
      <c r="U5983" s="89"/>
      <c r="V5983" s="61"/>
      <c r="W5983" s="92" t="s">
        <v>134</v>
      </c>
      <c r="X5983" s="93" t="s">
        <v>29</v>
      </c>
      <c r="Y5983" s="93" t="s">
        <v>93</v>
      </c>
      <c r="Z5983" s="134">
        <f>VLOOKUP(W5983,Sheet2!$B:$D,3,FALSE)</f>
        <v>65.599999999999994</v>
      </c>
      <c r="AA5983" s="93">
        <f>100/((1.2*(0.4+0.3+0.3))-(3.14/4*0.4*0.4))</f>
        <v>93.075204765450479</v>
      </c>
      <c r="AB5983" s="93">
        <f>AD5983/AC5981</f>
        <v>0.70480639999999994</v>
      </c>
      <c r="AC5983" s="93">
        <f>AC5981/AA5983</f>
        <v>2.6736578299999993</v>
      </c>
      <c r="AD5983" s="94">
        <f t="shared" si="4159"/>
        <v>175.39195364799994</v>
      </c>
      <c r="AE5983" s="190"/>
      <c r="AF5983" s="191"/>
      <c r="AG5983" s="191"/>
      <c r="AH5983" s="191"/>
      <c r="AI5983" s="186"/>
      <c r="AK5983" s="171"/>
    </row>
    <row r="5984" spans="1:41" s="102" customFormat="1" ht="19.899999999999999" customHeight="1" x14ac:dyDescent="0.25">
      <c r="A5984" s="45"/>
      <c r="B5984" s="59"/>
      <c r="C5984" s="137"/>
      <c r="D5984" s="59"/>
      <c r="E5984" s="116"/>
      <c r="F5984" s="120"/>
      <c r="G5984" s="120"/>
      <c r="H5984" s="120"/>
      <c r="I5984" s="60"/>
      <c r="J5984" s="116"/>
      <c r="K5984" s="213"/>
      <c r="L5984" s="120"/>
      <c r="M5984" s="120"/>
      <c r="N5984" s="167"/>
      <c r="O5984" s="120"/>
      <c r="P5984" s="120"/>
      <c r="Q5984" s="120"/>
      <c r="R5984" s="120"/>
      <c r="S5984" s="120"/>
      <c r="T5984" s="221"/>
      <c r="U5984" s="89"/>
      <c r="V5984" s="61"/>
      <c r="W5984" s="92" t="s">
        <v>65</v>
      </c>
      <c r="X5984" s="93" t="s">
        <v>30</v>
      </c>
      <c r="Y5984" s="93" t="s">
        <v>1011</v>
      </c>
      <c r="Z5984" s="134">
        <f>VLOOKUP(W5984,Sheet2!$B:$D,3,FALSE)</f>
        <v>1.76</v>
      </c>
      <c r="AA5984" s="93">
        <f>AA5983/9</f>
        <v>10.341689418383387</v>
      </c>
      <c r="AB5984" s="93">
        <f>AD5984/AC5981</f>
        <v>0.17018496</v>
      </c>
      <c r="AC5984" s="93">
        <f>AC5981/AA5984</f>
        <v>24.062920469999995</v>
      </c>
      <c r="AD5984" s="94">
        <f t="shared" si="4159"/>
        <v>42.35074002719999</v>
      </c>
      <c r="AE5984" s="190"/>
      <c r="AF5984" s="191"/>
      <c r="AG5984" s="191"/>
      <c r="AH5984" s="191"/>
      <c r="AI5984" s="186"/>
      <c r="AK5984" s="171"/>
    </row>
    <row r="5985" spans="1:41" s="102" customFormat="1" ht="19.899999999999999" customHeight="1" x14ac:dyDescent="0.25">
      <c r="A5985" s="45"/>
      <c r="B5985" s="59"/>
      <c r="C5985" s="137"/>
      <c r="D5985" s="59"/>
      <c r="E5985" s="116"/>
      <c r="F5985" s="120"/>
      <c r="G5985" s="120"/>
      <c r="H5985" s="120"/>
      <c r="I5985" s="60"/>
      <c r="J5985" s="116"/>
      <c r="K5985" s="213"/>
      <c r="L5985" s="120"/>
      <c r="M5985" s="120"/>
      <c r="N5985" s="167"/>
      <c r="O5985" s="120"/>
      <c r="P5985" s="120"/>
      <c r="Q5985" s="120"/>
      <c r="R5985" s="120"/>
      <c r="S5985" s="120"/>
      <c r="T5985" s="221"/>
      <c r="U5985" s="89"/>
      <c r="V5985" s="61"/>
      <c r="W5985" s="92" t="s">
        <v>161</v>
      </c>
      <c r="X5985" s="93" t="s">
        <v>29</v>
      </c>
      <c r="Y5985" s="93" t="s">
        <v>93</v>
      </c>
      <c r="Z5985" s="134">
        <f>VLOOKUP(W5985,Sheet2!$B:$D,3,FALSE)</f>
        <v>48</v>
      </c>
      <c r="AA5985" s="93">
        <f>(16*0.85*1)/((1.2*(0.4+0.3+0.3))-(3.14/4*0.4*0.4))</f>
        <v>12.658227848101266</v>
      </c>
      <c r="AB5985" s="93">
        <f>AD5985/AC5981</f>
        <v>3.7920000000000003</v>
      </c>
      <c r="AC5985" s="93">
        <f>AC5981/AA5985</f>
        <v>19.659248749999996</v>
      </c>
      <c r="AD5985" s="94">
        <f>AC5985*Z5985</f>
        <v>943.64393999999982</v>
      </c>
      <c r="AE5985" s="190"/>
      <c r="AF5985" s="191"/>
      <c r="AG5985" s="191"/>
      <c r="AH5985" s="191"/>
      <c r="AI5985" s="186"/>
      <c r="AK5985" s="171"/>
    </row>
    <row r="5986" spans="1:41" s="102" customFormat="1" ht="19.899999999999999" customHeight="1" x14ac:dyDescent="0.25">
      <c r="A5986" s="45"/>
      <c r="B5986" s="59"/>
      <c r="C5986" s="137"/>
      <c r="D5986" s="59"/>
      <c r="E5986" s="116"/>
      <c r="F5986" s="120"/>
      <c r="G5986" s="120"/>
      <c r="H5986" s="120"/>
      <c r="I5986" s="60"/>
      <c r="J5986" s="116"/>
      <c r="K5986" s="213"/>
      <c r="L5986" s="120"/>
      <c r="M5986" s="120"/>
      <c r="N5986" s="167"/>
      <c r="O5986" s="120"/>
      <c r="P5986" s="120"/>
      <c r="Q5986" s="120"/>
      <c r="R5986" s="120"/>
      <c r="S5986" s="120"/>
      <c r="T5986" s="221"/>
      <c r="U5986" s="89"/>
      <c r="V5986" s="61"/>
      <c r="W5986" s="92" t="s">
        <v>65</v>
      </c>
      <c r="X5986" s="93" t="s">
        <v>30</v>
      </c>
      <c r="Y5986" s="93" t="s">
        <v>1011</v>
      </c>
      <c r="Z5986" s="134">
        <f>VLOOKUP(W5986,Sheet2!$B:$D,3,FALSE)</f>
        <v>1.76</v>
      </c>
      <c r="AA5986" s="93">
        <f>AA5985/10</f>
        <v>1.2658227848101267</v>
      </c>
      <c r="AB5986" s="93">
        <f>AD5986/AC5981</f>
        <v>1.3904000000000001</v>
      </c>
      <c r="AC5986" s="93">
        <f>AC5981/AA5986</f>
        <v>196.59248749999995</v>
      </c>
      <c r="AD5986" s="94">
        <f>AC5986*Z5986</f>
        <v>346.00277799999992</v>
      </c>
      <c r="AE5986" s="190"/>
      <c r="AF5986" s="191"/>
      <c r="AG5986" s="191"/>
      <c r="AH5986" s="191"/>
      <c r="AI5986" s="186"/>
      <c r="AK5986" s="171"/>
    </row>
    <row r="5987" spans="1:41" s="102" customFormat="1" ht="19.899999999999999" customHeight="1" x14ac:dyDescent="0.25">
      <c r="A5987" s="45"/>
      <c r="B5987" s="59"/>
      <c r="C5987" s="137"/>
      <c r="D5987" s="59"/>
      <c r="E5987" s="116"/>
      <c r="F5987" s="120"/>
      <c r="G5987" s="120"/>
      <c r="H5987" s="120"/>
      <c r="I5987" s="60"/>
      <c r="J5987" s="116"/>
      <c r="K5987" s="213"/>
      <c r="L5987" s="120"/>
      <c r="M5987" s="120"/>
      <c r="N5987" s="167"/>
      <c r="O5987" s="120"/>
      <c r="P5987" s="120"/>
      <c r="Q5987" s="120"/>
      <c r="R5987" s="120"/>
      <c r="S5987" s="120"/>
      <c r="T5987" s="221"/>
      <c r="U5987" s="89"/>
      <c r="V5987" s="61"/>
      <c r="W5987" s="92" t="s">
        <v>173</v>
      </c>
      <c r="X5987" s="93" t="s">
        <v>29</v>
      </c>
      <c r="Y5987" s="93" t="s">
        <v>93</v>
      </c>
      <c r="Z5987" s="134">
        <f>VLOOKUP(W5987,Sheet2!$B:$D,3,FALSE)</f>
        <v>36</v>
      </c>
      <c r="AA5987" s="93">
        <f>50/((1.2*(0.4+0.3+0.3))-(3.14/4*0.4*0.4))</f>
        <v>46.53760238272524</v>
      </c>
      <c r="AB5987" s="93">
        <f>AD5987/AC5981</f>
        <v>0.77356800000000003</v>
      </c>
      <c r="AC5987" s="93">
        <f>AC5981/AA5987</f>
        <v>5.3473156599999987</v>
      </c>
      <c r="AD5987" s="94">
        <f>AC5987*Z5987</f>
        <v>192.50336375999996</v>
      </c>
      <c r="AE5987" s="190"/>
      <c r="AF5987" s="191"/>
      <c r="AG5987" s="191"/>
      <c r="AH5987" s="191"/>
      <c r="AI5987" s="186"/>
      <c r="AK5987" s="171"/>
    </row>
    <row r="5988" spans="1:41" s="102" customFormat="1" ht="19.899999999999999" customHeight="1" x14ac:dyDescent="0.25">
      <c r="A5988" s="45"/>
      <c r="B5988" s="59"/>
      <c r="C5988" s="137"/>
      <c r="D5988" s="59"/>
      <c r="E5988" s="116"/>
      <c r="F5988" s="120"/>
      <c r="G5988" s="120"/>
      <c r="H5988" s="120"/>
      <c r="I5988" s="60"/>
      <c r="J5988" s="116"/>
      <c r="K5988" s="213"/>
      <c r="L5988" s="120"/>
      <c r="M5988" s="120"/>
      <c r="N5988" s="167"/>
      <c r="O5988" s="120"/>
      <c r="P5988" s="120"/>
      <c r="Q5988" s="120"/>
      <c r="R5988" s="120"/>
      <c r="S5988" s="120"/>
      <c r="T5988" s="221"/>
      <c r="U5988" s="89"/>
      <c r="V5988" s="61"/>
      <c r="W5988" s="92" t="s">
        <v>65</v>
      </c>
      <c r="X5988" s="93" t="s">
        <v>30</v>
      </c>
      <c r="Y5988" s="93" t="s">
        <v>1011</v>
      </c>
      <c r="Z5988" s="134">
        <f>VLOOKUP(W5988,Sheet2!$B:$D,3,FALSE)</f>
        <v>1.76</v>
      </c>
      <c r="AA5988" s="93">
        <f>AA5987/9</f>
        <v>5.1708447091916936</v>
      </c>
      <c r="AB5988" s="93">
        <f>AD5988/AC5981</f>
        <v>0.34036991999999999</v>
      </c>
      <c r="AC5988" s="93">
        <f>AC5981/AA5988</f>
        <v>48.125840939999989</v>
      </c>
      <c r="AD5988" s="94">
        <f>AC5988*Z5988</f>
        <v>84.70148005439998</v>
      </c>
      <c r="AE5988" s="190"/>
      <c r="AF5988" s="191"/>
      <c r="AG5988" s="191"/>
      <c r="AH5988" s="191"/>
      <c r="AI5988" s="186"/>
      <c r="AK5988" s="171"/>
    </row>
    <row r="5989" spans="1:41" ht="20.100000000000001" customHeight="1" x14ac:dyDescent="0.25">
      <c r="A5989" s="277" t="s">
        <v>491</v>
      </c>
      <c r="B5989" s="278"/>
      <c r="C5989" s="64" t="s">
        <v>568</v>
      </c>
      <c r="D5989" s="46" t="s">
        <v>97</v>
      </c>
      <c r="E5989" s="114">
        <v>127.38354999999996</v>
      </c>
      <c r="F5989" s="44">
        <v>177</v>
      </c>
      <c r="G5989" s="44">
        <f t="shared" si="3841"/>
        <v>22546.888349999994</v>
      </c>
      <c r="H5989" s="44">
        <f t="shared" si="3842"/>
        <v>111.46588788235296</v>
      </c>
      <c r="I5989" s="43">
        <f t="shared" si="3843"/>
        <v>14198.920502356097</v>
      </c>
      <c r="J5989" s="112">
        <f t="shared" si="3844"/>
        <v>127.38354999999996</v>
      </c>
      <c r="K5989" s="211">
        <f t="shared" si="3845"/>
        <v>127.38354999999996</v>
      </c>
      <c r="L5989" s="44"/>
      <c r="M5989" s="44">
        <f t="shared" si="3846"/>
        <v>127.38354999999996</v>
      </c>
      <c r="N5989" s="173">
        <f t="shared" si="3847"/>
        <v>1</v>
      </c>
      <c r="O5989" s="44">
        <f t="shared" si="3848"/>
        <v>177</v>
      </c>
      <c r="P5989" s="44">
        <f t="shared" si="3849"/>
        <v>22546.888349999994</v>
      </c>
      <c r="Q5989" s="44">
        <f t="shared" si="3850"/>
        <v>111.46588788235296</v>
      </c>
      <c r="R5989" s="44">
        <f t="shared" si="3851"/>
        <v>14198.920502356097</v>
      </c>
      <c r="S5989" s="123"/>
      <c r="T5989" s="219">
        <f t="shared" si="3852"/>
        <v>14198.920502356097</v>
      </c>
      <c r="U5989" s="87"/>
      <c r="V5989" s="47"/>
      <c r="W5989" s="48"/>
      <c r="X5989" s="48"/>
      <c r="Y5989" s="48"/>
      <c r="Z5989" s="135"/>
      <c r="AA5989" s="49"/>
      <c r="AB5989" s="50">
        <f t="shared" si="3853"/>
        <v>111.46588788235296</v>
      </c>
      <c r="AC5989" s="42">
        <f t="shared" si="3854"/>
        <v>127.38354999999996</v>
      </c>
      <c r="AD5989" s="90">
        <f>AD5990</f>
        <v>14198.920502356097</v>
      </c>
      <c r="AE5989" s="188">
        <f t="shared" ref="AE5989" si="4160">AE5990</f>
        <v>0</v>
      </c>
      <c r="AF5989" s="189">
        <f t="shared" ref="AF5989" si="4161">AF5990</f>
        <v>0</v>
      </c>
      <c r="AG5989" s="189">
        <f t="shared" ref="AG5989" si="4162">AG5990</f>
        <v>0</v>
      </c>
      <c r="AH5989" s="189">
        <f t="shared" ref="AH5989" si="4163">AH5990</f>
        <v>0</v>
      </c>
      <c r="AI5989" s="161">
        <f t="shared" ref="AI5989:AI5990" si="4164">SUM(AE5989:AH5989)</f>
        <v>0</v>
      </c>
      <c r="AK5989" s="169">
        <v>5</v>
      </c>
      <c r="AO5989" s="19" t="s">
        <v>63</v>
      </c>
    </row>
    <row r="5990" spans="1:41" s="103" customFormat="1" ht="19.899999999999999" customHeight="1" x14ac:dyDescent="0.25">
      <c r="A5990" s="51"/>
      <c r="B5990" s="52"/>
      <c r="C5990" s="165"/>
      <c r="D5990" s="52"/>
      <c r="E5990" s="115"/>
      <c r="F5990" s="58"/>
      <c r="G5990" s="58"/>
      <c r="H5990" s="58"/>
      <c r="I5990" s="55"/>
      <c r="J5990" s="113">
        <f>J5989</f>
        <v>127.38354999999996</v>
      </c>
      <c r="K5990" s="212">
        <f>K5989</f>
        <v>127.38354999999996</v>
      </c>
      <c r="L5990" s="58"/>
      <c r="M5990" s="58">
        <f>K5990-L5990</f>
        <v>127.38354999999996</v>
      </c>
      <c r="N5990" s="166"/>
      <c r="O5990" s="58"/>
      <c r="P5990" s="58"/>
      <c r="Q5990" s="58"/>
      <c r="R5990" s="58"/>
      <c r="S5990" s="58"/>
      <c r="T5990" s="220"/>
      <c r="U5990" s="88"/>
      <c r="V5990" s="56"/>
      <c r="W5990" s="57" t="s">
        <v>1573</v>
      </c>
      <c r="X5990" s="53"/>
      <c r="Y5990" s="91" t="s">
        <v>68</v>
      </c>
      <c r="Z5990" s="136">
        <f>AD5990/AC5990</f>
        <v>111.46588788235296</v>
      </c>
      <c r="AA5990" s="58"/>
      <c r="AB5990" s="53">
        <f>AD5990/AC5990</f>
        <v>111.46588788235296</v>
      </c>
      <c r="AC5990" s="53">
        <f>M5990+$AE$10</f>
        <v>127.38354999999996</v>
      </c>
      <c r="AD5990" s="54">
        <f>SUM(AD5991:AD5997)</f>
        <v>14198.920502356097</v>
      </c>
      <c r="AE5990" s="184">
        <f>SUMIFS($AD$37:$AD$12971,$V$37:$V$12971,$V5990,$X$37:$X$12971,AE$13)</f>
        <v>0</v>
      </c>
      <c r="AF5990" s="185">
        <f>SUMIFS($AD$37:$AD$12971,$V$37:$V$12971,$V5990,$X$37:$X$12971,AF$13)</f>
        <v>0</v>
      </c>
      <c r="AG5990" s="185">
        <f>SUMIFS($AD$37:$AD$12971,$V$37:$V$12971,$V5990,$X$37:$X$12971,AG$13)</f>
        <v>0</v>
      </c>
      <c r="AH5990" s="187">
        <f>SUMIFS($AD$37:$AD$12971,$V$37:$V$12971,$V5990,$X$37:$X$12971,AH$13)</f>
        <v>0</v>
      </c>
      <c r="AI5990" s="161">
        <f t="shared" si="4164"/>
        <v>0</v>
      </c>
      <c r="AK5990" s="172"/>
    </row>
    <row r="5991" spans="1:41" s="102" customFormat="1" ht="19.899999999999999" customHeight="1" x14ac:dyDescent="0.25">
      <c r="A5991" s="45"/>
      <c r="B5991" s="59"/>
      <c r="C5991" s="137"/>
      <c r="D5991" s="59"/>
      <c r="E5991" s="116"/>
      <c r="F5991" s="120"/>
      <c r="G5991" s="120"/>
      <c r="H5991" s="120"/>
      <c r="I5991" s="60"/>
      <c r="J5991" s="116"/>
      <c r="K5991" s="213"/>
      <c r="L5991" s="120"/>
      <c r="M5991" s="120"/>
      <c r="N5991" s="167"/>
      <c r="O5991" s="120"/>
      <c r="P5991" s="120"/>
      <c r="Q5991" s="120"/>
      <c r="R5991" s="120"/>
      <c r="S5991" s="120"/>
      <c r="T5991" s="221"/>
      <c r="U5991" s="89"/>
      <c r="V5991" s="61"/>
      <c r="W5991" s="92" t="s">
        <v>1570</v>
      </c>
      <c r="X5991" s="93" t="s">
        <v>30</v>
      </c>
      <c r="Y5991" s="93" t="s">
        <v>66</v>
      </c>
      <c r="Z5991" s="134">
        <f>VLOOKUP(W5991,Sheet2!$B:$D,3,FALSE)</f>
        <v>70</v>
      </c>
      <c r="AA5991" s="93">
        <f>1/((1.5*(0.5+0.3+0.3))-(3.14/4*0.5*0.5))</f>
        <v>0.68787618228718828</v>
      </c>
      <c r="AB5991" s="93">
        <f>AD5991/AC5990</f>
        <v>101.7625</v>
      </c>
      <c r="AC5991" s="93">
        <f>AC5990/AA5991</f>
        <v>185.18383581249995</v>
      </c>
      <c r="AD5991" s="94">
        <f t="shared" ref="AD5991:AD5993" si="4165">AC5991*Z5991</f>
        <v>12962.868506874996</v>
      </c>
      <c r="AE5991" s="190"/>
      <c r="AF5991" s="191"/>
      <c r="AG5991" s="191"/>
      <c r="AH5991" s="191"/>
      <c r="AI5991" s="186"/>
      <c r="AK5991" s="171"/>
    </row>
    <row r="5992" spans="1:41" s="102" customFormat="1" ht="19.899999999999999" customHeight="1" x14ac:dyDescent="0.25">
      <c r="A5992" s="45"/>
      <c r="B5992" s="59"/>
      <c r="C5992" s="137"/>
      <c r="D5992" s="59"/>
      <c r="E5992" s="116"/>
      <c r="F5992" s="120"/>
      <c r="G5992" s="120"/>
      <c r="H5992" s="120"/>
      <c r="I5992" s="60"/>
      <c r="J5992" s="116"/>
      <c r="K5992" s="213"/>
      <c r="L5992" s="120"/>
      <c r="M5992" s="120"/>
      <c r="N5992" s="167"/>
      <c r="O5992" s="120"/>
      <c r="P5992" s="120"/>
      <c r="Q5992" s="120"/>
      <c r="R5992" s="120"/>
      <c r="S5992" s="120"/>
      <c r="T5992" s="221"/>
      <c r="U5992" s="89"/>
      <c r="V5992" s="61"/>
      <c r="W5992" s="92" t="s">
        <v>134</v>
      </c>
      <c r="X5992" s="93" t="s">
        <v>29</v>
      </c>
      <c r="Y5992" s="93" t="s">
        <v>93</v>
      </c>
      <c r="Z5992" s="134">
        <f>VLOOKUP(W5992,Sheet2!$B:$D,3,FALSE)</f>
        <v>65.599999999999994</v>
      </c>
      <c r="AA5992" s="93">
        <f>100/((1.5*(0.5+0.3+0.3))-(3.14/4*0.5*0.5))</f>
        <v>68.787618228718827</v>
      </c>
      <c r="AB5992" s="93">
        <f>AD5992/AC5990</f>
        <v>0.95366000000000006</v>
      </c>
      <c r="AC5992" s="93">
        <f>AC5990/AA5992</f>
        <v>1.8518383581249995</v>
      </c>
      <c r="AD5992" s="94">
        <f t="shared" si="4165"/>
        <v>121.48059629299996</v>
      </c>
      <c r="AE5992" s="190"/>
      <c r="AF5992" s="191"/>
      <c r="AG5992" s="191"/>
      <c r="AH5992" s="191"/>
      <c r="AI5992" s="186"/>
      <c r="AK5992" s="171"/>
    </row>
    <row r="5993" spans="1:41" s="102" customFormat="1" ht="19.899999999999999" customHeight="1" x14ac:dyDescent="0.25">
      <c r="A5993" s="45"/>
      <c r="B5993" s="59"/>
      <c r="C5993" s="137"/>
      <c r="D5993" s="59"/>
      <c r="E5993" s="116"/>
      <c r="F5993" s="120"/>
      <c r="G5993" s="120"/>
      <c r="H5993" s="120"/>
      <c r="I5993" s="60"/>
      <c r="J5993" s="116"/>
      <c r="K5993" s="213"/>
      <c r="L5993" s="120"/>
      <c r="M5993" s="120"/>
      <c r="N5993" s="167"/>
      <c r="O5993" s="120"/>
      <c r="P5993" s="120"/>
      <c r="Q5993" s="120"/>
      <c r="R5993" s="120"/>
      <c r="S5993" s="120"/>
      <c r="T5993" s="221"/>
      <c r="U5993" s="89"/>
      <c r="V5993" s="61"/>
      <c r="W5993" s="92" t="s">
        <v>65</v>
      </c>
      <c r="X5993" s="93" t="s">
        <v>30</v>
      </c>
      <c r="Y5993" s="93" t="s">
        <v>1011</v>
      </c>
      <c r="Z5993" s="134">
        <f>VLOOKUP(W5993,Sheet2!$B:$D,3,FALSE)</f>
        <v>1.76</v>
      </c>
      <c r="AA5993" s="93">
        <f>AA5992/9</f>
        <v>7.6430686920798694</v>
      </c>
      <c r="AB5993" s="93">
        <f>AD5993/AC5990</f>
        <v>0.23027400000000001</v>
      </c>
      <c r="AC5993" s="93">
        <f>AC5990/AA5993</f>
        <v>16.666545223124995</v>
      </c>
      <c r="AD5993" s="94">
        <f t="shared" si="4165"/>
        <v>29.33311959269999</v>
      </c>
      <c r="AE5993" s="190"/>
      <c r="AF5993" s="191"/>
      <c r="AG5993" s="191"/>
      <c r="AH5993" s="191"/>
      <c r="AI5993" s="186"/>
      <c r="AK5993" s="171"/>
    </row>
    <row r="5994" spans="1:41" s="102" customFormat="1" ht="19.899999999999999" customHeight="1" x14ac:dyDescent="0.25">
      <c r="A5994" s="45"/>
      <c r="B5994" s="59"/>
      <c r="C5994" s="137"/>
      <c r="D5994" s="59"/>
      <c r="E5994" s="116"/>
      <c r="F5994" s="120"/>
      <c r="G5994" s="120"/>
      <c r="H5994" s="120"/>
      <c r="I5994" s="60"/>
      <c r="J5994" s="116"/>
      <c r="K5994" s="213"/>
      <c r="L5994" s="120"/>
      <c r="M5994" s="120"/>
      <c r="N5994" s="167"/>
      <c r="O5994" s="120"/>
      <c r="P5994" s="120"/>
      <c r="Q5994" s="120"/>
      <c r="R5994" s="120"/>
      <c r="S5994" s="120"/>
      <c r="T5994" s="221"/>
      <c r="U5994" s="89"/>
      <c r="V5994" s="61"/>
      <c r="W5994" s="92" t="s">
        <v>161</v>
      </c>
      <c r="X5994" s="93" t="s">
        <v>29</v>
      </c>
      <c r="Y5994" s="93" t="s">
        <v>93</v>
      </c>
      <c r="Z5994" s="134">
        <f>VLOOKUP(W5994,Sheet2!$B:$D,3,FALSE)</f>
        <v>48</v>
      </c>
      <c r="AA5994" s="93">
        <f>(16*0.85*1)/((1.5*(0.5+0.3+0.3))-(3.14/4*0.5*0.5))</f>
        <v>9.3551160791057608</v>
      </c>
      <c r="AB5994" s="93">
        <f>AD5994/AC5990</f>
        <v>5.1308823529411756</v>
      </c>
      <c r="AC5994" s="93">
        <f>AC5990/AA5994</f>
        <v>13.616458515624995</v>
      </c>
      <c r="AD5994" s="94">
        <f>AC5994*Z5994</f>
        <v>653.5900087499997</v>
      </c>
      <c r="AE5994" s="190"/>
      <c r="AF5994" s="191"/>
      <c r="AG5994" s="191"/>
      <c r="AH5994" s="191"/>
      <c r="AI5994" s="186"/>
      <c r="AK5994" s="171"/>
    </row>
    <row r="5995" spans="1:41" s="102" customFormat="1" ht="19.899999999999999" customHeight="1" x14ac:dyDescent="0.25">
      <c r="A5995" s="45"/>
      <c r="B5995" s="59"/>
      <c r="C5995" s="137"/>
      <c r="D5995" s="59"/>
      <c r="E5995" s="116"/>
      <c r="F5995" s="120"/>
      <c r="G5995" s="120"/>
      <c r="H5995" s="120"/>
      <c r="I5995" s="60"/>
      <c r="J5995" s="116"/>
      <c r="K5995" s="213"/>
      <c r="L5995" s="120"/>
      <c r="M5995" s="120"/>
      <c r="N5995" s="167"/>
      <c r="O5995" s="120"/>
      <c r="P5995" s="120"/>
      <c r="Q5995" s="120"/>
      <c r="R5995" s="120"/>
      <c r="S5995" s="120"/>
      <c r="T5995" s="221"/>
      <c r="U5995" s="89"/>
      <c r="V5995" s="61"/>
      <c r="W5995" s="92" t="s">
        <v>65</v>
      </c>
      <c r="X5995" s="93" t="s">
        <v>30</v>
      </c>
      <c r="Y5995" s="93" t="s">
        <v>1011</v>
      </c>
      <c r="Z5995" s="134">
        <f>VLOOKUP(W5995,Sheet2!$B:$D,3,FALSE)</f>
        <v>1.76</v>
      </c>
      <c r="AA5995" s="93">
        <f>AA5994/10</f>
        <v>0.93551160791057608</v>
      </c>
      <c r="AB5995" s="93">
        <f>AD5995/AC5990</f>
        <v>1.8813235294117647</v>
      </c>
      <c r="AC5995" s="93">
        <f>AC5990/AA5995</f>
        <v>136.16458515624996</v>
      </c>
      <c r="AD5995" s="94">
        <f>AC5995*Z5995</f>
        <v>239.64966987499992</v>
      </c>
      <c r="AE5995" s="190"/>
      <c r="AF5995" s="191"/>
      <c r="AG5995" s="191"/>
      <c r="AH5995" s="191"/>
      <c r="AI5995" s="186"/>
      <c r="AK5995" s="171"/>
    </row>
    <row r="5996" spans="1:41" s="102" customFormat="1" ht="19.899999999999999" customHeight="1" x14ac:dyDescent="0.25">
      <c r="A5996" s="45"/>
      <c r="B5996" s="59"/>
      <c r="C5996" s="137"/>
      <c r="D5996" s="59"/>
      <c r="E5996" s="116"/>
      <c r="F5996" s="120"/>
      <c r="G5996" s="120"/>
      <c r="H5996" s="120"/>
      <c r="I5996" s="60"/>
      <c r="J5996" s="116"/>
      <c r="K5996" s="213"/>
      <c r="L5996" s="120"/>
      <c r="M5996" s="120"/>
      <c r="N5996" s="167"/>
      <c r="O5996" s="120"/>
      <c r="P5996" s="120"/>
      <c r="Q5996" s="120"/>
      <c r="R5996" s="120"/>
      <c r="S5996" s="120"/>
      <c r="T5996" s="221"/>
      <c r="U5996" s="89"/>
      <c r="V5996" s="61"/>
      <c r="W5996" s="92" t="s">
        <v>173</v>
      </c>
      <c r="X5996" s="93" t="s">
        <v>29</v>
      </c>
      <c r="Y5996" s="93" t="s">
        <v>93</v>
      </c>
      <c r="Z5996" s="134">
        <f>VLOOKUP(W5996,Sheet2!$B:$D,3,FALSE)</f>
        <v>36</v>
      </c>
      <c r="AA5996" s="93">
        <f>50/((1.5*(0.5+0.3+0.3))-(3.14/4*0.5*0.5))</f>
        <v>34.393809114359414</v>
      </c>
      <c r="AB5996" s="93">
        <f>AD5996/AC5990</f>
        <v>1.0467</v>
      </c>
      <c r="AC5996" s="93">
        <f>AC5990/AA5996</f>
        <v>3.7036767162499991</v>
      </c>
      <c r="AD5996" s="94">
        <f>AC5996*Z5996</f>
        <v>133.33236178499996</v>
      </c>
      <c r="AE5996" s="190"/>
      <c r="AF5996" s="191"/>
      <c r="AG5996" s="191"/>
      <c r="AH5996" s="191"/>
      <c r="AI5996" s="186"/>
      <c r="AK5996" s="171"/>
    </row>
    <row r="5997" spans="1:41" s="102" customFormat="1" ht="19.899999999999999" customHeight="1" x14ac:dyDescent="0.25">
      <c r="A5997" s="45"/>
      <c r="B5997" s="59"/>
      <c r="C5997" s="137"/>
      <c r="D5997" s="59"/>
      <c r="E5997" s="116"/>
      <c r="F5997" s="120"/>
      <c r="G5997" s="120"/>
      <c r="H5997" s="120"/>
      <c r="I5997" s="60"/>
      <c r="J5997" s="116"/>
      <c r="K5997" s="213"/>
      <c r="L5997" s="120"/>
      <c r="M5997" s="120"/>
      <c r="N5997" s="167"/>
      <c r="O5997" s="120"/>
      <c r="P5997" s="120"/>
      <c r="Q5997" s="120"/>
      <c r="R5997" s="120"/>
      <c r="S5997" s="120"/>
      <c r="T5997" s="221"/>
      <c r="U5997" s="89"/>
      <c r="V5997" s="61"/>
      <c r="W5997" s="92" t="s">
        <v>65</v>
      </c>
      <c r="X5997" s="93" t="s">
        <v>30</v>
      </c>
      <c r="Y5997" s="93" t="s">
        <v>1011</v>
      </c>
      <c r="Z5997" s="134">
        <f>VLOOKUP(W5997,Sheet2!$B:$D,3,FALSE)</f>
        <v>1.76</v>
      </c>
      <c r="AA5997" s="93">
        <f>AA5996/9</f>
        <v>3.8215343460399347</v>
      </c>
      <c r="AB5997" s="93">
        <f>AD5997/AC5990</f>
        <v>0.46054800000000001</v>
      </c>
      <c r="AC5997" s="93">
        <f>AC5990/AA5997</f>
        <v>33.33309044624999</v>
      </c>
      <c r="AD5997" s="94">
        <f>AC5997*Z5997</f>
        <v>58.666239185399981</v>
      </c>
      <c r="AE5997" s="190"/>
      <c r="AF5997" s="191"/>
      <c r="AG5997" s="191"/>
      <c r="AH5997" s="191"/>
      <c r="AI5997" s="186"/>
      <c r="AK5997" s="171"/>
    </row>
    <row r="5998" spans="1:41" ht="20.100000000000001" customHeight="1" x14ac:dyDescent="0.25">
      <c r="A5998" s="277" t="s">
        <v>491</v>
      </c>
      <c r="B5998" s="278"/>
      <c r="C5998" s="64" t="s">
        <v>569</v>
      </c>
      <c r="D5998" s="46" t="s">
        <v>97</v>
      </c>
      <c r="E5998" s="114">
        <v>175.5932499999999</v>
      </c>
      <c r="F5998" s="44">
        <v>212</v>
      </c>
      <c r="G5998" s="44">
        <f t="shared" si="3841"/>
        <v>37225.768999999978</v>
      </c>
      <c r="H5998" s="44">
        <f t="shared" si="3842"/>
        <v>125.54720193882353</v>
      </c>
      <c r="I5998" s="43">
        <f t="shared" si="3843"/>
        <v>22045.241216844312</v>
      </c>
      <c r="J5998" s="112">
        <f t="shared" si="3844"/>
        <v>175.5932499999999</v>
      </c>
      <c r="K5998" s="211">
        <f t="shared" si="3845"/>
        <v>175.5932499999999</v>
      </c>
      <c r="L5998" s="44"/>
      <c r="M5998" s="44">
        <f t="shared" si="3846"/>
        <v>175.5932499999999</v>
      </c>
      <c r="N5998" s="173">
        <f t="shared" si="3847"/>
        <v>1</v>
      </c>
      <c r="O5998" s="44">
        <f t="shared" si="3848"/>
        <v>212</v>
      </c>
      <c r="P5998" s="44">
        <f t="shared" si="3849"/>
        <v>37225.768999999978</v>
      </c>
      <c r="Q5998" s="44">
        <f t="shared" si="3850"/>
        <v>125.54720193882353</v>
      </c>
      <c r="R5998" s="44">
        <f t="shared" si="3851"/>
        <v>22045.241216844312</v>
      </c>
      <c r="S5998" s="123"/>
      <c r="T5998" s="219">
        <f t="shared" si="3852"/>
        <v>22045.241216844312</v>
      </c>
      <c r="U5998" s="87"/>
      <c r="V5998" s="47"/>
      <c r="W5998" s="48"/>
      <c r="X5998" s="48"/>
      <c r="Y5998" s="48"/>
      <c r="Z5998" s="135"/>
      <c r="AA5998" s="49"/>
      <c r="AB5998" s="50">
        <f t="shared" si="3853"/>
        <v>125.54720193882353</v>
      </c>
      <c r="AC5998" s="42">
        <f t="shared" si="3854"/>
        <v>175.5932499999999</v>
      </c>
      <c r="AD5998" s="90">
        <f>AD5999</f>
        <v>22045.241216844312</v>
      </c>
      <c r="AE5998" s="188">
        <f t="shared" ref="AE5998" si="4166">AE5999</f>
        <v>0</v>
      </c>
      <c r="AF5998" s="189">
        <f t="shared" ref="AF5998" si="4167">AF5999</f>
        <v>0</v>
      </c>
      <c r="AG5998" s="189">
        <f t="shared" ref="AG5998" si="4168">AG5999</f>
        <v>0</v>
      </c>
      <c r="AH5998" s="189">
        <f t="shared" ref="AH5998" si="4169">AH5999</f>
        <v>0</v>
      </c>
      <c r="AI5998" s="161">
        <f t="shared" ref="AI5998:AI6007" si="4170">SUM(AE5998:AH5998)</f>
        <v>0</v>
      </c>
      <c r="AK5998" s="169">
        <v>5</v>
      </c>
      <c r="AO5998" s="19" t="s">
        <v>63</v>
      </c>
    </row>
    <row r="5999" spans="1:41" s="103" customFormat="1" ht="19.899999999999999" customHeight="1" x14ac:dyDescent="0.25">
      <c r="A5999" s="51"/>
      <c r="B5999" s="52"/>
      <c r="C5999" s="165"/>
      <c r="D5999" s="52"/>
      <c r="E5999" s="115"/>
      <c r="F5999" s="58"/>
      <c r="G5999" s="58"/>
      <c r="H5999" s="58"/>
      <c r="I5999" s="55"/>
      <c r="J5999" s="113">
        <f>J5998</f>
        <v>175.5932499999999</v>
      </c>
      <c r="K5999" s="212">
        <f>K5998</f>
        <v>175.5932499999999</v>
      </c>
      <c r="L5999" s="58"/>
      <c r="M5999" s="58">
        <f>K5999-L5999</f>
        <v>175.5932499999999</v>
      </c>
      <c r="N5999" s="166"/>
      <c r="O5999" s="58"/>
      <c r="P5999" s="58"/>
      <c r="Q5999" s="58"/>
      <c r="R5999" s="58"/>
      <c r="S5999" s="58"/>
      <c r="T5999" s="220"/>
      <c r="U5999" s="88"/>
      <c r="V5999" s="56"/>
      <c r="W5999" s="57" t="s">
        <v>1574</v>
      </c>
      <c r="X5999" s="53"/>
      <c r="Y5999" s="91" t="s">
        <v>68</v>
      </c>
      <c r="Z5999" s="136">
        <f>AD5999/AC5999</f>
        <v>125.54720193882353</v>
      </c>
      <c r="AA5999" s="58"/>
      <c r="AB5999" s="53">
        <f>AD5999/AC5999</f>
        <v>125.54720193882353</v>
      </c>
      <c r="AC5999" s="53">
        <f>M5999+$AE$10</f>
        <v>175.5932499999999</v>
      </c>
      <c r="AD5999" s="54">
        <f>SUM(AD6000:AD6006)</f>
        <v>22045.241216844312</v>
      </c>
      <c r="AE5999" s="184">
        <f>SUMIFS($AD$37:$AD$12971,$V$37:$V$12971,$V5999,$X$37:$X$12971,AE$13)</f>
        <v>0</v>
      </c>
      <c r="AF5999" s="185">
        <f>SUMIFS($AD$37:$AD$12971,$V$37:$V$12971,$V5999,$X$37:$X$12971,AF$13)</f>
        <v>0</v>
      </c>
      <c r="AG5999" s="185">
        <f>SUMIFS($AD$37:$AD$12971,$V$37:$V$12971,$V5999,$X$37:$X$12971,AG$13)</f>
        <v>0</v>
      </c>
      <c r="AH5999" s="187">
        <f>SUMIFS($AD$37:$AD$12971,$V$37:$V$12971,$V5999,$X$37:$X$12971,AH$13)</f>
        <v>0</v>
      </c>
      <c r="AI5999" s="161">
        <f t="shared" si="4170"/>
        <v>0</v>
      </c>
      <c r="AK5999" s="172"/>
    </row>
    <row r="6000" spans="1:41" s="102" customFormat="1" ht="19.899999999999999" customHeight="1" x14ac:dyDescent="0.25">
      <c r="A6000" s="45"/>
      <c r="B6000" s="59"/>
      <c r="C6000" s="137"/>
      <c r="D6000" s="59"/>
      <c r="E6000" s="116"/>
      <c r="F6000" s="120"/>
      <c r="G6000" s="120"/>
      <c r="H6000" s="120"/>
      <c r="I6000" s="60"/>
      <c r="J6000" s="116"/>
      <c r="K6000" s="213"/>
      <c r="L6000" s="120"/>
      <c r="M6000" s="120"/>
      <c r="N6000" s="167"/>
      <c r="O6000" s="120"/>
      <c r="P6000" s="120"/>
      <c r="Q6000" s="120"/>
      <c r="R6000" s="120"/>
      <c r="S6000" s="120"/>
      <c r="T6000" s="221"/>
      <c r="U6000" s="89"/>
      <c r="V6000" s="61"/>
      <c r="W6000" s="92" t="s">
        <v>1570</v>
      </c>
      <c r="X6000" s="93" t="s">
        <v>30</v>
      </c>
      <c r="Y6000" s="93" t="s">
        <v>66</v>
      </c>
      <c r="Z6000" s="134">
        <f>VLOOKUP(W6000,Sheet2!$B:$D,3,FALSE)</f>
        <v>70</v>
      </c>
      <c r="AA6000" s="93">
        <f>1/((1.6*(0.6+0.3+0.3))-(3.14/4*0.6*0.6))</f>
        <v>0.61072431904238433</v>
      </c>
      <c r="AB6000" s="93">
        <f>AD6000/AC5999</f>
        <v>114.61799999999998</v>
      </c>
      <c r="AC6000" s="93">
        <f>AC5999/AA6000</f>
        <v>287.51638754999982</v>
      </c>
      <c r="AD6000" s="94">
        <f t="shared" ref="AD6000:AD6002" si="4171">AC6000*Z6000</f>
        <v>20126.147128499986</v>
      </c>
      <c r="AE6000" s="190"/>
      <c r="AF6000" s="191"/>
      <c r="AG6000" s="191"/>
      <c r="AH6000" s="191"/>
      <c r="AI6000" s="186"/>
      <c r="AK6000" s="171"/>
    </row>
    <row r="6001" spans="1:41" s="102" customFormat="1" ht="19.899999999999999" customHeight="1" x14ac:dyDescent="0.25">
      <c r="A6001" s="45"/>
      <c r="B6001" s="59"/>
      <c r="C6001" s="137"/>
      <c r="D6001" s="59"/>
      <c r="E6001" s="116"/>
      <c r="F6001" s="120"/>
      <c r="G6001" s="120"/>
      <c r="H6001" s="120"/>
      <c r="I6001" s="60"/>
      <c r="J6001" s="116"/>
      <c r="K6001" s="213"/>
      <c r="L6001" s="120"/>
      <c r="M6001" s="120"/>
      <c r="N6001" s="167"/>
      <c r="O6001" s="120"/>
      <c r="P6001" s="120"/>
      <c r="Q6001" s="120"/>
      <c r="R6001" s="120"/>
      <c r="S6001" s="120"/>
      <c r="T6001" s="221"/>
      <c r="U6001" s="89"/>
      <c r="V6001" s="61"/>
      <c r="W6001" s="92" t="s">
        <v>134</v>
      </c>
      <c r="X6001" s="93" t="s">
        <v>29</v>
      </c>
      <c r="Y6001" s="93" t="s">
        <v>93</v>
      </c>
      <c r="Z6001" s="134">
        <f>VLOOKUP(W6001,Sheet2!$B:$D,3,FALSE)</f>
        <v>65.599999999999994</v>
      </c>
      <c r="AA6001" s="93">
        <f>100/((1.6*(0.6+0.3+0.3))-(3.14/4*0.6*0.6))</f>
        <v>61.072431904238428</v>
      </c>
      <c r="AB6001" s="93">
        <f>AD6001/AC5999</f>
        <v>1.0741343999999999</v>
      </c>
      <c r="AC6001" s="93">
        <f>AC5999/AA6001</f>
        <v>2.8751638754999984</v>
      </c>
      <c r="AD6001" s="94">
        <f t="shared" si="4171"/>
        <v>188.61075023279989</v>
      </c>
      <c r="AE6001" s="190"/>
      <c r="AF6001" s="191"/>
      <c r="AG6001" s="191"/>
      <c r="AH6001" s="191"/>
      <c r="AI6001" s="186"/>
      <c r="AK6001" s="171"/>
    </row>
    <row r="6002" spans="1:41" s="102" customFormat="1" ht="19.899999999999999" customHeight="1" x14ac:dyDescent="0.25">
      <c r="A6002" s="45"/>
      <c r="B6002" s="59"/>
      <c r="C6002" s="137"/>
      <c r="D6002" s="59"/>
      <c r="E6002" s="116"/>
      <c r="F6002" s="120"/>
      <c r="G6002" s="120"/>
      <c r="H6002" s="120"/>
      <c r="I6002" s="60"/>
      <c r="J6002" s="116"/>
      <c r="K6002" s="213"/>
      <c r="L6002" s="120"/>
      <c r="M6002" s="120"/>
      <c r="N6002" s="167"/>
      <c r="O6002" s="120"/>
      <c r="P6002" s="120"/>
      <c r="Q6002" s="120"/>
      <c r="R6002" s="120"/>
      <c r="S6002" s="120"/>
      <c r="T6002" s="221"/>
      <c r="U6002" s="89"/>
      <c r="V6002" s="61"/>
      <c r="W6002" s="92" t="s">
        <v>65</v>
      </c>
      <c r="X6002" s="93" t="s">
        <v>30</v>
      </c>
      <c r="Y6002" s="93" t="s">
        <v>1011</v>
      </c>
      <c r="Z6002" s="134">
        <f>VLOOKUP(W6002,Sheet2!$B:$D,3,FALSE)</f>
        <v>1.76</v>
      </c>
      <c r="AA6002" s="93">
        <f>AA6001/9</f>
        <v>6.7858257671376032</v>
      </c>
      <c r="AB6002" s="93">
        <f>AD6002/AC5999</f>
        <v>0.25936416000000001</v>
      </c>
      <c r="AC6002" s="93">
        <f>AC5999/AA6002</f>
        <v>25.876474879499984</v>
      </c>
      <c r="AD6002" s="94">
        <f t="shared" si="4171"/>
        <v>45.542595787919971</v>
      </c>
      <c r="AE6002" s="190"/>
      <c r="AF6002" s="191"/>
      <c r="AG6002" s="191"/>
      <c r="AH6002" s="191"/>
      <c r="AI6002" s="186"/>
      <c r="AK6002" s="171"/>
    </row>
    <row r="6003" spans="1:41" s="102" customFormat="1" ht="19.899999999999999" customHeight="1" x14ac:dyDescent="0.25">
      <c r="A6003" s="45"/>
      <c r="B6003" s="59"/>
      <c r="C6003" s="137"/>
      <c r="D6003" s="59"/>
      <c r="E6003" s="116"/>
      <c r="F6003" s="120"/>
      <c r="G6003" s="120"/>
      <c r="H6003" s="120"/>
      <c r="I6003" s="60"/>
      <c r="J6003" s="116"/>
      <c r="K6003" s="213"/>
      <c r="L6003" s="120"/>
      <c r="M6003" s="120"/>
      <c r="N6003" s="167"/>
      <c r="O6003" s="120"/>
      <c r="P6003" s="120"/>
      <c r="Q6003" s="120"/>
      <c r="R6003" s="120"/>
      <c r="S6003" s="120"/>
      <c r="T6003" s="221"/>
      <c r="U6003" s="89"/>
      <c r="V6003" s="61"/>
      <c r="W6003" s="92" t="s">
        <v>161</v>
      </c>
      <c r="X6003" s="93" t="s">
        <v>29</v>
      </c>
      <c r="Y6003" s="93" t="s">
        <v>93</v>
      </c>
      <c r="Z6003" s="134">
        <f>VLOOKUP(W6003,Sheet2!$B:$D,3,FALSE)</f>
        <v>48</v>
      </c>
      <c r="AA6003" s="93">
        <f>(16*0.85*1)/((1.6*(0.6+0.3+0.3))-(3.14/4*0.6*0.6))</f>
        <v>8.3058507389764262</v>
      </c>
      <c r="AB6003" s="93">
        <f>AD6003/AC5999</f>
        <v>5.7790588235294118</v>
      </c>
      <c r="AC6003" s="93">
        <f>AC5999/AA6003</f>
        <v>21.140910849264692</v>
      </c>
      <c r="AD6003" s="94">
        <f>AC6003*Z6003</f>
        <v>1014.7637207647052</v>
      </c>
      <c r="AE6003" s="190"/>
      <c r="AF6003" s="191"/>
      <c r="AG6003" s="191"/>
      <c r="AH6003" s="191"/>
      <c r="AI6003" s="186"/>
      <c r="AK6003" s="171"/>
    </row>
    <row r="6004" spans="1:41" s="102" customFormat="1" ht="19.899999999999999" customHeight="1" x14ac:dyDescent="0.25">
      <c r="A6004" s="45"/>
      <c r="B6004" s="59"/>
      <c r="C6004" s="137"/>
      <c r="D6004" s="59"/>
      <c r="E6004" s="116"/>
      <c r="F6004" s="120"/>
      <c r="G6004" s="120"/>
      <c r="H6004" s="120"/>
      <c r="I6004" s="60"/>
      <c r="J6004" s="116"/>
      <c r="K6004" s="213"/>
      <c r="L6004" s="120"/>
      <c r="M6004" s="120"/>
      <c r="N6004" s="167"/>
      <c r="O6004" s="120"/>
      <c r="P6004" s="120"/>
      <c r="Q6004" s="120"/>
      <c r="R6004" s="120"/>
      <c r="S6004" s="120"/>
      <c r="T6004" s="221"/>
      <c r="U6004" s="89"/>
      <c r="V6004" s="61"/>
      <c r="W6004" s="92" t="s">
        <v>65</v>
      </c>
      <c r="X6004" s="93" t="s">
        <v>30</v>
      </c>
      <c r="Y6004" s="93" t="s">
        <v>1011</v>
      </c>
      <c r="Z6004" s="134">
        <f>VLOOKUP(W6004,Sheet2!$B:$D,3,FALSE)</f>
        <v>1.76</v>
      </c>
      <c r="AA6004" s="93">
        <f>AA6003/10</f>
        <v>0.83058507389764258</v>
      </c>
      <c r="AB6004" s="93">
        <f>AD6004/AC5999</f>
        <v>2.1189882352941178</v>
      </c>
      <c r="AC6004" s="93">
        <f>AC5999/AA6004</f>
        <v>211.40910849264694</v>
      </c>
      <c r="AD6004" s="94">
        <f>AC6004*Z6004</f>
        <v>372.08003094705862</v>
      </c>
      <c r="AE6004" s="190"/>
      <c r="AF6004" s="191"/>
      <c r="AG6004" s="191"/>
      <c r="AH6004" s="191"/>
      <c r="AI6004" s="186"/>
      <c r="AK6004" s="171"/>
    </row>
    <row r="6005" spans="1:41" s="102" customFormat="1" ht="19.899999999999999" customHeight="1" x14ac:dyDescent="0.25">
      <c r="A6005" s="45"/>
      <c r="B6005" s="59"/>
      <c r="C6005" s="137"/>
      <c r="D6005" s="59"/>
      <c r="E6005" s="116"/>
      <c r="F6005" s="120"/>
      <c r="G6005" s="120"/>
      <c r="H6005" s="120"/>
      <c r="I6005" s="60"/>
      <c r="J6005" s="116"/>
      <c r="K6005" s="213"/>
      <c r="L6005" s="120"/>
      <c r="M6005" s="120"/>
      <c r="N6005" s="167"/>
      <c r="O6005" s="120"/>
      <c r="P6005" s="120"/>
      <c r="Q6005" s="120"/>
      <c r="R6005" s="120"/>
      <c r="S6005" s="120"/>
      <c r="T6005" s="221"/>
      <c r="U6005" s="89"/>
      <c r="V6005" s="61"/>
      <c r="W6005" s="92" t="s">
        <v>173</v>
      </c>
      <c r="X6005" s="93" t="s">
        <v>29</v>
      </c>
      <c r="Y6005" s="93" t="s">
        <v>93</v>
      </c>
      <c r="Z6005" s="134">
        <f>VLOOKUP(W6005,Sheet2!$B:$D,3,FALSE)</f>
        <v>36</v>
      </c>
      <c r="AA6005" s="93">
        <f>50/((1.6*(0.6+0.3+0.3))-(3.14/4*0.6*0.6))</f>
        <v>30.536215952119214</v>
      </c>
      <c r="AB6005" s="93">
        <f>AD6005/AC5999</f>
        <v>1.1789280000000002</v>
      </c>
      <c r="AC6005" s="93">
        <f>AC5999/AA6005</f>
        <v>5.7503277509999968</v>
      </c>
      <c r="AD6005" s="94">
        <f>AC6005*Z6005</f>
        <v>207.0117990359999</v>
      </c>
      <c r="AE6005" s="190"/>
      <c r="AF6005" s="191"/>
      <c r="AG6005" s="191"/>
      <c r="AH6005" s="191"/>
      <c r="AI6005" s="186"/>
      <c r="AK6005" s="171"/>
    </row>
    <row r="6006" spans="1:41" s="102" customFormat="1" ht="19.899999999999999" customHeight="1" x14ac:dyDescent="0.25">
      <c r="A6006" s="45"/>
      <c r="B6006" s="59"/>
      <c r="C6006" s="137"/>
      <c r="D6006" s="59"/>
      <c r="E6006" s="116"/>
      <c r="F6006" s="120"/>
      <c r="G6006" s="120"/>
      <c r="H6006" s="120"/>
      <c r="I6006" s="60"/>
      <c r="J6006" s="116"/>
      <c r="K6006" s="213"/>
      <c r="L6006" s="120"/>
      <c r="M6006" s="120"/>
      <c r="N6006" s="167"/>
      <c r="O6006" s="120"/>
      <c r="P6006" s="120"/>
      <c r="Q6006" s="120"/>
      <c r="R6006" s="120"/>
      <c r="S6006" s="120"/>
      <c r="T6006" s="221"/>
      <c r="U6006" s="89"/>
      <c r="V6006" s="61"/>
      <c r="W6006" s="92" t="s">
        <v>65</v>
      </c>
      <c r="X6006" s="93" t="s">
        <v>30</v>
      </c>
      <c r="Y6006" s="93" t="s">
        <v>1011</v>
      </c>
      <c r="Z6006" s="134">
        <f>VLOOKUP(W6006,Sheet2!$B:$D,3,FALSE)</f>
        <v>1.76</v>
      </c>
      <c r="AA6006" s="93">
        <f>AA6005/9</f>
        <v>3.3929128835688016</v>
      </c>
      <c r="AB6006" s="93">
        <f>AD6006/AC5999</f>
        <v>0.51872832000000002</v>
      </c>
      <c r="AC6006" s="93">
        <f>AC5999/AA6006</f>
        <v>51.752949758999968</v>
      </c>
      <c r="AD6006" s="94">
        <f>AC6006*Z6006</f>
        <v>91.085191575839943</v>
      </c>
      <c r="AE6006" s="190"/>
      <c r="AF6006" s="191"/>
      <c r="AG6006" s="191"/>
      <c r="AH6006" s="191"/>
      <c r="AI6006" s="186"/>
      <c r="AK6006" s="171"/>
    </row>
    <row r="6007" spans="1:41" ht="20.100000000000001" customHeight="1" x14ac:dyDescent="0.25">
      <c r="A6007" s="277" t="s">
        <v>491</v>
      </c>
      <c r="B6007" s="278"/>
      <c r="C6007" s="64" t="s">
        <v>570</v>
      </c>
      <c r="D6007" s="46" t="s">
        <v>97</v>
      </c>
      <c r="E6007" s="114">
        <v>183.94194999999991</v>
      </c>
      <c r="F6007" s="44">
        <v>248</v>
      </c>
      <c r="G6007" s="44">
        <f t="shared" si="3841"/>
        <v>45617.603599999973</v>
      </c>
      <c r="H6007" s="44">
        <f t="shared" si="3842"/>
        <v>139.95821733176467</v>
      </c>
      <c r="I6007" s="43">
        <f t="shared" si="3843"/>
        <v>25744.187414528576</v>
      </c>
      <c r="J6007" s="112">
        <f t="shared" si="3844"/>
        <v>183.94194999999991</v>
      </c>
      <c r="K6007" s="211">
        <f t="shared" si="3845"/>
        <v>183.94194999999991</v>
      </c>
      <c r="L6007" s="44"/>
      <c r="M6007" s="44">
        <f t="shared" si="3846"/>
        <v>183.94194999999991</v>
      </c>
      <c r="N6007" s="173">
        <f t="shared" si="3847"/>
        <v>1</v>
      </c>
      <c r="O6007" s="44">
        <f t="shared" si="3848"/>
        <v>248</v>
      </c>
      <c r="P6007" s="44">
        <f t="shared" si="3849"/>
        <v>45617.603599999973</v>
      </c>
      <c r="Q6007" s="44">
        <f t="shared" si="3850"/>
        <v>139.95821733176467</v>
      </c>
      <c r="R6007" s="44">
        <f t="shared" si="3851"/>
        <v>25744.187414528576</v>
      </c>
      <c r="S6007" s="123"/>
      <c r="T6007" s="219">
        <f t="shared" si="3852"/>
        <v>25744.187414528576</v>
      </c>
      <c r="U6007" s="87"/>
      <c r="V6007" s="47"/>
      <c r="W6007" s="48"/>
      <c r="X6007" s="48"/>
      <c r="Y6007" s="48"/>
      <c r="Z6007" s="135"/>
      <c r="AA6007" s="49"/>
      <c r="AB6007" s="50">
        <f t="shared" si="3853"/>
        <v>139.95821733176467</v>
      </c>
      <c r="AC6007" s="42">
        <f t="shared" si="3854"/>
        <v>183.94194999999991</v>
      </c>
      <c r="AD6007" s="90">
        <f>AD6008</f>
        <v>25744.18741452858</v>
      </c>
      <c r="AE6007" s="188">
        <f t="shared" ref="AE6007" si="4172">AE6008</f>
        <v>0</v>
      </c>
      <c r="AF6007" s="189">
        <f t="shared" ref="AF6007" si="4173">AF6008</f>
        <v>0</v>
      </c>
      <c r="AG6007" s="189">
        <f t="shared" ref="AG6007" si="4174">AG6008</f>
        <v>0</v>
      </c>
      <c r="AH6007" s="189">
        <f t="shared" ref="AH6007" si="4175">AH6008</f>
        <v>0</v>
      </c>
      <c r="AI6007" s="161">
        <f t="shared" si="4170"/>
        <v>0</v>
      </c>
      <c r="AK6007" s="169">
        <v>5</v>
      </c>
      <c r="AO6007" s="19" t="s">
        <v>63</v>
      </c>
    </row>
    <row r="6008" spans="1:41" s="103" customFormat="1" ht="19.899999999999999" customHeight="1" x14ac:dyDescent="0.25">
      <c r="A6008" s="51"/>
      <c r="B6008" s="52"/>
      <c r="C6008" s="165"/>
      <c r="D6008" s="52"/>
      <c r="E6008" s="115"/>
      <c r="F6008" s="58"/>
      <c r="G6008" s="58"/>
      <c r="H6008" s="58"/>
      <c r="I6008" s="55"/>
      <c r="J6008" s="113">
        <f>J6007</f>
        <v>183.94194999999991</v>
      </c>
      <c r="K6008" s="212">
        <f>K6007</f>
        <v>183.94194999999991</v>
      </c>
      <c r="L6008" s="58"/>
      <c r="M6008" s="58">
        <f>K6008-L6008</f>
        <v>183.94194999999991</v>
      </c>
      <c r="N6008" s="166"/>
      <c r="O6008" s="58"/>
      <c r="P6008" s="58"/>
      <c r="Q6008" s="58"/>
      <c r="R6008" s="58"/>
      <c r="S6008" s="58"/>
      <c r="T6008" s="220"/>
      <c r="U6008" s="88"/>
      <c r="V6008" s="56"/>
      <c r="W6008" s="57" t="s">
        <v>1575</v>
      </c>
      <c r="X6008" s="53"/>
      <c r="Y6008" s="91" t="s">
        <v>68</v>
      </c>
      <c r="Z6008" s="136">
        <f>AD6008/AC6008</f>
        <v>139.95821733176467</v>
      </c>
      <c r="AA6008" s="58"/>
      <c r="AB6008" s="53">
        <f>AD6008/AC6008</f>
        <v>139.95821733176467</v>
      </c>
      <c r="AC6008" s="53">
        <f>M6008+$AE$10</f>
        <v>183.94194999999991</v>
      </c>
      <c r="AD6008" s="54">
        <f>SUM(AD6009:AD6015)</f>
        <v>25744.18741452858</v>
      </c>
      <c r="AE6008" s="184">
        <f>SUMIFS($AD$37:$AD$12971,$V$37:$V$12971,$V6008,$X$37:$X$12971,AE$13)</f>
        <v>0</v>
      </c>
      <c r="AF6008" s="185">
        <f>SUMIFS($AD$37:$AD$12971,$V$37:$V$12971,$V6008,$X$37:$X$12971,AF$13)</f>
        <v>0</v>
      </c>
      <c r="AG6008" s="185">
        <f>SUMIFS($AD$37:$AD$12971,$V$37:$V$12971,$V6008,$X$37:$X$12971,AG$13)</f>
        <v>0</v>
      </c>
      <c r="AH6008" s="187">
        <f>SUMIFS($AD$37:$AD$12971,$V$37:$V$12971,$V6008,$X$37:$X$12971,AH$13)</f>
        <v>0</v>
      </c>
      <c r="AI6008" s="161">
        <f t="shared" ref="AI6008" si="4176">SUM(AE6008:AH6008)</f>
        <v>0</v>
      </c>
      <c r="AK6008" s="172"/>
    </row>
    <row r="6009" spans="1:41" s="102" customFormat="1" ht="19.899999999999999" customHeight="1" x14ac:dyDescent="0.25">
      <c r="A6009" s="45"/>
      <c r="B6009" s="59"/>
      <c r="C6009" s="137"/>
      <c r="D6009" s="59"/>
      <c r="E6009" s="116"/>
      <c r="F6009" s="120"/>
      <c r="G6009" s="120"/>
      <c r="H6009" s="120"/>
      <c r="I6009" s="60"/>
      <c r="J6009" s="116"/>
      <c r="K6009" s="213"/>
      <c r="L6009" s="120"/>
      <c r="M6009" s="120"/>
      <c r="N6009" s="167"/>
      <c r="O6009" s="120"/>
      <c r="P6009" s="120"/>
      <c r="Q6009" s="120"/>
      <c r="R6009" s="120"/>
      <c r="S6009" s="120"/>
      <c r="T6009" s="221"/>
      <c r="U6009" s="89"/>
      <c r="V6009" s="61"/>
      <c r="W6009" s="92" t="s">
        <v>1570</v>
      </c>
      <c r="X6009" s="93" t="s">
        <v>30</v>
      </c>
      <c r="Y6009" s="93" t="s">
        <v>66</v>
      </c>
      <c r="Z6009" s="134">
        <f>VLOOKUP(W6009,Sheet2!$B:$D,3,FALSE)</f>
        <v>70</v>
      </c>
      <c r="AA6009" s="93">
        <f>1/((1.7*(0.7+0.3+0.3))-(3.14/4*0.7*0.7))</f>
        <v>0.54784014024707595</v>
      </c>
      <c r="AB6009" s="93">
        <f>AD6009/AC6008</f>
        <v>127.7745</v>
      </c>
      <c r="AC6009" s="93">
        <f>AC6008/AA6009</f>
        <v>335.75843843249982</v>
      </c>
      <c r="AD6009" s="94">
        <f t="shared" ref="AD6009:AD6011" si="4177">AC6009*Z6009</f>
        <v>23503.090690274988</v>
      </c>
      <c r="AE6009" s="190"/>
      <c r="AF6009" s="191"/>
      <c r="AG6009" s="191"/>
      <c r="AH6009" s="191"/>
      <c r="AI6009" s="186"/>
      <c r="AK6009" s="171"/>
    </row>
    <row r="6010" spans="1:41" s="102" customFormat="1" ht="19.899999999999999" customHeight="1" x14ac:dyDescent="0.25">
      <c r="A6010" s="45"/>
      <c r="B6010" s="59"/>
      <c r="C6010" s="137"/>
      <c r="D6010" s="59"/>
      <c r="E6010" s="116"/>
      <c r="F6010" s="120"/>
      <c r="G6010" s="120"/>
      <c r="H6010" s="120"/>
      <c r="I6010" s="60"/>
      <c r="J6010" s="116"/>
      <c r="K6010" s="213"/>
      <c r="L6010" s="120"/>
      <c r="M6010" s="120"/>
      <c r="N6010" s="167"/>
      <c r="O6010" s="120"/>
      <c r="P6010" s="120"/>
      <c r="Q6010" s="120"/>
      <c r="R6010" s="120"/>
      <c r="S6010" s="120"/>
      <c r="T6010" s="221"/>
      <c r="U6010" s="89"/>
      <c r="V6010" s="61"/>
      <c r="W6010" s="92" t="s">
        <v>134</v>
      </c>
      <c r="X6010" s="93" t="s">
        <v>29</v>
      </c>
      <c r="Y6010" s="93" t="s">
        <v>93</v>
      </c>
      <c r="Z6010" s="134">
        <f>VLOOKUP(W6010,Sheet2!$B:$D,3,FALSE)</f>
        <v>65.599999999999994</v>
      </c>
      <c r="AA6010" s="93">
        <f>100/((1.7*(0.7+0.3+0.3))-(3.14/4*0.7*0.7))</f>
        <v>54.784014024707588</v>
      </c>
      <c r="AB6010" s="93">
        <f>AD6010/AC6008</f>
        <v>1.1974296</v>
      </c>
      <c r="AC6010" s="93">
        <f>AC6008/AA6010</f>
        <v>3.3575843843249986</v>
      </c>
      <c r="AD6010" s="94">
        <f t="shared" si="4177"/>
        <v>220.2575356117199</v>
      </c>
      <c r="AE6010" s="190"/>
      <c r="AF6010" s="191"/>
      <c r="AG6010" s="191"/>
      <c r="AH6010" s="191"/>
      <c r="AI6010" s="186"/>
      <c r="AK6010" s="171"/>
    </row>
    <row r="6011" spans="1:41" s="102" customFormat="1" ht="19.899999999999999" customHeight="1" x14ac:dyDescent="0.25">
      <c r="A6011" s="45"/>
      <c r="B6011" s="59"/>
      <c r="C6011" s="137"/>
      <c r="D6011" s="59"/>
      <c r="E6011" s="116"/>
      <c r="F6011" s="120"/>
      <c r="G6011" s="120"/>
      <c r="H6011" s="120"/>
      <c r="I6011" s="60"/>
      <c r="J6011" s="116"/>
      <c r="K6011" s="213"/>
      <c r="L6011" s="120"/>
      <c r="M6011" s="120"/>
      <c r="N6011" s="167"/>
      <c r="O6011" s="120"/>
      <c r="P6011" s="120"/>
      <c r="Q6011" s="120"/>
      <c r="R6011" s="120"/>
      <c r="S6011" s="120"/>
      <c r="T6011" s="221"/>
      <c r="U6011" s="89"/>
      <c r="V6011" s="61"/>
      <c r="W6011" s="92" t="s">
        <v>65</v>
      </c>
      <c r="X6011" s="93" t="s">
        <v>30</v>
      </c>
      <c r="Y6011" s="93" t="s">
        <v>1011</v>
      </c>
      <c r="Z6011" s="134">
        <f>VLOOKUP(W6011,Sheet2!$B:$D,3,FALSE)</f>
        <v>1.76</v>
      </c>
      <c r="AA6011" s="93">
        <f>AA6010/9</f>
        <v>6.0871126694119546</v>
      </c>
      <c r="AB6011" s="93">
        <f>AD6011/AC6008</f>
        <v>0.28913544000000002</v>
      </c>
      <c r="AC6011" s="93">
        <f>AC6008/AA6011</f>
        <v>30.218259458924983</v>
      </c>
      <c r="AD6011" s="94">
        <f t="shared" si="4177"/>
        <v>53.184136647707973</v>
      </c>
      <c r="AE6011" s="190"/>
      <c r="AF6011" s="191"/>
      <c r="AG6011" s="191"/>
      <c r="AH6011" s="191"/>
      <c r="AI6011" s="186"/>
      <c r="AK6011" s="171"/>
    </row>
    <row r="6012" spans="1:41" s="102" customFormat="1" ht="19.899999999999999" customHeight="1" x14ac:dyDescent="0.25">
      <c r="A6012" s="45"/>
      <c r="B6012" s="59"/>
      <c r="C6012" s="137"/>
      <c r="D6012" s="59"/>
      <c r="E6012" s="116"/>
      <c r="F6012" s="120"/>
      <c r="G6012" s="120"/>
      <c r="H6012" s="120"/>
      <c r="I6012" s="60"/>
      <c r="J6012" s="116"/>
      <c r="K6012" s="213"/>
      <c r="L6012" s="120"/>
      <c r="M6012" s="120"/>
      <c r="N6012" s="167"/>
      <c r="O6012" s="120"/>
      <c r="P6012" s="120"/>
      <c r="Q6012" s="120"/>
      <c r="R6012" s="120"/>
      <c r="S6012" s="120"/>
      <c r="T6012" s="221"/>
      <c r="U6012" s="89"/>
      <c r="V6012" s="61"/>
      <c r="W6012" s="92" t="s">
        <v>161</v>
      </c>
      <c r="X6012" s="93" t="s">
        <v>29</v>
      </c>
      <c r="Y6012" s="93" t="s">
        <v>93</v>
      </c>
      <c r="Z6012" s="134">
        <f>VLOOKUP(W6012,Sheet2!$B:$D,3,FALSE)</f>
        <v>48</v>
      </c>
      <c r="AA6012" s="93">
        <f>(16*0.85*1)/((1.7*(0.7+0.3+0.3))-(3.14/4*0.7*0.7))</f>
        <v>7.4506259073602319</v>
      </c>
      <c r="AB6012" s="93">
        <f>AD6012/AC6008</f>
        <v>6.4424117647058825</v>
      </c>
      <c r="AC6012" s="93">
        <f>AC6008/AA6012</f>
        <v>24.688120472977928</v>
      </c>
      <c r="AD6012" s="94">
        <f>AC6012*Z6012</f>
        <v>1185.0297827029406</v>
      </c>
      <c r="AE6012" s="190"/>
      <c r="AF6012" s="191"/>
      <c r="AG6012" s="191"/>
      <c r="AH6012" s="191"/>
      <c r="AI6012" s="186"/>
      <c r="AK6012" s="171"/>
    </row>
    <row r="6013" spans="1:41" s="102" customFormat="1" ht="19.899999999999999" customHeight="1" x14ac:dyDescent="0.25">
      <c r="A6013" s="45"/>
      <c r="B6013" s="59"/>
      <c r="C6013" s="137"/>
      <c r="D6013" s="59"/>
      <c r="E6013" s="116"/>
      <c r="F6013" s="120"/>
      <c r="G6013" s="120"/>
      <c r="H6013" s="120"/>
      <c r="I6013" s="60"/>
      <c r="J6013" s="116"/>
      <c r="K6013" s="213"/>
      <c r="L6013" s="120"/>
      <c r="M6013" s="120"/>
      <c r="N6013" s="167"/>
      <c r="O6013" s="120"/>
      <c r="P6013" s="120"/>
      <c r="Q6013" s="120"/>
      <c r="R6013" s="120"/>
      <c r="S6013" s="120"/>
      <c r="T6013" s="221"/>
      <c r="U6013" s="89"/>
      <c r="V6013" s="61"/>
      <c r="W6013" s="92" t="s">
        <v>65</v>
      </c>
      <c r="X6013" s="93" t="s">
        <v>30</v>
      </c>
      <c r="Y6013" s="93" t="s">
        <v>1011</v>
      </c>
      <c r="Z6013" s="134">
        <f>VLOOKUP(W6013,Sheet2!$B:$D,3,FALSE)</f>
        <v>1.76</v>
      </c>
      <c r="AA6013" s="93">
        <f>AA6012/10</f>
        <v>0.74506259073602321</v>
      </c>
      <c r="AB6013" s="93">
        <f>AD6013/AC6008</f>
        <v>2.3622176470588236</v>
      </c>
      <c r="AC6013" s="93">
        <f>AC6008/AA6013</f>
        <v>246.88120472977928</v>
      </c>
      <c r="AD6013" s="94">
        <f>AC6013*Z6013</f>
        <v>434.51092032441153</v>
      </c>
      <c r="AE6013" s="190"/>
      <c r="AF6013" s="191"/>
      <c r="AG6013" s="191"/>
      <c r="AH6013" s="191"/>
      <c r="AI6013" s="186"/>
      <c r="AK6013" s="171"/>
    </row>
    <row r="6014" spans="1:41" s="102" customFormat="1" ht="19.899999999999999" customHeight="1" x14ac:dyDescent="0.25">
      <c r="A6014" s="45"/>
      <c r="B6014" s="59"/>
      <c r="C6014" s="137"/>
      <c r="D6014" s="59"/>
      <c r="E6014" s="116"/>
      <c r="F6014" s="120"/>
      <c r="G6014" s="120"/>
      <c r="H6014" s="120"/>
      <c r="I6014" s="60"/>
      <c r="J6014" s="116"/>
      <c r="K6014" s="213"/>
      <c r="L6014" s="120"/>
      <c r="M6014" s="120"/>
      <c r="N6014" s="167"/>
      <c r="O6014" s="120"/>
      <c r="P6014" s="120"/>
      <c r="Q6014" s="120"/>
      <c r="R6014" s="120"/>
      <c r="S6014" s="120"/>
      <c r="T6014" s="221"/>
      <c r="U6014" s="89"/>
      <c r="V6014" s="61"/>
      <c r="W6014" s="92" t="s">
        <v>173</v>
      </c>
      <c r="X6014" s="93" t="s">
        <v>29</v>
      </c>
      <c r="Y6014" s="93" t="s">
        <v>93</v>
      </c>
      <c r="Z6014" s="134">
        <f>VLOOKUP(W6014,Sheet2!$B:$D,3,FALSE)</f>
        <v>36</v>
      </c>
      <c r="AA6014" s="93">
        <f>50/((1.7*(0.7+0.3+0.3))-(3.14/4*0.7*0.7))</f>
        <v>27.392007012353794</v>
      </c>
      <c r="AB6014" s="93">
        <f>AD6014/AC6008</f>
        <v>1.3142520000000002</v>
      </c>
      <c r="AC6014" s="93">
        <f>AC6008/AA6014</f>
        <v>6.7151687686499972</v>
      </c>
      <c r="AD6014" s="94">
        <f>AC6014*Z6014</f>
        <v>241.74607567139989</v>
      </c>
      <c r="AE6014" s="190"/>
      <c r="AF6014" s="191"/>
      <c r="AG6014" s="191"/>
      <c r="AH6014" s="191"/>
      <c r="AI6014" s="186"/>
      <c r="AK6014" s="171"/>
    </row>
    <row r="6015" spans="1:41" s="102" customFormat="1" ht="19.899999999999999" customHeight="1" x14ac:dyDescent="0.25">
      <c r="A6015" s="45"/>
      <c r="B6015" s="59"/>
      <c r="C6015" s="137"/>
      <c r="D6015" s="59"/>
      <c r="E6015" s="116"/>
      <c r="F6015" s="120"/>
      <c r="G6015" s="120"/>
      <c r="H6015" s="120"/>
      <c r="I6015" s="60"/>
      <c r="J6015" s="116"/>
      <c r="K6015" s="213"/>
      <c r="L6015" s="120"/>
      <c r="M6015" s="120"/>
      <c r="N6015" s="167"/>
      <c r="O6015" s="120"/>
      <c r="P6015" s="120"/>
      <c r="Q6015" s="120"/>
      <c r="R6015" s="120"/>
      <c r="S6015" s="120"/>
      <c r="T6015" s="221"/>
      <c r="U6015" s="89"/>
      <c r="V6015" s="61"/>
      <c r="W6015" s="92" t="s">
        <v>65</v>
      </c>
      <c r="X6015" s="93" t="s">
        <v>30</v>
      </c>
      <c r="Y6015" s="93" t="s">
        <v>1011</v>
      </c>
      <c r="Z6015" s="134">
        <f>VLOOKUP(W6015,Sheet2!$B:$D,3,FALSE)</f>
        <v>1.76</v>
      </c>
      <c r="AA6015" s="93">
        <f>AA6014/9</f>
        <v>3.0435563347059773</v>
      </c>
      <c r="AB6015" s="93">
        <f>AD6015/AC6008</f>
        <v>0.57827088000000004</v>
      </c>
      <c r="AC6015" s="93">
        <f>AC6008/AA6015</f>
        <v>60.436518917849966</v>
      </c>
      <c r="AD6015" s="94">
        <f>AC6015*Z6015</f>
        <v>106.36827329541595</v>
      </c>
      <c r="AE6015" s="190"/>
      <c r="AF6015" s="191"/>
      <c r="AG6015" s="191"/>
      <c r="AH6015" s="191"/>
      <c r="AI6015" s="186"/>
      <c r="AK6015" s="171"/>
    </row>
    <row r="6016" spans="1:41" s="102" customFormat="1" ht="31.5" x14ac:dyDescent="0.25">
      <c r="A6016" s="45" t="s">
        <v>491</v>
      </c>
      <c r="B6016" s="276"/>
      <c r="C6016" s="285" t="s">
        <v>631</v>
      </c>
      <c r="D6016" s="59"/>
      <c r="E6016" s="116"/>
      <c r="F6016" s="120"/>
      <c r="G6016" s="120">
        <f t="shared" si="3841"/>
        <v>0</v>
      </c>
      <c r="H6016" s="120">
        <f t="shared" si="3842"/>
        <v>0</v>
      </c>
      <c r="I6016" s="60">
        <f t="shared" si="3843"/>
        <v>0</v>
      </c>
      <c r="J6016" s="116">
        <f t="shared" si="3844"/>
        <v>0</v>
      </c>
      <c r="K6016" s="213">
        <f t="shared" si="3845"/>
        <v>0</v>
      </c>
      <c r="L6016" s="120"/>
      <c r="M6016" s="120">
        <f t="shared" si="3846"/>
        <v>0</v>
      </c>
      <c r="N6016" s="167">
        <f t="shared" si="3847"/>
        <v>0</v>
      </c>
      <c r="O6016" s="120">
        <f t="shared" si="3848"/>
        <v>0</v>
      </c>
      <c r="P6016" s="120">
        <f t="shared" si="3849"/>
        <v>0</v>
      </c>
      <c r="Q6016" s="120">
        <f t="shared" si="3850"/>
        <v>0</v>
      </c>
      <c r="R6016" s="120">
        <f t="shared" si="3851"/>
        <v>0</v>
      </c>
      <c r="S6016" s="120"/>
      <c r="T6016" s="221">
        <f t="shared" si="3852"/>
        <v>0</v>
      </c>
      <c r="U6016" s="89"/>
      <c r="V6016" s="61"/>
      <c r="W6016" s="92"/>
      <c r="X6016" s="38"/>
      <c r="Y6016" s="93"/>
      <c r="Z6016" s="134"/>
      <c r="AA6016" s="93"/>
      <c r="AB6016" s="93"/>
      <c r="AC6016" s="93"/>
      <c r="AD6016" s="94"/>
      <c r="AE6016" s="190"/>
      <c r="AF6016" s="191"/>
      <c r="AG6016" s="191"/>
      <c r="AH6016" s="191"/>
      <c r="AI6016" s="186"/>
      <c r="AK6016" s="171"/>
    </row>
    <row r="6017" spans="1:41" s="102" customFormat="1" ht="78.75" x14ac:dyDescent="0.25">
      <c r="A6017" s="45" t="s">
        <v>491</v>
      </c>
      <c r="B6017" s="276"/>
      <c r="C6017" s="285" t="s">
        <v>632</v>
      </c>
      <c r="D6017" s="59"/>
      <c r="E6017" s="116"/>
      <c r="F6017" s="120"/>
      <c r="G6017" s="120">
        <f t="shared" si="3841"/>
        <v>0</v>
      </c>
      <c r="H6017" s="120">
        <f t="shared" si="3842"/>
        <v>0</v>
      </c>
      <c r="I6017" s="60">
        <f t="shared" si="3843"/>
        <v>0</v>
      </c>
      <c r="J6017" s="116">
        <f t="shared" si="3844"/>
        <v>0</v>
      </c>
      <c r="K6017" s="213">
        <f t="shared" si="3845"/>
        <v>0</v>
      </c>
      <c r="L6017" s="120"/>
      <c r="M6017" s="120">
        <f t="shared" si="3846"/>
        <v>0</v>
      </c>
      <c r="N6017" s="167">
        <f t="shared" si="3847"/>
        <v>0</v>
      </c>
      <c r="O6017" s="120">
        <f t="shared" si="3848"/>
        <v>0</v>
      </c>
      <c r="P6017" s="120">
        <f t="shared" si="3849"/>
        <v>0</v>
      </c>
      <c r="Q6017" s="120">
        <f t="shared" si="3850"/>
        <v>0</v>
      </c>
      <c r="R6017" s="120">
        <f t="shared" si="3851"/>
        <v>0</v>
      </c>
      <c r="S6017" s="120"/>
      <c r="T6017" s="221">
        <f t="shared" si="3852"/>
        <v>0</v>
      </c>
      <c r="U6017" s="89"/>
      <c r="V6017" s="61"/>
      <c r="W6017" s="92"/>
      <c r="X6017" s="38"/>
      <c r="Y6017" s="93"/>
      <c r="Z6017" s="134"/>
      <c r="AA6017" s="93"/>
      <c r="AB6017" s="93"/>
      <c r="AC6017" s="93"/>
      <c r="AD6017" s="94"/>
      <c r="AE6017" s="190"/>
      <c r="AF6017" s="191"/>
      <c r="AG6017" s="191"/>
      <c r="AH6017" s="191"/>
      <c r="AI6017" s="186"/>
      <c r="AK6017" s="171"/>
    </row>
    <row r="6018" spans="1:41" ht="20.100000000000001" customHeight="1" x14ac:dyDescent="0.25">
      <c r="A6018" s="277" t="s">
        <v>491</v>
      </c>
      <c r="B6018" s="278"/>
      <c r="C6018" s="64" t="s">
        <v>387</v>
      </c>
      <c r="D6018" s="46"/>
      <c r="E6018" s="114">
        <v>25.4</v>
      </c>
      <c r="F6018" s="44">
        <v>755</v>
      </c>
      <c r="G6018" s="44">
        <f t="shared" si="3841"/>
        <v>19177</v>
      </c>
      <c r="H6018" s="44">
        <f t="shared" si="3842"/>
        <v>675</v>
      </c>
      <c r="I6018" s="43">
        <f t="shared" si="3843"/>
        <v>17145</v>
      </c>
      <c r="J6018" s="112">
        <f t="shared" si="3844"/>
        <v>25.4</v>
      </c>
      <c r="K6018" s="211">
        <f t="shared" si="3845"/>
        <v>25.4</v>
      </c>
      <c r="L6018" s="44"/>
      <c r="M6018" s="44">
        <f t="shared" si="3846"/>
        <v>25.4</v>
      </c>
      <c r="N6018" s="173">
        <f t="shared" si="3847"/>
        <v>1</v>
      </c>
      <c r="O6018" s="44">
        <f t="shared" si="3848"/>
        <v>755</v>
      </c>
      <c r="P6018" s="44">
        <f t="shared" si="3849"/>
        <v>19177</v>
      </c>
      <c r="Q6018" s="44">
        <f t="shared" si="3850"/>
        <v>675</v>
      </c>
      <c r="R6018" s="44">
        <f t="shared" si="3851"/>
        <v>17145</v>
      </c>
      <c r="S6018" s="123"/>
      <c r="T6018" s="219">
        <f t="shared" si="3852"/>
        <v>17145</v>
      </c>
      <c r="U6018" s="87"/>
      <c r="V6018" s="47"/>
      <c r="W6018" s="48"/>
      <c r="X6018" s="48"/>
      <c r="Y6018" s="48"/>
      <c r="Z6018" s="135"/>
      <c r="AA6018" s="49"/>
      <c r="AB6018" s="50">
        <f t="shared" si="3853"/>
        <v>675</v>
      </c>
      <c r="AC6018" s="42">
        <f t="shared" si="3854"/>
        <v>25.4</v>
      </c>
      <c r="AD6018" s="90">
        <f>AD6019</f>
        <v>17145</v>
      </c>
      <c r="AE6018" s="188">
        <f t="shared" ref="AE6018:AH6018" si="4178">AE6019</f>
        <v>0</v>
      </c>
      <c r="AF6018" s="189">
        <f t="shared" si="4178"/>
        <v>0</v>
      </c>
      <c r="AG6018" s="189">
        <f t="shared" si="4178"/>
        <v>0</v>
      </c>
      <c r="AH6018" s="189">
        <f t="shared" si="4178"/>
        <v>0</v>
      </c>
      <c r="AI6018" s="161">
        <f t="shared" ref="AI6018:AI6019" si="4179">SUM(AE6018:AH6018)</f>
        <v>0</v>
      </c>
      <c r="AK6018" s="169">
        <v>5</v>
      </c>
      <c r="AO6018" s="19" t="s">
        <v>63</v>
      </c>
    </row>
    <row r="6019" spans="1:41" s="103" customFormat="1" ht="19.899999999999999" customHeight="1" x14ac:dyDescent="0.25">
      <c r="A6019" s="51"/>
      <c r="B6019" s="52"/>
      <c r="C6019" s="165"/>
      <c r="D6019" s="52"/>
      <c r="E6019" s="115"/>
      <c r="F6019" s="58"/>
      <c r="G6019" s="58"/>
      <c r="H6019" s="58"/>
      <c r="I6019" s="55"/>
      <c r="J6019" s="113">
        <f>J6018</f>
        <v>25.4</v>
      </c>
      <c r="K6019" s="212">
        <f>K6018</f>
        <v>25.4</v>
      </c>
      <c r="L6019" s="58"/>
      <c r="M6019" s="58">
        <f>K6019-L6019</f>
        <v>25.4</v>
      </c>
      <c r="N6019" s="166"/>
      <c r="O6019" s="58"/>
      <c r="P6019" s="58"/>
      <c r="Q6019" s="58"/>
      <c r="R6019" s="58"/>
      <c r="S6019" s="58"/>
      <c r="T6019" s="220"/>
      <c r="U6019" s="88"/>
      <c r="V6019" s="56"/>
      <c r="W6019" s="57" t="s">
        <v>1373</v>
      </c>
      <c r="X6019" s="53"/>
      <c r="Y6019" s="91" t="s">
        <v>35</v>
      </c>
      <c r="Z6019" s="136">
        <f>AD6019/AC6019</f>
        <v>675</v>
      </c>
      <c r="AA6019" s="58"/>
      <c r="AB6019" s="53">
        <f>AD6019/AC6019</f>
        <v>675</v>
      </c>
      <c r="AC6019" s="53">
        <f>M6019+$AE$10</f>
        <v>25.4</v>
      </c>
      <c r="AD6019" s="54">
        <f>SUM(AD6020:AD6022)</f>
        <v>17145</v>
      </c>
      <c r="AE6019" s="184">
        <f>SUMIFS($AD$37:$AD$12971,$V$37:$V$12971,$V6019,$X$37:$X$12971,AE$13)</f>
        <v>0</v>
      </c>
      <c r="AF6019" s="185">
        <f>SUMIFS($AD$37:$AD$12971,$V$37:$V$12971,$V6019,$X$37:$X$12971,AF$13)</f>
        <v>0</v>
      </c>
      <c r="AG6019" s="185">
        <f>SUMIFS($AD$37:$AD$12971,$V$37:$V$12971,$V6019,$X$37:$X$12971,AG$13)</f>
        <v>0</v>
      </c>
      <c r="AH6019" s="187">
        <f>SUMIFS($AD$37:$AD$12971,$V$37:$V$12971,$V6019,$X$37:$X$12971,AH$13)</f>
        <v>0</v>
      </c>
      <c r="AI6019" s="161">
        <f t="shared" si="4179"/>
        <v>0</v>
      </c>
      <c r="AK6019" s="172"/>
    </row>
    <row r="6020" spans="1:41" s="102" customFormat="1" ht="19.899999999999999" customHeight="1" x14ac:dyDescent="0.25">
      <c r="A6020" s="45"/>
      <c r="B6020" s="59"/>
      <c r="C6020" s="137"/>
      <c r="D6020" s="59"/>
      <c r="E6020" s="116"/>
      <c r="F6020" s="120"/>
      <c r="G6020" s="120"/>
      <c r="H6020" s="120"/>
      <c r="I6020" s="60"/>
      <c r="J6020" s="116"/>
      <c r="K6020" s="213"/>
      <c r="L6020" s="120"/>
      <c r="M6020" s="120"/>
      <c r="N6020" s="167"/>
      <c r="O6020" s="120"/>
      <c r="P6020" s="120"/>
      <c r="Q6020" s="120"/>
      <c r="R6020" s="120"/>
      <c r="S6020" s="120"/>
      <c r="T6020" s="221"/>
      <c r="U6020" s="89"/>
      <c r="V6020" s="61"/>
      <c r="W6020" s="92" t="s">
        <v>1353</v>
      </c>
      <c r="X6020" s="93" t="s">
        <v>30</v>
      </c>
      <c r="Y6020" s="93" t="s">
        <v>66</v>
      </c>
      <c r="Z6020" s="134">
        <f>VLOOKUP(W6020,Sheet2!$B:$D,3,FALSE)</f>
        <v>350</v>
      </c>
      <c r="AA6020" s="93">
        <f>1/0.75</f>
        <v>1.3333333333333333</v>
      </c>
      <c r="AB6020" s="93">
        <f>AD6020/AC6019</f>
        <v>262.5</v>
      </c>
      <c r="AC6020" s="93">
        <f>AC6019/AA6020</f>
        <v>19.05</v>
      </c>
      <c r="AD6020" s="94">
        <f t="shared" ref="AD6020:AD6021" si="4180">AC6020*Z6020</f>
        <v>6667.5</v>
      </c>
      <c r="AE6020" s="190"/>
      <c r="AF6020" s="191"/>
      <c r="AG6020" s="191"/>
      <c r="AH6020" s="191"/>
      <c r="AI6020" s="186"/>
      <c r="AK6020" s="171"/>
    </row>
    <row r="6021" spans="1:41" s="102" customFormat="1" ht="19.899999999999999" customHeight="1" x14ac:dyDescent="0.25">
      <c r="A6021" s="45"/>
      <c r="B6021" s="59"/>
      <c r="C6021" s="137"/>
      <c r="D6021" s="59"/>
      <c r="E6021" s="116"/>
      <c r="F6021" s="120"/>
      <c r="G6021" s="120"/>
      <c r="H6021" s="120"/>
      <c r="I6021" s="60"/>
      <c r="J6021" s="116"/>
      <c r="K6021" s="213"/>
      <c r="L6021" s="120"/>
      <c r="M6021" s="120"/>
      <c r="N6021" s="167"/>
      <c r="O6021" s="120"/>
      <c r="P6021" s="120"/>
      <c r="Q6021" s="120"/>
      <c r="R6021" s="120"/>
      <c r="S6021" s="120"/>
      <c r="T6021" s="221"/>
      <c r="U6021" s="89"/>
      <c r="V6021" s="61"/>
      <c r="W6021" s="92" t="s">
        <v>99</v>
      </c>
      <c r="X6021" s="93" t="s">
        <v>30</v>
      </c>
      <c r="Y6021" s="93" t="s">
        <v>67</v>
      </c>
      <c r="Z6021" s="134">
        <f>VLOOKUP(W6021,Sheet2!$B:$D,3,FALSE)</f>
        <v>2500</v>
      </c>
      <c r="AA6021" s="93">
        <f>AA6020/0.08</f>
        <v>16.666666666666664</v>
      </c>
      <c r="AB6021" s="93">
        <f>AD6021/AC6019</f>
        <v>150</v>
      </c>
      <c r="AC6021" s="93">
        <f>AC6019/AA6021</f>
        <v>1.524</v>
      </c>
      <c r="AD6021" s="94">
        <f t="shared" si="4180"/>
        <v>3810</v>
      </c>
      <c r="AE6021" s="190"/>
      <c r="AF6021" s="191"/>
      <c r="AG6021" s="191"/>
      <c r="AH6021" s="191"/>
      <c r="AI6021" s="186"/>
      <c r="AK6021" s="171"/>
    </row>
    <row r="6022" spans="1:41" s="102" customFormat="1" ht="19.899999999999999" customHeight="1" x14ac:dyDescent="0.25">
      <c r="A6022" s="45"/>
      <c r="B6022" s="59"/>
      <c r="C6022" s="137"/>
      <c r="D6022" s="59"/>
      <c r="E6022" s="116"/>
      <c r="F6022" s="120"/>
      <c r="G6022" s="120"/>
      <c r="H6022" s="120"/>
      <c r="I6022" s="60"/>
      <c r="J6022" s="116"/>
      <c r="K6022" s="213"/>
      <c r="L6022" s="120"/>
      <c r="M6022" s="120"/>
      <c r="N6022" s="167"/>
      <c r="O6022" s="120"/>
      <c r="P6022" s="120"/>
      <c r="Q6022" s="120"/>
      <c r="R6022" s="120"/>
      <c r="S6022" s="120"/>
      <c r="T6022" s="221"/>
      <c r="U6022" s="89"/>
      <c r="V6022" s="61"/>
      <c r="W6022" s="92" t="s">
        <v>1378</v>
      </c>
      <c r="X6022" s="93" t="s">
        <v>32</v>
      </c>
      <c r="Y6022" s="93" t="s">
        <v>66</v>
      </c>
      <c r="Z6022" s="134">
        <f>VLOOKUP(W6022,Sheet2!$B:$D,3,FALSE)</f>
        <v>350</v>
      </c>
      <c r="AA6022" s="93">
        <f>AA6020</f>
        <v>1.3333333333333333</v>
      </c>
      <c r="AB6022" s="93">
        <f>AD6022/AC6019</f>
        <v>262.5</v>
      </c>
      <c r="AC6022" s="93">
        <f>AC6019/AA6022</f>
        <v>19.05</v>
      </c>
      <c r="AD6022" s="94">
        <f>AC6022*Z6022</f>
        <v>6667.5</v>
      </c>
      <c r="AE6022" s="190"/>
      <c r="AF6022" s="191"/>
      <c r="AG6022" s="191"/>
      <c r="AH6022" s="191"/>
      <c r="AI6022" s="186"/>
      <c r="AK6022" s="171"/>
    </row>
    <row r="6023" spans="1:41" ht="20.100000000000001" customHeight="1" x14ac:dyDescent="0.25">
      <c r="A6023" s="277" t="s">
        <v>491</v>
      </c>
      <c r="B6023" s="278"/>
      <c r="C6023" s="64" t="s">
        <v>633</v>
      </c>
      <c r="D6023" s="46"/>
      <c r="E6023" s="114">
        <v>1.2000000000000002</v>
      </c>
      <c r="F6023" s="44">
        <v>1133</v>
      </c>
      <c r="G6023" s="44">
        <f t="shared" si="3841"/>
        <v>1359.6000000000001</v>
      </c>
      <c r="H6023" s="44">
        <f t="shared" si="3842"/>
        <v>1350.0000000000002</v>
      </c>
      <c r="I6023" s="43">
        <f t="shared" si="3843"/>
        <v>1620.0000000000005</v>
      </c>
      <c r="J6023" s="112">
        <f t="shared" si="3844"/>
        <v>1.2000000000000002</v>
      </c>
      <c r="K6023" s="211">
        <f t="shared" si="3845"/>
        <v>1.2000000000000002</v>
      </c>
      <c r="L6023" s="44"/>
      <c r="M6023" s="44">
        <f t="shared" si="3846"/>
        <v>1.2000000000000002</v>
      </c>
      <c r="N6023" s="173">
        <f t="shared" si="3847"/>
        <v>1</v>
      </c>
      <c r="O6023" s="44">
        <f t="shared" si="3848"/>
        <v>1133</v>
      </c>
      <c r="P6023" s="44">
        <f t="shared" si="3849"/>
        <v>1359.6000000000001</v>
      </c>
      <c r="Q6023" s="44">
        <f t="shared" si="3850"/>
        <v>1350.0000000000002</v>
      </c>
      <c r="R6023" s="44">
        <f t="shared" si="3851"/>
        <v>1620.0000000000005</v>
      </c>
      <c r="S6023" s="123"/>
      <c r="T6023" s="219">
        <f t="shared" si="3852"/>
        <v>1620.0000000000005</v>
      </c>
      <c r="U6023" s="87"/>
      <c r="V6023" s="47"/>
      <c r="W6023" s="48"/>
      <c r="X6023" s="48"/>
      <c r="Y6023" s="48"/>
      <c r="Z6023" s="135"/>
      <c r="AA6023" s="49"/>
      <c r="AB6023" s="50">
        <f t="shared" si="3853"/>
        <v>1350.0000000000002</v>
      </c>
      <c r="AC6023" s="42">
        <f t="shared" si="3854"/>
        <v>1.2000000000000002</v>
      </c>
      <c r="AD6023" s="90">
        <f>AD6024</f>
        <v>1620.0000000000005</v>
      </c>
      <c r="AE6023" s="188">
        <f t="shared" ref="AE6023" si="4181">AE6024</f>
        <v>0</v>
      </c>
      <c r="AF6023" s="189">
        <f t="shared" ref="AF6023" si="4182">AF6024</f>
        <v>0</v>
      </c>
      <c r="AG6023" s="189">
        <f t="shared" ref="AG6023" si="4183">AG6024</f>
        <v>0</v>
      </c>
      <c r="AH6023" s="189">
        <f t="shared" ref="AH6023" si="4184">AH6024</f>
        <v>0</v>
      </c>
      <c r="AI6023" s="161">
        <f t="shared" ref="AI6023:AI6029" si="4185">SUM(AE6023:AH6023)</f>
        <v>0</v>
      </c>
      <c r="AK6023" s="169">
        <v>5</v>
      </c>
      <c r="AO6023" s="19" t="s">
        <v>63</v>
      </c>
    </row>
    <row r="6024" spans="1:41" s="103" customFormat="1" ht="19.899999999999999" customHeight="1" x14ac:dyDescent="0.25">
      <c r="A6024" s="51"/>
      <c r="B6024" s="52"/>
      <c r="C6024" s="165"/>
      <c r="D6024" s="52"/>
      <c r="E6024" s="115"/>
      <c r="F6024" s="58"/>
      <c r="G6024" s="58"/>
      <c r="H6024" s="58"/>
      <c r="I6024" s="55"/>
      <c r="J6024" s="113">
        <f>J6023</f>
        <v>1.2000000000000002</v>
      </c>
      <c r="K6024" s="212">
        <f>K6023</f>
        <v>1.2000000000000002</v>
      </c>
      <c r="L6024" s="58"/>
      <c r="M6024" s="58">
        <f>K6024-L6024</f>
        <v>1.2000000000000002</v>
      </c>
      <c r="N6024" s="166"/>
      <c r="O6024" s="58"/>
      <c r="P6024" s="58"/>
      <c r="Q6024" s="58"/>
      <c r="R6024" s="58"/>
      <c r="S6024" s="58"/>
      <c r="T6024" s="220"/>
      <c r="U6024" s="88"/>
      <c r="V6024" s="56"/>
      <c r="W6024" s="57" t="s">
        <v>1374</v>
      </c>
      <c r="X6024" s="53"/>
      <c r="Y6024" s="91" t="s">
        <v>35</v>
      </c>
      <c r="Z6024" s="136">
        <f>AD6024/AC6024</f>
        <v>1350.0000000000002</v>
      </c>
      <c r="AA6024" s="58"/>
      <c r="AB6024" s="53">
        <f>AD6024/AC6024</f>
        <v>1350.0000000000002</v>
      </c>
      <c r="AC6024" s="53">
        <f>M6024+$AE$10</f>
        <v>1.2000000000000002</v>
      </c>
      <c r="AD6024" s="54">
        <f>SUM(AD6025:AD6027)</f>
        <v>1620.0000000000005</v>
      </c>
      <c r="AE6024" s="184">
        <f>SUMIFS($AD$37:$AD$12971,$V$37:$V$12971,$V6024,$X$37:$X$12971,AE$13)</f>
        <v>0</v>
      </c>
      <c r="AF6024" s="185">
        <f>SUMIFS($AD$37:$AD$12971,$V$37:$V$12971,$V6024,$X$37:$X$12971,AF$13)</f>
        <v>0</v>
      </c>
      <c r="AG6024" s="185">
        <f>SUMIFS($AD$37:$AD$12971,$V$37:$V$12971,$V6024,$X$37:$X$12971,AG$13)</f>
        <v>0</v>
      </c>
      <c r="AH6024" s="187">
        <f>SUMIFS($AD$37:$AD$12971,$V$37:$V$12971,$V6024,$X$37:$X$12971,AH$13)</f>
        <v>0</v>
      </c>
      <c r="AI6024" s="161">
        <f t="shared" si="4185"/>
        <v>0</v>
      </c>
      <c r="AK6024" s="172"/>
    </row>
    <row r="6025" spans="1:41" s="102" customFormat="1" ht="19.899999999999999" customHeight="1" x14ac:dyDescent="0.25">
      <c r="A6025" s="45"/>
      <c r="B6025" s="59"/>
      <c r="C6025" s="137"/>
      <c r="D6025" s="59"/>
      <c r="E6025" s="116"/>
      <c r="F6025" s="120"/>
      <c r="G6025" s="120"/>
      <c r="H6025" s="120"/>
      <c r="I6025" s="60"/>
      <c r="J6025" s="116"/>
      <c r="K6025" s="213"/>
      <c r="L6025" s="120"/>
      <c r="M6025" s="120"/>
      <c r="N6025" s="167"/>
      <c r="O6025" s="120"/>
      <c r="P6025" s="120"/>
      <c r="Q6025" s="120"/>
      <c r="R6025" s="120"/>
      <c r="S6025" s="120"/>
      <c r="T6025" s="221"/>
      <c r="U6025" s="89"/>
      <c r="V6025" s="61"/>
      <c r="W6025" s="92" t="s">
        <v>1353</v>
      </c>
      <c r="X6025" s="93" t="s">
        <v>30</v>
      </c>
      <c r="Y6025" s="93" t="s">
        <v>66</v>
      </c>
      <c r="Z6025" s="134">
        <f>VLOOKUP(W6025,Sheet2!$B:$D,3,FALSE)</f>
        <v>350</v>
      </c>
      <c r="AA6025" s="93">
        <f>1/1.5</f>
        <v>0.66666666666666663</v>
      </c>
      <c r="AB6025" s="93">
        <f>AD6025/AC6024</f>
        <v>525</v>
      </c>
      <c r="AC6025" s="93">
        <f>AC6024/AA6025</f>
        <v>1.8000000000000003</v>
      </c>
      <c r="AD6025" s="94">
        <f t="shared" ref="AD6025:AD6026" si="4186">AC6025*Z6025</f>
        <v>630.00000000000011</v>
      </c>
      <c r="AE6025" s="190"/>
      <c r="AF6025" s="191"/>
      <c r="AG6025" s="191"/>
      <c r="AH6025" s="191"/>
      <c r="AI6025" s="186"/>
      <c r="AK6025" s="171"/>
    </row>
    <row r="6026" spans="1:41" s="102" customFormat="1" ht="19.899999999999999" customHeight="1" x14ac:dyDescent="0.25">
      <c r="A6026" s="45"/>
      <c r="B6026" s="59"/>
      <c r="C6026" s="137"/>
      <c r="D6026" s="59"/>
      <c r="E6026" s="116"/>
      <c r="F6026" s="120"/>
      <c r="G6026" s="120"/>
      <c r="H6026" s="120"/>
      <c r="I6026" s="60"/>
      <c r="J6026" s="116"/>
      <c r="K6026" s="213"/>
      <c r="L6026" s="120"/>
      <c r="M6026" s="120"/>
      <c r="N6026" s="167"/>
      <c r="O6026" s="120"/>
      <c r="P6026" s="120"/>
      <c r="Q6026" s="120"/>
      <c r="R6026" s="120"/>
      <c r="S6026" s="120"/>
      <c r="T6026" s="221"/>
      <c r="U6026" s="89"/>
      <c r="V6026" s="61"/>
      <c r="W6026" s="92" t="s">
        <v>99</v>
      </c>
      <c r="X6026" s="93" t="s">
        <v>30</v>
      </c>
      <c r="Y6026" s="93" t="s">
        <v>67</v>
      </c>
      <c r="Z6026" s="134">
        <f>VLOOKUP(W6026,Sheet2!$B:$D,3,FALSE)</f>
        <v>2500</v>
      </c>
      <c r="AA6026" s="93">
        <f>AA6025/0.08</f>
        <v>8.3333333333333321</v>
      </c>
      <c r="AB6026" s="93">
        <f>AD6026/AC6024</f>
        <v>300.00000000000006</v>
      </c>
      <c r="AC6026" s="93">
        <f>AC6024/AA6026</f>
        <v>0.14400000000000004</v>
      </c>
      <c r="AD6026" s="94">
        <f t="shared" si="4186"/>
        <v>360.00000000000011</v>
      </c>
      <c r="AE6026" s="190"/>
      <c r="AF6026" s="191"/>
      <c r="AG6026" s="191"/>
      <c r="AH6026" s="191"/>
      <c r="AI6026" s="186"/>
      <c r="AK6026" s="171"/>
    </row>
    <row r="6027" spans="1:41" s="102" customFormat="1" ht="19.899999999999999" customHeight="1" x14ac:dyDescent="0.25">
      <c r="A6027" s="45"/>
      <c r="B6027" s="59"/>
      <c r="C6027" s="137"/>
      <c r="D6027" s="59"/>
      <c r="E6027" s="116"/>
      <c r="F6027" s="120"/>
      <c r="G6027" s="120"/>
      <c r="H6027" s="120"/>
      <c r="I6027" s="60"/>
      <c r="J6027" s="116"/>
      <c r="K6027" s="213"/>
      <c r="L6027" s="120"/>
      <c r="M6027" s="120"/>
      <c r="N6027" s="167"/>
      <c r="O6027" s="120"/>
      <c r="P6027" s="120"/>
      <c r="Q6027" s="120"/>
      <c r="R6027" s="120"/>
      <c r="S6027" s="120"/>
      <c r="T6027" s="221"/>
      <c r="U6027" s="89"/>
      <c r="V6027" s="61"/>
      <c r="W6027" s="92" t="s">
        <v>1378</v>
      </c>
      <c r="X6027" s="93" t="s">
        <v>32</v>
      </c>
      <c r="Y6027" s="93" t="s">
        <v>66</v>
      </c>
      <c r="Z6027" s="134">
        <f>VLOOKUP(W6027,Sheet2!$B:$D,3,FALSE)</f>
        <v>350</v>
      </c>
      <c r="AA6027" s="93">
        <f>AA6025</f>
        <v>0.66666666666666663</v>
      </c>
      <c r="AB6027" s="93">
        <f>AD6027/AC6024</f>
        <v>525</v>
      </c>
      <c r="AC6027" s="93">
        <f>AC6024/AA6027</f>
        <v>1.8000000000000003</v>
      </c>
      <c r="AD6027" s="94">
        <f>AC6027*Z6027</f>
        <v>630.00000000000011</v>
      </c>
      <c r="AE6027" s="190"/>
      <c r="AF6027" s="191"/>
      <c r="AG6027" s="191"/>
      <c r="AH6027" s="191"/>
      <c r="AI6027" s="186"/>
      <c r="AK6027" s="171"/>
    </row>
    <row r="6028" spans="1:41" ht="20.100000000000001" customHeight="1" x14ac:dyDescent="0.25">
      <c r="A6028" s="277" t="s">
        <v>491</v>
      </c>
      <c r="B6028" s="278"/>
      <c r="C6028" s="64" t="s">
        <v>490</v>
      </c>
      <c r="D6028" s="46"/>
      <c r="E6028" s="114">
        <v>6.8000000000000114</v>
      </c>
      <c r="F6028" s="44">
        <v>4532</v>
      </c>
      <c r="G6028" s="44">
        <f t="shared" si="3841"/>
        <v>30817.600000000053</v>
      </c>
      <c r="H6028" s="44">
        <f t="shared" si="3842"/>
        <v>5400.0000000000009</v>
      </c>
      <c r="I6028" s="43">
        <f t="shared" si="3843"/>
        <v>36720.000000000065</v>
      </c>
      <c r="J6028" s="112">
        <f t="shared" si="3844"/>
        <v>6.8000000000000114</v>
      </c>
      <c r="K6028" s="211">
        <f t="shared" si="3845"/>
        <v>6.8000000000000114</v>
      </c>
      <c r="L6028" s="44"/>
      <c r="M6028" s="44">
        <f t="shared" si="3846"/>
        <v>6.8000000000000114</v>
      </c>
      <c r="N6028" s="173">
        <f t="shared" si="3847"/>
        <v>1</v>
      </c>
      <c r="O6028" s="44">
        <f t="shared" si="3848"/>
        <v>4532</v>
      </c>
      <c r="P6028" s="44">
        <f t="shared" si="3849"/>
        <v>30817.600000000053</v>
      </c>
      <c r="Q6028" s="44">
        <f t="shared" si="3850"/>
        <v>5400.0000000000009</v>
      </c>
      <c r="R6028" s="44">
        <f t="shared" si="3851"/>
        <v>36720.000000000065</v>
      </c>
      <c r="S6028" s="123"/>
      <c r="T6028" s="219">
        <f t="shared" si="3852"/>
        <v>36720.000000000065</v>
      </c>
      <c r="U6028" s="87"/>
      <c r="V6028" s="47"/>
      <c r="W6028" s="48"/>
      <c r="X6028" s="48"/>
      <c r="Y6028" s="48"/>
      <c r="Z6028" s="135"/>
      <c r="AA6028" s="49"/>
      <c r="AB6028" s="50">
        <f t="shared" si="3853"/>
        <v>5400.0000000000009</v>
      </c>
      <c r="AC6028" s="42">
        <f t="shared" si="3854"/>
        <v>6.8000000000000114</v>
      </c>
      <c r="AD6028" s="90">
        <f>AD6029</f>
        <v>36720.000000000065</v>
      </c>
      <c r="AE6028" s="188">
        <f t="shared" ref="AE6028" si="4187">AE6029</f>
        <v>0</v>
      </c>
      <c r="AF6028" s="189">
        <f t="shared" ref="AF6028" si="4188">AF6029</f>
        <v>0</v>
      </c>
      <c r="AG6028" s="189">
        <f t="shared" ref="AG6028" si="4189">AG6029</f>
        <v>0</v>
      </c>
      <c r="AH6028" s="189">
        <f t="shared" ref="AH6028" si="4190">AH6029</f>
        <v>0</v>
      </c>
      <c r="AI6028" s="161">
        <f t="shared" si="4185"/>
        <v>0</v>
      </c>
      <c r="AK6028" s="169">
        <v>5</v>
      </c>
      <c r="AO6028" s="19" t="s">
        <v>63</v>
      </c>
    </row>
    <row r="6029" spans="1:41" s="103" customFormat="1" ht="19.899999999999999" customHeight="1" x14ac:dyDescent="0.25">
      <c r="A6029" s="51"/>
      <c r="B6029" s="52"/>
      <c r="C6029" s="165"/>
      <c r="D6029" s="52"/>
      <c r="E6029" s="115"/>
      <c r="F6029" s="58"/>
      <c r="G6029" s="58"/>
      <c r="H6029" s="58"/>
      <c r="I6029" s="55"/>
      <c r="J6029" s="113">
        <f>J6028</f>
        <v>6.8000000000000114</v>
      </c>
      <c r="K6029" s="212">
        <f>K6028</f>
        <v>6.8000000000000114</v>
      </c>
      <c r="L6029" s="58"/>
      <c r="M6029" s="58">
        <f>K6029-L6029</f>
        <v>6.8000000000000114</v>
      </c>
      <c r="N6029" s="166"/>
      <c r="O6029" s="58"/>
      <c r="P6029" s="58"/>
      <c r="Q6029" s="58"/>
      <c r="R6029" s="58"/>
      <c r="S6029" s="58"/>
      <c r="T6029" s="220"/>
      <c r="U6029" s="88"/>
      <c r="V6029" s="56"/>
      <c r="W6029" s="57" t="s">
        <v>1377</v>
      </c>
      <c r="X6029" s="53"/>
      <c r="Y6029" s="91" t="s">
        <v>35</v>
      </c>
      <c r="Z6029" s="136">
        <f>AD6029/AC6029</f>
        <v>5400.0000000000009</v>
      </c>
      <c r="AA6029" s="58"/>
      <c r="AB6029" s="53">
        <f>AD6029/AC6029</f>
        <v>5400.0000000000009</v>
      </c>
      <c r="AC6029" s="53">
        <f>M6029+$AE$10</f>
        <v>6.8000000000000114</v>
      </c>
      <c r="AD6029" s="54">
        <f>SUM(AD6030:AD6032)</f>
        <v>36720.000000000065</v>
      </c>
      <c r="AE6029" s="184">
        <f>SUMIFS($AD$37:$AD$12971,$V$37:$V$12971,$V6029,$X$37:$X$12971,AE$13)</f>
        <v>0</v>
      </c>
      <c r="AF6029" s="185">
        <f>SUMIFS($AD$37:$AD$12971,$V$37:$V$12971,$V6029,$X$37:$X$12971,AF$13)</f>
        <v>0</v>
      </c>
      <c r="AG6029" s="185">
        <f>SUMIFS($AD$37:$AD$12971,$V$37:$V$12971,$V6029,$X$37:$X$12971,AG$13)</f>
        <v>0</v>
      </c>
      <c r="AH6029" s="187">
        <f>SUMIFS($AD$37:$AD$12971,$V$37:$V$12971,$V6029,$X$37:$X$12971,AH$13)</f>
        <v>0</v>
      </c>
      <c r="AI6029" s="161">
        <f t="shared" si="4185"/>
        <v>0</v>
      </c>
      <c r="AK6029" s="172"/>
    </row>
    <row r="6030" spans="1:41" s="102" customFormat="1" ht="19.899999999999999" customHeight="1" x14ac:dyDescent="0.25">
      <c r="A6030" s="45"/>
      <c r="B6030" s="59"/>
      <c r="C6030" s="137"/>
      <c r="D6030" s="59"/>
      <c r="E6030" s="116"/>
      <c r="F6030" s="120"/>
      <c r="G6030" s="120"/>
      <c r="H6030" s="120"/>
      <c r="I6030" s="60"/>
      <c r="J6030" s="116"/>
      <c r="K6030" s="213"/>
      <c r="L6030" s="120"/>
      <c r="M6030" s="120"/>
      <c r="N6030" s="167"/>
      <c r="O6030" s="120"/>
      <c r="P6030" s="120"/>
      <c r="Q6030" s="120"/>
      <c r="R6030" s="120"/>
      <c r="S6030" s="120"/>
      <c r="T6030" s="221"/>
      <c r="U6030" s="89"/>
      <c r="V6030" s="61"/>
      <c r="W6030" s="92" t="s">
        <v>1353</v>
      </c>
      <c r="X6030" s="93" t="s">
        <v>30</v>
      </c>
      <c r="Y6030" s="93" t="s">
        <v>66</v>
      </c>
      <c r="Z6030" s="134">
        <f>VLOOKUP(W6030,Sheet2!$B:$D,3,FALSE)</f>
        <v>350</v>
      </c>
      <c r="AA6030" s="93">
        <f>1/6</f>
        <v>0.16666666666666666</v>
      </c>
      <c r="AB6030" s="93">
        <f>AD6030/AC6029</f>
        <v>2100</v>
      </c>
      <c r="AC6030" s="93">
        <f>AC6029/AA6030</f>
        <v>40.800000000000068</v>
      </c>
      <c r="AD6030" s="94">
        <f t="shared" ref="AD6030:AD6031" si="4191">AC6030*Z6030</f>
        <v>14280.000000000024</v>
      </c>
      <c r="AE6030" s="190"/>
      <c r="AF6030" s="191"/>
      <c r="AG6030" s="191"/>
      <c r="AH6030" s="191"/>
      <c r="AI6030" s="186"/>
      <c r="AK6030" s="171"/>
    </row>
    <row r="6031" spans="1:41" s="102" customFormat="1" ht="19.899999999999999" customHeight="1" x14ac:dyDescent="0.25">
      <c r="A6031" s="45"/>
      <c r="B6031" s="59"/>
      <c r="C6031" s="137"/>
      <c r="D6031" s="59"/>
      <c r="E6031" s="116"/>
      <c r="F6031" s="120"/>
      <c r="G6031" s="120"/>
      <c r="H6031" s="120"/>
      <c r="I6031" s="60"/>
      <c r="J6031" s="116"/>
      <c r="K6031" s="213"/>
      <c r="L6031" s="120"/>
      <c r="M6031" s="120"/>
      <c r="N6031" s="167"/>
      <c r="O6031" s="120"/>
      <c r="P6031" s="120"/>
      <c r="Q6031" s="120"/>
      <c r="R6031" s="120"/>
      <c r="S6031" s="120"/>
      <c r="T6031" s="221"/>
      <c r="U6031" s="89"/>
      <c r="V6031" s="61"/>
      <c r="W6031" s="92" t="s">
        <v>99</v>
      </c>
      <c r="X6031" s="93" t="s">
        <v>30</v>
      </c>
      <c r="Y6031" s="93" t="s">
        <v>67</v>
      </c>
      <c r="Z6031" s="134">
        <f>VLOOKUP(W6031,Sheet2!$B:$D,3,FALSE)</f>
        <v>2500</v>
      </c>
      <c r="AA6031" s="93">
        <f>AA6030/0.08</f>
        <v>2.083333333333333</v>
      </c>
      <c r="AB6031" s="93">
        <f>AD6031/AC6029</f>
        <v>1200.0000000000002</v>
      </c>
      <c r="AC6031" s="93">
        <f>AC6029/AA6031</f>
        <v>3.264000000000006</v>
      </c>
      <c r="AD6031" s="94">
        <f t="shared" si="4191"/>
        <v>8160.0000000000155</v>
      </c>
      <c r="AE6031" s="190"/>
      <c r="AF6031" s="191"/>
      <c r="AG6031" s="191"/>
      <c r="AH6031" s="191"/>
      <c r="AI6031" s="186"/>
      <c r="AK6031" s="171"/>
    </row>
    <row r="6032" spans="1:41" s="102" customFormat="1" ht="19.899999999999999" customHeight="1" x14ac:dyDescent="0.25">
      <c r="A6032" s="45"/>
      <c r="B6032" s="59"/>
      <c r="C6032" s="137"/>
      <c r="D6032" s="59"/>
      <c r="E6032" s="116"/>
      <c r="F6032" s="120"/>
      <c r="G6032" s="120"/>
      <c r="H6032" s="120"/>
      <c r="I6032" s="60"/>
      <c r="J6032" s="116"/>
      <c r="K6032" s="213"/>
      <c r="L6032" s="120"/>
      <c r="M6032" s="120"/>
      <c r="N6032" s="167"/>
      <c r="O6032" s="120"/>
      <c r="P6032" s="120"/>
      <c r="Q6032" s="120"/>
      <c r="R6032" s="120"/>
      <c r="S6032" s="120"/>
      <c r="T6032" s="221"/>
      <c r="U6032" s="89"/>
      <c r="V6032" s="61"/>
      <c r="W6032" s="92" t="s">
        <v>1378</v>
      </c>
      <c r="X6032" s="93" t="s">
        <v>32</v>
      </c>
      <c r="Y6032" s="93" t="s">
        <v>66</v>
      </c>
      <c r="Z6032" s="134">
        <f>VLOOKUP(W6032,Sheet2!$B:$D,3,FALSE)</f>
        <v>350</v>
      </c>
      <c r="AA6032" s="93">
        <f>AA6030</f>
        <v>0.16666666666666666</v>
      </c>
      <c r="AB6032" s="93">
        <f>AD6032/AC6029</f>
        <v>2100</v>
      </c>
      <c r="AC6032" s="93">
        <f>AC6029/AA6032</f>
        <v>40.800000000000068</v>
      </c>
      <c r="AD6032" s="94">
        <f>AC6032*Z6032</f>
        <v>14280.000000000024</v>
      </c>
      <c r="AE6032" s="190"/>
      <c r="AF6032" s="191"/>
      <c r="AG6032" s="191"/>
      <c r="AH6032" s="191"/>
      <c r="AI6032" s="186"/>
      <c r="AK6032" s="171"/>
    </row>
    <row r="6033" spans="1:41" s="102" customFormat="1" ht="20.100000000000001" customHeight="1" x14ac:dyDescent="0.25">
      <c r="A6033" s="45" t="s">
        <v>491</v>
      </c>
      <c r="B6033" s="276"/>
      <c r="C6033" s="285" t="s">
        <v>634</v>
      </c>
      <c r="D6033" s="59"/>
      <c r="E6033" s="116"/>
      <c r="F6033" s="120"/>
      <c r="G6033" s="120">
        <f t="shared" si="3841"/>
        <v>0</v>
      </c>
      <c r="H6033" s="120">
        <f t="shared" si="3842"/>
        <v>0</v>
      </c>
      <c r="I6033" s="60">
        <f t="shared" si="3843"/>
        <v>0</v>
      </c>
      <c r="J6033" s="116">
        <f t="shared" si="3844"/>
        <v>0</v>
      </c>
      <c r="K6033" s="213">
        <f t="shared" si="3845"/>
        <v>0</v>
      </c>
      <c r="L6033" s="120"/>
      <c r="M6033" s="120">
        <f t="shared" si="3846"/>
        <v>0</v>
      </c>
      <c r="N6033" s="167">
        <f t="shared" si="3847"/>
        <v>0</v>
      </c>
      <c r="O6033" s="120">
        <f t="shared" si="3848"/>
        <v>0</v>
      </c>
      <c r="P6033" s="120">
        <f t="shared" si="3849"/>
        <v>0</v>
      </c>
      <c r="Q6033" s="120">
        <f t="shared" si="3850"/>
        <v>0</v>
      </c>
      <c r="R6033" s="120">
        <f t="shared" si="3851"/>
        <v>0</v>
      </c>
      <c r="S6033" s="120"/>
      <c r="T6033" s="221">
        <f t="shared" si="3852"/>
        <v>0</v>
      </c>
      <c r="U6033" s="89"/>
      <c r="V6033" s="61"/>
      <c r="W6033" s="92"/>
      <c r="X6033" s="38"/>
      <c r="Y6033" s="93"/>
      <c r="Z6033" s="134"/>
      <c r="AA6033" s="93"/>
      <c r="AB6033" s="93">
        <f t="shared" si="3853"/>
        <v>0</v>
      </c>
      <c r="AC6033" s="93">
        <f t="shared" si="3854"/>
        <v>9.9999999999999998E-20</v>
      </c>
      <c r="AD6033" s="94"/>
      <c r="AE6033" s="190"/>
      <c r="AF6033" s="191"/>
      <c r="AG6033" s="191"/>
      <c r="AH6033" s="191"/>
      <c r="AI6033" s="186"/>
      <c r="AK6033" s="171"/>
    </row>
    <row r="6034" spans="1:41" ht="89.25" x14ac:dyDescent="0.25">
      <c r="A6034" s="277" t="s">
        <v>491</v>
      </c>
      <c r="B6034" s="278"/>
      <c r="C6034" s="64" t="s">
        <v>635</v>
      </c>
      <c r="D6034" s="46" t="s">
        <v>186</v>
      </c>
      <c r="E6034" s="114">
        <v>0.29786901613480987</v>
      </c>
      <c r="F6034" s="44">
        <v>3433660</v>
      </c>
      <c r="G6034" s="44">
        <f t="shared" si="3841"/>
        <v>1022780.9259414512</v>
      </c>
      <c r="H6034" s="44">
        <f t="shared" si="3842"/>
        <v>2820451.1194268502</v>
      </c>
      <c r="I6034" s="43">
        <f t="shared" si="3843"/>
        <v>840124.99999999907</v>
      </c>
      <c r="J6034" s="112">
        <f t="shared" si="3844"/>
        <v>0.29786901613480987</v>
      </c>
      <c r="K6034" s="211">
        <f t="shared" si="3845"/>
        <v>0.29786901613480987</v>
      </c>
      <c r="L6034" s="44"/>
      <c r="M6034" s="44">
        <f t="shared" si="3846"/>
        <v>0.29786901613480987</v>
      </c>
      <c r="N6034" s="173">
        <f t="shared" si="3847"/>
        <v>1</v>
      </c>
      <c r="O6034" s="44">
        <f t="shared" si="3848"/>
        <v>3433660</v>
      </c>
      <c r="P6034" s="44">
        <f t="shared" si="3849"/>
        <v>1022780.9259414512</v>
      </c>
      <c r="Q6034" s="44">
        <f t="shared" si="3850"/>
        <v>2820451.1194268502</v>
      </c>
      <c r="R6034" s="44">
        <f t="shared" si="3851"/>
        <v>840124.99999999907</v>
      </c>
      <c r="S6034" s="123"/>
      <c r="T6034" s="219">
        <f t="shared" si="3852"/>
        <v>840124.99999999907</v>
      </c>
      <c r="U6034" s="87"/>
      <c r="V6034" s="47"/>
      <c r="W6034" s="48"/>
      <c r="X6034" s="48"/>
      <c r="Y6034" s="48"/>
      <c r="Z6034" s="135"/>
      <c r="AA6034" s="49"/>
      <c r="AB6034" s="50">
        <f t="shared" si="3853"/>
        <v>2820451.1194268502</v>
      </c>
      <c r="AC6034" s="42">
        <f t="shared" si="3854"/>
        <v>0.29786901613480987</v>
      </c>
      <c r="AD6034" s="90">
        <f>AD6035</f>
        <v>840124.99999999907</v>
      </c>
      <c r="AE6034" s="188">
        <f t="shared" ref="AE6034:AH6034" si="4192">AE6035</f>
        <v>0</v>
      </c>
      <c r="AF6034" s="189">
        <f t="shared" si="4192"/>
        <v>0</v>
      </c>
      <c r="AG6034" s="189">
        <f t="shared" si="4192"/>
        <v>0</v>
      </c>
      <c r="AH6034" s="189">
        <f t="shared" si="4192"/>
        <v>0</v>
      </c>
      <c r="AI6034" s="161">
        <f t="shared" ref="AI6034:AI6035" si="4193">SUM(AE6034:AH6034)</f>
        <v>0</v>
      </c>
      <c r="AK6034" s="169">
        <v>5</v>
      </c>
      <c r="AO6034" s="19" t="s">
        <v>63</v>
      </c>
    </row>
    <row r="6035" spans="1:41" s="103" customFormat="1" ht="19.899999999999999" customHeight="1" x14ac:dyDescent="0.25">
      <c r="A6035" s="51"/>
      <c r="B6035" s="52"/>
      <c r="C6035" s="165"/>
      <c r="D6035" s="52"/>
      <c r="E6035" s="115"/>
      <c r="F6035" s="58"/>
      <c r="G6035" s="58"/>
      <c r="H6035" s="58"/>
      <c r="I6035" s="55"/>
      <c r="J6035" s="113">
        <f>J6034</f>
        <v>0.29786901613480987</v>
      </c>
      <c r="K6035" s="212">
        <f>K6034</f>
        <v>0.29786901613480987</v>
      </c>
      <c r="L6035" s="58"/>
      <c r="M6035" s="58">
        <f>K6035-L6035</f>
        <v>0.29786901613480987</v>
      </c>
      <c r="N6035" s="166"/>
      <c r="O6035" s="58"/>
      <c r="P6035" s="58"/>
      <c r="Q6035" s="58"/>
      <c r="R6035" s="58"/>
      <c r="S6035" s="58"/>
      <c r="T6035" s="220"/>
      <c r="U6035" s="88"/>
      <c r="V6035" s="56"/>
      <c r="W6035" s="57" t="s">
        <v>1576</v>
      </c>
      <c r="X6035" s="53"/>
      <c r="Y6035" s="91" t="s">
        <v>1349</v>
      </c>
      <c r="Z6035" s="136">
        <f>AD6035/AC6035</f>
        <v>2820451.1194268502</v>
      </c>
      <c r="AA6035" s="58"/>
      <c r="AB6035" s="53">
        <f>AD6035/AC6035</f>
        <v>2820451.1194268502</v>
      </c>
      <c r="AC6035" s="53">
        <f>M6035+$AE$10</f>
        <v>0.29786901613480987</v>
      </c>
      <c r="AD6035" s="54">
        <f>SUM(AD6036)</f>
        <v>840124.99999999907</v>
      </c>
      <c r="AE6035" s="184">
        <f>SUMIFS($AD$37:$AD$12971,$V$37:$V$12971,$V6035,$X$37:$X$12971,AE$13)</f>
        <v>0</v>
      </c>
      <c r="AF6035" s="185">
        <f>SUMIFS($AD$37:$AD$12971,$V$37:$V$12971,$V6035,$X$37:$X$12971,AF$13)</f>
        <v>0</v>
      </c>
      <c r="AG6035" s="185">
        <f>SUMIFS($AD$37:$AD$12971,$V$37:$V$12971,$V6035,$X$37:$X$12971,AG$13)</f>
        <v>0</v>
      </c>
      <c r="AH6035" s="187">
        <f>SUMIFS($AD$37:$AD$12971,$V$37:$V$12971,$V6035,$X$37:$X$12971,AH$13)</f>
        <v>0</v>
      </c>
      <c r="AI6035" s="161">
        <f t="shared" si="4193"/>
        <v>0</v>
      </c>
      <c r="AK6035" s="172"/>
    </row>
    <row r="6036" spans="1:41" s="102" customFormat="1" ht="19.899999999999999" customHeight="1" x14ac:dyDescent="0.25">
      <c r="A6036" s="45"/>
      <c r="B6036" s="59"/>
      <c r="C6036" s="137"/>
      <c r="D6036" s="59"/>
      <c r="E6036" s="116"/>
      <c r="F6036" s="120"/>
      <c r="G6036" s="120"/>
      <c r="H6036" s="120"/>
      <c r="I6036" s="60"/>
      <c r="J6036" s="116"/>
      <c r="K6036" s="213"/>
      <c r="L6036" s="120"/>
      <c r="M6036" s="120"/>
      <c r="N6036" s="167"/>
      <c r="O6036" s="120"/>
      <c r="P6036" s="120"/>
      <c r="Q6036" s="120"/>
      <c r="R6036" s="120"/>
      <c r="S6036" s="120"/>
      <c r="T6036" s="221"/>
      <c r="U6036" s="89"/>
      <c r="V6036" s="61"/>
      <c r="W6036" s="92" t="s">
        <v>1577</v>
      </c>
      <c r="X6036" s="93" t="s">
        <v>32</v>
      </c>
      <c r="Y6036" s="93" t="s">
        <v>1349</v>
      </c>
      <c r="Z6036" s="134">
        <f>VLOOKUP(W6036,Sheet2!$B:$D,3,FALSE)</f>
        <v>2820451.1194268502</v>
      </c>
      <c r="AA6036" s="93">
        <v>1</v>
      </c>
      <c r="AB6036" s="93">
        <f>AD6036/AC6035</f>
        <v>2820451.1194268502</v>
      </c>
      <c r="AC6036" s="93">
        <f>AC6035/AA6036</f>
        <v>0.29786901613480987</v>
      </c>
      <c r="AD6036" s="94">
        <f t="shared" ref="AD6036" si="4194">AC6036*Z6036</f>
        <v>840124.99999999907</v>
      </c>
      <c r="AE6036" s="190"/>
      <c r="AF6036" s="191"/>
      <c r="AG6036" s="191"/>
      <c r="AH6036" s="191"/>
      <c r="AI6036" s="186"/>
      <c r="AK6036" s="171"/>
    </row>
    <row r="6037" spans="1:41" ht="51" x14ac:dyDescent="0.25">
      <c r="A6037" s="277" t="s">
        <v>491</v>
      </c>
      <c r="B6037" s="278"/>
      <c r="C6037" s="64" t="s">
        <v>636</v>
      </c>
      <c r="D6037" s="46" t="s">
        <v>186</v>
      </c>
      <c r="E6037" s="114">
        <v>0.22999999999999998</v>
      </c>
      <c r="F6037" s="44">
        <v>5158373</v>
      </c>
      <c r="G6037" s="44">
        <f t="shared" si="3841"/>
        <v>1186425.7899999998</v>
      </c>
      <c r="H6037" s="44">
        <f t="shared" si="3842"/>
        <v>3601579.3478260874</v>
      </c>
      <c r="I6037" s="43">
        <f t="shared" si="3843"/>
        <v>828363.25</v>
      </c>
      <c r="J6037" s="112">
        <f t="shared" si="3844"/>
        <v>0.22999999999999998</v>
      </c>
      <c r="K6037" s="211">
        <f t="shared" si="3845"/>
        <v>0.22999999999999998</v>
      </c>
      <c r="L6037" s="44"/>
      <c r="M6037" s="44">
        <f t="shared" si="3846"/>
        <v>0.22999999999999998</v>
      </c>
      <c r="N6037" s="173">
        <f t="shared" si="3847"/>
        <v>1</v>
      </c>
      <c r="O6037" s="44">
        <f t="shared" si="3848"/>
        <v>5158373</v>
      </c>
      <c r="P6037" s="44">
        <f t="shared" si="3849"/>
        <v>1186425.7899999998</v>
      </c>
      <c r="Q6037" s="44">
        <f t="shared" si="3850"/>
        <v>3601579.3478260874</v>
      </c>
      <c r="R6037" s="44">
        <f t="shared" si="3851"/>
        <v>828363.25</v>
      </c>
      <c r="S6037" s="123"/>
      <c r="T6037" s="219">
        <f t="shared" si="3852"/>
        <v>828363.25</v>
      </c>
      <c r="U6037" s="87"/>
      <c r="V6037" s="47"/>
      <c r="W6037" s="48"/>
      <c r="X6037" s="48"/>
      <c r="Y6037" s="48"/>
      <c r="Z6037" s="135"/>
      <c r="AA6037" s="49"/>
      <c r="AB6037" s="50">
        <f t="shared" si="3853"/>
        <v>3601579.3478260874</v>
      </c>
      <c r="AC6037" s="42">
        <f t="shared" si="3854"/>
        <v>0.22999999999999998</v>
      </c>
      <c r="AD6037" s="90">
        <f>AD6038</f>
        <v>828363.25</v>
      </c>
      <c r="AE6037" s="188">
        <f t="shared" ref="AE6037" si="4195">AE6038</f>
        <v>0</v>
      </c>
      <c r="AF6037" s="189">
        <f t="shared" ref="AF6037" si="4196">AF6038</f>
        <v>0</v>
      </c>
      <c r="AG6037" s="189">
        <f t="shared" ref="AG6037" si="4197">AG6038</f>
        <v>0</v>
      </c>
      <c r="AH6037" s="189">
        <f t="shared" ref="AH6037" si="4198">AH6038</f>
        <v>0</v>
      </c>
      <c r="AI6037" s="161">
        <f t="shared" ref="AI6037:AI6038" si="4199">SUM(AE6037:AH6037)</f>
        <v>0</v>
      </c>
      <c r="AK6037" s="169">
        <v>5</v>
      </c>
      <c r="AO6037" s="19" t="s">
        <v>63</v>
      </c>
    </row>
    <row r="6038" spans="1:41" s="103" customFormat="1" ht="19.899999999999999" customHeight="1" x14ac:dyDescent="0.25">
      <c r="A6038" s="51"/>
      <c r="B6038" s="52"/>
      <c r="C6038" s="165"/>
      <c r="D6038" s="52"/>
      <c r="E6038" s="115"/>
      <c r="F6038" s="58"/>
      <c r="G6038" s="58"/>
      <c r="H6038" s="58"/>
      <c r="I6038" s="55"/>
      <c r="J6038" s="113">
        <f>J6037</f>
        <v>0.22999999999999998</v>
      </c>
      <c r="K6038" s="212">
        <f>K6037</f>
        <v>0.22999999999999998</v>
      </c>
      <c r="L6038" s="58"/>
      <c r="M6038" s="58">
        <f>K6038-L6038</f>
        <v>0.22999999999999998</v>
      </c>
      <c r="N6038" s="166"/>
      <c r="O6038" s="58"/>
      <c r="P6038" s="58"/>
      <c r="Q6038" s="58"/>
      <c r="R6038" s="58"/>
      <c r="S6038" s="58"/>
      <c r="T6038" s="220"/>
      <c r="U6038" s="88"/>
      <c r="V6038" s="56"/>
      <c r="W6038" s="57" t="s">
        <v>1578</v>
      </c>
      <c r="X6038" s="53"/>
      <c r="Y6038" s="91" t="s">
        <v>1349</v>
      </c>
      <c r="Z6038" s="136">
        <f>AD6038/AC6038</f>
        <v>3601579.3478260874</v>
      </c>
      <c r="AA6038" s="58"/>
      <c r="AB6038" s="53">
        <f>AD6038/AC6038</f>
        <v>3601579.3478260874</v>
      </c>
      <c r="AC6038" s="53">
        <f>M6038+$AE$10</f>
        <v>0.22999999999999998</v>
      </c>
      <c r="AD6038" s="54">
        <f>SUM(AD6039)</f>
        <v>828363.25</v>
      </c>
      <c r="AE6038" s="184">
        <f>SUMIFS($AD$37:$AD$12971,$V$37:$V$12971,$V6038,$X$37:$X$12971,AE$13)</f>
        <v>0</v>
      </c>
      <c r="AF6038" s="185">
        <f>SUMIFS($AD$37:$AD$12971,$V$37:$V$12971,$V6038,$X$37:$X$12971,AF$13)</f>
        <v>0</v>
      </c>
      <c r="AG6038" s="185">
        <f>SUMIFS($AD$37:$AD$12971,$V$37:$V$12971,$V6038,$X$37:$X$12971,AG$13)</f>
        <v>0</v>
      </c>
      <c r="AH6038" s="187">
        <f>SUMIFS($AD$37:$AD$12971,$V$37:$V$12971,$V6038,$X$37:$X$12971,AH$13)</f>
        <v>0</v>
      </c>
      <c r="AI6038" s="161">
        <f t="shared" si="4199"/>
        <v>0</v>
      </c>
      <c r="AK6038" s="172"/>
    </row>
    <row r="6039" spans="1:41" s="102" customFormat="1" ht="19.899999999999999" customHeight="1" x14ac:dyDescent="0.25">
      <c r="A6039" s="45"/>
      <c r="B6039" s="59"/>
      <c r="C6039" s="137"/>
      <c r="D6039" s="59"/>
      <c r="E6039" s="116"/>
      <c r="F6039" s="120"/>
      <c r="G6039" s="120"/>
      <c r="H6039" s="120"/>
      <c r="I6039" s="60"/>
      <c r="J6039" s="116"/>
      <c r="K6039" s="213"/>
      <c r="L6039" s="120"/>
      <c r="M6039" s="120"/>
      <c r="N6039" s="167"/>
      <c r="O6039" s="120"/>
      <c r="P6039" s="120"/>
      <c r="Q6039" s="120"/>
      <c r="R6039" s="120"/>
      <c r="S6039" s="120"/>
      <c r="T6039" s="221"/>
      <c r="U6039" s="89"/>
      <c r="V6039" s="61"/>
      <c r="W6039" s="92" t="s">
        <v>1580</v>
      </c>
      <c r="X6039" s="93" t="s">
        <v>32</v>
      </c>
      <c r="Y6039" s="93" t="s">
        <v>1349</v>
      </c>
      <c r="Z6039" s="134">
        <f>VLOOKUP(W6039,Sheet2!$B:$D,3,FALSE)</f>
        <v>3601579.3478260874</v>
      </c>
      <c r="AA6039" s="93">
        <v>1</v>
      </c>
      <c r="AB6039" s="93">
        <f>AD6039/AC6038</f>
        <v>3601579.3478260874</v>
      </c>
      <c r="AC6039" s="93">
        <f>AC6038/AA6039</f>
        <v>0.22999999999999998</v>
      </c>
      <c r="AD6039" s="94">
        <f t="shared" ref="AD6039" si="4200">AC6039*Z6039</f>
        <v>828363.25</v>
      </c>
      <c r="AE6039" s="190"/>
      <c r="AF6039" s="191"/>
      <c r="AG6039" s="191"/>
      <c r="AH6039" s="191"/>
      <c r="AI6039" s="186"/>
      <c r="AK6039" s="171"/>
    </row>
    <row r="6040" spans="1:41" ht="20.100000000000001" customHeight="1" x14ac:dyDescent="0.25">
      <c r="A6040" s="277" t="s">
        <v>491</v>
      </c>
      <c r="B6040" s="278"/>
      <c r="C6040" s="64" t="s">
        <v>637</v>
      </c>
      <c r="D6040" s="46" t="s">
        <v>186</v>
      </c>
      <c r="E6040" s="114">
        <v>1</v>
      </c>
      <c r="F6040" s="44">
        <v>226585</v>
      </c>
      <c r="G6040" s="44">
        <f t="shared" si="3841"/>
        <v>226585</v>
      </c>
      <c r="H6040" s="44">
        <f t="shared" si="3842"/>
        <v>145500</v>
      </c>
      <c r="I6040" s="43">
        <f t="shared" si="3843"/>
        <v>145500</v>
      </c>
      <c r="J6040" s="112">
        <f t="shared" si="3844"/>
        <v>1</v>
      </c>
      <c r="K6040" s="211">
        <f t="shared" si="3845"/>
        <v>1</v>
      </c>
      <c r="L6040" s="44"/>
      <c r="M6040" s="44">
        <f t="shared" si="3846"/>
        <v>1</v>
      </c>
      <c r="N6040" s="173">
        <f t="shared" si="3847"/>
        <v>1</v>
      </c>
      <c r="O6040" s="44">
        <f t="shared" si="3848"/>
        <v>226585</v>
      </c>
      <c r="P6040" s="44">
        <f t="shared" si="3849"/>
        <v>226585</v>
      </c>
      <c r="Q6040" s="44">
        <f t="shared" si="3850"/>
        <v>145500</v>
      </c>
      <c r="R6040" s="44">
        <f t="shared" si="3851"/>
        <v>145500</v>
      </c>
      <c r="S6040" s="123"/>
      <c r="T6040" s="219">
        <f t="shared" si="3852"/>
        <v>145500</v>
      </c>
      <c r="U6040" s="87"/>
      <c r="V6040" s="47"/>
      <c r="W6040" s="48"/>
      <c r="X6040" s="48"/>
      <c r="Y6040" s="48"/>
      <c r="Z6040" s="135"/>
      <c r="AA6040" s="49"/>
      <c r="AB6040" s="50">
        <f t="shared" si="3853"/>
        <v>145500</v>
      </c>
      <c r="AC6040" s="42">
        <f t="shared" si="3854"/>
        <v>1</v>
      </c>
      <c r="AD6040" s="90">
        <f>AD6041</f>
        <v>145500</v>
      </c>
      <c r="AE6040" s="188">
        <f t="shared" ref="AE6040" si="4201">AE6041</f>
        <v>0</v>
      </c>
      <c r="AF6040" s="189">
        <f t="shared" ref="AF6040" si="4202">AF6041</f>
        <v>0</v>
      </c>
      <c r="AG6040" s="189">
        <f t="shared" ref="AG6040" si="4203">AG6041</f>
        <v>0</v>
      </c>
      <c r="AH6040" s="189">
        <f t="shared" ref="AH6040" si="4204">AH6041</f>
        <v>0</v>
      </c>
      <c r="AI6040" s="161">
        <f t="shared" ref="AI6040:AI6041" si="4205">SUM(AE6040:AH6040)</f>
        <v>0</v>
      </c>
      <c r="AK6040" s="169">
        <v>5</v>
      </c>
      <c r="AO6040" s="19" t="s">
        <v>63</v>
      </c>
    </row>
    <row r="6041" spans="1:41" s="103" customFormat="1" ht="19.899999999999999" customHeight="1" x14ac:dyDescent="0.25">
      <c r="A6041" s="51"/>
      <c r="B6041" s="52"/>
      <c r="C6041" s="165"/>
      <c r="D6041" s="52"/>
      <c r="E6041" s="115"/>
      <c r="F6041" s="58"/>
      <c r="G6041" s="58"/>
      <c r="H6041" s="58"/>
      <c r="I6041" s="55"/>
      <c r="J6041" s="113">
        <f>J6040</f>
        <v>1</v>
      </c>
      <c r="K6041" s="212">
        <f>K6040</f>
        <v>1</v>
      </c>
      <c r="L6041" s="58"/>
      <c r="M6041" s="58">
        <f>K6041-L6041</f>
        <v>1</v>
      </c>
      <c r="N6041" s="166"/>
      <c r="O6041" s="58"/>
      <c r="P6041" s="58"/>
      <c r="Q6041" s="58"/>
      <c r="R6041" s="58"/>
      <c r="S6041" s="58"/>
      <c r="T6041" s="220"/>
      <c r="U6041" s="88"/>
      <c r="V6041" s="56"/>
      <c r="W6041" s="57" t="s">
        <v>1579</v>
      </c>
      <c r="X6041" s="53"/>
      <c r="Y6041" s="91" t="s">
        <v>1349</v>
      </c>
      <c r="Z6041" s="136">
        <f>AD6041/AC6041</f>
        <v>145500</v>
      </c>
      <c r="AA6041" s="58"/>
      <c r="AB6041" s="53">
        <f>AD6041/AC6041</f>
        <v>145500</v>
      </c>
      <c r="AC6041" s="53">
        <f>M6041+$AE$10</f>
        <v>1</v>
      </c>
      <c r="AD6041" s="54">
        <f>SUM(AD6042)</f>
        <v>145500</v>
      </c>
      <c r="AE6041" s="184">
        <f>SUMIFS($AD$37:$AD$12971,$V$37:$V$12971,$V6041,$X$37:$X$12971,AE$13)</f>
        <v>0</v>
      </c>
      <c r="AF6041" s="185">
        <f>SUMIFS($AD$37:$AD$12971,$V$37:$V$12971,$V6041,$X$37:$X$12971,AF$13)</f>
        <v>0</v>
      </c>
      <c r="AG6041" s="185">
        <f>SUMIFS($AD$37:$AD$12971,$V$37:$V$12971,$V6041,$X$37:$X$12971,AG$13)</f>
        <v>0</v>
      </c>
      <c r="AH6041" s="187">
        <f>SUMIFS($AD$37:$AD$12971,$V$37:$V$12971,$V6041,$X$37:$X$12971,AH$13)</f>
        <v>0</v>
      </c>
      <c r="AI6041" s="161">
        <f t="shared" si="4205"/>
        <v>0</v>
      </c>
      <c r="AK6041" s="172"/>
    </row>
    <row r="6042" spans="1:41" s="102" customFormat="1" ht="19.899999999999999" customHeight="1" x14ac:dyDescent="0.25">
      <c r="A6042" s="45"/>
      <c r="B6042" s="59"/>
      <c r="C6042" s="137"/>
      <c r="D6042" s="59"/>
      <c r="E6042" s="116"/>
      <c r="F6042" s="120"/>
      <c r="G6042" s="120"/>
      <c r="H6042" s="120"/>
      <c r="I6042" s="60"/>
      <c r="J6042" s="116"/>
      <c r="K6042" s="213"/>
      <c r="L6042" s="120"/>
      <c r="M6042" s="120"/>
      <c r="N6042" s="167"/>
      <c r="O6042" s="120"/>
      <c r="P6042" s="120"/>
      <c r="Q6042" s="120"/>
      <c r="R6042" s="120"/>
      <c r="S6042" s="120"/>
      <c r="T6042" s="221"/>
      <c r="U6042" s="89"/>
      <c r="V6042" s="61"/>
      <c r="W6042" s="92" t="s">
        <v>1581</v>
      </c>
      <c r="X6042" s="93" t="s">
        <v>32</v>
      </c>
      <c r="Y6042" s="93" t="s">
        <v>1349</v>
      </c>
      <c r="Z6042" s="134">
        <f>VLOOKUP(W6042,Sheet2!$B:$D,3,FALSE)</f>
        <v>145500</v>
      </c>
      <c r="AA6042" s="93">
        <v>1</v>
      </c>
      <c r="AB6042" s="93">
        <f>AD6042/AC6041</f>
        <v>145500</v>
      </c>
      <c r="AC6042" s="93">
        <f>AC6041/AA6042</f>
        <v>1</v>
      </c>
      <c r="AD6042" s="94">
        <f t="shared" ref="AD6042" si="4206">AC6042*Z6042</f>
        <v>145500</v>
      </c>
      <c r="AE6042" s="190"/>
      <c r="AF6042" s="191"/>
      <c r="AG6042" s="191"/>
      <c r="AH6042" s="191"/>
      <c r="AI6042" s="186"/>
      <c r="AK6042" s="171"/>
    </row>
    <row r="6043" spans="1:41" ht="20.100000000000001" customHeight="1" x14ac:dyDescent="0.25">
      <c r="A6043" s="277" t="s">
        <v>491</v>
      </c>
      <c r="B6043" s="278"/>
      <c r="C6043" s="64" t="s">
        <v>638</v>
      </c>
      <c r="D6043" s="46" t="s">
        <v>215</v>
      </c>
      <c r="E6043" s="114">
        <v>1</v>
      </c>
      <c r="F6043" s="44">
        <v>236027</v>
      </c>
      <c r="G6043" s="44">
        <f t="shared" si="3841"/>
        <v>236027</v>
      </c>
      <c r="H6043" s="44">
        <f t="shared" si="3842"/>
        <v>164793.75</v>
      </c>
      <c r="I6043" s="43">
        <f t="shared" si="3843"/>
        <v>164793.75</v>
      </c>
      <c r="J6043" s="112">
        <f t="shared" si="3844"/>
        <v>1</v>
      </c>
      <c r="K6043" s="211">
        <f t="shared" si="3845"/>
        <v>1</v>
      </c>
      <c r="L6043" s="44"/>
      <c r="M6043" s="44">
        <f t="shared" si="3846"/>
        <v>1</v>
      </c>
      <c r="N6043" s="173">
        <f t="shared" si="3847"/>
        <v>1</v>
      </c>
      <c r="O6043" s="44">
        <f t="shared" si="3848"/>
        <v>236027</v>
      </c>
      <c r="P6043" s="44">
        <f t="shared" si="3849"/>
        <v>236027</v>
      </c>
      <c r="Q6043" s="44">
        <f t="shared" si="3850"/>
        <v>164793.75</v>
      </c>
      <c r="R6043" s="44">
        <f t="shared" si="3851"/>
        <v>164793.75</v>
      </c>
      <c r="S6043" s="123"/>
      <c r="T6043" s="219">
        <f t="shared" si="3852"/>
        <v>164793.75</v>
      </c>
      <c r="U6043" s="87"/>
      <c r="V6043" s="47"/>
      <c r="W6043" s="48"/>
      <c r="X6043" s="48"/>
      <c r="Y6043" s="48"/>
      <c r="Z6043" s="135"/>
      <c r="AA6043" s="49"/>
      <c r="AB6043" s="50">
        <f t="shared" si="3853"/>
        <v>164793.75</v>
      </c>
      <c r="AC6043" s="42">
        <f t="shared" si="3854"/>
        <v>1</v>
      </c>
      <c r="AD6043" s="90">
        <f>AD6044</f>
        <v>164793.75</v>
      </c>
      <c r="AE6043" s="188">
        <f t="shared" ref="AE6043" si="4207">AE6044</f>
        <v>0</v>
      </c>
      <c r="AF6043" s="189">
        <f t="shared" ref="AF6043" si="4208">AF6044</f>
        <v>0</v>
      </c>
      <c r="AG6043" s="189">
        <f t="shared" ref="AG6043" si="4209">AG6044</f>
        <v>0</v>
      </c>
      <c r="AH6043" s="189">
        <f t="shared" ref="AH6043" si="4210">AH6044</f>
        <v>0</v>
      </c>
      <c r="AI6043" s="161">
        <f t="shared" ref="AI6043:AI6044" si="4211">SUM(AE6043:AH6043)</f>
        <v>0</v>
      </c>
      <c r="AK6043" s="169">
        <v>5</v>
      </c>
      <c r="AO6043" s="19" t="s">
        <v>63</v>
      </c>
    </row>
    <row r="6044" spans="1:41" s="103" customFormat="1" ht="19.899999999999999" customHeight="1" x14ac:dyDescent="0.25">
      <c r="A6044" s="51"/>
      <c r="B6044" s="52"/>
      <c r="C6044" s="165"/>
      <c r="D6044" s="52"/>
      <c r="E6044" s="115"/>
      <c r="F6044" s="58"/>
      <c r="G6044" s="58"/>
      <c r="H6044" s="58"/>
      <c r="I6044" s="55"/>
      <c r="J6044" s="113">
        <f>J6043</f>
        <v>1</v>
      </c>
      <c r="K6044" s="212">
        <f>K6043</f>
        <v>1</v>
      </c>
      <c r="L6044" s="58"/>
      <c r="M6044" s="58">
        <f>K6044-L6044</f>
        <v>1</v>
      </c>
      <c r="N6044" s="166"/>
      <c r="O6044" s="58"/>
      <c r="P6044" s="58"/>
      <c r="Q6044" s="58"/>
      <c r="R6044" s="58"/>
      <c r="S6044" s="58"/>
      <c r="T6044" s="220"/>
      <c r="U6044" s="88"/>
      <c r="V6044" s="56"/>
      <c r="W6044" s="57" t="s">
        <v>638</v>
      </c>
      <c r="X6044" s="53"/>
      <c r="Y6044" s="91" t="s">
        <v>1349</v>
      </c>
      <c r="Z6044" s="136">
        <f>AD6044/AC6044</f>
        <v>164793.75</v>
      </c>
      <c r="AA6044" s="58"/>
      <c r="AB6044" s="53">
        <f>AD6044/AC6044</f>
        <v>164793.75</v>
      </c>
      <c r="AC6044" s="53">
        <f>M6044+$AE$10</f>
        <v>1</v>
      </c>
      <c r="AD6044" s="54">
        <f>SUM(AD6045)</f>
        <v>164793.75</v>
      </c>
      <c r="AE6044" s="184">
        <f>SUMIFS($AD$37:$AD$12971,$V$37:$V$12971,$V6044,$X$37:$X$12971,AE$13)</f>
        <v>0</v>
      </c>
      <c r="AF6044" s="185">
        <f>SUMIFS($AD$37:$AD$12971,$V$37:$V$12971,$V6044,$X$37:$X$12971,AF$13)</f>
        <v>0</v>
      </c>
      <c r="AG6044" s="185">
        <f>SUMIFS($AD$37:$AD$12971,$V$37:$V$12971,$V6044,$X$37:$X$12971,AG$13)</f>
        <v>0</v>
      </c>
      <c r="AH6044" s="187">
        <f>SUMIFS($AD$37:$AD$12971,$V$37:$V$12971,$V6044,$X$37:$X$12971,AH$13)</f>
        <v>0</v>
      </c>
      <c r="AI6044" s="161">
        <f t="shared" si="4211"/>
        <v>0</v>
      </c>
      <c r="AK6044" s="172"/>
    </row>
    <row r="6045" spans="1:41" s="102" customFormat="1" ht="19.899999999999999" customHeight="1" x14ac:dyDescent="0.25">
      <c r="A6045" s="45"/>
      <c r="B6045" s="59"/>
      <c r="C6045" s="137"/>
      <c r="D6045" s="59"/>
      <c r="E6045" s="116"/>
      <c r="F6045" s="120"/>
      <c r="G6045" s="120"/>
      <c r="H6045" s="120"/>
      <c r="I6045" s="60"/>
      <c r="J6045" s="116"/>
      <c r="K6045" s="213"/>
      <c r="L6045" s="120"/>
      <c r="M6045" s="120"/>
      <c r="N6045" s="167"/>
      <c r="O6045" s="120"/>
      <c r="P6045" s="120"/>
      <c r="Q6045" s="120"/>
      <c r="R6045" s="120"/>
      <c r="S6045" s="120"/>
      <c r="T6045" s="221"/>
      <c r="U6045" s="89"/>
      <c r="V6045" s="61"/>
      <c r="W6045" s="92" t="s">
        <v>638</v>
      </c>
      <c r="X6045" s="93" t="s">
        <v>32</v>
      </c>
      <c r="Y6045" s="93" t="s">
        <v>1349</v>
      </c>
      <c r="Z6045" s="134">
        <f>VLOOKUP(W6045,Sheet2!$B:$D,3,FALSE)</f>
        <v>164793.75</v>
      </c>
      <c r="AA6045" s="93">
        <v>1</v>
      </c>
      <c r="AB6045" s="93">
        <f>AD6045/AC6044</f>
        <v>164793.75</v>
      </c>
      <c r="AC6045" s="93">
        <f>AC6044/AA6045</f>
        <v>1</v>
      </c>
      <c r="AD6045" s="94">
        <f t="shared" ref="AD6045" si="4212">AC6045*Z6045</f>
        <v>164793.75</v>
      </c>
      <c r="AE6045" s="190"/>
      <c r="AF6045" s="191"/>
      <c r="AG6045" s="191"/>
      <c r="AH6045" s="191"/>
      <c r="AI6045" s="186"/>
      <c r="AK6045" s="171"/>
    </row>
    <row r="6046" spans="1:41" s="102" customFormat="1" ht="20.100000000000001" customHeight="1" x14ac:dyDescent="0.25">
      <c r="A6046" s="45" t="s">
        <v>491</v>
      </c>
      <c r="B6046" s="276"/>
      <c r="C6046" s="285" t="s">
        <v>639</v>
      </c>
      <c r="D6046" s="59"/>
      <c r="E6046" s="116"/>
      <c r="F6046" s="120"/>
      <c r="G6046" s="120">
        <f t="shared" si="3841"/>
        <v>0</v>
      </c>
      <c r="H6046" s="120">
        <f t="shared" si="3842"/>
        <v>0</v>
      </c>
      <c r="I6046" s="60">
        <f t="shared" si="3843"/>
        <v>0</v>
      </c>
      <c r="J6046" s="116">
        <f t="shared" si="3844"/>
        <v>0</v>
      </c>
      <c r="K6046" s="213">
        <f t="shared" si="3845"/>
        <v>0</v>
      </c>
      <c r="L6046" s="120"/>
      <c r="M6046" s="120">
        <f t="shared" si="3846"/>
        <v>0</v>
      </c>
      <c r="N6046" s="167">
        <f t="shared" si="3847"/>
        <v>0</v>
      </c>
      <c r="O6046" s="120">
        <f t="shared" si="3848"/>
        <v>0</v>
      </c>
      <c r="P6046" s="120">
        <f t="shared" si="3849"/>
        <v>0</v>
      </c>
      <c r="Q6046" s="120">
        <f t="shared" si="3850"/>
        <v>0</v>
      </c>
      <c r="R6046" s="120">
        <f t="shared" si="3851"/>
        <v>0</v>
      </c>
      <c r="S6046" s="120"/>
      <c r="T6046" s="221">
        <f t="shared" si="3852"/>
        <v>0</v>
      </c>
      <c r="U6046" s="89"/>
      <c r="V6046" s="61"/>
      <c r="W6046" s="92"/>
      <c r="X6046" s="38"/>
      <c r="Y6046" s="93"/>
      <c r="Z6046" s="134"/>
      <c r="AA6046" s="93"/>
      <c r="AB6046" s="93"/>
      <c r="AC6046" s="93"/>
      <c r="AD6046" s="94"/>
      <c r="AE6046" s="190"/>
      <c r="AF6046" s="191"/>
      <c r="AG6046" s="191"/>
      <c r="AH6046" s="191"/>
      <c r="AI6046" s="186"/>
      <c r="AK6046" s="171"/>
    </row>
    <row r="6047" spans="1:41" s="102" customFormat="1" ht="94.5" x14ac:dyDescent="0.25">
      <c r="A6047" s="45" t="s">
        <v>491</v>
      </c>
      <c r="B6047" s="276"/>
      <c r="C6047" s="285" t="s">
        <v>640</v>
      </c>
      <c r="D6047" s="59"/>
      <c r="E6047" s="116"/>
      <c r="F6047" s="120"/>
      <c r="G6047" s="120">
        <f t="shared" si="3841"/>
        <v>0</v>
      </c>
      <c r="H6047" s="120">
        <f t="shared" si="3842"/>
        <v>0</v>
      </c>
      <c r="I6047" s="60">
        <f t="shared" si="3843"/>
        <v>0</v>
      </c>
      <c r="J6047" s="116">
        <f t="shared" si="3844"/>
        <v>0</v>
      </c>
      <c r="K6047" s="213">
        <f t="shared" si="3845"/>
        <v>0</v>
      </c>
      <c r="L6047" s="120"/>
      <c r="M6047" s="120">
        <f t="shared" si="3846"/>
        <v>0</v>
      </c>
      <c r="N6047" s="167">
        <f t="shared" si="3847"/>
        <v>0</v>
      </c>
      <c r="O6047" s="120">
        <f t="shared" si="3848"/>
        <v>0</v>
      </c>
      <c r="P6047" s="120">
        <f t="shared" si="3849"/>
        <v>0</v>
      </c>
      <c r="Q6047" s="120">
        <f t="shared" si="3850"/>
        <v>0</v>
      </c>
      <c r="R6047" s="120">
        <f t="shared" si="3851"/>
        <v>0</v>
      </c>
      <c r="S6047" s="120"/>
      <c r="T6047" s="221">
        <f t="shared" si="3852"/>
        <v>0</v>
      </c>
      <c r="U6047" s="89"/>
      <c r="V6047" s="61"/>
      <c r="W6047" s="92"/>
      <c r="X6047" s="38"/>
      <c r="Y6047" s="93"/>
      <c r="Z6047" s="134"/>
      <c r="AA6047" s="93"/>
      <c r="AB6047" s="93"/>
      <c r="AC6047" s="93"/>
      <c r="AD6047" s="94"/>
      <c r="AE6047" s="190"/>
      <c r="AF6047" s="191"/>
      <c r="AG6047" s="191"/>
      <c r="AH6047" s="191"/>
      <c r="AI6047" s="186"/>
      <c r="AK6047" s="171"/>
    </row>
    <row r="6048" spans="1:41" ht="20.100000000000001" customHeight="1" x14ac:dyDescent="0.25">
      <c r="A6048" s="277" t="s">
        <v>491</v>
      </c>
      <c r="B6048" s="278"/>
      <c r="C6048" s="64" t="s">
        <v>641</v>
      </c>
      <c r="D6048" s="46"/>
      <c r="E6048" s="114"/>
      <c r="F6048" s="44"/>
      <c r="G6048" s="44">
        <f t="shared" si="3841"/>
        <v>0</v>
      </c>
      <c r="H6048" s="44">
        <f t="shared" si="3842"/>
        <v>0</v>
      </c>
      <c r="I6048" s="43">
        <f t="shared" si="3843"/>
        <v>0</v>
      </c>
      <c r="J6048" s="112">
        <f t="shared" si="3844"/>
        <v>0</v>
      </c>
      <c r="K6048" s="211">
        <f t="shared" si="3845"/>
        <v>0</v>
      </c>
      <c r="L6048" s="44"/>
      <c r="M6048" s="44">
        <f t="shared" si="3846"/>
        <v>0</v>
      </c>
      <c r="N6048" s="173">
        <f t="shared" si="3847"/>
        <v>0</v>
      </c>
      <c r="O6048" s="44">
        <f t="shared" si="3848"/>
        <v>0</v>
      </c>
      <c r="P6048" s="44">
        <f t="shared" si="3849"/>
        <v>0</v>
      </c>
      <c r="Q6048" s="44">
        <f t="shared" si="3850"/>
        <v>0</v>
      </c>
      <c r="R6048" s="44">
        <f t="shared" si="3851"/>
        <v>0</v>
      </c>
      <c r="S6048" s="123"/>
      <c r="T6048" s="219">
        <f t="shared" si="3852"/>
        <v>0</v>
      </c>
      <c r="U6048" s="87"/>
      <c r="V6048" s="47"/>
      <c r="W6048" s="48"/>
      <c r="X6048" s="48"/>
      <c r="Y6048" s="48"/>
      <c r="Z6048" s="135"/>
      <c r="AA6048" s="49"/>
      <c r="AB6048" s="50">
        <f t="shared" si="3853"/>
        <v>0</v>
      </c>
      <c r="AC6048" s="42">
        <f t="shared" si="3854"/>
        <v>9.9999999999999998E-20</v>
      </c>
      <c r="AD6048" s="90"/>
      <c r="AE6048" s="188"/>
      <c r="AF6048" s="189"/>
      <c r="AG6048" s="189"/>
      <c r="AH6048" s="189"/>
      <c r="AI6048" s="161"/>
    </row>
    <row r="6049" spans="1:41" ht="20.100000000000001" customHeight="1" x14ac:dyDescent="0.25">
      <c r="A6049" s="277" t="s">
        <v>491</v>
      </c>
      <c r="B6049" s="278"/>
      <c r="C6049" s="64" t="s">
        <v>642</v>
      </c>
      <c r="D6049" s="46" t="s">
        <v>186</v>
      </c>
      <c r="E6049" s="114">
        <v>0.28000000000000003</v>
      </c>
      <c r="F6049" s="44">
        <v>31470</v>
      </c>
      <c r="G6049" s="44">
        <f t="shared" si="3841"/>
        <v>8811.6</v>
      </c>
      <c r="H6049" s="44">
        <f t="shared" si="3842"/>
        <v>21972.5</v>
      </c>
      <c r="I6049" s="43">
        <f t="shared" si="3843"/>
        <v>6152.3</v>
      </c>
      <c r="J6049" s="112">
        <f t="shared" si="3844"/>
        <v>0.28000000000000003</v>
      </c>
      <c r="K6049" s="211">
        <f t="shared" si="3845"/>
        <v>0.28000000000000003</v>
      </c>
      <c r="L6049" s="44"/>
      <c r="M6049" s="44">
        <f t="shared" si="3846"/>
        <v>0.28000000000000003</v>
      </c>
      <c r="N6049" s="173">
        <f t="shared" si="3847"/>
        <v>1</v>
      </c>
      <c r="O6049" s="44">
        <f t="shared" si="3848"/>
        <v>31470</v>
      </c>
      <c r="P6049" s="44">
        <f t="shared" si="3849"/>
        <v>8811.6</v>
      </c>
      <c r="Q6049" s="44">
        <f t="shared" si="3850"/>
        <v>21972.5</v>
      </c>
      <c r="R6049" s="44">
        <f t="shared" si="3851"/>
        <v>6152.3</v>
      </c>
      <c r="S6049" s="123"/>
      <c r="T6049" s="219">
        <f t="shared" si="3852"/>
        <v>6152.3</v>
      </c>
      <c r="U6049" s="87"/>
      <c r="V6049" s="47"/>
      <c r="W6049" s="48"/>
      <c r="X6049" s="48"/>
      <c r="Y6049" s="48"/>
      <c r="Z6049" s="135"/>
      <c r="AA6049" s="49"/>
      <c r="AB6049" s="50">
        <f t="shared" si="3853"/>
        <v>21972.5</v>
      </c>
      <c r="AC6049" s="42">
        <f t="shared" si="3854"/>
        <v>0.28000000000000003</v>
      </c>
      <c r="AD6049" s="90">
        <f>AD6050</f>
        <v>6152.3</v>
      </c>
      <c r="AE6049" s="188">
        <f t="shared" ref="AE6049" si="4213">AE6050</f>
        <v>0</v>
      </c>
      <c r="AF6049" s="189">
        <f t="shared" ref="AF6049" si="4214">AF6050</f>
        <v>0</v>
      </c>
      <c r="AG6049" s="189">
        <f t="shared" ref="AG6049" si="4215">AG6050</f>
        <v>0</v>
      </c>
      <c r="AH6049" s="189">
        <f t="shared" ref="AH6049" si="4216">AH6050</f>
        <v>0</v>
      </c>
      <c r="AI6049" s="161">
        <f t="shared" ref="AI6049:AI6050" si="4217">SUM(AE6049:AH6049)</f>
        <v>0</v>
      </c>
      <c r="AK6049" s="169">
        <v>5</v>
      </c>
      <c r="AO6049" s="19" t="s">
        <v>63</v>
      </c>
    </row>
    <row r="6050" spans="1:41" s="103" customFormat="1" ht="19.899999999999999" customHeight="1" x14ac:dyDescent="0.25">
      <c r="A6050" s="51"/>
      <c r="B6050" s="52"/>
      <c r="C6050" s="165"/>
      <c r="D6050" s="52"/>
      <c r="E6050" s="115"/>
      <c r="F6050" s="58"/>
      <c r="G6050" s="58"/>
      <c r="H6050" s="58"/>
      <c r="I6050" s="55"/>
      <c r="J6050" s="113">
        <f>J6049</f>
        <v>0.28000000000000003</v>
      </c>
      <c r="K6050" s="212">
        <f>K6049</f>
        <v>0.28000000000000003</v>
      </c>
      <c r="L6050" s="58"/>
      <c r="M6050" s="58">
        <f>K6050-L6050</f>
        <v>0.28000000000000003</v>
      </c>
      <c r="N6050" s="166"/>
      <c r="O6050" s="58"/>
      <c r="P6050" s="58"/>
      <c r="Q6050" s="58"/>
      <c r="R6050" s="58"/>
      <c r="S6050" s="58"/>
      <c r="T6050" s="220"/>
      <c r="U6050" s="88"/>
      <c r="V6050" s="56"/>
      <c r="W6050" s="57" t="s">
        <v>642</v>
      </c>
      <c r="X6050" s="53"/>
      <c r="Y6050" s="91" t="s">
        <v>1349</v>
      </c>
      <c r="Z6050" s="136">
        <f>AD6050/AC6050</f>
        <v>21972.5</v>
      </c>
      <c r="AA6050" s="58"/>
      <c r="AB6050" s="53">
        <f>AD6050/AC6050</f>
        <v>21972.5</v>
      </c>
      <c r="AC6050" s="53">
        <f>M6050+$AE$10</f>
        <v>0.28000000000000003</v>
      </c>
      <c r="AD6050" s="54">
        <f>SUM(AD6051)</f>
        <v>6152.3</v>
      </c>
      <c r="AE6050" s="184">
        <f>SUMIFS($AD$37:$AD$12971,$V$37:$V$12971,$V6050,$X$37:$X$12971,AE$13)</f>
        <v>0</v>
      </c>
      <c r="AF6050" s="185">
        <f>SUMIFS($AD$37:$AD$12971,$V$37:$V$12971,$V6050,$X$37:$X$12971,AF$13)</f>
        <v>0</v>
      </c>
      <c r="AG6050" s="185">
        <f>SUMIFS($AD$37:$AD$12971,$V$37:$V$12971,$V6050,$X$37:$X$12971,AG$13)</f>
        <v>0</v>
      </c>
      <c r="AH6050" s="187">
        <f>SUMIFS($AD$37:$AD$12971,$V$37:$V$12971,$V6050,$X$37:$X$12971,AH$13)</f>
        <v>0</v>
      </c>
      <c r="AI6050" s="161">
        <f t="shared" si="4217"/>
        <v>0</v>
      </c>
      <c r="AK6050" s="172"/>
    </row>
    <row r="6051" spans="1:41" s="102" customFormat="1" ht="19.899999999999999" customHeight="1" x14ac:dyDescent="0.25">
      <c r="A6051" s="45"/>
      <c r="B6051" s="59"/>
      <c r="C6051" s="137"/>
      <c r="D6051" s="59"/>
      <c r="E6051" s="116"/>
      <c r="F6051" s="120"/>
      <c r="G6051" s="120"/>
      <c r="H6051" s="120"/>
      <c r="I6051" s="60"/>
      <c r="J6051" s="116"/>
      <c r="K6051" s="213"/>
      <c r="L6051" s="120"/>
      <c r="M6051" s="120"/>
      <c r="N6051" s="167"/>
      <c r="O6051" s="120"/>
      <c r="P6051" s="120"/>
      <c r="Q6051" s="120"/>
      <c r="R6051" s="120"/>
      <c r="S6051" s="120"/>
      <c r="T6051" s="221"/>
      <c r="U6051" s="89"/>
      <c r="V6051" s="61"/>
      <c r="W6051" s="92" t="s">
        <v>1587</v>
      </c>
      <c r="X6051" s="93" t="s">
        <v>32</v>
      </c>
      <c r="Y6051" s="93" t="s">
        <v>1349</v>
      </c>
      <c r="Z6051" s="134">
        <f>VLOOKUP(W6051,Sheet2!$B:$D,3,FALSE)</f>
        <v>21972.5</v>
      </c>
      <c r="AA6051" s="93">
        <v>1</v>
      </c>
      <c r="AB6051" s="93">
        <f>AD6051/AC6050</f>
        <v>21972.5</v>
      </c>
      <c r="AC6051" s="93">
        <f>AC6050/AA6051</f>
        <v>0.28000000000000003</v>
      </c>
      <c r="AD6051" s="94">
        <f t="shared" ref="AD6051" si="4218">AC6051*Z6051</f>
        <v>6152.3</v>
      </c>
      <c r="AE6051" s="190"/>
      <c r="AF6051" s="191"/>
      <c r="AG6051" s="191"/>
      <c r="AH6051" s="191"/>
      <c r="AI6051" s="186"/>
      <c r="AK6051" s="171"/>
    </row>
    <row r="6052" spans="1:41" s="102" customFormat="1" ht="20.100000000000001" customHeight="1" x14ac:dyDescent="0.25">
      <c r="A6052" s="45" t="s">
        <v>491</v>
      </c>
      <c r="B6052" s="276"/>
      <c r="C6052" s="285" t="s">
        <v>643</v>
      </c>
      <c r="D6052" s="59"/>
      <c r="E6052" s="116"/>
      <c r="F6052" s="120"/>
      <c r="G6052" s="120">
        <f t="shared" si="3841"/>
        <v>0</v>
      </c>
      <c r="H6052" s="120">
        <f t="shared" si="3842"/>
        <v>0</v>
      </c>
      <c r="I6052" s="60">
        <f t="shared" si="3843"/>
        <v>0</v>
      </c>
      <c r="J6052" s="116">
        <f t="shared" si="3844"/>
        <v>0</v>
      </c>
      <c r="K6052" s="213">
        <f t="shared" si="3845"/>
        <v>0</v>
      </c>
      <c r="L6052" s="120"/>
      <c r="M6052" s="120">
        <f t="shared" si="3846"/>
        <v>0</v>
      </c>
      <c r="N6052" s="167">
        <f t="shared" si="3847"/>
        <v>0</v>
      </c>
      <c r="O6052" s="120">
        <f t="shared" si="3848"/>
        <v>0</v>
      </c>
      <c r="P6052" s="120">
        <f t="shared" si="3849"/>
        <v>0</v>
      </c>
      <c r="Q6052" s="120">
        <f t="shared" si="3850"/>
        <v>0</v>
      </c>
      <c r="R6052" s="120">
        <f t="shared" si="3851"/>
        <v>0</v>
      </c>
      <c r="S6052" s="120"/>
      <c r="T6052" s="221">
        <f t="shared" si="3852"/>
        <v>0</v>
      </c>
      <c r="U6052" s="89"/>
      <c r="V6052" s="61"/>
      <c r="W6052" s="92"/>
      <c r="X6052" s="38"/>
      <c r="Y6052" s="93"/>
      <c r="Z6052" s="134"/>
      <c r="AA6052" s="93"/>
      <c r="AB6052" s="93"/>
      <c r="AC6052" s="93"/>
      <c r="AD6052" s="94"/>
      <c r="AE6052" s="190"/>
      <c r="AF6052" s="191"/>
      <c r="AG6052" s="191"/>
      <c r="AH6052" s="191"/>
      <c r="AI6052" s="186"/>
      <c r="AK6052" s="171"/>
    </row>
    <row r="6053" spans="1:41" ht="38.25" x14ac:dyDescent="0.25">
      <c r="A6053" s="277" t="s">
        <v>491</v>
      </c>
      <c r="B6053" s="278"/>
      <c r="C6053" s="64" t="s">
        <v>1584</v>
      </c>
      <c r="D6053" s="46" t="s">
        <v>186</v>
      </c>
      <c r="E6053" s="114">
        <v>0.69</v>
      </c>
      <c r="F6053" s="44">
        <v>1778749</v>
      </c>
      <c r="G6053" s="44">
        <f t="shared" si="3841"/>
        <v>1227336.8099999998</v>
      </c>
      <c r="H6053" s="44">
        <f t="shared" si="3842"/>
        <v>345270</v>
      </c>
      <c r="I6053" s="43">
        <f t="shared" si="3843"/>
        <v>238236.3</v>
      </c>
      <c r="J6053" s="112">
        <f t="shared" si="3844"/>
        <v>0.69</v>
      </c>
      <c r="K6053" s="211">
        <f t="shared" si="3845"/>
        <v>0.69</v>
      </c>
      <c r="L6053" s="44"/>
      <c r="M6053" s="44">
        <f t="shared" si="3846"/>
        <v>0.69</v>
      </c>
      <c r="N6053" s="173">
        <f t="shared" si="3847"/>
        <v>1</v>
      </c>
      <c r="O6053" s="44">
        <f t="shared" si="3848"/>
        <v>1778749</v>
      </c>
      <c r="P6053" s="44">
        <f t="shared" si="3849"/>
        <v>1227336.8099999998</v>
      </c>
      <c r="Q6053" s="44">
        <f t="shared" si="3850"/>
        <v>345270</v>
      </c>
      <c r="R6053" s="44">
        <f t="shared" si="3851"/>
        <v>238236.3</v>
      </c>
      <c r="S6053" s="123"/>
      <c r="T6053" s="219">
        <f t="shared" si="3852"/>
        <v>238236.3</v>
      </c>
      <c r="U6053" s="87"/>
      <c r="V6053" s="47"/>
      <c r="W6053" s="48"/>
      <c r="X6053" s="48"/>
      <c r="Y6053" s="48"/>
      <c r="Z6053" s="135"/>
      <c r="AA6053" s="49"/>
      <c r="AB6053" s="50">
        <f t="shared" si="3853"/>
        <v>345270</v>
      </c>
      <c r="AC6053" s="42">
        <f t="shared" si="3854"/>
        <v>0.69</v>
      </c>
      <c r="AD6053" s="90">
        <f>AD6054</f>
        <v>238236.3</v>
      </c>
      <c r="AE6053" s="188">
        <f t="shared" ref="AE6053" si="4219">AE6054</f>
        <v>0</v>
      </c>
      <c r="AF6053" s="189">
        <f t="shared" ref="AF6053" si="4220">AF6054</f>
        <v>0</v>
      </c>
      <c r="AG6053" s="189">
        <f t="shared" ref="AG6053" si="4221">AG6054</f>
        <v>0</v>
      </c>
      <c r="AH6053" s="189">
        <f t="shared" ref="AH6053" si="4222">AH6054</f>
        <v>0</v>
      </c>
      <c r="AI6053" s="161">
        <f t="shared" ref="AI6053:AI6054" si="4223">SUM(AE6053:AH6053)</f>
        <v>0</v>
      </c>
      <c r="AK6053" s="169">
        <v>5</v>
      </c>
      <c r="AO6053" s="19" t="s">
        <v>63</v>
      </c>
    </row>
    <row r="6054" spans="1:41" s="103" customFormat="1" ht="19.899999999999999" customHeight="1" x14ac:dyDescent="0.25">
      <c r="A6054" s="51"/>
      <c r="B6054" s="52"/>
      <c r="C6054" s="165"/>
      <c r="D6054" s="52"/>
      <c r="E6054" s="115"/>
      <c r="F6054" s="58"/>
      <c r="G6054" s="58"/>
      <c r="H6054" s="58"/>
      <c r="I6054" s="55"/>
      <c r="J6054" s="113">
        <f>J6053</f>
        <v>0.69</v>
      </c>
      <c r="K6054" s="212">
        <f>K6053</f>
        <v>0.69</v>
      </c>
      <c r="L6054" s="58"/>
      <c r="M6054" s="58">
        <f>K6054-L6054</f>
        <v>0.69</v>
      </c>
      <c r="N6054" s="166"/>
      <c r="O6054" s="58"/>
      <c r="P6054" s="58"/>
      <c r="Q6054" s="58"/>
      <c r="R6054" s="58"/>
      <c r="S6054" s="58"/>
      <c r="T6054" s="220"/>
      <c r="U6054" s="88"/>
      <c r="V6054" s="56"/>
      <c r="W6054" s="57" t="s">
        <v>1582</v>
      </c>
      <c r="X6054" s="53"/>
      <c r="Y6054" s="91" t="s">
        <v>1349</v>
      </c>
      <c r="Z6054" s="136">
        <f>AD6054/AC6054</f>
        <v>345270</v>
      </c>
      <c r="AA6054" s="58"/>
      <c r="AB6054" s="53">
        <f>AD6054/AC6054</f>
        <v>345270</v>
      </c>
      <c r="AC6054" s="53">
        <f>M6054+$AE$10</f>
        <v>0.69</v>
      </c>
      <c r="AD6054" s="54">
        <f>SUM(AD6055)</f>
        <v>238236.3</v>
      </c>
      <c r="AE6054" s="184">
        <f>SUMIFS($AD$37:$AD$12971,$V$37:$V$12971,$V6054,$X$37:$X$12971,AE$13)</f>
        <v>0</v>
      </c>
      <c r="AF6054" s="185">
        <f>SUMIFS($AD$37:$AD$12971,$V$37:$V$12971,$V6054,$X$37:$X$12971,AF$13)</f>
        <v>0</v>
      </c>
      <c r="AG6054" s="185">
        <f>SUMIFS($AD$37:$AD$12971,$V$37:$V$12971,$V6054,$X$37:$X$12971,AG$13)</f>
        <v>0</v>
      </c>
      <c r="AH6054" s="187">
        <f>SUMIFS($AD$37:$AD$12971,$V$37:$V$12971,$V6054,$X$37:$X$12971,AH$13)</f>
        <v>0</v>
      </c>
      <c r="AI6054" s="161">
        <f t="shared" si="4223"/>
        <v>0</v>
      </c>
      <c r="AK6054" s="172"/>
    </row>
    <row r="6055" spans="1:41" s="102" customFormat="1" ht="19.899999999999999" customHeight="1" x14ac:dyDescent="0.25">
      <c r="A6055" s="45"/>
      <c r="B6055" s="59"/>
      <c r="C6055" s="137"/>
      <c r="D6055" s="59"/>
      <c r="E6055" s="116"/>
      <c r="F6055" s="120"/>
      <c r="G6055" s="120"/>
      <c r="H6055" s="120"/>
      <c r="I6055" s="60"/>
      <c r="J6055" s="116"/>
      <c r="K6055" s="213"/>
      <c r="L6055" s="120"/>
      <c r="M6055" s="120"/>
      <c r="N6055" s="167"/>
      <c r="O6055" s="120"/>
      <c r="P6055" s="120"/>
      <c r="Q6055" s="120"/>
      <c r="R6055" s="120"/>
      <c r="S6055" s="120"/>
      <c r="T6055" s="221"/>
      <c r="U6055" s="89"/>
      <c r="V6055" s="61"/>
      <c r="W6055" s="92" t="s">
        <v>1582</v>
      </c>
      <c r="X6055" s="93" t="s">
        <v>32</v>
      </c>
      <c r="Y6055" s="93" t="s">
        <v>1349</v>
      </c>
      <c r="Z6055" s="134">
        <f>VLOOKUP(W6055,Sheet2!$B:$D,3,FALSE)</f>
        <v>345270</v>
      </c>
      <c r="AA6055" s="93">
        <v>1</v>
      </c>
      <c r="AB6055" s="93">
        <f>AD6055/AC6054</f>
        <v>345270</v>
      </c>
      <c r="AC6055" s="93">
        <f>AC6054/AA6055</f>
        <v>0.69</v>
      </c>
      <c r="AD6055" s="94">
        <f t="shared" ref="AD6055" si="4224">AC6055*Z6055</f>
        <v>238236.3</v>
      </c>
      <c r="AE6055" s="190"/>
      <c r="AF6055" s="191"/>
      <c r="AG6055" s="191"/>
      <c r="AH6055" s="191"/>
      <c r="AI6055" s="186"/>
      <c r="AK6055" s="171"/>
    </row>
    <row r="6056" spans="1:41" s="102" customFormat="1" ht="20.100000000000001" customHeight="1" x14ac:dyDescent="0.25">
      <c r="A6056" s="45" t="s">
        <v>491</v>
      </c>
      <c r="B6056" s="276"/>
      <c r="C6056" s="285" t="s">
        <v>645</v>
      </c>
      <c r="D6056" s="59"/>
      <c r="E6056" s="116"/>
      <c r="F6056" s="120"/>
      <c r="G6056" s="120">
        <f t="shared" si="3841"/>
        <v>0</v>
      </c>
      <c r="H6056" s="120">
        <f t="shared" si="3842"/>
        <v>0</v>
      </c>
      <c r="I6056" s="60">
        <f t="shared" si="3843"/>
        <v>0</v>
      </c>
      <c r="J6056" s="116">
        <f t="shared" si="3844"/>
        <v>0</v>
      </c>
      <c r="K6056" s="213">
        <f t="shared" si="3845"/>
        <v>0</v>
      </c>
      <c r="L6056" s="120"/>
      <c r="M6056" s="120">
        <f t="shared" si="3846"/>
        <v>0</v>
      </c>
      <c r="N6056" s="167">
        <f t="shared" si="3847"/>
        <v>0</v>
      </c>
      <c r="O6056" s="120">
        <f t="shared" si="3848"/>
        <v>0</v>
      </c>
      <c r="P6056" s="120">
        <f t="shared" si="3849"/>
        <v>0</v>
      </c>
      <c r="Q6056" s="120">
        <f t="shared" si="3850"/>
        <v>0</v>
      </c>
      <c r="R6056" s="120">
        <f t="shared" si="3851"/>
        <v>0</v>
      </c>
      <c r="S6056" s="120"/>
      <c r="T6056" s="221">
        <f t="shared" si="3852"/>
        <v>0</v>
      </c>
      <c r="U6056" s="89"/>
      <c r="V6056" s="61"/>
      <c r="W6056" s="92"/>
      <c r="X6056" s="38"/>
      <c r="Y6056" s="93"/>
      <c r="Z6056" s="134"/>
      <c r="AA6056" s="93"/>
      <c r="AB6056" s="93"/>
      <c r="AC6056" s="93"/>
      <c r="AD6056" s="94"/>
      <c r="AE6056" s="190"/>
      <c r="AF6056" s="191"/>
      <c r="AG6056" s="191"/>
      <c r="AH6056" s="191"/>
      <c r="AI6056" s="186"/>
      <c r="AK6056" s="171"/>
    </row>
    <row r="6057" spans="1:41" s="102" customFormat="1" ht="20.100000000000001" customHeight="1" x14ac:dyDescent="0.25">
      <c r="A6057" s="45" t="s">
        <v>491</v>
      </c>
      <c r="B6057" s="276"/>
      <c r="C6057" s="285" t="s">
        <v>646</v>
      </c>
      <c r="D6057" s="59"/>
      <c r="E6057" s="116"/>
      <c r="F6057" s="120"/>
      <c r="G6057" s="120">
        <f t="shared" si="3841"/>
        <v>0</v>
      </c>
      <c r="H6057" s="120">
        <f t="shared" si="3842"/>
        <v>0</v>
      </c>
      <c r="I6057" s="60">
        <f t="shared" si="3843"/>
        <v>0</v>
      </c>
      <c r="J6057" s="116">
        <f t="shared" si="3844"/>
        <v>0</v>
      </c>
      <c r="K6057" s="213">
        <f t="shared" si="3845"/>
        <v>0</v>
      </c>
      <c r="L6057" s="120"/>
      <c r="M6057" s="120">
        <f t="shared" si="3846"/>
        <v>0</v>
      </c>
      <c r="N6057" s="167">
        <f t="shared" si="3847"/>
        <v>0</v>
      </c>
      <c r="O6057" s="120">
        <f t="shared" si="3848"/>
        <v>0</v>
      </c>
      <c r="P6057" s="120">
        <f t="shared" si="3849"/>
        <v>0</v>
      </c>
      <c r="Q6057" s="120">
        <f t="shared" si="3850"/>
        <v>0</v>
      </c>
      <c r="R6057" s="120">
        <f t="shared" si="3851"/>
        <v>0</v>
      </c>
      <c r="S6057" s="120"/>
      <c r="T6057" s="221">
        <f t="shared" si="3852"/>
        <v>0</v>
      </c>
      <c r="U6057" s="89"/>
      <c r="V6057" s="61"/>
      <c r="W6057" s="92"/>
      <c r="X6057" s="38"/>
      <c r="Y6057" s="93"/>
      <c r="Z6057" s="134"/>
      <c r="AA6057" s="93"/>
      <c r="AB6057" s="93"/>
      <c r="AC6057" s="93"/>
      <c r="AD6057" s="94"/>
      <c r="AE6057" s="190"/>
      <c r="AF6057" s="191"/>
      <c r="AG6057" s="191"/>
      <c r="AH6057" s="191"/>
      <c r="AI6057" s="186"/>
      <c r="AK6057" s="171"/>
    </row>
    <row r="6058" spans="1:41" s="102" customFormat="1" ht="126" x14ac:dyDescent="0.25">
      <c r="A6058" s="45" t="s">
        <v>491</v>
      </c>
      <c r="B6058" s="276"/>
      <c r="C6058" s="285" t="s">
        <v>647</v>
      </c>
      <c r="D6058" s="59"/>
      <c r="E6058" s="116"/>
      <c r="F6058" s="120"/>
      <c r="G6058" s="120">
        <f t="shared" si="3841"/>
        <v>0</v>
      </c>
      <c r="H6058" s="120">
        <f t="shared" si="3842"/>
        <v>0</v>
      </c>
      <c r="I6058" s="60">
        <f t="shared" si="3843"/>
        <v>0</v>
      </c>
      <c r="J6058" s="116">
        <f t="shared" si="3844"/>
        <v>0</v>
      </c>
      <c r="K6058" s="213">
        <f t="shared" si="3845"/>
        <v>0</v>
      </c>
      <c r="L6058" s="120"/>
      <c r="M6058" s="120">
        <f t="shared" si="3846"/>
        <v>0</v>
      </c>
      <c r="N6058" s="167">
        <f t="shared" si="3847"/>
        <v>0</v>
      </c>
      <c r="O6058" s="120">
        <f t="shared" si="3848"/>
        <v>0</v>
      </c>
      <c r="P6058" s="120">
        <f t="shared" si="3849"/>
        <v>0</v>
      </c>
      <c r="Q6058" s="120">
        <f t="shared" si="3850"/>
        <v>0</v>
      </c>
      <c r="R6058" s="120">
        <f t="shared" si="3851"/>
        <v>0</v>
      </c>
      <c r="S6058" s="120"/>
      <c r="T6058" s="221">
        <f t="shared" si="3852"/>
        <v>0</v>
      </c>
      <c r="U6058" s="89"/>
      <c r="V6058" s="61"/>
      <c r="W6058" s="92"/>
      <c r="X6058" s="38"/>
      <c r="Y6058" s="93"/>
      <c r="Z6058" s="134"/>
      <c r="AA6058" s="93"/>
      <c r="AB6058" s="93"/>
      <c r="AC6058" s="93"/>
      <c r="AD6058" s="94"/>
      <c r="AE6058" s="190"/>
      <c r="AF6058" s="191"/>
      <c r="AG6058" s="191"/>
      <c r="AH6058" s="191"/>
      <c r="AI6058" s="186"/>
      <c r="AK6058" s="171"/>
    </row>
    <row r="6059" spans="1:41" ht="25.5" x14ac:dyDescent="0.25">
      <c r="A6059" s="277" t="s">
        <v>491</v>
      </c>
      <c r="B6059" s="278"/>
      <c r="C6059" s="64" t="s">
        <v>648</v>
      </c>
      <c r="D6059" s="46" t="s">
        <v>186</v>
      </c>
      <c r="E6059" s="114">
        <v>0.1399999999999999</v>
      </c>
      <c r="F6059" s="44">
        <v>868577</v>
      </c>
      <c r="G6059" s="44">
        <f t="shared" si="3841"/>
        <v>121600.77999999991</v>
      </c>
      <c r="H6059" s="44">
        <f t="shared" si="3842"/>
        <v>662420.37933166663</v>
      </c>
      <c r="I6059" s="43">
        <f t="shared" si="3843"/>
        <v>92738.853106433264</v>
      </c>
      <c r="J6059" s="112">
        <f t="shared" si="3844"/>
        <v>0.1399999999999999</v>
      </c>
      <c r="K6059" s="211">
        <f t="shared" si="3845"/>
        <v>0.1399999999999999</v>
      </c>
      <c r="L6059" s="44"/>
      <c r="M6059" s="44">
        <f t="shared" si="3846"/>
        <v>0.1399999999999999</v>
      </c>
      <c r="N6059" s="173">
        <f t="shared" si="3847"/>
        <v>1</v>
      </c>
      <c r="O6059" s="44">
        <f t="shared" si="3848"/>
        <v>868577</v>
      </c>
      <c r="P6059" s="44">
        <f t="shared" si="3849"/>
        <v>121600.77999999991</v>
      </c>
      <c r="Q6059" s="44">
        <f t="shared" si="3850"/>
        <v>662420.37933166663</v>
      </c>
      <c r="R6059" s="44">
        <f t="shared" si="3851"/>
        <v>92738.853106433264</v>
      </c>
      <c r="S6059" s="123"/>
      <c r="T6059" s="219">
        <f t="shared" si="3852"/>
        <v>92738.853106433264</v>
      </c>
      <c r="U6059" s="87"/>
      <c r="V6059" s="47"/>
      <c r="W6059" s="48"/>
      <c r="X6059" s="48"/>
      <c r="Y6059" s="48"/>
      <c r="Z6059" s="135"/>
      <c r="AA6059" s="49"/>
      <c r="AB6059" s="50">
        <f t="shared" si="3853"/>
        <v>662420.37933166663</v>
      </c>
      <c r="AC6059" s="42">
        <f t="shared" si="3854"/>
        <v>0.1399999999999999</v>
      </c>
      <c r="AD6059" s="90">
        <f>AD6060</f>
        <v>92738.853106433264</v>
      </c>
      <c r="AE6059" s="188">
        <f t="shared" ref="AE6059" si="4225">AE6060</f>
        <v>0</v>
      </c>
      <c r="AF6059" s="189">
        <f t="shared" ref="AF6059" si="4226">AF6060</f>
        <v>0</v>
      </c>
      <c r="AG6059" s="189">
        <f t="shared" ref="AG6059" si="4227">AG6060</f>
        <v>0</v>
      </c>
      <c r="AH6059" s="189">
        <f t="shared" ref="AH6059" si="4228">AH6060</f>
        <v>0</v>
      </c>
      <c r="AI6059" s="161">
        <f t="shared" ref="AI6059:AI6060" si="4229">SUM(AE6059:AH6059)</f>
        <v>0</v>
      </c>
      <c r="AK6059" s="169">
        <v>5</v>
      </c>
      <c r="AO6059" s="19" t="s">
        <v>63</v>
      </c>
    </row>
    <row r="6060" spans="1:41" s="103" customFormat="1" ht="19.899999999999999" customHeight="1" x14ac:dyDescent="0.25">
      <c r="A6060" s="51"/>
      <c r="B6060" s="52"/>
      <c r="C6060" s="165"/>
      <c r="D6060" s="52"/>
      <c r="E6060" s="115"/>
      <c r="F6060" s="58"/>
      <c r="G6060" s="58"/>
      <c r="H6060" s="58"/>
      <c r="I6060" s="55"/>
      <c r="J6060" s="113">
        <f>J6059</f>
        <v>0.1399999999999999</v>
      </c>
      <c r="K6060" s="212">
        <f>K6059</f>
        <v>0.1399999999999999</v>
      </c>
      <c r="L6060" s="58"/>
      <c r="M6060" s="58">
        <f>K6060-L6060</f>
        <v>0.1399999999999999</v>
      </c>
      <c r="N6060" s="166"/>
      <c r="O6060" s="58"/>
      <c r="P6060" s="58"/>
      <c r="Q6060" s="58"/>
      <c r="R6060" s="58"/>
      <c r="S6060" s="58"/>
      <c r="T6060" s="220"/>
      <c r="U6060" s="88"/>
      <c r="V6060" s="56"/>
      <c r="W6060" s="57" t="s">
        <v>1583</v>
      </c>
      <c r="X6060" s="53"/>
      <c r="Y6060" s="91" t="s">
        <v>1349</v>
      </c>
      <c r="Z6060" s="136">
        <f>AD6060/AC6060</f>
        <v>662420.37933166663</v>
      </c>
      <c r="AA6060" s="58"/>
      <c r="AB6060" s="53">
        <f>AD6060/AC6060</f>
        <v>662420.37933166663</v>
      </c>
      <c r="AC6060" s="53">
        <f>M6060+$AE$10</f>
        <v>0.1399999999999999</v>
      </c>
      <c r="AD6060" s="54">
        <f>SUM(AD6061)</f>
        <v>92738.853106433264</v>
      </c>
      <c r="AE6060" s="184">
        <f>SUMIFS($AD$37:$AD$12971,$V$37:$V$12971,$V6060,$X$37:$X$12971,AE$13)</f>
        <v>0</v>
      </c>
      <c r="AF6060" s="185">
        <f>SUMIFS($AD$37:$AD$12971,$V$37:$V$12971,$V6060,$X$37:$X$12971,AF$13)</f>
        <v>0</v>
      </c>
      <c r="AG6060" s="185">
        <f>SUMIFS($AD$37:$AD$12971,$V$37:$V$12971,$V6060,$X$37:$X$12971,AG$13)</f>
        <v>0</v>
      </c>
      <c r="AH6060" s="187">
        <f>SUMIFS($AD$37:$AD$12971,$V$37:$V$12971,$V6060,$X$37:$X$12971,AH$13)</f>
        <v>0</v>
      </c>
      <c r="AI6060" s="161">
        <f t="shared" si="4229"/>
        <v>0</v>
      </c>
      <c r="AK6060" s="172"/>
    </row>
    <row r="6061" spans="1:41" s="102" customFormat="1" ht="19.899999999999999" customHeight="1" x14ac:dyDescent="0.25">
      <c r="A6061" s="45"/>
      <c r="B6061" s="59"/>
      <c r="C6061" s="137"/>
      <c r="D6061" s="59"/>
      <c r="E6061" s="116"/>
      <c r="F6061" s="120"/>
      <c r="G6061" s="120"/>
      <c r="H6061" s="120"/>
      <c r="I6061" s="60"/>
      <c r="J6061" s="116"/>
      <c r="K6061" s="213"/>
      <c r="L6061" s="120"/>
      <c r="M6061" s="120"/>
      <c r="N6061" s="167"/>
      <c r="O6061" s="120"/>
      <c r="P6061" s="120"/>
      <c r="Q6061" s="120"/>
      <c r="R6061" s="120"/>
      <c r="S6061" s="120"/>
      <c r="T6061" s="221"/>
      <c r="U6061" s="89"/>
      <c r="V6061" s="61"/>
      <c r="W6061" s="92" t="s">
        <v>1583</v>
      </c>
      <c r="X6061" s="93" t="s">
        <v>32</v>
      </c>
      <c r="Y6061" s="93" t="s">
        <v>1349</v>
      </c>
      <c r="Z6061" s="134">
        <f>VLOOKUP(W6061,Sheet2!$B:$D,3,FALSE)</f>
        <v>662420.37933166663</v>
      </c>
      <c r="AA6061" s="93">
        <v>1</v>
      </c>
      <c r="AB6061" s="93">
        <f>AD6061/AC6060</f>
        <v>662420.37933166663</v>
      </c>
      <c r="AC6061" s="93">
        <f>AC6060/AA6061</f>
        <v>0.1399999999999999</v>
      </c>
      <c r="AD6061" s="94">
        <f t="shared" ref="AD6061" si="4230">AC6061*Z6061</f>
        <v>92738.853106433264</v>
      </c>
      <c r="AE6061" s="190"/>
      <c r="AF6061" s="191"/>
      <c r="AG6061" s="191"/>
      <c r="AH6061" s="191"/>
      <c r="AI6061" s="186"/>
      <c r="AK6061" s="171"/>
    </row>
    <row r="6062" spans="1:41" ht="25.5" x14ac:dyDescent="0.25">
      <c r="A6062" s="277" t="s">
        <v>491</v>
      </c>
      <c r="B6062" s="278"/>
      <c r="C6062" s="64" t="s">
        <v>649</v>
      </c>
      <c r="D6062" s="46" t="s">
        <v>186</v>
      </c>
      <c r="E6062" s="114">
        <v>1</v>
      </c>
      <c r="F6062" s="44">
        <v>67661</v>
      </c>
      <c r="G6062" s="44">
        <f t="shared" si="3841"/>
        <v>67661</v>
      </c>
      <c r="H6062" s="44">
        <f t="shared" si="3842"/>
        <v>30875</v>
      </c>
      <c r="I6062" s="43">
        <f t="shared" si="3843"/>
        <v>30875</v>
      </c>
      <c r="J6062" s="112">
        <f t="shared" si="3844"/>
        <v>1</v>
      </c>
      <c r="K6062" s="211">
        <f t="shared" si="3845"/>
        <v>1</v>
      </c>
      <c r="L6062" s="44"/>
      <c r="M6062" s="44">
        <f t="shared" si="3846"/>
        <v>1</v>
      </c>
      <c r="N6062" s="173">
        <f t="shared" si="3847"/>
        <v>1</v>
      </c>
      <c r="O6062" s="44">
        <f t="shared" si="3848"/>
        <v>67661</v>
      </c>
      <c r="P6062" s="44">
        <f t="shared" si="3849"/>
        <v>67661</v>
      </c>
      <c r="Q6062" s="44">
        <f t="shared" si="3850"/>
        <v>30875</v>
      </c>
      <c r="R6062" s="44">
        <f t="shared" si="3851"/>
        <v>30875</v>
      </c>
      <c r="S6062" s="123"/>
      <c r="T6062" s="219">
        <f t="shared" si="3852"/>
        <v>30875</v>
      </c>
      <c r="U6062" s="87"/>
      <c r="V6062" s="47"/>
      <c r="W6062" s="48"/>
      <c r="X6062" s="48"/>
      <c r="Y6062" s="48"/>
      <c r="Z6062" s="135"/>
      <c r="AA6062" s="49"/>
      <c r="AB6062" s="50">
        <f t="shared" si="3853"/>
        <v>30875</v>
      </c>
      <c r="AC6062" s="42">
        <f t="shared" si="3854"/>
        <v>1</v>
      </c>
      <c r="AD6062" s="90">
        <f>AD6063</f>
        <v>30875</v>
      </c>
      <c r="AE6062" s="188">
        <f t="shared" ref="AE6062" si="4231">AE6063</f>
        <v>0</v>
      </c>
      <c r="AF6062" s="189">
        <f t="shared" ref="AF6062" si="4232">AF6063</f>
        <v>0</v>
      </c>
      <c r="AG6062" s="189">
        <f t="shared" ref="AG6062" si="4233">AG6063</f>
        <v>0</v>
      </c>
      <c r="AH6062" s="189">
        <f t="shared" ref="AH6062" si="4234">AH6063</f>
        <v>0</v>
      </c>
      <c r="AI6062" s="161">
        <f t="shared" ref="AI6062:AI6063" si="4235">SUM(AE6062:AH6062)</f>
        <v>0</v>
      </c>
      <c r="AK6062" s="169">
        <v>5</v>
      </c>
      <c r="AO6062" s="19" t="s">
        <v>63</v>
      </c>
    </row>
    <row r="6063" spans="1:41" s="103" customFormat="1" ht="19.899999999999999" customHeight="1" x14ac:dyDescent="0.25">
      <c r="A6063" s="51"/>
      <c r="B6063" s="52"/>
      <c r="C6063" s="165"/>
      <c r="D6063" s="52"/>
      <c r="E6063" s="115"/>
      <c r="F6063" s="58"/>
      <c r="G6063" s="58"/>
      <c r="H6063" s="58"/>
      <c r="I6063" s="55"/>
      <c r="J6063" s="113">
        <f>J6062</f>
        <v>1</v>
      </c>
      <c r="K6063" s="212">
        <f>K6062</f>
        <v>1</v>
      </c>
      <c r="L6063" s="58"/>
      <c r="M6063" s="58">
        <f>K6063-L6063</f>
        <v>1</v>
      </c>
      <c r="N6063" s="166"/>
      <c r="O6063" s="58"/>
      <c r="P6063" s="58"/>
      <c r="Q6063" s="58"/>
      <c r="R6063" s="58"/>
      <c r="S6063" s="58"/>
      <c r="T6063" s="220"/>
      <c r="U6063" s="88"/>
      <c r="V6063" s="56"/>
      <c r="W6063" s="57" t="s">
        <v>1585</v>
      </c>
      <c r="X6063" s="53"/>
      <c r="Y6063" s="91" t="s">
        <v>1349</v>
      </c>
      <c r="Z6063" s="136">
        <f>AD6063/AC6063</f>
        <v>30875</v>
      </c>
      <c r="AA6063" s="58"/>
      <c r="AB6063" s="53">
        <f>AD6063/AC6063</f>
        <v>30875</v>
      </c>
      <c r="AC6063" s="53">
        <f>M6063+$AE$10</f>
        <v>1</v>
      </c>
      <c r="AD6063" s="54">
        <f>SUM(AD6064:AD6067)</f>
        <v>30875</v>
      </c>
      <c r="AE6063" s="184">
        <f>SUMIFS($AD$37:$AD$12971,$V$37:$V$12971,$V6063,$X$37:$X$12971,AE$13)</f>
        <v>0</v>
      </c>
      <c r="AF6063" s="185">
        <f>SUMIFS($AD$37:$AD$12971,$V$37:$V$12971,$V6063,$X$37:$X$12971,AF$13)</f>
        <v>0</v>
      </c>
      <c r="AG6063" s="185">
        <f>SUMIFS($AD$37:$AD$12971,$V$37:$V$12971,$V6063,$X$37:$X$12971,AG$13)</f>
        <v>0</v>
      </c>
      <c r="AH6063" s="187">
        <f>SUMIFS($AD$37:$AD$12971,$V$37:$V$12971,$V6063,$X$37:$X$12971,AH$13)</f>
        <v>0</v>
      </c>
      <c r="AI6063" s="161">
        <f t="shared" si="4235"/>
        <v>0</v>
      </c>
      <c r="AK6063" s="172"/>
    </row>
    <row r="6064" spans="1:41" s="102" customFormat="1" ht="19.899999999999999" customHeight="1" x14ac:dyDescent="0.25">
      <c r="A6064" s="45"/>
      <c r="B6064" s="59"/>
      <c r="C6064" s="137"/>
      <c r="D6064" s="59"/>
      <c r="E6064" s="116"/>
      <c r="F6064" s="120"/>
      <c r="G6064" s="120"/>
      <c r="H6064" s="120"/>
      <c r="I6064" s="60"/>
      <c r="J6064" s="116"/>
      <c r="K6064" s="213"/>
      <c r="L6064" s="120"/>
      <c r="M6064" s="120"/>
      <c r="N6064" s="167"/>
      <c r="O6064" s="120"/>
      <c r="P6064" s="120"/>
      <c r="Q6064" s="120"/>
      <c r="R6064" s="120"/>
      <c r="S6064" s="120"/>
      <c r="T6064" s="221"/>
      <c r="U6064" s="89"/>
      <c r="V6064" s="61"/>
      <c r="W6064" s="92" t="s">
        <v>1353</v>
      </c>
      <c r="X6064" s="93" t="s">
        <v>30</v>
      </c>
      <c r="Y6064" s="93" t="s">
        <v>66</v>
      </c>
      <c r="Z6064" s="134">
        <f>VLOOKUP(W6064,Sheet2!$B:$D,3,FALSE)</f>
        <v>350</v>
      </c>
      <c r="AA6064" s="93">
        <f>1/(5*5*1)</f>
        <v>0.04</v>
      </c>
      <c r="AB6064" s="93">
        <f>AD6064/AC6063</f>
        <v>8750</v>
      </c>
      <c r="AC6064" s="93">
        <f>AC6063/AA6064</f>
        <v>25</v>
      </c>
      <c r="AD6064" s="94">
        <f t="shared" ref="AD6064" si="4236">AC6064*Z6064</f>
        <v>8750</v>
      </c>
      <c r="AE6064" s="190"/>
      <c r="AF6064" s="191"/>
      <c r="AG6064" s="191"/>
      <c r="AH6064" s="191"/>
      <c r="AI6064" s="186"/>
      <c r="AK6064" s="171"/>
    </row>
    <row r="6065" spans="1:41" s="102" customFormat="1" ht="19.899999999999999" customHeight="1" x14ac:dyDescent="0.25">
      <c r="A6065" s="45"/>
      <c r="B6065" s="59"/>
      <c r="C6065" s="137"/>
      <c r="D6065" s="59"/>
      <c r="E6065" s="116"/>
      <c r="F6065" s="120"/>
      <c r="G6065" s="120"/>
      <c r="H6065" s="120"/>
      <c r="I6065" s="60"/>
      <c r="J6065" s="116"/>
      <c r="K6065" s="213"/>
      <c r="L6065" s="120"/>
      <c r="M6065" s="120"/>
      <c r="N6065" s="167"/>
      <c r="O6065" s="120"/>
      <c r="P6065" s="120"/>
      <c r="Q6065" s="120"/>
      <c r="R6065" s="120"/>
      <c r="S6065" s="120"/>
      <c r="T6065" s="221"/>
      <c r="U6065" s="89"/>
      <c r="V6065" s="61"/>
      <c r="W6065" s="92" t="s">
        <v>99</v>
      </c>
      <c r="X6065" s="93" t="s">
        <v>30</v>
      </c>
      <c r="Y6065" s="93" t="s">
        <v>67</v>
      </c>
      <c r="Z6065" s="134">
        <f>VLOOKUP(W6065,Sheet2!$B:$D,3,FALSE)</f>
        <v>2500</v>
      </c>
      <c r="AA6065" s="93">
        <f>AA6064/0.15</f>
        <v>0.26666666666666666</v>
      </c>
      <c r="AB6065" s="93">
        <f>AD6065/AC6063</f>
        <v>9375</v>
      </c>
      <c r="AC6065" s="93">
        <f>AC6063/AA6065</f>
        <v>3.75</v>
      </c>
      <c r="AD6065" s="94">
        <f t="shared" ref="AD6065:AD6066" si="4237">AC6065*Z6065</f>
        <v>9375</v>
      </c>
      <c r="AE6065" s="190"/>
      <c r="AF6065" s="191"/>
      <c r="AG6065" s="191"/>
      <c r="AH6065" s="191"/>
      <c r="AI6065" s="186"/>
      <c r="AK6065" s="171"/>
    </row>
    <row r="6066" spans="1:41" s="102" customFormat="1" ht="19.899999999999999" customHeight="1" x14ac:dyDescent="0.25">
      <c r="A6066" s="45"/>
      <c r="B6066" s="59"/>
      <c r="C6066" s="137"/>
      <c r="D6066" s="59"/>
      <c r="E6066" s="116"/>
      <c r="F6066" s="120"/>
      <c r="G6066" s="120"/>
      <c r="H6066" s="120"/>
      <c r="I6066" s="60"/>
      <c r="J6066" s="116"/>
      <c r="K6066" s="213"/>
      <c r="L6066" s="120"/>
      <c r="M6066" s="120"/>
      <c r="N6066" s="167"/>
      <c r="O6066" s="120"/>
      <c r="P6066" s="120"/>
      <c r="Q6066" s="120"/>
      <c r="R6066" s="120"/>
      <c r="S6066" s="120"/>
      <c r="T6066" s="221"/>
      <c r="U6066" s="89"/>
      <c r="V6066" s="61"/>
      <c r="W6066" s="92" t="s">
        <v>1355</v>
      </c>
      <c r="X6066" s="93" t="s">
        <v>32</v>
      </c>
      <c r="Y6066" s="93" t="s">
        <v>66</v>
      </c>
      <c r="Z6066" s="134">
        <f>VLOOKUP(W6066,Sheet2!$B:$D,3,FALSE)</f>
        <v>450</v>
      </c>
      <c r="AA6066" s="93">
        <f>AA6064</f>
        <v>0.04</v>
      </c>
      <c r="AB6066" s="93">
        <f>AD6066/AC6063</f>
        <v>11250</v>
      </c>
      <c r="AC6066" s="93">
        <f>AC6063/AA6066</f>
        <v>25</v>
      </c>
      <c r="AD6066" s="94">
        <f t="shared" si="4237"/>
        <v>11250</v>
      </c>
      <c r="AE6066" s="190"/>
      <c r="AF6066" s="191"/>
      <c r="AG6066" s="191"/>
      <c r="AH6066" s="191"/>
      <c r="AI6066" s="186"/>
      <c r="AK6066" s="171"/>
    </row>
    <row r="6067" spans="1:41" s="102" customFormat="1" ht="19.899999999999999" customHeight="1" x14ac:dyDescent="0.25">
      <c r="A6067" s="45"/>
      <c r="B6067" s="59"/>
      <c r="C6067" s="137"/>
      <c r="D6067" s="59"/>
      <c r="E6067" s="116"/>
      <c r="F6067" s="120"/>
      <c r="G6067" s="120"/>
      <c r="H6067" s="120"/>
      <c r="I6067" s="60"/>
      <c r="J6067" s="116"/>
      <c r="K6067" s="213"/>
      <c r="L6067" s="120"/>
      <c r="M6067" s="120"/>
      <c r="N6067" s="167"/>
      <c r="O6067" s="120"/>
      <c r="P6067" s="120"/>
      <c r="Q6067" s="120"/>
      <c r="R6067" s="120"/>
      <c r="S6067" s="120"/>
      <c r="T6067" s="221"/>
      <c r="U6067" s="89"/>
      <c r="V6067" s="61"/>
      <c r="W6067" s="92" t="s">
        <v>1586</v>
      </c>
      <c r="X6067" s="93" t="s">
        <v>32</v>
      </c>
      <c r="Y6067" s="93" t="s">
        <v>1349</v>
      </c>
      <c r="Z6067" s="134">
        <f>VLOOKUP(W6067,Sheet2!$B:$D,3,FALSE)</f>
        <v>1500</v>
      </c>
      <c r="AA6067" s="93">
        <v>1</v>
      </c>
      <c r="AB6067" s="93">
        <f>AD6067/AC6063</f>
        <v>1500</v>
      </c>
      <c r="AC6067" s="93">
        <f>AC6063/AA6067</f>
        <v>1</v>
      </c>
      <c r="AD6067" s="94">
        <f t="shared" ref="AD6067" si="4238">AC6067*Z6067</f>
        <v>1500</v>
      </c>
      <c r="AE6067" s="190"/>
      <c r="AF6067" s="191"/>
      <c r="AG6067" s="191"/>
      <c r="AH6067" s="191"/>
      <c r="AI6067" s="186"/>
      <c r="AK6067" s="171"/>
    </row>
    <row r="6068" spans="1:41" ht="20.100000000000001" customHeight="1" x14ac:dyDescent="0.25">
      <c r="A6068" s="277" t="s">
        <v>491</v>
      </c>
      <c r="B6068" s="278"/>
      <c r="C6068" s="64" t="s">
        <v>650</v>
      </c>
      <c r="D6068" s="46" t="s">
        <v>186</v>
      </c>
      <c r="E6068" s="114">
        <v>0.1399999999999999</v>
      </c>
      <c r="F6068" s="44">
        <v>31470</v>
      </c>
      <c r="G6068" s="44">
        <f t="shared" si="3841"/>
        <v>4405.7999999999965</v>
      </c>
      <c r="H6068" s="44">
        <f t="shared" si="3842"/>
        <v>21972.5</v>
      </c>
      <c r="I6068" s="43">
        <f t="shared" si="3843"/>
        <v>3076.1499999999978</v>
      </c>
      <c r="J6068" s="112">
        <f t="shared" si="3844"/>
        <v>0.1399999999999999</v>
      </c>
      <c r="K6068" s="211">
        <f t="shared" si="3845"/>
        <v>0.1399999999999999</v>
      </c>
      <c r="L6068" s="44"/>
      <c r="M6068" s="44">
        <f t="shared" si="3846"/>
        <v>0.1399999999999999</v>
      </c>
      <c r="N6068" s="173">
        <f t="shared" si="3847"/>
        <v>1</v>
      </c>
      <c r="O6068" s="44">
        <f t="shared" si="3848"/>
        <v>31470</v>
      </c>
      <c r="P6068" s="44">
        <f t="shared" si="3849"/>
        <v>4405.7999999999965</v>
      </c>
      <c r="Q6068" s="44">
        <f t="shared" si="3850"/>
        <v>21972.5</v>
      </c>
      <c r="R6068" s="44">
        <f t="shared" si="3851"/>
        <v>3076.1499999999978</v>
      </c>
      <c r="S6068" s="123"/>
      <c r="T6068" s="219">
        <f t="shared" si="3852"/>
        <v>3076.1499999999978</v>
      </c>
      <c r="U6068" s="87"/>
      <c r="V6068" s="47"/>
      <c r="W6068" s="48"/>
      <c r="X6068" s="48"/>
      <c r="Y6068" s="48"/>
      <c r="Z6068" s="135"/>
      <c r="AA6068" s="49"/>
      <c r="AB6068" s="50">
        <f t="shared" si="3853"/>
        <v>21972.5</v>
      </c>
      <c r="AC6068" s="42">
        <f t="shared" si="3854"/>
        <v>0.1399999999999999</v>
      </c>
      <c r="AD6068" s="90">
        <f>AD6069</f>
        <v>3076.1499999999978</v>
      </c>
      <c r="AE6068" s="188">
        <f t="shared" ref="AE6068" si="4239">AE6069</f>
        <v>0</v>
      </c>
      <c r="AF6068" s="189">
        <f t="shared" ref="AF6068" si="4240">AF6069</f>
        <v>0</v>
      </c>
      <c r="AG6068" s="189">
        <f t="shared" ref="AG6068" si="4241">AG6069</f>
        <v>0</v>
      </c>
      <c r="AH6068" s="189">
        <f t="shared" ref="AH6068" si="4242">AH6069</f>
        <v>0</v>
      </c>
      <c r="AI6068" s="161">
        <f t="shared" ref="AI6068:AI6069" si="4243">SUM(AE6068:AH6068)</f>
        <v>0</v>
      </c>
      <c r="AK6068" s="169">
        <v>5</v>
      </c>
      <c r="AO6068" s="19" t="s">
        <v>63</v>
      </c>
    </row>
    <row r="6069" spans="1:41" s="103" customFormat="1" ht="19.899999999999999" customHeight="1" x14ac:dyDescent="0.25">
      <c r="A6069" s="51"/>
      <c r="B6069" s="52"/>
      <c r="C6069" s="165"/>
      <c r="D6069" s="52"/>
      <c r="E6069" s="115"/>
      <c r="F6069" s="58"/>
      <c r="G6069" s="58"/>
      <c r="H6069" s="58"/>
      <c r="I6069" s="55"/>
      <c r="J6069" s="113">
        <f>J6068</f>
        <v>0.1399999999999999</v>
      </c>
      <c r="K6069" s="212">
        <f>K6068</f>
        <v>0.1399999999999999</v>
      </c>
      <c r="L6069" s="58"/>
      <c r="M6069" s="58">
        <f>K6069-L6069</f>
        <v>0.1399999999999999</v>
      </c>
      <c r="N6069" s="166"/>
      <c r="O6069" s="58"/>
      <c r="P6069" s="58"/>
      <c r="Q6069" s="58"/>
      <c r="R6069" s="58"/>
      <c r="S6069" s="58"/>
      <c r="T6069" s="220"/>
      <c r="U6069" s="88"/>
      <c r="V6069" s="56"/>
      <c r="W6069" s="57" t="s">
        <v>1587</v>
      </c>
      <c r="X6069" s="53"/>
      <c r="Y6069" s="91" t="s">
        <v>1349</v>
      </c>
      <c r="Z6069" s="136">
        <f>AD6069/AC6069</f>
        <v>21972.5</v>
      </c>
      <c r="AA6069" s="58"/>
      <c r="AB6069" s="53">
        <f>AD6069/AC6069</f>
        <v>21972.5</v>
      </c>
      <c r="AC6069" s="53">
        <f>M6069+$AE$10</f>
        <v>0.1399999999999999</v>
      </c>
      <c r="AD6069" s="54">
        <f>SUM(AD6070)</f>
        <v>3076.1499999999978</v>
      </c>
      <c r="AE6069" s="184">
        <f>SUMIFS($AD$37:$AD$12971,$V$37:$V$12971,$V6069,$X$37:$X$12971,AE$13)</f>
        <v>0</v>
      </c>
      <c r="AF6069" s="185">
        <f>SUMIFS($AD$37:$AD$12971,$V$37:$V$12971,$V6069,$X$37:$X$12971,AF$13)</f>
        <v>0</v>
      </c>
      <c r="AG6069" s="185">
        <f>SUMIFS($AD$37:$AD$12971,$V$37:$V$12971,$V6069,$X$37:$X$12971,AG$13)</f>
        <v>0</v>
      </c>
      <c r="AH6069" s="187">
        <f>SUMIFS($AD$37:$AD$12971,$V$37:$V$12971,$V6069,$X$37:$X$12971,AH$13)</f>
        <v>0</v>
      </c>
      <c r="AI6069" s="161">
        <f t="shared" si="4243"/>
        <v>0</v>
      </c>
      <c r="AK6069" s="172"/>
    </row>
    <row r="6070" spans="1:41" s="102" customFormat="1" ht="19.899999999999999" customHeight="1" x14ac:dyDescent="0.25">
      <c r="A6070" s="45"/>
      <c r="B6070" s="59"/>
      <c r="C6070" s="137"/>
      <c r="D6070" s="59"/>
      <c r="E6070" s="116"/>
      <c r="F6070" s="120"/>
      <c r="G6070" s="120"/>
      <c r="H6070" s="120"/>
      <c r="I6070" s="60"/>
      <c r="J6070" s="116"/>
      <c r="K6070" s="213"/>
      <c r="L6070" s="120"/>
      <c r="M6070" s="120"/>
      <c r="N6070" s="167"/>
      <c r="O6070" s="120"/>
      <c r="P6070" s="120"/>
      <c r="Q6070" s="120"/>
      <c r="R6070" s="120"/>
      <c r="S6070" s="120"/>
      <c r="T6070" s="221"/>
      <c r="U6070" s="89"/>
      <c r="V6070" s="61"/>
      <c r="W6070" s="92" t="s">
        <v>1587</v>
      </c>
      <c r="X6070" s="93" t="s">
        <v>32</v>
      </c>
      <c r="Y6070" s="93" t="s">
        <v>1349</v>
      </c>
      <c r="Z6070" s="134">
        <f>VLOOKUP(W6070,Sheet2!$B:$D,3,FALSE)</f>
        <v>21972.5</v>
      </c>
      <c r="AA6070" s="93">
        <v>1</v>
      </c>
      <c r="AB6070" s="93">
        <f>AD6070/AC6069</f>
        <v>21972.5</v>
      </c>
      <c r="AC6070" s="93">
        <f>AC6069/AA6070</f>
        <v>0.1399999999999999</v>
      </c>
      <c r="AD6070" s="94">
        <f t="shared" ref="AD6070" si="4244">AC6070*Z6070</f>
        <v>3076.1499999999978</v>
      </c>
      <c r="AE6070" s="190"/>
      <c r="AF6070" s="191"/>
      <c r="AG6070" s="191"/>
      <c r="AH6070" s="191"/>
      <c r="AI6070" s="186"/>
      <c r="AK6070" s="171"/>
    </row>
    <row r="6071" spans="1:41" ht="20.100000000000001" customHeight="1" x14ac:dyDescent="0.25">
      <c r="A6071" s="277" t="s">
        <v>491</v>
      </c>
      <c r="B6071" s="278"/>
      <c r="C6071" s="64" t="s">
        <v>651</v>
      </c>
      <c r="D6071" s="46" t="s">
        <v>186</v>
      </c>
      <c r="E6071" s="114">
        <v>0.1399999999999999</v>
      </c>
      <c r="F6071" s="44">
        <v>399671</v>
      </c>
      <c r="G6071" s="44">
        <f t="shared" si="3841"/>
        <v>55953.939999999959</v>
      </c>
      <c r="H6071" s="44">
        <f t="shared" si="3842"/>
        <v>214682.1915666667</v>
      </c>
      <c r="I6071" s="43">
        <f t="shared" si="3843"/>
        <v>30055.506819333317</v>
      </c>
      <c r="J6071" s="112">
        <f t="shared" si="3844"/>
        <v>0.1399999999999999</v>
      </c>
      <c r="K6071" s="211">
        <f t="shared" si="3845"/>
        <v>0.1399999999999999</v>
      </c>
      <c r="L6071" s="44"/>
      <c r="M6071" s="44">
        <f t="shared" si="3846"/>
        <v>0.1399999999999999</v>
      </c>
      <c r="N6071" s="173">
        <f t="shared" si="3847"/>
        <v>1</v>
      </c>
      <c r="O6071" s="44">
        <f t="shared" si="3848"/>
        <v>399671</v>
      </c>
      <c r="P6071" s="44">
        <f t="shared" si="3849"/>
        <v>55953.939999999959</v>
      </c>
      <c r="Q6071" s="44">
        <f t="shared" si="3850"/>
        <v>214682.1915666667</v>
      </c>
      <c r="R6071" s="44">
        <f t="shared" si="3851"/>
        <v>30055.506819333317</v>
      </c>
      <c r="S6071" s="123"/>
      <c r="T6071" s="219">
        <f t="shared" si="3852"/>
        <v>30055.506819333317</v>
      </c>
      <c r="U6071" s="87"/>
      <c r="V6071" s="47"/>
      <c r="W6071" s="48"/>
      <c r="X6071" s="48"/>
      <c r="Y6071" s="48"/>
      <c r="Z6071" s="135"/>
      <c r="AA6071" s="49"/>
      <c r="AB6071" s="50">
        <f t="shared" si="3853"/>
        <v>214682.1915666667</v>
      </c>
      <c r="AC6071" s="42">
        <f t="shared" si="3854"/>
        <v>0.1399999999999999</v>
      </c>
      <c r="AD6071" s="90">
        <f>AD6072</f>
        <v>30055.506819333317</v>
      </c>
      <c r="AE6071" s="188">
        <f t="shared" ref="AE6071" si="4245">AE6072</f>
        <v>0</v>
      </c>
      <c r="AF6071" s="189">
        <f t="shared" ref="AF6071" si="4246">AF6072</f>
        <v>0</v>
      </c>
      <c r="AG6071" s="189">
        <f t="shared" ref="AG6071" si="4247">AG6072</f>
        <v>0</v>
      </c>
      <c r="AH6071" s="189">
        <f t="shared" ref="AH6071" si="4248">AH6072</f>
        <v>0</v>
      </c>
      <c r="AI6071" s="161">
        <f t="shared" ref="AI6071:AI6072" si="4249">SUM(AE6071:AH6071)</f>
        <v>0</v>
      </c>
      <c r="AK6071" s="169">
        <v>5</v>
      </c>
      <c r="AO6071" s="19" t="s">
        <v>63</v>
      </c>
    </row>
    <row r="6072" spans="1:41" s="103" customFormat="1" ht="19.899999999999999" customHeight="1" x14ac:dyDescent="0.25">
      <c r="A6072" s="51"/>
      <c r="B6072" s="52"/>
      <c r="C6072" s="165"/>
      <c r="D6072" s="52"/>
      <c r="E6072" s="115"/>
      <c r="F6072" s="58"/>
      <c r="G6072" s="58"/>
      <c r="H6072" s="58"/>
      <c r="I6072" s="55"/>
      <c r="J6072" s="113">
        <f>J6071</f>
        <v>0.1399999999999999</v>
      </c>
      <c r="K6072" s="212">
        <f>K6071</f>
        <v>0.1399999999999999</v>
      </c>
      <c r="L6072" s="58"/>
      <c r="M6072" s="58">
        <f>K6072-L6072</f>
        <v>0.1399999999999999</v>
      </c>
      <c r="N6072" s="166"/>
      <c r="O6072" s="58"/>
      <c r="P6072" s="58"/>
      <c r="Q6072" s="58"/>
      <c r="R6072" s="58"/>
      <c r="S6072" s="58"/>
      <c r="T6072" s="220"/>
      <c r="U6072" s="88"/>
      <c r="V6072" s="56"/>
      <c r="W6072" s="57" t="s">
        <v>1588</v>
      </c>
      <c r="X6072" s="53"/>
      <c r="Y6072" s="91" t="s">
        <v>1349</v>
      </c>
      <c r="Z6072" s="136">
        <f>AD6072/AC6072</f>
        <v>214682.1915666667</v>
      </c>
      <c r="AA6072" s="58"/>
      <c r="AB6072" s="53">
        <f>AD6072/AC6072</f>
        <v>214682.1915666667</v>
      </c>
      <c r="AC6072" s="53">
        <f>M6072+$AE$10</f>
        <v>0.1399999999999999</v>
      </c>
      <c r="AD6072" s="54">
        <f>SUM(AD6073)</f>
        <v>30055.506819333317</v>
      </c>
      <c r="AE6072" s="184">
        <f>SUMIFS($AD$37:$AD$12971,$V$37:$V$12971,$V6072,$X$37:$X$12971,AE$13)</f>
        <v>0</v>
      </c>
      <c r="AF6072" s="185">
        <f>SUMIFS($AD$37:$AD$12971,$V$37:$V$12971,$V6072,$X$37:$X$12971,AF$13)</f>
        <v>0</v>
      </c>
      <c r="AG6072" s="185">
        <f>SUMIFS($AD$37:$AD$12971,$V$37:$V$12971,$V6072,$X$37:$X$12971,AG$13)</f>
        <v>0</v>
      </c>
      <c r="AH6072" s="187">
        <f>SUMIFS($AD$37:$AD$12971,$V$37:$V$12971,$V6072,$X$37:$X$12971,AH$13)</f>
        <v>0</v>
      </c>
      <c r="AI6072" s="161">
        <f t="shared" si="4249"/>
        <v>0</v>
      </c>
      <c r="AK6072" s="172"/>
    </row>
    <row r="6073" spans="1:41" s="102" customFormat="1" ht="19.899999999999999" customHeight="1" x14ac:dyDescent="0.25">
      <c r="A6073" s="45"/>
      <c r="B6073" s="59"/>
      <c r="C6073" s="137"/>
      <c r="D6073" s="59"/>
      <c r="E6073" s="116"/>
      <c r="F6073" s="120"/>
      <c r="G6073" s="120"/>
      <c r="H6073" s="120"/>
      <c r="I6073" s="60"/>
      <c r="J6073" s="116"/>
      <c r="K6073" s="213"/>
      <c r="L6073" s="120"/>
      <c r="M6073" s="120"/>
      <c r="N6073" s="167"/>
      <c r="O6073" s="120"/>
      <c r="P6073" s="120"/>
      <c r="Q6073" s="120"/>
      <c r="R6073" s="120"/>
      <c r="S6073" s="120"/>
      <c r="T6073" s="221"/>
      <c r="U6073" s="89"/>
      <c r="V6073" s="61"/>
      <c r="W6073" s="92" t="s">
        <v>651</v>
      </c>
      <c r="X6073" s="93" t="s">
        <v>32</v>
      </c>
      <c r="Y6073" s="93" t="s">
        <v>1349</v>
      </c>
      <c r="Z6073" s="134">
        <f>VLOOKUP(W6073,Sheet2!$B:$D,3,FALSE)</f>
        <v>214682.1915666667</v>
      </c>
      <c r="AA6073" s="93">
        <v>1</v>
      </c>
      <c r="AB6073" s="93">
        <f>AD6073/AC6072</f>
        <v>214682.1915666667</v>
      </c>
      <c r="AC6073" s="93">
        <f>AC6072/AA6073</f>
        <v>0.1399999999999999</v>
      </c>
      <c r="AD6073" s="94">
        <f t="shared" ref="AD6073" si="4250">AC6073*Z6073</f>
        <v>30055.506819333317</v>
      </c>
      <c r="AE6073" s="190"/>
      <c r="AF6073" s="191"/>
      <c r="AG6073" s="191"/>
      <c r="AH6073" s="191"/>
      <c r="AI6073" s="186"/>
      <c r="AK6073" s="171"/>
    </row>
    <row r="6074" spans="1:41" ht="20.100000000000001" customHeight="1" x14ac:dyDescent="0.25">
      <c r="A6074" s="277" t="s">
        <v>491</v>
      </c>
      <c r="B6074" s="278"/>
      <c r="C6074" s="64" t="s">
        <v>652</v>
      </c>
      <c r="D6074" s="46" t="s">
        <v>186</v>
      </c>
      <c r="E6074" s="114">
        <v>0.1399999999999999</v>
      </c>
      <c r="F6074" s="44">
        <v>236656</v>
      </c>
      <c r="G6074" s="44">
        <f t="shared" si="3841"/>
        <v>33131.839999999975</v>
      </c>
      <c r="H6074" s="44">
        <f t="shared" si="3842"/>
        <v>104088.41149999997</v>
      </c>
      <c r="I6074" s="43">
        <f t="shared" si="3843"/>
        <v>14572.377609999987</v>
      </c>
      <c r="J6074" s="112">
        <f t="shared" si="3844"/>
        <v>0.1399999999999999</v>
      </c>
      <c r="K6074" s="211">
        <f t="shared" si="3845"/>
        <v>0.1399999999999999</v>
      </c>
      <c r="L6074" s="44"/>
      <c r="M6074" s="44">
        <f t="shared" si="3846"/>
        <v>0.1399999999999999</v>
      </c>
      <c r="N6074" s="173">
        <f t="shared" si="3847"/>
        <v>1</v>
      </c>
      <c r="O6074" s="44">
        <f t="shared" si="3848"/>
        <v>236656</v>
      </c>
      <c r="P6074" s="44">
        <f t="shared" si="3849"/>
        <v>33131.839999999975</v>
      </c>
      <c r="Q6074" s="44">
        <f t="shared" si="3850"/>
        <v>104088.41149999997</v>
      </c>
      <c r="R6074" s="44">
        <f t="shared" si="3851"/>
        <v>14572.377609999987</v>
      </c>
      <c r="S6074" s="123"/>
      <c r="T6074" s="219">
        <f t="shared" si="3852"/>
        <v>14572.377609999987</v>
      </c>
      <c r="U6074" s="87"/>
      <c r="V6074" s="47"/>
      <c r="W6074" s="48"/>
      <c r="X6074" s="48"/>
      <c r="Y6074" s="48"/>
      <c r="Z6074" s="135"/>
      <c r="AA6074" s="49"/>
      <c r="AB6074" s="50">
        <f t="shared" si="3853"/>
        <v>104088.41149999997</v>
      </c>
      <c r="AC6074" s="42">
        <f t="shared" si="3854"/>
        <v>0.1399999999999999</v>
      </c>
      <c r="AD6074" s="90">
        <f>AD6075</f>
        <v>14572.377609999987</v>
      </c>
      <c r="AE6074" s="188">
        <f t="shared" ref="AE6074" si="4251">AE6075</f>
        <v>0</v>
      </c>
      <c r="AF6074" s="189">
        <f t="shared" ref="AF6074" si="4252">AF6075</f>
        <v>0</v>
      </c>
      <c r="AG6074" s="189">
        <f t="shared" ref="AG6074" si="4253">AG6075</f>
        <v>0</v>
      </c>
      <c r="AH6074" s="189">
        <f t="shared" ref="AH6074" si="4254">AH6075</f>
        <v>0</v>
      </c>
      <c r="AI6074" s="161">
        <f t="shared" ref="AI6074:AI6075" si="4255">SUM(AE6074:AH6074)</f>
        <v>0</v>
      </c>
      <c r="AK6074" s="169">
        <v>5</v>
      </c>
      <c r="AO6074" s="19" t="s">
        <v>63</v>
      </c>
    </row>
    <row r="6075" spans="1:41" s="103" customFormat="1" ht="19.899999999999999" customHeight="1" x14ac:dyDescent="0.25">
      <c r="A6075" s="51"/>
      <c r="B6075" s="52"/>
      <c r="C6075" s="165"/>
      <c r="D6075" s="52"/>
      <c r="E6075" s="115"/>
      <c r="F6075" s="58"/>
      <c r="G6075" s="58"/>
      <c r="H6075" s="58"/>
      <c r="I6075" s="55"/>
      <c r="J6075" s="113">
        <f>J6074</f>
        <v>0.1399999999999999</v>
      </c>
      <c r="K6075" s="212">
        <f>K6074</f>
        <v>0.1399999999999999</v>
      </c>
      <c r="L6075" s="58"/>
      <c r="M6075" s="58">
        <f>K6075-L6075</f>
        <v>0.1399999999999999</v>
      </c>
      <c r="N6075" s="166"/>
      <c r="O6075" s="58"/>
      <c r="P6075" s="58"/>
      <c r="Q6075" s="58"/>
      <c r="R6075" s="58"/>
      <c r="S6075" s="58"/>
      <c r="T6075" s="220"/>
      <c r="U6075" s="88"/>
      <c r="V6075" s="56"/>
      <c r="W6075" s="57" t="s">
        <v>1589</v>
      </c>
      <c r="X6075" s="53"/>
      <c r="Y6075" s="91" t="s">
        <v>1349</v>
      </c>
      <c r="Z6075" s="136">
        <f>AD6075/AC6075</f>
        <v>104088.41149999997</v>
      </c>
      <c r="AA6075" s="58"/>
      <c r="AB6075" s="53">
        <f>AD6075/AC6075</f>
        <v>104088.41149999997</v>
      </c>
      <c r="AC6075" s="53">
        <f>M6075+$AE$10</f>
        <v>0.1399999999999999</v>
      </c>
      <c r="AD6075" s="54">
        <f>SUM(AD6076)</f>
        <v>14572.377609999987</v>
      </c>
      <c r="AE6075" s="184">
        <f>SUMIFS($AD$37:$AD$12971,$V$37:$V$12971,$V6075,$X$37:$X$12971,AE$13)</f>
        <v>0</v>
      </c>
      <c r="AF6075" s="185">
        <f>SUMIFS($AD$37:$AD$12971,$V$37:$V$12971,$V6075,$X$37:$X$12971,AF$13)</f>
        <v>0</v>
      </c>
      <c r="AG6075" s="185">
        <f>SUMIFS($AD$37:$AD$12971,$V$37:$V$12971,$V6075,$X$37:$X$12971,AG$13)</f>
        <v>0</v>
      </c>
      <c r="AH6075" s="187">
        <f>SUMIFS($AD$37:$AD$12971,$V$37:$V$12971,$V6075,$X$37:$X$12971,AH$13)</f>
        <v>0</v>
      </c>
      <c r="AI6075" s="161">
        <f t="shared" si="4255"/>
        <v>0</v>
      </c>
      <c r="AK6075" s="172"/>
    </row>
    <row r="6076" spans="1:41" s="102" customFormat="1" ht="19.899999999999999" customHeight="1" x14ac:dyDescent="0.25">
      <c r="A6076" s="45"/>
      <c r="B6076" s="59"/>
      <c r="C6076" s="137"/>
      <c r="D6076" s="59"/>
      <c r="E6076" s="116"/>
      <c r="F6076" s="120"/>
      <c r="G6076" s="120"/>
      <c r="H6076" s="120"/>
      <c r="I6076" s="60"/>
      <c r="J6076" s="116"/>
      <c r="K6076" s="213"/>
      <c r="L6076" s="120"/>
      <c r="M6076" s="120"/>
      <c r="N6076" s="167"/>
      <c r="O6076" s="120"/>
      <c r="P6076" s="120"/>
      <c r="Q6076" s="120"/>
      <c r="R6076" s="120"/>
      <c r="S6076" s="120"/>
      <c r="T6076" s="221"/>
      <c r="U6076" s="89"/>
      <c r="V6076" s="61"/>
      <c r="W6076" s="92" t="s">
        <v>652</v>
      </c>
      <c r="X6076" s="93" t="s">
        <v>32</v>
      </c>
      <c r="Y6076" s="93" t="s">
        <v>1349</v>
      </c>
      <c r="Z6076" s="134">
        <f>VLOOKUP(W6076,Sheet2!$B:$D,3,FALSE)</f>
        <v>104088.41149999997</v>
      </c>
      <c r="AA6076" s="93">
        <v>1</v>
      </c>
      <c r="AB6076" s="93">
        <f>AD6076/AC6075</f>
        <v>104088.41149999997</v>
      </c>
      <c r="AC6076" s="93">
        <f>AC6075/AA6076</f>
        <v>0.1399999999999999</v>
      </c>
      <c r="AD6076" s="94">
        <f t="shared" ref="AD6076" si="4256">AC6076*Z6076</f>
        <v>14572.377609999987</v>
      </c>
      <c r="AE6076" s="190"/>
      <c r="AF6076" s="191"/>
      <c r="AG6076" s="191"/>
      <c r="AH6076" s="191"/>
      <c r="AI6076" s="186"/>
      <c r="AK6076" s="171"/>
    </row>
    <row r="6077" spans="1:41" s="102" customFormat="1" ht="20.100000000000001" customHeight="1" x14ac:dyDescent="0.25">
      <c r="A6077" s="45" t="s">
        <v>491</v>
      </c>
      <c r="B6077" s="276"/>
      <c r="C6077" s="285" t="s">
        <v>653</v>
      </c>
      <c r="D6077" s="59"/>
      <c r="E6077" s="116"/>
      <c r="F6077" s="120"/>
      <c r="G6077" s="120">
        <f t="shared" si="3841"/>
        <v>0</v>
      </c>
      <c r="H6077" s="120">
        <f t="shared" si="3842"/>
        <v>0</v>
      </c>
      <c r="I6077" s="60"/>
      <c r="J6077" s="116"/>
      <c r="K6077" s="213"/>
      <c r="L6077" s="120"/>
      <c r="M6077" s="120"/>
      <c r="N6077" s="167"/>
      <c r="O6077" s="120"/>
      <c r="P6077" s="120"/>
      <c r="Q6077" s="120"/>
      <c r="R6077" s="120"/>
      <c r="S6077" s="120"/>
      <c r="T6077" s="221"/>
      <c r="U6077" s="89"/>
      <c r="V6077" s="61"/>
      <c r="W6077" s="92"/>
      <c r="X6077" s="38"/>
      <c r="Y6077" s="93"/>
      <c r="Z6077" s="134"/>
      <c r="AA6077" s="93"/>
      <c r="AB6077" s="93"/>
      <c r="AC6077" s="93"/>
      <c r="AD6077" s="94"/>
      <c r="AE6077" s="190"/>
      <c r="AF6077" s="191"/>
      <c r="AG6077" s="191"/>
      <c r="AH6077" s="191"/>
      <c r="AI6077" s="186"/>
      <c r="AK6077" s="171"/>
    </row>
    <row r="6078" spans="1:41" s="102" customFormat="1" ht="173.25" x14ac:dyDescent="0.25">
      <c r="A6078" s="45" t="s">
        <v>491</v>
      </c>
      <c r="B6078" s="276"/>
      <c r="C6078" s="285" t="s">
        <v>654</v>
      </c>
      <c r="D6078" s="59"/>
      <c r="E6078" s="116"/>
      <c r="F6078" s="120"/>
      <c r="G6078" s="120">
        <f t="shared" si="3841"/>
        <v>0</v>
      </c>
      <c r="H6078" s="120">
        <f t="shared" si="3842"/>
        <v>0</v>
      </c>
      <c r="I6078" s="60">
        <f t="shared" si="3843"/>
        <v>0</v>
      </c>
      <c r="J6078" s="116">
        <f t="shared" si="3844"/>
        <v>0</v>
      </c>
      <c r="K6078" s="213">
        <f t="shared" si="3845"/>
        <v>0</v>
      </c>
      <c r="L6078" s="120"/>
      <c r="M6078" s="120">
        <f t="shared" si="3846"/>
        <v>0</v>
      </c>
      <c r="N6078" s="167">
        <f t="shared" si="3847"/>
        <v>0</v>
      </c>
      <c r="O6078" s="120">
        <f t="shared" si="3848"/>
        <v>0</v>
      </c>
      <c r="P6078" s="120">
        <f t="shared" si="3849"/>
        <v>0</v>
      </c>
      <c r="Q6078" s="120">
        <f t="shared" si="3850"/>
        <v>0</v>
      </c>
      <c r="R6078" s="120">
        <f t="shared" si="3851"/>
        <v>0</v>
      </c>
      <c r="S6078" s="120"/>
      <c r="T6078" s="221">
        <f t="shared" si="3852"/>
        <v>0</v>
      </c>
      <c r="U6078" s="89"/>
      <c r="V6078" s="61"/>
      <c r="W6078" s="92"/>
      <c r="X6078" s="38"/>
      <c r="Y6078" s="93"/>
      <c r="Z6078" s="134"/>
      <c r="AA6078" s="93"/>
      <c r="AB6078" s="93"/>
      <c r="AC6078" s="93"/>
      <c r="AD6078" s="94"/>
      <c r="AE6078" s="190"/>
      <c r="AF6078" s="191"/>
      <c r="AG6078" s="191"/>
      <c r="AH6078" s="191"/>
      <c r="AI6078" s="186"/>
      <c r="AK6078" s="171"/>
    </row>
    <row r="6079" spans="1:41" ht="20.100000000000001" customHeight="1" x14ac:dyDescent="0.25">
      <c r="A6079" s="277" t="s">
        <v>491</v>
      </c>
      <c r="B6079" s="278"/>
      <c r="C6079" s="64" t="s">
        <v>653</v>
      </c>
      <c r="D6079" s="46" t="s">
        <v>186</v>
      </c>
      <c r="E6079" s="114">
        <v>7.4999999999999956E-2</v>
      </c>
      <c r="F6079" s="44">
        <v>84970</v>
      </c>
      <c r="G6079" s="44">
        <f t="shared" si="3841"/>
        <v>6372.7499999999964</v>
      </c>
      <c r="H6079" s="44">
        <f t="shared" si="3842"/>
        <v>77660.269899999999</v>
      </c>
      <c r="I6079" s="43">
        <f t="shared" si="3843"/>
        <v>5824.5202424999961</v>
      </c>
      <c r="J6079" s="112">
        <f t="shared" si="3844"/>
        <v>7.4999999999999956E-2</v>
      </c>
      <c r="K6079" s="211">
        <f t="shared" si="3845"/>
        <v>7.4999999999999956E-2</v>
      </c>
      <c r="L6079" s="44"/>
      <c r="M6079" s="44">
        <f t="shared" si="3846"/>
        <v>7.4999999999999956E-2</v>
      </c>
      <c r="N6079" s="173">
        <f t="shared" si="3847"/>
        <v>1</v>
      </c>
      <c r="O6079" s="44">
        <f t="shared" si="3848"/>
        <v>84970</v>
      </c>
      <c r="P6079" s="44">
        <f t="shared" si="3849"/>
        <v>6372.7499999999964</v>
      </c>
      <c r="Q6079" s="44">
        <f t="shared" si="3850"/>
        <v>77660.269899999999</v>
      </c>
      <c r="R6079" s="44">
        <f t="shared" si="3851"/>
        <v>5824.5202424999961</v>
      </c>
      <c r="S6079" s="123"/>
      <c r="T6079" s="219">
        <f t="shared" si="3852"/>
        <v>5824.5202424999961</v>
      </c>
      <c r="U6079" s="87"/>
      <c r="V6079" s="47"/>
      <c r="W6079" s="48"/>
      <c r="X6079" s="48"/>
      <c r="Y6079" s="48"/>
      <c r="Z6079" s="135"/>
      <c r="AA6079" s="49"/>
      <c r="AB6079" s="50">
        <f t="shared" si="3853"/>
        <v>77660.269899999999</v>
      </c>
      <c r="AC6079" s="42">
        <f t="shared" si="3854"/>
        <v>7.4999999999999956E-2</v>
      </c>
      <c r="AD6079" s="90">
        <f>AD6080</f>
        <v>5824.5202424999961</v>
      </c>
      <c r="AE6079" s="188">
        <f t="shared" ref="AE6079:AH6079" si="4257">AE6080</f>
        <v>0</v>
      </c>
      <c r="AF6079" s="189">
        <f t="shared" si="4257"/>
        <v>0</v>
      </c>
      <c r="AG6079" s="189">
        <f t="shared" si="4257"/>
        <v>0</v>
      </c>
      <c r="AH6079" s="189">
        <f t="shared" si="4257"/>
        <v>0</v>
      </c>
      <c r="AI6079" s="161">
        <f t="shared" ref="AI6079:AI6080" si="4258">SUM(AE6079:AH6079)</f>
        <v>0</v>
      </c>
      <c r="AK6079" s="169">
        <v>5</v>
      </c>
      <c r="AO6079" s="19" t="s">
        <v>63</v>
      </c>
    </row>
    <row r="6080" spans="1:41" s="103" customFormat="1" ht="19.899999999999999" customHeight="1" x14ac:dyDescent="0.25">
      <c r="A6080" s="51"/>
      <c r="B6080" s="52"/>
      <c r="C6080" s="165"/>
      <c r="D6080" s="52"/>
      <c r="E6080" s="115"/>
      <c r="F6080" s="58"/>
      <c r="G6080" s="58"/>
      <c r="H6080" s="58"/>
      <c r="I6080" s="55"/>
      <c r="J6080" s="113">
        <f>J6079</f>
        <v>7.4999999999999956E-2</v>
      </c>
      <c r="K6080" s="212">
        <f>K6079</f>
        <v>7.4999999999999956E-2</v>
      </c>
      <c r="L6080" s="58"/>
      <c r="M6080" s="58">
        <f>K6080-L6080</f>
        <v>7.4999999999999956E-2</v>
      </c>
      <c r="N6080" s="166"/>
      <c r="O6080" s="58"/>
      <c r="P6080" s="58"/>
      <c r="Q6080" s="58"/>
      <c r="R6080" s="58"/>
      <c r="S6080" s="58"/>
      <c r="T6080" s="220"/>
      <c r="U6080" s="88"/>
      <c r="V6080" s="56"/>
      <c r="W6080" s="57" t="s">
        <v>1590</v>
      </c>
      <c r="X6080" s="53"/>
      <c r="Y6080" s="91" t="s">
        <v>1349</v>
      </c>
      <c r="Z6080" s="136">
        <f>AD6080/AC6080</f>
        <v>77660.269899999999</v>
      </c>
      <c r="AA6080" s="58"/>
      <c r="AB6080" s="53">
        <f>AD6080/AC6080</f>
        <v>77660.269899999999</v>
      </c>
      <c r="AC6080" s="53">
        <f>M6080+$AE$10</f>
        <v>7.4999999999999956E-2</v>
      </c>
      <c r="AD6080" s="54">
        <f>SUM(AD6081)</f>
        <v>5824.5202424999961</v>
      </c>
      <c r="AE6080" s="184">
        <f>SUMIFS($AD$37:$AD$12971,$V$37:$V$12971,$V6080,$X$37:$X$12971,AE$13)</f>
        <v>0</v>
      </c>
      <c r="AF6080" s="185">
        <f>SUMIFS($AD$37:$AD$12971,$V$37:$V$12971,$V6080,$X$37:$X$12971,AF$13)</f>
        <v>0</v>
      </c>
      <c r="AG6080" s="185">
        <f>SUMIFS($AD$37:$AD$12971,$V$37:$V$12971,$V6080,$X$37:$X$12971,AG$13)</f>
        <v>0</v>
      </c>
      <c r="AH6080" s="187">
        <f>SUMIFS($AD$37:$AD$12971,$V$37:$V$12971,$V6080,$X$37:$X$12971,AH$13)</f>
        <v>0</v>
      </c>
      <c r="AI6080" s="161">
        <f t="shared" si="4258"/>
        <v>0</v>
      </c>
      <c r="AK6080" s="172"/>
    </row>
    <row r="6081" spans="1:41" s="102" customFormat="1" ht="19.899999999999999" customHeight="1" x14ac:dyDescent="0.25">
      <c r="A6081" s="45"/>
      <c r="B6081" s="59"/>
      <c r="C6081" s="137"/>
      <c r="D6081" s="59"/>
      <c r="E6081" s="116"/>
      <c r="F6081" s="120"/>
      <c r="G6081" s="120"/>
      <c r="H6081" s="120"/>
      <c r="I6081" s="60"/>
      <c r="J6081" s="116"/>
      <c r="K6081" s="213"/>
      <c r="L6081" s="120"/>
      <c r="M6081" s="120"/>
      <c r="N6081" s="167"/>
      <c r="O6081" s="120"/>
      <c r="P6081" s="120"/>
      <c r="Q6081" s="120"/>
      <c r="R6081" s="120"/>
      <c r="S6081" s="120"/>
      <c r="T6081" s="221"/>
      <c r="U6081" s="89"/>
      <c r="V6081" s="61"/>
      <c r="W6081" s="92" t="s">
        <v>653</v>
      </c>
      <c r="X6081" s="93" t="s">
        <v>32</v>
      </c>
      <c r="Y6081" s="93" t="s">
        <v>1349</v>
      </c>
      <c r="Z6081" s="134">
        <f>VLOOKUP(W6081,Sheet2!$B:$D,3,FALSE)</f>
        <v>77660.269899999999</v>
      </c>
      <c r="AA6081" s="93">
        <v>1</v>
      </c>
      <c r="AB6081" s="93">
        <f>AD6081/AC6080</f>
        <v>77660.269899999999</v>
      </c>
      <c r="AC6081" s="93">
        <f>AC6080/AA6081</f>
        <v>7.4999999999999956E-2</v>
      </c>
      <c r="AD6081" s="94">
        <f t="shared" ref="AD6081" si="4259">AC6081*Z6081</f>
        <v>5824.5202424999961</v>
      </c>
      <c r="AE6081" s="190"/>
      <c r="AF6081" s="191"/>
      <c r="AG6081" s="191"/>
      <c r="AH6081" s="191"/>
      <c r="AI6081" s="186"/>
      <c r="AK6081" s="171"/>
    </row>
    <row r="6082" spans="1:41" s="102" customFormat="1" ht="20.100000000000001" customHeight="1" x14ac:dyDescent="0.25">
      <c r="A6082" s="45" t="s">
        <v>491</v>
      </c>
      <c r="B6082" s="276"/>
      <c r="C6082" s="285" t="s">
        <v>655</v>
      </c>
      <c r="D6082" s="59"/>
      <c r="E6082" s="116"/>
      <c r="F6082" s="120"/>
      <c r="G6082" s="120">
        <f t="shared" si="3841"/>
        <v>0</v>
      </c>
      <c r="H6082" s="120">
        <f t="shared" si="3842"/>
        <v>0</v>
      </c>
      <c r="I6082" s="60">
        <f t="shared" si="3843"/>
        <v>0</v>
      </c>
      <c r="J6082" s="116">
        <f t="shared" si="3844"/>
        <v>0</v>
      </c>
      <c r="K6082" s="213">
        <f t="shared" si="3845"/>
        <v>0</v>
      </c>
      <c r="L6082" s="120"/>
      <c r="M6082" s="120">
        <f t="shared" si="3846"/>
        <v>0</v>
      </c>
      <c r="N6082" s="167">
        <f t="shared" si="3847"/>
        <v>0</v>
      </c>
      <c r="O6082" s="120">
        <f t="shared" si="3848"/>
        <v>0</v>
      </c>
      <c r="P6082" s="120">
        <f t="shared" si="3849"/>
        <v>0</v>
      </c>
      <c r="Q6082" s="120">
        <f t="shared" si="3850"/>
        <v>0</v>
      </c>
      <c r="R6082" s="120">
        <f t="shared" si="3851"/>
        <v>0</v>
      </c>
      <c r="S6082" s="120"/>
      <c r="T6082" s="221">
        <f t="shared" si="3852"/>
        <v>0</v>
      </c>
      <c r="U6082" s="89"/>
      <c r="V6082" s="61"/>
      <c r="W6082" s="92"/>
      <c r="X6082" s="38"/>
      <c r="Y6082" s="93"/>
      <c r="Z6082" s="134"/>
      <c r="AA6082" s="93"/>
      <c r="AB6082" s="93">
        <f t="shared" si="3853"/>
        <v>0</v>
      </c>
      <c r="AC6082" s="93">
        <f t="shared" si="3854"/>
        <v>9.9999999999999998E-20</v>
      </c>
      <c r="AD6082" s="94"/>
      <c r="AE6082" s="190"/>
      <c r="AF6082" s="191"/>
      <c r="AG6082" s="191"/>
      <c r="AH6082" s="191"/>
      <c r="AI6082" s="186"/>
      <c r="AK6082" s="171"/>
    </row>
    <row r="6083" spans="1:41" ht="20.100000000000001" customHeight="1" x14ac:dyDescent="0.25">
      <c r="A6083" s="277" t="s">
        <v>491</v>
      </c>
      <c r="B6083" s="278"/>
      <c r="C6083" s="64" t="s">
        <v>656</v>
      </c>
      <c r="D6083" s="46" t="s">
        <v>186</v>
      </c>
      <c r="E6083" s="114">
        <v>1</v>
      </c>
      <c r="F6083" s="44">
        <v>13595</v>
      </c>
      <c r="G6083" s="44">
        <f t="shared" si="3841"/>
        <v>13595</v>
      </c>
      <c r="H6083" s="44">
        <f t="shared" si="3842"/>
        <v>9540</v>
      </c>
      <c r="I6083" s="43">
        <f t="shared" si="3843"/>
        <v>9540</v>
      </c>
      <c r="J6083" s="112">
        <f t="shared" si="3844"/>
        <v>1</v>
      </c>
      <c r="K6083" s="211">
        <f t="shared" si="3845"/>
        <v>1</v>
      </c>
      <c r="L6083" s="44"/>
      <c r="M6083" s="44">
        <f t="shared" si="3846"/>
        <v>1</v>
      </c>
      <c r="N6083" s="173">
        <f t="shared" si="3847"/>
        <v>1</v>
      </c>
      <c r="O6083" s="44">
        <f t="shared" si="3848"/>
        <v>13595</v>
      </c>
      <c r="P6083" s="44">
        <f t="shared" si="3849"/>
        <v>13595</v>
      </c>
      <c r="Q6083" s="44">
        <f t="shared" si="3850"/>
        <v>9540</v>
      </c>
      <c r="R6083" s="44">
        <f t="shared" si="3851"/>
        <v>9540</v>
      </c>
      <c r="S6083" s="123"/>
      <c r="T6083" s="219">
        <f t="shared" si="3852"/>
        <v>9540</v>
      </c>
      <c r="U6083" s="87"/>
      <c r="V6083" s="47"/>
      <c r="W6083" s="48"/>
      <c r="X6083" s="48"/>
      <c r="Y6083" s="48"/>
      <c r="Z6083" s="135"/>
      <c r="AA6083" s="49"/>
      <c r="AB6083" s="50">
        <f t="shared" si="3853"/>
        <v>9540</v>
      </c>
      <c r="AC6083" s="42">
        <f t="shared" si="3854"/>
        <v>1</v>
      </c>
      <c r="AD6083" s="90">
        <f>AD6084</f>
        <v>9540</v>
      </c>
      <c r="AE6083" s="188">
        <f t="shared" ref="AE6083:AH6083" si="4260">AE6084</f>
        <v>0</v>
      </c>
      <c r="AF6083" s="189">
        <f t="shared" si="4260"/>
        <v>0</v>
      </c>
      <c r="AG6083" s="189">
        <f t="shared" si="4260"/>
        <v>0</v>
      </c>
      <c r="AH6083" s="189">
        <f t="shared" si="4260"/>
        <v>0</v>
      </c>
      <c r="AI6083" s="161">
        <f t="shared" ref="AI6083:AI6084" si="4261">SUM(AE6083:AH6083)</f>
        <v>0</v>
      </c>
      <c r="AK6083" s="169">
        <v>5</v>
      </c>
      <c r="AO6083" s="19" t="s">
        <v>63</v>
      </c>
    </row>
    <row r="6084" spans="1:41" s="103" customFormat="1" ht="19.899999999999999" customHeight="1" x14ac:dyDescent="0.25">
      <c r="A6084" s="51"/>
      <c r="B6084" s="52"/>
      <c r="C6084" s="165"/>
      <c r="D6084" s="52"/>
      <c r="E6084" s="115"/>
      <c r="F6084" s="58"/>
      <c r="G6084" s="58"/>
      <c r="H6084" s="58"/>
      <c r="I6084" s="55"/>
      <c r="J6084" s="113">
        <f>J6083</f>
        <v>1</v>
      </c>
      <c r="K6084" s="212">
        <f>K6083</f>
        <v>1</v>
      </c>
      <c r="L6084" s="58"/>
      <c r="M6084" s="58">
        <f>K6084-L6084</f>
        <v>1</v>
      </c>
      <c r="N6084" s="166"/>
      <c r="O6084" s="58"/>
      <c r="P6084" s="58"/>
      <c r="Q6084" s="58"/>
      <c r="R6084" s="58"/>
      <c r="S6084" s="58"/>
      <c r="T6084" s="220"/>
      <c r="U6084" s="88"/>
      <c r="V6084" s="56"/>
      <c r="W6084" s="57" t="s">
        <v>656</v>
      </c>
      <c r="X6084" s="53"/>
      <c r="Y6084" s="91" t="s">
        <v>1349</v>
      </c>
      <c r="Z6084" s="136">
        <f>AD6084/AC6084</f>
        <v>9540</v>
      </c>
      <c r="AA6084" s="58"/>
      <c r="AB6084" s="53">
        <f>AD6084/AC6084</f>
        <v>9540</v>
      </c>
      <c r="AC6084" s="53">
        <f>M6084+$AE$10</f>
        <v>1</v>
      </c>
      <c r="AD6084" s="54">
        <f>SUM(AD6085:AD6089)</f>
        <v>9540</v>
      </c>
      <c r="AE6084" s="184">
        <f>SUMIFS($AD$37:$AD$12971,$V$37:$V$12971,$V6084,$X$37:$X$12971,AE$13)</f>
        <v>0</v>
      </c>
      <c r="AF6084" s="185">
        <f>SUMIFS($AD$37:$AD$12971,$V$37:$V$12971,$V6084,$X$37:$X$12971,AF$13)</f>
        <v>0</v>
      </c>
      <c r="AG6084" s="185">
        <f>SUMIFS($AD$37:$AD$12971,$V$37:$V$12971,$V6084,$X$37:$X$12971,AG$13)</f>
        <v>0</v>
      </c>
      <c r="AH6084" s="187">
        <f>SUMIFS($AD$37:$AD$12971,$V$37:$V$12971,$V6084,$X$37:$X$12971,AH$13)</f>
        <v>0</v>
      </c>
      <c r="AI6084" s="161">
        <f t="shared" si="4261"/>
        <v>0</v>
      </c>
      <c r="AK6084" s="172"/>
    </row>
    <row r="6085" spans="1:41" s="102" customFormat="1" ht="19.899999999999999" customHeight="1" x14ac:dyDescent="0.25">
      <c r="A6085" s="45"/>
      <c r="B6085" s="59"/>
      <c r="C6085" s="137"/>
      <c r="D6085" s="59"/>
      <c r="E6085" s="116"/>
      <c r="F6085" s="120"/>
      <c r="G6085" s="120"/>
      <c r="H6085" s="120"/>
      <c r="I6085" s="60"/>
      <c r="J6085" s="116"/>
      <c r="K6085" s="213"/>
      <c r="L6085" s="120"/>
      <c r="M6085" s="120"/>
      <c r="N6085" s="167"/>
      <c r="O6085" s="120"/>
      <c r="P6085" s="120"/>
      <c r="Q6085" s="120"/>
      <c r="R6085" s="120"/>
      <c r="S6085" s="120"/>
      <c r="T6085" s="221"/>
      <c r="U6085" s="89"/>
      <c r="V6085" s="61"/>
      <c r="W6085" s="92" t="s">
        <v>1032</v>
      </c>
      <c r="X6085" s="93" t="s">
        <v>30</v>
      </c>
      <c r="Y6085" s="93" t="s">
        <v>66</v>
      </c>
      <c r="Z6085" s="134">
        <f>VLOOKUP(W6085,Sheet2!$B:$D,3,FALSE)</f>
        <v>250</v>
      </c>
      <c r="AA6085" s="93">
        <f>1/3.6</f>
        <v>0.27777777777777779</v>
      </c>
      <c r="AB6085" s="93">
        <f>AD6085/AC6084</f>
        <v>899.99999999999989</v>
      </c>
      <c r="AC6085" s="93">
        <f>AC6084/AA6085</f>
        <v>3.5999999999999996</v>
      </c>
      <c r="AD6085" s="94">
        <f t="shared" ref="AD6085:AD6089" si="4262">AC6085*Z6085</f>
        <v>899.99999999999989</v>
      </c>
      <c r="AE6085" s="190"/>
      <c r="AF6085" s="191"/>
      <c r="AG6085" s="191"/>
      <c r="AH6085" s="191"/>
      <c r="AI6085" s="186"/>
      <c r="AK6085" s="171"/>
    </row>
    <row r="6086" spans="1:41" s="102" customFormat="1" ht="19.899999999999999" customHeight="1" x14ac:dyDescent="0.25">
      <c r="A6086" s="45"/>
      <c r="B6086" s="59"/>
      <c r="C6086" s="137"/>
      <c r="D6086" s="59"/>
      <c r="E6086" s="116"/>
      <c r="F6086" s="120"/>
      <c r="G6086" s="120"/>
      <c r="H6086" s="120"/>
      <c r="I6086" s="60"/>
      <c r="J6086" s="116"/>
      <c r="K6086" s="213"/>
      <c r="L6086" s="120"/>
      <c r="M6086" s="120"/>
      <c r="N6086" s="167"/>
      <c r="O6086" s="120"/>
      <c r="P6086" s="120"/>
      <c r="Q6086" s="120"/>
      <c r="R6086" s="120"/>
      <c r="S6086" s="120"/>
      <c r="T6086" s="221"/>
      <c r="U6086" s="89"/>
      <c r="V6086" s="61"/>
      <c r="W6086" s="92" t="s">
        <v>1354</v>
      </c>
      <c r="X6086" s="93" t="s">
        <v>32</v>
      </c>
      <c r="Y6086" s="93" t="s">
        <v>66</v>
      </c>
      <c r="Z6086" s="134">
        <f>VLOOKUP(W6086,Sheet2!$B:$D,3,FALSE)</f>
        <v>150</v>
      </c>
      <c r="AA6086" s="93">
        <f>AA6085</f>
        <v>0.27777777777777779</v>
      </c>
      <c r="AB6086" s="93">
        <f>AD6086/AC6084</f>
        <v>540</v>
      </c>
      <c r="AC6086" s="93">
        <f>AC6084/AA6086</f>
        <v>3.5999999999999996</v>
      </c>
      <c r="AD6086" s="94">
        <f t="shared" si="4262"/>
        <v>540</v>
      </c>
      <c r="AE6086" s="190"/>
      <c r="AF6086" s="191"/>
      <c r="AG6086" s="191"/>
      <c r="AH6086" s="191"/>
      <c r="AI6086" s="186"/>
      <c r="AK6086" s="171"/>
    </row>
    <row r="6087" spans="1:41" s="102" customFormat="1" ht="19.899999999999999" customHeight="1" x14ac:dyDescent="0.25">
      <c r="A6087" s="45"/>
      <c r="B6087" s="59"/>
      <c r="C6087" s="137"/>
      <c r="D6087" s="59"/>
      <c r="E6087" s="116"/>
      <c r="F6087" s="120"/>
      <c r="G6087" s="120"/>
      <c r="H6087" s="120"/>
      <c r="I6087" s="60"/>
      <c r="J6087" s="116"/>
      <c r="K6087" s="213"/>
      <c r="L6087" s="120"/>
      <c r="M6087" s="120"/>
      <c r="N6087" s="167"/>
      <c r="O6087" s="120"/>
      <c r="P6087" s="120"/>
      <c r="Q6087" s="120"/>
      <c r="R6087" s="120"/>
      <c r="S6087" s="120"/>
      <c r="T6087" s="221"/>
      <c r="U6087" s="89"/>
      <c r="V6087" s="61"/>
      <c r="W6087" s="92" t="s">
        <v>1353</v>
      </c>
      <c r="X6087" s="93" t="s">
        <v>30</v>
      </c>
      <c r="Y6087" s="93" t="s">
        <v>66</v>
      </c>
      <c r="Z6087" s="134">
        <f>VLOOKUP(W6087,Sheet2!$B:$D,3,FALSE)</f>
        <v>350</v>
      </c>
      <c r="AA6087" s="93">
        <f>1/(6*6*0.25)</f>
        <v>0.1111111111111111</v>
      </c>
      <c r="AB6087" s="93">
        <f>AD6087/AC6084</f>
        <v>3150</v>
      </c>
      <c r="AC6087" s="93">
        <f>AC6084/AA6087</f>
        <v>9</v>
      </c>
      <c r="AD6087" s="94">
        <f t="shared" ref="AD6087" si="4263">AC6087*Z6087</f>
        <v>3150</v>
      </c>
      <c r="AE6087" s="190"/>
      <c r="AF6087" s="191"/>
      <c r="AG6087" s="191"/>
      <c r="AH6087" s="191"/>
      <c r="AI6087" s="186"/>
      <c r="AK6087" s="171"/>
    </row>
    <row r="6088" spans="1:41" s="102" customFormat="1" ht="19.899999999999999" customHeight="1" x14ac:dyDescent="0.25">
      <c r="A6088" s="45"/>
      <c r="B6088" s="59"/>
      <c r="C6088" s="137"/>
      <c r="D6088" s="59"/>
      <c r="E6088" s="116"/>
      <c r="F6088" s="120"/>
      <c r="G6088" s="120"/>
      <c r="H6088" s="120"/>
      <c r="I6088" s="60"/>
      <c r="J6088" s="116"/>
      <c r="K6088" s="213"/>
      <c r="L6088" s="120"/>
      <c r="M6088" s="120"/>
      <c r="N6088" s="167"/>
      <c r="O6088" s="120"/>
      <c r="P6088" s="120"/>
      <c r="Q6088" s="120"/>
      <c r="R6088" s="120"/>
      <c r="S6088" s="120"/>
      <c r="T6088" s="221"/>
      <c r="U6088" s="89"/>
      <c r="V6088" s="61"/>
      <c r="W6088" s="92" t="s">
        <v>99</v>
      </c>
      <c r="X6088" s="93" t="s">
        <v>30</v>
      </c>
      <c r="Y6088" s="93" t="s">
        <v>67</v>
      </c>
      <c r="Z6088" s="134">
        <f>VLOOKUP(W6088,Sheet2!$B:$D,3,FALSE)</f>
        <v>2500</v>
      </c>
      <c r="AA6088" s="93">
        <f>AA6087/0.08</f>
        <v>1.3888888888888888</v>
      </c>
      <c r="AB6088" s="93">
        <f>AD6088/AC6084</f>
        <v>1800</v>
      </c>
      <c r="AC6088" s="93">
        <f>AC6084/AA6088</f>
        <v>0.72</v>
      </c>
      <c r="AD6088" s="94">
        <f>AC6088*Z6088</f>
        <v>1800</v>
      </c>
      <c r="AE6088" s="190"/>
      <c r="AF6088" s="191"/>
      <c r="AG6088" s="191"/>
      <c r="AH6088" s="191"/>
      <c r="AI6088" s="186"/>
      <c r="AK6088" s="171"/>
    </row>
    <row r="6089" spans="1:41" s="102" customFormat="1" ht="19.899999999999999" customHeight="1" x14ac:dyDescent="0.25">
      <c r="A6089" s="45"/>
      <c r="B6089" s="59"/>
      <c r="C6089" s="137"/>
      <c r="D6089" s="59"/>
      <c r="E6089" s="116"/>
      <c r="F6089" s="120"/>
      <c r="G6089" s="120"/>
      <c r="H6089" s="120"/>
      <c r="I6089" s="60"/>
      <c r="J6089" s="116"/>
      <c r="K6089" s="213"/>
      <c r="L6089" s="120"/>
      <c r="M6089" s="120"/>
      <c r="N6089" s="167"/>
      <c r="O6089" s="120"/>
      <c r="P6089" s="120"/>
      <c r="Q6089" s="120"/>
      <c r="R6089" s="120"/>
      <c r="S6089" s="120"/>
      <c r="T6089" s="221"/>
      <c r="U6089" s="89"/>
      <c r="V6089" s="61"/>
      <c r="W6089" s="92" t="s">
        <v>1378</v>
      </c>
      <c r="X6089" s="93" t="s">
        <v>32</v>
      </c>
      <c r="Y6089" s="93" t="s">
        <v>66</v>
      </c>
      <c r="Z6089" s="134">
        <f>VLOOKUP(W6089,Sheet2!$B:$D,3,FALSE)</f>
        <v>350</v>
      </c>
      <c r="AA6089" s="93">
        <f>AA6087</f>
        <v>0.1111111111111111</v>
      </c>
      <c r="AB6089" s="93">
        <f>AD6089/AC6084</f>
        <v>3150</v>
      </c>
      <c r="AC6089" s="93">
        <f>AC6084/AA6089</f>
        <v>9</v>
      </c>
      <c r="AD6089" s="94">
        <f t="shared" si="4262"/>
        <v>3150</v>
      </c>
      <c r="AE6089" s="190"/>
      <c r="AF6089" s="191"/>
      <c r="AG6089" s="191"/>
      <c r="AH6089" s="191"/>
      <c r="AI6089" s="186"/>
      <c r="AK6089" s="171"/>
    </row>
    <row r="6090" spans="1:41" s="102" customFormat="1" ht="20.100000000000001" customHeight="1" x14ac:dyDescent="0.25">
      <c r="A6090" s="45" t="s">
        <v>491</v>
      </c>
      <c r="B6090" s="276"/>
      <c r="C6090" s="285" t="s">
        <v>657</v>
      </c>
      <c r="D6090" s="59"/>
      <c r="E6090" s="116"/>
      <c r="F6090" s="120"/>
      <c r="G6090" s="120">
        <f t="shared" si="3841"/>
        <v>0</v>
      </c>
      <c r="H6090" s="120">
        <f t="shared" si="3842"/>
        <v>0</v>
      </c>
      <c r="I6090" s="60">
        <f t="shared" si="3843"/>
        <v>0</v>
      </c>
      <c r="J6090" s="116">
        <f t="shared" si="3844"/>
        <v>0</v>
      </c>
      <c r="K6090" s="213">
        <f t="shared" si="3845"/>
        <v>0</v>
      </c>
      <c r="L6090" s="120"/>
      <c r="M6090" s="120">
        <f t="shared" si="3846"/>
        <v>0</v>
      </c>
      <c r="N6090" s="167">
        <f t="shared" si="3847"/>
        <v>0</v>
      </c>
      <c r="O6090" s="120">
        <f t="shared" si="3848"/>
        <v>0</v>
      </c>
      <c r="P6090" s="120">
        <f t="shared" si="3849"/>
        <v>0</v>
      </c>
      <c r="Q6090" s="120">
        <f t="shared" si="3850"/>
        <v>0</v>
      </c>
      <c r="R6090" s="120">
        <f t="shared" si="3851"/>
        <v>0</v>
      </c>
      <c r="S6090" s="120"/>
      <c r="T6090" s="221">
        <f t="shared" si="3852"/>
        <v>0</v>
      </c>
      <c r="U6090" s="89"/>
      <c r="V6090" s="61"/>
      <c r="W6090" s="92"/>
      <c r="X6090" s="38"/>
      <c r="Y6090" s="93"/>
      <c r="Z6090" s="134"/>
      <c r="AA6090" s="93"/>
      <c r="AB6090" s="93"/>
      <c r="AC6090" s="93"/>
      <c r="AD6090" s="94"/>
      <c r="AE6090" s="190"/>
      <c r="AF6090" s="191"/>
      <c r="AG6090" s="191"/>
      <c r="AH6090" s="191"/>
      <c r="AI6090" s="186"/>
      <c r="AK6090" s="171"/>
    </row>
    <row r="6091" spans="1:41" s="102" customFormat="1" ht="63" x14ac:dyDescent="0.25">
      <c r="A6091" s="45" t="s">
        <v>491</v>
      </c>
      <c r="B6091" s="276"/>
      <c r="C6091" s="285" t="s">
        <v>658</v>
      </c>
      <c r="D6091" s="59"/>
      <c r="E6091" s="116"/>
      <c r="F6091" s="120"/>
      <c r="G6091" s="120">
        <f t="shared" si="3841"/>
        <v>0</v>
      </c>
      <c r="H6091" s="120">
        <f t="shared" si="3842"/>
        <v>0</v>
      </c>
      <c r="I6091" s="60">
        <f t="shared" si="3843"/>
        <v>0</v>
      </c>
      <c r="J6091" s="116">
        <f t="shared" si="3844"/>
        <v>0</v>
      </c>
      <c r="K6091" s="213">
        <f t="shared" si="3845"/>
        <v>0</v>
      </c>
      <c r="L6091" s="120"/>
      <c r="M6091" s="120">
        <f t="shared" si="3846"/>
        <v>0</v>
      </c>
      <c r="N6091" s="167">
        <f t="shared" si="3847"/>
        <v>0</v>
      </c>
      <c r="O6091" s="120">
        <f t="shared" si="3848"/>
        <v>0</v>
      </c>
      <c r="P6091" s="120">
        <f t="shared" si="3849"/>
        <v>0</v>
      </c>
      <c r="Q6091" s="120">
        <f t="shared" si="3850"/>
        <v>0</v>
      </c>
      <c r="R6091" s="120">
        <f t="shared" si="3851"/>
        <v>0</v>
      </c>
      <c r="S6091" s="120"/>
      <c r="T6091" s="221">
        <f t="shared" si="3852"/>
        <v>0</v>
      </c>
      <c r="U6091" s="89"/>
      <c r="V6091" s="61"/>
      <c r="W6091" s="92"/>
      <c r="X6091" s="38"/>
      <c r="Y6091" s="93"/>
      <c r="Z6091" s="134"/>
      <c r="AA6091" s="93"/>
      <c r="AB6091" s="93"/>
      <c r="AC6091" s="93"/>
      <c r="AD6091" s="94"/>
      <c r="AE6091" s="190"/>
      <c r="AF6091" s="191"/>
      <c r="AG6091" s="191"/>
      <c r="AH6091" s="191"/>
      <c r="AI6091" s="186"/>
      <c r="AK6091" s="171"/>
    </row>
    <row r="6092" spans="1:41" ht="20.100000000000001" customHeight="1" x14ac:dyDescent="0.25">
      <c r="A6092" s="277" t="s">
        <v>491</v>
      </c>
      <c r="B6092" s="278"/>
      <c r="C6092" s="64" t="s">
        <v>657</v>
      </c>
      <c r="D6092" s="46" t="s">
        <v>97</v>
      </c>
      <c r="E6092" s="114">
        <v>136.00049999999999</v>
      </c>
      <c r="F6092" s="44">
        <v>2266</v>
      </c>
      <c r="G6092" s="44">
        <f t="shared" si="3841"/>
        <v>308177.13299999997</v>
      </c>
      <c r="H6092" s="44">
        <f t="shared" si="3842"/>
        <v>906.3355294117647</v>
      </c>
      <c r="I6092" s="43">
        <f t="shared" si="3843"/>
        <v>123262.0851677647</v>
      </c>
      <c r="J6092" s="112">
        <f t="shared" si="3844"/>
        <v>136.00049999999999</v>
      </c>
      <c r="K6092" s="211">
        <f t="shared" si="3845"/>
        <v>136.00049999999999</v>
      </c>
      <c r="L6092" s="44"/>
      <c r="M6092" s="44">
        <f t="shared" si="3846"/>
        <v>136.00049999999999</v>
      </c>
      <c r="N6092" s="173">
        <f t="shared" si="3847"/>
        <v>1</v>
      </c>
      <c r="O6092" s="44">
        <f t="shared" si="3848"/>
        <v>2266</v>
      </c>
      <c r="P6092" s="44">
        <f t="shared" si="3849"/>
        <v>308177.13299999997</v>
      </c>
      <c r="Q6092" s="44">
        <f t="shared" si="3850"/>
        <v>906.3355294117647</v>
      </c>
      <c r="R6092" s="44">
        <f t="shared" si="3851"/>
        <v>123262.0851677647</v>
      </c>
      <c r="S6092" s="123"/>
      <c r="T6092" s="219">
        <f t="shared" si="3852"/>
        <v>123262.0851677647</v>
      </c>
      <c r="U6092" s="87"/>
      <c r="V6092" s="47"/>
      <c r="W6092" s="48"/>
      <c r="X6092" s="48"/>
      <c r="Y6092" s="48"/>
      <c r="Z6092" s="135"/>
      <c r="AA6092" s="49"/>
      <c r="AB6092" s="50">
        <f t="shared" si="3853"/>
        <v>906.3355294117647</v>
      </c>
      <c r="AC6092" s="42">
        <f t="shared" si="3854"/>
        <v>136.00049999999999</v>
      </c>
      <c r="AD6092" s="90">
        <f>AD6093+AD6098+AD6105</f>
        <v>123262.0851677647</v>
      </c>
      <c r="AE6092" s="188">
        <f t="shared" ref="AE6092:AH6092" si="4264">AE6093+AE6098+AE6105</f>
        <v>0</v>
      </c>
      <c r="AF6092" s="189">
        <f t="shared" si="4264"/>
        <v>0</v>
      </c>
      <c r="AG6092" s="189">
        <f t="shared" si="4264"/>
        <v>0</v>
      </c>
      <c r="AH6092" s="189">
        <f t="shared" si="4264"/>
        <v>0</v>
      </c>
      <c r="AI6092" s="161">
        <f t="shared" ref="AI6092:AI6093" si="4265">SUM(AE6092:AH6092)</f>
        <v>0</v>
      </c>
      <c r="AK6092" s="169">
        <v>5</v>
      </c>
      <c r="AO6092" s="19" t="s">
        <v>63</v>
      </c>
    </row>
    <row r="6093" spans="1:41" s="103" customFormat="1" ht="19.899999999999999" customHeight="1" x14ac:dyDescent="0.25">
      <c r="A6093" s="51"/>
      <c r="B6093" s="52"/>
      <c r="C6093" s="165"/>
      <c r="D6093" s="52"/>
      <c r="E6093" s="115"/>
      <c r="F6093" s="58"/>
      <c r="G6093" s="58"/>
      <c r="H6093" s="58"/>
      <c r="I6093" s="55"/>
      <c r="J6093" s="113">
        <f>J6092</f>
        <v>136.00049999999999</v>
      </c>
      <c r="K6093" s="212">
        <f>K6092</f>
        <v>136.00049999999999</v>
      </c>
      <c r="L6093" s="58"/>
      <c r="M6093" s="58">
        <f>K6093-L6093</f>
        <v>136.00049999999999</v>
      </c>
      <c r="N6093" s="166"/>
      <c r="O6093" s="58"/>
      <c r="P6093" s="58"/>
      <c r="Q6093" s="58"/>
      <c r="R6093" s="58"/>
      <c r="S6093" s="58"/>
      <c r="T6093" s="220"/>
      <c r="U6093" s="88"/>
      <c r="V6093" s="56"/>
      <c r="W6093" s="57" t="s">
        <v>1591</v>
      </c>
      <c r="X6093" s="53"/>
      <c r="Y6093" s="91" t="s">
        <v>68</v>
      </c>
      <c r="Z6093" s="136">
        <f>AD6093/AC6093</f>
        <v>6.3355294117647061</v>
      </c>
      <c r="AA6093" s="58"/>
      <c r="AB6093" s="53">
        <f>AD6093/AC6093</f>
        <v>6.3355294117647061</v>
      </c>
      <c r="AC6093" s="53">
        <f>M6093+$AE$10</f>
        <v>136.00049999999999</v>
      </c>
      <c r="AD6093" s="54">
        <f>SUM(AD6094:AD6097)</f>
        <v>861.63516776470578</v>
      </c>
      <c r="AE6093" s="184">
        <f>SUMIFS($AD$37:$AD$12971,$V$37:$V$12971,$V6093,$X$37:$X$12971,AE$13)</f>
        <v>0</v>
      </c>
      <c r="AF6093" s="185">
        <f>SUMIFS($AD$37:$AD$12971,$V$37:$V$12971,$V6093,$X$37:$X$12971,AF$13)</f>
        <v>0</v>
      </c>
      <c r="AG6093" s="185">
        <f>SUMIFS($AD$37:$AD$12971,$V$37:$V$12971,$V6093,$X$37:$X$12971,AG$13)</f>
        <v>0</v>
      </c>
      <c r="AH6093" s="187">
        <f>SUMIFS($AD$37:$AD$12971,$V$37:$V$12971,$V6093,$X$37:$X$12971,AH$13)</f>
        <v>0</v>
      </c>
      <c r="AI6093" s="161">
        <f t="shared" si="4265"/>
        <v>0</v>
      </c>
      <c r="AK6093" s="172"/>
    </row>
    <row r="6094" spans="1:41" s="102" customFormat="1" ht="19.899999999999999" customHeight="1" x14ac:dyDescent="0.25">
      <c r="A6094" s="45"/>
      <c r="B6094" s="59"/>
      <c r="C6094" s="137"/>
      <c r="D6094" s="59"/>
      <c r="E6094" s="116"/>
      <c r="F6094" s="120"/>
      <c r="G6094" s="120"/>
      <c r="H6094" s="120"/>
      <c r="I6094" s="60"/>
      <c r="J6094" s="116"/>
      <c r="K6094" s="213"/>
      <c r="L6094" s="120"/>
      <c r="M6094" s="120"/>
      <c r="N6094" s="167"/>
      <c r="O6094" s="120"/>
      <c r="P6094" s="120"/>
      <c r="Q6094" s="120"/>
      <c r="R6094" s="120"/>
      <c r="S6094" s="120"/>
      <c r="T6094" s="221"/>
      <c r="U6094" s="89"/>
      <c r="V6094" s="61"/>
      <c r="W6094" s="92" t="s">
        <v>129</v>
      </c>
      <c r="X6094" s="93" t="s">
        <v>29</v>
      </c>
      <c r="Y6094" s="93" t="s">
        <v>93</v>
      </c>
      <c r="Z6094" s="134">
        <f>VLOOKUP(W6094,Sheet2!$B:$D,3,FALSE)</f>
        <v>56</v>
      </c>
      <c r="AA6094" s="93">
        <f>80/(1.5*1*1)</f>
        <v>53.333333333333336</v>
      </c>
      <c r="AB6094" s="93">
        <f t="shared" ref="AB6094" si="4266">AD6094/AC6093</f>
        <v>1.05</v>
      </c>
      <c r="AC6094" s="93">
        <f>AC6093/AA6094</f>
        <v>2.5500093749999997</v>
      </c>
      <c r="AD6094" s="94">
        <f t="shared" ref="AD6094:AD6095" si="4267">AC6094*Z6094</f>
        <v>142.80052499999999</v>
      </c>
      <c r="AE6094" s="190"/>
      <c r="AF6094" s="191"/>
      <c r="AG6094" s="191"/>
      <c r="AH6094" s="191"/>
      <c r="AI6094" s="186"/>
      <c r="AK6094" s="171"/>
    </row>
    <row r="6095" spans="1:41" s="102" customFormat="1" ht="19.899999999999999" customHeight="1" x14ac:dyDescent="0.25">
      <c r="A6095" s="45"/>
      <c r="B6095" s="59"/>
      <c r="C6095" s="137"/>
      <c r="D6095" s="59"/>
      <c r="E6095" s="116"/>
      <c r="F6095" s="120"/>
      <c r="G6095" s="120"/>
      <c r="H6095" s="120"/>
      <c r="I6095" s="60"/>
      <c r="J6095" s="116"/>
      <c r="K6095" s="213"/>
      <c r="L6095" s="120"/>
      <c r="M6095" s="120"/>
      <c r="N6095" s="167"/>
      <c r="O6095" s="120"/>
      <c r="P6095" s="120"/>
      <c r="Q6095" s="120"/>
      <c r="R6095" s="120"/>
      <c r="S6095" s="120"/>
      <c r="T6095" s="221"/>
      <c r="U6095" s="89"/>
      <c r="V6095" s="61"/>
      <c r="W6095" s="92" t="s">
        <v>65</v>
      </c>
      <c r="X6095" s="93" t="s">
        <v>30</v>
      </c>
      <c r="Y6095" s="93" t="s">
        <v>1011</v>
      </c>
      <c r="Z6095" s="134">
        <f>VLOOKUP(W6095,Sheet2!$B:$D,3,FALSE)</f>
        <v>1.76</v>
      </c>
      <c r="AA6095" s="93">
        <f>AA6094/14</f>
        <v>3.8095238095238098</v>
      </c>
      <c r="AB6095" s="93">
        <f>AD6095/AC6093</f>
        <v>0.46199999999999991</v>
      </c>
      <c r="AC6095" s="93">
        <f>AC6093/AA6095</f>
        <v>35.700131249999991</v>
      </c>
      <c r="AD6095" s="94">
        <f t="shared" si="4267"/>
        <v>62.832230999999986</v>
      </c>
      <c r="AE6095" s="190"/>
      <c r="AF6095" s="191"/>
      <c r="AG6095" s="191"/>
      <c r="AH6095" s="191"/>
      <c r="AI6095" s="186"/>
      <c r="AK6095" s="171"/>
    </row>
    <row r="6096" spans="1:41" s="102" customFormat="1" ht="19.899999999999999" customHeight="1" x14ac:dyDescent="0.25">
      <c r="A6096" s="45"/>
      <c r="B6096" s="59"/>
      <c r="C6096" s="137"/>
      <c r="D6096" s="59"/>
      <c r="E6096" s="116"/>
      <c r="F6096" s="120"/>
      <c r="G6096" s="120"/>
      <c r="H6096" s="120"/>
      <c r="I6096" s="60"/>
      <c r="J6096" s="116"/>
      <c r="K6096" s="213"/>
      <c r="L6096" s="120"/>
      <c r="M6096" s="120"/>
      <c r="N6096" s="167"/>
      <c r="O6096" s="120"/>
      <c r="P6096" s="120"/>
      <c r="Q6096" s="120"/>
      <c r="R6096" s="120"/>
      <c r="S6096" s="120"/>
      <c r="T6096" s="221"/>
      <c r="U6096" s="89"/>
      <c r="V6096" s="61"/>
      <c r="W6096" s="92" t="s">
        <v>161</v>
      </c>
      <c r="X6096" s="93" t="s">
        <v>29</v>
      </c>
      <c r="Y6096" s="93" t="s">
        <v>93</v>
      </c>
      <c r="Z6096" s="134">
        <f>VLOOKUP(W6096,Sheet2!$B:$D,3,FALSE)</f>
        <v>48</v>
      </c>
      <c r="AA6096" s="93">
        <f>(16*0.85*1.5)/(1.5*1*1)</f>
        <v>13.6</v>
      </c>
      <c r="AB6096" s="93">
        <f>AD6096/AC6093</f>
        <v>3.5294117647058827</v>
      </c>
      <c r="AC6096" s="93">
        <f>AC6093/AA6096</f>
        <v>10.000036764705882</v>
      </c>
      <c r="AD6096" s="94">
        <f>AC6096*Z6096</f>
        <v>480.00176470588235</v>
      </c>
      <c r="AE6096" s="190"/>
      <c r="AF6096" s="191"/>
      <c r="AG6096" s="191"/>
      <c r="AH6096" s="191"/>
      <c r="AI6096" s="186"/>
      <c r="AK6096" s="171"/>
    </row>
    <row r="6097" spans="1:41" s="102" customFormat="1" ht="19.899999999999999" customHeight="1" x14ac:dyDescent="0.25">
      <c r="A6097" s="45"/>
      <c r="B6097" s="59"/>
      <c r="C6097" s="137"/>
      <c r="D6097" s="59"/>
      <c r="E6097" s="116"/>
      <c r="F6097" s="120"/>
      <c r="G6097" s="120"/>
      <c r="H6097" s="120"/>
      <c r="I6097" s="60"/>
      <c r="J6097" s="116"/>
      <c r="K6097" s="213"/>
      <c r="L6097" s="120"/>
      <c r="M6097" s="120"/>
      <c r="N6097" s="167"/>
      <c r="O6097" s="120"/>
      <c r="P6097" s="120"/>
      <c r="Q6097" s="120"/>
      <c r="R6097" s="120"/>
      <c r="S6097" s="120"/>
      <c r="T6097" s="221"/>
      <c r="U6097" s="89"/>
      <c r="V6097" s="61"/>
      <c r="W6097" s="92" t="s">
        <v>65</v>
      </c>
      <c r="X6097" s="93" t="s">
        <v>30</v>
      </c>
      <c r="Y6097" s="93" t="s">
        <v>1011</v>
      </c>
      <c r="Z6097" s="134">
        <f>VLOOKUP(W6097,Sheet2!$B:$D,3,FALSE)</f>
        <v>1.76</v>
      </c>
      <c r="AA6097" s="93">
        <f>AA6096/10</f>
        <v>1.3599999999999999</v>
      </c>
      <c r="AB6097" s="93">
        <f>AD6097/AC6093</f>
        <v>1.2941176470588236</v>
      </c>
      <c r="AC6097" s="93">
        <f>AC6093/AA6097</f>
        <v>100.00036764705882</v>
      </c>
      <c r="AD6097" s="94">
        <f>AC6097*Z6097</f>
        <v>176.00064705882352</v>
      </c>
      <c r="AE6097" s="190"/>
      <c r="AF6097" s="191"/>
      <c r="AG6097" s="191"/>
      <c r="AH6097" s="191"/>
      <c r="AI6097" s="186"/>
      <c r="AK6097" s="171"/>
    </row>
    <row r="6098" spans="1:41" s="103" customFormat="1" ht="19.899999999999999" customHeight="1" x14ac:dyDescent="0.25">
      <c r="A6098" s="51"/>
      <c r="B6098" s="52"/>
      <c r="C6098" s="165"/>
      <c r="D6098" s="52"/>
      <c r="E6098" s="115"/>
      <c r="F6098" s="58"/>
      <c r="G6098" s="58"/>
      <c r="H6098" s="58"/>
      <c r="I6098" s="55"/>
      <c r="J6098" s="113">
        <f>J6092</f>
        <v>136.00049999999999</v>
      </c>
      <c r="K6098" s="212">
        <f>K6092</f>
        <v>136.00049999999999</v>
      </c>
      <c r="L6098" s="58"/>
      <c r="M6098" s="58">
        <f>K6098-L6098</f>
        <v>136.00049999999999</v>
      </c>
      <c r="N6098" s="166"/>
      <c r="O6098" s="58"/>
      <c r="P6098" s="58"/>
      <c r="Q6098" s="58"/>
      <c r="R6098" s="58"/>
      <c r="S6098" s="58"/>
      <c r="T6098" s="220"/>
      <c r="U6098" s="88"/>
      <c r="V6098" s="56"/>
      <c r="W6098" s="57" t="s">
        <v>1592</v>
      </c>
      <c r="X6098" s="53"/>
      <c r="Y6098" s="91" t="s">
        <v>68</v>
      </c>
      <c r="Z6098" s="136">
        <f>AD6098/AC6098</f>
        <v>540.00000000000011</v>
      </c>
      <c r="AA6098" s="58"/>
      <c r="AB6098" s="53">
        <f>AD6098/AC6098</f>
        <v>540.00000000000011</v>
      </c>
      <c r="AC6098" s="53">
        <f>M6098+$AE$10</f>
        <v>136.00049999999999</v>
      </c>
      <c r="AD6098" s="54">
        <f>SUM(AD6099:AD6104)</f>
        <v>73440.27</v>
      </c>
      <c r="AE6098" s="184">
        <f>SUMIFS($AD$37:$AD$12971,$V$37:$V$12971,$V6098,$X$37:$X$12971,AE$13)</f>
        <v>0</v>
      </c>
      <c r="AF6098" s="185">
        <f>SUMIFS($AD$37:$AD$12971,$V$37:$V$12971,$V6098,$X$37:$X$12971,AF$13)</f>
        <v>0</v>
      </c>
      <c r="AG6098" s="185">
        <f>SUMIFS($AD$37:$AD$12971,$V$37:$V$12971,$V6098,$X$37:$X$12971,AG$13)</f>
        <v>0</v>
      </c>
      <c r="AH6098" s="187">
        <f>SUMIFS($AD$37:$AD$12971,$V$37:$V$12971,$V6098,$X$37:$X$12971,AH$13)</f>
        <v>0</v>
      </c>
      <c r="AI6098" s="161">
        <f t="shared" ref="AI6098" si="4268">SUM(AE6098:AH6098)</f>
        <v>0</v>
      </c>
      <c r="AK6098" s="172"/>
    </row>
    <row r="6099" spans="1:41" s="102" customFormat="1" ht="19.899999999999999" customHeight="1" x14ac:dyDescent="0.25">
      <c r="A6099" s="45"/>
      <c r="B6099" s="59"/>
      <c r="C6099" s="137"/>
      <c r="D6099" s="59"/>
      <c r="E6099" s="116"/>
      <c r="F6099" s="120"/>
      <c r="G6099" s="120"/>
      <c r="H6099" s="120"/>
      <c r="I6099" s="60"/>
      <c r="J6099" s="116"/>
      <c r="K6099" s="213"/>
      <c r="L6099" s="120"/>
      <c r="M6099" s="120"/>
      <c r="N6099" s="167"/>
      <c r="O6099" s="120"/>
      <c r="P6099" s="120"/>
      <c r="Q6099" s="120"/>
      <c r="R6099" s="120"/>
      <c r="S6099" s="120"/>
      <c r="T6099" s="221"/>
      <c r="U6099" s="89"/>
      <c r="V6099" s="61"/>
      <c r="W6099" s="92" t="s">
        <v>1032</v>
      </c>
      <c r="X6099" s="93" t="s">
        <v>30</v>
      </c>
      <c r="Y6099" s="93" t="s">
        <v>66</v>
      </c>
      <c r="Z6099" s="134">
        <f>VLOOKUP(W6099,Sheet2!$B:$D,3,FALSE)</f>
        <v>250</v>
      </c>
      <c r="AA6099" s="93">
        <f>1/0.2</f>
        <v>5</v>
      </c>
      <c r="AB6099" s="93">
        <f>AD6099/AC6105</f>
        <v>50</v>
      </c>
      <c r="AC6099" s="93">
        <f>AC6105/AA6099</f>
        <v>27.200099999999999</v>
      </c>
      <c r="AD6099" s="94">
        <f t="shared" ref="AD6099:AD6101" si="4269">AC6099*Z6099</f>
        <v>6800.0249999999996</v>
      </c>
      <c r="AE6099" s="190"/>
      <c r="AF6099" s="191"/>
      <c r="AG6099" s="191"/>
      <c r="AH6099" s="191"/>
      <c r="AI6099" s="186"/>
      <c r="AK6099" s="171"/>
    </row>
    <row r="6100" spans="1:41" s="102" customFormat="1" ht="19.899999999999999" customHeight="1" x14ac:dyDescent="0.25">
      <c r="A6100" s="45"/>
      <c r="B6100" s="59"/>
      <c r="C6100" s="137"/>
      <c r="D6100" s="59"/>
      <c r="E6100" s="116"/>
      <c r="F6100" s="120"/>
      <c r="G6100" s="120"/>
      <c r="H6100" s="120"/>
      <c r="I6100" s="60"/>
      <c r="J6100" s="116"/>
      <c r="K6100" s="213"/>
      <c r="L6100" s="120"/>
      <c r="M6100" s="120"/>
      <c r="N6100" s="167"/>
      <c r="O6100" s="120"/>
      <c r="P6100" s="120"/>
      <c r="Q6100" s="120"/>
      <c r="R6100" s="120"/>
      <c r="S6100" s="120"/>
      <c r="T6100" s="221"/>
      <c r="U6100" s="89"/>
      <c r="V6100" s="61"/>
      <c r="W6100" s="92" t="s">
        <v>1353</v>
      </c>
      <c r="X6100" s="93" t="s">
        <v>30</v>
      </c>
      <c r="Y6100" s="93" t="s">
        <v>66</v>
      </c>
      <c r="Z6100" s="134">
        <f>VLOOKUP(W6100,Sheet2!$B:$D,3,FALSE)</f>
        <v>350</v>
      </c>
      <c r="AA6100" s="93">
        <f>1/0.4</f>
        <v>2.5</v>
      </c>
      <c r="AB6100" s="93">
        <f>AD6100/AC6105</f>
        <v>140</v>
      </c>
      <c r="AC6100" s="93">
        <f>AC6105/AA6100</f>
        <v>54.400199999999998</v>
      </c>
      <c r="AD6100" s="94">
        <f t="shared" si="4269"/>
        <v>19040.07</v>
      </c>
      <c r="AE6100" s="190"/>
      <c r="AF6100" s="191"/>
      <c r="AG6100" s="191"/>
      <c r="AH6100" s="191"/>
      <c r="AI6100" s="186"/>
      <c r="AK6100" s="171"/>
    </row>
    <row r="6101" spans="1:41" s="102" customFormat="1" ht="19.899999999999999" customHeight="1" x14ac:dyDescent="0.25">
      <c r="A6101" s="45"/>
      <c r="B6101" s="59"/>
      <c r="C6101" s="137"/>
      <c r="D6101" s="59"/>
      <c r="E6101" s="116"/>
      <c r="F6101" s="120"/>
      <c r="G6101" s="120"/>
      <c r="H6101" s="120"/>
      <c r="I6101" s="60"/>
      <c r="J6101" s="116"/>
      <c r="K6101" s="213"/>
      <c r="L6101" s="120"/>
      <c r="M6101" s="120"/>
      <c r="N6101" s="167"/>
      <c r="O6101" s="120"/>
      <c r="P6101" s="120"/>
      <c r="Q6101" s="120"/>
      <c r="R6101" s="120"/>
      <c r="S6101" s="120"/>
      <c r="T6101" s="221"/>
      <c r="U6101" s="89"/>
      <c r="V6101" s="61"/>
      <c r="W6101" s="92" t="s">
        <v>99</v>
      </c>
      <c r="X6101" s="93" t="s">
        <v>30</v>
      </c>
      <c r="Y6101" s="93" t="s">
        <v>67</v>
      </c>
      <c r="Z6101" s="134">
        <f>VLOOKUP(W6101,Sheet2!$B:$D,3,FALSE)</f>
        <v>2500</v>
      </c>
      <c r="AA6101" s="93">
        <f>AA6100/0.1</f>
        <v>25</v>
      </c>
      <c r="AB6101" s="93">
        <f>AD6101/AC6105</f>
        <v>100</v>
      </c>
      <c r="AC6101" s="93">
        <f>AC6105/AA6101</f>
        <v>5.4400199999999996</v>
      </c>
      <c r="AD6101" s="94">
        <f t="shared" si="4269"/>
        <v>13600.05</v>
      </c>
      <c r="AE6101" s="190"/>
      <c r="AF6101" s="191"/>
      <c r="AG6101" s="191"/>
      <c r="AH6101" s="191"/>
      <c r="AI6101" s="186"/>
      <c r="AK6101" s="171"/>
    </row>
    <row r="6102" spans="1:41" s="102" customFormat="1" ht="19.899999999999999" customHeight="1" x14ac:dyDescent="0.25">
      <c r="A6102" s="45"/>
      <c r="B6102" s="59"/>
      <c r="C6102" s="137"/>
      <c r="D6102" s="59"/>
      <c r="E6102" s="116"/>
      <c r="F6102" s="120"/>
      <c r="G6102" s="120"/>
      <c r="H6102" s="120"/>
      <c r="I6102" s="60"/>
      <c r="J6102" s="116"/>
      <c r="K6102" s="213"/>
      <c r="L6102" s="120"/>
      <c r="M6102" s="120"/>
      <c r="N6102" s="167"/>
      <c r="O6102" s="120"/>
      <c r="P6102" s="120"/>
      <c r="Q6102" s="120"/>
      <c r="R6102" s="120"/>
      <c r="S6102" s="120"/>
      <c r="T6102" s="221"/>
      <c r="U6102" s="89"/>
      <c r="V6102" s="61"/>
      <c r="W6102" s="92" t="s">
        <v>1354</v>
      </c>
      <c r="X6102" s="93" t="s">
        <v>32</v>
      </c>
      <c r="Y6102" s="93" t="s">
        <v>66</v>
      </c>
      <c r="Z6102" s="134">
        <f>VLOOKUP(W6102,Sheet2!$B:$D,3,FALSE)</f>
        <v>150</v>
      </c>
      <c r="AA6102" s="93">
        <f>AA6099</f>
        <v>5</v>
      </c>
      <c r="AB6102" s="93">
        <f>AD6102/AC6105</f>
        <v>30</v>
      </c>
      <c r="AC6102" s="93">
        <f>AC6105/AA6102</f>
        <v>27.200099999999999</v>
      </c>
      <c r="AD6102" s="94">
        <f>AC6102*Z6102</f>
        <v>4080.0149999999999</v>
      </c>
      <c r="AE6102" s="190"/>
      <c r="AF6102" s="191"/>
      <c r="AG6102" s="191"/>
      <c r="AH6102" s="191"/>
      <c r="AI6102" s="186"/>
      <c r="AK6102" s="171"/>
    </row>
    <row r="6103" spans="1:41" s="102" customFormat="1" ht="19.899999999999999" customHeight="1" x14ac:dyDescent="0.25">
      <c r="A6103" s="45"/>
      <c r="B6103" s="59"/>
      <c r="C6103" s="137"/>
      <c r="D6103" s="59"/>
      <c r="E6103" s="116"/>
      <c r="F6103" s="120"/>
      <c r="G6103" s="120"/>
      <c r="H6103" s="120"/>
      <c r="I6103" s="60"/>
      <c r="J6103" s="116"/>
      <c r="K6103" s="213"/>
      <c r="L6103" s="120"/>
      <c r="M6103" s="120"/>
      <c r="N6103" s="167"/>
      <c r="O6103" s="120"/>
      <c r="P6103" s="120"/>
      <c r="Q6103" s="120"/>
      <c r="R6103" s="120"/>
      <c r="S6103" s="120"/>
      <c r="T6103" s="221"/>
      <c r="U6103" s="89"/>
      <c r="V6103" s="61"/>
      <c r="W6103" s="92" t="s">
        <v>1355</v>
      </c>
      <c r="X6103" s="93" t="s">
        <v>32</v>
      </c>
      <c r="Y6103" s="93" t="s">
        <v>66</v>
      </c>
      <c r="Z6103" s="134">
        <f>VLOOKUP(W6103,Sheet2!$B:$D,3,FALSE)</f>
        <v>450</v>
      </c>
      <c r="AA6103" s="93">
        <f>AA6100</f>
        <v>2.5</v>
      </c>
      <c r="AB6103" s="93">
        <f>AD6103/AC6105</f>
        <v>180.00000000000003</v>
      </c>
      <c r="AC6103" s="93">
        <f>AC6105/AA6103</f>
        <v>54.400199999999998</v>
      </c>
      <c r="AD6103" s="94">
        <f>AC6103*Z6103</f>
        <v>24480.09</v>
      </c>
      <c r="AE6103" s="190"/>
      <c r="AF6103" s="191"/>
      <c r="AG6103" s="191"/>
      <c r="AH6103" s="191"/>
      <c r="AI6103" s="186"/>
      <c r="AK6103" s="171"/>
    </row>
    <row r="6104" spans="1:41" s="102" customFormat="1" ht="19.899999999999999" customHeight="1" x14ac:dyDescent="0.25">
      <c r="A6104" s="45"/>
      <c r="B6104" s="59"/>
      <c r="C6104" s="137"/>
      <c r="D6104" s="59"/>
      <c r="E6104" s="116"/>
      <c r="F6104" s="120"/>
      <c r="G6104" s="120"/>
      <c r="H6104" s="120"/>
      <c r="I6104" s="60"/>
      <c r="J6104" s="116"/>
      <c r="K6104" s="213"/>
      <c r="L6104" s="120"/>
      <c r="M6104" s="120"/>
      <c r="N6104" s="167"/>
      <c r="O6104" s="120"/>
      <c r="P6104" s="120"/>
      <c r="Q6104" s="120"/>
      <c r="R6104" s="120"/>
      <c r="S6104" s="120"/>
      <c r="T6104" s="221"/>
      <c r="U6104" s="89"/>
      <c r="V6104" s="61"/>
      <c r="W6104" s="92" t="s">
        <v>124</v>
      </c>
      <c r="X6104" s="93" t="s">
        <v>32</v>
      </c>
      <c r="Y6104" s="93" t="s">
        <v>64</v>
      </c>
      <c r="Z6104" s="134">
        <f>VLOOKUP(W6104,Sheet2!$B:$D,3,FALSE)</f>
        <v>10</v>
      </c>
      <c r="AA6104" s="93">
        <f>1/4</f>
        <v>0.25</v>
      </c>
      <c r="AB6104" s="93">
        <f t="shared" ref="AB6104" si="4270">AD6104/AC6098</f>
        <v>40</v>
      </c>
      <c r="AC6104" s="93">
        <f>AC6098/AA6104</f>
        <v>544.00199999999995</v>
      </c>
      <c r="AD6104" s="94">
        <f t="shared" ref="AD6104" si="4271">AC6104*Z6104</f>
        <v>5440.0199999999995</v>
      </c>
      <c r="AE6104" s="190"/>
      <c r="AF6104" s="191"/>
      <c r="AG6104" s="191"/>
      <c r="AH6104" s="191"/>
      <c r="AI6104" s="186"/>
      <c r="AK6104" s="171"/>
    </row>
    <row r="6105" spans="1:41" s="103" customFormat="1" ht="19.899999999999999" customHeight="1" x14ac:dyDescent="0.25">
      <c r="A6105" s="51"/>
      <c r="B6105" s="52"/>
      <c r="C6105" s="165"/>
      <c r="D6105" s="52"/>
      <c r="E6105" s="115"/>
      <c r="F6105" s="58"/>
      <c r="G6105" s="58"/>
      <c r="H6105" s="58"/>
      <c r="I6105" s="55"/>
      <c r="J6105" s="113">
        <f>J6092</f>
        <v>136.00049999999999</v>
      </c>
      <c r="K6105" s="212">
        <f>K6092</f>
        <v>136.00049999999999</v>
      </c>
      <c r="L6105" s="58"/>
      <c r="M6105" s="58">
        <f>K6105-L6105</f>
        <v>136.00049999999999</v>
      </c>
      <c r="N6105" s="166"/>
      <c r="O6105" s="58"/>
      <c r="P6105" s="58"/>
      <c r="Q6105" s="58"/>
      <c r="R6105" s="58"/>
      <c r="S6105" s="58"/>
      <c r="T6105" s="220"/>
      <c r="U6105" s="88"/>
      <c r="V6105" s="56"/>
      <c r="W6105" s="57" t="s">
        <v>1593</v>
      </c>
      <c r="X6105" s="53"/>
      <c r="Y6105" s="91" t="s">
        <v>68</v>
      </c>
      <c r="Z6105" s="136">
        <f>AD6105/AC6105</f>
        <v>360</v>
      </c>
      <c r="AA6105" s="58"/>
      <c r="AB6105" s="53">
        <f>AD6105/AC6105</f>
        <v>360</v>
      </c>
      <c r="AC6105" s="53">
        <f>M6105+$AE$10</f>
        <v>136.00049999999999</v>
      </c>
      <c r="AD6105" s="54">
        <f>SUM(AD6106:AD6108)</f>
        <v>48960.179999999993</v>
      </c>
      <c r="AE6105" s="184">
        <f>SUMIFS($AD$37:$AD$12971,$V$37:$V$12971,$V6105,$X$37:$X$12971,AE$13)</f>
        <v>0</v>
      </c>
      <c r="AF6105" s="185">
        <f>SUMIFS($AD$37:$AD$12971,$V$37:$V$12971,$V6105,$X$37:$X$12971,AF$13)</f>
        <v>0</v>
      </c>
      <c r="AG6105" s="185">
        <f>SUMIFS($AD$37:$AD$12971,$V$37:$V$12971,$V6105,$X$37:$X$12971,AG$13)</f>
        <v>0</v>
      </c>
      <c r="AH6105" s="187">
        <f>SUMIFS($AD$37:$AD$12971,$V$37:$V$12971,$V6105,$X$37:$X$12971,AH$13)</f>
        <v>0</v>
      </c>
      <c r="AI6105" s="161">
        <f t="shared" ref="AI6105" si="4272">SUM(AE6105:AH6105)</f>
        <v>0</v>
      </c>
      <c r="AK6105" s="172"/>
    </row>
    <row r="6106" spans="1:41" s="102" customFormat="1" ht="19.899999999999999" customHeight="1" x14ac:dyDescent="0.25">
      <c r="A6106" s="45"/>
      <c r="B6106" s="59"/>
      <c r="C6106" s="137"/>
      <c r="D6106" s="59"/>
      <c r="E6106" s="116"/>
      <c r="F6106" s="120"/>
      <c r="G6106" s="120"/>
      <c r="H6106" s="120"/>
      <c r="I6106" s="60"/>
      <c r="J6106" s="116"/>
      <c r="K6106" s="213"/>
      <c r="L6106" s="120"/>
      <c r="M6106" s="120"/>
      <c r="N6106" s="167"/>
      <c r="O6106" s="120"/>
      <c r="P6106" s="120"/>
      <c r="Q6106" s="120"/>
      <c r="R6106" s="120"/>
      <c r="S6106" s="120"/>
      <c r="T6106" s="221"/>
      <c r="U6106" s="89"/>
      <c r="V6106" s="61"/>
      <c r="W6106" s="92" t="s">
        <v>1595</v>
      </c>
      <c r="X6106" s="93" t="s">
        <v>30</v>
      </c>
      <c r="Y6106" s="93" t="s">
        <v>68</v>
      </c>
      <c r="Z6106" s="134">
        <f>VLOOKUP(W6106,Sheet2!$B:$D,3,FALSE)</f>
        <v>150</v>
      </c>
      <c r="AA6106" s="93">
        <v>1</v>
      </c>
      <c r="AB6106" s="93">
        <f>AD6106/AC6105</f>
        <v>150</v>
      </c>
      <c r="AC6106" s="93">
        <f>AC6105/AA6106</f>
        <v>136.00049999999999</v>
      </c>
      <c r="AD6106" s="94">
        <f t="shared" ref="AD6106:AD6107" si="4273">AC6106*Z6106</f>
        <v>20400.074999999997</v>
      </c>
      <c r="AE6106" s="190"/>
      <c r="AF6106" s="191"/>
      <c r="AG6106" s="191"/>
      <c r="AH6106" s="191"/>
      <c r="AI6106" s="186"/>
      <c r="AK6106" s="171"/>
    </row>
    <row r="6107" spans="1:41" s="102" customFormat="1" ht="19.899999999999999" customHeight="1" x14ac:dyDescent="0.25">
      <c r="A6107" s="45"/>
      <c r="B6107" s="59"/>
      <c r="C6107" s="137"/>
      <c r="D6107" s="59"/>
      <c r="E6107" s="116"/>
      <c r="F6107" s="120"/>
      <c r="G6107" s="120"/>
      <c r="H6107" s="120"/>
      <c r="I6107" s="60"/>
      <c r="J6107" s="116"/>
      <c r="K6107" s="213"/>
      <c r="L6107" s="120"/>
      <c r="M6107" s="120"/>
      <c r="N6107" s="167"/>
      <c r="O6107" s="120"/>
      <c r="P6107" s="120"/>
      <c r="Q6107" s="120"/>
      <c r="R6107" s="120"/>
      <c r="S6107" s="120"/>
      <c r="T6107" s="221"/>
      <c r="U6107" s="89"/>
      <c r="V6107" s="61"/>
      <c r="W6107" s="92" t="s">
        <v>1596</v>
      </c>
      <c r="X6107" s="93" t="s">
        <v>30</v>
      </c>
      <c r="Y6107" s="93" t="s">
        <v>68</v>
      </c>
      <c r="Z6107" s="134">
        <f>VLOOKUP(W6107,Sheet2!$B:$D,3,FALSE)</f>
        <v>90</v>
      </c>
      <c r="AA6107" s="93">
        <v>1</v>
      </c>
      <c r="AB6107" s="93">
        <f>AD6107/AC6105</f>
        <v>90</v>
      </c>
      <c r="AC6107" s="93">
        <f>AC6105/AA6107</f>
        <v>136.00049999999999</v>
      </c>
      <c r="AD6107" s="94">
        <f t="shared" si="4273"/>
        <v>12240.044999999998</v>
      </c>
      <c r="AE6107" s="190"/>
      <c r="AF6107" s="191"/>
      <c r="AG6107" s="191"/>
      <c r="AH6107" s="191"/>
      <c r="AI6107" s="186"/>
      <c r="AK6107" s="171"/>
    </row>
    <row r="6108" spans="1:41" s="102" customFormat="1" ht="19.899999999999999" customHeight="1" x14ac:dyDescent="0.25">
      <c r="A6108" s="45"/>
      <c r="B6108" s="59"/>
      <c r="C6108" s="137"/>
      <c r="D6108" s="59"/>
      <c r="E6108" s="116"/>
      <c r="F6108" s="120"/>
      <c r="G6108" s="120"/>
      <c r="H6108" s="120"/>
      <c r="I6108" s="60"/>
      <c r="J6108" s="116"/>
      <c r="K6108" s="213"/>
      <c r="L6108" s="120"/>
      <c r="M6108" s="120"/>
      <c r="N6108" s="167"/>
      <c r="O6108" s="120"/>
      <c r="P6108" s="120"/>
      <c r="Q6108" s="120"/>
      <c r="R6108" s="120"/>
      <c r="S6108" s="120"/>
      <c r="T6108" s="221"/>
      <c r="U6108" s="89"/>
      <c r="V6108" s="61"/>
      <c r="W6108" s="92" t="s">
        <v>1594</v>
      </c>
      <c r="X6108" s="93" t="s">
        <v>32</v>
      </c>
      <c r="Y6108" s="93" t="s">
        <v>68</v>
      </c>
      <c r="Z6108" s="134">
        <f>VLOOKUP(W6108,Sheet2!$B:$D,3,FALSE)</f>
        <v>120</v>
      </c>
      <c r="AA6108" s="93">
        <v>1</v>
      </c>
      <c r="AB6108" s="93">
        <f>AD6108/AC6105</f>
        <v>120</v>
      </c>
      <c r="AC6108" s="93">
        <f>AC6105/AA6108</f>
        <v>136.00049999999999</v>
      </c>
      <c r="AD6108" s="94">
        <f>AC6108*Z6108</f>
        <v>16320.059999999998</v>
      </c>
      <c r="AE6108" s="190"/>
      <c r="AF6108" s="191"/>
      <c r="AG6108" s="191"/>
      <c r="AH6108" s="191"/>
      <c r="AI6108" s="186"/>
      <c r="AK6108" s="171"/>
    </row>
    <row r="6109" spans="1:41" ht="20.100000000000001" customHeight="1" x14ac:dyDescent="0.25">
      <c r="A6109" s="277" t="s">
        <v>491</v>
      </c>
      <c r="B6109" s="278"/>
      <c r="C6109" s="64" t="s">
        <v>659</v>
      </c>
      <c r="D6109" s="46" t="s">
        <v>328</v>
      </c>
      <c r="E6109" s="114">
        <v>1</v>
      </c>
      <c r="F6109" s="44">
        <v>22658</v>
      </c>
      <c r="G6109" s="44">
        <f t="shared" si="3841"/>
        <v>22658</v>
      </c>
      <c r="H6109" s="44">
        <f t="shared" si="3842"/>
        <v>18500</v>
      </c>
      <c r="I6109" s="43">
        <f t="shared" si="3843"/>
        <v>18500</v>
      </c>
      <c r="J6109" s="112">
        <f t="shared" si="3844"/>
        <v>1</v>
      </c>
      <c r="K6109" s="211">
        <f t="shared" si="3845"/>
        <v>1</v>
      </c>
      <c r="L6109" s="44"/>
      <c r="M6109" s="44">
        <f t="shared" si="3846"/>
        <v>1</v>
      </c>
      <c r="N6109" s="173">
        <f t="shared" si="3847"/>
        <v>1</v>
      </c>
      <c r="O6109" s="44">
        <f t="shared" si="3848"/>
        <v>22658</v>
      </c>
      <c r="P6109" s="44">
        <f t="shared" si="3849"/>
        <v>22658</v>
      </c>
      <c r="Q6109" s="44">
        <f t="shared" si="3850"/>
        <v>18500</v>
      </c>
      <c r="R6109" s="44">
        <f t="shared" si="3851"/>
        <v>18500</v>
      </c>
      <c r="S6109" s="123"/>
      <c r="T6109" s="219">
        <f t="shared" si="3852"/>
        <v>18500</v>
      </c>
      <c r="U6109" s="87"/>
      <c r="V6109" s="47"/>
      <c r="W6109" s="48"/>
      <c r="X6109" s="48"/>
      <c r="Y6109" s="48"/>
      <c r="Z6109" s="135"/>
      <c r="AA6109" s="49"/>
      <c r="AB6109" s="50">
        <f t="shared" si="3853"/>
        <v>18500</v>
      </c>
      <c r="AC6109" s="42">
        <f t="shared" si="3854"/>
        <v>1</v>
      </c>
      <c r="AD6109" s="90">
        <f>AD6110</f>
        <v>18500</v>
      </c>
      <c r="AE6109" s="188">
        <f t="shared" ref="AE6109:AH6109" si="4274">AE6110</f>
        <v>0</v>
      </c>
      <c r="AF6109" s="189">
        <f t="shared" si="4274"/>
        <v>0</v>
      </c>
      <c r="AG6109" s="189">
        <f t="shared" si="4274"/>
        <v>0</v>
      </c>
      <c r="AH6109" s="189">
        <f t="shared" si="4274"/>
        <v>0</v>
      </c>
      <c r="AI6109" s="161">
        <f t="shared" ref="AI6109:AI6110" si="4275">SUM(AE6109:AH6109)</f>
        <v>0</v>
      </c>
      <c r="AK6109" s="169">
        <v>5</v>
      </c>
      <c r="AO6109" s="19" t="s">
        <v>63</v>
      </c>
    </row>
    <row r="6110" spans="1:41" s="103" customFormat="1" ht="19.899999999999999" customHeight="1" x14ac:dyDescent="0.25">
      <c r="A6110" s="51"/>
      <c r="B6110" s="52"/>
      <c r="C6110" s="165"/>
      <c r="D6110" s="52"/>
      <c r="E6110" s="115"/>
      <c r="F6110" s="58"/>
      <c r="G6110" s="58"/>
      <c r="H6110" s="58"/>
      <c r="I6110" s="55"/>
      <c r="J6110" s="113">
        <f>J6109</f>
        <v>1</v>
      </c>
      <c r="K6110" s="212">
        <f>K6109</f>
        <v>1</v>
      </c>
      <c r="L6110" s="58"/>
      <c r="M6110" s="58">
        <f>K6110-L6110</f>
        <v>1</v>
      </c>
      <c r="N6110" s="166"/>
      <c r="O6110" s="58"/>
      <c r="P6110" s="58"/>
      <c r="Q6110" s="58"/>
      <c r="R6110" s="58"/>
      <c r="S6110" s="58"/>
      <c r="T6110" s="220"/>
      <c r="U6110" s="88"/>
      <c r="V6110" s="56"/>
      <c r="W6110" s="57" t="s">
        <v>1597</v>
      </c>
      <c r="X6110" s="53"/>
      <c r="Y6110" s="91" t="s">
        <v>1349</v>
      </c>
      <c r="Z6110" s="136">
        <f>AD6110/AC6110</f>
        <v>18500</v>
      </c>
      <c r="AA6110" s="58"/>
      <c r="AB6110" s="53">
        <f>AD6110/AC6110</f>
        <v>18500</v>
      </c>
      <c r="AC6110" s="53">
        <f>M6110+$AE$10</f>
        <v>1</v>
      </c>
      <c r="AD6110" s="54">
        <f>SUM(AD6111)</f>
        <v>18500</v>
      </c>
      <c r="AE6110" s="184">
        <f>SUMIFS($AD$37:$AD$12971,$V$37:$V$12971,$V6110,$X$37:$X$12971,AE$13)</f>
        <v>0</v>
      </c>
      <c r="AF6110" s="185">
        <f>SUMIFS($AD$37:$AD$12971,$V$37:$V$12971,$V6110,$X$37:$X$12971,AF$13)</f>
        <v>0</v>
      </c>
      <c r="AG6110" s="185">
        <f>SUMIFS($AD$37:$AD$12971,$V$37:$V$12971,$V6110,$X$37:$X$12971,AG$13)</f>
        <v>0</v>
      </c>
      <c r="AH6110" s="187">
        <f>SUMIFS($AD$37:$AD$12971,$V$37:$V$12971,$V6110,$X$37:$X$12971,AH$13)</f>
        <v>0</v>
      </c>
      <c r="AI6110" s="161">
        <f t="shared" si="4275"/>
        <v>0</v>
      </c>
      <c r="AK6110" s="172"/>
    </row>
    <row r="6111" spans="1:41" s="102" customFormat="1" ht="19.899999999999999" customHeight="1" x14ac:dyDescent="0.25">
      <c r="A6111" s="45"/>
      <c r="B6111" s="59"/>
      <c r="C6111" s="137"/>
      <c r="D6111" s="59"/>
      <c r="E6111" s="116"/>
      <c r="F6111" s="120"/>
      <c r="G6111" s="120"/>
      <c r="H6111" s="120"/>
      <c r="I6111" s="60"/>
      <c r="J6111" s="116"/>
      <c r="K6111" s="213"/>
      <c r="L6111" s="120"/>
      <c r="M6111" s="120"/>
      <c r="N6111" s="167"/>
      <c r="O6111" s="120"/>
      <c r="P6111" s="120"/>
      <c r="Q6111" s="120"/>
      <c r="R6111" s="120"/>
      <c r="S6111" s="120"/>
      <c r="T6111" s="221"/>
      <c r="U6111" s="89"/>
      <c r="V6111" s="61"/>
      <c r="W6111" s="92" t="s">
        <v>1598</v>
      </c>
      <c r="X6111" s="93" t="s">
        <v>32</v>
      </c>
      <c r="Y6111" s="93" t="s">
        <v>1349</v>
      </c>
      <c r="Z6111" s="134">
        <f>VLOOKUP(W6111,Sheet2!$B:$D,3,FALSE)</f>
        <v>18500</v>
      </c>
      <c r="AA6111" s="93">
        <v>1</v>
      </c>
      <c r="AB6111" s="93">
        <f>AD6111/AC6110</f>
        <v>18500</v>
      </c>
      <c r="AC6111" s="93">
        <f>AC6110/AA6111</f>
        <v>1</v>
      </c>
      <c r="AD6111" s="94">
        <f t="shared" ref="AD6111" si="4276">AC6111*Z6111</f>
        <v>18500</v>
      </c>
      <c r="AE6111" s="190"/>
      <c r="AF6111" s="191"/>
      <c r="AG6111" s="191"/>
      <c r="AH6111" s="191"/>
      <c r="AI6111" s="186"/>
      <c r="AK6111" s="171"/>
    </row>
    <row r="6112" spans="1:41" ht="20.100000000000001" customHeight="1" x14ac:dyDescent="0.25">
      <c r="A6112" s="277" t="s">
        <v>491</v>
      </c>
      <c r="B6112" s="278"/>
      <c r="C6112" s="64" t="s">
        <v>660</v>
      </c>
      <c r="D6112" s="46" t="s">
        <v>328</v>
      </c>
      <c r="E6112" s="114">
        <v>1</v>
      </c>
      <c r="F6112" s="44">
        <v>8182</v>
      </c>
      <c r="G6112" s="44">
        <f t="shared" si="3841"/>
        <v>8182</v>
      </c>
      <c r="H6112" s="44">
        <f t="shared" si="3842"/>
        <v>4750</v>
      </c>
      <c r="I6112" s="43">
        <f t="shared" si="3843"/>
        <v>4750</v>
      </c>
      <c r="J6112" s="112">
        <f t="shared" si="3844"/>
        <v>1</v>
      </c>
      <c r="K6112" s="211">
        <f t="shared" si="3845"/>
        <v>1</v>
      </c>
      <c r="L6112" s="44"/>
      <c r="M6112" s="44">
        <f t="shared" si="3846"/>
        <v>1</v>
      </c>
      <c r="N6112" s="173">
        <f t="shared" si="3847"/>
        <v>1</v>
      </c>
      <c r="O6112" s="44">
        <f t="shared" si="3848"/>
        <v>8182</v>
      </c>
      <c r="P6112" s="44">
        <f t="shared" si="3849"/>
        <v>8182</v>
      </c>
      <c r="Q6112" s="44">
        <f t="shared" si="3850"/>
        <v>4750</v>
      </c>
      <c r="R6112" s="44">
        <f t="shared" si="3851"/>
        <v>4750</v>
      </c>
      <c r="S6112" s="123"/>
      <c r="T6112" s="219">
        <f t="shared" si="3852"/>
        <v>4750</v>
      </c>
      <c r="U6112" s="87"/>
      <c r="V6112" s="47"/>
      <c r="W6112" s="48"/>
      <c r="X6112" s="48"/>
      <c r="Y6112" s="48"/>
      <c r="Z6112" s="135"/>
      <c r="AA6112" s="49"/>
      <c r="AB6112" s="50">
        <f t="shared" si="3853"/>
        <v>4750</v>
      </c>
      <c r="AC6112" s="42">
        <f t="shared" si="3854"/>
        <v>1</v>
      </c>
      <c r="AD6112" s="90">
        <f>AD6113</f>
        <v>4750</v>
      </c>
      <c r="AE6112" s="188">
        <f t="shared" ref="AE6112" si="4277">AE6113</f>
        <v>0</v>
      </c>
      <c r="AF6112" s="189">
        <f t="shared" ref="AF6112" si="4278">AF6113</f>
        <v>0</v>
      </c>
      <c r="AG6112" s="189">
        <f t="shared" ref="AG6112" si="4279">AG6113</f>
        <v>0</v>
      </c>
      <c r="AH6112" s="189">
        <f t="shared" ref="AH6112" si="4280">AH6113</f>
        <v>0</v>
      </c>
      <c r="AI6112" s="161">
        <f t="shared" ref="AI6112:AI6113" si="4281">SUM(AE6112:AH6112)</f>
        <v>0</v>
      </c>
      <c r="AK6112" s="169">
        <v>5</v>
      </c>
      <c r="AO6112" s="19" t="s">
        <v>63</v>
      </c>
    </row>
    <row r="6113" spans="1:41" s="103" customFormat="1" ht="19.899999999999999" customHeight="1" x14ac:dyDescent="0.25">
      <c r="A6113" s="51"/>
      <c r="B6113" s="52"/>
      <c r="C6113" s="165"/>
      <c r="D6113" s="52"/>
      <c r="E6113" s="115"/>
      <c r="F6113" s="58"/>
      <c r="G6113" s="58"/>
      <c r="H6113" s="58"/>
      <c r="I6113" s="55"/>
      <c r="J6113" s="113">
        <f>J6112</f>
        <v>1</v>
      </c>
      <c r="K6113" s="212">
        <f>K6112</f>
        <v>1</v>
      </c>
      <c r="L6113" s="58"/>
      <c r="M6113" s="58">
        <f>K6113-L6113</f>
        <v>1</v>
      </c>
      <c r="N6113" s="166"/>
      <c r="O6113" s="58"/>
      <c r="P6113" s="58"/>
      <c r="Q6113" s="58"/>
      <c r="R6113" s="58"/>
      <c r="S6113" s="58"/>
      <c r="T6113" s="220"/>
      <c r="U6113" s="88"/>
      <c r="V6113" s="56"/>
      <c r="W6113" s="57" t="s">
        <v>1599</v>
      </c>
      <c r="X6113" s="53"/>
      <c r="Y6113" s="91" t="s">
        <v>1349</v>
      </c>
      <c r="Z6113" s="136">
        <f>AD6113/AC6113</f>
        <v>4750</v>
      </c>
      <c r="AA6113" s="58"/>
      <c r="AB6113" s="53">
        <f>AD6113/AC6113</f>
        <v>4750</v>
      </c>
      <c r="AC6113" s="53">
        <f>M6113+$AE$10</f>
        <v>1</v>
      </c>
      <c r="AD6113" s="54">
        <f>SUM(AD6114)</f>
        <v>4750</v>
      </c>
      <c r="AE6113" s="184">
        <f>SUMIFS($AD$37:$AD$12971,$V$37:$V$12971,$V6113,$X$37:$X$12971,AE$13)</f>
        <v>0</v>
      </c>
      <c r="AF6113" s="185">
        <f>SUMIFS($AD$37:$AD$12971,$V$37:$V$12971,$V6113,$X$37:$X$12971,AF$13)</f>
        <v>0</v>
      </c>
      <c r="AG6113" s="185">
        <f>SUMIFS($AD$37:$AD$12971,$V$37:$V$12971,$V6113,$X$37:$X$12971,AG$13)</f>
        <v>0</v>
      </c>
      <c r="AH6113" s="187">
        <f>SUMIFS($AD$37:$AD$12971,$V$37:$V$12971,$V6113,$X$37:$X$12971,AH$13)</f>
        <v>0</v>
      </c>
      <c r="AI6113" s="161">
        <f t="shared" si="4281"/>
        <v>0</v>
      </c>
      <c r="AK6113" s="172"/>
    </row>
    <row r="6114" spans="1:41" s="102" customFormat="1" ht="19.899999999999999" customHeight="1" x14ac:dyDescent="0.25">
      <c r="A6114" s="45"/>
      <c r="B6114" s="59"/>
      <c r="C6114" s="137"/>
      <c r="D6114" s="59"/>
      <c r="E6114" s="116"/>
      <c r="F6114" s="120"/>
      <c r="G6114" s="120"/>
      <c r="H6114" s="120"/>
      <c r="I6114" s="60"/>
      <c r="J6114" s="116"/>
      <c r="K6114" s="213"/>
      <c r="L6114" s="120"/>
      <c r="M6114" s="120"/>
      <c r="N6114" s="167"/>
      <c r="O6114" s="120"/>
      <c r="P6114" s="120"/>
      <c r="Q6114" s="120"/>
      <c r="R6114" s="120"/>
      <c r="S6114" s="120"/>
      <c r="T6114" s="221"/>
      <c r="U6114" s="89"/>
      <c r="V6114" s="61"/>
      <c r="W6114" s="92" t="s">
        <v>1600</v>
      </c>
      <c r="X6114" s="93" t="s">
        <v>32</v>
      </c>
      <c r="Y6114" s="93" t="s">
        <v>1349</v>
      </c>
      <c r="Z6114" s="134">
        <f>VLOOKUP(W6114,Sheet2!$B:$D,3,FALSE)</f>
        <v>4750</v>
      </c>
      <c r="AA6114" s="93">
        <v>1</v>
      </c>
      <c r="AB6114" s="93">
        <f>AD6114/AC6113</f>
        <v>4750</v>
      </c>
      <c r="AC6114" s="93">
        <f>AC6113/AA6114</f>
        <v>1</v>
      </c>
      <c r="AD6114" s="94">
        <f t="shared" ref="AD6114" si="4282">AC6114*Z6114</f>
        <v>4750</v>
      </c>
      <c r="AE6114" s="190"/>
      <c r="AF6114" s="191"/>
      <c r="AG6114" s="191"/>
      <c r="AH6114" s="191"/>
      <c r="AI6114" s="186"/>
      <c r="AK6114" s="171"/>
    </row>
    <row r="6115" spans="1:41" s="102" customFormat="1" ht="20.100000000000001" customHeight="1" x14ac:dyDescent="0.25">
      <c r="A6115" s="45" t="s">
        <v>491</v>
      </c>
      <c r="B6115" s="276"/>
      <c r="C6115" s="285" t="s">
        <v>645</v>
      </c>
      <c r="D6115" s="59"/>
      <c r="E6115" s="116"/>
      <c r="F6115" s="120"/>
      <c r="G6115" s="120">
        <f t="shared" si="3841"/>
        <v>0</v>
      </c>
      <c r="H6115" s="120">
        <f t="shared" si="3842"/>
        <v>0</v>
      </c>
      <c r="I6115" s="60">
        <f t="shared" si="3843"/>
        <v>0</v>
      </c>
      <c r="J6115" s="116">
        <f t="shared" si="3844"/>
        <v>0</v>
      </c>
      <c r="K6115" s="213">
        <f t="shared" si="3845"/>
        <v>0</v>
      </c>
      <c r="L6115" s="120"/>
      <c r="M6115" s="120">
        <f t="shared" si="3846"/>
        <v>0</v>
      </c>
      <c r="N6115" s="167">
        <f t="shared" si="3847"/>
        <v>0</v>
      </c>
      <c r="O6115" s="120">
        <f t="shared" si="3848"/>
        <v>0</v>
      </c>
      <c r="P6115" s="120">
        <f t="shared" si="3849"/>
        <v>0</v>
      </c>
      <c r="Q6115" s="120">
        <f t="shared" si="3850"/>
        <v>0</v>
      </c>
      <c r="R6115" s="120">
        <f t="shared" si="3851"/>
        <v>0</v>
      </c>
      <c r="S6115" s="120"/>
      <c r="T6115" s="221">
        <f t="shared" si="3852"/>
        <v>0</v>
      </c>
      <c r="U6115" s="89"/>
      <c r="V6115" s="61"/>
      <c r="W6115" s="92"/>
      <c r="X6115" s="38"/>
      <c r="Y6115" s="93"/>
      <c r="Z6115" s="134"/>
      <c r="AA6115" s="93"/>
      <c r="AB6115" s="93"/>
      <c r="AC6115" s="93"/>
      <c r="AD6115" s="94"/>
      <c r="AE6115" s="190"/>
      <c r="AF6115" s="191"/>
      <c r="AG6115" s="191"/>
      <c r="AH6115" s="191"/>
      <c r="AI6115" s="186"/>
      <c r="AK6115" s="171"/>
    </row>
    <row r="6116" spans="1:41" s="102" customFormat="1" ht="20.100000000000001" customHeight="1" x14ac:dyDescent="0.25">
      <c r="A6116" s="45" t="s">
        <v>491</v>
      </c>
      <c r="B6116" s="276"/>
      <c r="C6116" s="285" t="s">
        <v>661</v>
      </c>
      <c r="D6116" s="59"/>
      <c r="E6116" s="116"/>
      <c r="F6116" s="120"/>
      <c r="G6116" s="120">
        <f t="shared" si="3841"/>
        <v>0</v>
      </c>
      <c r="H6116" s="120">
        <f t="shared" si="3842"/>
        <v>0</v>
      </c>
      <c r="I6116" s="60">
        <f t="shared" si="3843"/>
        <v>0</v>
      </c>
      <c r="J6116" s="116">
        <f t="shared" si="3844"/>
        <v>0</v>
      </c>
      <c r="K6116" s="213">
        <f t="shared" si="3845"/>
        <v>0</v>
      </c>
      <c r="L6116" s="120"/>
      <c r="M6116" s="120">
        <f t="shared" si="3846"/>
        <v>0</v>
      </c>
      <c r="N6116" s="167">
        <f t="shared" si="3847"/>
        <v>0</v>
      </c>
      <c r="O6116" s="120">
        <f t="shared" si="3848"/>
        <v>0</v>
      </c>
      <c r="P6116" s="120">
        <f t="shared" si="3849"/>
        <v>0</v>
      </c>
      <c r="Q6116" s="120">
        <f t="shared" si="3850"/>
        <v>0</v>
      </c>
      <c r="R6116" s="120">
        <f t="shared" si="3851"/>
        <v>0</v>
      </c>
      <c r="S6116" s="120"/>
      <c r="T6116" s="221">
        <f t="shared" si="3852"/>
        <v>0</v>
      </c>
      <c r="U6116" s="89"/>
      <c r="V6116" s="61"/>
      <c r="W6116" s="92"/>
      <c r="X6116" s="38"/>
      <c r="Y6116" s="93"/>
      <c r="Z6116" s="134"/>
      <c r="AA6116" s="93"/>
      <c r="AB6116" s="93"/>
      <c r="AC6116" s="93"/>
      <c r="AD6116" s="94"/>
      <c r="AE6116" s="190"/>
      <c r="AF6116" s="191"/>
      <c r="AG6116" s="191"/>
      <c r="AH6116" s="191"/>
      <c r="AI6116" s="186"/>
      <c r="AK6116" s="171"/>
    </row>
    <row r="6117" spans="1:41" s="102" customFormat="1" ht="78.75" x14ac:dyDescent="0.25">
      <c r="A6117" s="45" t="s">
        <v>491</v>
      </c>
      <c r="B6117" s="276"/>
      <c r="C6117" s="285" t="s">
        <v>662</v>
      </c>
      <c r="D6117" s="59"/>
      <c r="E6117" s="116"/>
      <c r="F6117" s="120"/>
      <c r="G6117" s="120">
        <f t="shared" si="3841"/>
        <v>0</v>
      </c>
      <c r="H6117" s="120">
        <f t="shared" si="3842"/>
        <v>0</v>
      </c>
      <c r="I6117" s="60">
        <f t="shared" si="3843"/>
        <v>0</v>
      </c>
      <c r="J6117" s="116">
        <f t="shared" si="3844"/>
        <v>0</v>
      </c>
      <c r="K6117" s="213">
        <f t="shared" si="3845"/>
        <v>0</v>
      </c>
      <c r="L6117" s="120"/>
      <c r="M6117" s="120">
        <f t="shared" si="3846"/>
        <v>0</v>
      </c>
      <c r="N6117" s="167">
        <f t="shared" si="3847"/>
        <v>0</v>
      </c>
      <c r="O6117" s="120">
        <f t="shared" si="3848"/>
        <v>0</v>
      </c>
      <c r="P6117" s="120">
        <f t="shared" si="3849"/>
        <v>0</v>
      </c>
      <c r="Q6117" s="120">
        <f t="shared" si="3850"/>
        <v>0</v>
      </c>
      <c r="R6117" s="120">
        <f t="shared" si="3851"/>
        <v>0</v>
      </c>
      <c r="S6117" s="120"/>
      <c r="T6117" s="221">
        <f t="shared" si="3852"/>
        <v>0</v>
      </c>
      <c r="U6117" s="89"/>
      <c r="V6117" s="61"/>
      <c r="W6117" s="92"/>
      <c r="X6117" s="38"/>
      <c r="Y6117" s="93"/>
      <c r="Z6117" s="134"/>
      <c r="AA6117" s="93"/>
      <c r="AB6117" s="93"/>
      <c r="AC6117" s="93"/>
      <c r="AD6117" s="94"/>
      <c r="AE6117" s="190"/>
      <c r="AF6117" s="191"/>
      <c r="AG6117" s="191"/>
      <c r="AH6117" s="191"/>
      <c r="AI6117" s="186"/>
      <c r="AK6117" s="171"/>
    </row>
    <row r="6118" spans="1:41" ht="20.100000000000001" customHeight="1" x14ac:dyDescent="0.25">
      <c r="A6118" s="277" t="s">
        <v>491</v>
      </c>
      <c r="B6118" s="278"/>
      <c r="C6118" s="64" t="s">
        <v>663</v>
      </c>
      <c r="D6118" s="46" t="s">
        <v>186</v>
      </c>
      <c r="E6118" s="114">
        <v>1</v>
      </c>
      <c r="F6118" s="44">
        <v>314702</v>
      </c>
      <c r="G6118" s="44">
        <f t="shared" si="3841"/>
        <v>314702</v>
      </c>
      <c r="H6118" s="44">
        <f t="shared" si="3842"/>
        <v>219500</v>
      </c>
      <c r="I6118" s="43">
        <f t="shared" si="3843"/>
        <v>219500</v>
      </c>
      <c r="J6118" s="112">
        <f t="shared" si="3844"/>
        <v>1</v>
      </c>
      <c r="K6118" s="211">
        <f t="shared" si="3845"/>
        <v>1</v>
      </c>
      <c r="L6118" s="44"/>
      <c r="M6118" s="44">
        <f t="shared" si="3846"/>
        <v>1</v>
      </c>
      <c r="N6118" s="173">
        <f t="shared" si="3847"/>
        <v>1</v>
      </c>
      <c r="O6118" s="44">
        <f t="shared" si="3848"/>
        <v>314702</v>
      </c>
      <c r="P6118" s="44">
        <f t="shared" si="3849"/>
        <v>314702</v>
      </c>
      <c r="Q6118" s="44">
        <f t="shared" si="3850"/>
        <v>219500</v>
      </c>
      <c r="R6118" s="44">
        <f t="shared" si="3851"/>
        <v>219500</v>
      </c>
      <c r="S6118" s="123"/>
      <c r="T6118" s="219">
        <f t="shared" si="3852"/>
        <v>219500</v>
      </c>
      <c r="U6118" s="87"/>
      <c r="V6118" s="47"/>
      <c r="W6118" s="48"/>
      <c r="X6118" s="48"/>
      <c r="Y6118" s="48"/>
      <c r="Z6118" s="135"/>
      <c r="AA6118" s="49"/>
      <c r="AB6118" s="50">
        <f t="shared" si="3853"/>
        <v>219500</v>
      </c>
      <c r="AC6118" s="42">
        <f t="shared" si="3854"/>
        <v>1</v>
      </c>
      <c r="AD6118" s="90">
        <f>AD6119</f>
        <v>219500</v>
      </c>
      <c r="AE6118" s="188">
        <v>219500</v>
      </c>
      <c r="AF6118" s="189">
        <v>219500</v>
      </c>
      <c r="AG6118" s="189">
        <v>219500</v>
      </c>
      <c r="AH6118" s="189">
        <v>219500</v>
      </c>
      <c r="AI6118" s="161">
        <f t="shared" ref="AI6118:AI6119" si="4283">SUM(AE6118:AH6118)</f>
        <v>878000</v>
      </c>
      <c r="AK6118" s="169">
        <v>5</v>
      </c>
      <c r="AO6118" s="19" t="s">
        <v>63</v>
      </c>
    </row>
    <row r="6119" spans="1:41" s="103" customFormat="1" ht="19.899999999999999" customHeight="1" x14ac:dyDescent="0.25">
      <c r="A6119" s="51"/>
      <c r="B6119" s="52"/>
      <c r="C6119" s="165"/>
      <c r="D6119" s="52"/>
      <c r="E6119" s="115"/>
      <c r="F6119" s="58"/>
      <c r="G6119" s="58"/>
      <c r="H6119" s="58"/>
      <c r="I6119" s="55"/>
      <c r="J6119" s="113">
        <f>J6118</f>
        <v>1</v>
      </c>
      <c r="K6119" s="212">
        <f>K6118</f>
        <v>1</v>
      </c>
      <c r="L6119" s="58"/>
      <c r="M6119" s="58">
        <f>K6119-L6119</f>
        <v>1</v>
      </c>
      <c r="N6119" s="166"/>
      <c r="O6119" s="58"/>
      <c r="P6119" s="58"/>
      <c r="Q6119" s="58"/>
      <c r="R6119" s="58"/>
      <c r="S6119" s="58"/>
      <c r="T6119" s="220"/>
      <c r="U6119" s="88"/>
      <c r="V6119" s="56"/>
      <c r="W6119" s="57" t="s">
        <v>1601</v>
      </c>
      <c r="X6119" s="53"/>
      <c r="Y6119" s="91" t="s">
        <v>1349</v>
      </c>
      <c r="Z6119" s="136">
        <f>AD6119/AC6119</f>
        <v>219500</v>
      </c>
      <c r="AA6119" s="58"/>
      <c r="AB6119" s="53">
        <f>AD6119/AC6119</f>
        <v>219500</v>
      </c>
      <c r="AC6119" s="53">
        <f>M6119+$AE$10</f>
        <v>1</v>
      </c>
      <c r="AD6119" s="54">
        <f>SUM(AD6120)</f>
        <v>219500</v>
      </c>
      <c r="AE6119" s="184">
        <f>SUMIFS($AD$37:$AD$12971,$V$37:$V$12971,$V6119,$X$37:$X$12971,AE$13)</f>
        <v>0</v>
      </c>
      <c r="AF6119" s="185">
        <f>SUMIFS($AD$37:$AD$12971,$V$37:$V$12971,$V6119,$X$37:$X$12971,AF$13)</f>
        <v>0</v>
      </c>
      <c r="AG6119" s="185">
        <f>SUMIFS($AD$37:$AD$12971,$V$37:$V$12971,$V6119,$X$37:$X$12971,AG$13)</f>
        <v>0</v>
      </c>
      <c r="AH6119" s="187">
        <f>SUMIFS($AD$37:$AD$12971,$V$37:$V$12971,$V6119,$X$37:$X$12971,AH$13)</f>
        <v>0</v>
      </c>
      <c r="AI6119" s="161">
        <f t="shared" si="4283"/>
        <v>0</v>
      </c>
      <c r="AK6119" s="172"/>
    </row>
    <row r="6120" spans="1:41" s="102" customFormat="1" ht="19.899999999999999" customHeight="1" x14ac:dyDescent="0.25">
      <c r="A6120" s="45"/>
      <c r="B6120" s="59"/>
      <c r="C6120" s="137"/>
      <c r="D6120" s="59"/>
      <c r="E6120" s="116"/>
      <c r="F6120" s="120"/>
      <c r="G6120" s="120"/>
      <c r="H6120" s="120"/>
      <c r="I6120" s="60"/>
      <c r="J6120" s="116"/>
      <c r="K6120" s="213"/>
      <c r="L6120" s="120"/>
      <c r="M6120" s="120"/>
      <c r="N6120" s="167"/>
      <c r="O6120" s="120"/>
      <c r="P6120" s="120"/>
      <c r="Q6120" s="120"/>
      <c r="R6120" s="120"/>
      <c r="S6120" s="120"/>
      <c r="T6120" s="221"/>
      <c r="U6120" s="89"/>
      <c r="V6120" s="61"/>
      <c r="W6120" s="92" t="s">
        <v>1602</v>
      </c>
      <c r="X6120" s="93" t="s">
        <v>32</v>
      </c>
      <c r="Y6120" s="93" t="s">
        <v>1349</v>
      </c>
      <c r="Z6120" s="134">
        <f>VLOOKUP(W6120,Sheet2!$B:$D,3,FALSE)</f>
        <v>219500</v>
      </c>
      <c r="AA6120" s="93">
        <v>1</v>
      </c>
      <c r="AB6120" s="93">
        <f>AD6120/AC6119</f>
        <v>219500</v>
      </c>
      <c r="AC6120" s="93">
        <f>AC6119/AA6120</f>
        <v>1</v>
      </c>
      <c r="AD6120" s="94">
        <f t="shared" ref="AD6120" si="4284">AC6120*Z6120</f>
        <v>219500</v>
      </c>
      <c r="AE6120" s="190"/>
      <c r="AF6120" s="191"/>
      <c r="AG6120" s="191"/>
      <c r="AH6120" s="191"/>
      <c r="AI6120" s="186"/>
      <c r="AK6120" s="171"/>
    </row>
    <row r="6121" spans="1:41" s="102" customFormat="1" ht="20.100000000000001" customHeight="1" x14ac:dyDescent="0.25">
      <c r="A6121" s="45" t="s">
        <v>491</v>
      </c>
      <c r="B6121" s="276"/>
      <c r="C6121" s="285" t="s">
        <v>664</v>
      </c>
      <c r="D6121" s="59"/>
      <c r="E6121" s="116"/>
      <c r="F6121" s="120"/>
      <c r="G6121" s="120">
        <f t="shared" si="3841"/>
        <v>0</v>
      </c>
      <c r="H6121" s="120">
        <f t="shared" si="3842"/>
        <v>0</v>
      </c>
      <c r="I6121" s="60">
        <f t="shared" si="3843"/>
        <v>0</v>
      </c>
      <c r="J6121" s="116">
        <f t="shared" si="3844"/>
        <v>0</v>
      </c>
      <c r="K6121" s="213">
        <f t="shared" si="3845"/>
        <v>0</v>
      </c>
      <c r="L6121" s="120"/>
      <c r="M6121" s="120">
        <f t="shared" si="3846"/>
        <v>0</v>
      </c>
      <c r="N6121" s="167">
        <f t="shared" si="3847"/>
        <v>0</v>
      </c>
      <c r="O6121" s="120">
        <f t="shared" si="3848"/>
        <v>0</v>
      </c>
      <c r="P6121" s="120">
        <f t="shared" si="3849"/>
        <v>0</v>
      </c>
      <c r="Q6121" s="120">
        <f t="shared" si="3850"/>
        <v>0</v>
      </c>
      <c r="R6121" s="120">
        <f t="shared" si="3851"/>
        <v>0</v>
      </c>
      <c r="S6121" s="120"/>
      <c r="T6121" s="221">
        <f t="shared" si="3852"/>
        <v>0</v>
      </c>
      <c r="U6121" s="89"/>
      <c r="V6121" s="61"/>
      <c r="W6121" s="92"/>
      <c r="X6121" s="38"/>
      <c r="Y6121" s="93"/>
      <c r="Z6121" s="134"/>
      <c r="AA6121" s="93"/>
      <c r="AB6121" s="93"/>
      <c r="AC6121" s="93"/>
      <c r="AD6121" s="94"/>
      <c r="AE6121" s="190"/>
      <c r="AF6121" s="191"/>
      <c r="AG6121" s="191"/>
      <c r="AH6121" s="191"/>
      <c r="AI6121" s="186"/>
      <c r="AK6121" s="171"/>
    </row>
    <row r="6122" spans="1:41" s="102" customFormat="1" ht="94.5" x14ac:dyDescent="0.25">
      <c r="A6122" s="45" t="s">
        <v>491</v>
      </c>
      <c r="B6122" s="276"/>
      <c r="C6122" s="285" t="s">
        <v>665</v>
      </c>
      <c r="D6122" s="59"/>
      <c r="E6122" s="116"/>
      <c r="F6122" s="120"/>
      <c r="G6122" s="120">
        <f t="shared" si="3841"/>
        <v>0</v>
      </c>
      <c r="H6122" s="120">
        <f t="shared" si="3842"/>
        <v>0</v>
      </c>
      <c r="I6122" s="60">
        <f t="shared" si="3843"/>
        <v>0</v>
      </c>
      <c r="J6122" s="116">
        <f t="shared" si="3844"/>
        <v>0</v>
      </c>
      <c r="K6122" s="213">
        <f t="shared" si="3845"/>
        <v>0</v>
      </c>
      <c r="L6122" s="120"/>
      <c r="M6122" s="120">
        <f t="shared" si="3846"/>
        <v>0</v>
      </c>
      <c r="N6122" s="167">
        <f t="shared" si="3847"/>
        <v>0</v>
      </c>
      <c r="O6122" s="120">
        <f t="shared" si="3848"/>
        <v>0</v>
      </c>
      <c r="P6122" s="120">
        <f t="shared" si="3849"/>
        <v>0</v>
      </c>
      <c r="Q6122" s="120">
        <f t="shared" si="3850"/>
        <v>0</v>
      </c>
      <c r="R6122" s="120">
        <f t="shared" si="3851"/>
        <v>0</v>
      </c>
      <c r="S6122" s="120"/>
      <c r="T6122" s="221">
        <f t="shared" si="3852"/>
        <v>0</v>
      </c>
      <c r="U6122" s="89"/>
      <c r="V6122" s="61"/>
      <c r="W6122" s="92"/>
      <c r="X6122" s="38"/>
      <c r="Y6122" s="93"/>
      <c r="Z6122" s="134"/>
      <c r="AA6122" s="93"/>
      <c r="AB6122" s="93"/>
      <c r="AC6122" s="93"/>
      <c r="AD6122" s="94"/>
      <c r="AE6122" s="190"/>
      <c r="AF6122" s="191"/>
      <c r="AG6122" s="191"/>
      <c r="AH6122" s="191"/>
      <c r="AI6122" s="186"/>
      <c r="AK6122" s="171"/>
    </row>
    <row r="6123" spans="1:41" ht="20.100000000000001" customHeight="1" x14ac:dyDescent="0.25">
      <c r="A6123" s="277" t="s">
        <v>491</v>
      </c>
      <c r="B6123" s="278"/>
      <c r="C6123" s="64" t="s">
        <v>666</v>
      </c>
      <c r="D6123" s="46" t="s">
        <v>97</v>
      </c>
      <c r="E6123" s="114">
        <v>28</v>
      </c>
      <c r="F6123" s="44">
        <v>104</v>
      </c>
      <c r="G6123" s="44">
        <f t="shared" si="3841"/>
        <v>2912</v>
      </c>
      <c r="H6123" s="44">
        <f t="shared" si="3842"/>
        <v>56.130707843137252</v>
      </c>
      <c r="I6123" s="43">
        <f t="shared" si="3843"/>
        <v>1571.659819607843</v>
      </c>
      <c r="J6123" s="112">
        <f t="shared" si="3844"/>
        <v>28</v>
      </c>
      <c r="K6123" s="211">
        <f t="shared" si="3845"/>
        <v>28</v>
      </c>
      <c r="L6123" s="44"/>
      <c r="M6123" s="44">
        <f t="shared" si="3846"/>
        <v>28</v>
      </c>
      <c r="N6123" s="173">
        <f t="shared" si="3847"/>
        <v>1</v>
      </c>
      <c r="O6123" s="44">
        <f t="shared" si="3848"/>
        <v>104</v>
      </c>
      <c r="P6123" s="44">
        <f t="shared" si="3849"/>
        <v>2912</v>
      </c>
      <c r="Q6123" s="44">
        <f t="shared" si="3850"/>
        <v>56.130707843137252</v>
      </c>
      <c r="R6123" s="44">
        <f t="shared" si="3851"/>
        <v>1571.659819607843</v>
      </c>
      <c r="S6123" s="123"/>
      <c r="T6123" s="219">
        <f t="shared" si="3852"/>
        <v>1571.659819607843</v>
      </c>
      <c r="U6123" s="87"/>
      <c r="V6123" s="47"/>
      <c r="W6123" s="48"/>
      <c r="X6123" s="48"/>
      <c r="Y6123" s="48"/>
      <c r="Z6123" s="135"/>
      <c r="AA6123" s="49"/>
      <c r="AB6123" s="50">
        <f t="shared" si="3853"/>
        <v>56.130707843137252</v>
      </c>
      <c r="AC6123" s="42">
        <f t="shared" si="3854"/>
        <v>28</v>
      </c>
      <c r="AD6123" s="90">
        <f>AD6124+AD6131+AD6137</f>
        <v>1571.659819607843</v>
      </c>
      <c r="AE6123" s="188">
        <f t="shared" ref="AE6123:AH6123" si="4285">AE6124+AE6131+AE6137</f>
        <v>0</v>
      </c>
      <c r="AF6123" s="189">
        <f t="shared" si="4285"/>
        <v>0</v>
      </c>
      <c r="AG6123" s="189">
        <f t="shared" si="4285"/>
        <v>0</v>
      </c>
      <c r="AH6123" s="189">
        <f t="shared" si="4285"/>
        <v>0</v>
      </c>
      <c r="AI6123" s="161">
        <f t="shared" ref="AI6123:AI6124" si="4286">SUM(AE6123:AH6123)</f>
        <v>0</v>
      </c>
      <c r="AK6123" s="169">
        <v>5</v>
      </c>
      <c r="AO6123" s="19" t="s">
        <v>63</v>
      </c>
    </row>
    <row r="6124" spans="1:41" s="103" customFormat="1" ht="19.899999999999999" customHeight="1" x14ac:dyDescent="0.25">
      <c r="A6124" s="51"/>
      <c r="B6124" s="52"/>
      <c r="C6124" s="165"/>
      <c r="D6124" s="52"/>
      <c r="E6124" s="115"/>
      <c r="F6124" s="58"/>
      <c r="G6124" s="58"/>
      <c r="H6124" s="58"/>
      <c r="I6124" s="55"/>
      <c r="J6124" s="113">
        <f>J6123</f>
        <v>28</v>
      </c>
      <c r="K6124" s="212">
        <f>K6123</f>
        <v>28</v>
      </c>
      <c r="L6124" s="58"/>
      <c r="M6124" s="58">
        <f>K6124-L6124</f>
        <v>28</v>
      </c>
      <c r="N6124" s="166"/>
      <c r="O6124" s="58"/>
      <c r="P6124" s="58"/>
      <c r="Q6124" s="58"/>
      <c r="R6124" s="58"/>
      <c r="S6124" s="58"/>
      <c r="T6124" s="220"/>
      <c r="U6124" s="88"/>
      <c r="V6124" s="56"/>
      <c r="W6124" s="57" t="s">
        <v>1603</v>
      </c>
      <c r="X6124" s="53"/>
      <c r="Y6124" s="91" t="s">
        <v>68</v>
      </c>
      <c r="Z6124" s="136">
        <f>AD6124/AC6124</f>
        <v>10.52569411764706</v>
      </c>
      <c r="AA6124" s="58"/>
      <c r="AB6124" s="53">
        <f>AD6124/AC6124</f>
        <v>10.52569411764706</v>
      </c>
      <c r="AC6124" s="53">
        <f>M6124+$AE$10</f>
        <v>28</v>
      </c>
      <c r="AD6124" s="54">
        <f>SUM(AD6125:AD6130)</f>
        <v>294.71943529411766</v>
      </c>
      <c r="AE6124" s="184">
        <f>SUMIFS($AD$37:$AD$12971,$V$37:$V$12971,$V6124,$X$37:$X$12971,AE$13)</f>
        <v>0</v>
      </c>
      <c r="AF6124" s="185">
        <f>SUMIFS($AD$37:$AD$12971,$V$37:$V$12971,$V6124,$X$37:$X$12971,AF$13)</f>
        <v>0</v>
      </c>
      <c r="AG6124" s="185">
        <f>SUMIFS($AD$37:$AD$12971,$V$37:$V$12971,$V6124,$X$37:$X$12971,AG$13)</f>
        <v>0</v>
      </c>
      <c r="AH6124" s="187">
        <f>SUMIFS($AD$37:$AD$12971,$V$37:$V$12971,$V6124,$X$37:$X$12971,AH$13)</f>
        <v>0</v>
      </c>
      <c r="AI6124" s="161">
        <f t="shared" si="4286"/>
        <v>0</v>
      </c>
      <c r="AK6124" s="172"/>
    </row>
    <row r="6125" spans="1:41" s="102" customFormat="1" ht="19.899999999999999" customHeight="1" x14ac:dyDescent="0.25">
      <c r="A6125" s="45"/>
      <c r="B6125" s="59"/>
      <c r="C6125" s="137"/>
      <c r="D6125" s="59"/>
      <c r="E6125" s="116"/>
      <c r="F6125" s="120"/>
      <c r="G6125" s="120"/>
      <c r="H6125" s="120"/>
      <c r="I6125" s="60"/>
      <c r="J6125" s="116"/>
      <c r="K6125" s="213"/>
      <c r="L6125" s="120"/>
      <c r="M6125" s="120"/>
      <c r="N6125" s="167"/>
      <c r="O6125" s="120"/>
      <c r="P6125" s="120"/>
      <c r="Q6125" s="120"/>
      <c r="R6125" s="120"/>
      <c r="S6125" s="120"/>
      <c r="T6125" s="221"/>
      <c r="U6125" s="89"/>
      <c r="V6125" s="61"/>
      <c r="W6125" s="92" t="s">
        <v>129</v>
      </c>
      <c r="X6125" s="93" t="s">
        <v>29</v>
      </c>
      <c r="Y6125" s="93" t="s">
        <v>93</v>
      </c>
      <c r="Z6125" s="134">
        <f>VLOOKUP(W6125,Sheet2!$B:$D,3,FALSE)</f>
        <v>56</v>
      </c>
      <c r="AA6125" s="93">
        <f>100/(1.5*1.5)</f>
        <v>44.444444444444443</v>
      </c>
      <c r="AB6125" s="93">
        <f t="shared" ref="AB6125" si="4287">AD6125/AC6124</f>
        <v>1.26</v>
      </c>
      <c r="AC6125" s="93">
        <f>AC6124/AA6125</f>
        <v>0.63</v>
      </c>
      <c r="AD6125" s="94">
        <f t="shared" ref="AD6125:AD6126" si="4288">AC6125*Z6125</f>
        <v>35.28</v>
      </c>
      <c r="AE6125" s="190"/>
      <c r="AF6125" s="191"/>
      <c r="AG6125" s="191"/>
      <c r="AH6125" s="191"/>
      <c r="AI6125" s="186"/>
      <c r="AK6125" s="171"/>
    </row>
    <row r="6126" spans="1:41" s="102" customFormat="1" ht="19.899999999999999" customHeight="1" x14ac:dyDescent="0.25">
      <c r="A6126" s="45"/>
      <c r="B6126" s="59"/>
      <c r="C6126" s="137"/>
      <c r="D6126" s="59"/>
      <c r="E6126" s="116"/>
      <c r="F6126" s="120"/>
      <c r="G6126" s="120"/>
      <c r="H6126" s="120"/>
      <c r="I6126" s="60"/>
      <c r="J6126" s="116"/>
      <c r="K6126" s="213"/>
      <c r="L6126" s="120"/>
      <c r="M6126" s="120"/>
      <c r="N6126" s="167"/>
      <c r="O6126" s="120"/>
      <c r="P6126" s="120"/>
      <c r="Q6126" s="120"/>
      <c r="R6126" s="120"/>
      <c r="S6126" s="120"/>
      <c r="T6126" s="221"/>
      <c r="U6126" s="89"/>
      <c r="V6126" s="61"/>
      <c r="W6126" s="92" t="s">
        <v>65</v>
      </c>
      <c r="X6126" s="93" t="s">
        <v>30</v>
      </c>
      <c r="Y6126" s="93" t="s">
        <v>1011</v>
      </c>
      <c r="Z6126" s="134">
        <f>VLOOKUP(W6126,Sheet2!$B:$D,3,FALSE)</f>
        <v>1.76</v>
      </c>
      <c r="AA6126" s="93">
        <f>AA6125/14</f>
        <v>3.1746031746031744</v>
      </c>
      <c r="AB6126" s="93">
        <f>AD6126/AC6124</f>
        <v>0.5544</v>
      </c>
      <c r="AC6126" s="93">
        <f>AC6124/AA6126</f>
        <v>8.82</v>
      </c>
      <c r="AD6126" s="94">
        <f t="shared" si="4288"/>
        <v>15.523200000000001</v>
      </c>
      <c r="AE6126" s="190"/>
      <c r="AF6126" s="191"/>
      <c r="AG6126" s="191"/>
      <c r="AH6126" s="191"/>
      <c r="AI6126" s="186"/>
      <c r="AK6126" s="171"/>
    </row>
    <row r="6127" spans="1:41" s="102" customFormat="1" ht="19.899999999999999" customHeight="1" x14ac:dyDescent="0.25">
      <c r="A6127" s="45"/>
      <c r="B6127" s="59"/>
      <c r="C6127" s="137"/>
      <c r="D6127" s="59"/>
      <c r="E6127" s="116"/>
      <c r="F6127" s="120"/>
      <c r="G6127" s="120"/>
      <c r="H6127" s="120"/>
      <c r="I6127" s="60"/>
      <c r="J6127" s="116"/>
      <c r="K6127" s="213"/>
      <c r="L6127" s="120"/>
      <c r="M6127" s="120"/>
      <c r="N6127" s="167"/>
      <c r="O6127" s="120"/>
      <c r="P6127" s="120"/>
      <c r="Q6127" s="120"/>
      <c r="R6127" s="120"/>
      <c r="S6127" s="120"/>
      <c r="T6127" s="221"/>
      <c r="U6127" s="89"/>
      <c r="V6127" s="61"/>
      <c r="W6127" s="92" t="s">
        <v>161</v>
      </c>
      <c r="X6127" s="93" t="s">
        <v>29</v>
      </c>
      <c r="Y6127" s="93" t="s">
        <v>93</v>
      </c>
      <c r="Z6127" s="134">
        <f>VLOOKUP(W6127,Sheet2!$B:$D,3,FALSE)</f>
        <v>48</v>
      </c>
      <c r="AA6127" s="93">
        <f>(16*0.85*1.5)/(1.5*1.5)</f>
        <v>9.0666666666666664</v>
      </c>
      <c r="AB6127" s="93">
        <f>AD6127/AC6124</f>
        <v>5.2941176470588243</v>
      </c>
      <c r="AC6127" s="93">
        <f>AC6124/AA6127</f>
        <v>3.0882352941176472</v>
      </c>
      <c r="AD6127" s="94">
        <f>AC6127*Z6127</f>
        <v>148.23529411764707</v>
      </c>
      <c r="AE6127" s="190"/>
      <c r="AF6127" s="191"/>
      <c r="AG6127" s="191"/>
      <c r="AH6127" s="191"/>
      <c r="AI6127" s="186"/>
      <c r="AK6127" s="171"/>
    </row>
    <row r="6128" spans="1:41" s="102" customFormat="1" ht="19.899999999999999" customHeight="1" x14ac:dyDescent="0.25">
      <c r="A6128" s="45"/>
      <c r="B6128" s="59"/>
      <c r="C6128" s="137"/>
      <c r="D6128" s="59"/>
      <c r="E6128" s="116"/>
      <c r="F6128" s="120"/>
      <c r="G6128" s="120"/>
      <c r="H6128" s="120"/>
      <c r="I6128" s="60"/>
      <c r="J6128" s="116"/>
      <c r="K6128" s="213"/>
      <c r="L6128" s="120"/>
      <c r="M6128" s="120"/>
      <c r="N6128" s="167"/>
      <c r="O6128" s="120"/>
      <c r="P6128" s="120"/>
      <c r="Q6128" s="120"/>
      <c r="R6128" s="120"/>
      <c r="S6128" s="120"/>
      <c r="T6128" s="221"/>
      <c r="U6128" s="89"/>
      <c r="V6128" s="61"/>
      <c r="W6128" s="92" t="s">
        <v>65</v>
      </c>
      <c r="X6128" s="93" t="s">
        <v>30</v>
      </c>
      <c r="Y6128" s="93" t="s">
        <v>1011</v>
      </c>
      <c r="Z6128" s="134">
        <f>VLOOKUP(W6128,Sheet2!$B:$D,3,FALSE)</f>
        <v>1.76</v>
      </c>
      <c r="AA6128" s="93">
        <f>AA6127/10</f>
        <v>0.90666666666666662</v>
      </c>
      <c r="AB6128" s="93">
        <f>AD6128/AC6124</f>
        <v>1.9411764705882353</v>
      </c>
      <c r="AC6128" s="93">
        <f>AC6124/AA6128</f>
        <v>30.882352941176471</v>
      </c>
      <c r="AD6128" s="94">
        <f>AC6128*Z6128</f>
        <v>54.352941176470587</v>
      </c>
      <c r="AE6128" s="190"/>
      <c r="AF6128" s="191"/>
      <c r="AG6128" s="191"/>
      <c r="AH6128" s="191"/>
      <c r="AI6128" s="186"/>
      <c r="AK6128" s="171"/>
    </row>
    <row r="6129" spans="1:37" s="102" customFormat="1" ht="19.899999999999999" customHeight="1" x14ac:dyDescent="0.25">
      <c r="A6129" s="45"/>
      <c r="B6129" s="59"/>
      <c r="C6129" s="137"/>
      <c r="D6129" s="59"/>
      <c r="E6129" s="116"/>
      <c r="F6129" s="120"/>
      <c r="G6129" s="120"/>
      <c r="H6129" s="120"/>
      <c r="I6129" s="60"/>
      <c r="J6129" s="116"/>
      <c r="K6129" s="213"/>
      <c r="L6129" s="120"/>
      <c r="M6129" s="120"/>
      <c r="N6129" s="167"/>
      <c r="O6129" s="120"/>
      <c r="P6129" s="120"/>
      <c r="Q6129" s="120"/>
      <c r="R6129" s="120"/>
      <c r="S6129" s="120"/>
      <c r="T6129" s="221"/>
      <c r="U6129" s="89"/>
      <c r="V6129" s="61"/>
      <c r="W6129" s="92" t="s">
        <v>148</v>
      </c>
      <c r="X6129" s="93" t="s">
        <v>29</v>
      </c>
      <c r="Y6129" s="93" t="s">
        <v>93</v>
      </c>
      <c r="Z6129" s="134">
        <f>VLOOKUP(W6129,Sheet2!$B:$D,3,FALSE)</f>
        <v>48</v>
      </c>
      <c r="AA6129" s="93">
        <f>AA6125</f>
        <v>44.444444444444443</v>
      </c>
      <c r="AB6129" s="93">
        <f>AD6129/AC6124</f>
        <v>1.08</v>
      </c>
      <c r="AC6129" s="93">
        <f>AC6124/AA6129</f>
        <v>0.63</v>
      </c>
      <c r="AD6129" s="94">
        <f t="shared" ref="AD6129:AD6130" si="4289">AC6129*Z6129</f>
        <v>30.240000000000002</v>
      </c>
      <c r="AE6129" s="190"/>
      <c r="AF6129" s="191"/>
      <c r="AG6129" s="191"/>
      <c r="AH6129" s="191"/>
      <c r="AI6129" s="186"/>
      <c r="AK6129" s="171"/>
    </row>
    <row r="6130" spans="1:37" s="102" customFormat="1" ht="19.899999999999999" customHeight="1" x14ac:dyDescent="0.25">
      <c r="A6130" s="45"/>
      <c r="B6130" s="59"/>
      <c r="C6130" s="137"/>
      <c r="D6130" s="59"/>
      <c r="E6130" s="116"/>
      <c r="F6130" s="120"/>
      <c r="G6130" s="120"/>
      <c r="H6130" s="120"/>
      <c r="I6130" s="60"/>
      <c r="J6130" s="116"/>
      <c r="K6130" s="213"/>
      <c r="L6130" s="120"/>
      <c r="M6130" s="120"/>
      <c r="N6130" s="167"/>
      <c r="O6130" s="120"/>
      <c r="P6130" s="120"/>
      <c r="Q6130" s="120"/>
      <c r="R6130" s="120"/>
      <c r="S6130" s="120"/>
      <c r="T6130" s="221"/>
      <c r="U6130" s="89"/>
      <c r="V6130" s="61"/>
      <c r="W6130" s="92" t="s">
        <v>65</v>
      </c>
      <c r="X6130" s="93" t="s">
        <v>30</v>
      </c>
      <c r="Y6130" s="93" t="s">
        <v>1011</v>
      </c>
      <c r="Z6130" s="134">
        <f>VLOOKUP(W6130,Sheet2!$B:$D,3,FALSE)</f>
        <v>1.76</v>
      </c>
      <c r="AA6130" s="93">
        <f>AA6129/10</f>
        <v>4.4444444444444446</v>
      </c>
      <c r="AB6130" s="93">
        <f>AD6130/AC6124</f>
        <v>0.39599999999999996</v>
      </c>
      <c r="AC6130" s="93">
        <f>AC6124/AA6130</f>
        <v>6.3</v>
      </c>
      <c r="AD6130" s="94">
        <f t="shared" si="4289"/>
        <v>11.087999999999999</v>
      </c>
      <c r="AE6130" s="190"/>
      <c r="AF6130" s="191"/>
      <c r="AG6130" s="191"/>
      <c r="AH6130" s="191"/>
      <c r="AI6130" s="186"/>
      <c r="AK6130" s="171"/>
    </row>
    <row r="6131" spans="1:37" s="103" customFormat="1" ht="19.899999999999999" customHeight="1" x14ac:dyDescent="0.25">
      <c r="A6131" s="51"/>
      <c r="B6131" s="52"/>
      <c r="C6131" s="165"/>
      <c r="D6131" s="52"/>
      <c r="E6131" s="115"/>
      <c r="F6131" s="58"/>
      <c r="G6131" s="58"/>
      <c r="H6131" s="58"/>
      <c r="I6131" s="55"/>
      <c r="J6131" s="113">
        <f>J6123</f>
        <v>28</v>
      </c>
      <c r="K6131" s="212">
        <f>K6123</f>
        <v>28</v>
      </c>
      <c r="L6131" s="58"/>
      <c r="M6131" s="58">
        <f>K6131-L6131</f>
        <v>28</v>
      </c>
      <c r="N6131" s="166"/>
      <c r="O6131" s="58"/>
      <c r="P6131" s="58"/>
      <c r="Q6131" s="58"/>
      <c r="R6131" s="58"/>
      <c r="S6131" s="58"/>
      <c r="T6131" s="220"/>
      <c r="U6131" s="88"/>
      <c r="V6131" s="56"/>
      <c r="W6131" s="57" t="s">
        <v>1604</v>
      </c>
      <c r="X6131" s="53"/>
      <c r="Y6131" s="91" t="s">
        <v>68</v>
      </c>
      <c r="Z6131" s="136">
        <f>AD6131/AC6131</f>
        <v>31.34</v>
      </c>
      <c r="AA6131" s="58"/>
      <c r="AB6131" s="53">
        <f>AD6131/AC6131</f>
        <v>31.34</v>
      </c>
      <c r="AC6131" s="53">
        <f>M6131+$AE$10</f>
        <v>28</v>
      </c>
      <c r="AD6131" s="54">
        <f>SUM(AD6132:AD6136)</f>
        <v>877.52</v>
      </c>
      <c r="AE6131" s="184">
        <f>SUMIFS($AD$37:$AD$12971,$V$37:$V$12971,$V6131,$X$37:$X$12971,AE$13)</f>
        <v>0</v>
      </c>
      <c r="AF6131" s="185">
        <f>SUMIFS($AD$37:$AD$12971,$V$37:$V$12971,$V6131,$X$37:$X$12971,AF$13)</f>
        <v>0</v>
      </c>
      <c r="AG6131" s="185">
        <f>SUMIFS($AD$37:$AD$12971,$V$37:$V$12971,$V6131,$X$37:$X$12971,AG$13)</f>
        <v>0</v>
      </c>
      <c r="AH6131" s="187">
        <f>SUMIFS($AD$37:$AD$12971,$V$37:$V$12971,$V6131,$X$37:$X$12971,AH$13)</f>
        <v>0</v>
      </c>
      <c r="AI6131" s="161">
        <f t="shared" ref="AI6131" si="4290">SUM(AE6131:AH6131)</f>
        <v>0</v>
      </c>
      <c r="AK6131" s="172"/>
    </row>
    <row r="6132" spans="1:37" s="102" customFormat="1" ht="19.899999999999999" customHeight="1" x14ac:dyDescent="0.25">
      <c r="A6132" s="45"/>
      <c r="B6132" s="59"/>
      <c r="C6132" s="137"/>
      <c r="D6132" s="59"/>
      <c r="E6132" s="116"/>
      <c r="F6132" s="120"/>
      <c r="G6132" s="120"/>
      <c r="H6132" s="120"/>
      <c r="I6132" s="60"/>
      <c r="J6132" s="116"/>
      <c r="K6132" s="213"/>
      <c r="L6132" s="120"/>
      <c r="M6132" s="120"/>
      <c r="N6132" s="167"/>
      <c r="O6132" s="120"/>
      <c r="P6132" s="120"/>
      <c r="Q6132" s="120"/>
      <c r="R6132" s="120"/>
      <c r="S6132" s="120"/>
      <c r="T6132" s="221"/>
      <c r="U6132" s="89"/>
      <c r="V6132" s="61"/>
      <c r="W6132" s="92" t="s">
        <v>1032</v>
      </c>
      <c r="X6132" s="93" t="s">
        <v>30</v>
      </c>
      <c r="Y6132" s="93" t="s">
        <v>66</v>
      </c>
      <c r="Z6132" s="134">
        <f>VLOOKUP(W6132,Sheet2!$B:$D,3,FALSE)</f>
        <v>250</v>
      </c>
      <c r="AA6132" s="93">
        <f>1/(0.25*0.25)</f>
        <v>16</v>
      </c>
      <c r="AB6132" s="93">
        <f>AD6132/AC6131</f>
        <v>15.625</v>
      </c>
      <c r="AC6132" s="93">
        <f>AC6131/AA6132</f>
        <v>1.75</v>
      </c>
      <c r="AD6132" s="94">
        <f t="shared" ref="AD6132" si="4291">AC6132*Z6132</f>
        <v>437.5</v>
      </c>
      <c r="AE6132" s="190"/>
      <c r="AF6132" s="191"/>
      <c r="AG6132" s="191"/>
      <c r="AH6132" s="191"/>
      <c r="AI6132" s="186"/>
      <c r="AK6132" s="171"/>
    </row>
    <row r="6133" spans="1:37" s="102" customFormat="1" ht="19.899999999999999" customHeight="1" x14ac:dyDescent="0.25">
      <c r="A6133" s="45"/>
      <c r="B6133" s="59"/>
      <c r="C6133" s="137"/>
      <c r="D6133" s="59"/>
      <c r="E6133" s="116"/>
      <c r="F6133" s="120"/>
      <c r="G6133" s="120"/>
      <c r="H6133" s="120"/>
      <c r="I6133" s="60"/>
      <c r="J6133" s="116"/>
      <c r="K6133" s="213"/>
      <c r="L6133" s="120"/>
      <c r="M6133" s="120"/>
      <c r="N6133" s="167"/>
      <c r="O6133" s="120"/>
      <c r="P6133" s="120"/>
      <c r="Q6133" s="120"/>
      <c r="R6133" s="120"/>
      <c r="S6133" s="120"/>
      <c r="T6133" s="221"/>
      <c r="U6133" s="89"/>
      <c r="V6133" s="61"/>
      <c r="W6133" s="92" t="s">
        <v>1270</v>
      </c>
      <c r="X6133" s="93" t="s">
        <v>30</v>
      </c>
      <c r="Y6133" s="93" t="s">
        <v>68</v>
      </c>
      <c r="Z6133" s="134">
        <f>VLOOKUP(W6133,Sheet2!$B:$D,3,FALSE)</f>
        <v>4</v>
      </c>
      <c r="AA6133" s="93">
        <f>1</f>
        <v>1</v>
      </c>
      <c r="AB6133" s="93">
        <f>AD6133/AC6131</f>
        <v>4</v>
      </c>
      <c r="AC6133" s="93">
        <f>AC6131/AA6133</f>
        <v>28</v>
      </c>
      <c r="AD6133" s="94">
        <f>AC6133*Z6133</f>
        <v>112</v>
      </c>
      <c r="AE6133" s="190"/>
      <c r="AF6133" s="191"/>
      <c r="AG6133" s="191"/>
      <c r="AH6133" s="191"/>
      <c r="AI6133" s="186"/>
      <c r="AK6133" s="171"/>
    </row>
    <row r="6134" spans="1:37" s="102" customFormat="1" ht="19.899999999999999" customHeight="1" x14ac:dyDescent="0.25">
      <c r="A6134" s="45"/>
      <c r="B6134" s="59"/>
      <c r="C6134" s="137"/>
      <c r="D6134" s="59"/>
      <c r="E6134" s="116"/>
      <c r="F6134" s="120"/>
      <c r="G6134" s="120"/>
      <c r="H6134" s="120"/>
      <c r="I6134" s="60"/>
      <c r="J6134" s="116"/>
      <c r="K6134" s="213"/>
      <c r="L6134" s="120"/>
      <c r="M6134" s="120"/>
      <c r="N6134" s="167"/>
      <c r="O6134" s="120"/>
      <c r="P6134" s="120"/>
      <c r="Q6134" s="120"/>
      <c r="R6134" s="120"/>
      <c r="S6134" s="120"/>
      <c r="T6134" s="221"/>
      <c r="U6134" s="89"/>
      <c r="V6134" s="61"/>
      <c r="W6134" s="92" t="s">
        <v>1271</v>
      </c>
      <c r="X6134" s="93" t="s">
        <v>30</v>
      </c>
      <c r="Y6134" s="93" t="s">
        <v>68</v>
      </c>
      <c r="Z6134" s="134">
        <f>VLOOKUP(W6134,Sheet2!$B:$D,3,FALSE)</f>
        <v>2</v>
      </c>
      <c r="AA6134" s="93">
        <f>AA6133</f>
        <v>1</v>
      </c>
      <c r="AB6134" s="93">
        <f>AD6134/AC6131</f>
        <v>2</v>
      </c>
      <c r="AC6134" s="93">
        <f>AC6131/AA6134</f>
        <v>28</v>
      </c>
      <c r="AD6134" s="94">
        <f>AC6134*Z6134</f>
        <v>56</v>
      </c>
      <c r="AE6134" s="190"/>
      <c r="AF6134" s="191"/>
      <c r="AG6134" s="191"/>
      <c r="AH6134" s="191"/>
      <c r="AI6134" s="186"/>
      <c r="AK6134" s="171"/>
    </row>
    <row r="6135" spans="1:37" s="102" customFormat="1" ht="19.899999999999999" customHeight="1" x14ac:dyDescent="0.25">
      <c r="A6135" s="45"/>
      <c r="B6135" s="59"/>
      <c r="C6135" s="137"/>
      <c r="D6135" s="59"/>
      <c r="E6135" s="116"/>
      <c r="F6135" s="120"/>
      <c r="G6135" s="120"/>
      <c r="H6135" s="120"/>
      <c r="I6135" s="60"/>
      <c r="J6135" s="116"/>
      <c r="K6135" s="213"/>
      <c r="L6135" s="120"/>
      <c r="M6135" s="120"/>
      <c r="N6135" s="167"/>
      <c r="O6135" s="120"/>
      <c r="P6135" s="120"/>
      <c r="Q6135" s="120"/>
      <c r="R6135" s="120"/>
      <c r="S6135" s="120"/>
      <c r="T6135" s="221"/>
      <c r="U6135" s="89"/>
      <c r="V6135" s="61"/>
      <c r="W6135" s="92" t="s">
        <v>1035</v>
      </c>
      <c r="X6135" s="93" t="s">
        <v>32</v>
      </c>
      <c r="Y6135" s="93" t="s">
        <v>66</v>
      </c>
      <c r="Z6135" s="134">
        <f>VLOOKUP(W6135,Sheet2!$B:$D,3,FALSE)</f>
        <v>150</v>
      </c>
      <c r="AA6135" s="93">
        <f>AA6132</f>
        <v>16</v>
      </c>
      <c r="AB6135" s="93">
        <f>AD6135/AC6131</f>
        <v>9.375</v>
      </c>
      <c r="AC6135" s="93">
        <f>AC6131/AA6135</f>
        <v>1.75</v>
      </c>
      <c r="AD6135" s="94">
        <f t="shared" ref="AD6135:AD6136" si="4292">AC6135*Z6135</f>
        <v>262.5</v>
      </c>
      <c r="AE6135" s="190"/>
      <c r="AF6135" s="191"/>
      <c r="AG6135" s="191"/>
      <c r="AH6135" s="191"/>
      <c r="AI6135" s="186"/>
      <c r="AK6135" s="171"/>
    </row>
    <row r="6136" spans="1:37" s="102" customFormat="1" ht="19.899999999999999" customHeight="1" x14ac:dyDescent="0.25">
      <c r="A6136" s="45"/>
      <c r="B6136" s="59"/>
      <c r="C6136" s="137"/>
      <c r="D6136" s="59"/>
      <c r="E6136" s="116"/>
      <c r="F6136" s="120"/>
      <c r="G6136" s="120"/>
      <c r="H6136" s="120"/>
      <c r="I6136" s="60"/>
      <c r="J6136" s="116"/>
      <c r="K6136" s="213"/>
      <c r="L6136" s="120"/>
      <c r="M6136" s="120"/>
      <c r="N6136" s="167"/>
      <c r="O6136" s="120"/>
      <c r="P6136" s="120"/>
      <c r="Q6136" s="120"/>
      <c r="R6136" s="120"/>
      <c r="S6136" s="120"/>
      <c r="T6136" s="221"/>
      <c r="U6136" s="89"/>
      <c r="V6136" s="61"/>
      <c r="W6136" s="92" t="s">
        <v>107</v>
      </c>
      <c r="X6136" s="93" t="s">
        <v>31</v>
      </c>
      <c r="Y6136" s="93" t="s">
        <v>93</v>
      </c>
      <c r="Z6136" s="134">
        <f>VLOOKUP(W6136,Sheet2!$B:$D,3,FALSE)</f>
        <v>17</v>
      </c>
      <c r="AA6136" s="93">
        <v>50</v>
      </c>
      <c r="AB6136" s="93">
        <f>AD6136/AC6131</f>
        <v>0.34</v>
      </c>
      <c r="AC6136" s="93">
        <f>AC6131/AA6136</f>
        <v>0.56000000000000005</v>
      </c>
      <c r="AD6136" s="94">
        <f t="shared" si="4292"/>
        <v>9.5200000000000014</v>
      </c>
      <c r="AE6136" s="190"/>
      <c r="AF6136" s="191"/>
      <c r="AG6136" s="191"/>
      <c r="AH6136" s="191"/>
      <c r="AI6136" s="186"/>
      <c r="AK6136" s="171"/>
    </row>
    <row r="6137" spans="1:37" s="103" customFormat="1" ht="19.899999999999999" customHeight="1" x14ac:dyDescent="0.25">
      <c r="A6137" s="51"/>
      <c r="B6137" s="52"/>
      <c r="C6137" s="165"/>
      <c r="D6137" s="52"/>
      <c r="E6137" s="115"/>
      <c r="F6137" s="58"/>
      <c r="G6137" s="58"/>
      <c r="H6137" s="58"/>
      <c r="I6137" s="55"/>
      <c r="J6137" s="113">
        <f>J6123</f>
        <v>28</v>
      </c>
      <c r="K6137" s="212">
        <f>K6123</f>
        <v>28</v>
      </c>
      <c r="L6137" s="58"/>
      <c r="M6137" s="58">
        <f>K6137-L6137</f>
        <v>28</v>
      </c>
      <c r="N6137" s="166"/>
      <c r="O6137" s="58"/>
      <c r="P6137" s="58"/>
      <c r="Q6137" s="58"/>
      <c r="R6137" s="58"/>
      <c r="S6137" s="58"/>
      <c r="T6137" s="220"/>
      <c r="U6137" s="88"/>
      <c r="V6137" s="56"/>
      <c r="W6137" s="57" t="s">
        <v>1272</v>
      </c>
      <c r="X6137" s="53"/>
      <c r="Y6137" s="91" t="s">
        <v>68</v>
      </c>
      <c r="Z6137" s="136">
        <f>AD6137/AC6137</f>
        <v>14.265013725490194</v>
      </c>
      <c r="AA6137" s="58"/>
      <c r="AB6137" s="53">
        <f>AD6137/AC6137</f>
        <v>14.265013725490194</v>
      </c>
      <c r="AC6137" s="53">
        <f>M6137+$AE$10</f>
        <v>28</v>
      </c>
      <c r="AD6137" s="54">
        <f>SUM(AD6138:AD6147)</f>
        <v>399.42038431372544</v>
      </c>
      <c r="AE6137" s="184">
        <f>SUMIFS($AD$37:$AD$12971,$V$37:$V$12971,$V6137,$X$37:$X$12971,AE$13)</f>
        <v>0</v>
      </c>
      <c r="AF6137" s="185">
        <f>SUMIFS($AD$37:$AD$12971,$V$37:$V$12971,$V6137,$X$37:$X$12971,AF$13)</f>
        <v>0</v>
      </c>
      <c r="AG6137" s="185">
        <f>SUMIFS($AD$37:$AD$12971,$V$37:$V$12971,$V6137,$X$37:$X$12971,AG$13)</f>
        <v>0</v>
      </c>
      <c r="AH6137" s="187">
        <f>SUMIFS($AD$37:$AD$12971,$V$37:$V$12971,$V6137,$X$37:$X$12971,AH$13)</f>
        <v>0</v>
      </c>
      <c r="AI6137" s="161">
        <f t="shared" ref="AI6137" si="4293">SUM(AE6137:AH6137)</f>
        <v>0</v>
      </c>
      <c r="AK6137" s="172"/>
    </row>
    <row r="6138" spans="1:37" s="102" customFormat="1" ht="19.899999999999999" customHeight="1" x14ac:dyDescent="0.25">
      <c r="A6138" s="45"/>
      <c r="B6138" s="59"/>
      <c r="C6138" s="137"/>
      <c r="D6138" s="59"/>
      <c r="E6138" s="116"/>
      <c r="F6138" s="120"/>
      <c r="G6138" s="120"/>
      <c r="H6138" s="120"/>
      <c r="I6138" s="60"/>
      <c r="J6138" s="116"/>
      <c r="K6138" s="213"/>
      <c r="L6138" s="120"/>
      <c r="M6138" s="120"/>
      <c r="N6138" s="167"/>
      <c r="O6138" s="120"/>
      <c r="P6138" s="120"/>
      <c r="Q6138" s="120"/>
      <c r="R6138" s="120"/>
      <c r="S6138" s="120"/>
      <c r="T6138" s="221"/>
      <c r="U6138" s="89"/>
      <c r="V6138" s="61"/>
      <c r="W6138" s="92" t="s">
        <v>134</v>
      </c>
      <c r="X6138" s="93" t="s">
        <v>29</v>
      </c>
      <c r="Y6138" s="93" t="s">
        <v>93</v>
      </c>
      <c r="Z6138" s="134">
        <f>VLOOKUP(W6138,Sheet2!$B:$D,3,FALSE)</f>
        <v>65.599999999999994</v>
      </c>
      <c r="AA6138" s="93">
        <f>100/((1.5*1.5)-(0.25*0.25))</f>
        <v>45.714285714285715</v>
      </c>
      <c r="AB6138" s="93">
        <f>AD6138/AC6137</f>
        <v>1.4349999999999998</v>
      </c>
      <c r="AC6138" s="93">
        <f>AC6137/AA6138</f>
        <v>0.61249999999999993</v>
      </c>
      <c r="AD6138" s="94">
        <f t="shared" ref="AD6138:AD6139" si="4294">AC6138*Z6138</f>
        <v>40.179999999999993</v>
      </c>
      <c r="AE6138" s="190"/>
      <c r="AF6138" s="191"/>
      <c r="AG6138" s="191"/>
      <c r="AH6138" s="191"/>
      <c r="AI6138" s="186"/>
      <c r="AK6138" s="171"/>
    </row>
    <row r="6139" spans="1:37" s="102" customFormat="1" ht="19.899999999999999" customHeight="1" x14ac:dyDescent="0.25">
      <c r="A6139" s="45"/>
      <c r="B6139" s="59"/>
      <c r="C6139" s="137"/>
      <c r="D6139" s="59"/>
      <c r="E6139" s="116"/>
      <c r="F6139" s="120"/>
      <c r="G6139" s="120"/>
      <c r="H6139" s="120"/>
      <c r="I6139" s="60"/>
      <c r="J6139" s="116"/>
      <c r="K6139" s="213"/>
      <c r="L6139" s="120"/>
      <c r="M6139" s="120"/>
      <c r="N6139" s="167"/>
      <c r="O6139" s="120"/>
      <c r="P6139" s="120"/>
      <c r="Q6139" s="120"/>
      <c r="R6139" s="120"/>
      <c r="S6139" s="120"/>
      <c r="T6139" s="221"/>
      <c r="U6139" s="89"/>
      <c r="V6139" s="61"/>
      <c r="W6139" s="92" t="s">
        <v>65</v>
      </c>
      <c r="X6139" s="93" t="s">
        <v>30</v>
      </c>
      <c r="Y6139" s="93" t="s">
        <v>1011</v>
      </c>
      <c r="Z6139" s="134">
        <f>VLOOKUP(W6139,Sheet2!$B:$D,3,FALSE)</f>
        <v>1.76</v>
      </c>
      <c r="AA6139" s="93">
        <f>AA6138/9</f>
        <v>5.0793650793650791</v>
      </c>
      <c r="AB6139" s="93">
        <f>AD6139/AC6137</f>
        <v>0.34649999999999997</v>
      </c>
      <c r="AC6139" s="93">
        <f>AC6137/AA6139</f>
        <v>5.5125000000000002</v>
      </c>
      <c r="AD6139" s="94">
        <f t="shared" si="4294"/>
        <v>9.702</v>
      </c>
      <c r="AE6139" s="190"/>
      <c r="AF6139" s="191"/>
      <c r="AG6139" s="191"/>
      <c r="AH6139" s="191"/>
      <c r="AI6139" s="186"/>
      <c r="AK6139" s="171"/>
    </row>
    <row r="6140" spans="1:37" s="102" customFormat="1" ht="19.899999999999999" customHeight="1" x14ac:dyDescent="0.25">
      <c r="A6140" s="45"/>
      <c r="B6140" s="59"/>
      <c r="C6140" s="137"/>
      <c r="D6140" s="59"/>
      <c r="E6140" s="116"/>
      <c r="F6140" s="120"/>
      <c r="G6140" s="120"/>
      <c r="H6140" s="120"/>
      <c r="I6140" s="60"/>
      <c r="J6140" s="116"/>
      <c r="K6140" s="213"/>
      <c r="L6140" s="120"/>
      <c r="M6140" s="120"/>
      <c r="N6140" s="167"/>
      <c r="O6140" s="120"/>
      <c r="P6140" s="120"/>
      <c r="Q6140" s="120"/>
      <c r="R6140" s="120"/>
      <c r="S6140" s="120"/>
      <c r="T6140" s="221"/>
      <c r="U6140" s="89"/>
      <c r="V6140" s="61"/>
      <c r="W6140" s="92" t="s">
        <v>161</v>
      </c>
      <c r="X6140" s="93" t="s">
        <v>29</v>
      </c>
      <c r="Y6140" s="93" t="s">
        <v>93</v>
      </c>
      <c r="Z6140" s="134">
        <f>VLOOKUP(W6140,Sheet2!$B:$D,3,FALSE)</f>
        <v>48</v>
      </c>
      <c r="AA6140" s="93">
        <f>(16*0.85*1.5)/((1.5*1.5)-(0.25*0.25))</f>
        <v>9.3257142857142856</v>
      </c>
      <c r="AB6140" s="93">
        <f>AD6140/AC6137</f>
        <v>5.1470588235294121</v>
      </c>
      <c r="AC6140" s="93">
        <f>AC6137/AA6140</f>
        <v>3.0024509803921569</v>
      </c>
      <c r="AD6140" s="94">
        <f>AC6140*Z6140</f>
        <v>144.11764705882354</v>
      </c>
      <c r="AE6140" s="190"/>
      <c r="AF6140" s="191"/>
      <c r="AG6140" s="191"/>
      <c r="AH6140" s="191"/>
      <c r="AI6140" s="186"/>
      <c r="AK6140" s="171"/>
    </row>
    <row r="6141" spans="1:37" s="102" customFormat="1" ht="19.899999999999999" customHeight="1" x14ac:dyDescent="0.25">
      <c r="A6141" s="45"/>
      <c r="B6141" s="59"/>
      <c r="C6141" s="137"/>
      <c r="D6141" s="59"/>
      <c r="E6141" s="116"/>
      <c r="F6141" s="120"/>
      <c r="G6141" s="120"/>
      <c r="H6141" s="120"/>
      <c r="I6141" s="60"/>
      <c r="J6141" s="116"/>
      <c r="K6141" s="213"/>
      <c r="L6141" s="120"/>
      <c r="M6141" s="120"/>
      <c r="N6141" s="167"/>
      <c r="O6141" s="120"/>
      <c r="P6141" s="120"/>
      <c r="Q6141" s="120"/>
      <c r="R6141" s="120"/>
      <c r="S6141" s="120"/>
      <c r="T6141" s="221"/>
      <c r="U6141" s="89"/>
      <c r="V6141" s="61"/>
      <c r="W6141" s="92" t="s">
        <v>65</v>
      </c>
      <c r="X6141" s="93" t="s">
        <v>30</v>
      </c>
      <c r="Y6141" s="93" t="s">
        <v>1011</v>
      </c>
      <c r="Z6141" s="134">
        <f>VLOOKUP(W6141,Sheet2!$B:$D,3,FALSE)</f>
        <v>1.76</v>
      </c>
      <c r="AA6141" s="93">
        <f>AA6140/10</f>
        <v>0.93257142857142861</v>
      </c>
      <c r="AB6141" s="93">
        <f>AD6141/AC6137</f>
        <v>1.8872549019607843</v>
      </c>
      <c r="AC6141" s="93">
        <f>AC6137/AA6141</f>
        <v>30.024509803921568</v>
      </c>
      <c r="AD6141" s="94">
        <f>AC6141*Z6141</f>
        <v>52.843137254901961</v>
      </c>
      <c r="AE6141" s="190"/>
      <c r="AF6141" s="191"/>
      <c r="AG6141" s="191"/>
      <c r="AH6141" s="191"/>
      <c r="AI6141" s="186"/>
      <c r="AK6141" s="171"/>
    </row>
    <row r="6142" spans="1:37" s="102" customFormat="1" ht="19.899999999999999" customHeight="1" x14ac:dyDescent="0.25">
      <c r="A6142" s="45"/>
      <c r="B6142" s="59"/>
      <c r="C6142" s="137"/>
      <c r="D6142" s="59"/>
      <c r="E6142" s="116"/>
      <c r="F6142" s="120"/>
      <c r="G6142" s="120"/>
      <c r="H6142" s="120"/>
      <c r="I6142" s="60"/>
      <c r="J6142" s="116"/>
      <c r="K6142" s="213"/>
      <c r="L6142" s="120"/>
      <c r="M6142" s="120"/>
      <c r="N6142" s="167"/>
      <c r="O6142" s="120"/>
      <c r="P6142" s="120"/>
      <c r="Q6142" s="120"/>
      <c r="R6142" s="120"/>
      <c r="S6142" s="120"/>
      <c r="T6142" s="221"/>
      <c r="U6142" s="89"/>
      <c r="V6142" s="61"/>
      <c r="W6142" s="92" t="s">
        <v>173</v>
      </c>
      <c r="X6142" s="93" t="s">
        <v>29</v>
      </c>
      <c r="Y6142" s="93" t="s">
        <v>93</v>
      </c>
      <c r="Z6142" s="134">
        <f>VLOOKUP(W6142,Sheet2!$B:$D,3,FALSE)</f>
        <v>36</v>
      </c>
      <c r="AA6142" s="93">
        <f>50/((1.5*1.5)-(0.25*0.25))</f>
        <v>22.857142857142858</v>
      </c>
      <c r="AB6142" s="93">
        <f>AD6142/AC6137</f>
        <v>1.5749999999999997</v>
      </c>
      <c r="AC6142" s="93">
        <f>AC6137/AA6142</f>
        <v>1.2249999999999999</v>
      </c>
      <c r="AD6142" s="94">
        <f>AC6142*Z6142</f>
        <v>44.099999999999994</v>
      </c>
      <c r="AE6142" s="190"/>
      <c r="AF6142" s="191"/>
      <c r="AG6142" s="191"/>
      <c r="AH6142" s="191"/>
      <c r="AI6142" s="186"/>
      <c r="AK6142" s="171"/>
    </row>
    <row r="6143" spans="1:37" s="102" customFormat="1" ht="19.899999999999999" customHeight="1" x14ac:dyDescent="0.25">
      <c r="A6143" s="45"/>
      <c r="B6143" s="59"/>
      <c r="C6143" s="137"/>
      <c r="D6143" s="59"/>
      <c r="E6143" s="116"/>
      <c r="F6143" s="120"/>
      <c r="G6143" s="120"/>
      <c r="H6143" s="120"/>
      <c r="I6143" s="60"/>
      <c r="J6143" s="116"/>
      <c r="K6143" s="213"/>
      <c r="L6143" s="120"/>
      <c r="M6143" s="120"/>
      <c r="N6143" s="167"/>
      <c r="O6143" s="120"/>
      <c r="P6143" s="120"/>
      <c r="Q6143" s="120"/>
      <c r="R6143" s="120"/>
      <c r="S6143" s="120"/>
      <c r="T6143" s="221"/>
      <c r="U6143" s="89"/>
      <c r="V6143" s="61"/>
      <c r="W6143" s="92" t="s">
        <v>65</v>
      </c>
      <c r="X6143" s="93" t="s">
        <v>30</v>
      </c>
      <c r="Y6143" s="93" t="s">
        <v>1011</v>
      </c>
      <c r="Z6143" s="134">
        <f>VLOOKUP(W6143,Sheet2!$B:$D,3,FALSE)</f>
        <v>1.76</v>
      </c>
      <c r="AA6143" s="93">
        <f>AA6142/9</f>
        <v>2.5396825396825395</v>
      </c>
      <c r="AB6143" s="93">
        <f>AD6143/AC6137</f>
        <v>0.69299999999999995</v>
      </c>
      <c r="AC6143" s="93">
        <f>AC6137/AA6143</f>
        <v>11.025</v>
      </c>
      <c r="AD6143" s="94">
        <f>AC6143*Z6143</f>
        <v>19.404</v>
      </c>
      <c r="AE6143" s="190"/>
      <c r="AF6143" s="191"/>
      <c r="AG6143" s="191"/>
      <c r="AH6143" s="191"/>
      <c r="AI6143" s="186"/>
      <c r="AK6143" s="171"/>
    </row>
    <row r="6144" spans="1:37" s="102" customFormat="1" ht="19.899999999999999" customHeight="1" x14ac:dyDescent="0.25">
      <c r="A6144" s="45"/>
      <c r="B6144" s="59"/>
      <c r="C6144" s="137"/>
      <c r="D6144" s="59"/>
      <c r="E6144" s="116"/>
      <c r="F6144" s="120"/>
      <c r="G6144" s="120"/>
      <c r="H6144" s="120"/>
      <c r="I6144" s="60"/>
      <c r="J6144" s="116"/>
      <c r="K6144" s="213"/>
      <c r="L6144" s="120"/>
      <c r="M6144" s="120"/>
      <c r="N6144" s="167"/>
      <c r="O6144" s="120"/>
      <c r="P6144" s="120"/>
      <c r="Q6144" s="120"/>
      <c r="R6144" s="120"/>
      <c r="S6144" s="120"/>
      <c r="T6144" s="221"/>
      <c r="U6144" s="89"/>
      <c r="V6144" s="61"/>
      <c r="W6144" s="92" t="s">
        <v>148</v>
      </c>
      <c r="X6144" s="93" t="s">
        <v>29</v>
      </c>
      <c r="Y6144" s="93" t="s">
        <v>93</v>
      </c>
      <c r="Z6144" s="134">
        <f>VLOOKUP(W6144,Sheet2!$B:$D,3,FALSE)</f>
        <v>48</v>
      </c>
      <c r="AA6144" s="93">
        <f>7.2/(1.5*1.5*0.1)</f>
        <v>32</v>
      </c>
      <c r="AB6144" s="93">
        <f>AD6144/AC6137</f>
        <v>1.5</v>
      </c>
      <c r="AC6144" s="93">
        <f>AC6137/AA6144</f>
        <v>0.875</v>
      </c>
      <c r="AD6144" s="94">
        <f t="shared" ref="AD6144:AD6147" si="4295">AC6144*Z6144</f>
        <v>42</v>
      </c>
      <c r="AE6144" s="190"/>
      <c r="AF6144" s="191"/>
      <c r="AG6144" s="191"/>
      <c r="AH6144" s="191"/>
      <c r="AI6144" s="186"/>
      <c r="AK6144" s="171"/>
    </row>
    <row r="6145" spans="1:41" s="102" customFormat="1" ht="19.899999999999999" customHeight="1" x14ac:dyDescent="0.25">
      <c r="A6145" s="45"/>
      <c r="B6145" s="59"/>
      <c r="C6145" s="137"/>
      <c r="D6145" s="59"/>
      <c r="E6145" s="116"/>
      <c r="F6145" s="120"/>
      <c r="G6145" s="120"/>
      <c r="H6145" s="120"/>
      <c r="I6145" s="60"/>
      <c r="J6145" s="116"/>
      <c r="K6145" s="213"/>
      <c r="L6145" s="120"/>
      <c r="M6145" s="120"/>
      <c r="N6145" s="167"/>
      <c r="O6145" s="120"/>
      <c r="P6145" s="120"/>
      <c r="Q6145" s="120"/>
      <c r="R6145" s="120"/>
      <c r="S6145" s="120"/>
      <c r="T6145" s="221"/>
      <c r="U6145" s="89"/>
      <c r="V6145" s="61"/>
      <c r="W6145" s="92" t="s">
        <v>65</v>
      </c>
      <c r="X6145" s="93" t="s">
        <v>30</v>
      </c>
      <c r="Y6145" s="93" t="s">
        <v>1011</v>
      </c>
      <c r="Z6145" s="134">
        <f>VLOOKUP(W6145,Sheet2!$B:$D,3,FALSE)</f>
        <v>1.76</v>
      </c>
      <c r="AA6145" s="93">
        <f>AA6144/10</f>
        <v>3.2</v>
      </c>
      <c r="AB6145" s="93">
        <f>AD6145/AC6137</f>
        <v>0.55000000000000004</v>
      </c>
      <c r="AC6145" s="93">
        <f>AC6137/AA6145</f>
        <v>8.75</v>
      </c>
      <c r="AD6145" s="94">
        <f t="shared" si="4295"/>
        <v>15.4</v>
      </c>
      <c r="AE6145" s="190"/>
      <c r="AF6145" s="191"/>
      <c r="AG6145" s="191"/>
      <c r="AH6145" s="191"/>
      <c r="AI6145" s="186"/>
      <c r="AK6145" s="171"/>
    </row>
    <row r="6146" spans="1:41" s="102" customFormat="1" ht="19.899999999999999" customHeight="1" x14ac:dyDescent="0.25">
      <c r="A6146" s="45"/>
      <c r="B6146" s="59"/>
      <c r="C6146" s="137"/>
      <c r="D6146" s="59"/>
      <c r="E6146" s="116"/>
      <c r="F6146" s="120"/>
      <c r="G6146" s="120"/>
      <c r="H6146" s="120"/>
      <c r="I6146" s="60"/>
      <c r="J6146" s="116"/>
      <c r="K6146" s="213"/>
      <c r="L6146" s="120"/>
      <c r="M6146" s="120"/>
      <c r="N6146" s="167"/>
      <c r="O6146" s="120"/>
      <c r="P6146" s="120"/>
      <c r="Q6146" s="120"/>
      <c r="R6146" s="120"/>
      <c r="S6146" s="120"/>
      <c r="T6146" s="221"/>
      <c r="U6146" s="89"/>
      <c r="V6146" s="61"/>
      <c r="W6146" s="92" t="s">
        <v>1030</v>
      </c>
      <c r="X6146" s="93" t="s">
        <v>29</v>
      </c>
      <c r="Y6146" s="93" t="s">
        <v>93</v>
      </c>
      <c r="Z6146" s="134">
        <f>VLOOKUP(W6146,Sheet2!$B:$D,3,FALSE)</f>
        <v>23</v>
      </c>
      <c r="AA6146" s="93">
        <v>25</v>
      </c>
      <c r="AB6146" s="93">
        <f>AD6146/AC6137</f>
        <v>0.92</v>
      </c>
      <c r="AC6146" s="93">
        <f>AC6137/AA6146</f>
        <v>1.1200000000000001</v>
      </c>
      <c r="AD6146" s="94">
        <f t="shared" si="4295"/>
        <v>25.76</v>
      </c>
      <c r="AE6146" s="190"/>
      <c r="AF6146" s="191"/>
      <c r="AG6146" s="191"/>
      <c r="AH6146" s="191"/>
      <c r="AI6146" s="186"/>
      <c r="AK6146" s="171"/>
    </row>
    <row r="6147" spans="1:41" s="102" customFormat="1" ht="19.899999999999999" customHeight="1" x14ac:dyDescent="0.25">
      <c r="A6147" s="45"/>
      <c r="B6147" s="59"/>
      <c r="C6147" s="137"/>
      <c r="D6147" s="59"/>
      <c r="E6147" s="116"/>
      <c r="F6147" s="120"/>
      <c r="G6147" s="120"/>
      <c r="H6147" s="120"/>
      <c r="I6147" s="60"/>
      <c r="J6147" s="116"/>
      <c r="K6147" s="213"/>
      <c r="L6147" s="120"/>
      <c r="M6147" s="120"/>
      <c r="N6147" s="167"/>
      <c r="O6147" s="120"/>
      <c r="P6147" s="120"/>
      <c r="Q6147" s="120"/>
      <c r="R6147" s="120"/>
      <c r="S6147" s="120"/>
      <c r="T6147" s="221"/>
      <c r="U6147" s="89"/>
      <c r="V6147" s="61"/>
      <c r="W6147" s="92" t="s">
        <v>65</v>
      </c>
      <c r="X6147" s="93" t="s">
        <v>30</v>
      </c>
      <c r="Y6147" s="93" t="s">
        <v>1011</v>
      </c>
      <c r="Z6147" s="134">
        <f>VLOOKUP(W6147,Sheet2!$B:$D,3,FALSE)</f>
        <v>1.76</v>
      </c>
      <c r="AA6147" s="93">
        <f>AA6146/3</f>
        <v>8.3333333333333339</v>
      </c>
      <c r="AB6147" s="93">
        <f>AD6147/AC6137</f>
        <v>0.2112</v>
      </c>
      <c r="AC6147" s="93">
        <f>AC6137/AA6147</f>
        <v>3.36</v>
      </c>
      <c r="AD6147" s="94">
        <f t="shared" si="4295"/>
        <v>5.9135999999999997</v>
      </c>
      <c r="AE6147" s="190"/>
      <c r="AF6147" s="191"/>
      <c r="AG6147" s="191"/>
      <c r="AH6147" s="191"/>
      <c r="AI6147" s="186"/>
      <c r="AK6147" s="171"/>
    </row>
    <row r="6148" spans="1:41" ht="20.100000000000001" customHeight="1" x14ac:dyDescent="0.25">
      <c r="A6148" s="277" t="s">
        <v>491</v>
      </c>
      <c r="B6148" s="278"/>
      <c r="C6148" s="64" t="s">
        <v>667</v>
      </c>
      <c r="D6148" s="46" t="s">
        <v>97</v>
      </c>
      <c r="E6148" s="114">
        <v>28</v>
      </c>
      <c r="F6148" s="44">
        <v>120</v>
      </c>
      <c r="G6148" s="44">
        <f t="shared" si="3841"/>
        <v>3360</v>
      </c>
      <c r="H6148" s="44">
        <f t="shared" si="3842"/>
        <v>78.539112156862743</v>
      </c>
      <c r="I6148" s="43">
        <f t="shared" si="3843"/>
        <v>2199.0951403921567</v>
      </c>
      <c r="J6148" s="112">
        <f t="shared" si="3844"/>
        <v>28</v>
      </c>
      <c r="K6148" s="211">
        <f t="shared" si="3845"/>
        <v>28</v>
      </c>
      <c r="L6148" s="44"/>
      <c r="M6148" s="44">
        <f t="shared" si="3846"/>
        <v>28</v>
      </c>
      <c r="N6148" s="173">
        <f t="shared" si="3847"/>
        <v>1</v>
      </c>
      <c r="O6148" s="44">
        <f t="shared" si="3848"/>
        <v>120</v>
      </c>
      <c r="P6148" s="44">
        <f t="shared" si="3849"/>
        <v>3360</v>
      </c>
      <c r="Q6148" s="44">
        <f t="shared" si="3850"/>
        <v>78.539112156862743</v>
      </c>
      <c r="R6148" s="44">
        <f t="shared" si="3851"/>
        <v>2199.0951403921567</v>
      </c>
      <c r="S6148" s="123"/>
      <c r="T6148" s="219">
        <f t="shared" si="3852"/>
        <v>2199.0951403921567</v>
      </c>
      <c r="U6148" s="87"/>
      <c r="V6148" s="47"/>
      <c r="W6148" s="48"/>
      <c r="X6148" s="48"/>
      <c r="Y6148" s="48"/>
      <c r="Z6148" s="135"/>
      <c r="AA6148" s="49"/>
      <c r="AB6148" s="50">
        <f t="shared" si="3853"/>
        <v>78.539112156862743</v>
      </c>
      <c r="AC6148" s="42">
        <f t="shared" si="3854"/>
        <v>28</v>
      </c>
      <c r="AD6148" s="90">
        <f>AD6149+AD6156+AD6162</f>
        <v>2199.0951403921567</v>
      </c>
      <c r="AE6148" s="188">
        <f t="shared" ref="AE6148" si="4296">AE6149+AE6156+AE6162</f>
        <v>0</v>
      </c>
      <c r="AF6148" s="189">
        <f t="shared" ref="AF6148" si="4297">AF6149+AF6156+AF6162</f>
        <v>0</v>
      </c>
      <c r="AG6148" s="189">
        <f t="shared" ref="AG6148" si="4298">AG6149+AG6156+AG6162</f>
        <v>0</v>
      </c>
      <c r="AH6148" s="189">
        <f t="shared" ref="AH6148" si="4299">AH6149+AH6156+AH6162</f>
        <v>0</v>
      </c>
      <c r="AI6148" s="161">
        <f t="shared" ref="AI6148:AI6149" si="4300">SUM(AE6148:AH6148)</f>
        <v>0</v>
      </c>
      <c r="AK6148" s="169">
        <v>5</v>
      </c>
      <c r="AO6148" s="19" t="s">
        <v>63</v>
      </c>
    </row>
    <row r="6149" spans="1:41" s="103" customFormat="1" ht="19.899999999999999" customHeight="1" x14ac:dyDescent="0.25">
      <c r="A6149" s="51"/>
      <c r="B6149" s="52"/>
      <c r="C6149" s="165"/>
      <c r="D6149" s="52"/>
      <c r="E6149" s="115"/>
      <c r="F6149" s="58"/>
      <c r="G6149" s="58"/>
      <c r="H6149" s="58"/>
      <c r="I6149" s="55"/>
      <c r="J6149" s="113">
        <f>J6148</f>
        <v>28</v>
      </c>
      <c r="K6149" s="212">
        <f>K6148</f>
        <v>28</v>
      </c>
      <c r="L6149" s="58"/>
      <c r="M6149" s="58">
        <f>K6149-L6149</f>
        <v>28</v>
      </c>
      <c r="N6149" s="166"/>
      <c r="O6149" s="58"/>
      <c r="P6149" s="58"/>
      <c r="Q6149" s="58"/>
      <c r="R6149" s="58"/>
      <c r="S6149" s="58"/>
      <c r="T6149" s="220"/>
      <c r="U6149" s="88"/>
      <c r="V6149" s="56"/>
      <c r="W6149" s="57" t="s">
        <v>1607</v>
      </c>
      <c r="X6149" s="53"/>
      <c r="Y6149" s="91" t="s">
        <v>68</v>
      </c>
      <c r="Z6149" s="136">
        <f>AD6149/AC6149</f>
        <v>11.227407058823532</v>
      </c>
      <c r="AA6149" s="58"/>
      <c r="AB6149" s="53">
        <f>AD6149/AC6149</f>
        <v>11.227407058823532</v>
      </c>
      <c r="AC6149" s="53">
        <f>M6149+$AE$10</f>
        <v>28</v>
      </c>
      <c r="AD6149" s="54">
        <f>SUM(AD6150:AD6155)</f>
        <v>314.36739764705891</v>
      </c>
      <c r="AE6149" s="184">
        <f>SUMIFS($AD$37:$AD$12971,$V$37:$V$12971,$V6149,$X$37:$X$12971,AE$13)</f>
        <v>0</v>
      </c>
      <c r="AF6149" s="185">
        <f>SUMIFS($AD$37:$AD$12971,$V$37:$V$12971,$V6149,$X$37:$X$12971,AF$13)</f>
        <v>0</v>
      </c>
      <c r="AG6149" s="185">
        <f>SUMIFS($AD$37:$AD$12971,$V$37:$V$12971,$V6149,$X$37:$X$12971,AG$13)</f>
        <v>0</v>
      </c>
      <c r="AH6149" s="187">
        <f>SUMIFS($AD$37:$AD$12971,$V$37:$V$12971,$V6149,$X$37:$X$12971,AH$13)</f>
        <v>0</v>
      </c>
      <c r="AI6149" s="161">
        <f t="shared" si="4300"/>
        <v>0</v>
      </c>
      <c r="AK6149" s="172"/>
    </row>
    <row r="6150" spans="1:41" s="102" customFormat="1" ht="19.899999999999999" customHeight="1" x14ac:dyDescent="0.25">
      <c r="A6150" s="45"/>
      <c r="B6150" s="59"/>
      <c r="C6150" s="137"/>
      <c r="D6150" s="59"/>
      <c r="E6150" s="116"/>
      <c r="F6150" s="120"/>
      <c r="G6150" s="120"/>
      <c r="H6150" s="120"/>
      <c r="I6150" s="60"/>
      <c r="J6150" s="116"/>
      <c r="K6150" s="213"/>
      <c r="L6150" s="120"/>
      <c r="M6150" s="120"/>
      <c r="N6150" s="167"/>
      <c r="O6150" s="120"/>
      <c r="P6150" s="120"/>
      <c r="Q6150" s="120"/>
      <c r="R6150" s="120"/>
      <c r="S6150" s="120"/>
      <c r="T6150" s="221"/>
      <c r="U6150" s="89"/>
      <c r="V6150" s="61"/>
      <c r="W6150" s="92" t="s">
        <v>129</v>
      </c>
      <c r="X6150" s="93" t="s">
        <v>29</v>
      </c>
      <c r="Y6150" s="93" t="s">
        <v>93</v>
      </c>
      <c r="Z6150" s="134">
        <f>VLOOKUP(W6150,Sheet2!$B:$D,3,FALSE)</f>
        <v>56</v>
      </c>
      <c r="AA6150" s="93">
        <f>100/(1.6*1.5)</f>
        <v>41.666666666666657</v>
      </c>
      <c r="AB6150" s="93">
        <f t="shared" ref="AB6150" si="4301">AD6150/AC6149</f>
        <v>1.3440000000000001</v>
      </c>
      <c r="AC6150" s="93">
        <f>AC6149/AA6150</f>
        <v>0.67200000000000015</v>
      </c>
      <c r="AD6150" s="94">
        <f t="shared" ref="AD6150:AD6151" si="4302">AC6150*Z6150</f>
        <v>37.632000000000005</v>
      </c>
      <c r="AE6150" s="190"/>
      <c r="AF6150" s="191"/>
      <c r="AG6150" s="191"/>
      <c r="AH6150" s="191"/>
      <c r="AI6150" s="186"/>
      <c r="AK6150" s="171"/>
    </row>
    <row r="6151" spans="1:41" s="102" customFormat="1" ht="19.899999999999999" customHeight="1" x14ac:dyDescent="0.25">
      <c r="A6151" s="45"/>
      <c r="B6151" s="59"/>
      <c r="C6151" s="137"/>
      <c r="D6151" s="59"/>
      <c r="E6151" s="116"/>
      <c r="F6151" s="120"/>
      <c r="G6151" s="120"/>
      <c r="H6151" s="120"/>
      <c r="I6151" s="60"/>
      <c r="J6151" s="116"/>
      <c r="K6151" s="213"/>
      <c r="L6151" s="120"/>
      <c r="M6151" s="120"/>
      <c r="N6151" s="167"/>
      <c r="O6151" s="120"/>
      <c r="P6151" s="120"/>
      <c r="Q6151" s="120"/>
      <c r="R6151" s="120"/>
      <c r="S6151" s="120"/>
      <c r="T6151" s="221"/>
      <c r="U6151" s="89"/>
      <c r="V6151" s="61"/>
      <c r="W6151" s="92" t="s">
        <v>65</v>
      </c>
      <c r="X6151" s="93" t="s">
        <v>30</v>
      </c>
      <c r="Y6151" s="93" t="s">
        <v>1011</v>
      </c>
      <c r="Z6151" s="134">
        <f>VLOOKUP(W6151,Sheet2!$B:$D,3,FALSE)</f>
        <v>1.76</v>
      </c>
      <c r="AA6151" s="93">
        <f>AA6150/14</f>
        <v>2.9761904761904754</v>
      </c>
      <c r="AB6151" s="93">
        <f>AD6151/AC6149</f>
        <v>0.59136000000000011</v>
      </c>
      <c r="AC6151" s="93">
        <f>AC6149/AA6151</f>
        <v>9.408000000000003</v>
      </c>
      <c r="AD6151" s="94">
        <f t="shared" si="4302"/>
        <v>16.558080000000004</v>
      </c>
      <c r="AE6151" s="190"/>
      <c r="AF6151" s="191"/>
      <c r="AG6151" s="191"/>
      <c r="AH6151" s="191"/>
      <c r="AI6151" s="186"/>
      <c r="AK6151" s="171"/>
    </row>
    <row r="6152" spans="1:41" s="102" customFormat="1" ht="19.899999999999999" customHeight="1" x14ac:dyDescent="0.25">
      <c r="A6152" s="45"/>
      <c r="B6152" s="59"/>
      <c r="C6152" s="137"/>
      <c r="D6152" s="59"/>
      <c r="E6152" s="116"/>
      <c r="F6152" s="120"/>
      <c r="G6152" s="120"/>
      <c r="H6152" s="120"/>
      <c r="I6152" s="60"/>
      <c r="J6152" s="116"/>
      <c r="K6152" s="213"/>
      <c r="L6152" s="120"/>
      <c r="M6152" s="120"/>
      <c r="N6152" s="167"/>
      <c r="O6152" s="120"/>
      <c r="P6152" s="120"/>
      <c r="Q6152" s="120"/>
      <c r="R6152" s="120"/>
      <c r="S6152" s="120"/>
      <c r="T6152" s="221"/>
      <c r="U6152" s="89"/>
      <c r="V6152" s="61"/>
      <c r="W6152" s="92" t="s">
        <v>161</v>
      </c>
      <c r="X6152" s="93" t="s">
        <v>29</v>
      </c>
      <c r="Y6152" s="93" t="s">
        <v>93</v>
      </c>
      <c r="Z6152" s="134">
        <f>VLOOKUP(W6152,Sheet2!$B:$D,3,FALSE)</f>
        <v>48</v>
      </c>
      <c r="AA6152" s="93">
        <f>(16*0.85*1.5)/(1.6*1.5)</f>
        <v>8.4999999999999982</v>
      </c>
      <c r="AB6152" s="93">
        <f>AD6152/AC6149</f>
        <v>5.647058823529413</v>
      </c>
      <c r="AC6152" s="93">
        <f>AC6149/AA6152</f>
        <v>3.2941176470588243</v>
      </c>
      <c r="AD6152" s="94">
        <f>AC6152*Z6152</f>
        <v>158.11764705882356</v>
      </c>
      <c r="AE6152" s="190"/>
      <c r="AF6152" s="191"/>
      <c r="AG6152" s="191"/>
      <c r="AH6152" s="191"/>
      <c r="AI6152" s="186"/>
      <c r="AK6152" s="171"/>
    </row>
    <row r="6153" spans="1:41" s="102" customFormat="1" ht="19.899999999999999" customHeight="1" x14ac:dyDescent="0.25">
      <c r="A6153" s="45"/>
      <c r="B6153" s="59"/>
      <c r="C6153" s="137"/>
      <c r="D6153" s="59"/>
      <c r="E6153" s="116"/>
      <c r="F6153" s="120"/>
      <c r="G6153" s="120"/>
      <c r="H6153" s="120"/>
      <c r="I6153" s="60"/>
      <c r="J6153" s="116"/>
      <c r="K6153" s="213"/>
      <c r="L6153" s="120"/>
      <c r="M6153" s="120"/>
      <c r="N6153" s="167"/>
      <c r="O6153" s="120"/>
      <c r="P6153" s="120"/>
      <c r="Q6153" s="120"/>
      <c r="R6153" s="120"/>
      <c r="S6153" s="120"/>
      <c r="T6153" s="221"/>
      <c r="U6153" s="89"/>
      <c r="V6153" s="61"/>
      <c r="W6153" s="92" t="s">
        <v>65</v>
      </c>
      <c r="X6153" s="93" t="s">
        <v>30</v>
      </c>
      <c r="Y6153" s="93" t="s">
        <v>1011</v>
      </c>
      <c r="Z6153" s="134">
        <f>VLOOKUP(W6153,Sheet2!$B:$D,3,FALSE)</f>
        <v>1.76</v>
      </c>
      <c r="AA6153" s="93">
        <f>AA6152/10</f>
        <v>0.84999999999999987</v>
      </c>
      <c r="AB6153" s="93">
        <f>AD6153/AC6149</f>
        <v>2.0705882352941178</v>
      </c>
      <c r="AC6153" s="93">
        <f>AC6149/AA6153</f>
        <v>32.941176470588239</v>
      </c>
      <c r="AD6153" s="94">
        <f>AC6153*Z6153</f>
        <v>57.976470588235301</v>
      </c>
      <c r="AE6153" s="190"/>
      <c r="AF6153" s="191"/>
      <c r="AG6153" s="191"/>
      <c r="AH6153" s="191"/>
      <c r="AI6153" s="186"/>
      <c r="AK6153" s="171"/>
    </row>
    <row r="6154" spans="1:41" s="102" customFormat="1" ht="19.899999999999999" customHeight="1" x14ac:dyDescent="0.25">
      <c r="A6154" s="45"/>
      <c r="B6154" s="59"/>
      <c r="C6154" s="137"/>
      <c r="D6154" s="59"/>
      <c r="E6154" s="116"/>
      <c r="F6154" s="120"/>
      <c r="G6154" s="120"/>
      <c r="H6154" s="120"/>
      <c r="I6154" s="60"/>
      <c r="J6154" s="116"/>
      <c r="K6154" s="213"/>
      <c r="L6154" s="120"/>
      <c r="M6154" s="120"/>
      <c r="N6154" s="167"/>
      <c r="O6154" s="120"/>
      <c r="P6154" s="120"/>
      <c r="Q6154" s="120"/>
      <c r="R6154" s="120"/>
      <c r="S6154" s="120"/>
      <c r="T6154" s="221"/>
      <c r="U6154" s="89"/>
      <c r="V6154" s="61"/>
      <c r="W6154" s="92" t="s">
        <v>148</v>
      </c>
      <c r="X6154" s="93" t="s">
        <v>29</v>
      </c>
      <c r="Y6154" s="93" t="s">
        <v>93</v>
      </c>
      <c r="Z6154" s="134">
        <f>VLOOKUP(W6154,Sheet2!$B:$D,3,FALSE)</f>
        <v>48</v>
      </c>
      <c r="AA6154" s="93">
        <f>AA6150</f>
        <v>41.666666666666657</v>
      </c>
      <c r="AB6154" s="93">
        <f>AD6154/AC6149</f>
        <v>1.1520000000000004</v>
      </c>
      <c r="AC6154" s="93">
        <f>AC6149/AA6154</f>
        <v>0.67200000000000015</v>
      </c>
      <c r="AD6154" s="94">
        <f t="shared" ref="AD6154:AD6155" si="4303">AC6154*Z6154</f>
        <v>32.256000000000007</v>
      </c>
      <c r="AE6154" s="190"/>
      <c r="AF6154" s="191"/>
      <c r="AG6154" s="191"/>
      <c r="AH6154" s="191"/>
      <c r="AI6154" s="186"/>
      <c r="AK6154" s="171"/>
    </row>
    <row r="6155" spans="1:41" s="102" customFormat="1" ht="19.899999999999999" customHeight="1" x14ac:dyDescent="0.25">
      <c r="A6155" s="45"/>
      <c r="B6155" s="59"/>
      <c r="C6155" s="137"/>
      <c r="D6155" s="59"/>
      <c r="E6155" s="116"/>
      <c r="F6155" s="120"/>
      <c r="G6155" s="120"/>
      <c r="H6155" s="120"/>
      <c r="I6155" s="60"/>
      <c r="J6155" s="116"/>
      <c r="K6155" s="213"/>
      <c r="L6155" s="120"/>
      <c r="M6155" s="120"/>
      <c r="N6155" s="167"/>
      <c r="O6155" s="120"/>
      <c r="P6155" s="120"/>
      <c r="Q6155" s="120"/>
      <c r="R6155" s="120"/>
      <c r="S6155" s="120"/>
      <c r="T6155" s="221"/>
      <c r="U6155" s="89"/>
      <c r="V6155" s="61"/>
      <c r="W6155" s="92" t="s">
        <v>65</v>
      </c>
      <c r="X6155" s="93" t="s">
        <v>30</v>
      </c>
      <c r="Y6155" s="93" t="s">
        <v>1011</v>
      </c>
      <c r="Z6155" s="134">
        <f>VLOOKUP(W6155,Sheet2!$B:$D,3,FALSE)</f>
        <v>1.76</v>
      </c>
      <c r="AA6155" s="93">
        <f>AA6154/10</f>
        <v>4.1666666666666661</v>
      </c>
      <c r="AB6155" s="93">
        <f>AD6155/AC6149</f>
        <v>0.42240000000000005</v>
      </c>
      <c r="AC6155" s="93">
        <f>AC6149/AA6155</f>
        <v>6.7200000000000006</v>
      </c>
      <c r="AD6155" s="94">
        <f t="shared" si="4303"/>
        <v>11.827200000000001</v>
      </c>
      <c r="AE6155" s="190"/>
      <c r="AF6155" s="191"/>
      <c r="AG6155" s="191"/>
      <c r="AH6155" s="191"/>
      <c r="AI6155" s="186"/>
      <c r="AK6155" s="171"/>
    </row>
    <row r="6156" spans="1:41" s="103" customFormat="1" ht="19.899999999999999" customHeight="1" x14ac:dyDescent="0.25">
      <c r="A6156" s="51"/>
      <c r="B6156" s="52"/>
      <c r="C6156" s="165"/>
      <c r="D6156" s="52"/>
      <c r="E6156" s="115"/>
      <c r="F6156" s="58"/>
      <c r="G6156" s="58"/>
      <c r="H6156" s="58"/>
      <c r="I6156" s="55"/>
      <c r="J6156" s="113">
        <f>J6148</f>
        <v>28</v>
      </c>
      <c r="K6156" s="212">
        <f>K6148</f>
        <v>28</v>
      </c>
      <c r="L6156" s="58"/>
      <c r="M6156" s="58">
        <f>K6156-L6156</f>
        <v>28</v>
      </c>
      <c r="N6156" s="166"/>
      <c r="O6156" s="58"/>
      <c r="P6156" s="58"/>
      <c r="Q6156" s="58"/>
      <c r="R6156" s="58"/>
      <c r="S6156" s="58"/>
      <c r="T6156" s="220"/>
      <c r="U6156" s="88"/>
      <c r="V6156" s="56"/>
      <c r="W6156" s="57" t="s">
        <v>1606</v>
      </c>
      <c r="X6156" s="53"/>
      <c r="Y6156" s="91" t="s">
        <v>68</v>
      </c>
      <c r="Z6156" s="136">
        <f>AD6156/AC6156</f>
        <v>52.339999999999996</v>
      </c>
      <c r="AA6156" s="58"/>
      <c r="AB6156" s="53">
        <f>AD6156/AC6156</f>
        <v>52.339999999999996</v>
      </c>
      <c r="AC6156" s="53">
        <f>M6156+$AE$10</f>
        <v>28</v>
      </c>
      <c r="AD6156" s="54">
        <f>SUM(AD6157:AD6161)</f>
        <v>1465.52</v>
      </c>
      <c r="AE6156" s="184">
        <f>SUMIFS($AD$37:$AD$12971,$V$37:$V$12971,$V6156,$X$37:$X$12971,AE$13)</f>
        <v>0</v>
      </c>
      <c r="AF6156" s="185">
        <f>SUMIFS($AD$37:$AD$12971,$V$37:$V$12971,$V6156,$X$37:$X$12971,AF$13)</f>
        <v>0</v>
      </c>
      <c r="AG6156" s="185">
        <f>SUMIFS($AD$37:$AD$12971,$V$37:$V$12971,$V6156,$X$37:$X$12971,AG$13)</f>
        <v>0</v>
      </c>
      <c r="AH6156" s="187">
        <f>SUMIFS($AD$37:$AD$12971,$V$37:$V$12971,$V6156,$X$37:$X$12971,AH$13)</f>
        <v>0</v>
      </c>
      <c r="AI6156" s="161">
        <f t="shared" ref="AI6156" si="4304">SUM(AE6156:AH6156)</f>
        <v>0</v>
      </c>
      <c r="AK6156" s="172"/>
    </row>
    <row r="6157" spans="1:41" s="102" customFormat="1" ht="19.899999999999999" customHeight="1" x14ac:dyDescent="0.25">
      <c r="A6157" s="45"/>
      <c r="B6157" s="59"/>
      <c r="C6157" s="137"/>
      <c r="D6157" s="59"/>
      <c r="E6157" s="116"/>
      <c r="F6157" s="120"/>
      <c r="G6157" s="120"/>
      <c r="H6157" s="120"/>
      <c r="I6157" s="60"/>
      <c r="J6157" s="116"/>
      <c r="K6157" s="213"/>
      <c r="L6157" s="120"/>
      <c r="M6157" s="120"/>
      <c r="N6157" s="167"/>
      <c r="O6157" s="120"/>
      <c r="P6157" s="120"/>
      <c r="Q6157" s="120"/>
      <c r="R6157" s="120"/>
      <c r="S6157" s="120"/>
      <c r="T6157" s="221"/>
      <c r="U6157" s="89"/>
      <c r="V6157" s="61"/>
      <c r="W6157" s="92" t="s">
        <v>1032</v>
      </c>
      <c r="X6157" s="93" t="s">
        <v>30</v>
      </c>
      <c r="Y6157" s="93" t="s">
        <v>66</v>
      </c>
      <c r="Z6157" s="134">
        <f>VLOOKUP(W6157,Sheet2!$B:$D,3,FALSE)</f>
        <v>250</v>
      </c>
      <c r="AA6157" s="93">
        <f>1/(0.4*0.25)</f>
        <v>10</v>
      </c>
      <c r="AB6157" s="93">
        <f>AD6157/AC6156</f>
        <v>25</v>
      </c>
      <c r="AC6157" s="93">
        <f>AC6156/AA6157</f>
        <v>2.8</v>
      </c>
      <c r="AD6157" s="94">
        <f t="shared" ref="AD6157" si="4305">AC6157*Z6157</f>
        <v>700</v>
      </c>
      <c r="AE6157" s="190"/>
      <c r="AF6157" s="191"/>
      <c r="AG6157" s="191"/>
      <c r="AH6157" s="191"/>
      <c r="AI6157" s="186"/>
      <c r="AK6157" s="171"/>
    </row>
    <row r="6158" spans="1:41" s="102" customFormat="1" ht="19.899999999999999" customHeight="1" x14ac:dyDescent="0.25">
      <c r="A6158" s="45"/>
      <c r="B6158" s="59"/>
      <c r="C6158" s="137"/>
      <c r="D6158" s="59"/>
      <c r="E6158" s="116"/>
      <c r="F6158" s="120"/>
      <c r="G6158" s="120"/>
      <c r="H6158" s="120"/>
      <c r="I6158" s="60"/>
      <c r="J6158" s="116"/>
      <c r="K6158" s="213"/>
      <c r="L6158" s="120"/>
      <c r="M6158" s="120"/>
      <c r="N6158" s="167"/>
      <c r="O6158" s="120"/>
      <c r="P6158" s="120"/>
      <c r="Q6158" s="120"/>
      <c r="R6158" s="120"/>
      <c r="S6158" s="120"/>
      <c r="T6158" s="221"/>
      <c r="U6158" s="89"/>
      <c r="V6158" s="61"/>
      <c r="W6158" s="92" t="s">
        <v>1270</v>
      </c>
      <c r="X6158" s="93" t="s">
        <v>30</v>
      </c>
      <c r="Y6158" s="93" t="s">
        <v>68</v>
      </c>
      <c r="Z6158" s="134">
        <f>VLOOKUP(W6158,Sheet2!$B:$D,3,FALSE)</f>
        <v>4</v>
      </c>
      <c r="AA6158" s="93">
        <f>1/2</f>
        <v>0.5</v>
      </c>
      <c r="AB6158" s="93">
        <f>AD6158/AC6156</f>
        <v>8</v>
      </c>
      <c r="AC6158" s="93">
        <f>AC6156/AA6158</f>
        <v>56</v>
      </c>
      <c r="AD6158" s="94">
        <f>AC6158*Z6158</f>
        <v>224</v>
      </c>
      <c r="AE6158" s="190"/>
      <c r="AF6158" s="191"/>
      <c r="AG6158" s="191"/>
      <c r="AH6158" s="191"/>
      <c r="AI6158" s="186"/>
      <c r="AK6158" s="171"/>
    </row>
    <row r="6159" spans="1:41" s="102" customFormat="1" ht="19.899999999999999" customHeight="1" x14ac:dyDescent="0.25">
      <c r="A6159" s="45"/>
      <c r="B6159" s="59"/>
      <c r="C6159" s="137"/>
      <c r="D6159" s="59"/>
      <c r="E6159" s="116"/>
      <c r="F6159" s="120"/>
      <c r="G6159" s="120"/>
      <c r="H6159" s="120"/>
      <c r="I6159" s="60"/>
      <c r="J6159" s="116"/>
      <c r="K6159" s="213"/>
      <c r="L6159" s="120"/>
      <c r="M6159" s="120"/>
      <c r="N6159" s="167"/>
      <c r="O6159" s="120"/>
      <c r="P6159" s="120"/>
      <c r="Q6159" s="120"/>
      <c r="R6159" s="120"/>
      <c r="S6159" s="120"/>
      <c r="T6159" s="221"/>
      <c r="U6159" s="89"/>
      <c r="V6159" s="61"/>
      <c r="W6159" s="92" t="s">
        <v>1271</v>
      </c>
      <c r="X6159" s="93" t="s">
        <v>30</v>
      </c>
      <c r="Y6159" s="93" t="s">
        <v>68</v>
      </c>
      <c r="Z6159" s="134">
        <f>VLOOKUP(W6159,Sheet2!$B:$D,3,FALSE)</f>
        <v>2</v>
      </c>
      <c r="AA6159" s="93">
        <f>AA6158</f>
        <v>0.5</v>
      </c>
      <c r="AB6159" s="93">
        <f>AD6159/AC6156</f>
        <v>4</v>
      </c>
      <c r="AC6159" s="93">
        <f>AC6156/AA6159</f>
        <v>56</v>
      </c>
      <c r="AD6159" s="94">
        <f>AC6159*Z6159</f>
        <v>112</v>
      </c>
      <c r="AE6159" s="190"/>
      <c r="AF6159" s="191"/>
      <c r="AG6159" s="191"/>
      <c r="AH6159" s="191"/>
      <c r="AI6159" s="186"/>
      <c r="AK6159" s="171"/>
    </row>
    <row r="6160" spans="1:41" s="102" customFormat="1" ht="19.899999999999999" customHeight="1" x14ac:dyDescent="0.25">
      <c r="A6160" s="45"/>
      <c r="B6160" s="59"/>
      <c r="C6160" s="137"/>
      <c r="D6160" s="59"/>
      <c r="E6160" s="116"/>
      <c r="F6160" s="120"/>
      <c r="G6160" s="120"/>
      <c r="H6160" s="120"/>
      <c r="I6160" s="60"/>
      <c r="J6160" s="116"/>
      <c r="K6160" s="213"/>
      <c r="L6160" s="120"/>
      <c r="M6160" s="120"/>
      <c r="N6160" s="167"/>
      <c r="O6160" s="120"/>
      <c r="P6160" s="120"/>
      <c r="Q6160" s="120"/>
      <c r="R6160" s="120"/>
      <c r="S6160" s="120"/>
      <c r="T6160" s="221"/>
      <c r="U6160" s="89"/>
      <c r="V6160" s="61"/>
      <c r="W6160" s="92" t="s">
        <v>1035</v>
      </c>
      <c r="X6160" s="93" t="s">
        <v>32</v>
      </c>
      <c r="Y6160" s="93" t="s">
        <v>66</v>
      </c>
      <c r="Z6160" s="134">
        <f>VLOOKUP(W6160,Sheet2!$B:$D,3,FALSE)</f>
        <v>150</v>
      </c>
      <c r="AA6160" s="93">
        <f>AA6157</f>
        <v>10</v>
      </c>
      <c r="AB6160" s="93">
        <f>AD6160/AC6156</f>
        <v>15</v>
      </c>
      <c r="AC6160" s="93">
        <f>AC6156/AA6160</f>
        <v>2.8</v>
      </c>
      <c r="AD6160" s="94">
        <f t="shared" ref="AD6160:AD6161" si="4306">AC6160*Z6160</f>
        <v>420</v>
      </c>
      <c r="AE6160" s="190"/>
      <c r="AF6160" s="191"/>
      <c r="AG6160" s="191"/>
      <c r="AH6160" s="191"/>
      <c r="AI6160" s="186"/>
      <c r="AK6160" s="171"/>
    </row>
    <row r="6161" spans="1:41" s="102" customFormat="1" ht="19.899999999999999" customHeight="1" x14ac:dyDescent="0.25">
      <c r="A6161" s="45"/>
      <c r="B6161" s="59"/>
      <c r="C6161" s="137"/>
      <c r="D6161" s="59"/>
      <c r="E6161" s="116"/>
      <c r="F6161" s="120"/>
      <c r="G6161" s="120"/>
      <c r="H6161" s="120"/>
      <c r="I6161" s="60"/>
      <c r="J6161" s="116"/>
      <c r="K6161" s="213"/>
      <c r="L6161" s="120"/>
      <c r="M6161" s="120"/>
      <c r="N6161" s="167"/>
      <c r="O6161" s="120"/>
      <c r="P6161" s="120"/>
      <c r="Q6161" s="120"/>
      <c r="R6161" s="120"/>
      <c r="S6161" s="120"/>
      <c r="T6161" s="221"/>
      <c r="U6161" s="89"/>
      <c r="V6161" s="61"/>
      <c r="W6161" s="92" t="s">
        <v>107</v>
      </c>
      <c r="X6161" s="93" t="s">
        <v>31</v>
      </c>
      <c r="Y6161" s="93" t="s">
        <v>93</v>
      </c>
      <c r="Z6161" s="134">
        <f>VLOOKUP(W6161,Sheet2!$B:$D,3,FALSE)</f>
        <v>17</v>
      </c>
      <c r="AA6161" s="93">
        <v>50</v>
      </c>
      <c r="AB6161" s="93">
        <f>AD6161/AC6156</f>
        <v>0.34</v>
      </c>
      <c r="AC6161" s="93">
        <f>AC6156/AA6161</f>
        <v>0.56000000000000005</v>
      </c>
      <c r="AD6161" s="94">
        <f t="shared" si="4306"/>
        <v>9.5200000000000014</v>
      </c>
      <c r="AE6161" s="190"/>
      <c r="AF6161" s="191"/>
      <c r="AG6161" s="191"/>
      <c r="AH6161" s="191"/>
      <c r="AI6161" s="186"/>
      <c r="AK6161" s="171"/>
    </row>
    <row r="6162" spans="1:41" s="103" customFormat="1" ht="19.899999999999999" customHeight="1" x14ac:dyDescent="0.25">
      <c r="A6162" s="51"/>
      <c r="B6162" s="52"/>
      <c r="C6162" s="165"/>
      <c r="D6162" s="52"/>
      <c r="E6162" s="115"/>
      <c r="F6162" s="58"/>
      <c r="G6162" s="58"/>
      <c r="H6162" s="58"/>
      <c r="I6162" s="55"/>
      <c r="J6162" s="113">
        <f>J6148</f>
        <v>28</v>
      </c>
      <c r="K6162" s="212">
        <f>K6148</f>
        <v>28</v>
      </c>
      <c r="L6162" s="58"/>
      <c r="M6162" s="58">
        <f>K6162-L6162</f>
        <v>28</v>
      </c>
      <c r="N6162" s="166"/>
      <c r="O6162" s="58"/>
      <c r="P6162" s="58"/>
      <c r="Q6162" s="58"/>
      <c r="R6162" s="58"/>
      <c r="S6162" s="58"/>
      <c r="T6162" s="220"/>
      <c r="U6162" s="88"/>
      <c r="V6162" s="56"/>
      <c r="W6162" s="57" t="s">
        <v>1272</v>
      </c>
      <c r="X6162" s="53"/>
      <c r="Y6162" s="91" t="s">
        <v>68</v>
      </c>
      <c r="Z6162" s="136">
        <f>AD6162/AC6162</f>
        <v>14.971705098039218</v>
      </c>
      <c r="AA6162" s="58"/>
      <c r="AB6162" s="53">
        <f>AD6162/AC6162</f>
        <v>14.971705098039218</v>
      </c>
      <c r="AC6162" s="53">
        <f>M6162+$AE$10</f>
        <v>28</v>
      </c>
      <c r="AD6162" s="54">
        <f>SUM(AD6163:AD6172)</f>
        <v>419.20774274509807</v>
      </c>
      <c r="AE6162" s="184">
        <f>SUMIFS($AD$37:$AD$12971,$V$37:$V$12971,$V6162,$X$37:$X$12971,AE$13)</f>
        <v>0</v>
      </c>
      <c r="AF6162" s="185">
        <f>SUMIFS($AD$37:$AD$12971,$V$37:$V$12971,$V6162,$X$37:$X$12971,AF$13)</f>
        <v>0</v>
      </c>
      <c r="AG6162" s="185">
        <f>SUMIFS($AD$37:$AD$12971,$V$37:$V$12971,$V6162,$X$37:$X$12971,AG$13)</f>
        <v>0</v>
      </c>
      <c r="AH6162" s="187">
        <f>SUMIFS($AD$37:$AD$12971,$V$37:$V$12971,$V6162,$X$37:$X$12971,AH$13)</f>
        <v>0</v>
      </c>
      <c r="AI6162" s="161">
        <f t="shared" ref="AI6162" si="4307">SUM(AE6162:AH6162)</f>
        <v>0</v>
      </c>
      <c r="AK6162" s="172"/>
    </row>
    <row r="6163" spans="1:41" s="102" customFormat="1" ht="19.899999999999999" customHeight="1" x14ac:dyDescent="0.25">
      <c r="A6163" s="45"/>
      <c r="B6163" s="59"/>
      <c r="C6163" s="137"/>
      <c r="D6163" s="59"/>
      <c r="E6163" s="116"/>
      <c r="F6163" s="120"/>
      <c r="G6163" s="120"/>
      <c r="H6163" s="120"/>
      <c r="I6163" s="60"/>
      <c r="J6163" s="116"/>
      <c r="K6163" s="213"/>
      <c r="L6163" s="120"/>
      <c r="M6163" s="120"/>
      <c r="N6163" s="167"/>
      <c r="O6163" s="120"/>
      <c r="P6163" s="120"/>
      <c r="Q6163" s="120"/>
      <c r="R6163" s="120"/>
      <c r="S6163" s="120"/>
      <c r="T6163" s="221"/>
      <c r="U6163" s="89"/>
      <c r="V6163" s="61"/>
      <c r="W6163" s="92" t="s">
        <v>134</v>
      </c>
      <c r="X6163" s="93" t="s">
        <v>29</v>
      </c>
      <c r="Y6163" s="93" t="s">
        <v>93</v>
      </c>
      <c r="Z6163" s="134">
        <f>VLOOKUP(W6163,Sheet2!$B:$D,3,FALSE)</f>
        <v>65.599999999999994</v>
      </c>
      <c r="AA6163" s="93">
        <f>100/((1.6*1.5)-(0.4*0.25))</f>
        <v>43.478260869565212</v>
      </c>
      <c r="AB6163" s="93">
        <f>AD6163/AC6162</f>
        <v>1.5088000000000001</v>
      </c>
      <c r="AC6163" s="93">
        <f>AC6162/AA6163</f>
        <v>0.64400000000000013</v>
      </c>
      <c r="AD6163" s="94">
        <f t="shared" ref="AD6163:AD6164" si="4308">AC6163*Z6163</f>
        <v>42.246400000000001</v>
      </c>
      <c r="AE6163" s="190"/>
      <c r="AF6163" s="191"/>
      <c r="AG6163" s="191"/>
      <c r="AH6163" s="191"/>
      <c r="AI6163" s="186"/>
      <c r="AK6163" s="171"/>
    </row>
    <row r="6164" spans="1:41" s="102" customFormat="1" ht="19.899999999999999" customHeight="1" x14ac:dyDescent="0.25">
      <c r="A6164" s="45"/>
      <c r="B6164" s="59"/>
      <c r="C6164" s="137"/>
      <c r="D6164" s="59"/>
      <c r="E6164" s="116"/>
      <c r="F6164" s="120"/>
      <c r="G6164" s="120"/>
      <c r="H6164" s="120"/>
      <c r="I6164" s="60"/>
      <c r="J6164" s="116"/>
      <c r="K6164" s="213"/>
      <c r="L6164" s="120"/>
      <c r="M6164" s="120"/>
      <c r="N6164" s="167"/>
      <c r="O6164" s="120"/>
      <c r="P6164" s="120"/>
      <c r="Q6164" s="120"/>
      <c r="R6164" s="120"/>
      <c r="S6164" s="120"/>
      <c r="T6164" s="221"/>
      <c r="U6164" s="89"/>
      <c r="V6164" s="61"/>
      <c r="W6164" s="92" t="s">
        <v>65</v>
      </c>
      <c r="X6164" s="93" t="s">
        <v>30</v>
      </c>
      <c r="Y6164" s="93" t="s">
        <v>1011</v>
      </c>
      <c r="Z6164" s="134">
        <f>VLOOKUP(W6164,Sheet2!$B:$D,3,FALSE)</f>
        <v>1.76</v>
      </c>
      <c r="AA6164" s="93">
        <f>AA6163/9</f>
        <v>4.8309178743961345</v>
      </c>
      <c r="AB6164" s="93">
        <f>AD6164/AC6162</f>
        <v>0.36432000000000009</v>
      </c>
      <c r="AC6164" s="93">
        <f>AC6162/AA6164</f>
        <v>5.7960000000000012</v>
      </c>
      <c r="AD6164" s="94">
        <f t="shared" si="4308"/>
        <v>10.200960000000002</v>
      </c>
      <c r="AE6164" s="190"/>
      <c r="AF6164" s="191"/>
      <c r="AG6164" s="191"/>
      <c r="AH6164" s="191"/>
      <c r="AI6164" s="186"/>
      <c r="AK6164" s="171"/>
    </row>
    <row r="6165" spans="1:41" s="102" customFormat="1" ht="19.899999999999999" customHeight="1" x14ac:dyDescent="0.25">
      <c r="A6165" s="45"/>
      <c r="B6165" s="59"/>
      <c r="C6165" s="137"/>
      <c r="D6165" s="59"/>
      <c r="E6165" s="116"/>
      <c r="F6165" s="120"/>
      <c r="G6165" s="120"/>
      <c r="H6165" s="120"/>
      <c r="I6165" s="60"/>
      <c r="J6165" s="116"/>
      <c r="K6165" s="213"/>
      <c r="L6165" s="120"/>
      <c r="M6165" s="120"/>
      <c r="N6165" s="167"/>
      <c r="O6165" s="120"/>
      <c r="P6165" s="120"/>
      <c r="Q6165" s="120"/>
      <c r="R6165" s="120"/>
      <c r="S6165" s="120"/>
      <c r="T6165" s="221"/>
      <c r="U6165" s="89"/>
      <c r="V6165" s="61"/>
      <c r="W6165" s="92" t="s">
        <v>161</v>
      </c>
      <c r="X6165" s="93" t="s">
        <v>29</v>
      </c>
      <c r="Y6165" s="93" t="s">
        <v>93</v>
      </c>
      <c r="Z6165" s="134">
        <f>VLOOKUP(W6165,Sheet2!$B:$D,3,FALSE)</f>
        <v>48</v>
      </c>
      <c r="AA6165" s="93">
        <f>(16*0.85*1.5)/((1.6*1.5)-(0.4*0.25))</f>
        <v>8.8695652173913029</v>
      </c>
      <c r="AB6165" s="93">
        <f>AD6165/AC6162</f>
        <v>5.4117647058823541</v>
      </c>
      <c r="AC6165" s="93">
        <f>AC6162/AA6165</f>
        <v>3.1568627450980395</v>
      </c>
      <c r="AD6165" s="94">
        <f>AC6165*Z6165</f>
        <v>151.52941176470591</v>
      </c>
      <c r="AE6165" s="190"/>
      <c r="AF6165" s="191"/>
      <c r="AG6165" s="191"/>
      <c r="AH6165" s="191"/>
      <c r="AI6165" s="186"/>
      <c r="AK6165" s="171"/>
    </row>
    <row r="6166" spans="1:41" s="102" customFormat="1" ht="19.899999999999999" customHeight="1" x14ac:dyDescent="0.25">
      <c r="A6166" s="45"/>
      <c r="B6166" s="59"/>
      <c r="C6166" s="137"/>
      <c r="D6166" s="59"/>
      <c r="E6166" s="116"/>
      <c r="F6166" s="120"/>
      <c r="G6166" s="120"/>
      <c r="H6166" s="120"/>
      <c r="I6166" s="60"/>
      <c r="J6166" s="116"/>
      <c r="K6166" s="213"/>
      <c r="L6166" s="120"/>
      <c r="M6166" s="120"/>
      <c r="N6166" s="167"/>
      <c r="O6166" s="120"/>
      <c r="P6166" s="120"/>
      <c r="Q6166" s="120"/>
      <c r="R6166" s="120"/>
      <c r="S6166" s="120"/>
      <c r="T6166" s="221"/>
      <c r="U6166" s="89"/>
      <c r="V6166" s="61"/>
      <c r="W6166" s="92" t="s">
        <v>65</v>
      </c>
      <c r="X6166" s="93" t="s">
        <v>30</v>
      </c>
      <c r="Y6166" s="93" t="s">
        <v>1011</v>
      </c>
      <c r="Z6166" s="134">
        <f>VLOOKUP(W6166,Sheet2!$B:$D,3,FALSE)</f>
        <v>1.76</v>
      </c>
      <c r="AA6166" s="93">
        <f>AA6165/10</f>
        <v>0.88695652173913031</v>
      </c>
      <c r="AB6166" s="93">
        <f>AD6166/AC6162</f>
        <v>1.9843137254901964</v>
      </c>
      <c r="AC6166" s="93">
        <f>AC6162/AA6166</f>
        <v>31.568627450980397</v>
      </c>
      <c r="AD6166" s="94">
        <f>AC6166*Z6166</f>
        <v>55.560784313725499</v>
      </c>
      <c r="AE6166" s="190"/>
      <c r="AF6166" s="191"/>
      <c r="AG6166" s="191"/>
      <c r="AH6166" s="191"/>
      <c r="AI6166" s="186"/>
      <c r="AK6166" s="171"/>
    </row>
    <row r="6167" spans="1:41" s="102" customFormat="1" ht="19.899999999999999" customHeight="1" x14ac:dyDescent="0.25">
      <c r="A6167" s="45"/>
      <c r="B6167" s="59"/>
      <c r="C6167" s="137"/>
      <c r="D6167" s="59"/>
      <c r="E6167" s="116"/>
      <c r="F6167" s="120"/>
      <c r="G6167" s="120"/>
      <c r="H6167" s="120"/>
      <c r="I6167" s="60"/>
      <c r="J6167" s="116"/>
      <c r="K6167" s="213"/>
      <c r="L6167" s="120"/>
      <c r="M6167" s="120"/>
      <c r="N6167" s="167"/>
      <c r="O6167" s="120"/>
      <c r="P6167" s="120"/>
      <c r="Q6167" s="120"/>
      <c r="R6167" s="120"/>
      <c r="S6167" s="120"/>
      <c r="T6167" s="221"/>
      <c r="U6167" s="89"/>
      <c r="V6167" s="61"/>
      <c r="W6167" s="92" t="s">
        <v>173</v>
      </c>
      <c r="X6167" s="93" t="s">
        <v>29</v>
      </c>
      <c r="Y6167" s="93" t="s">
        <v>93</v>
      </c>
      <c r="Z6167" s="134">
        <f>VLOOKUP(W6167,Sheet2!$B:$D,3,FALSE)</f>
        <v>36</v>
      </c>
      <c r="AA6167" s="93">
        <f>50/((1.6*1.5)-(0.4*0.25))</f>
        <v>21.739130434782606</v>
      </c>
      <c r="AB6167" s="93">
        <f>AD6167/AC6162</f>
        <v>1.6560000000000004</v>
      </c>
      <c r="AC6167" s="93">
        <f>AC6162/AA6167</f>
        <v>1.2880000000000003</v>
      </c>
      <c r="AD6167" s="94">
        <f>AC6167*Z6167</f>
        <v>46.368000000000009</v>
      </c>
      <c r="AE6167" s="190"/>
      <c r="AF6167" s="191"/>
      <c r="AG6167" s="191"/>
      <c r="AH6167" s="191"/>
      <c r="AI6167" s="186"/>
      <c r="AK6167" s="171"/>
    </row>
    <row r="6168" spans="1:41" s="102" customFormat="1" ht="19.899999999999999" customHeight="1" x14ac:dyDescent="0.25">
      <c r="A6168" s="45"/>
      <c r="B6168" s="59"/>
      <c r="C6168" s="137"/>
      <c r="D6168" s="59"/>
      <c r="E6168" s="116"/>
      <c r="F6168" s="120"/>
      <c r="G6168" s="120"/>
      <c r="H6168" s="120"/>
      <c r="I6168" s="60"/>
      <c r="J6168" s="116"/>
      <c r="K6168" s="213"/>
      <c r="L6168" s="120"/>
      <c r="M6168" s="120"/>
      <c r="N6168" s="167"/>
      <c r="O6168" s="120"/>
      <c r="P6168" s="120"/>
      <c r="Q6168" s="120"/>
      <c r="R6168" s="120"/>
      <c r="S6168" s="120"/>
      <c r="T6168" s="221"/>
      <c r="U6168" s="89"/>
      <c r="V6168" s="61"/>
      <c r="W6168" s="92" t="s">
        <v>65</v>
      </c>
      <c r="X6168" s="93" t="s">
        <v>30</v>
      </c>
      <c r="Y6168" s="93" t="s">
        <v>1011</v>
      </c>
      <c r="Z6168" s="134">
        <f>VLOOKUP(W6168,Sheet2!$B:$D,3,FALSE)</f>
        <v>1.76</v>
      </c>
      <c r="AA6168" s="93">
        <f>AA6167/9</f>
        <v>2.4154589371980673</v>
      </c>
      <c r="AB6168" s="93">
        <f>AD6168/AC6162</f>
        <v>0.72864000000000018</v>
      </c>
      <c r="AC6168" s="93">
        <f>AC6162/AA6168</f>
        <v>11.592000000000002</v>
      </c>
      <c r="AD6168" s="94">
        <f>AC6168*Z6168</f>
        <v>20.401920000000004</v>
      </c>
      <c r="AE6168" s="190"/>
      <c r="AF6168" s="191"/>
      <c r="AG6168" s="191"/>
      <c r="AH6168" s="191"/>
      <c r="AI6168" s="186"/>
      <c r="AK6168" s="171"/>
    </row>
    <row r="6169" spans="1:41" s="102" customFormat="1" ht="19.899999999999999" customHeight="1" x14ac:dyDescent="0.25">
      <c r="A6169" s="45"/>
      <c r="B6169" s="59"/>
      <c r="C6169" s="137"/>
      <c r="D6169" s="59"/>
      <c r="E6169" s="116"/>
      <c r="F6169" s="120"/>
      <c r="G6169" s="120"/>
      <c r="H6169" s="120"/>
      <c r="I6169" s="60"/>
      <c r="J6169" s="116"/>
      <c r="K6169" s="213"/>
      <c r="L6169" s="120"/>
      <c r="M6169" s="120"/>
      <c r="N6169" s="167"/>
      <c r="O6169" s="120"/>
      <c r="P6169" s="120"/>
      <c r="Q6169" s="120"/>
      <c r="R6169" s="120"/>
      <c r="S6169" s="120"/>
      <c r="T6169" s="221"/>
      <c r="U6169" s="89"/>
      <c r="V6169" s="61"/>
      <c r="W6169" s="92" t="s">
        <v>148</v>
      </c>
      <c r="X6169" s="93" t="s">
        <v>29</v>
      </c>
      <c r="Y6169" s="93" t="s">
        <v>93</v>
      </c>
      <c r="Z6169" s="134">
        <f>VLOOKUP(W6169,Sheet2!$B:$D,3,FALSE)</f>
        <v>48</v>
      </c>
      <c r="AA6169" s="93">
        <f>7.2/(1.6*1.5*0.1)</f>
        <v>29.999999999999996</v>
      </c>
      <c r="AB6169" s="93">
        <f>AD6169/AC6162</f>
        <v>1.6</v>
      </c>
      <c r="AC6169" s="93">
        <f>AC6162/AA6169</f>
        <v>0.93333333333333346</v>
      </c>
      <c r="AD6169" s="94">
        <f t="shared" ref="AD6169:AD6172" si="4309">AC6169*Z6169</f>
        <v>44.800000000000004</v>
      </c>
      <c r="AE6169" s="190"/>
      <c r="AF6169" s="191"/>
      <c r="AG6169" s="191"/>
      <c r="AH6169" s="191"/>
      <c r="AI6169" s="186"/>
      <c r="AK6169" s="171"/>
    </row>
    <row r="6170" spans="1:41" s="102" customFormat="1" ht="19.899999999999999" customHeight="1" x14ac:dyDescent="0.25">
      <c r="A6170" s="45"/>
      <c r="B6170" s="59"/>
      <c r="C6170" s="137"/>
      <c r="D6170" s="59"/>
      <c r="E6170" s="116"/>
      <c r="F6170" s="120"/>
      <c r="G6170" s="120"/>
      <c r="H6170" s="120"/>
      <c r="I6170" s="60"/>
      <c r="J6170" s="116"/>
      <c r="K6170" s="213"/>
      <c r="L6170" s="120"/>
      <c r="M6170" s="120"/>
      <c r="N6170" s="167"/>
      <c r="O6170" s="120"/>
      <c r="P6170" s="120"/>
      <c r="Q6170" s="120"/>
      <c r="R6170" s="120"/>
      <c r="S6170" s="120"/>
      <c r="T6170" s="221"/>
      <c r="U6170" s="89"/>
      <c r="V6170" s="61"/>
      <c r="W6170" s="92" t="s">
        <v>65</v>
      </c>
      <c r="X6170" s="93" t="s">
        <v>30</v>
      </c>
      <c r="Y6170" s="93" t="s">
        <v>1011</v>
      </c>
      <c r="Z6170" s="134">
        <f>VLOOKUP(W6170,Sheet2!$B:$D,3,FALSE)</f>
        <v>1.76</v>
      </c>
      <c r="AA6170" s="93">
        <f>AA6169/10</f>
        <v>2.9999999999999996</v>
      </c>
      <c r="AB6170" s="93">
        <f>AD6170/AC6162</f>
        <v>0.58666666666666678</v>
      </c>
      <c r="AC6170" s="93">
        <f>AC6162/AA6170</f>
        <v>9.3333333333333339</v>
      </c>
      <c r="AD6170" s="94">
        <f t="shared" si="4309"/>
        <v>16.426666666666669</v>
      </c>
      <c r="AE6170" s="190"/>
      <c r="AF6170" s="191"/>
      <c r="AG6170" s="191"/>
      <c r="AH6170" s="191"/>
      <c r="AI6170" s="186"/>
      <c r="AK6170" s="171"/>
    </row>
    <row r="6171" spans="1:41" s="102" customFormat="1" ht="19.899999999999999" customHeight="1" x14ac:dyDescent="0.25">
      <c r="A6171" s="45"/>
      <c r="B6171" s="59"/>
      <c r="C6171" s="137"/>
      <c r="D6171" s="59"/>
      <c r="E6171" s="116"/>
      <c r="F6171" s="120"/>
      <c r="G6171" s="120"/>
      <c r="H6171" s="120"/>
      <c r="I6171" s="60"/>
      <c r="J6171" s="116"/>
      <c r="K6171" s="213"/>
      <c r="L6171" s="120"/>
      <c r="M6171" s="120"/>
      <c r="N6171" s="167"/>
      <c r="O6171" s="120"/>
      <c r="P6171" s="120"/>
      <c r="Q6171" s="120"/>
      <c r="R6171" s="120"/>
      <c r="S6171" s="120"/>
      <c r="T6171" s="221"/>
      <c r="U6171" s="89"/>
      <c r="V6171" s="61"/>
      <c r="W6171" s="92" t="s">
        <v>1030</v>
      </c>
      <c r="X6171" s="93" t="s">
        <v>29</v>
      </c>
      <c r="Y6171" s="93" t="s">
        <v>93</v>
      </c>
      <c r="Z6171" s="134">
        <f>VLOOKUP(W6171,Sheet2!$B:$D,3,FALSE)</f>
        <v>23</v>
      </c>
      <c r="AA6171" s="93">
        <v>25</v>
      </c>
      <c r="AB6171" s="93">
        <f>AD6171/AC6162</f>
        <v>0.92</v>
      </c>
      <c r="AC6171" s="93">
        <f>AC6162/AA6171</f>
        <v>1.1200000000000001</v>
      </c>
      <c r="AD6171" s="94">
        <f t="shared" si="4309"/>
        <v>25.76</v>
      </c>
      <c r="AE6171" s="190"/>
      <c r="AF6171" s="191"/>
      <c r="AG6171" s="191"/>
      <c r="AH6171" s="191"/>
      <c r="AI6171" s="186"/>
      <c r="AK6171" s="171"/>
    </row>
    <row r="6172" spans="1:41" s="102" customFormat="1" ht="19.899999999999999" customHeight="1" x14ac:dyDescent="0.25">
      <c r="A6172" s="45"/>
      <c r="B6172" s="59"/>
      <c r="C6172" s="137"/>
      <c r="D6172" s="59"/>
      <c r="E6172" s="116"/>
      <c r="F6172" s="120"/>
      <c r="G6172" s="120"/>
      <c r="H6172" s="120"/>
      <c r="I6172" s="60"/>
      <c r="J6172" s="116"/>
      <c r="K6172" s="213"/>
      <c r="L6172" s="120"/>
      <c r="M6172" s="120"/>
      <c r="N6172" s="167"/>
      <c r="O6172" s="120"/>
      <c r="P6172" s="120"/>
      <c r="Q6172" s="120"/>
      <c r="R6172" s="120"/>
      <c r="S6172" s="120"/>
      <c r="T6172" s="221"/>
      <c r="U6172" s="89"/>
      <c r="V6172" s="61"/>
      <c r="W6172" s="92" t="s">
        <v>65</v>
      </c>
      <c r="X6172" s="93" t="s">
        <v>30</v>
      </c>
      <c r="Y6172" s="93" t="s">
        <v>1011</v>
      </c>
      <c r="Z6172" s="134">
        <f>VLOOKUP(W6172,Sheet2!$B:$D,3,FALSE)</f>
        <v>1.76</v>
      </c>
      <c r="AA6172" s="93">
        <f>AA6171/3</f>
        <v>8.3333333333333339</v>
      </c>
      <c r="AB6172" s="93">
        <f>AD6172/AC6162</f>
        <v>0.2112</v>
      </c>
      <c r="AC6172" s="93">
        <f>AC6162/AA6172</f>
        <v>3.36</v>
      </c>
      <c r="AD6172" s="94">
        <f t="shared" si="4309"/>
        <v>5.9135999999999997</v>
      </c>
      <c r="AE6172" s="190"/>
      <c r="AF6172" s="191"/>
      <c r="AG6172" s="191"/>
      <c r="AH6172" s="191"/>
      <c r="AI6172" s="186"/>
      <c r="AK6172" s="171"/>
    </row>
    <row r="6173" spans="1:41" ht="20.100000000000001" customHeight="1" x14ac:dyDescent="0.25">
      <c r="A6173" s="277" t="s">
        <v>491</v>
      </c>
      <c r="B6173" s="278"/>
      <c r="C6173" s="64" t="s">
        <v>668</v>
      </c>
      <c r="D6173" s="46" t="s">
        <v>97</v>
      </c>
      <c r="E6173" s="114">
        <v>20</v>
      </c>
      <c r="F6173" s="44">
        <v>380</v>
      </c>
      <c r="G6173" s="44">
        <f t="shared" si="3841"/>
        <v>7600</v>
      </c>
      <c r="H6173" s="44">
        <f t="shared" si="3842"/>
        <v>187.22548517647058</v>
      </c>
      <c r="I6173" s="43">
        <f t="shared" si="3843"/>
        <v>3744.5097035294116</v>
      </c>
      <c r="J6173" s="112">
        <f t="shared" si="3844"/>
        <v>20</v>
      </c>
      <c r="K6173" s="211">
        <f t="shared" si="3845"/>
        <v>20</v>
      </c>
      <c r="L6173" s="44"/>
      <c r="M6173" s="44">
        <f t="shared" si="3846"/>
        <v>20</v>
      </c>
      <c r="N6173" s="173">
        <f t="shared" si="3847"/>
        <v>1</v>
      </c>
      <c r="O6173" s="44">
        <f t="shared" si="3848"/>
        <v>380</v>
      </c>
      <c r="P6173" s="44">
        <f t="shared" si="3849"/>
        <v>7600</v>
      </c>
      <c r="Q6173" s="44">
        <f t="shared" si="3850"/>
        <v>187.22548517647058</v>
      </c>
      <c r="R6173" s="44">
        <f t="shared" si="3851"/>
        <v>3744.5097035294116</v>
      </c>
      <c r="S6173" s="123"/>
      <c r="T6173" s="219">
        <f t="shared" si="3852"/>
        <v>3744.5097035294116</v>
      </c>
      <c r="U6173" s="87"/>
      <c r="V6173" s="47"/>
      <c r="W6173" s="48"/>
      <c r="X6173" s="48"/>
      <c r="Y6173" s="48"/>
      <c r="Z6173" s="135"/>
      <c r="AA6173" s="49"/>
      <c r="AB6173" s="50">
        <f t="shared" si="3853"/>
        <v>187.22548517647058</v>
      </c>
      <c r="AC6173" s="42">
        <f t="shared" si="3854"/>
        <v>20</v>
      </c>
      <c r="AD6173" s="90">
        <f>AD6174+AD6181+AD6187</f>
        <v>3744.5097035294116</v>
      </c>
      <c r="AE6173" s="188">
        <f t="shared" ref="AE6173" si="4310">AE6174+AE6181+AE6187</f>
        <v>0</v>
      </c>
      <c r="AF6173" s="189">
        <f t="shared" ref="AF6173" si="4311">AF6174+AF6181+AF6187</f>
        <v>0</v>
      </c>
      <c r="AG6173" s="189">
        <f t="shared" ref="AG6173" si="4312">AG6174+AG6181+AG6187</f>
        <v>0</v>
      </c>
      <c r="AH6173" s="189">
        <f t="shared" ref="AH6173" si="4313">AH6174+AH6181+AH6187</f>
        <v>0</v>
      </c>
      <c r="AI6173" s="161">
        <f t="shared" ref="AI6173:AI6174" si="4314">SUM(AE6173:AH6173)</f>
        <v>0</v>
      </c>
      <c r="AK6173" s="169">
        <v>5</v>
      </c>
      <c r="AO6173" s="19" t="s">
        <v>63</v>
      </c>
    </row>
    <row r="6174" spans="1:41" s="103" customFormat="1" ht="19.899999999999999" customHeight="1" x14ac:dyDescent="0.25">
      <c r="A6174" s="51"/>
      <c r="B6174" s="52"/>
      <c r="C6174" s="165"/>
      <c r="D6174" s="52"/>
      <c r="E6174" s="115"/>
      <c r="F6174" s="58"/>
      <c r="G6174" s="58"/>
      <c r="H6174" s="58"/>
      <c r="I6174" s="55"/>
      <c r="J6174" s="113">
        <f>J6173</f>
        <v>20</v>
      </c>
      <c r="K6174" s="212">
        <f>K6173</f>
        <v>20</v>
      </c>
      <c r="L6174" s="58"/>
      <c r="M6174" s="58">
        <f>K6174-L6174</f>
        <v>20</v>
      </c>
      <c r="N6174" s="166"/>
      <c r="O6174" s="58"/>
      <c r="P6174" s="58"/>
      <c r="Q6174" s="58"/>
      <c r="R6174" s="58"/>
      <c r="S6174" s="58"/>
      <c r="T6174" s="220"/>
      <c r="U6174" s="88"/>
      <c r="V6174" s="56"/>
      <c r="W6174" s="57" t="s">
        <v>1605</v>
      </c>
      <c r="X6174" s="53"/>
      <c r="Y6174" s="91" t="s">
        <v>68</v>
      </c>
      <c r="Z6174" s="136">
        <f>AD6174/AC6174</f>
        <v>11.929119999999999</v>
      </c>
      <c r="AA6174" s="58"/>
      <c r="AB6174" s="53">
        <f>AD6174/AC6174</f>
        <v>11.929119999999999</v>
      </c>
      <c r="AC6174" s="53">
        <f>M6174+$AE$10</f>
        <v>20</v>
      </c>
      <c r="AD6174" s="54">
        <f>SUM(AD6175:AD6180)</f>
        <v>238.58239999999998</v>
      </c>
      <c r="AE6174" s="184">
        <f>SUMIFS($AD$37:$AD$12971,$V$37:$V$12971,$V6174,$X$37:$X$12971,AE$13)</f>
        <v>0</v>
      </c>
      <c r="AF6174" s="185">
        <f>SUMIFS($AD$37:$AD$12971,$V$37:$V$12971,$V6174,$X$37:$X$12971,AF$13)</f>
        <v>0</v>
      </c>
      <c r="AG6174" s="185">
        <f>SUMIFS($AD$37:$AD$12971,$V$37:$V$12971,$V6174,$X$37:$X$12971,AG$13)</f>
        <v>0</v>
      </c>
      <c r="AH6174" s="187">
        <f>SUMIFS($AD$37:$AD$12971,$V$37:$V$12971,$V6174,$X$37:$X$12971,AH$13)</f>
        <v>0</v>
      </c>
      <c r="AI6174" s="161">
        <f t="shared" si="4314"/>
        <v>0</v>
      </c>
      <c r="AK6174" s="172"/>
    </row>
    <row r="6175" spans="1:41" s="102" customFormat="1" ht="19.899999999999999" customHeight="1" x14ac:dyDescent="0.25">
      <c r="A6175" s="45"/>
      <c r="B6175" s="59"/>
      <c r="C6175" s="137"/>
      <c r="D6175" s="59"/>
      <c r="E6175" s="116"/>
      <c r="F6175" s="120"/>
      <c r="G6175" s="120"/>
      <c r="H6175" s="120"/>
      <c r="I6175" s="60"/>
      <c r="J6175" s="116"/>
      <c r="K6175" s="213"/>
      <c r="L6175" s="120"/>
      <c r="M6175" s="120"/>
      <c r="N6175" s="167"/>
      <c r="O6175" s="120"/>
      <c r="P6175" s="120"/>
      <c r="Q6175" s="120"/>
      <c r="R6175" s="120"/>
      <c r="S6175" s="120"/>
      <c r="T6175" s="221"/>
      <c r="U6175" s="89"/>
      <c r="V6175" s="61"/>
      <c r="W6175" s="92" t="s">
        <v>129</v>
      </c>
      <c r="X6175" s="93" t="s">
        <v>29</v>
      </c>
      <c r="Y6175" s="93" t="s">
        <v>93</v>
      </c>
      <c r="Z6175" s="134">
        <f>VLOOKUP(W6175,Sheet2!$B:$D,3,FALSE)</f>
        <v>56</v>
      </c>
      <c r="AA6175" s="93">
        <f>100/(1.7*1.5)</f>
        <v>39.215686274509807</v>
      </c>
      <c r="AB6175" s="93">
        <f t="shared" ref="AB6175" si="4315">AD6175/AC6174</f>
        <v>1.4280000000000002</v>
      </c>
      <c r="AC6175" s="93">
        <f>AC6174/AA6175</f>
        <v>0.51</v>
      </c>
      <c r="AD6175" s="94">
        <f t="shared" ref="AD6175:AD6176" si="4316">AC6175*Z6175</f>
        <v>28.560000000000002</v>
      </c>
      <c r="AE6175" s="190"/>
      <c r="AF6175" s="191"/>
      <c r="AG6175" s="191"/>
      <c r="AH6175" s="191"/>
      <c r="AI6175" s="186"/>
      <c r="AK6175" s="171"/>
    </row>
    <row r="6176" spans="1:41" s="102" customFormat="1" ht="19.899999999999999" customHeight="1" x14ac:dyDescent="0.25">
      <c r="A6176" s="45"/>
      <c r="B6176" s="59"/>
      <c r="C6176" s="137"/>
      <c r="D6176" s="59"/>
      <c r="E6176" s="116"/>
      <c r="F6176" s="120"/>
      <c r="G6176" s="120"/>
      <c r="H6176" s="120"/>
      <c r="I6176" s="60"/>
      <c r="J6176" s="116"/>
      <c r="K6176" s="213"/>
      <c r="L6176" s="120"/>
      <c r="M6176" s="120"/>
      <c r="N6176" s="167"/>
      <c r="O6176" s="120"/>
      <c r="P6176" s="120"/>
      <c r="Q6176" s="120"/>
      <c r="R6176" s="120"/>
      <c r="S6176" s="120"/>
      <c r="T6176" s="221"/>
      <c r="U6176" s="89"/>
      <c r="V6176" s="61"/>
      <c r="W6176" s="92" t="s">
        <v>65</v>
      </c>
      <c r="X6176" s="93" t="s">
        <v>30</v>
      </c>
      <c r="Y6176" s="93" t="s">
        <v>1011</v>
      </c>
      <c r="Z6176" s="134">
        <f>VLOOKUP(W6176,Sheet2!$B:$D,3,FALSE)</f>
        <v>1.76</v>
      </c>
      <c r="AA6176" s="93">
        <f>AA6175/14</f>
        <v>2.801120448179272</v>
      </c>
      <c r="AB6176" s="93">
        <f>AD6176/AC6174</f>
        <v>0.62831999999999999</v>
      </c>
      <c r="AC6176" s="93">
        <f>AC6174/AA6176</f>
        <v>7.14</v>
      </c>
      <c r="AD6176" s="94">
        <f t="shared" si="4316"/>
        <v>12.5664</v>
      </c>
      <c r="AE6176" s="190"/>
      <c r="AF6176" s="191"/>
      <c r="AG6176" s="191"/>
      <c r="AH6176" s="191"/>
      <c r="AI6176" s="186"/>
      <c r="AK6176" s="171"/>
    </row>
    <row r="6177" spans="1:37" s="102" customFormat="1" ht="19.899999999999999" customHeight="1" x14ac:dyDescent="0.25">
      <c r="A6177" s="45"/>
      <c r="B6177" s="59"/>
      <c r="C6177" s="137"/>
      <c r="D6177" s="59"/>
      <c r="E6177" s="116"/>
      <c r="F6177" s="120"/>
      <c r="G6177" s="120"/>
      <c r="H6177" s="120"/>
      <c r="I6177" s="60"/>
      <c r="J6177" s="116"/>
      <c r="K6177" s="213"/>
      <c r="L6177" s="120"/>
      <c r="M6177" s="120"/>
      <c r="N6177" s="167"/>
      <c r="O6177" s="120"/>
      <c r="P6177" s="120"/>
      <c r="Q6177" s="120"/>
      <c r="R6177" s="120"/>
      <c r="S6177" s="120"/>
      <c r="T6177" s="221"/>
      <c r="U6177" s="89"/>
      <c r="V6177" s="61"/>
      <c r="W6177" s="92" t="s">
        <v>161</v>
      </c>
      <c r="X6177" s="93" t="s">
        <v>29</v>
      </c>
      <c r="Y6177" s="93" t="s">
        <v>93</v>
      </c>
      <c r="Z6177" s="134">
        <f>VLOOKUP(W6177,Sheet2!$B:$D,3,FALSE)</f>
        <v>48</v>
      </c>
      <c r="AA6177" s="93">
        <f>(16*0.85*1.5)/(1.7*1.5)</f>
        <v>8</v>
      </c>
      <c r="AB6177" s="93">
        <f>AD6177/AC6174</f>
        <v>6</v>
      </c>
      <c r="AC6177" s="93">
        <f>AC6174/AA6177</f>
        <v>2.5</v>
      </c>
      <c r="AD6177" s="94">
        <f>AC6177*Z6177</f>
        <v>120</v>
      </c>
      <c r="AE6177" s="190"/>
      <c r="AF6177" s="191"/>
      <c r="AG6177" s="191"/>
      <c r="AH6177" s="191"/>
      <c r="AI6177" s="186"/>
      <c r="AK6177" s="171"/>
    </row>
    <row r="6178" spans="1:37" s="102" customFormat="1" ht="19.899999999999999" customHeight="1" x14ac:dyDescent="0.25">
      <c r="A6178" s="45"/>
      <c r="B6178" s="59"/>
      <c r="C6178" s="137"/>
      <c r="D6178" s="59"/>
      <c r="E6178" s="116"/>
      <c r="F6178" s="120"/>
      <c r="G6178" s="120"/>
      <c r="H6178" s="120"/>
      <c r="I6178" s="60"/>
      <c r="J6178" s="116"/>
      <c r="K6178" s="213"/>
      <c r="L6178" s="120"/>
      <c r="M6178" s="120"/>
      <c r="N6178" s="167"/>
      <c r="O6178" s="120"/>
      <c r="P6178" s="120"/>
      <c r="Q6178" s="120"/>
      <c r="R6178" s="120"/>
      <c r="S6178" s="120"/>
      <c r="T6178" s="221"/>
      <c r="U6178" s="89"/>
      <c r="V6178" s="61"/>
      <c r="W6178" s="92" t="s">
        <v>65</v>
      </c>
      <c r="X6178" s="93" t="s">
        <v>30</v>
      </c>
      <c r="Y6178" s="93" t="s">
        <v>1011</v>
      </c>
      <c r="Z6178" s="134">
        <f>VLOOKUP(W6178,Sheet2!$B:$D,3,FALSE)</f>
        <v>1.76</v>
      </c>
      <c r="AA6178" s="93">
        <f>AA6177/10</f>
        <v>0.8</v>
      </c>
      <c r="AB6178" s="93">
        <f>AD6178/AC6174</f>
        <v>2.2000000000000002</v>
      </c>
      <c r="AC6178" s="93">
        <f>AC6174/AA6178</f>
        <v>25</v>
      </c>
      <c r="AD6178" s="94">
        <f>AC6178*Z6178</f>
        <v>44</v>
      </c>
      <c r="AE6178" s="190"/>
      <c r="AF6178" s="191"/>
      <c r="AG6178" s="191"/>
      <c r="AH6178" s="191"/>
      <c r="AI6178" s="186"/>
      <c r="AK6178" s="171"/>
    </row>
    <row r="6179" spans="1:37" s="102" customFormat="1" ht="19.899999999999999" customHeight="1" x14ac:dyDescent="0.25">
      <c r="A6179" s="45"/>
      <c r="B6179" s="59"/>
      <c r="C6179" s="137"/>
      <c r="D6179" s="59"/>
      <c r="E6179" s="116"/>
      <c r="F6179" s="120"/>
      <c r="G6179" s="120"/>
      <c r="H6179" s="120"/>
      <c r="I6179" s="60"/>
      <c r="J6179" s="116"/>
      <c r="K6179" s="213"/>
      <c r="L6179" s="120"/>
      <c r="M6179" s="120"/>
      <c r="N6179" s="167"/>
      <c r="O6179" s="120"/>
      <c r="P6179" s="120"/>
      <c r="Q6179" s="120"/>
      <c r="R6179" s="120"/>
      <c r="S6179" s="120"/>
      <c r="T6179" s="221"/>
      <c r="U6179" s="89"/>
      <c r="V6179" s="61"/>
      <c r="W6179" s="92" t="s">
        <v>148</v>
      </c>
      <c r="X6179" s="93" t="s">
        <v>29</v>
      </c>
      <c r="Y6179" s="93" t="s">
        <v>93</v>
      </c>
      <c r="Z6179" s="134">
        <f>VLOOKUP(W6179,Sheet2!$B:$D,3,FALSE)</f>
        <v>48</v>
      </c>
      <c r="AA6179" s="93">
        <f>AA6175</f>
        <v>39.215686274509807</v>
      </c>
      <c r="AB6179" s="93">
        <f>AD6179/AC6174</f>
        <v>1.224</v>
      </c>
      <c r="AC6179" s="93">
        <f>AC6174/AA6179</f>
        <v>0.51</v>
      </c>
      <c r="AD6179" s="94">
        <f t="shared" ref="AD6179:AD6180" si="4317">AC6179*Z6179</f>
        <v>24.48</v>
      </c>
      <c r="AE6179" s="190"/>
      <c r="AF6179" s="191"/>
      <c r="AG6179" s="191"/>
      <c r="AH6179" s="191"/>
      <c r="AI6179" s="186"/>
      <c r="AK6179" s="171"/>
    </row>
    <row r="6180" spans="1:37" s="102" customFormat="1" ht="19.899999999999999" customHeight="1" x14ac:dyDescent="0.25">
      <c r="A6180" s="45"/>
      <c r="B6180" s="59"/>
      <c r="C6180" s="137"/>
      <c r="D6180" s="59"/>
      <c r="E6180" s="116"/>
      <c r="F6180" s="120"/>
      <c r="G6180" s="120"/>
      <c r="H6180" s="120"/>
      <c r="I6180" s="60"/>
      <c r="J6180" s="116"/>
      <c r="K6180" s="213"/>
      <c r="L6180" s="120"/>
      <c r="M6180" s="120"/>
      <c r="N6180" s="167"/>
      <c r="O6180" s="120"/>
      <c r="P6180" s="120"/>
      <c r="Q6180" s="120"/>
      <c r="R6180" s="120"/>
      <c r="S6180" s="120"/>
      <c r="T6180" s="221"/>
      <c r="U6180" s="89"/>
      <c r="V6180" s="61"/>
      <c r="W6180" s="92" t="s">
        <v>65</v>
      </c>
      <c r="X6180" s="93" t="s">
        <v>30</v>
      </c>
      <c r="Y6180" s="93" t="s">
        <v>1011</v>
      </c>
      <c r="Z6180" s="134">
        <f>VLOOKUP(W6180,Sheet2!$B:$D,3,FALSE)</f>
        <v>1.76</v>
      </c>
      <c r="AA6180" s="93">
        <f>AA6179/10</f>
        <v>3.9215686274509807</v>
      </c>
      <c r="AB6180" s="93">
        <f>AD6180/AC6174</f>
        <v>0.44879999999999998</v>
      </c>
      <c r="AC6180" s="93">
        <f>AC6174/AA6180</f>
        <v>5.0999999999999996</v>
      </c>
      <c r="AD6180" s="94">
        <f t="shared" si="4317"/>
        <v>8.9759999999999991</v>
      </c>
      <c r="AE6180" s="190"/>
      <c r="AF6180" s="191"/>
      <c r="AG6180" s="191"/>
      <c r="AH6180" s="191"/>
      <c r="AI6180" s="186"/>
      <c r="AK6180" s="171"/>
    </row>
    <row r="6181" spans="1:37" s="103" customFormat="1" ht="19.899999999999999" customHeight="1" x14ac:dyDescent="0.25">
      <c r="A6181" s="51"/>
      <c r="B6181" s="52"/>
      <c r="C6181" s="165"/>
      <c r="D6181" s="52"/>
      <c r="E6181" s="115"/>
      <c r="F6181" s="58"/>
      <c r="G6181" s="58"/>
      <c r="H6181" s="58"/>
      <c r="I6181" s="55"/>
      <c r="J6181" s="113">
        <f>J6173</f>
        <v>20</v>
      </c>
      <c r="K6181" s="212">
        <f>K6173</f>
        <v>20</v>
      </c>
      <c r="L6181" s="58"/>
      <c r="M6181" s="58">
        <f>K6181-L6181</f>
        <v>20</v>
      </c>
      <c r="N6181" s="166"/>
      <c r="O6181" s="58"/>
      <c r="P6181" s="58"/>
      <c r="Q6181" s="58"/>
      <c r="R6181" s="58"/>
      <c r="S6181" s="58"/>
      <c r="T6181" s="220"/>
      <c r="U6181" s="88"/>
      <c r="V6181" s="56"/>
      <c r="W6181" s="57" t="s">
        <v>1031</v>
      </c>
      <c r="X6181" s="53"/>
      <c r="Y6181" s="91" t="s">
        <v>68</v>
      </c>
      <c r="Z6181" s="136">
        <f>AD6181/AC6181</f>
        <v>160.34</v>
      </c>
      <c r="AA6181" s="58"/>
      <c r="AB6181" s="53">
        <f>AD6181/AC6181</f>
        <v>160.34</v>
      </c>
      <c r="AC6181" s="53">
        <f>M6181+$AE$10</f>
        <v>20</v>
      </c>
      <c r="AD6181" s="54">
        <f>SUM(AD6182:AD6186)</f>
        <v>3206.8</v>
      </c>
      <c r="AE6181" s="184">
        <f>SUMIFS($AD$37:$AD$12971,$V$37:$V$12971,$V6181,$X$37:$X$12971,AE$13)</f>
        <v>0</v>
      </c>
      <c r="AF6181" s="185">
        <f>SUMIFS($AD$37:$AD$12971,$V$37:$V$12971,$V6181,$X$37:$X$12971,AF$13)</f>
        <v>0</v>
      </c>
      <c r="AG6181" s="185">
        <f>SUMIFS($AD$37:$AD$12971,$V$37:$V$12971,$V6181,$X$37:$X$12971,AG$13)</f>
        <v>0</v>
      </c>
      <c r="AH6181" s="187">
        <f>SUMIFS($AD$37:$AD$12971,$V$37:$V$12971,$V6181,$X$37:$X$12971,AH$13)</f>
        <v>0</v>
      </c>
      <c r="AI6181" s="161">
        <f t="shared" ref="AI6181" si="4318">SUM(AE6181:AH6181)</f>
        <v>0</v>
      </c>
      <c r="AK6181" s="172"/>
    </row>
    <row r="6182" spans="1:37" s="102" customFormat="1" ht="19.899999999999999" customHeight="1" x14ac:dyDescent="0.25">
      <c r="A6182" s="45"/>
      <c r="B6182" s="59"/>
      <c r="C6182" s="137"/>
      <c r="D6182" s="59"/>
      <c r="E6182" s="116"/>
      <c r="F6182" s="120"/>
      <c r="G6182" s="120"/>
      <c r="H6182" s="120"/>
      <c r="I6182" s="60"/>
      <c r="J6182" s="116"/>
      <c r="K6182" s="213"/>
      <c r="L6182" s="120"/>
      <c r="M6182" s="120"/>
      <c r="N6182" s="167"/>
      <c r="O6182" s="120"/>
      <c r="P6182" s="120"/>
      <c r="Q6182" s="120"/>
      <c r="R6182" s="120"/>
      <c r="S6182" s="120"/>
      <c r="T6182" s="221"/>
      <c r="U6182" s="89"/>
      <c r="V6182" s="61"/>
      <c r="W6182" s="92" t="s">
        <v>1032</v>
      </c>
      <c r="X6182" s="93" t="s">
        <v>30</v>
      </c>
      <c r="Y6182" s="93" t="s">
        <v>66</v>
      </c>
      <c r="Z6182" s="134">
        <f>VLOOKUP(W6182,Sheet2!$B:$D,3,FALSE)</f>
        <v>250</v>
      </c>
      <c r="AA6182" s="93">
        <f>1/(0.7*0.4)</f>
        <v>3.5714285714285716</v>
      </c>
      <c r="AB6182" s="93">
        <f>AD6182/AC6181</f>
        <v>70</v>
      </c>
      <c r="AC6182" s="93">
        <f>AC6181/AA6182</f>
        <v>5.6</v>
      </c>
      <c r="AD6182" s="94">
        <f t="shared" ref="AD6182" si="4319">AC6182*Z6182</f>
        <v>1400</v>
      </c>
      <c r="AE6182" s="190"/>
      <c r="AF6182" s="191"/>
      <c r="AG6182" s="191"/>
      <c r="AH6182" s="191"/>
      <c r="AI6182" s="186"/>
      <c r="AK6182" s="171"/>
    </row>
    <row r="6183" spans="1:37" s="102" customFormat="1" ht="19.899999999999999" customHeight="1" x14ac:dyDescent="0.25">
      <c r="A6183" s="45"/>
      <c r="B6183" s="59"/>
      <c r="C6183" s="137"/>
      <c r="D6183" s="59"/>
      <c r="E6183" s="116"/>
      <c r="F6183" s="120"/>
      <c r="G6183" s="120"/>
      <c r="H6183" s="120"/>
      <c r="I6183" s="60"/>
      <c r="J6183" s="116"/>
      <c r="K6183" s="213"/>
      <c r="L6183" s="120"/>
      <c r="M6183" s="120"/>
      <c r="N6183" s="167"/>
      <c r="O6183" s="120"/>
      <c r="P6183" s="120"/>
      <c r="Q6183" s="120"/>
      <c r="R6183" s="120"/>
      <c r="S6183" s="120"/>
      <c r="T6183" s="221"/>
      <c r="U6183" s="89"/>
      <c r="V6183" s="61"/>
      <c r="W6183" s="92" t="s">
        <v>1270</v>
      </c>
      <c r="X6183" s="93" t="s">
        <v>30</v>
      </c>
      <c r="Y6183" s="93" t="s">
        <v>68</v>
      </c>
      <c r="Z6183" s="134">
        <f>VLOOKUP(W6183,Sheet2!$B:$D,3,FALSE)</f>
        <v>4</v>
      </c>
      <c r="AA6183" s="93">
        <f>1/8</f>
        <v>0.125</v>
      </c>
      <c r="AB6183" s="93">
        <f>AD6183/AC6181</f>
        <v>32</v>
      </c>
      <c r="AC6183" s="93">
        <f>AC6181/AA6183</f>
        <v>160</v>
      </c>
      <c r="AD6183" s="94">
        <f>AC6183*Z6183</f>
        <v>640</v>
      </c>
      <c r="AE6183" s="190"/>
      <c r="AF6183" s="191"/>
      <c r="AG6183" s="191"/>
      <c r="AH6183" s="191"/>
      <c r="AI6183" s="186"/>
      <c r="AK6183" s="171"/>
    </row>
    <row r="6184" spans="1:37" s="102" customFormat="1" ht="19.899999999999999" customHeight="1" x14ac:dyDescent="0.25">
      <c r="A6184" s="45"/>
      <c r="B6184" s="59"/>
      <c r="C6184" s="137"/>
      <c r="D6184" s="59"/>
      <c r="E6184" s="116"/>
      <c r="F6184" s="120"/>
      <c r="G6184" s="120"/>
      <c r="H6184" s="120"/>
      <c r="I6184" s="60"/>
      <c r="J6184" s="116"/>
      <c r="K6184" s="213"/>
      <c r="L6184" s="120"/>
      <c r="M6184" s="120"/>
      <c r="N6184" s="167"/>
      <c r="O6184" s="120"/>
      <c r="P6184" s="120"/>
      <c r="Q6184" s="120"/>
      <c r="R6184" s="120"/>
      <c r="S6184" s="120"/>
      <c r="T6184" s="221"/>
      <c r="U6184" s="89"/>
      <c r="V6184" s="61"/>
      <c r="W6184" s="92" t="s">
        <v>1271</v>
      </c>
      <c r="X6184" s="93" t="s">
        <v>30</v>
      </c>
      <c r="Y6184" s="93" t="s">
        <v>68</v>
      </c>
      <c r="Z6184" s="134">
        <f>VLOOKUP(W6184,Sheet2!$B:$D,3,FALSE)</f>
        <v>2</v>
      </c>
      <c r="AA6184" s="93">
        <f>AA6183</f>
        <v>0.125</v>
      </c>
      <c r="AB6184" s="93">
        <f>AD6184/AC6181</f>
        <v>16</v>
      </c>
      <c r="AC6184" s="93">
        <f>AC6181/AA6184</f>
        <v>160</v>
      </c>
      <c r="AD6184" s="94">
        <f>AC6184*Z6184</f>
        <v>320</v>
      </c>
      <c r="AE6184" s="190"/>
      <c r="AF6184" s="191"/>
      <c r="AG6184" s="191"/>
      <c r="AH6184" s="191"/>
      <c r="AI6184" s="186"/>
      <c r="AK6184" s="171"/>
    </row>
    <row r="6185" spans="1:37" s="102" customFormat="1" ht="19.899999999999999" customHeight="1" x14ac:dyDescent="0.25">
      <c r="A6185" s="45"/>
      <c r="B6185" s="59"/>
      <c r="C6185" s="137"/>
      <c r="D6185" s="59"/>
      <c r="E6185" s="116"/>
      <c r="F6185" s="120"/>
      <c r="G6185" s="120"/>
      <c r="H6185" s="120"/>
      <c r="I6185" s="60"/>
      <c r="J6185" s="116"/>
      <c r="K6185" s="213"/>
      <c r="L6185" s="120"/>
      <c r="M6185" s="120"/>
      <c r="N6185" s="167"/>
      <c r="O6185" s="120"/>
      <c r="P6185" s="120"/>
      <c r="Q6185" s="120"/>
      <c r="R6185" s="120"/>
      <c r="S6185" s="120"/>
      <c r="T6185" s="221"/>
      <c r="U6185" s="89"/>
      <c r="V6185" s="61"/>
      <c r="W6185" s="92" t="s">
        <v>1035</v>
      </c>
      <c r="X6185" s="93" t="s">
        <v>32</v>
      </c>
      <c r="Y6185" s="93" t="s">
        <v>66</v>
      </c>
      <c r="Z6185" s="134">
        <f>VLOOKUP(W6185,Sheet2!$B:$D,3,FALSE)</f>
        <v>150</v>
      </c>
      <c r="AA6185" s="93">
        <f>AA6182</f>
        <v>3.5714285714285716</v>
      </c>
      <c r="AB6185" s="93">
        <f>AD6185/AC6181</f>
        <v>42</v>
      </c>
      <c r="AC6185" s="93">
        <f>AC6181/AA6185</f>
        <v>5.6</v>
      </c>
      <c r="AD6185" s="94">
        <f t="shared" ref="AD6185:AD6186" si="4320">AC6185*Z6185</f>
        <v>840</v>
      </c>
      <c r="AE6185" s="190"/>
      <c r="AF6185" s="191"/>
      <c r="AG6185" s="191"/>
      <c r="AH6185" s="191"/>
      <c r="AI6185" s="186"/>
      <c r="AK6185" s="171"/>
    </row>
    <row r="6186" spans="1:37" s="102" customFormat="1" ht="19.899999999999999" customHeight="1" x14ac:dyDescent="0.25">
      <c r="A6186" s="45"/>
      <c r="B6186" s="59"/>
      <c r="C6186" s="137"/>
      <c r="D6186" s="59"/>
      <c r="E6186" s="116"/>
      <c r="F6186" s="120"/>
      <c r="G6186" s="120"/>
      <c r="H6186" s="120"/>
      <c r="I6186" s="60"/>
      <c r="J6186" s="116"/>
      <c r="K6186" s="213"/>
      <c r="L6186" s="120"/>
      <c r="M6186" s="120"/>
      <c r="N6186" s="167"/>
      <c r="O6186" s="120"/>
      <c r="P6186" s="120"/>
      <c r="Q6186" s="120"/>
      <c r="R6186" s="120"/>
      <c r="S6186" s="120"/>
      <c r="T6186" s="221"/>
      <c r="U6186" s="89"/>
      <c r="V6186" s="61"/>
      <c r="W6186" s="92" t="s">
        <v>107</v>
      </c>
      <c r="X6186" s="93" t="s">
        <v>31</v>
      </c>
      <c r="Y6186" s="93" t="s">
        <v>93</v>
      </c>
      <c r="Z6186" s="134">
        <f>VLOOKUP(W6186,Sheet2!$B:$D,3,FALSE)</f>
        <v>17</v>
      </c>
      <c r="AA6186" s="93">
        <v>50</v>
      </c>
      <c r="AB6186" s="93">
        <f>AD6186/AC6181</f>
        <v>0.34</v>
      </c>
      <c r="AC6186" s="93">
        <f>AC6181/AA6186</f>
        <v>0.4</v>
      </c>
      <c r="AD6186" s="94">
        <f t="shared" si="4320"/>
        <v>6.8000000000000007</v>
      </c>
      <c r="AE6186" s="190"/>
      <c r="AF6186" s="191"/>
      <c r="AG6186" s="191"/>
      <c r="AH6186" s="191"/>
      <c r="AI6186" s="186"/>
      <c r="AK6186" s="171"/>
    </row>
    <row r="6187" spans="1:37" s="103" customFormat="1" ht="19.899999999999999" customHeight="1" x14ac:dyDescent="0.25">
      <c r="A6187" s="51"/>
      <c r="B6187" s="52"/>
      <c r="C6187" s="165"/>
      <c r="D6187" s="52"/>
      <c r="E6187" s="115"/>
      <c r="F6187" s="58"/>
      <c r="G6187" s="58"/>
      <c r="H6187" s="58"/>
      <c r="I6187" s="55"/>
      <c r="J6187" s="113">
        <f>J6173</f>
        <v>20</v>
      </c>
      <c r="K6187" s="212">
        <f>K6173</f>
        <v>20</v>
      </c>
      <c r="L6187" s="58"/>
      <c r="M6187" s="58">
        <f>K6187-L6187</f>
        <v>20</v>
      </c>
      <c r="N6187" s="166"/>
      <c r="O6187" s="58"/>
      <c r="P6187" s="58"/>
      <c r="Q6187" s="58"/>
      <c r="R6187" s="58"/>
      <c r="S6187" s="58"/>
      <c r="T6187" s="220"/>
      <c r="U6187" s="88"/>
      <c r="V6187" s="56"/>
      <c r="W6187" s="57" t="s">
        <v>1272</v>
      </c>
      <c r="X6187" s="53"/>
      <c r="Y6187" s="91" t="s">
        <v>68</v>
      </c>
      <c r="Z6187" s="136">
        <f>AD6187/AC6187</f>
        <v>14.956365176470589</v>
      </c>
      <c r="AA6187" s="58"/>
      <c r="AB6187" s="53">
        <f>AD6187/AC6187</f>
        <v>14.956365176470589</v>
      </c>
      <c r="AC6187" s="53">
        <f>M6187+$AE$10</f>
        <v>20</v>
      </c>
      <c r="AD6187" s="54">
        <f>SUM(AD6188:AD6197)</f>
        <v>299.12730352941179</v>
      </c>
      <c r="AE6187" s="184">
        <f>SUMIFS($AD$37:$AD$12971,$V$37:$V$12971,$V6187,$X$37:$X$12971,AE$13)</f>
        <v>0</v>
      </c>
      <c r="AF6187" s="185">
        <f>SUMIFS($AD$37:$AD$12971,$V$37:$V$12971,$V6187,$X$37:$X$12971,AF$13)</f>
        <v>0</v>
      </c>
      <c r="AG6187" s="185">
        <f>SUMIFS($AD$37:$AD$12971,$V$37:$V$12971,$V6187,$X$37:$X$12971,AG$13)</f>
        <v>0</v>
      </c>
      <c r="AH6187" s="187">
        <f>SUMIFS($AD$37:$AD$12971,$V$37:$V$12971,$V6187,$X$37:$X$12971,AH$13)</f>
        <v>0</v>
      </c>
      <c r="AI6187" s="161">
        <f t="shared" ref="AI6187" si="4321">SUM(AE6187:AH6187)</f>
        <v>0</v>
      </c>
      <c r="AK6187" s="172"/>
    </row>
    <row r="6188" spans="1:37" s="102" customFormat="1" ht="19.899999999999999" customHeight="1" x14ac:dyDescent="0.25">
      <c r="A6188" s="45"/>
      <c r="B6188" s="59"/>
      <c r="C6188" s="137"/>
      <c r="D6188" s="59"/>
      <c r="E6188" s="116"/>
      <c r="F6188" s="120"/>
      <c r="G6188" s="120"/>
      <c r="H6188" s="120"/>
      <c r="I6188" s="60"/>
      <c r="J6188" s="116"/>
      <c r="K6188" s="213"/>
      <c r="L6188" s="120"/>
      <c r="M6188" s="120"/>
      <c r="N6188" s="167"/>
      <c r="O6188" s="120"/>
      <c r="P6188" s="120"/>
      <c r="Q6188" s="120"/>
      <c r="R6188" s="120"/>
      <c r="S6188" s="120"/>
      <c r="T6188" s="221"/>
      <c r="U6188" s="89"/>
      <c r="V6188" s="61"/>
      <c r="W6188" s="92" t="s">
        <v>134</v>
      </c>
      <c r="X6188" s="93" t="s">
        <v>29</v>
      </c>
      <c r="Y6188" s="93" t="s">
        <v>93</v>
      </c>
      <c r="Z6188" s="134">
        <f>VLOOKUP(W6188,Sheet2!$B:$D,3,FALSE)</f>
        <v>65.599999999999994</v>
      </c>
      <c r="AA6188" s="93">
        <f>100/((1.7*1.5)-(0.7*0.4))</f>
        <v>44.052863436123346</v>
      </c>
      <c r="AB6188" s="93">
        <f>AD6188/AC6187</f>
        <v>1.48912</v>
      </c>
      <c r="AC6188" s="93">
        <f>AC6187/AA6188</f>
        <v>0.45400000000000001</v>
      </c>
      <c r="AD6188" s="94">
        <f t="shared" ref="AD6188:AD6189" si="4322">AC6188*Z6188</f>
        <v>29.782399999999999</v>
      </c>
      <c r="AE6188" s="190"/>
      <c r="AF6188" s="191"/>
      <c r="AG6188" s="191"/>
      <c r="AH6188" s="191"/>
      <c r="AI6188" s="186"/>
      <c r="AK6188" s="171"/>
    </row>
    <row r="6189" spans="1:37" s="102" customFormat="1" ht="19.899999999999999" customHeight="1" x14ac:dyDescent="0.25">
      <c r="A6189" s="45"/>
      <c r="B6189" s="59"/>
      <c r="C6189" s="137"/>
      <c r="D6189" s="59"/>
      <c r="E6189" s="116"/>
      <c r="F6189" s="120"/>
      <c r="G6189" s="120"/>
      <c r="H6189" s="120"/>
      <c r="I6189" s="60"/>
      <c r="J6189" s="116"/>
      <c r="K6189" s="213"/>
      <c r="L6189" s="120"/>
      <c r="M6189" s="120"/>
      <c r="N6189" s="167"/>
      <c r="O6189" s="120"/>
      <c r="P6189" s="120"/>
      <c r="Q6189" s="120"/>
      <c r="R6189" s="120"/>
      <c r="S6189" s="120"/>
      <c r="T6189" s="221"/>
      <c r="U6189" s="89"/>
      <c r="V6189" s="61"/>
      <c r="W6189" s="92" t="s">
        <v>65</v>
      </c>
      <c r="X6189" s="93" t="s">
        <v>30</v>
      </c>
      <c r="Y6189" s="93" t="s">
        <v>1011</v>
      </c>
      <c r="Z6189" s="134">
        <f>VLOOKUP(W6189,Sheet2!$B:$D,3,FALSE)</f>
        <v>1.76</v>
      </c>
      <c r="AA6189" s="93">
        <f>AA6188/9</f>
        <v>4.8947626040137049</v>
      </c>
      <c r="AB6189" s="93">
        <f>AD6189/AC6187</f>
        <v>0.359568</v>
      </c>
      <c r="AC6189" s="93">
        <f>AC6187/AA6189</f>
        <v>4.0860000000000003</v>
      </c>
      <c r="AD6189" s="94">
        <f t="shared" si="4322"/>
        <v>7.1913600000000004</v>
      </c>
      <c r="AE6189" s="190"/>
      <c r="AF6189" s="191"/>
      <c r="AG6189" s="191"/>
      <c r="AH6189" s="191"/>
      <c r="AI6189" s="186"/>
      <c r="AK6189" s="171"/>
    </row>
    <row r="6190" spans="1:37" s="102" customFormat="1" ht="19.899999999999999" customHeight="1" x14ac:dyDescent="0.25">
      <c r="A6190" s="45"/>
      <c r="B6190" s="59"/>
      <c r="C6190" s="137"/>
      <c r="D6190" s="59"/>
      <c r="E6190" s="116"/>
      <c r="F6190" s="120"/>
      <c r="G6190" s="120"/>
      <c r="H6190" s="120"/>
      <c r="I6190" s="60"/>
      <c r="J6190" s="116"/>
      <c r="K6190" s="213"/>
      <c r="L6190" s="120"/>
      <c r="M6190" s="120"/>
      <c r="N6190" s="167"/>
      <c r="O6190" s="120"/>
      <c r="P6190" s="120"/>
      <c r="Q6190" s="120"/>
      <c r="R6190" s="120"/>
      <c r="S6190" s="120"/>
      <c r="T6190" s="221"/>
      <c r="U6190" s="89"/>
      <c r="V6190" s="61"/>
      <c r="W6190" s="92" t="s">
        <v>161</v>
      </c>
      <c r="X6190" s="93" t="s">
        <v>29</v>
      </c>
      <c r="Y6190" s="93" t="s">
        <v>93</v>
      </c>
      <c r="Z6190" s="134">
        <f>VLOOKUP(W6190,Sheet2!$B:$D,3,FALSE)</f>
        <v>48</v>
      </c>
      <c r="AA6190" s="93">
        <f>(16*0.85*1.5)/((1.7*1.5)-(0.7*0.4))</f>
        <v>8.9867841409691618</v>
      </c>
      <c r="AB6190" s="93">
        <f>AD6190/AC6187</f>
        <v>5.3411764705882359</v>
      </c>
      <c r="AC6190" s="93">
        <f>AC6187/AA6190</f>
        <v>2.2254901960784315</v>
      </c>
      <c r="AD6190" s="94">
        <f>AC6190*Z6190</f>
        <v>106.82352941176471</v>
      </c>
      <c r="AE6190" s="190"/>
      <c r="AF6190" s="191"/>
      <c r="AG6190" s="191"/>
      <c r="AH6190" s="191"/>
      <c r="AI6190" s="186"/>
      <c r="AK6190" s="171"/>
    </row>
    <row r="6191" spans="1:37" s="102" customFormat="1" ht="19.899999999999999" customHeight="1" x14ac:dyDescent="0.25">
      <c r="A6191" s="45"/>
      <c r="B6191" s="59"/>
      <c r="C6191" s="137"/>
      <c r="D6191" s="59"/>
      <c r="E6191" s="116"/>
      <c r="F6191" s="120"/>
      <c r="G6191" s="120"/>
      <c r="H6191" s="120"/>
      <c r="I6191" s="60"/>
      <c r="J6191" s="116"/>
      <c r="K6191" s="213"/>
      <c r="L6191" s="120"/>
      <c r="M6191" s="120"/>
      <c r="N6191" s="167"/>
      <c r="O6191" s="120"/>
      <c r="P6191" s="120"/>
      <c r="Q6191" s="120"/>
      <c r="R6191" s="120"/>
      <c r="S6191" s="120"/>
      <c r="T6191" s="221"/>
      <c r="U6191" s="89"/>
      <c r="V6191" s="61"/>
      <c r="W6191" s="92" t="s">
        <v>65</v>
      </c>
      <c r="X6191" s="93" t="s">
        <v>30</v>
      </c>
      <c r="Y6191" s="93" t="s">
        <v>1011</v>
      </c>
      <c r="Z6191" s="134">
        <f>VLOOKUP(W6191,Sheet2!$B:$D,3,FALSE)</f>
        <v>1.76</v>
      </c>
      <c r="AA6191" s="93">
        <f>AA6190/10</f>
        <v>0.89867841409691618</v>
      </c>
      <c r="AB6191" s="93">
        <f>AD6191/AC6187</f>
        <v>1.9584313725490197</v>
      </c>
      <c r="AC6191" s="93">
        <f>AC6187/AA6191</f>
        <v>22.254901960784316</v>
      </c>
      <c r="AD6191" s="94">
        <f>AC6191*Z6191</f>
        <v>39.168627450980395</v>
      </c>
      <c r="AE6191" s="190"/>
      <c r="AF6191" s="191"/>
      <c r="AG6191" s="191"/>
      <c r="AH6191" s="191"/>
      <c r="AI6191" s="186"/>
      <c r="AK6191" s="171"/>
    </row>
    <row r="6192" spans="1:37" s="102" customFormat="1" ht="19.899999999999999" customHeight="1" x14ac:dyDescent="0.25">
      <c r="A6192" s="45"/>
      <c r="B6192" s="59"/>
      <c r="C6192" s="137"/>
      <c r="D6192" s="59"/>
      <c r="E6192" s="116"/>
      <c r="F6192" s="120"/>
      <c r="G6192" s="120"/>
      <c r="H6192" s="120"/>
      <c r="I6192" s="60"/>
      <c r="J6192" s="116"/>
      <c r="K6192" s="213"/>
      <c r="L6192" s="120"/>
      <c r="M6192" s="120"/>
      <c r="N6192" s="167"/>
      <c r="O6192" s="120"/>
      <c r="P6192" s="120"/>
      <c r="Q6192" s="120"/>
      <c r="R6192" s="120"/>
      <c r="S6192" s="120"/>
      <c r="T6192" s="221"/>
      <c r="U6192" s="89"/>
      <c r="V6192" s="61"/>
      <c r="W6192" s="92" t="s">
        <v>173</v>
      </c>
      <c r="X6192" s="93" t="s">
        <v>29</v>
      </c>
      <c r="Y6192" s="93" t="s">
        <v>93</v>
      </c>
      <c r="Z6192" s="134">
        <f>VLOOKUP(W6192,Sheet2!$B:$D,3,FALSE)</f>
        <v>36</v>
      </c>
      <c r="AA6192" s="93">
        <f>50/((1.7*1.5)-(0.7*0.4))</f>
        <v>22.026431718061673</v>
      </c>
      <c r="AB6192" s="93">
        <f>AD6192/AC6187</f>
        <v>1.6344000000000001</v>
      </c>
      <c r="AC6192" s="93">
        <f>AC6187/AA6192</f>
        <v>0.90800000000000003</v>
      </c>
      <c r="AD6192" s="94">
        <f>AC6192*Z6192</f>
        <v>32.688000000000002</v>
      </c>
      <c r="AE6192" s="190"/>
      <c r="AF6192" s="191"/>
      <c r="AG6192" s="191"/>
      <c r="AH6192" s="191"/>
      <c r="AI6192" s="186"/>
      <c r="AK6192" s="171"/>
    </row>
    <row r="6193" spans="1:41" s="102" customFormat="1" ht="19.899999999999999" customHeight="1" x14ac:dyDescent="0.25">
      <c r="A6193" s="45"/>
      <c r="B6193" s="59"/>
      <c r="C6193" s="137"/>
      <c r="D6193" s="59"/>
      <c r="E6193" s="116"/>
      <c r="F6193" s="120"/>
      <c r="G6193" s="120"/>
      <c r="H6193" s="120"/>
      <c r="I6193" s="60"/>
      <c r="J6193" s="116"/>
      <c r="K6193" s="213"/>
      <c r="L6193" s="120"/>
      <c r="M6193" s="120"/>
      <c r="N6193" s="167"/>
      <c r="O6193" s="120"/>
      <c r="P6193" s="120"/>
      <c r="Q6193" s="120"/>
      <c r="R6193" s="120"/>
      <c r="S6193" s="120"/>
      <c r="T6193" s="221"/>
      <c r="U6193" s="89"/>
      <c r="V6193" s="61"/>
      <c r="W6193" s="92" t="s">
        <v>65</v>
      </c>
      <c r="X6193" s="93" t="s">
        <v>30</v>
      </c>
      <c r="Y6193" s="93" t="s">
        <v>1011</v>
      </c>
      <c r="Z6193" s="134">
        <f>VLOOKUP(W6193,Sheet2!$B:$D,3,FALSE)</f>
        <v>1.76</v>
      </c>
      <c r="AA6193" s="93">
        <f>AA6192/9</f>
        <v>2.4473813020068524</v>
      </c>
      <c r="AB6193" s="93">
        <f>AD6193/AC6187</f>
        <v>0.719136</v>
      </c>
      <c r="AC6193" s="93">
        <f>AC6187/AA6193</f>
        <v>8.1720000000000006</v>
      </c>
      <c r="AD6193" s="94">
        <f>AC6193*Z6193</f>
        <v>14.382720000000001</v>
      </c>
      <c r="AE6193" s="190"/>
      <c r="AF6193" s="191"/>
      <c r="AG6193" s="191"/>
      <c r="AH6193" s="191"/>
      <c r="AI6193" s="186"/>
      <c r="AK6193" s="171"/>
    </row>
    <row r="6194" spans="1:41" s="102" customFormat="1" ht="19.899999999999999" customHeight="1" x14ac:dyDescent="0.25">
      <c r="A6194" s="45"/>
      <c r="B6194" s="59"/>
      <c r="C6194" s="137"/>
      <c r="D6194" s="59"/>
      <c r="E6194" s="116"/>
      <c r="F6194" s="120"/>
      <c r="G6194" s="120"/>
      <c r="H6194" s="120"/>
      <c r="I6194" s="60"/>
      <c r="J6194" s="116"/>
      <c r="K6194" s="213"/>
      <c r="L6194" s="120"/>
      <c r="M6194" s="120"/>
      <c r="N6194" s="167"/>
      <c r="O6194" s="120"/>
      <c r="P6194" s="120"/>
      <c r="Q6194" s="120"/>
      <c r="R6194" s="120"/>
      <c r="S6194" s="120"/>
      <c r="T6194" s="221"/>
      <c r="U6194" s="89"/>
      <c r="V6194" s="61"/>
      <c r="W6194" s="92" t="s">
        <v>148</v>
      </c>
      <c r="X6194" s="93" t="s">
        <v>29</v>
      </c>
      <c r="Y6194" s="93" t="s">
        <v>93</v>
      </c>
      <c r="Z6194" s="134">
        <f>VLOOKUP(W6194,Sheet2!$B:$D,3,FALSE)</f>
        <v>48</v>
      </c>
      <c r="AA6194" s="93">
        <f>7.2/(1.7*1.5*0.1)</f>
        <v>28.235294117647058</v>
      </c>
      <c r="AB6194" s="93">
        <f>AD6194/AC6187</f>
        <v>1.7</v>
      </c>
      <c r="AC6194" s="93">
        <f>AC6187/AA6194</f>
        <v>0.70833333333333337</v>
      </c>
      <c r="AD6194" s="94">
        <f t="shared" ref="AD6194:AD6197" si="4323">AC6194*Z6194</f>
        <v>34</v>
      </c>
      <c r="AE6194" s="190"/>
      <c r="AF6194" s="191"/>
      <c r="AG6194" s="191"/>
      <c r="AH6194" s="191"/>
      <c r="AI6194" s="186"/>
      <c r="AK6194" s="171"/>
    </row>
    <row r="6195" spans="1:41" s="102" customFormat="1" ht="19.899999999999999" customHeight="1" x14ac:dyDescent="0.25">
      <c r="A6195" s="45"/>
      <c r="B6195" s="59"/>
      <c r="C6195" s="137"/>
      <c r="D6195" s="59"/>
      <c r="E6195" s="116"/>
      <c r="F6195" s="120"/>
      <c r="G6195" s="120"/>
      <c r="H6195" s="120"/>
      <c r="I6195" s="60"/>
      <c r="J6195" s="116"/>
      <c r="K6195" s="213"/>
      <c r="L6195" s="120"/>
      <c r="M6195" s="120"/>
      <c r="N6195" s="167"/>
      <c r="O6195" s="120"/>
      <c r="P6195" s="120"/>
      <c r="Q6195" s="120"/>
      <c r="R6195" s="120"/>
      <c r="S6195" s="120"/>
      <c r="T6195" s="221"/>
      <c r="U6195" s="89"/>
      <c r="V6195" s="61"/>
      <c r="W6195" s="92" t="s">
        <v>65</v>
      </c>
      <c r="X6195" s="93" t="s">
        <v>30</v>
      </c>
      <c r="Y6195" s="93" t="s">
        <v>1011</v>
      </c>
      <c r="Z6195" s="134">
        <f>VLOOKUP(W6195,Sheet2!$B:$D,3,FALSE)</f>
        <v>1.76</v>
      </c>
      <c r="AA6195" s="93">
        <f>AA6194/10</f>
        <v>2.8235294117647056</v>
      </c>
      <c r="AB6195" s="93">
        <f>AD6195/AC6187</f>
        <v>0.62333333333333341</v>
      </c>
      <c r="AC6195" s="93">
        <f>AC6187/AA6195</f>
        <v>7.0833333333333339</v>
      </c>
      <c r="AD6195" s="94">
        <f t="shared" si="4323"/>
        <v>12.466666666666669</v>
      </c>
      <c r="AE6195" s="190"/>
      <c r="AF6195" s="191"/>
      <c r="AG6195" s="191"/>
      <c r="AH6195" s="191"/>
      <c r="AI6195" s="186"/>
      <c r="AK6195" s="171"/>
    </row>
    <row r="6196" spans="1:41" s="102" customFormat="1" ht="19.899999999999999" customHeight="1" x14ac:dyDescent="0.25">
      <c r="A6196" s="45"/>
      <c r="B6196" s="59"/>
      <c r="C6196" s="137"/>
      <c r="D6196" s="59"/>
      <c r="E6196" s="116"/>
      <c r="F6196" s="120"/>
      <c r="G6196" s="120"/>
      <c r="H6196" s="120"/>
      <c r="I6196" s="60"/>
      <c r="J6196" s="116"/>
      <c r="K6196" s="213"/>
      <c r="L6196" s="120"/>
      <c r="M6196" s="120"/>
      <c r="N6196" s="167"/>
      <c r="O6196" s="120"/>
      <c r="P6196" s="120"/>
      <c r="Q6196" s="120"/>
      <c r="R6196" s="120"/>
      <c r="S6196" s="120"/>
      <c r="T6196" s="221"/>
      <c r="U6196" s="89"/>
      <c r="V6196" s="61"/>
      <c r="W6196" s="92" t="s">
        <v>1030</v>
      </c>
      <c r="X6196" s="93" t="s">
        <v>29</v>
      </c>
      <c r="Y6196" s="93" t="s">
        <v>93</v>
      </c>
      <c r="Z6196" s="134">
        <f>VLOOKUP(W6196,Sheet2!$B:$D,3,FALSE)</f>
        <v>23</v>
      </c>
      <c r="AA6196" s="93">
        <v>25</v>
      </c>
      <c r="AB6196" s="93">
        <f>AD6196/AC6187</f>
        <v>0.92000000000000015</v>
      </c>
      <c r="AC6196" s="93">
        <f>AC6187/AA6196</f>
        <v>0.8</v>
      </c>
      <c r="AD6196" s="94">
        <f t="shared" si="4323"/>
        <v>18.400000000000002</v>
      </c>
      <c r="AE6196" s="190"/>
      <c r="AF6196" s="191"/>
      <c r="AG6196" s="191"/>
      <c r="AH6196" s="191"/>
      <c r="AI6196" s="186"/>
      <c r="AK6196" s="171"/>
    </row>
    <row r="6197" spans="1:41" s="102" customFormat="1" ht="19.899999999999999" customHeight="1" x14ac:dyDescent="0.25">
      <c r="A6197" s="45"/>
      <c r="B6197" s="59"/>
      <c r="C6197" s="137"/>
      <c r="D6197" s="59"/>
      <c r="E6197" s="116"/>
      <c r="F6197" s="120"/>
      <c r="G6197" s="120"/>
      <c r="H6197" s="120"/>
      <c r="I6197" s="60"/>
      <c r="J6197" s="116"/>
      <c r="K6197" s="213"/>
      <c r="L6197" s="120"/>
      <c r="M6197" s="120"/>
      <c r="N6197" s="167"/>
      <c r="O6197" s="120"/>
      <c r="P6197" s="120"/>
      <c r="Q6197" s="120"/>
      <c r="R6197" s="120"/>
      <c r="S6197" s="120"/>
      <c r="T6197" s="221"/>
      <c r="U6197" s="89"/>
      <c r="V6197" s="61"/>
      <c r="W6197" s="92" t="s">
        <v>65</v>
      </c>
      <c r="X6197" s="93" t="s">
        <v>30</v>
      </c>
      <c r="Y6197" s="93" t="s">
        <v>1011</v>
      </c>
      <c r="Z6197" s="134">
        <f>VLOOKUP(W6197,Sheet2!$B:$D,3,FALSE)</f>
        <v>1.76</v>
      </c>
      <c r="AA6197" s="93">
        <f>AA6196/3</f>
        <v>8.3333333333333339</v>
      </c>
      <c r="AB6197" s="93">
        <f>AD6197/AC6187</f>
        <v>0.2112</v>
      </c>
      <c r="AC6197" s="93">
        <f>AC6187/AA6197</f>
        <v>2.4</v>
      </c>
      <c r="AD6197" s="94">
        <f t="shared" si="4323"/>
        <v>4.2240000000000002</v>
      </c>
      <c r="AE6197" s="190"/>
      <c r="AF6197" s="191"/>
      <c r="AG6197" s="191"/>
      <c r="AH6197" s="191"/>
      <c r="AI6197" s="186"/>
      <c r="AK6197" s="171"/>
    </row>
    <row r="6198" spans="1:41" s="102" customFormat="1" ht="20.100000000000001" customHeight="1" x14ac:dyDescent="0.25">
      <c r="A6198" s="45" t="s">
        <v>491</v>
      </c>
      <c r="B6198" s="276"/>
      <c r="C6198" s="285" t="s">
        <v>669</v>
      </c>
      <c r="D6198" s="59"/>
      <c r="E6198" s="116"/>
      <c r="F6198" s="120"/>
      <c r="G6198" s="120">
        <f t="shared" si="3841"/>
        <v>0</v>
      </c>
      <c r="H6198" s="120">
        <f t="shared" si="3842"/>
        <v>0</v>
      </c>
      <c r="I6198" s="60">
        <f t="shared" si="3843"/>
        <v>0</v>
      </c>
      <c r="J6198" s="116">
        <f t="shared" si="3844"/>
        <v>0</v>
      </c>
      <c r="K6198" s="213">
        <f t="shared" si="3845"/>
        <v>0</v>
      </c>
      <c r="L6198" s="120"/>
      <c r="M6198" s="120">
        <f t="shared" si="3846"/>
        <v>0</v>
      </c>
      <c r="N6198" s="167">
        <f t="shared" si="3847"/>
        <v>0</v>
      </c>
      <c r="O6198" s="120">
        <f t="shared" si="3848"/>
        <v>0</v>
      </c>
      <c r="P6198" s="120">
        <f t="shared" si="3849"/>
        <v>0</v>
      </c>
      <c r="Q6198" s="120">
        <f t="shared" si="3850"/>
        <v>0</v>
      </c>
      <c r="R6198" s="120">
        <f t="shared" si="3851"/>
        <v>0</v>
      </c>
      <c r="S6198" s="120"/>
      <c r="T6198" s="221">
        <f t="shared" si="3852"/>
        <v>0</v>
      </c>
      <c r="U6198" s="89"/>
      <c r="V6198" s="61"/>
      <c r="W6198" s="92"/>
      <c r="X6198" s="38"/>
      <c r="Y6198" s="93"/>
      <c r="Z6198" s="134"/>
      <c r="AA6198" s="93"/>
      <c r="AB6198" s="93">
        <f t="shared" si="3853"/>
        <v>0</v>
      </c>
      <c r="AC6198" s="93">
        <f t="shared" si="3854"/>
        <v>9.9999999999999998E-20</v>
      </c>
      <c r="AD6198" s="94"/>
      <c r="AE6198" s="190"/>
      <c r="AF6198" s="191"/>
      <c r="AG6198" s="191"/>
      <c r="AH6198" s="191"/>
      <c r="AI6198" s="186"/>
      <c r="AK6198" s="171"/>
    </row>
    <row r="6199" spans="1:41" ht="20.100000000000001" customHeight="1" x14ac:dyDescent="0.25">
      <c r="A6199" s="277" t="s">
        <v>491</v>
      </c>
      <c r="B6199" s="278"/>
      <c r="C6199" s="64" t="s">
        <v>670</v>
      </c>
      <c r="D6199" s="46" t="s">
        <v>215</v>
      </c>
      <c r="E6199" s="114">
        <v>1</v>
      </c>
      <c r="F6199" s="44">
        <v>1385</v>
      </c>
      <c r="G6199" s="44">
        <f t="shared" si="3841"/>
        <v>1385</v>
      </c>
      <c r="H6199" s="44">
        <f t="shared" si="3842"/>
        <v>1137.4000000000001</v>
      </c>
      <c r="I6199" s="43">
        <f t="shared" si="3843"/>
        <v>1137.4000000000001</v>
      </c>
      <c r="J6199" s="112">
        <f t="shared" si="3844"/>
        <v>1</v>
      </c>
      <c r="K6199" s="211">
        <f t="shared" si="3845"/>
        <v>1</v>
      </c>
      <c r="L6199" s="44"/>
      <c r="M6199" s="44">
        <f t="shared" si="3846"/>
        <v>1</v>
      </c>
      <c r="N6199" s="173">
        <f t="shared" si="3847"/>
        <v>1</v>
      </c>
      <c r="O6199" s="44">
        <f t="shared" si="3848"/>
        <v>1385</v>
      </c>
      <c r="P6199" s="44">
        <f t="shared" si="3849"/>
        <v>1385</v>
      </c>
      <c r="Q6199" s="44">
        <f t="shared" si="3850"/>
        <v>1137.4000000000001</v>
      </c>
      <c r="R6199" s="44">
        <f t="shared" si="3851"/>
        <v>1137.4000000000001</v>
      </c>
      <c r="S6199" s="123"/>
      <c r="T6199" s="219">
        <f t="shared" si="3852"/>
        <v>1137.4000000000001</v>
      </c>
      <c r="U6199" s="87"/>
      <c r="V6199" s="47"/>
      <c r="W6199" s="48"/>
      <c r="X6199" s="48"/>
      <c r="Y6199" s="48"/>
      <c r="Z6199" s="135"/>
      <c r="AA6199" s="49"/>
      <c r="AB6199" s="50">
        <f t="shared" si="3853"/>
        <v>1137.4000000000001</v>
      </c>
      <c r="AC6199" s="42">
        <f t="shared" si="3854"/>
        <v>1</v>
      </c>
      <c r="AD6199" s="90">
        <f>AD6200</f>
        <v>1137.4000000000001</v>
      </c>
      <c r="AE6199" s="188">
        <f t="shared" ref="AE6199:AH6199" si="4324">AE6200</f>
        <v>0</v>
      </c>
      <c r="AF6199" s="189">
        <f t="shared" si="4324"/>
        <v>0</v>
      </c>
      <c r="AG6199" s="189">
        <f t="shared" si="4324"/>
        <v>0</v>
      </c>
      <c r="AH6199" s="189">
        <f t="shared" si="4324"/>
        <v>0</v>
      </c>
      <c r="AI6199" s="161">
        <f t="shared" ref="AI6199:AI6200" si="4325">SUM(AE6199:AH6199)</f>
        <v>0</v>
      </c>
      <c r="AK6199" s="169">
        <v>5</v>
      </c>
      <c r="AO6199" s="19" t="s">
        <v>63</v>
      </c>
    </row>
    <row r="6200" spans="1:41" s="103" customFormat="1" ht="19.899999999999999" customHeight="1" x14ac:dyDescent="0.25">
      <c r="A6200" s="51"/>
      <c r="B6200" s="52"/>
      <c r="C6200" s="165"/>
      <c r="D6200" s="52"/>
      <c r="E6200" s="115"/>
      <c r="F6200" s="58"/>
      <c r="G6200" s="58"/>
      <c r="H6200" s="58"/>
      <c r="I6200" s="55"/>
      <c r="J6200" s="113">
        <f>J6199</f>
        <v>1</v>
      </c>
      <c r="K6200" s="212">
        <f>K6199</f>
        <v>1</v>
      </c>
      <c r="L6200" s="58"/>
      <c r="M6200" s="58">
        <f>K6200-L6200</f>
        <v>1</v>
      </c>
      <c r="N6200" s="166"/>
      <c r="O6200" s="58"/>
      <c r="P6200" s="58"/>
      <c r="Q6200" s="58"/>
      <c r="R6200" s="58"/>
      <c r="S6200" s="58"/>
      <c r="T6200" s="220"/>
      <c r="U6200" s="88"/>
      <c r="V6200" s="56"/>
      <c r="W6200" s="57" t="s">
        <v>670</v>
      </c>
      <c r="X6200" s="53"/>
      <c r="Y6200" s="91" t="s">
        <v>35</v>
      </c>
      <c r="Z6200" s="136">
        <f>AD6200/AC6200</f>
        <v>1137.4000000000001</v>
      </c>
      <c r="AA6200" s="58"/>
      <c r="AB6200" s="53">
        <f>AD6200/AC6200</f>
        <v>1137.4000000000001</v>
      </c>
      <c r="AC6200" s="53">
        <f>M6200+$AE$10</f>
        <v>1</v>
      </c>
      <c r="AD6200" s="54">
        <f>SUM(AD6201)</f>
        <v>1137.4000000000001</v>
      </c>
      <c r="AE6200" s="184">
        <f>SUMIFS($AD$37:$AD$12971,$V$37:$V$12971,$V6200,$X$37:$X$12971,AE$13)</f>
        <v>0</v>
      </c>
      <c r="AF6200" s="185">
        <f>SUMIFS($AD$37:$AD$12971,$V$37:$V$12971,$V6200,$X$37:$X$12971,AF$13)</f>
        <v>0</v>
      </c>
      <c r="AG6200" s="185">
        <f>SUMIFS($AD$37:$AD$12971,$V$37:$V$12971,$V6200,$X$37:$X$12971,AG$13)</f>
        <v>0</v>
      </c>
      <c r="AH6200" s="187">
        <f>SUMIFS($AD$37:$AD$12971,$V$37:$V$12971,$V6200,$X$37:$X$12971,AH$13)</f>
        <v>0</v>
      </c>
      <c r="AI6200" s="161">
        <f t="shared" si="4325"/>
        <v>0</v>
      </c>
      <c r="AK6200" s="172"/>
    </row>
    <row r="6201" spans="1:41" s="102" customFormat="1" ht="19.899999999999999" customHeight="1" x14ac:dyDescent="0.25">
      <c r="A6201" s="45"/>
      <c r="B6201" s="59"/>
      <c r="C6201" s="137"/>
      <c r="D6201" s="59"/>
      <c r="E6201" s="116"/>
      <c r="F6201" s="120"/>
      <c r="G6201" s="120"/>
      <c r="H6201" s="120"/>
      <c r="I6201" s="60"/>
      <c r="J6201" s="116"/>
      <c r="K6201" s="213"/>
      <c r="L6201" s="120"/>
      <c r="M6201" s="120"/>
      <c r="N6201" s="167"/>
      <c r="O6201" s="120"/>
      <c r="P6201" s="120"/>
      <c r="Q6201" s="120"/>
      <c r="R6201" s="120"/>
      <c r="S6201" s="120"/>
      <c r="T6201" s="221"/>
      <c r="U6201" s="89"/>
      <c r="V6201" s="61"/>
      <c r="W6201" s="92" t="s">
        <v>670</v>
      </c>
      <c r="X6201" s="93" t="s">
        <v>32</v>
      </c>
      <c r="Y6201" s="93" t="s">
        <v>1349</v>
      </c>
      <c r="Z6201" s="134">
        <f>VLOOKUP(W6201,Sheet2!$B:$D,3,FALSE)</f>
        <v>1137.4000000000001</v>
      </c>
      <c r="AA6201" s="93">
        <v>1</v>
      </c>
      <c r="AB6201" s="93">
        <f>AD6201/AC6200</f>
        <v>1137.4000000000001</v>
      </c>
      <c r="AC6201" s="93">
        <f>AC6200/AA6201</f>
        <v>1</v>
      </c>
      <c r="AD6201" s="94">
        <f t="shared" ref="AD6201" si="4326">AC6201*Z6201</f>
        <v>1137.4000000000001</v>
      </c>
      <c r="AE6201" s="190"/>
      <c r="AF6201" s="191"/>
      <c r="AG6201" s="191"/>
      <c r="AH6201" s="191"/>
      <c r="AI6201" s="186"/>
      <c r="AK6201" s="171"/>
    </row>
    <row r="6202" spans="1:41" ht="20.100000000000001" customHeight="1" x14ac:dyDescent="0.25">
      <c r="A6202" s="277" t="s">
        <v>491</v>
      </c>
      <c r="B6202" s="278"/>
      <c r="C6202" s="64" t="s">
        <v>671</v>
      </c>
      <c r="D6202" s="46" t="s">
        <v>215</v>
      </c>
      <c r="E6202" s="114">
        <v>3</v>
      </c>
      <c r="F6202" s="44">
        <v>1762</v>
      </c>
      <c r="G6202" s="44">
        <f t="shared" si="3841"/>
        <v>5286</v>
      </c>
      <c r="H6202" s="44">
        <f t="shared" si="3842"/>
        <v>1447</v>
      </c>
      <c r="I6202" s="43">
        <f t="shared" si="3843"/>
        <v>4341</v>
      </c>
      <c r="J6202" s="112">
        <f t="shared" si="3844"/>
        <v>3</v>
      </c>
      <c r="K6202" s="211">
        <f t="shared" si="3845"/>
        <v>3</v>
      </c>
      <c r="L6202" s="44"/>
      <c r="M6202" s="44">
        <f t="shared" si="3846"/>
        <v>3</v>
      </c>
      <c r="N6202" s="173">
        <f t="shared" si="3847"/>
        <v>1</v>
      </c>
      <c r="O6202" s="44">
        <f t="shared" si="3848"/>
        <v>1762</v>
      </c>
      <c r="P6202" s="44">
        <f t="shared" si="3849"/>
        <v>5286</v>
      </c>
      <c r="Q6202" s="44">
        <f t="shared" si="3850"/>
        <v>1447</v>
      </c>
      <c r="R6202" s="44">
        <f t="shared" si="3851"/>
        <v>4341</v>
      </c>
      <c r="S6202" s="123"/>
      <c r="T6202" s="219">
        <f t="shared" si="3852"/>
        <v>4341</v>
      </c>
      <c r="U6202" s="87"/>
      <c r="V6202" s="47"/>
      <c r="W6202" s="48"/>
      <c r="X6202" s="48"/>
      <c r="Y6202" s="48"/>
      <c r="Z6202" s="135"/>
      <c r="AA6202" s="49"/>
      <c r="AB6202" s="50">
        <f t="shared" si="3853"/>
        <v>1447</v>
      </c>
      <c r="AC6202" s="42">
        <f t="shared" si="3854"/>
        <v>3</v>
      </c>
      <c r="AD6202" s="90">
        <f>AD6203</f>
        <v>4341</v>
      </c>
      <c r="AE6202" s="188">
        <f t="shared" ref="AE6202" si="4327">AE6203</f>
        <v>0</v>
      </c>
      <c r="AF6202" s="189">
        <f t="shared" ref="AF6202" si="4328">AF6203</f>
        <v>0</v>
      </c>
      <c r="AG6202" s="189">
        <f t="shared" ref="AG6202" si="4329">AG6203</f>
        <v>0</v>
      </c>
      <c r="AH6202" s="189">
        <f t="shared" ref="AH6202" si="4330">AH6203</f>
        <v>0</v>
      </c>
      <c r="AI6202" s="161">
        <f t="shared" ref="AI6202:AI6203" si="4331">SUM(AE6202:AH6202)</f>
        <v>0</v>
      </c>
      <c r="AK6202" s="169">
        <v>5</v>
      </c>
      <c r="AO6202" s="19" t="s">
        <v>63</v>
      </c>
    </row>
    <row r="6203" spans="1:41" s="103" customFormat="1" ht="19.899999999999999" customHeight="1" x14ac:dyDescent="0.25">
      <c r="A6203" s="51"/>
      <c r="B6203" s="52"/>
      <c r="C6203" s="165"/>
      <c r="D6203" s="52"/>
      <c r="E6203" s="115"/>
      <c r="F6203" s="58"/>
      <c r="G6203" s="58"/>
      <c r="H6203" s="58"/>
      <c r="I6203" s="55"/>
      <c r="J6203" s="113">
        <f>J6202</f>
        <v>3</v>
      </c>
      <c r="K6203" s="212">
        <f>K6202</f>
        <v>3</v>
      </c>
      <c r="L6203" s="58"/>
      <c r="M6203" s="58">
        <f>K6203-L6203</f>
        <v>3</v>
      </c>
      <c r="N6203" s="166"/>
      <c r="O6203" s="58"/>
      <c r="P6203" s="58"/>
      <c r="Q6203" s="58"/>
      <c r="R6203" s="58"/>
      <c r="S6203" s="58"/>
      <c r="T6203" s="220"/>
      <c r="U6203" s="88"/>
      <c r="V6203" s="56"/>
      <c r="W6203" s="57" t="s">
        <v>671</v>
      </c>
      <c r="X6203" s="53"/>
      <c r="Y6203" s="91" t="s">
        <v>35</v>
      </c>
      <c r="Z6203" s="136">
        <f>AD6203/AC6203</f>
        <v>1447</v>
      </c>
      <c r="AA6203" s="58"/>
      <c r="AB6203" s="53">
        <f>AD6203/AC6203</f>
        <v>1447</v>
      </c>
      <c r="AC6203" s="53">
        <f>M6203+$AE$10</f>
        <v>3</v>
      </c>
      <c r="AD6203" s="54">
        <f>SUM(AD6204)</f>
        <v>4341</v>
      </c>
      <c r="AE6203" s="184">
        <f>SUMIFS($AD$37:$AD$12971,$V$37:$V$12971,$V6203,$X$37:$X$12971,AE$13)</f>
        <v>0</v>
      </c>
      <c r="AF6203" s="185">
        <f>SUMIFS($AD$37:$AD$12971,$V$37:$V$12971,$V6203,$X$37:$X$12971,AF$13)</f>
        <v>0</v>
      </c>
      <c r="AG6203" s="185">
        <f>SUMIFS($AD$37:$AD$12971,$V$37:$V$12971,$V6203,$X$37:$X$12971,AG$13)</f>
        <v>0</v>
      </c>
      <c r="AH6203" s="187">
        <f>SUMIFS($AD$37:$AD$12971,$V$37:$V$12971,$V6203,$X$37:$X$12971,AH$13)</f>
        <v>0</v>
      </c>
      <c r="AI6203" s="161">
        <f t="shared" si="4331"/>
        <v>0</v>
      </c>
      <c r="AK6203" s="172"/>
    </row>
    <row r="6204" spans="1:41" s="102" customFormat="1" ht="19.899999999999999" customHeight="1" x14ac:dyDescent="0.25">
      <c r="A6204" s="45"/>
      <c r="B6204" s="59"/>
      <c r="C6204" s="137"/>
      <c r="D6204" s="59"/>
      <c r="E6204" s="116"/>
      <c r="F6204" s="120"/>
      <c r="G6204" s="120"/>
      <c r="H6204" s="120"/>
      <c r="I6204" s="60"/>
      <c r="J6204" s="116"/>
      <c r="K6204" s="213"/>
      <c r="L6204" s="120"/>
      <c r="M6204" s="120"/>
      <c r="N6204" s="167"/>
      <c r="O6204" s="120"/>
      <c r="P6204" s="120"/>
      <c r="Q6204" s="120"/>
      <c r="R6204" s="120"/>
      <c r="S6204" s="120"/>
      <c r="T6204" s="221"/>
      <c r="U6204" s="89"/>
      <c r="V6204" s="61"/>
      <c r="W6204" s="92" t="s">
        <v>671</v>
      </c>
      <c r="X6204" s="93" t="s">
        <v>32</v>
      </c>
      <c r="Y6204" s="93" t="s">
        <v>1349</v>
      </c>
      <c r="Z6204" s="134">
        <f>VLOOKUP(W6204,Sheet2!$B:$D,3,FALSE)</f>
        <v>1447</v>
      </c>
      <c r="AA6204" s="93">
        <v>1</v>
      </c>
      <c r="AB6204" s="93">
        <f>AD6204/AC6203</f>
        <v>1447</v>
      </c>
      <c r="AC6204" s="93">
        <f>AC6203/AA6204</f>
        <v>3</v>
      </c>
      <c r="AD6204" s="94">
        <f t="shared" ref="AD6204" si="4332">AC6204*Z6204</f>
        <v>4341</v>
      </c>
      <c r="AE6204" s="190"/>
      <c r="AF6204" s="191"/>
      <c r="AG6204" s="191"/>
      <c r="AH6204" s="191"/>
      <c r="AI6204" s="186"/>
      <c r="AK6204" s="171"/>
    </row>
    <row r="6205" spans="1:41" s="102" customFormat="1" ht="20.100000000000001" customHeight="1" x14ac:dyDescent="0.25">
      <c r="A6205" s="45" t="s">
        <v>491</v>
      </c>
      <c r="B6205" s="276"/>
      <c r="C6205" s="285" t="s">
        <v>672</v>
      </c>
      <c r="D6205" s="59"/>
      <c r="E6205" s="116"/>
      <c r="F6205" s="120"/>
      <c r="G6205" s="120">
        <f t="shared" si="3841"/>
        <v>0</v>
      </c>
      <c r="H6205" s="120">
        <f t="shared" si="3842"/>
        <v>0</v>
      </c>
      <c r="I6205" s="60">
        <f t="shared" si="3843"/>
        <v>0</v>
      </c>
      <c r="J6205" s="116">
        <f t="shared" si="3844"/>
        <v>0</v>
      </c>
      <c r="K6205" s="213">
        <f t="shared" si="3845"/>
        <v>0</v>
      </c>
      <c r="L6205" s="120"/>
      <c r="M6205" s="120">
        <f t="shared" si="3846"/>
        <v>0</v>
      </c>
      <c r="N6205" s="167">
        <f t="shared" si="3847"/>
        <v>0</v>
      </c>
      <c r="O6205" s="120">
        <f t="shared" si="3848"/>
        <v>0</v>
      </c>
      <c r="P6205" s="120">
        <f t="shared" si="3849"/>
        <v>0</v>
      </c>
      <c r="Q6205" s="120">
        <f t="shared" si="3850"/>
        <v>0</v>
      </c>
      <c r="R6205" s="120">
        <f t="shared" si="3851"/>
        <v>0</v>
      </c>
      <c r="S6205" s="120"/>
      <c r="T6205" s="221">
        <f t="shared" si="3852"/>
        <v>0</v>
      </c>
      <c r="U6205" s="89"/>
      <c r="V6205" s="61"/>
      <c r="W6205" s="92"/>
      <c r="X6205" s="38"/>
      <c r="Y6205" s="93"/>
      <c r="Z6205" s="134"/>
      <c r="AA6205" s="93"/>
      <c r="AB6205" s="93">
        <f t="shared" si="3853"/>
        <v>0</v>
      </c>
      <c r="AC6205" s="93">
        <f t="shared" si="3854"/>
        <v>9.9999999999999998E-20</v>
      </c>
      <c r="AD6205" s="94"/>
      <c r="AE6205" s="190"/>
      <c r="AF6205" s="191"/>
      <c r="AG6205" s="191"/>
      <c r="AH6205" s="191"/>
      <c r="AI6205" s="186"/>
      <c r="AK6205" s="171"/>
    </row>
    <row r="6206" spans="1:41" s="102" customFormat="1" ht="47.25" x14ac:dyDescent="0.25">
      <c r="A6206" s="45" t="s">
        <v>491</v>
      </c>
      <c r="B6206" s="276"/>
      <c r="C6206" s="285" t="s">
        <v>673</v>
      </c>
      <c r="D6206" s="59"/>
      <c r="E6206" s="116"/>
      <c r="F6206" s="120"/>
      <c r="G6206" s="120">
        <f t="shared" si="3841"/>
        <v>0</v>
      </c>
      <c r="H6206" s="120">
        <f t="shared" si="3842"/>
        <v>0</v>
      </c>
      <c r="I6206" s="60">
        <f t="shared" si="3843"/>
        <v>0</v>
      </c>
      <c r="J6206" s="116">
        <f t="shared" si="3844"/>
        <v>0</v>
      </c>
      <c r="K6206" s="213">
        <f t="shared" si="3845"/>
        <v>0</v>
      </c>
      <c r="L6206" s="120"/>
      <c r="M6206" s="120">
        <f t="shared" si="3846"/>
        <v>0</v>
      </c>
      <c r="N6206" s="167">
        <f t="shared" si="3847"/>
        <v>0</v>
      </c>
      <c r="O6206" s="120">
        <f t="shared" si="3848"/>
        <v>0</v>
      </c>
      <c r="P6206" s="120">
        <f t="shared" si="3849"/>
        <v>0</v>
      </c>
      <c r="Q6206" s="120">
        <f t="shared" si="3850"/>
        <v>0</v>
      </c>
      <c r="R6206" s="120">
        <f t="shared" si="3851"/>
        <v>0</v>
      </c>
      <c r="S6206" s="120"/>
      <c r="T6206" s="221">
        <f t="shared" si="3852"/>
        <v>0</v>
      </c>
      <c r="U6206" s="89"/>
      <c r="V6206" s="61"/>
      <c r="W6206" s="92"/>
      <c r="X6206" s="38"/>
      <c r="Y6206" s="93"/>
      <c r="Z6206" s="134"/>
      <c r="AA6206" s="93"/>
      <c r="AB6206" s="93">
        <f t="shared" si="3853"/>
        <v>0</v>
      </c>
      <c r="AC6206" s="93">
        <f t="shared" si="3854"/>
        <v>9.9999999999999998E-20</v>
      </c>
      <c r="AD6206" s="94"/>
      <c r="AE6206" s="190"/>
      <c r="AF6206" s="191"/>
      <c r="AG6206" s="191"/>
      <c r="AH6206" s="191"/>
      <c r="AI6206" s="186"/>
      <c r="AK6206" s="171"/>
    </row>
    <row r="6207" spans="1:41" ht="20.100000000000001" customHeight="1" x14ac:dyDescent="0.25">
      <c r="A6207" s="277" t="s">
        <v>491</v>
      </c>
      <c r="B6207" s="278"/>
      <c r="C6207" s="64" t="s">
        <v>674</v>
      </c>
      <c r="D6207" s="46" t="s">
        <v>196</v>
      </c>
      <c r="E6207" s="114">
        <v>675</v>
      </c>
      <c r="F6207" s="44">
        <v>86</v>
      </c>
      <c r="G6207" s="44">
        <f t="shared" si="3841"/>
        <v>58050</v>
      </c>
      <c r="H6207" s="44">
        <f t="shared" si="3842"/>
        <v>54.382400000000004</v>
      </c>
      <c r="I6207" s="43">
        <f t="shared" si="3843"/>
        <v>36708.120000000003</v>
      </c>
      <c r="J6207" s="112">
        <f t="shared" si="3844"/>
        <v>675</v>
      </c>
      <c r="K6207" s="211">
        <f t="shared" si="3845"/>
        <v>675</v>
      </c>
      <c r="L6207" s="44"/>
      <c r="M6207" s="44">
        <f t="shared" si="3846"/>
        <v>675</v>
      </c>
      <c r="N6207" s="173">
        <f t="shared" si="3847"/>
        <v>1</v>
      </c>
      <c r="O6207" s="44">
        <f t="shared" si="3848"/>
        <v>86</v>
      </c>
      <c r="P6207" s="44">
        <f t="shared" si="3849"/>
        <v>58050</v>
      </c>
      <c r="Q6207" s="44">
        <f t="shared" si="3850"/>
        <v>54.382400000000004</v>
      </c>
      <c r="R6207" s="44">
        <f t="shared" si="3851"/>
        <v>36708.120000000003</v>
      </c>
      <c r="S6207" s="123"/>
      <c r="T6207" s="219">
        <f t="shared" si="3852"/>
        <v>36708.120000000003</v>
      </c>
      <c r="U6207" s="87"/>
      <c r="V6207" s="47"/>
      <c r="W6207" s="48"/>
      <c r="X6207" s="48"/>
      <c r="Y6207" s="48"/>
      <c r="Z6207" s="135"/>
      <c r="AA6207" s="49"/>
      <c r="AB6207" s="50">
        <f t="shared" si="3853"/>
        <v>54.382400000000004</v>
      </c>
      <c r="AC6207" s="42">
        <f t="shared" si="3854"/>
        <v>675</v>
      </c>
      <c r="AD6207" s="90">
        <f>AD6208+AD6215</f>
        <v>36708.120000000003</v>
      </c>
      <c r="AE6207" s="188">
        <f t="shared" ref="AE6207:AH6207" si="4333">AE6208+AE6215</f>
        <v>0</v>
      </c>
      <c r="AF6207" s="189">
        <f t="shared" si="4333"/>
        <v>0</v>
      </c>
      <c r="AG6207" s="189">
        <f t="shared" si="4333"/>
        <v>0</v>
      </c>
      <c r="AH6207" s="189">
        <f t="shared" si="4333"/>
        <v>0</v>
      </c>
      <c r="AI6207" s="161">
        <f t="shared" ref="AI6207:AI6208" si="4334">SUM(AE6207:AH6207)</f>
        <v>0</v>
      </c>
      <c r="AK6207" s="169">
        <v>5</v>
      </c>
      <c r="AO6207" s="19" t="s">
        <v>63</v>
      </c>
    </row>
    <row r="6208" spans="1:41" s="103" customFormat="1" ht="19.899999999999999" customHeight="1" x14ac:dyDescent="0.25">
      <c r="A6208" s="51"/>
      <c r="B6208" s="52"/>
      <c r="C6208" s="165"/>
      <c r="D6208" s="52"/>
      <c r="E6208" s="115"/>
      <c r="F6208" s="58"/>
      <c r="G6208" s="58"/>
      <c r="H6208" s="58"/>
      <c r="I6208" s="55"/>
      <c r="J6208" s="113">
        <f>J6207</f>
        <v>675</v>
      </c>
      <c r="K6208" s="212">
        <f>K6207</f>
        <v>675</v>
      </c>
      <c r="L6208" s="58"/>
      <c r="M6208" s="58">
        <f>K6208-L6208</f>
        <v>675</v>
      </c>
      <c r="N6208" s="166"/>
      <c r="O6208" s="58"/>
      <c r="P6208" s="58"/>
      <c r="Q6208" s="58"/>
      <c r="R6208" s="58"/>
      <c r="S6208" s="58"/>
      <c r="T6208" s="220"/>
      <c r="U6208" s="88"/>
      <c r="V6208" s="56"/>
      <c r="W6208" s="57" t="s">
        <v>1608</v>
      </c>
      <c r="X6208" s="53"/>
      <c r="Y6208" s="91" t="s">
        <v>64</v>
      </c>
      <c r="Z6208" s="136">
        <f>AD6208/AC6208</f>
        <v>4.3824000000000005</v>
      </c>
      <c r="AA6208" s="58"/>
      <c r="AB6208" s="53">
        <f>AD6208/AC6208</f>
        <v>4.3824000000000005</v>
      </c>
      <c r="AC6208" s="53">
        <f>M6208+$AE$10</f>
        <v>675</v>
      </c>
      <c r="AD6208" s="54">
        <f>SUM(AD6209:AD6214)</f>
        <v>2958.1200000000003</v>
      </c>
      <c r="AE6208" s="184">
        <f>SUMIFS($AD$37:$AD$12971,$V$37:$V$12971,$V6208,$X$37:$X$12971,AE$13)</f>
        <v>0</v>
      </c>
      <c r="AF6208" s="185">
        <f>SUMIFS($AD$37:$AD$12971,$V$37:$V$12971,$V6208,$X$37:$X$12971,AF$13)</f>
        <v>0</v>
      </c>
      <c r="AG6208" s="185">
        <f>SUMIFS($AD$37:$AD$12971,$V$37:$V$12971,$V6208,$X$37:$X$12971,AG$13)</f>
        <v>0</v>
      </c>
      <c r="AH6208" s="187">
        <f>SUMIFS($AD$37:$AD$12971,$V$37:$V$12971,$V6208,$X$37:$X$12971,AH$13)</f>
        <v>0</v>
      </c>
      <c r="AI6208" s="161">
        <f t="shared" si="4334"/>
        <v>0</v>
      </c>
      <c r="AK6208" s="172"/>
    </row>
    <row r="6209" spans="1:41" s="102" customFormat="1" ht="19.899999999999999" customHeight="1" x14ac:dyDescent="0.25">
      <c r="A6209" s="45"/>
      <c r="B6209" s="59"/>
      <c r="C6209" s="137"/>
      <c r="D6209" s="59"/>
      <c r="E6209" s="116"/>
      <c r="F6209" s="120"/>
      <c r="G6209" s="120"/>
      <c r="H6209" s="120"/>
      <c r="I6209" s="60"/>
      <c r="J6209" s="116"/>
      <c r="K6209" s="213"/>
      <c r="L6209" s="120"/>
      <c r="M6209" s="120"/>
      <c r="N6209" s="167"/>
      <c r="O6209" s="120"/>
      <c r="P6209" s="120"/>
      <c r="Q6209" s="120"/>
      <c r="R6209" s="120"/>
      <c r="S6209" s="120"/>
      <c r="T6209" s="221"/>
      <c r="U6209" s="89"/>
      <c r="V6209" s="61"/>
      <c r="W6209" s="92" t="s">
        <v>160</v>
      </c>
      <c r="X6209" s="93" t="s">
        <v>29</v>
      </c>
      <c r="Y6209" s="93" t="s">
        <v>93</v>
      </c>
      <c r="Z6209" s="134">
        <f>VLOOKUP(W6209,Sheet2!$B:$D,3,FALSE)</f>
        <v>44</v>
      </c>
      <c r="AA6209" s="93">
        <v>20</v>
      </c>
      <c r="AB6209" s="93">
        <f>AD6209/AC6208</f>
        <v>2.2000000000000002</v>
      </c>
      <c r="AC6209" s="93">
        <f>AC6208/AA6209</f>
        <v>33.75</v>
      </c>
      <c r="AD6209" s="94">
        <f t="shared" ref="AD6209:AD6214" si="4335">AC6209*Z6209</f>
        <v>1485</v>
      </c>
      <c r="AE6209" s="190"/>
      <c r="AF6209" s="191"/>
      <c r="AG6209" s="191"/>
      <c r="AH6209" s="191"/>
      <c r="AI6209" s="186"/>
      <c r="AK6209" s="171"/>
    </row>
    <row r="6210" spans="1:41" s="102" customFormat="1" ht="19.899999999999999" customHeight="1" x14ac:dyDescent="0.25">
      <c r="A6210" s="45"/>
      <c r="B6210" s="59"/>
      <c r="C6210" s="137"/>
      <c r="D6210" s="59"/>
      <c r="E6210" s="116"/>
      <c r="F6210" s="120"/>
      <c r="G6210" s="120"/>
      <c r="H6210" s="120"/>
      <c r="I6210" s="60"/>
      <c r="J6210" s="116"/>
      <c r="K6210" s="213"/>
      <c r="L6210" s="120"/>
      <c r="M6210" s="120"/>
      <c r="N6210" s="167"/>
      <c r="O6210" s="120"/>
      <c r="P6210" s="120"/>
      <c r="Q6210" s="120"/>
      <c r="R6210" s="120"/>
      <c r="S6210" s="120"/>
      <c r="T6210" s="221"/>
      <c r="U6210" s="89"/>
      <c r="V6210" s="61"/>
      <c r="W6210" s="92" t="s">
        <v>65</v>
      </c>
      <c r="X6210" s="93" t="s">
        <v>30</v>
      </c>
      <c r="Y6210" s="93" t="s">
        <v>1011</v>
      </c>
      <c r="Z6210" s="134">
        <f>VLOOKUP(W6210,Sheet2!$B:$D,3,FALSE)</f>
        <v>1.76</v>
      </c>
      <c r="AA6210" s="93">
        <f>AA6209/10</f>
        <v>2</v>
      </c>
      <c r="AB6210" s="93">
        <f>AD6210/AC6208</f>
        <v>0.88</v>
      </c>
      <c r="AC6210" s="93">
        <f>AC6208/AA6210</f>
        <v>337.5</v>
      </c>
      <c r="AD6210" s="94">
        <f t="shared" si="4335"/>
        <v>594</v>
      </c>
      <c r="AE6210" s="190"/>
      <c r="AF6210" s="191"/>
      <c r="AG6210" s="191"/>
      <c r="AH6210" s="191"/>
      <c r="AI6210" s="186"/>
      <c r="AK6210" s="171"/>
    </row>
    <row r="6211" spans="1:41" s="102" customFormat="1" ht="19.899999999999999" customHeight="1" x14ac:dyDescent="0.25">
      <c r="A6211" s="45"/>
      <c r="B6211" s="59"/>
      <c r="C6211" s="137"/>
      <c r="D6211" s="59"/>
      <c r="E6211" s="116"/>
      <c r="F6211" s="120"/>
      <c r="G6211" s="120"/>
      <c r="H6211" s="120"/>
      <c r="I6211" s="60"/>
      <c r="J6211" s="116"/>
      <c r="K6211" s="213"/>
      <c r="L6211" s="120"/>
      <c r="M6211" s="120"/>
      <c r="N6211" s="167"/>
      <c r="O6211" s="120"/>
      <c r="P6211" s="120"/>
      <c r="Q6211" s="120"/>
      <c r="R6211" s="120"/>
      <c r="S6211" s="120"/>
      <c r="T6211" s="221"/>
      <c r="U6211" s="89"/>
      <c r="V6211" s="61"/>
      <c r="W6211" s="92" t="s">
        <v>148</v>
      </c>
      <c r="X6211" s="93" t="s">
        <v>29</v>
      </c>
      <c r="Y6211" s="93" t="s">
        <v>93</v>
      </c>
      <c r="Z6211" s="134">
        <f>VLOOKUP(W6211,Sheet2!$B:$D,3,FALSE)</f>
        <v>48</v>
      </c>
      <c r="AA6211" s="93">
        <v>100</v>
      </c>
      <c r="AB6211" s="93">
        <f>AD6211/AC6208</f>
        <v>0.48</v>
      </c>
      <c r="AC6211" s="93">
        <f>AC6208/AA6211</f>
        <v>6.75</v>
      </c>
      <c r="AD6211" s="94">
        <f>AC6211*Z6211</f>
        <v>324</v>
      </c>
      <c r="AE6211" s="190"/>
      <c r="AF6211" s="191"/>
      <c r="AG6211" s="191"/>
      <c r="AH6211" s="191"/>
      <c r="AI6211" s="186"/>
      <c r="AK6211" s="171"/>
    </row>
    <row r="6212" spans="1:41" s="102" customFormat="1" ht="19.899999999999999" customHeight="1" x14ac:dyDescent="0.25">
      <c r="A6212" s="45"/>
      <c r="B6212" s="59"/>
      <c r="C6212" s="137"/>
      <c r="D6212" s="59"/>
      <c r="E6212" s="116"/>
      <c r="F6212" s="120"/>
      <c r="G6212" s="120"/>
      <c r="H6212" s="120"/>
      <c r="I6212" s="60"/>
      <c r="J6212" s="116"/>
      <c r="K6212" s="213"/>
      <c r="L6212" s="120"/>
      <c r="M6212" s="120"/>
      <c r="N6212" s="167"/>
      <c r="O6212" s="120"/>
      <c r="P6212" s="120"/>
      <c r="Q6212" s="120"/>
      <c r="R6212" s="120"/>
      <c r="S6212" s="120"/>
      <c r="T6212" s="221"/>
      <c r="U6212" s="89"/>
      <c r="V6212" s="61"/>
      <c r="W6212" s="92" t="s">
        <v>65</v>
      </c>
      <c r="X6212" s="93" t="s">
        <v>30</v>
      </c>
      <c r="Y6212" s="93" t="s">
        <v>1011</v>
      </c>
      <c r="Z6212" s="134">
        <f>VLOOKUP(W6212,Sheet2!$B:$D,3,FALSE)</f>
        <v>1.76</v>
      </c>
      <c r="AA6212" s="93">
        <f>AA6211/10</f>
        <v>10</v>
      </c>
      <c r="AB6212" s="93">
        <f>AD6212/AC6208</f>
        <v>0.17599999999999999</v>
      </c>
      <c r="AC6212" s="93">
        <f>AC6208/AA6212</f>
        <v>67.5</v>
      </c>
      <c r="AD6212" s="94">
        <f t="shared" ref="AD6212" si="4336">AC6212*Z6212</f>
        <v>118.8</v>
      </c>
      <c r="AE6212" s="190"/>
      <c r="AF6212" s="191"/>
      <c r="AG6212" s="191"/>
      <c r="AH6212" s="191"/>
      <c r="AI6212" s="186"/>
      <c r="AK6212" s="171"/>
    </row>
    <row r="6213" spans="1:41" s="102" customFormat="1" ht="19.899999999999999" customHeight="1" x14ac:dyDescent="0.25">
      <c r="A6213" s="45"/>
      <c r="B6213" s="59"/>
      <c r="C6213" s="137"/>
      <c r="D6213" s="59"/>
      <c r="E6213" s="116"/>
      <c r="F6213" s="120"/>
      <c r="G6213" s="120"/>
      <c r="H6213" s="120"/>
      <c r="I6213" s="60"/>
      <c r="J6213" s="116"/>
      <c r="K6213" s="213"/>
      <c r="L6213" s="120"/>
      <c r="M6213" s="120"/>
      <c r="N6213" s="167"/>
      <c r="O6213" s="120"/>
      <c r="P6213" s="120"/>
      <c r="Q6213" s="120"/>
      <c r="R6213" s="120"/>
      <c r="S6213" s="120"/>
      <c r="T6213" s="221"/>
      <c r="U6213" s="89"/>
      <c r="V6213" s="61"/>
      <c r="W6213" s="92" t="s">
        <v>145</v>
      </c>
      <c r="X6213" s="93" t="s">
        <v>29</v>
      </c>
      <c r="Y6213" s="93" t="s">
        <v>93</v>
      </c>
      <c r="Z6213" s="134">
        <f>VLOOKUP(W6213,Sheet2!$B:$D,3,FALSE)</f>
        <v>40</v>
      </c>
      <c r="AA6213" s="93">
        <v>100</v>
      </c>
      <c r="AB6213" s="93">
        <f t="shared" ref="AB6213" si="4337">AD6213/AC6208</f>
        <v>0.4</v>
      </c>
      <c r="AC6213" s="93">
        <f>AC6208/AA6213</f>
        <v>6.75</v>
      </c>
      <c r="AD6213" s="94">
        <f t="shared" si="4335"/>
        <v>270</v>
      </c>
      <c r="AE6213" s="190"/>
      <c r="AF6213" s="191"/>
      <c r="AG6213" s="191"/>
      <c r="AH6213" s="191"/>
      <c r="AI6213" s="186"/>
      <c r="AK6213" s="171"/>
    </row>
    <row r="6214" spans="1:41" s="102" customFormat="1" ht="19.899999999999999" customHeight="1" x14ac:dyDescent="0.25">
      <c r="A6214" s="45"/>
      <c r="B6214" s="59"/>
      <c r="C6214" s="137"/>
      <c r="D6214" s="59"/>
      <c r="E6214" s="116"/>
      <c r="F6214" s="120"/>
      <c r="G6214" s="120"/>
      <c r="H6214" s="120"/>
      <c r="I6214" s="60"/>
      <c r="J6214" s="116"/>
      <c r="K6214" s="213"/>
      <c r="L6214" s="120"/>
      <c r="M6214" s="120"/>
      <c r="N6214" s="167"/>
      <c r="O6214" s="120"/>
      <c r="P6214" s="120"/>
      <c r="Q6214" s="120"/>
      <c r="R6214" s="120"/>
      <c r="S6214" s="120"/>
      <c r="T6214" s="221"/>
      <c r="U6214" s="89"/>
      <c r="V6214" s="61"/>
      <c r="W6214" s="92" t="s">
        <v>65</v>
      </c>
      <c r="X6214" s="93" t="s">
        <v>30</v>
      </c>
      <c r="Y6214" s="93" t="s">
        <v>1011</v>
      </c>
      <c r="Z6214" s="134">
        <f>VLOOKUP(W6214,Sheet2!$B:$D,3,FALSE)</f>
        <v>1.76</v>
      </c>
      <c r="AA6214" s="93">
        <f>AA6213/14</f>
        <v>7.1428571428571432</v>
      </c>
      <c r="AB6214" s="93">
        <f>AD6214/AC6208</f>
        <v>0.24639999999999998</v>
      </c>
      <c r="AC6214" s="93">
        <f>AC6208/AA6214</f>
        <v>94.5</v>
      </c>
      <c r="AD6214" s="94">
        <f t="shared" si="4335"/>
        <v>166.32</v>
      </c>
      <c r="AE6214" s="190"/>
      <c r="AF6214" s="191"/>
      <c r="AG6214" s="191"/>
      <c r="AH6214" s="191"/>
      <c r="AI6214" s="186"/>
      <c r="AK6214" s="171"/>
    </row>
    <row r="6215" spans="1:41" s="103" customFormat="1" ht="19.899999999999999" customHeight="1" x14ac:dyDescent="0.25">
      <c r="A6215" s="51"/>
      <c r="B6215" s="52"/>
      <c r="C6215" s="165"/>
      <c r="D6215" s="52"/>
      <c r="E6215" s="115"/>
      <c r="F6215" s="58"/>
      <c r="G6215" s="58"/>
      <c r="H6215" s="58"/>
      <c r="I6215" s="55"/>
      <c r="J6215" s="113">
        <f>J6207</f>
        <v>675</v>
      </c>
      <c r="K6215" s="212">
        <f>K6207</f>
        <v>675</v>
      </c>
      <c r="L6215" s="58"/>
      <c r="M6215" s="58">
        <f>K6215-L6215</f>
        <v>675</v>
      </c>
      <c r="N6215" s="166"/>
      <c r="O6215" s="58"/>
      <c r="P6215" s="58"/>
      <c r="Q6215" s="58"/>
      <c r="R6215" s="58"/>
      <c r="S6215" s="58"/>
      <c r="T6215" s="220"/>
      <c r="U6215" s="88"/>
      <c r="V6215" s="56"/>
      <c r="W6215" s="57" t="s">
        <v>1612</v>
      </c>
      <c r="X6215" s="53"/>
      <c r="Y6215" s="91" t="s">
        <v>64</v>
      </c>
      <c r="Z6215" s="136">
        <f>AD6215/AC6215</f>
        <v>50</v>
      </c>
      <c r="AA6215" s="58"/>
      <c r="AB6215" s="53">
        <f>AD6215/AC6215</f>
        <v>50</v>
      </c>
      <c r="AC6215" s="53">
        <f>M6215+$AE$10</f>
        <v>675</v>
      </c>
      <c r="AD6215" s="54">
        <f>SUM(AD6216:AD6219)</f>
        <v>33750</v>
      </c>
      <c r="AE6215" s="184">
        <f>SUMIFS($AD$37:$AD$12971,$V$37:$V$12971,$V6215,$X$37:$X$12971,AE$13)</f>
        <v>0</v>
      </c>
      <c r="AF6215" s="185">
        <f>SUMIFS($AD$37:$AD$12971,$V$37:$V$12971,$V6215,$X$37:$X$12971,AF$13)</f>
        <v>0</v>
      </c>
      <c r="AG6215" s="185">
        <f>SUMIFS($AD$37:$AD$12971,$V$37:$V$12971,$V6215,$X$37:$X$12971,AG$13)</f>
        <v>0</v>
      </c>
      <c r="AH6215" s="187">
        <f>SUMIFS($AD$37:$AD$12971,$V$37:$V$12971,$V6215,$X$37:$X$12971,AH$13)</f>
        <v>0</v>
      </c>
      <c r="AI6215" s="161">
        <f t="shared" ref="AI6215" si="4338">SUM(AE6215:AH6215)</f>
        <v>0</v>
      </c>
      <c r="AK6215" s="172"/>
    </row>
    <row r="6216" spans="1:41" s="102" customFormat="1" ht="19.899999999999999" customHeight="1" x14ac:dyDescent="0.25">
      <c r="A6216" s="45"/>
      <c r="B6216" s="59"/>
      <c r="C6216" s="137"/>
      <c r="D6216" s="59"/>
      <c r="E6216" s="116"/>
      <c r="F6216" s="120"/>
      <c r="G6216" s="120"/>
      <c r="H6216" s="120"/>
      <c r="I6216" s="60"/>
      <c r="J6216" s="116"/>
      <c r="K6216" s="213"/>
      <c r="L6216" s="120"/>
      <c r="M6216" s="120"/>
      <c r="N6216" s="167"/>
      <c r="O6216" s="120"/>
      <c r="P6216" s="120"/>
      <c r="Q6216" s="120"/>
      <c r="R6216" s="120"/>
      <c r="S6216" s="120"/>
      <c r="T6216" s="221"/>
      <c r="U6216" s="89"/>
      <c r="V6216" s="61"/>
      <c r="W6216" s="92" t="s">
        <v>103</v>
      </c>
      <c r="X6216" s="93" t="s">
        <v>29</v>
      </c>
      <c r="Y6216" s="93" t="s">
        <v>64</v>
      </c>
      <c r="Z6216" s="134">
        <f>VLOOKUP(W6216,Sheet2!$B:$D,3,FALSE)</f>
        <v>2</v>
      </c>
      <c r="AA6216" s="93">
        <v>1</v>
      </c>
      <c r="AB6216" s="93">
        <f>AD6216/AC6215</f>
        <v>2</v>
      </c>
      <c r="AC6216" s="93">
        <f>AC6215/AA6216</f>
        <v>675</v>
      </c>
      <c r="AD6216" s="94">
        <f t="shared" ref="AD6216:AD6217" si="4339">AC6216*Z6216</f>
        <v>1350</v>
      </c>
      <c r="AE6216" s="190"/>
      <c r="AF6216" s="191"/>
      <c r="AG6216" s="191"/>
      <c r="AH6216" s="191"/>
      <c r="AI6216" s="186"/>
      <c r="AK6216" s="171"/>
    </row>
    <row r="6217" spans="1:41" s="102" customFormat="1" ht="19.899999999999999" customHeight="1" x14ac:dyDescent="0.25">
      <c r="A6217" s="45"/>
      <c r="B6217" s="59"/>
      <c r="C6217" s="137"/>
      <c r="D6217" s="59"/>
      <c r="E6217" s="116"/>
      <c r="F6217" s="120"/>
      <c r="G6217" s="120"/>
      <c r="H6217" s="120"/>
      <c r="I6217" s="60"/>
      <c r="J6217" s="116"/>
      <c r="K6217" s="213"/>
      <c r="L6217" s="120"/>
      <c r="M6217" s="120"/>
      <c r="N6217" s="167"/>
      <c r="O6217" s="120"/>
      <c r="P6217" s="120"/>
      <c r="Q6217" s="120"/>
      <c r="R6217" s="120"/>
      <c r="S6217" s="120"/>
      <c r="T6217" s="221"/>
      <c r="U6217" s="89"/>
      <c r="V6217" s="61"/>
      <c r="W6217" s="92" t="s">
        <v>1611</v>
      </c>
      <c r="X6217" s="93" t="s">
        <v>30</v>
      </c>
      <c r="Y6217" s="93" t="s">
        <v>66</v>
      </c>
      <c r="Z6217" s="134">
        <f>VLOOKUP(W6217,Sheet2!$B:$D,3,FALSE)</f>
        <v>30</v>
      </c>
      <c r="AA6217" s="93">
        <v>10</v>
      </c>
      <c r="AB6217" s="93">
        <f>AD6217/AC6215</f>
        <v>3</v>
      </c>
      <c r="AC6217" s="93">
        <f>AC6215/AA6217</f>
        <v>67.5</v>
      </c>
      <c r="AD6217" s="94">
        <f t="shared" si="4339"/>
        <v>2025</v>
      </c>
      <c r="AE6217" s="190"/>
      <c r="AF6217" s="191"/>
      <c r="AG6217" s="191"/>
      <c r="AH6217" s="191"/>
      <c r="AI6217" s="186"/>
      <c r="AK6217" s="171"/>
    </row>
    <row r="6218" spans="1:41" s="102" customFormat="1" ht="19.899999999999999" customHeight="1" x14ac:dyDescent="0.25">
      <c r="A6218" s="45"/>
      <c r="B6218" s="59"/>
      <c r="C6218" s="137"/>
      <c r="D6218" s="59"/>
      <c r="E6218" s="116"/>
      <c r="F6218" s="120"/>
      <c r="G6218" s="120"/>
      <c r="H6218" s="120"/>
      <c r="I6218" s="60"/>
      <c r="J6218" s="116"/>
      <c r="K6218" s="213"/>
      <c r="L6218" s="120"/>
      <c r="M6218" s="120"/>
      <c r="N6218" s="167"/>
      <c r="O6218" s="120"/>
      <c r="P6218" s="120"/>
      <c r="Q6218" s="120"/>
      <c r="R6218" s="120"/>
      <c r="S6218" s="120"/>
      <c r="T6218" s="221"/>
      <c r="U6218" s="89"/>
      <c r="V6218" s="61"/>
      <c r="W6218" s="92" t="s">
        <v>1609</v>
      </c>
      <c r="X6218" s="93" t="s">
        <v>30</v>
      </c>
      <c r="Y6218" s="93" t="s">
        <v>64</v>
      </c>
      <c r="Z6218" s="134">
        <f>VLOOKUP(W6218,Sheet2!$B:$D,3,FALSE)</f>
        <v>25</v>
      </c>
      <c r="AA6218" s="93">
        <v>1</v>
      </c>
      <c r="AB6218" s="93">
        <f>AD6218/AC6215</f>
        <v>25</v>
      </c>
      <c r="AC6218" s="93">
        <f>AC6215/AA6218</f>
        <v>675</v>
      </c>
      <c r="AD6218" s="94">
        <f>AC6218*Z6218</f>
        <v>16875</v>
      </c>
      <c r="AE6218" s="190"/>
      <c r="AF6218" s="191"/>
      <c r="AG6218" s="191"/>
      <c r="AH6218" s="191"/>
      <c r="AI6218" s="186"/>
      <c r="AK6218" s="171"/>
    </row>
    <row r="6219" spans="1:41" s="102" customFormat="1" ht="19.899999999999999" customHeight="1" x14ac:dyDescent="0.25">
      <c r="A6219" s="45"/>
      <c r="B6219" s="59"/>
      <c r="C6219" s="137"/>
      <c r="D6219" s="59"/>
      <c r="E6219" s="116"/>
      <c r="F6219" s="120"/>
      <c r="G6219" s="120"/>
      <c r="H6219" s="120"/>
      <c r="I6219" s="60"/>
      <c r="J6219" s="116"/>
      <c r="K6219" s="213"/>
      <c r="L6219" s="120"/>
      <c r="M6219" s="120"/>
      <c r="N6219" s="167"/>
      <c r="O6219" s="120"/>
      <c r="P6219" s="120"/>
      <c r="Q6219" s="120"/>
      <c r="R6219" s="120"/>
      <c r="S6219" s="120"/>
      <c r="T6219" s="221"/>
      <c r="U6219" s="89"/>
      <c r="V6219" s="61"/>
      <c r="W6219" s="92" t="s">
        <v>1610</v>
      </c>
      <c r="X6219" s="93" t="s">
        <v>32</v>
      </c>
      <c r="Y6219" s="93" t="s">
        <v>64</v>
      </c>
      <c r="Z6219" s="134">
        <f>VLOOKUP(W6219,Sheet2!$B:$D,3,FALSE)</f>
        <v>20</v>
      </c>
      <c r="AA6219" s="93">
        <v>1</v>
      </c>
      <c r="AB6219" s="93">
        <f>AD6219/AC6215</f>
        <v>20</v>
      </c>
      <c r="AC6219" s="93">
        <f>AC6215/AA6219</f>
        <v>675</v>
      </c>
      <c r="AD6219" s="94">
        <f>AC6219*Z6219</f>
        <v>13500</v>
      </c>
      <c r="AE6219" s="190"/>
      <c r="AF6219" s="191"/>
      <c r="AG6219" s="191"/>
      <c r="AH6219" s="191"/>
      <c r="AI6219" s="186"/>
      <c r="AK6219" s="171"/>
    </row>
    <row r="6220" spans="1:41" ht="20.100000000000001" customHeight="1" x14ac:dyDescent="0.25">
      <c r="A6220" s="277" t="s">
        <v>491</v>
      </c>
      <c r="B6220" s="278"/>
      <c r="C6220" s="64" t="s">
        <v>675</v>
      </c>
      <c r="D6220" s="46" t="s">
        <v>196</v>
      </c>
      <c r="E6220" s="114">
        <v>45</v>
      </c>
      <c r="F6220" s="44">
        <v>86</v>
      </c>
      <c r="G6220" s="44">
        <f t="shared" si="3841"/>
        <v>3870</v>
      </c>
      <c r="H6220" s="44">
        <f t="shared" si="3842"/>
        <v>54.382400000000004</v>
      </c>
      <c r="I6220" s="43">
        <f t="shared" si="3843"/>
        <v>2447.2080000000001</v>
      </c>
      <c r="J6220" s="112">
        <f t="shared" si="3844"/>
        <v>45</v>
      </c>
      <c r="K6220" s="211">
        <f t="shared" si="3845"/>
        <v>45</v>
      </c>
      <c r="L6220" s="44"/>
      <c r="M6220" s="44">
        <f t="shared" si="3846"/>
        <v>45</v>
      </c>
      <c r="N6220" s="173">
        <f t="shared" si="3847"/>
        <v>1</v>
      </c>
      <c r="O6220" s="44">
        <f t="shared" si="3848"/>
        <v>86</v>
      </c>
      <c r="P6220" s="44">
        <f t="shared" si="3849"/>
        <v>3870</v>
      </c>
      <c r="Q6220" s="44">
        <f t="shared" si="3850"/>
        <v>54.382400000000004</v>
      </c>
      <c r="R6220" s="44">
        <f t="shared" si="3851"/>
        <v>2447.2080000000001</v>
      </c>
      <c r="S6220" s="123"/>
      <c r="T6220" s="219">
        <f t="shared" si="3852"/>
        <v>2447.2080000000001</v>
      </c>
      <c r="U6220" s="87"/>
      <c r="V6220" s="47"/>
      <c r="W6220" s="48"/>
      <c r="X6220" s="48"/>
      <c r="Y6220" s="48"/>
      <c r="Z6220" s="135"/>
      <c r="AA6220" s="49"/>
      <c r="AB6220" s="50">
        <f t="shared" si="3853"/>
        <v>54.382400000000004</v>
      </c>
      <c r="AC6220" s="42">
        <f t="shared" si="3854"/>
        <v>45</v>
      </c>
      <c r="AD6220" s="90">
        <f>AD6221+AD6228</f>
        <v>2447.2080000000001</v>
      </c>
      <c r="AE6220" s="188">
        <f t="shared" ref="AE6220" si="4340">AE6221+AE6228</f>
        <v>0</v>
      </c>
      <c r="AF6220" s="189">
        <f t="shared" ref="AF6220" si="4341">AF6221+AF6228</f>
        <v>0</v>
      </c>
      <c r="AG6220" s="189">
        <f t="shared" ref="AG6220" si="4342">AG6221+AG6228</f>
        <v>0</v>
      </c>
      <c r="AH6220" s="189">
        <f t="shared" ref="AH6220" si="4343">AH6221+AH6228</f>
        <v>0</v>
      </c>
      <c r="AI6220" s="161">
        <f t="shared" ref="AI6220:AI6221" si="4344">SUM(AE6220:AH6220)</f>
        <v>0</v>
      </c>
      <c r="AK6220" s="169">
        <v>5</v>
      </c>
      <c r="AO6220" s="19" t="s">
        <v>63</v>
      </c>
    </row>
    <row r="6221" spans="1:41" s="103" customFormat="1" ht="19.899999999999999" customHeight="1" x14ac:dyDescent="0.25">
      <c r="A6221" s="51"/>
      <c r="B6221" s="52"/>
      <c r="C6221" s="165"/>
      <c r="D6221" s="52"/>
      <c r="E6221" s="115"/>
      <c r="F6221" s="58"/>
      <c r="G6221" s="58"/>
      <c r="H6221" s="58"/>
      <c r="I6221" s="55"/>
      <c r="J6221" s="113">
        <f>J6220</f>
        <v>45</v>
      </c>
      <c r="K6221" s="212">
        <f>K6220</f>
        <v>45</v>
      </c>
      <c r="L6221" s="58"/>
      <c r="M6221" s="58">
        <f>K6221-L6221</f>
        <v>45</v>
      </c>
      <c r="N6221" s="166"/>
      <c r="O6221" s="58"/>
      <c r="P6221" s="58"/>
      <c r="Q6221" s="58"/>
      <c r="R6221" s="58"/>
      <c r="S6221" s="58"/>
      <c r="T6221" s="220"/>
      <c r="U6221" s="88"/>
      <c r="V6221" s="56"/>
      <c r="W6221" s="57" t="s">
        <v>1608</v>
      </c>
      <c r="X6221" s="53"/>
      <c r="Y6221" s="91" t="s">
        <v>64</v>
      </c>
      <c r="Z6221" s="136">
        <f>AD6221/AC6221</f>
        <v>4.3823999999999996</v>
      </c>
      <c r="AA6221" s="58"/>
      <c r="AB6221" s="53">
        <f>AD6221/AC6221</f>
        <v>4.3823999999999996</v>
      </c>
      <c r="AC6221" s="53">
        <f>M6221+$AE$10</f>
        <v>45</v>
      </c>
      <c r="AD6221" s="54">
        <f>SUM(AD6222:AD6227)</f>
        <v>197.20799999999997</v>
      </c>
      <c r="AE6221" s="184">
        <f>SUMIFS($AD$37:$AD$12971,$V$37:$V$12971,$V6221,$X$37:$X$12971,AE$13)</f>
        <v>0</v>
      </c>
      <c r="AF6221" s="185">
        <f>SUMIFS($AD$37:$AD$12971,$V$37:$V$12971,$V6221,$X$37:$X$12971,AF$13)</f>
        <v>0</v>
      </c>
      <c r="AG6221" s="185">
        <f>SUMIFS($AD$37:$AD$12971,$V$37:$V$12971,$V6221,$X$37:$X$12971,AG$13)</f>
        <v>0</v>
      </c>
      <c r="AH6221" s="187">
        <f>SUMIFS($AD$37:$AD$12971,$V$37:$V$12971,$V6221,$X$37:$X$12971,AH$13)</f>
        <v>0</v>
      </c>
      <c r="AI6221" s="161">
        <f t="shared" si="4344"/>
        <v>0</v>
      </c>
      <c r="AK6221" s="172"/>
    </row>
    <row r="6222" spans="1:41" s="102" customFormat="1" ht="19.899999999999999" customHeight="1" x14ac:dyDescent="0.25">
      <c r="A6222" s="45"/>
      <c r="B6222" s="59"/>
      <c r="C6222" s="137"/>
      <c r="D6222" s="59"/>
      <c r="E6222" s="116"/>
      <c r="F6222" s="120"/>
      <c r="G6222" s="120"/>
      <c r="H6222" s="120"/>
      <c r="I6222" s="60"/>
      <c r="J6222" s="116"/>
      <c r="K6222" s="213"/>
      <c r="L6222" s="120"/>
      <c r="M6222" s="120"/>
      <c r="N6222" s="167"/>
      <c r="O6222" s="120"/>
      <c r="P6222" s="120"/>
      <c r="Q6222" s="120"/>
      <c r="R6222" s="120"/>
      <c r="S6222" s="120"/>
      <c r="T6222" s="221"/>
      <c r="U6222" s="89"/>
      <c r="V6222" s="61"/>
      <c r="W6222" s="92" t="s">
        <v>160</v>
      </c>
      <c r="X6222" s="93" t="s">
        <v>29</v>
      </c>
      <c r="Y6222" s="93" t="s">
        <v>93</v>
      </c>
      <c r="Z6222" s="134">
        <f>VLOOKUP(W6222,Sheet2!$B:$D,3,FALSE)</f>
        <v>44</v>
      </c>
      <c r="AA6222" s="93">
        <v>20</v>
      </c>
      <c r="AB6222" s="93">
        <f>AD6222/AC6221</f>
        <v>2.2000000000000002</v>
      </c>
      <c r="AC6222" s="93">
        <f>AC6221/AA6222</f>
        <v>2.25</v>
      </c>
      <c r="AD6222" s="94">
        <f t="shared" ref="AD6222:AD6223" si="4345">AC6222*Z6222</f>
        <v>99</v>
      </c>
      <c r="AE6222" s="190"/>
      <c r="AF6222" s="191"/>
      <c r="AG6222" s="191"/>
      <c r="AH6222" s="191"/>
      <c r="AI6222" s="186"/>
      <c r="AK6222" s="171"/>
    </row>
    <row r="6223" spans="1:41" s="102" customFormat="1" ht="19.899999999999999" customHeight="1" x14ac:dyDescent="0.25">
      <c r="A6223" s="45"/>
      <c r="B6223" s="59"/>
      <c r="C6223" s="137"/>
      <c r="D6223" s="59"/>
      <c r="E6223" s="116"/>
      <c r="F6223" s="120"/>
      <c r="G6223" s="120"/>
      <c r="H6223" s="120"/>
      <c r="I6223" s="60"/>
      <c r="J6223" s="116"/>
      <c r="K6223" s="213"/>
      <c r="L6223" s="120"/>
      <c r="M6223" s="120"/>
      <c r="N6223" s="167"/>
      <c r="O6223" s="120"/>
      <c r="P6223" s="120"/>
      <c r="Q6223" s="120"/>
      <c r="R6223" s="120"/>
      <c r="S6223" s="120"/>
      <c r="T6223" s="221"/>
      <c r="U6223" s="89"/>
      <c r="V6223" s="61"/>
      <c r="W6223" s="92" t="s">
        <v>65</v>
      </c>
      <c r="X6223" s="93" t="s">
        <v>30</v>
      </c>
      <c r="Y6223" s="93" t="s">
        <v>1011</v>
      </c>
      <c r="Z6223" s="134">
        <f>VLOOKUP(W6223,Sheet2!$B:$D,3,FALSE)</f>
        <v>1.76</v>
      </c>
      <c r="AA6223" s="93">
        <f>AA6222/10</f>
        <v>2</v>
      </c>
      <c r="AB6223" s="93">
        <f>AD6223/AC6221</f>
        <v>0.88</v>
      </c>
      <c r="AC6223" s="93">
        <f>AC6221/AA6223</f>
        <v>22.5</v>
      </c>
      <c r="AD6223" s="94">
        <f t="shared" si="4345"/>
        <v>39.6</v>
      </c>
      <c r="AE6223" s="190"/>
      <c r="AF6223" s="191"/>
      <c r="AG6223" s="191"/>
      <c r="AH6223" s="191"/>
      <c r="AI6223" s="186"/>
      <c r="AK6223" s="171"/>
    </row>
    <row r="6224" spans="1:41" s="102" customFormat="1" ht="19.899999999999999" customHeight="1" x14ac:dyDescent="0.25">
      <c r="A6224" s="45"/>
      <c r="B6224" s="59"/>
      <c r="C6224" s="137"/>
      <c r="D6224" s="59"/>
      <c r="E6224" s="116"/>
      <c r="F6224" s="120"/>
      <c r="G6224" s="120"/>
      <c r="H6224" s="120"/>
      <c r="I6224" s="60"/>
      <c r="J6224" s="116"/>
      <c r="K6224" s="213"/>
      <c r="L6224" s="120"/>
      <c r="M6224" s="120"/>
      <c r="N6224" s="167"/>
      <c r="O6224" s="120"/>
      <c r="P6224" s="120"/>
      <c r="Q6224" s="120"/>
      <c r="R6224" s="120"/>
      <c r="S6224" s="120"/>
      <c r="T6224" s="221"/>
      <c r="U6224" s="89"/>
      <c r="V6224" s="61"/>
      <c r="W6224" s="92" t="s">
        <v>148</v>
      </c>
      <c r="X6224" s="93" t="s">
        <v>29</v>
      </c>
      <c r="Y6224" s="93" t="s">
        <v>93</v>
      </c>
      <c r="Z6224" s="134">
        <f>VLOOKUP(W6224,Sheet2!$B:$D,3,FALSE)</f>
        <v>48</v>
      </c>
      <c r="AA6224" s="93">
        <v>100</v>
      </c>
      <c r="AB6224" s="93">
        <f>AD6224/AC6221</f>
        <v>0.48000000000000004</v>
      </c>
      <c r="AC6224" s="93">
        <f>AC6221/AA6224</f>
        <v>0.45</v>
      </c>
      <c r="AD6224" s="94">
        <f>AC6224*Z6224</f>
        <v>21.6</v>
      </c>
      <c r="AE6224" s="190"/>
      <c r="AF6224" s="191"/>
      <c r="AG6224" s="191"/>
      <c r="AH6224" s="191"/>
      <c r="AI6224" s="186"/>
      <c r="AK6224" s="171"/>
    </row>
    <row r="6225" spans="1:41" s="102" customFormat="1" ht="19.899999999999999" customHeight="1" x14ac:dyDescent="0.25">
      <c r="A6225" s="45"/>
      <c r="B6225" s="59"/>
      <c r="C6225" s="137"/>
      <c r="D6225" s="59"/>
      <c r="E6225" s="116"/>
      <c r="F6225" s="120"/>
      <c r="G6225" s="120"/>
      <c r="H6225" s="120"/>
      <c r="I6225" s="60"/>
      <c r="J6225" s="116"/>
      <c r="K6225" s="213"/>
      <c r="L6225" s="120"/>
      <c r="M6225" s="120"/>
      <c r="N6225" s="167"/>
      <c r="O6225" s="120"/>
      <c r="P6225" s="120"/>
      <c r="Q6225" s="120"/>
      <c r="R6225" s="120"/>
      <c r="S6225" s="120"/>
      <c r="T6225" s="221"/>
      <c r="U6225" s="89"/>
      <c r="V6225" s="61"/>
      <c r="W6225" s="92" t="s">
        <v>65</v>
      </c>
      <c r="X6225" s="93" t="s">
        <v>30</v>
      </c>
      <c r="Y6225" s="93" t="s">
        <v>1011</v>
      </c>
      <c r="Z6225" s="134">
        <f>VLOOKUP(W6225,Sheet2!$B:$D,3,FALSE)</f>
        <v>1.76</v>
      </c>
      <c r="AA6225" s="93">
        <f>AA6224/10</f>
        <v>10</v>
      </c>
      <c r="AB6225" s="93">
        <f>AD6225/AC6221</f>
        <v>0.17599999999999999</v>
      </c>
      <c r="AC6225" s="93">
        <f>AC6221/AA6225</f>
        <v>4.5</v>
      </c>
      <c r="AD6225" s="94">
        <f t="shared" ref="AD6225:AD6227" si="4346">AC6225*Z6225</f>
        <v>7.92</v>
      </c>
      <c r="AE6225" s="190"/>
      <c r="AF6225" s="191"/>
      <c r="AG6225" s="191"/>
      <c r="AH6225" s="191"/>
      <c r="AI6225" s="186"/>
      <c r="AK6225" s="171"/>
    </row>
    <row r="6226" spans="1:41" s="102" customFormat="1" ht="19.899999999999999" customHeight="1" x14ac:dyDescent="0.25">
      <c r="A6226" s="45"/>
      <c r="B6226" s="59"/>
      <c r="C6226" s="137"/>
      <c r="D6226" s="59"/>
      <c r="E6226" s="116"/>
      <c r="F6226" s="120"/>
      <c r="G6226" s="120"/>
      <c r="H6226" s="120"/>
      <c r="I6226" s="60"/>
      <c r="J6226" s="116"/>
      <c r="K6226" s="213"/>
      <c r="L6226" s="120"/>
      <c r="M6226" s="120"/>
      <c r="N6226" s="167"/>
      <c r="O6226" s="120"/>
      <c r="P6226" s="120"/>
      <c r="Q6226" s="120"/>
      <c r="R6226" s="120"/>
      <c r="S6226" s="120"/>
      <c r="T6226" s="221"/>
      <c r="U6226" s="89"/>
      <c r="V6226" s="61"/>
      <c r="W6226" s="92" t="s">
        <v>145</v>
      </c>
      <c r="X6226" s="93" t="s">
        <v>29</v>
      </c>
      <c r="Y6226" s="93" t="s">
        <v>93</v>
      </c>
      <c r="Z6226" s="134">
        <f>VLOOKUP(W6226,Sheet2!$B:$D,3,FALSE)</f>
        <v>40</v>
      </c>
      <c r="AA6226" s="93">
        <v>100</v>
      </c>
      <c r="AB6226" s="93">
        <f t="shared" ref="AB6226" si="4347">AD6226/AC6221</f>
        <v>0.4</v>
      </c>
      <c r="AC6226" s="93">
        <f>AC6221/AA6226</f>
        <v>0.45</v>
      </c>
      <c r="AD6226" s="94">
        <f t="shared" si="4346"/>
        <v>18</v>
      </c>
      <c r="AE6226" s="190"/>
      <c r="AF6226" s="191"/>
      <c r="AG6226" s="191"/>
      <c r="AH6226" s="191"/>
      <c r="AI6226" s="186"/>
      <c r="AK6226" s="171"/>
    </row>
    <row r="6227" spans="1:41" s="102" customFormat="1" ht="19.899999999999999" customHeight="1" x14ac:dyDescent="0.25">
      <c r="A6227" s="45"/>
      <c r="B6227" s="59"/>
      <c r="C6227" s="137"/>
      <c r="D6227" s="59"/>
      <c r="E6227" s="116"/>
      <c r="F6227" s="120"/>
      <c r="G6227" s="120"/>
      <c r="H6227" s="120"/>
      <c r="I6227" s="60"/>
      <c r="J6227" s="116"/>
      <c r="K6227" s="213"/>
      <c r="L6227" s="120"/>
      <c r="M6227" s="120"/>
      <c r="N6227" s="167"/>
      <c r="O6227" s="120"/>
      <c r="P6227" s="120"/>
      <c r="Q6227" s="120"/>
      <c r="R6227" s="120"/>
      <c r="S6227" s="120"/>
      <c r="T6227" s="221"/>
      <c r="U6227" s="89"/>
      <c r="V6227" s="61"/>
      <c r="W6227" s="92" t="s">
        <v>65</v>
      </c>
      <c r="X6227" s="93" t="s">
        <v>30</v>
      </c>
      <c r="Y6227" s="93" t="s">
        <v>1011</v>
      </c>
      <c r="Z6227" s="134">
        <f>VLOOKUP(W6227,Sheet2!$B:$D,3,FALSE)</f>
        <v>1.76</v>
      </c>
      <c r="AA6227" s="93">
        <f>AA6226/14</f>
        <v>7.1428571428571432</v>
      </c>
      <c r="AB6227" s="93">
        <f>AD6227/AC6221</f>
        <v>0.24639999999999998</v>
      </c>
      <c r="AC6227" s="93">
        <f>AC6221/AA6227</f>
        <v>6.3</v>
      </c>
      <c r="AD6227" s="94">
        <f t="shared" si="4346"/>
        <v>11.087999999999999</v>
      </c>
      <c r="AE6227" s="190"/>
      <c r="AF6227" s="191"/>
      <c r="AG6227" s="191"/>
      <c r="AH6227" s="191"/>
      <c r="AI6227" s="186"/>
      <c r="AK6227" s="171"/>
    </row>
    <row r="6228" spans="1:41" s="103" customFormat="1" ht="19.899999999999999" customHeight="1" x14ac:dyDescent="0.25">
      <c r="A6228" s="51"/>
      <c r="B6228" s="52"/>
      <c r="C6228" s="165"/>
      <c r="D6228" s="52"/>
      <c r="E6228" s="115"/>
      <c r="F6228" s="58"/>
      <c r="G6228" s="58"/>
      <c r="H6228" s="58"/>
      <c r="I6228" s="55"/>
      <c r="J6228" s="113">
        <f>J6220</f>
        <v>45</v>
      </c>
      <c r="K6228" s="212">
        <f>K6220</f>
        <v>45</v>
      </c>
      <c r="L6228" s="58"/>
      <c r="M6228" s="58">
        <f>K6228-L6228</f>
        <v>45</v>
      </c>
      <c r="N6228" s="166"/>
      <c r="O6228" s="58"/>
      <c r="P6228" s="58"/>
      <c r="Q6228" s="58"/>
      <c r="R6228" s="58"/>
      <c r="S6228" s="58"/>
      <c r="T6228" s="220"/>
      <c r="U6228" s="88"/>
      <c r="V6228" s="56"/>
      <c r="W6228" s="57" t="s">
        <v>1612</v>
      </c>
      <c r="X6228" s="53"/>
      <c r="Y6228" s="91" t="s">
        <v>64</v>
      </c>
      <c r="Z6228" s="136">
        <f>AD6228/AC6228</f>
        <v>50</v>
      </c>
      <c r="AA6228" s="58"/>
      <c r="AB6228" s="53">
        <f>AD6228/AC6228</f>
        <v>50</v>
      </c>
      <c r="AC6228" s="53">
        <f>M6228+$AE$10</f>
        <v>45</v>
      </c>
      <c r="AD6228" s="54">
        <f>SUM(AD6229:AD6232)</f>
        <v>2250</v>
      </c>
      <c r="AE6228" s="184">
        <f>SUMIFS($AD$37:$AD$12971,$V$37:$V$12971,$V6228,$X$37:$X$12971,AE$13)</f>
        <v>0</v>
      </c>
      <c r="AF6228" s="185">
        <f>SUMIFS($AD$37:$AD$12971,$V$37:$V$12971,$V6228,$X$37:$X$12971,AF$13)</f>
        <v>0</v>
      </c>
      <c r="AG6228" s="185">
        <f>SUMIFS($AD$37:$AD$12971,$V$37:$V$12971,$V6228,$X$37:$X$12971,AG$13)</f>
        <v>0</v>
      </c>
      <c r="AH6228" s="187">
        <f>SUMIFS($AD$37:$AD$12971,$V$37:$V$12971,$V6228,$X$37:$X$12971,AH$13)</f>
        <v>0</v>
      </c>
      <c r="AI6228" s="161">
        <f t="shared" ref="AI6228" si="4348">SUM(AE6228:AH6228)</f>
        <v>0</v>
      </c>
      <c r="AK6228" s="172"/>
    </row>
    <row r="6229" spans="1:41" s="102" customFormat="1" ht="19.899999999999999" customHeight="1" x14ac:dyDescent="0.25">
      <c r="A6229" s="45"/>
      <c r="B6229" s="59"/>
      <c r="C6229" s="137"/>
      <c r="D6229" s="59"/>
      <c r="E6229" s="116"/>
      <c r="F6229" s="120"/>
      <c r="G6229" s="120"/>
      <c r="H6229" s="120"/>
      <c r="I6229" s="60"/>
      <c r="J6229" s="116"/>
      <c r="K6229" s="213"/>
      <c r="L6229" s="120"/>
      <c r="M6229" s="120"/>
      <c r="N6229" s="167"/>
      <c r="O6229" s="120"/>
      <c r="P6229" s="120"/>
      <c r="Q6229" s="120"/>
      <c r="R6229" s="120"/>
      <c r="S6229" s="120"/>
      <c r="T6229" s="221"/>
      <c r="U6229" s="89"/>
      <c r="V6229" s="61"/>
      <c r="W6229" s="92" t="s">
        <v>103</v>
      </c>
      <c r="X6229" s="93" t="s">
        <v>30</v>
      </c>
      <c r="Y6229" s="93" t="s">
        <v>64</v>
      </c>
      <c r="Z6229" s="134">
        <f>VLOOKUP(W6229,Sheet2!$B:$D,3,FALSE)</f>
        <v>2</v>
      </c>
      <c r="AA6229" s="93">
        <v>1</v>
      </c>
      <c r="AB6229" s="93">
        <f>AD6229/AC6228</f>
        <v>2</v>
      </c>
      <c r="AC6229" s="93">
        <f>AC6228/AA6229</f>
        <v>45</v>
      </c>
      <c r="AD6229" s="94">
        <f t="shared" ref="AD6229:AD6230" si="4349">AC6229*Z6229</f>
        <v>90</v>
      </c>
      <c r="AE6229" s="190"/>
      <c r="AF6229" s="191"/>
      <c r="AG6229" s="191"/>
      <c r="AH6229" s="191"/>
      <c r="AI6229" s="186"/>
      <c r="AK6229" s="171"/>
    </row>
    <row r="6230" spans="1:41" s="102" customFormat="1" ht="19.899999999999999" customHeight="1" x14ac:dyDescent="0.25">
      <c r="A6230" s="45"/>
      <c r="B6230" s="59"/>
      <c r="C6230" s="137"/>
      <c r="D6230" s="59"/>
      <c r="E6230" s="116"/>
      <c r="F6230" s="120"/>
      <c r="G6230" s="120"/>
      <c r="H6230" s="120"/>
      <c r="I6230" s="60"/>
      <c r="J6230" s="116"/>
      <c r="K6230" s="213"/>
      <c r="L6230" s="120"/>
      <c r="M6230" s="120"/>
      <c r="N6230" s="167"/>
      <c r="O6230" s="120"/>
      <c r="P6230" s="120"/>
      <c r="Q6230" s="120"/>
      <c r="R6230" s="120"/>
      <c r="S6230" s="120"/>
      <c r="T6230" s="221"/>
      <c r="U6230" s="89"/>
      <c r="V6230" s="61"/>
      <c r="W6230" s="92" t="s">
        <v>1611</v>
      </c>
      <c r="X6230" s="93" t="s">
        <v>30</v>
      </c>
      <c r="Y6230" s="93" t="s">
        <v>66</v>
      </c>
      <c r="Z6230" s="134">
        <f>VLOOKUP(W6230,Sheet2!$B:$D,3,FALSE)</f>
        <v>30</v>
      </c>
      <c r="AA6230" s="93">
        <v>10</v>
      </c>
      <c r="AB6230" s="93">
        <f>AD6230/AC6228</f>
        <v>3</v>
      </c>
      <c r="AC6230" s="93">
        <f>AC6228/AA6230</f>
        <v>4.5</v>
      </c>
      <c r="AD6230" s="94">
        <f t="shared" si="4349"/>
        <v>135</v>
      </c>
      <c r="AE6230" s="190"/>
      <c r="AF6230" s="191"/>
      <c r="AG6230" s="191"/>
      <c r="AH6230" s="191"/>
      <c r="AI6230" s="186"/>
      <c r="AK6230" s="171"/>
    </row>
    <row r="6231" spans="1:41" s="102" customFormat="1" ht="19.899999999999999" customHeight="1" x14ac:dyDescent="0.25">
      <c r="A6231" s="45"/>
      <c r="B6231" s="59"/>
      <c r="C6231" s="137"/>
      <c r="D6231" s="59"/>
      <c r="E6231" s="116"/>
      <c r="F6231" s="120"/>
      <c r="G6231" s="120"/>
      <c r="H6231" s="120"/>
      <c r="I6231" s="60"/>
      <c r="J6231" s="116"/>
      <c r="K6231" s="213"/>
      <c r="L6231" s="120"/>
      <c r="M6231" s="120"/>
      <c r="N6231" s="167"/>
      <c r="O6231" s="120"/>
      <c r="P6231" s="120"/>
      <c r="Q6231" s="120"/>
      <c r="R6231" s="120"/>
      <c r="S6231" s="120"/>
      <c r="T6231" s="221"/>
      <c r="U6231" s="89"/>
      <c r="V6231" s="61"/>
      <c r="W6231" s="92" t="s">
        <v>1609</v>
      </c>
      <c r="X6231" s="93" t="s">
        <v>30</v>
      </c>
      <c r="Y6231" s="93" t="s">
        <v>64</v>
      </c>
      <c r="Z6231" s="134">
        <f>VLOOKUP(W6231,Sheet2!$B:$D,3,FALSE)</f>
        <v>25</v>
      </c>
      <c r="AA6231" s="93">
        <v>1</v>
      </c>
      <c r="AB6231" s="93">
        <f>AD6231/AC6228</f>
        <v>25</v>
      </c>
      <c r="AC6231" s="93">
        <f>AC6228/AA6231</f>
        <v>45</v>
      </c>
      <c r="AD6231" s="94">
        <f>AC6231*Z6231</f>
        <v>1125</v>
      </c>
      <c r="AE6231" s="190"/>
      <c r="AF6231" s="191"/>
      <c r="AG6231" s="191"/>
      <c r="AH6231" s="191"/>
      <c r="AI6231" s="186"/>
      <c r="AK6231" s="171"/>
    </row>
    <row r="6232" spans="1:41" s="102" customFormat="1" ht="19.899999999999999" customHeight="1" x14ac:dyDescent="0.25">
      <c r="A6232" s="45"/>
      <c r="B6232" s="59"/>
      <c r="C6232" s="137"/>
      <c r="D6232" s="59"/>
      <c r="E6232" s="116"/>
      <c r="F6232" s="120"/>
      <c r="G6232" s="120"/>
      <c r="H6232" s="120"/>
      <c r="I6232" s="60"/>
      <c r="J6232" s="116"/>
      <c r="K6232" s="213"/>
      <c r="L6232" s="120"/>
      <c r="M6232" s="120"/>
      <c r="N6232" s="167"/>
      <c r="O6232" s="120"/>
      <c r="P6232" s="120"/>
      <c r="Q6232" s="120"/>
      <c r="R6232" s="120"/>
      <c r="S6232" s="120"/>
      <c r="T6232" s="221"/>
      <c r="U6232" s="89"/>
      <c r="V6232" s="61"/>
      <c r="W6232" s="92" t="s">
        <v>1610</v>
      </c>
      <c r="X6232" s="93" t="s">
        <v>32</v>
      </c>
      <c r="Y6232" s="93" t="s">
        <v>64</v>
      </c>
      <c r="Z6232" s="134">
        <f>VLOOKUP(W6232,Sheet2!$B:$D,3,FALSE)</f>
        <v>20</v>
      </c>
      <c r="AA6232" s="93">
        <v>1</v>
      </c>
      <c r="AB6232" s="93">
        <f>AD6232/AC6228</f>
        <v>20</v>
      </c>
      <c r="AC6232" s="93">
        <f>AC6228/AA6232</f>
        <v>45</v>
      </c>
      <c r="AD6232" s="94">
        <f>AC6232*Z6232</f>
        <v>900</v>
      </c>
      <c r="AE6232" s="190"/>
      <c r="AF6232" s="191"/>
      <c r="AG6232" s="191"/>
      <c r="AH6232" s="191"/>
      <c r="AI6232" s="186"/>
      <c r="AK6232" s="171"/>
    </row>
    <row r="6233" spans="1:41" s="102" customFormat="1" ht="20.100000000000001" customHeight="1" x14ac:dyDescent="0.25">
      <c r="A6233" s="45" t="s">
        <v>491</v>
      </c>
      <c r="B6233" s="276"/>
      <c r="C6233" s="285" t="s">
        <v>676</v>
      </c>
      <c r="D6233" s="59"/>
      <c r="E6233" s="116"/>
      <c r="F6233" s="120"/>
      <c r="G6233" s="120">
        <f t="shared" si="3841"/>
        <v>0</v>
      </c>
      <c r="H6233" s="120">
        <f t="shared" si="3842"/>
        <v>0</v>
      </c>
      <c r="I6233" s="60">
        <f t="shared" si="3843"/>
        <v>0</v>
      </c>
      <c r="J6233" s="116">
        <f t="shared" si="3844"/>
        <v>0</v>
      </c>
      <c r="K6233" s="213">
        <f t="shared" si="3845"/>
        <v>0</v>
      </c>
      <c r="L6233" s="120"/>
      <c r="M6233" s="120">
        <f t="shared" si="3846"/>
        <v>0</v>
      </c>
      <c r="N6233" s="167">
        <f t="shared" si="3847"/>
        <v>0</v>
      </c>
      <c r="O6233" s="120">
        <f t="shared" si="3848"/>
        <v>0</v>
      </c>
      <c r="P6233" s="120">
        <f t="shared" si="3849"/>
        <v>0</v>
      </c>
      <c r="Q6233" s="120">
        <f t="shared" si="3850"/>
        <v>0</v>
      </c>
      <c r="R6233" s="120">
        <f t="shared" si="3851"/>
        <v>0</v>
      </c>
      <c r="S6233" s="120"/>
      <c r="T6233" s="221">
        <f t="shared" si="3852"/>
        <v>0</v>
      </c>
      <c r="U6233" s="89"/>
      <c r="V6233" s="61"/>
      <c r="W6233" s="92"/>
      <c r="X6233" s="38"/>
      <c r="Y6233" s="93"/>
      <c r="Z6233" s="134"/>
      <c r="AA6233" s="93"/>
      <c r="AB6233" s="93"/>
      <c r="AC6233" s="93"/>
      <c r="AD6233" s="94"/>
      <c r="AE6233" s="190"/>
      <c r="AF6233" s="191"/>
      <c r="AG6233" s="191"/>
      <c r="AH6233" s="191"/>
      <c r="AI6233" s="186"/>
      <c r="AK6233" s="171"/>
    </row>
    <row r="6234" spans="1:41" s="102" customFormat="1" ht="94.5" x14ac:dyDescent="0.25">
      <c r="A6234" s="45" t="s">
        <v>491</v>
      </c>
      <c r="B6234" s="276"/>
      <c r="C6234" s="285" t="s">
        <v>677</v>
      </c>
      <c r="D6234" s="59"/>
      <c r="E6234" s="116"/>
      <c r="F6234" s="120"/>
      <c r="G6234" s="120">
        <f t="shared" si="3841"/>
        <v>0</v>
      </c>
      <c r="H6234" s="120">
        <f t="shared" si="3842"/>
        <v>0</v>
      </c>
      <c r="I6234" s="60">
        <f t="shared" si="3843"/>
        <v>0</v>
      </c>
      <c r="J6234" s="116">
        <f t="shared" si="3844"/>
        <v>0</v>
      </c>
      <c r="K6234" s="213">
        <f t="shared" si="3845"/>
        <v>0</v>
      </c>
      <c r="L6234" s="120"/>
      <c r="M6234" s="120">
        <f t="shared" si="3846"/>
        <v>0</v>
      </c>
      <c r="N6234" s="167">
        <f t="shared" si="3847"/>
        <v>0</v>
      </c>
      <c r="O6234" s="120">
        <f t="shared" si="3848"/>
        <v>0</v>
      </c>
      <c r="P6234" s="120">
        <f t="shared" si="3849"/>
        <v>0</v>
      </c>
      <c r="Q6234" s="120">
        <f t="shared" si="3850"/>
        <v>0</v>
      </c>
      <c r="R6234" s="120">
        <f t="shared" si="3851"/>
        <v>0</v>
      </c>
      <c r="S6234" s="120"/>
      <c r="T6234" s="221">
        <f t="shared" si="3852"/>
        <v>0</v>
      </c>
      <c r="U6234" s="89"/>
      <c r="V6234" s="61"/>
      <c r="W6234" s="92"/>
      <c r="X6234" s="38"/>
      <c r="Y6234" s="93"/>
      <c r="Z6234" s="134"/>
      <c r="AA6234" s="93"/>
      <c r="AB6234" s="93"/>
      <c r="AC6234" s="93"/>
      <c r="AD6234" s="94"/>
      <c r="AE6234" s="190"/>
      <c r="AF6234" s="191"/>
      <c r="AG6234" s="191"/>
      <c r="AH6234" s="191"/>
      <c r="AI6234" s="186"/>
      <c r="AK6234" s="171"/>
    </row>
    <row r="6235" spans="1:41" ht="25.5" x14ac:dyDescent="0.25">
      <c r="A6235" s="277" t="s">
        <v>491</v>
      </c>
      <c r="B6235" s="278"/>
      <c r="C6235" s="64" t="s">
        <v>678</v>
      </c>
      <c r="D6235" s="46" t="s">
        <v>97</v>
      </c>
      <c r="E6235" s="114">
        <v>45</v>
      </c>
      <c r="F6235" s="44">
        <v>189</v>
      </c>
      <c r="G6235" s="44">
        <f t="shared" si="3841"/>
        <v>8505</v>
      </c>
      <c r="H6235" s="44">
        <f t="shared" si="3842"/>
        <v>182.48333333333332</v>
      </c>
      <c r="I6235" s="43">
        <f t="shared" si="3843"/>
        <v>8211.75</v>
      </c>
      <c r="J6235" s="112">
        <f t="shared" si="3844"/>
        <v>45</v>
      </c>
      <c r="K6235" s="211">
        <f t="shared" si="3845"/>
        <v>45</v>
      </c>
      <c r="L6235" s="44"/>
      <c r="M6235" s="44">
        <f t="shared" si="3846"/>
        <v>45</v>
      </c>
      <c r="N6235" s="173">
        <f t="shared" si="3847"/>
        <v>1</v>
      </c>
      <c r="O6235" s="44">
        <f t="shared" si="3848"/>
        <v>189</v>
      </c>
      <c r="P6235" s="44">
        <f t="shared" si="3849"/>
        <v>8505</v>
      </c>
      <c r="Q6235" s="44">
        <f t="shared" si="3850"/>
        <v>182.48333333333332</v>
      </c>
      <c r="R6235" s="44">
        <f t="shared" si="3851"/>
        <v>8211.75</v>
      </c>
      <c r="S6235" s="123"/>
      <c r="T6235" s="219">
        <f t="shared" si="3852"/>
        <v>8211.75</v>
      </c>
      <c r="U6235" s="87"/>
      <c r="V6235" s="47"/>
      <c r="W6235" s="48"/>
      <c r="X6235" s="48"/>
      <c r="Y6235" s="48"/>
      <c r="Z6235" s="135"/>
      <c r="AA6235" s="49"/>
      <c r="AB6235" s="50">
        <f t="shared" si="3853"/>
        <v>182.48333333333332</v>
      </c>
      <c r="AC6235" s="42">
        <f t="shared" si="3854"/>
        <v>45</v>
      </c>
      <c r="AD6235" s="90">
        <f>AD6236+AD6239+AD6241</f>
        <v>8211.75</v>
      </c>
      <c r="AE6235" s="188">
        <f t="shared" ref="AE6235:AH6235" si="4350">AE6236+AE6239+AE6241</f>
        <v>0</v>
      </c>
      <c r="AF6235" s="189">
        <f t="shared" si="4350"/>
        <v>0</v>
      </c>
      <c r="AG6235" s="189">
        <f t="shared" si="4350"/>
        <v>0</v>
      </c>
      <c r="AH6235" s="189">
        <f t="shared" si="4350"/>
        <v>0</v>
      </c>
      <c r="AI6235" s="161">
        <f t="shared" ref="AI6235:AI6236" si="4351">SUM(AE6235:AH6235)</f>
        <v>0</v>
      </c>
      <c r="AK6235" s="169">
        <v>5</v>
      </c>
      <c r="AO6235" s="19" t="s">
        <v>63</v>
      </c>
    </row>
    <row r="6236" spans="1:41" s="103" customFormat="1" ht="19.899999999999999" customHeight="1" x14ac:dyDescent="0.25">
      <c r="A6236" s="51"/>
      <c r="B6236" s="52"/>
      <c r="C6236" s="165"/>
      <c r="D6236" s="52"/>
      <c r="E6236" s="115"/>
      <c r="F6236" s="58"/>
      <c r="G6236" s="58"/>
      <c r="H6236" s="58"/>
      <c r="I6236" s="55"/>
      <c r="J6236" s="113">
        <f>J6235</f>
        <v>45</v>
      </c>
      <c r="K6236" s="212">
        <f>K6235</f>
        <v>45</v>
      </c>
      <c r="L6236" s="58"/>
      <c r="M6236" s="58">
        <f>K6236-L6236</f>
        <v>45</v>
      </c>
      <c r="N6236" s="166"/>
      <c r="O6236" s="58"/>
      <c r="P6236" s="58"/>
      <c r="Q6236" s="58"/>
      <c r="R6236" s="58"/>
      <c r="S6236" s="58"/>
      <c r="T6236" s="220"/>
      <c r="U6236" s="88"/>
      <c r="V6236" s="56"/>
      <c r="W6236" s="57" t="s">
        <v>1613</v>
      </c>
      <c r="X6236" s="53"/>
      <c r="Y6236" s="91" t="s">
        <v>68</v>
      </c>
      <c r="Z6236" s="136">
        <f>AD6236/AC6236</f>
        <v>3.3</v>
      </c>
      <c r="AA6236" s="58"/>
      <c r="AB6236" s="53">
        <f>AD6236/AC6236</f>
        <v>3.3</v>
      </c>
      <c r="AC6236" s="53">
        <f>M6236+$AE$10</f>
        <v>45</v>
      </c>
      <c r="AD6236" s="54">
        <f>SUM(AD6237:AD6238)</f>
        <v>148.5</v>
      </c>
      <c r="AE6236" s="184">
        <f>SUMIFS($AD$37:$AD$12971,$V$37:$V$12971,$V6236,$X$37:$X$12971,AE$13)</f>
        <v>0</v>
      </c>
      <c r="AF6236" s="185">
        <f>SUMIFS($AD$37:$AD$12971,$V$37:$V$12971,$V6236,$X$37:$X$12971,AF$13)</f>
        <v>0</v>
      </c>
      <c r="AG6236" s="185">
        <f>SUMIFS($AD$37:$AD$12971,$V$37:$V$12971,$V6236,$X$37:$X$12971,AG$13)</f>
        <v>0</v>
      </c>
      <c r="AH6236" s="187">
        <f>SUMIFS($AD$37:$AD$12971,$V$37:$V$12971,$V6236,$X$37:$X$12971,AH$13)</f>
        <v>0</v>
      </c>
      <c r="AI6236" s="161">
        <f t="shared" si="4351"/>
        <v>0</v>
      </c>
      <c r="AK6236" s="172"/>
    </row>
    <row r="6237" spans="1:41" s="102" customFormat="1" ht="19.899999999999999" customHeight="1" x14ac:dyDescent="0.25">
      <c r="A6237" s="45"/>
      <c r="B6237" s="59"/>
      <c r="C6237" s="137"/>
      <c r="D6237" s="59"/>
      <c r="E6237" s="116"/>
      <c r="F6237" s="120"/>
      <c r="G6237" s="120"/>
      <c r="H6237" s="120"/>
      <c r="I6237" s="60"/>
      <c r="J6237" s="116"/>
      <c r="K6237" s="213"/>
      <c r="L6237" s="120"/>
      <c r="M6237" s="120"/>
      <c r="N6237" s="167"/>
      <c r="O6237" s="120"/>
      <c r="P6237" s="120"/>
      <c r="Q6237" s="120"/>
      <c r="R6237" s="120"/>
      <c r="S6237" s="120"/>
      <c r="T6237" s="221"/>
      <c r="U6237" s="89"/>
      <c r="V6237" s="61"/>
      <c r="W6237" s="92" t="s">
        <v>1614</v>
      </c>
      <c r="X6237" s="93" t="s">
        <v>29</v>
      </c>
      <c r="Y6237" s="93" t="s">
        <v>93</v>
      </c>
      <c r="Z6237" s="134">
        <f>VLOOKUP(W6237,Sheet2!$B:$D,3,FALSE)</f>
        <v>40</v>
      </c>
      <c r="AA6237" s="93">
        <v>20</v>
      </c>
      <c r="AB6237" s="93">
        <f>AD6237/AC6236</f>
        <v>2</v>
      </c>
      <c r="AC6237" s="93">
        <f>AC6236/AA6237</f>
        <v>2.25</v>
      </c>
      <c r="AD6237" s="94">
        <f t="shared" ref="AD6237:AD6238" si="4352">AC6237*Z6237</f>
        <v>90</v>
      </c>
      <c r="AE6237" s="190"/>
      <c r="AF6237" s="191"/>
      <c r="AG6237" s="191"/>
      <c r="AH6237" s="191"/>
      <c r="AI6237" s="186"/>
      <c r="AK6237" s="171"/>
    </row>
    <row r="6238" spans="1:41" s="102" customFormat="1" ht="19.899999999999999" customHeight="1" x14ac:dyDescent="0.25">
      <c r="A6238" s="45"/>
      <c r="B6238" s="59"/>
      <c r="C6238" s="137"/>
      <c r="D6238" s="59"/>
      <c r="E6238" s="116"/>
      <c r="F6238" s="120"/>
      <c r="G6238" s="120"/>
      <c r="H6238" s="120"/>
      <c r="I6238" s="60"/>
      <c r="J6238" s="116"/>
      <c r="K6238" s="213"/>
      <c r="L6238" s="120"/>
      <c r="M6238" s="120"/>
      <c r="N6238" s="167"/>
      <c r="O6238" s="120"/>
      <c r="P6238" s="120"/>
      <c r="Q6238" s="120"/>
      <c r="R6238" s="120"/>
      <c r="S6238" s="120"/>
      <c r="T6238" s="221"/>
      <c r="U6238" s="89"/>
      <c r="V6238" s="61"/>
      <c r="W6238" s="92" t="s">
        <v>112</v>
      </c>
      <c r="X6238" s="93" t="s">
        <v>31</v>
      </c>
      <c r="Y6238" s="93" t="s">
        <v>93</v>
      </c>
      <c r="Z6238" s="134">
        <f>VLOOKUP(W6238,Sheet2!$B:$D,3,FALSE)</f>
        <v>13</v>
      </c>
      <c r="AA6238" s="93">
        <v>10</v>
      </c>
      <c r="AB6238" s="93">
        <f>AD6238/AC6236</f>
        <v>1.3</v>
      </c>
      <c r="AC6238" s="93">
        <f>AC6236/AA6238</f>
        <v>4.5</v>
      </c>
      <c r="AD6238" s="94">
        <f t="shared" si="4352"/>
        <v>58.5</v>
      </c>
      <c r="AE6238" s="190"/>
      <c r="AF6238" s="191"/>
      <c r="AG6238" s="191"/>
      <c r="AH6238" s="191"/>
      <c r="AI6238" s="186"/>
      <c r="AK6238" s="171"/>
    </row>
    <row r="6239" spans="1:41" s="103" customFormat="1" ht="19.899999999999999" customHeight="1" x14ac:dyDescent="0.25">
      <c r="A6239" s="51"/>
      <c r="B6239" s="52"/>
      <c r="C6239" s="165"/>
      <c r="D6239" s="52"/>
      <c r="E6239" s="115"/>
      <c r="F6239" s="58"/>
      <c r="G6239" s="58"/>
      <c r="H6239" s="58"/>
      <c r="I6239" s="55"/>
      <c r="J6239" s="113">
        <f>J6235</f>
        <v>45</v>
      </c>
      <c r="K6239" s="212">
        <v>45</v>
      </c>
      <c r="L6239" s="58"/>
      <c r="M6239" s="58">
        <f>K6239-L6239</f>
        <v>45</v>
      </c>
      <c r="N6239" s="166"/>
      <c r="O6239" s="58"/>
      <c r="P6239" s="58"/>
      <c r="Q6239" s="58"/>
      <c r="R6239" s="58"/>
      <c r="S6239" s="58"/>
      <c r="T6239" s="220"/>
      <c r="U6239" s="88"/>
      <c r="V6239" s="56"/>
      <c r="W6239" s="57" t="s">
        <v>1615</v>
      </c>
      <c r="X6239" s="53"/>
      <c r="Y6239" s="91" t="s">
        <v>68</v>
      </c>
      <c r="Z6239" s="136">
        <f>AD6239/AC6239</f>
        <v>8.3333333333333339</v>
      </c>
      <c r="AA6239" s="58"/>
      <c r="AB6239" s="53">
        <f>AD6239/AC6239</f>
        <v>8.3333333333333339</v>
      </c>
      <c r="AC6239" s="53">
        <f>M6239+$AE$10</f>
        <v>45</v>
      </c>
      <c r="AD6239" s="54">
        <f>SUM(AD6240)</f>
        <v>375</v>
      </c>
      <c r="AE6239" s="184">
        <f>SUMIFS($AD$37:$AD$12971,$V$37:$V$12971,$V6239,$X$37:$X$12971,AE$13)</f>
        <v>0</v>
      </c>
      <c r="AF6239" s="185">
        <f>SUMIFS($AD$37:$AD$12971,$V$37:$V$12971,$V6239,$X$37:$X$12971,AF$13)</f>
        <v>0</v>
      </c>
      <c r="AG6239" s="185">
        <f>SUMIFS($AD$37:$AD$12971,$V$37:$V$12971,$V6239,$X$37:$X$12971,AG$13)</f>
        <v>0</v>
      </c>
      <c r="AH6239" s="187">
        <f>SUMIFS($AD$37:$AD$12971,$V$37:$V$12971,$V6239,$X$37:$X$12971,AH$13)</f>
        <v>0</v>
      </c>
      <c r="AI6239" s="161">
        <f t="shared" ref="AI6239" si="4353">SUM(AE6239:AH6239)</f>
        <v>0</v>
      </c>
      <c r="AK6239" s="172"/>
    </row>
    <row r="6240" spans="1:41" s="102" customFormat="1" ht="19.899999999999999" customHeight="1" x14ac:dyDescent="0.25">
      <c r="A6240" s="45"/>
      <c r="B6240" s="59"/>
      <c r="C6240" s="137"/>
      <c r="D6240" s="59"/>
      <c r="E6240" s="116"/>
      <c r="F6240" s="120"/>
      <c r="G6240" s="120"/>
      <c r="H6240" s="120"/>
      <c r="I6240" s="60"/>
      <c r="J6240" s="116"/>
      <c r="K6240" s="213"/>
      <c r="L6240" s="120"/>
      <c r="M6240" s="120"/>
      <c r="N6240" s="167"/>
      <c r="O6240" s="120"/>
      <c r="P6240" s="120"/>
      <c r="Q6240" s="120"/>
      <c r="R6240" s="120"/>
      <c r="S6240" s="120"/>
      <c r="T6240" s="221"/>
      <c r="U6240" s="89"/>
      <c r="V6240" s="61"/>
      <c r="W6240" s="92" t="s">
        <v>1032</v>
      </c>
      <c r="X6240" s="93" t="s">
        <v>30</v>
      </c>
      <c r="Y6240" s="93" t="s">
        <v>66</v>
      </c>
      <c r="Z6240" s="134">
        <f>VLOOKUP(W6240,Sheet2!$B:$D,3,FALSE)</f>
        <v>250</v>
      </c>
      <c r="AA6240" s="93">
        <v>30</v>
      </c>
      <c r="AB6240" s="93">
        <f>AD6240/AC6239</f>
        <v>8.3333333333333339</v>
      </c>
      <c r="AC6240" s="93">
        <f>AC6239/AA6240</f>
        <v>1.5</v>
      </c>
      <c r="AD6240" s="94">
        <f t="shared" ref="AD6240" si="4354">AC6240*Z6240</f>
        <v>375</v>
      </c>
      <c r="AE6240" s="190"/>
      <c r="AF6240" s="191"/>
      <c r="AG6240" s="191"/>
      <c r="AH6240" s="191"/>
      <c r="AI6240" s="186"/>
      <c r="AK6240" s="171"/>
    </row>
    <row r="6241" spans="1:41" s="103" customFormat="1" ht="19.899999999999999" customHeight="1" x14ac:dyDescent="0.25">
      <c r="A6241" s="51"/>
      <c r="B6241" s="52"/>
      <c r="C6241" s="165"/>
      <c r="D6241" s="52"/>
      <c r="E6241" s="115"/>
      <c r="F6241" s="58"/>
      <c r="G6241" s="58"/>
      <c r="H6241" s="58"/>
      <c r="I6241" s="55"/>
      <c r="J6241" s="113">
        <f>J6235</f>
        <v>45</v>
      </c>
      <c r="K6241" s="212">
        <v>45</v>
      </c>
      <c r="L6241" s="58"/>
      <c r="M6241" s="58">
        <f>K6241-L6241</f>
        <v>45</v>
      </c>
      <c r="N6241" s="166"/>
      <c r="O6241" s="58"/>
      <c r="P6241" s="58"/>
      <c r="Q6241" s="58"/>
      <c r="R6241" s="58"/>
      <c r="S6241" s="58"/>
      <c r="T6241" s="220"/>
      <c r="U6241" s="88"/>
      <c r="V6241" s="56"/>
      <c r="W6241" s="57" t="s">
        <v>1616</v>
      </c>
      <c r="X6241" s="53"/>
      <c r="Y6241" s="91" t="s">
        <v>68</v>
      </c>
      <c r="Z6241" s="136">
        <f>AD6241/AC6241</f>
        <v>170.85</v>
      </c>
      <c r="AA6241" s="58"/>
      <c r="AB6241" s="53">
        <f>AD6241/AC6241</f>
        <v>170.85</v>
      </c>
      <c r="AC6241" s="53">
        <f>M6241+$AE$10</f>
        <v>45</v>
      </c>
      <c r="AD6241" s="54">
        <f>SUM(AD6242:AD6244)</f>
        <v>7688.25</v>
      </c>
      <c r="AE6241" s="184">
        <f>SUMIFS($AD$37:$AD$12971,$V$37:$V$12971,$V6241,$X$37:$X$12971,AE$13)</f>
        <v>0</v>
      </c>
      <c r="AF6241" s="185">
        <f>SUMIFS($AD$37:$AD$12971,$V$37:$V$12971,$V6241,$X$37:$X$12971,AF$13)</f>
        <v>0</v>
      </c>
      <c r="AG6241" s="185">
        <f>SUMIFS($AD$37:$AD$12971,$V$37:$V$12971,$V6241,$X$37:$X$12971,AG$13)</f>
        <v>0</v>
      </c>
      <c r="AH6241" s="187">
        <f>SUMIFS($AD$37:$AD$12971,$V$37:$V$12971,$V6241,$X$37:$X$12971,AH$13)</f>
        <v>0</v>
      </c>
      <c r="AI6241" s="161">
        <f t="shared" ref="AI6241" si="4355">SUM(AE6241:AH6241)</f>
        <v>0</v>
      </c>
      <c r="AK6241" s="172"/>
    </row>
    <row r="6242" spans="1:41" s="102" customFormat="1" ht="19.899999999999999" customHeight="1" x14ac:dyDescent="0.25">
      <c r="A6242" s="45"/>
      <c r="B6242" s="59"/>
      <c r="C6242" s="137"/>
      <c r="D6242" s="59"/>
      <c r="E6242" s="116"/>
      <c r="F6242" s="120"/>
      <c r="G6242" s="120"/>
      <c r="H6242" s="120"/>
      <c r="I6242" s="60"/>
      <c r="J6242" s="116"/>
      <c r="K6242" s="213"/>
      <c r="L6242" s="120"/>
      <c r="M6242" s="120"/>
      <c r="N6242" s="167"/>
      <c r="O6242" s="120"/>
      <c r="P6242" s="120"/>
      <c r="Q6242" s="120"/>
      <c r="R6242" s="120"/>
      <c r="S6242" s="120"/>
      <c r="T6242" s="221"/>
      <c r="U6242" s="89"/>
      <c r="V6242" s="61"/>
      <c r="W6242" s="92" t="s">
        <v>1617</v>
      </c>
      <c r="X6242" s="93" t="s">
        <v>30</v>
      </c>
      <c r="Y6242" s="93" t="s">
        <v>68</v>
      </c>
      <c r="Z6242" s="134">
        <f>VLOOKUP(W6242,Sheet2!$B:$D,3,FALSE)</f>
        <v>150</v>
      </c>
      <c r="AA6242" s="93">
        <v>1</v>
      </c>
      <c r="AB6242" s="93">
        <f>AD6242/AC6241</f>
        <v>150</v>
      </c>
      <c r="AC6242" s="93">
        <f>AC6241/AA6242</f>
        <v>45</v>
      </c>
      <c r="AD6242" s="94">
        <f t="shared" ref="AD6242:AD6243" si="4356">AC6242*Z6242</f>
        <v>6750</v>
      </c>
      <c r="AE6242" s="190"/>
      <c r="AF6242" s="191"/>
      <c r="AG6242" s="191"/>
      <c r="AH6242" s="191"/>
      <c r="AI6242" s="186"/>
      <c r="AK6242" s="171"/>
    </row>
    <row r="6243" spans="1:41" s="102" customFormat="1" ht="19.899999999999999" customHeight="1" x14ac:dyDescent="0.25">
      <c r="A6243" s="45"/>
      <c r="B6243" s="59"/>
      <c r="C6243" s="137"/>
      <c r="D6243" s="59"/>
      <c r="E6243" s="116"/>
      <c r="F6243" s="120"/>
      <c r="G6243" s="120"/>
      <c r="H6243" s="120"/>
      <c r="I6243" s="60"/>
      <c r="J6243" s="116"/>
      <c r="K6243" s="213"/>
      <c r="L6243" s="120"/>
      <c r="M6243" s="120"/>
      <c r="N6243" s="167"/>
      <c r="O6243" s="120"/>
      <c r="P6243" s="120"/>
      <c r="Q6243" s="120"/>
      <c r="R6243" s="120"/>
      <c r="S6243" s="120"/>
      <c r="T6243" s="221"/>
      <c r="U6243" s="89"/>
      <c r="V6243" s="61"/>
      <c r="W6243" s="92" t="s">
        <v>1618</v>
      </c>
      <c r="X6243" s="93" t="s">
        <v>30</v>
      </c>
      <c r="Y6243" s="93" t="s">
        <v>68</v>
      </c>
      <c r="Z6243" s="134">
        <f>VLOOKUP(W6243,Sheet2!$B:$D,3,FALSE)</f>
        <v>20</v>
      </c>
      <c r="AA6243" s="93">
        <v>1</v>
      </c>
      <c r="AB6243" s="93">
        <f>AD6243/AC6241</f>
        <v>20</v>
      </c>
      <c r="AC6243" s="93">
        <f>AC6241/AA6243</f>
        <v>45</v>
      </c>
      <c r="AD6243" s="94">
        <f t="shared" si="4356"/>
        <v>900</v>
      </c>
      <c r="AE6243" s="190"/>
      <c r="AF6243" s="191"/>
      <c r="AG6243" s="191"/>
      <c r="AH6243" s="191"/>
      <c r="AI6243" s="186"/>
      <c r="AK6243" s="171"/>
    </row>
    <row r="6244" spans="1:41" s="102" customFormat="1" ht="19.899999999999999" customHeight="1" x14ac:dyDescent="0.25">
      <c r="A6244" s="45"/>
      <c r="B6244" s="59"/>
      <c r="C6244" s="137"/>
      <c r="D6244" s="59"/>
      <c r="E6244" s="116"/>
      <c r="F6244" s="120"/>
      <c r="G6244" s="120"/>
      <c r="H6244" s="120"/>
      <c r="I6244" s="60"/>
      <c r="J6244" s="116"/>
      <c r="K6244" s="213"/>
      <c r="L6244" s="120"/>
      <c r="M6244" s="120"/>
      <c r="N6244" s="167"/>
      <c r="O6244" s="120"/>
      <c r="P6244" s="120"/>
      <c r="Q6244" s="120"/>
      <c r="R6244" s="120"/>
      <c r="S6244" s="120"/>
      <c r="T6244" s="221"/>
      <c r="U6244" s="89"/>
      <c r="V6244" s="61"/>
      <c r="W6244" s="92" t="s">
        <v>1619</v>
      </c>
      <c r="X6244" s="93" t="s">
        <v>31</v>
      </c>
      <c r="Y6244" s="93" t="s">
        <v>93</v>
      </c>
      <c r="Z6244" s="134">
        <f>VLOOKUP(W6244,Sheet2!$B:$D,3,FALSE)</f>
        <v>17</v>
      </c>
      <c r="AA6244" s="93">
        <v>20</v>
      </c>
      <c r="AB6244" s="93">
        <f>AD6244/AC6241</f>
        <v>0.85</v>
      </c>
      <c r="AC6244" s="93">
        <f>AC6241/AA6244</f>
        <v>2.25</v>
      </c>
      <c r="AD6244" s="94">
        <f>AC6244*Z6244</f>
        <v>38.25</v>
      </c>
      <c r="AE6244" s="190"/>
      <c r="AF6244" s="191"/>
      <c r="AG6244" s="191"/>
      <c r="AH6244" s="191"/>
      <c r="AI6244" s="186"/>
      <c r="AK6244" s="171"/>
    </row>
    <row r="6245" spans="1:41" ht="20.100000000000001" customHeight="1" x14ac:dyDescent="0.25">
      <c r="A6245" s="277" t="s">
        <v>491</v>
      </c>
      <c r="B6245" s="278"/>
      <c r="C6245" s="64" t="s">
        <v>679</v>
      </c>
      <c r="D6245" s="46" t="s">
        <v>201</v>
      </c>
      <c r="E6245" s="114">
        <v>1</v>
      </c>
      <c r="F6245" s="44">
        <v>113</v>
      </c>
      <c r="G6245" s="44">
        <f t="shared" si="3841"/>
        <v>113</v>
      </c>
      <c r="H6245" s="44">
        <f t="shared" si="3842"/>
        <v>30.657992156862747</v>
      </c>
      <c r="I6245" s="43">
        <f t="shared" si="3843"/>
        <v>30.657992156862747</v>
      </c>
      <c r="J6245" s="112">
        <f t="shared" si="3844"/>
        <v>1</v>
      </c>
      <c r="K6245" s="211">
        <f t="shared" si="3845"/>
        <v>1</v>
      </c>
      <c r="L6245" s="44"/>
      <c r="M6245" s="44">
        <f t="shared" si="3846"/>
        <v>1</v>
      </c>
      <c r="N6245" s="173">
        <f t="shared" si="3847"/>
        <v>1</v>
      </c>
      <c r="O6245" s="44">
        <f t="shared" si="3848"/>
        <v>113</v>
      </c>
      <c r="P6245" s="44">
        <f t="shared" si="3849"/>
        <v>113</v>
      </c>
      <c r="Q6245" s="44">
        <f t="shared" si="3850"/>
        <v>30.657992156862747</v>
      </c>
      <c r="R6245" s="44">
        <f t="shared" si="3851"/>
        <v>30.657992156862747</v>
      </c>
      <c r="S6245" s="123"/>
      <c r="T6245" s="219">
        <f t="shared" si="3852"/>
        <v>30.657992156862747</v>
      </c>
      <c r="U6245" s="87"/>
      <c r="V6245" s="47"/>
      <c r="W6245" s="48"/>
      <c r="X6245" s="48"/>
      <c r="Y6245" s="48"/>
      <c r="Z6245" s="135"/>
      <c r="AA6245" s="49"/>
      <c r="AB6245" s="50">
        <f t="shared" si="3853"/>
        <v>30.657992156862747</v>
      </c>
      <c r="AC6245" s="42">
        <f t="shared" si="3854"/>
        <v>1</v>
      </c>
      <c r="AD6245" s="90">
        <f>AD6246+AD6253</f>
        <v>30.657992156862747</v>
      </c>
      <c r="AE6245" s="188">
        <f t="shared" ref="AE6245:AH6245" si="4357">AE6246+AE6253</f>
        <v>0</v>
      </c>
      <c r="AF6245" s="189">
        <f t="shared" si="4357"/>
        <v>0</v>
      </c>
      <c r="AG6245" s="189">
        <f t="shared" si="4357"/>
        <v>0</v>
      </c>
      <c r="AH6245" s="189">
        <f t="shared" si="4357"/>
        <v>0</v>
      </c>
      <c r="AI6245" s="161">
        <f t="shared" ref="AI6245:AI6246" si="4358">SUM(AE6245:AH6245)</f>
        <v>0</v>
      </c>
      <c r="AK6245" s="169">
        <v>5</v>
      </c>
      <c r="AO6245" s="19" t="s">
        <v>63</v>
      </c>
    </row>
    <row r="6246" spans="1:41" s="103" customFormat="1" ht="19.899999999999999" customHeight="1" x14ac:dyDescent="0.25">
      <c r="A6246" s="51"/>
      <c r="B6246" s="52"/>
      <c r="C6246" s="165"/>
      <c r="D6246" s="52"/>
      <c r="E6246" s="115"/>
      <c r="F6246" s="58"/>
      <c r="G6246" s="58"/>
      <c r="H6246" s="58"/>
      <c r="I6246" s="55"/>
      <c r="J6246" s="113">
        <f>J6245</f>
        <v>1</v>
      </c>
      <c r="K6246" s="212">
        <f>K6245</f>
        <v>1</v>
      </c>
      <c r="L6246" s="58"/>
      <c r="M6246" s="58">
        <f>K6246-L6246</f>
        <v>1</v>
      </c>
      <c r="N6246" s="166"/>
      <c r="O6246" s="58"/>
      <c r="P6246" s="58"/>
      <c r="Q6246" s="58"/>
      <c r="R6246" s="58"/>
      <c r="S6246" s="58"/>
      <c r="T6246" s="220"/>
      <c r="U6246" s="88"/>
      <c r="V6246" s="56"/>
      <c r="W6246" s="57" t="s">
        <v>1379</v>
      </c>
      <c r="X6246" s="53"/>
      <c r="Y6246" s="91" t="s">
        <v>66</v>
      </c>
      <c r="Z6246" s="136">
        <f>AD6246/AC6246</f>
        <v>22.355262745098042</v>
      </c>
      <c r="AA6246" s="58"/>
      <c r="AB6246" s="53">
        <f>AD6246/AC6246</f>
        <v>22.355262745098042</v>
      </c>
      <c r="AC6246" s="53">
        <f>M6246+$AE$10</f>
        <v>1</v>
      </c>
      <c r="AD6246" s="54">
        <f>SUM(AD6247:AD6252)</f>
        <v>22.355262745098042</v>
      </c>
      <c r="AE6246" s="184">
        <f>SUMIFS($AD$37:$AD$12971,$V$37:$V$12971,$V6246,$X$37:$X$12971,AE$13)</f>
        <v>0</v>
      </c>
      <c r="AF6246" s="185">
        <f>SUMIFS($AD$37:$AD$12971,$V$37:$V$12971,$V6246,$X$37:$X$12971,AF$13)</f>
        <v>0</v>
      </c>
      <c r="AG6246" s="185">
        <f>SUMIFS($AD$37:$AD$12971,$V$37:$V$12971,$V6246,$X$37:$X$12971,AG$13)</f>
        <v>0</v>
      </c>
      <c r="AH6246" s="187">
        <f>SUMIFS($AD$37:$AD$12971,$V$37:$V$12971,$V6246,$X$37:$X$12971,AH$13)</f>
        <v>0</v>
      </c>
      <c r="AI6246" s="161">
        <f t="shared" si="4358"/>
        <v>0</v>
      </c>
      <c r="AK6246" s="172"/>
    </row>
    <row r="6247" spans="1:41" s="102" customFormat="1" ht="19.899999999999999" customHeight="1" x14ac:dyDescent="0.25">
      <c r="A6247" s="45"/>
      <c r="B6247" s="59"/>
      <c r="C6247" s="137"/>
      <c r="D6247" s="59"/>
      <c r="E6247" s="116"/>
      <c r="F6247" s="120"/>
      <c r="G6247" s="120"/>
      <c r="H6247" s="120"/>
      <c r="I6247" s="60"/>
      <c r="J6247" s="116"/>
      <c r="K6247" s="213"/>
      <c r="L6247" s="120"/>
      <c r="M6247" s="120"/>
      <c r="N6247" s="167"/>
      <c r="O6247" s="120"/>
      <c r="P6247" s="120"/>
      <c r="Q6247" s="120"/>
      <c r="R6247" s="120"/>
      <c r="S6247" s="120"/>
      <c r="T6247" s="221"/>
      <c r="U6247" s="89"/>
      <c r="V6247" s="61"/>
      <c r="W6247" s="92" t="s">
        <v>110</v>
      </c>
      <c r="X6247" s="93" t="s">
        <v>29</v>
      </c>
      <c r="Y6247" s="93" t="s">
        <v>93</v>
      </c>
      <c r="Z6247" s="134">
        <f>VLOOKUP(W6247,Sheet2!$B:$D,3,FALSE)</f>
        <v>150.4</v>
      </c>
      <c r="AA6247" s="93">
        <v>15</v>
      </c>
      <c r="AB6247" s="93">
        <f>AD6247/AC6246</f>
        <v>10.026666666666667</v>
      </c>
      <c r="AC6247" s="93">
        <f>AC6246/AA6247</f>
        <v>6.6666666666666666E-2</v>
      </c>
      <c r="AD6247" s="94">
        <f t="shared" ref="AD6247:AD6250" si="4359">AC6247*Z6247</f>
        <v>10.026666666666667</v>
      </c>
      <c r="AE6247" s="190"/>
      <c r="AF6247" s="191"/>
      <c r="AG6247" s="191"/>
      <c r="AH6247" s="191"/>
      <c r="AI6247" s="186"/>
      <c r="AK6247" s="171"/>
    </row>
    <row r="6248" spans="1:41" s="102" customFormat="1" ht="19.899999999999999" customHeight="1" x14ac:dyDescent="0.25">
      <c r="A6248" s="45"/>
      <c r="B6248" s="59"/>
      <c r="C6248" s="137"/>
      <c r="D6248" s="59"/>
      <c r="E6248" s="116"/>
      <c r="F6248" s="120"/>
      <c r="G6248" s="120"/>
      <c r="H6248" s="120"/>
      <c r="I6248" s="60"/>
      <c r="J6248" s="116"/>
      <c r="K6248" s="213"/>
      <c r="L6248" s="120"/>
      <c r="M6248" s="120"/>
      <c r="N6248" s="167"/>
      <c r="O6248" s="120"/>
      <c r="P6248" s="120"/>
      <c r="Q6248" s="120"/>
      <c r="R6248" s="120"/>
      <c r="S6248" s="120"/>
      <c r="T6248" s="221"/>
      <c r="U6248" s="89"/>
      <c r="V6248" s="61"/>
      <c r="W6248" s="92" t="s">
        <v>65</v>
      </c>
      <c r="X6248" s="93" t="s">
        <v>30</v>
      </c>
      <c r="Y6248" s="93" t="s">
        <v>1011</v>
      </c>
      <c r="Z6248" s="134">
        <f>VLOOKUP(W6248,Sheet2!$B:$D,3,FALSE)</f>
        <v>1.76</v>
      </c>
      <c r="AA6248" s="93">
        <f>AA6247/32</f>
        <v>0.46875</v>
      </c>
      <c r="AB6248" s="93">
        <f>AD6248/AC6246</f>
        <v>3.7546666666666666</v>
      </c>
      <c r="AC6248" s="93">
        <f>AC6246/AA6248</f>
        <v>2.1333333333333333</v>
      </c>
      <c r="AD6248" s="94">
        <f t="shared" si="4359"/>
        <v>3.7546666666666666</v>
      </c>
      <c r="AE6248" s="190"/>
      <c r="AF6248" s="191"/>
      <c r="AG6248" s="191"/>
      <c r="AH6248" s="191"/>
      <c r="AI6248" s="186"/>
      <c r="AK6248" s="171"/>
    </row>
    <row r="6249" spans="1:41" s="102" customFormat="1" ht="19.899999999999999" customHeight="1" x14ac:dyDescent="0.25">
      <c r="A6249" s="45"/>
      <c r="B6249" s="59"/>
      <c r="C6249" s="137"/>
      <c r="D6249" s="59"/>
      <c r="E6249" s="116"/>
      <c r="F6249" s="120"/>
      <c r="G6249" s="120"/>
      <c r="H6249" s="120"/>
      <c r="I6249" s="60"/>
      <c r="J6249" s="116"/>
      <c r="K6249" s="213"/>
      <c r="L6249" s="120"/>
      <c r="M6249" s="120"/>
      <c r="N6249" s="167"/>
      <c r="O6249" s="120"/>
      <c r="P6249" s="120"/>
      <c r="Q6249" s="120"/>
      <c r="R6249" s="120"/>
      <c r="S6249" s="120"/>
      <c r="T6249" s="221"/>
      <c r="U6249" s="89"/>
      <c r="V6249" s="61"/>
      <c r="W6249" s="92" t="s">
        <v>131</v>
      </c>
      <c r="X6249" s="93" t="s">
        <v>29</v>
      </c>
      <c r="Y6249" s="93" t="s">
        <v>93</v>
      </c>
      <c r="Z6249" s="134">
        <f>VLOOKUP(W6249,Sheet2!$B:$D,3,FALSE)</f>
        <v>131.19999999999999</v>
      </c>
      <c r="AA6249" s="93">
        <v>50</v>
      </c>
      <c r="AB6249" s="93">
        <f t="shared" ref="AB6249" si="4360">AD6249/AC6246</f>
        <v>2.6239999999999997</v>
      </c>
      <c r="AC6249" s="93">
        <f>AC6246/AA6249</f>
        <v>0.02</v>
      </c>
      <c r="AD6249" s="94">
        <f t="shared" si="4359"/>
        <v>2.6239999999999997</v>
      </c>
      <c r="AE6249" s="190"/>
      <c r="AF6249" s="191"/>
      <c r="AG6249" s="191"/>
      <c r="AH6249" s="191"/>
      <c r="AI6249" s="186"/>
      <c r="AK6249" s="171"/>
    </row>
    <row r="6250" spans="1:41" s="102" customFormat="1" ht="19.899999999999999" customHeight="1" x14ac:dyDescent="0.25">
      <c r="A6250" s="45"/>
      <c r="B6250" s="59"/>
      <c r="C6250" s="137"/>
      <c r="D6250" s="59"/>
      <c r="E6250" s="116"/>
      <c r="F6250" s="120"/>
      <c r="G6250" s="120"/>
      <c r="H6250" s="120"/>
      <c r="I6250" s="60"/>
      <c r="J6250" s="116"/>
      <c r="K6250" s="213"/>
      <c r="L6250" s="120"/>
      <c r="M6250" s="120"/>
      <c r="N6250" s="167"/>
      <c r="O6250" s="120"/>
      <c r="P6250" s="120"/>
      <c r="Q6250" s="120"/>
      <c r="R6250" s="120"/>
      <c r="S6250" s="120"/>
      <c r="T6250" s="221"/>
      <c r="U6250" s="89"/>
      <c r="V6250" s="61"/>
      <c r="W6250" s="92" t="s">
        <v>65</v>
      </c>
      <c r="X6250" s="93" t="s">
        <v>30</v>
      </c>
      <c r="Y6250" s="93" t="s">
        <v>1011</v>
      </c>
      <c r="Z6250" s="134">
        <f>VLOOKUP(W6250,Sheet2!$B:$D,3,FALSE)</f>
        <v>1.76</v>
      </c>
      <c r="AA6250" s="93">
        <f>AA6249/32</f>
        <v>1.5625</v>
      </c>
      <c r="AB6250" s="93">
        <f>AD6250/AC6246</f>
        <v>1.1264000000000001</v>
      </c>
      <c r="AC6250" s="93">
        <f>AC6246/AA6250</f>
        <v>0.64</v>
      </c>
      <c r="AD6250" s="94">
        <f t="shared" si="4359"/>
        <v>1.1264000000000001</v>
      </c>
      <c r="AE6250" s="190"/>
      <c r="AF6250" s="191"/>
      <c r="AG6250" s="191"/>
      <c r="AH6250" s="191"/>
      <c r="AI6250" s="186"/>
      <c r="AK6250" s="171"/>
    </row>
    <row r="6251" spans="1:41" s="102" customFormat="1" ht="19.899999999999999" customHeight="1" x14ac:dyDescent="0.25">
      <c r="A6251" s="45"/>
      <c r="B6251" s="59"/>
      <c r="C6251" s="137"/>
      <c r="D6251" s="59"/>
      <c r="E6251" s="116"/>
      <c r="F6251" s="120"/>
      <c r="G6251" s="120"/>
      <c r="H6251" s="120"/>
      <c r="I6251" s="60"/>
      <c r="J6251" s="116"/>
      <c r="K6251" s="213"/>
      <c r="L6251" s="120"/>
      <c r="M6251" s="120"/>
      <c r="N6251" s="167"/>
      <c r="O6251" s="120"/>
      <c r="P6251" s="120"/>
      <c r="Q6251" s="120"/>
      <c r="R6251" s="120"/>
      <c r="S6251" s="120"/>
      <c r="T6251" s="221"/>
      <c r="U6251" s="89"/>
      <c r="V6251" s="61"/>
      <c r="W6251" s="92" t="s">
        <v>161</v>
      </c>
      <c r="X6251" s="93" t="s">
        <v>29</v>
      </c>
      <c r="Y6251" s="93" t="s">
        <v>93</v>
      </c>
      <c r="Z6251" s="134">
        <f>VLOOKUP(W6251,Sheet2!$B:$D,3,FALSE)</f>
        <v>48</v>
      </c>
      <c r="AA6251" s="93">
        <f>(16*0.85*1)</f>
        <v>13.6</v>
      </c>
      <c r="AB6251" s="93">
        <f>AD6251/AC6246</f>
        <v>3.5294117647058822</v>
      </c>
      <c r="AC6251" s="93">
        <f>AC6246/AA6251</f>
        <v>7.3529411764705885E-2</v>
      </c>
      <c r="AD6251" s="94">
        <f>AC6251*Z6251</f>
        <v>3.5294117647058822</v>
      </c>
      <c r="AE6251" s="190"/>
      <c r="AF6251" s="191"/>
      <c r="AG6251" s="191"/>
      <c r="AH6251" s="191"/>
      <c r="AI6251" s="186"/>
      <c r="AK6251" s="171"/>
    </row>
    <row r="6252" spans="1:41" s="102" customFormat="1" ht="19.899999999999999" customHeight="1" x14ac:dyDescent="0.25">
      <c r="A6252" s="45"/>
      <c r="B6252" s="59"/>
      <c r="C6252" s="137"/>
      <c r="D6252" s="59"/>
      <c r="E6252" s="116"/>
      <c r="F6252" s="120"/>
      <c r="G6252" s="120"/>
      <c r="H6252" s="120"/>
      <c r="I6252" s="60"/>
      <c r="J6252" s="116"/>
      <c r="K6252" s="213"/>
      <c r="L6252" s="120"/>
      <c r="M6252" s="120"/>
      <c r="N6252" s="167"/>
      <c r="O6252" s="120"/>
      <c r="P6252" s="120"/>
      <c r="Q6252" s="120"/>
      <c r="R6252" s="120"/>
      <c r="S6252" s="120"/>
      <c r="T6252" s="221"/>
      <c r="U6252" s="89"/>
      <c r="V6252" s="61"/>
      <c r="W6252" s="92" t="s">
        <v>65</v>
      </c>
      <c r="X6252" s="93" t="s">
        <v>30</v>
      </c>
      <c r="Y6252" s="93" t="s">
        <v>1011</v>
      </c>
      <c r="Z6252" s="134">
        <f>VLOOKUP(W6252,Sheet2!$B:$D,3,FALSE)</f>
        <v>1.76</v>
      </c>
      <c r="AA6252" s="93">
        <f>AA6251/10</f>
        <v>1.3599999999999999</v>
      </c>
      <c r="AB6252" s="93">
        <f>AD6252/AC6246</f>
        <v>1.2941176470588236</v>
      </c>
      <c r="AC6252" s="93">
        <f>AC6246/AA6252</f>
        <v>0.73529411764705888</v>
      </c>
      <c r="AD6252" s="94">
        <f>AC6252*Z6252</f>
        <v>1.2941176470588236</v>
      </c>
      <c r="AE6252" s="190"/>
      <c r="AF6252" s="191"/>
      <c r="AG6252" s="191"/>
      <c r="AH6252" s="191"/>
      <c r="AI6252" s="186"/>
      <c r="AK6252" s="171"/>
    </row>
    <row r="6253" spans="1:41" s="103" customFormat="1" ht="19.899999999999999" customHeight="1" x14ac:dyDescent="0.25">
      <c r="A6253" s="51"/>
      <c r="B6253" s="52"/>
      <c r="C6253" s="165"/>
      <c r="D6253" s="52"/>
      <c r="E6253" s="115"/>
      <c r="F6253" s="58"/>
      <c r="G6253" s="58"/>
      <c r="H6253" s="58"/>
      <c r="I6253" s="55"/>
      <c r="J6253" s="113">
        <f>J6245</f>
        <v>1</v>
      </c>
      <c r="K6253" s="212">
        <f>K6245</f>
        <v>1</v>
      </c>
      <c r="L6253" s="58"/>
      <c r="M6253" s="58">
        <f>K6253-L6253</f>
        <v>1</v>
      </c>
      <c r="N6253" s="166"/>
      <c r="O6253" s="58"/>
      <c r="P6253" s="58"/>
      <c r="Q6253" s="58"/>
      <c r="R6253" s="58"/>
      <c r="S6253" s="58"/>
      <c r="T6253" s="220"/>
      <c r="U6253" s="88"/>
      <c r="V6253" s="56"/>
      <c r="W6253" s="57" t="s">
        <v>1380</v>
      </c>
      <c r="X6253" s="53"/>
      <c r="Y6253" s="91" t="s">
        <v>66</v>
      </c>
      <c r="Z6253" s="136">
        <f>AD6253/AC6253</f>
        <v>8.3027294117647052</v>
      </c>
      <c r="AA6253" s="58"/>
      <c r="AB6253" s="53">
        <f>AD6253/AC6253</f>
        <v>8.3027294117647052</v>
      </c>
      <c r="AC6253" s="53">
        <f>M6253+$AE$10</f>
        <v>1</v>
      </c>
      <c r="AD6253" s="54">
        <f>SUM(AD6254:AD6263)</f>
        <v>8.3027294117647052</v>
      </c>
      <c r="AE6253" s="184">
        <f>SUMIFS($AD$37:$AD$12971,$V$37:$V$12971,$V6253,$X$37:$X$12971,AE$13)</f>
        <v>0</v>
      </c>
      <c r="AF6253" s="185">
        <f>SUMIFS($AD$37:$AD$12971,$V$37:$V$12971,$V6253,$X$37:$X$12971,AF$13)</f>
        <v>0</v>
      </c>
      <c r="AG6253" s="185">
        <f>SUMIFS($AD$37:$AD$12971,$V$37:$V$12971,$V6253,$X$37:$X$12971,AG$13)</f>
        <v>0</v>
      </c>
      <c r="AH6253" s="187">
        <f>SUMIFS($AD$37:$AD$12971,$V$37:$V$12971,$V6253,$X$37:$X$12971,AH$13)</f>
        <v>0</v>
      </c>
      <c r="AI6253" s="161">
        <f t="shared" ref="AI6253" si="4361">SUM(AE6253:AH6253)</f>
        <v>0</v>
      </c>
      <c r="AK6253" s="172"/>
    </row>
    <row r="6254" spans="1:41" s="102" customFormat="1" ht="19.899999999999999" customHeight="1" x14ac:dyDescent="0.25">
      <c r="A6254" s="45"/>
      <c r="B6254" s="59"/>
      <c r="C6254" s="137"/>
      <c r="D6254" s="59"/>
      <c r="E6254" s="116"/>
      <c r="F6254" s="120"/>
      <c r="G6254" s="120"/>
      <c r="H6254" s="120"/>
      <c r="I6254" s="60"/>
      <c r="J6254" s="116"/>
      <c r="K6254" s="213"/>
      <c r="L6254" s="120"/>
      <c r="M6254" s="120"/>
      <c r="N6254" s="167"/>
      <c r="O6254" s="120"/>
      <c r="P6254" s="120"/>
      <c r="Q6254" s="120"/>
      <c r="R6254" s="120"/>
      <c r="S6254" s="120"/>
      <c r="T6254" s="221"/>
      <c r="U6254" s="89"/>
      <c r="V6254" s="61"/>
      <c r="W6254" s="92" t="s">
        <v>134</v>
      </c>
      <c r="X6254" s="93" t="s">
        <v>29</v>
      </c>
      <c r="Y6254" s="93" t="s">
        <v>93</v>
      </c>
      <c r="Z6254" s="134">
        <f>VLOOKUP(W6254,Sheet2!$B:$D,3,FALSE)</f>
        <v>65.599999999999994</v>
      </c>
      <c r="AA6254" s="93">
        <f>100</f>
        <v>100</v>
      </c>
      <c r="AB6254" s="93">
        <f>AD6254/AC6253</f>
        <v>0.65599999999999992</v>
      </c>
      <c r="AC6254" s="93">
        <f>AC6253/AA6254</f>
        <v>0.01</v>
      </c>
      <c r="AD6254" s="94">
        <f t="shared" ref="AD6254:AD6255" si="4362">AC6254*Z6254</f>
        <v>0.65599999999999992</v>
      </c>
      <c r="AE6254" s="190"/>
      <c r="AF6254" s="191"/>
      <c r="AG6254" s="191"/>
      <c r="AH6254" s="191"/>
      <c r="AI6254" s="186"/>
      <c r="AK6254" s="171"/>
    </row>
    <row r="6255" spans="1:41" s="102" customFormat="1" ht="19.899999999999999" customHeight="1" x14ac:dyDescent="0.25">
      <c r="A6255" s="45"/>
      <c r="B6255" s="59"/>
      <c r="C6255" s="137"/>
      <c r="D6255" s="59"/>
      <c r="E6255" s="116"/>
      <c r="F6255" s="120"/>
      <c r="G6255" s="120"/>
      <c r="H6255" s="120"/>
      <c r="I6255" s="60"/>
      <c r="J6255" s="116"/>
      <c r="K6255" s="213"/>
      <c r="L6255" s="120"/>
      <c r="M6255" s="120"/>
      <c r="N6255" s="167"/>
      <c r="O6255" s="120"/>
      <c r="P6255" s="120"/>
      <c r="Q6255" s="120"/>
      <c r="R6255" s="120"/>
      <c r="S6255" s="120"/>
      <c r="T6255" s="221"/>
      <c r="U6255" s="89"/>
      <c r="V6255" s="61"/>
      <c r="W6255" s="92" t="s">
        <v>65</v>
      </c>
      <c r="X6255" s="93" t="s">
        <v>30</v>
      </c>
      <c r="Y6255" s="93" t="s">
        <v>1011</v>
      </c>
      <c r="Z6255" s="134">
        <f>VLOOKUP(W6255,Sheet2!$B:$D,3,FALSE)</f>
        <v>1.76</v>
      </c>
      <c r="AA6255" s="93">
        <f>AA6254/9</f>
        <v>11.111111111111111</v>
      </c>
      <c r="AB6255" s="93">
        <f>AD6255/AC6253</f>
        <v>0.15839999999999999</v>
      </c>
      <c r="AC6255" s="93">
        <f>AC6253/AA6255</f>
        <v>0.09</v>
      </c>
      <c r="AD6255" s="94">
        <f t="shared" si="4362"/>
        <v>0.15839999999999999</v>
      </c>
      <c r="AE6255" s="190"/>
      <c r="AF6255" s="191"/>
      <c r="AG6255" s="191"/>
      <c r="AH6255" s="191"/>
      <c r="AI6255" s="186"/>
      <c r="AK6255" s="171"/>
    </row>
    <row r="6256" spans="1:41" s="102" customFormat="1" ht="19.899999999999999" customHeight="1" x14ac:dyDescent="0.25">
      <c r="A6256" s="45"/>
      <c r="B6256" s="59"/>
      <c r="C6256" s="137"/>
      <c r="D6256" s="59"/>
      <c r="E6256" s="116"/>
      <c r="F6256" s="120"/>
      <c r="G6256" s="120"/>
      <c r="H6256" s="120"/>
      <c r="I6256" s="60"/>
      <c r="J6256" s="116"/>
      <c r="K6256" s="213"/>
      <c r="L6256" s="120"/>
      <c r="M6256" s="120"/>
      <c r="N6256" s="167"/>
      <c r="O6256" s="120"/>
      <c r="P6256" s="120"/>
      <c r="Q6256" s="120"/>
      <c r="R6256" s="120"/>
      <c r="S6256" s="120"/>
      <c r="T6256" s="221"/>
      <c r="U6256" s="89"/>
      <c r="V6256" s="61"/>
      <c r="W6256" s="92" t="s">
        <v>161</v>
      </c>
      <c r="X6256" s="93" t="s">
        <v>29</v>
      </c>
      <c r="Y6256" s="93" t="s">
        <v>93</v>
      </c>
      <c r="Z6256" s="134">
        <f>VLOOKUP(W6256,Sheet2!$B:$D,3,FALSE)</f>
        <v>48</v>
      </c>
      <c r="AA6256" s="93">
        <f>(16*0.85*1)</f>
        <v>13.6</v>
      </c>
      <c r="AB6256" s="93">
        <f>AD6256/AC6253</f>
        <v>3.5294117647058822</v>
      </c>
      <c r="AC6256" s="93">
        <f>AC6253/AA6256</f>
        <v>7.3529411764705885E-2</v>
      </c>
      <c r="AD6256" s="94">
        <f>AC6256*Z6256</f>
        <v>3.5294117647058822</v>
      </c>
      <c r="AE6256" s="190"/>
      <c r="AF6256" s="191"/>
      <c r="AG6256" s="191"/>
      <c r="AH6256" s="191"/>
      <c r="AI6256" s="186"/>
      <c r="AK6256" s="171"/>
    </row>
    <row r="6257" spans="1:41" s="102" customFormat="1" ht="19.899999999999999" customHeight="1" x14ac:dyDescent="0.25">
      <c r="A6257" s="45"/>
      <c r="B6257" s="59"/>
      <c r="C6257" s="137"/>
      <c r="D6257" s="59"/>
      <c r="E6257" s="116"/>
      <c r="F6257" s="120"/>
      <c r="G6257" s="120"/>
      <c r="H6257" s="120"/>
      <c r="I6257" s="60"/>
      <c r="J6257" s="116"/>
      <c r="K6257" s="213"/>
      <c r="L6257" s="120"/>
      <c r="M6257" s="120"/>
      <c r="N6257" s="167"/>
      <c r="O6257" s="120"/>
      <c r="P6257" s="120"/>
      <c r="Q6257" s="120"/>
      <c r="R6257" s="120"/>
      <c r="S6257" s="120"/>
      <c r="T6257" s="221"/>
      <c r="U6257" s="89"/>
      <c r="V6257" s="61"/>
      <c r="W6257" s="92" t="s">
        <v>65</v>
      </c>
      <c r="X6257" s="93" t="s">
        <v>30</v>
      </c>
      <c r="Y6257" s="93" t="s">
        <v>1011</v>
      </c>
      <c r="Z6257" s="134">
        <f>VLOOKUP(W6257,Sheet2!$B:$D,3,FALSE)</f>
        <v>1.76</v>
      </c>
      <c r="AA6257" s="93">
        <f>AA6256/10</f>
        <v>1.3599999999999999</v>
      </c>
      <c r="AB6257" s="93">
        <f>AD6257/AC6253</f>
        <v>1.2941176470588236</v>
      </c>
      <c r="AC6257" s="93">
        <f>AC6253/AA6257</f>
        <v>0.73529411764705888</v>
      </c>
      <c r="AD6257" s="94">
        <f>AC6257*Z6257</f>
        <v>1.2941176470588236</v>
      </c>
      <c r="AE6257" s="190"/>
      <c r="AF6257" s="191"/>
      <c r="AG6257" s="191"/>
      <c r="AH6257" s="191"/>
      <c r="AI6257" s="186"/>
      <c r="AK6257" s="171"/>
    </row>
    <row r="6258" spans="1:41" s="102" customFormat="1" ht="19.899999999999999" customHeight="1" x14ac:dyDescent="0.25">
      <c r="A6258" s="45"/>
      <c r="B6258" s="59"/>
      <c r="C6258" s="137"/>
      <c r="D6258" s="59"/>
      <c r="E6258" s="116"/>
      <c r="F6258" s="120"/>
      <c r="G6258" s="120"/>
      <c r="H6258" s="120"/>
      <c r="I6258" s="60"/>
      <c r="J6258" s="116"/>
      <c r="K6258" s="213"/>
      <c r="L6258" s="120"/>
      <c r="M6258" s="120"/>
      <c r="N6258" s="167"/>
      <c r="O6258" s="120"/>
      <c r="P6258" s="120"/>
      <c r="Q6258" s="120"/>
      <c r="R6258" s="120"/>
      <c r="S6258" s="120"/>
      <c r="T6258" s="221"/>
      <c r="U6258" s="89"/>
      <c r="V6258" s="61"/>
      <c r="W6258" s="92" t="s">
        <v>173</v>
      </c>
      <c r="X6258" s="93" t="s">
        <v>29</v>
      </c>
      <c r="Y6258" s="93" t="s">
        <v>93</v>
      </c>
      <c r="Z6258" s="134">
        <f>VLOOKUP(W6258,Sheet2!$B:$D,3,FALSE)</f>
        <v>36</v>
      </c>
      <c r="AA6258" s="93">
        <f>50</f>
        <v>50</v>
      </c>
      <c r="AB6258" s="93">
        <f>AD6258/AC6253</f>
        <v>0.72</v>
      </c>
      <c r="AC6258" s="93">
        <f>AC6253/AA6258</f>
        <v>0.02</v>
      </c>
      <c r="AD6258" s="94">
        <f>AC6258*Z6258</f>
        <v>0.72</v>
      </c>
      <c r="AE6258" s="190"/>
      <c r="AF6258" s="191"/>
      <c r="AG6258" s="191"/>
      <c r="AH6258" s="191"/>
      <c r="AI6258" s="186"/>
      <c r="AK6258" s="171"/>
    </row>
    <row r="6259" spans="1:41" s="102" customFormat="1" ht="19.899999999999999" customHeight="1" x14ac:dyDescent="0.25">
      <c r="A6259" s="45"/>
      <c r="B6259" s="59"/>
      <c r="C6259" s="137"/>
      <c r="D6259" s="59"/>
      <c r="E6259" s="116"/>
      <c r="F6259" s="120"/>
      <c r="G6259" s="120"/>
      <c r="H6259" s="120"/>
      <c r="I6259" s="60"/>
      <c r="J6259" s="116"/>
      <c r="K6259" s="213"/>
      <c r="L6259" s="120"/>
      <c r="M6259" s="120"/>
      <c r="N6259" s="167"/>
      <c r="O6259" s="120"/>
      <c r="P6259" s="120"/>
      <c r="Q6259" s="120"/>
      <c r="R6259" s="120"/>
      <c r="S6259" s="120"/>
      <c r="T6259" s="221"/>
      <c r="U6259" s="89"/>
      <c r="V6259" s="61"/>
      <c r="W6259" s="92" t="s">
        <v>65</v>
      </c>
      <c r="X6259" s="93" t="s">
        <v>30</v>
      </c>
      <c r="Y6259" s="93" t="s">
        <v>1011</v>
      </c>
      <c r="Z6259" s="134">
        <f>VLOOKUP(W6259,Sheet2!$B:$D,3,FALSE)</f>
        <v>1.76</v>
      </c>
      <c r="AA6259" s="93">
        <f>AA6258/9</f>
        <v>5.5555555555555554</v>
      </c>
      <c r="AB6259" s="93">
        <f>AD6259/AC6253</f>
        <v>0.31679999999999997</v>
      </c>
      <c r="AC6259" s="93">
        <f>AC6253/AA6259</f>
        <v>0.18</v>
      </c>
      <c r="AD6259" s="94">
        <f>AC6259*Z6259</f>
        <v>0.31679999999999997</v>
      </c>
      <c r="AE6259" s="190"/>
      <c r="AF6259" s="191"/>
      <c r="AG6259" s="191"/>
      <c r="AH6259" s="191"/>
      <c r="AI6259" s="186"/>
      <c r="AK6259" s="171"/>
    </row>
    <row r="6260" spans="1:41" s="102" customFormat="1" ht="19.899999999999999" customHeight="1" x14ac:dyDescent="0.25">
      <c r="A6260" s="45"/>
      <c r="B6260" s="59"/>
      <c r="C6260" s="137"/>
      <c r="D6260" s="59"/>
      <c r="E6260" s="116"/>
      <c r="F6260" s="120"/>
      <c r="G6260" s="120"/>
      <c r="H6260" s="120"/>
      <c r="I6260" s="60"/>
      <c r="J6260" s="116"/>
      <c r="K6260" s="213"/>
      <c r="L6260" s="120"/>
      <c r="M6260" s="120"/>
      <c r="N6260" s="167"/>
      <c r="O6260" s="120"/>
      <c r="P6260" s="120"/>
      <c r="Q6260" s="120"/>
      <c r="R6260" s="120"/>
      <c r="S6260" s="120"/>
      <c r="T6260" s="221"/>
      <c r="U6260" s="89"/>
      <c r="V6260" s="61"/>
      <c r="W6260" s="92" t="s">
        <v>148</v>
      </c>
      <c r="X6260" s="93" t="s">
        <v>29</v>
      </c>
      <c r="Y6260" s="93" t="s">
        <v>93</v>
      </c>
      <c r="Z6260" s="134">
        <f>VLOOKUP(W6260,Sheet2!$B:$D,3,FALSE)</f>
        <v>48</v>
      </c>
      <c r="AA6260" s="93">
        <v>80</v>
      </c>
      <c r="AB6260" s="93">
        <f>AD6260/AC6253</f>
        <v>0.60000000000000009</v>
      </c>
      <c r="AC6260" s="93">
        <f>AC6253/AA6260</f>
        <v>1.2500000000000001E-2</v>
      </c>
      <c r="AD6260" s="94">
        <f t="shared" ref="AD6260:AD6263" si="4363">AC6260*Z6260</f>
        <v>0.60000000000000009</v>
      </c>
      <c r="AE6260" s="190"/>
      <c r="AF6260" s="191"/>
      <c r="AG6260" s="191"/>
      <c r="AH6260" s="191"/>
      <c r="AI6260" s="186"/>
      <c r="AK6260" s="171"/>
    </row>
    <row r="6261" spans="1:41" s="102" customFormat="1" ht="19.899999999999999" customHeight="1" x14ac:dyDescent="0.25">
      <c r="A6261" s="45"/>
      <c r="B6261" s="59"/>
      <c r="C6261" s="137"/>
      <c r="D6261" s="59"/>
      <c r="E6261" s="116"/>
      <c r="F6261" s="120"/>
      <c r="G6261" s="120"/>
      <c r="H6261" s="120"/>
      <c r="I6261" s="60"/>
      <c r="J6261" s="116"/>
      <c r="K6261" s="213"/>
      <c r="L6261" s="120"/>
      <c r="M6261" s="120"/>
      <c r="N6261" s="167"/>
      <c r="O6261" s="120"/>
      <c r="P6261" s="120"/>
      <c r="Q6261" s="120"/>
      <c r="R6261" s="120"/>
      <c r="S6261" s="120"/>
      <c r="T6261" s="221"/>
      <c r="U6261" s="89"/>
      <c r="V6261" s="61"/>
      <c r="W6261" s="92" t="s">
        <v>65</v>
      </c>
      <c r="X6261" s="93" t="s">
        <v>30</v>
      </c>
      <c r="Y6261" s="93" t="s">
        <v>1011</v>
      </c>
      <c r="Z6261" s="134">
        <f>VLOOKUP(W6261,Sheet2!$B:$D,3,FALSE)</f>
        <v>1.76</v>
      </c>
      <c r="AA6261" s="93">
        <f>AA6260/10</f>
        <v>8</v>
      </c>
      <c r="AB6261" s="93">
        <f>AD6261/AC6253</f>
        <v>0.22</v>
      </c>
      <c r="AC6261" s="93">
        <f>AC6253/AA6261</f>
        <v>0.125</v>
      </c>
      <c r="AD6261" s="94">
        <f t="shared" si="4363"/>
        <v>0.22</v>
      </c>
      <c r="AE6261" s="190"/>
      <c r="AF6261" s="191"/>
      <c r="AG6261" s="191"/>
      <c r="AH6261" s="191"/>
      <c r="AI6261" s="186"/>
      <c r="AK6261" s="171"/>
    </row>
    <row r="6262" spans="1:41" s="102" customFormat="1" ht="19.899999999999999" customHeight="1" x14ac:dyDescent="0.25">
      <c r="A6262" s="45"/>
      <c r="B6262" s="59"/>
      <c r="C6262" s="137"/>
      <c r="D6262" s="59"/>
      <c r="E6262" s="116"/>
      <c r="F6262" s="120"/>
      <c r="G6262" s="120"/>
      <c r="H6262" s="120"/>
      <c r="I6262" s="60"/>
      <c r="J6262" s="116"/>
      <c r="K6262" s="213"/>
      <c r="L6262" s="120"/>
      <c r="M6262" s="120"/>
      <c r="N6262" s="167"/>
      <c r="O6262" s="120"/>
      <c r="P6262" s="120"/>
      <c r="Q6262" s="120"/>
      <c r="R6262" s="120"/>
      <c r="S6262" s="120"/>
      <c r="T6262" s="221"/>
      <c r="U6262" s="89"/>
      <c r="V6262" s="61"/>
      <c r="W6262" s="92" t="s">
        <v>145</v>
      </c>
      <c r="X6262" s="93" t="s">
        <v>29</v>
      </c>
      <c r="Y6262" s="93" t="s">
        <v>93</v>
      </c>
      <c r="Z6262" s="134">
        <f>VLOOKUP(W6262,Sheet2!$B:$D,3,FALSE)</f>
        <v>40</v>
      </c>
      <c r="AA6262" s="93">
        <v>80</v>
      </c>
      <c r="AB6262" s="93">
        <f>AD6262/AC6253</f>
        <v>0.5</v>
      </c>
      <c r="AC6262" s="93">
        <f>AC6253/AA6262</f>
        <v>1.2500000000000001E-2</v>
      </c>
      <c r="AD6262" s="94">
        <f t="shared" si="4363"/>
        <v>0.5</v>
      </c>
      <c r="AE6262" s="190"/>
      <c r="AF6262" s="191"/>
      <c r="AG6262" s="191"/>
      <c r="AH6262" s="191"/>
      <c r="AI6262" s="186"/>
      <c r="AK6262" s="171"/>
    </row>
    <row r="6263" spans="1:41" s="102" customFormat="1" ht="19.899999999999999" customHeight="1" x14ac:dyDescent="0.25">
      <c r="A6263" s="45"/>
      <c r="B6263" s="59"/>
      <c r="C6263" s="137"/>
      <c r="D6263" s="59"/>
      <c r="E6263" s="116"/>
      <c r="F6263" s="120"/>
      <c r="G6263" s="120"/>
      <c r="H6263" s="120"/>
      <c r="I6263" s="60"/>
      <c r="J6263" s="116"/>
      <c r="K6263" s="213"/>
      <c r="L6263" s="120"/>
      <c r="M6263" s="120"/>
      <c r="N6263" s="167"/>
      <c r="O6263" s="120"/>
      <c r="P6263" s="120"/>
      <c r="Q6263" s="120"/>
      <c r="R6263" s="120"/>
      <c r="S6263" s="120"/>
      <c r="T6263" s="221"/>
      <c r="U6263" s="89"/>
      <c r="V6263" s="61"/>
      <c r="W6263" s="92" t="s">
        <v>65</v>
      </c>
      <c r="X6263" s="93" t="s">
        <v>30</v>
      </c>
      <c r="Y6263" s="93" t="s">
        <v>1011</v>
      </c>
      <c r="Z6263" s="134">
        <f>VLOOKUP(W6263,Sheet2!$B:$D,3,FALSE)</f>
        <v>1.76</v>
      </c>
      <c r="AA6263" s="93">
        <f>AA6262/14</f>
        <v>5.7142857142857144</v>
      </c>
      <c r="AB6263" s="93">
        <f>AD6263/AC6253</f>
        <v>0.308</v>
      </c>
      <c r="AC6263" s="93">
        <f>AC6253/AA6263</f>
        <v>0.17499999999999999</v>
      </c>
      <c r="AD6263" s="94">
        <f t="shared" si="4363"/>
        <v>0.308</v>
      </c>
      <c r="AE6263" s="190"/>
      <c r="AF6263" s="191"/>
      <c r="AG6263" s="191"/>
      <c r="AH6263" s="191"/>
      <c r="AI6263" s="186"/>
      <c r="AK6263" s="171"/>
    </row>
    <row r="6264" spans="1:41" ht="20.100000000000001" customHeight="1" x14ac:dyDescent="0.25">
      <c r="A6264" s="277" t="s">
        <v>491</v>
      </c>
      <c r="B6264" s="278"/>
      <c r="C6264" s="64" t="s">
        <v>680</v>
      </c>
      <c r="D6264" s="46"/>
      <c r="E6264" s="114"/>
      <c r="F6264" s="44"/>
      <c r="G6264" s="44">
        <f t="shared" si="3841"/>
        <v>0</v>
      </c>
      <c r="H6264" s="44">
        <f t="shared" si="3842"/>
        <v>0</v>
      </c>
      <c r="I6264" s="43">
        <f t="shared" si="3843"/>
        <v>0</v>
      </c>
      <c r="J6264" s="112">
        <f t="shared" si="3844"/>
        <v>0</v>
      </c>
      <c r="K6264" s="211">
        <f t="shared" si="3845"/>
        <v>0</v>
      </c>
      <c r="L6264" s="44"/>
      <c r="M6264" s="44">
        <f t="shared" si="3846"/>
        <v>0</v>
      </c>
      <c r="N6264" s="173">
        <f t="shared" si="3847"/>
        <v>0</v>
      </c>
      <c r="O6264" s="44">
        <f t="shared" si="3848"/>
        <v>0</v>
      </c>
      <c r="P6264" s="44">
        <f t="shared" si="3849"/>
        <v>0</v>
      </c>
      <c r="Q6264" s="44">
        <f t="shared" si="3850"/>
        <v>0</v>
      </c>
      <c r="R6264" s="44">
        <f t="shared" si="3851"/>
        <v>0</v>
      </c>
      <c r="S6264" s="123"/>
      <c r="T6264" s="219">
        <f t="shared" si="3852"/>
        <v>0</v>
      </c>
      <c r="U6264" s="87"/>
      <c r="V6264" s="47"/>
      <c r="W6264" s="48"/>
      <c r="X6264" s="48"/>
      <c r="Y6264" s="48"/>
      <c r="Z6264" s="135"/>
      <c r="AA6264" s="49"/>
      <c r="AB6264" s="50">
        <f t="shared" si="3853"/>
        <v>0</v>
      </c>
      <c r="AC6264" s="42">
        <f t="shared" si="3854"/>
        <v>9.9999999999999998E-20</v>
      </c>
      <c r="AD6264" s="90"/>
      <c r="AE6264" s="188"/>
      <c r="AF6264" s="189"/>
      <c r="AG6264" s="189"/>
      <c r="AH6264" s="189"/>
      <c r="AI6264" s="161"/>
    </row>
    <row r="6265" spans="1:41" ht="20.100000000000001" customHeight="1" x14ac:dyDescent="0.25">
      <c r="A6265" s="277" t="s">
        <v>491</v>
      </c>
      <c r="B6265" s="278"/>
      <c r="C6265" s="64" t="s">
        <v>681</v>
      </c>
      <c r="D6265" s="46"/>
      <c r="E6265" s="114"/>
      <c r="F6265" s="44"/>
      <c r="G6265" s="44">
        <f t="shared" si="3841"/>
        <v>0</v>
      </c>
      <c r="H6265" s="44">
        <f t="shared" si="3842"/>
        <v>0</v>
      </c>
      <c r="I6265" s="43">
        <f t="shared" si="3843"/>
        <v>0</v>
      </c>
      <c r="J6265" s="112">
        <f t="shared" si="3844"/>
        <v>0</v>
      </c>
      <c r="K6265" s="211">
        <f t="shared" si="3845"/>
        <v>0</v>
      </c>
      <c r="L6265" s="44"/>
      <c r="M6265" s="44">
        <f t="shared" si="3846"/>
        <v>0</v>
      </c>
      <c r="N6265" s="173">
        <f t="shared" si="3847"/>
        <v>0</v>
      </c>
      <c r="O6265" s="44">
        <f t="shared" si="3848"/>
        <v>0</v>
      </c>
      <c r="P6265" s="44">
        <f t="shared" si="3849"/>
        <v>0</v>
      </c>
      <c r="Q6265" s="44">
        <f t="shared" si="3850"/>
        <v>0</v>
      </c>
      <c r="R6265" s="44">
        <f t="shared" si="3851"/>
        <v>0</v>
      </c>
      <c r="S6265" s="123"/>
      <c r="T6265" s="219">
        <f t="shared" si="3852"/>
        <v>0</v>
      </c>
      <c r="U6265" s="87"/>
      <c r="V6265" s="47"/>
      <c r="W6265" s="48"/>
      <c r="X6265" s="48"/>
      <c r="Y6265" s="48"/>
      <c r="Z6265" s="135"/>
      <c r="AA6265" s="49"/>
      <c r="AB6265" s="50">
        <f t="shared" si="3853"/>
        <v>0</v>
      </c>
      <c r="AC6265" s="42">
        <f t="shared" si="3854"/>
        <v>9.9999999999999998E-20</v>
      </c>
      <c r="AD6265" s="90"/>
      <c r="AE6265" s="188"/>
      <c r="AF6265" s="189"/>
      <c r="AG6265" s="189"/>
      <c r="AH6265" s="189"/>
      <c r="AI6265" s="161"/>
    </row>
    <row r="6266" spans="1:41" ht="41.25" customHeight="1" x14ac:dyDescent="0.25">
      <c r="A6266" s="277" t="s">
        <v>491</v>
      </c>
      <c r="B6266" s="278"/>
      <c r="C6266" s="64" t="s">
        <v>682</v>
      </c>
      <c r="D6266" s="46"/>
      <c r="E6266" s="114"/>
      <c r="F6266" s="44"/>
      <c r="G6266" s="44">
        <f t="shared" si="3841"/>
        <v>0</v>
      </c>
      <c r="H6266" s="44">
        <f t="shared" si="3842"/>
        <v>0</v>
      </c>
      <c r="I6266" s="43">
        <f t="shared" si="3843"/>
        <v>0</v>
      </c>
      <c r="J6266" s="112">
        <f t="shared" si="3844"/>
        <v>0</v>
      </c>
      <c r="K6266" s="211">
        <f t="shared" si="3845"/>
        <v>0</v>
      </c>
      <c r="L6266" s="44"/>
      <c r="M6266" s="44">
        <f t="shared" si="3846"/>
        <v>0</v>
      </c>
      <c r="N6266" s="173">
        <f t="shared" si="3847"/>
        <v>0</v>
      </c>
      <c r="O6266" s="44">
        <f t="shared" si="3848"/>
        <v>0</v>
      </c>
      <c r="P6266" s="44">
        <f t="shared" si="3849"/>
        <v>0</v>
      </c>
      <c r="Q6266" s="44">
        <f t="shared" si="3850"/>
        <v>0</v>
      </c>
      <c r="R6266" s="44">
        <f t="shared" si="3851"/>
        <v>0</v>
      </c>
      <c r="S6266" s="123"/>
      <c r="T6266" s="219">
        <f t="shared" si="3852"/>
        <v>0</v>
      </c>
      <c r="U6266" s="87"/>
      <c r="V6266" s="47"/>
      <c r="W6266" s="48"/>
      <c r="X6266" s="48"/>
      <c r="Y6266" s="48"/>
      <c r="Z6266" s="135"/>
      <c r="AA6266" s="49"/>
      <c r="AB6266" s="50">
        <f t="shared" si="3853"/>
        <v>0</v>
      </c>
      <c r="AC6266" s="42">
        <f t="shared" si="3854"/>
        <v>9.9999999999999998E-20</v>
      </c>
      <c r="AD6266" s="90"/>
      <c r="AE6266" s="188"/>
      <c r="AF6266" s="189"/>
      <c r="AG6266" s="189"/>
      <c r="AH6266" s="189"/>
      <c r="AI6266" s="161"/>
    </row>
    <row r="6267" spans="1:41" ht="71.25" customHeight="1" x14ac:dyDescent="0.25">
      <c r="A6267" s="277" t="s">
        <v>491</v>
      </c>
      <c r="B6267" s="278"/>
      <c r="C6267" s="64" t="s">
        <v>683</v>
      </c>
      <c r="D6267" s="46"/>
      <c r="E6267" s="114"/>
      <c r="F6267" s="44"/>
      <c r="G6267" s="44">
        <f t="shared" si="3841"/>
        <v>0</v>
      </c>
      <c r="H6267" s="44">
        <f t="shared" si="3842"/>
        <v>0</v>
      </c>
      <c r="I6267" s="43">
        <f t="shared" si="3843"/>
        <v>0</v>
      </c>
      <c r="J6267" s="112">
        <f t="shared" si="3844"/>
        <v>0</v>
      </c>
      <c r="K6267" s="211">
        <f t="shared" si="3845"/>
        <v>0</v>
      </c>
      <c r="L6267" s="44"/>
      <c r="M6267" s="44">
        <f t="shared" si="3846"/>
        <v>0</v>
      </c>
      <c r="N6267" s="173">
        <f t="shared" si="3847"/>
        <v>0</v>
      </c>
      <c r="O6267" s="44">
        <f t="shared" si="3848"/>
        <v>0</v>
      </c>
      <c r="P6267" s="44">
        <f t="shared" si="3849"/>
        <v>0</v>
      </c>
      <c r="Q6267" s="44">
        <f t="shared" si="3850"/>
        <v>0</v>
      </c>
      <c r="R6267" s="44">
        <f t="shared" si="3851"/>
        <v>0</v>
      </c>
      <c r="S6267" s="123"/>
      <c r="T6267" s="219">
        <f t="shared" si="3852"/>
        <v>0</v>
      </c>
      <c r="U6267" s="87"/>
      <c r="V6267" s="47"/>
      <c r="W6267" s="48"/>
      <c r="X6267" s="48"/>
      <c r="Y6267" s="48"/>
      <c r="Z6267" s="135"/>
      <c r="AA6267" s="49"/>
      <c r="AB6267" s="50">
        <f t="shared" si="3853"/>
        <v>0</v>
      </c>
      <c r="AC6267" s="42">
        <f t="shared" si="3854"/>
        <v>9.9999999999999998E-20</v>
      </c>
      <c r="AD6267" s="90"/>
      <c r="AE6267" s="188"/>
      <c r="AF6267" s="189"/>
      <c r="AG6267" s="189"/>
      <c r="AH6267" s="189"/>
      <c r="AI6267" s="161"/>
    </row>
    <row r="6268" spans="1:41" s="102" customFormat="1" ht="20.100000000000001" customHeight="1" x14ac:dyDescent="0.25">
      <c r="A6268" s="45" t="s">
        <v>491</v>
      </c>
      <c r="B6268" s="276"/>
      <c r="C6268" s="285" t="s">
        <v>684</v>
      </c>
      <c r="D6268" s="59"/>
      <c r="E6268" s="116"/>
      <c r="F6268" s="120"/>
      <c r="G6268" s="120">
        <f t="shared" si="3841"/>
        <v>0</v>
      </c>
      <c r="H6268" s="120">
        <f t="shared" si="3842"/>
        <v>0</v>
      </c>
      <c r="I6268" s="60">
        <f t="shared" si="3843"/>
        <v>0</v>
      </c>
      <c r="J6268" s="116">
        <f t="shared" si="3844"/>
        <v>0</v>
      </c>
      <c r="K6268" s="213">
        <f t="shared" si="3845"/>
        <v>0</v>
      </c>
      <c r="L6268" s="120"/>
      <c r="M6268" s="120">
        <f t="shared" si="3846"/>
        <v>0</v>
      </c>
      <c r="N6268" s="167">
        <f t="shared" si="3847"/>
        <v>0</v>
      </c>
      <c r="O6268" s="120">
        <f t="shared" si="3848"/>
        <v>0</v>
      </c>
      <c r="P6268" s="120">
        <f t="shared" si="3849"/>
        <v>0</v>
      </c>
      <c r="Q6268" s="120">
        <f t="shared" si="3850"/>
        <v>0</v>
      </c>
      <c r="R6268" s="120">
        <f t="shared" si="3851"/>
        <v>0</v>
      </c>
      <c r="S6268" s="120"/>
      <c r="T6268" s="221">
        <f t="shared" si="3852"/>
        <v>0</v>
      </c>
      <c r="U6268" s="89"/>
      <c r="V6268" s="61"/>
      <c r="W6268" s="92"/>
      <c r="X6268" s="38"/>
      <c r="Y6268" s="93"/>
      <c r="Z6268" s="134"/>
      <c r="AA6268" s="93"/>
      <c r="AB6268" s="93"/>
      <c r="AC6268" s="93"/>
      <c r="AD6268" s="94"/>
      <c r="AE6268" s="190"/>
      <c r="AF6268" s="191"/>
      <c r="AG6268" s="191"/>
      <c r="AH6268" s="191"/>
      <c r="AI6268" s="186"/>
      <c r="AK6268" s="171"/>
    </row>
    <row r="6269" spans="1:41" s="102" customFormat="1" ht="164.25" customHeight="1" x14ac:dyDescent="0.25">
      <c r="A6269" s="45" t="s">
        <v>491</v>
      </c>
      <c r="B6269" s="276"/>
      <c r="C6269" s="285" t="s">
        <v>635</v>
      </c>
      <c r="D6269" s="59"/>
      <c r="E6269" s="116"/>
      <c r="F6269" s="120"/>
      <c r="G6269" s="120">
        <f t="shared" si="3841"/>
        <v>0</v>
      </c>
      <c r="H6269" s="120">
        <f t="shared" si="3842"/>
        <v>0</v>
      </c>
      <c r="I6269" s="60">
        <f t="shared" si="3843"/>
        <v>0</v>
      </c>
      <c r="J6269" s="116">
        <f t="shared" si="3844"/>
        <v>0</v>
      </c>
      <c r="K6269" s="213">
        <f t="shared" si="3845"/>
        <v>0</v>
      </c>
      <c r="L6269" s="120"/>
      <c r="M6269" s="120">
        <f t="shared" si="3846"/>
        <v>0</v>
      </c>
      <c r="N6269" s="167">
        <f t="shared" si="3847"/>
        <v>0</v>
      </c>
      <c r="O6269" s="120">
        <f t="shared" si="3848"/>
        <v>0</v>
      </c>
      <c r="P6269" s="120">
        <f t="shared" si="3849"/>
        <v>0</v>
      </c>
      <c r="Q6269" s="120">
        <f t="shared" si="3850"/>
        <v>0</v>
      </c>
      <c r="R6269" s="120">
        <f t="shared" si="3851"/>
        <v>0</v>
      </c>
      <c r="S6269" s="120"/>
      <c r="T6269" s="221">
        <f t="shared" si="3852"/>
        <v>0</v>
      </c>
      <c r="U6269" s="89"/>
      <c r="V6269" s="61"/>
      <c r="W6269" s="92"/>
      <c r="X6269" s="38"/>
      <c r="Y6269" s="93"/>
      <c r="Z6269" s="134"/>
      <c r="AA6269" s="93"/>
      <c r="AB6269" s="93"/>
      <c r="AC6269" s="93"/>
      <c r="AD6269" s="94"/>
      <c r="AE6269" s="190"/>
      <c r="AF6269" s="191"/>
      <c r="AG6269" s="191"/>
      <c r="AH6269" s="191"/>
      <c r="AI6269" s="186"/>
      <c r="AK6269" s="171"/>
    </row>
    <row r="6270" spans="1:41" ht="57" customHeight="1" x14ac:dyDescent="0.25">
      <c r="A6270" s="277" t="s">
        <v>491</v>
      </c>
      <c r="B6270" s="278"/>
      <c r="C6270" s="64" t="s">
        <v>685</v>
      </c>
      <c r="D6270" s="46" t="s">
        <v>186</v>
      </c>
      <c r="E6270" s="114">
        <v>0.30000000000000004</v>
      </c>
      <c r="F6270" s="44">
        <v>1652185</v>
      </c>
      <c r="G6270" s="44">
        <f t="shared" si="3841"/>
        <v>495655.50000000006</v>
      </c>
      <c r="H6270" s="44">
        <f t="shared" si="3842"/>
        <v>1153556.2499999998</v>
      </c>
      <c r="I6270" s="43">
        <f t="shared" si="3843"/>
        <v>346066.875</v>
      </c>
      <c r="J6270" s="112">
        <f t="shared" si="3844"/>
        <v>0.30000000000000004</v>
      </c>
      <c r="K6270" s="211">
        <f t="shared" si="3845"/>
        <v>0.30000000000000004</v>
      </c>
      <c r="L6270" s="44"/>
      <c r="M6270" s="44">
        <f t="shared" si="3846"/>
        <v>0.30000000000000004</v>
      </c>
      <c r="N6270" s="173">
        <f t="shared" si="3847"/>
        <v>1</v>
      </c>
      <c r="O6270" s="44">
        <f t="shared" si="3848"/>
        <v>1652185</v>
      </c>
      <c r="P6270" s="44">
        <f t="shared" si="3849"/>
        <v>495655.50000000006</v>
      </c>
      <c r="Q6270" s="44">
        <f t="shared" si="3850"/>
        <v>1153556.2499999998</v>
      </c>
      <c r="R6270" s="44">
        <f t="shared" si="3851"/>
        <v>346066.875</v>
      </c>
      <c r="S6270" s="123"/>
      <c r="T6270" s="219">
        <f t="shared" si="3852"/>
        <v>346066.875</v>
      </c>
      <c r="U6270" s="87"/>
      <c r="V6270" s="47"/>
      <c r="W6270" s="48"/>
      <c r="X6270" s="48"/>
      <c r="Y6270" s="48"/>
      <c r="Z6270" s="135"/>
      <c r="AA6270" s="49"/>
      <c r="AB6270" s="50">
        <f t="shared" si="3853"/>
        <v>1153556.2499999998</v>
      </c>
      <c r="AC6270" s="42">
        <f t="shared" si="3854"/>
        <v>0.30000000000000004</v>
      </c>
      <c r="AD6270" s="90">
        <f>AD6271</f>
        <v>346066.875</v>
      </c>
      <c r="AE6270" s="188">
        <f t="shared" ref="AE6270:AH6270" si="4364">AE6271</f>
        <v>0</v>
      </c>
      <c r="AF6270" s="189">
        <f t="shared" si="4364"/>
        <v>0</v>
      </c>
      <c r="AG6270" s="189">
        <f t="shared" si="4364"/>
        <v>0</v>
      </c>
      <c r="AH6270" s="189">
        <f t="shared" si="4364"/>
        <v>0</v>
      </c>
      <c r="AI6270" s="161">
        <f t="shared" ref="AI6270:AI6271" si="4365">SUM(AE6270:AH6270)</f>
        <v>0</v>
      </c>
      <c r="AK6270" s="169">
        <v>5</v>
      </c>
      <c r="AO6270" s="19" t="s">
        <v>63</v>
      </c>
    </row>
    <row r="6271" spans="1:41" s="103" customFormat="1" ht="19.899999999999999" customHeight="1" x14ac:dyDescent="0.25">
      <c r="A6271" s="51"/>
      <c r="B6271" s="52"/>
      <c r="C6271" s="165"/>
      <c r="D6271" s="52"/>
      <c r="E6271" s="115"/>
      <c r="F6271" s="58"/>
      <c r="G6271" s="58"/>
      <c r="H6271" s="58"/>
      <c r="I6271" s="55"/>
      <c r="J6271" s="113">
        <f>J6270</f>
        <v>0.30000000000000004</v>
      </c>
      <c r="K6271" s="212">
        <f>K6270</f>
        <v>0.30000000000000004</v>
      </c>
      <c r="L6271" s="58"/>
      <c r="M6271" s="58">
        <f>K6271-L6271</f>
        <v>0.30000000000000004</v>
      </c>
      <c r="N6271" s="166"/>
      <c r="O6271" s="58"/>
      <c r="P6271" s="58"/>
      <c r="Q6271" s="58"/>
      <c r="R6271" s="58"/>
      <c r="S6271" s="58"/>
      <c r="T6271" s="220"/>
      <c r="U6271" s="88"/>
      <c r="V6271" s="56"/>
      <c r="W6271" s="57" t="s">
        <v>1621</v>
      </c>
      <c r="X6271" s="53"/>
      <c r="Y6271" s="91" t="s">
        <v>1349</v>
      </c>
      <c r="Z6271" s="136">
        <f>AD6271/AC6271</f>
        <v>1153556.2499999998</v>
      </c>
      <c r="AA6271" s="58"/>
      <c r="AB6271" s="53">
        <f>AD6271/AC6271</f>
        <v>1153556.2499999998</v>
      </c>
      <c r="AC6271" s="53">
        <f>M6271+$AE$10</f>
        <v>0.30000000000000004</v>
      </c>
      <c r="AD6271" s="54">
        <f>SUM(AD6272)</f>
        <v>346066.875</v>
      </c>
      <c r="AE6271" s="184">
        <f>SUMIFS($AD$37:$AD$12971,$V$37:$V$12971,$V6271,$X$37:$X$12971,AE$13)</f>
        <v>0</v>
      </c>
      <c r="AF6271" s="185">
        <f>SUMIFS($AD$37:$AD$12971,$V$37:$V$12971,$V6271,$X$37:$X$12971,AF$13)</f>
        <v>0</v>
      </c>
      <c r="AG6271" s="185">
        <f>SUMIFS($AD$37:$AD$12971,$V$37:$V$12971,$V6271,$X$37:$X$12971,AG$13)</f>
        <v>0</v>
      </c>
      <c r="AH6271" s="187">
        <f>SUMIFS($AD$37:$AD$12971,$V$37:$V$12971,$V6271,$X$37:$X$12971,AH$13)</f>
        <v>0</v>
      </c>
      <c r="AI6271" s="161">
        <f t="shared" si="4365"/>
        <v>0</v>
      </c>
      <c r="AK6271" s="172"/>
    </row>
    <row r="6272" spans="1:41" s="102" customFormat="1" ht="19.899999999999999" customHeight="1" x14ac:dyDescent="0.25">
      <c r="A6272" s="45"/>
      <c r="B6272" s="59"/>
      <c r="C6272" s="137"/>
      <c r="D6272" s="59"/>
      <c r="E6272" s="116"/>
      <c r="F6272" s="120"/>
      <c r="G6272" s="120"/>
      <c r="H6272" s="120"/>
      <c r="I6272" s="60"/>
      <c r="J6272" s="116"/>
      <c r="K6272" s="213"/>
      <c r="L6272" s="120"/>
      <c r="M6272" s="120"/>
      <c r="N6272" s="167"/>
      <c r="O6272" s="120"/>
      <c r="P6272" s="120"/>
      <c r="Q6272" s="120"/>
      <c r="R6272" s="120"/>
      <c r="S6272" s="120"/>
      <c r="T6272" s="221"/>
      <c r="U6272" s="89"/>
      <c r="V6272" s="61"/>
      <c r="W6272" s="92" t="s">
        <v>1620</v>
      </c>
      <c r="X6272" s="93" t="s">
        <v>32</v>
      </c>
      <c r="Y6272" s="93" t="s">
        <v>1349</v>
      </c>
      <c r="Z6272" s="134">
        <f>VLOOKUP(W6272,Sheet2!$B:$D,3,FALSE)</f>
        <v>1153556.2499999998</v>
      </c>
      <c r="AA6272" s="93">
        <v>1</v>
      </c>
      <c r="AB6272" s="93">
        <f>AD6272/AC6271</f>
        <v>1153556.2499999998</v>
      </c>
      <c r="AC6272" s="93">
        <f>AC6271/AA6272</f>
        <v>0.30000000000000004</v>
      </c>
      <c r="AD6272" s="94">
        <f t="shared" ref="AD6272" si="4366">AC6272*Z6272</f>
        <v>346066.875</v>
      </c>
      <c r="AE6272" s="190"/>
      <c r="AF6272" s="191"/>
      <c r="AG6272" s="191"/>
      <c r="AH6272" s="191"/>
      <c r="AI6272" s="186"/>
      <c r="AK6272" s="171"/>
    </row>
    <row r="6273" spans="1:41" ht="20.100000000000001" customHeight="1" x14ac:dyDescent="0.25">
      <c r="A6273" s="277" t="s">
        <v>491</v>
      </c>
      <c r="B6273" s="278"/>
      <c r="C6273" s="64" t="s">
        <v>637</v>
      </c>
      <c r="D6273" s="46" t="s">
        <v>186</v>
      </c>
      <c r="E6273" s="114">
        <v>1</v>
      </c>
      <c r="F6273" s="44">
        <v>226585</v>
      </c>
      <c r="G6273" s="44">
        <f t="shared" si="3841"/>
        <v>226585</v>
      </c>
      <c r="H6273" s="44">
        <f t="shared" si="3842"/>
        <v>145500</v>
      </c>
      <c r="I6273" s="43">
        <f t="shared" si="3843"/>
        <v>145500</v>
      </c>
      <c r="J6273" s="112">
        <f t="shared" si="3844"/>
        <v>1</v>
      </c>
      <c r="K6273" s="211">
        <f t="shared" si="3845"/>
        <v>1</v>
      </c>
      <c r="L6273" s="44"/>
      <c r="M6273" s="44">
        <f t="shared" si="3846"/>
        <v>1</v>
      </c>
      <c r="N6273" s="173">
        <f t="shared" si="3847"/>
        <v>1</v>
      </c>
      <c r="O6273" s="44">
        <f t="shared" si="3848"/>
        <v>226585</v>
      </c>
      <c r="P6273" s="44">
        <f t="shared" si="3849"/>
        <v>226585</v>
      </c>
      <c r="Q6273" s="44">
        <f t="shared" si="3850"/>
        <v>145500</v>
      </c>
      <c r="R6273" s="44">
        <f t="shared" si="3851"/>
        <v>145500</v>
      </c>
      <c r="S6273" s="123"/>
      <c r="T6273" s="219">
        <f t="shared" si="3852"/>
        <v>145500</v>
      </c>
      <c r="U6273" s="87"/>
      <c r="V6273" s="47"/>
      <c r="W6273" s="48"/>
      <c r="X6273" s="48"/>
      <c r="Y6273" s="48"/>
      <c r="Z6273" s="135"/>
      <c r="AA6273" s="49"/>
      <c r="AB6273" s="50">
        <f t="shared" si="3853"/>
        <v>145500</v>
      </c>
      <c r="AC6273" s="42">
        <f t="shared" si="3854"/>
        <v>1</v>
      </c>
      <c r="AD6273" s="90">
        <f>AD6274</f>
        <v>145500</v>
      </c>
      <c r="AE6273" s="188">
        <f t="shared" ref="AE6273" si="4367">AE6274</f>
        <v>0</v>
      </c>
      <c r="AF6273" s="189">
        <f t="shared" ref="AF6273" si="4368">AF6274</f>
        <v>0</v>
      </c>
      <c r="AG6273" s="189">
        <f t="shared" ref="AG6273" si="4369">AG6274</f>
        <v>0</v>
      </c>
      <c r="AH6273" s="189">
        <f t="shared" ref="AH6273" si="4370">AH6274</f>
        <v>0</v>
      </c>
      <c r="AI6273" s="161">
        <f t="shared" ref="AI6273" si="4371">SUM(AE6273:AH6273)</f>
        <v>0</v>
      </c>
      <c r="AK6273" s="169">
        <v>5</v>
      </c>
      <c r="AO6273" s="19" t="s">
        <v>63</v>
      </c>
    </row>
    <row r="6274" spans="1:41" s="103" customFormat="1" ht="19.899999999999999" customHeight="1" x14ac:dyDescent="0.25">
      <c r="A6274" s="51"/>
      <c r="B6274" s="52"/>
      <c r="C6274" s="165"/>
      <c r="D6274" s="52"/>
      <c r="E6274" s="115"/>
      <c r="F6274" s="58"/>
      <c r="G6274" s="58"/>
      <c r="H6274" s="58"/>
      <c r="I6274" s="55"/>
      <c r="J6274" s="113">
        <f>J6273</f>
        <v>1</v>
      </c>
      <c r="K6274" s="212">
        <f>K6273</f>
        <v>1</v>
      </c>
      <c r="L6274" s="58"/>
      <c r="M6274" s="58">
        <f>K6274-L6274</f>
        <v>1</v>
      </c>
      <c r="N6274" s="166"/>
      <c r="O6274" s="58"/>
      <c r="P6274" s="58"/>
      <c r="Q6274" s="58"/>
      <c r="R6274" s="58"/>
      <c r="S6274" s="58"/>
      <c r="T6274" s="220"/>
      <c r="U6274" s="88"/>
      <c r="V6274" s="56"/>
      <c r="W6274" s="57" t="s">
        <v>1579</v>
      </c>
      <c r="X6274" s="53"/>
      <c r="Y6274" s="91" t="s">
        <v>1349</v>
      </c>
      <c r="Z6274" s="136">
        <f>AD6274/AC6274</f>
        <v>145500</v>
      </c>
      <c r="AA6274" s="58"/>
      <c r="AB6274" s="53">
        <f>AD6274/AC6274</f>
        <v>145500</v>
      </c>
      <c r="AC6274" s="53">
        <f>M6274+$AE$10</f>
        <v>1</v>
      </c>
      <c r="AD6274" s="54">
        <f>SUM(AD6275)</f>
        <v>145500</v>
      </c>
      <c r="AE6274" s="184">
        <f>SUMIFS($AD$37:$AD$12971,$V$37:$V$12971,$V6274,$X$37:$X$12971,AE$13)</f>
        <v>0</v>
      </c>
      <c r="AF6274" s="185">
        <f>SUMIFS($AD$37:$AD$12971,$V$37:$V$12971,$V6274,$X$37:$X$12971,AF$13)</f>
        <v>0</v>
      </c>
      <c r="AG6274" s="185">
        <f>SUMIFS($AD$37:$AD$12971,$V$37:$V$12971,$V6274,$X$37:$X$12971,AG$13)</f>
        <v>0</v>
      </c>
      <c r="AH6274" s="187">
        <f>SUMIFS($AD$37:$AD$12971,$V$37:$V$12971,$V6274,$X$37:$X$12971,AH$13)</f>
        <v>0</v>
      </c>
      <c r="AI6274" s="161">
        <f t="shared" ref="AI6274" si="4372">SUM(AE6274:AH6274)</f>
        <v>0</v>
      </c>
      <c r="AK6274" s="172"/>
    </row>
    <row r="6275" spans="1:41" s="102" customFormat="1" ht="19.899999999999999" customHeight="1" x14ac:dyDescent="0.25">
      <c r="A6275" s="45"/>
      <c r="B6275" s="59"/>
      <c r="C6275" s="137"/>
      <c r="D6275" s="59"/>
      <c r="E6275" s="116"/>
      <c r="F6275" s="120"/>
      <c r="G6275" s="120"/>
      <c r="H6275" s="120"/>
      <c r="I6275" s="60"/>
      <c r="J6275" s="116"/>
      <c r="K6275" s="213"/>
      <c r="L6275" s="120"/>
      <c r="M6275" s="120"/>
      <c r="N6275" s="167"/>
      <c r="O6275" s="120"/>
      <c r="P6275" s="120"/>
      <c r="Q6275" s="120"/>
      <c r="R6275" s="120"/>
      <c r="S6275" s="120"/>
      <c r="T6275" s="221"/>
      <c r="U6275" s="89"/>
      <c r="V6275" s="61"/>
      <c r="W6275" s="92" t="s">
        <v>1581</v>
      </c>
      <c r="X6275" s="93" t="s">
        <v>32</v>
      </c>
      <c r="Y6275" s="93" t="s">
        <v>1349</v>
      </c>
      <c r="Z6275" s="134">
        <f>VLOOKUP(W6275,Sheet2!$B:$D,3,FALSE)</f>
        <v>145500</v>
      </c>
      <c r="AA6275" s="93">
        <v>1</v>
      </c>
      <c r="AB6275" s="93">
        <f>AD6275/AC6274</f>
        <v>145500</v>
      </c>
      <c r="AC6275" s="93">
        <f>AC6274/AA6275</f>
        <v>1</v>
      </c>
      <c r="AD6275" s="94">
        <f t="shared" ref="AD6275" si="4373">AC6275*Z6275</f>
        <v>145500</v>
      </c>
      <c r="AE6275" s="190"/>
      <c r="AF6275" s="191"/>
      <c r="AG6275" s="191"/>
      <c r="AH6275" s="191"/>
      <c r="AI6275" s="186"/>
      <c r="AK6275" s="171"/>
    </row>
    <row r="6276" spans="1:41" ht="20.100000000000001" customHeight="1" x14ac:dyDescent="0.25">
      <c r="A6276" s="277" t="s">
        <v>491</v>
      </c>
      <c r="B6276" s="278"/>
      <c r="C6276" s="64" t="s">
        <v>638</v>
      </c>
      <c r="D6276" s="46" t="s">
        <v>215</v>
      </c>
      <c r="E6276" s="114">
        <v>1</v>
      </c>
      <c r="F6276" s="44">
        <v>2596290</v>
      </c>
      <c r="G6276" s="44">
        <f t="shared" si="3841"/>
        <v>2596290</v>
      </c>
      <c r="H6276" s="44">
        <f t="shared" si="3842"/>
        <v>1812500</v>
      </c>
      <c r="I6276" s="43">
        <f t="shared" si="3843"/>
        <v>1812500</v>
      </c>
      <c r="J6276" s="112">
        <f t="shared" si="3844"/>
        <v>1</v>
      </c>
      <c r="K6276" s="211">
        <f t="shared" si="3845"/>
        <v>1</v>
      </c>
      <c r="L6276" s="44"/>
      <c r="M6276" s="44">
        <f t="shared" si="3846"/>
        <v>1</v>
      </c>
      <c r="N6276" s="173">
        <f t="shared" si="3847"/>
        <v>1</v>
      </c>
      <c r="O6276" s="44">
        <f t="shared" si="3848"/>
        <v>2596290</v>
      </c>
      <c r="P6276" s="44">
        <f t="shared" si="3849"/>
        <v>2596290</v>
      </c>
      <c r="Q6276" s="44">
        <f t="shared" si="3850"/>
        <v>1812500</v>
      </c>
      <c r="R6276" s="44">
        <f t="shared" si="3851"/>
        <v>1812500</v>
      </c>
      <c r="S6276" s="123"/>
      <c r="T6276" s="219">
        <f t="shared" si="3852"/>
        <v>1812500</v>
      </c>
      <c r="U6276" s="87"/>
      <c r="V6276" s="47"/>
      <c r="W6276" s="48"/>
      <c r="X6276" s="48"/>
      <c r="Y6276" s="48"/>
      <c r="Z6276" s="135"/>
      <c r="AA6276" s="49"/>
      <c r="AB6276" s="50">
        <f t="shared" si="3853"/>
        <v>1812500</v>
      </c>
      <c r="AC6276" s="42">
        <f t="shared" si="3854"/>
        <v>1</v>
      </c>
      <c r="AD6276" s="90">
        <f>AD6277</f>
        <v>1812500</v>
      </c>
      <c r="AE6276" s="188">
        <f t="shared" ref="AE6276" si="4374">AE6277</f>
        <v>0</v>
      </c>
      <c r="AF6276" s="189">
        <f t="shared" ref="AF6276" si="4375">AF6277</f>
        <v>0</v>
      </c>
      <c r="AG6276" s="189">
        <f t="shared" ref="AG6276" si="4376">AG6277</f>
        <v>0</v>
      </c>
      <c r="AH6276" s="189">
        <f t="shared" ref="AH6276" si="4377">AH6277</f>
        <v>0</v>
      </c>
      <c r="AI6276" s="161">
        <f t="shared" ref="AI6276" si="4378">SUM(AE6276:AH6276)</f>
        <v>0</v>
      </c>
      <c r="AK6276" s="169">
        <v>5</v>
      </c>
      <c r="AO6276" s="19" t="s">
        <v>63</v>
      </c>
    </row>
    <row r="6277" spans="1:41" s="103" customFormat="1" ht="19.899999999999999" customHeight="1" x14ac:dyDescent="0.25">
      <c r="A6277" s="51"/>
      <c r="B6277" s="52"/>
      <c r="C6277" s="165"/>
      <c r="D6277" s="52"/>
      <c r="E6277" s="115"/>
      <c r="F6277" s="58"/>
      <c r="G6277" s="58"/>
      <c r="H6277" s="58"/>
      <c r="I6277" s="55"/>
      <c r="J6277" s="113">
        <f>J6276</f>
        <v>1</v>
      </c>
      <c r="K6277" s="212">
        <f>K6276</f>
        <v>1</v>
      </c>
      <c r="L6277" s="58"/>
      <c r="M6277" s="58">
        <f>K6277-L6277</f>
        <v>1</v>
      </c>
      <c r="N6277" s="166"/>
      <c r="O6277" s="58"/>
      <c r="P6277" s="58"/>
      <c r="Q6277" s="58"/>
      <c r="R6277" s="58"/>
      <c r="S6277" s="58"/>
      <c r="T6277" s="220"/>
      <c r="U6277" s="88"/>
      <c r="V6277" s="56"/>
      <c r="W6277" s="57" t="s">
        <v>638</v>
      </c>
      <c r="X6277" s="53"/>
      <c r="Y6277" s="91" t="s">
        <v>35</v>
      </c>
      <c r="Z6277" s="136">
        <f>AD6277/AC6277</f>
        <v>1812500</v>
      </c>
      <c r="AA6277" s="58"/>
      <c r="AB6277" s="53">
        <f>AD6277/AC6277</f>
        <v>1812500</v>
      </c>
      <c r="AC6277" s="53">
        <f>M6277+$AE$10</f>
        <v>1</v>
      </c>
      <c r="AD6277" s="54">
        <f>SUM(AD6278)</f>
        <v>1812500</v>
      </c>
      <c r="AE6277" s="184">
        <f>SUMIFS($AD$37:$AD$12971,$V$37:$V$12971,$V6277,$X$37:$X$12971,AE$13)</f>
        <v>0</v>
      </c>
      <c r="AF6277" s="185">
        <f>SUMIFS($AD$37:$AD$12971,$V$37:$V$12971,$V6277,$X$37:$X$12971,AF$13)</f>
        <v>0</v>
      </c>
      <c r="AG6277" s="185">
        <f>SUMIFS($AD$37:$AD$12971,$V$37:$V$12971,$V6277,$X$37:$X$12971,AG$13)</f>
        <v>0</v>
      </c>
      <c r="AH6277" s="187">
        <f>SUMIFS($AD$37:$AD$12971,$V$37:$V$12971,$V6277,$X$37:$X$12971,AH$13)</f>
        <v>0</v>
      </c>
      <c r="AI6277" s="161">
        <f t="shared" ref="AI6277" si="4379">SUM(AE6277:AH6277)</f>
        <v>0</v>
      </c>
      <c r="AK6277" s="172"/>
    </row>
    <row r="6278" spans="1:41" s="102" customFormat="1" ht="19.899999999999999" customHeight="1" x14ac:dyDescent="0.25">
      <c r="A6278" s="45"/>
      <c r="B6278" s="59"/>
      <c r="C6278" s="137"/>
      <c r="D6278" s="59"/>
      <c r="E6278" s="116"/>
      <c r="F6278" s="120"/>
      <c r="G6278" s="120"/>
      <c r="H6278" s="120"/>
      <c r="I6278" s="60"/>
      <c r="J6278" s="116"/>
      <c r="K6278" s="213"/>
      <c r="L6278" s="120"/>
      <c r="M6278" s="120"/>
      <c r="N6278" s="167"/>
      <c r="O6278" s="120"/>
      <c r="P6278" s="120"/>
      <c r="Q6278" s="120"/>
      <c r="R6278" s="120"/>
      <c r="S6278" s="120"/>
      <c r="T6278" s="221"/>
      <c r="U6278" s="89"/>
      <c r="V6278" s="61"/>
      <c r="W6278" s="92" t="s">
        <v>1622</v>
      </c>
      <c r="X6278" s="93" t="s">
        <v>32</v>
      </c>
      <c r="Y6278" s="93" t="s">
        <v>1349</v>
      </c>
      <c r="Z6278" s="134">
        <f>VLOOKUP(W6278,Sheet2!$B:$D,3,FALSE)</f>
        <v>1812500</v>
      </c>
      <c r="AA6278" s="93">
        <v>1</v>
      </c>
      <c r="AB6278" s="93">
        <f>AD6278/AC6277</f>
        <v>1812500</v>
      </c>
      <c r="AC6278" s="93">
        <f>AC6277/AA6278</f>
        <v>1</v>
      </c>
      <c r="AD6278" s="94">
        <f t="shared" ref="AD6278" si="4380">AC6278*Z6278</f>
        <v>1812500</v>
      </c>
      <c r="AE6278" s="190"/>
      <c r="AF6278" s="191"/>
      <c r="AG6278" s="191"/>
      <c r="AH6278" s="191"/>
      <c r="AI6278" s="186"/>
      <c r="AK6278" s="171"/>
    </row>
    <row r="6279" spans="1:41" s="102" customFormat="1" ht="20.100000000000001" customHeight="1" x14ac:dyDescent="0.25">
      <c r="A6279" s="45" t="s">
        <v>491</v>
      </c>
      <c r="B6279" s="276"/>
      <c r="C6279" s="285" t="s">
        <v>643</v>
      </c>
      <c r="D6279" s="59"/>
      <c r="E6279" s="116"/>
      <c r="F6279" s="120"/>
      <c r="G6279" s="120">
        <f t="shared" si="3841"/>
        <v>0</v>
      </c>
      <c r="H6279" s="120">
        <f t="shared" si="3842"/>
        <v>0</v>
      </c>
      <c r="I6279" s="60">
        <f t="shared" si="3843"/>
        <v>0</v>
      </c>
      <c r="J6279" s="116">
        <f t="shared" si="3844"/>
        <v>0</v>
      </c>
      <c r="K6279" s="213">
        <f t="shared" si="3845"/>
        <v>0</v>
      </c>
      <c r="L6279" s="120"/>
      <c r="M6279" s="120">
        <f t="shared" si="3846"/>
        <v>0</v>
      </c>
      <c r="N6279" s="167">
        <f t="shared" si="3847"/>
        <v>0</v>
      </c>
      <c r="O6279" s="120">
        <f t="shared" si="3848"/>
        <v>0</v>
      </c>
      <c r="P6279" s="120">
        <f t="shared" si="3849"/>
        <v>0</v>
      </c>
      <c r="Q6279" s="120">
        <f t="shared" si="3850"/>
        <v>0</v>
      </c>
      <c r="R6279" s="120">
        <f t="shared" si="3851"/>
        <v>0</v>
      </c>
      <c r="S6279" s="120"/>
      <c r="T6279" s="221">
        <f t="shared" si="3852"/>
        <v>0</v>
      </c>
      <c r="U6279" s="89"/>
      <c r="V6279" s="61"/>
      <c r="W6279" s="92"/>
      <c r="X6279" s="38"/>
      <c r="Y6279" s="93"/>
      <c r="Z6279" s="134"/>
      <c r="AA6279" s="93"/>
      <c r="AB6279" s="93"/>
      <c r="AC6279" s="93"/>
      <c r="AD6279" s="94"/>
      <c r="AE6279" s="190"/>
      <c r="AF6279" s="191"/>
      <c r="AG6279" s="191"/>
      <c r="AH6279" s="191"/>
      <c r="AI6279" s="186"/>
      <c r="AK6279" s="171"/>
    </row>
    <row r="6280" spans="1:41" ht="37.5" customHeight="1" x14ac:dyDescent="0.25">
      <c r="A6280" s="277" t="s">
        <v>491</v>
      </c>
      <c r="B6280" s="278"/>
      <c r="C6280" s="64" t="s">
        <v>644</v>
      </c>
      <c r="D6280" s="46"/>
      <c r="E6280" s="114"/>
      <c r="F6280" s="44"/>
      <c r="G6280" s="44">
        <f t="shared" si="3841"/>
        <v>0</v>
      </c>
      <c r="H6280" s="44">
        <f t="shared" si="3842"/>
        <v>0</v>
      </c>
      <c r="I6280" s="43">
        <f t="shared" si="3843"/>
        <v>0</v>
      </c>
      <c r="J6280" s="112">
        <f t="shared" si="3844"/>
        <v>0</v>
      </c>
      <c r="K6280" s="211">
        <f t="shared" si="3845"/>
        <v>0</v>
      </c>
      <c r="L6280" s="44"/>
      <c r="M6280" s="44">
        <f t="shared" si="3846"/>
        <v>0</v>
      </c>
      <c r="N6280" s="173">
        <f t="shared" si="3847"/>
        <v>0</v>
      </c>
      <c r="O6280" s="44">
        <f t="shared" si="3848"/>
        <v>0</v>
      </c>
      <c r="P6280" s="44">
        <f t="shared" si="3849"/>
        <v>0</v>
      </c>
      <c r="Q6280" s="44">
        <f t="shared" si="3850"/>
        <v>0</v>
      </c>
      <c r="R6280" s="44">
        <f t="shared" si="3851"/>
        <v>0</v>
      </c>
      <c r="S6280" s="123"/>
      <c r="T6280" s="219">
        <f t="shared" si="3852"/>
        <v>0</v>
      </c>
      <c r="U6280" s="87"/>
      <c r="V6280" s="47"/>
      <c r="W6280" s="48"/>
      <c r="X6280" s="48"/>
      <c r="Y6280" s="48"/>
      <c r="Z6280" s="135"/>
      <c r="AA6280" s="49"/>
      <c r="AB6280" s="50">
        <f t="shared" si="3853"/>
        <v>0</v>
      </c>
      <c r="AC6280" s="42">
        <f t="shared" si="3854"/>
        <v>9.9999999999999998E-20</v>
      </c>
      <c r="AD6280" s="90"/>
      <c r="AE6280" s="188"/>
      <c r="AF6280" s="189"/>
      <c r="AG6280" s="189"/>
      <c r="AH6280" s="189"/>
      <c r="AI6280" s="161"/>
    </row>
    <row r="6281" spans="1:41" s="102" customFormat="1" ht="20.100000000000001" customHeight="1" x14ac:dyDescent="0.25">
      <c r="A6281" s="45" t="s">
        <v>491</v>
      </c>
      <c r="B6281" s="276"/>
      <c r="C6281" s="285" t="s">
        <v>639</v>
      </c>
      <c r="D6281" s="59"/>
      <c r="E6281" s="116"/>
      <c r="F6281" s="120"/>
      <c r="G6281" s="120">
        <f t="shared" si="3841"/>
        <v>0</v>
      </c>
      <c r="H6281" s="120">
        <f t="shared" si="3842"/>
        <v>0</v>
      </c>
      <c r="I6281" s="60">
        <f t="shared" si="3843"/>
        <v>0</v>
      </c>
      <c r="J6281" s="116">
        <f t="shared" si="3844"/>
        <v>0</v>
      </c>
      <c r="K6281" s="213">
        <f t="shared" si="3845"/>
        <v>0</v>
      </c>
      <c r="L6281" s="120"/>
      <c r="M6281" s="120">
        <f t="shared" si="3846"/>
        <v>0</v>
      </c>
      <c r="N6281" s="167">
        <f t="shared" si="3847"/>
        <v>0</v>
      </c>
      <c r="O6281" s="120">
        <f t="shared" si="3848"/>
        <v>0</v>
      </c>
      <c r="P6281" s="120">
        <f t="shared" si="3849"/>
        <v>0</v>
      </c>
      <c r="Q6281" s="120">
        <f t="shared" si="3850"/>
        <v>0</v>
      </c>
      <c r="R6281" s="120">
        <f t="shared" si="3851"/>
        <v>0</v>
      </c>
      <c r="S6281" s="120"/>
      <c r="T6281" s="221">
        <f t="shared" si="3852"/>
        <v>0</v>
      </c>
      <c r="U6281" s="89"/>
      <c r="V6281" s="61"/>
      <c r="W6281" s="92"/>
      <c r="X6281" s="38"/>
      <c r="Y6281" s="93"/>
      <c r="Z6281" s="134"/>
      <c r="AA6281" s="93"/>
      <c r="AB6281" s="93"/>
      <c r="AC6281" s="93"/>
      <c r="AD6281" s="94"/>
      <c r="AE6281" s="190"/>
      <c r="AF6281" s="191"/>
      <c r="AG6281" s="191"/>
      <c r="AH6281" s="191"/>
      <c r="AI6281" s="186"/>
      <c r="AK6281" s="171"/>
    </row>
    <row r="6282" spans="1:41" s="102" customFormat="1" ht="94.5" x14ac:dyDescent="0.25">
      <c r="A6282" s="45" t="s">
        <v>491</v>
      </c>
      <c r="B6282" s="276"/>
      <c r="C6282" s="285" t="s">
        <v>640</v>
      </c>
      <c r="D6282" s="59"/>
      <c r="E6282" s="116"/>
      <c r="F6282" s="120"/>
      <c r="G6282" s="120">
        <f t="shared" si="3841"/>
        <v>0</v>
      </c>
      <c r="H6282" s="120">
        <f t="shared" si="3842"/>
        <v>0</v>
      </c>
      <c r="I6282" s="60">
        <f t="shared" si="3843"/>
        <v>0</v>
      </c>
      <c r="J6282" s="116">
        <f t="shared" si="3844"/>
        <v>0</v>
      </c>
      <c r="K6282" s="213">
        <f t="shared" si="3845"/>
        <v>0</v>
      </c>
      <c r="L6282" s="120"/>
      <c r="M6282" s="120">
        <f t="shared" si="3846"/>
        <v>0</v>
      </c>
      <c r="N6282" s="167">
        <f t="shared" si="3847"/>
        <v>0</v>
      </c>
      <c r="O6282" s="120">
        <f t="shared" si="3848"/>
        <v>0</v>
      </c>
      <c r="P6282" s="120">
        <f t="shared" si="3849"/>
        <v>0</v>
      </c>
      <c r="Q6282" s="120">
        <f t="shared" si="3850"/>
        <v>0</v>
      </c>
      <c r="R6282" s="120">
        <f t="shared" si="3851"/>
        <v>0</v>
      </c>
      <c r="S6282" s="120"/>
      <c r="T6282" s="221">
        <f t="shared" si="3852"/>
        <v>0</v>
      </c>
      <c r="U6282" s="89"/>
      <c r="V6282" s="61"/>
      <c r="W6282" s="92"/>
      <c r="X6282" s="38"/>
      <c r="Y6282" s="93"/>
      <c r="Z6282" s="134"/>
      <c r="AA6282" s="93"/>
      <c r="AB6282" s="93"/>
      <c r="AC6282" s="93"/>
      <c r="AD6282" s="94"/>
      <c r="AE6282" s="190"/>
      <c r="AF6282" s="191"/>
      <c r="AG6282" s="191"/>
      <c r="AH6282" s="191"/>
      <c r="AI6282" s="186"/>
      <c r="AK6282" s="171"/>
    </row>
    <row r="6283" spans="1:41" ht="20.100000000000001" customHeight="1" x14ac:dyDescent="0.25">
      <c r="A6283" s="277" t="s">
        <v>491</v>
      </c>
      <c r="B6283" s="278"/>
      <c r="C6283" s="64" t="s">
        <v>641</v>
      </c>
      <c r="D6283" s="46" t="s">
        <v>186</v>
      </c>
      <c r="E6283" s="114">
        <v>0.23000000000000009</v>
      </c>
      <c r="F6283" s="44">
        <v>94411</v>
      </c>
      <c r="G6283" s="44">
        <f t="shared" si="3841"/>
        <v>21714.53000000001</v>
      </c>
      <c r="H6283" s="44">
        <f t="shared" si="3842"/>
        <v>65500</v>
      </c>
      <c r="I6283" s="43">
        <f t="shared" si="3843"/>
        <v>15065.000000000005</v>
      </c>
      <c r="J6283" s="112">
        <f t="shared" si="3844"/>
        <v>0.23000000000000009</v>
      </c>
      <c r="K6283" s="211">
        <f t="shared" si="3845"/>
        <v>0.23000000000000009</v>
      </c>
      <c r="L6283" s="44"/>
      <c r="M6283" s="44">
        <f t="shared" si="3846"/>
        <v>0.23000000000000009</v>
      </c>
      <c r="N6283" s="173">
        <f t="shared" si="3847"/>
        <v>1</v>
      </c>
      <c r="O6283" s="44">
        <f t="shared" si="3848"/>
        <v>94411</v>
      </c>
      <c r="P6283" s="44">
        <f t="shared" si="3849"/>
        <v>21714.53000000001</v>
      </c>
      <c r="Q6283" s="44">
        <f t="shared" si="3850"/>
        <v>65500</v>
      </c>
      <c r="R6283" s="44">
        <f t="shared" si="3851"/>
        <v>15065.000000000005</v>
      </c>
      <c r="S6283" s="123"/>
      <c r="T6283" s="219">
        <f t="shared" si="3852"/>
        <v>15065.000000000005</v>
      </c>
      <c r="U6283" s="87"/>
      <c r="V6283" s="47"/>
      <c r="W6283" s="48"/>
      <c r="X6283" s="48"/>
      <c r="Y6283" s="48"/>
      <c r="Z6283" s="135"/>
      <c r="AA6283" s="49"/>
      <c r="AB6283" s="50">
        <f t="shared" si="3853"/>
        <v>65500</v>
      </c>
      <c r="AC6283" s="42">
        <f t="shared" si="3854"/>
        <v>0.23000000000000009</v>
      </c>
      <c r="AD6283" s="90">
        <f>AD6284</f>
        <v>15065.000000000005</v>
      </c>
      <c r="AE6283" s="188">
        <f t="shared" ref="AE6283" si="4381">AE6284</f>
        <v>0</v>
      </c>
      <c r="AF6283" s="189">
        <f t="shared" ref="AF6283" si="4382">AF6284</f>
        <v>0</v>
      </c>
      <c r="AG6283" s="189">
        <f t="shared" ref="AG6283" si="4383">AG6284</f>
        <v>0</v>
      </c>
      <c r="AH6283" s="189">
        <f t="shared" ref="AH6283" si="4384">AH6284</f>
        <v>0</v>
      </c>
      <c r="AI6283" s="161">
        <f t="shared" ref="AI6283" si="4385">SUM(AE6283:AH6283)</f>
        <v>0</v>
      </c>
      <c r="AK6283" s="169">
        <v>5</v>
      </c>
      <c r="AO6283" s="19" t="s">
        <v>63</v>
      </c>
    </row>
    <row r="6284" spans="1:41" s="103" customFormat="1" ht="19.899999999999999" customHeight="1" x14ac:dyDescent="0.25">
      <c r="A6284" s="51"/>
      <c r="B6284" s="52"/>
      <c r="C6284" s="165"/>
      <c r="D6284" s="52"/>
      <c r="E6284" s="115"/>
      <c r="F6284" s="58"/>
      <c r="G6284" s="58"/>
      <c r="H6284" s="58"/>
      <c r="I6284" s="55"/>
      <c r="J6284" s="113">
        <f>J6283</f>
        <v>0.23000000000000009</v>
      </c>
      <c r="K6284" s="212">
        <f>K6283</f>
        <v>0.23000000000000009</v>
      </c>
      <c r="L6284" s="58"/>
      <c r="M6284" s="58">
        <f>K6284-L6284</f>
        <v>0.23000000000000009</v>
      </c>
      <c r="N6284" s="166"/>
      <c r="O6284" s="58"/>
      <c r="P6284" s="58"/>
      <c r="Q6284" s="58"/>
      <c r="R6284" s="58"/>
      <c r="S6284" s="58"/>
      <c r="T6284" s="220"/>
      <c r="U6284" s="88"/>
      <c r="V6284" s="56"/>
      <c r="W6284" s="57" t="s">
        <v>1623</v>
      </c>
      <c r="X6284" s="53"/>
      <c r="Y6284" s="91" t="s">
        <v>1349</v>
      </c>
      <c r="Z6284" s="136">
        <f>AD6284/AC6284</f>
        <v>65500</v>
      </c>
      <c r="AA6284" s="58"/>
      <c r="AB6284" s="53">
        <f>AD6284/AC6284</f>
        <v>65500</v>
      </c>
      <c r="AC6284" s="53">
        <f>M6284+$AE$10</f>
        <v>0.23000000000000009</v>
      </c>
      <c r="AD6284" s="54">
        <f>SUM(AD6285)</f>
        <v>15065.000000000005</v>
      </c>
      <c r="AE6284" s="184">
        <f>SUMIFS($AD$37:$AD$12971,$V$37:$V$12971,$V6284,$X$37:$X$12971,AE$13)</f>
        <v>0</v>
      </c>
      <c r="AF6284" s="185">
        <f>SUMIFS($AD$37:$AD$12971,$V$37:$V$12971,$V6284,$X$37:$X$12971,AF$13)</f>
        <v>0</v>
      </c>
      <c r="AG6284" s="185">
        <f>SUMIFS($AD$37:$AD$12971,$V$37:$V$12971,$V6284,$X$37:$X$12971,AG$13)</f>
        <v>0</v>
      </c>
      <c r="AH6284" s="187">
        <f>SUMIFS($AD$37:$AD$12971,$V$37:$V$12971,$V6284,$X$37:$X$12971,AH$13)</f>
        <v>0</v>
      </c>
      <c r="AI6284" s="161">
        <f t="shared" ref="AI6284" si="4386">SUM(AE6284:AH6284)</f>
        <v>0</v>
      </c>
      <c r="AK6284" s="172"/>
    </row>
    <row r="6285" spans="1:41" s="102" customFormat="1" ht="19.899999999999999" customHeight="1" x14ac:dyDescent="0.25">
      <c r="A6285" s="45"/>
      <c r="B6285" s="59"/>
      <c r="C6285" s="137"/>
      <c r="D6285" s="59"/>
      <c r="E6285" s="116"/>
      <c r="F6285" s="120"/>
      <c r="G6285" s="120"/>
      <c r="H6285" s="120"/>
      <c r="I6285" s="60"/>
      <c r="J6285" s="116"/>
      <c r="K6285" s="213"/>
      <c r="L6285" s="120"/>
      <c r="M6285" s="120"/>
      <c r="N6285" s="167"/>
      <c r="O6285" s="120"/>
      <c r="P6285" s="120"/>
      <c r="Q6285" s="120"/>
      <c r="R6285" s="120"/>
      <c r="S6285" s="120"/>
      <c r="T6285" s="221"/>
      <c r="U6285" s="89"/>
      <c r="V6285" s="61"/>
      <c r="W6285" s="92" t="s">
        <v>1623</v>
      </c>
      <c r="X6285" s="93" t="s">
        <v>32</v>
      </c>
      <c r="Y6285" s="93" t="s">
        <v>1349</v>
      </c>
      <c r="Z6285" s="134">
        <f>VLOOKUP(W6285,Sheet2!$B:$D,3,FALSE)</f>
        <v>65500</v>
      </c>
      <c r="AA6285" s="93">
        <v>1</v>
      </c>
      <c r="AB6285" s="93">
        <f>AD6285/AC6284</f>
        <v>65500</v>
      </c>
      <c r="AC6285" s="93">
        <f>AC6284/AA6285</f>
        <v>0.23000000000000009</v>
      </c>
      <c r="AD6285" s="94">
        <f t="shared" ref="AD6285" si="4387">AC6285*Z6285</f>
        <v>15065.000000000005</v>
      </c>
      <c r="AE6285" s="190"/>
      <c r="AF6285" s="191"/>
      <c r="AG6285" s="191"/>
      <c r="AH6285" s="191"/>
      <c r="AI6285" s="186"/>
      <c r="AK6285" s="171"/>
    </row>
    <row r="6286" spans="1:41" ht="20.100000000000001" customHeight="1" x14ac:dyDescent="0.25">
      <c r="A6286" s="277" t="s">
        <v>491</v>
      </c>
      <c r="B6286" s="278"/>
      <c r="C6286" s="64" t="s">
        <v>642</v>
      </c>
      <c r="D6286" s="46"/>
      <c r="E6286" s="114"/>
      <c r="F6286" s="44"/>
      <c r="G6286" s="44">
        <f t="shared" si="3841"/>
        <v>0</v>
      </c>
      <c r="H6286" s="44">
        <f t="shared" si="3842"/>
        <v>0</v>
      </c>
      <c r="I6286" s="43">
        <f t="shared" si="3843"/>
        <v>0</v>
      </c>
      <c r="J6286" s="112">
        <f t="shared" si="3844"/>
        <v>0</v>
      </c>
      <c r="K6286" s="211">
        <f t="shared" si="3845"/>
        <v>0</v>
      </c>
      <c r="L6286" s="44"/>
      <c r="M6286" s="44">
        <f t="shared" si="3846"/>
        <v>0</v>
      </c>
      <c r="N6286" s="173">
        <f t="shared" si="3847"/>
        <v>0</v>
      </c>
      <c r="O6286" s="44">
        <f t="shared" si="3848"/>
        <v>0</v>
      </c>
      <c r="P6286" s="44">
        <f t="shared" si="3849"/>
        <v>0</v>
      </c>
      <c r="Q6286" s="44">
        <f t="shared" si="3850"/>
        <v>0</v>
      </c>
      <c r="R6286" s="44">
        <f t="shared" si="3851"/>
        <v>0</v>
      </c>
      <c r="S6286" s="123"/>
      <c r="T6286" s="219">
        <f t="shared" si="3852"/>
        <v>0</v>
      </c>
      <c r="U6286" s="87"/>
      <c r="V6286" s="47"/>
      <c r="W6286" s="48"/>
      <c r="X6286" s="48"/>
      <c r="Y6286" s="48"/>
      <c r="Z6286" s="135"/>
      <c r="AA6286" s="49"/>
      <c r="AB6286" s="50">
        <f t="shared" si="3853"/>
        <v>0</v>
      </c>
      <c r="AC6286" s="42">
        <f t="shared" si="3854"/>
        <v>9.9999999999999998E-20</v>
      </c>
      <c r="AD6286" s="90"/>
      <c r="AE6286" s="188"/>
      <c r="AF6286" s="189"/>
      <c r="AG6286" s="189"/>
      <c r="AH6286" s="189"/>
      <c r="AI6286" s="161"/>
    </row>
    <row r="6287" spans="1:41" s="102" customFormat="1" ht="20.100000000000001" customHeight="1" x14ac:dyDescent="0.25">
      <c r="A6287" s="45" t="s">
        <v>491</v>
      </c>
      <c r="B6287" s="276"/>
      <c r="C6287" s="285" t="s">
        <v>646</v>
      </c>
      <c r="D6287" s="59"/>
      <c r="E6287" s="116"/>
      <c r="F6287" s="120"/>
      <c r="G6287" s="120">
        <f t="shared" si="3841"/>
        <v>0</v>
      </c>
      <c r="H6287" s="120">
        <f t="shared" si="3842"/>
        <v>0</v>
      </c>
      <c r="I6287" s="60">
        <f t="shared" si="3843"/>
        <v>0</v>
      </c>
      <c r="J6287" s="116">
        <f t="shared" si="3844"/>
        <v>0</v>
      </c>
      <c r="K6287" s="213">
        <f t="shared" si="3845"/>
        <v>0</v>
      </c>
      <c r="L6287" s="120"/>
      <c r="M6287" s="120">
        <f t="shared" si="3846"/>
        <v>0</v>
      </c>
      <c r="N6287" s="167">
        <f t="shared" si="3847"/>
        <v>0</v>
      </c>
      <c r="O6287" s="120">
        <f t="shared" si="3848"/>
        <v>0</v>
      </c>
      <c r="P6287" s="120">
        <f t="shared" si="3849"/>
        <v>0</v>
      </c>
      <c r="Q6287" s="120">
        <f t="shared" si="3850"/>
        <v>0</v>
      </c>
      <c r="R6287" s="120">
        <f t="shared" si="3851"/>
        <v>0</v>
      </c>
      <c r="S6287" s="120"/>
      <c r="T6287" s="221">
        <f t="shared" si="3852"/>
        <v>0</v>
      </c>
      <c r="U6287" s="89"/>
      <c r="V6287" s="61"/>
      <c r="W6287" s="92"/>
      <c r="X6287" s="38"/>
      <c r="Y6287" s="93"/>
      <c r="Z6287" s="134"/>
      <c r="AA6287" s="93"/>
      <c r="AB6287" s="93"/>
      <c r="AC6287" s="93"/>
      <c r="AD6287" s="94"/>
      <c r="AE6287" s="190"/>
      <c r="AF6287" s="191"/>
      <c r="AG6287" s="191"/>
      <c r="AH6287" s="191"/>
      <c r="AI6287" s="186"/>
      <c r="AK6287" s="171"/>
    </row>
    <row r="6288" spans="1:41" s="102" customFormat="1" ht="126" x14ac:dyDescent="0.25">
      <c r="A6288" s="45" t="s">
        <v>491</v>
      </c>
      <c r="B6288" s="276"/>
      <c r="C6288" s="285" t="s">
        <v>647</v>
      </c>
      <c r="D6288" s="59"/>
      <c r="E6288" s="116"/>
      <c r="F6288" s="120"/>
      <c r="G6288" s="120">
        <f t="shared" si="3841"/>
        <v>0</v>
      </c>
      <c r="H6288" s="120">
        <f t="shared" si="3842"/>
        <v>0</v>
      </c>
      <c r="I6288" s="60">
        <f t="shared" si="3843"/>
        <v>0</v>
      </c>
      <c r="J6288" s="116">
        <f t="shared" si="3844"/>
        <v>0</v>
      </c>
      <c r="K6288" s="213">
        <f t="shared" si="3845"/>
        <v>0</v>
      </c>
      <c r="L6288" s="120"/>
      <c r="M6288" s="120">
        <f t="shared" si="3846"/>
        <v>0</v>
      </c>
      <c r="N6288" s="167">
        <f t="shared" si="3847"/>
        <v>0</v>
      </c>
      <c r="O6288" s="120">
        <f t="shared" si="3848"/>
        <v>0</v>
      </c>
      <c r="P6288" s="120">
        <f t="shared" si="3849"/>
        <v>0</v>
      </c>
      <c r="Q6288" s="120">
        <f t="shared" si="3850"/>
        <v>0</v>
      </c>
      <c r="R6288" s="120">
        <f t="shared" si="3851"/>
        <v>0</v>
      </c>
      <c r="S6288" s="120"/>
      <c r="T6288" s="221">
        <f t="shared" si="3852"/>
        <v>0</v>
      </c>
      <c r="U6288" s="89"/>
      <c r="V6288" s="61"/>
      <c r="W6288" s="92"/>
      <c r="X6288" s="38"/>
      <c r="Y6288" s="93"/>
      <c r="Z6288" s="134"/>
      <c r="AA6288" s="93"/>
      <c r="AB6288" s="93"/>
      <c r="AC6288" s="93"/>
      <c r="AD6288" s="94"/>
      <c r="AE6288" s="190"/>
      <c r="AF6288" s="191"/>
      <c r="AG6288" s="191"/>
      <c r="AH6288" s="191"/>
      <c r="AI6288" s="186"/>
      <c r="AK6288" s="171"/>
    </row>
    <row r="6289" spans="1:41" ht="25.5" x14ac:dyDescent="0.25">
      <c r="A6289" s="277" t="s">
        <v>491</v>
      </c>
      <c r="B6289" s="278"/>
      <c r="C6289" s="64" t="s">
        <v>686</v>
      </c>
      <c r="D6289" s="46" t="s">
        <v>186</v>
      </c>
      <c r="E6289" s="114">
        <v>0.63</v>
      </c>
      <c r="F6289" s="44">
        <v>212423</v>
      </c>
      <c r="G6289" s="44">
        <f t="shared" si="3841"/>
        <v>133826.49</v>
      </c>
      <c r="H6289" s="44">
        <f t="shared" si="3842"/>
        <v>157093.51699999996</v>
      </c>
      <c r="I6289" s="43">
        <f t="shared" si="3843"/>
        <v>98968.915709999972</v>
      </c>
      <c r="J6289" s="112">
        <f t="shared" si="3844"/>
        <v>0.63</v>
      </c>
      <c r="K6289" s="211">
        <f t="shared" si="3845"/>
        <v>0.63</v>
      </c>
      <c r="L6289" s="44"/>
      <c r="M6289" s="44">
        <f t="shared" si="3846"/>
        <v>0.63</v>
      </c>
      <c r="N6289" s="173">
        <f t="shared" si="3847"/>
        <v>1</v>
      </c>
      <c r="O6289" s="44">
        <f t="shared" si="3848"/>
        <v>212423</v>
      </c>
      <c r="P6289" s="44">
        <f t="shared" si="3849"/>
        <v>133826.49</v>
      </c>
      <c r="Q6289" s="44">
        <f t="shared" si="3850"/>
        <v>157093.51699999996</v>
      </c>
      <c r="R6289" s="44">
        <f t="shared" si="3851"/>
        <v>98968.915709999972</v>
      </c>
      <c r="S6289" s="123"/>
      <c r="T6289" s="219">
        <f t="shared" si="3852"/>
        <v>98968.915709999972</v>
      </c>
      <c r="U6289" s="87"/>
      <c r="V6289" s="47"/>
      <c r="W6289" s="48"/>
      <c r="X6289" s="48"/>
      <c r="Y6289" s="48"/>
      <c r="Z6289" s="135"/>
      <c r="AA6289" s="49"/>
      <c r="AB6289" s="50">
        <f t="shared" si="3853"/>
        <v>157093.51699999996</v>
      </c>
      <c r="AC6289" s="42">
        <f t="shared" si="3854"/>
        <v>0.63</v>
      </c>
      <c r="AD6289" s="90">
        <f>AD6290</f>
        <v>98968.915709999972</v>
      </c>
      <c r="AE6289" s="188">
        <f t="shared" ref="AE6289" si="4388">AE6290</f>
        <v>0</v>
      </c>
      <c r="AF6289" s="189">
        <f t="shared" ref="AF6289" si="4389">AF6290</f>
        <v>0</v>
      </c>
      <c r="AG6289" s="189">
        <f t="shared" ref="AG6289" si="4390">AG6290</f>
        <v>0</v>
      </c>
      <c r="AH6289" s="189">
        <f t="shared" ref="AH6289" si="4391">AH6290</f>
        <v>0</v>
      </c>
      <c r="AI6289" s="161">
        <f t="shared" ref="AI6289" si="4392">SUM(AE6289:AH6289)</f>
        <v>0</v>
      </c>
      <c r="AK6289" s="169">
        <v>5</v>
      </c>
      <c r="AO6289" s="19" t="s">
        <v>63</v>
      </c>
    </row>
    <row r="6290" spans="1:41" s="103" customFormat="1" ht="19.899999999999999" customHeight="1" x14ac:dyDescent="0.25">
      <c r="A6290" s="51"/>
      <c r="B6290" s="52"/>
      <c r="C6290" s="165"/>
      <c r="D6290" s="52"/>
      <c r="E6290" s="115"/>
      <c r="F6290" s="58"/>
      <c r="G6290" s="58"/>
      <c r="H6290" s="58"/>
      <c r="I6290" s="55"/>
      <c r="J6290" s="113">
        <f>J6289</f>
        <v>0.63</v>
      </c>
      <c r="K6290" s="212">
        <f>K6289</f>
        <v>0.63</v>
      </c>
      <c r="L6290" s="58"/>
      <c r="M6290" s="58">
        <f>K6290-L6290</f>
        <v>0.63</v>
      </c>
      <c r="N6290" s="166"/>
      <c r="O6290" s="58"/>
      <c r="P6290" s="58"/>
      <c r="Q6290" s="58"/>
      <c r="R6290" s="58"/>
      <c r="S6290" s="58"/>
      <c r="T6290" s="220"/>
      <c r="U6290" s="88"/>
      <c r="V6290" s="56"/>
      <c r="W6290" s="57" t="s">
        <v>1623</v>
      </c>
      <c r="X6290" s="53"/>
      <c r="Y6290" s="91" t="s">
        <v>1349</v>
      </c>
      <c r="Z6290" s="136">
        <f>AD6290/AC6290</f>
        <v>157093.51699999996</v>
      </c>
      <c r="AA6290" s="58"/>
      <c r="AB6290" s="53">
        <f>AD6290/AC6290</f>
        <v>157093.51699999996</v>
      </c>
      <c r="AC6290" s="53">
        <f>M6290+$AE$10</f>
        <v>0.63</v>
      </c>
      <c r="AD6290" s="54">
        <f>SUM(AD6291)</f>
        <v>98968.915709999972</v>
      </c>
      <c r="AE6290" s="184">
        <f>SUMIFS($AD$37:$AD$12971,$V$37:$V$12971,$V6290,$X$37:$X$12971,AE$13)</f>
        <v>0</v>
      </c>
      <c r="AF6290" s="185">
        <f>SUMIFS($AD$37:$AD$12971,$V$37:$V$12971,$V6290,$X$37:$X$12971,AF$13)</f>
        <v>0</v>
      </c>
      <c r="AG6290" s="185">
        <f>SUMIFS($AD$37:$AD$12971,$V$37:$V$12971,$V6290,$X$37:$X$12971,AG$13)</f>
        <v>0</v>
      </c>
      <c r="AH6290" s="187">
        <f>SUMIFS($AD$37:$AD$12971,$V$37:$V$12971,$V6290,$X$37:$X$12971,AH$13)</f>
        <v>0</v>
      </c>
      <c r="AI6290" s="161">
        <f t="shared" ref="AI6290" si="4393">SUM(AE6290:AH6290)</f>
        <v>0</v>
      </c>
      <c r="AK6290" s="172"/>
    </row>
    <row r="6291" spans="1:41" s="102" customFormat="1" ht="19.899999999999999" customHeight="1" x14ac:dyDescent="0.25">
      <c r="A6291" s="45"/>
      <c r="B6291" s="59"/>
      <c r="C6291" s="137"/>
      <c r="D6291" s="59"/>
      <c r="E6291" s="116"/>
      <c r="F6291" s="120"/>
      <c r="G6291" s="120"/>
      <c r="H6291" s="120"/>
      <c r="I6291" s="60"/>
      <c r="J6291" s="116"/>
      <c r="K6291" s="213"/>
      <c r="L6291" s="120"/>
      <c r="M6291" s="120"/>
      <c r="N6291" s="167"/>
      <c r="O6291" s="120"/>
      <c r="P6291" s="120"/>
      <c r="Q6291" s="120"/>
      <c r="R6291" s="120"/>
      <c r="S6291" s="120"/>
      <c r="T6291" s="221"/>
      <c r="U6291" s="89"/>
      <c r="V6291" s="61"/>
      <c r="W6291" s="92" t="s">
        <v>1624</v>
      </c>
      <c r="X6291" s="93" t="s">
        <v>32</v>
      </c>
      <c r="Y6291" s="93" t="s">
        <v>1349</v>
      </c>
      <c r="Z6291" s="134">
        <f>VLOOKUP(W6291,Sheet2!$B:$D,3,FALSE)</f>
        <v>157093.51699999996</v>
      </c>
      <c r="AA6291" s="93">
        <v>1</v>
      </c>
      <c r="AB6291" s="93">
        <f>AD6291/AC6290</f>
        <v>157093.51699999996</v>
      </c>
      <c r="AC6291" s="93">
        <f>AC6290/AA6291</f>
        <v>0.63</v>
      </c>
      <c r="AD6291" s="94">
        <f t="shared" ref="AD6291" si="4394">AC6291*Z6291</f>
        <v>98968.915709999972</v>
      </c>
      <c r="AE6291" s="190"/>
      <c r="AF6291" s="191"/>
      <c r="AG6291" s="191"/>
      <c r="AH6291" s="191"/>
      <c r="AI6291" s="186"/>
      <c r="AK6291" s="171"/>
    </row>
    <row r="6292" spans="1:41" ht="20.100000000000001" customHeight="1" x14ac:dyDescent="0.25">
      <c r="A6292" s="277" t="s">
        <v>491</v>
      </c>
      <c r="B6292" s="278"/>
      <c r="C6292" s="64" t="s">
        <v>650</v>
      </c>
      <c r="D6292" s="46"/>
      <c r="E6292" s="114"/>
      <c r="F6292" s="44"/>
      <c r="G6292" s="44">
        <f t="shared" si="3841"/>
        <v>0</v>
      </c>
      <c r="H6292" s="44">
        <f t="shared" si="3842"/>
        <v>0</v>
      </c>
      <c r="I6292" s="43">
        <f t="shared" si="3843"/>
        <v>0</v>
      </c>
      <c r="J6292" s="112">
        <f t="shared" si="3844"/>
        <v>0</v>
      </c>
      <c r="K6292" s="211">
        <f t="shared" si="3845"/>
        <v>0</v>
      </c>
      <c r="L6292" s="44"/>
      <c r="M6292" s="44">
        <f t="shared" si="3846"/>
        <v>0</v>
      </c>
      <c r="N6292" s="173">
        <f t="shared" si="3847"/>
        <v>0</v>
      </c>
      <c r="O6292" s="44">
        <f t="shared" si="3848"/>
        <v>0</v>
      </c>
      <c r="P6292" s="44">
        <f t="shared" si="3849"/>
        <v>0</v>
      </c>
      <c r="Q6292" s="44">
        <f t="shared" si="3850"/>
        <v>0</v>
      </c>
      <c r="R6292" s="44">
        <f t="shared" si="3851"/>
        <v>0</v>
      </c>
      <c r="S6292" s="123"/>
      <c r="T6292" s="219">
        <f t="shared" si="3852"/>
        <v>0</v>
      </c>
      <c r="U6292" s="87"/>
      <c r="V6292" s="47"/>
      <c r="W6292" s="48"/>
      <c r="X6292" s="48"/>
      <c r="Y6292" s="48"/>
      <c r="Z6292" s="135"/>
      <c r="AA6292" s="49"/>
      <c r="AB6292" s="50">
        <f t="shared" si="3853"/>
        <v>0</v>
      </c>
      <c r="AC6292" s="42">
        <f t="shared" si="3854"/>
        <v>9.9999999999999998E-20</v>
      </c>
      <c r="AD6292" s="90"/>
      <c r="AE6292" s="188"/>
      <c r="AF6292" s="189"/>
      <c r="AG6292" s="189"/>
      <c r="AH6292" s="189"/>
      <c r="AI6292" s="161"/>
    </row>
    <row r="6293" spans="1:41" ht="20.100000000000001" customHeight="1" x14ac:dyDescent="0.25">
      <c r="A6293" s="277" t="s">
        <v>491</v>
      </c>
      <c r="B6293" s="278"/>
      <c r="C6293" s="64" t="s">
        <v>651</v>
      </c>
      <c r="D6293" s="46" t="s">
        <v>186</v>
      </c>
      <c r="E6293" s="114">
        <v>0.39999999999999991</v>
      </c>
      <c r="F6293" s="44">
        <v>399671</v>
      </c>
      <c r="G6293" s="44">
        <f t="shared" si="3841"/>
        <v>159868.39999999997</v>
      </c>
      <c r="H6293" s="44">
        <f t="shared" si="3842"/>
        <v>214682.1915666667</v>
      </c>
      <c r="I6293" s="43">
        <f t="shared" si="3843"/>
        <v>85872.876626666664</v>
      </c>
      <c r="J6293" s="112">
        <f t="shared" si="3844"/>
        <v>0.39999999999999991</v>
      </c>
      <c r="K6293" s="211">
        <f t="shared" si="3845"/>
        <v>0.39999999999999991</v>
      </c>
      <c r="L6293" s="44"/>
      <c r="M6293" s="44">
        <f t="shared" si="3846"/>
        <v>0.39999999999999991</v>
      </c>
      <c r="N6293" s="173">
        <f t="shared" si="3847"/>
        <v>1</v>
      </c>
      <c r="O6293" s="44">
        <f t="shared" si="3848"/>
        <v>399671</v>
      </c>
      <c r="P6293" s="44">
        <f t="shared" si="3849"/>
        <v>159868.39999999997</v>
      </c>
      <c r="Q6293" s="44">
        <f t="shared" si="3850"/>
        <v>214682.1915666667</v>
      </c>
      <c r="R6293" s="44">
        <f t="shared" si="3851"/>
        <v>85872.876626666664</v>
      </c>
      <c r="S6293" s="123"/>
      <c r="T6293" s="219">
        <f t="shared" si="3852"/>
        <v>85872.876626666664</v>
      </c>
      <c r="U6293" s="87"/>
      <c r="V6293" s="47"/>
      <c r="W6293" s="48"/>
      <c r="X6293" s="48"/>
      <c r="Y6293" s="48"/>
      <c r="Z6293" s="135"/>
      <c r="AA6293" s="49"/>
      <c r="AB6293" s="50">
        <f t="shared" si="3853"/>
        <v>214682.1915666667</v>
      </c>
      <c r="AC6293" s="42">
        <f t="shared" si="3854"/>
        <v>0.39999999999999991</v>
      </c>
      <c r="AD6293" s="90">
        <f>AD6294</f>
        <v>85872.876626666664</v>
      </c>
      <c r="AE6293" s="188">
        <f t="shared" ref="AE6293" si="4395">AE6294</f>
        <v>0</v>
      </c>
      <c r="AF6293" s="189">
        <f t="shared" ref="AF6293" si="4396">AF6294</f>
        <v>0</v>
      </c>
      <c r="AG6293" s="189">
        <f t="shared" ref="AG6293" si="4397">AG6294</f>
        <v>0</v>
      </c>
      <c r="AH6293" s="189">
        <f t="shared" ref="AH6293" si="4398">AH6294</f>
        <v>0</v>
      </c>
      <c r="AI6293" s="161">
        <f t="shared" ref="AI6293:AI6296" si="4399">SUM(AE6293:AH6293)</f>
        <v>0</v>
      </c>
      <c r="AK6293" s="169">
        <v>5</v>
      </c>
      <c r="AO6293" s="19" t="s">
        <v>63</v>
      </c>
    </row>
    <row r="6294" spans="1:41" s="103" customFormat="1" ht="19.899999999999999" customHeight="1" x14ac:dyDescent="0.25">
      <c r="A6294" s="51"/>
      <c r="B6294" s="52"/>
      <c r="C6294" s="165"/>
      <c r="D6294" s="52"/>
      <c r="E6294" s="115"/>
      <c r="F6294" s="58"/>
      <c r="G6294" s="58"/>
      <c r="H6294" s="58"/>
      <c r="I6294" s="55"/>
      <c r="J6294" s="113">
        <f>J6293</f>
        <v>0.39999999999999991</v>
      </c>
      <c r="K6294" s="212">
        <f>K6293</f>
        <v>0.39999999999999991</v>
      </c>
      <c r="L6294" s="58"/>
      <c r="M6294" s="58">
        <f>K6294-L6294</f>
        <v>0.39999999999999991</v>
      </c>
      <c r="N6294" s="166"/>
      <c r="O6294" s="58"/>
      <c r="P6294" s="58"/>
      <c r="Q6294" s="58"/>
      <c r="R6294" s="58"/>
      <c r="S6294" s="58"/>
      <c r="T6294" s="220"/>
      <c r="U6294" s="88"/>
      <c r="V6294" s="56"/>
      <c r="W6294" s="57" t="s">
        <v>1588</v>
      </c>
      <c r="X6294" s="53"/>
      <c r="Y6294" s="91" t="s">
        <v>1349</v>
      </c>
      <c r="Z6294" s="136">
        <f>AD6294/AC6294</f>
        <v>214682.1915666667</v>
      </c>
      <c r="AA6294" s="58"/>
      <c r="AB6294" s="53">
        <f>AD6294/AC6294</f>
        <v>214682.1915666667</v>
      </c>
      <c r="AC6294" s="53">
        <f>M6294+$AE$10</f>
        <v>0.39999999999999991</v>
      </c>
      <c r="AD6294" s="54">
        <f>SUM(AD6295)</f>
        <v>85872.876626666664</v>
      </c>
      <c r="AE6294" s="184">
        <f>SUMIFS($AD$37:$AD$12971,$V$37:$V$12971,$V6294,$X$37:$X$12971,AE$13)</f>
        <v>0</v>
      </c>
      <c r="AF6294" s="185">
        <f>SUMIFS($AD$37:$AD$12971,$V$37:$V$12971,$V6294,$X$37:$X$12971,AF$13)</f>
        <v>0</v>
      </c>
      <c r="AG6294" s="185">
        <f>SUMIFS($AD$37:$AD$12971,$V$37:$V$12971,$V6294,$X$37:$X$12971,AG$13)</f>
        <v>0</v>
      </c>
      <c r="AH6294" s="187">
        <f>SUMIFS($AD$37:$AD$12971,$V$37:$V$12971,$V6294,$X$37:$X$12971,AH$13)</f>
        <v>0</v>
      </c>
      <c r="AI6294" s="161">
        <f t="shared" ref="AI6294" si="4400">SUM(AE6294:AH6294)</f>
        <v>0</v>
      </c>
      <c r="AK6294" s="172"/>
    </row>
    <row r="6295" spans="1:41" s="102" customFormat="1" ht="19.899999999999999" customHeight="1" x14ac:dyDescent="0.25">
      <c r="A6295" s="45"/>
      <c r="B6295" s="59"/>
      <c r="C6295" s="137"/>
      <c r="D6295" s="59"/>
      <c r="E6295" s="116"/>
      <c r="F6295" s="120"/>
      <c r="G6295" s="120"/>
      <c r="H6295" s="120"/>
      <c r="I6295" s="60"/>
      <c r="J6295" s="116"/>
      <c r="K6295" s="213"/>
      <c r="L6295" s="120"/>
      <c r="M6295" s="120"/>
      <c r="N6295" s="167"/>
      <c r="O6295" s="120"/>
      <c r="P6295" s="120"/>
      <c r="Q6295" s="120"/>
      <c r="R6295" s="120"/>
      <c r="S6295" s="120"/>
      <c r="T6295" s="221"/>
      <c r="U6295" s="89"/>
      <c r="V6295" s="61"/>
      <c r="W6295" s="92" t="s">
        <v>651</v>
      </c>
      <c r="X6295" s="93" t="s">
        <v>32</v>
      </c>
      <c r="Y6295" s="93" t="s">
        <v>1349</v>
      </c>
      <c r="Z6295" s="134">
        <f>VLOOKUP(W6295,Sheet2!$B:$D,3,FALSE)</f>
        <v>214682.1915666667</v>
      </c>
      <c r="AA6295" s="93">
        <v>1</v>
      </c>
      <c r="AB6295" s="93">
        <f>AD6295/AC6294</f>
        <v>214682.1915666667</v>
      </c>
      <c r="AC6295" s="93">
        <f>AC6294/AA6295</f>
        <v>0.39999999999999991</v>
      </c>
      <c r="AD6295" s="94">
        <f t="shared" ref="AD6295" si="4401">AC6295*Z6295</f>
        <v>85872.876626666664</v>
      </c>
      <c r="AE6295" s="190"/>
      <c r="AF6295" s="191"/>
      <c r="AG6295" s="191"/>
      <c r="AH6295" s="191"/>
      <c r="AI6295" s="186"/>
      <c r="AK6295" s="171"/>
    </row>
    <row r="6296" spans="1:41" ht="20.100000000000001" customHeight="1" x14ac:dyDescent="0.25">
      <c r="A6296" s="277" t="s">
        <v>491</v>
      </c>
      <c r="B6296" s="278"/>
      <c r="C6296" s="64" t="s">
        <v>652</v>
      </c>
      <c r="D6296" s="46" t="s">
        <v>186</v>
      </c>
      <c r="E6296" s="114">
        <v>0.63</v>
      </c>
      <c r="F6296" s="44">
        <v>236656</v>
      </c>
      <c r="G6296" s="44">
        <f t="shared" si="3841"/>
        <v>149093.28</v>
      </c>
      <c r="H6296" s="44">
        <f t="shared" si="3842"/>
        <v>104088.41149999997</v>
      </c>
      <c r="I6296" s="43">
        <f t="shared" si="3843"/>
        <v>65575.699244999982</v>
      </c>
      <c r="J6296" s="112">
        <f t="shared" si="3844"/>
        <v>0.63</v>
      </c>
      <c r="K6296" s="211">
        <f t="shared" si="3845"/>
        <v>0.63</v>
      </c>
      <c r="L6296" s="44"/>
      <c r="M6296" s="44">
        <f t="shared" si="3846"/>
        <v>0.63</v>
      </c>
      <c r="N6296" s="173">
        <f t="shared" si="3847"/>
        <v>1</v>
      </c>
      <c r="O6296" s="44">
        <f t="shared" si="3848"/>
        <v>236656</v>
      </c>
      <c r="P6296" s="44">
        <f t="shared" si="3849"/>
        <v>149093.28</v>
      </c>
      <c r="Q6296" s="44">
        <f t="shared" si="3850"/>
        <v>104088.41149999997</v>
      </c>
      <c r="R6296" s="44">
        <f t="shared" si="3851"/>
        <v>65575.699244999982</v>
      </c>
      <c r="S6296" s="123"/>
      <c r="T6296" s="219">
        <f t="shared" si="3852"/>
        <v>65575.699244999982</v>
      </c>
      <c r="U6296" s="87"/>
      <c r="V6296" s="47"/>
      <c r="W6296" s="48"/>
      <c r="X6296" s="48"/>
      <c r="Y6296" s="48"/>
      <c r="Z6296" s="135"/>
      <c r="AA6296" s="49"/>
      <c r="AB6296" s="50">
        <f t="shared" si="3853"/>
        <v>104088.41149999997</v>
      </c>
      <c r="AC6296" s="42">
        <f t="shared" si="3854"/>
        <v>0.63</v>
      </c>
      <c r="AD6296" s="90">
        <f>AD6297</f>
        <v>65575.699244999982</v>
      </c>
      <c r="AE6296" s="188">
        <f t="shared" ref="AE6296" si="4402">AE6297</f>
        <v>0</v>
      </c>
      <c r="AF6296" s="189">
        <f t="shared" ref="AF6296" si="4403">AF6297</f>
        <v>0</v>
      </c>
      <c r="AG6296" s="189">
        <f t="shared" ref="AG6296" si="4404">AG6297</f>
        <v>0</v>
      </c>
      <c r="AH6296" s="189">
        <f t="shared" ref="AH6296" si="4405">AH6297</f>
        <v>0</v>
      </c>
      <c r="AI6296" s="161">
        <f t="shared" si="4399"/>
        <v>0</v>
      </c>
      <c r="AK6296" s="169">
        <v>5</v>
      </c>
      <c r="AO6296" s="19" t="s">
        <v>63</v>
      </c>
    </row>
    <row r="6297" spans="1:41" s="103" customFormat="1" ht="19.899999999999999" customHeight="1" x14ac:dyDescent="0.25">
      <c r="A6297" s="51"/>
      <c r="B6297" s="52"/>
      <c r="C6297" s="165"/>
      <c r="D6297" s="52"/>
      <c r="E6297" s="115"/>
      <c r="F6297" s="58"/>
      <c r="G6297" s="58"/>
      <c r="H6297" s="58"/>
      <c r="I6297" s="55"/>
      <c r="J6297" s="113">
        <f>J6296</f>
        <v>0.63</v>
      </c>
      <c r="K6297" s="212">
        <f>K6296</f>
        <v>0.63</v>
      </c>
      <c r="L6297" s="58"/>
      <c r="M6297" s="58">
        <f>K6297-L6297</f>
        <v>0.63</v>
      </c>
      <c r="N6297" s="166"/>
      <c r="O6297" s="58"/>
      <c r="P6297" s="58"/>
      <c r="Q6297" s="58"/>
      <c r="R6297" s="58"/>
      <c r="S6297" s="58"/>
      <c r="T6297" s="220"/>
      <c r="U6297" s="88"/>
      <c r="V6297" s="56"/>
      <c r="W6297" s="57" t="s">
        <v>1589</v>
      </c>
      <c r="X6297" s="53"/>
      <c r="Y6297" s="91" t="s">
        <v>1349</v>
      </c>
      <c r="Z6297" s="136">
        <f>AD6297/AC6297</f>
        <v>104088.41149999997</v>
      </c>
      <c r="AA6297" s="58"/>
      <c r="AB6297" s="53">
        <f>AD6297/AC6297</f>
        <v>104088.41149999997</v>
      </c>
      <c r="AC6297" s="53">
        <f>M6297+$AE$10</f>
        <v>0.63</v>
      </c>
      <c r="AD6297" s="54">
        <f>SUM(AD6298)</f>
        <v>65575.699244999982</v>
      </c>
      <c r="AE6297" s="184">
        <f>SUMIFS($AD$37:$AD$12971,$V$37:$V$12971,$V6297,$X$37:$X$12971,AE$13)</f>
        <v>0</v>
      </c>
      <c r="AF6297" s="185">
        <f>SUMIFS($AD$37:$AD$12971,$V$37:$V$12971,$V6297,$X$37:$X$12971,AF$13)</f>
        <v>0</v>
      </c>
      <c r="AG6297" s="185">
        <f>SUMIFS($AD$37:$AD$12971,$V$37:$V$12971,$V6297,$X$37:$X$12971,AG$13)</f>
        <v>0</v>
      </c>
      <c r="AH6297" s="187">
        <f>SUMIFS($AD$37:$AD$12971,$V$37:$V$12971,$V6297,$X$37:$X$12971,AH$13)</f>
        <v>0</v>
      </c>
      <c r="AI6297" s="161">
        <f t="shared" ref="AI6297" si="4406">SUM(AE6297:AH6297)</f>
        <v>0</v>
      </c>
      <c r="AK6297" s="172"/>
    </row>
    <row r="6298" spans="1:41" s="102" customFormat="1" ht="19.899999999999999" customHeight="1" x14ac:dyDescent="0.25">
      <c r="A6298" s="45"/>
      <c r="B6298" s="59"/>
      <c r="C6298" s="137"/>
      <c r="D6298" s="59"/>
      <c r="E6298" s="116"/>
      <c r="F6298" s="120"/>
      <c r="G6298" s="120"/>
      <c r="H6298" s="120"/>
      <c r="I6298" s="60"/>
      <c r="J6298" s="116"/>
      <c r="K6298" s="213"/>
      <c r="L6298" s="120"/>
      <c r="M6298" s="120"/>
      <c r="N6298" s="167"/>
      <c r="O6298" s="120"/>
      <c r="P6298" s="120"/>
      <c r="Q6298" s="120"/>
      <c r="R6298" s="120"/>
      <c r="S6298" s="120"/>
      <c r="T6298" s="221"/>
      <c r="U6298" s="89"/>
      <c r="V6298" s="61"/>
      <c r="W6298" s="92" t="s">
        <v>652</v>
      </c>
      <c r="X6298" s="93" t="s">
        <v>32</v>
      </c>
      <c r="Y6298" s="93" t="s">
        <v>1349</v>
      </c>
      <c r="Z6298" s="134">
        <f>VLOOKUP(W6298,Sheet2!$B:$D,3,FALSE)</f>
        <v>104088.41149999997</v>
      </c>
      <c r="AA6298" s="93">
        <v>1</v>
      </c>
      <c r="AB6298" s="93">
        <f>AD6298/AC6297</f>
        <v>104088.41149999997</v>
      </c>
      <c r="AC6298" s="93">
        <f>AC6297/AA6298</f>
        <v>0.63</v>
      </c>
      <c r="AD6298" s="94">
        <f t="shared" ref="AD6298" si="4407">AC6298*Z6298</f>
        <v>65575.699244999982</v>
      </c>
      <c r="AE6298" s="190"/>
      <c r="AF6298" s="191"/>
      <c r="AG6298" s="191"/>
      <c r="AH6298" s="191"/>
      <c r="AI6298" s="186"/>
      <c r="AK6298" s="171"/>
    </row>
    <row r="6299" spans="1:41" s="102" customFormat="1" ht="20.100000000000001" customHeight="1" x14ac:dyDescent="0.25">
      <c r="A6299" s="45" t="s">
        <v>491</v>
      </c>
      <c r="B6299" s="276"/>
      <c r="C6299" s="285" t="s">
        <v>687</v>
      </c>
      <c r="D6299" s="59"/>
      <c r="E6299" s="116"/>
      <c r="F6299" s="120"/>
      <c r="G6299" s="120">
        <f t="shared" si="3841"/>
        <v>0</v>
      </c>
      <c r="H6299" s="120">
        <f t="shared" si="3842"/>
        <v>0</v>
      </c>
      <c r="I6299" s="60">
        <f t="shared" si="3843"/>
        <v>0</v>
      </c>
      <c r="J6299" s="116">
        <f t="shared" si="3844"/>
        <v>0</v>
      </c>
      <c r="K6299" s="213">
        <f t="shared" si="3845"/>
        <v>0</v>
      </c>
      <c r="L6299" s="120"/>
      <c r="M6299" s="120">
        <f t="shared" si="3846"/>
        <v>0</v>
      </c>
      <c r="N6299" s="167">
        <f t="shared" si="3847"/>
        <v>0</v>
      </c>
      <c r="O6299" s="120">
        <f t="shared" si="3848"/>
        <v>0</v>
      </c>
      <c r="P6299" s="120">
        <f t="shared" si="3849"/>
        <v>0</v>
      </c>
      <c r="Q6299" s="120">
        <f t="shared" si="3850"/>
        <v>0</v>
      </c>
      <c r="R6299" s="120">
        <f t="shared" si="3851"/>
        <v>0</v>
      </c>
      <c r="S6299" s="120"/>
      <c r="T6299" s="221">
        <f t="shared" si="3852"/>
        <v>0</v>
      </c>
      <c r="U6299" s="89"/>
      <c r="V6299" s="61"/>
      <c r="W6299" s="92"/>
      <c r="X6299" s="38"/>
      <c r="Y6299" s="93"/>
      <c r="Z6299" s="134"/>
      <c r="AA6299" s="93"/>
      <c r="AB6299" s="93"/>
      <c r="AC6299" s="93"/>
      <c r="AD6299" s="94"/>
      <c r="AE6299" s="190"/>
      <c r="AF6299" s="191"/>
      <c r="AG6299" s="191"/>
      <c r="AH6299" s="191"/>
      <c r="AI6299" s="186"/>
      <c r="AK6299" s="171"/>
    </row>
    <row r="6300" spans="1:41" s="102" customFormat="1" ht="20.100000000000001" customHeight="1" x14ac:dyDescent="0.25">
      <c r="A6300" s="45" t="s">
        <v>491</v>
      </c>
      <c r="B6300" s="276"/>
      <c r="C6300" s="285" t="s">
        <v>653</v>
      </c>
      <c r="D6300" s="59"/>
      <c r="E6300" s="116"/>
      <c r="F6300" s="120"/>
      <c r="G6300" s="120">
        <f t="shared" si="3841"/>
        <v>0</v>
      </c>
      <c r="H6300" s="120">
        <f t="shared" si="3842"/>
        <v>0</v>
      </c>
      <c r="I6300" s="60">
        <f t="shared" si="3843"/>
        <v>0</v>
      </c>
      <c r="J6300" s="116">
        <f t="shared" si="3844"/>
        <v>0</v>
      </c>
      <c r="K6300" s="213">
        <f t="shared" si="3845"/>
        <v>0</v>
      </c>
      <c r="L6300" s="120"/>
      <c r="M6300" s="120">
        <f t="shared" si="3846"/>
        <v>0</v>
      </c>
      <c r="N6300" s="167">
        <f t="shared" si="3847"/>
        <v>0</v>
      </c>
      <c r="O6300" s="120">
        <f t="shared" si="3848"/>
        <v>0</v>
      </c>
      <c r="P6300" s="120">
        <f t="shared" si="3849"/>
        <v>0</v>
      </c>
      <c r="Q6300" s="120">
        <f t="shared" si="3850"/>
        <v>0</v>
      </c>
      <c r="R6300" s="120">
        <f t="shared" si="3851"/>
        <v>0</v>
      </c>
      <c r="S6300" s="120"/>
      <c r="T6300" s="221">
        <f t="shared" si="3852"/>
        <v>0</v>
      </c>
      <c r="U6300" s="89"/>
      <c r="V6300" s="61"/>
      <c r="W6300" s="92"/>
      <c r="X6300" s="38"/>
      <c r="Y6300" s="93"/>
      <c r="Z6300" s="134"/>
      <c r="AA6300" s="93"/>
      <c r="AB6300" s="93"/>
      <c r="AC6300" s="93"/>
      <c r="AD6300" s="94"/>
      <c r="AE6300" s="190"/>
      <c r="AF6300" s="191"/>
      <c r="AG6300" s="191"/>
      <c r="AH6300" s="191"/>
      <c r="AI6300" s="186"/>
      <c r="AK6300" s="171"/>
    </row>
    <row r="6301" spans="1:41" s="102" customFormat="1" ht="173.25" x14ac:dyDescent="0.25">
      <c r="A6301" s="45" t="s">
        <v>491</v>
      </c>
      <c r="B6301" s="276"/>
      <c r="C6301" s="285" t="s">
        <v>688</v>
      </c>
      <c r="D6301" s="59"/>
      <c r="E6301" s="116"/>
      <c r="F6301" s="120"/>
      <c r="G6301" s="120">
        <f t="shared" si="3841"/>
        <v>0</v>
      </c>
      <c r="H6301" s="120">
        <f t="shared" si="3842"/>
        <v>0</v>
      </c>
      <c r="I6301" s="60">
        <f t="shared" si="3843"/>
        <v>0</v>
      </c>
      <c r="J6301" s="116">
        <f t="shared" si="3844"/>
        <v>0</v>
      </c>
      <c r="K6301" s="213">
        <f t="shared" si="3845"/>
        <v>0</v>
      </c>
      <c r="L6301" s="120"/>
      <c r="M6301" s="120">
        <f t="shared" si="3846"/>
        <v>0</v>
      </c>
      <c r="N6301" s="167">
        <f t="shared" si="3847"/>
        <v>0</v>
      </c>
      <c r="O6301" s="120">
        <f t="shared" si="3848"/>
        <v>0</v>
      </c>
      <c r="P6301" s="120">
        <f t="shared" si="3849"/>
        <v>0</v>
      </c>
      <c r="Q6301" s="120">
        <f t="shared" si="3850"/>
        <v>0</v>
      </c>
      <c r="R6301" s="120">
        <f t="shared" si="3851"/>
        <v>0</v>
      </c>
      <c r="S6301" s="120"/>
      <c r="T6301" s="221">
        <f t="shared" si="3852"/>
        <v>0</v>
      </c>
      <c r="U6301" s="89"/>
      <c r="V6301" s="61"/>
      <c r="W6301" s="92"/>
      <c r="X6301" s="38"/>
      <c r="Y6301" s="93"/>
      <c r="Z6301" s="134"/>
      <c r="AA6301" s="93"/>
      <c r="AB6301" s="93"/>
      <c r="AC6301" s="93"/>
      <c r="AD6301" s="94"/>
      <c r="AE6301" s="190"/>
      <c r="AF6301" s="191"/>
      <c r="AG6301" s="191"/>
      <c r="AH6301" s="191"/>
      <c r="AI6301" s="186"/>
      <c r="AK6301" s="171"/>
    </row>
    <row r="6302" spans="1:41" ht="20.100000000000001" customHeight="1" x14ac:dyDescent="0.25">
      <c r="A6302" s="277" t="s">
        <v>491</v>
      </c>
      <c r="B6302" s="278"/>
      <c r="C6302" s="64" t="s">
        <v>653</v>
      </c>
      <c r="D6302" s="46" t="s">
        <v>186</v>
      </c>
      <c r="E6302" s="114">
        <v>7.4999999999999956E-2</v>
      </c>
      <c r="F6302" s="44">
        <v>918930</v>
      </c>
      <c r="G6302" s="44">
        <f t="shared" si="3841"/>
        <v>68919.749999999956</v>
      </c>
      <c r="H6302" s="44">
        <f t="shared" si="3842"/>
        <v>754820.00000000012</v>
      </c>
      <c r="I6302" s="43">
        <f t="shared" si="3843"/>
        <v>56611.499999999978</v>
      </c>
      <c r="J6302" s="112">
        <f t="shared" si="3844"/>
        <v>7.4999999999999956E-2</v>
      </c>
      <c r="K6302" s="211">
        <f t="shared" si="3845"/>
        <v>7.4999999999999956E-2</v>
      </c>
      <c r="L6302" s="44"/>
      <c r="M6302" s="44">
        <f t="shared" si="3846"/>
        <v>7.4999999999999956E-2</v>
      </c>
      <c r="N6302" s="173">
        <f t="shared" si="3847"/>
        <v>1</v>
      </c>
      <c r="O6302" s="44">
        <f t="shared" si="3848"/>
        <v>918930</v>
      </c>
      <c r="P6302" s="44">
        <f t="shared" si="3849"/>
        <v>68919.749999999956</v>
      </c>
      <c r="Q6302" s="44">
        <f t="shared" si="3850"/>
        <v>754820.00000000012</v>
      </c>
      <c r="R6302" s="44">
        <f t="shared" si="3851"/>
        <v>56611.499999999978</v>
      </c>
      <c r="S6302" s="123"/>
      <c r="T6302" s="219">
        <f t="shared" si="3852"/>
        <v>56611.499999999978</v>
      </c>
      <c r="U6302" s="87"/>
      <c r="V6302" s="47"/>
      <c r="W6302" s="48"/>
      <c r="X6302" s="48"/>
      <c r="Y6302" s="48"/>
      <c r="Z6302" s="135"/>
      <c r="AA6302" s="49"/>
      <c r="AB6302" s="50">
        <f t="shared" si="3853"/>
        <v>754820.00000000012</v>
      </c>
      <c r="AC6302" s="42">
        <f t="shared" si="3854"/>
        <v>7.4999999999999956E-2</v>
      </c>
      <c r="AD6302" s="90">
        <f>AD6303</f>
        <v>56611.499999999978</v>
      </c>
      <c r="AE6302" s="188">
        <f t="shared" ref="AE6302" si="4408">AE6303</f>
        <v>0</v>
      </c>
      <c r="AF6302" s="189">
        <f t="shared" ref="AF6302" si="4409">AF6303</f>
        <v>0</v>
      </c>
      <c r="AG6302" s="189">
        <f t="shared" ref="AG6302" si="4410">AG6303</f>
        <v>0</v>
      </c>
      <c r="AH6302" s="189">
        <f t="shared" ref="AH6302" si="4411">AH6303</f>
        <v>0</v>
      </c>
      <c r="AI6302" s="161">
        <f t="shared" ref="AI6302" si="4412">SUM(AE6302:AH6302)</f>
        <v>0</v>
      </c>
      <c r="AK6302" s="169">
        <v>5</v>
      </c>
      <c r="AO6302" s="19" t="s">
        <v>63</v>
      </c>
    </row>
    <row r="6303" spans="1:41" s="103" customFormat="1" ht="19.899999999999999" customHeight="1" x14ac:dyDescent="0.25">
      <c r="A6303" s="51"/>
      <c r="B6303" s="52"/>
      <c r="C6303" s="165"/>
      <c r="D6303" s="52"/>
      <c r="E6303" s="115"/>
      <c r="F6303" s="58"/>
      <c r="G6303" s="58"/>
      <c r="H6303" s="58"/>
      <c r="I6303" s="55"/>
      <c r="J6303" s="113">
        <f>J6302</f>
        <v>7.4999999999999956E-2</v>
      </c>
      <c r="K6303" s="212">
        <f>K6302</f>
        <v>7.4999999999999956E-2</v>
      </c>
      <c r="L6303" s="58"/>
      <c r="M6303" s="58">
        <f>K6303-L6303</f>
        <v>7.4999999999999956E-2</v>
      </c>
      <c r="N6303" s="166"/>
      <c r="O6303" s="58"/>
      <c r="P6303" s="58"/>
      <c r="Q6303" s="58"/>
      <c r="R6303" s="58"/>
      <c r="S6303" s="58"/>
      <c r="T6303" s="220"/>
      <c r="U6303" s="88"/>
      <c r="V6303" s="56"/>
      <c r="W6303" s="57" t="s">
        <v>1590</v>
      </c>
      <c r="X6303" s="53"/>
      <c r="Y6303" s="91" t="s">
        <v>1349</v>
      </c>
      <c r="Z6303" s="136">
        <f>AD6303/AC6303</f>
        <v>754820.00000000012</v>
      </c>
      <c r="AA6303" s="58"/>
      <c r="AB6303" s="53">
        <f>AD6303/AC6303</f>
        <v>754820.00000000012</v>
      </c>
      <c r="AC6303" s="53">
        <f>M6303+$AE$10</f>
        <v>7.4999999999999956E-2</v>
      </c>
      <c r="AD6303" s="54">
        <f>SUM(AD6304)</f>
        <v>56611.499999999978</v>
      </c>
      <c r="AE6303" s="184">
        <f>SUMIFS($AD$37:$AD$12971,$V$37:$V$12971,$V6303,$X$37:$X$12971,AE$13)</f>
        <v>0</v>
      </c>
      <c r="AF6303" s="185">
        <f>SUMIFS($AD$37:$AD$12971,$V$37:$V$12971,$V6303,$X$37:$X$12971,AF$13)</f>
        <v>0</v>
      </c>
      <c r="AG6303" s="185">
        <f>SUMIFS($AD$37:$AD$12971,$V$37:$V$12971,$V6303,$X$37:$X$12971,AG$13)</f>
        <v>0</v>
      </c>
      <c r="AH6303" s="187">
        <f>SUMIFS($AD$37:$AD$12971,$V$37:$V$12971,$V6303,$X$37:$X$12971,AH$13)</f>
        <v>0</v>
      </c>
      <c r="AI6303" s="161">
        <f t="shared" ref="AI6303" si="4413">SUM(AE6303:AH6303)</f>
        <v>0</v>
      </c>
      <c r="AK6303" s="172"/>
    </row>
    <row r="6304" spans="1:41" s="102" customFormat="1" ht="19.899999999999999" customHeight="1" x14ac:dyDescent="0.25">
      <c r="A6304" s="45"/>
      <c r="B6304" s="59"/>
      <c r="C6304" s="137"/>
      <c r="D6304" s="59"/>
      <c r="E6304" s="116"/>
      <c r="F6304" s="120"/>
      <c r="G6304" s="120"/>
      <c r="H6304" s="120"/>
      <c r="I6304" s="60"/>
      <c r="J6304" s="116"/>
      <c r="K6304" s="213"/>
      <c r="L6304" s="120"/>
      <c r="M6304" s="120"/>
      <c r="N6304" s="167"/>
      <c r="O6304" s="120"/>
      <c r="P6304" s="120"/>
      <c r="Q6304" s="120"/>
      <c r="R6304" s="120"/>
      <c r="S6304" s="120"/>
      <c r="T6304" s="221"/>
      <c r="U6304" s="89"/>
      <c r="V6304" s="61"/>
      <c r="W6304" s="92" t="s">
        <v>1626</v>
      </c>
      <c r="X6304" s="93" t="s">
        <v>32</v>
      </c>
      <c r="Y6304" s="93" t="s">
        <v>1349</v>
      </c>
      <c r="Z6304" s="134">
        <f>VLOOKUP(W6304,Sheet2!$B:$D,3,FALSE)</f>
        <v>754820.00000000012</v>
      </c>
      <c r="AA6304" s="93">
        <v>1</v>
      </c>
      <c r="AB6304" s="93">
        <f>AD6304/AC6303</f>
        <v>754820.00000000012</v>
      </c>
      <c r="AC6304" s="93">
        <f>AC6303/AA6304</f>
        <v>7.4999999999999956E-2</v>
      </c>
      <c r="AD6304" s="94">
        <f t="shared" ref="AD6304" si="4414">AC6304*Z6304</f>
        <v>56611.499999999978</v>
      </c>
      <c r="AE6304" s="190"/>
      <c r="AF6304" s="191"/>
      <c r="AG6304" s="191"/>
      <c r="AH6304" s="191"/>
      <c r="AI6304" s="186"/>
      <c r="AK6304" s="171"/>
    </row>
    <row r="6305" spans="1:41" s="102" customFormat="1" ht="20.100000000000001" customHeight="1" x14ac:dyDescent="0.25">
      <c r="A6305" s="45" t="s">
        <v>491</v>
      </c>
      <c r="B6305" s="276"/>
      <c r="C6305" s="285" t="s">
        <v>655</v>
      </c>
      <c r="D6305" s="59"/>
      <c r="E6305" s="116"/>
      <c r="F6305" s="120"/>
      <c r="G6305" s="120">
        <f t="shared" si="3841"/>
        <v>0</v>
      </c>
      <c r="H6305" s="120">
        <f t="shared" si="3842"/>
        <v>0</v>
      </c>
      <c r="I6305" s="60">
        <f t="shared" si="3843"/>
        <v>0</v>
      </c>
      <c r="J6305" s="116">
        <f t="shared" si="3844"/>
        <v>0</v>
      </c>
      <c r="K6305" s="213">
        <f t="shared" si="3845"/>
        <v>0</v>
      </c>
      <c r="L6305" s="120"/>
      <c r="M6305" s="120">
        <f t="shared" si="3846"/>
        <v>0</v>
      </c>
      <c r="N6305" s="167">
        <f t="shared" si="3847"/>
        <v>0</v>
      </c>
      <c r="O6305" s="120">
        <f t="shared" si="3848"/>
        <v>0</v>
      </c>
      <c r="P6305" s="120">
        <f t="shared" si="3849"/>
        <v>0</v>
      </c>
      <c r="Q6305" s="120">
        <f t="shared" si="3850"/>
        <v>0</v>
      </c>
      <c r="R6305" s="120">
        <f t="shared" si="3851"/>
        <v>0</v>
      </c>
      <c r="S6305" s="120"/>
      <c r="T6305" s="221">
        <f t="shared" si="3852"/>
        <v>0</v>
      </c>
      <c r="U6305" s="89"/>
      <c r="V6305" s="61"/>
      <c r="W6305" s="92"/>
      <c r="X6305" s="38"/>
      <c r="Y6305" s="93"/>
      <c r="Z6305" s="134"/>
      <c r="AA6305" s="93"/>
      <c r="AB6305" s="93"/>
      <c r="AC6305" s="93"/>
      <c r="AD6305" s="94"/>
      <c r="AE6305" s="190"/>
      <c r="AF6305" s="191"/>
      <c r="AG6305" s="191"/>
      <c r="AH6305" s="191"/>
      <c r="AI6305" s="186"/>
      <c r="AK6305" s="171"/>
    </row>
    <row r="6306" spans="1:41" ht="20.100000000000001" customHeight="1" x14ac:dyDescent="0.25">
      <c r="A6306" s="277" t="s">
        <v>491</v>
      </c>
      <c r="B6306" s="278"/>
      <c r="C6306" s="64" t="s">
        <v>656</v>
      </c>
      <c r="D6306" s="46" t="s">
        <v>186</v>
      </c>
      <c r="E6306" s="114">
        <v>1</v>
      </c>
      <c r="F6306" s="44">
        <v>13595</v>
      </c>
      <c r="G6306" s="44">
        <f t="shared" si="3841"/>
        <v>13595</v>
      </c>
      <c r="H6306" s="44">
        <f t="shared" si="3842"/>
        <v>9540</v>
      </c>
      <c r="I6306" s="43">
        <f t="shared" si="3843"/>
        <v>9540</v>
      </c>
      <c r="J6306" s="112">
        <f t="shared" si="3844"/>
        <v>1</v>
      </c>
      <c r="K6306" s="211">
        <f t="shared" si="3845"/>
        <v>1</v>
      </c>
      <c r="L6306" s="44"/>
      <c r="M6306" s="44">
        <f t="shared" si="3846"/>
        <v>1</v>
      </c>
      <c r="N6306" s="173">
        <f t="shared" si="3847"/>
        <v>1</v>
      </c>
      <c r="O6306" s="44">
        <f t="shared" si="3848"/>
        <v>13595</v>
      </c>
      <c r="P6306" s="44">
        <f t="shared" si="3849"/>
        <v>13595</v>
      </c>
      <c r="Q6306" s="44">
        <f t="shared" si="3850"/>
        <v>9540</v>
      </c>
      <c r="R6306" s="44">
        <f t="shared" si="3851"/>
        <v>9540</v>
      </c>
      <c r="S6306" s="123"/>
      <c r="T6306" s="219">
        <f t="shared" si="3852"/>
        <v>9540</v>
      </c>
      <c r="U6306" s="87"/>
      <c r="V6306" s="47"/>
      <c r="W6306" s="48"/>
      <c r="X6306" s="48"/>
      <c r="Y6306" s="48"/>
      <c r="Z6306" s="135"/>
      <c r="AA6306" s="49"/>
      <c r="AB6306" s="50">
        <f t="shared" si="3853"/>
        <v>9540</v>
      </c>
      <c r="AC6306" s="42">
        <f t="shared" si="3854"/>
        <v>1</v>
      </c>
      <c r="AD6306" s="90">
        <f>AD6307</f>
        <v>9540</v>
      </c>
      <c r="AE6306" s="188">
        <f t="shared" ref="AE6306" si="4415">AE6307</f>
        <v>0</v>
      </c>
      <c r="AF6306" s="189">
        <f t="shared" ref="AF6306" si="4416">AF6307</f>
        <v>0</v>
      </c>
      <c r="AG6306" s="189">
        <f t="shared" ref="AG6306" si="4417">AG6307</f>
        <v>0</v>
      </c>
      <c r="AH6306" s="189">
        <f t="shared" ref="AH6306" si="4418">AH6307</f>
        <v>0</v>
      </c>
      <c r="AI6306" s="161">
        <f t="shared" ref="AI6306" si="4419">SUM(AE6306:AH6306)</f>
        <v>0</v>
      </c>
      <c r="AK6306" s="169">
        <v>5</v>
      </c>
      <c r="AO6306" s="19" t="s">
        <v>63</v>
      </c>
    </row>
    <row r="6307" spans="1:41" s="103" customFormat="1" ht="19.899999999999999" customHeight="1" x14ac:dyDescent="0.25">
      <c r="A6307" s="51"/>
      <c r="B6307" s="52"/>
      <c r="C6307" s="165"/>
      <c r="D6307" s="52"/>
      <c r="E6307" s="115"/>
      <c r="F6307" s="58"/>
      <c r="G6307" s="58"/>
      <c r="H6307" s="58"/>
      <c r="I6307" s="55"/>
      <c r="J6307" s="113">
        <f>J6306</f>
        <v>1</v>
      </c>
      <c r="K6307" s="212">
        <f>K6306</f>
        <v>1</v>
      </c>
      <c r="L6307" s="58"/>
      <c r="M6307" s="58">
        <f>K6307-L6307</f>
        <v>1</v>
      </c>
      <c r="N6307" s="166"/>
      <c r="O6307" s="58"/>
      <c r="P6307" s="58"/>
      <c r="Q6307" s="58"/>
      <c r="R6307" s="58"/>
      <c r="S6307" s="58"/>
      <c r="T6307" s="220"/>
      <c r="U6307" s="88"/>
      <c r="V6307" s="56"/>
      <c r="W6307" s="57" t="s">
        <v>656</v>
      </c>
      <c r="X6307" s="53"/>
      <c r="Y6307" s="91" t="s">
        <v>1349</v>
      </c>
      <c r="Z6307" s="136">
        <f>AD6307/AC6307</f>
        <v>9540</v>
      </c>
      <c r="AA6307" s="58"/>
      <c r="AB6307" s="53">
        <f>AD6307/AC6307</f>
        <v>9540</v>
      </c>
      <c r="AC6307" s="53">
        <f>M6307+$AE$10</f>
        <v>1</v>
      </c>
      <c r="AD6307" s="54">
        <f>SUM(AD6308:AD6312)</f>
        <v>9540</v>
      </c>
      <c r="AE6307" s="184">
        <f>SUMIFS($AD$37:$AD$12971,$V$37:$V$12971,$V6307,$X$37:$X$12971,AE$13)</f>
        <v>0</v>
      </c>
      <c r="AF6307" s="185">
        <f>SUMIFS($AD$37:$AD$12971,$V$37:$V$12971,$V6307,$X$37:$X$12971,AF$13)</f>
        <v>0</v>
      </c>
      <c r="AG6307" s="185">
        <f>SUMIFS($AD$37:$AD$12971,$V$37:$V$12971,$V6307,$X$37:$X$12971,AG$13)</f>
        <v>0</v>
      </c>
      <c r="AH6307" s="187">
        <f>SUMIFS($AD$37:$AD$12971,$V$37:$V$12971,$V6307,$X$37:$X$12971,AH$13)</f>
        <v>0</v>
      </c>
      <c r="AI6307" s="161">
        <f t="shared" ref="AI6307" si="4420">SUM(AE6307:AH6307)</f>
        <v>0</v>
      </c>
      <c r="AK6307" s="172"/>
    </row>
    <row r="6308" spans="1:41" s="102" customFormat="1" ht="19.899999999999999" customHeight="1" x14ac:dyDescent="0.25">
      <c r="A6308" s="45"/>
      <c r="B6308" s="59"/>
      <c r="C6308" s="137"/>
      <c r="D6308" s="59"/>
      <c r="E6308" s="116"/>
      <c r="F6308" s="120"/>
      <c r="G6308" s="120"/>
      <c r="H6308" s="120"/>
      <c r="I6308" s="60"/>
      <c r="J6308" s="116"/>
      <c r="K6308" s="213"/>
      <c r="L6308" s="120"/>
      <c r="M6308" s="120"/>
      <c r="N6308" s="167"/>
      <c r="O6308" s="120"/>
      <c r="P6308" s="120"/>
      <c r="Q6308" s="120"/>
      <c r="R6308" s="120"/>
      <c r="S6308" s="120"/>
      <c r="T6308" s="221"/>
      <c r="U6308" s="89"/>
      <c r="V6308" s="61"/>
      <c r="W6308" s="92" t="s">
        <v>1032</v>
      </c>
      <c r="X6308" s="93" t="s">
        <v>30</v>
      </c>
      <c r="Y6308" s="93" t="s">
        <v>66</v>
      </c>
      <c r="Z6308" s="134">
        <f>VLOOKUP(W6308,Sheet2!$B:$D,3,FALSE)</f>
        <v>250</v>
      </c>
      <c r="AA6308" s="93">
        <f>1/3.6</f>
        <v>0.27777777777777779</v>
      </c>
      <c r="AB6308" s="93">
        <f>AD6308/AC6307</f>
        <v>899.99999999999989</v>
      </c>
      <c r="AC6308" s="93">
        <f>AC6307/AA6308</f>
        <v>3.5999999999999996</v>
      </c>
      <c r="AD6308" s="94">
        <f t="shared" ref="AD6308:AD6310" si="4421">AC6308*Z6308</f>
        <v>899.99999999999989</v>
      </c>
      <c r="AE6308" s="190"/>
      <c r="AF6308" s="191"/>
      <c r="AG6308" s="191"/>
      <c r="AH6308" s="191"/>
      <c r="AI6308" s="186"/>
      <c r="AK6308" s="171"/>
    </row>
    <row r="6309" spans="1:41" s="102" customFormat="1" ht="19.899999999999999" customHeight="1" x14ac:dyDescent="0.25">
      <c r="A6309" s="45"/>
      <c r="B6309" s="59"/>
      <c r="C6309" s="137"/>
      <c r="D6309" s="59"/>
      <c r="E6309" s="116"/>
      <c r="F6309" s="120"/>
      <c r="G6309" s="120"/>
      <c r="H6309" s="120"/>
      <c r="I6309" s="60"/>
      <c r="J6309" s="116"/>
      <c r="K6309" s="213"/>
      <c r="L6309" s="120"/>
      <c r="M6309" s="120"/>
      <c r="N6309" s="167"/>
      <c r="O6309" s="120"/>
      <c r="P6309" s="120"/>
      <c r="Q6309" s="120"/>
      <c r="R6309" s="120"/>
      <c r="S6309" s="120"/>
      <c r="T6309" s="221"/>
      <c r="U6309" s="89"/>
      <c r="V6309" s="61"/>
      <c r="W6309" s="92" t="s">
        <v>1354</v>
      </c>
      <c r="X6309" s="93" t="s">
        <v>32</v>
      </c>
      <c r="Y6309" s="93" t="s">
        <v>66</v>
      </c>
      <c r="Z6309" s="134">
        <f>VLOOKUP(W6309,Sheet2!$B:$D,3,FALSE)</f>
        <v>150</v>
      </c>
      <c r="AA6309" s="93">
        <f>AA6308</f>
        <v>0.27777777777777779</v>
      </c>
      <c r="AB6309" s="93">
        <f>AD6309/AC6307</f>
        <v>540</v>
      </c>
      <c r="AC6309" s="93">
        <f>AC6307/AA6309</f>
        <v>3.5999999999999996</v>
      </c>
      <c r="AD6309" s="94">
        <f t="shared" si="4421"/>
        <v>540</v>
      </c>
      <c r="AE6309" s="190"/>
      <c r="AF6309" s="191"/>
      <c r="AG6309" s="191"/>
      <c r="AH6309" s="191"/>
      <c r="AI6309" s="186"/>
      <c r="AK6309" s="171"/>
    </row>
    <row r="6310" spans="1:41" s="102" customFormat="1" ht="19.899999999999999" customHeight="1" x14ac:dyDescent="0.25">
      <c r="A6310" s="45"/>
      <c r="B6310" s="59"/>
      <c r="C6310" s="137"/>
      <c r="D6310" s="59"/>
      <c r="E6310" s="116"/>
      <c r="F6310" s="120"/>
      <c r="G6310" s="120"/>
      <c r="H6310" s="120"/>
      <c r="I6310" s="60"/>
      <c r="J6310" s="116"/>
      <c r="K6310" s="213"/>
      <c r="L6310" s="120"/>
      <c r="M6310" s="120"/>
      <c r="N6310" s="167"/>
      <c r="O6310" s="120"/>
      <c r="P6310" s="120"/>
      <c r="Q6310" s="120"/>
      <c r="R6310" s="120"/>
      <c r="S6310" s="120"/>
      <c r="T6310" s="221"/>
      <c r="U6310" s="89"/>
      <c r="V6310" s="61"/>
      <c r="W6310" s="92" t="s">
        <v>1353</v>
      </c>
      <c r="X6310" s="93" t="s">
        <v>30</v>
      </c>
      <c r="Y6310" s="93" t="s">
        <v>66</v>
      </c>
      <c r="Z6310" s="134">
        <f>VLOOKUP(W6310,Sheet2!$B:$D,3,FALSE)</f>
        <v>350</v>
      </c>
      <c r="AA6310" s="93">
        <f>1/(6*6*0.25)</f>
        <v>0.1111111111111111</v>
      </c>
      <c r="AB6310" s="93">
        <f>AD6310/AC6307</f>
        <v>3150</v>
      </c>
      <c r="AC6310" s="93">
        <f>AC6307/AA6310</f>
        <v>9</v>
      </c>
      <c r="AD6310" s="94">
        <f t="shared" si="4421"/>
        <v>3150</v>
      </c>
      <c r="AE6310" s="190"/>
      <c r="AF6310" s="191"/>
      <c r="AG6310" s="191"/>
      <c r="AH6310" s="191"/>
      <c r="AI6310" s="186"/>
      <c r="AK6310" s="171"/>
    </row>
    <row r="6311" spans="1:41" s="102" customFormat="1" ht="19.899999999999999" customHeight="1" x14ac:dyDescent="0.25">
      <c r="A6311" s="45"/>
      <c r="B6311" s="59"/>
      <c r="C6311" s="137"/>
      <c r="D6311" s="59"/>
      <c r="E6311" s="116"/>
      <c r="F6311" s="120"/>
      <c r="G6311" s="120"/>
      <c r="H6311" s="120"/>
      <c r="I6311" s="60"/>
      <c r="J6311" s="116"/>
      <c r="K6311" s="213"/>
      <c r="L6311" s="120"/>
      <c r="M6311" s="120"/>
      <c r="N6311" s="167"/>
      <c r="O6311" s="120"/>
      <c r="P6311" s="120"/>
      <c r="Q6311" s="120"/>
      <c r="R6311" s="120"/>
      <c r="S6311" s="120"/>
      <c r="T6311" s="221"/>
      <c r="U6311" s="89"/>
      <c r="V6311" s="61"/>
      <c r="W6311" s="92" t="s">
        <v>99</v>
      </c>
      <c r="X6311" s="93" t="s">
        <v>30</v>
      </c>
      <c r="Y6311" s="93" t="s">
        <v>67</v>
      </c>
      <c r="Z6311" s="134">
        <f>VLOOKUP(W6311,Sheet2!$B:$D,3,FALSE)</f>
        <v>2500</v>
      </c>
      <c r="AA6311" s="93">
        <f>AA6310/0.08</f>
        <v>1.3888888888888888</v>
      </c>
      <c r="AB6311" s="93">
        <f>AD6311/AC6307</f>
        <v>1800</v>
      </c>
      <c r="AC6311" s="93">
        <f>AC6307/AA6311</f>
        <v>0.72</v>
      </c>
      <c r="AD6311" s="94">
        <f>AC6311*Z6311</f>
        <v>1800</v>
      </c>
      <c r="AE6311" s="190"/>
      <c r="AF6311" s="191"/>
      <c r="AG6311" s="191"/>
      <c r="AH6311" s="191"/>
      <c r="AI6311" s="186"/>
      <c r="AK6311" s="171"/>
    </row>
    <row r="6312" spans="1:41" s="102" customFormat="1" ht="19.899999999999999" customHeight="1" x14ac:dyDescent="0.25">
      <c r="A6312" s="45"/>
      <c r="B6312" s="59"/>
      <c r="C6312" s="137"/>
      <c r="D6312" s="59"/>
      <c r="E6312" s="116"/>
      <c r="F6312" s="120"/>
      <c r="G6312" s="120"/>
      <c r="H6312" s="120"/>
      <c r="I6312" s="60"/>
      <c r="J6312" s="116"/>
      <c r="K6312" s="213"/>
      <c r="L6312" s="120"/>
      <c r="M6312" s="120"/>
      <c r="N6312" s="167"/>
      <c r="O6312" s="120"/>
      <c r="P6312" s="120"/>
      <c r="Q6312" s="120"/>
      <c r="R6312" s="120"/>
      <c r="S6312" s="120"/>
      <c r="T6312" s="221"/>
      <c r="U6312" s="89"/>
      <c r="V6312" s="61"/>
      <c r="W6312" s="92" t="s">
        <v>1378</v>
      </c>
      <c r="X6312" s="93" t="s">
        <v>32</v>
      </c>
      <c r="Y6312" s="93" t="s">
        <v>66</v>
      </c>
      <c r="Z6312" s="134">
        <f>VLOOKUP(W6312,Sheet2!$B:$D,3,FALSE)</f>
        <v>350</v>
      </c>
      <c r="AA6312" s="93">
        <f>AA6310</f>
        <v>0.1111111111111111</v>
      </c>
      <c r="AB6312" s="93">
        <f>AD6312/AC6307</f>
        <v>3150</v>
      </c>
      <c r="AC6312" s="93">
        <f>AC6307/AA6312</f>
        <v>9</v>
      </c>
      <c r="AD6312" s="94">
        <f t="shared" ref="AD6312" si="4422">AC6312*Z6312</f>
        <v>3150</v>
      </c>
      <c r="AE6312" s="190"/>
      <c r="AF6312" s="191"/>
      <c r="AG6312" s="191"/>
      <c r="AH6312" s="191"/>
      <c r="AI6312" s="186"/>
      <c r="AK6312" s="171"/>
    </row>
    <row r="6313" spans="1:41" s="102" customFormat="1" ht="20.100000000000001" customHeight="1" x14ac:dyDescent="0.25">
      <c r="A6313" s="45" t="s">
        <v>491</v>
      </c>
      <c r="B6313" s="276"/>
      <c r="C6313" s="285" t="s">
        <v>657</v>
      </c>
      <c r="D6313" s="59"/>
      <c r="E6313" s="116"/>
      <c r="F6313" s="120"/>
      <c r="G6313" s="120">
        <f t="shared" si="3841"/>
        <v>0</v>
      </c>
      <c r="H6313" s="120">
        <f t="shared" si="3842"/>
        <v>0</v>
      </c>
      <c r="I6313" s="60">
        <f t="shared" si="3843"/>
        <v>0</v>
      </c>
      <c r="J6313" s="116">
        <f t="shared" si="3844"/>
        <v>0</v>
      </c>
      <c r="K6313" s="213">
        <f t="shared" si="3845"/>
        <v>0</v>
      </c>
      <c r="L6313" s="120"/>
      <c r="M6313" s="120">
        <f t="shared" si="3846"/>
        <v>0</v>
      </c>
      <c r="N6313" s="167">
        <f t="shared" si="3847"/>
        <v>0</v>
      </c>
      <c r="O6313" s="120">
        <f t="shared" si="3848"/>
        <v>0</v>
      </c>
      <c r="P6313" s="120">
        <f t="shared" si="3849"/>
        <v>0</v>
      </c>
      <c r="Q6313" s="120">
        <f t="shared" si="3850"/>
        <v>0</v>
      </c>
      <c r="R6313" s="120">
        <f t="shared" si="3851"/>
        <v>0</v>
      </c>
      <c r="S6313" s="120"/>
      <c r="T6313" s="221">
        <f t="shared" si="3852"/>
        <v>0</v>
      </c>
      <c r="U6313" s="89"/>
      <c r="V6313" s="61"/>
      <c r="W6313" s="92"/>
      <c r="X6313" s="38"/>
      <c r="Y6313" s="93"/>
      <c r="Z6313" s="134"/>
      <c r="AA6313" s="93"/>
      <c r="AB6313" s="93"/>
      <c r="AC6313" s="93"/>
      <c r="AD6313" s="94"/>
      <c r="AE6313" s="190"/>
      <c r="AF6313" s="191"/>
      <c r="AG6313" s="191"/>
      <c r="AH6313" s="191"/>
      <c r="AI6313" s="186"/>
      <c r="AK6313" s="171"/>
    </row>
    <row r="6314" spans="1:41" s="102" customFormat="1" ht="63" x14ac:dyDescent="0.25">
      <c r="A6314" s="45" t="s">
        <v>491</v>
      </c>
      <c r="B6314" s="276"/>
      <c r="C6314" s="285" t="s">
        <v>658</v>
      </c>
      <c r="D6314" s="59"/>
      <c r="E6314" s="116"/>
      <c r="F6314" s="120"/>
      <c r="G6314" s="120">
        <f t="shared" si="3841"/>
        <v>0</v>
      </c>
      <c r="H6314" s="120">
        <f t="shared" si="3842"/>
        <v>0</v>
      </c>
      <c r="I6314" s="60">
        <f t="shared" si="3843"/>
        <v>0</v>
      </c>
      <c r="J6314" s="116">
        <f t="shared" si="3844"/>
        <v>0</v>
      </c>
      <c r="K6314" s="213">
        <f t="shared" si="3845"/>
        <v>0</v>
      </c>
      <c r="L6314" s="120"/>
      <c r="M6314" s="120">
        <f t="shared" si="3846"/>
        <v>0</v>
      </c>
      <c r="N6314" s="167">
        <f t="shared" si="3847"/>
        <v>0</v>
      </c>
      <c r="O6314" s="120">
        <f t="shared" si="3848"/>
        <v>0</v>
      </c>
      <c r="P6314" s="120">
        <f t="shared" si="3849"/>
        <v>0</v>
      </c>
      <c r="Q6314" s="120">
        <f t="shared" si="3850"/>
        <v>0</v>
      </c>
      <c r="R6314" s="120">
        <f t="shared" si="3851"/>
        <v>0</v>
      </c>
      <c r="S6314" s="120"/>
      <c r="T6314" s="221">
        <f t="shared" si="3852"/>
        <v>0</v>
      </c>
      <c r="U6314" s="89"/>
      <c r="V6314" s="61"/>
      <c r="W6314" s="92"/>
      <c r="X6314" s="38"/>
      <c r="Y6314" s="93"/>
      <c r="Z6314" s="134"/>
      <c r="AA6314" s="93"/>
      <c r="AB6314" s="93"/>
      <c r="AC6314" s="93"/>
      <c r="AD6314" s="94"/>
      <c r="AE6314" s="190"/>
      <c r="AF6314" s="191"/>
      <c r="AG6314" s="191"/>
      <c r="AH6314" s="191"/>
      <c r="AI6314" s="186"/>
      <c r="AK6314" s="171"/>
    </row>
    <row r="6315" spans="1:41" ht="20.100000000000001" customHeight="1" x14ac:dyDescent="0.25">
      <c r="A6315" s="277" t="s">
        <v>491</v>
      </c>
      <c r="B6315" s="278"/>
      <c r="C6315" s="64" t="s">
        <v>657</v>
      </c>
      <c r="D6315" s="46" t="s">
        <v>97</v>
      </c>
      <c r="E6315" s="114">
        <v>120</v>
      </c>
      <c r="F6315" s="44">
        <v>2266</v>
      </c>
      <c r="G6315" s="44">
        <f t="shared" si="3841"/>
        <v>271920</v>
      </c>
      <c r="H6315" s="44">
        <f t="shared" si="3842"/>
        <v>906.3355294117647</v>
      </c>
      <c r="I6315" s="43">
        <f t="shared" si="3843"/>
        <v>108760.26352941176</v>
      </c>
      <c r="J6315" s="112">
        <f t="shared" si="3844"/>
        <v>120</v>
      </c>
      <c r="K6315" s="211">
        <f t="shared" si="3845"/>
        <v>120</v>
      </c>
      <c r="L6315" s="44"/>
      <c r="M6315" s="44">
        <f t="shared" si="3846"/>
        <v>120</v>
      </c>
      <c r="N6315" s="173">
        <f t="shared" si="3847"/>
        <v>1</v>
      </c>
      <c r="O6315" s="44">
        <f t="shared" si="3848"/>
        <v>2266</v>
      </c>
      <c r="P6315" s="44">
        <f t="shared" si="3849"/>
        <v>271920</v>
      </c>
      <c r="Q6315" s="44">
        <f t="shared" si="3850"/>
        <v>906.3355294117647</v>
      </c>
      <c r="R6315" s="44">
        <f t="shared" si="3851"/>
        <v>108760.26352941176</v>
      </c>
      <c r="S6315" s="123"/>
      <c r="T6315" s="219">
        <f t="shared" si="3852"/>
        <v>108760.26352941176</v>
      </c>
      <c r="U6315" s="87"/>
      <c r="V6315" s="47"/>
      <c r="W6315" s="48"/>
      <c r="X6315" s="48"/>
      <c r="Y6315" s="48"/>
      <c r="Z6315" s="135"/>
      <c r="AA6315" s="49"/>
      <c r="AB6315" s="50">
        <f t="shared" si="3853"/>
        <v>906.3355294117647</v>
      </c>
      <c r="AC6315" s="42">
        <f t="shared" si="3854"/>
        <v>120</v>
      </c>
      <c r="AD6315" s="90">
        <f>AD6316+AD6321+AD6328</f>
        <v>108760.26352941176</v>
      </c>
      <c r="AE6315" s="188">
        <f t="shared" ref="AE6315:AH6315" si="4423">AE6316+AE6321+AE6328</f>
        <v>0</v>
      </c>
      <c r="AF6315" s="189">
        <f t="shared" si="4423"/>
        <v>0</v>
      </c>
      <c r="AG6315" s="189">
        <f t="shared" si="4423"/>
        <v>0</v>
      </c>
      <c r="AH6315" s="189">
        <f t="shared" si="4423"/>
        <v>0</v>
      </c>
      <c r="AI6315" s="161">
        <f t="shared" ref="AI6315" si="4424">SUM(AE6315:AH6315)</f>
        <v>0</v>
      </c>
      <c r="AK6315" s="169">
        <v>5</v>
      </c>
      <c r="AO6315" s="19" t="s">
        <v>63</v>
      </c>
    </row>
    <row r="6316" spans="1:41" s="103" customFormat="1" ht="19.899999999999999" customHeight="1" x14ac:dyDescent="0.25">
      <c r="A6316" s="51"/>
      <c r="B6316" s="52"/>
      <c r="C6316" s="165"/>
      <c r="D6316" s="52"/>
      <c r="E6316" s="115"/>
      <c r="F6316" s="58"/>
      <c r="G6316" s="58"/>
      <c r="H6316" s="58"/>
      <c r="I6316" s="55"/>
      <c r="J6316" s="113">
        <f>J6315</f>
        <v>120</v>
      </c>
      <c r="K6316" s="212">
        <f>K6315</f>
        <v>120</v>
      </c>
      <c r="L6316" s="58"/>
      <c r="M6316" s="58">
        <f>K6316-L6316</f>
        <v>120</v>
      </c>
      <c r="N6316" s="166"/>
      <c r="O6316" s="58"/>
      <c r="P6316" s="58"/>
      <c r="Q6316" s="58"/>
      <c r="R6316" s="58"/>
      <c r="S6316" s="58"/>
      <c r="T6316" s="220"/>
      <c r="U6316" s="88"/>
      <c r="V6316" s="56"/>
      <c r="W6316" s="57" t="s">
        <v>1591</v>
      </c>
      <c r="X6316" s="53"/>
      <c r="Y6316" s="91" t="s">
        <v>68</v>
      </c>
      <c r="Z6316" s="136">
        <f>AD6316/AC6316</f>
        <v>6.3355294117647061</v>
      </c>
      <c r="AA6316" s="58"/>
      <c r="AB6316" s="53">
        <f>AD6316/AC6316</f>
        <v>6.3355294117647061</v>
      </c>
      <c r="AC6316" s="53">
        <f>M6316+$AE$10</f>
        <v>120</v>
      </c>
      <c r="AD6316" s="54">
        <f>SUM(AD6317:AD6320)</f>
        <v>760.26352941176469</v>
      </c>
      <c r="AE6316" s="184">
        <f>SUMIFS($AD$37:$AD$12971,$V$37:$V$12971,$V6316,$X$37:$X$12971,AE$13)</f>
        <v>0</v>
      </c>
      <c r="AF6316" s="185">
        <f>SUMIFS($AD$37:$AD$12971,$V$37:$V$12971,$V6316,$X$37:$X$12971,AF$13)</f>
        <v>0</v>
      </c>
      <c r="AG6316" s="185">
        <f>SUMIFS($AD$37:$AD$12971,$V$37:$V$12971,$V6316,$X$37:$X$12971,AG$13)</f>
        <v>0</v>
      </c>
      <c r="AH6316" s="187">
        <f>SUMIFS($AD$37:$AD$12971,$V$37:$V$12971,$V6316,$X$37:$X$12971,AH$13)</f>
        <v>0</v>
      </c>
      <c r="AI6316" s="161">
        <f t="shared" ref="AI6316" si="4425">SUM(AE6316:AH6316)</f>
        <v>0</v>
      </c>
      <c r="AK6316" s="172"/>
    </row>
    <row r="6317" spans="1:41" s="102" customFormat="1" ht="19.899999999999999" customHeight="1" x14ac:dyDescent="0.25">
      <c r="A6317" s="45"/>
      <c r="B6317" s="59"/>
      <c r="C6317" s="137"/>
      <c r="D6317" s="59"/>
      <c r="E6317" s="116"/>
      <c r="F6317" s="120"/>
      <c r="G6317" s="120"/>
      <c r="H6317" s="120"/>
      <c r="I6317" s="60"/>
      <c r="J6317" s="116"/>
      <c r="K6317" s="213"/>
      <c r="L6317" s="120"/>
      <c r="M6317" s="120"/>
      <c r="N6317" s="167"/>
      <c r="O6317" s="120"/>
      <c r="P6317" s="120"/>
      <c r="Q6317" s="120"/>
      <c r="R6317" s="120"/>
      <c r="S6317" s="120"/>
      <c r="T6317" s="221"/>
      <c r="U6317" s="89"/>
      <c r="V6317" s="61"/>
      <c r="W6317" s="92" t="s">
        <v>129</v>
      </c>
      <c r="X6317" s="93" t="s">
        <v>29</v>
      </c>
      <c r="Y6317" s="93" t="s">
        <v>93</v>
      </c>
      <c r="Z6317" s="134">
        <f>VLOOKUP(W6317,Sheet2!$B:$D,3,FALSE)</f>
        <v>56</v>
      </c>
      <c r="AA6317" s="93">
        <f>80/(1.5*1*1)</f>
        <v>53.333333333333336</v>
      </c>
      <c r="AB6317" s="93">
        <f t="shared" ref="AB6317" si="4426">AD6317/AC6316</f>
        <v>1.05</v>
      </c>
      <c r="AC6317" s="93">
        <f>AC6316/AA6317</f>
        <v>2.25</v>
      </c>
      <c r="AD6317" s="94">
        <f t="shared" ref="AD6317:AD6318" si="4427">AC6317*Z6317</f>
        <v>126</v>
      </c>
      <c r="AE6317" s="190"/>
      <c r="AF6317" s="191"/>
      <c r="AG6317" s="191"/>
      <c r="AH6317" s="191"/>
      <c r="AI6317" s="186"/>
      <c r="AK6317" s="171"/>
    </row>
    <row r="6318" spans="1:41" s="102" customFormat="1" ht="19.899999999999999" customHeight="1" x14ac:dyDescent="0.25">
      <c r="A6318" s="45"/>
      <c r="B6318" s="59"/>
      <c r="C6318" s="137"/>
      <c r="D6318" s="59"/>
      <c r="E6318" s="116"/>
      <c r="F6318" s="120"/>
      <c r="G6318" s="120"/>
      <c r="H6318" s="120"/>
      <c r="I6318" s="60"/>
      <c r="J6318" s="116"/>
      <c r="K6318" s="213"/>
      <c r="L6318" s="120"/>
      <c r="M6318" s="120"/>
      <c r="N6318" s="167"/>
      <c r="O6318" s="120"/>
      <c r="P6318" s="120"/>
      <c r="Q6318" s="120"/>
      <c r="R6318" s="120"/>
      <c r="S6318" s="120"/>
      <c r="T6318" s="221"/>
      <c r="U6318" s="89"/>
      <c r="V6318" s="61"/>
      <c r="W6318" s="92" t="s">
        <v>65</v>
      </c>
      <c r="X6318" s="93" t="s">
        <v>30</v>
      </c>
      <c r="Y6318" s="93" t="s">
        <v>1011</v>
      </c>
      <c r="Z6318" s="134">
        <f>VLOOKUP(W6318,Sheet2!$B:$D,3,FALSE)</f>
        <v>1.76</v>
      </c>
      <c r="AA6318" s="93">
        <f>AA6317/14</f>
        <v>3.8095238095238098</v>
      </c>
      <c r="AB6318" s="93">
        <f>AD6318/AC6316</f>
        <v>0.46199999999999991</v>
      </c>
      <c r="AC6318" s="93">
        <f>AC6316/AA6318</f>
        <v>31.499999999999996</v>
      </c>
      <c r="AD6318" s="94">
        <f t="shared" si="4427"/>
        <v>55.439999999999991</v>
      </c>
      <c r="AE6318" s="190"/>
      <c r="AF6318" s="191"/>
      <c r="AG6318" s="191"/>
      <c r="AH6318" s="191"/>
      <c r="AI6318" s="186"/>
      <c r="AK6318" s="171"/>
    </row>
    <row r="6319" spans="1:41" s="102" customFormat="1" ht="19.899999999999999" customHeight="1" x14ac:dyDescent="0.25">
      <c r="A6319" s="45"/>
      <c r="B6319" s="59"/>
      <c r="C6319" s="137"/>
      <c r="D6319" s="59"/>
      <c r="E6319" s="116"/>
      <c r="F6319" s="120"/>
      <c r="G6319" s="120"/>
      <c r="H6319" s="120"/>
      <c r="I6319" s="60"/>
      <c r="J6319" s="116"/>
      <c r="K6319" s="213"/>
      <c r="L6319" s="120"/>
      <c r="M6319" s="120"/>
      <c r="N6319" s="167"/>
      <c r="O6319" s="120"/>
      <c r="P6319" s="120"/>
      <c r="Q6319" s="120"/>
      <c r="R6319" s="120"/>
      <c r="S6319" s="120"/>
      <c r="T6319" s="221"/>
      <c r="U6319" s="89"/>
      <c r="V6319" s="61"/>
      <c r="W6319" s="92" t="s">
        <v>161</v>
      </c>
      <c r="X6319" s="93" t="s">
        <v>29</v>
      </c>
      <c r="Y6319" s="93" t="s">
        <v>93</v>
      </c>
      <c r="Z6319" s="134">
        <f>VLOOKUP(W6319,Sheet2!$B:$D,3,FALSE)</f>
        <v>48</v>
      </c>
      <c r="AA6319" s="93">
        <f>(16*0.85*1.5)/(1.5*1*1)</f>
        <v>13.6</v>
      </c>
      <c r="AB6319" s="93">
        <f>AD6319/AC6316</f>
        <v>3.5294117647058827</v>
      </c>
      <c r="AC6319" s="93">
        <f>AC6316/AA6319</f>
        <v>8.8235294117647065</v>
      </c>
      <c r="AD6319" s="94">
        <f>AC6319*Z6319</f>
        <v>423.52941176470591</v>
      </c>
      <c r="AE6319" s="190"/>
      <c r="AF6319" s="191"/>
      <c r="AG6319" s="191"/>
      <c r="AH6319" s="191"/>
      <c r="AI6319" s="186"/>
      <c r="AK6319" s="171"/>
    </row>
    <row r="6320" spans="1:41" s="102" customFormat="1" ht="19.899999999999999" customHeight="1" x14ac:dyDescent="0.25">
      <c r="A6320" s="45"/>
      <c r="B6320" s="59"/>
      <c r="C6320" s="137"/>
      <c r="D6320" s="59"/>
      <c r="E6320" s="116"/>
      <c r="F6320" s="120"/>
      <c r="G6320" s="120"/>
      <c r="H6320" s="120"/>
      <c r="I6320" s="60"/>
      <c r="J6320" s="116"/>
      <c r="K6320" s="213"/>
      <c r="L6320" s="120"/>
      <c r="M6320" s="120"/>
      <c r="N6320" s="167"/>
      <c r="O6320" s="120"/>
      <c r="P6320" s="120"/>
      <c r="Q6320" s="120"/>
      <c r="R6320" s="120"/>
      <c r="S6320" s="120"/>
      <c r="T6320" s="221"/>
      <c r="U6320" s="89"/>
      <c r="V6320" s="61"/>
      <c r="W6320" s="92" t="s">
        <v>65</v>
      </c>
      <c r="X6320" s="93" t="s">
        <v>30</v>
      </c>
      <c r="Y6320" s="93" t="s">
        <v>1011</v>
      </c>
      <c r="Z6320" s="134">
        <f>VLOOKUP(W6320,Sheet2!$B:$D,3,FALSE)</f>
        <v>1.76</v>
      </c>
      <c r="AA6320" s="93">
        <f>AA6319/10</f>
        <v>1.3599999999999999</v>
      </c>
      <c r="AB6320" s="93">
        <f>AD6320/AC6316</f>
        <v>1.2941176470588236</v>
      </c>
      <c r="AC6320" s="93">
        <f>AC6316/AA6320</f>
        <v>88.235294117647072</v>
      </c>
      <c r="AD6320" s="94">
        <f>AC6320*Z6320</f>
        <v>155.29411764705884</v>
      </c>
      <c r="AE6320" s="190"/>
      <c r="AF6320" s="191"/>
      <c r="AG6320" s="191"/>
      <c r="AH6320" s="191"/>
      <c r="AI6320" s="186"/>
      <c r="AK6320" s="171"/>
    </row>
    <row r="6321" spans="1:41" s="103" customFormat="1" ht="19.899999999999999" customHeight="1" x14ac:dyDescent="0.25">
      <c r="A6321" s="51"/>
      <c r="B6321" s="52"/>
      <c r="C6321" s="165"/>
      <c r="D6321" s="52"/>
      <c r="E6321" s="115"/>
      <c r="F6321" s="58"/>
      <c r="G6321" s="58"/>
      <c r="H6321" s="58"/>
      <c r="I6321" s="55"/>
      <c r="J6321" s="113">
        <f>J6315</f>
        <v>120</v>
      </c>
      <c r="K6321" s="212">
        <f>K6315</f>
        <v>120</v>
      </c>
      <c r="L6321" s="58"/>
      <c r="M6321" s="58">
        <f>K6321-L6321</f>
        <v>120</v>
      </c>
      <c r="N6321" s="166"/>
      <c r="O6321" s="58"/>
      <c r="P6321" s="58"/>
      <c r="Q6321" s="58"/>
      <c r="R6321" s="58"/>
      <c r="S6321" s="58"/>
      <c r="T6321" s="220"/>
      <c r="U6321" s="88"/>
      <c r="V6321" s="56"/>
      <c r="W6321" s="57" t="s">
        <v>1592</v>
      </c>
      <c r="X6321" s="53"/>
      <c r="Y6321" s="91" t="s">
        <v>68</v>
      </c>
      <c r="Z6321" s="136">
        <f>AD6321/AC6321</f>
        <v>540</v>
      </c>
      <c r="AA6321" s="58"/>
      <c r="AB6321" s="53">
        <f>AD6321/AC6321</f>
        <v>540</v>
      </c>
      <c r="AC6321" s="53">
        <f>M6321+$AE$10</f>
        <v>120</v>
      </c>
      <c r="AD6321" s="54">
        <f>SUM(AD6322:AD6327)</f>
        <v>64800</v>
      </c>
      <c r="AE6321" s="184">
        <f>SUMIFS($AD$37:$AD$12971,$V$37:$V$12971,$V6321,$X$37:$X$12971,AE$13)</f>
        <v>0</v>
      </c>
      <c r="AF6321" s="185">
        <f>SUMIFS($AD$37:$AD$12971,$V$37:$V$12971,$V6321,$X$37:$X$12971,AF$13)</f>
        <v>0</v>
      </c>
      <c r="AG6321" s="185">
        <f>SUMIFS($AD$37:$AD$12971,$V$37:$V$12971,$V6321,$X$37:$X$12971,AG$13)</f>
        <v>0</v>
      </c>
      <c r="AH6321" s="187">
        <f>SUMIFS($AD$37:$AD$12971,$V$37:$V$12971,$V6321,$X$37:$X$12971,AH$13)</f>
        <v>0</v>
      </c>
      <c r="AI6321" s="161">
        <f t="shared" ref="AI6321" si="4428">SUM(AE6321:AH6321)</f>
        <v>0</v>
      </c>
      <c r="AK6321" s="172"/>
    </row>
    <row r="6322" spans="1:41" s="102" customFormat="1" ht="19.899999999999999" customHeight="1" x14ac:dyDescent="0.25">
      <c r="A6322" s="45"/>
      <c r="B6322" s="59"/>
      <c r="C6322" s="137"/>
      <c r="D6322" s="59"/>
      <c r="E6322" s="116"/>
      <c r="F6322" s="120"/>
      <c r="G6322" s="120"/>
      <c r="H6322" s="120"/>
      <c r="I6322" s="60"/>
      <c r="J6322" s="116"/>
      <c r="K6322" s="213"/>
      <c r="L6322" s="120"/>
      <c r="M6322" s="120"/>
      <c r="N6322" s="167"/>
      <c r="O6322" s="120"/>
      <c r="P6322" s="120"/>
      <c r="Q6322" s="120"/>
      <c r="R6322" s="120"/>
      <c r="S6322" s="120"/>
      <c r="T6322" s="221"/>
      <c r="U6322" s="89"/>
      <c r="V6322" s="61"/>
      <c r="W6322" s="92" t="s">
        <v>1032</v>
      </c>
      <c r="X6322" s="93" t="s">
        <v>30</v>
      </c>
      <c r="Y6322" s="93" t="s">
        <v>66</v>
      </c>
      <c r="Z6322" s="134">
        <f>VLOOKUP(W6322,Sheet2!$B:$D,3,FALSE)</f>
        <v>250</v>
      </c>
      <c r="AA6322" s="93">
        <f>1/0.2</f>
        <v>5</v>
      </c>
      <c r="AB6322" s="93">
        <f>AD6322/AC6328</f>
        <v>50</v>
      </c>
      <c r="AC6322" s="93">
        <f>AC6328/AA6322</f>
        <v>24</v>
      </c>
      <c r="AD6322" s="94">
        <f t="shared" ref="AD6322:AD6324" si="4429">AC6322*Z6322</f>
        <v>6000</v>
      </c>
      <c r="AE6322" s="190"/>
      <c r="AF6322" s="191"/>
      <c r="AG6322" s="191"/>
      <c r="AH6322" s="191"/>
      <c r="AI6322" s="186"/>
      <c r="AK6322" s="171"/>
    </row>
    <row r="6323" spans="1:41" s="102" customFormat="1" ht="19.899999999999999" customHeight="1" x14ac:dyDescent="0.25">
      <c r="A6323" s="45"/>
      <c r="B6323" s="59"/>
      <c r="C6323" s="137"/>
      <c r="D6323" s="59"/>
      <c r="E6323" s="116"/>
      <c r="F6323" s="120"/>
      <c r="G6323" s="120"/>
      <c r="H6323" s="120"/>
      <c r="I6323" s="60"/>
      <c r="J6323" s="116"/>
      <c r="K6323" s="213"/>
      <c r="L6323" s="120"/>
      <c r="M6323" s="120"/>
      <c r="N6323" s="167"/>
      <c r="O6323" s="120"/>
      <c r="P6323" s="120"/>
      <c r="Q6323" s="120"/>
      <c r="R6323" s="120"/>
      <c r="S6323" s="120"/>
      <c r="T6323" s="221"/>
      <c r="U6323" s="89"/>
      <c r="V6323" s="61"/>
      <c r="W6323" s="92" t="s">
        <v>1353</v>
      </c>
      <c r="X6323" s="93" t="s">
        <v>30</v>
      </c>
      <c r="Y6323" s="93" t="s">
        <v>66</v>
      </c>
      <c r="Z6323" s="134">
        <f>VLOOKUP(W6323,Sheet2!$B:$D,3,FALSE)</f>
        <v>350</v>
      </c>
      <c r="AA6323" s="93">
        <f>1/0.4</f>
        <v>2.5</v>
      </c>
      <c r="AB6323" s="93">
        <f>AD6323/AC6328</f>
        <v>140</v>
      </c>
      <c r="AC6323" s="93">
        <f>AC6328/AA6323</f>
        <v>48</v>
      </c>
      <c r="AD6323" s="94">
        <f t="shared" si="4429"/>
        <v>16800</v>
      </c>
      <c r="AE6323" s="190"/>
      <c r="AF6323" s="191"/>
      <c r="AG6323" s="191"/>
      <c r="AH6323" s="191"/>
      <c r="AI6323" s="186"/>
      <c r="AK6323" s="171"/>
    </row>
    <row r="6324" spans="1:41" s="102" customFormat="1" ht="19.899999999999999" customHeight="1" x14ac:dyDescent="0.25">
      <c r="A6324" s="45"/>
      <c r="B6324" s="59"/>
      <c r="C6324" s="137"/>
      <c r="D6324" s="59"/>
      <c r="E6324" s="116"/>
      <c r="F6324" s="120"/>
      <c r="G6324" s="120"/>
      <c r="H6324" s="120"/>
      <c r="I6324" s="60"/>
      <c r="J6324" s="116"/>
      <c r="K6324" s="213"/>
      <c r="L6324" s="120"/>
      <c r="M6324" s="120"/>
      <c r="N6324" s="167"/>
      <c r="O6324" s="120"/>
      <c r="P6324" s="120"/>
      <c r="Q6324" s="120"/>
      <c r="R6324" s="120"/>
      <c r="S6324" s="120"/>
      <c r="T6324" s="221"/>
      <c r="U6324" s="89"/>
      <c r="V6324" s="61"/>
      <c r="W6324" s="92" t="s">
        <v>99</v>
      </c>
      <c r="X6324" s="93" t="s">
        <v>30</v>
      </c>
      <c r="Y6324" s="93" t="s">
        <v>67</v>
      </c>
      <c r="Z6324" s="134">
        <f>VLOOKUP(W6324,Sheet2!$B:$D,3,FALSE)</f>
        <v>2500</v>
      </c>
      <c r="AA6324" s="93">
        <f>AA6323/0.1</f>
        <v>25</v>
      </c>
      <c r="AB6324" s="93">
        <f>AD6324/AC6328</f>
        <v>100</v>
      </c>
      <c r="AC6324" s="93">
        <f>AC6328/AA6324</f>
        <v>4.8</v>
      </c>
      <c r="AD6324" s="94">
        <f t="shared" si="4429"/>
        <v>12000</v>
      </c>
      <c r="AE6324" s="190"/>
      <c r="AF6324" s="191"/>
      <c r="AG6324" s="191"/>
      <c r="AH6324" s="191"/>
      <c r="AI6324" s="186"/>
      <c r="AK6324" s="171"/>
    </row>
    <row r="6325" spans="1:41" s="102" customFormat="1" ht="19.899999999999999" customHeight="1" x14ac:dyDescent="0.25">
      <c r="A6325" s="45"/>
      <c r="B6325" s="59"/>
      <c r="C6325" s="137"/>
      <c r="D6325" s="59"/>
      <c r="E6325" s="116"/>
      <c r="F6325" s="120"/>
      <c r="G6325" s="120"/>
      <c r="H6325" s="120"/>
      <c r="I6325" s="60"/>
      <c r="J6325" s="116"/>
      <c r="K6325" s="213"/>
      <c r="L6325" s="120"/>
      <c r="M6325" s="120"/>
      <c r="N6325" s="167"/>
      <c r="O6325" s="120"/>
      <c r="P6325" s="120"/>
      <c r="Q6325" s="120"/>
      <c r="R6325" s="120"/>
      <c r="S6325" s="120"/>
      <c r="T6325" s="221"/>
      <c r="U6325" s="89"/>
      <c r="V6325" s="61"/>
      <c r="W6325" s="92" t="s">
        <v>1354</v>
      </c>
      <c r="X6325" s="93" t="s">
        <v>32</v>
      </c>
      <c r="Y6325" s="93" t="s">
        <v>66</v>
      </c>
      <c r="Z6325" s="134">
        <f>VLOOKUP(W6325,Sheet2!$B:$D,3,FALSE)</f>
        <v>150</v>
      </c>
      <c r="AA6325" s="93">
        <f>AA6322</f>
        <v>5</v>
      </c>
      <c r="AB6325" s="93">
        <f>AD6325/AC6328</f>
        <v>30</v>
      </c>
      <c r="AC6325" s="93">
        <f>AC6328/AA6325</f>
        <v>24</v>
      </c>
      <c r="AD6325" s="94">
        <f>AC6325*Z6325</f>
        <v>3600</v>
      </c>
      <c r="AE6325" s="190"/>
      <c r="AF6325" s="191"/>
      <c r="AG6325" s="191"/>
      <c r="AH6325" s="191"/>
      <c r="AI6325" s="186"/>
      <c r="AK6325" s="171"/>
    </row>
    <row r="6326" spans="1:41" s="102" customFormat="1" ht="19.899999999999999" customHeight="1" x14ac:dyDescent="0.25">
      <c r="A6326" s="45"/>
      <c r="B6326" s="59"/>
      <c r="C6326" s="137"/>
      <c r="D6326" s="59"/>
      <c r="E6326" s="116"/>
      <c r="F6326" s="120"/>
      <c r="G6326" s="120"/>
      <c r="H6326" s="120"/>
      <c r="I6326" s="60"/>
      <c r="J6326" s="116"/>
      <c r="K6326" s="213"/>
      <c r="L6326" s="120"/>
      <c r="M6326" s="120"/>
      <c r="N6326" s="167"/>
      <c r="O6326" s="120"/>
      <c r="P6326" s="120"/>
      <c r="Q6326" s="120"/>
      <c r="R6326" s="120"/>
      <c r="S6326" s="120"/>
      <c r="T6326" s="221"/>
      <c r="U6326" s="89"/>
      <c r="V6326" s="61"/>
      <c r="W6326" s="92" t="s">
        <v>1355</v>
      </c>
      <c r="X6326" s="93" t="s">
        <v>32</v>
      </c>
      <c r="Y6326" s="93" t="s">
        <v>66</v>
      </c>
      <c r="Z6326" s="134">
        <f>VLOOKUP(W6326,Sheet2!$B:$D,3,FALSE)</f>
        <v>450</v>
      </c>
      <c r="AA6326" s="93">
        <f>AA6323</f>
        <v>2.5</v>
      </c>
      <c r="AB6326" s="93">
        <f>AD6326/AC6328</f>
        <v>180</v>
      </c>
      <c r="AC6326" s="93">
        <f>AC6328/AA6326</f>
        <v>48</v>
      </c>
      <c r="AD6326" s="94">
        <f>AC6326*Z6326</f>
        <v>21600</v>
      </c>
      <c r="AE6326" s="190"/>
      <c r="AF6326" s="191"/>
      <c r="AG6326" s="191"/>
      <c r="AH6326" s="191"/>
      <c r="AI6326" s="186"/>
      <c r="AK6326" s="171"/>
    </row>
    <row r="6327" spans="1:41" s="102" customFormat="1" ht="19.899999999999999" customHeight="1" x14ac:dyDescent="0.25">
      <c r="A6327" s="45"/>
      <c r="B6327" s="59"/>
      <c r="C6327" s="137"/>
      <c r="D6327" s="59"/>
      <c r="E6327" s="116"/>
      <c r="F6327" s="120"/>
      <c r="G6327" s="120"/>
      <c r="H6327" s="120"/>
      <c r="I6327" s="60"/>
      <c r="J6327" s="116"/>
      <c r="K6327" s="213"/>
      <c r="L6327" s="120"/>
      <c r="M6327" s="120"/>
      <c r="N6327" s="167"/>
      <c r="O6327" s="120"/>
      <c r="P6327" s="120"/>
      <c r="Q6327" s="120"/>
      <c r="R6327" s="120"/>
      <c r="S6327" s="120"/>
      <c r="T6327" s="221"/>
      <c r="U6327" s="89"/>
      <c r="V6327" s="61"/>
      <c r="W6327" s="92" t="s">
        <v>124</v>
      </c>
      <c r="X6327" s="93" t="s">
        <v>32</v>
      </c>
      <c r="Y6327" s="93" t="s">
        <v>64</v>
      </c>
      <c r="Z6327" s="134">
        <f>VLOOKUP(W6327,Sheet2!$B:$D,3,FALSE)</f>
        <v>10</v>
      </c>
      <c r="AA6327" s="93">
        <f>1/4</f>
        <v>0.25</v>
      </c>
      <c r="AB6327" s="93">
        <f t="shared" ref="AB6327" si="4430">AD6327/AC6321</f>
        <v>40</v>
      </c>
      <c r="AC6327" s="93">
        <f>AC6321/AA6327</f>
        <v>480</v>
      </c>
      <c r="AD6327" s="94">
        <f t="shared" ref="AD6327" si="4431">AC6327*Z6327</f>
        <v>4800</v>
      </c>
      <c r="AE6327" s="190"/>
      <c r="AF6327" s="191"/>
      <c r="AG6327" s="191"/>
      <c r="AH6327" s="191"/>
      <c r="AI6327" s="186"/>
      <c r="AK6327" s="171"/>
    </row>
    <row r="6328" spans="1:41" s="103" customFormat="1" ht="19.899999999999999" customHeight="1" x14ac:dyDescent="0.25">
      <c r="A6328" s="51"/>
      <c r="B6328" s="52"/>
      <c r="C6328" s="165"/>
      <c r="D6328" s="52"/>
      <c r="E6328" s="115"/>
      <c r="F6328" s="58"/>
      <c r="G6328" s="58"/>
      <c r="H6328" s="58"/>
      <c r="I6328" s="55"/>
      <c r="J6328" s="113">
        <f>J6315</f>
        <v>120</v>
      </c>
      <c r="K6328" s="212">
        <f>K6315</f>
        <v>120</v>
      </c>
      <c r="L6328" s="58"/>
      <c r="M6328" s="58">
        <f>K6328-L6328</f>
        <v>120</v>
      </c>
      <c r="N6328" s="166"/>
      <c r="O6328" s="58"/>
      <c r="P6328" s="58"/>
      <c r="Q6328" s="58"/>
      <c r="R6328" s="58"/>
      <c r="S6328" s="58"/>
      <c r="T6328" s="220"/>
      <c r="U6328" s="88"/>
      <c r="V6328" s="56"/>
      <c r="W6328" s="57" t="s">
        <v>1593</v>
      </c>
      <c r="X6328" s="53"/>
      <c r="Y6328" s="91" t="s">
        <v>68</v>
      </c>
      <c r="Z6328" s="136">
        <f>AD6328/AC6328</f>
        <v>360</v>
      </c>
      <c r="AA6328" s="58"/>
      <c r="AB6328" s="53">
        <f>AD6328/AC6328</f>
        <v>360</v>
      </c>
      <c r="AC6328" s="53">
        <f>M6328+$AE$10</f>
        <v>120</v>
      </c>
      <c r="AD6328" s="54">
        <f>SUM(AD6329:AD6331)</f>
        <v>43200</v>
      </c>
      <c r="AE6328" s="184">
        <f>SUMIFS($AD$37:$AD$12971,$V$37:$V$12971,$V6328,$X$37:$X$12971,AE$13)</f>
        <v>0</v>
      </c>
      <c r="AF6328" s="185">
        <f>SUMIFS($AD$37:$AD$12971,$V$37:$V$12971,$V6328,$X$37:$X$12971,AF$13)</f>
        <v>0</v>
      </c>
      <c r="AG6328" s="185">
        <f>SUMIFS($AD$37:$AD$12971,$V$37:$V$12971,$V6328,$X$37:$X$12971,AG$13)</f>
        <v>0</v>
      </c>
      <c r="AH6328" s="187">
        <f>SUMIFS($AD$37:$AD$12971,$V$37:$V$12971,$V6328,$X$37:$X$12971,AH$13)</f>
        <v>0</v>
      </c>
      <c r="AI6328" s="161">
        <f t="shared" ref="AI6328" si="4432">SUM(AE6328:AH6328)</f>
        <v>0</v>
      </c>
      <c r="AK6328" s="172"/>
    </row>
    <row r="6329" spans="1:41" s="102" customFormat="1" ht="19.899999999999999" customHeight="1" x14ac:dyDescent="0.25">
      <c r="A6329" s="45"/>
      <c r="B6329" s="59"/>
      <c r="C6329" s="137"/>
      <c r="D6329" s="59"/>
      <c r="E6329" s="116"/>
      <c r="F6329" s="120"/>
      <c r="G6329" s="120"/>
      <c r="H6329" s="120"/>
      <c r="I6329" s="60"/>
      <c r="J6329" s="116"/>
      <c r="K6329" s="213"/>
      <c r="L6329" s="120"/>
      <c r="M6329" s="120"/>
      <c r="N6329" s="167"/>
      <c r="O6329" s="120"/>
      <c r="P6329" s="120"/>
      <c r="Q6329" s="120"/>
      <c r="R6329" s="120"/>
      <c r="S6329" s="120"/>
      <c r="T6329" s="221"/>
      <c r="U6329" s="89"/>
      <c r="V6329" s="61"/>
      <c r="W6329" s="92" t="s">
        <v>1595</v>
      </c>
      <c r="X6329" s="93" t="s">
        <v>30</v>
      </c>
      <c r="Y6329" s="93" t="s">
        <v>68</v>
      </c>
      <c r="Z6329" s="134">
        <f>VLOOKUP(W6329,Sheet2!$B:$D,3,FALSE)</f>
        <v>150</v>
      </c>
      <c r="AA6329" s="93">
        <v>1</v>
      </c>
      <c r="AB6329" s="93">
        <f>AD6329/AC6328</f>
        <v>150</v>
      </c>
      <c r="AC6329" s="93">
        <f>AC6328/AA6329</f>
        <v>120</v>
      </c>
      <c r="AD6329" s="94">
        <f t="shared" ref="AD6329:AD6330" si="4433">AC6329*Z6329</f>
        <v>18000</v>
      </c>
      <c r="AE6329" s="190"/>
      <c r="AF6329" s="191"/>
      <c r="AG6329" s="191"/>
      <c r="AH6329" s="191"/>
      <c r="AI6329" s="186"/>
      <c r="AK6329" s="171"/>
    </row>
    <row r="6330" spans="1:41" s="102" customFormat="1" ht="19.899999999999999" customHeight="1" x14ac:dyDescent="0.25">
      <c r="A6330" s="45"/>
      <c r="B6330" s="59"/>
      <c r="C6330" s="137"/>
      <c r="D6330" s="59"/>
      <c r="E6330" s="116"/>
      <c r="F6330" s="120"/>
      <c r="G6330" s="120"/>
      <c r="H6330" s="120"/>
      <c r="I6330" s="60"/>
      <c r="J6330" s="116"/>
      <c r="K6330" s="213"/>
      <c r="L6330" s="120"/>
      <c r="M6330" s="120"/>
      <c r="N6330" s="167"/>
      <c r="O6330" s="120"/>
      <c r="P6330" s="120"/>
      <c r="Q6330" s="120"/>
      <c r="R6330" s="120"/>
      <c r="S6330" s="120"/>
      <c r="T6330" s="221"/>
      <c r="U6330" s="89"/>
      <c r="V6330" s="61"/>
      <c r="W6330" s="92" t="s">
        <v>1596</v>
      </c>
      <c r="X6330" s="93" t="s">
        <v>30</v>
      </c>
      <c r="Y6330" s="93" t="s">
        <v>68</v>
      </c>
      <c r="Z6330" s="134">
        <f>VLOOKUP(W6330,Sheet2!$B:$D,3,FALSE)</f>
        <v>90</v>
      </c>
      <c r="AA6330" s="93">
        <v>1</v>
      </c>
      <c r="AB6330" s="93">
        <f>AD6330/AC6328</f>
        <v>90</v>
      </c>
      <c r="AC6330" s="93">
        <f>AC6328/AA6330</f>
        <v>120</v>
      </c>
      <c r="AD6330" s="94">
        <f t="shared" si="4433"/>
        <v>10800</v>
      </c>
      <c r="AE6330" s="190"/>
      <c r="AF6330" s="191"/>
      <c r="AG6330" s="191"/>
      <c r="AH6330" s="191"/>
      <c r="AI6330" s="186"/>
      <c r="AK6330" s="171"/>
    </row>
    <row r="6331" spans="1:41" s="102" customFormat="1" ht="19.899999999999999" customHeight="1" x14ac:dyDescent="0.25">
      <c r="A6331" s="45"/>
      <c r="B6331" s="59"/>
      <c r="C6331" s="137"/>
      <c r="D6331" s="59"/>
      <c r="E6331" s="116"/>
      <c r="F6331" s="120"/>
      <c r="G6331" s="120"/>
      <c r="H6331" s="120"/>
      <c r="I6331" s="60"/>
      <c r="J6331" s="116"/>
      <c r="K6331" s="213"/>
      <c r="L6331" s="120"/>
      <c r="M6331" s="120"/>
      <c r="N6331" s="167"/>
      <c r="O6331" s="120"/>
      <c r="P6331" s="120"/>
      <c r="Q6331" s="120"/>
      <c r="R6331" s="120"/>
      <c r="S6331" s="120"/>
      <c r="T6331" s="221"/>
      <c r="U6331" s="89"/>
      <c r="V6331" s="61"/>
      <c r="W6331" s="92" t="s">
        <v>1594</v>
      </c>
      <c r="X6331" s="93" t="s">
        <v>32</v>
      </c>
      <c r="Y6331" s="93" t="s">
        <v>68</v>
      </c>
      <c r="Z6331" s="134">
        <f>VLOOKUP(W6331,Sheet2!$B:$D,3,FALSE)</f>
        <v>120</v>
      </c>
      <c r="AA6331" s="93">
        <v>1</v>
      </c>
      <c r="AB6331" s="93">
        <f>AD6331/AC6328</f>
        <v>120</v>
      </c>
      <c r="AC6331" s="93">
        <f>AC6328/AA6331</f>
        <v>120</v>
      </c>
      <c r="AD6331" s="94">
        <f>AC6331*Z6331</f>
        <v>14400</v>
      </c>
      <c r="AE6331" s="190"/>
      <c r="AF6331" s="191"/>
      <c r="AG6331" s="191"/>
      <c r="AH6331" s="191"/>
      <c r="AI6331" s="186"/>
      <c r="AK6331" s="171"/>
    </row>
    <row r="6332" spans="1:41" ht="20.100000000000001" customHeight="1" x14ac:dyDescent="0.25">
      <c r="A6332" s="277" t="s">
        <v>491</v>
      </c>
      <c r="B6332" s="278"/>
      <c r="C6332" s="64" t="s">
        <v>659</v>
      </c>
      <c r="D6332" s="46" t="s">
        <v>215</v>
      </c>
      <c r="E6332" s="114">
        <v>1</v>
      </c>
      <c r="F6332" s="44">
        <v>22658</v>
      </c>
      <c r="G6332" s="44">
        <f t="shared" si="3841"/>
        <v>22658</v>
      </c>
      <c r="H6332" s="44">
        <f t="shared" si="3842"/>
        <v>18500</v>
      </c>
      <c r="I6332" s="43">
        <f t="shared" si="3843"/>
        <v>18500</v>
      </c>
      <c r="J6332" s="112">
        <f t="shared" si="3844"/>
        <v>1</v>
      </c>
      <c r="K6332" s="211">
        <f t="shared" si="3845"/>
        <v>1</v>
      </c>
      <c r="L6332" s="44"/>
      <c r="M6332" s="44">
        <f t="shared" si="3846"/>
        <v>1</v>
      </c>
      <c r="N6332" s="173">
        <f t="shared" si="3847"/>
        <v>1</v>
      </c>
      <c r="O6332" s="44">
        <f t="shared" si="3848"/>
        <v>22658</v>
      </c>
      <c r="P6332" s="44">
        <f t="shared" si="3849"/>
        <v>22658</v>
      </c>
      <c r="Q6332" s="44">
        <f t="shared" si="3850"/>
        <v>18500</v>
      </c>
      <c r="R6332" s="44">
        <f t="shared" si="3851"/>
        <v>18500</v>
      </c>
      <c r="S6332" s="123"/>
      <c r="T6332" s="219">
        <f t="shared" si="3852"/>
        <v>18500</v>
      </c>
      <c r="U6332" s="87"/>
      <c r="V6332" s="47"/>
      <c r="W6332" s="48"/>
      <c r="X6332" s="48"/>
      <c r="Y6332" s="48"/>
      <c r="Z6332" s="135"/>
      <c r="AA6332" s="49"/>
      <c r="AB6332" s="50">
        <f t="shared" si="3853"/>
        <v>18500</v>
      </c>
      <c r="AC6332" s="42">
        <f t="shared" si="3854"/>
        <v>1</v>
      </c>
      <c r="AD6332" s="90">
        <f>AD6333</f>
        <v>18500</v>
      </c>
      <c r="AE6332" s="188">
        <f t="shared" ref="AE6332" si="4434">AE6333</f>
        <v>0</v>
      </c>
      <c r="AF6332" s="189">
        <f t="shared" ref="AF6332" si="4435">AF6333</f>
        <v>0</v>
      </c>
      <c r="AG6332" s="189">
        <f t="shared" ref="AG6332" si="4436">AG6333</f>
        <v>0</v>
      </c>
      <c r="AH6332" s="189">
        <f t="shared" ref="AH6332" si="4437">AH6333</f>
        <v>0</v>
      </c>
      <c r="AI6332" s="161">
        <f t="shared" ref="AI6332" si="4438">SUM(AE6332:AH6332)</f>
        <v>0</v>
      </c>
      <c r="AK6332" s="169">
        <v>5</v>
      </c>
      <c r="AO6332" s="19" t="s">
        <v>63</v>
      </c>
    </row>
    <row r="6333" spans="1:41" s="103" customFormat="1" ht="19.899999999999999" customHeight="1" x14ac:dyDescent="0.25">
      <c r="A6333" s="51"/>
      <c r="B6333" s="52"/>
      <c r="C6333" s="165"/>
      <c r="D6333" s="52"/>
      <c r="E6333" s="115"/>
      <c r="F6333" s="58"/>
      <c r="G6333" s="58"/>
      <c r="H6333" s="58"/>
      <c r="I6333" s="55"/>
      <c r="J6333" s="113">
        <f>J6332</f>
        <v>1</v>
      </c>
      <c r="K6333" s="212">
        <f>K6332</f>
        <v>1</v>
      </c>
      <c r="L6333" s="58"/>
      <c r="M6333" s="58">
        <f>K6333-L6333</f>
        <v>1</v>
      </c>
      <c r="N6333" s="166"/>
      <c r="O6333" s="58"/>
      <c r="P6333" s="58"/>
      <c r="Q6333" s="58"/>
      <c r="R6333" s="58"/>
      <c r="S6333" s="58"/>
      <c r="T6333" s="220"/>
      <c r="U6333" s="88"/>
      <c r="V6333" s="56"/>
      <c r="W6333" s="57" t="s">
        <v>1597</v>
      </c>
      <c r="X6333" s="53"/>
      <c r="Y6333" s="91" t="s">
        <v>1349</v>
      </c>
      <c r="Z6333" s="136">
        <f>AD6333/AC6333</f>
        <v>18500</v>
      </c>
      <c r="AA6333" s="58"/>
      <c r="AB6333" s="53">
        <f>AD6333/AC6333</f>
        <v>18500</v>
      </c>
      <c r="AC6333" s="53">
        <f>M6333+$AE$10</f>
        <v>1</v>
      </c>
      <c r="AD6333" s="54">
        <f>SUM(AD6334)</f>
        <v>18500</v>
      </c>
      <c r="AE6333" s="184">
        <f>SUMIFS($AD$37:$AD$12971,$V$37:$V$12971,$V6333,$X$37:$X$12971,AE$13)</f>
        <v>0</v>
      </c>
      <c r="AF6333" s="185">
        <f>SUMIFS($AD$37:$AD$12971,$V$37:$V$12971,$V6333,$X$37:$X$12971,AF$13)</f>
        <v>0</v>
      </c>
      <c r="AG6333" s="185">
        <f>SUMIFS($AD$37:$AD$12971,$V$37:$V$12971,$V6333,$X$37:$X$12971,AG$13)</f>
        <v>0</v>
      </c>
      <c r="AH6333" s="187">
        <f>SUMIFS($AD$37:$AD$12971,$V$37:$V$12971,$V6333,$X$37:$X$12971,AH$13)</f>
        <v>0</v>
      </c>
      <c r="AI6333" s="161">
        <f t="shared" ref="AI6333" si="4439">SUM(AE6333:AH6333)</f>
        <v>0</v>
      </c>
      <c r="AK6333" s="172"/>
    </row>
    <row r="6334" spans="1:41" s="102" customFormat="1" ht="19.899999999999999" customHeight="1" x14ac:dyDescent="0.25">
      <c r="A6334" s="45"/>
      <c r="B6334" s="59"/>
      <c r="C6334" s="137"/>
      <c r="D6334" s="59"/>
      <c r="E6334" s="116"/>
      <c r="F6334" s="120"/>
      <c r="G6334" s="120"/>
      <c r="H6334" s="120"/>
      <c r="I6334" s="60"/>
      <c r="J6334" s="116"/>
      <c r="K6334" s="213"/>
      <c r="L6334" s="120"/>
      <c r="M6334" s="120"/>
      <c r="N6334" s="167"/>
      <c r="O6334" s="120"/>
      <c r="P6334" s="120"/>
      <c r="Q6334" s="120"/>
      <c r="R6334" s="120"/>
      <c r="S6334" s="120"/>
      <c r="T6334" s="221"/>
      <c r="U6334" s="89"/>
      <c r="V6334" s="61"/>
      <c r="W6334" s="92" t="s">
        <v>1598</v>
      </c>
      <c r="X6334" s="93" t="s">
        <v>32</v>
      </c>
      <c r="Y6334" s="93" t="s">
        <v>1349</v>
      </c>
      <c r="Z6334" s="134">
        <f>VLOOKUP(W6334,Sheet2!$B:$D,3,FALSE)</f>
        <v>18500</v>
      </c>
      <c r="AA6334" s="93">
        <v>1</v>
      </c>
      <c r="AB6334" s="93">
        <f>AD6334/AC6333</f>
        <v>18500</v>
      </c>
      <c r="AC6334" s="93">
        <f>AC6333/AA6334</f>
        <v>1</v>
      </c>
      <c r="AD6334" s="94">
        <f t="shared" ref="AD6334" si="4440">AC6334*Z6334</f>
        <v>18500</v>
      </c>
      <c r="AE6334" s="190"/>
      <c r="AF6334" s="191"/>
      <c r="AG6334" s="191"/>
      <c r="AH6334" s="191"/>
      <c r="AI6334" s="186"/>
      <c r="AK6334" s="171"/>
    </row>
    <row r="6335" spans="1:41" ht="20.100000000000001" customHeight="1" x14ac:dyDescent="0.25">
      <c r="A6335" s="277" t="s">
        <v>491</v>
      </c>
      <c r="B6335" s="278"/>
      <c r="C6335" s="64" t="s">
        <v>660</v>
      </c>
      <c r="D6335" s="46" t="s">
        <v>215</v>
      </c>
      <c r="E6335" s="114">
        <v>1</v>
      </c>
      <c r="F6335" s="44">
        <v>8182</v>
      </c>
      <c r="G6335" s="44">
        <f t="shared" si="3841"/>
        <v>8182</v>
      </c>
      <c r="H6335" s="44">
        <f t="shared" si="3842"/>
        <v>4750</v>
      </c>
      <c r="I6335" s="43">
        <f t="shared" si="3843"/>
        <v>4750</v>
      </c>
      <c r="J6335" s="112">
        <f t="shared" si="3844"/>
        <v>1</v>
      </c>
      <c r="K6335" s="211">
        <f t="shared" si="3845"/>
        <v>1</v>
      </c>
      <c r="L6335" s="44"/>
      <c r="M6335" s="44">
        <f t="shared" si="3846"/>
        <v>1</v>
      </c>
      <c r="N6335" s="173">
        <f t="shared" si="3847"/>
        <v>1</v>
      </c>
      <c r="O6335" s="44">
        <f t="shared" si="3848"/>
        <v>8182</v>
      </c>
      <c r="P6335" s="44">
        <f t="shared" si="3849"/>
        <v>8182</v>
      </c>
      <c r="Q6335" s="44">
        <f t="shared" si="3850"/>
        <v>4750</v>
      </c>
      <c r="R6335" s="44">
        <f t="shared" si="3851"/>
        <v>4750</v>
      </c>
      <c r="S6335" s="123"/>
      <c r="T6335" s="219">
        <f t="shared" si="3852"/>
        <v>4750</v>
      </c>
      <c r="U6335" s="87"/>
      <c r="V6335" s="47"/>
      <c r="W6335" s="48"/>
      <c r="X6335" s="48"/>
      <c r="Y6335" s="48"/>
      <c r="Z6335" s="135"/>
      <c r="AA6335" s="49"/>
      <c r="AB6335" s="50">
        <f t="shared" si="3853"/>
        <v>4750</v>
      </c>
      <c r="AC6335" s="42">
        <f t="shared" si="3854"/>
        <v>1</v>
      </c>
      <c r="AD6335" s="90">
        <f>AD6336</f>
        <v>4750</v>
      </c>
      <c r="AE6335" s="188">
        <f t="shared" ref="AE6335" si="4441">AE6336</f>
        <v>0</v>
      </c>
      <c r="AF6335" s="189">
        <f t="shared" ref="AF6335" si="4442">AF6336</f>
        <v>0</v>
      </c>
      <c r="AG6335" s="189">
        <f t="shared" ref="AG6335" si="4443">AG6336</f>
        <v>0</v>
      </c>
      <c r="AH6335" s="189">
        <f t="shared" ref="AH6335" si="4444">AH6336</f>
        <v>0</v>
      </c>
      <c r="AI6335" s="161">
        <f t="shared" ref="AI6335" si="4445">SUM(AE6335:AH6335)</f>
        <v>0</v>
      </c>
      <c r="AK6335" s="169">
        <v>5</v>
      </c>
      <c r="AO6335" s="19" t="s">
        <v>63</v>
      </c>
    </row>
    <row r="6336" spans="1:41" s="103" customFormat="1" ht="19.899999999999999" customHeight="1" x14ac:dyDescent="0.25">
      <c r="A6336" s="51"/>
      <c r="B6336" s="52"/>
      <c r="C6336" s="165"/>
      <c r="D6336" s="52"/>
      <c r="E6336" s="115"/>
      <c r="F6336" s="58"/>
      <c r="G6336" s="58"/>
      <c r="H6336" s="58"/>
      <c r="I6336" s="55"/>
      <c r="J6336" s="113">
        <f>J6335</f>
        <v>1</v>
      </c>
      <c r="K6336" s="212">
        <f>K6335</f>
        <v>1</v>
      </c>
      <c r="L6336" s="58"/>
      <c r="M6336" s="58">
        <f>K6336-L6336</f>
        <v>1</v>
      </c>
      <c r="N6336" s="166"/>
      <c r="O6336" s="58"/>
      <c r="P6336" s="58"/>
      <c r="Q6336" s="58"/>
      <c r="R6336" s="58"/>
      <c r="S6336" s="58"/>
      <c r="T6336" s="220"/>
      <c r="U6336" s="88"/>
      <c r="V6336" s="56"/>
      <c r="W6336" s="57" t="s">
        <v>1599</v>
      </c>
      <c r="X6336" s="53"/>
      <c r="Y6336" s="91" t="s">
        <v>1349</v>
      </c>
      <c r="Z6336" s="136">
        <f>AD6336/AC6336</f>
        <v>4750</v>
      </c>
      <c r="AA6336" s="58"/>
      <c r="AB6336" s="53">
        <f>AD6336/AC6336</f>
        <v>4750</v>
      </c>
      <c r="AC6336" s="53">
        <f>M6336+$AE$10</f>
        <v>1</v>
      </c>
      <c r="AD6336" s="54">
        <f>SUM(AD6337)</f>
        <v>4750</v>
      </c>
      <c r="AE6336" s="184">
        <f>SUMIFS($AD$37:$AD$12971,$V$37:$V$12971,$V6336,$X$37:$X$12971,AE$13)</f>
        <v>0</v>
      </c>
      <c r="AF6336" s="185">
        <f>SUMIFS($AD$37:$AD$12971,$V$37:$V$12971,$V6336,$X$37:$X$12971,AF$13)</f>
        <v>0</v>
      </c>
      <c r="AG6336" s="185">
        <f>SUMIFS($AD$37:$AD$12971,$V$37:$V$12971,$V6336,$X$37:$X$12971,AG$13)</f>
        <v>0</v>
      </c>
      <c r="AH6336" s="187">
        <f>SUMIFS($AD$37:$AD$12971,$V$37:$V$12971,$V6336,$X$37:$X$12971,AH$13)</f>
        <v>0</v>
      </c>
      <c r="AI6336" s="161">
        <f t="shared" ref="AI6336" si="4446">SUM(AE6336:AH6336)</f>
        <v>0</v>
      </c>
      <c r="AK6336" s="172"/>
    </row>
    <row r="6337" spans="1:41" s="102" customFormat="1" ht="19.899999999999999" customHeight="1" x14ac:dyDescent="0.25">
      <c r="A6337" s="45"/>
      <c r="B6337" s="59"/>
      <c r="C6337" s="137"/>
      <c r="D6337" s="59"/>
      <c r="E6337" s="116"/>
      <c r="F6337" s="120"/>
      <c r="G6337" s="120"/>
      <c r="H6337" s="120"/>
      <c r="I6337" s="60"/>
      <c r="J6337" s="116"/>
      <c r="K6337" s="213"/>
      <c r="L6337" s="120"/>
      <c r="M6337" s="120"/>
      <c r="N6337" s="167"/>
      <c r="O6337" s="120"/>
      <c r="P6337" s="120"/>
      <c r="Q6337" s="120"/>
      <c r="R6337" s="120"/>
      <c r="S6337" s="120"/>
      <c r="T6337" s="221"/>
      <c r="U6337" s="89"/>
      <c r="V6337" s="61"/>
      <c r="W6337" s="92" t="s">
        <v>1600</v>
      </c>
      <c r="X6337" s="93" t="s">
        <v>32</v>
      </c>
      <c r="Y6337" s="93" t="s">
        <v>1349</v>
      </c>
      <c r="Z6337" s="134">
        <f>VLOOKUP(W6337,Sheet2!$B:$D,3,FALSE)</f>
        <v>4750</v>
      </c>
      <c r="AA6337" s="93">
        <v>1</v>
      </c>
      <c r="AB6337" s="93">
        <f>AD6337/AC6336</f>
        <v>4750</v>
      </c>
      <c r="AC6337" s="93">
        <f>AC6336/AA6337</f>
        <v>1</v>
      </c>
      <c r="AD6337" s="94">
        <f t="shared" ref="AD6337" si="4447">AC6337*Z6337</f>
        <v>4750</v>
      </c>
      <c r="AE6337" s="190"/>
      <c r="AF6337" s="191"/>
      <c r="AG6337" s="191"/>
      <c r="AH6337" s="191"/>
      <c r="AI6337" s="186"/>
      <c r="AK6337" s="171"/>
    </row>
    <row r="6338" spans="1:41" s="102" customFormat="1" ht="20.100000000000001" customHeight="1" x14ac:dyDescent="0.25">
      <c r="A6338" s="45" t="s">
        <v>491</v>
      </c>
      <c r="B6338" s="276"/>
      <c r="C6338" s="285" t="s">
        <v>661</v>
      </c>
      <c r="D6338" s="59"/>
      <c r="E6338" s="116"/>
      <c r="F6338" s="120"/>
      <c r="G6338" s="120">
        <f t="shared" si="3841"/>
        <v>0</v>
      </c>
      <c r="H6338" s="120">
        <f t="shared" si="3842"/>
        <v>0</v>
      </c>
      <c r="I6338" s="60">
        <f t="shared" si="3843"/>
        <v>0</v>
      </c>
      <c r="J6338" s="116">
        <f t="shared" si="3844"/>
        <v>0</v>
      </c>
      <c r="K6338" s="213">
        <f t="shared" si="3845"/>
        <v>0</v>
      </c>
      <c r="L6338" s="120"/>
      <c r="M6338" s="120">
        <f t="shared" si="3846"/>
        <v>0</v>
      </c>
      <c r="N6338" s="167">
        <f t="shared" si="3847"/>
        <v>0</v>
      </c>
      <c r="O6338" s="120">
        <f t="shared" si="3848"/>
        <v>0</v>
      </c>
      <c r="P6338" s="120">
        <f t="shared" si="3849"/>
        <v>0</v>
      </c>
      <c r="Q6338" s="120">
        <f t="shared" si="3850"/>
        <v>0</v>
      </c>
      <c r="R6338" s="120">
        <f t="shared" si="3851"/>
        <v>0</v>
      </c>
      <c r="S6338" s="120"/>
      <c r="T6338" s="221">
        <f t="shared" si="3852"/>
        <v>0</v>
      </c>
      <c r="U6338" s="89"/>
      <c r="V6338" s="61"/>
      <c r="W6338" s="92"/>
      <c r="X6338" s="38"/>
      <c r="Y6338" s="93"/>
      <c r="Z6338" s="134"/>
      <c r="AA6338" s="93"/>
      <c r="AB6338" s="93"/>
      <c r="AC6338" s="93"/>
      <c r="AD6338" s="94"/>
      <c r="AE6338" s="190"/>
      <c r="AF6338" s="191"/>
      <c r="AG6338" s="191"/>
      <c r="AH6338" s="191"/>
      <c r="AI6338" s="186"/>
      <c r="AK6338" s="171"/>
    </row>
    <row r="6339" spans="1:41" s="102" customFormat="1" ht="78.75" x14ac:dyDescent="0.25">
      <c r="A6339" s="45" t="s">
        <v>491</v>
      </c>
      <c r="B6339" s="276"/>
      <c r="C6339" s="285" t="s">
        <v>662</v>
      </c>
      <c r="D6339" s="59"/>
      <c r="E6339" s="116"/>
      <c r="F6339" s="120"/>
      <c r="G6339" s="120">
        <f t="shared" si="3841"/>
        <v>0</v>
      </c>
      <c r="H6339" s="120">
        <f t="shared" si="3842"/>
        <v>0</v>
      </c>
      <c r="I6339" s="60">
        <f t="shared" si="3843"/>
        <v>0</v>
      </c>
      <c r="J6339" s="116">
        <f t="shared" si="3844"/>
        <v>0</v>
      </c>
      <c r="K6339" s="213">
        <f t="shared" si="3845"/>
        <v>0</v>
      </c>
      <c r="L6339" s="120"/>
      <c r="M6339" s="120">
        <f t="shared" si="3846"/>
        <v>0</v>
      </c>
      <c r="N6339" s="167">
        <f t="shared" si="3847"/>
        <v>0</v>
      </c>
      <c r="O6339" s="120">
        <f t="shared" si="3848"/>
        <v>0</v>
      </c>
      <c r="P6339" s="120">
        <f t="shared" si="3849"/>
        <v>0</v>
      </c>
      <c r="Q6339" s="120">
        <f t="shared" si="3850"/>
        <v>0</v>
      </c>
      <c r="R6339" s="120">
        <f t="shared" si="3851"/>
        <v>0</v>
      </c>
      <c r="S6339" s="120"/>
      <c r="T6339" s="221">
        <f t="shared" si="3852"/>
        <v>0</v>
      </c>
      <c r="U6339" s="89"/>
      <c r="V6339" s="61"/>
      <c r="W6339" s="92"/>
      <c r="X6339" s="38"/>
      <c r="Y6339" s="93"/>
      <c r="Z6339" s="134"/>
      <c r="AA6339" s="93"/>
      <c r="AB6339" s="93"/>
      <c r="AC6339" s="93"/>
      <c r="AD6339" s="94"/>
      <c r="AE6339" s="190"/>
      <c r="AF6339" s="191"/>
      <c r="AG6339" s="191"/>
      <c r="AH6339" s="191"/>
      <c r="AI6339" s="186"/>
      <c r="AK6339" s="171"/>
    </row>
    <row r="6340" spans="1:41" ht="20.100000000000001" customHeight="1" x14ac:dyDescent="0.25">
      <c r="A6340" s="277" t="s">
        <v>491</v>
      </c>
      <c r="B6340" s="278"/>
      <c r="C6340" s="64" t="s">
        <v>689</v>
      </c>
      <c r="D6340" s="46" t="s">
        <v>186</v>
      </c>
      <c r="E6340" s="114">
        <v>1</v>
      </c>
      <c r="F6340" s="44">
        <v>314702</v>
      </c>
      <c r="G6340" s="44">
        <f t="shared" si="3841"/>
        <v>314702</v>
      </c>
      <c r="H6340" s="44">
        <f t="shared" si="3842"/>
        <v>219500</v>
      </c>
      <c r="I6340" s="43">
        <f t="shared" si="3843"/>
        <v>219500</v>
      </c>
      <c r="J6340" s="112">
        <f t="shared" si="3844"/>
        <v>1</v>
      </c>
      <c r="K6340" s="211">
        <f t="shared" si="3845"/>
        <v>1</v>
      </c>
      <c r="L6340" s="44"/>
      <c r="M6340" s="44">
        <f t="shared" si="3846"/>
        <v>1</v>
      </c>
      <c r="N6340" s="173">
        <f t="shared" si="3847"/>
        <v>1</v>
      </c>
      <c r="O6340" s="44">
        <f t="shared" si="3848"/>
        <v>314702</v>
      </c>
      <c r="P6340" s="44">
        <f t="shared" si="3849"/>
        <v>314702</v>
      </c>
      <c r="Q6340" s="44">
        <f t="shared" si="3850"/>
        <v>219500</v>
      </c>
      <c r="R6340" s="44">
        <f t="shared" si="3851"/>
        <v>219500</v>
      </c>
      <c r="S6340" s="123"/>
      <c r="T6340" s="219">
        <f t="shared" si="3852"/>
        <v>219500</v>
      </c>
      <c r="U6340" s="87"/>
      <c r="V6340" s="47"/>
      <c r="W6340" s="48"/>
      <c r="X6340" s="48"/>
      <c r="Y6340" s="48"/>
      <c r="Z6340" s="135"/>
      <c r="AA6340" s="49"/>
      <c r="AB6340" s="50">
        <f t="shared" si="3853"/>
        <v>219500</v>
      </c>
      <c r="AC6340" s="42">
        <f t="shared" si="3854"/>
        <v>1</v>
      </c>
      <c r="AD6340" s="90">
        <f>AD6341</f>
        <v>219500</v>
      </c>
      <c r="AE6340" s="188">
        <f t="shared" ref="AE6340" si="4448">AE6341</f>
        <v>0</v>
      </c>
      <c r="AF6340" s="189">
        <f t="shared" ref="AF6340" si="4449">AF6341</f>
        <v>0</v>
      </c>
      <c r="AG6340" s="189">
        <f t="shared" ref="AG6340" si="4450">AG6341</f>
        <v>0</v>
      </c>
      <c r="AH6340" s="189">
        <f t="shared" ref="AH6340" si="4451">AH6341</f>
        <v>0</v>
      </c>
      <c r="AI6340" s="161">
        <f t="shared" ref="AI6340" si="4452">SUM(AE6340:AH6340)</f>
        <v>0</v>
      </c>
      <c r="AK6340" s="169">
        <v>5</v>
      </c>
      <c r="AO6340" s="19" t="s">
        <v>63</v>
      </c>
    </row>
    <row r="6341" spans="1:41" s="103" customFormat="1" ht="19.899999999999999" customHeight="1" x14ac:dyDescent="0.25">
      <c r="A6341" s="51"/>
      <c r="B6341" s="52"/>
      <c r="C6341" s="165"/>
      <c r="D6341" s="52"/>
      <c r="E6341" s="115"/>
      <c r="F6341" s="58"/>
      <c r="G6341" s="58"/>
      <c r="H6341" s="58"/>
      <c r="I6341" s="55"/>
      <c r="J6341" s="113">
        <f>J6340</f>
        <v>1</v>
      </c>
      <c r="K6341" s="212">
        <f>K6340</f>
        <v>1</v>
      </c>
      <c r="L6341" s="58"/>
      <c r="M6341" s="58">
        <f>K6341-L6341</f>
        <v>1</v>
      </c>
      <c r="N6341" s="166"/>
      <c r="O6341" s="58"/>
      <c r="P6341" s="58"/>
      <c r="Q6341" s="58"/>
      <c r="R6341" s="58"/>
      <c r="S6341" s="58"/>
      <c r="T6341" s="220"/>
      <c r="U6341" s="88"/>
      <c r="V6341" s="56"/>
      <c r="W6341" s="57" t="s">
        <v>1601</v>
      </c>
      <c r="X6341" s="53"/>
      <c r="Y6341" s="91" t="s">
        <v>1349</v>
      </c>
      <c r="Z6341" s="136">
        <f>AD6341/AC6341</f>
        <v>219500</v>
      </c>
      <c r="AA6341" s="58"/>
      <c r="AB6341" s="53">
        <f>AD6341/AC6341</f>
        <v>219500</v>
      </c>
      <c r="AC6341" s="53">
        <f>M6341+$AE$10</f>
        <v>1</v>
      </c>
      <c r="AD6341" s="54">
        <f>SUM(AD6342)</f>
        <v>219500</v>
      </c>
      <c r="AE6341" s="184">
        <f>SUMIFS($AD$37:$AD$12971,$V$37:$V$12971,$V6341,$X$37:$X$12971,AE$13)</f>
        <v>0</v>
      </c>
      <c r="AF6341" s="185">
        <f>SUMIFS($AD$37:$AD$12971,$V$37:$V$12971,$V6341,$X$37:$X$12971,AF$13)</f>
        <v>0</v>
      </c>
      <c r="AG6341" s="185">
        <f>SUMIFS($AD$37:$AD$12971,$V$37:$V$12971,$V6341,$X$37:$X$12971,AG$13)</f>
        <v>0</v>
      </c>
      <c r="AH6341" s="187">
        <f>SUMIFS($AD$37:$AD$12971,$V$37:$V$12971,$V6341,$X$37:$X$12971,AH$13)</f>
        <v>0</v>
      </c>
      <c r="AI6341" s="161">
        <f t="shared" ref="AI6341" si="4453">SUM(AE6341:AH6341)</f>
        <v>0</v>
      </c>
      <c r="AK6341" s="172"/>
    </row>
    <row r="6342" spans="1:41" s="102" customFormat="1" ht="19.899999999999999" customHeight="1" x14ac:dyDescent="0.25">
      <c r="A6342" s="45"/>
      <c r="B6342" s="59"/>
      <c r="C6342" s="137"/>
      <c r="D6342" s="59"/>
      <c r="E6342" s="116"/>
      <c r="F6342" s="120"/>
      <c r="G6342" s="120"/>
      <c r="H6342" s="120"/>
      <c r="I6342" s="60"/>
      <c r="J6342" s="116"/>
      <c r="K6342" s="213"/>
      <c r="L6342" s="120"/>
      <c r="M6342" s="120"/>
      <c r="N6342" s="167"/>
      <c r="O6342" s="120"/>
      <c r="P6342" s="120"/>
      <c r="Q6342" s="120"/>
      <c r="R6342" s="120"/>
      <c r="S6342" s="120"/>
      <c r="T6342" s="221"/>
      <c r="U6342" s="89"/>
      <c r="V6342" s="61"/>
      <c r="W6342" s="92" t="s">
        <v>1602</v>
      </c>
      <c r="X6342" s="93" t="s">
        <v>32</v>
      </c>
      <c r="Y6342" s="93" t="s">
        <v>1349</v>
      </c>
      <c r="Z6342" s="134">
        <f>VLOOKUP(W6342,Sheet2!$B:$D,3,FALSE)</f>
        <v>219500</v>
      </c>
      <c r="AA6342" s="93">
        <v>1</v>
      </c>
      <c r="AB6342" s="93">
        <f>AD6342/AC6341</f>
        <v>219500</v>
      </c>
      <c r="AC6342" s="93">
        <f>AC6341/AA6342</f>
        <v>1</v>
      </c>
      <c r="AD6342" s="94">
        <f t="shared" ref="AD6342" si="4454">AC6342*Z6342</f>
        <v>219500</v>
      </c>
      <c r="AE6342" s="190"/>
      <c r="AF6342" s="191"/>
      <c r="AG6342" s="191"/>
      <c r="AH6342" s="191"/>
      <c r="AI6342" s="186"/>
      <c r="AK6342" s="171"/>
    </row>
    <row r="6343" spans="1:41" s="102" customFormat="1" ht="20.100000000000001" customHeight="1" x14ac:dyDescent="0.25">
      <c r="A6343" s="45" t="s">
        <v>491</v>
      </c>
      <c r="B6343" s="276"/>
      <c r="C6343" s="285" t="s">
        <v>664</v>
      </c>
      <c r="D6343" s="59"/>
      <c r="E6343" s="116"/>
      <c r="F6343" s="120"/>
      <c r="G6343" s="120">
        <f t="shared" si="3841"/>
        <v>0</v>
      </c>
      <c r="H6343" s="120">
        <f t="shared" si="3842"/>
        <v>0</v>
      </c>
      <c r="I6343" s="60">
        <f t="shared" si="3843"/>
        <v>0</v>
      </c>
      <c r="J6343" s="116">
        <f t="shared" si="3844"/>
        <v>0</v>
      </c>
      <c r="K6343" s="213">
        <f t="shared" si="3845"/>
        <v>0</v>
      </c>
      <c r="L6343" s="120"/>
      <c r="M6343" s="120">
        <f t="shared" si="3846"/>
        <v>0</v>
      </c>
      <c r="N6343" s="167">
        <f t="shared" si="3847"/>
        <v>0</v>
      </c>
      <c r="O6343" s="120">
        <f t="shared" si="3848"/>
        <v>0</v>
      </c>
      <c r="P6343" s="120">
        <f t="shared" si="3849"/>
        <v>0</v>
      </c>
      <c r="Q6343" s="120">
        <f t="shared" si="3850"/>
        <v>0</v>
      </c>
      <c r="R6343" s="120">
        <f t="shared" si="3851"/>
        <v>0</v>
      </c>
      <c r="S6343" s="120"/>
      <c r="T6343" s="221">
        <f t="shared" si="3852"/>
        <v>0</v>
      </c>
      <c r="U6343" s="89"/>
      <c r="V6343" s="61"/>
      <c r="W6343" s="92"/>
      <c r="X6343" s="38"/>
      <c r="Y6343" s="93"/>
      <c r="Z6343" s="134"/>
      <c r="AA6343" s="93"/>
      <c r="AB6343" s="93"/>
      <c r="AC6343" s="93"/>
      <c r="AD6343" s="94"/>
      <c r="AE6343" s="190"/>
      <c r="AF6343" s="191"/>
      <c r="AG6343" s="191"/>
      <c r="AH6343" s="191"/>
      <c r="AI6343" s="186"/>
      <c r="AK6343" s="171"/>
    </row>
    <row r="6344" spans="1:41" s="102" customFormat="1" ht="94.5" x14ac:dyDescent="0.25">
      <c r="A6344" s="45" t="s">
        <v>491</v>
      </c>
      <c r="B6344" s="276"/>
      <c r="C6344" s="285" t="s">
        <v>665</v>
      </c>
      <c r="D6344" s="59"/>
      <c r="E6344" s="116"/>
      <c r="F6344" s="120"/>
      <c r="G6344" s="120">
        <f t="shared" si="3841"/>
        <v>0</v>
      </c>
      <c r="H6344" s="120">
        <f t="shared" si="3842"/>
        <v>0</v>
      </c>
      <c r="I6344" s="60">
        <f t="shared" si="3843"/>
        <v>0</v>
      </c>
      <c r="J6344" s="116">
        <f t="shared" si="3844"/>
        <v>0</v>
      </c>
      <c r="K6344" s="213">
        <f t="shared" si="3845"/>
        <v>0</v>
      </c>
      <c r="L6344" s="120"/>
      <c r="M6344" s="120">
        <f t="shared" si="3846"/>
        <v>0</v>
      </c>
      <c r="N6344" s="167">
        <f t="shared" si="3847"/>
        <v>0</v>
      </c>
      <c r="O6344" s="120">
        <f t="shared" si="3848"/>
        <v>0</v>
      </c>
      <c r="P6344" s="120">
        <f t="shared" si="3849"/>
        <v>0</v>
      </c>
      <c r="Q6344" s="120">
        <f t="shared" si="3850"/>
        <v>0</v>
      </c>
      <c r="R6344" s="120">
        <f t="shared" si="3851"/>
        <v>0</v>
      </c>
      <c r="S6344" s="120"/>
      <c r="T6344" s="221">
        <f t="shared" si="3852"/>
        <v>0</v>
      </c>
      <c r="U6344" s="89"/>
      <c r="V6344" s="61"/>
      <c r="W6344" s="92"/>
      <c r="X6344" s="38"/>
      <c r="Y6344" s="93"/>
      <c r="Z6344" s="134"/>
      <c r="AA6344" s="93"/>
      <c r="AB6344" s="93"/>
      <c r="AC6344" s="93"/>
      <c r="AD6344" s="94"/>
      <c r="AE6344" s="190"/>
      <c r="AF6344" s="191"/>
      <c r="AG6344" s="191"/>
      <c r="AH6344" s="191"/>
      <c r="AI6344" s="186"/>
      <c r="AK6344" s="171"/>
    </row>
    <row r="6345" spans="1:41" ht="20.100000000000001" customHeight="1" x14ac:dyDescent="0.25">
      <c r="A6345" s="277" t="s">
        <v>491</v>
      </c>
      <c r="B6345" s="278"/>
      <c r="C6345" s="64" t="s">
        <v>666</v>
      </c>
      <c r="D6345" s="46" t="s">
        <v>97</v>
      </c>
      <c r="E6345" s="114">
        <v>25</v>
      </c>
      <c r="F6345" s="44">
        <v>104</v>
      </c>
      <c r="G6345" s="44">
        <f t="shared" si="3841"/>
        <v>2600</v>
      </c>
      <c r="H6345" s="44">
        <f t="shared" si="3842"/>
        <v>56.130707843137252</v>
      </c>
      <c r="I6345" s="43">
        <f t="shared" si="3843"/>
        <v>1403.2676960784313</v>
      </c>
      <c r="J6345" s="112">
        <f t="shared" si="3844"/>
        <v>25</v>
      </c>
      <c r="K6345" s="211">
        <f t="shared" si="3845"/>
        <v>25</v>
      </c>
      <c r="L6345" s="44"/>
      <c r="M6345" s="44">
        <f t="shared" si="3846"/>
        <v>25</v>
      </c>
      <c r="N6345" s="173">
        <f t="shared" si="3847"/>
        <v>1</v>
      </c>
      <c r="O6345" s="44">
        <f t="shared" si="3848"/>
        <v>104</v>
      </c>
      <c r="P6345" s="44">
        <f t="shared" si="3849"/>
        <v>2600</v>
      </c>
      <c r="Q6345" s="44">
        <f t="shared" si="3850"/>
        <v>56.130707843137252</v>
      </c>
      <c r="R6345" s="44">
        <f t="shared" si="3851"/>
        <v>1403.2676960784313</v>
      </c>
      <c r="S6345" s="123"/>
      <c r="T6345" s="219">
        <f t="shared" si="3852"/>
        <v>1403.2676960784313</v>
      </c>
      <c r="U6345" s="87"/>
      <c r="V6345" s="47"/>
      <c r="W6345" s="48"/>
      <c r="X6345" s="48"/>
      <c r="Y6345" s="48"/>
      <c r="Z6345" s="135"/>
      <c r="AA6345" s="49"/>
      <c r="AB6345" s="50">
        <f t="shared" si="3853"/>
        <v>56.130707843137252</v>
      </c>
      <c r="AC6345" s="42">
        <f t="shared" si="3854"/>
        <v>25</v>
      </c>
      <c r="AD6345" s="90">
        <f>AD6346+AD6353+AD6359</f>
        <v>1403.2676960784313</v>
      </c>
      <c r="AE6345" s="188">
        <f t="shared" ref="AE6345" si="4455">AE6346+AE6353+AE6359</f>
        <v>0</v>
      </c>
      <c r="AF6345" s="189">
        <f t="shared" ref="AF6345" si="4456">AF6346+AF6353+AF6359</f>
        <v>0</v>
      </c>
      <c r="AG6345" s="189">
        <f t="shared" ref="AG6345" si="4457">AG6346+AG6353+AG6359</f>
        <v>0</v>
      </c>
      <c r="AH6345" s="189">
        <f t="shared" ref="AH6345" si="4458">AH6346+AH6353+AH6359</f>
        <v>0</v>
      </c>
      <c r="AI6345" s="161">
        <f t="shared" ref="AI6345:AI6370" si="4459">SUM(AE6345:AH6345)</f>
        <v>0</v>
      </c>
      <c r="AK6345" s="169">
        <v>5</v>
      </c>
      <c r="AO6345" s="19" t="s">
        <v>63</v>
      </c>
    </row>
    <row r="6346" spans="1:41" s="103" customFormat="1" ht="19.899999999999999" customHeight="1" x14ac:dyDescent="0.25">
      <c r="A6346" s="51"/>
      <c r="B6346" s="52"/>
      <c r="C6346" s="165"/>
      <c r="D6346" s="52"/>
      <c r="E6346" s="115"/>
      <c r="F6346" s="58"/>
      <c r="G6346" s="58"/>
      <c r="H6346" s="58"/>
      <c r="I6346" s="55"/>
      <c r="J6346" s="113">
        <f>J6345</f>
        <v>25</v>
      </c>
      <c r="K6346" s="212">
        <f>K6345</f>
        <v>25</v>
      </c>
      <c r="L6346" s="58"/>
      <c r="M6346" s="58">
        <f>K6346-L6346</f>
        <v>25</v>
      </c>
      <c r="N6346" s="166"/>
      <c r="O6346" s="58"/>
      <c r="P6346" s="58"/>
      <c r="Q6346" s="58"/>
      <c r="R6346" s="58"/>
      <c r="S6346" s="58"/>
      <c r="T6346" s="220"/>
      <c r="U6346" s="88"/>
      <c r="V6346" s="56"/>
      <c r="W6346" s="57" t="s">
        <v>1603</v>
      </c>
      <c r="X6346" s="53"/>
      <c r="Y6346" s="91" t="s">
        <v>68</v>
      </c>
      <c r="Z6346" s="136">
        <f>AD6346/AC6346</f>
        <v>10.525694117647058</v>
      </c>
      <c r="AA6346" s="58"/>
      <c r="AB6346" s="53">
        <f>AD6346/AC6346</f>
        <v>10.525694117647058</v>
      </c>
      <c r="AC6346" s="53">
        <f>M6346+$AE$10</f>
        <v>25</v>
      </c>
      <c r="AD6346" s="54">
        <f>SUM(AD6347:AD6352)</f>
        <v>263.14235294117645</v>
      </c>
      <c r="AE6346" s="184">
        <f>SUMIFS($AD$37:$AD$12971,$V$37:$V$12971,$V6346,$X$37:$X$12971,AE$13)</f>
        <v>0</v>
      </c>
      <c r="AF6346" s="185">
        <f>SUMIFS($AD$37:$AD$12971,$V$37:$V$12971,$V6346,$X$37:$X$12971,AF$13)</f>
        <v>0</v>
      </c>
      <c r="AG6346" s="185">
        <f>SUMIFS($AD$37:$AD$12971,$V$37:$V$12971,$V6346,$X$37:$X$12971,AG$13)</f>
        <v>0</v>
      </c>
      <c r="AH6346" s="187">
        <f>SUMIFS($AD$37:$AD$12971,$V$37:$V$12971,$V6346,$X$37:$X$12971,AH$13)</f>
        <v>0</v>
      </c>
      <c r="AI6346" s="161">
        <f t="shared" ref="AI6346" si="4460">SUM(AE6346:AH6346)</f>
        <v>0</v>
      </c>
      <c r="AK6346" s="172"/>
    </row>
    <row r="6347" spans="1:41" s="102" customFormat="1" ht="19.899999999999999" customHeight="1" x14ac:dyDescent="0.25">
      <c r="A6347" s="45"/>
      <c r="B6347" s="59"/>
      <c r="C6347" s="137"/>
      <c r="D6347" s="59"/>
      <c r="E6347" s="116"/>
      <c r="F6347" s="120"/>
      <c r="G6347" s="120"/>
      <c r="H6347" s="120"/>
      <c r="I6347" s="60"/>
      <c r="J6347" s="116"/>
      <c r="K6347" s="213"/>
      <c r="L6347" s="120"/>
      <c r="M6347" s="120"/>
      <c r="N6347" s="167"/>
      <c r="O6347" s="120"/>
      <c r="P6347" s="120"/>
      <c r="Q6347" s="120"/>
      <c r="R6347" s="120"/>
      <c r="S6347" s="120"/>
      <c r="T6347" s="221"/>
      <c r="U6347" s="89"/>
      <c r="V6347" s="61"/>
      <c r="W6347" s="92" t="s">
        <v>129</v>
      </c>
      <c r="X6347" s="93" t="s">
        <v>29</v>
      </c>
      <c r="Y6347" s="93" t="s">
        <v>93</v>
      </c>
      <c r="Z6347" s="134">
        <f>VLOOKUP(W6347,Sheet2!$B:$D,3,FALSE)</f>
        <v>56</v>
      </c>
      <c r="AA6347" s="93">
        <f>100/(1.5*1.5)</f>
        <v>44.444444444444443</v>
      </c>
      <c r="AB6347" s="93">
        <f t="shared" ref="AB6347" si="4461">AD6347/AC6346</f>
        <v>1.26</v>
      </c>
      <c r="AC6347" s="93">
        <f>AC6346/AA6347</f>
        <v>0.5625</v>
      </c>
      <c r="AD6347" s="94">
        <f t="shared" ref="AD6347:AD6348" si="4462">AC6347*Z6347</f>
        <v>31.5</v>
      </c>
      <c r="AE6347" s="190"/>
      <c r="AF6347" s="191"/>
      <c r="AG6347" s="191"/>
      <c r="AH6347" s="191"/>
      <c r="AI6347" s="186"/>
      <c r="AK6347" s="171"/>
    </row>
    <row r="6348" spans="1:41" s="102" customFormat="1" ht="19.899999999999999" customHeight="1" x14ac:dyDescent="0.25">
      <c r="A6348" s="45"/>
      <c r="B6348" s="59"/>
      <c r="C6348" s="137"/>
      <c r="D6348" s="59"/>
      <c r="E6348" s="116"/>
      <c r="F6348" s="120"/>
      <c r="G6348" s="120"/>
      <c r="H6348" s="120"/>
      <c r="I6348" s="60"/>
      <c r="J6348" s="116"/>
      <c r="K6348" s="213"/>
      <c r="L6348" s="120"/>
      <c r="M6348" s="120"/>
      <c r="N6348" s="167"/>
      <c r="O6348" s="120"/>
      <c r="P6348" s="120"/>
      <c r="Q6348" s="120"/>
      <c r="R6348" s="120"/>
      <c r="S6348" s="120"/>
      <c r="T6348" s="221"/>
      <c r="U6348" s="89"/>
      <c r="V6348" s="61"/>
      <c r="W6348" s="92" t="s">
        <v>65</v>
      </c>
      <c r="X6348" s="93" t="s">
        <v>30</v>
      </c>
      <c r="Y6348" s="93" t="s">
        <v>1011</v>
      </c>
      <c r="Z6348" s="134">
        <f>VLOOKUP(W6348,Sheet2!$B:$D,3,FALSE)</f>
        <v>1.76</v>
      </c>
      <c r="AA6348" s="93">
        <f>AA6347/14</f>
        <v>3.1746031746031744</v>
      </c>
      <c r="AB6348" s="93">
        <f>AD6348/AC6346</f>
        <v>0.5544</v>
      </c>
      <c r="AC6348" s="93">
        <f>AC6346/AA6348</f>
        <v>7.875</v>
      </c>
      <c r="AD6348" s="94">
        <f t="shared" si="4462"/>
        <v>13.86</v>
      </c>
      <c r="AE6348" s="190"/>
      <c r="AF6348" s="191"/>
      <c r="AG6348" s="191"/>
      <c r="AH6348" s="191"/>
      <c r="AI6348" s="186"/>
      <c r="AK6348" s="171"/>
    </row>
    <row r="6349" spans="1:41" s="102" customFormat="1" ht="19.899999999999999" customHeight="1" x14ac:dyDescent="0.25">
      <c r="A6349" s="45"/>
      <c r="B6349" s="59"/>
      <c r="C6349" s="137"/>
      <c r="D6349" s="59"/>
      <c r="E6349" s="116"/>
      <c r="F6349" s="120"/>
      <c r="G6349" s="120"/>
      <c r="H6349" s="120"/>
      <c r="I6349" s="60"/>
      <c r="J6349" s="116"/>
      <c r="K6349" s="213"/>
      <c r="L6349" s="120"/>
      <c r="M6349" s="120"/>
      <c r="N6349" s="167"/>
      <c r="O6349" s="120"/>
      <c r="P6349" s="120"/>
      <c r="Q6349" s="120"/>
      <c r="R6349" s="120"/>
      <c r="S6349" s="120"/>
      <c r="T6349" s="221"/>
      <c r="U6349" s="89"/>
      <c r="V6349" s="61"/>
      <c r="W6349" s="92" t="s">
        <v>161</v>
      </c>
      <c r="X6349" s="93" t="s">
        <v>29</v>
      </c>
      <c r="Y6349" s="93" t="s">
        <v>93</v>
      </c>
      <c r="Z6349" s="134">
        <f>VLOOKUP(W6349,Sheet2!$B:$D,3,FALSE)</f>
        <v>48</v>
      </c>
      <c r="AA6349" s="93">
        <f>(16*0.85*1.5)/(1.5*1.5)</f>
        <v>9.0666666666666664</v>
      </c>
      <c r="AB6349" s="93">
        <f>AD6349/AC6346</f>
        <v>5.2941176470588234</v>
      </c>
      <c r="AC6349" s="93">
        <f>AC6346/AA6349</f>
        <v>2.7573529411764706</v>
      </c>
      <c r="AD6349" s="94">
        <f>AC6349*Z6349</f>
        <v>132.35294117647058</v>
      </c>
      <c r="AE6349" s="190"/>
      <c r="AF6349" s="191"/>
      <c r="AG6349" s="191"/>
      <c r="AH6349" s="191"/>
      <c r="AI6349" s="186"/>
      <c r="AK6349" s="171"/>
    </row>
    <row r="6350" spans="1:41" s="102" customFormat="1" ht="19.899999999999999" customHeight="1" x14ac:dyDescent="0.25">
      <c r="A6350" s="45"/>
      <c r="B6350" s="59"/>
      <c r="C6350" s="137"/>
      <c r="D6350" s="59"/>
      <c r="E6350" s="116"/>
      <c r="F6350" s="120"/>
      <c r="G6350" s="120"/>
      <c r="H6350" s="120"/>
      <c r="I6350" s="60"/>
      <c r="J6350" s="116"/>
      <c r="K6350" s="213"/>
      <c r="L6350" s="120"/>
      <c r="M6350" s="120"/>
      <c r="N6350" s="167"/>
      <c r="O6350" s="120"/>
      <c r="P6350" s="120"/>
      <c r="Q6350" s="120"/>
      <c r="R6350" s="120"/>
      <c r="S6350" s="120"/>
      <c r="T6350" s="221"/>
      <c r="U6350" s="89"/>
      <c r="V6350" s="61"/>
      <c r="W6350" s="92" t="s">
        <v>65</v>
      </c>
      <c r="X6350" s="93" t="s">
        <v>30</v>
      </c>
      <c r="Y6350" s="93" t="s">
        <v>1011</v>
      </c>
      <c r="Z6350" s="134">
        <f>VLOOKUP(W6350,Sheet2!$B:$D,3,FALSE)</f>
        <v>1.76</v>
      </c>
      <c r="AA6350" s="93">
        <f>AA6349/10</f>
        <v>0.90666666666666662</v>
      </c>
      <c r="AB6350" s="93">
        <f>AD6350/AC6346</f>
        <v>1.9411764705882353</v>
      </c>
      <c r="AC6350" s="93">
        <f>AC6346/AA6350</f>
        <v>27.573529411764707</v>
      </c>
      <c r="AD6350" s="94">
        <f>AC6350*Z6350</f>
        <v>48.529411764705884</v>
      </c>
      <c r="AE6350" s="190"/>
      <c r="AF6350" s="191"/>
      <c r="AG6350" s="191"/>
      <c r="AH6350" s="191"/>
      <c r="AI6350" s="186"/>
      <c r="AK6350" s="171"/>
    </row>
    <row r="6351" spans="1:41" s="102" customFormat="1" ht="19.899999999999999" customHeight="1" x14ac:dyDescent="0.25">
      <c r="A6351" s="45"/>
      <c r="B6351" s="59"/>
      <c r="C6351" s="137"/>
      <c r="D6351" s="59"/>
      <c r="E6351" s="116"/>
      <c r="F6351" s="120"/>
      <c r="G6351" s="120"/>
      <c r="H6351" s="120"/>
      <c r="I6351" s="60"/>
      <c r="J6351" s="116"/>
      <c r="K6351" s="213"/>
      <c r="L6351" s="120"/>
      <c r="M6351" s="120"/>
      <c r="N6351" s="167"/>
      <c r="O6351" s="120"/>
      <c r="P6351" s="120"/>
      <c r="Q6351" s="120"/>
      <c r="R6351" s="120"/>
      <c r="S6351" s="120"/>
      <c r="T6351" s="221"/>
      <c r="U6351" s="89"/>
      <c r="V6351" s="61"/>
      <c r="W6351" s="92" t="s">
        <v>148</v>
      </c>
      <c r="X6351" s="93" t="s">
        <v>29</v>
      </c>
      <c r="Y6351" s="93" t="s">
        <v>93</v>
      </c>
      <c r="Z6351" s="134">
        <f>VLOOKUP(W6351,Sheet2!$B:$D,3,FALSE)</f>
        <v>48</v>
      </c>
      <c r="AA6351" s="93">
        <f>AA6347</f>
        <v>44.444444444444443</v>
      </c>
      <c r="AB6351" s="93">
        <f>AD6351/AC6346</f>
        <v>1.08</v>
      </c>
      <c r="AC6351" s="93">
        <f>AC6346/AA6351</f>
        <v>0.5625</v>
      </c>
      <c r="AD6351" s="94">
        <f t="shared" ref="AD6351:AD6352" si="4463">AC6351*Z6351</f>
        <v>27</v>
      </c>
      <c r="AE6351" s="190"/>
      <c r="AF6351" s="191"/>
      <c r="AG6351" s="191"/>
      <c r="AH6351" s="191"/>
      <c r="AI6351" s="186"/>
      <c r="AK6351" s="171"/>
    </row>
    <row r="6352" spans="1:41" s="102" customFormat="1" ht="19.899999999999999" customHeight="1" x14ac:dyDescent="0.25">
      <c r="A6352" s="45"/>
      <c r="B6352" s="59"/>
      <c r="C6352" s="137"/>
      <c r="D6352" s="59"/>
      <c r="E6352" s="116"/>
      <c r="F6352" s="120"/>
      <c r="G6352" s="120"/>
      <c r="H6352" s="120"/>
      <c r="I6352" s="60"/>
      <c r="J6352" s="116"/>
      <c r="K6352" s="213"/>
      <c r="L6352" s="120"/>
      <c r="M6352" s="120"/>
      <c r="N6352" s="167"/>
      <c r="O6352" s="120"/>
      <c r="P6352" s="120"/>
      <c r="Q6352" s="120"/>
      <c r="R6352" s="120"/>
      <c r="S6352" s="120"/>
      <c r="T6352" s="221"/>
      <c r="U6352" s="89"/>
      <c r="V6352" s="61"/>
      <c r="W6352" s="92" t="s">
        <v>65</v>
      </c>
      <c r="X6352" s="93" t="s">
        <v>30</v>
      </c>
      <c r="Y6352" s="93" t="s">
        <v>1011</v>
      </c>
      <c r="Z6352" s="134">
        <f>VLOOKUP(W6352,Sheet2!$B:$D,3,FALSE)</f>
        <v>1.76</v>
      </c>
      <c r="AA6352" s="93">
        <f>AA6351/10</f>
        <v>4.4444444444444446</v>
      </c>
      <c r="AB6352" s="93">
        <f>AD6352/AC6346</f>
        <v>0.39600000000000002</v>
      </c>
      <c r="AC6352" s="93">
        <f>AC6346/AA6352</f>
        <v>5.625</v>
      </c>
      <c r="AD6352" s="94">
        <f t="shared" si="4463"/>
        <v>9.9</v>
      </c>
      <c r="AE6352" s="190"/>
      <c r="AF6352" s="191"/>
      <c r="AG6352" s="191"/>
      <c r="AH6352" s="191"/>
      <c r="AI6352" s="186"/>
      <c r="AK6352" s="171"/>
    </row>
    <row r="6353" spans="1:37" s="103" customFormat="1" ht="19.899999999999999" customHeight="1" x14ac:dyDescent="0.25">
      <c r="A6353" s="51"/>
      <c r="B6353" s="52"/>
      <c r="C6353" s="165"/>
      <c r="D6353" s="52"/>
      <c r="E6353" s="115"/>
      <c r="F6353" s="58"/>
      <c r="G6353" s="58"/>
      <c r="H6353" s="58"/>
      <c r="I6353" s="55"/>
      <c r="J6353" s="113">
        <f>J6345</f>
        <v>25</v>
      </c>
      <c r="K6353" s="212">
        <f>K6345</f>
        <v>25</v>
      </c>
      <c r="L6353" s="58"/>
      <c r="M6353" s="58">
        <f>K6353-L6353</f>
        <v>25</v>
      </c>
      <c r="N6353" s="166"/>
      <c r="O6353" s="58"/>
      <c r="P6353" s="58"/>
      <c r="Q6353" s="58"/>
      <c r="R6353" s="58"/>
      <c r="S6353" s="58"/>
      <c r="T6353" s="220"/>
      <c r="U6353" s="88"/>
      <c r="V6353" s="56"/>
      <c r="W6353" s="57" t="s">
        <v>1604</v>
      </c>
      <c r="X6353" s="53"/>
      <c r="Y6353" s="91" t="s">
        <v>68</v>
      </c>
      <c r="Z6353" s="136">
        <f>AD6353/AC6353</f>
        <v>31.34</v>
      </c>
      <c r="AA6353" s="58"/>
      <c r="AB6353" s="53">
        <f>AD6353/AC6353</f>
        <v>31.34</v>
      </c>
      <c r="AC6353" s="53">
        <f>M6353+$AE$10</f>
        <v>25</v>
      </c>
      <c r="AD6353" s="54">
        <f>SUM(AD6354:AD6358)</f>
        <v>783.5</v>
      </c>
      <c r="AE6353" s="184">
        <f>SUMIFS($AD$37:$AD$12971,$V$37:$V$12971,$V6353,$X$37:$X$12971,AE$13)</f>
        <v>0</v>
      </c>
      <c r="AF6353" s="185">
        <f>SUMIFS($AD$37:$AD$12971,$V$37:$V$12971,$V6353,$X$37:$X$12971,AF$13)</f>
        <v>0</v>
      </c>
      <c r="AG6353" s="185">
        <f>SUMIFS($AD$37:$AD$12971,$V$37:$V$12971,$V6353,$X$37:$X$12971,AG$13)</f>
        <v>0</v>
      </c>
      <c r="AH6353" s="187">
        <f>SUMIFS($AD$37:$AD$12971,$V$37:$V$12971,$V6353,$X$37:$X$12971,AH$13)</f>
        <v>0</v>
      </c>
      <c r="AI6353" s="161">
        <f t="shared" ref="AI6353" si="4464">SUM(AE6353:AH6353)</f>
        <v>0</v>
      </c>
      <c r="AK6353" s="172"/>
    </row>
    <row r="6354" spans="1:37" s="102" customFormat="1" ht="19.899999999999999" customHeight="1" x14ac:dyDescent="0.25">
      <c r="A6354" s="45"/>
      <c r="B6354" s="59"/>
      <c r="C6354" s="137"/>
      <c r="D6354" s="59"/>
      <c r="E6354" s="116"/>
      <c r="F6354" s="120"/>
      <c r="G6354" s="120"/>
      <c r="H6354" s="120"/>
      <c r="I6354" s="60"/>
      <c r="J6354" s="116"/>
      <c r="K6354" s="213"/>
      <c r="L6354" s="120"/>
      <c r="M6354" s="120"/>
      <c r="N6354" s="167"/>
      <c r="O6354" s="120"/>
      <c r="P6354" s="120"/>
      <c r="Q6354" s="120"/>
      <c r="R6354" s="120"/>
      <c r="S6354" s="120"/>
      <c r="T6354" s="221"/>
      <c r="U6354" s="89"/>
      <c r="V6354" s="61"/>
      <c r="W6354" s="92" t="s">
        <v>1032</v>
      </c>
      <c r="X6354" s="93" t="s">
        <v>30</v>
      </c>
      <c r="Y6354" s="93" t="s">
        <v>66</v>
      </c>
      <c r="Z6354" s="134">
        <f>VLOOKUP(W6354,Sheet2!$B:$D,3,FALSE)</f>
        <v>250</v>
      </c>
      <c r="AA6354" s="93">
        <f>1/(0.25*0.25)</f>
        <v>16</v>
      </c>
      <c r="AB6354" s="93">
        <f>AD6354/AC6353</f>
        <v>15.625</v>
      </c>
      <c r="AC6354" s="93">
        <f>AC6353/AA6354</f>
        <v>1.5625</v>
      </c>
      <c r="AD6354" s="94">
        <f t="shared" ref="AD6354" si="4465">AC6354*Z6354</f>
        <v>390.625</v>
      </c>
      <c r="AE6354" s="190"/>
      <c r="AF6354" s="191"/>
      <c r="AG6354" s="191"/>
      <c r="AH6354" s="191"/>
      <c r="AI6354" s="186"/>
      <c r="AK6354" s="171"/>
    </row>
    <row r="6355" spans="1:37" s="102" customFormat="1" ht="19.899999999999999" customHeight="1" x14ac:dyDescent="0.25">
      <c r="A6355" s="45"/>
      <c r="B6355" s="59"/>
      <c r="C6355" s="137"/>
      <c r="D6355" s="59"/>
      <c r="E6355" s="116"/>
      <c r="F6355" s="120"/>
      <c r="G6355" s="120"/>
      <c r="H6355" s="120"/>
      <c r="I6355" s="60"/>
      <c r="J6355" s="116"/>
      <c r="K6355" s="213"/>
      <c r="L6355" s="120"/>
      <c r="M6355" s="120"/>
      <c r="N6355" s="167"/>
      <c r="O6355" s="120"/>
      <c r="P6355" s="120"/>
      <c r="Q6355" s="120"/>
      <c r="R6355" s="120"/>
      <c r="S6355" s="120"/>
      <c r="T6355" s="221"/>
      <c r="U6355" s="89"/>
      <c r="V6355" s="61"/>
      <c r="W6355" s="92" t="s">
        <v>1270</v>
      </c>
      <c r="X6355" s="93" t="s">
        <v>30</v>
      </c>
      <c r="Y6355" s="93" t="s">
        <v>68</v>
      </c>
      <c r="Z6355" s="134">
        <f>VLOOKUP(W6355,Sheet2!$B:$D,3,FALSE)</f>
        <v>4</v>
      </c>
      <c r="AA6355" s="93">
        <f>1</f>
        <v>1</v>
      </c>
      <c r="AB6355" s="93">
        <f>AD6355/AC6353</f>
        <v>4</v>
      </c>
      <c r="AC6355" s="93">
        <f>AC6353/AA6355</f>
        <v>25</v>
      </c>
      <c r="AD6355" s="94">
        <f>AC6355*Z6355</f>
        <v>100</v>
      </c>
      <c r="AE6355" s="190"/>
      <c r="AF6355" s="191"/>
      <c r="AG6355" s="191"/>
      <c r="AH6355" s="191"/>
      <c r="AI6355" s="186"/>
      <c r="AK6355" s="171"/>
    </row>
    <row r="6356" spans="1:37" s="102" customFormat="1" ht="19.899999999999999" customHeight="1" x14ac:dyDescent="0.25">
      <c r="A6356" s="45"/>
      <c r="B6356" s="59"/>
      <c r="C6356" s="137"/>
      <c r="D6356" s="59"/>
      <c r="E6356" s="116"/>
      <c r="F6356" s="120"/>
      <c r="G6356" s="120"/>
      <c r="H6356" s="120"/>
      <c r="I6356" s="60"/>
      <c r="J6356" s="116"/>
      <c r="K6356" s="213"/>
      <c r="L6356" s="120"/>
      <c r="M6356" s="120"/>
      <c r="N6356" s="167"/>
      <c r="O6356" s="120"/>
      <c r="P6356" s="120"/>
      <c r="Q6356" s="120"/>
      <c r="R6356" s="120"/>
      <c r="S6356" s="120"/>
      <c r="T6356" s="221"/>
      <c r="U6356" s="89"/>
      <c r="V6356" s="61"/>
      <c r="W6356" s="92" t="s">
        <v>1271</v>
      </c>
      <c r="X6356" s="93" t="s">
        <v>30</v>
      </c>
      <c r="Y6356" s="93" t="s">
        <v>68</v>
      </c>
      <c r="Z6356" s="134">
        <f>VLOOKUP(W6356,Sheet2!$B:$D,3,FALSE)</f>
        <v>2</v>
      </c>
      <c r="AA6356" s="93">
        <f>AA6355</f>
        <v>1</v>
      </c>
      <c r="AB6356" s="93">
        <f>AD6356/AC6353</f>
        <v>2</v>
      </c>
      <c r="AC6356" s="93">
        <f>AC6353/AA6356</f>
        <v>25</v>
      </c>
      <c r="AD6356" s="94">
        <f>AC6356*Z6356</f>
        <v>50</v>
      </c>
      <c r="AE6356" s="190"/>
      <c r="AF6356" s="191"/>
      <c r="AG6356" s="191"/>
      <c r="AH6356" s="191"/>
      <c r="AI6356" s="186"/>
      <c r="AK6356" s="171"/>
    </row>
    <row r="6357" spans="1:37" s="102" customFormat="1" ht="19.899999999999999" customHeight="1" x14ac:dyDescent="0.25">
      <c r="A6357" s="45"/>
      <c r="B6357" s="59"/>
      <c r="C6357" s="137"/>
      <c r="D6357" s="59"/>
      <c r="E6357" s="116"/>
      <c r="F6357" s="120"/>
      <c r="G6357" s="120"/>
      <c r="H6357" s="120"/>
      <c r="I6357" s="60"/>
      <c r="J6357" s="116"/>
      <c r="K6357" s="213"/>
      <c r="L6357" s="120"/>
      <c r="M6357" s="120"/>
      <c r="N6357" s="167"/>
      <c r="O6357" s="120"/>
      <c r="P6357" s="120"/>
      <c r="Q6357" s="120"/>
      <c r="R6357" s="120"/>
      <c r="S6357" s="120"/>
      <c r="T6357" s="221"/>
      <c r="U6357" s="89"/>
      <c r="V6357" s="61"/>
      <c r="W6357" s="92" t="s">
        <v>1035</v>
      </c>
      <c r="X6357" s="93" t="s">
        <v>32</v>
      </c>
      <c r="Y6357" s="93" t="s">
        <v>66</v>
      </c>
      <c r="Z6357" s="134">
        <f>VLOOKUP(W6357,Sheet2!$B:$D,3,FALSE)</f>
        <v>150</v>
      </c>
      <c r="AA6357" s="93">
        <f>AA6354</f>
        <v>16</v>
      </c>
      <c r="AB6357" s="93">
        <f>AD6357/AC6353</f>
        <v>9.375</v>
      </c>
      <c r="AC6357" s="93">
        <f>AC6353/AA6357</f>
        <v>1.5625</v>
      </c>
      <c r="AD6357" s="94">
        <f t="shared" ref="AD6357:AD6358" si="4466">AC6357*Z6357</f>
        <v>234.375</v>
      </c>
      <c r="AE6357" s="190"/>
      <c r="AF6357" s="191"/>
      <c r="AG6357" s="191"/>
      <c r="AH6357" s="191"/>
      <c r="AI6357" s="186"/>
      <c r="AK6357" s="171"/>
    </row>
    <row r="6358" spans="1:37" s="102" customFormat="1" ht="19.899999999999999" customHeight="1" x14ac:dyDescent="0.25">
      <c r="A6358" s="45"/>
      <c r="B6358" s="59"/>
      <c r="C6358" s="137"/>
      <c r="D6358" s="59"/>
      <c r="E6358" s="116"/>
      <c r="F6358" s="120"/>
      <c r="G6358" s="120"/>
      <c r="H6358" s="120"/>
      <c r="I6358" s="60"/>
      <c r="J6358" s="116"/>
      <c r="K6358" s="213"/>
      <c r="L6358" s="120"/>
      <c r="M6358" s="120"/>
      <c r="N6358" s="167"/>
      <c r="O6358" s="120"/>
      <c r="P6358" s="120"/>
      <c r="Q6358" s="120"/>
      <c r="R6358" s="120"/>
      <c r="S6358" s="120"/>
      <c r="T6358" s="221"/>
      <c r="U6358" s="89"/>
      <c r="V6358" s="61"/>
      <c r="W6358" s="92" t="s">
        <v>107</v>
      </c>
      <c r="X6358" s="93" t="s">
        <v>31</v>
      </c>
      <c r="Y6358" s="93" t="s">
        <v>93</v>
      </c>
      <c r="Z6358" s="134">
        <f>VLOOKUP(W6358,Sheet2!$B:$D,3,FALSE)</f>
        <v>17</v>
      </c>
      <c r="AA6358" s="93">
        <v>50</v>
      </c>
      <c r="AB6358" s="93">
        <f>AD6358/AC6353</f>
        <v>0.34</v>
      </c>
      <c r="AC6358" s="93">
        <f>AC6353/AA6358</f>
        <v>0.5</v>
      </c>
      <c r="AD6358" s="94">
        <f t="shared" si="4466"/>
        <v>8.5</v>
      </c>
      <c r="AE6358" s="190"/>
      <c r="AF6358" s="191"/>
      <c r="AG6358" s="191"/>
      <c r="AH6358" s="191"/>
      <c r="AI6358" s="186"/>
      <c r="AK6358" s="171"/>
    </row>
    <row r="6359" spans="1:37" s="103" customFormat="1" ht="19.899999999999999" customHeight="1" x14ac:dyDescent="0.25">
      <c r="A6359" s="51"/>
      <c r="B6359" s="52"/>
      <c r="C6359" s="165"/>
      <c r="D6359" s="52"/>
      <c r="E6359" s="115"/>
      <c r="F6359" s="58"/>
      <c r="G6359" s="58"/>
      <c r="H6359" s="58"/>
      <c r="I6359" s="55"/>
      <c r="J6359" s="113">
        <f>J6345</f>
        <v>25</v>
      </c>
      <c r="K6359" s="212">
        <f>K6345</f>
        <v>25</v>
      </c>
      <c r="L6359" s="58"/>
      <c r="M6359" s="58">
        <f>K6359-L6359</f>
        <v>25</v>
      </c>
      <c r="N6359" s="166"/>
      <c r="O6359" s="58"/>
      <c r="P6359" s="58"/>
      <c r="Q6359" s="58"/>
      <c r="R6359" s="58"/>
      <c r="S6359" s="58"/>
      <c r="T6359" s="220"/>
      <c r="U6359" s="88"/>
      <c r="V6359" s="56"/>
      <c r="W6359" s="57" t="s">
        <v>1272</v>
      </c>
      <c r="X6359" s="53"/>
      <c r="Y6359" s="91" t="s">
        <v>68</v>
      </c>
      <c r="Z6359" s="136">
        <f>AD6359/AC6359</f>
        <v>14.265013725490196</v>
      </c>
      <c r="AA6359" s="58"/>
      <c r="AB6359" s="53">
        <f>AD6359/AC6359</f>
        <v>14.265013725490196</v>
      </c>
      <c r="AC6359" s="53">
        <f>M6359+$AE$10</f>
        <v>25</v>
      </c>
      <c r="AD6359" s="54">
        <f>SUM(AD6360:AD6369)</f>
        <v>356.6253431372549</v>
      </c>
      <c r="AE6359" s="184">
        <f>SUMIFS($AD$37:$AD$12971,$V$37:$V$12971,$V6359,$X$37:$X$12971,AE$13)</f>
        <v>0</v>
      </c>
      <c r="AF6359" s="185">
        <f>SUMIFS($AD$37:$AD$12971,$V$37:$V$12971,$V6359,$X$37:$X$12971,AF$13)</f>
        <v>0</v>
      </c>
      <c r="AG6359" s="185">
        <f>SUMIFS($AD$37:$AD$12971,$V$37:$V$12971,$V6359,$X$37:$X$12971,AG$13)</f>
        <v>0</v>
      </c>
      <c r="AH6359" s="187">
        <f>SUMIFS($AD$37:$AD$12971,$V$37:$V$12971,$V6359,$X$37:$X$12971,AH$13)</f>
        <v>0</v>
      </c>
      <c r="AI6359" s="161">
        <f t="shared" ref="AI6359" si="4467">SUM(AE6359:AH6359)</f>
        <v>0</v>
      </c>
      <c r="AK6359" s="172"/>
    </row>
    <row r="6360" spans="1:37" s="102" customFormat="1" ht="19.899999999999999" customHeight="1" x14ac:dyDescent="0.25">
      <c r="A6360" s="45"/>
      <c r="B6360" s="59"/>
      <c r="C6360" s="137"/>
      <c r="D6360" s="59"/>
      <c r="E6360" s="116"/>
      <c r="F6360" s="120"/>
      <c r="G6360" s="120"/>
      <c r="H6360" s="120"/>
      <c r="I6360" s="60"/>
      <c r="J6360" s="116"/>
      <c r="K6360" s="213"/>
      <c r="L6360" s="120"/>
      <c r="M6360" s="120"/>
      <c r="N6360" s="167"/>
      <c r="O6360" s="120"/>
      <c r="P6360" s="120"/>
      <c r="Q6360" s="120"/>
      <c r="R6360" s="120"/>
      <c r="S6360" s="120"/>
      <c r="T6360" s="221"/>
      <c r="U6360" s="89"/>
      <c r="V6360" s="61"/>
      <c r="W6360" s="92" t="s">
        <v>134</v>
      </c>
      <c r="X6360" s="93" t="s">
        <v>29</v>
      </c>
      <c r="Y6360" s="93" t="s">
        <v>93</v>
      </c>
      <c r="Z6360" s="134">
        <f>VLOOKUP(W6360,Sheet2!$B:$D,3,FALSE)</f>
        <v>65.599999999999994</v>
      </c>
      <c r="AA6360" s="93">
        <f>100/((1.5*1.5)-(0.25*0.25))</f>
        <v>45.714285714285715</v>
      </c>
      <c r="AB6360" s="93">
        <f>AD6360/AC6359</f>
        <v>1.4350000000000001</v>
      </c>
      <c r="AC6360" s="93">
        <f>AC6359/AA6360</f>
        <v>0.546875</v>
      </c>
      <c r="AD6360" s="94">
        <f t="shared" ref="AD6360:AD6361" si="4468">AC6360*Z6360</f>
        <v>35.875</v>
      </c>
      <c r="AE6360" s="190"/>
      <c r="AF6360" s="191"/>
      <c r="AG6360" s="191"/>
      <c r="AH6360" s="191"/>
      <c r="AI6360" s="186"/>
      <c r="AK6360" s="171"/>
    </row>
    <row r="6361" spans="1:37" s="102" customFormat="1" ht="19.899999999999999" customHeight="1" x14ac:dyDescent="0.25">
      <c r="A6361" s="45"/>
      <c r="B6361" s="59"/>
      <c r="C6361" s="137"/>
      <c r="D6361" s="59"/>
      <c r="E6361" s="116"/>
      <c r="F6361" s="120"/>
      <c r="G6361" s="120"/>
      <c r="H6361" s="120"/>
      <c r="I6361" s="60"/>
      <c r="J6361" s="116"/>
      <c r="K6361" s="213"/>
      <c r="L6361" s="120"/>
      <c r="M6361" s="120"/>
      <c r="N6361" s="167"/>
      <c r="O6361" s="120"/>
      <c r="P6361" s="120"/>
      <c r="Q6361" s="120"/>
      <c r="R6361" s="120"/>
      <c r="S6361" s="120"/>
      <c r="T6361" s="221"/>
      <c r="U6361" s="89"/>
      <c r="V6361" s="61"/>
      <c r="W6361" s="92" t="s">
        <v>65</v>
      </c>
      <c r="X6361" s="93" t="s">
        <v>30</v>
      </c>
      <c r="Y6361" s="93" t="s">
        <v>1011</v>
      </c>
      <c r="Z6361" s="134">
        <f>VLOOKUP(W6361,Sheet2!$B:$D,3,FALSE)</f>
        <v>1.76</v>
      </c>
      <c r="AA6361" s="93">
        <f>AA6360/9</f>
        <v>5.0793650793650791</v>
      </c>
      <c r="AB6361" s="93">
        <f>AD6361/AC6359</f>
        <v>0.34649999999999997</v>
      </c>
      <c r="AC6361" s="93">
        <f>AC6359/AA6361</f>
        <v>4.921875</v>
      </c>
      <c r="AD6361" s="94">
        <f t="shared" si="4468"/>
        <v>8.6624999999999996</v>
      </c>
      <c r="AE6361" s="190"/>
      <c r="AF6361" s="191"/>
      <c r="AG6361" s="191"/>
      <c r="AH6361" s="191"/>
      <c r="AI6361" s="186"/>
      <c r="AK6361" s="171"/>
    </row>
    <row r="6362" spans="1:37" s="102" customFormat="1" ht="19.899999999999999" customHeight="1" x14ac:dyDescent="0.25">
      <c r="A6362" s="45"/>
      <c r="B6362" s="59"/>
      <c r="C6362" s="137"/>
      <c r="D6362" s="59"/>
      <c r="E6362" s="116"/>
      <c r="F6362" s="120"/>
      <c r="G6362" s="120"/>
      <c r="H6362" s="120"/>
      <c r="I6362" s="60"/>
      <c r="J6362" s="116"/>
      <c r="K6362" s="213"/>
      <c r="L6362" s="120"/>
      <c r="M6362" s="120"/>
      <c r="N6362" s="167"/>
      <c r="O6362" s="120"/>
      <c r="P6362" s="120"/>
      <c r="Q6362" s="120"/>
      <c r="R6362" s="120"/>
      <c r="S6362" s="120"/>
      <c r="T6362" s="221"/>
      <c r="U6362" s="89"/>
      <c r="V6362" s="61"/>
      <c r="W6362" s="92" t="s">
        <v>161</v>
      </c>
      <c r="X6362" s="93" t="s">
        <v>29</v>
      </c>
      <c r="Y6362" s="93" t="s">
        <v>93</v>
      </c>
      <c r="Z6362" s="134">
        <f>VLOOKUP(W6362,Sheet2!$B:$D,3,FALSE)</f>
        <v>48</v>
      </c>
      <c r="AA6362" s="93">
        <f>(16*0.85*1.5)/((1.5*1.5)-(0.25*0.25))</f>
        <v>9.3257142857142856</v>
      </c>
      <c r="AB6362" s="93">
        <f>AD6362/AC6359</f>
        <v>5.1470588235294121</v>
      </c>
      <c r="AC6362" s="93">
        <f>AC6359/AA6362</f>
        <v>2.6807598039215685</v>
      </c>
      <c r="AD6362" s="94">
        <f>AC6362*Z6362</f>
        <v>128.6764705882353</v>
      </c>
      <c r="AE6362" s="190"/>
      <c r="AF6362" s="191"/>
      <c r="AG6362" s="191"/>
      <c r="AH6362" s="191"/>
      <c r="AI6362" s="186"/>
      <c r="AK6362" s="171"/>
    </row>
    <row r="6363" spans="1:37" s="102" customFormat="1" ht="19.899999999999999" customHeight="1" x14ac:dyDescent="0.25">
      <c r="A6363" s="45"/>
      <c r="B6363" s="59"/>
      <c r="C6363" s="137"/>
      <c r="D6363" s="59"/>
      <c r="E6363" s="116"/>
      <c r="F6363" s="120"/>
      <c r="G6363" s="120"/>
      <c r="H6363" s="120"/>
      <c r="I6363" s="60"/>
      <c r="J6363" s="116"/>
      <c r="K6363" s="213"/>
      <c r="L6363" s="120"/>
      <c r="M6363" s="120"/>
      <c r="N6363" s="167"/>
      <c r="O6363" s="120"/>
      <c r="P6363" s="120"/>
      <c r="Q6363" s="120"/>
      <c r="R6363" s="120"/>
      <c r="S6363" s="120"/>
      <c r="T6363" s="221"/>
      <c r="U6363" s="89"/>
      <c r="V6363" s="61"/>
      <c r="W6363" s="92" t="s">
        <v>65</v>
      </c>
      <c r="X6363" s="93" t="s">
        <v>30</v>
      </c>
      <c r="Y6363" s="93" t="s">
        <v>1011</v>
      </c>
      <c r="Z6363" s="134">
        <f>VLOOKUP(W6363,Sheet2!$B:$D,3,FALSE)</f>
        <v>1.76</v>
      </c>
      <c r="AA6363" s="93">
        <f>AA6362/10</f>
        <v>0.93257142857142861</v>
      </c>
      <c r="AB6363" s="93">
        <f>AD6363/AC6359</f>
        <v>1.8872549019607843</v>
      </c>
      <c r="AC6363" s="93">
        <f>AC6359/AA6363</f>
        <v>26.807598039215684</v>
      </c>
      <c r="AD6363" s="94">
        <f>AC6363*Z6363</f>
        <v>47.181372549019606</v>
      </c>
      <c r="AE6363" s="190"/>
      <c r="AF6363" s="191"/>
      <c r="AG6363" s="191"/>
      <c r="AH6363" s="191"/>
      <c r="AI6363" s="186"/>
      <c r="AK6363" s="171"/>
    </row>
    <row r="6364" spans="1:37" s="102" customFormat="1" ht="19.899999999999999" customHeight="1" x14ac:dyDescent="0.25">
      <c r="A6364" s="45"/>
      <c r="B6364" s="59"/>
      <c r="C6364" s="137"/>
      <c r="D6364" s="59"/>
      <c r="E6364" s="116"/>
      <c r="F6364" s="120"/>
      <c r="G6364" s="120"/>
      <c r="H6364" s="120"/>
      <c r="I6364" s="60"/>
      <c r="J6364" s="116"/>
      <c r="K6364" s="213"/>
      <c r="L6364" s="120"/>
      <c r="M6364" s="120"/>
      <c r="N6364" s="167"/>
      <c r="O6364" s="120"/>
      <c r="P6364" s="120"/>
      <c r="Q6364" s="120"/>
      <c r="R6364" s="120"/>
      <c r="S6364" s="120"/>
      <c r="T6364" s="221"/>
      <c r="U6364" s="89"/>
      <c r="V6364" s="61"/>
      <c r="W6364" s="92" t="s">
        <v>173</v>
      </c>
      <c r="X6364" s="93" t="s">
        <v>29</v>
      </c>
      <c r="Y6364" s="93" t="s">
        <v>93</v>
      </c>
      <c r="Z6364" s="134">
        <f>VLOOKUP(W6364,Sheet2!$B:$D,3,FALSE)</f>
        <v>36</v>
      </c>
      <c r="AA6364" s="93">
        <f>50/((1.5*1.5)-(0.25*0.25))</f>
        <v>22.857142857142858</v>
      </c>
      <c r="AB6364" s="93">
        <f>AD6364/AC6359</f>
        <v>1.575</v>
      </c>
      <c r="AC6364" s="93">
        <f>AC6359/AA6364</f>
        <v>1.09375</v>
      </c>
      <c r="AD6364" s="94">
        <f>AC6364*Z6364</f>
        <v>39.375</v>
      </c>
      <c r="AE6364" s="190"/>
      <c r="AF6364" s="191"/>
      <c r="AG6364" s="191"/>
      <c r="AH6364" s="191"/>
      <c r="AI6364" s="186"/>
      <c r="AK6364" s="171"/>
    </row>
    <row r="6365" spans="1:37" s="102" customFormat="1" ht="19.899999999999999" customHeight="1" x14ac:dyDescent="0.25">
      <c r="A6365" s="45"/>
      <c r="B6365" s="59"/>
      <c r="C6365" s="137"/>
      <c r="D6365" s="59"/>
      <c r="E6365" s="116"/>
      <c r="F6365" s="120"/>
      <c r="G6365" s="120"/>
      <c r="H6365" s="120"/>
      <c r="I6365" s="60"/>
      <c r="J6365" s="116"/>
      <c r="K6365" s="213"/>
      <c r="L6365" s="120"/>
      <c r="M6365" s="120"/>
      <c r="N6365" s="167"/>
      <c r="O6365" s="120"/>
      <c r="P6365" s="120"/>
      <c r="Q6365" s="120"/>
      <c r="R6365" s="120"/>
      <c r="S6365" s="120"/>
      <c r="T6365" s="221"/>
      <c r="U6365" s="89"/>
      <c r="V6365" s="61"/>
      <c r="W6365" s="92" t="s">
        <v>65</v>
      </c>
      <c r="X6365" s="93" t="s">
        <v>30</v>
      </c>
      <c r="Y6365" s="93" t="s">
        <v>1011</v>
      </c>
      <c r="Z6365" s="134">
        <f>VLOOKUP(W6365,Sheet2!$B:$D,3,FALSE)</f>
        <v>1.76</v>
      </c>
      <c r="AA6365" s="93">
        <f>AA6364/9</f>
        <v>2.5396825396825395</v>
      </c>
      <c r="AB6365" s="93">
        <f>AD6365/AC6359</f>
        <v>0.69299999999999995</v>
      </c>
      <c r="AC6365" s="93">
        <f>AC6359/AA6365</f>
        <v>9.84375</v>
      </c>
      <c r="AD6365" s="94">
        <f>AC6365*Z6365</f>
        <v>17.324999999999999</v>
      </c>
      <c r="AE6365" s="190"/>
      <c r="AF6365" s="191"/>
      <c r="AG6365" s="191"/>
      <c r="AH6365" s="191"/>
      <c r="AI6365" s="186"/>
      <c r="AK6365" s="171"/>
    </row>
    <row r="6366" spans="1:37" s="102" customFormat="1" ht="19.899999999999999" customHeight="1" x14ac:dyDescent="0.25">
      <c r="A6366" s="45"/>
      <c r="B6366" s="59"/>
      <c r="C6366" s="137"/>
      <c r="D6366" s="59"/>
      <c r="E6366" s="116"/>
      <c r="F6366" s="120"/>
      <c r="G6366" s="120"/>
      <c r="H6366" s="120"/>
      <c r="I6366" s="60"/>
      <c r="J6366" s="116"/>
      <c r="K6366" s="213"/>
      <c r="L6366" s="120"/>
      <c r="M6366" s="120"/>
      <c r="N6366" s="167"/>
      <c r="O6366" s="120"/>
      <c r="P6366" s="120"/>
      <c r="Q6366" s="120"/>
      <c r="R6366" s="120"/>
      <c r="S6366" s="120"/>
      <c r="T6366" s="221"/>
      <c r="U6366" s="89"/>
      <c r="V6366" s="61"/>
      <c r="W6366" s="92" t="s">
        <v>148</v>
      </c>
      <c r="X6366" s="93" t="s">
        <v>29</v>
      </c>
      <c r="Y6366" s="93" t="s">
        <v>93</v>
      </c>
      <c r="Z6366" s="134">
        <f>VLOOKUP(W6366,Sheet2!$B:$D,3,FALSE)</f>
        <v>48</v>
      </c>
      <c r="AA6366" s="93">
        <f>7.2/(1.5*1.5*0.1)</f>
        <v>32</v>
      </c>
      <c r="AB6366" s="93">
        <f>AD6366/AC6359</f>
        <v>1.5</v>
      </c>
      <c r="AC6366" s="93">
        <f>AC6359/AA6366</f>
        <v>0.78125</v>
      </c>
      <c r="AD6366" s="94">
        <f t="shared" ref="AD6366:AD6369" si="4469">AC6366*Z6366</f>
        <v>37.5</v>
      </c>
      <c r="AE6366" s="190"/>
      <c r="AF6366" s="191"/>
      <c r="AG6366" s="191"/>
      <c r="AH6366" s="191"/>
      <c r="AI6366" s="186"/>
      <c r="AK6366" s="171"/>
    </row>
    <row r="6367" spans="1:37" s="102" customFormat="1" ht="19.899999999999999" customHeight="1" x14ac:dyDescent="0.25">
      <c r="A6367" s="45"/>
      <c r="B6367" s="59"/>
      <c r="C6367" s="137"/>
      <c r="D6367" s="59"/>
      <c r="E6367" s="116"/>
      <c r="F6367" s="120"/>
      <c r="G6367" s="120"/>
      <c r="H6367" s="120"/>
      <c r="I6367" s="60"/>
      <c r="J6367" s="116"/>
      <c r="K6367" s="213"/>
      <c r="L6367" s="120"/>
      <c r="M6367" s="120"/>
      <c r="N6367" s="167"/>
      <c r="O6367" s="120"/>
      <c r="P6367" s="120"/>
      <c r="Q6367" s="120"/>
      <c r="R6367" s="120"/>
      <c r="S6367" s="120"/>
      <c r="T6367" s="221"/>
      <c r="U6367" s="89"/>
      <c r="V6367" s="61"/>
      <c r="W6367" s="92" t="s">
        <v>65</v>
      </c>
      <c r="X6367" s="93" t="s">
        <v>30</v>
      </c>
      <c r="Y6367" s="93" t="s">
        <v>1011</v>
      </c>
      <c r="Z6367" s="134">
        <f>VLOOKUP(W6367,Sheet2!$B:$D,3,FALSE)</f>
        <v>1.76</v>
      </c>
      <c r="AA6367" s="93">
        <f>AA6366/10</f>
        <v>3.2</v>
      </c>
      <c r="AB6367" s="93">
        <f>AD6367/AC6359</f>
        <v>0.55000000000000004</v>
      </c>
      <c r="AC6367" s="93">
        <f>AC6359/AA6367</f>
        <v>7.8125</v>
      </c>
      <c r="AD6367" s="94">
        <f t="shared" si="4469"/>
        <v>13.75</v>
      </c>
      <c r="AE6367" s="190"/>
      <c r="AF6367" s="191"/>
      <c r="AG6367" s="191"/>
      <c r="AH6367" s="191"/>
      <c r="AI6367" s="186"/>
      <c r="AK6367" s="171"/>
    </row>
    <row r="6368" spans="1:37" s="102" customFormat="1" ht="19.899999999999999" customHeight="1" x14ac:dyDescent="0.25">
      <c r="A6368" s="45"/>
      <c r="B6368" s="59"/>
      <c r="C6368" s="137"/>
      <c r="D6368" s="59"/>
      <c r="E6368" s="116"/>
      <c r="F6368" s="120"/>
      <c r="G6368" s="120"/>
      <c r="H6368" s="120"/>
      <c r="I6368" s="60"/>
      <c r="J6368" s="116"/>
      <c r="K6368" s="213"/>
      <c r="L6368" s="120"/>
      <c r="M6368" s="120"/>
      <c r="N6368" s="167"/>
      <c r="O6368" s="120"/>
      <c r="P6368" s="120"/>
      <c r="Q6368" s="120"/>
      <c r="R6368" s="120"/>
      <c r="S6368" s="120"/>
      <c r="T6368" s="221"/>
      <c r="U6368" s="89"/>
      <c r="V6368" s="61"/>
      <c r="W6368" s="92" t="s">
        <v>1030</v>
      </c>
      <c r="X6368" s="93" t="s">
        <v>29</v>
      </c>
      <c r="Y6368" s="93" t="s">
        <v>93</v>
      </c>
      <c r="Z6368" s="134">
        <f>VLOOKUP(W6368,Sheet2!$B:$D,3,FALSE)</f>
        <v>23</v>
      </c>
      <c r="AA6368" s="93">
        <v>25</v>
      </c>
      <c r="AB6368" s="93">
        <f>AD6368/AC6359</f>
        <v>0.92</v>
      </c>
      <c r="AC6368" s="93">
        <f>AC6359/AA6368</f>
        <v>1</v>
      </c>
      <c r="AD6368" s="94">
        <f t="shared" si="4469"/>
        <v>23</v>
      </c>
      <c r="AE6368" s="190"/>
      <c r="AF6368" s="191"/>
      <c r="AG6368" s="191"/>
      <c r="AH6368" s="191"/>
      <c r="AI6368" s="186"/>
      <c r="AK6368" s="171"/>
    </row>
    <row r="6369" spans="1:41" s="102" customFormat="1" ht="19.899999999999999" customHeight="1" x14ac:dyDescent="0.25">
      <c r="A6369" s="45"/>
      <c r="B6369" s="59"/>
      <c r="C6369" s="137"/>
      <c r="D6369" s="59"/>
      <c r="E6369" s="116"/>
      <c r="F6369" s="120"/>
      <c r="G6369" s="120"/>
      <c r="H6369" s="120"/>
      <c r="I6369" s="60"/>
      <c r="J6369" s="116"/>
      <c r="K6369" s="213"/>
      <c r="L6369" s="120"/>
      <c r="M6369" s="120"/>
      <c r="N6369" s="167"/>
      <c r="O6369" s="120"/>
      <c r="P6369" s="120"/>
      <c r="Q6369" s="120"/>
      <c r="R6369" s="120"/>
      <c r="S6369" s="120"/>
      <c r="T6369" s="221"/>
      <c r="U6369" s="89"/>
      <c r="V6369" s="61"/>
      <c r="W6369" s="92" t="s">
        <v>65</v>
      </c>
      <c r="X6369" s="93" t="s">
        <v>30</v>
      </c>
      <c r="Y6369" s="93" t="s">
        <v>1011</v>
      </c>
      <c r="Z6369" s="134">
        <f>VLOOKUP(W6369,Sheet2!$B:$D,3,FALSE)</f>
        <v>1.76</v>
      </c>
      <c r="AA6369" s="93">
        <f>AA6368/3</f>
        <v>8.3333333333333339</v>
      </c>
      <c r="AB6369" s="93">
        <f>AD6369/AC6359</f>
        <v>0.2112</v>
      </c>
      <c r="AC6369" s="93">
        <f>AC6359/AA6369</f>
        <v>3</v>
      </c>
      <c r="AD6369" s="94">
        <f t="shared" si="4469"/>
        <v>5.28</v>
      </c>
      <c r="AE6369" s="190"/>
      <c r="AF6369" s="191"/>
      <c r="AG6369" s="191"/>
      <c r="AH6369" s="191"/>
      <c r="AI6369" s="186"/>
      <c r="AK6369" s="171"/>
    </row>
    <row r="6370" spans="1:41" ht="20.100000000000001" customHeight="1" x14ac:dyDescent="0.25">
      <c r="A6370" s="277" t="s">
        <v>491</v>
      </c>
      <c r="B6370" s="278"/>
      <c r="C6370" s="64" t="s">
        <v>667</v>
      </c>
      <c r="D6370" s="46" t="s">
        <v>97</v>
      </c>
      <c r="E6370" s="114">
        <v>25</v>
      </c>
      <c r="F6370" s="44">
        <v>120</v>
      </c>
      <c r="G6370" s="44">
        <f t="shared" si="3841"/>
        <v>3000</v>
      </c>
      <c r="H6370" s="44">
        <f t="shared" si="3842"/>
        <v>78.539112156862757</v>
      </c>
      <c r="I6370" s="43">
        <f t="shared" si="3843"/>
        <v>1963.4778039215689</v>
      </c>
      <c r="J6370" s="112">
        <f t="shared" si="3844"/>
        <v>25</v>
      </c>
      <c r="K6370" s="211">
        <f t="shared" si="3845"/>
        <v>25</v>
      </c>
      <c r="L6370" s="44"/>
      <c r="M6370" s="44">
        <f t="shared" si="3846"/>
        <v>25</v>
      </c>
      <c r="N6370" s="173">
        <f t="shared" si="3847"/>
        <v>1</v>
      </c>
      <c r="O6370" s="44">
        <f t="shared" si="3848"/>
        <v>120</v>
      </c>
      <c r="P6370" s="44">
        <f t="shared" si="3849"/>
        <v>3000</v>
      </c>
      <c r="Q6370" s="44">
        <f t="shared" si="3850"/>
        <v>78.539112156862757</v>
      </c>
      <c r="R6370" s="44">
        <f t="shared" si="3851"/>
        <v>1963.4778039215689</v>
      </c>
      <c r="S6370" s="123"/>
      <c r="T6370" s="219">
        <f t="shared" si="3852"/>
        <v>1963.4778039215689</v>
      </c>
      <c r="U6370" s="87"/>
      <c r="V6370" s="47"/>
      <c r="W6370" s="48"/>
      <c r="X6370" s="48"/>
      <c r="Y6370" s="48"/>
      <c r="Z6370" s="135"/>
      <c r="AA6370" s="49"/>
      <c r="AB6370" s="50">
        <f t="shared" si="3853"/>
        <v>78.539112156862757</v>
      </c>
      <c r="AC6370" s="42">
        <f t="shared" si="3854"/>
        <v>25</v>
      </c>
      <c r="AD6370" s="90">
        <f>AD6371+AD6378+AD6384</f>
        <v>1963.4778039215689</v>
      </c>
      <c r="AE6370" s="188">
        <f t="shared" ref="AE6370" si="4470">AE6371+AE6378+AE6384</f>
        <v>0</v>
      </c>
      <c r="AF6370" s="189">
        <f t="shared" ref="AF6370" si="4471">AF6371+AF6378+AF6384</f>
        <v>0</v>
      </c>
      <c r="AG6370" s="189">
        <f t="shared" ref="AG6370" si="4472">AG6371+AG6378+AG6384</f>
        <v>0</v>
      </c>
      <c r="AH6370" s="189">
        <f t="shared" ref="AH6370" si="4473">AH6371+AH6378+AH6384</f>
        <v>0</v>
      </c>
      <c r="AI6370" s="161">
        <f t="shared" si="4459"/>
        <v>0</v>
      </c>
      <c r="AK6370" s="169">
        <v>5</v>
      </c>
      <c r="AO6370" s="19" t="s">
        <v>63</v>
      </c>
    </row>
    <row r="6371" spans="1:41" s="103" customFormat="1" ht="19.899999999999999" customHeight="1" x14ac:dyDescent="0.25">
      <c r="A6371" s="51"/>
      <c r="B6371" s="52"/>
      <c r="C6371" s="165"/>
      <c r="D6371" s="52"/>
      <c r="E6371" s="115"/>
      <c r="F6371" s="58"/>
      <c r="G6371" s="58"/>
      <c r="H6371" s="58"/>
      <c r="I6371" s="55"/>
      <c r="J6371" s="113">
        <f>J6370</f>
        <v>25</v>
      </c>
      <c r="K6371" s="212">
        <f>K6370</f>
        <v>25</v>
      </c>
      <c r="L6371" s="58"/>
      <c r="M6371" s="58">
        <f>K6371-L6371</f>
        <v>25</v>
      </c>
      <c r="N6371" s="166"/>
      <c r="O6371" s="58"/>
      <c r="P6371" s="58"/>
      <c r="Q6371" s="58"/>
      <c r="R6371" s="58"/>
      <c r="S6371" s="58"/>
      <c r="T6371" s="220"/>
      <c r="U6371" s="88"/>
      <c r="V6371" s="56"/>
      <c r="W6371" s="57" t="s">
        <v>1607</v>
      </c>
      <c r="X6371" s="53"/>
      <c r="Y6371" s="91" t="s">
        <v>68</v>
      </c>
      <c r="Z6371" s="136">
        <f>AD6371/AC6371</f>
        <v>11.227407058823532</v>
      </c>
      <c r="AA6371" s="58"/>
      <c r="AB6371" s="53">
        <f>AD6371/AC6371</f>
        <v>11.227407058823532</v>
      </c>
      <c r="AC6371" s="53">
        <f>M6371+$AE$10</f>
        <v>25</v>
      </c>
      <c r="AD6371" s="54">
        <f>SUM(AD6372:AD6377)</f>
        <v>280.68517647058832</v>
      </c>
      <c r="AE6371" s="184">
        <f>SUMIFS($AD$37:$AD$12971,$V$37:$V$12971,$V6371,$X$37:$X$12971,AE$13)</f>
        <v>0</v>
      </c>
      <c r="AF6371" s="185">
        <f>SUMIFS($AD$37:$AD$12971,$V$37:$V$12971,$V6371,$X$37:$X$12971,AF$13)</f>
        <v>0</v>
      </c>
      <c r="AG6371" s="185">
        <f>SUMIFS($AD$37:$AD$12971,$V$37:$V$12971,$V6371,$X$37:$X$12971,AG$13)</f>
        <v>0</v>
      </c>
      <c r="AH6371" s="187">
        <f>SUMIFS($AD$37:$AD$12971,$V$37:$V$12971,$V6371,$X$37:$X$12971,AH$13)</f>
        <v>0</v>
      </c>
      <c r="AI6371" s="161">
        <f t="shared" ref="AI6371" si="4474">SUM(AE6371:AH6371)</f>
        <v>0</v>
      </c>
      <c r="AK6371" s="172"/>
    </row>
    <row r="6372" spans="1:41" s="102" customFormat="1" ht="19.899999999999999" customHeight="1" x14ac:dyDescent="0.25">
      <c r="A6372" s="45"/>
      <c r="B6372" s="59"/>
      <c r="C6372" s="137"/>
      <c r="D6372" s="59"/>
      <c r="E6372" s="116"/>
      <c r="F6372" s="120"/>
      <c r="G6372" s="120"/>
      <c r="H6372" s="120"/>
      <c r="I6372" s="60"/>
      <c r="J6372" s="116"/>
      <c r="K6372" s="213"/>
      <c r="L6372" s="120"/>
      <c r="M6372" s="120"/>
      <c r="N6372" s="167"/>
      <c r="O6372" s="120"/>
      <c r="P6372" s="120"/>
      <c r="Q6372" s="120"/>
      <c r="R6372" s="120"/>
      <c r="S6372" s="120"/>
      <c r="T6372" s="221"/>
      <c r="U6372" s="89"/>
      <c r="V6372" s="61"/>
      <c r="W6372" s="92" t="s">
        <v>129</v>
      </c>
      <c r="X6372" s="93" t="s">
        <v>29</v>
      </c>
      <c r="Y6372" s="93" t="s">
        <v>93</v>
      </c>
      <c r="Z6372" s="134">
        <f>VLOOKUP(W6372,Sheet2!$B:$D,3,FALSE)</f>
        <v>56</v>
      </c>
      <c r="AA6372" s="93">
        <f>100/(1.6*1.5)</f>
        <v>41.666666666666657</v>
      </c>
      <c r="AB6372" s="93">
        <f t="shared" ref="AB6372" si="4475">AD6372/AC6371</f>
        <v>1.3440000000000003</v>
      </c>
      <c r="AC6372" s="93">
        <f>AC6371/AA6372</f>
        <v>0.60000000000000009</v>
      </c>
      <c r="AD6372" s="94">
        <f t="shared" ref="AD6372:AD6373" si="4476">AC6372*Z6372</f>
        <v>33.600000000000009</v>
      </c>
      <c r="AE6372" s="190"/>
      <c r="AF6372" s="191"/>
      <c r="AG6372" s="191"/>
      <c r="AH6372" s="191"/>
      <c r="AI6372" s="186"/>
      <c r="AK6372" s="171"/>
    </row>
    <row r="6373" spans="1:41" s="102" customFormat="1" ht="19.899999999999999" customHeight="1" x14ac:dyDescent="0.25">
      <c r="A6373" s="45"/>
      <c r="B6373" s="59"/>
      <c r="C6373" s="137"/>
      <c r="D6373" s="59"/>
      <c r="E6373" s="116"/>
      <c r="F6373" s="120"/>
      <c r="G6373" s="120"/>
      <c r="H6373" s="120"/>
      <c r="I6373" s="60"/>
      <c r="J6373" s="116"/>
      <c r="K6373" s="213"/>
      <c r="L6373" s="120"/>
      <c r="M6373" s="120"/>
      <c r="N6373" s="167"/>
      <c r="O6373" s="120"/>
      <c r="P6373" s="120"/>
      <c r="Q6373" s="120"/>
      <c r="R6373" s="120"/>
      <c r="S6373" s="120"/>
      <c r="T6373" s="221"/>
      <c r="U6373" s="89"/>
      <c r="V6373" s="61"/>
      <c r="W6373" s="92" t="s">
        <v>65</v>
      </c>
      <c r="X6373" s="93" t="s">
        <v>30</v>
      </c>
      <c r="Y6373" s="93" t="s">
        <v>1011</v>
      </c>
      <c r="Z6373" s="134">
        <f>VLOOKUP(W6373,Sheet2!$B:$D,3,FALSE)</f>
        <v>1.76</v>
      </c>
      <c r="AA6373" s="93">
        <f>AA6372/14</f>
        <v>2.9761904761904754</v>
      </c>
      <c r="AB6373" s="93">
        <f>AD6373/AC6371</f>
        <v>0.59136000000000022</v>
      </c>
      <c r="AC6373" s="93">
        <f>AC6371/AA6373</f>
        <v>8.4000000000000021</v>
      </c>
      <c r="AD6373" s="94">
        <f t="shared" si="4476"/>
        <v>14.784000000000004</v>
      </c>
      <c r="AE6373" s="190"/>
      <c r="AF6373" s="191"/>
      <c r="AG6373" s="191"/>
      <c r="AH6373" s="191"/>
      <c r="AI6373" s="186"/>
      <c r="AK6373" s="171"/>
    </row>
    <row r="6374" spans="1:41" s="102" customFormat="1" ht="19.899999999999999" customHeight="1" x14ac:dyDescent="0.25">
      <c r="A6374" s="45"/>
      <c r="B6374" s="59"/>
      <c r="C6374" s="137"/>
      <c r="D6374" s="59"/>
      <c r="E6374" s="116"/>
      <c r="F6374" s="120"/>
      <c r="G6374" s="120"/>
      <c r="H6374" s="120"/>
      <c r="I6374" s="60"/>
      <c r="J6374" s="116"/>
      <c r="K6374" s="213"/>
      <c r="L6374" s="120"/>
      <c r="M6374" s="120"/>
      <c r="N6374" s="167"/>
      <c r="O6374" s="120"/>
      <c r="P6374" s="120"/>
      <c r="Q6374" s="120"/>
      <c r="R6374" s="120"/>
      <c r="S6374" s="120"/>
      <c r="T6374" s="221"/>
      <c r="U6374" s="89"/>
      <c r="V6374" s="61"/>
      <c r="W6374" s="92" t="s">
        <v>161</v>
      </c>
      <c r="X6374" s="93" t="s">
        <v>29</v>
      </c>
      <c r="Y6374" s="93" t="s">
        <v>93</v>
      </c>
      <c r="Z6374" s="134">
        <f>VLOOKUP(W6374,Sheet2!$B:$D,3,FALSE)</f>
        <v>48</v>
      </c>
      <c r="AA6374" s="93">
        <f>(16*0.85*1.5)/(1.6*1.5)</f>
        <v>8.4999999999999982</v>
      </c>
      <c r="AB6374" s="93">
        <f>AD6374/AC6371</f>
        <v>5.647058823529413</v>
      </c>
      <c r="AC6374" s="93">
        <f>AC6371/AA6374</f>
        <v>2.9411764705882359</v>
      </c>
      <c r="AD6374" s="94">
        <f>AC6374*Z6374</f>
        <v>141.17647058823533</v>
      </c>
      <c r="AE6374" s="190"/>
      <c r="AF6374" s="191"/>
      <c r="AG6374" s="191"/>
      <c r="AH6374" s="191"/>
      <c r="AI6374" s="186"/>
      <c r="AK6374" s="171"/>
    </row>
    <row r="6375" spans="1:41" s="102" customFormat="1" ht="19.899999999999999" customHeight="1" x14ac:dyDescent="0.25">
      <c r="A6375" s="45"/>
      <c r="B6375" s="59"/>
      <c r="C6375" s="137"/>
      <c r="D6375" s="59"/>
      <c r="E6375" s="116"/>
      <c r="F6375" s="120"/>
      <c r="G6375" s="120"/>
      <c r="H6375" s="120"/>
      <c r="I6375" s="60"/>
      <c r="J6375" s="116"/>
      <c r="K6375" s="213"/>
      <c r="L6375" s="120"/>
      <c r="M6375" s="120"/>
      <c r="N6375" s="167"/>
      <c r="O6375" s="120"/>
      <c r="P6375" s="120"/>
      <c r="Q6375" s="120"/>
      <c r="R6375" s="120"/>
      <c r="S6375" s="120"/>
      <c r="T6375" s="221"/>
      <c r="U6375" s="89"/>
      <c r="V6375" s="61"/>
      <c r="W6375" s="92" t="s">
        <v>65</v>
      </c>
      <c r="X6375" s="93" t="s">
        <v>30</v>
      </c>
      <c r="Y6375" s="93" t="s">
        <v>1011</v>
      </c>
      <c r="Z6375" s="134">
        <f>VLOOKUP(W6375,Sheet2!$B:$D,3,FALSE)</f>
        <v>1.76</v>
      </c>
      <c r="AA6375" s="93">
        <f>AA6374/10</f>
        <v>0.84999999999999987</v>
      </c>
      <c r="AB6375" s="93">
        <f>AD6375/AC6371</f>
        <v>2.0705882352941178</v>
      </c>
      <c r="AC6375" s="93">
        <f>AC6371/AA6375</f>
        <v>29.411764705882359</v>
      </c>
      <c r="AD6375" s="94">
        <f>AC6375*Z6375</f>
        <v>51.764705882352949</v>
      </c>
      <c r="AE6375" s="190"/>
      <c r="AF6375" s="191"/>
      <c r="AG6375" s="191"/>
      <c r="AH6375" s="191"/>
      <c r="AI6375" s="186"/>
      <c r="AK6375" s="171"/>
    </row>
    <row r="6376" spans="1:41" s="102" customFormat="1" ht="19.899999999999999" customHeight="1" x14ac:dyDescent="0.25">
      <c r="A6376" s="45"/>
      <c r="B6376" s="59"/>
      <c r="C6376" s="137"/>
      <c r="D6376" s="59"/>
      <c r="E6376" s="116"/>
      <c r="F6376" s="120"/>
      <c r="G6376" s="120"/>
      <c r="H6376" s="120"/>
      <c r="I6376" s="60"/>
      <c r="J6376" s="116"/>
      <c r="K6376" s="213"/>
      <c r="L6376" s="120"/>
      <c r="M6376" s="120"/>
      <c r="N6376" s="167"/>
      <c r="O6376" s="120"/>
      <c r="P6376" s="120"/>
      <c r="Q6376" s="120"/>
      <c r="R6376" s="120"/>
      <c r="S6376" s="120"/>
      <c r="T6376" s="221"/>
      <c r="U6376" s="89"/>
      <c r="V6376" s="61"/>
      <c r="W6376" s="92" t="s">
        <v>148</v>
      </c>
      <c r="X6376" s="93" t="s">
        <v>29</v>
      </c>
      <c r="Y6376" s="93" t="s">
        <v>93</v>
      </c>
      <c r="Z6376" s="134">
        <f>VLOOKUP(W6376,Sheet2!$B:$D,3,FALSE)</f>
        <v>48</v>
      </c>
      <c r="AA6376" s="93">
        <f>AA6372</f>
        <v>41.666666666666657</v>
      </c>
      <c r="AB6376" s="93">
        <f>AD6376/AC6371</f>
        <v>1.1520000000000001</v>
      </c>
      <c r="AC6376" s="93">
        <f>AC6371/AA6376</f>
        <v>0.60000000000000009</v>
      </c>
      <c r="AD6376" s="94">
        <f t="shared" ref="AD6376:AD6377" si="4477">AC6376*Z6376</f>
        <v>28.800000000000004</v>
      </c>
      <c r="AE6376" s="190"/>
      <c r="AF6376" s="191"/>
      <c r="AG6376" s="191"/>
      <c r="AH6376" s="191"/>
      <c r="AI6376" s="186"/>
      <c r="AK6376" s="171"/>
    </row>
    <row r="6377" spans="1:41" s="102" customFormat="1" ht="19.899999999999999" customHeight="1" x14ac:dyDescent="0.25">
      <c r="A6377" s="45"/>
      <c r="B6377" s="59"/>
      <c r="C6377" s="137"/>
      <c r="D6377" s="59"/>
      <c r="E6377" s="116"/>
      <c r="F6377" s="120"/>
      <c r="G6377" s="120"/>
      <c r="H6377" s="120"/>
      <c r="I6377" s="60"/>
      <c r="J6377" s="116"/>
      <c r="K6377" s="213"/>
      <c r="L6377" s="120"/>
      <c r="M6377" s="120"/>
      <c r="N6377" s="167"/>
      <c r="O6377" s="120"/>
      <c r="P6377" s="120"/>
      <c r="Q6377" s="120"/>
      <c r="R6377" s="120"/>
      <c r="S6377" s="120"/>
      <c r="T6377" s="221"/>
      <c r="U6377" s="89"/>
      <c r="V6377" s="61"/>
      <c r="W6377" s="92" t="s">
        <v>65</v>
      </c>
      <c r="X6377" s="93" t="s">
        <v>30</v>
      </c>
      <c r="Y6377" s="93" t="s">
        <v>1011</v>
      </c>
      <c r="Z6377" s="134">
        <f>VLOOKUP(W6377,Sheet2!$B:$D,3,FALSE)</f>
        <v>1.76</v>
      </c>
      <c r="AA6377" s="93">
        <f>AA6376/10</f>
        <v>4.1666666666666661</v>
      </c>
      <c r="AB6377" s="93">
        <f>AD6377/AC6371</f>
        <v>0.42240000000000011</v>
      </c>
      <c r="AC6377" s="93">
        <f>AC6371/AA6377</f>
        <v>6.0000000000000009</v>
      </c>
      <c r="AD6377" s="94">
        <f t="shared" si="4477"/>
        <v>10.560000000000002</v>
      </c>
      <c r="AE6377" s="190"/>
      <c r="AF6377" s="191"/>
      <c r="AG6377" s="191"/>
      <c r="AH6377" s="191"/>
      <c r="AI6377" s="186"/>
      <c r="AK6377" s="171"/>
    </row>
    <row r="6378" spans="1:41" s="103" customFormat="1" ht="19.899999999999999" customHeight="1" x14ac:dyDescent="0.25">
      <c r="A6378" s="51"/>
      <c r="B6378" s="52"/>
      <c r="C6378" s="165"/>
      <c r="D6378" s="52"/>
      <c r="E6378" s="115"/>
      <c r="F6378" s="58"/>
      <c r="G6378" s="58"/>
      <c r="H6378" s="58"/>
      <c r="I6378" s="55"/>
      <c r="J6378" s="113">
        <f>J6370</f>
        <v>25</v>
      </c>
      <c r="K6378" s="212">
        <f>K6370</f>
        <v>25</v>
      </c>
      <c r="L6378" s="58"/>
      <c r="M6378" s="58">
        <f>K6378-L6378</f>
        <v>25</v>
      </c>
      <c r="N6378" s="166"/>
      <c r="O6378" s="58"/>
      <c r="P6378" s="58"/>
      <c r="Q6378" s="58"/>
      <c r="R6378" s="58"/>
      <c r="S6378" s="58"/>
      <c r="T6378" s="220"/>
      <c r="U6378" s="88"/>
      <c r="V6378" s="56"/>
      <c r="W6378" s="57" t="s">
        <v>1606</v>
      </c>
      <c r="X6378" s="53"/>
      <c r="Y6378" s="91" t="s">
        <v>68</v>
      </c>
      <c r="Z6378" s="136">
        <f>AD6378/AC6378</f>
        <v>52.34</v>
      </c>
      <c r="AA6378" s="58"/>
      <c r="AB6378" s="53">
        <f>AD6378/AC6378</f>
        <v>52.34</v>
      </c>
      <c r="AC6378" s="53">
        <f>M6378+$AE$10</f>
        <v>25</v>
      </c>
      <c r="AD6378" s="54">
        <f>SUM(AD6379:AD6383)</f>
        <v>1308.5</v>
      </c>
      <c r="AE6378" s="184">
        <f>SUMIFS($AD$37:$AD$12971,$V$37:$V$12971,$V6378,$X$37:$X$12971,AE$13)</f>
        <v>0</v>
      </c>
      <c r="AF6378" s="185">
        <f>SUMIFS($AD$37:$AD$12971,$V$37:$V$12971,$V6378,$X$37:$X$12971,AF$13)</f>
        <v>0</v>
      </c>
      <c r="AG6378" s="185">
        <f>SUMIFS($AD$37:$AD$12971,$V$37:$V$12971,$V6378,$X$37:$X$12971,AG$13)</f>
        <v>0</v>
      </c>
      <c r="AH6378" s="187">
        <f>SUMIFS($AD$37:$AD$12971,$V$37:$V$12971,$V6378,$X$37:$X$12971,AH$13)</f>
        <v>0</v>
      </c>
      <c r="AI6378" s="161">
        <f t="shared" ref="AI6378" si="4478">SUM(AE6378:AH6378)</f>
        <v>0</v>
      </c>
      <c r="AK6378" s="172"/>
    </row>
    <row r="6379" spans="1:41" s="102" customFormat="1" ht="19.899999999999999" customHeight="1" x14ac:dyDescent="0.25">
      <c r="A6379" s="45"/>
      <c r="B6379" s="59"/>
      <c r="C6379" s="137"/>
      <c r="D6379" s="59"/>
      <c r="E6379" s="116"/>
      <c r="F6379" s="120"/>
      <c r="G6379" s="120"/>
      <c r="H6379" s="120"/>
      <c r="I6379" s="60"/>
      <c r="J6379" s="116"/>
      <c r="K6379" s="213"/>
      <c r="L6379" s="120"/>
      <c r="M6379" s="120"/>
      <c r="N6379" s="167"/>
      <c r="O6379" s="120"/>
      <c r="P6379" s="120"/>
      <c r="Q6379" s="120"/>
      <c r="R6379" s="120"/>
      <c r="S6379" s="120"/>
      <c r="T6379" s="221"/>
      <c r="U6379" s="89"/>
      <c r="V6379" s="61"/>
      <c r="W6379" s="92" t="s">
        <v>1032</v>
      </c>
      <c r="X6379" s="93" t="s">
        <v>30</v>
      </c>
      <c r="Y6379" s="93" t="s">
        <v>66</v>
      </c>
      <c r="Z6379" s="134">
        <f>VLOOKUP(W6379,Sheet2!$B:$D,3,FALSE)</f>
        <v>250</v>
      </c>
      <c r="AA6379" s="93">
        <f>1/(0.4*0.25)</f>
        <v>10</v>
      </c>
      <c r="AB6379" s="93">
        <f>AD6379/AC6378</f>
        <v>25</v>
      </c>
      <c r="AC6379" s="93">
        <f>AC6378/AA6379</f>
        <v>2.5</v>
      </c>
      <c r="AD6379" s="94">
        <f t="shared" ref="AD6379" si="4479">AC6379*Z6379</f>
        <v>625</v>
      </c>
      <c r="AE6379" s="190"/>
      <c r="AF6379" s="191"/>
      <c r="AG6379" s="191"/>
      <c r="AH6379" s="191"/>
      <c r="AI6379" s="186"/>
      <c r="AK6379" s="171"/>
    </row>
    <row r="6380" spans="1:41" s="102" customFormat="1" ht="19.899999999999999" customHeight="1" x14ac:dyDescent="0.25">
      <c r="A6380" s="45"/>
      <c r="B6380" s="59"/>
      <c r="C6380" s="137"/>
      <c r="D6380" s="59"/>
      <c r="E6380" s="116"/>
      <c r="F6380" s="120"/>
      <c r="G6380" s="120"/>
      <c r="H6380" s="120"/>
      <c r="I6380" s="60"/>
      <c r="J6380" s="116"/>
      <c r="K6380" s="213"/>
      <c r="L6380" s="120"/>
      <c r="M6380" s="120"/>
      <c r="N6380" s="167"/>
      <c r="O6380" s="120"/>
      <c r="P6380" s="120"/>
      <c r="Q6380" s="120"/>
      <c r="R6380" s="120"/>
      <c r="S6380" s="120"/>
      <c r="T6380" s="221"/>
      <c r="U6380" s="89"/>
      <c r="V6380" s="61"/>
      <c r="W6380" s="92" t="s">
        <v>1270</v>
      </c>
      <c r="X6380" s="93" t="s">
        <v>30</v>
      </c>
      <c r="Y6380" s="93" t="s">
        <v>68</v>
      </c>
      <c r="Z6380" s="134">
        <f>VLOOKUP(W6380,Sheet2!$B:$D,3,FALSE)</f>
        <v>4</v>
      </c>
      <c r="AA6380" s="93">
        <f>1/2</f>
        <v>0.5</v>
      </c>
      <c r="AB6380" s="93">
        <f>AD6380/AC6378</f>
        <v>8</v>
      </c>
      <c r="AC6380" s="93">
        <f>AC6378/AA6380</f>
        <v>50</v>
      </c>
      <c r="AD6380" s="94">
        <f>AC6380*Z6380</f>
        <v>200</v>
      </c>
      <c r="AE6380" s="190"/>
      <c r="AF6380" s="191"/>
      <c r="AG6380" s="191"/>
      <c r="AH6380" s="191"/>
      <c r="AI6380" s="186"/>
      <c r="AK6380" s="171"/>
    </row>
    <row r="6381" spans="1:41" s="102" customFormat="1" ht="19.899999999999999" customHeight="1" x14ac:dyDescent="0.25">
      <c r="A6381" s="45"/>
      <c r="B6381" s="59"/>
      <c r="C6381" s="137"/>
      <c r="D6381" s="59"/>
      <c r="E6381" s="116"/>
      <c r="F6381" s="120"/>
      <c r="G6381" s="120"/>
      <c r="H6381" s="120"/>
      <c r="I6381" s="60"/>
      <c r="J6381" s="116"/>
      <c r="K6381" s="213"/>
      <c r="L6381" s="120"/>
      <c r="M6381" s="120"/>
      <c r="N6381" s="167"/>
      <c r="O6381" s="120"/>
      <c r="P6381" s="120"/>
      <c r="Q6381" s="120"/>
      <c r="R6381" s="120"/>
      <c r="S6381" s="120"/>
      <c r="T6381" s="221"/>
      <c r="U6381" s="89"/>
      <c r="V6381" s="61"/>
      <c r="W6381" s="92" t="s">
        <v>1271</v>
      </c>
      <c r="X6381" s="93" t="s">
        <v>30</v>
      </c>
      <c r="Y6381" s="93" t="s">
        <v>68</v>
      </c>
      <c r="Z6381" s="134">
        <f>VLOOKUP(W6381,Sheet2!$B:$D,3,FALSE)</f>
        <v>2</v>
      </c>
      <c r="AA6381" s="93">
        <f>AA6380</f>
        <v>0.5</v>
      </c>
      <c r="AB6381" s="93">
        <f>AD6381/AC6378</f>
        <v>4</v>
      </c>
      <c r="AC6381" s="93">
        <f>AC6378/AA6381</f>
        <v>50</v>
      </c>
      <c r="AD6381" s="94">
        <f>AC6381*Z6381</f>
        <v>100</v>
      </c>
      <c r="AE6381" s="190"/>
      <c r="AF6381" s="191"/>
      <c r="AG6381" s="191"/>
      <c r="AH6381" s="191"/>
      <c r="AI6381" s="186"/>
      <c r="AK6381" s="171"/>
    </row>
    <row r="6382" spans="1:41" s="102" customFormat="1" ht="19.899999999999999" customHeight="1" x14ac:dyDescent="0.25">
      <c r="A6382" s="45"/>
      <c r="B6382" s="59"/>
      <c r="C6382" s="137"/>
      <c r="D6382" s="59"/>
      <c r="E6382" s="116"/>
      <c r="F6382" s="120"/>
      <c r="G6382" s="120"/>
      <c r="H6382" s="120"/>
      <c r="I6382" s="60"/>
      <c r="J6382" s="116"/>
      <c r="K6382" s="213"/>
      <c r="L6382" s="120"/>
      <c r="M6382" s="120"/>
      <c r="N6382" s="167"/>
      <c r="O6382" s="120"/>
      <c r="P6382" s="120"/>
      <c r="Q6382" s="120"/>
      <c r="R6382" s="120"/>
      <c r="S6382" s="120"/>
      <c r="T6382" s="221"/>
      <c r="U6382" s="89"/>
      <c r="V6382" s="61"/>
      <c r="W6382" s="92" t="s">
        <v>1035</v>
      </c>
      <c r="X6382" s="93" t="s">
        <v>32</v>
      </c>
      <c r="Y6382" s="93" t="s">
        <v>66</v>
      </c>
      <c r="Z6382" s="134">
        <f>VLOOKUP(W6382,Sheet2!$B:$D,3,FALSE)</f>
        <v>150</v>
      </c>
      <c r="AA6382" s="93">
        <f>AA6379</f>
        <v>10</v>
      </c>
      <c r="AB6382" s="93">
        <f>AD6382/AC6378</f>
        <v>15</v>
      </c>
      <c r="AC6382" s="93">
        <f>AC6378/AA6382</f>
        <v>2.5</v>
      </c>
      <c r="AD6382" s="94">
        <f t="shared" ref="AD6382:AD6383" si="4480">AC6382*Z6382</f>
        <v>375</v>
      </c>
      <c r="AE6382" s="190"/>
      <c r="AF6382" s="191"/>
      <c r="AG6382" s="191"/>
      <c r="AH6382" s="191"/>
      <c r="AI6382" s="186"/>
      <c r="AK6382" s="171"/>
    </row>
    <row r="6383" spans="1:41" s="102" customFormat="1" ht="19.899999999999999" customHeight="1" x14ac:dyDescent="0.25">
      <c r="A6383" s="45"/>
      <c r="B6383" s="59"/>
      <c r="C6383" s="137"/>
      <c r="D6383" s="59"/>
      <c r="E6383" s="116"/>
      <c r="F6383" s="120"/>
      <c r="G6383" s="120"/>
      <c r="H6383" s="120"/>
      <c r="I6383" s="60"/>
      <c r="J6383" s="116"/>
      <c r="K6383" s="213"/>
      <c r="L6383" s="120"/>
      <c r="M6383" s="120"/>
      <c r="N6383" s="167"/>
      <c r="O6383" s="120"/>
      <c r="P6383" s="120"/>
      <c r="Q6383" s="120"/>
      <c r="R6383" s="120"/>
      <c r="S6383" s="120"/>
      <c r="T6383" s="221"/>
      <c r="U6383" s="89"/>
      <c r="V6383" s="61"/>
      <c r="W6383" s="92" t="s">
        <v>107</v>
      </c>
      <c r="X6383" s="93" t="s">
        <v>31</v>
      </c>
      <c r="Y6383" s="93" t="s">
        <v>93</v>
      </c>
      <c r="Z6383" s="134">
        <f>VLOOKUP(W6383,Sheet2!$B:$D,3,FALSE)</f>
        <v>17</v>
      </c>
      <c r="AA6383" s="93">
        <v>50</v>
      </c>
      <c r="AB6383" s="93">
        <f>AD6383/AC6378</f>
        <v>0.34</v>
      </c>
      <c r="AC6383" s="93">
        <f>AC6378/AA6383</f>
        <v>0.5</v>
      </c>
      <c r="AD6383" s="94">
        <f t="shared" si="4480"/>
        <v>8.5</v>
      </c>
      <c r="AE6383" s="190"/>
      <c r="AF6383" s="191"/>
      <c r="AG6383" s="191"/>
      <c r="AH6383" s="191"/>
      <c r="AI6383" s="186"/>
      <c r="AK6383" s="171"/>
    </row>
    <row r="6384" spans="1:41" s="103" customFormat="1" ht="19.899999999999999" customHeight="1" x14ac:dyDescent="0.25">
      <c r="A6384" s="51"/>
      <c r="B6384" s="52"/>
      <c r="C6384" s="165"/>
      <c r="D6384" s="52"/>
      <c r="E6384" s="115"/>
      <c r="F6384" s="58"/>
      <c r="G6384" s="58"/>
      <c r="H6384" s="58"/>
      <c r="I6384" s="55"/>
      <c r="J6384" s="113">
        <f>J6370</f>
        <v>25</v>
      </c>
      <c r="K6384" s="212">
        <f>K6370</f>
        <v>25</v>
      </c>
      <c r="L6384" s="58"/>
      <c r="M6384" s="58">
        <f>K6384-L6384</f>
        <v>25</v>
      </c>
      <c r="N6384" s="166"/>
      <c r="O6384" s="58"/>
      <c r="P6384" s="58"/>
      <c r="Q6384" s="58"/>
      <c r="R6384" s="58"/>
      <c r="S6384" s="58"/>
      <c r="T6384" s="220"/>
      <c r="U6384" s="88"/>
      <c r="V6384" s="56"/>
      <c r="W6384" s="57" t="s">
        <v>1272</v>
      </c>
      <c r="X6384" s="53"/>
      <c r="Y6384" s="91" t="s">
        <v>68</v>
      </c>
      <c r="Z6384" s="136">
        <f>AD6384/AC6384</f>
        <v>14.971705098039218</v>
      </c>
      <c r="AA6384" s="58"/>
      <c r="AB6384" s="53">
        <f>AD6384/AC6384</f>
        <v>14.971705098039218</v>
      </c>
      <c r="AC6384" s="53">
        <f>M6384+$AE$10</f>
        <v>25</v>
      </c>
      <c r="AD6384" s="54">
        <f>SUM(AD6385:AD6394)</f>
        <v>374.29262745098043</v>
      </c>
      <c r="AE6384" s="184">
        <f>SUMIFS($AD$37:$AD$12971,$V$37:$V$12971,$V6384,$X$37:$X$12971,AE$13)</f>
        <v>0</v>
      </c>
      <c r="AF6384" s="185">
        <f>SUMIFS($AD$37:$AD$12971,$V$37:$V$12971,$V6384,$X$37:$X$12971,AF$13)</f>
        <v>0</v>
      </c>
      <c r="AG6384" s="185">
        <f>SUMIFS($AD$37:$AD$12971,$V$37:$V$12971,$V6384,$X$37:$X$12971,AG$13)</f>
        <v>0</v>
      </c>
      <c r="AH6384" s="187">
        <f>SUMIFS($AD$37:$AD$12971,$V$37:$V$12971,$V6384,$X$37:$X$12971,AH$13)</f>
        <v>0</v>
      </c>
      <c r="AI6384" s="161">
        <f t="shared" ref="AI6384" si="4481">SUM(AE6384:AH6384)</f>
        <v>0</v>
      </c>
      <c r="AK6384" s="172"/>
    </row>
    <row r="6385" spans="1:41" s="102" customFormat="1" ht="19.899999999999999" customHeight="1" x14ac:dyDescent="0.25">
      <c r="A6385" s="45"/>
      <c r="B6385" s="59"/>
      <c r="C6385" s="137"/>
      <c r="D6385" s="59"/>
      <c r="E6385" s="116"/>
      <c r="F6385" s="120"/>
      <c r="G6385" s="120"/>
      <c r="H6385" s="120"/>
      <c r="I6385" s="60"/>
      <c r="J6385" s="116"/>
      <c r="K6385" s="213"/>
      <c r="L6385" s="120"/>
      <c r="M6385" s="120"/>
      <c r="N6385" s="167"/>
      <c r="O6385" s="120"/>
      <c r="P6385" s="120"/>
      <c r="Q6385" s="120"/>
      <c r="R6385" s="120"/>
      <c r="S6385" s="120"/>
      <c r="T6385" s="221"/>
      <c r="U6385" s="89"/>
      <c r="V6385" s="61"/>
      <c r="W6385" s="92" t="s">
        <v>134</v>
      </c>
      <c r="X6385" s="93" t="s">
        <v>29</v>
      </c>
      <c r="Y6385" s="93" t="s">
        <v>93</v>
      </c>
      <c r="Z6385" s="134">
        <f>VLOOKUP(W6385,Sheet2!$B:$D,3,FALSE)</f>
        <v>65.599999999999994</v>
      </c>
      <c r="AA6385" s="93">
        <f>100/((1.6*1.5)-(0.4*0.25))</f>
        <v>43.478260869565212</v>
      </c>
      <c r="AB6385" s="93">
        <f>AD6385/AC6384</f>
        <v>1.5087999999999999</v>
      </c>
      <c r="AC6385" s="93">
        <f>AC6384/AA6385</f>
        <v>0.57500000000000007</v>
      </c>
      <c r="AD6385" s="94">
        <f t="shared" ref="AD6385:AD6386" si="4482">AC6385*Z6385</f>
        <v>37.72</v>
      </c>
      <c r="AE6385" s="190"/>
      <c r="AF6385" s="191"/>
      <c r="AG6385" s="191"/>
      <c r="AH6385" s="191"/>
      <c r="AI6385" s="186"/>
      <c r="AK6385" s="171"/>
    </row>
    <row r="6386" spans="1:41" s="102" customFormat="1" ht="19.899999999999999" customHeight="1" x14ac:dyDescent="0.25">
      <c r="A6386" s="45"/>
      <c r="B6386" s="59"/>
      <c r="C6386" s="137"/>
      <c r="D6386" s="59"/>
      <c r="E6386" s="116"/>
      <c r="F6386" s="120"/>
      <c r="G6386" s="120"/>
      <c r="H6386" s="120"/>
      <c r="I6386" s="60"/>
      <c r="J6386" s="116"/>
      <c r="K6386" s="213"/>
      <c r="L6386" s="120"/>
      <c r="M6386" s="120"/>
      <c r="N6386" s="167"/>
      <c r="O6386" s="120"/>
      <c r="P6386" s="120"/>
      <c r="Q6386" s="120"/>
      <c r="R6386" s="120"/>
      <c r="S6386" s="120"/>
      <c r="T6386" s="221"/>
      <c r="U6386" s="89"/>
      <c r="V6386" s="61"/>
      <c r="W6386" s="92" t="s">
        <v>65</v>
      </c>
      <c r="X6386" s="93" t="s">
        <v>30</v>
      </c>
      <c r="Y6386" s="93" t="s">
        <v>1011</v>
      </c>
      <c r="Z6386" s="134">
        <f>VLOOKUP(W6386,Sheet2!$B:$D,3,FALSE)</f>
        <v>1.76</v>
      </c>
      <c r="AA6386" s="93">
        <f>AA6385/9</f>
        <v>4.8309178743961345</v>
      </c>
      <c r="AB6386" s="93">
        <f>AD6386/AC6384</f>
        <v>0.36432000000000003</v>
      </c>
      <c r="AC6386" s="93">
        <f>AC6384/AA6386</f>
        <v>5.1750000000000007</v>
      </c>
      <c r="AD6386" s="94">
        <f t="shared" si="4482"/>
        <v>9.1080000000000005</v>
      </c>
      <c r="AE6386" s="190"/>
      <c r="AF6386" s="191"/>
      <c r="AG6386" s="191"/>
      <c r="AH6386" s="191"/>
      <c r="AI6386" s="186"/>
      <c r="AK6386" s="171"/>
    </row>
    <row r="6387" spans="1:41" s="102" customFormat="1" ht="19.899999999999999" customHeight="1" x14ac:dyDescent="0.25">
      <c r="A6387" s="45"/>
      <c r="B6387" s="59"/>
      <c r="C6387" s="137"/>
      <c r="D6387" s="59"/>
      <c r="E6387" s="116"/>
      <c r="F6387" s="120"/>
      <c r="G6387" s="120"/>
      <c r="H6387" s="120"/>
      <c r="I6387" s="60"/>
      <c r="J6387" s="116"/>
      <c r="K6387" s="213"/>
      <c r="L6387" s="120"/>
      <c r="M6387" s="120"/>
      <c r="N6387" s="167"/>
      <c r="O6387" s="120"/>
      <c r="P6387" s="120"/>
      <c r="Q6387" s="120"/>
      <c r="R6387" s="120"/>
      <c r="S6387" s="120"/>
      <c r="T6387" s="221"/>
      <c r="U6387" s="89"/>
      <c r="V6387" s="61"/>
      <c r="W6387" s="92" t="s">
        <v>161</v>
      </c>
      <c r="X6387" s="93" t="s">
        <v>29</v>
      </c>
      <c r="Y6387" s="93" t="s">
        <v>93</v>
      </c>
      <c r="Z6387" s="134">
        <f>VLOOKUP(W6387,Sheet2!$B:$D,3,FALSE)</f>
        <v>48</v>
      </c>
      <c r="AA6387" s="93">
        <f>(16*0.85*1.5)/((1.6*1.5)-(0.4*0.25))</f>
        <v>8.8695652173913029</v>
      </c>
      <c r="AB6387" s="93">
        <f>AD6387/AC6384</f>
        <v>5.4117647058823533</v>
      </c>
      <c r="AC6387" s="93">
        <f>AC6384/AA6387</f>
        <v>2.8186274509803928</v>
      </c>
      <c r="AD6387" s="94">
        <f>AC6387*Z6387</f>
        <v>135.29411764705884</v>
      </c>
      <c r="AE6387" s="190"/>
      <c r="AF6387" s="191"/>
      <c r="AG6387" s="191"/>
      <c r="AH6387" s="191"/>
      <c r="AI6387" s="186"/>
      <c r="AK6387" s="171"/>
    </row>
    <row r="6388" spans="1:41" s="102" customFormat="1" ht="19.899999999999999" customHeight="1" x14ac:dyDescent="0.25">
      <c r="A6388" s="45"/>
      <c r="B6388" s="59"/>
      <c r="C6388" s="137"/>
      <c r="D6388" s="59"/>
      <c r="E6388" s="116"/>
      <c r="F6388" s="120"/>
      <c r="G6388" s="120"/>
      <c r="H6388" s="120"/>
      <c r="I6388" s="60"/>
      <c r="J6388" s="116"/>
      <c r="K6388" s="213"/>
      <c r="L6388" s="120"/>
      <c r="M6388" s="120"/>
      <c r="N6388" s="167"/>
      <c r="O6388" s="120"/>
      <c r="P6388" s="120"/>
      <c r="Q6388" s="120"/>
      <c r="R6388" s="120"/>
      <c r="S6388" s="120"/>
      <c r="T6388" s="221"/>
      <c r="U6388" s="89"/>
      <c r="V6388" s="61"/>
      <c r="W6388" s="92" t="s">
        <v>65</v>
      </c>
      <c r="X6388" s="93" t="s">
        <v>30</v>
      </c>
      <c r="Y6388" s="93" t="s">
        <v>1011</v>
      </c>
      <c r="Z6388" s="134">
        <f>VLOOKUP(W6388,Sheet2!$B:$D,3,FALSE)</f>
        <v>1.76</v>
      </c>
      <c r="AA6388" s="93">
        <f>AA6387/10</f>
        <v>0.88695652173913031</v>
      </c>
      <c r="AB6388" s="93">
        <f>AD6388/AC6384</f>
        <v>1.9843137254901964</v>
      </c>
      <c r="AC6388" s="93">
        <f>AC6384/AA6388</f>
        <v>28.186274509803926</v>
      </c>
      <c r="AD6388" s="94">
        <f>AC6388*Z6388</f>
        <v>49.60784313725491</v>
      </c>
      <c r="AE6388" s="190"/>
      <c r="AF6388" s="191"/>
      <c r="AG6388" s="191"/>
      <c r="AH6388" s="191"/>
      <c r="AI6388" s="186"/>
      <c r="AK6388" s="171"/>
    </row>
    <row r="6389" spans="1:41" s="102" customFormat="1" ht="19.899999999999999" customHeight="1" x14ac:dyDescent="0.25">
      <c r="A6389" s="45"/>
      <c r="B6389" s="59"/>
      <c r="C6389" s="137"/>
      <c r="D6389" s="59"/>
      <c r="E6389" s="116"/>
      <c r="F6389" s="120"/>
      <c r="G6389" s="120"/>
      <c r="H6389" s="120"/>
      <c r="I6389" s="60"/>
      <c r="J6389" s="116"/>
      <c r="K6389" s="213"/>
      <c r="L6389" s="120"/>
      <c r="M6389" s="120"/>
      <c r="N6389" s="167"/>
      <c r="O6389" s="120"/>
      <c r="P6389" s="120"/>
      <c r="Q6389" s="120"/>
      <c r="R6389" s="120"/>
      <c r="S6389" s="120"/>
      <c r="T6389" s="221"/>
      <c r="U6389" s="89"/>
      <c r="V6389" s="61"/>
      <c r="W6389" s="92" t="s">
        <v>173</v>
      </c>
      <c r="X6389" s="93" t="s">
        <v>29</v>
      </c>
      <c r="Y6389" s="93" t="s">
        <v>93</v>
      </c>
      <c r="Z6389" s="134">
        <f>VLOOKUP(W6389,Sheet2!$B:$D,3,FALSE)</f>
        <v>36</v>
      </c>
      <c r="AA6389" s="93">
        <f>50/((1.6*1.5)-(0.4*0.25))</f>
        <v>21.739130434782606</v>
      </c>
      <c r="AB6389" s="93">
        <f>AD6389/AC6384</f>
        <v>1.6560000000000001</v>
      </c>
      <c r="AC6389" s="93">
        <f>AC6384/AA6389</f>
        <v>1.1500000000000001</v>
      </c>
      <c r="AD6389" s="94">
        <f>AC6389*Z6389</f>
        <v>41.400000000000006</v>
      </c>
      <c r="AE6389" s="190"/>
      <c r="AF6389" s="191"/>
      <c r="AG6389" s="191"/>
      <c r="AH6389" s="191"/>
      <c r="AI6389" s="186"/>
      <c r="AK6389" s="171"/>
    </row>
    <row r="6390" spans="1:41" s="102" customFormat="1" ht="19.899999999999999" customHeight="1" x14ac:dyDescent="0.25">
      <c r="A6390" s="45"/>
      <c r="B6390" s="59"/>
      <c r="C6390" s="137"/>
      <c r="D6390" s="59"/>
      <c r="E6390" s="116"/>
      <c r="F6390" s="120"/>
      <c r="G6390" s="120"/>
      <c r="H6390" s="120"/>
      <c r="I6390" s="60"/>
      <c r="J6390" s="116"/>
      <c r="K6390" s="213"/>
      <c r="L6390" s="120"/>
      <c r="M6390" s="120"/>
      <c r="N6390" s="167"/>
      <c r="O6390" s="120"/>
      <c r="P6390" s="120"/>
      <c r="Q6390" s="120"/>
      <c r="R6390" s="120"/>
      <c r="S6390" s="120"/>
      <c r="T6390" s="221"/>
      <c r="U6390" s="89"/>
      <c r="V6390" s="61"/>
      <c r="W6390" s="92" t="s">
        <v>65</v>
      </c>
      <c r="X6390" s="93" t="s">
        <v>30</v>
      </c>
      <c r="Y6390" s="93" t="s">
        <v>1011</v>
      </c>
      <c r="Z6390" s="134">
        <f>VLOOKUP(W6390,Sheet2!$B:$D,3,FALSE)</f>
        <v>1.76</v>
      </c>
      <c r="AA6390" s="93">
        <f>AA6389/9</f>
        <v>2.4154589371980673</v>
      </c>
      <c r="AB6390" s="93">
        <f>AD6390/AC6384</f>
        <v>0.72864000000000007</v>
      </c>
      <c r="AC6390" s="93">
        <f>AC6384/AA6390</f>
        <v>10.350000000000001</v>
      </c>
      <c r="AD6390" s="94">
        <f>AC6390*Z6390</f>
        <v>18.216000000000001</v>
      </c>
      <c r="AE6390" s="190"/>
      <c r="AF6390" s="191"/>
      <c r="AG6390" s="191"/>
      <c r="AH6390" s="191"/>
      <c r="AI6390" s="186"/>
      <c r="AK6390" s="171"/>
    </row>
    <row r="6391" spans="1:41" s="102" customFormat="1" ht="19.899999999999999" customHeight="1" x14ac:dyDescent="0.25">
      <c r="A6391" s="45"/>
      <c r="B6391" s="59"/>
      <c r="C6391" s="137"/>
      <c r="D6391" s="59"/>
      <c r="E6391" s="116"/>
      <c r="F6391" s="120"/>
      <c r="G6391" s="120"/>
      <c r="H6391" s="120"/>
      <c r="I6391" s="60"/>
      <c r="J6391" s="116"/>
      <c r="K6391" s="213"/>
      <c r="L6391" s="120"/>
      <c r="M6391" s="120"/>
      <c r="N6391" s="167"/>
      <c r="O6391" s="120"/>
      <c r="P6391" s="120"/>
      <c r="Q6391" s="120"/>
      <c r="R6391" s="120"/>
      <c r="S6391" s="120"/>
      <c r="T6391" s="221"/>
      <c r="U6391" s="89"/>
      <c r="V6391" s="61"/>
      <c r="W6391" s="92" t="s">
        <v>148</v>
      </c>
      <c r="X6391" s="93" t="s">
        <v>29</v>
      </c>
      <c r="Y6391" s="93" t="s">
        <v>93</v>
      </c>
      <c r="Z6391" s="134">
        <f>VLOOKUP(W6391,Sheet2!$B:$D,3,FALSE)</f>
        <v>48</v>
      </c>
      <c r="AA6391" s="93">
        <f>7.2/(1.6*1.5*0.1)</f>
        <v>29.999999999999996</v>
      </c>
      <c r="AB6391" s="93">
        <f>AD6391/AC6384</f>
        <v>1.6000000000000003</v>
      </c>
      <c r="AC6391" s="93">
        <f>AC6384/AA6391</f>
        <v>0.83333333333333348</v>
      </c>
      <c r="AD6391" s="94">
        <f t="shared" ref="AD6391:AD6394" si="4483">AC6391*Z6391</f>
        <v>40.000000000000007</v>
      </c>
      <c r="AE6391" s="190"/>
      <c r="AF6391" s="191"/>
      <c r="AG6391" s="191"/>
      <c r="AH6391" s="191"/>
      <c r="AI6391" s="186"/>
      <c r="AK6391" s="171"/>
    </row>
    <row r="6392" spans="1:41" s="102" customFormat="1" ht="19.899999999999999" customHeight="1" x14ac:dyDescent="0.25">
      <c r="A6392" s="45"/>
      <c r="B6392" s="59"/>
      <c r="C6392" s="137"/>
      <c r="D6392" s="59"/>
      <c r="E6392" s="116"/>
      <c r="F6392" s="120"/>
      <c r="G6392" s="120"/>
      <c r="H6392" s="120"/>
      <c r="I6392" s="60"/>
      <c r="J6392" s="116"/>
      <c r="K6392" s="213"/>
      <c r="L6392" s="120"/>
      <c r="M6392" s="120"/>
      <c r="N6392" s="167"/>
      <c r="O6392" s="120"/>
      <c r="P6392" s="120"/>
      <c r="Q6392" s="120"/>
      <c r="R6392" s="120"/>
      <c r="S6392" s="120"/>
      <c r="T6392" s="221"/>
      <c r="U6392" s="89"/>
      <c r="V6392" s="61"/>
      <c r="W6392" s="92" t="s">
        <v>65</v>
      </c>
      <c r="X6392" s="93" t="s">
        <v>30</v>
      </c>
      <c r="Y6392" s="93" t="s">
        <v>1011</v>
      </c>
      <c r="Z6392" s="134">
        <f>VLOOKUP(W6392,Sheet2!$B:$D,3,FALSE)</f>
        <v>1.76</v>
      </c>
      <c r="AA6392" s="93">
        <f>AA6391/10</f>
        <v>2.9999999999999996</v>
      </c>
      <c r="AB6392" s="93">
        <f>AD6392/AC6384</f>
        <v>0.58666666666666667</v>
      </c>
      <c r="AC6392" s="93">
        <f>AC6384/AA6392</f>
        <v>8.3333333333333339</v>
      </c>
      <c r="AD6392" s="94">
        <f t="shared" si="4483"/>
        <v>14.666666666666668</v>
      </c>
      <c r="AE6392" s="190"/>
      <c r="AF6392" s="191"/>
      <c r="AG6392" s="191"/>
      <c r="AH6392" s="191"/>
      <c r="AI6392" s="186"/>
      <c r="AK6392" s="171"/>
    </row>
    <row r="6393" spans="1:41" s="102" customFormat="1" ht="19.899999999999999" customHeight="1" x14ac:dyDescent="0.25">
      <c r="A6393" s="45"/>
      <c r="B6393" s="59"/>
      <c r="C6393" s="137"/>
      <c r="D6393" s="59"/>
      <c r="E6393" s="116"/>
      <c r="F6393" s="120"/>
      <c r="G6393" s="120"/>
      <c r="H6393" s="120"/>
      <c r="I6393" s="60"/>
      <c r="J6393" s="116"/>
      <c r="K6393" s="213"/>
      <c r="L6393" s="120"/>
      <c r="M6393" s="120"/>
      <c r="N6393" s="167"/>
      <c r="O6393" s="120"/>
      <c r="P6393" s="120"/>
      <c r="Q6393" s="120"/>
      <c r="R6393" s="120"/>
      <c r="S6393" s="120"/>
      <c r="T6393" s="221"/>
      <c r="U6393" s="89"/>
      <c r="V6393" s="61"/>
      <c r="W6393" s="92" t="s">
        <v>1030</v>
      </c>
      <c r="X6393" s="93" t="s">
        <v>29</v>
      </c>
      <c r="Y6393" s="93" t="s">
        <v>93</v>
      </c>
      <c r="Z6393" s="134">
        <f>VLOOKUP(W6393,Sheet2!$B:$D,3,FALSE)</f>
        <v>23</v>
      </c>
      <c r="AA6393" s="93">
        <v>25</v>
      </c>
      <c r="AB6393" s="93">
        <f>AD6393/AC6384</f>
        <v>0.92</v>
      </c>
      <c r="AC6393" s="93">
        <f>AC6384/AA6393</f>
        <v>1</v>
      </c>
      <c r="AD6393" s="94">
        <f t="shared" si="4483"/>
        <v>23</v>
      </c>
      <c r="AE6393" s="190"/>
      <c r="AF6393" s="191"/>
      <c r="AG6393" s="191"/>
      <c r="AH6393" s="191"/>
      <c r="AI6393" s="186"/>
      <c r="AK6393" s="171"/>
    </row>
    <row r="6394" spans="1:41" s="102" customFormat="1" ht="19.899999999999999" customHeight="1" x14ac:dyDescent="0.25">
      <c r="A6394" s="45"/>
      <c r="B6394" s="59"/>
      <c r="C6394" s="137"/>
      <c r="D6394" s="59"/>
      <c r="E6394" s="116"/>
      <c r="F6394" s="120"/>
      <c r="G6394" s="120"/>
      <c r="H6394" s="120"/>
      <c r="I6394" s="60"/>
      <c r="J6394" s="116"/>
      <c r="K6394" s="213"/>
      <c r="L6394" s="120"/>
      <c r="M6394" s="120"/>
      <c r="N6394" s="167"/>
      <c r="O6394" s="120"/>
      <c r="P6394" s="120"/>
      <c r="Q6394" s="120"/>
      <c r="R6394" s="120"/>
      <c r="S6394" s="120"/>
      <c r="T6394" s="221"/>
      <c r="U6394" s="89"/>
      <c r="V6394" s="61"/>
      <c r="W6394" s="92" t="s">
        <v>65</v>
      </c>
      <c r="X6394" s="93" t="s">
        <v>30</v>
      </c>
      <c r="Y6394" s="93" t="s">
        <v>1011</v>
      </c>
      <c r="Z6394" s="134">
        <f>VLOOKUP(W6394,Sheet2!$B:$D,3,FALSE)</f>
        <v>1.76</v>
      </c>
      <c r="AA6394" s="93">
        <f>AA6393/3</f>
        <v>8.3333333333333339</v>
      </c>
      <c r="AB6394" s="93">
        <f>AD6394/AC6384</f>
        <v>0.2112</v>
      </c>
      <c r="AC6394" s="93">
        <f>AC6384/AA6394</f>
        <v>3</v>
      </c>
      <c r="AD6394" s="94">
        <f t="shared" si="4483"/>
        <v>5.28</v>
      </c>
      <c r="AE6394" s="190"/>
      <c r="AF6394" s="191"/>
      <c r="AG6394" s="191"/>
      <c r="AH6394" s="191"/>
      <c r="AI6394" s="186"/>
      <c r="AK6394" s="171"/>
    </row>
    <row r="6395" spans="1:41" ht="20.100000000000001" customHeight="1" x14ac:dyDescent="0.25">
      <c r="A6395" s="277" t="s">
        <v>491</v>
      </c>
      <c r="B6395" s="278"/>
      <c r="C6395" s="64" t="s">
        <v>668</v>
      </c>
      <c r="D6395" s="46" t="s">
        <v>97</v>
      </c>
      <c r="E6395" s="114">
        <v>20</v>
      </c>
      <c r="F6395" s="44">
        <v>380</v>
      </c>
      <c r="G6395" s="44">
        <f t="shared" si="3841"/>
        <v>7600</v>
      </c>
      <c r="H6395" s="44">
        <f t="shared" si="3842"/>
        <v>187.22548517647058</v>
      </c>
      <c r="I6395" s="43">
        <f t="shared" si="3843"/>
        <v>3744.5097035294116</v>
      </c>
      <c r="J6395" s="112">
        <f t="shared" si="3844"/>
        <v>20</v>
      </c>
      <c r="K6395" s="211">
        <f t="shared" si="3845"/>
        <v>20</v>
      </c>
      <c r="L6395" s="44"/>
      <c r="M6395" s="44">
        <f t="shared" si="3846"/>
        <v>20</v>
      </c>
      <c r="N6395" s="173">
        <f t="shared" si="3847"/>
        <v>1</v>
      </c>
      <c r="O6395" s="44">
        <f t="shared" si="3848"/>
        <v>380</v>
      </c>
      <c r="P6395" s="44">
        <f t="shared" si="3849"/>
        <v>7600</v>
      </c>
      <c r="Q6395" s="44">
        <f t="shared" si="3850"/>
        <v>187.22548517647058</v>
      </c>
      <c r="R6395" s="44">
        <f t="shared" si="3851"/>
        <v>3744.5097035294116</v>
      </c>
      <c r="S6395" s="123"/>
      <c r="T6395" s="219">
        <f t="shared" si="3852"/>
        <v>3744.5097035294116</v>
      </c>
      <c r="U6395" s="87"/>
      <c r="V6395" s="47"/>
      <c r="W6395" s="48"/>
      <c r="X6395" s="48"/>
      <c r="Y6395" s="48"/>
      <c r="Z6395" s="135"/>
      <c r="AA6395" s="49"/>
      <c r="AB6395" s="50">
        <f t="shared" si="3853"/>
        <v>187.22548517647058</v>
      </c>
      <c r="AC6395" s="42">
        <f t="shared" si="3854"/>
        <v>20</v>
      </c>
      <c r="AD6395" s="90">
        <f>AD6396+AD6403+AD6409</f>
        <v>3744.5097035294116</v>
      </c>
      <c r="AE6395" s="188">
        <f t="shared" ref="AE6395:AH6395" si="4484">AE6396+AE6403+AE6409</f>
        <v>0</v>
      </c>
      <c r="AF6395" s="189">
        <f t="shared" si="4484"/>
        <v>0</v>
      </c>
      <c r="AG6395" s="189">
        <f t="shared" si="4484"/>
        <v>0</v>
      </c>
      <c r="AH6395" s="189">
        <f t="shared" si="4484"/>
        <v>0</v>
      </c>
      <c r="AI6395" s="161">
        <f t="shared" ref="AI6395" si="4485">SUM(AE6395:AH6395)</f>
        <v>0</v>
      </c>
      <c r="AK6395" s="169">
        <v>5</v>
      </c>
      <c r="AO6395" s="19" t="s">
        <v>63</v>
      </c>
    </row>
    <row r="6396" spans="1:41" s="103" customFormat="1" ht="19.899999999999999" customHeight="1" x14ac:dyDescent="0.25">
      <c r="A6396" s="51"/>
      <c r="B6396" s="52"/>
      <c r="C6396" s="165"/>
      <c r="D6396" s="52"/>
      <c r="E6396" s="115"/>
      <c r="F6396" s="58"/>
      <c r="G6396" s="58"/>
      <c r="H6396" s="58"/>
      <c r="I6396" s="55"/>
      <c r="J6396" s="113">
        <f>J6395</f>
        <v>20</v>
      </c>
      <c r="K6396" s="212">
        <f>K6395</f>
        <v>20</v>
      </c>
      <c r="L6396" s="58"/>
      <c r="M6396" s="58">
        <f>K6396-L6396</f>
        <v>20</v>
      </c>
      <c r="N6396" s="166"/>
      <c r="O6396" s="58"/>
      <c r="P6396" s="58"/>
      <c r="Q6396" s="58"/>
      <c r="R6396" s="58"/>
      <c r="S6396" s="58"/>
      <c r="T6396" s="220"/>
      <c r="U6396" s="88"/>
      <c r="V6396" s="56"/>
      <c r="W6396" s="57" t="s">
        <v>1605</v>
      </c>
      <c r="X6396" s="53"/>
      <c r="Y6396" s="91" t="s">
        <v>68</v>
      </c>
      <c r="Z6396" s="136">
        <f>AD6396/AC6396</f>
        <v>11.929119999999999</v>
      </c>
      <c r="AA6396" s="58"/>
      <c r="AB6396" s="53">
        <f>AD6396/AC6396</f>
        <v>11.929119999999999</v>
      </c>
      <c r="AC6396" s="53">
        <f>M6396+$AE$10</f>
        <v>20</v>
      </c>
      <c r="AD6396" s="54">
        <f>SUM(AD6397:AD6402)</f>
        <v>238.58239999999998</v>
      </c>
      <c r="AE6396" s="184">
        <f>SUMIFS($AD$37:$AD$12971,$V$37:$V$12971,$V6396,$X$37:$X$12971,AE$13)</f>
        <v>0</v>
      </c>
      <c r="AF6396" s="185">
        <f>SUMIFS($AD$37:$AD$12971,$V$37:$V$12971,$V6396,$X$37:$X$12971,AF$13)</f>
        <v>0</v>
      </c>
      <c r="AG6396" s="185">
        <f>SUMIFS($AD$37:$AD$12971,$V$37:$V$12971,$V6396,$X$37:$X$12971,AG$13)</f>
        <v>0</v>
      </c>
      <c r="AH6396" s="187">
        <f>SUMIFS($AD$37:$AD$12971,$V$37:$V$12971,$V6396,$X$37:$X$12971,AH$13)</f>
        <v>0</v>
      </c>
      <c r="AI6396" s="161">
        <f t="shared" ref="AI6396" si="4486">SUM(AE6396:AH6396)</f>
        <v>0</v>
      </c>
      <c r="AK6396" s="172"/>
    </row>
    <row r="6397" spans="1:41" s="102" customFormat="1" ht="19.899999999999999" customHeight="1" x14ac:dyDescent="0.25">
      <c r="A6397" s="45"/>
      <c r="B6397" s="59"/>
      <c r="C6397" s="137"/>
      <c r="D6397" s="59"/>
      <c r="E6397" s="116"/>
      <c r="F6397" s="120"/>
      <c r="G6397" s="120"/>
      <c r="H6397" s="120"/>
      <c r="I6397" s="60"/>
      <c r="J6397" s="116"/>
      <c r="K6397" s="213"/>
      <c r="L6397" s="120"/>
      <c r="M6397" s="120"/>
      <c r="N6397" s="167"/>
      <c r="O6397" s="120"/>
      <c r="P6397" s="120"/>
      <c r="Q6397" s="120"/>
      <c r="R6397" s="120"/>
      <c r="S6397" s="120"/>
      <c r="T6397" s="221"/>
      <c r="U6397" s="89"/>
      <c r="V6397" s="61"/>
      <c r="W6397" s="92" t="s">
        <v>129</v>
      </c>
      <c r="X6397" s="93" t="s">
        <v>29</v>
      </c>
      <c r="Y6397" s="93" t="s">
        <v>93</v>
      </c>
      <c r="Z6397" s="134">
        <f>VLOOKUP(W6397,Sheet2!$B:$D,3,FALSE)</f>
        <v>56</v>
      </c>
      <c r="AA6397" s="93">
        <f>100/(1.7*1.5)</f>
        <v>39.215686274509807</v>
      </c>
      <c r="AB6397" s="93">
        <f t="shared" ref="AB6397" si="4487">AD6397/AC6396</f>
        <v>1.4280000000000002</v>
      </c>
      <c r="AC6397" s="93">
        <f>AC6396/AA6397</f>
        <v>0.51</v>
      </c>
      <c r="AD6397" s="94">
        <f t="shared" ref="AD6397:AD6398" si="4488">AC6397*Z6397</f>
        <v>28.560000000000002</v>
      </c>
      <c r="AE6397" s="190"/>
      <c r="AF6397" s="191"/>
      <c r="AG6397" s="191"/>
      <c r="AH6397" s="191"/>
      <c r="AI6397" s="186"/>
      <c r="AK6397" s="171"/>
    </row>
    <row r="6398" spans="1:41" s="102" customFormat="1" ht="19.899999999999999" customHeight="1" x14ac:dyDescent="0.25">
      <c r="A6398" s="45"/>
      <c r="B6398" s="59"/>
      <c r="C6398" s="137"/>
      <c r="D6398" s="59"/>
      <c r="E6398" s="116"/>
      <c r="F6398" s="120"/>
      <c r="G6398" s="120"/>
      <c r="H6398" s="120"/>
      <c r="I6398" s="60"/>
      <c r="J6398" s="116"/>
      <c r="K6398" s="213"/>
      <c r="L6398" s="120"/>
      <c r="M6398" s="120"/>
      <c r="N6398" s="167"/>
      <c r="O6398" s="120"/>
      <c r="P6398" s="120"/>
      <c r="Q6398" s="120"/>
      <c r="R6398" s="120"/>
      <c r="S6398" s="120"/>
      <c r="T6398" s="221"/>
      <c r="U6398" s="89"/>
      <c r="V6398" s="61"/>
      <c r="W6398" s="92" t="s">
        <v>65</v>
      </c>
      <c r="X6398" s="93" t="s">
        <v>30</v>
      </c>
      <c r="Y6398" s="93" t="s">
        <v>1011</v>
      </c>
      <c r="Z6398" s="134">
        <f>VLOOKUP(W6398,Sheet2!$B:$D,3,FALSE)</f>
        <v>1.76</v>
      </c>
      <c r="AA6398" s="93">
        <f>AA6397/14</f>
        <v>2.801120448179272</v>
      </c>
      <c r="AB6398" s="93">
        <f>AD6398/AC6396</f>
        <v>0.62831999999999999</v>
      </c>
      <c r="AC6398" s="93">
        <f>AC6396/AA6398</f>
        <v>7.14</v>
      </c>
      <c r="AD6398" s="94">
        <f t="shared" si="4488"/>
        <v>12.5664</v>
      </c>
      <c r="AE6398" s="190"/>
      <c r="AF6398" s="191"/>
      <c r="AG6398" s="191"/>
      <c r="AH6398" s="191"/>
      <c r="AI6398" s="186"/>
      <c r="AK6398" s="171"/>
    </row>
    <row r="6399" spans="1:41" s="102" customFormat="1" ht="19.899999999999999" customHeight="1" x14ac:dyDescent="0.25">
      <c r="A6399" s="45"/>
      <c r="B6399" s="59"/>
      <c r="C6399" s="137"/>
      <c r="D6399" s="59"/>
      <c r="E6399" s="116"/>
      <c r="F6399" s="120"/>
      <c r="G6399" s="120"/>
      <c r="H6399" s="120"/>
      <c r="I6399" s="60"/>
      <c r="J6399" s="116"/>
      <c r="K6399" s="213"/>
      <c r="L6399" s="120"/>
      <c r="M6399" s="120"/>
      <c r="N6399" s="167"/>
      <c r="O6399" s="120"/>
      <c r="P6399" s="120"/>
      <c r="Q6399" s="120"/>
      <c r="R6399" s="120"/>
      <c r="S6399" s="120"/>
      <c r="T6399" s="221"/>
      <c r="U6399" s="89"/>
      <c r="V6399" s="61"/>
      <c r="W6399" s="92" t="s">
        <v>161</v>
      </c>
      <c r="X6399" s="93" t="s">
        <v>29</v>
      </c>
      <c r="Y6399" s="93" t="s">
        <v>93</v>
      </c>
      <c r="Z6399" s="134">
        <f>VLOOKUP(W6399,Sheet2!$B:$D,3,FALSE)</f>
        <v>48</v>
      </c>
      <c r="AA6399" s="93">
        <f>(16*0.85*1.5)/(1.7*1.5)</f>
        <v>8</v>
      </c>
      <c r="AB6399" s="93">
        <f>AD6399/AC6396</f>
        <v>6</v>
      </c>
      <c r="AC6399" s="93">
        <f>AC6396/AA6399</f>
        <v>2.5</v>
      </c>
      <c r="AD6399" s="94">
        <f>AC6399*Z6399</f>
        <v>120</v>
      </c>
      <c r="AE6399" s="190"/>
      <c r="AF6399" s="191"/>
      <c r="AG6399" s="191"/>
      <c r="AH6399" s="191"/>
      <c r="AI6399" s="186"/>
      <c r="AK6399" s="171"/>
    </row>
    <row r="6400" spans="1:41" s="102" customFormat="1" ht="19.899999999999999" customHeight="1" x14ac:dyDescent="0.25">
      <c r="A6400" s="45"/>
      <c r="B6400" s="59"/>
      <c r="C6400" s="137"/>
      <c r="D6400" s="59"/>
      <c r="E6400" s="116"/>
      <c r="F6400" s="120"/>
      <c r="G6400" s="120"/>
      <c r="H6400" s="120"/>
      <c r="I6400" s="60"/>
      <c r="J6400" s="116"/>
      <c r="K6400" s="213"/>
      <c r="L6400" s="120"/>
      <c r="M6400" s="120"/>
      <c r="N6400" s="167"/>
      <c r="O6400" s="120"/>
      <c r="P6400" s="120"/>
      <c r="Q6400" s="120"/>
      <c r="R6400" s="120"/>
      <c r="S6400" s="120"/>
      <c r="T6400" s="221"/>
      <c r="U6400" s="89"/>
      <c r="V6400" s="61"/>
      <c r="W6400" s="92" t="s">
        <v>65</v>
      </c>
      <c r="X6400" s="93" t="s">
        <v>30</v>
      </c>
      <c r="Y6400" s="93" t="s">
        <v>1011</v>
      </c>
      <c r="Z6400" s="134">
        <f>VLOOKUP(W6400,Sheet2!$B:$D,3,FALSE)</f>
        <v>1.76</v>
      </c>
      <c r="AA6400" s="93">
        <f>AA6399/10</f>
        <v>0.8</v>
      </c>
      <c r="AB6400" s="93">
        <f>AD6400/AC6396</f>
        <v>2.2000000000000002</v>
      </c>
      <c r="AC6400" s="93">
        <f>AC6396/AA6400</f>
        <v>25</v>
      </c>
      <c r="AD6400" s="94">
        <f>AC6400*Z6400</f>
        <v>44</v>
      </c>
      <c r="AE6400" s="190"/>
      <c r="AF6400" s="191"/>
      <c r="AG6400" s="191"/>
      <c r="AH6400" s="191"/>
      <c r="AI6400" s="186"/>
      <c r="AK6400" s="171"/>
    </row>
    <row r="6401" spans="1:37" s="102" customFormat="1" ht="19.899999999999999" customHeight="1" x14ac:dyDescent="0.25">
      <c r="A6401" s="45"/>
      <c r="B6401" s="59"/>
      <c r="C6401" s="137"/>
      <c r="D6401" s="59"/>
      <c r="E6401" s="116"/>
      <c r="F6401" s="120"/>
      <c r="G6401" s="120"/>
      <c r="H6401" s="120"/>
      <c r="I6401" s="60"/>
      <c r="J6401" s="116"/>
      <c r="K6401" s="213"/>
      <c r="L6401" s="120"/>
      <c r="M6401" s="120"/>
      <c r="N6401" s="167"/>
      <c r="O6401" s="120"/>
      <c r="P6401" s="120"/>
      <c r="Q6401" s="120"/>
      <c r="R6401" s="120"/>
      <c r="S6401" s="120"/>
      <c r="T6401" s="221"/>
      <c r="U6401" s="89"/>
      <c r="V6401" s="61"/>
      <c r="W6401" s="92" t="s">
        <v>148</v>
      </c>
      <c r="X6401" s="93" t="s">
        <v>29</v>
      </c>
      <c r="Y6401" s="93" t="s">
        <v>93</v>
      </c>
      <c r="Z6401" s="134">
        <f>VLOOKUP(W6401,Sheet2!$B:$D,3,FALSE)</f>
        <v>48</v>
      </c>
      <c r="AA6401" s="93">
        <f>AA6397</f>
        <v>39.215686274509807</v>
      </c>
      <c r="AB6401" s="93">
        <f>AD6401/AC6396</f>
        <v>1.224</v>
      </c>
      <c r="AC6401" s="93">
        <f>AC6396/AA6401</f>
        <v>0.51</v>
      </c>
      <c r="AD6401" s="94">
        <f t="shared" ref="AD6401:AD6402" si="4489">AC6401*Z6401</f>
        <v>24.48</v>
      </c>
      <c r="AE6401" s="190"/>
      <c r="AF6401" s="191"/>
      <c r="AG6401" s="191"/>
      <c r="AH6401" s="191"/>
      <c r="AI6401" s="186"/>
      <c r="AK6401" s="171"/>
    </row>
    <row r="6402" spans="1:37" s="102" customFormat="1" ht="19.899999999999999" customHeight="1" x14ac:dyDescent="0.25">
      <c r="A6402" s="45"/>
      <c r="B6402" s="59"/>
      <c r="C6402" s="137"/>
      <c r="D6402" s="59"/>
      <c r="E6402" s="116"/>
      <c r="F6402" s="120"/>
      <c r="G6402" s="120"/>
      <c r="H6402" s="120"/>
      <c r="I6402" s="60"/>
      <c r="J6402" s="116"/>
      <c r="K6402" s="213"/>
      <c r="L6402" s="120"/>
      <c r="M6402" s="120"/>
      <c r="N6402" s="167"/>
      <c r="O6402" s="120"/>
      <c r="P6402" s="120"/>
      <c r="Q6402" s="120"/>
      <c r="R6402" s="120"/>
      <c r="S6402" s="120"/>
      <c r="T6402" s="221"/>
      <c r="U6402" s="89"/>
      <c r="V6402" s="61"/>
      <c r="W6402" s="92" t="s">
        <v>65</v>
      </c>
      <c r="X6402" s="93" t="s">
        <v>30</v>
      </c>
      <c r="Y6402" s="93" t="s">
        <v>1011</v>
      </c>
      <c r="Z6402" s="134">
        <f>VLOOKUP(W6402,Sheet2!$B:$D,3,FALSE)</f>
        <v>1.76</v>
      </c>
      <c r="AA6402" s="93">
        <f>AA6401/10</f>
        <v>3.9215686274509807</v>
      </c>
      <c r="AB6402" s="93">
        <f>AD6402/AC6396</f>
        <v>0.44879999999999998</v>
      </c>
      <c r="AC6402" s="93">
        <f>AC6396/AA6402</f>
        <v>5.0999999999999996</v>
      </c>
      <c r="AD6402" s="94">
        <f t="shared" si="4489"/>
        <v>8.9759999999999991</v>
      </c>
      <c r="AE6402" s="190"/>
      <c r="AF6402" s="191"/>
      <c r="AG6402" s="191"/>
      <c r="AH6402" s="191"/>
      <c r="AI6402" s="186"/>
      <c r="AK6402" s="171"/>
    </row>
    <row r="6403" spans="1:37" s="103" customFormat="1" ht="19.899999999999999" customHeight="1" x14ac:dyDescent="0.25">
      <c r="A6403" s="51"/>
      <c r="B6403" s="52"/>
      <c r="C6403" s="165"/>
      <c r="D6403" s="52"/>
      <c r="E6403" s="115"/>
      <c r="F6403" s="58"/>
      <c r="G6403" s="58"/>
      <c r="H6403" s="58"/>
      <c r="I6403" s="55"/>
      <c r="J6403" s="113">
        <f>J6395</f>
        <v>20</v>
      </c>
      <c r="K6403" s="212">
        <f>K6395</f>
        <v>20</v>
      </c>
      <c r="L6403" s="58"/>
      <c r="M6403" s="58">
        <f>K6403-L6403</f>
        <v>20</v>
      </c>
      <c r="N6403" s="166"/>
      <c r="O6403" s="58"/>
      <c r="P6403" s="58"/>
      <c r="Q6403" s="58"/>
      <c r="R6403" s="58"/>
      <c r="S6403" s="58"/>
      <c r="T6403" s="220"/>
      <c r="U6403" s="88"/>
      <c r="V6403" s="56"/>
      <c r="W6403" s="57" t="s">
        <v>1031</v>
      </c>
      <c r="X6403" s="53"/>
      <c r="Y6403" s="91" t="s">
        <v>68</v>
      </c>
      <c r="Z6403" s="136">
        <f>AD6403/AC6403</f>
        <v>160.34</v>
      </c>
      <c r="AA6403" s="58"/>
      <c r="AB6403" s="53">
        <f>AD6403/AC6403</f>
        <v>160.34</v>
      </c>
      <c r="AC6403" s="53">
        <f>M6403+$AE$10</f>
        <v>20</v>
      </c>
      <c r="AD6403" s="54">
        <f>SUM(AD6404:AD6408)</f>
        <v>3206.8</v>
      </c>
      <c r="AE6403" s="184">
        <f>SUMIFS($AD$37:$AD$12971,$V$37:$V$12971,$V6403,$X$37:$X$12971,AE$13)</f>
        <v>0</v>
      </c>
      <c r="AF6403" s="185">
        <f>SUMIFS($AD$37:$AD$12971,$V$37:$V$12971,$V6403,$X$37:$X$12971,AF$13)</f>
        <v>0</v>
      </c>
      <c r="AG6403" s="185">
        <f>SUMIFS($AD$37:$AD$12971,$V$37:$V$12971,$V6403,$X$37:$X$12971,AG$13)</f>
        <v>0</v>
      </c>
      <c r="AH6403" s="187">
        <f>SUMIFS($AD$37:$AD$12971,$V$37:$V$12971,$V6403,$X$37:$X$12971,AH$13)</f>
        <v>0</v>
      </c>
      <c r="AI6403" s="161">
        <f t="shared" ref="AI6403" si="4490">SUM(AE6403:AH6403)</f>
        <v>0</v>
      </c>
      <c r="AK6403" s="172"/>
    </row>
    <row r="6404" spans="1:37" s="102" customFormat="1" ht="19.899999999999999" customHeight="1" x14ac:dyDescent="0.25">
      <c r="A6404" s="45"/>
      <c r="B6404" s="59"/>
      <c r="C6404" s="137"/>
      <c r="D6404" s="59"/>
      <c r="E6404" s="116"/>
      <c r="F6404" s="120"/>
      <c r="G6404" s="120"/>
      <c r="H6404" s="120"/>
      <c r="I6404" s="60"/>
      <c r="J6404" s="116"/>
      <c r="K6404" s="213"/>
      <c r="L6404" s="120"/>
      <c r="M6404" s="120"/>
      <c r="N6404" s="167"/>
      <c r="O6404" s="120"/>
      <c r="P6404" s="120"/>
      <c r="Q6404" s="120"/>
      <c r="R6404" s="120"/>
      <c r="S6404" s="120"/>
      <c r="T6404" s="221"/>
      <c r="U6404" s="89"/>
      <c r="V6404" s="61"/>
      <c r="W6404" s="92" t="s">
        <v>1032</v>
      </c>
      <c r="X6404" s="93" t="s">
        <v>30</v>
      </c>
      <c r="Y6404" s="93" t="s">
        <v>66</v>
      </c>
      <c r="Z6404" s="134">
        <f>VLOOKUP(W6404,Sheet2!$B:$D,3,FALSE)</f>
        <v>250</v>
      </c>
      <c r="AA6404" s="93">
        <f>1/(0.7*0.4)</f>
        <v>3.5714285714285716</v>
      </c>
      <c r="AB6404" s="93">
        <f>AD6404/AC6403</f>
        <v>70</v>
      </c>
      <c r="AC6404" s="93">
        <f>AC6403/AA6404</f>
        <v>5.6</v>
      </c>
      <c r="AD6404" s="94">
        <f t="shared" ref="AD6404" si="4491">AC6404*Z6404</f>
        <v>1400</v>
      </c>
      <c r="AE6404" s="190"/>
      <c r="AF6404" s="191"/>
      <c r="AG6404" s="191"/>
      <c r="AH6404" s="191"/>
      <c r="AI6404" s="186"/>
      <c r="AK6404" s="171"/>
    </row>
    <row r="6405" spans="1:37" s="102" customFormat="1" ht="19.899999999999999" customHeight="1" x14ac:dyDescent="0.25">
      <c r="A6405" s="45"/>
      <c r="B6405" s="59"/>
      <c r="C6405" s="137"/>
      <c r="D6405" s="59"/>
      <c r="E6405" s="116"/>
      <c r="F6405" s="120"/>
      <c r="G6405" s="120"/>
      <c r="H6405" s="120"/>
      <c r="I6405" s="60"/>
      <c r="J6405" s="116"/>
      <c r="K6405" s="213"/>
      <c r="L6405" s="120"/>
      <c r="M6405" s="120"/>
      <c r="N6405" s="167"/>
      <c r="O6405" s="120"/>
      <c r="P6405" s="120"/>
      <c r="Q6405" s="120"/>
      <c r="R6405" s="120"/>
      <c r="S6405" s="120"/>
      <c r="T6405" s="221"/>
      <c r="U6405" s="89"/>
      <c r="V6405" s="61"/>
      <c r="W6405" s="92" t="s">
        <v>1270</v>
      </c>
      <c r="X6405" s="93" t="s">
        <v>30</v>
      </c>
      <c r="Y6405" s="93" t="s">
        <v>68</v>
      </c>
      <c r="Z6405" s="134">
        <f>VLOOKUP(W6405,Sheet2!$B:$D,3,FALSE)</f>
        <v>4</v>
      </c>
      <c r="AA6405" s="93">
        <f>1/8</f>
        <v>0.125</v>
      </c>
      <c r="AB6405" s="93">
        <f>AD6405/AC6403</f>
        <v>32</v>
      </c>
      <c r="AC6405" s="93">
        <f>AC6403/AA6405</f>
        <v>160</v>
      </c>
      <c r="AD6405" s="94">
        <f>AC6405*Z6405</f>
        <v>640</v>
      </c>
      <c r="AE6405" s="190"/>
      <c r="AF6405" s="191"/>
      <c r="AG6405" s="191"/>
      <c r="AH6405" s="191"/>
      <c r="AI6405" s="186"/>
      <c r="AK6405" s="171"/>
    </row>
    <row r="6406" spans="1:37" s="102" customFormat="1" ht="19.899999999999999" customHeight="1" x14ac:dyDescent="0.25">
      <c r="A6406" s="45"/>
      <c r="B6406" s="59"/>
      <c r="C6406" s="137"/>
      <c r="D6406" s="59"/>
      <c r="E6406" s="116"/>
      <c r="F6406" s="120"/>
      <c r="G6406" s="120"/>
      <c r="H6406" s="120"/>
      <c r="I6406" s="60"/>
      <c r="J6406" s="116"/>
      <c r="K6406" s="213"/>
      <c r="L6406" s="120"/>
      <c r="M6406" s="120"/>
      <c r="N6406" s="167"/>
      <c r="O6406" s="120"/>
      <c r="P6406" s="120"/>
      <c r="Q6406" s="120"/>
      <c r="R6406" s="120"/>
      <c r="S6406" s="120"/>
      <c r="T6406" s="221"/>
      <c r="U6406" s="89"/>
      <c r="V6406" s="61"/>
      <c r="W6406" s="92" t="s">
        <v>1271</v>
      </c>
      <c r="X6406" s="93" t="s">
        <v>30</v>
      </c>
      <c r="Y6406" s="93" t="s">
        <v>68</v>
      </c>
      <c r="Z6406" s="134">
        <f>VLOOKUP(W6406,Sheet2!$B:$D,3,FALSE)</f>
        <v>2</v>
      </c>
      <c r="AA6406" s="93">
        <f>AA6405</f>
        <v>0.125</v>
      </c>
      <c r="AB6406" s="93">
        <f>AD6406/AC6403</f>
        <v>16</v>
      </c>
      <c r="AC6406" s="93">
        <f>AC6403/AA6406</f>
        <v>160</v>
      </c>
      <c r="AD6406" s="94">
        <f>AC6406*Z6406</f>
        <v>320</v>
      </c>
      <c r="AE6406" s="190"/>
      <c r="AF6406" s="191"/>
      <c r="AG6406" s="191"/>
      <c r="AH6406" s="191"/>
      <c r="AI6406" s="186"/>
      <c r="AK6406" s="171"/>
    </row>
    <row r="6407" spans="1:37" s="102" customFormat="1" ht="19.899999999999999" customHeight="1" x14ac:dyDescent="0.25">
      <c r="A6407" s="45"/>
      <c r="B6407" s="59"/>
      <c r="C6407" s="137"/>
      <c r="D6407" s="59"/>
      <c r="E6407" s="116"/>
      <c r="F6407" s="120"/>
      <c r="G6407" s="120"/>
      <c r="H6407" s="120"/>
      <c r="I6407" s="60"/>
      <c r="J6407" s="116"/>
      <c r="K6407" s="213"/>
      <c r="L6407" s="120"/>
      <c r="M6407" s="120"/>
      <c r="N6407" s="167"/>
      <c r="O6407" s="120"/>
      <c r="P6407" s="120"/>
      <c r="Q6407" s="120"/>
      <c r="R6407" s="120"/>
      <c r="S6407" s="120"/>
      <c r="T6407" s="221"/>
      <c r="U6407" s="89"/>
      <c r="V6407" s="61"/>
      <c r="W6407" s="92" t="s">
        <v>1035</v>
      </c>
      <c r="X6407" s="93" t="s">
        <v>32</v>
      </c>
      <c r="Y6407" s="93" t="s">
        <v>66</v>
      </c>
      <c r="Z6407" s="134">
        <f>VLOOKUP(W6407,Sheet2!$B:$D,3,FALSE)</f>
        <v>150</v>
      </c>
      <c r="AA6407" s="93">
        <f>AA6404</f>
        <v>3.5714285714285716</v>
      </c>
      <c r="AB6407" s="93">
        <f>AD6407/AC6403</f>
        <v>42</v>
      </c>
      <c r="AC6407" s="93">
        <f>AC6403/AA6407</f>
        <v>5.6</v>
      </c>
      <c r="AD6407" s="94">
        <f t="shared" ref="AD6407:AD6408" si="4492">AC6407*Z6407</f>
        <v>840</v>
      </c>
      <c r="AE6407" s="190"/>
      <c r="AF6407" s="191"/>
      <c r="AG6407" s="191"/>
      <c r="AH6407" s="191"/>
      <c r="AI6407" s="186"/>
      <c r="AK6407" s="171"/>
    </row>
    <row r="6408" spans="1:37" s="102" customFormat="1" ht="19.899999999999999" customHeight="1" x14ac:dyDescent="0.25">
      <c r="A6408" s="45"/>
      <c r="B6408" s="59"/>
      <c r="C6408" s="137"/>
      <c r="D6408" s="59"/>
      <c r="E6408" s="116"/>
      <c r="F6408" s="120"/>
      <c r="G6408" s="120"/>
      <c r="H6408" s="120"/>
      <c r="I6408" s="60"/>
      <c r="J6408" s="116"/>
      <c r="K6408" s="213"/>
      <c r="L6408" s="120"/>
      <c r="M6408" s="120"/>
      <c r="N6408" s="167"/>
      <c r="O6408" s="120"/>
      <c r="P6408" s="120"/>
      <c r="Q6408" s="120"/>
      <c r="R6408" s="120"/>
      <c r="S6408" s="120"/>
      <c r="T6408" s="221"/>
      <c r="U6408" s="89"/>
      <c r="V6408" s="61"/>
      <c r="W6408" s="92" t="s">
        <v>107</v>
      </c>
      <c r="X6408" s="93" t="s">
        <v>31</v>
      </c>
      <c r="Y6408" s="93" t="s">
        <v>93</v>
      </c>
      <c r="Z6408" s="134">
        <f>VLOOKUP(W6408,Sheet2!$B:$D,3,FALSE)</f>
        <v>17</v>
      </c>
      <c r="AA6408" s="93">
        <v>50</v>
      </c>
      <c r="AB6408" s="93">
        <f>AD6408/AC6403</f>
        <v>0.34</v>
      </c>
      <c r="AC6408" s="93">
        <f>AC6403/AA6408</f>
        <v>0.4</v>
      </c>
      <c r="AD6408" s="94">
        <f t="shared" si="4492"/>
        <v>6.8000000000000007</v>
      </c>
      <c r="AE6408" s="190"/>
      <c r="AF6408" s="191"/>
      <c r="AG6408" s="191"/>
      <c r="AH6408" s="191"/>
      <c r="AI6408" s="186"/>
      <c r="AK6408" s="171"/>
    </row>
    <row r="6409" spans="1:37" s="103" customFormat="1" ht="19.899999999999999" customHeight="1" x14ac:dyDescent="0.25">
      <c r="A6409" s="51"/>
      <c r="B6409" s="52"/>
      <c r="C6409" s="165"/>
      <c r="D6409" s="52"/>
      <c r="E6409" s="115"/>
      <c r="F6409" s="58"/>
      <c r="G6409" s="58"/>
      <c r="H6409" s="58"/>
      <c r="I6409" s="55"/>
      <c r="J6409" s="113">
        <f>J6395</f>
        <v>20</v>
      </c>
      <c r="K6409" s="212">
        <f>K6395</f>
        <v>20</v>
      </c>
      <c r="L6409" s="58"/>
      <c r="M6409" s="58">
        <f>K6409-L6409</f>
        <v>20</v>
      </c>
      <c r="N6409" s="166"/>
      <c r="O6409" s="58"/>
      <c r="P6409" s="58"/>
      <c r="Q6409" s="58"/>
      <c r="R6409" s="58"/>
      <c r="S6409" s="58"/>
      <c r="T6409" s="220"/>
      <c r="U6409" s="88"/>
      <c r="V6409" s="56"/>
      <c r="W6409" s="57" t="s">
        <v>1272</v>
      </c>
      <c r="X6409" s="53"/>
      <c r="Y6409" s="91" t="s">
        <v>68</v>
      </c>
      <c r="Z6409" s="136">
        <f>AD6409/AC6409</f>
        <v>14.956365176470589</v>
      </c>
      <c r="AA6409" s="58"/>
      <c r="AB6409" s="53">
        <f>AD6409/AC6409</f>
        <v>14.956365176470589</v>
      </c>
      <c r="AC6409" s="53">
        <f>M6409+$AE$10</f>
        <v>20</v>
      </c>
      <c r="AD6409" s="54">
        <f>SUM(AD6410:AD6419)</f>
        <v>299.12730352941179</v>
      </c>
      <c r="AE6409" s="184">
        <f>SUMIFS($AD$37:$AD$12971,$V$37:$V$12971,$V6409,$X$37:$X$12971,AE$13)</f>
        <v>0</v>
      </c>
      <c r="AF6409" s="185">
        <f>SUMIFS($AD$37:$AD$12971,$V$37:$V$12971,$V6409,$X$37:$X$12971,AF$13)</f>
        <v>0</v>
      </c>
      <c r="AG6409" s="185">
        <f>SUMIFS($AD$37:$AD$12971,$V$37:$V$12971,$V6409,$X$37:$X$12971,AG$13)</f>
        <v>0</v>
      </c>
      <c r="AH6409" s="187">
        <f>SUMIFS($AD$37:$AD$12971,$V$37:$V$12971,$V6409,$X$37:$X$12971,AH$13)</f>
        <v>0</v>
      </c>
      <c r="AI6409" s="161">
        <f t="shared" ref="AI6409" si="4493">SUM(AE6409:AH6409)</f>
        <v>0</v>
      </c>
      <c r="AK6409" s="172"/>
    </row>
    <row r="6410" spans="1:37" s="102" customFormat="1" ht="19.899999999999999" customHeight="1" x14ac:dyDescent="0.25">
      <c r="A6410" s="45"/>
      <c r="B6410" s="59"/>
      <c r="C6410" s="137"/>
      <c r="D6410" s="59"/>
      <c r="E6410" s="116"/>
      <c r="F6410" s="120"/>
      <c r="G6410" s="120"/>
      <c r="H6410" s="120"/>
      <c r="I6410" s="60"/>
      <c r="J6410" s="116"/>
      <c r="K6410" s="213"/>
      <c r="L6410" s="120"/>
      <c r="M6410" s="120"/>
      <c r="N6410" s="167"/>
      <c r="O6410" s="120"/>
      <c r="P6410" s="120"/>
      <c r="Q6410" s="120"/>
      <c r="R6410" s="120"/>
      <c r="S6410" s="120"/>
      <c r="T6410" s="221"/>
      <c r="U6410" s="89"/>
      <c r="V6410" s="61"/>
      <c r="W6410" s="92" t="s">
        <v>134</v>
      </c>
      <c r="X6410" s="93" t="s">
        <v>29</v>
      </c>
      <c r="Y6410" s="93" t="s">
        <v>93</v>
      </c>
      <c r="Z6410" s="134">
        <f>VLOOKUP(W6410,Sheet2!$B:$D,3,FALSE)</f>
        <v>65.599999999999994</v>
      </c>
      <c r="AA6410" s="93">
        <f>100/((1.7*1.5)-(0.7*0.4))</f>
        <v>44.052863436123346</v>
      </c>
      <c r="AB6410" s="93">
        <f>AD6410/AC6409</f>
        <v>1.48912</v>
      </c>
      <c r="AC6410" s="93">
        <f>AC6409/AA6410</f>
        <v>0.45400000000000001</v>
      </c>
      <c r="AD6410" s="94">
        <f t="shared" ref="AD6410:AD6411" si="4494">AC6410*Z6410</f>
        <v>29.782399999999999</v>
      </c>
      <c r="AE6410" s="190"/>
      <c r="AF6410" s="191"/>
      <c r="AG6410" s="191"/>
      <c r="AH6410" s="191"/>
      <c r="AI6410" s="186"/>
      <c r="AK6410" s="171"/>
    </row>
    <row r="6411" spans="1:37" s="102" customFormat="1" ht="19.899999999999999" customHeight="1" x14ac:dyDescent="0.25">
      <c r="A6411" s="45"/>
      <c r="B6411" s="59"/>
      <c r="C6411" s="137"/>
      <c r="D6411" s="59"/>
      <c r="E6411" s="116"/>
      <c r="F6411" s="120"/>
      <c r="G6411" s="120"/>
      <c r="H6411" s="120"/>
      <c r="I6411" s="60"/>
      <c r="J6411" s="116"/>
      <c r="K6411" s="213"/>
      <c r="L6411" s="120"/>
      <c r="M6411" s="120"/>
      <c r="N6411" s="167"/>
      <c r="O6411" s="120"/>
      <c r="P6411" s="120"/>
      <c r="Q6411" s="120"/>
      <c r="R6411" s="120"/>
      <c r="S6411" s="120"/>
      <c r="T6411" s="221"/>
      <c r="U6411" s="89"/>
      <c r="V6411" s="61"/>
      <c r="W6411" s="92" t="s">
        <v>65</v>
      </c>
      <c r="X6411" s="93" t="s">
        <v>30</v>
      </c>
      <c r="Y6411" s="93" t="s">
        <v>1011</v>
      </c>
      <c r="Z6411" s="134">
        <f>VLOOKUP(W6411,Sheet2!$B:$D,3,FALSE)</f>
        <v>1.76</v>
      </c>
      <c r="AA6411" s="93">
        <f>AA6410/9</f>
        <v>4.8947626040137049</v>
      </c>
      <c r="AB6411" s="93">
        <f>AD6411/AC6409</f>
        <v>0.359568</v>
      </c>
      <c r="AC6411" s="93">
        <f>AC6409/AA6411</f>
        <v>4.0860000000000003</v>
      </c>
      <c r="AD6411" s="94">
        <f t="shared" si="4494"/>
        <v>7.1913600000000004</v>
      </c>
      <c r="AE6411" s="190"/>
      <c r="AF6411" s="191"/>
      <c r="AG6411" s="191"/>
      <c r="AH6411" s="191"/>
      <c r="AI6411" s="186"/>
      <c r="AK6411" s="171"/>
    </row>
    <row r="6412" spans="1:37" s="102" customFormat="1" ht="19.899999999999999" customHeight="1" x14ac:dyDescent="0.25">
      <c r="A6412" s="45"/>
      <c r="B6412" s="59"/>
      <c r="C6412" s="137"/>
      <c r="D6412" s="59"/>
      <c r="E6412" s="116"/>
      <c r="F6412" s="120"/>
      <c r="G6412" s="120"/>
      <c r="H6412" s="120"/>
      <c r="I6412" s="60"/>
      <c r="J6412" s="116"/>
      <c r="K6412" s="213"/>
      <c r="L6412" s="120"/>
      <c r="M6412" s="120"/>
      <c r="N6412" s="167"/>
      <c r="O6412" s="120"/>
      <c r="P6412" s="120"/>
      <c r="Q6412" s="120"/>
      <c r="R6412" s="120"/>
      <c r="S6412" s="120"/>
      <c r="T6412" s="221"/>
      <c r="U6412" s="89"/>
      <c r="V6412" s="61"/>
      <c r="W6412" s="92" t="s">
        <v>161</v>
      </c>
      <c r="X6412" s="93" t="s">
        <v>29</v>
      </c>
      <c r="Y6412" s="93" t="s">
        <v>93</v>
      </c>
      <c r="Z6412" s="134">
        <f>VLOOKUP(W6412,Sheet2!$B:$D,3,FALSE)</f>
        <v>48</v>
      </c>
      <c r="AA6412" s="93">
        <f>(16*0.85*1.5)/((1.7*1.5)-(0.7*0.4))</f>
        <v>8.9867841409691618</v>
      </c>
      <c r="AB6412" s="93">
        <f>AD6412/AC6409</f>
        <v>5.3411764705882359</v>
      </c>
      <c r="AC6412" s="93">
        <f>AC6409/AA6412</f>
        <v>2.2254901960784315</v>
      </c>
      <c r="AD6412" s="94">
        <f>AC6412*Z6412</f>
        <v>106.82352941176471</v>
      </c>
      <c r="AE6412" s="190"/>
      <c r="AF6412" s="191"/>
      <c r="AG6412" s="191"/>
      <c r="AH6412" s="191"/>
      <c r="AI6412" s="186"/>
      <c r="AK6412" s="171"/>
    </row>
    <row r="6413" spans="1:37" s="102" customFormat="1" ht="19.899999999999999" customHeight="1" x14ac:dyDescent="0.25">
      <c r="A6413" s="45"/>
      <c r="B6413" s="59"/>
      <c r="C6413" s="137"/>
      <c r="D6413" s="59"/>
      <c r="E6413" s="116"/>
      <c r="F6413" s="120"/>
      <c r="G6413" s="120"/>
      <c r="H6413" s="120"/>
      <c r="I6413" s="60"/>
      <c r="J6413" s="116"/>
      <c r="K6413" s="213"/>
      <c r="L6413" s="120"/>
      <c r="M6413" s="120"/>
      <c r="N6413" s="167"/>
      <c r="O6413" s="120"/>
      <c r="P6413" s="120"/>
      <c r="Q6413" s="120"/>
      <c r="R6413" s="120"/>
      <c r="S6413" s="120"/>
      <c r="T6413" s="221"/>
      <c r="U6413" s="89"/>
      <c r="V6413" s="61"/>
      <c r="W6413" s="92" t="s">
        <v>65</v>
      </c>
      <c r="X6413" s="93" t="s">
        <v>30</v>
      </c>
      <c r="Y6413" s="93" t="s">
        <v>1011</v>
      </c>
      <c r="Z6413" s="134">
        <f>VLOOKUP(W6413,Sheet2!$B:$D,3,FALSE)</f>
        <v>1.76</v>
      </c>
      <c r="AA6413" s="93">
        <f>AA6412/10</f>
        <v>0.89867841409691618</v>
      </c>
      <c r="AB6413" s="93">
        <f>AD6413/AC6409</f>
        <v>1.9584313725490197</v>
      </c>
      <c r="AC6413" s="93">
        <f>AC6409/AA6413</f>
        <v>22.254901960784316</v>
      </c>
      <c r="AD6413" s="94">
        <f>AC6413*Z6413</f>
        <v>39.168627450980395</v>
      </c>
      <c r="AE6413" s="190"/>
      <c r="AF6413" s="191"/>
      <c r="AG6413" s="191"/>
      <c r="AH6413" s="191"/>
      <c r="AI6413" s="186"/>
      <c r="AK6413" s="171"/>
    </row>
    <row r="6414" spans="1:37" s="102" customFormat="1" ht="19.899999999999999" customHeight="1" x14ac:dyDescent="0.25">
      <c r="A6414" s="45"/>
      <c r="B6414" s="59"/>
      <c r="C6414" s="137"/>
      <c r="D6414" s="59"/>
      <c r="E6414" s="116"/>
      <c r="F6414" s="120"/>
      <c r="G6414" s="120"/>
      <c r="H6414" s="120"/>
      <c r="I6414" s="60"/>
      <c r="J6414" s="116"/>
      <c r="K6414" s="213"/>
      <c r="L6414" s="120"/>
      <c r="M6414" s="120"/>
      <c r="N6414" s="167"/>
      <c r="O6414" s="120"/>
      <c r="P6414" s="120"/>
      <c r="Q6414" s="120"/>
      <c r="R6414" s="120"/>
      <c r="S6414" s="120"/>
      <c r="T6414" s="221"/>
      <c r="U6414" s="89"/>
      <c r="V6414" s="61"/>
      <c r="W6414" s="92" t="s">
        <v>173</v>
      </c>
      <c r="X6414" s="93" t="s">
        <v>29</v>
      </c>
      <c r="Y6414" s="93" t="s">
        <v>93</v>
      </c>
      <c r="Z6414" s="134">
        <f>VLOOKUP(W6414,Sheet2!$B:$D,3,FALSE)</f>
        <v>36</v>
      </c>
      <c r="AA6414" s="93">
        <f>50/((1.7*1.5)-(0.7*0.4))</f>
        <v>22.026431718061673</v>
      </c>
      <c r="AB6414" s="93">
        <f>AD6414/AC6409</f>
        <v>1.6344000000000001</v>
      </c>
      <c r="AC6414" s="93">
        <f>AC6409/AA6414</f>
        <v>0.90800000000000003</v>
      </c>
      <c r="AD6414" s="94">
        <f>AC6414*Z6414</f>
        <v>32.688000000000002</v>
      </c>
      <c r="AE6414" s="190"/>
      <c r="AF6414" s="191"/>
      <c r="AG6414" s="191"/>
      <c r="AH6414" s="191"/>
      <c r="AI6414" s="186"/>
      <c r="AK6414" s="171"/>
    </row>
    <row r="6415" spans="1:37" s="102" customFormat="1" ht="19.899999999999999" customHeight="1" x14ac:dyDescent="0.25">
      <c r="A6415" s="45"/>
      <c r="B6415" s="59"/>
      <c r="C6415" s="137"/>
      <c r="D6415" s="59"/>
      <c r="E6415" s="116"/>
      <c r="F6415" s="120"/>
      <c r="G6415" s="120"/>
      <c r="H6415" s="120"/>
      <c r="I6415" s="60"/>
      <c r="J6415" s="116"/>
      <c r="K6415" s="213"/>
      <c r="L6415" s="120"/>
      <c r="M6415" s="120"/>
      <c r="N6415" s="167"/>
      <c r="O6415" s="120"/>
      <c r="P6415" s="120"/>
      <c r="Q6415" s="120"/>
      <c r="R6415" s="120"/>
      <c r="S6415" s="120"/>
      <c r="T6415" s="221"/>
      <c r="U6415" s="89"/>
      <c r="V6415" s="61"/>
      <c r="W6415" s="92" t="s">
        <v>65</v>
      </c>
      <c r="X6415" s="93" t="s">
        <v>30</v>
      </c>
      <c r="Y6415" s="93" t="s">
        <v>1011</v>
      </c>
      <c r="Z6415" s="134">
        <f>VLOOKUP(W6415,Sheet2!$B:$D,3,FALSE)</f>
        <v>1.76</v>
      </c>
      <c r="AA6415" s="93">
        <f>AA6414/9</f>
        <v>2.4473813020068524</v>
      </c>
      <c r="AB6415" s="93">
        <f>AD6415/AC6409</f>
        <v>0.719136</v>
      </c>
      <c r="AC6415" s="93">
        <f>AC6409/AA6415</f>
        <v>8.1720000000000006</v>
      </c>
      <c r="AD6415" s="94">
        <f>AC6415*Z6415</f>
        <v>14.382720000000001</v>
      </c>
      <c r="AE6415" s="190"/>
      <c r="AF6415" s="191"/>
      <c r="AG6415" s="191"/>
      <c r="AH6415" s="191"/>
      <c r="AI6415" s="186"/>
      <c r="AK6415" s="171"/>
    </row>
    <row r="6416" spans="1:37" s="102" customFormat="1" ht="19.899999999999999" customHeight="1" x14ac:dyDescent="0.25">
      <c r="A6416" s="45"/>
      <c r="B6416" s="59"/>
      <c r="C6416" s="137"/>
      <c r="D6416" s="59"/>
      <c r="E6416" s="116"/>
      <c r="F6416" s="120"/>
      <c r="G6416" s="120"/>
      <c r="H6416" s="120"/>
      <c r="I6416" s="60"/>
      <c r="J6416" s="116"/>
      <c r="K6416" s="213"/>
      <c r="L6416" s="120"/>
      <c r="M6416" s="120"/>
      <c r="N6416" s="167"/>
      <c r="O6416" s="120"/>
      <c r="P6416" s="120"/>
      <c r="Q6416" s="120"/>
      <c r="R6416" s="120"/>
      <c r="S6416" s="120"/>
      <c r="T6416" s="221"/>
      <c r="U6416" s="89"/>
      <c r="V6416" s="61"/>
      <c r="W6416" s="92" t="s">
        <v>148</v>
      </c>
      <c r="X6416" s="93" t="s">
        <v>29</v>
      </c>
      <c r="Y6416" s="93" t="s">
        <v>93</v>
      </c>
      <c r="Z6416" s="134">
        <f>VLOOKUP(W6416,Sheet2!$B:$D,3,FALSE)</f>
        <v>48</v>
      </c>
      <c r="AA6416" s="93">
        <f>7.2/(1.7*1.5*0.1)</f>
        <v>28.235294117647058</v>
      </c>
      <c r="AB6416" s="93">
        <f>AD6416/AC6409</f>
        <v>1.7</v>
      </c>
      <c r="AC6416" s="93">
        <f>AC6409/AA6416</f>
        <v>0.70833333333333337</v>
      </c>
      <c r="AD6416" s="94">
        <f t="shared" ref="AD6416:AD6419" si="4495">AC6416*Z6416</f>
        <v>34</v>
      </c>
      <c r="AE6416" s="190"/>
      <c r="AF6416" s="191"/>
      <c r="AG6416" s="191"/>
      <c r="AH6416" s="191"/>
      <c r="AI6416" s="186"/>
      <c r="AK6416" s="171"/>
    </row>
    <row r="6417" spans="1:41" s="102" customFormat="1" ht="19.899999999999999" customHeight="1" x14ac:dyDescent="0.25">
      <c r="A6417" s="45"/>
      <c r="B6417" s="59"/>
      <c r="C6417" s="137"/>
      <c r="D6417" s="59"/>
      <c r="E6417" s="116"/>
      <c r="F6417" s="120"/>
      <c r="G6417" s="120"/>
      <c r="H6417" s="120"/>
      <c r="I6417" s="60"/>
      <c r="J6417" s="116"/>
      <c r="K6417" s="213"/>
      <c r="L6417" s="120"/>
      <c r="M6417" s="120"/>
      <c r="N6417" s="167"/>
      <c r="O6417" s="120"/>
      <c r="P6417" s="120"/>
      <c r="Q6417" s="120"/>
      <c r="R6417" s="120"/>
      <c r="S6417" s="120"/>
      <c r="T6417" s="221"/>
      <c r="U6417" s="89"/>
      <c r="V6417" s="61"/>
      <c r="W6417" s="92" t="s">
        <v>65</v>
      </c>
      <c r="X6417" s="93" t="s">
        <v>30</v>
      </c>
      <c r="Y6417" s="93" t="s">
        <v>1011</v>
      </c>
      <c r="Z6417" s="134">
        <f>VLOOKUP(W6417,Sheet2!$B:$D,3,FALSE)</f>
        <v>1.76</v>
      </c>
      <c r="AA6417" s="93">
        <f>AA6416/10</f>
        <v>2.8235294117647056</v>
      </c>
      <c r="AB6417" s="93">
        <f>AD6417/AC6409</f>
        <v>0.62333333333333341</v>
      </c>
      <c r="AC6417" s="93">
        <f>AC6409/AA6417</f>
        <v>7.0833333333333339</v>
      </c>
      <c r="AD6417" s="94">
        <f t="shared" si="4495"/>
        <v>12.466666666666669</v>
      </c>
      <c r="AE6417" s="190"/>
      <c r="AF6417" s="191"/>
      <c r="AG6417" s="191"/>
      <c r="AH6417" s="191"/>
      <c r="AI6417" s="186"/>
      <c r="AK6417" s="171"/>
    </row>
    <row r="6418" spans="1:41" s="102" customFormat="1" ht="19.899999999999999" customHeight="1" x14ac:dyDescent="0.25">
      <c r="A6418" s="45"/>
      <c r="B6418" s="59"/>
      <c r="C6418" s="137"/>
      <c r="D6418" s="59"/>
      <c r="E6418" s="116"/>
      <c r="F6418" s="120"/>
      <c r="G6418" s="120"/>
      <c r="H6418" s="120"/>
      <c r="I6418" s="60"/>
      <c r="J6418" s="116"/>
      <c r="K6418" s="213"/>
      <c r="L6418" s="120"/>
      <c r="M6418" s="120"/>
      <c r="N6418" s="167"/>
      <c r="O6418" s="120"/>
      <c r="P6418" s="120"/>
      <c r="Q6418" s="120"/>
      <c r="R6418" s="120"/>
      <c r="S6418" s="120"/>
      <c r="T6418" s="221"/>
      <c r="U6418" s="89"/>
      <c r="V6418" s="61"/>
      <c r="W6418" s="92" t="s">
        <v>1030</v>
      </c>
      <c r="X6418" s="93" t="s">
        <v>29</v>
      </c>
      <c r="Y6418" s="93" t="s">
        <v>93</v>
      </c>
      <c r="Z6418" s="134">
        <f>VLOOKUP(W6418,Sheet2!$B:$D,3,FALSE)</f>
        <v>23</v>
      </c>
      <c r="AA6418" s="93">
        <v>25</v>
      </c>
      <c r="AB6418" s="93">
        <f>AD6418/AC6409</f>
        <v>0.92000000000000015</v>
      </c>
      <c r="AC6418" s="93">
        <f>AC6409/AA6418</f>
        <v>0.8</v>
      </c>
      <c r="AD6418" s="94">
        <f t="shared" si="4495"/>
        <v>18.400000000000002</v>
      </c>
      <c r="AE6418" s="190"/>
      <c r="AF6418" s="191"/>
      <c r="AG6418" s="191"/>
      <c r="AH6418" s="191"/>
      <c r="AI6418" s="186"/>
      <c r="AK6418" s="171"/>
    </row>
    <row r="6419" spans="1:41" s="102" customFormat="1" ht="19.899999999999999" customHeight="1" x14ac:dyDescent="0.25">
      <c r="A6419" s="45"/>
      <c r="B6419" s="59"/>
      <c r="C6419" s="137"/>
      <c r="D6419" s="59"/>
      <c r="E6419" s="116"/>
      <c r="F6419" s="120"/>
      <c r="G6419" s="120"/>
      <c r="H6419" s="120"/>
      <c r="I6419" s="60"/>
      <c r="J6419" s="116"/>
      <c r="K6419" s="213"/>
      <c r="L6419" s="120"/>
      <c r="M6419" s="120"/>
      <c r="N6419" s="167"/>
      <c r="O6419" s="120"/>
      <c r="P6419" s="120"/>
      <c r="Q6419" s="120"/>
      <c r="R6419" s="120"/>
      <c r="S6419" s="120"/>
      <c r="T6419" s="221"/>
      <c r="U6419" s="89"/>
      <c r="V6419" s="61"/>
      <c r="W6419" s="92" t="s">
        <v>65</v>
      </c>
      <c r="X6419" s="93" t="s">
        <v>30</v>
      </c>
      <c r="Y6419" s="93" t="s">
        <v>1011</v>
      </c>
      <c r="Z6419" s="134">
        <f>VLOOKUP(W6419,Sheet2!$B:$D,3,FALSE)</f>
        <v>1.76</v>
      </c>
      <c r="AA6419" s="93">
        <f>AA6418/3</f>
        <v>8.3333333333333339</v>
      </c>
      <c r="AB6419" s="93">
        <f>AD6419/AC6409</f>
        <v>0.2112</v>
      </c>
      <c r="AC6419" s="93">
        <f>AC6409/AA6419</f>
        <v>2.4</v>
      </c>
      <c r="AD6419" s="94">
        <f t="shared" si="4495"/>
        <v>4.2240000000000002</v>
      </c>
      <c r="AE6419" s="190"/>
      <c r="AF6419" s="191"/>
      <c r="AG6419" s="191"/>
      <c r="AH6419" s="191"/>
      <c r="AI6419" s="186"/>
      <c r="AK6419" s="171"/>
    </row>
    <row r="6420" spans="1:41" s="102" customFormat="1" ht="20.100000000000001" customHeight="1" x14ac:dyDescent="0.25">
      <c r="A6420" s="45" t="s">
        <v>491</v>
      </c>
      <c r="B6420" s="276"/>
      <c r="C6420" s="285" t="s">
        <v>669</v>
      </c>
      <c r="D6420" s="59"/>
      <c r="E6420" s="116"/>
      <c r="F6420" s="120"/>
      <c r="G6420" s="120">
        <f t="shared" si="3841"/>
        <v>0</v>
      </c>
      <c r="H6420" s="120">
        <f t="shared" si="3842"/>
        <v>0</v>
      </c>
      <c r="I6420" s="60">
        <f t="shared" si="3843"/>
        <v>0</v>
      </c>
      <c r="J6420" s="116">
        <f t="shared" si="3844"/>
        <v>0</v>
      </c>
      <c r="K6420" s="213">
        <f t="shared" si="3845"/>
        <v>0</v>
      </c>
      <c r="L6420" s="120"/>
      <c r="M6420" s="120">
        <f t="shared" si="3846"/>
        <v>0</v>
      </c>
      <c r="N6420" s="167">
        <f t="shared" si="3847"/>
        <v>0</v>
      </c>
      <c r="O6420" s="120">
        <f t="shared" si="3848"/>
        <v>0</v>
      </c>
      <c r="P6420" s="120">
        <f t="shared" si="3849"/>
        <v>0</v>
      </c>
      <c r="Q6420" s="120">
        <f t="shared" si="3850"/>
        <v>0</v>
      </c>
      <c r="R6420" s="120">
        <f t="shared" si="3851"/>
        <v>0</v>
      </c>
      <c r="S6420" s="120"/>
      <c r="T6420" s="221">
        <f t="shared" si="3852"/>
        <v>0</v>
      </c>
      <c r="U6420" s="89"/>
      <c r="V6420" s="61"/>
      <c r="W6420" s="92"/>
      <c r="X6420" s="38"/>
      <c r="Y6420" s="93"/>
      <c r="Z6420" s="134"/>
      <c r="AA6420" s="93"/>
      <c r="AB6420" s="93">
        <f t="shared" si="3853"/>
        <v>0</v>
      </c>
      <c r="AC6420" s="93">
        <f t="shared" si="3854"/>
        <v>9.9999999999999998E-20</v>
      </c>
      <c r="AD6420" s="94"/>
      <c r="AE6420" s="190"/>
      <c r="AF6420" s="191"/>
      <c r="AG6420" s="191"/>
      <c r="AH6420" s="191"/>
      <c r="AI6420" s="186"/>
      <c r="AK6420" s="171"/>
    </row>
    <row r="6421" spans="1:41" ht="20.100000000000001" customHeight="1" x14ac:dyDescent="0.25">
      <c r="A6421" s="277" t="s">
        <v>491</v>
      </c>
      <c r="B6421" s="278"/>
      <c r="C6421" s="64" t="s">
        <v>670</v>
      </c>
      <c r="D6421" s="46" t="s">
        <v>215</v>
      </c>
      <c r="E6421" s="114">
        <v>1</v>
      </c>
      <c r="F6421" s="44">
        <v>1385</v>
      </c>
      <c r="G6421" s="44">
        <f t="shared" si="3841"/>
        <v>1385</v>
      </c>
      <c r="H6421" s="44">
        <f t="shared" si="3842"/>
        <v>1137.4000000000001</v>
      </c>
      <c r="I6421" s="43">
        <f t="shared" si="3843"/>
        <v>1137.4000000000001</v>
      </c>
      <c r="J6421" s="112">
        <f t="shared" si="3844"/>
        <v>1</v>
      </c>
      <c r="K6421" s="211">
        <f t="shared" si="3845"/>
        <v>1</v>
      </c>
      <c r="L6421" s="44"/>
      <c r="M6421" s="44">
        <f t="shared" si="3846"/>
        <v>1</v>
      </c>
      <c r="N6421" s="173">
        <f t="shared" si="3847"/>
        <v>1</v>
      </c>
      <c r="O6421" s="44">
        <f t="shared" si="3848"/>
        <v>1385</v>
      </c>
      <c r="P6421" s="44">
        <f t="shared" si="3849"/>
        <v>1385</v>
      </c>
      <c r="Q6421" s="44">
        <f t="shared" si="3850"/>
        <v>1137.4000000000001</v>
      </c>
      <c r="R6421" s="44">
        <f t="shared" si="3851"/>
        <v>1137.4000000000001</v>
      </c>
      <c r="S6421" s="123"/>
      <c r="T6421" s="219">
        <f t="shared" si="3852"/>
        <v>1137.4000000000001</v>
      </c>
      <c r="U6421" s="87"/>
      <c r="V6421" s="47"/>
      <c r="W6421" s="48"/>
      <c r="X6421" s="48"/>
      <c r="Y6421" s="48"/>
      <c r="Z6421" s="135"/>
      <c r="AA6421" s="49"/>
      <c r="AB6421" s="50">
        <f t="shared" si="3853"/>
        <v>1137.4000000000001</v>
      </c>
      <c r="AC6421" s="42">
        <f t="shared" si="3854"/>
        <v>1</v>
      </c>
      <c r="AD6421" s="90">
        <f>AD6422</f>
        <v>1137.4000000000001</v>
      </c>
      <c r="AE6421" s="188">
        <f t="shared" ref="AE6421" si="4496">AE6422</f>
        <v>0</v>
      </c>
      <c r="AF6421" s="189">
        <f t="shared" ref="AF6421" si="4497">AF6422</f>
        <v>0</v>
      </c>
      <c r="AG6421" s="189">
        <f t="shared" ref="AG6421" si="4498">AG6422</f>
        <v>0</v>
      </c>
      <c r="AH6421" s="189">
        <f t="shared" ref="AH6421" si="4499">AH6422</f>
        <v>0</v>
      </c>
      <c r="AI6421" s="161">
        <f t="shared" ref="AI6421" si="4500">SUM(AE6421:AH6421)</f>
        <v>0</v>
      </c>
      <c r="AK6421" s="169">
        <v>5</v>
      </c>
      <c r="AO6421" s="19" t="s">
        <v>63</v>
      </c>
    </row>
    <row r="6422" spans="1:41" s="103" customFormat="1" ht="19.899999999999999" customHeight="1" x14ac:dyDescent="0.25">
      <c r="A6422" s="51"/>
      <c r="B6422" s="52"/>
      <c r="C6422" s="165"/>
      <c r="D6422" s="52"/>
      <c r="E6422" s="115"/>
      <c r="F6422" s="58"/>
      <c r="G6422" s="58"/>
      <c r="H6422" s="58"/>
      <c r="I6422" s="55"/>
      <c r="J6422" s="113">
        <f>J6421</f>
        <v>1</v>
      </c>
      <c r="K6422" s="212">
        <f>K6421</f>
        <v>1</v>
      </c>
      <c r="L6422" s="58"/>
      <c r="M6422" s="58">
        <f>K6422-L6422</f>
        <v>1</v>
      </c>
      <c r="N6422" s="166"/>
      <c r="O6422" s="58"/>
      <c r="P6422" s="58"/>
      <c r="Q6422" s="58"/>
      <c r="R6422" s="58"/>
      <c r="S6422" s="58"/>
      <c r="T6422" s="220"/>
      <c r="U6422" s="88"/>
      <c r="V6422" s="56"/>
      <c r="W6422" s="57" t="s">
        <v>670</v>
      </c>
      <c r="X6422" s="53"/>
      <c r="Y6422" s="91" t="s">
        <v>35</v>
      </c>
      <c r="Z6422" s="136">
        <f>AD6422/AC6422</f>
        <v>1137.4000000000001</v>
      </c>
      <c r="AA6422" s="58"/>
      <c r="AB6422" s="53">
        <f>AD6422/AC6422</f>
        <v>1137.4000000000001</v>
      </c>
      <c r="AC6422" s="53">
        <f>M6422+$AE$10</f>
        <v>1</v>
      </c>
      <c r="AD6422" s="54">
        <f>SUM(AD6423)</f>
        <v>1137.4000000000001</v>
      </c>
      <c r="AE6422" s="184">
        <f>SUMIFS($AD$37:$AD$12971,$V$37:$V$12971,$V6422,$X$37:$X$12971,AE$13)</f>
        <v>0</v>
      </c>
      <c r="AF6422" s="185">
        <f>SUMIFS($AD$37:$AD$12971,$V$37:$V$12971,$V6422,$X$37:$X$12971,AF$13)</f>
        <v>0</v>
      </c>
      <c r="AG6422" s="185">
        <f>SUMIFS($AD$37:$AD$12971,$V$37:$V$12971,$V6422,$X$37:$X$12971,AG$13)</f>
        <v>0</v>
      </c>
      <c r="AH6422" s="187">
        <f>SUMIFS($AD$37:$AD$12971,$V$37:$V$12971,$V6422,$X$37:$X$12971,AH$13)</f>
        <v>0</v>
      </c>
      <c r="AI6422" s="161">
        <f t="shared" ref="AI6422" si="4501">SUM(AE6422:AH6422)</f>
        <v>0</v>
      </c>
      <c r="AK6422" s="172"/>
    </row>
    <row r="6423" spans="1:41" s="102" customFormat="1" ht="19.899999999999999" customHeight="1" x14ac:dyDescent="0.25">
      <c r="A6423" s="45"/>
      <c r="B6423" s="59"/>
      <c r="C6423" s="137"/>
      <c r="D6423" s="59"/>
      <c r="E6423" s="116"/>
      <c r="F6423" s="120"/>
      <c r="G6423" s="120"/>
      <c r="H6423" s="120"/>
      <c r="I6423" s="60"/>
      <c r="J6423" s="116"/>
      <c r="K6423" s="213"/>
      <c r="L6423" s="120"/>
      <c r="M6423" s="120"/>
      <c r="N6423" s="167"/>
      <c r="O6423" s="120"/>
      <c r="P6423" s="120"/>
      <c r="Q6423" s="120"/>
      <c r="R6423" s="120"/>
      <c r="S6423" s="120"/>
      <c r="T6423" s="221"/>
      <c r="U6423" s="89"/>
      <c r="V6423" s="61"/>
      <c r="W6423" s="92" t="s">
        <v>670</v>
      </c>
      <c r="X6423" s="93" t="s">
        <v>32</v>
      </c>
      <c r="Y6423" s="93" t="s">
        <v>1349</v>
      </c>
      <c r="Z6423" s="134">
        <f>VLOOKUP(W6423,Sheet2!$B:$D,3,FALSE)</f>
        <v>1137.4000000000001</v>
      </c>
      <c r="AA6423" s="93">
        <v>1</v>
      </c>
      <c r="AB6423" s="93">
        <f>AD6423/AC6422</f>
        <v>1137.4000000000001</v>
      </c>
      <c r="AC6423" s="93">
        <f>AC6422/AA6423</f>
        <v>1</v>
      </c>
      <c r="AD6423" s="94">
        <f t="shared" ref="AD6423" si="4502">AC6423*Z6423</f>
        <v>1137.4000000000001</v>
      </c>
      <c r="AE6423" s="190"/>
      <c r="AF6423" s="191"/>
      <c r="AG6423" s="191"/>
      <c r="AH6423" s="191"/>
      <c r="AI6423" s="186"/>
      <c r="AK6423" s="171"/>
    </row>
    <row r="6424" spans="1:41" ht="20.100000000000001" customHeight="1" x14ac:dyDescent="0.25">
      <c r="A6424" s="277" t="s">
        <v>491</v>
      </c>
      <c r="B6424" s="278"/>
      <c r="C6424" s="64" t="s">
        <v>671</v>
      </c>
      <c r="D6424" s="46" t="s">
        <v>215</v>
      </c>
      <c r="E6424" s="114">
        <v>3</v>
      </c>
      <c r="F6424" s="44">
        <v>1762</v>
      </c>
      <c r="G6424" s="44">
        <f t="shared" si="3841"/>
        <v>5286</v>
      </c>
      <c r="H6424" s="44">
        <f t="shared" si="3842"/>
        <v>1447</v>
      </c>
      <c r="I6424" s="43">
        <f t="shared" si="3843"/>
        <v>4341</v>
      </c>
      <c r="J6424" s="112">
        <f t="shared" si="3844"/>
        <v>3</v>
      </c>
      <c r="K6424" s="211">
        <f t="shared" si="3845"/>
        <v>3</v>
      </c>
      <c r="L6424" s="44"/>
      <c r="M6424" s="44">
        <f t="shared" si="3846"/>
        <v>3</v>
      </c>
      <c r="N6424" s="173">
        <f t="shared" si="3847"/>
        <v>1</v>
      </c>
      <c r="O6424" s="44">
        <f t="shared" si="3848"/>
        <v>1762</v>
      </c>
      <c r="P6424" s="44">
        <f t="shared" si="3849"/>
        <v>5286</v>
      </c>
      <c r="Q6424" s="44">
        <f t="shared" si="3850"/>
        <v>1447</v>
      </c>
      <c r="R6424" s="44">
        <f t="shared" si="3851"/>
        <v>4341</v>
      </c>
      <c r="S6424" s="123"/>
      <c r="T6424" s="219">
        <f t="shared" si="3852"/>
        <v>4341</v>
      </c>
      <c r="U6424" s="87"/>
      <c r="V6424" s="47"/>
      <c r="W6424" s="48"/>
      <c r="X6424" s="48"/>
      <c r="Y6424" s="48"/>
      <c r="Z6424" s="135"/>
      <c r="AA6424" s="49"/>
      <c r="AB6424" s="50">
        <f t="shared" si="3853"/>
        <v>1447</v>
      </c>
      <c r="AC6424" s="42">
        <f t="shared" si="3854"/>
        <v>3</v>
      </c>
      <c r="AD6424" s="90">
        <f>AD6425</f>
        <v>4341</v>
      </c>
      <c r="AE6424" s="188">
        <f t="shared" ref="AE6424" si="4503">AE6425</f>
        <v>0</v>
      </c>
      <c r="AF6424" s="189">
        <f t="shared" ref="AF6424" si="4504">AF6425</f>
        <v>0</v>
      </c>
      <c r="AG6424" s="189">
        <f t="shared" ref="AG6424" si="4505">AG6425</f>
        <v>0</v>
      </c>
      <c r="AH6424" s="189">
        <f t="shared" ref="AH6424" si="4506">AH6425</f>
        <v>0</v>
      </c>
      <c r="AI6424" s="161">
        <f t="shared" ref="AI6424" si="4507">SUM(AE6424:AH6424)</f>
        <v>0</v>
      </c>
      <c r="AK6424" s="169">
        <v>5</v>
      </c>
      <c r="AO6424" s="19" t="s">
        <v>63</v>
      </c>
    </row>
    <row r="6425" spans="1:41" s="103" customFormat="1" ht="19.899999999999999" customHeight="1" x14ac:dyDescent="0.25">
      <c r="A6425" s="51"/>
      <c r="B6425" s="52"/>
      <c r="C6425" s="165"/>
      <c r="D6425" s="52"/>
      <c r="E6425" s="115"/>
      <c r="F6425" s="58"/>
      <c r="G6425" s="58"/>
      <c r="H6425" s="58"/>
      <c r="I6425" s="55"/>
      <c r="J6425" s="113">
        <f>J6424</f>
        <v>3</v>
      </c>
      <c r="K6425" s="212">
        <f>K6424</f>
        <v>3</v>
      </c>
      <c r="L6425" s="58"/>
      <c r="M6425" s="58">
        <f>K6425-L6425</f>
        <v>3</v>
      </c>
      <c r="N6425" s="166"/>
      <c r="O6425" s="58"/>
      <c r="P6425" s="58"/>
      <c r="Q6425" s="58"/>
      <c r="R6425" s="58"/>
      <c r="S6425" s="58"/>
      <c r="T6425" s="220"/>
      <c r="U6425" s="88"/>
      <c r="V6425" s="56"/>
      <c r="W6425" s="57" t="s">
        <v>671</v>
      </c>
      <c r="X6425" s="53"/>
      <c r="Y6425" s="91" t="s">
        <v>35</v>
      </c>
      <c r="Z6425" s="136">
        <f>AD6425/AC6425</f>
        <v>1447</v>
      </c>
      <c r="AA6425" s="58"/>
      <c r="AB6425" s="53">
        <f>AD6425/AC6425</f>
        <v>1447</v>
      </c>
      <c r="AC6425" s="53">
        <f>M6425+$AE$10</f>
        <v>3</v>
      </c>
      <c r="AD6425" s="54">
        <f>SUM(AD6426)</f>
        <v>4341</v>
      </c>
      <c r="AE6425" s="184">
        <f>SUMIFS($AD$37:$AD$12971,$V$37:$V$12971,$V6425,$X$37:$X$12971,AE$13)</f>
        <v>0</v>
      </c>
      <c r="AF6425" s="185">
        <f>SUMIFS($AD$37:$AD$12971,$V$37:$V$12971,$V6425,$X$37:$X$12971,AF$13)</f>
        <v>0</v>
      </c>
      <c r="AG6425" s="185">
        <f>SUMIFS($AD$37:$AD$12971,$V$37:$V$12971,$V6425,$X$37:$X$12971,AG$13)</f>
        <v>0</v>
      </c>
      <c r="AH6425" s="187">
        <f>SUMIFS($AD$37:$AD$12971,$V$37:$V$12971,$V6425,$X$37:$X$12971,AH$13)</f>
        <v>0</v>
      </c>
      <c r="AI6425" s="161">
        <f t="shared" ref="AI6425" si="4508">SUM(AE6425:AH6425)</f>
        <v>0</v>
      </c>
      <c r="AK6425" s="172"/>
    </row>
    <row r="6426" spans="1:41" s="102" customFormat="1" ht="19.899999999999999" customHeight="1" x14ac:dyDescent="0.25">
      <c r="A6426" s="45"/>
      <c r="B6426" s="59"/>
      <c r="C6426" s="137"/>
      <c r="D6426" s="59"/>
      <c r="E6426" s="116"/>
      <c r="F6426" s="120"/>
      <c r="G6426" s="120"/>
      <c r="H6426" s="120"/>
      <c r="I6426" s="60"/>
      <c r="J6426" s="116"/>
      <c r="K6426" s="213"/>
      <c r="L6426" s="120"/>
      <c r="M6426" s="120"/>
      <c r="N6426" s="167"/>
      <c r="O6426" s="120"/>
      <c r="P6426" s="120"/>
      <c r="Q6426" s="120"/>
      <c r="R6426" s="120"/>
      <c r="S6426" s="120"/>
      <c r="T6426" s="221"/>
      <c r="U6426" s="89"/>
      <c r="V6426" s="61"/>
      <c r="W6426" s="92" t="s">
        <v>671</v>
      </c>
      <c r="X6426" s="93" t="s">
        <v>32</v>
      </c>
      <c r="Y6426" s="93" t="s">
        <v>1349</v>
      </c>
      <c r="Z6426" s="134">
        <f>VLOOKUP(W6426,Sheet2!$B:$D,3,FALSE)</f>
        <v>1447</v>
      </c>
      <c r="AA6426" s="93">
        <v>1</v>
      </c>
      <c r="AB6426" s="93">
        <f>AD6426/AC6425</f>
        <v>1447</v>
      </c>
      <c r="AC6426" s="93">
        <f>AC6425/AA6426</f>
        <v>3</v>
      </c>
      <c r="AD6426" s="94">
        <f t="shared" ref="AD6426" si="4509">AC6426*Z6426</f>
        <v>4341</v>
      </c>
      <c r="AE6426" s="190"/>
      <c r="AF6426" s="191"/>
      <c r="AG6426" s="191"/>
      <c r="AH6426" s="191"/>
      <c r="AI6426" s="186"/>
      <c r="AK6426" s="171"/>
    </row>
    <row r="6427" spans="1:41" s="102" customFormat="1" ht="20.100000000000001" customHeight="1" x14ac:dyDescent="0.25">
      <c r="A6427" s="45" t="s">
        <v>491</v>
      </c>
      <c r="B6427" s="276"/>
      <c r="C6427" s="285" t="s">
        <v>690</v>
      </c>
      <c r="D6427" s="59"/>
      <c r="E6427" s="116"/>
      <c r="F6427" s="120"/>
      <c r="G6427" s="120">
        <f t="shared" si="3841"/>
        <v>0</v>
      </c>
      <c r="H6427" s="120">
        <f t="shared" si="3842"/>
        <v>0</v>
      </c>
      <c r="I6427" s="60">
        <f t="shared" si="3843"/>
        <v>0</v>
      </c>
      <c r="J6427" s="116">
        <f t="shared" si="3844"/>
        <v>0</v>
      </c>
      <c r="K6427" s="213">
        <f t="shared" si="3845"/>
        <v>0</v>
      </c>
      <c r="L6427" s="120"/>
      <c r="M6427" s="120">
        <f t="shared" si="3846"/>
        <v>0</v>
      </c>
      <c r="N6427" s="167">
        <f t="shared" si="3847"/>
        <v>0</v>
      </c>
      <c r="O6427" s="120">
        <f t="shared" si="3848"/>
        <v>0</v>
      </c>
      <c r="P6427" s="120">
        <f t="shared" si="3849"/>
        <v>0</v>
      </c>
      <c r="Q6427" s="120">
        <f t="shared" si="3850"/>
        <v>0</v>
      </c>
      <c r="R6427" s="120">
        <f t="shared" si="3851"/>
        <v>0</v>
      </c>
      <c r="S6427" s="120"/>
      <c r="T6427" s="221">
        <f t="shared" si="3852"/>
        <v>0</v>
      </c>
      <c r="U6427" s="89"/>
      <c r="V6427" s="61"/>
      <c r="W6427" s="92"/>
      <c r="X6427" s="38"/>
      <c r="Y6427" s="93"/>
      <c r="Z6427" s="134"/>
      <c r="AA6427" s="93"/>
      <c r="AB6427" s="93"/>
      <c r="AC6427" s="93"/>
      <c r="AD6427" s="94"/>
      <c r="AE6427" s="190"/>
      <c r="AF6427" s="191"/>
      <c r="AG6427" s="191"/>
      <c r="AH6427" s="191"/>
      <c r="AI6427" s="186"/>
      <c r="AK6427" s="171"/>
    </row>
    <row r="6428" spans="1:41" s="102" customFormat="1" ht="15.75" x14ac:dyDescent="0.25">
      <c r="A6428" s="45" t="s">
        <v>491</v>
      </c>
      <c r="B6428" s="276"/>
      <c r="C6428" s="285" t="s">
        <v>672</v>
      </c>
      <c r="D6428" s="59"/>
      <c r="E6428" s="116"/>
      <c r="F6428" s="120"/>
      <c r="G6428" s="120">
        <f t="shared" si="3841"/>
        <v>0</v>
      </c>
      <c r="H6428" s="120">
        <f t="shared" si="3842"/>
        <v>0</v>
      </c>
      <c r="I6428" s="60">
        <f t="shared" si="3843"/>
        <v>0</v>
      </c>
      <c r="J6428" s="116">
        <f t="shared" si="3844"/>
        <v>0</v>
      </c>
      <c r="K6428" s="213">
        <f t="shared" si="3845"/>
        <v>0</v>
      </c>
      <c r="L6428" s="120"/>
      <c r="M6428" s="120">
        <f t="shared" si="3846"/>
        <v>0</v>
      </c>
      <c r="N6428" s="167">
        <f t="shared" si="3847"/>
        <v>0</v>
      </c>
      <c r="O6428" s="120">
        <f t="shared" si="3848"/>
        <v>0</v>
      </c>
      <c r="P6428" s="120">
        <f t="shared" si="3849"/>
        <v>0</v>
      </c>
      <c r="Q6428" s="120">
        <f t="shared" si="3850"/>
        <v>0</v>
      </c>
      <c r="R6428" s="120">
        <f t="shared" si="3851"/>
        <v>0</v>
      </c>
      <c r="S6428" s="120"/>
      <c r="T6428" s="221">
        <f t="shared" si="3852"/>
        <v>0</v>
      </c>
      <c r="U6428" s="89"/>
      <c r="V6428" s="61"/>
      <c r="W6428" s="92"/>
      <c r="X6428" s="38"/>
      <c r="Y6428" s="93"/>
      <c r="Z6428" s="134"/>
      <c r="AA6428" s="93"/>
      <c r="AB6428" s="93"/>
      <c r="AC6428" s="93"/>
      <c r="AD6428" s="94"/>
      <c r="AE6428" s="190"/>
      <c r="AF6428" s="191"/>
      <c r="AG6428" s="191"/>
      <c r="AH6428" s="191"/>
      <c r="AI6428" s="186"/>
      <c r="AK6428" s="171"/>
    </row>
    <row r="6429" spans="1:41" s="102" customFormat="1" ht="47.25" x14ac:dyDescent="0.25">
      <c r="A6429" s="45" t="s">
        <v>491</v>
      </c>
      <c r="B6429" s="276"/>
      <c r="C6429" s="285" t="s">
        <v>673</v>
      </c>
      <c r="D6429" s="59"/>
      <c r="E6429" s="116"/>
      <c r="F6429" s="120"/>
      <c r="G6429" s="120">
        <f t="shared" si="3841"/>
        <v>0</v>
      </c>
      <c r="H6429" s="120">
        <f t="shared" si="3842"/>
        <v>0</v>
      </c>
      <c r="I6429" s="60">
        <f t="shared" si="3843"/>
        <v>0</v>
      </c>
      <c r="J6429" s="116">
        <f t="shared" si="3844"/>
        <v>0</v>
      </c>
      <c r="K6429" s="213">
        <f t="shared" si="3845"/>
        <v>0</v>
      </c>
      <c r="L6429" s="120"/>
      <c r="M6429" s="120">
        <f t="shared" si="3846"/>
        <v>0</v>
      </c>
      <c r="N6429" s="167">
        <f t="shared" si="3847"/>
        <v>0</v>
      </c>
      <c r="O6429" s="120">
        <f t="shared" si="3848"/>
        <v>0</v>
      </c>
      <c r="P6429" s="120">
        <f t="shared" si="3849"/>
        <v>0</v>
      </c>
      <c r="Q6429" s="120">
        <f t="shared" si="3850"/>
        <v>0</v>
      </c>
      <c r="R6429" s="120">
        <f t="shared" si="3851"/>
        <v>0</v>
      </c>
      <c r="S6429" s="120"/>
      <c r="T6429" s="221">
        <f t="shared" si="3852"/>
        <v>0</v>
      </c>
      <c r="U6429" s="89"/>
      <c r="V6429" s="61"/>
      <c r="W6429" s="92"/>
      <c r="X6429" s="38"/>
      <c r="Y6429" s="93"/>
      <c r="Z6429" s="134"/>
      <c r="AA6429" s="93"/>
      <c r="AB6429" s="93"/>
      <c r="AC6429" s="93"/>
      <c r="AD6429" s="94"/>
      <c r="AE6429" s="190"/>
      <c r="AF6429" s="191"/>
      <c r="AG6429" s="191"/>
      <c r="AH6429" s="191"/>
      <c r="AI6429" s="186"/>
      <c r="AK6429" s="171"/>
    </row>
    <row r="6430" spans="1:41" ht="20.100000000000001" customHeight="1" x14ac:dyDescent="0.25">
      <c r="A6430" s="277" t="s">
        <v>491</v>
      </c>
      <c r="B6430" s="278"/>
      <c r="C6430" s="64" t="s">
        <v>674</v>
      </c>
      <c r="D6430" s="46" t="s">
        <v>196</v>
      </c>
      <c r="E6430" s="114">
        <v>495</v>
      </c>
      <c r="F6430" s="44">
        <v>86</v>
      </c>
      <c r="G6430" s="44">
        <f t="shared" si="3841"/>
        <v>42570</v>
      </c>
      <c r="H6430" s="44">
        <f t="shared" si="3842"/>
        <v>54.382400000000004</v>
      </c>
      <c r="I6430" s="43">
        <f t="shared" si="3843"/>
        <v>26919.288</v>
      </c>
      <c r="J6430" s="112">
        <f t="shared" si="3844"/>
        <v>495</v>
      </c>
      <c r="K6430" s="211">
        <f t="shared" si="3845"/>
        <v>495</v>
      </c>
      <c r="L6430" s="44"/>
      <c r="M6430" s="44">
        <f t="shared" si="3846"/>
        <v>495</v>
      </c>
      <c r="N6430" s="173">
        <f t="shared" si="3847"/>
        <v>1</v>
      </c>
      <c r="O6430" s="44">
        <f t="shared" si="3848"/>
        <v>86</v>
      </c>
      <c r="P6430" s="44">
        <f t="shared" si="3849"/>
        <v>42570</v>
      </c>
      <c r="Q6430" s="44">
        <f t="shared" si="3850"/>
        <v>54.382400000000004</v>
      </c>
      <c r="R6430" s="44">
        <f t="shared" si="3851"/>
        <v>26919.288</v>
      </c>
      <c r="S6430" s="123"/>
      <c r="T6430" s="219">
        <f t="shared" si="3852"/>
        <v>26919.288</v>
      </c>
      <c r="U6430" s="87"/>
      <c r="V6430" s="47"/>
      <c r="W6430" s="48"/>
      <c r="X6430" s="48"/>
      <c r="Y6430" s="48"/>
      <c r="Z6430" s="135"/>
      <c r="AA6430" s="49"/>
      <c r="AB6430" s="50">
        <f t="shared" si="3853"/>
        <v>54.382400000000004</v>
      </c>
      <c r="AC6430" s="42">
        <f t="shared" si="3854"/>
        <v>495</v>
      </c>
      <c r="AD6430" s="90">
        <f>AD6431+AD6438</f>
        <v>26919.288</v>
      </c>
      <c r="AE6430" s="188">
        <f t="shared" ref="AE6430" si="4510">AE6431+AE6438</f>
        <v>0</v>
      </c>
      <c r="AF6430" s="189">
        <f t="shared" ref="AF6430" si="4511">AF6431+AF6438</f>
        <v>0</v>
      </c>
      <c r="AG6430" s="189">
        <f t="shared" ref="AG6430" si="4512">AG6431+AG6438</f>
        <v>0</v>
      </c>
      <c r="AH6430" s="189">
        <f t="shared" ref="AH6430" si="4513">AH6431+AH6438</f>
        <v>0</v>
      </c>
      <c r="AI6430" s="161">
        <f t="shared" ref="AI6430" si="4514">SUM(AE6430:AH6430)</f>
        <v>0</v>
      </c>
      <c r="AK6430" s="169">
        <v>5</v>
      </c>
      <c r="AO6430" s="19" t="s">
        <v>63</v>
      </c>
    </row>
    <row r="6431" spans="1:41" s="103" customFormat="1" ht="19.899999999999999" customHeight="1" x14ac:dyDescent="0.25">
      <c r="A6431" s="51"/>
      <c r="B6431" s="52"/>
      <c r="C6431" s="165"/>
      <c r="D6431" s="52"/>
      <c r="E6431" s="115"/>
      <c r="F6431" s="58"/>
      <c r="G6431" s="58"/>
      <c r="H6431" s="58"/>
      <c r="I6431" s="55"/>
      <c r="J6431" s="113">
        <f>J6430</f>
        <v>495</v>
      </c>
      <c r="K6431" s="212">
        <f>K6430</f>
        <v>495</v>
      </c>
      <c r="L6431" s="58"/>
      <c r="M6431" s="58">
        <f>K6431-L6431</f>
        <v>495</v>
      </c>
      <c r="N6431" s="166"/>
      <c r="O6431" s="58"/>
      <c r="P6431" s="58"/>
      <c r="Q6431" s="58"/>
      <c r="R6431" s="58"/>
      <c r="S6431" s="58"/>
      <c r="T6431" s="220"/>
      <c r="U6431" s="88"/>
      <c r="V6431" s="56"/>
      <c r="W6431" s="57" t="s">
        <v>1608</v>
      </c>
      <c r="X6431" s="53"/>
      <c r="Y6431" s="91" t="s">
        <v>64</v>
      </c>
      <c r="Z6431" s="136">
        <f>AD6431/AC6431</f>
        <v>4.3823999999999987</v>
      </c>
      <c r="AA6431" s="58"/>
      <c r="AB6431" s="53">
        <f>AD6431/AC6431</f>
        <v>4.3823999999999987</v>
      </c>
      <c r="AC6431" s="53">
        <f>M6431+$AE$10</f>
        <v>495</v>
      </c>
      <c r="AD6431" s="54">
        <f>SUM(AD6432:AD6437)</f>
        <v>2169.2879999999996</v>
      </c>
      <c r="AE6431" s="184">
        <f>SUMIFS($AD$37:$AD$12971,$V$37:$V$12971,$V6431,$X$37:$X$12971,AE$13)</f>
        <v>0</v>
      </c>
      <c r="AF6431" s="185">
        <f>SUMIFS($AD$37:$AD$12971,$V$37:$V$12971,$V6431,$X$37:$X$12971,AF$13)</f>
        <v>0</v>
      </c>
      <c r="AG6431" s="185">
        <f>SUMIFS($AD$37:$AD$12971,$V$37:$V$12971,$V6431,$X$37:$X$12971,AG$13)</f>
        <v>0</v>
      </c>
      <c r="AH6431" s="187">
        <f>SUMIFS($AD$37:$AD$12971,$V$37:$V$12971,$V6431,$X$37:$X$12971,AH$13)</f>
        <v>0</v>
      </c>
      <c r="AI6431" s="161">
        <f t="shared" ref="AI6431" si="4515">SUM(AE6431:AH6431)</f>
        <v>0</v>
      </c>
      <c r="AK6431" s="172"/>
    </row>
    <row r="6432" spans="1:41" s="102" customFormat="1" ht="19.899999999999999" customHeight="1" x14ac:dyDescent="0.25">
      <c r="A6432" s="45"/>
      <c r="B6432" s="59"/>
      <c r="C6432" s="137"/>
      <c r="D6432" s="59"/>
      <c r="E6432" s="116"/>
      <c r="F6432" s="120"/>
      <c r="G6432" s="120"/>
      <c r="H6432" s="120"/>
      <c r="I6432" s="60"/>
      <c r="J6432" s="116"/>
      <c r="K6432" s="213"/>
      <c r="L6432" s="120"/>
      <c r="M6432" s="120"/>
      <c r="N6432" s="167"/>
      <c r="O6432" s="120"/>
      <c r="P6432" s="120"/>
      <c r="Q6432" s="120"/>
      <c r="R6432" s="120"/>
      <c r="S6432" s="120"/>
      <c r="T6432" s="221"/>
      <c r="U6432" s="89"/>
      <c r="V6432" s="61"/>
      <c r="W6432" s="92" t="s">
        <v>160</v>
      </c>
      <c r="X6432" s="93" t="s">
        <v>29</v>
      </c>
      <c r="Y6432" s="93" t="s">
        <v>93</v>
      </c>
      <c r="Z6432" s="134">
        <f>VLOOKUP(W6432,Sheet2!$B:$D,3,FALSE)</f>
        <v>44</v>
      </c>
      <c r="AA6432" s="93">
        <v>20</v>
      </c>
      <c r="AB6432" s="93">
        <f>AD6432/AC6431</f>
        <v>2.2000000000000002</v>
      </c>
      <c r="AC6432" s="93">
        <f>AC6431/AA6432</f>
        <v>24.75</v>
      </c>
      <c r="AD6432" s="94">
        <f t="shared" ref="AD6432:AD6433" si="4516">AC6432*Z6432</f>
        <v>1089</v>
      </c>
      <c r="AE6432" s="190"/>
      <c r="AF6432" s="191"/>
      <c r="AG6432" s="191"/>
      <c r="AH6432" s="191"/>
      <c r="AI6432" s="186"/>
      <c r="AK6432" s="171"/>
    </row>
    <row r="6433" spans="1:41" s="102" customFormat="1" ht="19.899999999999999" customHeight="1" x14ac:dyDescent="0.25">
      <c r="A6433" s="45"/>
      <c r="B6433" s="59"/>
      <c r="C6433" s="137"/>
      <c r="D6433" s="59"/>
      <c r="E6433" s="116"/>
      <c r="F6433" s="120"/>
      <c r="G6433" s="120"/>
      <c r="H6433" s="120"/>
      <c r="I6433" s="60"/>
      <c r="J6433" s="116"/>
      <c r="K6433" s="213"/>
      <c r="L6433" s="120"/>
      <c r="M6433" s="120"/>
      <c r="N6433" s="167"/>
      <c r="O6433" s="120"/>
      <c r="P6433" s="120"/>
      <c r="Q6433" s="120"/>
      <c r="R6433" s="120"/>
      <c r="S6433" s="120"/>
      <c r="T6433" s="221"/>
      <c r="U6433" s="89"/>
      <c r="V6433" s="61"/>
      <c r="W6433" s="92" t="s">
        <v>65</v>
      </c>
      <c r="X6433" s="93" t="s">
        <v>30</v>
      </c>
      <c r="Y6433" s="93" t="s">
        <v>1011</v>
      </c>
      <c r="Z6433" s="134">
        <f>VLOOKUP(W6433,Sheet2!$B:$D,3,FALSE)</f>
        <v>1.76</v>
      </c>
      <c r="AA6433" s="93">
        <f>AA6432/10</f>
        <v>2</v>
      </c>
      <c r="AB6433" s="93">
        <f>AD6433/AC6431</f>
        <v>0.88</v>
      </c>
      <c r="AC6433" s="93">
        <f>AC6431/AA6433</f>
        <v>247.5</v>
      </c>
      <c r="AD6433" s="94">
        <f t="shared" si="4516"/>
        <v>435.6</v>
      </c>
      <c r="AE6433" s="190"/>
      <c r="AF6433" s="191"/>
      <c r="AG6433" s="191"/>
      <c r="AH6433" s="191"/>
      <c r="AI6433" s="186"/>
      <c r="AK6433" s="171"/>
    </row>
    <row r="6434" spans="1:41" s="102" customFormat="1" ht="19.899999999999999" customHeight="1" x14ac:dyDescent="0.25">
      <c r="A6434" s="45"/>
      <c r="B6434" s="59"/>
      <c r="C6434" s="137"/>
      <c r="D6434" s="59"/>
      <c r="E6434" s="116"/>
      <c r="F6434" s="120"/>
      <c r="G6434" s="120"/>
      <c r="H6434" s="120"/>
      <c r="I6434" s="60"/>
      <c r="J6434" s="116"/>
      <c r="K6434" s="213"/>
      <c r="L6434" s="120"/>
      <c r="M6434" s="120"/>
      <c r="N6434" s="167"/>
      <c r="O6434" s="120"/>
      <c r="P6434" s="120"/>
      <c r="Q6434" s="120"/>
      <c r="R6434" s="120"/>
      <c r="S6434" s="120"/>
      <c r="T6434" s="221"/>
      <c r="U6434" s="89"/>
      <c r="V6434" s="61"/>
      <c r="W6434" s="92" t="s">
        <v>148</v>
      </c>
      <c r="X6434" s="93" t="s">
        <v>29</v>
      </c>
      <c r="Y6434" s="93" t="s">
        <v>93</v>
      </c>
      <c r="Z6434" s="134">
        <f>VLOOKUP(W6434,Sheet2!$B:$D,3,FALSE)</f>
        <v>48</v>
      </c>
      <c r="AA6434" s="93">
        <v>100</v>
      </c>
      <c r="AB6434" s="93">
        <f>AD6434/AC6431</f>
        <v>0.48000000000000004</v>
      </c>
      <c r="AC6434" s="93">
        <f>AC6431/AA6434</f>
        <v>4.95</v>
      </c>
      <c r="AD6434" s="94">
        <f>AC6434*Z6434</f>
        <v>237.60000000000002</v>
      </c>
      <c r="AE6434" s="190"/>
      <c r="AF6434" s="191"/>
      <c r="AG6434" s="191"/>
      <c r="AH6434" s="191"/>
      <c r="AI6434" s="186"/>
      <c r="AK6434" s="171"/>
    </row>
    <row r="6435" spans="1:41" s="102" customFormat="1" ht="19.899999999999999" customHeight="1" x14ac:dyDescent="0.25">
      <c r="A6435" s="45"/>
      <c r="B6435" s="59"/>
      <c r="C6435" s="137"/>
      <c r="D6435" s="59"/>
      <c r="E6435" s="116"/>
      <c r="F6435" s="120"/>
      <c r="G6435" s="120"/>
      <c r="H6435" s="120"/>
      <c r="I6435" s="60"/>
      <c r="J6435" s="116"/>
      <c r="K6435" s="213"/>
      <c r="L6435" s="120"/>
      <c r="M6435" s="120"/>
      <c r="N6435" s="167"/>
      <c r="O6435" s="120"/>
      <c r="P6435" s="120"/>
      <c r="Q6435" s="120"/>
      <c r="R6435" s="120"/>
      <c r="S6435" s="120"/>
      <c r="T6435" s="221"/>
      <c r="U6435" s="89"/>
      <c r="V6435" s="61"/>
      <c r="W6435" s="92" t="s">
        <v>65</v>
      </c>
      <c r="X6435" s="93" t="s">
        <v>30</v>
      </c>
      <c r="Y6435" s="93" t="s">
        <v>1011</v>
      </c>
      <c r="Z6435" s="134">
        <f>VLOOKUP(W6435,Sheet2!$B:$D,3,FALSE)</f>
        <v>1.76</v>
      </c>
      <c r="AA6435" s="93">
        <f>AA6434/10</f>
        <v>10</v>
      </c>
      <c r="AB6435" s="93">
        <f>AD6435/AC6431</f>
        <v>0.17600000000000002</v>
      </c>
      <c r="AC6435" s="93">
        <f>AC6431/AA6435</f>
        <v>49.5</v>
      </c>
      <c r="AD6435" s="94">
        <f t="shared" ref="AD6435:AD6437" si="4517">AC6435*Z6435</f>
        <v>87.12</v>
      </c>
      <c r="AE6435" s="190"/>
      <c r="AF6435" s="191"/>
      <c r="AG6435" s="191"/>
      <c r="AH6435" s="191"/>
      <c r="AI6435" s="186"/>
      <c r="AK6435" s="171"/>
    </row>
    <row r="6436" spans="1:41" s="102" customFormat="1" ht="19.899999999999999" customHeight="1" x14ac:dyDescent="0.25">
      <c r="A6436" s="45"/>
      <c r="B6436" s="59"/>
      <c r="C6436" s="137"/>
      <c r="D6436" s="59"/>
      <c r="E6436" s="116"/>
      <c r="F6436" s="120"/>
      <c r="G6436" s="120"/>
      <c r="H6436" s="120"/>
      <c r="I6436" s="60"/>
      <c r="J6436" s="116"/>
      <c r="K6436" s="213"/>
      <c r="L6436" s="120"/>
      <c r="M6436" s="120"/>
      <c r="N6436" s="167"/>
      <c r="O6436" s="120"/>
      <c r="P6436" s="120"/>
      <c r="Q6436" s="120"/>
      <c r="R6436" s="120"/>
      <c r="S6436" s="120"/>
      <c r="T6436" s="221"/>
      <c r="U6436" s="89"/>
      <c r="V6436" s="61"/>
      <c r="W6436" s="92" t="s">
        <v>145</v>
      </c>
      <c r="X6436" s="93" t="s">
        <v>29</v>
      </c>
      <c r="Y6436" s="93" t="s">
        <v>93</v>
      </c>
      <c r="Z6436" s="134">
        <f>VLOOKUP(W6436,Sheet2!$B:$D,3,FALSE)</f>
        <v>40</v>
      </c>
      <c r="AA6436" s="93">
        <v>100</v>
      </c>
      <c r="AB6436" s="93">
        <f t="shared" ref="AB6436" si="4518">AD6436/AC6431</f>
        <v>0.4</v>
      </c>
      <c r="AC6436" s="93">
        <f>AC6431/AA6436</f>
        <v>4.95</v>
      </c>
      <c r="AD6436" s="94">
        <f t="shared" si="4517"/>
        <v>198</v>
      </c>
      <c r="AE6436" s="190"/>
      <c r="AF6436" s="191"/>
      <c r="AG6436" s="191"/>
      <c r="AH6436" s="191"/>
      <c r="AI6436" s="186"/>
      <c r="AK6436" s="171"/>
    </row>
    <row r="6437" spans="1:41" s="102" customFormat="1" ht="19.899999999999999" customHeight="1" x14ac:dyDescent="0.25">
      <c r="A6437" s="45"/>
      <c r="B6437" s="59"/>
      <c r="C6437" s="137"/>
      <c r="D6437" s="59"/>
      <c r="E6437" s="116"/>
      <c r="F6437" s="120"/>
      <c r="G6437" s="120"/>
      <c r="H6437" s="120"/>
      <c r="I6437" s="60"/>
      <c r="J6437" s="116"/>
      <c r="K6437" s="213"/>
      <c r="L6437" s="120"/>
      <c r="M6437" s="120"/>
      <c r="N6437" s="167"/>
      <c r="O6437" s="120"/>
      <c r="P6437" s="120"/>
      <c r="Q6437" s="120"/>
      <c r="R6437" s="120"/>
      <c r="S6437" s="120"/>
      <c r="T6437" s="221"/>
      <c r="U6437" s="89"/>
      <c r="V6437" s="61"/>
      <c r="W6437" s="92" t="s">
        <v>65</v>
      </c>
      <c r="X6437" s="93" t="s">
        <v>30</v>
      </c>
      <c r="Y6437" s="93" t="s">
        <v>1011</v>
      </c>
      <c r="Z6437" s="134">
        <f>VLOOKUP(W6437,Sheet2!$B:$D,3,FALSE)</f>
        <v>1.76</v>
      </c>
      <c r="AA6437" s="93">
        <f>AA6436/14</f>
        <v>7.1428571428571432</v>
      </c>
      <c r="AB6437" s="93">
        <f>AD6437/AC6431</f>
        <v>0.24639999999999998</v>
      </c>
      <c r="AC6437" s="93">
        <f>AC6431/AA6437</f>
        <v>69.3</v>
      </c>
      <c r="AD6437" s="94">
        <f t="shared" si="4517"/>
        <v>121.96799999999999</v>
      </c>
      <c r="AE6437" s="190"/>
      <c r="AF6437" s="191"/>
      <c r="AG6437" s="191"/>
      <c r="AH6437" s="191"/>
      <c r="AI6437" s="186"/>
      <c r="AK6437" s="171"/>
    </row>
    <row r="6438" spans="1:41" s="103" customFormat="1" ht="19.899999999999999" customHeight="1" x14ac:dyDescent="0.25">
      <c r="A6438" s="51"/>
      <c r="B6438" s="52"/>
      <c r="C6438" s="165"/>
      <c r="D6438" s="52"/>
      <c r="E6438" s="115"/>
      <c r="F6438" s="58"/>
      <c r="G6438" s="58"/>
      <c r="H6438" s="58"/>
      <c r="I6438" s="55"/>
      <c r="J6438" s="113">
        <f>J6430</f>
        <v>495</v>
      </c>
      <c r="K6438" s="212">
        <f>K6430</f>
        <v>495</v>
      </c>
      <c r="L6438" s="58"/>
      <c r="M6438" s="58">
        <f>K6438-L6438</f>
        <v>495</v>
      </c>
      <c r="N6438" s="166"/>
      <c r="O6438" s="58"/>
      <c r="P6438" s="58"/>
      <c r="Q6438" s="58"/>
      <c r="R6438" s="58"/>
      <c r="S6438" s="58"/>
      <c r="T6438" s="220"/>
      <c r="U6438" s="88"/>
      <c r="V6438" s="56"/>
      <c r="W6438" s="57" t="s">
        <v>1612</v>
      </c>
      <c r="X6438" s="53"/>
      <c r="Y6438" s="91" t="s">
        <v>64</v>
      </c>
      <c r="Z6438" s="136">
        <f>AD6438/AC6438</f>
        <v>50</v>
      </c>
      <c r="AA6438" s="58"/>
      <c r="AB6438" s="53">
        <f>AD6438/AC6438</f>
        <v>50</v>
      </c>
      <c r="AC6438" s="53">
        <f>M6438+$AE$10</f>
        <v>495</v>
      </c>
      <c r="AD6438" s="54">
        <f>SUM(AD6439:AD6442)</f>
        <v>24750</v>
      </c>
      <c r="AE6438" s="184">
        <f>SUMIFS($AD$37:$AD$12971,$V$37:$V$12971,$V6438,$X$37:$X$12971,AE$13)</f>
        <v>0</v>
      </c>
      <c r="AF6438" s="185">
        <f>SUMIFS($AD$37:$AD$12971,$V$37:$V$12971,$V6438,$X$37:$X$12971,AF$13)</f>
        <v>0</v>
      </c>
      <c r="AG6438" s="185">
        <f>SUMIFS($AD$37:$AD$12971,$V$37:$V$12971,$V6438,$X$37:$X$12971,AG$13)</f>
        <v>0</v>
      </c>
      <c r="AH6438" s="187">
        <f>SUMIFS($AD$37:$AD$12971,$V$37:$V$12971,$V6438,$X$37:$X$12971,AH$13)</f>
        <v>0</v>
      </c>
      <c r="AI6438" s="161">
        <f t="shared" ref="AI6438" si="4519">SUM(AE6438:AH6438)</f>
        <v>0</v>
      </c>
      <c r="AK6438" s="172"/>
    </row>
    <row r="6439" spans="1:41" s="102" customFormat="1" ht="19.899999999999999" customHeight="1" x14ac:dyDescent="0.25">
      <c r="A6439" s="45"/>
      <c r="B6439" s="59"/>
      <c r="C6439" s="137"/>
      <c r="D6439" s="59"/>
      <c r="E6439" s="116"/>
      <c r="F6439" s="120"/>
      <c r="G6439" s="120"/>
      <c r="H6439" s="120"/>
      <c r="I6439" s="60"/>
      <c r="J6439" s="116"/>
      <c r="K6439" s="213"/>
      <c r="L6439" s="120"/>
      <c r="M6439" s="120"/>
      <c r="N6439" s="167"/>
      <c r="O6439" s="120"/>
      <c r="P6439" s="120"/>
      <c r="Q6439" s="120"/>
      <c r="R6439" s="120"/>
      <c r="S6439" s="120"/>
      <c r="T6439" s="221"/>
      <c r="U6439" s="89"/>
      <c r="V6439" s="61"/>
      <c r="W6439" s="92" t="s">
        <v>103</v>
      </c>
      <c r="X6439" s="93" t="s">
        <v>29</v>
      </c>
      <c r="Y6439" s="93" t="s">
        <v>64</v>
      </c>
      <c r="Z6439" s="134">
        <f>VLOOKUP(W6439,Sheet2!$B:$D,3,FALSE)</f>
        <v>2</v>
      </c>
      <c r="AA6439" s="93">
        <v>1</v>
      </c>
      <c r="AB6439" s="93">
        <f>AD6439/AC6438</f>
        <v>2</v>
      </c>
      <c r="AC6439" s="93">
        <f>AC6438/AA6439</f>
        <v>495</v>
      </c>
      <c r="AD6439" s="94">
        <f t="shared" ref="AD6439:AD6440" si="4520">AC6439*Z6439</f>
        <v>990</v>
      </c>
      <c r="AE6439" s="190"/>
      <c r="AF6439" s="191"/>
      <c r="AG6439" s="191"/>
      <c r="AH6439" s="191"/>
      <c r="AI6439" s="186"/>
      <c r="AK6439" s="171"/>
    </row>
    <row r="6440" spans="1:41" s="102" customFormat="1" ht="19.899999999999999" customHeight="1" x14ac:dyDescent="0.25">
      <c r="A6440" s="45"/>
      <c r="B6440" s="59"/>
      <c r="C6440" s="137"/>
      <c r="D6440" s="59"/>
      <c r="E6440" s="116"/>
      <c r="F6440" s="120"/>
      <c r="G6440" s="120"/>
      <c r="H6440" s="120"/>
      <c r="I6440" s="60"/>
      <c r="J6440" s="116"/>
      <c r="K6440" s="213"/>
      <c r="L6440" s="120"/>
      <c r="M6440" s="120"/>
      <c r="N6440" s="167"/>
      <c r="O6440" s="120"/>
      <c r="P6440" s="120"/>
      <c r="Q6440" s="120"/>
      <c r="R6440" s="120"/>
      <c r="S6440" s="120"/>
      <c r="T6440" s="221"/>
      <c r="U6440" s="89"/>
      <c r="V6440" s="61"/>
      <c r="W6440" s="92" t="s">
        <v>1611</v>
      </c>
      <c r="X6440" s="93" t="s">
        <v>30</v>
      </c>
      <c r="Y6440" s="93" t="s">
        <v>66</v>
      </c>
      <c r="Z6440" s="134">
        <f>VLOOKUP(W6440,Sheet2!$B:$D,3,FALSE)</f>
        <v>30</v>
      </c>
      <c r="AA6440" s="93">
        <v>10</v>
      </c>
      <c r="AB6440" s="93">
        <f>AD6440/AC6438</f>
        <v>3</v>
      </c>
      <c r="AC6440" s="93">
        <f>AC6438/AA6440</f>
        <v>49.5</v>
      </c>
      <c r="AD6440" s="94">
        <f t="shared" si="4520"/>
        <v>1485</v>
      </c>
      <c r="AE6440" s="190"/>
      <c r="AF6440" s="191"/>
      <c r="AG6440" s="191"/>
      <c r="AH6440" s="191"/>
      <c r="AI6440" s="186"/>
      <c r="AK6440" s="171"/>
    </row>
    <row r="6441" spans="1:41" s="102" customFormat="1" ht="19.899999999999999" customHeight="1" x14ac:dyDescent="0.25">
      <c r="A6441" s="45"/>
      <c r="B6441" s="59"/>
      <c r="C6441" s="137"/>
      <c r="D6441" s="59"/>
      <c r="E6441" s="116"/>
      <c r="F6441" s="120"/>
      <c r="G6441" s="120"/>
      <c r="H6441" s="120"/>
      <c r="I6441" s="60"/>
      <c r="J6441" s="116"/>
      <c r="K6441" s="213"/>
      <c r="L6441" s="120"/>
      <c r="M6441" s="120"/>
      <c r="N6441" s="167"/>
      <c r="O6441" s="120"/>
      <c r="P6441" s="120"/>
      <c r="Q6441" s="120"/>
      <c r="R6441" s="120"/>
      <c r="S6441" s="120"/>
      <c r="T6441" s="221"/>
      <c r="U6441" s="89"/>
      <c r="V6441" s="61"/>
      <c r="W6441" s="92" t="s">
        <v>1609</v>
      </c>
      <c r="X6441" s="93" t="s">
        <v>30</v>
      </c>
      <c r="Y6441" s="93" t="s">
        <v>64</v>
      </c>
      <c r="Z6441" s="134">
        <f>VLOOKUP(W6441,Sheet2!$B:$D,3,FALSE)</f>
        <v>25</v>
      </c>
      <c r="AA6441" s="93">
        <v>1</v>
      </c>
      <c r="AB6441" s="93">
        <f>AD6441/AC6438</f>
        <v>25</v>
      </c>
      <c r="AC6441" s="93">
        <f>AC6438/AA6441</f>
        <v>495</v>
      </c>
      <c r="AD6441" s="94">
        <f>AC6441*Z6441</f>
        <v>12375</v>
      </c>
      <c r="AE6441" s="190"/>
      <c r="AF6441" s="191"/>
      <c r="AG6441" s="191"/>
      <c r="AH6441" s="191"/>
      <c r="AI6441" s="186"/>
      <c r="AK6441" s="171"/>
    </row>
    <row r="6442" spans="1:41" s="102" customFormat="1" ht="19.899999999999999" customHeight="1" x14ac:dyDescent="0.25">
      <c r="A6442" s="45"/>
      <c r="B6442" s="59"/>
      <c r="C6442" s="137"/>
      <c r="D6442" s="59"/>
      <c r="E6442" s="116"/>
      <c r="F6442" s="120"/>
      <c r="G6442" s="120"/>
      <c r="H6442" s="120"/>
      <c r="I6442" s="60"/>
      <c r="J6442" s="116"/>
      <c r="K6442" s="213"/>
      <c r="L6442" s="120"/>
      <c r="M6442" s="120"/>
      <c r="N6442" s="167"/>
      <c r="O6442" s="120"/>
      <c r="P6442" s="120"/>
      <c r="Q6442" s="120"/>
      <c r="R6442" s="120"/>
      <c r="S6442" s="120"/>
      <c r="T6442" s="221"/>
      <c r="U6442" s="89"/>
      <c r="V6442" s="61"/>
      <c r="W6442" s="92" t="s">
        <v>1610</v>
      </c>
      <c r="X6442" s="93" t="s">
        <v>32</v>
      </c>
      <c r="Y6442" s="93" t="s">
        <v>64</v>
      </c>
      <c r="Z6442" s="134">
        <f>VLOOKUP(W6442,Sheet2!$B:$D,3,FALSE)</f>
        <v>20</v>
      </c>
      <c r="AA6442" s="93">
        <v>1</v>
      </c>
      <c r="AB6442" s="93">
        <f>AD6442/AC6438</f>
        <v>20</v>
      </c>
      <c r="AC6442" s="93">
        <f>AC6438/AA6442</f>
        <v>495</v>
      </c>
      <c r="AD6442" s="94">
        <f>AC6442*Z6442</f>
        <v>9900</v>
      </c>
      <c r="AE6442" s="190"/>
      <c r="AF6442" s="191"/>
      <c r="AG6442" s="191"/>
      <c r="AH6442" s="191"/>
      <c r="AI6442" s="186"/>
      <c r="AK6442" s="171"/>
    </row>
    <row r="6443" spans="1:41" ht="20.100000000000001" customHeight="1" x14ac:dyDescent="0.25">
      <c r="A6443" s="277" t="s">
        <v>491</v>
      </c>
      <c r="B6443" s="278"/>
      <c r="C6443" s="64" t="s">
        <v>675</v>
      </c>
      <c r="D6443" s="46" t="s">
        <v>196</v>
      </c>
      <c r="E6443" s="114">
        <v>200</v>
      </c>
      <c r="F6443" s="44">
        <v>86</v>
      </c>
      <c r="G6443" s="44">
        <f t="shared" si="3841"/>
        <v>17200</v>
      </c>
      <c r="H6443" s="44">
        <f t="shared" si="3842"/>
        <v>54.382399999999997</v>
      </c>
      <c r="I6443" s="43">
        <f t="shared" si="3843"/>
        <v>10876.48</v>
      </c>
      <c r="J6443" s="112">
        <f t="shared" si="3844"/>
        <v>200</v>
      </c>
      <c r="K6443" s="211">
        <f t="shared" si="3845"/>
        <v>200</v>
      </c>
      <c r="L6443" s="44"/>
      <c r="M6443" s="44">
        <f t="shared" si="3846"/>
        <v>200</v>
      </c>
      <c r="N6443" s="173">
        <f t="shared" si="3847"/>
        <v>1</v>
      </c>
      <c r="O6443" s="44">
        <f t="shared" si="3848"/>
        <v>86</v>
      </c>
      <c r="P6443" s="44">
        <f t="shared" si="3849"/>
        <v>17200</v>
      </c>
      <c r="Q6443" s="44">
        <f t="shared" si="3850"/>
        <v>54.382399999999997</v>
      </c>
      <c r="R6443" s="44">
        <f t="shared" si="3851"/>
        <v>10876.48</v>
      </c>
      <c r="S6443" s="123"/>
      <c r="T6443" s="219">
        <f t="shared" si="3852"/>
        <v>10876.48</v>
      </c>
      <c r="U6443" s="87"/>
      <c r="V6443" s="47"/>
      <c r="W6443" s="48"/>
      <c r="X6443" s="48"/>
      <c r="Y6443" s="48"/>
      <c r="Z6443" s="135"/>
      <c r="AA6443" s="49"/>
      <c r="AB6443" s="50">
        <f t="shared" si="3853"/>
        <v>54.382399999999997</v>
      </c>
      <c r="AC6443" s="42">
        <f t="shared" si="3854"/>
        <v>200</v>
      </c>
      <c r="AD6443" s="90">
        <f>AD6444+AD6451</f>
        <v>10876.48</v>
      </c>
      <c r="AE6443" s="188">
        <f t="shared" ref="AE6443" si="4521">AE6444+AE6451</f>
        <v>0</v>
      </c>
      <c r="AF6443" s="189">
        <f t="shared" ref="AF6443" si="4522">AF6444+AF6451</f>
        <v>0</v>
      </c>
      <c r="AG6443" s="189">
        <f t="shared" ref="AG6443" si="4523">AG6444+AG6451</f>
        <v>0</v>
      </c>
      <c r="AH6443" s="189">
        <f t="shared" ref="AH6443" si="4524">AH6444+AH6451</f>
        <v>0</v>
      </c>
      <c r="AI6443" s="161">
        <f t="shared" ref="AI6443" si="4525">SUM(AE6443:AH6443)</f>
        <v>0</v>
      </c>
      <c r="AK6443" s="169">
        <v>5</v>
      </c>
      <c r="AO6443" s="19" t="s">
        <v>63</v>
      </c>
    </row>
    <row r="6444" spans="1:41" s="103" customFormat="1" ht="19.899999999999999" customHeight="1" x14ac:dyDescent="0.25">
      <c r="A6444" s="51"/>
      <c r="B6444" s="52"/>
      <c r="C6444" s="165"/>
      <c r="D6444" s="52"/>
      <c r="E6444" s="115"/>
      <c r="F6444" s="58"/>
      <c r="G6444" s="58"/>
      <c r="H6444" s="58"/>
      <c r="I6444" s="55"/>
      <c r="J6444" s="113">
        <f>J6443</f>
        <v>200</v>
      </c>
      <c r="K6444" s="212">
        <f>K6443</f>
        <v>200</v>
      </c>
      <c r="L6444" s="58"/>
      <c r="M6444" s="58">
        <f>K6444-L6444</f>
        <v>200</v>
      </c>
      <c r="N6444" s="166"/>
      <c r="O6444" s="58"/>
      <c r="P6444" s="58"/>
      <c r="Q6444" s="58"/>
      <c r="R6444" s="58"/>
      <c r="S6444" s="58"/>
      <c r="T6444" s="220"/>
      <c r="U6444" s="88"/>
      <c r="V6444" s="56"/>
      <c r="W6444" s="57" t="s">
        <v>1608</v>
      </c>
      <c r="X6444" s="53"/>
      <c r="Y6444" s="91" t="s">
        <v>64</v>
      </c>
      <c r="Z6444" s="136">
        <f>AD6444/AC6444</f>
        <v>4.3824000000000005</v>
      </c>
      <c r="AA6444" s="58"/>
      <c r="AB6444" s="53">
        <f>AD6444/AC6444</f>
        <v>4.3824000000000005</v>
      </c>
      <c r="AC6444" s="53">
        <f>M6444+$AE$10</f>
        <v>200</v>
      </c>
      <c r="AD6444" s="54">
        <f>SUM(AD6445:AD6450)</f>
        <v>876.48</v>
      </c>
      <c r="AE6444" s="184">
        <f>SUMIFS($AD$37:$AD$12971,$V$37:$V$12971,$V6444,$X$37:$X$12971,AE$13)</f>
        <v>0</v>
      </c>
      <c r="AF6444" s="185">
        <f>SUMIFS($AD$37:$AD$12971,$V$37:$V$12971,$V6444,$X$37:$X$12971,AF$13)</f>
        <v>0</v>
      </c>
      <c r="AG6444" s="185">
        <f>SUMIFS($AD$37:$AD$12971,$V$37:$V$12971,$V6444,$X$37:$X$12971,AG$13)</f>
        <v>0</v>
      </c>
      <c r="AH6444" s="187">
        <f>SUMIFS($AD$37:$AD$12971,$V$37:$V$12971,$V6444,$X$37:$X$12971,AH$13)</f>
        <v>0</v>
      </c>
      <c r="AI6444" s="161">
        <f t="shared" ref="AI6444" si="4526">SUM(AE6444:AH6444)</f>
        <v>0</v>
      </c>
      <c r="AK6444" s="172"/>
    </row>
    <row r="6445" spans="1:41" s="102" customFormat="1" ht="19.899999999999999" customHeight="1" x14ac:dyDescent="0.25">
      <c r="A6445" s="45"/>
      <c r="B6445" s="59"/>
      <c r="C6445" s="137"/>
      <c r="D6445" s="59"/>
      <c r="E6445" s="116"/>
      <c r="F6445" s="120"/>
      <c r="G6445" s="120"/>
      <c r="H6445" s="120"/>
      <c r="I6445" s="60"/>
      <c r="J6445" s="116"/>
      <c r="K6445" s="213"/>
      <c r="L6445" s="120"/>
      <c r="M6445" s="120"/>
      <c r="N6445" s="167"/>
      <c r="O6445" s="120"/>
      <c r="P6445" s="120"/>
      <c r="Q6445" s="120"/>
      <c r="R6445" s="120"/>
      <c r="S6445" s="120"/>
      <c r="T6445" s="221"/>
      <c r="U6445" s="89"/>
      <c r="V6445" s="61"/>
      <c r="W6445" s="92" t="s">
        <v>160</v>
      </c>
      <c r="X6445" s="93" t="s">
        <v>29</v>
      </c>
      <c r="Y6445" s="93" t="s">
        <v>93</v>
      </c>
      <c r="Z6445" s="134">
        <f>VLOOKUP(W6445,Sheet2!$B:$D,3,FALSE)</f>
        <v>44</v>
      </c>
      <c r="AA6445" s="93">
        <v>20</v>
      </c>
      <c r="AB6445" s="93">
        <f>AD6445/AC6444</f>
        <v>2.2000000000000002</v>
      </c>
      <c r="AC6445" s="93">
        <f>AC6444/AA6445</f>
        <v>10</v>
      </c>
      <c r="AD6445" s="94">
        <f t="shared" ref="AD6445:AD6446" si="4527">AC6445*Z6445</f>
        <v>440</v>
      </c>
      <c r="AE6445" s="190"/>
      <c r="AF6445" s="191"/>
      <c r="AG6445" s="191"/>
      <c r="AH6445" s="191"/>
      <c r="AI6445" s="186"/>
      <c r="AK6445" s="171"/>
    </row>
    <row r="6446" spans="1:41" s="102" customFormat="1" ht="19.899999999999999" customHeight="1" x14ac:dyDescent="0.25">
      <c r="A6446" s="45"/>
      <c r="B6446" s="59"/>
      <c r="C6446" s="137"/>
      <c r="D6446" s="59"/>
      <c r="E6446" s="116"/>
      <c r="F6446" s="120"/>
      <c r="G6446" s="120"/>
      <c r="H6446" s="120"/>
      <c r="I6446" s="60"/>
      <c r="J6446" s="116"/>
      <c r="K6446" s="213"/>
      <c r="L6446" s="120"/>
      <c r="M6446" s="120"/>
      <c r="N6446" s="167"/>
      <c r="O6446" s="120"/>
      <c r="P6446" s="120"/>
      <c r="Q6446" s="120"/>
      <c r="R6446" s="120"/>
      <c r="S6446" s="120"/>
      <c r="T6446" s="221"/>
      <c r="U6446" s="89"/>
      <c r="V6446" s="61"/>
      <c r="W6446" s="92" t="s">
        <v>65</v>
      </c>
      <c r="X6446" s="93" t="s">
        <v>30</v>
      </c>
      <c r="Y6446" s="93" t="s">
        <v>1011</v>
      </c>
      <c r="Z6446" s="134">
        <f>VLOOKUP(W6446,Sheet2!$B:$D,3,FALSE)</f>
        <v>1.76</v>
      </c>
      <c r="AA6446" s="93">
        <f>AA6445/10</f>
        <v>2</v>
      </c>
      <c r="AB6446" s="93">
        <f>AD6446/AC6444</f>
        <v>0.88</v>
      </c>
      <c r="AC6446" s="93">
        <f>AC6444/AA6446</f>
        <v>100</v>
      </c>
      <c r="AD6446" s="94">
        <f t="shared" si="4527"/>
        <v>176</v>
      </c>
      <c r="AE6446" s="190"/>
      <c r="AF6446" s="191"/>
      <c r="AG6446" s="191"/>
      <c r="AH6446" s="191"/>
      <c r="AI6446" s="186"/>
      <c r="AK6446" s="171"/>
    </row>
    <row r="6447" spans="1:41" s="102" customFormat="1" ht="19.899999999999999" customHeight="1" x14ac:dyDescent="0.25">
      <c r="A6447" s="45"/>
      <c r="B6447" s="59"/>
      <c r="C6447" s="137"/>
      <c r="D6447" s="59"/>
      <c r="E6447" s="116"/>
      <c r="F6447" s="120"/>
      <c r="G6447" s="120"/>
      <c r="H6447" s="120"/>
      <c r="I6447" s="60"/>
      <c r="J6447" s="116"/>
      <c r="K6447" s="213"/>
      <c r="L6447" s="120"/>
      <c r="M6447" s="120"/>
      <c r="N6447" s="167"/>
      <c r="O6447" s="120"/>
      <c r="P6447" s="120"/>
      <c r="Q6447" s="120"/>
      <c r="R6447" s="120"/>
      <c r="S6447" s="120"/>
      <c r="T6447" s="221"/>
      <c r="U6447" s="89"/>
      <c r="V6447" s="61"/>
      <c r="W6447" s="92" t="s">
        <v>148</v>
      </c>
      <c r="X6447" s="93" t="s">
        <v>29</v>
      </c>
      <c r="Y6447" s="93" t="s">
        <v>93</v>
      </c>
      <c r="Z6447" s="134">
        <f>VLOOKUP(W6447,Sheet2!$B:$D,3,FALSE)</f>
        <v>48</v>
      </c>
      <c r="AA6447" s="93">
        <v>100</v>
      </c>
      <c r="AB6447" s="93">
        <f>AD6447/AC6444</f>
        <v>0.48</v>
      </c>
      <c r="AC6447" s="93">
        <f>AC6444/AA6447</f>
        <v>2</v>
      </c>
      <c r="AD6447" s="94">
        <f>AC6447*Z6447</f>
        <v>96</v>
      </c>
      <c r="AE6447" s="190"/>
      <c r="AF6447" s="191"/>
      <c r="AG6447" s="191"/>
      <c r="AH6447" s="191"/>
      <c r="AI6447" s="186"/>
      <c r="AK6447" s="171"/>
    </row>
    <row r="6448" spans="1:41" s="102" customFormat="1" ht="19.899999999999999" customHeight="1" x14ac:dyDescent="0.25">
      <c r="A6448" s="45"/>
      <c r="B6448" s="59"/>
      <c r="C6448" s="137"/>
      <c r="D6448" s="59"/>
      <c r="E6448" s="116"/>
      <c r="F6448" s="120"/>
      <c r="G6448" s="120"/>
      <c r="H6448" s="120"/>
      <c r="I6448" s="60"/>
      <c r="J6448" s="116"/>
      <c r="K6448" s="213"/>
      <c r="L6448" s="120"/>
      <c r="M6448" s="120"/>
      <c r="N6448" s="167"/>
      <c r="O6448" s="120"/>
      <c r="P6448" s="120"/>
      <c r="Q6448" s="120"/>
      <c r="R6448" s="120"/>
      <c r="S6448" s="120"/>
      <c r="T6448" s="221"/>
      <c r="U6448" s="89"/>
      <c r="V6448" s="61"/>
      <c r="W6448" s="92" t="s">
        <v>65</v>
      </c>
      <c r="X6448" s="93" t="s">
        <v>30</v>
      </c>
      <c r="Y6448" s="93" t="s">
        <v>1011</v>
      </c>
      <c r="Z6448" s="134">
        <f>VLOOKUP(W6448,Sheet2!$B:$D,3,FALSE)</f>
        <v>1.76</v>
      </c>
      <c r="AA6448" s="93">
        <f>AA6447/10</f>
        <v>10</v>
      </c>
      <c r="AB6448" s="93">
        <f>AD6448/AC6444</f>
        <v>0.17600000000000002</v>
      </c>
      <c r="AC6448" s="93">
        <f>AC6444/AA6448</f>
        <v>20</v>
      </c>
      <c r="AD6448" s="94">
        <f t="shared" ref="AD6448:AD6450" si="4528">AC6448*Z6448</f>
        <v>35.200000000000003</v>
      </c>
      <c r="AE6448" s="190"/>
      <c r="AF6448" s="191"/>
      <c r="AG6448" s="191"/>
      <c r="AH6448" s="191"/>
      <c r="AI6448" s="186"/>
      <c r="AK6448" s="171"/>
    </row>
    <row r="6449" spans="1:41" s="102" customFormat="1" ht="19.899999999999999" customHeight="1" x14ac:dyDescent="0.25">
      <c r="A6449" s="45"/>
      <c r="B6449" s="59"/>
      <c r="C6449" s="137"/>
      <c r="D6449" s="59"/>
      <c r="E6449" s="116"/>
      <c r="F6449" s="120"/>
      <c r="G6449" s="120"/>
      <c r="H6449" s="120"/>
      <c r="I6449" s="60"/>
      <c r="J6449" s="116"/>
      <c r="K6449" s="213"/>
      <c r="L6449" s="120"/>
      <c r="M6449" s="120"/>
      <c r="N6449" s="167"/>
      <c r="O6449" s="120"/>
      <c r="P6449" s="120"/>
      <c r="Q6449" s="120"/>
      <c r="R6449" s="120"/>
      <c r="S6449" s="120"/>
      <c r="T6449" s="221"/>
      <c r="U6449" s="89"/>
      <c r="V6449" s="61"/>
      <c r="W6449" s="92" t="s">
        <v>145</v>
      </c>
      <c r="X6449" s="93" t="s">
        <v>29</v>
      </c>
      <c r="Y6449" s="93" t="s">
        <v>93</v>
      </c>
      <c r="Z6449" s="134">
        <f>VLOOKUP(W6449,Sheet2!$B:$D,3,FALSE)</f>
        <v>40</v>
      </c>
      <c r="AA6449" s="93">
        <v>100</v>
      </c>
      <c r="AB6449" s="93">
        <f t="shared" ref="AB6449" si="4529">AD6449/AC6444</f>
        <v>0.4</v>
      </c>
      <c r="AC6449" s="93">
        <f>AC6444/AA6449</f>
        <v>2</v>
      </c>
      <c r="AD6449" s="94">
        <f t="shared" si="4528"/>
        <v>80</v>
      </c>
      <c r="AE6449" s="190"/>
      <c r="AF6449" s="191"/>
      <c r="AG6449" s="191"/>
      <c r="AH6449" s="191"/>
      <c r="AI6449" s="186"/>
      <c r="AK6449" s="171"/>
    </row>
    <row r="6450" spans="1:41" s="102" customFormat="1" ht="19.899999999999999" customHeight="1" x14ac:dyDescent="0.25">
      <c r="A6450" s="45"/>
      <c r="B6450" s="59"/>
      <c r="C6450" s="137"/>
      <c r="D6450" s="59"/>
      <c r="E6450" s="116"/>
      <c r="F6450" s="120"/>
      <c r="G6450" s="120"/>
      <c r="H6450" s="120"/>
      <c r="I6450" s="60"/>
      <c r="J6450" s="116"/>
      <c r="K6450" s="213"/>
      <c r="L6450" s="120"/>
      <c r="M6450" s="120"/>
      <c r="N6450" s="167"/>
      <c r="O6450" s="120"/>
      <c r="P6450" s="120"/>
      <c r="Q6450" s="120"/>
      <c r="R6450" s="120"/>
      <c r="S6450" s="120"/>
      <c r="T6450" s="221"/>
      <c r="U6450" s="89"/>
      <c r="V6450" s="61"/>
      <c r="W6450" s="92" t="s">
        <v>65</v>
      </c>
      <c r="X6450" s="93" t="s">
        <v>30</v>
      </c>
      <c r="Y6450" s="93" t="s">
        <v>1011</v>
      </c>
      <c r="Z6450" s="134">
        <f>VLOOKUP(W6450,Sheet2!$B:$D,3,FALSE)</f>
        <v>1.76</v>
      </c>
      <c r="AA6450" s="93">
        <f>AA6449/14</f>
        <v>7.1428571428571432</v>
      </c>
      <c r="AB6450" s="93">
        <f>AD6450/AC6444</f>
        <v>0.24640000000000001</v>
      </c>
      <c r="AC6450" s="93">
        <f>AC6444/AA6450</f>
        <v>28</v>
      </c>
      <c r="AD6450" s="94">
        <f t="shared" si="4528"/>
        <v>49.28</v>
      </c>
      <c r="AE6450" s="190"/>
      <c r="AF6450" s="191"/>
      <c r="AG6450" s="191"/>
      <c r="AH6450" s="191"/>
      <c r="AI6450" s="186"/>
      <c r="AK6450" s="171"/>
    </row>
    <row r="6451" spans="1:41" s="103" customFormat="1" ht="19.899999999999999" customHeight="1" x14ac:dyDescent="0.25">
      <c r="A6451" s="51"/>
      <c r="B6451" s="52"/>
      <c r="C6451" s="165"/>
      <c r="D6451" s="52"/>
      <c r="E6451" s="115"/>
      <c r="F6451" s="58"/>
      <c r="G6451" s="58"/>
      <c r="H6451" s="58"/>
      <c r="I6451" s="55"/>
      <c r="J6451" s="113">
        <f>J6443</f>
        <v>200</v>
      </c>
      <c r="K6451" s="212">
        <f>K6443</f>
        <v>200</v>
      </c>
      <c r="L6451" s="58"/>
      <c r="M6451" s="58">
        <f>K6451-L6451</f>
        <v>200</v>
      </c>
      <c r="N6451" s="166"/>
      <c r="O6451" s="58"/>
      <c r="P6451" s="58"/>
      <c r="Q6451" s="58"/>
      <c r="R6451" s="58"/>
      <c r="S6451" s="58"/>
      <c r="T6451" s="220"/>
      <c r="U6451" s="88"/>
      <c r="V6451" s="56"/>
      <c r="W6451" s="57" t="s">
        <v>1612</v>
      </c>
      <c r="X6451" s="53"/>
      <c r="Y6451" s="91" t="s">
        <v>64</v>
      </c>
      <c r="Z6451" s="136">
        <f>AD6451/AC6451</f>
        <v>50</v>
      </c>
      <c r="AA6451" s="58"/>
      <c r="AB6451" s="53">
        <f>AD6451/AC6451</f>
        <v>50</v>
      </c>
      <c r="AC6451" s="53">
        <f>M6451+$AE$10</f>
        <v>200</v>
      </c>
      <c r="AD6451" s="54">
        <f>SUM(AD6452:AD6455)</f>
        <v>10000</v>
      </c>
      <c r="AE6451" s="184">
        <f>SUMIFS($AD$37:$AD$12971,$V$37:$V$12971,$V6451,$X$37:$X$12971,AE$13)</f>
        <v>0</v>
      </c>
      <c r="AF6451" s="185">
        <f>SUMIFS($AD$37:$AD$12971,$V$37:$V$12971,$V6451,$X$37:$X$12971,AF$13)</f>
        <v>0</v>
      </c>
      <c r="AG6451" s="185">
        <f>SUMIFS($AD$37:$AD$12971,$V$37:$V$12971,$V6451,$X$37:$X$12971,AG$13)</f>
        <v>0</v>
      </c>
      <c r="AH6451" s="187">
        <f>SUMIFS($AD$37:$AD$12971,$V$37:$V$12971,$V6451,$X$37:$X$12971,AH$13)</f>
        <v>0</v>
      </c>
      <c r="AI6451" s="161">
        <f t="shared" ref="AI6451" si="4530">SUM(AE6451:AH6451)</f>
        <v>0</v>
      </c>
      <c r="AK6451" s="172"/>
    </row>
    <row r="6452" spans="1:41" s="102" customFormat="1" ht="19.899999999999999" customHeight="1" x14ac:dyDescent="0.25">
      <c r="A6452" s="45"/>
      <c r="B6452" s="59"/>
      <c r="C6452" s="137"/>
      <c r="D6452" s="59"/>
      <c r="E6452" s="116"/>
      <c r="F6452" s="120"/>
      <c r="G6452" s="120"/>
      <c r="H6452" s="120"/>
      <c r="I6452" s="60"/>
      <c r="J6452" s="116"/>
      <c r="K6452" s="213"/>
      <c r="L6452" s="120"/>
      <c r="M6452" s="120"/>
      <c r="N6452" s="167"/>
      <c r="O6452" s="120"/>
      <c r="P6452" s="120"/>
      <c r="Q6452" s="120"/>
      <c r="R6452" s="120"/>
      <c r="S6452" s="120"/>
      <c r="T6452" s="221"/>
      <c r="U6452" s="89"/>
      <c r="V6452" s="61"/>
      <c r="W6452" s="92" t="s">
        <v>103</v>
      </c>
      <c r="X6452" s="93" t="s">
        <v>29</v>
      </c>
      <c r="Y6452" s="93" t="s">
        <v>64</v>
      </c>
      <c r="Z6452" s="134">
        <f>VLOOKUP(W6452,Sheet2!$B:$D,3,FALSE)</f>
        <v>2</v>
      </c>
      <c r="AA6452" s="93">
        <v>1</v>
      </c>
      <c r="AB6452" s="93">
        <f>AD6452/AC6451</f>
        <v>2</v>
      </c>
      <c r="AC6452" s="93">
        <f>AC6451/AA6452</f>
        <v>200</v>
      </c>
      <c r="AD6452" s="94">
        <f t="shared" ref="AD6452:AD6453" si="4531">AC6452*Z6452</f>
        <v>400</v>
      </c>
      <c r="AE6452" s="190"/>
      <c r="AF6452" s="191"/>
      <c r="AG6452" s="191"/>
      <c r="AH6452" s="191"/>
      <c r="AI6452" s="186"/>
      <c r="AK6452" s="171"/>
    </row>
    <row r="6453" spans="1:41" s="102" customFormat="1" ht="19.899999999999999" customHeight="1" x14ac:dyDescent="0.25">
      <c r="A6453" s="45"/>
      <c r="B6453" s="59"/>
      <c r="C6453" s="137"/>
      <c r="D6453" s="59"/>
      <c r="E6453" s="116"/>
      <c r="F6453" s="120"/>
      <c r="G6453" s="120"/>
      <c r="H6453" s="120"/>
      <c r="I6453" s="60"/>
      <c r="J6453" s="116"/>
      <c r="K6453" s="213"/>
      <c r="L6453" s="120"/>
      <c r="M6453" s="120"/>
      <c r="N6453" s="167"/>
      <c r="O6453" s="120"/>
      <c r="P6453" s="120"/>
      <c r="Q6453" s="120"/>
      <c r="R6453" s="120"/>
      <c r="S6453" s="120"/>
      <c r="T6453" s="221"/>
      <c r="U6453" s="89"/>
      <c r="V6453" s="61"/>
      <c r="W6453" s="92" t="s">
        <v>1611</v>
      </c>
      <c r="X6453" s="93" t="s">
        <v>30</v>
      </c>
      <c r="Y6453" s="93" t="s">
        <v>66</v>
      </c>
      <c r="Z6453" s="134">
        <f>VLOOKUP(W6453,Sheet2!$B:$D,3,FALSE)</f>
        <v>30</v>
      </c>
      <c r="AA6453" s="93">
        <v>10</v>
      </c>
      <c r="AB6453" s="93">
        <f>AD6453/AC6451</f>
        <v>3</v>
      </c>
      <c r="AC6453" s="93">
        <f>AC6451/AA6453</f>
        <v>20</v>
      </c>
      <c r="AD6453" s="94">
        <f t="shared" si="4531"/>
        <v>600</v>
      </c>
      <c r="AE6453" s="190"/>
      <c r="AF6453" s="191"/>
      <c r="AG6453" s="191"/>
      <c r="AH6453" s="191"/>
      <c r="AI6453" s="186"/>
      <c r="AK6453" s="171"/>
    </row>
    <row r="6454" spans="1:41" s="102" customFormat="1" ht="19.899999999999999" customHeight="1" x14ac:dyDescent="0.25">
      <c r="A6454" s="45"/>
      <c r="B6454" s="59"/>
      <c r="C6454" s="137"/>
      <c r="D6454" s="59"/>
      <c r="E6454" s="116"/>
      <c r="F6454" s="120"/>
      <c r="G6454" s="120"/>
      <c r="H6454" s="120"/>
      <c r="I6454" s="60"/>
      <c r="J6454" s="116"/>
      <c r="K6454" s="213"/>
      <c r="L6454" s="120"/>
      <c r="M6454" s="120"/>
      <c r="N6454" s="167"/>
      <c r="O6454" s="120"/>
      <c r="P6454" s="120"/>
      <c r="Q6454" s="120"/>
      <c r="R6454" s="120"/>
      <c r="S6454" s="120"/>
      <c r="T6454" s="221"/>
      <c r="U6454" s="89"/>
      <c r="V6454" s="61"/>
      <c r="W6454" s="92" t="s">
        <v>1609</v>
      </c>
      <c r="X6454" s="93" t="s">
        <v>30</v>
      </c>
      <c r="Y6454" s="93" t="s">
        <v>64</v>
      </c>
      <c r="Z6454" s="134">
        <f>VLOOKUP(W6454,Sheet2!$B:$D,3,FALSE)</f>
        <v>25</v>
      </c>
      <c r="AA6454" s="93">
        <v>1</v>
      </c>
      <c r="AB6454" s="93">
        <f>AD6454/AC6451</f>
        <v>25</v>
      </c>
      <c r="AC6454" s="93">
        <f>AC6451/AA6454</f>
        <v>200</v>
      </c>
      <c r="AD6454" s="94">
        <f>AC6454*Z6454</f>
        <v>5000</v>
      </c>
      <c r="AE6454" s="190"/>
      <c r="AF6454" s="191"/>
      <c r="AG6454" s="191"/>
      <c r="AH6454" s="191"/>
      <c r="AI6454" s="186"/>
      <c r="AK6454" s="171"/>
    </row>
    <row r="6455" spans="1:41" s="102" customFormat="1" ht="19.899999999999999" customHeight="1" x14ac:dyDescent="0.25">
      <c r="A6455" s="45"/>
      <c r="B6455" s="59"/>
      <c r="C6455" s="137"/>
      <c r="D6455" s="59"/>
      <c r="E6455" s="116"/>
      <c r="F6455" s="120"/>
      <c r="G6455" s="120"/>
      <c r="H6455" s="120"/>
      <c r="I6455" s="60"/>
      <c r="J6455" s="116"/>
      <c r="K6455" s="213"/>
      <c r="L6455" s="120"/>
      <c r="M6455" s="120"/>
      <c r="N6455" s="167"/>
      <c r="O6455" s="120"/>
      <c r="P6455" s="120"/>
      <c r="Q6455" s="120"/>
      <c r="R6455" s="120"/>
      <c r="S6455" s="120"/>
      <c r="T6455" s="221"/>
      <c r="U6455" s="89"/>
      <c r="V6455" s="61"/>
      <c r="W6455" s="92" t="s">
        <v>1610</v>
      </c>
      <c r="X6455" s="93" t="s">
        <v>32</v>
      </c>
      <c r="Y6455" s="93" t="s">
        <v>64</v>
      </c>
      <c r="Z6455" s="134">
        <f>VLOOKUP(W6455,Sheet2!$B:$D,3,FALSE)</f>
        <v>20</v>
      </c>
      <c r="AA6455" s="93">
        <v>1</v>
      </c>
      <c r="AB6455" s="93">
        <f>AD6455/AC6451</f>
        <v>20</v>
      </c>
      <c r="AC6455" s="93">
        <f>AC6451/AA6455</f>
        <v>200</v>
      </c>
      <c r="AD6455" s="94">
        <f>AC6455*Z6455</f>
        <v>4000</v>
      </c>
      <c r="AE6455" s="190"/>
      <c r="AF6455" s="191"/>
      <c r="AG6455" s="191"/>
      <c r="AH6455" s="191"/>
      <c r="AI6455" s="186"/>
      <c r="AK6455" s="171"/>
    </row>
    <row r="6456" spans="1:41" s="102" customFormat="1" ht="20.100000000000001" customHeight="1" x14ac:dyDescent="0.25">
      <c r="A6456" s="45" t="s">
        <v>491</v>
      </c>
      <c r="B6456" s="276"/>
      <c r="C6456" s="285" t="s">
        <v>676</v>
      </c>
      <c r="D6456" s="59"/>
      <c r="E6456" s="116"/>
      <c r="F6456" s="120"/>
      <c r="G6456" s="120">
        <f t="shared" si="3841"/>
        <v>0</v>
      </c>
      <c r="H6456" s="120">
        <f t="shared" si="3842"/>
        <v>0</v>
      </c>
      <c r="I6456" s="60">
        <f t="shared" si="3843"/>
        <v>0</v>
      </c>
      <c r="J6456" s="116">
        <f t="shared" si="3844"/>
        <v>0</v>
      </c>
      <c r="K6456" s="213">
        <f t="shared" si="3845"/>
        <v>0</v>
      </c>
      <c r="L6456" s="120"/>
      <c r="M6456" s="120">
        <f t="shared" si="3846"/>
        <v>0</v>
      </c>
      <c r="N6456" s="167">
        <f t="shared" si="3847"/>
        <v>0</v>
      </c>
      <c r="O6456" s="120">
        <f t="shared" si="3848"/>
        <v>0</v>
      </c>
      <c r="P6456" s="120">
        <f t="shared" si="3849"/>
        <v>0</v>
      </c>
      <c r="Q6456" s="120">
        <f t="shared" si="3850"/>
        <v>0</v>
      </c>
      <c r="R6456" s="120">
        <f t="shared" si="3851"/>
        <v>0</v>
      </c>
      <c r="S6456" s="120"/>
      <c r="T6456" s="221">
        <f t="shared" si="3852"/>
        <v>0</v>
      </c>
      <c r="U6456" s="89"/>
      <c r="V6456" s="61"/>
      <c r="W6456" s="92"/>
      <c r="X6456" s="38"/>
      <c r="Y6456" s="93"/>
      <c r="Z6456" s="134"/>
      <c r="AA6456" s="93"/>
      <c r="AB6456" s="93"/>
      <c r="AC6456" s="93"/>
      <c r="AD6456" s="94"/>
      <c r="AE6456" s="190"/>
      <c r="AF6456" s="191"/>
      <c r="AG6456" s="191"/>
      <c r="AH6456" s="191"/>
      <c r="AI6456" s="186"/>
      <c r="AK6456" s="171"/>
    </row>
    <row r="6457" spans="1:41" s="102" customFormat="1" ht="94.5" x14ac:dyDescent="0.25">
      <c r="A6457" s="45" t="s">
        <v>491</v>
      </c>
      <c r="B6457" s="276"/>
      <c r="C6457" s="285" t="s">
        <v>677</v>
      </c>
      <c r="D6457" s="59"/>
      <c r="E6457" s="116"/>
      <c r="F6457" s="120"/>
      <c r="G6457" s="120">
        <f t="shared" si="3841"/>
        <v>0</v>
      </c>
      <c r="H6457" s="120">
        <f t="shared" si="3842"/>
        <v>0</v>
      </c>
      <c r="I6457" s="60">
        <f t="shared" si="3843"/>
        <v>0</v>
      </c>
      <c r="J6457" s="116">
        <f t="shared" si="3844"/>
        <v>0</v>
      </c>
      <c r="K6457" s="213">
        <f t="shared" si="3845"/>
        <v>0</v>
      </c>
      <c r="L6457" s="120"/>
      <c r="M6457" s="120">
        <f t="shared" si="3846"/>
        <v>0</v>
      </c>
      <c r="N6457" s="167">
        <f t="shared" si="3847"/>
        <v>0</v>
      </c>
      <c r="O6457" s="120">
        <f t="shared" si="3848"/>
        <v>0</v>
      </c>
      <c r="P6457" s="120">
        <f t="shared" si="3849"/>
        <v>0</v>
      </c>
      <c r="Q6457" s="120">
        <f t="shared" si="3850"/>
        <v>0</v>
      </c>
      <c r="R6457" s="120">
        <f t="shared" si="3851"/>
        <v>0</v>
      </c>
      <c r="S6457" s="120"/>
      <c r="T6457" s="221">
        <f t="shared" si="3852"/>
        <v>0</v>
      </c>
      <c r="U6457" s="89"/>
      <c r="V6457" s="61"/>
      <c r="W6457" s="92"/>
      <c r="X6457" s="38"/>
      <c r="Y6457" s="93"/>
      <c r="Z6457" s="134"/>
      <c r="AA6457" s="93"/>
      <c r="AB6457" s="93"/>
      <c r="AC6457" s="93"/>
      <c r="AD6457" s="94"/>
      <c r="AE6457" s="190"/>
      <c r="AF6457" s="191"/>
      <c r="AG6457" s="191"/>
      <c r="AH6457" s="191"/>
      <c r="AI6457" s="186"/>
      <c r="AK6457" s="171"/>
    </row>
    <row r="6458" spans="1:41" ht="25.5" x14ac:dyDescent="0.25">
      <c r="A6458" s="277" t="s">
        <v>491</v>
      </c>
      <c r="B6458" s="278"/>
      <c r="C6458" s="64" t="s">
        <v>678</v>
      </c>
      <c r="D6458" s="46" t="s">
        <v>97</v>
      </c>
      <c r="E6458" s="114">
        <v>45</v>
      </c>
      <c r="F6458" s="44">
        <v>189</v>
      </c>
      <c r="G6458" s="44">
        <f t="shared" si="3841"/>
        <v>8505</v>
      </c>
      <c r="H6458" s="44">
        <f t="shared" si="3842"/>
        <v>182.48333333333332</v>
      </c>
      <c r="I6458" s="43">
        <f t="shared" si="3843"/>
        <v>8211.75</v>
      </c>
      <c r="J6458" s="112">
        <f t="shared" si="3844"/>
        <v>45</v>
      </c>
      <c r="K6458" s="211">
        <f t="shared" si="3845"/>
        <v>45</v>
      </c>
      <c r="L6458" s="44"/>
      <c r="M6458" s="44">
        <f t="shared" si="3846"/>
        <v>45</v>
      </c>
      <c r="N6458" s="173">
        <f t="shared" si="3847"/>
        <v>1</v>
      </c>
      <c r="O6458" s="44">
        <f t="shared" si="3848"/>
        <v>189</v>
      </c>
      <c r="P6458" s="44">
        <f t="shared" si="3849"/>
        <v>8505</v>
      </c>
      <c r="Q6458" s="44">
        <f t="shared" si="3850"/>
        <v>182.48333333333332</v>
      </c>
      <c r="R6458" s="44">
        <f t="shared" si="3851"/>
        <v>8211.75</v>
      </c>
      <c r="S6458" s="123"/>
      <c r="T6458" s="219">
        <f t="shared" si="3852"/>
        <v>8211.75</v>
      </c>
      <c r="U6458" s="87"/>
      <c r="V6458" s="47"/>
      <c r="W6458" s="48"/>
      <c r="X6458" s="48"/>
      <c r="Y6458" s="48"/>
      <c r="Z6458" s="135"/>
      <c r="AA6458" s="49"/>
      <c r="AB6458" s="50">
        <f t="shared" si="3853"/>
        <v>182.48333333333332</v>
      </c>
      <c r="AC6458" s="42">
        <f t="shared" si="3854"/>
        <v>45</v>
      </c>
      <c r="AD6458" s="90">
        <f>AD6459+AD6462+AD6464</f>
        <v>8211.75</v>
      </c>
      <c r="AE6458" s="188">
        <f t="shared" ref="AE6458:AH6458" si="4532">AE6459+AE6462+AE6464</f>
        <v>0</v>
      </c>
      <c r="AF6458" s="189">
        <f t="shared" si="4532"/>
        <v>0</v>
      </c>
      <c r="AG6458" s="189">
        <f t="shared" si="4532"/>
        <v>0</v>
      </c>
      <c r="AH6458" s="189">
        <f t="shared" si="4532"/>
        <v>0</v>
      </c>
      <c r="AI6458" s="161">
        <f t="shared" ref="AI6458:AI6459" si="4533">SUM(AE6458:AH6458)</f>
        <v>0</v>
      </c>
      <c r="AK6458" s="169">
        <v>5</v>
      </c>
      <c r="AO6458" s="19" t="s">
        <v>63</v>
      </c>
    </row>
    <row r="6459" spans="1:41" s="103" customFormat="1" ht="19.899999999999999" customHeight="1" x14ac:dyDescent="0.25">
      <c r="A6459" s="51"/>
      <c r="B6459" s="52"/>
      <c r="C6459" s="165"/>
      <c r="D6459" s="52"/>
      <c r="E6459" s="115"/>
      <c r="F6459" s="58"/>
      <c r="G6459" s="58"/>
      <c r="H6459" s="58"/>
      <c r="I6459" s="55"/>
      <c r="J6459" s="113">
        <f>J6458</f>
        <v>45</v>
      </c>
      <c r="K6459" s="212">
        <f>K6458</f>
        <v>45</v>
      </c>
      <c r="L6459" s="58"/>
      <c r="M6459" s="58">
        <f>K6459-L6459</f>
        <v>45</v>
      </c>
      <c r="N6459" s="166"/>
      <c r="O6459" s="58"/>
      <c r="P6459" s="58"/>
      <c r="Q6459" s="58"/>
      <c r="R6459" s="58"/>
      <c r="S6459" s="58"/>
      <c r="T6459" s="220"/>
      <c r="U6459" s="88"/>
      <c r="V6459" s="56"/>
      <c r="W6459" s="57" t="s">
        <v>1613</v>
      </c>
      <c r="X6459" s="53"/>
      <c r="Y6459" s="91" t="s">
        <v>68</v>
      </c>
      <c r="Z6459" s="136">
        <f>AD6459/AC6459</f>
        <v>3.3</v>
      </c>
      <c r="AA6459" s="58"/>
      <c r="AB6459" s="53">
        <f>AD6459/AC6459</f>
        <v>3.3</v>
      </c>
      <c r="AC6459" s="53">
        <f>M6459+$AE$10</f>
        <v>45</v>
      </c>
      <c r="AD6459" s="54">
        <f>SUM(AD6460:AD6461)</f>
        <v>148.5</v>
      </c>
      <c r="AE6459" s="184">
        <f>SUMIFS($AD$37:$AD$12971,$V$37:$V$12971,$V6459,$X$37:$X$12971,AE$13)</f>
        <v>0</v>
      </c>
      <c r="AF6459" s="185">
        <f>SUMIFS($AD$37:$AD$12971,$V$37:$V$12971,$V6459,$X$37:$X$12971,AF$13)</f>
        <v>0</v>
      </c>
      <c r="AG6459" s="185">
        <f>SUMIFS($AD$37:$AD$12971,$V$37:$V$12971,$V6459,$X$37:$X$12971,AG$13)</f>
        <v>0</v>
      </c>
      <c r="AH6459" s="187">
        <f>SUMIFS($AD$37:$AD$12971,$V$37:$V$12971,$V6459,$X$37:$X$12971,AH$13)</f>
        <v>0</v>
      </c>
      <c r="AI6459" s="161">
        <f t="shared" si="4533"/>
        <v>0</v>
      </c>
      <c r="AK6459" s="172"/>
    </row>
    <row r="6460" spans="1:41" s="102" customFormat="1" ht="19.899999999999999" customHeight="1" x14ac:dyDescent="0.25">
      <c r="A6460" s="45"/>
      <c r="B6460" s="59"/>
      <c r="C6460" s="137"/>
      <c r="D6460" s="59"/>
      <c r="E6460" s="116"/>
      <c r="F6460" s="120"/>
      <c r="G6460" s="120"/>
      <c r="H6460" s="120"/>
      <c r="I6460" s="60"/>
      <c r="J6460" s="116"/>
      <c r="K6460" s="213"/>
      <c r="L6460" s="120"/>
      <c r="M6460" s="120"/>
      <c r="N6460" s="167"/>
      <c r="O6460" s="120"/>
      <c r="P6460" s="120"/>
      <c r="Q6460" s="120"/>
      <c r="R6460" s="120"/>
      <c r="S6460" s="120"/>
      <c r="T6460" s="221"/>
      <c r="U6460" s="89"/>
      <c r="V6460" s="61"/>
      <c r="W6460" s="92" t="s">
        <v>1614</v>
      </c>
      <c r="X6460" s="93" t="s">
        <v>29</v>
      </c>
      <c r="Y6460" s="93" t="s">
        <v>93</v>
      </c>
      <c r="Z6460" s="134">
        <f>VLOOKUP(W6460,Sheet2!$B:$D,3,FALSE)</f>
        <v>40</v>
      </c>
      <c r="AA6460" s="93">
        <v>20</v>
      </c>
      <c r="AB6460" s="93">
        <f>AD6460/AC6459</f>
        <v>2</v>
      </c>
      <c r="AC6460" s="93">
        <f>AC6459/AA6460</f>
        <v>2.25</v>
      </c>
      <c r="AD6460" s="94">
        <f t="shared" ref="AD6460:AD6461" si="4534">AC6460*Z6460</f>
        <v>90</v>
      </c>
      <c r="AE6460" s="190"/>
      <c r="AF6460" s="191"/>
      <c r="AG6460" s="191"/>
      <c r="AH6460" s="191"/>
      <c r="AI6460" s="186"/>
      <c r="AK6460" s="171"/>
    </row>
    <row r="6461" spans="1:41" s="102" customFormat="1" ht="19.899999999999999" customHeight="1" x14ac:dyDescent="0.25">
      <c r="A6461" s="45"/>
      <c r="B6461" s="59"/>
      <c r="C6461" s="137"/>
      <c r="D6461" s="59"/>
      <c r="E6461" s="116"/>
      <c r="F6461" s="120"/>
      <c r="G6461" s="120"/>
      <c r="H6461" s="120"/>
      <c r="I6461" s="60"/>
      <c r="J6461" s="116"/>
      <c r="K6461" s="213"/>
      <c r="L6461" s="120"/>
      <c r="M6461" s="120"/>
      <c r="N6461" s="167"/>
      <c r="O6461" s="120"/>
      <c r="P6461" s="120"/>
      <c r="Q6461" s="120"/>
      <c r="R6461" s="120"/>
      <c r="S6461" s="120"/>
      <c r="T6461" s="221"/>
      <c r="U6461" s="89"/>
      <c r="V6461" s="61"/>
      <c r="W6461" s="92" t="s">
        <v>112</v>
      </c>
      <c r="X6461" s="93" t="s">
        <v>31</v>
      </c>
      <c r="Y6461" s="93" t="s">
        <v>93</v>
      </c>
      <c r="Z6461" s="134">
        <f>VLOOKUP(W6461,Sheet2!$B:$D,3,FALSE)</f>
        <v>13</v>
      </c>
      <c r="AA6461" s="93">
        <v>10</v>
      </c>
      <c r="AB6461" s="93">
        <f>AD6461/AC6459</f>
        <v>1.3</v>
      </c>
      <c r="AC6461" s="93">
        <f>AC6459/AA6461</f>
        <v>4.5</v>
      </c>
      <c r="AD6461" s="94">
        <f t="shared" si="4534"/>
        <v>58.5</v>
      </c>
      <c r="AE6461" s="190"/>
      <c r="AF6461" s="191"/>
      <c r="AG6461" s="191"/>
      <c r="AH6461" s="191"/>
      <c r="AI6461" s="186"/>
      <c r="AK6461" s="171"/>
    </row>
    <row r="6462" spans="1:41" s="103" customFormat="1" ht="19.899999999999999" customHeight="1" x14ac:dyDescent="0.25">
      <c r="A6462" s="51"/>
      <c r="B6462" s="52"/>
      <c r="C6462" s="165"/>
      <c r="D6462" s="52"/>
      <c r="E6462" s="115"/>
      <c r="F6462" s="58"/>
      <c r="G6462" s="58"/>
      <c r="H6462" s="58"/>
      <c r="I6462" s="55"/>
      <c r="J6462" s="113">
        <f>J6458</f>
        <v>45</v>
      </c>
      <c r="K6462" s="212">
        <v>45</v>
      </c>
      <c r="L6462" s="58"/>
      <c r="M6462" s="58">
        <f>K6462-L6462</f>
        <v>45</v>
      </c>
      <c r="N6462" s="166"/>
      <c r="O6462" s="58"/>
      <c r="P6462" s="58"/>
      <c r="Q6462" s="58"/>
      <c r="R6462" s="58"/>
      <c r="S6462" s="58"/>
      <c r="T6462" s="220"/>
      <c r="U6462" s="88"/>
      <c r="V6462" s="56"/>
      <c r="W6462" s="57" t="s">
        <v>1615</v>
      </c>
      <c r="X6462" s="53"/>
      <c r="Y6462" s="91" t="s">
        <v>68</v>
      </c>
      <c r="Z6462" s="136">
        <f>AD6462/AC6462</f>
        <v>8.3333333333333339</v>
      </c>
      <c r="AA6462" s="58"/>
      <c r="AB6462" s="53">
        <f>AD6462/AC6462</f>
        <v>8.3333333333333339</v>
      </c>
      <c r="AC6462" s="53">
        <f>M6462+$AE$10</f>
        <v>45</v>
      </c>
      <c r="AD6462" s="54">
        <f>SUM(AD6463)</f>
        <v>375</v>
      </c>
      <c r="AE6462" s="184">
        <f>SUMIFS($AD$37:$AD$12971,$V$37:$V$12971,$V6462,$X$37:$X$12971,AE$13)</f>
        <v>0</v>
      </c>
      <c r="AF6462" s="185">
        <f>SUMIFS($AD$37:$AD$12971,$V$37:$V$12971,$V6462,$X$37:$X$12971,AF$13)</f>
        <v>0</v>
      </c>
      <c r="AG6462" s="185">
        <f>SUMIFS($AD$37:$AD$12971,$V$37:$V$12971,$V6462,$X$37:$X$12971,AG$13)</f>
        <v>0</v>
      </c>
      <c r="AH6462" s="187">
        <f>SUMIFS($AD$37:$AD$12971,$V$37:$V$12971,$V6462,$X$37:$X$12971,AH$13)</f>
        <v>0</v>
      </c>
      <c r="AI6462" s="161">
        <f t="shared" ref="AI6462" si="4535">SUM(AE6462:AH6462)</f>
        <v>0</v>
      </c>
      <c r="AK6462" s="172"/>
    </row>
    <row r="6463" spans="1:41" s="102" customFormat="1" ht="19.899999999999999" customHeight="1" x14ac:dyDescent="0.25">
      <c r="A6463" s="45"/>
      <c r="B6463" s="59"/>
      <c r="C6463" s="137"/>
      <c r="D6463" s="59"/>
      <c r="E6463" s="116"/>
      <c r="F6463" s="120"/>
      <c r="G6463" s="120"/>
      <c r="H6463" s="120"/>
      <c r="I6463" s="60"/>
      <c r="J6463" s="116"/>
      <c r="K6463" s="213"/>
      <c r="L6463" s="120"/>
      <c r="M6463" s="120"/>
      <c r="N6463" s="167"/>
      <c r="O6463" s="120"/>
      <c r="P6463" s="120"/>
      <c r="Q6463" s="120"/>
      <c r="R6463" s="120"/>
      <c r="S6463" s="120"/>
      <c r="T6463" s="221"/>
      <c r="U6463" s="89"/>
      <c r="V6463" s="61"/>
      <c r="W6463" s="92" t="s">
        <v>1032</v>
      </c>
      <c r="X6463" s="93" t="s">
        <v>30</v>
      </c>
      <c r="Y6463" s="93" t="s">
        <v>66</v>
      </c>
      <c r="Z6463" s="134">
        <f>VLOOKUP(W6463,Sheet2!$B:$D,3,FALSE)</f>
        <v>250</v>
      </c>
      <c r="AA6463" s="93">
        <v>30</v>
      </c>
      <c r="AB6463" s="93">
        <f>AD6463/AC6462</f>
        <v>8.3333333333333339</v>
      </c>
      <c r="AC6463" s="93">
        <f>AC6462/AA6463</f>
        <v>1.5</v>
      </c>
      <c r="AD6463" s="94">
        <f t="shared" ref="AD6463" si="4536">AC6463*Z6463</f>
        <v>375</v>
      </c>
      <c r="AE6463" s="190"/>
      <c r="AF6463" s="191"/>
      <c r="AG6463" s="191"/>
      <c r="AH6463" s="191"/>
      <c r="AI6463" s="186"/>
      <c r="AK6463" s="171"/>
    </row>
    <row r="6464" spans="1:41" s="103" customFormat="1" ht="19.899999999999999" customHeight="1" x14ac:dyDescent="0.25">
      <c r="A6464" s="51"/>
      <c r="B6464" s="52"/>
      <c r="C6464" s="165"/>
      <c r="D6464" s="52"/>
      <c r="E6464" s="115"/>
      <c r="F6464" s="58"/>
      <c r="G6464" s="58"/>
      <c r="H6464" s="58"/>
      <c r="I6464" s="55"/>
      <c r="J6464" s="113">
        <f>J6458</f>
        <v>45</v>
      </c>
      <c r="K6464" s="212">
        <v>45</v>
      </c>
      <c r="L6464" s="58"/>
      <c r="M6464" s="58">
        <f>K6464-L6464</f>
        <v>45</v>
      </c>
      <c r="N6464" s="166"/>
      <c r="O6464" s="58"/>
      <c r="P6464" s="58"/>
      <c r="Q6464" s="58"/>
      <c r="R6464" s="58"/>
      <c r="S6464" s="58"/>
      <c r="T6464" s="220"/>
      <c r="U6464" s="88"/>
      <c r="V6464" s="56"/>
      <c r="W6464" s="57" t="s">
        <v>1616</v>
      </c>
      <c r="X6464" s="53"/>
      <c r="Y6464" s="91" t="s">
        <v>68</v>
      </c>
      <c r="Z6464" s="136">
        <f>AD6464/AC6464</f>
        <v>170.85</v>
      </c>
      <c r="AA6464" s="58"/>
      <c r="AB6464" s="53">
        <f>AD6464/AC6464</f>
        <v>170.85</v>
      </c>
      <c r="AC6464" s="53">
        <f>M6464+$AE$10</f>
        <v>45</v>
      </c>
      <c r="AD6464" s="54">
        <f>SUM(AD6465:AD6467)</f>
        <v>7688.25</v>
      </c>
      <c r="AE6464" s="184">
        <f>SUMIFS($AD$37:$AD$12971,$V$37:$V$12971,$V6464,$X$37:$X$12971,AE$13)</f>
        <v>0</v>
      </c>
      <c r="AF6464" s="185">
        <f>SUMIFS($AD$37:$AD$12971,$V$37:$V$12971,$V6464,$X$37:$X$12971,AF$13)</f>
        <v>0</v>
      </c>
      <c r="AG6464" s="185">
        <f>SUMIFS($AD$37:$AD$12971,$V$37:$V$12971,$V6464,$X$37:$X$12971,AG$13)</f>
        <v>0</v>
      </c>
      <c r="AH6464" s="187">
        <f>SUMIFS($AD$37:$AD$12971,$V$37:$V$12971,$V6464,$X$37:$X$12971,AH$13)</f>
        <v>0</v>
      </c>
      <c r="AI6464" s="161">
        <f t="shared" ref="AI6464" si="4537">SUM(AE6464:AH6464)</f>
        <v>0</v>
      </c>
      <c r="AK6464" s="172"/>
    </row>
    <row r="6465" spans="1:41" s="102" customFormat="1" ht="19.899999999999999" customHeight="1" x14ac:dyDescent="0.25">
      <c r="A6465" s="45"/>
      <c r="B6465" s="59"/>
      <c r="C6465" s="137"/>
      <c r="D6465" s="59"/>
      <c r="E6465" s="116"/>
      <c r="F6465" s="120"/>
      <c r="G6465" s="120"/>
      <c r="H6465" s="120"/>
      <c r="I6465" s="60"/>
      <c r="J6465" s="116"/>
      <c r="K6465" s="213"/>
      <c r="L6465" s="120"/>
      <c r="M6465" s="120"/>
      <c r="N6465" s="167"/>
      <c r="O6465" s="120"/>
      <c r="P6465" s="120"/>
      <c r="Q6465" s="120"/>
      <c r="R6465" s="120"/>
      <c r="S6465" s="120"/>
      <c r="T6465" s="221"/>
      <c r="U6465" s="89"/>
      <c r="V6465" s="61"/>
      <c r="W6465" s="92" t="s">
        <v>1617</v>
      </c>
      <c r="X6465" s="93" t="s">
        <v>30</v>
      </c>
      <c r="Y6465" s="93" t="s">
        <v>68</v>
      </c>
      <c r="Z6465" s="134">
        <f>VLOOKUP(W6465,Sheet2!$B:$D,3,FALSE)</f>
        <v>150</v>
      </c>
      <c r="AA6465" s="93">
        <v>1</v>
      </c>
      <c r="AB6465" s="93">
        <f>AD6465/AC6464</f>
        <v>150</v>
      </c>
      <c r="AC6465" s="93">
        <f>AC6464/AA6465</f>
        <v>45</v>
      </c>
      <c r="AD6465" s="94">
        <f t="shared" ref="AD6465:AD6466" si="4538">AC6465*Z6465</f>
        <v>6750</v>
      </c>
      <c r="AE6465" s="190"/>
      <c r="AF6465" s="191"/>
      <c r="AG6465" s="191"/>
      <c r="AH6465" s="191"/>
      <c r="AI6465" s="186"/>
      <c r="AK6465" s="171"/>
    </row>
    <row r="6466" spans="1:41" s="102" customFormat="1" ht="19.899999999999999" customHeight="1" x14ac:dyDescent="0.25">
      <c r="A6466" s="45"/>
      <c r="B6466" s="59"/>
      <c r="C6466" s="137"/>
      <c r="D6466" s="59"/>
      <c r="E6466" s="116"/>
      <c r="F6466" s="120"/>
      <c r="G6466" s="120"/>
      <c r="H6466" s="120"/>
      <c r="I6466" s="60"/>
      <c r="J6466" s="116"/>
      <c r="K6466" s="213"/>
      <c r="L6466" s="120"/>
      <c r="M6466" s="120"/>
      <c r="N6466" s="167"/>
      <c r="O6466" s="120"/>
      <c r="P6466" s="120"/>
      <c r="Q6466" s="120"/>
      <c r="R6466" s="120"/>
      <c r="S6466" s="120"/>
      <c r="T6466" s="221"/>
      <c r="U6466" s="89"/>
      <c r="V6466" s="61"/>
      <c r="W6466" s="92" t="s">
        <v>1618</v>
      </c>
      <c r="X6466" s="93" t="s">
        <v>30</v>
      </c>
      <c r="Y6466" s="93" t="s">
        <v>68</v>
      </c>
      <c r="Z6466" s="134">
        <f>VLOOKUP(W6466,Sheet2!$B:$D,3,FALSE)</f>
        <v>20</v>
      </c>
      <c r="AA6466" s="93">
        <v>1</v>
      </c>
      <c r="AB6466" s="93">
        <f>AD6466/AC6464</f>
        <v>20</v>
      </c>
      <c r="AC6466" s="93">
        <f>AC6464/AA6466</f>
        <v>45</v>
      </c>
      <c r="AD6466" s="94">
        <f t="shared" si="4538"/>
        <v>900</v>
      </c>
      <c r="AE6466" s="190"/>
      <c r="AF6466" s="191"/>
      <c r="AG6466" s="191"/>
      <c r="AH6466" s="191"/>
      <c r="AI6466" s="186"/>
      <c r="AK6466" s="171"/>
    </row>
    <row r="6467" spans="1:41" s="102" customFormat="1" ht="19.899999999999999" customHeight="1" x14ac:dyDescent="0.25">
      <c r="A6467" s="45"/>
      <c r="B6467" s="59"/>
      <c r="C6467" s="137"/>
      <c r="D6467" s="59"/>
      <c r="E6467" s="116"/>
      <c r="F6467" s="120"/>
      <c r="G6467" s="120"/>
      <c r="H6467" s="120"/>
      <c r="I6467" s="60"/>
      <c r="J6467" s="116"/>
      <c r="K6467" s="213"/>
      <c r="L6467" s="120"/>
      <c r="M6467" s="120"/>
      <c r="N6467" s="167"/>
      <c r="O6467" s="120"/>
      <c r="P6467" s="120"/>
      <c r="Q6467" s="120"/>
      <c r="R6467" s="120"/>
      <c r="S6467" s="120"/>
      <c r="T6467" s="221"/>
      <c r="U6467" s="89"/>
      <c r="V6467" s="61"/>
      <c r="W6467" s="92" t="s">
        <v>1619</v>
      </c>
      <c r="X6467" s="93" t="s">
        <v>31</v>
      </c>
      <c r="Y6467" s="93" t="s">
        <v>93</v>
      </c>
      <c r="Z6467" s="134">
        <f>VLOOKUP(W6467,Sheet2!$B:$D,3,FALSE)</f>
        <v>17</v>
      </c>
      <c r="AA6467" s="93">
        <v>20</v>
      </c>
      <c r="AB6467" s="93">
        <f>AD6467/AC6464</f>
        <v>0.85</v>
      </c>
      <c r="AC6467" s="93">
        <f>AC6464/AA6467</f>
        <v>2.25</v>
      </c>
      <c r="AD6467" s="94">
        <f>AC6467*Z6467</f>
        <v>38.25</v>
      </c>
      <c r="AE6467" s="190"/>
      <c r="AF6467" s="191"/>
      <c r="AG6467" s="191"/>
      <c r="AH6467" s="191"/>
      <c r="AI6467" s="186"/>
      <c r="AK6467" s="171"/>
    </row>
    <row r="6468" spans="1:41" ht="20.100000000000001" customHeight="1" x14ac:dyDescent="0.25">
      <c r="A6468" s="277" t="s">
        <v>491</v>
      </c>
      <c r="B6468" s="278"/>
      <c r="C6468" s="64" t="s">
        <v>691</v>
      </c>
      <c r="D6468" s="46"/>
      <c r="E6468" s="114"/>
      <c r="F6468" s="44"/>
      <c r="G6468" s="44">
        <f t="shared" si="3841"/>
        <v>0</v>
      </c>
      <c r="H6468" s="44">
        <f t="shared" si="3842"/>
        <v>0</v>
      </c>
      <c r="I6468" s="43">
        <f t="shared" si="3843"/>
        <v>0</v>
      </c>
      <c r="J6468" s="112">
        <f t="shared" si="3844"/>
        <v>0</v>
      </c>
      <c r="K6468" s="211">
        <f t="shared" si="3845"/>
        <v>0</v>
      </c>
      <c r="L6468" s="44"/>
      <c r="M6468" s="44">
        <f t="shared" si="3846"/>
        <v>0</v>
      </c>
      <c r="N6468" s="173">
        <f t="shared" si="3847"/>
        <v>0</v>
      </c>
      <c r="O6468" s="44">
        <f t="shared" si="3848"/>
        <v>0</v>
      </c>
      <c r="P6468" s="44">
        <f t="shared" si="3849"/>
        <v>0</v>
      </c>
      <c r="Q6468" s="44">
        <f t="shared" si="3850"/>
        <v>0</v>
      </c>
      <c r="R6468" s="44">
        <f t="shared" si="3851"/>
        <v>0</v>
      </c>
      <c r="S6468" s="123"/>
      <c r="T6468" s="219">
        <f t="shared" si="3852"/>
        <v>0</v>
      </c>
      <c r="U6468" s="87"/>
      <c r="V6468" s="47"/>
      <c r="W6468" s="48"/>
      <c r="X6468" s="48"/>
      <c r="Y6468" s="48"/>
      <c r="Z6468" s="135"/>
      <c r="AA6468" s="49"/>
      <c r="AB6468" s="50">
        <f t="shared" si="3853"/>
        <v>0</v>
      </c>
      <c r="AC6468" s="42">
        <f t="shared" si="3854"/>
        <v>9.9999999999999998E-20</v>
      </c>
      <c r="AD6468" s="90"/>
      <c r="AE6468" s="188"/>
      <c r="AF6468" s="189"/>
      <c r="AG6468" s="189"/>
      <c r="AH6468" s="189"/>
      <c r="AI6468" s="161"/>
    </row>
    <row r="6469" spans="1:41" ht="38.25" x14ac:dyDescent="0.25">
      <c r="A6469" s="277" t="s">
        <v>491</v>
      </c>
      <c r="B6469" s="278"/>
      <c r="C6469" s="64" t="s">
        <v>692</v>
      </c>
      <c r="D6469" s="46" t="s">
        <v>201</v>
      </c>
      <c r="E6469" s="114">
        <v>1</v>
      </c>
      <c r="F6469" s="44">
        <v>113</v>
      </c>
      <c r="G6469" s="44">
        <f t="shared" si="3841"/>
        <v>113</v>
      </c>
      <c r="H6469" s="44">
        <f t="shared" si="3842"/>
        <v>30.657992156862747</v>
      </c>
      <c r="I6469" s="43">
        <f t="shared" si="3843"/>
        <v>30.657992156862747</v>
      </c>
      <c r="J6469" s="112">
        <f t="shared" si="3844"/>
        <v>1</v>
      </c>
      <c r="K6469" s="211">
        <f t="shared" si="3845"/>
        <v>1</v>
      </c>
      <c r="L6469" s="44"/>
      <c r="M6469" s="44">
        <f t="shared" si="3846"/>
        <v>1</v>
      </c>
      <c r="N6469" s="173">
        <f t="shared" si="3847"/>
        <v>1</v>
      </c>
      <c r="O6469" s="44">
        <f t="shared" si="3848"/>
        <v>113</v>
      </c>
      <c r="P6469" s="44">
        <f t="shared" si="3849"/>
        <v>113</v>
      </c>
      <c r="Q6469" s="44">
        <f t="shared" si="3850"/>
        <v>30.657992156862747</v>
      </c>
      <c r="R6469" s="44">
        <f t="shared" si="3851"/>
        <v>30.657992156862747</v>
      </c>
      <c r="S6469" s="123"/>
      <c r="T6469" s="219">
        <f t="shared" si="3852"/>
        <v>30.657992156862747</v>
      </c>
      <c r="U6469" s="87"/>
      <c r="V6469" s="47"/>
      <c r="W6469" s="48"/>
      <c r="X6469" s="48"/>
      <c r="Y6469" s="48"/>
      <c r="Z6469" s="135"/>
      <c r="AA6469" s="49"/>
      <c r="AB6469" s="50">
        <f t="shared" si="3853"/>
        <v>30.657992156862747</v>
      </c>
      <c r="AC6469" s="42">
        <f t="shared" si="3854"/>
        <v>1</v>
      </c>
      <c r="AD6469" s="90">
        <f>AD6470+AD6477</f>
        <v>30.657992156862747</v>
      </c>
      <c r="AE6469" s="188">
        <f t="shared" ref="AE6469:AH6469" si="4539">AE6470+AE6477</f>
        <v>0</v>
      </c>
      <c r="AF6469" s="189">
        <f t="shared" si="4539"/>
        <v>0</v>
      </c>
      <c r="AG6469" s="189">
        <f t="shared" si="4539"/>
        <v>0</v>
      </c>
      <c r="AH6469" s="189">
        <f t="shared" si="4539"/>
        <v>0</v>
      </c>
      <c r="AI6469" s="161">
        <f t="shared" ref="AI6469" si="4540">SUM(AE6469:AH6469)</f>
        <v>0</v>
      </c>
      <c r="AK6469" s="169">
        <v>5</v>
      </c>
      <c r="AO6469" s="19" t="s">
        <v>63</v>
      </c>
    </row>
    <row r="6470" spans="1:41" s="103" customFormat="1" ht="19.899999999999999" customHeight="1" x14ac:dyDescent="0.25">
      <c r="A6470" s="51"/>
      <c r="B6470" s="52"/>
      <c r="C6470" s="165"/>
      <c r="D6470" s="52"/>
      <c r="E6470" s="115"/>
      <c r="F6470" s="58"/>
      <c r="G6470" s="58"/>
      <c r="H6470" s="58"/>
      <c r="I6470" s="55"/>
      <c r="J6470" s="113">
        <f>J6469</f>
        <v>1</v>
      </c>
      <c r="K6470" s="212">
        <f>K6469</f>
        <v>1</v>
      </c>
      <c r="L6470" s="58"/>
      <c r="M6470" s="58">
        <f>K6470-L6470</f>
        <v>1</v>
      </c>
      <c r="N6470" s="166"/>
      <c r="O6470" s="58"/>
      <c r="P6470" s="58"/>
      <c r="Q6470" s="58"/>
      <c r="R6470" s="58"/>
      <c r="S6470" s="58"/>
      <c r="T6470" s="220"/>
      <c r="U6470" s="88"/>
      <c r="V6470" s="56"/>
      <c r="W6470" s="57" t="s">
        <v>1379</v>
      </c>
      <c r="X6470" s="53"/>
      <c r="Y6470" s="91" t="s">
        <v>66</v>
      </c>
      <c r="Z6470" s="136">
        <f>AD6470/AC6470</f>
        <v>22.355262745098042</v>
      </c>
      <c r="AA6470" s="58"/>
      <c r="AB6470" s="53">
        <f>AD6470/AC6470</f>
        <v>22.355262745098042</v>
      </c>
      <c r="AC6470" s="53">
        <f>M6470+$AE$10</f>
        <v>1</v>
      </c>
      <c r="AD6470" s="54">
        <f>SUM(AD6471:AD6476)</f>
        <v>22.355262745098042</v>
      </c>
      <c r="AE6470" s="184">
        <f>SUMIFS($AD$37:$AD$12971,$V$37:$V$12971,$V6470,$X$37:$X$12971,AE$13)</f>
        <v>0</v>
      </c>
      <c r="AF6470" s="185">
        <f>SUMIFS($AD$37:$AD$12971,$V$37:$V$12971,$V6470,$X$37:$X$12971,AF$13)</f>
        <v>0</v>
      </c>
      <c r="AG6470" s="185">
        <f>SUMIFS($AD$37:$AD$12971,$V$37:$V$12971,$V6470,$X$37:$X$12971,AG$13)</f>
        <v>0</v>
      </c>
      <c r="AH6470" s="187">
        <f>SUMIFS($AD$37:$AD$12971,$V$37:$V$12971,$V6470,$X$37:$X$12971,AH$13)</f>
        <v>0</v>
      </c>
      <c r="AI6470" s="161">
        <f t="shared" ref="AI6470" si="4541">SUM(AE6470:AH6470)</f>
        <v>0</v>
      </c>
      <c r="AK6470" s="172"/>
    </row>
    <row r="6471" spans="1:41" s="102" customFormat="1" ht="19.899999999999999" customHeight="1" x14ac:dyDescent="0.25">
      <c r="A6471" s="45"/>
      <c r="B6471" s="59"/>
      <c r="C6471" s="137"/>
      <c r="D6471" s="59"/>
      <c r="E6471" s="116"/>
      <c r="F6471" s="120"/>
      <c r="G6471" s="120"/>
      <c r="H6471" s="120"/>
      <c r="I6471" s="60"/>
      <c r="J6471" s="116"/>
      <c r="K6471" s="213"/>
      <c r="L6471" s="120"/>
      <c r="M6471" s="120"/>
      <c r="N6471" s="167"/>
      <c r="O6471" s="120"/>
      <c r="P6471" s="120"/>
      <c r="Q6471" s="120"/>
      <c r="R6471" s="120"/>
      <c r="S6471" s="120"/>
      <c r="T6471" s="221"/>
      <c r="U6471" s="89"/>
      <c r="V6471" s="61"/>
      <c r="W6471" s="92" t="s">
        <v>110</v>
      </c>
      <c r="X6471" s="93" t="s">
        <v>29</v>
      </c>
      <c r="Y6471" s="93" t="s">
        <v>93</v>
      </c>
      <c r="Z6471" s="134">
        <f>VLOOKUP(W6471,Sheet2!$B:$D,3,FALSE)</f>
        <v>150.4</v>
      </c>
      <c r="AA6471" s="93">
        <v>15</v>
      </c>
      <c r="AB6471" s="93">
        <f>AD6471/AC6470</f>
        <v>10.026666666666667</v>
      </c>
      <c r="AC6471" s="93">
        <f>AC6470/AA6471</f>
        <v>6.6666666666666666E-2</v>
      </c>
      <c r="AD6471" s="94">
        <f t="shared" ref="AD6471:AD6474" si="4542">AC6471*Z6471</f>
        <v>10.026666666666667</v>
      </c>
      <c r="AE6471" s="190"/>
      <c r="AF6471" s="191"/>
      <c r="AG6471" s="191"/>
      <c r="AH6471" s="191"/>
      <c r="AI6471" s="186"/>
      <c r="AK6471" s="171"/>
    </row>
    <row r="6472" spans="1:41" s="102" customFormat="1" ht="19.899999999999999" customHeight="1" x14ac:dyDescent="0.25">
      <c r="A6472" s="45"/>
      <c r="B6472" s="59"/>
      <c r="C6472" s="137"/>
      <c r="D6472" s="59"/>
      <c r="E6472" s="116"/>
      <c r="F6472" s="120"/>
      <c r="G6472" s="120"/>
      <c r="H6472" s="120"/>
      <c r="I6472" s="60"/>
      <c r="J6472" s="116"/>
      <c r="K6472" s="213"/>
      <c r="L6472" s="120"/>
      <c r="M6472" s="120"/>
      <c r="N6472" s="167"/>
      <c r="O6472" s="120"/>
      <c r="P6472" s="120"/>
      <c r="Q6472" s="120"/>
      <c r="R6472" s="120"/>
      <c r="S6472" s="120"/>
      <c r="T6472" s="221"/>
      <c r="U6472" s="89"/>
      <c r="V6472" s="61"/>
      <c r="W6472" s="92" t="s">
        <v>65</v>
      </c>
      <c r="X6472" s="93" t="s">
        <v>30</v>
      </c>
      <c r="Y6472" s="93" t="s">
        <v>1011</v>
      </c>
      <c r="Z6472" s="134">
        <f>VLOOKUP(W6472,Sheet2!$B:$D,3,FALSE)</f>
        <v>1.76</v>
      </c>
      <c r="AA6472" s="93">
        <f>AA6471/32</f>
        <v>0.46875</v>
      </c>
      <c r="AB6472" s="93">
        <f>AD6472/AC6470</f>
        <v>3.7546666666666666</v>
      </c>
      <c r="AC6472" s="93">
        <f>AC6470/AA6472</f>
        <v>2.1333333333333333</v>
      </c>
      <c r="AD6472" s="94">
        <f t="shared" si="4542"/>
        <v>3.7546666666666666</v>
      </c>
      <c r="AE6472" s="190"/>
      <c r="AF6472" s="191"/>
      <c r="AG6472" s="191"/>
      <c r="AH6472" s="191"/>
      <c r="AI6472" s="186"/>
      <c r="AK6472" s="171"/>
    </row>
    <row r="6473" spans="1:41" s="102" customFormat="1" ht="19.899999999999999" customHeight="1" x14ac:dyDescent="0.25">
      <c r="A6473" s="45"/>
      <c r="B6473" s="59"/>
      <c r="C6473" s="137"/>
      <c r="D6473" s="59"/>
      <c r="E6473" s="116"/>
      <c r="F6473" s="120"/>
      <c r="G6473" s="120"/>
      <c r="H6473" s="120"/>
      <c r="I6473" s="60"/>
      <c r="J6473" s="116"/>
      <c r="K6473" s="213"/>
      <c r="L6473" s="120"/>
      <c r="M6473" s="120"/>
      <c r="N6473" s="167"/>
      <c r="O6473" s="120"/>
      <c r="P6473" s="120"/>
      <c r="Q6473" s="120"/>
      <c r="R6473" s="120"/>
      <c r="S6473" s="120"/>
      <c r="T6473" s="221"/>
      <c r="U6473" s="89"/>
      <c r="V6473" s="61"/>
      <c r="W6473" s="92" t="s">
        <v>131</v>
      </c>
      <c r="X6473" s="93" t="s">
        <v>29</v>
      </c>
      <c r="Y6473" s="93" t="s">
        <v>93</v>
      </c>
      <c r="Z6473" s="134">
        <f>VLOOKUP(W6473,Sheet2!$B:$D,3,FALSE)</f>
        <v>131.19999999999999</v>
      </c>
      <c r="AA6473" s="93">
        <v>50</v>
      </c>
      <c r="AB6473" s="93">
        <f t="shared" ref="AB6473" si="4543">AD6473/AC6470</f>
        <v>2.6239999999999997</v>
      </c>
      <c r="AC6473" s="93">
        <f>AC6470/AA6473</f>
        <v>0.02</v>
      </c>
      <c r="AD6473" s="94">
        <f t="shared" si="4542"/>
        <v>2.6239999999999997</v>
      </c>
      <c r="AE6473" s="190"/>
      <c r="AF6473" s="191"/>
      <c r="AG6473" s="191"/>
      <c r="AH6473" s="191"/>
      <c r="AI6473" s="186"/>
      <c r="AK6473" s="171"/>
    </row>
    <row r="6474" spans="1:41" s="102" customFormat="1" ht="19.899999999999999" customHeight="1" x14ac:dyDescent="0.25">
      <c r="A6474" s="45"/>
      <c r="B6474" s="59"/>
      <c r="C6474" s="137"/>
      <c r="D6474" s="59"/>
      <c r="E6474" s="116"/>
      <c r="F6474" s="120"/>
      <c r="G6474" s="120"/>
      <c r="H6474" s="120"/>
      <c r="I6474" s="60"/>
      <c r="J6474" s="116"/>
      <c r="K6474" s="213"/>
      <c r="L6474" s="120"/>
      <c r="M6474" s="120"/>
      <c r="N6474" s="167"/>
      <c r="O6474" s="120"/>
      <c r="P6474" s="120"/>
      <c r="Q6474" s="120"/>
      <c r="R6474" s="120"/>
      <c r="S6474" s="120"/>
      <c r="T6474" s="221"/>
      <c r="U6474" s="89"/>
      <c r="V6474" s="61"/>
      <c r="W6474" s="92" t="s">
        <v>65</v>
      </c>
      <c r="X6474" s="93" t="s">
        <v>30</v>
      </c>
      <c r="Y6474" s="93" t="s">
        <v>1011</v>
      </c>
      <c r="Z6474" s="134">
        <f>VLOOKUP(W6474,Sheet2!$B:$D,3,FALSE)</f>
        <v>1.76</v>
      </c>
      <c r="AA6474" s="93">
        <f>AA6473/32</f>
        <v>1.5625</v>
      </c>
      <c r="AB6474" s="93">
        <f>AD6474/AC6470</f>
        <v>1.1264000000000001</v>
      </c>
      <c r="AC6474" s="93">
        <f>AC6470/AA6474</f>
        <v>0.64</v>
      </c>
      <c r="AD6474" s="94">
        <f t="shared" si="4542"/>
        <v>1.1264000000000001</v>
      </c>
      <c r="AE6474" s="190"/>
      <c r="AF6474" s="191"/>
      <c r="AG6474" s="191"/>
      <c r="AH6474" s="191"/>
      <c r="AI6474" s="186"/>
      <c r="AK6474" s="171"/>
    </row>
    <row r="6475" spans="1:41" s="102" customFormat="1" ht="19.899999999999999" customHeight="1" x14ac:dyDescent="0.25">
      <c r="A6475" s="45"/>
      <c r="B6475" s="59"/>
      <c r="C6475" s="137"/>
      <c r="D6475" s="59"/>
      <c r="E6475" s="116"/>
      <c r="F6475" s="120"/>
      <c r="G6475" s="120"/>
      <c r="H6475" s="120"/>
      <c r="I6475" s="60"/>
      <c r="J6475" s="116"/>
      <c r="K6475" s="213"/>
      <c r="L6475" s="120"/>
      <c r="M6475" s="120"/>
      <c r="N6475" s="167"/>
      <c r="O6475" s="120"/>
      <c r="P6475" s="120"/>
      <c r="Q6475" s="120"/>
      <c r="R6475" s="120"/>
      <c r="S6475" s="120"/>
      <c r="T6475" s="221"/>
      <c r="U6475" s="89"/>
      <c r="V6475" s="61"/>
      <c r="W6475" s="92" t="s">
        <v>161</v>
      </c>
      <c r="X6475" s="93" t="s">
        <v>29</v>
      </c>
      <c r="Y6475" s="93" t="s">
        <v>93</v>
      </c>
      <c r="Z6475" s="134">
        <f>VLOOKUP(W6475,Sheet2!$B:$D,3,FALSE)</f>
        <v>48</v>
      </c>
      <c r="AA6475" s="93">
        <f>(16*0.85*1)</f>
        <v>13.6</v>
      </c>
      <c r="AB6475" s="93">
        <f>AD6475/AC6470</f>
        <v>3.5294117647058822</v>
      </c>
      <c r="AC6475" s="93">
        <f>AC6470/AA6475</f>
        <v>7.3529411764705885E-2</v>
      </c>
      <c r="AD6475" s="94">
        <f>AC6475*Z6475</f>
        <v>3.5294117647058822</v>
      </c>
      <c r="AE6475" s="190"/>
      <c r="AF6475" s="191"/>
      <c r="AG6475" s="191"/>
      <c r="AH6475" s="191"/>
      <c r="AI6475" s="186"/>
      <c r="AK6475" s="171"/>
    </row>
    <row r="6476" spans="1:41" s="102" customFormat="1" ht="19.899999999999999" customHeight="1" x14ac:dyDescent="0.25">
      <c r="A6476" s="45"/>
      <c r="B6476" s="59"/>
      <c r="C6476" s="137"/>
      <c r="D6476" s="59"/>
      <c r="E6476" s="116"/>
      <c r="F6476" s="120"/>
      <c r="G6476" s="120"/>
      <c r="H6476" s="120"/>
      <c r="I6476" s="60"/>
      <c r="J6476" s="116"/>
      <c r="K6476" s="213"/>
      <c r="L6476" s="120"/>
      <c r="M6476" s="120"/>
      <c r="N6476" s="167"/>
      <c r="O6476" s="120"/>
      <c r="P6476" s="120"/>
      <c r="Q6476" s="120"/>
      <c r="R6476" s="120"/>
      <c r="S6476" s="120"/>
      <c r="T6476" s="221"/>
      <c r="U6476" s="89"/>
      <c r="V6476" s="61"/>
      <c r="W6476" s="92" t="s">
        <v>65</v>
      </c>
      <c r="X6476" s="93" t="s">
        <v>30</v>
      </c>
      <c r="Y6476" s="93" t="s">
        <v>1011</v>
      </c>
      <c r="Z6476" s="134">
        <f>VLOOKUP(W6476,Sheet2!$B:$D,3,FALSE)</f>
        <v>1.76</v>
      </c>
      <c r="AA6476" s="93">
        <f>AA6475/10</f>
        <v>1.3599999999999999</v>
      </c>
      <c r="AB6476" s="93">
        <f>AD6476/AC6470</f>
        <v>1.2941176470588236</v>
      </c>
      <c r="AC6476" s="93">
        <f>AC6470/AA6476</f>
        <v>0.73529411764705888</v>
      </c>
      <c r="AD6476" s="94">
        <f>AC6476*Z6476</f>
        <v>1.2941176470588236</v>
      </c>
      <c r="AE6476" s="190"/>
      <c r="AF6476" s="191"/>
      <c r="AG6476" s="191"/>
      <c r="AH6476" s="191"/>
      <c r="AI6476" s="186"/>
      <c r="AK6476" s="171"/>
    </row>
    <row r="6477" spans="1:41" s="103" customFormat="1" ht="19.899999999999999" customHeight="1" x14ac:dyDescent="0.25">
      <c r="A6477" s="51"/>
      <c r="B6477" s="52"/>
      <c r="C6477" s="165"/>
      <c r="D6477" s="52"/>
      <c r="E6477" s="115"/>
      <c r="F6477" s="58"/>
      <c r="G6477" s="58"/>
      <c r="H6477" s="58"/>
      <c r="I6477" s="55"/>
      <c r="J6477" s="113">
        <f>J6469</f>
        <v>1</v>
      </c>
      <c r="K6477" s="212">
        <f>K6469</f>
        <v>1</v>
      </c>
      <c r="L6477" s="58"/>
      <c r="M6477" s="58">
        <f>K6477-L6477</f>
        <v>1</v>
      </c>
      <c r="N6477" s="166"/>
      <c r="O6477" s="58"/>
      <c r="P6477" s="58"/>
      <c r="Q6477" s="58"/>
      <c r="R6477" s="58"/>
      <c r="S6477" s="58"/>
      <c r="T6477" s="220"/>
      <c r="U6477" s="88"/>
      <c r="V6477" s="56"/>
      <c r="W6477" s="57" t="s">
        <v>1380</v>
      </c>
      <c r="X6477" s="53"/>
      <c r="Y6477" s="91" t="s">
        <v>66</v>
      </c>
      <c r="Z6477" s="136">
        <f>AD6477/AC6477</f>
        <v>8.3027294117647052</v>
      </c>
      <c r="AA6477" s="58"/>
      <c r="AB6477" s="53">
        <f>AD6477/AC6477</f>
        <v>8.3027294117647052</v>
      </c>
      <c r="AC6477" s="53">
        <f>M6477+$AE$10</f>
        <v>1</v>
      </c>
      <c r="AD6477" s="54">
        <f>SUM(AD6478:AD6487)</f>
        <v>8.3027294117647052</v>
      </c>
      <c r="AE6477" s="184">
        <f>SUMIFS($AD$37:$AD$12971,$V$37:$V$12971,$V6477,$X$37:$X$12971,AE$13)</f>
        <v>0</v>
      </c>
      <c r="AF6477" s="185">
        <f>SUMIFS($AD$37:$AD$12971,$V$37:$V$12971,$V6477,$X$37:$X$12971,AF$13)</f>
        <v>0</v>
      </c>
      <c r="AG6477" s="185">
        <f>SUMIFS($AD$37:$AD$12971,$V$37:$V$12971,$V6477,$X$37:$X$12971,AG$13)</f>
        <v>0</v>
      </c>
      <c r="AH6477" s="187">
        <f>SUMIFS($AD$37:$AD$12971,$V$37:$V$12971,$V6477,$X$37:$X$12971,AH$13)</f>
        <v>0</v>
      </c>
      <c r="AI6477" s="161">
        <f t="shared" ref="AI6477" si="4544">SUM(AE6477:AH6477)</f>
        <v>0</v>
      </c>
      <c r="AK6477" s="172"/>
    </row>
    <row r="6478" spans="1:41" s="102" customFormat="1" ht="19.899999999999999" customHeight="1" x14ac:dyDescent="0.25">
      <c r="A6478" s="45"/>
      <c r="B6478" s="59"/>
      <c r="C6478" s="137"/>
      <c r="D6478" s="59"/>
      <c r="E6478" s="116"/>
      <c r="F6478" s="120"/>
      <c r="G6478" s="120"/>
      <c r="H6478" s="120"/>
      <c r="I6478" s="60"/>
      <c r="J6478" s="116"/>
      <c r="K6478" s="213"/>
      <c r="L6478" s="120"/>
      <c r="M6478" s="120"/>
      <c r="N6478" s="167"/>
      <c r="O6478" s="120"/>
      <c r="P6478" s="120"/>
      <c r="Q6478" s="120"/>
      <c r="R6478" s="120"/>
      <c r="S6478" s="120"/>
      <c r="T6478" s="221"/>
      <c r="U6478" s="89"/>
      <c r="V6478" s="61"/>
      <c r="W6478" s="92" t="s">
        <v>134</v>
      </c>
      <c r="X6478" s="93" t="s">
        <v>29</v>
      </c>
      <c r="Y6478" s="93" t="s">
        <v>93</v>
      </c>
      <c r="Z6478" s="134">
        <f>VLOOKUP(W6478,Sheet2!$B:$D,3,FALSE)</f>
        <v>65.599999999999994</v>
      </c>
      <c r="AA6478" s="93">
        <f>100</f>
        <v>100</v>
      </c>
      <c r="AB6478" s="93">
        <f>AD6478/AC6477</f>
        <v>0.65599999999999992</v>
      </c>
      <c r="AC6478" s="93">
        <f>AC6477/AA6478</f>
        <v>0.01</v>
      </c>
      <c r="AD6478" s="94">
        <f t="shared" ref="AD6478:AD6479" si="4545">AC6478*Z6478</f>
        <v>0.65599999999999992</v>
      </c>
      <c r="AE6478" s="190"/>
      <c r="AF6478" s="191"/>
      <c r="AG6478" s="191"/>
      <c r="AH6478" s="191"/>
      <c r="AI6478" s="186"/>
      <c r="AK6478" s="171"/>
    </row>
    <row r="6479" spans="1:41" s="102" customFormat="1" ht="19.899999999999999" customHeight="1" x14ac:dyDescent="0.25">
      <c r="A6479" s="45"/>
      <c r="B6479" s="59"/>
      <c r="C6479" s="137"/>
      <c r="D6479" s="59"/>
      <c r="E6479" s="116"/>
      <c r="F6479" s="120"/>
      <c r="G6479" s="120"/>
      <c r="H6479" s="120"/>
      <c r="I6479" s="60"/>
      <c r="J6479" s="116"/>
      <c r="K6479" s="213"/>
      <c r="L6479" s="120"/>
      <c r="M6479" s="120"/>
      <c r="N6479" s="167"/>
      <c r="O6479" s="120"/>
      <c r="P6479" s="120"/>
      <c r="Q6479" s="120"/>
      <c r="R6479" s="120"/>
      <c r="S6479" s="120"/>
      <c r="T6479" s="221"/>
      <c r="U6479" s="89"/>
      <c r="V6479" s="61"/>
      <c r="W6479" s="92" t="s">
        <v>65</v>
      </c>
      <c r="X6479" s="93" t="s">
        <v>30</v>
      </c>
      <c r="Y6479" s="93" t="s">
        <v>1011</v>
      </c>
      <c r="Z6479" s="134">
        <f>VLOOKUP(W6479,Sheet2!$B:$D,3,FALSE)</f>
        <v>1.76</v>
      </c>
      <c r="AA6479" s="93">
        <f>AA6478/9</f>
        <v>11.111111111111111</v>
      </c>
      <c r="AB6479" s="93">
        <f>AD6479/AC6477</f>
        <v>0.15839999999999999</v>
      </c>
      <c r="AC6479" s="93">
        <f>AC6477/AA6479</f>
        <v>0.09</v>
      </c>
      <c r="AD6479" s="94">
        <f t="shared" si="4545"/>
        <v>0.15839999999999999</v>
      </c>
      <c r="AE6479" s="190"/>
      <c r="AF6479" s="191"/>
      <c r="AG6479" s="191"/>
      <c r="AH6479" s="191"/>
      <c r="AI6479" s="186"/>
      <c r="AK6479" s="171"/>
    </row>
    <row r="6480" spans="1:41" s="102" customFormat="1" ht="19.899999999999999" customHeight="1" x14ac:dyDescent="0.25">
      <c r="A6480" s="45"/>
      <c r="B6480" s="59"/>
      <c r="C6480" s="137"/>
      <c r="D6480" s="59"/>
      <c r="E6480" s="116"/>
      <c r="F6480" s="120"/>
      <c r="G6480" s="120"/>
      <c r="H6480" s="120"/>
      <c r="I6480" s="60"/>
      <c r="J6480" s="116"/>
      <c r="K6480" s="213"/>
      <c r="L6480" s="120"/>
      <c r="M6480" s="120"/>
      <c r="N6480" s="167"/>
      <c r="O6480" s="120"/>
      <c r="P6480" s="120"/>
      <c r="Q6480" s="120"/>
      <c r="R6480" s="120"/>
      <c r="S6480" s="120"/>
      <c r="T6480" s="221"/>
      <c r="U6480" s="89"/>
      <c r="V6480" s="61"/>
      <c r="W6480" s="92" t="s">
        <v>161</v>
      </c>
      <c r="X6480" s="93" t="s">
        <v>29</v>
      </c>
      <c r="Y6480" s="93" t="s">
        <v>93</v>
      </c>
      <c r="Z6480" s="134">
        <f>VLOOKUP(W6480,Sheet2!$B:$D,3,FALSE)</f>
        <v>48</v>
      </c>
      <c r="AA6480" s="93">
        <f>(16*0.85*1)</f>
        <v>13.6</v>
      </c>
      <c r="AB6480" s="93">
        <f>AD6480/AC6477</f>
        <v>3.5294117647058822</v>
      </c>
      <c r="AC6480" s="93">
        <f>AC6477/AA6480</f>
        <v>7.3529411764705885E-2</v>
      </c>
      <c r="AD6480" s="94">
        <f>AC6480*Z6480</f>
        <v>3.5294117647058822</v>
      </c>
      <c r="AE6480" s="190"/>
      <c r="AF6480" s="191"/>
      <c r="AG6480" s="191"/>
      <c r="AH6480" s="191"/>
      <c r="AI6480" s="186"/>
      <c r="AK6480" s="171"/>
    </row>
    <row r="6481" spans="1:41" s="102" customFormat="1" ht="19.899999999999999" customHeight="1" x14ac:dyDescent="0.25">
      <c r="A6481" s="45"/>
      <c r="B6481" s="59"/>
      <c r="C6481" s="137"/>
      <c r="D6481" s="59"/>
      <c r="E6481" s="116"/>
      <c r="F6481" s="120"/>
      <c r="G6481" s="120"/>
      <c r="H6481" s="120"/>
      <c r="I6481" s="60"/>
      <c r="J6481" s="116"/>
      <c r="K6481" s="213"/>
      <c r="L6481" s="120"/>
      <c r="M6481" s="120"/>
      <c r="N6481" s="167"/>
      <c r="O6481" s="120"/>
      <c r="P6481" s="120"/>
      <c r="Q6481" s="120"/>
      <c r="R6481" s="120"/>
      <c r="S6481" s="120"/>
      <c r="T6481" s="221"/>
      <c r="U6481" s="89"/>
      <c r="V6481" s="61"/>
      <c r="W6481" s="92" t="s">
        <v>65</v>
      </c>
      <c r="X6481" s="93" t="s">
        <v>30</v>
      </c>
      <c r="Y6481" s="93" t="s">
        <v>1011</v>
      </c>
      <c r="Z6481" s="134">
        <f>VLOOKUP(W6481,Sheet2!$B:$D,3,FALSE)</f>
        <v>1.76</v>
      </c>
      <c r="AA6481" s="93">
        <f>AA6480/10</f>
        <v>1.3599999999999999</v>
      </c>
      <c r="AB6481" s="93">
        <f>AD6481/AC6477</f>
        <v>1.2941176470588236</v>
      </c>
      <c r="AC6481" s="93">
        <f>AC6477/AA6481</f>
        <v>0.73529411764705888</v>
      </c>
      <c r="AD6481" s="94">
        <f>AC6481*Z6481</f>
        <v>1.2941176470588236</v>
      </c>
      <c r="AE6481" s="190"/>
      <c r="AF6481" s="191"/>
      <c r="AG6481" s="191"/>
      <c r="AH6481" s="191"/>
      <c r="AI6481" s="186"/>
      <c r="AK6481" s="171"/>
    </row>
    <row r="6482" spans="1:41" s="102" customFormat="1" ht="19.899999999999999" customHeight="1" x14ac:dyDescent="0.25">
      <c r="A6482" s="45"/>
      <c r="B6482" s="59"/>
      <c r="C6482" s="137"/>
      <c r="D6482" s="59"/>
      <c r="E6482" s="116"/>
      <c r="F6482" s="120"/>
      <c r="G6482" s="120"/>
      <c r="H6482" s="120"/>
      <c r="I6482" s="60"/>
      <c r="J6482" s="116"/>
      <c r="K6482" s="213"/>
      <c r="L6482" s="120"/>
      <c r="M6482" s="120"/>
      <c r="N6482" s="167"/>
      <c r="O6482" s="120"/>
      <c r="P6482" s="120"/>
      <c r="Q6482" s="120"/>
      <c r="R6482" s="120"/>
      <c r="S6482" s="120"/>
      <c r="T6482" s="221"/>
      <c r="U6482" s="89"/>
      <c r="V6482" s="61"/>
      <c r="W6482" s="92" t="s">
        <v>173</v>
      </c>
      <c r="X6482" s="93" t="s">
        <v>29</v>
      </c>
      <c r="Y6482" s="93" t="s">
        <v>93</v>
      </c>
      <c r="Z6482" s="134">
        <f>VLOOKUP(W6482,Sheet2!$B:$D,3,FALSE)</f>
        <v>36</v>
      </c>
      <c r="AA6482" s="93">
        <f>50</f>
        <v>50</v>
      </c>
      <c r="AB6482" s="93">
        <f>AD6482/AC6477</f>
        <v>0.72</v>
      </c>
      <c r="AC6482" s="93">
        <f>AC6477/AA6482</f>
        <v>0.02</v>
      </c>
      <c r="AD6482" s="94">
        <f>AC6482*Z6482</f>
        <v>0.72</v>
      </c>
      <c r="AE6482" s="190"/>
      <c r="AF6482" s="191"/>
      <c r="AG6482" s="191"/>
      <c r="AH6482" s="191"/>
      <c r="AI6482" s="186"/>
      <c r="AK6482" s="171"/>
    </row>
    <row r="6483" spans="1:41" s="102" customFormat="1" ht="19.899999999999999" customHeight="1" x14ac:dyDescent="0.25">
      <c r="A6483" s="45"/>
      <c r="B6483" s="59"/>
      <c r="C6483" s="137"/>
      <c r="D6483" s="59"/>
      <c r="E6483" s="116"/>
      <c r="F6483" s="120"/>
      <c r="G6483" s="120"/>
      <c r="H6483" s="120"/>
      <c r="I6483" s="60"/>
      <c r="J6483" s="116"/>
      <c r="K6483" s="213"/>
      <c r="L6483" s="120"/>
      <c r="M6483" s="120"/>
      <c r="N6483" s="167"/>
      <c r="O6483" s="120"/>
      <c r="P6483" s="120"/>
      <c r="Q6483" s="120"/>
      <c r="R6483" s="120"/>
      <c r="S6483" s="120"/>
      <c r="T6483" s="221"/>
      <c r="U6483" s="89"/>
      <c r="V6483" s="61"/>
      <c r="W6483" s="92" t="s">
        <v>65</v>
      </c>
      <c r="X6483" s="93" t="s">
        <v>30</v>
      </c>
      <c r="Y6483" s="93" t="s">
        <v>1011</v>
      </c>
      <c r="Z6483" s="134">
        <f>VLOOKUP(W6483,Sheet2!$B:$D,3,FALSE)</f>
        <v>1.76</v>
      </c>
      <c r="AA6483" s="93">
        <f>AA6482/9</f>
        <v>5.5555555555555554</v>
      </c>
      <c r="AB6483" s="93">
        <f>AD6483/AC6477</f>
        <v>0.31679999999999997</v>
      </c>
      <c r="AC6483" s="93">
        <f>AC6477/AA6483</f>
        <v>0.18</v>
      </c>
      <c r="AD6483" s="94">
        <f>AC6483*Z6483</f>
        <v>0.31679999999999997</v>
      </c>
      <c r="AE6483" s="190"/>
      <c r="AF6483" s="191"/>
      <c r="AG6483" s="191"/>
      <c r="AH6483" s="191"/>
      <c r="AI6483" s="186"/>
      <c r="AK6483" s="171"/>
    </row>
    <row r="6484" spans="1:41" s="102" customFormat="1" ht="19.899999999999999" customHeight="1" x14ac:dyDescent="0.25">
      <c r="A6484" s="45"/>
      <c r="B6484" s="59"/>
      <c r="C6484" s="137"/>
      <c r="D6484" s="59"/>
      <c r="E6484" s="116"/>
      <c r="F6484" s="120"/>
      <c r="G6484" s="120"/>
      <c r="H6484" s="120"/>
      <c r="I6484" s="60"/>
      <c r="J6484" s="116"/>
      <c r="K6484" s="213"/>
      <c r="L6484" s="120"/>
      <c r="M6484" s="120"/>
      <c r="N6484" s="167"/>
      <c r="O6484" s="120"/>
      <c r="P6484" s="120"/>
      <c r="Q6484" s="120"/>
      <c r="R6484" s="120"/>
      <c r="S6484" s="120"/>
      <c r="T6484" s="221"/>
      <c r="U6484" s="89"/>
      <c r="V6484" s="61"/>
      <c r="W6484" s="92" t="s">
        <v>148</v>
      </c>
      <c r="X6484" s="93" t="s">
        <v>29</v>
      </c>
      <c r="Y6484" s="93" t="s">
        <v>93</v>
      </c>
      <c r="Z6484" s="134">
        <f>VLOOKUP(W6484,Sheet2!$B:$D,3,FALSE)</f>
        <v>48</v>
      </c>
      <c r="AA6484" s="93">
        <v>80</v>
      </c>
      <c r="AB6484" s="93">
        <f>AD6484/AC6477</f>
        <v>0.60000000000000009</v>
      </c>
      <c r="AC6484" s="93">
        <f>AC6477/AA6484</f>
        <v>1.2500000000000001E-2</v>
      </c>
      <c r="AD6484" s="94">
        <f t="shared" ref="AD6484:AD6487" si="4546">AC6484*Z6484</f>
        <v>0.60000000000000009</v>
      </c>
      <c r="AE6484" s="190"/>
      <c r="AF6484" s="191"/>
      <c r="AG6484" s="191"/>
      <c r="AH6484" s="191"/>
      <c r="AI6484" s="186"/>
      <c r="AK6484" s="171"/>
    </row>
    <row r="6485" spans="1:41" s="102" customFormat="1" ht="19.899999999999999" customHeight="1" x14ac:dyDescent="0.25">
      <c r="A6485" s="45"/>
      <c r="B6485" s="59"/>
      <c r="C6485" s="137"/>
      <c r="D6485" s="59"/>
      <c r="E6485" s="116"/>
      <c r="F6485" s="120"/>
      <c r="G6485" s="120"/>
      <c r="H6485" s="120"/>
      <c r="I6485" s="60"/>
      <c r="J6485" s="116"/>
      <c r="K6485" s="213"/>
      <c r="L6485" s="120"/>
      <c r="M6485" s="120"/>
      <c r="N6485" s="167"/>
      <c r="O6485" s="120"/>
      <c r="P6485" s="120"/>
      <c r="Q6485" s="120"/>
      <c r="R6485" s="120"/>
      <c r="S6485" s="120"/>
      <c r="T6485" s="221"/>
      <c r="U6485" s="89"/>
      <c r="V6485" s="61"/>
      <c r="W6485" s="92" t="s">
        <v>65</v>
      </c>
      <c r="X6485" s="93" t="s">
        <v>30</v>
      </c>
      <c r="Y6485" s="93" t="s">
        <v>1011</v>
      </c>
      <c r="Z6485" s="134">
        <f>VLOOKUP(W6485,Sheet2!$B:$D,3,FALSE)</f>
        <v>1.76</v>
      </c>
      <c r="AA6485" s="93">
        <f>AA6484/10</f>
        <v>8</v>
      </c>
      <c r="AB6485" s="93">
        <f>AD6485/AC6477</f>
        <v>0.22</v>
      </c>
      <c r="AC6485" s="93">
        <f>AC6477/AA6485</f>
        <v>0.125</v>
      </c>
      <c r="AD6485" s="94">
        <f t="shared" si="4546"/>
        <v>0.22</v>
      </c>
      <c r="AE6485" s="190"/>
      <c r="AF6485" s="191"/>
      <c r="AG6485" s="191"/>
      <c r="AH6485" s="191"/>
      <c r="AI6485" s="186"/>
      <c r="AK6485" s="171"/>
    </row>
    <row r="6486" spans="1:41" s="102" customFormat="1" ht="19.899999999999999" customHeight="1" x14ac:dyDescent="0.25">
      <c r="A6486" s="45"/>
      <c r="B6486" s="59"/>
      <c r="C6486" s="137"/>
      <c r="D6486" s="59"/>
      <c r="E6486" s="116"/>
      <c r="F6486" s="120"/>
      <c r="G6486" s="120"/>
      <c r="H6486" s="120"/>
      <c r="I6486" s="60"/>
      <c r="J6486" s="116"/>
      <c r="K6486" s="213"/>
      <c r="L6486" s="120"/>
      <c r="M6486" s="120"/>
      <c r="N6486" s="167"/>
      <c r="O6486" s="120"/>
      <c r="P6486" s="120"/>
      <c r="Q6486" s="120"/>
      <c r="R6486" s="120"/>
      <c r="S6486" s="120"/>
      <c r="T6486" s="221"/>
      <c r="U6486" s="89"/>
      <c r="V6486" s="61"/>
      <c r="W6486" s="92" t="s">
        <v>145</v>
      </c>
      <c r="X6486" s="93" t="s">
        <v>29</v>
      </c>
      <c r="Y6486" s="93" t="s">
        <v>93</v>
      </c>
      <c r="Z6486" s="134">
        <f>VLOOKUP(W6486,Sheet2!$B:$D,3,FALSE)</f>
        <v>40</v>
      </c>
      <c r="AA6486" s="93">
        <v>80</v>
      </c>
      <c r="AB6486" s="93">
        <f>AD6486/AC6477</f>
        <v>0.5</v>
      </c>
      <c r="AC6486" s="93">
        <f>AC6477/AA6486</f>
        <v>1.2500000000000001E-2</v>
      </c>
      <c r="AD6486" s="94">
        <f t="shared" si="4546"/>
        <v>0.5</v>
      </c>
      <c r="AE6486" s="190"/>
      <c r="AF6486" s="191"/>
      <c r="AG6486" s="191"/>
      <c r="AH6486" s="191"/>
      <c r="AI6486" s="186"/>
      <c r="AK6486" s="171"/>
    </row>
    <row r="6487" spans="1:41" s="102" customFormat="1" ht="19.899999999999999" customHeight="1" x14ac:dyDescent="0.25">
      <c r="A6487" s="45"/>
      <c r="B6487" s="59"/>
      <c r="C6487" s="137"/>
      <c r="D6487" s="59"/>
      <c r="E6487" s="116"/>
      <c r="F6487" s="120"/>
      <c r="G6487" s="120"/>
      <c r="H6487" s="120"/>
      <c r="I6487" s="60"/>
      <c r="J6487" s="116"/>
      <c r="K6487" s="213"/>
      <c r="L6487" s="120"/>
      <c r="M6487" s="120"/>
      <c r="N6487" s="167"/>
      <c r="O6487" s="120"/>
      <c r="P6487" s="120"/>
      <c r="Q6487" s="120"/>
      <c r="R6487" s="120"/>
      <c r="S6487" s="120"/>
      <c r="T6487" s="221"/>
      <c r="U6487" s="89"/>
      <c r="V6487" s="61"/>
      <c r="W6487" s="92" t="s">
        <v>65</v>
      </c>
      <c r="X6487" s="93" t="s">
        <v>30</v>
      </c>
      <c r="Y6487" s="93" t="s">
        <v>1011</v>
      </c>
      <c r="Z6487" s="134">
        <f>VLOOKUP(W6487,Sheet2!$B:$D,3,FALSE)</f>
        <v>1.76</v>
      </c>
      <c r="AA6487" s="93">
        <f>AA6486/14</f>
        <v>5.7142857142857144</v>
      </c>
      <c r="AB6487" s="93">
        <f>AD6487/AC6477</f>
        <v>0.308</v>
      </c>
      <c r="AC6487" s="93">
        <f>AC6477/AA6487</f>
        <v>0.17499999999999999</v>
      </c>
      <c r="AD6487" s="94">
        <f t="shared" si="4546"/>
        <v>0.308</v>
      </c>
      <c r="AE6487" s="190"/>
      <c r="AF6487" s="191"/>
      <c r="AG6487" s="191"/>
      <c r="AH6487" s="191"/>
      <c r="AI6487" s="186"/>
      <c r="AK6487" s="171"/>
    </row>
    <row r="6488" spans="1:41" ht="20.100000000000001" customHeight="1" x14ac:dyDescent="0.25">
      <c r="A6488" s="277" t="s">
        <v>491</v>
      </c>
      <c r="B6488" s="278"/>
      <c r="C6488" s="64" t="s">
        <v>693</v>
      </c>
      <c r="D6488" s="46"/>
      <c r="E6488" s="114"/>
      <c r="F6488" s="44"/>
      <c r="G6488" s="44">
        <f t="shared" si="3841"/>
        <v>0</v>
      </c>
      <c r="H6488" s="44">
        <f t="shared" si="3842"/>
        <v>0</v>
      </c>
      <c r="I6488" s="43">
        <f t="shared" si="3843"/>
        <v>0</v>
      </c>
      <c r="J6488" s="112">
        <f t="shared" si="3844"/>
        <v>0</v>
      </c>
      <c r="K6488" s="211">
        <f t="shared" si="3845"/>
        <v>0</v>
      </c>
      <c r="L6488" s="44"/>
      <c r="M6488" s="44">
        <f t="shared" si="3846"/>
        <v>0</v>
      </c>
      <c r="N6488" s="173">
        <f t="shared" si="3847"/>
        <v>0</v>
      </c>
      <c r="O6488" s="44">
        <f t="shared" si="3848"/>
        <v>0</v>
      </c>
      <c r="P6488" s="44">
        <f t="shared" si="3849"/>
        <v>0</v>
      </c>
      <c r="Q6488" s="44">
        <f t="shared" si="3850"/>
        <v>0</v>
      </c>
      <c r="R6488" s="44">
        <f t="shared" si="3851"/>
        <v>0</v>
      </c>
      <c r="S6488" s="123"/>
      <c r="T6488" s="219">
        <f t="shared" si="3852"/>
        <v>0</v>
      </c>
      <c r="U6488" s="87"/>
      <c r="V6488" s="47"/>
      <c r="W6488" s="48"/>
      <c r="X6488" s="48"/>
      <c r="Y6488" s="48"/>
      <c r="Z6488" s="135"/>
      <c r="AA6488" s="49"/>
      <c r="AB6488" s="50">
        <f t="shared" si="3853"/>
        <v>0</v>
      </c>
      <c r="AC6488" s="42">
        <f t="shared" si="3854"/>
        <v>9.9999999999999998E-20</v>
      </c>
      <c r="AD6488" s="90"/>
      <c r="AE6488" s="188"/>
      <c r="AF6488" s="189"/>
      <c r="AG6488" s="189"/>
      <c r="AH6488" s="189"/>
      <c r="AI6488" s="161"/>
    </row>
    <row r="6489" spans="1:41" ht="20.100000000000001" customHeight="1" x14ac:dyDescent="0.25">
      <c r="A6489" s="277" t="s">
        <v>491</v>
      </c>
      <c r="B6489" s="278"/>
      <c r="C6489" s="64" t="s">
        <v>681</v>
      </c>
      <c r="D6489" s="46"/>
      <c r="E6489" s="114"/>
      <c r="F6489" s="44"/>
      <c r="G6489" s="44">
        <f t="shared" si="3841"/>
        <v>0</v>
      </c>
      <c r="H6489" s="44">
        <f t="shared" si="3842"/>
        <v>0</v>
      </c>
      <c r="I6489" s="43">
        <f t="shared" si="3843"/>
        <v>0</v>
      </c>
      <c r="J6489" s="112">
        <f t="shared" si="3844"/>
        <v>0</v>
      </c>
      <c r="K6489" s="211">
        <f t="shared" si="3845"/>
        <v>0</v>
      </c>
      <c r="L6489" s="44"/>
      <c r="M6489" s="44">
        <f t="shared" si="3846"/>
        <v>0</v>
      </c>
      <c r="N6489" s="173">
        <f t="shared" si="3847"/>
        <v>0</v>
      </c>
      <c r="O6489" s="44">
        <f t="shared" si="3848"/>
        <v>0</v>
      </c>
      <c r="P6489" s="44">
        <f t="shared" si="3849"/>
        <v>0</v>
      </c>
      <c r="Q6489" s="44">
        <f t="shared" si="3850"/>
        <v>0</v>
      </c>
      <c r="R6489" s="44">
        <f t="shared" si="3851"/>
        <v>0</v>
      </c>
      <c r="S6489" s="123"/>
      <c r="T6489" s="219">
        <f t="shared" si="3852"/>
        <v>0</v>
      </c>
      <c r="U6489" s="87"/>
      <c r="V6489" s="47"/>
      <c r="W6489" s="48"/>
      <c r="X6489" s="48"/>
      <c r="Y6489" s="48"/>
      <c r="Z6489" s="135"/>
      <c r="AA6489" s="49"/>
      <c r="AB6489" s="50">
        <f t="shared" si="3853"/>
        <v>0</v>
      </c>
      <c r="AC6489" s="42">
        <f t="shared" si="3854"/>
        <v>9.9999999999999998E-20</v>
      </c>
      <c r="AD6489" s="90"/>
      <c r="AE6489" s="188"/>
      <c r="AF6489" s="189"/>
      <c r="AG6489" s="189"/>
      <c r="AH6489" s="189"/>
      <c r="AI6489" s="161"/>
    </row>
    <row r="6490" spans="1:41" ht="20.100000000000001" customHeight="1" x14ac:dyDescent="0.25">
      <c r="A6490" s="277" t="s">
        <v>491</v>
      </c>
      <c r="B6490" s="278"/>
      <c r="C6490" s="64" t="s">
        <v>682</v>
      </c>
      <c r="D6490" s="46"/>
      <c r="E6490" s="114"/>
      <c r="F6490" s="44"/>
      <c r="G6490" s="44">
        <f t="shared" si="3841"/>
        <v>0</v>
      </c>
      <c r="H6490" s="44">
        <f t="shared" si="3842"/>
        <v>0</v>
      </c>
      <c r="I6490" s="43">
        <f t="shared" si="3843"/>
        <v>0</v>
      </c>
      <c r="J6490" s="112">
        <f t="shared" si="3844"/>
        <v>0</v>
      </c>
      <c r="K6490" s="211">
        <f t="shared" si="3845"/>
        <v>0</v>
      </c>
      <c r="L6490" s="44"/>
      <c r="M6490" s="44">
        <f t="shared" si="3846"/>
        <v>0</v>
      </c>
      <c r="N6490" s="173">
        <f t="shared" si="3847"/>
        <v>0</v>
      </c>
      <c r="O6490" s="44">
        <f t="shared" si="3848"/>
        <v>0</v>
      </c>
      <c r="P6490" s="44">
        <f t="shared" si="3849"/>
        <v>0</v>
      </c>
      <c r="Q6490" s="44">
        <f t="shared" si="3850"/>
        <v>0</v>
      </c>
      <c r="R6490" s="44">
        <f t="shared" si="3851"/>
        <v>0</v>
      </c>
      <c r="S6490" s="123"/>
      <c r="T6490" s="219">
        <f t="shared" si="3852"/>
        <v>0</v>
      </c>
      <c r="U6490" s="87"/>
      <c r="V6490" s="47"/>
      <c r="W6490" s="48"/>
      <c r="X6490" s="48"/>
      <c r="Y6490" s="48"/>
      <c r="Z6490" s="135"/>
      <c r="AA6490" s="49"/>
      <c r="AB6490" s="50">
        <f t="shared" si="3853"/>
        <v>0</v>
      </c>
      <c r="AC6490" s="42">
        <f t="shared" si="3854"/>
        <v>9.9999999999999998E-20</v>
      </c>
      <c r="AD6490" s="90"/>
      <c r="AE6490" s="188"/>
      <c r="AF6490" s="189"/>
      <c r="AG6490" s="189"/>
      <c r="AH6490" s="189"/>
      <c r="AI6490" s="161"/>
    </row>
    <row r="6491" spans="1:41" ht="20.100000000000001" customHeight="1" x14ac:dyDescent="0.25">
      <c r="A6491" s="277" t="s">
        <v>491</v>
      </c>
      <c r="B6491" s="278"/>
      <c r="C6491" s="64" t="s">
        <v>684</v>
      </c>
      <c r="D6491" s="46"/>
      <c r="E6491" s="114"/>
      <c r="F6491" s="44"/>
      <c r="G6491" s="44">
        <f t="shared" si="3841"/>
        <v>0</v>
      </c>
      <c r="H6491" s="44">
        <f t="shared" si="3842"/>
        <v>0</v>
      </c>
      <c r="I6491" s="43">
        <f t="shared" si="3843"/>
        <v>0</v>
      </c>
      <c r="J6491" s="112">
        <f t="shared" si="3844"/>
        <v>0</v>
      </c>
      <c r="K6491" s="211">
        <f t="shared" si="3845"/>
        <v>0</v>
      </c>
      <c r="L6491" s="44"/>
      <c r="M6491" s="44">
        <f t="shared" si="3846"/>
        <v>0</v>
      </c>
      <c r="N6491" s="173">
        <f t="shared" si="3847"/>
        <v>0</v>
      </c>
      <c r="O6491" s="44">
        <f t="shared" si="3848"/>
        <v>0</v>
      </c>
      <c r="P6491" s="44">
        <f t="shared" si="3849"/>
        <v>0</v>
      </c>
      <c r="Q6491" s="44">
        <f t="shared" si="3850"/>
        <v>0</v>
      </c>
      <c r="R6491" s="44">
        <f t="shared" si="3851"/>
        <v>0</v>
      </c>
      <c r="S6491" s="123"/>
      <c r="T6491" s="219">
        <f t="shared" si="3852"/>
        <v>0</v>
      </c>
      <c r="U6491" s="87"/>
      <c r="V6491" s="47"/>
      <c r="W6491" s="48"/>
      <c r="X6491" s="48"/>
      <c r="Y6491" s="48"/>
      <c r="Z6491" s="135"/>
      <c r="AA6491" s="49"/>
      <c r="AB6491" s="50">
        <f t="shared" si="3853"/>
        <v>0</v>
      </c>
      <c r="AC6491" s="42">
        <f t="shared" si="3854"/>
        <v>9.9999999999999998E-20</v>
      </c>
      <c r="AD6491" s="90"/>
      <c r="AE6491" s="188"/>
      <c r="AF6491" s="189"/>
      <c r="AG6491" s="189"/>
      <c r="AH6491" s="189"/>
      <c r="AI6491" s="161"/>
    </row>
    <row r="6492" spans="1:41" ht="110.25" customHeight="1" x14ac:dyDescent="0.25">
      <c r="A6492" s="277" t="s">
        <v>491</v>
      </c>
      <c r="B6492" s="278"/>
      <c r="C6492" s="64" t="s">
        <v>635</v>
      </c>
      <c r="D6492" s="46"/>
      <c r="E6492" s="114"/>
      <c r="F6492" s="44"/>
      <c r="G6492" s="44">
        <f t="shared" si="3841"/>
        <v>0</v>
      </c>
      <c r="H6492" s="44">
        <f t="shared" si="3842"/>
        <v>0</v>
      </c>
      <c r="I6492" s="43">
        <f t="shared" si="3843"/>
        <v>0</v>
      </c>
      <c r="J6492" s="112">
        <f t="shared" si="3844"/>
        <v>0</v>
      </c>
      <c r="K6492" s="211">
        <f t="shared" si="3845"/>
        <v>0</v>
      </c>
      <c r="L6492" s="44"/>
      <c r="M6492" s="44">
        <f t="shared" si="3846"/>
        <v>0</v>
      </c>
      <c r="N6492" s="173">
        <f t="shared" si="3847"/>
        <v>0</v>
      </c>
      <c r="O6492" s="44">
        <f t="shared" si="3848"/>
        <v>0</v>
      </c>
      <c r="P6492" s="44">
        <f t="shared" si="3849"/>
        <v>0</v>
      </c>
      <c r="Q6492" s="44">
        <f t="shared" si="3850"/>
        <v>0</v>
      </c>
      <c r="R6492" s="44">
        <f t="shared" si="3851"/>
        <v>0</v>
      </c>
      <c r="S6492" s="123"/>
      <c r="T6492" s="219">
        <f t="shared" si="3852"/>
        <v>0</v>
      </c>
      <c r="U6492" s="87"/>
      <c r="V6492" s="47"/>
      <c r="W6492" s="48"/>
      <c r="X6492" s="48"/>
      <c r="Y6492" s="48"/>
      <c r="Z6492" s="135"/>
      <c r="AA6492" s="49"/>
      <c r="AB6492" s="50">
        <f t="shared" si="3853"/>
        <v>0</v>
      </c>
      <c r="AC6492" s="42">
        <f t="shared" si="3854"/>
        <v>9.9999999999999998E-20</v>
      </c>
      <c r="AD6492" s="90"/>
      <c r="AE6492" s="188"/>
      <c r="AF6492" s="189"/>
      <c r="AG6492" s="189"/>
      <c r="AH6492" s="189"/>
      <c r="AI6492" s="161"/>
    </row>
    <row r="6493" spans="1:41" ht="69" customHeight="1" x14ac:dyDescent="0.25">
      <c r="A6493" s="277" t="s">
        <v>491</v>
      </c>
      <c r="B6493" s="278"/>
      <c r="C6493" s="64" t="s">
        <v>694</v>
      </c>
      <c r="D6493" s="46" t="s">
        <v>186</v>
      </c>
      <c r="E6493" s="114">
        <v>0.30000000000000004</v>
      </c>
      <c r="F6493" s="44">
        <v>3671521</v>
      </c>
      <c r="G6493" s="44">
        <f t="shared" si="3841"/>
        <v>1101456.3000000003</v>
      </c>
      <c r="H6493" s="44">
        <f t="shared" si="3842"/>
        <v>2563458.333333333</v>
      </c>
      <c r="I6493" s="43">
        <f t="shared" si="3843"/>
        <v>769037.5</v>
      </c>
      <c r="J6493" s="112">
        <f t="shared" si="3844"/>
        <v>0.30000000000000004</v>
      </c>
      <c r="K6493" s="211">
        <f t="shared" si="3845"/>
        <v>0.30000000000000004</v>
      </c>
      <c r="L6493" s="44"/>
      <c r="M6493" s="44">
        <f t="shared" si="3846"/>
        <v>0.30000000000000004</v>
      </c>
      <c r="N6493" s="173">
        <f t="shared" si="3847"/>
        <v>1</v>
      </c>
      <c r="O6493" s="44">
        <f t="shared" si="3848"/>
        <v>3671521</v>
      </c>
      <c r="P6493" s="44">
        <f t="shared" si="3849"/>
        <v>1101456.3000000003</v>
      </c>
      <c r="Q6493" s="44">
        <f t="shared" si="3850"/>
        <v>2563458.333333333</v>
      </c>
      <c r="R6493" s="44">
        <f t="shared" si="3851"/>
        <v>769037.5</v>
      </c>
      <c r="S6493" s="123"/>
      <c r="T6493" s="219">
        <f t="shared" si="3852"/>
        <v>769037.5</v>
      </c>
      <c r="U6493" s="87"/>
      <c r="V6493" s="47"/>
      <c r="W6493" s="48"/>
      <c r="X6493" s="48"/>
      <c r="Y6493" s="48"/>
      <c r="Z6493" s="135"/>
      <c r="AA6493" s="49"/>
      <c r="AB6493" s="50">
        <f t="shared" si="3853"/>
        <v>2563458.333333333</v>
      </c>
      <c r="AC6493" s="42">
        <f t="shared" si="3854"/>
        <v>0.30000000000000004</v>
      </c>
      <c r="AD6493" s="90">
        <f>AD6494</f>
        <v>769037.5</v>
      </c>
      <c r="AE6493" s="188">
        <f t="shared" ref="AE6493" si="4547">AE6494</f>
        <v>0</v>
      </c>
      <c r="AF6493" s="189">
        <f t="shared" ref="AF6493" si="4548">AF6494</f>
        <v>0</v>
      </c>
      <c r="AG6493" s="189">
        <f t="shared" ref="AG6493" si="4549">AG6494</f>
        <v>0</v>
      </c>
      <c r="AH6493" s="189">
        <f t="shared" ref="AH6493" si="4550">AH6494</f>
        <v>0</v>
      </c>
      <c r="AI6493" s="161">
        <f t="shared" ref="AI6493" si="4551">SUM(AE6493:AH6493)</f>
        <v>0</v>
      </c>
      <c r="AK6493" s="169">
        <v>5</v>
      </c>
      <c r="AO6493" s="19" t="s">
        <v>63</v>
      </c>
    </row>
    <row r="6494" spans="1:41" s="103" customFormat="1" ht="19.899999999999999" customHeight="1" x14ac:dyDescent="0.25">
      <c r="A6494" s="51"/>
      <c r="B6494" s="52"/>
      <c r="C6494" s="165"/>
      <c r="D6494" s="52"/>
      <c r="E6494" s="115"/>
      <c r="F6494" s="58"/>
      <c r="G6494" s="58"/>
      <c r="H6494" s="58"/>
      <c r="I6494" s="55"/>
      <c r="J6494" s="113">
        <f>J6493</f>
        <v>0.30000000000000004</v>
      </c>
      <c r="K6494" s="212">
        <f>K6493</f>
        <v>0.30000000000000004</v>
      </c>
      <c r="L6494" s="58"/>
      <c r="M6494" s="58">
        <f>K6494-L6494</f>
        <v>0.30000000000000004</v>
      </c>
      <c r="N6494" s="166"/>
      <c r="O6494" s="58"/>
      <c r="P6494" s="58"/>
      <c r="Q6494" s="58"/>
      <c r="R6494" s="58"/>
      <c r="S6494" s="58"/>
      <c r="T6494" s="220"/>
      <c r="U6494" s="88"/>
      <c r="V6494" s="56"/>
      <c r="W6494" s="57" t="s">
        <v>1629</v>
      </c>
      <c r="X6494" s="53"/>
      <c r="Y6494" s="91" t="s">
        <v>1349</v>
      </c>
      <c r="Z6494" s="136">
        <f>AD6494/AC6494</f>
        <v>2563458.333333333</v>
      </c>
      <c r="AA6494" s="58"/>
      <c r="AB6494" s="53">
        <f>AD6494/AC6494</f>
        <v>2563458.333333333</v>
      </c>
      <c r="AC6494" s="53">
        <f>M6494+$AE$10</f>
        <v>0.30000000000000004</v>
      </c>
      <c r="AD6494" s="54">
        <f>SUM(AD6495)</f>
        <v>769037.5</v>
      </c>
      <c r="AE6494" s="184">
        <f>SUMIFS($AD$37:$AD$12971,$V$37:$V$12971,$V6494,$X$37:$X$12971,AE$13)</f>
        <v>0</v>
      </c>
      <c r="AF6494" s="185">
        <f>SUMIFS($AD$37:$AD$12971,$V$37:$V$12971,$V6494,$X$37:$X$12971,AF$13)</f>
        <v>0</v>
      </c>
      <c r="AG6494" s="185">
        <f>SUMIFS($AD$37:$AD$12971,$V$37:$V$12971,$V6494,$X$37:$X$12971,AG$13)</f>
        <v>0</v>
      </c>
      <c r="AH6494" s="187">
        <f>SUMIFS($AD$37:$AD$12971,$V$37:$V$12971,$V6494,$X$37:$X$12971,AH$13)</f>
        <v>0</v>
      </c>
      <c r="AI6494" s="161">
        <f t="shared" ref="AI6494" si="4552">SUM(AE6494:AH6494)</f>
        <v>0</v>
      </c>
      <c r="AK6494" s="172"/>
    </row>
    <row r="6495" spans="1:41" s="102" customFormat="1" ht="19.899999999999999" customHeight="1" x14ac:dyDescent="0.25">
      <c r="A6495" s="45"/>
      <c r="B6495" s="59"/>
      <c r="C6495" s="137"/>
      <c r="D6495" s="59"/>
      <c r="E6495" s="116"/>
      <c r="F6495" s="120"/>
      <c r="G6495" s="120"/>
      <c r="H6495" s="120"/>
      <c r="I6495" s="60"/>
      <c r="J6495" s="116"/>
      <c r="K6495" s="213"/>
      <c r="L6495" s="120"/>
      <c r="M6495" s="120"/>
      <c r="N6495" s="167"/>
      <c r="O6495" s="120"/>
      <c r="P6495" s="120"/>
      <c r="Q6495" s="120"/>
      <c r="R6495" s="120"/>
      <c r="S6495" s="120"/>
      <c r="T6495" s="221"/>
      <c r="U6495" s="89"/>
      <c r="V6495" s="61"/>
      <c r="W6495" s="92" t="s">
        <v>1629</v>
      </c>
      <c r="X6495" s="93" t="s">
        <v>32</v>
      </c>
      <c r="Y6495" s="93" t="s">
        <v>1349</v>
      </c>
      <c r="Z6495" s="134">
        <f>VLOOKUP(W6495,Sheet2!$B:$D,3,FALSE)</f>
        <v>2563458.333333333</v>
      </c>
      <c r="AA6495" s="93">
        <v>1</v>
      </c>
      <c r="AB6495" s="93">
        <f>AD6495/AC6494</f>
        <v>2563458.333333333</v>
      </c>
      <c r="AC6495" s="93">
        <f>AC6494/AA6495</f>
        <v>0.30000000000000004</v>
      </c>
      <c r="AD6495" s="94">
        <f t="shared" ref="AD6495" si="4553">AC6495*Z6495</f>
        <v>769037.5</v>
      </c>
      <c r="AE6495" s="190"/>
      <c r="AF6495" s="191"/>
      <c r="AG6495" s="191"/>
      <c r="AH6495" s="191"/>
      <c r="AI6495" s="186"/>
      <c r="AK6495" s="171"/>
    </row>
    <row r="6496" spans="1:41" ht="20.100000000000001" customHeight="1" x14ac:dyDescent="0.25">
      <c r="A6496" s="277" t="s">
        <v>491</v>
      </c>
      <c r="B6496" s="278"/>
      <c r="C6496" s="64" t="s">
        <v>637</v>
      </c>
      <c r="D6496" s="46" t="s">
        <v>186</v>
      </c>
      <c r="E6496" s="114">
        <v>1</v>
      </c>
      <c r="F6496" s="44">
        <v>226585</v>
      </c>
      <c r="G6496" s="44">
        <f t="shared" si="3841"/>
        <v>226585</v>
      </c>
      <c r="H6496" s="44">
        <f t="shared" si="3842"/>
        <v>145500</v>
      </c>
      <c r="I6496" s="43">
        <f t="shared" si="3843"/>
        <v>145500</v>
      </c>
      <c r="J6496" s="112">
        <f t="shared" si="3844"/>
        <v>1</v>
      </c>
      <c r="K6496" s="211">
        <f t="shared" si="3845"/>
        <v>1</v>
      </c>
      <c r="L6496" s="44"/>
      <c r="M6496" s="44">
        <f t="shared" si="3846"/>
        <v>1</v>
      </c>
      <c r="N6496" s="173">
        <f t="shared" si="3847"/>
        <v>1</v>
      </c>
      <c r="O6496" s="44">
        <f t="shared" si="3848"/>
        <v>226585</v>
      </c>
      <c r="P6496" s="44">
        <f t="shared" si="3849"/>
        <v>226585</v>
      </c>
      <c r="Q6496" s="44">
        <f t="shared" si="3850"/>
        <v>145500</v>
      </c>
      <c r="R6496" s="44">
        <f t="shared" si="3851"/>
        <v>145500</v>
      </c>
      <c r="S6496" s="123"/>
      <c r="T6496" s="219">
        <f t="shared" si="3852"/>
        <v>145500</v>
      </c>
      <c r="U6496" s="87"/>
      <c r="V6496" s="47"/>
      <c r="W6496" s="48"/>
      <c r="X6496" s="48"/>
      <c r="Y6496" s="48"/>
      <c r="Z6496" s="135"/>
      <c r="AA6496" s="49"/>
      <c r="AB6496" s="50">
        <f t="shared" si="3853"/>
        <v>145500</v>
      </c>
      <c r="AC6496" s="42">
        <f t="shared" si="3854"/>
        <v>1</v>
      </c>
      <c r="AD6496" s="90">
        <f>AD6497</f>
        <v>145500</v>
      </c>
      <c r="AE6496" s="188">
        <f t="shared" ref="AE6496" si="4554">AE6497</f>
        <v>0</v>
      </c>
      <c r="AF6496" s="189">
        <f t="shared" ref="AF6496" si="4555">AF6497</f>
        <v>0</v>
      </c>
      <c r="AG6496" s="189">
        <f t="shared" ref="AG6496" si="4556">AG6497</f>
        <v>0</v>
      </c>
      <c r="AH6496" s="189">
        <f t="shared" ref="AH6496" si="4557">AH6497</f>
        <v>0</v>
      </c>
      <c r="AI6496" s="161">
        <f t="shared" ref="AI6496" si="4558">SUM(AE6496:AH6496)</f>
        <v>0</v>
      </c>
      <c r="AK6496" s="169">
        <v>5</v>
      </c>
      <c r="AO6496" s="19" t="s">
        <v>63</v>
      </c>
    </row>
    <row r="6497" spans="1:41" s="103" customFormat="1" ht="19.899999999999999" customHeight="1" x14ac:dyDescent="0.25">
      <c r="A6497" s="51"/>
      <c r="B6497" s="52"/>
      <c r="C6497" s="165"/>
      <c r="D6497" s="52"/>
      <c r="E6497" s="115"/>
      <c r="F6497" s="58"/>
      <c r="G6497" s="58"/>
      <c r="H6497" s="58"/>
      <c r="I6497" s="55"/>
      <c r="J6497" s="113">
        <f>J6496</f>
        <v>1</v>
      </c>
      <c r="K6497" s="212">
        <f>K6496</f>
        <v>1</v>
      </c>
      <c r="L6497" s="58"/>
      <c r="M6497" s="58">
        <f>K6497-L6497</f>
        <v>1</v>
      </c>
      <c r="N6497" s="166"/>
      <c r="O6497" s="58"/>
      <c r="P6497" s="58"/>
      <c r="Q6497" s="58"/>
      <c r="R6497" s="58"/>
      <c r="S6497" s="58"/>
      <c r="T6497" s="220"/>
      <c r="U6497" s="88"/>
      <c r="V6497" s="56"/>
      <c r="W6497" s="57" t="s">
        <v>1579</v>
      </c>
      <c r="X6497" s="53"/>
      <c r="Y6497" s="91" t="s">
        <v>1349</v>
      </c>
      <c r="Z6497" s="136">
        <f>AD6497/AC6497</f>
        <v>145500</v>
      </c>
      <c r="AA6497" s="58"/>
      <c r="AB6497" s="53">
        <f>AD6497/AC6497</f>
        <v>145500</v>
      </c>
      <c r="AC6497" s="53">
        <f>M6497+$AE$10</f>
        <v>1</v>
      </c>
      <c r="AD6497" s="54">
        <f>SUM(AD6498)</f>
        <v>145500</v>
      </c>
      <c r="AE6497" s="184">
        <f>SUMIFS($AD$37:$AD$12971,$V$37:$V$12971,$V6497,$X$37:$X$12971,AE$13)</f>
        <v>0</v>
      </c>
      <c r="AF6497" s="185">
        <f>SUMIFS($AD$37:$AD$12971,$V$37:$V$12971,$V6497,$X$37:$X$12971,AF$13)</f>
        <v>0</v>
      </c>
      <c r="AG6497" s="185">
        <f>SUMIFS($AD$37:$AD$12971,$V$37:$V$12971,$V6497,$X$37:$X$12971,AG$13)</f>
        <v>0</v>
      </c>
      <c r="AH6497" s="187">
        <f>SUMIFS($AD$37:$AD$12971,$V$37:$V$12971,$V6497,$X$37:$X$12971,AH$13)</f>
        <v>0</v>
      </c>
      <c r="AI6497" s="161">
        <f t="shared" ref="AI6497" si="4559">SUM(AE6497:AH6497)</f>
        <v>0</v>
      </c>
      <c r="AK6497" s="172"/>
    </row>
    <row r="6498" spans="1:41" s="102" customFormat="1" ht="19.899999999999999" customHeight="1" x14ac:dyDescent="0.25">
      <c r="A6498" s="45"/>
      <c r="B6498" s="59"/>
      <c r="C6498" s="137"/>
      <c r="D6498" s="59"/>
      <c r="E6498" s="116"/>
      <c r="F6498" s="120"/>
      <c r="G6498" s="120"/>
      <c r="H6498" s="120"/>
      <c r="I6498" s="60"/>
      <c r="J6498" s="116"/>
      <c r="K6498" s="213"/>
      <c r="L6498" s="120"/>
      <c r="M6498" s="120"/>
      <c r="N6498" s="167"/>
      <c r="O6498" s="120"/>
      <c r="P6498" s="120"/>
      <c r="Q6498" s="120"/>
      <c r="R6498" s="120"/>
      <c r="S6498" s="120"/>
      <c r="T6498" s="221"/>
      <c r="U6498" s="89"/>
      <c r="V6498" s="61"/>
      <c r="W6498" s="92" t="s">
        <v>1581</v>
      </c>
      <c r="X6498" s="93" t="s">
        <v>32</v>
      </c>
      <c r="Y6498" s="93" t="s">
        <v>1349</v>
      </c>
      <c r="Z6498" s="134">
        <f>VLOOKUP(W6498,Sheet2!$B:$D,3,FALSE)</f>
        <v>145500</v>
      </c>
      <c r="AA6498" s="93">
        <v>1</v>
      </c>
      <c r="AB6498" s="93">
        <f>AD6498/AC6497</f>
        <v>145500</v>
      </c>
      <c r="AC6498" s="93">
        <f>AC6497/AA6498</f>
        <v>1</v>
      </c>
      <c r="AD6498" s="94">
        <f t="shared" ref="AD6498" si="4560">AC6498*Z6498</f>
        <v>145500</v>
      </c>
      <c r="AE6498" s="190"/>
      <c r="AF6498" s="191"/>
      <c r="AG6498" s="191"/>
      <c r="AH6498" s="191"/>
      <c r="AI6498" s="186"/>
      <c r="AK6498" s="171"/>
    </row>
    <row r="6499" spans="1:41" ht="20.100000000000001" customHeight="1" x14ac:dyDescent="0.25">
      <c r="A6499" s="277" t="s">
        <v>491</v>
      </c>
      <c r="B6499" s="278"/>
      <c r="C6499" s="64" t="s">
        <v>638</v>
      </c>
      <c r="D6499" s="46" t="s">
        <v>215</v>
      </c>
      <c r="E6499" s="114">
        <v>1</v>
      </c>
      <c r="F6499" s="44">
        <v>2596290</v>
      </c>
      <c r="G6499" s="44">
        <f t="shared" si="3841"/>
        <v>2596290</v>
      </c>
      <c r="H6499" s="44">
        <f t="shared" si="3842"/>
        <v>1812500</v>
      </c>
      <c r="I6499" s="43">
        <f t="shared" si="3843"/>
        <v>1812500</v>
      </c>
      <c r="J6499" s="112">
        <f t="shared" si="3844"/>
        <v>1</v>
      </c>
      <c r="K6499" s="211">
        <f t="shared" si="3845"/>
        <v>1</v>
      </c>
      <c r="L6499" s="44"/>
      <c r="M6499" s="44">
        <f t="shared" si="3846"/>
        <v>1</v>
      </c>
      <c r="N6499" s="173">
        <f t="shared" si="3847"/>
        <v>1</v>
      </c>
      <c r="O6499" s="44">
        <f t="shared" si="3848"/>
        <v>2596290</v>
      </c>
      <c r="P6499" s="44">
        <f t="shared" si="3849"/>
        <v>2596290</v>
      </c>
      <c r="Q6499" s="44">
        <f t="shared" si="3850"/>
        <v>1812500</v>
      </c>
      <c r="R6499" s="44">
        <f t="shared" si="3851"/>
        <v>1812500</v>
      </c>
      <c r="S6499" s="123"/>
      <c r="T6499" s="219">
        <f t="shared" si="3852"/>
        <v>1812500</v>
      </c>
      <c r="U6499" s="87"/>
      <c r="V6499" s="47"/>
      <c r="W6499" s="48"/>
      <c r="X6499" s="48"/>
      <c r="Y6499" s="48"/>
      <c r="Z6499" s="135"/>
      <c r="AA6499" s="49"/>
      <c r="AB6499" s="50">
        <f t="shared" si="3853"/>
        <v>1812500</v>
      </c>
      <c r="AC6499" s="42">
        <f t="shared" si="3854"/>
        <v>1</v>
      </c>
      <c r="AD6499" s="90">
        <f>AD6500</f>
        <v>1812500</v>
      </c>
      <c r="AE6499" s="188">
        <f t="shared" ref="AE6499" si="4561">AE6500</f>
        <v>0</v>
      </c>
      <c r="AF6499" s="189">
        <f t="shared" ref="AF6499" si="4562">AF6500</f>
        <v>0</v>
      </c>
      <c r="AG6499" s="189">
        <f t="shared" ref="AG6499" si="4563">AG6500</f>
        <v>0</v>
      </c>
      <c r="AH6499" s="189">
        <f t="shared" ref="AH6499" si="4564">AH6500</f>
        <v>0</v>
      </c>
      <c r="AI6499" s="161">
        <f t="shared" ref="AI6499" si="4565">SUM(AE6499:AH6499)</f>
        <v>0</v>
      </c>
      <c r="AK6499" s="169">
        <v>5</v>
      </c>
      <c r="AO6499" s="19" t="s">
        <v>63</v>
      </c>
    </row>
    <row r="6500" spans="1:41" s="103" customFormat="1" ht="19.899999999999999" customHeight="1" x14ac:dyDescent="0.25">
      <c r="A6500" s="51"/>
      <c r="B6500" s="52"/>
      <c r="C6500" s="165"/>
      <c r="D6500" s="52"/>
      <c r="E6500" s="115"/>
      <c r="F6500" s="58"/>
      <c r="G6500" s="58"/>
      <c r="H6500" s="58"/>
      <c r="I6500" s="55"/>
      <c r="J6500" s="113">
        <f>J6499</f>
        <v>1</v>
      </c>
      <c r="K6500" s="212">
        <f>K6499</f>
        <v>1</v>
      </c>
      <c r="L6500" s="58"/>
      <c r="M6500" s="58">
        <f>K6500-L6500</f>
        <v>1</v>
      </c>
      <c r="N6500" s="166"/>
      <c r="O6500" s="58"/>
      <c r="P6500" s="58"/>
      <c r="Q6500" s="58"/>
      <c r="R6500" s="58"/>
      <c r="S6500" s="58"/>
      <c r="T6500" s="220"/>
      <c r="U6500" s="88"/>
      <c r="V6500" s="56"/>
      <c r="W6500" s="57" t="s">
        <v>638</v>
      </c>
      <c r="X6500" s="53"/>
      <c r="Y6500" s="91" t="s">
        <v>35</v>
      </c>
      <c r="Z6500" s="136">
        <f>AD6500/AC6500</f>
        <v>1812500</v>
      </c>
      <c r="AA6500" s="58"/>
      <c r="AB6500" s="53">
        <f>AD6500/AC6500</f>
        <v>1812500</v>
      </c>
      <c r="AC6500" s="53">
        <f>M6500+$AE$10</f>
        <v>1</v>
      </c>
      <c r="AD6500" s="54">
        <f>SUM(AD6501)</f>
        <v>1812500</v>
      </c>
      <c r="AE6500" s="184">
        <f>SUMIFS($AD$37:$AD$12971,$V$37:$V$12971,$V6500,$X$37:$X$12971,AE$13)</f>
        <v>0</v>
      </c>
      <c r="AF6500" s="185">
        <f>SUMIFS($AD$37:$AD$12971,$V$37:$V$12971,$V6500,$X$37:$X$12971,AF$13)</f>
        <v>0</v>
      </c>
      <c r="AG6500" s="185">
        <f>SUMIFS($AD$37:$AD$12971,$V$37:$V$12971,$V6500,$X$37:$X$12971,AG$13)</f>
        <v>0</v>
      </c>
      <c r="AH6500" s="187">
        <f>SUMIFS($AD$37:$AD$12971,$V$37:$V$12971,$V6500,$X$37:$X$12971,AH$13)</f>
        <v>0</v>
      </c>
      <c r="AI6500" s="161">
        <f t="shared" ref="AI6500" si="4566">SUM(AE6500:AH6500)</f>
        <v>0</v>
      </c>
      <c r="AK6500" s="172"/>
    </row>
    <row r="6501" spans="1:41" s="102" customFormat="1" ht="19.899999999999999" customHeight="1" x14ac:dyDescent="0.25">
      <c r="A6501" s="45"/>
      <c r="B6501" s="59"/>
      <c r="C6501" s="137"/>
      <c r="D6501" s="59"/>
      <c r="E6501" s="116"/>
      <c r="F6501" s="120"/>
      <c r="G6501" s="120"/>
      <c r="H6501" s="120"/>
      <c r="I6501" s="60"/>
      <c r="J6501" s="116"/>
      <c r="K6501" s="213"/>
      <c r="L6501" s="120"/>
      <c r="M6501" s="120"/>
      <c r="N6501" s="167"/>
      <c r="O6501" s="120"/>
      <c r="P6501" s="120"/>
      <c r="Q6501" s="120"/>
      <c r="R6501" s="120"/>
      <c r="S6501" s="120"/>
      <c r="T6501" s="221"/>
      <c r="U6501" s="89"/>
      <c r="V6501" s="61"/>
      <c r="W6501" s="92" t="s">
        <v>1622</v>
      </c>
      <c r="X6501" s="93" t="s">
        <v>32</v>
      </c>
      <c r="Y6501" s="93" t="s">
        <v>1349</v>
      </c>
      <c r="Z6501" s="134">
        <f>VLOOKUP(W6501,Sheet2!$B:$D,3,FALSE)</f>
        <v>1812500</v>
      </c>
      <c r="AA6501" s="93">
        <v>1</v>
      </c>
      <c r="AB6501" s="93">
        <f>AD6501/AC6500</f>
        <v>1812500</v>
      </c>
      <c r="AC6501" s="93">
        <f>AC6500/AA6501</f>
        <v>1</v>
      </c>
      <c r="AD6501" s="94">
        <f t="shared" ref="AD6501" si="4567">AC6501*Z6501</f>
        <v>1812500</v>
      </c>
      <c r="AE6501" s="190"/>
      <c r="AF6501" s="191"/>
      <c r="AG6501" s="191"/>
      <c r="AH6501" s="191"/>
      <c r="AI6501" s="186"/>
      <c r="AK6501" s="171"/>
    </row>
    <row r="6502" spans="1:41" ht="38.25" x14ac:dyDescent="0.25">
      <c r="A6502" s="277" t="s">
        <v>491</v>
      </c>
      <c r="B6502" s="278"/>
      <c r="C6502" s="64" t="s">
        <v>1411</v>
      </c>
      <c r="D6502" s="46"/>
      <c r="E6502" s="114"/>
      <c r="F6502" s="44"/>
      <c r="G6502" s="44">
        <f t="shared" si="3841"/>
        <v>0</v>
      </c>
      <c r="H6502" s="44">
        <f t="shared" si="3842"/>
        <v>0</v>
      </c>
      <c r="I6502" s="43">
        <f t="shared" si="3843"/>
        <v>0</v>
      </c>
      <c r="J6502" s="112">
        <f t="shared" si="3844"/>
        <v>0</v>
      </c>
      <c r="K6502" s="211">
        <f t="shared" si="3845"/>
        <v>0</v>
      </c>
      <c r="L6502" s="44"/>
      <c r="M6502" s="44">
        <f t="shared" si="3846"/>
        <v>0</v>
      </c>
      <c r="N6502" s="173">
        <f t="shared" si="3847"/>
        <v>0</v>
      </c>
      <c r="O6502" s="44">
        <f t="shared" si="3848"/>
        <v>0</v>
      </c>
      <c r="P6502" s="44">
        <f t="shared" si="3849"/>
        <v>0</v>
      </c>
      <c r="Q6502" s="44">
        <f t="shared" si="3850"/>
        <v>0</v>
      </c>
      <c r="R6502" s="44">
        <f t="shared" si="3851"/>
        <v>0</v>
      </c>
      <c r="S6502" s="123"/>
      <c r="T6502" s="219">
        <f t="shared" si="3852"/>
        <v>0</v>
      </c>
      <c r="U6502" s="87"/>
      <c r="V6502" s="47"/>
      <c r="W6502" s="48"/>
      <c r="X6502" s="48"/>
      <c r="Y6502" s="48"/>
      <c r="Z6502" s="135"/>
      <c r="AA6502" s="49"/>
      <c r="AB6502" s="50">
        <f t="shared" si="3853"/>
        <v>0</v>
      </c>
      <c r="AC6502" s="42">
        <f t="shared" si="3854"/>
        <v>9.9999999999999998E-20</v>
      </c>
      <c r="AD6502" s="90"/>
      <c r="AE6502" s="188"/>
      <c r="AF6502" s="189"/>
      <c r="AG6502" s="189"/>
      <c r="AH6502" s="189"/>
      <c r="AI6502" s="161"/>
    </row>
    <row r="6503" spans="1:41" s="102" customFormat="1" ht="20.100000000000001" customHeight="1" x14ac:dyDescent="0.25">
      <c r="A6503" s="45" t="s">
        <v>491</v>
      </c>
      <c r="B6503" s="276"/>
      <c r="C6503" s="285" t="s">
        <v>639</v>
      </c>
      <c r="D6503" s="59"/>
      <c r="E6503" s="116"/>
      <c r="F6503" s="120"/>
      <c r="G6503" s="120">
        <f t="shared" si="3841"/>
        <v>0</v>
      </c>
      <c r="H6503" s="120">
        <f t="shared" si="3842"/>
        <v>0</v>
      </c>
      <c r="I6503" s="60">
        <f t="shared" si="3843"/>
        <v>0</v>
      </c>
      <c r="J6503" s="116">
        <f t="shared" si="3844"/>
        <v>0</v>
      </c>
      <c r="K6503" s="213">
        <f t="shared" si="3845"/>
        <v>0</v>
      </c>
      <c r="L6503" s="120"/>
      <c r="M6503" s="120">
        <f t="shared" si="3846"/>
        <v>0</v>
      </c>
      <c r="N6503" s="167">
        <f t="shared" si="3847"/>
        <v>0</v>
      </c>
      <c r="O6503" s="120">
        <f t="shared" si="3848"/>
        <v>0</v>
      </c>
      <c r="P6503" s="120">
        <f t="shared" si="3849"/>
        <v>0</v>
      </c>
      <c r="Q6503" s="120">
        <f t="shared" si="3850"/>
        <v>0</v>
      </c>
      <c r="R6503" s="120">
        <f t="shared" si="3851"/>
        <v>0</v>
      </c>
      <c r="S6503" s="120"/>
      <c r="T6503" s="221">
        <f t="shared" si="3852"/>
        <v>0</v>
      </c>
      <c r="U6503" s="89"/>
      <c r="V6503" s="61"/>
      <c r="W6503" s="92"/>
      <c r="X6503" s="38"/>
      <c r="Y6503" s="93"/>
      <c r="Z6503" s="134"/>
      <c r="AA6503" s="93"/>
      <c r="AB6503" s="93"/>
      <c r="AC6503" s="93"/>
      <c r="AD6503" s="94"/>
      <c r="AE6503" s="190"/>
      <c r="AF6503" s="191"/>
      <c r="AG6503" s="191"/>
      <c r="AH6503" s="191"/>
      <c r="AI6503" s="186"/>
      <c r="AK6503" s="171"/>
    </row>
    <row r="6504" spans="1:41" s="102" customFormat="1" ht="94.5" x14ac:dyDescent="0.25">
      <c r="A6504" s="45" t="s">
        <v>491</v>
      </c>
      <c r="B6504" s="276"/>
      <c r="C6504" s="285" t="s">
        <v>640</v>
      </c>
      <c r="D6504" s="59"/>
      <c r="E6504" s="116"/>
      <c r="F6504" s="120"/>
      <c r="G6504" s="120">
        <f t="shared" si="3841"/>
        <v>0</v>
      </c>
      <c r="H6504" s="120">
        <f t="shared" si="3842"/>
        <v>0</v>
      </c>
      <c r="I6504" s="60">
        <f t="shared" si="3843"/>
        <v>0</v>
      </c>
      <c r="J6504" s="116">
        <f t="shared" si="3844"/>
        <v>0</v>
      </c>
      <c r="K6504" s="213">
        <f t="shared" si="3845"/>
        <v>0</v>
      </c>
      <c r="L6504" s="120"/>
      <c r="M6504" s="120">
        <f t="shared" si="3846"/>
        <v>0</v>
      </c>
      <c r="N6504" s="167">
        <f t="shared" si="3847"/>
        <v>0</v>
      </c>
      <c r="O6504" s="120">
        <f t="shared" si="3848"/>
        <v>0</v>
      </c>
      <c r="P6504" s="120">
        <f t="shared" si="3849"/>
        <v>0</v>
      </c>
      <c r="Q6504" s="120">
        <f t="shared" si="3850"/>
        <v>0</v>
      </c>
      <c r="R6504" s="120">
        <f t="shared" si="3851"/>
        <v>0</v>
      </c>
      <c r="S6504" s="120"/>
      <c r="T6504" s="221">
        <f t="shared" si="3852"/>
        <v>0</v>
      </c>
      <c r="U6504" s="89"/>
      <c r="V6504" s="61"/>
      <c r="W6504" s="92"/>
      <c r="X6504" s="38"/>
      <c r="Y6504" s="93"/>
      <c r="Z6504" s="134"/>
      <c r="AA6504" s="93"/>
      <c r="AB6504" s="93"/>
      <c r="AC6504" s="93"/>
      <c r="AD6504" s="94"/>
      <c r="AE6504" s="190"/>
      <c r="AF6504" s="191"/>
      <c r="AG6504" s="191"/>
      <c r="AH6504" s="191"/>
      <c r="AI6504" s="186"/>
      <c r="AK6504" s="171"/>
    </row>
    <row r="6505" spans="1:41" ht="20.100000000000001" customHeight="1" x14ac:dyDescent="0.25">
      <c r="A6505" s="277" t="s">
        <v>491</v>
      </c>
      <c r="B6505" s="278"/>
      <c r="C6505" s="64" t="s">
        <v>641</v>
      </c>
      <c r="D6505" s="46" t="s">
        <v>186</v>
      </c>
      <c r="E6505" s="114">
        <v>0.22999999999999998</v>
      </c>
      <c r="F6505" s="44">
        <v>94411</v>
      </c>
      <c r="G6505" s="44">
        <f t="shared" si="3841"/>
        <v>21714.53</v>
      </c>
      <c r="H6505" s="44">
        <f t="shared" si="3842"/>
        <v>65500</v>
      </c>
      <c r="I6505" s="43">
        <f t="shared" si="3843"/>
        <v>15064.999999999998</v>
      </c>
      <c r="J6505" s="112">
        <f t="shared" si="3844"/>
        <v>0.22999999999999998</v>
      </c>
      <c r="K6505" s="211">
        <f t="shared" si="3845"/>
        <v>0.22999999999999998</v>
      </c>
      <c r="L6505" s="44"/>
      <c r="M6505" s="44">
        <f t="shared" si="3846"/>
        <v>0.22999999999999998</v>
      </c>
      <c r="N6505" s="173">
        <f t="shared" si="3847"/>
        <v>1</v>
      </c>
      <c r="O6505" s="44">
        <f t="shared" si="3848"/>
        <v>94411</v>
      </c>
      <c r="P6505" s="44">
        <f t="shared" si="3849"/>
        <v>21714.53</v>
      </c>
      <c r="Q6505" s="44">
        <f t="shared" si="3850"/>
        <v>65500</v>
      </c>
      <c r="R6505" s="44">
        <f t="shared" si="3851"/>
        <v>15064.999999999998</v>
      </c>
      <c r="S6505" s="123"/>
      <c r="T6505" s="219">
        <f t="shared" si="3852"/>
        <v>15064.999999999998</v>
      </c>
      <c r="U6505" s="87"/>
      <c r="V6505" s="47"/>
      <c r="W6505" s="48"/>
      <c r="X6505" s="48"/>
      <c r="Y6505" s="48"/>
      <c r="Z6505" s="135"/>
      <c r="AA6505" s="49"/>
      <c r="AB6505" s="50">
        <f t="shared" si="3853"/>
        <v>65500</v>
      </c>
      <c r="AC6505" s="42">
        <f t="shared" si="3854"/>
        <v>0.22999999999999998</v>
      </c>
      <c r="AD6505" s="90">
        <f>AD6506</f>
        <v>15064.999999999998</v>
      </c>
      <c r="AE6505" s="188">
        <f t="shared" ref="AE6505" si="4568">AE6506</f>
        <v>0</v>
      </c>
      <c r="AF6505" s="189">
        <f t="shared" ref="AF6505" si="4569">AF6506</f>
        <v>0</v>
      </c>
      <c r="AG6505" s="189">
        <f t="shared" ref="AG6505" si="4570">AG6506</f>
        <v>0</v>
      </c>
      <c r="AH6505" s="189">
        <f t="shared" ref="AH6505" si="4571">AH6506</f>
        <v>0</v>
      </c>
      <c r="AI6505" s="161">
        <f t="shared" ref="AI6505" si="4572">SUM(AE6505:AH6505)</f>
        <v>0</v>
      </c>
      <c r="AK6505" s="169">
        <v>5</v>
      </c>
      <c r="AO6505" s="19" t="s">
        <v>63</v>
      </c>
    </row>
    <row r="6506" spans="1:41" s="103" customFormat="1" ht="19.899999999999999" customHeight="1" x14ac:dyDescent="0.25">
      <c r="A6506" s="51"/>
      <c r="B6506" s="52"/>
      <c r="C6506" s="165"/>
      <c r="D6506" s="52"/>
      <c r="E6506" s="115"/>
      <c r="F6506" s="58"/>
      <c r="G6506" s="58"/>
      <c r="H6506" s="58"/>
      <c r="I6506" s="55"/>
      <c r="J6506" s="113">
        <f>J6505</f>
        <v>0.22999999999999998</v>
      </c>
      <c r="K6506" s="212">
        <f>K6505</f>
        <v>0.22999999999999998</v>
      </c>
      <c r="L6506" s="58"/>
      <c r="M6506" s="58">
        <f>K6506-L6506</f>
        <v>0.22999999999999998</v>
      </c>
      <c r="N6506" s="166"/>
      <c r="O6506" s="58"/>
      <c r="P6506" s="58"/>
      <c r="Q6506" s="58"/>
      <c r="R6506" s="58"/>
      <c r="S6506" s="58"/>
      <c r="T6506" s="220"/>
      <c r="U6506" s="88"/>
      <c r="V6506" s="56"/>
      <c r="W6506" s="57" t="s">
        <v>1623</v>
      </c>
      <c r="X6506" s="53"/>
      <c r="Y6506" s="91" t="s">
        <v>1349</v>
      </c>
      <c r="Z6506" s="136">
        <f>AD6506/AC6506</f>
        <v>65500</v>
      </c>
      <c r="AA6506" s="58"/>
      <c r="AB6506" s="53">
        <f>AD6506/AC6506</f>
        <v>65500</v>
      </c>
      <c r="AC6506" s="53">
        <f>M6506+$AE$10</f>
        <v>0.22999999999999998</v>
      </c>
      <c r="AD6506" s="54">
        <f>SUM(AD6507)</f>
        <v>15064.999999999998</v>
      </c>
      <c r="AE6506" s="184">
        <f>SUMIFS($AD$37:$AD$12971,$V$37:$V$12971,$V6506,$X$37:$X$12971,AE$13)</f>
        <v>0</v>
      </c>
      <c r="AF6506" s="185">
        <f>SUMIFS($AD$37:$AD$12971,$V$37:$V$12971,$V6506,$X$37:$X$12971,AF$13)</f>
        <v>0</v>
      </c>
      <c r="AG6506" s="185">
        <f>SUMIFS($AD$37:$AD$12971,$V$37:$V$12971,$V6506,$X$37:$X$12971,AG$13)</f>
        <v>0</v>
      </c>
      <c r="AH6506" s="187">
        <f>SUMIFS($AD$37:$AD$12971,$V$37:$V$12971,$V6506,$X$37:$X$12971,AH$13)</f>
        <v>0</v>
      </c>
      <c r="AI6506" s="161">
        <f t="shared" ref="AI6506" si="4573">SUM(AE6506:AH6506)</f>
        <v>0</v>
      </c>
      <c r="AK6506" s="172"/>
    </row>
    <row r="6507" spans="1:41" s="102" customFormat="1" ht="19.899999999999999" customHeight="1" x14ac:dyDescent="0.25">
      <c r="A6507" s="45"/>
      <c r="B6507" s="59"/>
      <c r="C6507" s="137"/>
      <c r="D6507" s="59"/>
      <c r="E6507" s="116"/>
      <c r="F6507" s="120"/>
      <c r="G6507" s="120"/>
      <c r="H6507" s="120"/>
      <c r="I6507" s="60"/>
      <c r="J6507" s="116"/>
      <c r="K6507" s="213"/>
      <c r="L6507" s="120"/>
      <c r="M6507" s="120"/>
      <c r="N6507" s="167"/>
      <c r="O6507" s="120"/>
      <c r="P6507" s="120"/>
      <c r="Q6507" s="120"/>
      <c r="R6507" s="120"/>
      <c r="S6507" s="120"/>
      <c r="T6507" s="221"/>
      <c r="U6507" s="89"/>
      <c r="V6507" s="61"/>
      <c r="W6507" s="92" t="s">
        <v>1623</v>
      </c>
      <c r="X6507" s="93" t="s">
        <v>32</v>
      </c>
      <c r="Y6507" s="93" t="s">
        <v>1349</v>
      </c>
      <c r="Z6507" s="134">
        <f>VLOOKUP(W6507,Sheet2!$B:$D,3,FALSE)</f>
        <v>65500</v>
      </c>
      <c r="AA6507" s="93">
        <v>1</v>
      </c>
      <c r="AB6507" s="93">
        <f>AD6507/AC6506</f>
        <v>65500</v>
      </c>
      <c r="AC6507" s="93">
        <f>AC6506/AA6507</f>
        <v>0.22999999999999998</v>
      </c>
      <c r="AD6507" s="94">
        <f t="shared" ref="AD6507" si="4574">AC6507*Z6507</f>
        <v>15064.999999999998</v>
      </c>
      <c r="AE6507" s="190"/>
      <c r="AF6507" s="191"/>
      <c r="AG6507" s="191"/>
      <c r="AH6507" s="191"/>
      <c r="AI6507" s="186"/>
      <c r="AK6507" s="171"/>
    </row>
    <row r="6508" spans="1:41" ht="20.100000000000001" customHeight="1" x14ac:dyDescent="0.25">
      <c r="A6508" s="277" t="s">
        <v>491</v>
      </c>
      <c r="B6508" s="278"/>
      <c r="C6508" s="64" t="s">
        <v>642</v>
      </c>
      <c r="D6508" s="46"/>
      <c r="E6508" s="114"/>
      <c r="F6508" s="44"/>
      <c r="G6508" s="44">
        <f t="shared" si="3841"/>
        <v>0</v>
      </c>
      <c r="H6508" s="44">
        <f t="shared" si="3842"/>
        <v>0</v>
      </c>
      <c r="I6508" s="43">
        <f t="shared" si="3843"/>
        <v>0</v>
      </c>
      <c r="J6508" s="112">
        <f t="shared" si="3844"/>
        <v>0</v>
      </c>
      <c r="K6508" s="211">
        <f t="shared" si="3845"/>
        <v>0</v>
      </c>
      <c r="L6508" s="44"/>
      <c r="M6508" s="44">
        <f t="shared" si="3846"/>
        <v>0</v>
      </c>
      <c r="N6508" s="173">
        <f t="shared" si="3847"/>
        <v>0</v>
      </c>
      <c r="O6508" s="44">
        <f t="shared" si="3848"/>
        <v>0</v>
      </c>
      <c r="P6508" s="44">
        <f t="shared" si="3849"/>
        <v>0</v>
      </c>
      <c r="Q6508" s="44">
        <f t="shared" si="3850"/>
        <v>0</v>
      </c>
      <c r="R6508" s="44">
        <f t="shared" si="3851"/>
        <v>0</v>
      </c>
      <c r="S6508" s="123"/>
      <c r="T6508" s="219">
        <f t="shared" si="3852"/>
        <v>0</v>
      </c>
      <c r="U6508" s="87"/>
      <c r="V6508" s="47"/>
      <c r="W6508" s="48"/>
      <c r="X6508" s="48"/>
      <c r="Y6508" s="48"/>
      <c r="Z6508" s="135"/>
      <c r="AA6508" s="49"/>
      <c r="AB6508" s="50">
        <f t="shared" si="3853"/>
        <v>0</v>
      </c>
      <c r="AC6508" s="42">
        <f t="shared" si="3854"/>
        <v>9.9999999999999998E-20</v>
      </c>
      <c r="AD6508" s="90"/>
      <c r="AE6508" s="188"/>
      <c r="AF6508" s="189"/>
      <c r="AG6508" s="189"/>
      <c r="AH6508" s="189"/>
      <c r="AI6508" s="161"/>
    </row>
    <row r="6509" spans="1:41" s="102" customFormat="1" ht="20.100000000000001" customHeight="1" x14ac:dyDescent="0.25">
      <c r="A6509" s="45" t="s">
        <v>491</v>
      </c>
      <c r="B6509" s="276"/>
      <c r="C6509" s="285" t="s">
        <v>646</v>
      </c>
      <c r="D6509" s="59"/>
      <c r="E6509" s="116"/>
      <c r="F6509" s="120"/>
      <c r="G6509" s="120">
        <f t="shared" si="3841"/>
        <v>0</v>
      </c>
      <c r="H6509" s="120">
        <f t="shared" si="3842"/>
        <v>0</v>
      </c>
      <c r="I6509" s="60">
        <f t="shared" si="3843"/>
        <v>0</v>
      </c>
      <c r="J6509" s="116">
        <f t="shared" si="3844"/>
        <v>0</v>
      </c>
      <c r="K6509" s="213">
        <f t="shared" si="3845"/>
        <v>0</v>
      </c>
      <c r="L6509" s="120"/>
      <c r="M6509" s="120">
        <f t="shared" si="3846"/>
        <v>0</v>
      </c>
      <c r="N6509" s="167">
        <f t="shared" si="3847"/>
        <v>0</v>
      </c>
      <c r="O6509" s="120">
        <f t="shared" si="3848"/>
        <v>0</v>
      </c>
      <c r="P6509" s="120">
        <f t="shared" si="3849"/>
        <v>0</v>
      </c>
      <c r="Q6509" s="120">
        <f t="shared" si="3850"/>
        <v>0</v>
      </c>
      <c r="R6509" s="120">
        <f t="shared" si="3851"/>
        <v>0</v>
      </c>
      <c r="S6509" s="120"/>
      <c r="T6509" s="221">
        <f t="shared" si="3852"/>
        <v>0</v>
      </c>
      <c r="U6509" s="89"/>
      <c r="V6509" s="61"/>
      <c r="W6509" s="92"/>
      <c r="X6509" s="38"/>
      <c r="Y6509" s="93"/>
      <c r="Z6509" s="134"/>
      <c r="AA6509" s="93"/>
      <c r="AB6509" s="93"/>
      <c r="AC6509" s="93"/>
      <c r="AD6509" s="94"/>
      <c r="AE6509" s="190"/>
      <c r="AF6509" s="191"/>
      <c r="AG6509" s="191"/>
      <c r="AH6509" s="191"/>
      <c r="AI6509" s="186"/>
      <c r="AK6509" s="171"/>
    </row>
    <row r="6510" spans="1:41" s="102" customFormat="1" ht="126" x14ac:dyDescent="0.25">
      <c r="A6510" s="45" t="s">
        <v>491</v>
      </c>
      <c r="B6510" s="276"/>
      <c r="C6510" s="285" t="s">
        <v>647</v>
      </c>
      <c r="D6510" s="59"/>
      <c r="E6510" s="116"/>
      <c r="F6510" s="120"/>
      <c r="G6510" s="120">
        <f t="shared" ref="G6510:G7911" si="4575">F6510*E6510</f>
        <v>0</v>
      </c>
      <c r="H6510" s="120">
        <f t="shared" ref="H6510:H7911" si="4576">AB6510</f>
        <v>0</v>
      </c>
      <c r="I6510" s="60">
        <f t="shared" ref="I6510:I7911" si="4577">H6510*E6510</f>
        <v>0</v>
      </c>
      <c r="J6510" s="116">
        <f t="shared" ref="J6510:J7911" si="4578">E6510</f>
        <v>0</v>
      </c>
      <c r="K6510" s="213">
        <f t="shared" ref="K6510:K7911" si="4579">J6510</f>
        <v>0</v>
      </c>
      <c r="L6510" s="120"/>
      <c r="M6510" s="120">
        <f t="shared" ref="M6510:M7911" si="4580">K6510-L6510</f>
        <v>0</v>
      </c>
      <c r="N6510" s="167">
        <f t="shared" ref="N6510:N7911" si="4581">IFERROR(M6510/K6510,0)</f>
        <v>0</v>
      </c>
      <c r="O6510" s="120">
        <f t="shared" ref="O6510:O7911" si="4582">F6510</f>
        <v>0</v>
      </c>
      <c r="P6510" s="120">
        <f t="shared" ref="P6510:P7911" si="4583">K6510*O6510</f>
        <v>0</v>
      </c>
      <c r="Q6510" s="120">
        <f t="shared" ref="Q6510:Q7911" si="4584">AB6510</f>
        <v>0</v>
      </c>
      <c r="R6510" s="120">
        <f t="shared" ref="R6510:R7911" si="4585">M6510*Q6510</f>
        <v>0</v>
      </c>
      <c r="S6510" s="120"/>
      <c r="T6510" s="221">
        <f t="shared" ref="T6510:T7911" si="4586">S6510+R6510</f>
        <v>0</v>
      </c>
      <c r="U6510" s="89"/>
      <c r="V6510" s="61"/>
      <c r="W6510" s="92"/>
      <c r="X6510" s="38"/>
      <c r="Y6510" s="93"/>
      <c r="Z6510" s="134"/>
      <c r="AA6510" s="93"/>
      <c r="AB6510" s="93"/>
      <c r="AC6510" s="93"/>
      <c r="AD6510" s="94"/>
      <c r="AE6510" s="190"/>
      <c r="AF6510" s="191"/>
      <c r="AG6510" s="191"/>
      <c r="AH6510" s="191"/>
      <c r="AI6510" s="186"/>
      <c r="AK6510" s="171"/>
    </row>
    <row r="6511" spans="1:41" ht="25.5" x14ac:dyDescent="0.25">
      <c r="A6511" s="277" t="s">
        <v>491</v>
      </c>
      <c r="B6511" s="278"/>
      <c r="C6511" s="64" t="s">
        <v>695</v>
      </c>
      <c r="D6511" s="46" t="s">
        <v>186</v>
      </c>
      <c r="E6511" s="114">
        <v>0.48</v>
      </c>
      <c r="F6511" s="44">
        <v>868577</v>
      </c>
      <c r="G6511" s="44">
        <f t="shared" si="4575"/>
        <v>416916.95999999996</v>
      </c>
      <c r="H6511" s="44">
        <f t="shared" si="4576"/>
        <v>438304.67</v>
      </c>
      <c r="I6511" s="43">
        <f t="shared" si="4577"/>
        <v>210386.24159999998</v>
      </c>
      <c r="J6511" s="112">
        <f t="shared" si="4578"/>
        <v>0.48</v>
      </c>
      <c r="K6511" s="211">
        <f t="shared" si="4579"/>
        <v>0.48</v>
      </c>
      <c r="L6511" s="44"/>
      <c r="M6511" s="44">
        <f t="shared" si="4580"/>
        <v>0.48</v>
      </c>
      <c r="N6511" s="173">
        <f t="shared" si="4581"/>
        <v>1</v>
      </c>
      <c r="O6511" s="44">
        <f t="shared" si="4582"/>
        <v>868577</v>
      </c>
      <c r="P6511" s="44">
        <f t="shared" si="4583"/>
        <v>416916.95999999996</v>
      </c>
      <c r="Q6511" s="44">
        <f t="shared" si="4584"/>
        <v>438304.67</v>
      </c>
      <c r="R6511" s="44">
        <f t="shared" si="4585"/>
        <v>210386.24159999998</v>
      </c>
      <c r="S6511" s="123"/>
      <c r="T6511" s="219">
        <f t="shared" si="4586"/>
        <v>210386.24159999998</v>
      </c>
      <c r="U6511" s="87"/>
      <c r="V6511" s="47"/>
      <c r="W6511" s="48"/>
      <c r="X6511" s="48"/>
      <c r="Y6511" s="48"/>
      <c r="Z6511" s="135"/>
      <c r="AA6511" s="49"/>
      <c r="AB6511" s="50">
        <f t="shared" ref="AB6511:AB7911" si="4587">AD6511/AC6511</f>
        <v>438304.67</v>
      </c>
      <c r="AC6511" s="42">
        <f t="shared" ref="AC6511:AC7911" si="4588">M6511+$AE$10</f>
        <v>0.48</v>
      </c>
      <c r="AD6511" s="90">
        <f>AD6512</f>
        <v>210386.24159999998</v>
      </c>
      <c r="AE6511" s="188">
        <f t="shared" ref="AE6511" si="4589">AE6512</f>
        <v>0</v>
      </c>
      <c r="AF6511" s="189">
        <f t="shared" ref="AF6511" si="4590">AF6512</f>
        <v>0</v>
      </c>
      <c r="AG6511" s="189">
        <f t="shared" ref="AG6511" si="4591">AG6512</f>
        <v>0</v>
      </c>
      <c r="AH6511" s="189">
        <f t="shared" ref="AH6511" si="4592">AH6512</f>
        <v>0</v>
      </c>
      <c r="AI6511" s="161">
        <f t="shared" ref="AI6511" si="4593">SUM(AE6511:AH6511)</f>
        <v>0</v>
      </c>
      <c r="AK6511" s="169">
        <v>5</v>
      </c>
      <c r="AO6511" s="19" t="s">
        <v>63</v>
      </c>
    </row>
    <row r="6512" spans="1:41" s="103" customFormat="1" ht="19.899999999999999" customHeight="1" x14ac:dyDescent="0.25">
      <c r="A6512" s="51"/>
      <c r="B6512" s="52"/>
      <c r="C6512" s="165"/>
      <c r="D6512" s="52"/>
      <c r="E6512" s="115"/>
      <c r="F6512" s="58"/>
      <c r="G6512" s="58"/>
      <c r="H6512" s="58"/>
      <c r="I6512" s="55"/>
      <c r="J6512" s="113">
        <f>J6511</f>
        <v>0.48</v>
      </c>
      <c r="K6512" s="212">
        <f>K6511</f>
        <v>0.48</v>
      </c>
      <c r="L6512" s="58"/>
      <c r="M6512" s="58">
        <f>K6512-L6512</f>
        <v>0.48</v>
      </c>
      <c r="N6512" s="166"/>
      <c r="O6512" s="58"/>
      <c r="P6512" s="58"/>
      <c r="Q6512" s="58"/>
      <c r="R6512" s="58"/>
      <c r="S6512" s="58"/>
      <c r="T6512" s="220"/>
      <c r="U6512" s="88"/>
      <c r="V6512" s="56"/>
      <c r="W6512" s="57" t="s">
        <v>1627</v>
      </c>
      <c r="X6512" s="53"/>
      <c r="Y6512" s="91" t="s">
        <v>1349</v>
      </c>
      <c r="Z6512" s="136">
        <f>AD6512/AC6512</f>
        <v>438304.67</v>
      </c>
      <c r="AA6512" s="58"/>
      <c r="AB6512" s="53">
        <f>AD6512/AC6512</f>
        <v>438304.67</v>
      </c>
      <c r="AC6512" s="53">
        <f>M6512+$AE$10</f>
        <v>0.48</v>
      </c>
      <c r="AD6512" s="54">
        <f>SUM(AD6513)</f>
        <v>210386.24159999998</v>
      </c>
      <c r="AE6512" s="184">
        <f>SUMIFS($AD$37:$AD$12971,$V$37:$V$12971,$V6512,$X$37:$X$12971,AE$13)</f>
        <v>0</v>
      </c>
      <c r="AF6512" s="185">
        <f>SUMIFS($AD$37:$AD$12971,$V$37:$V$12971,$V6512,$X$37:$X$12971,AF$13)</f>
        <v>0</v>
      </c>
      <c r="AG6512" s="185">
        <f>SUMIFS($AD$37:$AD$12971,$V$37:$V$12971,$V6512,$X$37:$X$12971,AG$13)</f>
        <v>0</v>
      </c>
      <c r="AH6512" s="187">
        <f>SUMIFS($AD$37:$AD$12971,$V$37:$V$12971,$V6512,$X$37:$X$12971,AH$13)</f>
        <v>0</v>
      </c>
      <c r="AI6512" s="161">
        <f t="shared" ref="AI6512" si="4594">SUM(AE6512:AH6512)</f>
        <v>0</v>
      </c>
      <c r="AK6512" s="172"/>
    </row>
    <row r="6513" spans="1:41" s="102" customFormat="1" ht="19.899999999999999" customHeight="1" x14ac:dyDescent="0.25">
      <c r="A6513" s="45"/>
      <c r="B6513" s="59"/>
      <c r="C6513" s="137"/>
      <c r="D6513" s="59"/>
      <c r="E6513" s="116"/>
      <c r="F6513" s="120"/>
      <c r="G6513" s="120"/>
      <c r="H6513" s="120"/>
      <c r="I6513" s="60"/>
      <c r="J6513" s="116"/>
      <c r="K6513" s="213"/>
      <c r="L6513" s="120"/>
      <c r="M6513" s="120"/>
      <c r="N6513" s="167"/>
      <c r="O6513" s="120"/>
      <c r="P6513" s="120"/>
      <c r="Q6513" s="120"/>
      <c r="R6513" s="120"/>
      <c r="S6513" s="120"/>
      <c r="T6513" s="221"/>
      <c r="U6513" s="89"/>
      <c r="V6513" s="61"/>
      <c r="W6513" s="92" t="s">
        <v>1627</v>
      </c>
      <c r="X6513" s="93" t="s">
        <v>32</v>
      </c>
      <c r="Y6513" s="93" t="s">
        <v>1349</v>
      </c>
      <c r="Z6513" s="134">
        <f>VLOOKUP(W6513,Sheet2!$B:$D,3,FALSE)</f>
        <v>438304.67</v>
      </c>
      <c r="AA6513" s="93">
        <v>1</v>
      </c>
      <c r="AB6513" s="93">
        <f>AD6513/AC6512</f>
        <v>438304.67</v>
      </c>
      <c r="AC6513" s="93">
        <f>AC6512/AA6513</f>
        <v>0.48</v>
      </c>
      <c r="AD6513" s="94">
        <f t="shared" ref="AD6513" si="4595">AC6513*Z6513</f>
        <v>210386.24159999998</v>
      </c>
      <c r="AE6513" s="190"/>
      <c r="AF6513" s="191"/>
      <c r="AG6513" s="191"/>
      <c r="AH6513" s="191"/>
      <c r="AI6513" s="186"/>
      <c r="AK6513" s="171"/>
    </row>
    <row r="6514" spans="1:41" ht="25.5" x14ac:dyDescent="0.25">
      <c r="A6514" s="277" t="s">
        <v>491</v>
      </c>
      <c r="B6514" s="278"/>
      <c r="C6514" s="64" t="s">
        <v>649</v>
      </c>
      <c r="D6514" s="46" t="s">
        <v>186</v>
      </c>
      <c r="E6514" s="114">
        <v>0.48</v>
      </c>
      <c r="F6514" s="44">
        <v>67661</v>
      </c>
      <c r="G6514" s="44">
        <f t="shared" si="4575"/>
        <v>32477.279999999999</v>
      </c>
      <c r="H6514" s="44">
        <f t="shared" si="4576"/>
        <v>30875</v>
      </c>
      <c r="I6514" s="43">
        <f t="shared" si="4577"/>
        <v>14820</v>
      </c>
      <c r="J6514" s="112">
        <f t="shared" si="4578"/>
        <v>0.48</v>
      </c>
      <c r="K6514" s="211">
        <f t="shared" si="4579"/>
        <v>0.48</v>
      </c>
      <c r="L6514" s="44"/>
      <c r="M6514" s="44">
        <f t="shared" si="4580"/>
        <v>0.48</v>
      </c>
      <c r="N6514" s="173">
        <f t="shared" si="4581"/>
        <v>1</v>
      </c>
      <c r="O6514" s="44">
        <f t="shared" si="4582"/>
        <v>67661</v>
      </c>
      <c r="P6514" s="44">
        <f t="shared" si="4583"/>
        <v>32477.279999999999</v>
      </c>
      <c r="Q6514" s="44">
        <f t="shared" si="4584"/>
        <v>30875</v>
      </c>
      <c r="R6514" s="44">
        <f t="shared" si="4585"/>
        <v>14820</v>
      </c>
      <c r="S6514" s="123"/>
      <c r="T6514" s="219">
        <f t="shared" si="4586"/>
        <v>14820</v>
      </c>
      <c r="U6514" s="87"/>
      <c r="V6514" s="47"/>
      <c r="W6514" s="48"/>
      <c r="X6514" s="48"/>
      <c r="Y6514" s="48"/>
      <c r="Z6514" s="135"/>
      <c r="AA6514" s="49"/>
      <c r="AB6514" s="50">
        <f t="shared" si="4587"/>
        <v>30875</v>
      </c>
      <c r="AC6514" s="42">
        <f t="shared" si="4588"/>
        <v>0.48</v>
      </c>
      <c r="AD6514" s="90">
        <f>AD6515</f>
        <v>14820</v>
      </c>
      <c r="AE6514" s="188">
        <f t="shared" ref="AE6514" si="4596">AE6515</f>
        <v>0</v>
      </c>
      <c r="AF6514" s="189">
        <f t="shared" ref="AF6514" si="4597">AF6515</f>
        <v>0</v>
      </c>
      <c r="AG6514" s="189">
        <f t="shared" ref="AG6514" si="4598">AG6515</f>
        <v>0</v>
      </c>
      <c r="AH6514" s="189">
        <f t="shared" ref="AH6514" si="4599">AH6515</f>
        <v>0</v>
      </c>
      <c r="AI6514" s="161">
        <f t="shared" ref="AI6514" si="4600">SUM(AE6514:AH6514)</f>
        <v>0</v>
      </c>
      <c r="AK6514" s="169">
        <v>5</v>
      </c>
      <c r="AO6514" s="19" t="s">
        <v>63</v>
      </c>
    </row>
    <row r="6515" spans="1:41" s="103" customFormat="1" ht="19.899999999999999" customHeight="1" x14ac:dyDescent="0.25">
      <c r="A6515" s="51"/>
      <c r="B6515" s="52"/>
      <c r="C6515" s="165"/>
      <c r="D6515" s="52"/>
      <c r="E6515" s="115"/>
      <c r="F6515" s="58"/>
      <c r="G6515" s="58"/>
      <c r="H6515" s="58"/>
      <c r="I6515" s="55"/>
      <c r="J6515" s="113">
        <f>J6514</f>
        <v>0.48</v>
      </c>
      <c r="K6515" s="212">
        <f>K6514</f>
        <v>0.48</v>
      </c>
      <c r="L6515" s="58"/>
      <c r="M6515" s="58">
        <f>K6515-L6515</f>
        <v>0.48</v>
      </c>
      <c r="N6515" s="166"/>
      <c r="O6515" s="58"/>
      <c r="P6515" s="58"/>
      <c r="Q6515" s="58"/>
      <c r="R6515" s="58"/>
      <c r="S6515" s="58"/>
      <c r="T6515" s="220"/>
      <c r="U6515" s="88"/>
      <c r="V6515" s="56"/>
      <c r="W6515" s="57" t="s">
        <v>1585</v>
      </c>
      <c r="X6515" s="53"/>
      <c r="Y6515" s="91" t="s">
        <v>1349</v>
      </c>
      <c r="Z6515" s="136">
        <f>AD6515/AC6515</f>
        <v>30875</v>
      </c>
      <c r="AA6515" s="58"/>
      <c r="AB6515" s="53">
        <f>AD6515/AC6515</f>
        <v>30875</v>
      </c>
      <c r="AC6515" s="53">
        <f>M6515+$AE$10</f>
        <v>0.48</v>
      </c>
      <c r="AD6515" s="54">
        <f>SUM(AD6516:AD6519)</f>
        <v>14820</v>
      </c>
      <c r="AE6515" s="184">
        <f>SUMIFS($AD$37:$AD$12971,$V$37:$V$12971,$V6515,$X$37:$X$12971,AE$13)</f>
        <v>0</v>
      </c>
      <c r="AF6515" s="185">
        <f>SUMIFS($AD$37:$AD$12971,$V$37:$V$12971,$V6515,$X$37:$X$12971,AF$13)</f>
        <v>0</v>
      </c>
      <c r="AG6515" s="185">
        <f>SUMIFS($AD$37:$AD$12971,$V$37:$V$12971,$V6515,$X$37:$X$12971,AG$13)</f>
        <v>0</v>
      </c>
      <c r="AH6515" s="187">
        <f>SUMIFS($AD$37:$AD$12971,$V$37:$V$12971,$V6515,$X$37:$X$12971,AH$13)</f>
        <v>0</v>
      </c>
      <c r="AI6515" s="161">
        <f t="shared" ref="AI6515" si="4601">SUM(AE6515:AH6515)</f>
        <v>0</v>
      </c>
      <c r="AK6515" s="172"/>
    </row>
    <row r="6516" spans="1:41" s="102" customFormat="1" ht="19.899999999999999" customHeight="1" x14ac:dyDescent="0.25">
      <c r="A6516" s="45"/>
      <c r="B6516" s="59"/>
      <c r="C6516" s="137"/>
      <c r="D6516" s="59"/>
      <c r="E6516" s="116"/>
      <c r="F6516" s="120"/>
      <c r="G6516" s="120"/>
      <c r="H6516" s="120"/>
      <c r="I6516" s="60"/>
      <c r="J6516" s="116"/>
      <c r="K6516" s="213"/>
      <c r="L6516" s="120"/>
      <c r="M6516" s="120"/>
      <c r="N6516" s="167"/>
      <c r="O6516" s="120"/>
      <c r="P6516" s="120"/>
      <c r="Q6516" s="120"/>
      <c r="R6516" s="120"/>
      <c r="S6516" s="120"/>
      <c r="T6516" s="221"/>
      <c r="U6516" s="89"/>
      <c r="V6516" s="61"/>
      <c r="W6516" s="92" t="s">
        <v>1353</v>
      </c>
      <c r="X6516" s="93" t="s">
        <v>30</v>
      </c>
      <c r="Y6516" s="93" t="s">
        <v>66</v>
      </c>
      <c r="Z6516" s="134">
        <f>VLOOKUP(W6516,Sheet2!$B:$D,3,FALSE)</f>
        <v>350</v>
      </c>
      <c r="AA6516" s="93">
        <f>1/(5*5*1)</f>
        <v>0.04</v>
      </c>
      <c r="AB6516" s="93">
        <f>AD6516/AC6515</f>
        <v>8750</v>
      </c>
      <c r="AC6516" s="93">
        <f>AC6515/AA6516</f>
        <v>12</v>
      </c>
      <c r="AD6516" s="94">
        <f t="shared" ref="AD6516:AD6519" si="4602">AC6516*Z6516</f>
        <v>4200</v>
      </c>
      <c r="AE6516" s="190"/>
      <c r="AF6516" s="191"/>
      <c r="AG6516" s="191"/>
      <c r="AH6516" s="191"/>
      <c r="AI6516" s="186"/>
      <c r="AK6516" s="171"/>
    </row>
    <row r="6517" spans="1:41" s="102" customFormat="1" ht="19.899999999999999" customHeight="1" x14ac:dyDescent="0.25">
      <c r="A6517" s="45"/>
      <c r="B6517" s="59"/>
      <c r="C6517" s="137"/>
      <c r="D6517" s="59"/>
      <c r="E6517" s="116"/>
      <c r="F6517" s="120"/>
      <c r="G6517" s="120"/>
      <c r="H6517" s="120"/>
      <c r="I6517" s="60"/>
      <c r="J6517" s="116"/>
      <c r="K6517" s="213"/>
      <c r="L6517" s="120"/>
      <c r="M6517" s="120"/>
      <c r="N6517" s="167"/>
      <c r="O6517" s="120"/>
      <c r="P6517" s="120"/>
      <c r="Q6517" s="120"/>
      <c r="R6517" s="120"/>
      <c r="S6517" s="120"/>
      <c r="T6517" s="221"/>
      <c r="U6517" s="89"/>
      <c r="V6517" s="61"/>
      <c r="W6517" s="92" t="s">
        <v>99</v>
      </c>
      <c r="X6517" s="93" t="s">
        <v>30</v>
      </c>
      <c r="Y6517" s="93" t="s">
        <v>67</v>
      </c>
      <c r="Z6517" s="134">
        <f>VLOOKUP(W6517,Sheet2!$B:$D,3,FALSE)</f>
        <v>2500</v>
      </c>
      <c r="AA6517" s="93">
        <f>AA6516/0.15</f>
        <v>0.26666666666666666</v>
      </c>
      <c r="AB6517" s="93">
        <f>AD6517/AC6515</f>
        <v>9375</v>
      </c>
      <c r="AC6517" s="93">
        <f>AC6515/AA6517</f>
        <v>1.8</v>
      </c>
      <c r="AD6517" s="94">
        <f t="shared" si="4602"/>
        <v>4500</v>
      </c>
      <c r="AE6517" s="190"/>
      <c r="AF6517" s="191"/>
      <c r="AG6517" s="191"/>
      <c r="AH6517" s="191"/>
      <c r="AI6517" s="186"/>
      <c r="AK6517" s="171"/>
    </row>
    <row r="6518" spans="1:41" s="102" customFormat="1" ht="19.899999999999999" customHeight="1" x14ac:dyDescent="0.25">
      <c r="A6518" s="45"/>
      <c r="B6518" s="59"/>
      <c r="C6518" s="137"/>
      <c r="D6518" s="59"/>
      <c r="E6518" s="116"/>
      <c r="F6518" s="120"/>
      <c r="G6518" s="120"/>
      <c r="H6518" s="120"/>
      <c r="I6518" s="60"/>
      <c r="J6518" s="116"/>
      <c r="K6518" s="213"/>
      <c r="L6518" s="120"/>
      <c r="M6518" s="120"/>
      <c r="N6518" s="167"/>
      <c r="O6518" s="120"/>
      <c r="P6518" s="120"/>
      <c r="Q6518" s="120"/>
      <c r="R6518" s="120"/>
      <c r="S6518" s="120"/>
      <c r="T6518" s="221"/>
      <c r="U6518" s="89"/>
      <c r="V6518" s="61"/>
      <c r="W6518" s="92" t="s">
        <v>1355</v>
      </c>
      <c r="X6518" s="93" t="s">
        <v>32</v>
      </c>
      <c r="Y6518" s="93" t="s">
        <v>66</v>
      </c>
      <c r="Z6518" s="134">
        <f>VLOOKUP(W6518,Sheet2!$B:$D,3,FALSE)</f>
        <v>450</v>
      </c>
      <c r="AA6518" s="93">
        <f>AA6516</f>
        <v>0.04</v>
      </c>
      <c r="AB6518" s="93">
        <f>AD6518/AC6515</f>
        <v>11250</v>
      </c>
      <c r="AC6518" s="93">
        <f>AC6515/AA6518</f>
        <v>12</v>
      </c>
      <c r="AD6518" s="94">
        <f t="shared" si="4602"/>
        <v>5400</v>
      </c>
      <c r="AE6518" s="190"/>
      <c r="AF6518" s="191"/>
      <c r="AG6518" s="191"/>
      <c r="AH6518" s="191"/>
      <c r="AI6518" s="186"/>
      <c r="AK6518" s="171"/>
    </row>
    <row r="6519" spans="1:41" s="102" customFormat="1" ht="19.899999999999999" customHeight="1" x14ac:dyDescent="0.25">
      <c r="A6519" s="45"/>
      <c r="B6519" s="59"/>
      <c r="C6519" s="137"/>
      <c r="D6519" s="59"/>
      <c r="E6519" s="116"/>
      <c r="F6519" s="120"/>
      <c r="G6519" s="120"/>
      <c r="H6519" s="120"/>
      <c r="I6519" s="60"/>
      <c r="J6519" s="116"/>
      <c r="K6519" s="213"/>
      <c r="L6519" s="120"/>
      <c r="M6519" s="120"/>
      <c r="N6519" s="167"/>
      <c r="O6519" s="120"/>
      <c r="P6519" s="120"/>
      <c r="Q6519" s="120"/>
      <c r="R6519" s="120"/>
      <c r="S6519" s="120"/>
      <c r="T6519" s="221"/>
      <c r="U6519" s="89"/>
      <c r="V6519" s="61"/>
      <c r="W6519" s="92" t="s">
        <v>1586</v>
      </c>
      <c r="X6519" s="93" t="s">
        <v>32</v>
      </c>
      <c r="Y6519" s="93" t="s">
        <v>1349</v>
      </c>
      <c r="Z6519" s="134">
        <f>VLOOKUP(W6519,Sheet2!$B:$D,3,FALSE)</f>
        <v>1500</v>
      </c>
      <c r="AA6519" s="93">
        <v>1</v>
      </c>
      <c r="AB6519" s="93">
        <f>AD6519/AC6515</f>
        <v>1500</v>
      </c>
      <c r="AC6519" s="93">
        <f>AC6515/AA6519</f>
        <v>0.48</v>
      </c>
      <c r="AD6519" s="94">
        <f t="shared" si="4602"/>
        <v>720</v>
      </c>
      <c r="AE6519" s="190"/>
      <c r="AF6519" s="191"/>
      <c r="AG6519" s="191"/>
      <c r="AH6519" s="191"/>
      <c r="AI6519" s="186"/>
      <c r="AK6519" s="171"/>
    </row>
    <row r="6520" spans="1:41" s="102" customFormat="1" ht="20.100000000000001" customHeight="1" x14ac:dyDescent="0.25">
      <c r="A6520" s="45" t="s">
        <v>491</v>
      </c>
      <c r="B6520" s="276"/>
      <c r="C6520" s="285" t="s">
        <v>696</v>
      </c>
      <c r="D6520" s="59"/>
      <c r="E6520" s="116"/>
      <c r="F6520" s="120"/>
      <c r="G6520" s="120">
        <f t="shared" si="4575"/>
        <v>0</v>
      </c>
      <c r="H6520" s="120">
        <f t="shared" si="4576"/>
        <v>0</v>
      </c>
      <c r="I6520" s="60">
        <f t="shared" si="4577"/>
        <v>0</v>
      </c>
      <c r="J6520" s="116">
        <f t="shared" si="4578"/>
        <v>0</v>
      </c>
      <c r="K6520" s="213">
        <f t="shared" si="4579"/>
        <v>0</v>
      </c>
      <c r="L6520" s="120"/>
      <c r="M6520" s="120">
        <f t="shared" si="4580"/>
        <v>0</v>
      </c>
      <c r="N6520" s="167">
        <f t="shared" si="4581"/>
        <v>0</v>
      </c>
      <c r="O6520" s="120">
        <f t="shared" si="4582"/>
        <v>0</v>
      </c>
      <c r="P6520" s="120">
        <f t="shared" si="4583"/>
        <v>0</v>
      </c>
      <c r="Q6520" s="120">
        <f t="shared" si="4584"/>
        <v>0</v>
      </c>
      <c r="R6520" s="120">
        <f t="shared" si="4585"/>
        <v>0</v>
      </c>
      <c r="S6520" s="120"/>
      <c r="T6520" s="221">
        <f t="shared" si="4586"/>
        <v>0</v>
      </c>
      <c r="U6520" s="89"/>
      <c r="V6520" s="61"/>
      <c r="W6520" s="92"/>
      <c r="X6520" s="38"/>
      <c r="Y6520" s="93"/>
      <c r="Z6520" s="134"/>
      <c r="AA6520" s="93"/>
      <c r="AB6520" s="93"/>
      <c r="AC6520" s="93"/>
      <c r="AD6520" s="94"/>
      <c r="AE6520" s="190"/>
      <c r="AF6520" s="191"/>
      <c r="AG6520" s="191"/>
      <c r="AH6520" s="191"/>
      <c r="AI6520" s="186"/>
      <c r="AK6520" s="171"/>
    </row>
    <row r="6521" spans="1:41" ht="20.100000000000001" customHeight="1" x14ac:dyDescent="0.25">
      <c r="A6521" s="277" t="s">
        <v>491</v>
      </c>
      <c r="B6521" s="278"/>
      <c r="C6521" s="64" t="s">
        <v>650</v>
      </c>
      <c r="D6521" s="46"/>
      <c r="E6521" s="114"/>
      <c r="F6521" s="44"/>
      <c r="G6521" s="44">
        <f t="shared" si="4575"/>
        <v>0</v>
      </c>
      <c r="H6521" s="44">
        <f t="shared" si="4576"/>
        <v>0</v>
      </c>
      <c r="I6521" s="43">
        <f t="shared" si="4577"/>
        <v>0</v>
      </c>
      <c r="J6521" s="112">
        <f t="shared" si="4578"/>
        <v>0</v>
      </c>
      <c r="K6521" s="211">
        <f t="shared" si="4579"/>
        <v>0</v>
      </c>
      <c r="L6521" s="44"/>
      <c r="M6521" s="44">
        <f t="shared" si="4580"/>
        <v>0</v>
      </c>
      <c r="N6521" s="173">
        <f t="shared" si="4581"/>
        <v>0</v>
      </c>
      <c r="O6521" s="44">
        <f t="shared" si="4582"/>
        <v>0</v>
      </c>
      <c r="P6521" s="44">
        <f t="shared" si="4583"/>
        <v>0</v>
      </c>
      <c r="Q6521" s="44">
        <f t="shared" si="4584"/>
        <v>0</v>
      </c>
      <c r="R6521" s="44">
        <f t="shared" si="4585"/>
        <v>0</v>
      </c>
      <c r="S6521" s="123"/>
      <c r="T6521" s="219">
        <f t="shared" si="4586"/>
        <v>0</v>
      </c>
      <c r="U6521" s="87"/>
      <c r="V6521" s="47"/>
      <c r="W6521" s="48"/>
      <c r="X6521" s="48"/>
      <c r="Y6521" s="48"/>
      <c r="Z6521" s="135"/>
      <c r="AA6521" s="49"/>
      <c r="AB6521" s="50">
        <f t="shared" si="4587"/>
        <v>0</v>
      </c>
      <c r="AC6521" s="42">
        <f t="shared" si="4588"/>
        <v>9.9999999999999998E-20</v>
      </c>
      <c r="AD6521" s="90"/>
      <c r="AE6521" s="188"/>
      <c r="AF6521" s="189"/>
      <c r="AG6521" s="189"/>
      <c r="AH6521" s="189"/>
      <c r="AI6521" s="161"/>
    </row>
    <row r="6522" spans="1:41" ht="20.100000000000001" customHeight="1" x14ac:dyDescent="0.25">
      <c r="A6522" s="277" t="s">
        <v>491</v>
      </c>
      <c r="B6522" s="278"/>
      <c r="C6522" s="64" t="s">
        <v>651</v>
      </c>
      <c r="D6522" s="46" t="s">
        <v>186</v>
      </c>
      <c r="E6522" s="114">
        <v>0.48</v>
      </c>
      <c r="F6522" s="44">
        <v>399671</v>
      </c>
      <c r="G6522" s="44">
        <f t="shared" si="4575"/>
        <v>191842.08</v>
      </c>
      <c r="H6522" s="44">
        <f t="shared" si="4576"/>
        <v>214682.1915666667</v>
      </c>
      <c r="I6522" s="43">
        <f t="shared" si="4577"/>
        <v>103047.45195200002</v>
      </c>
      <c r="J6522" s="112">
        <f t="shared" si="4578"/>
        <v>0.48</v>
      </c>
      <c r="K6522" s="211">
        <f t="shared" si="4579"/>
        <v>0.48</v>
      </c>
      <c r="L6522" s="44"/>
      <c r="M6522" s="44">
        <f t="shared" si="4580"/>
        <v>0.48</v>
      </c>
      <c r="N6522" s="173">
        <f t="shared" si="4581"/>
        <v>1</v>
      </c>
      <c r="O6522" s="44">
        <f t="shared" si="4582"/>
        <v>399671</v>
      </c>
      <c r="P6522" s="44">
        <f t="shared" si="4583"/>
        <v>191842.08</v>
      </c>
      <c r="Q6522" s="44">
        <f t="shared" si="4584"/>
        <v>214682.1915666667</v>
      </c>
      <c r="R6522" s="44">
        <f t="shared" si="4585"/>
        <v>103047.45195200002</v>
      </c>
      <c r="S6522" s="123"/>
      <c r="T6522" s="219">
        <f t="shared" si="4586"/>
        <v>103047.45195200002</v>
      </c>
      <c r="U6522" s="87"/>
      <c r="V6522" s="47"/>
      <c r="W6522" s="48"/>
      <c r="X6522" s="48"/>
      <c r="Y6522" s="48"/>
      <c r="Z6522" s="135"/>
      <c r="AA6522" s="49"/>
      <c r="AB6522" s="50">
        <f t="shared" si="4587"/>
        <v>214682.1915666667</v>
      </c>
      <c r="AC6522" s="42">
        <f t="shared" si="4588"/>
        <v>0.48</v>
      </c>
      <c r="AD6522" s="90">
        <f>AD6523</f>
        <v>103047.45195200002</v>
      </c>
      <c r="AE6522" s="188">
        <f t="shared" ref="AE6522" si="4603">AE6523</f>
        <v>0</v>
      </c>
      <c r="AF6522" s="189">
        <f t="shared" ref="AF6522" si="4604">AF6523</f>
        <v>0</v>
      </c>
      <c r="AG6522" s="189">
        <f t="shared" ref="AG6522" si="4605">AG6523</f>
        <v>0</v>
      </c>
      <c r="AH6522" s="189">
        <f t="shared" ref="AH6522" si="4606">AH6523</f>
        <v>0</v>
      </c>
      <c r="AI6522" s="161">
        <f t="shared" ref="AI6522" si="4607">SUM(AE6522:AH6522)</f>
        <v>0</v>
      </c>
      <c r="AK6522" s="169">
        <v>5</v>
      </c>
      <c r="AO6522" s="19" t="s">
        <v>63</v>
      </c>
    </row>
    <row r="6523" spans="1:41" s="103" customFormat="1" ht="19.899999999999999" customHeight="1" x14ac:dyDescent="0.25">
      <c r="A6523" s="51"/>
      <c r="B6523" s="52"/>
      <c r="C6523" s="165"/>
      <c r="D6523" s="52"/>
      <c r="E6523" s="115"/>
      <c r="F6523" s="58"/>
      <c r="G6523" s="58"/>
      <c r="H6523" s="58"/>
      <c r="I6523" s="55"/>
      <c r="J6523" s="113">
        <f>J6522</f>
        <v>0.48</v>
      </c>
      <c r="K6523" s="212">
        <f>K6522</f>
        <v>0.48</v>
      </c>
      <c r="L6523" s="58"/>
      <c r="M6523" s="58">
        <f>K6523-L6523</f>
        <v>0.48</v>
      </c>
      <c r="N6523" s="166"/>
      <c r="O6523" s="58"/>
      <c r="P6523" s="58"/>
      <c r="Q6523" s="58"/>
      <c r="R6523" s="58"/>
      <c r="S6523" s="58"/>
      <c r="T6523" s="220"/>
      <c r="U6523" s="88"/>
      <c r="V6523" s="56"/>
      <c r="W6523" s="57" t="s">
        <v>1588</v>
      </c>
      <c r="X6523" s="53"/>
      <c r="Y6523" s="91" t="s">
        <v>1349</v>
      </c>
      <c r="Z6523" s="136">
        <f>AD6523/AC6523</f>
        <v>214682.1915666667</v>
      </c>
      <c r="AA6523" s="58"/>
      <c r="AB6523" s="53">
        <f>AD6523/AC6523</f>
        <v>214682.1915666667</v>
      </c>
      <c r="AC6523" s="53">
        <f>M6523+$AE$10</f>
        <v>0.48</v>
      </c>
      <c r="AD6523" s="54">
        <f>SUM(AD6524)</f>
        <v>103047.45195200002</v>
      </c>
      <c r="AE6523" s="184">
        <f>SUMIFS($AD$37:$AD$12971,$V$37:$V$12971,$V6523,$X$37:$X$12971,AE$13)</f>
        <v>0</v>
      </c>
      <c r="AF6523" s="185">
        <f>SUMIFS($AD$37:$AD$12971,$V$37:$V$12971,$V6523,$X$37:$X$12971,AF$13)</f>
        <v>0</v>
      </c>
      <c r="AG6523" s="185">
        <f>SUMIFS($AD$37:$AD$12971,$V$37:$V$12971,$V6523,$X$37:$X$12971,AG$13)</f>
        <v>0</v>
      </c>
      <c r="AH6523" s="187">
        <f>SUMIFS($AD$37:$AD$12971,$V$37:$V$12971,$V6523,$X$37:$X$12971,AH$13)</f>
        <v>0</v>
      </c>
      <c r="AI6523" s="161">
        <f t="shared" ref="AI6523" si="4608">SUM(AE6523:AH6523)</f>
        <v>0</v>
      </c>
      <c r="AK6523" s="172"/>
    </row>
    <row r="6524" spans="1:41" s="102" customFormat="1" ht="19.899999999999999" customHeight="1" x14ac:dyDescent="0.25">
      <c r="A6524" s="45"/>
      <c r="B6524" s="59"/>
      <c r="C6524" s="137"/>
      <c r="D6524" s="59"/>
      <c r="E6524" s="116"/>
      <c r="F6524" s="120"/>
      <c r="G6524" s="120"/>
      <c r="H6524" s="120"/>
      <c r="I6524" s="60"/>
      <c r="J6524" s="116"/>
      <c r="K6524" s="213"/>
      <c r="L6524" s="120"/>
      <c r="M6524" s="120"/>
      <c r="N6524" s="167"/>
      <c r="O6524" s="120"/>
      <c r="P6524" s="120"/>
      <c r="Q6524" s="120"/>
      <c r="R6524" s="120"/>
      <c r="S6524" s="120"/>
      <c r="T6524" s="221"/>
      <c r="U6524" s="89"/>
      <c r="V6524" s="61"/>
      <c r="W6524" s="92" t="s">
        <v>651</v>
      </c>
      <c r="X6524" s="93" t="s">
        <v>32</v>
      </c>
      <c r="Y6524" s="93" t="s">
        <v>1349</v>
      </c>
      <c r="Z6524" s="134">
        <f>VLOOKUP(W6524,Sheet2!$B:$D,3,FALSE)</f>
        <v>214682.1915666667</v>
      </c>
      <c r="AA6524" s="93">
        <v>1</v>
      </c>
      <c r="AB6524" s="93">
        <f>AD6524/AC6523</f>
        <v>214682.1915666667</v>
      </c>
      <c r="AC6524" s="93">
        <f>AC6523/AA6524</f>
        <v>0.48</v>
      </c>
      <c r="AD6524" s="94">
        <f t="shared" ref="AD6524" si="4609">AC6524*Z6524</f>
        <v>103047.45195200002</v>
      </c>
      <c r="AE6524" s="190"/>
      <c r="AF6524" s="191"/>
      <c r="AG6524" s="191"/>
      <c r="AH6524" s="191"/>
      <c r="AI6524" s="186"/>
      <c r="AK6524" s="171"/>
    </row>
    <row r="6525" spans="1:41" ht="20.100000000000001" customHeight="1" x14ac:dyDescent="0.25">
      <c r="A6525" s="277" t="s">
        <v>491</v>
      </c>
      <c r="B6525" s="278"/>
      <c r="C6525" s="64" t="s">
        <v>652</v>
      </c>
      <c r="D6525" s="46" t="s">
        <v>186</v>
      </c>
      <c r="E6525" s="114">
        <v>0.37999999999999989</v>
      </c>
      <c r="F6525" s="44">
        <v>236656</v>
      </c>
      <c r="G6525" s="44">
        <f t="shared" si="4575"/>
        <v>89929.27999999997</v>
      </c>
      <c r="H6525" s="44">
        <f t="shared" si="4576"/>
        <v>104088.41149999997</v>
      </c>
      <c r="I6525" s="43">
        <f t="shared" si="4577"/>
        <v>39553.596369999977</v>
      </c>
      <c r="J6525" s="112">
        <f t="shared" si="4578"/>
        <v>0.37999999999999989</v>
      </c>
      <c r="K6525" s="211">
        <f t="shared" si="4579"/>
        <v>0.37999999999999989</v>
      </c>
      <c r="L6525" s="44"/>
      <c r="M6525" s="44">
        <f t="shared" si="4580"/>
        <v>0.37999999999999989</v>
      </c>
      <c r="N6525" s="173">
        <f t="shared" si="4581"/>
        <v>1</v>
      </c>
      <c r="O6525" s="44">
        <f t="shared" si="4582"/>
        <v>236656</v>
      </c>
      <c r="P6525" s="44">
        <f t="shared" si="4583"/>
        <v>89929.27999999997</v>
      </c>
      <c r="Q6525" s="44">
        <f t="shared" si="4584"/>
        <v>104088.41149999997</v>
      </c>
      <c r="R6525" s="44">
        <f t="shared" si="4585"/>
        <v>39553.596369999977</v>
      </c>
      <c r="S6525" s="123"/>
      <c r="T6525" s="219">
        <f t="shared" si="4586"/>
        <v>39553.596369999977</v>
      </c>
      <c r="U6525" s="87"/>
      <c r="V6525" s="47"/>
      <c r="W6525" s="48"/>
      <c r="X6525" s="48"/>
      <c r="Y6525" s="48"/>
      <c r="Z6525" s="135"/>
      <c r="AA6525" s="49"/>
      <c r="AB6525" s="50">
        <f t="shared" si="4587"/>
        <v>104088.41149999997</v>
      </c>
      <c r="AC6525" s="42">
        <f t="shared" si="4588"/>
        <v>0.37999999999999989</v>
      </c>
      <c r="AD6525" s="90">
        <f>AD6526</f>
        <v>39553.596369999977</v>
      </c>
      <c r="AE6525" s="188">
        <f t="shared" ref="AE6525" si="4610">AE6526</f>
        <v>0</v>
      </c>
      <c r="AF6525" s="189">
        <f t="shared" ref="AF6525" si="4611">AF6526</f>
        <v>0</v>
      </c>
      <c r="AG6525" s="189">
        <f t="shared" ref="AG6525" si="4612">AG6526</f>
        <v>0</v>
      </c>
      <c r="AH6525" s="189">
        <f t="shared" ref="AH6525" si="4613">AH6526</f>
        <v>0</v>
      </c>
      <c r="AI6525" s="161">
        <f t="shared" ref="AI6525" si="4614">SUM(AE6525:AH6525)</f>
        <v>0</v>
      </c>
      <c r="AK6525" s="169">
        <v>5</v>
      </c>
      <c r="AO6525" s="19" t="s">
        <v>63</v>
      </c>
    </row>
    <row r="6526" spans="1:41" s="103" customFormat="1" ht="19.899999999999999" customHeight="1" x14ac:dyDescent="0.25">
      <c r="A6526" s="51"/>
      <c r="B6526" s="52"/>
      <c r="C6526" s="165"/>
      <c r="D6526" s="52"/>
      <c r="E6526" s="115"/>
      <c r="F6526" s="58"/>
      <c r="G6526" s="58"/>
      <c r="H6526" s="58"/>
      <c r="I6526" s="55"/>
      <c r="J6526" s="113">
        <f>J6525</f>
        <v>0.37999999999999989</v>
      </c>
      <c r="K6526" s="212">
        <f>K6525</f>
        <v>0.37999999999999989</v>
      </c>
      <c r="L6526" s="58"/>
      <c r="M6526" s="58">
        <f>K6526-L6526</f>
        <v>0.37999999999999989</v>
      </c>
      <c r="N6526" s="166"/>
      <c r="O6526" s="58"/>
      <c r="P6526" s="58"/>
      <c r="Q6526" s="58"/>
      <c r="R6526" s="58"/>
      <c r="S6526" s="58"/>
      <c r="T6526" s="220"/>
      <c r="U6526" s="88"/>
      <c r="V6526" s="56"/>
      <c r="W6526" s="57" t="s">
        <v>1589</v>
      </c>
      <c r="X6526" s="53"/>
      <c r="Y6526" s="91" t="s">
        <v>1349</v>
      </c>
      <c r="Z6526" s="136">
        <f>AD6526/AC6526</f>
        <v>104088.41149999997</v>
      </c>
      <c r="AA6526" s="58"/>
      <c r="AB6526" s="53">
        <f>AD6526/AC6526</f>
        <v>104088.41149999997</v>
      </c>
      <c r="AC6526" s="53">
        <f>M6526+$AE$10</f>
        <v>0.37999999999999989</v>
      </c>
      <c r="AD6526" s="54">
        <f>SUM(AD6527)</f>
        <v>39553.596369999977</v>
      </c>
      <c r="AE6526" s="184">
        <f>SUMIFS($AD$37:$AD$12971,$V$37:$V$12971,$V6526,$X$37:$X$12971,AE$13)</f>
        <v>0</v>
      </c>
      <c r="AF6526" s="185">
        <f>SUMIFS($AD$37:$AD$12971,$V$37:$V$12971,$V6526,$X$37:$X$12971,AF$13)</f>
        <v>0</v>
      </c>
      <c r="AG6526" s="185">
        <f>SUMIFS($AD$37:$AD$12971,$V$37:$V$12971,$V6526,$X$37:$X$12971,AG$13)</f>
        <v>0</v>
      </c>
      <c r="AH6526" s="187">
        <f>SUMIFS($AD$37:$AD$12971,$V$37:$V$12971,$V6526,$X$37:$X$12971,AH$13)</f>
        <v>0</v>
      </c>
      <c r="AI6526" s="161">
        <f t="shared" ref="AI6526" si="4615">SUM(AE6526:AH6526)</f>
        <v>0</v>
      </c>
      <c r="AK6526" s="172"/>
    </row>
    <row r="6527" spans="1:41" s="102" customFormat="1" ht="19.899999999999999" customHeight="1" x14ac:dyDescent="0.25">
      <c r="A6527" s="45"/>
      <c r="B6527" s="59"/>
      <c r="C6527" s="137"/>
      <c r="D6527" s="59"/>
      <c r="E6527" s="116"/>
      <c r="F6527" s="120"/>
      <c r="G6527" s="120"/>
      <c r="H6527" s="120"/>
      <c r="I6527" s="60"/>
      <c r="J6527" s="116"/>
      <c r="K6527" s="213"/>
      <c r="L6527" s="120"/>
      <c r="M6527" s="120"/>
      <c r="N6527" s="167"/>
      <c r="O6527" s="120"/>
      <c r="P6527" s="120"/>
      <c r="Q6527" s="120"/>
      <c r="R6527" s="120"/>
      <c r="S6527" s="120"/>
      <c r="T6527" s="221"/>
      <c r="U6527" s="89"/>
      <c r="V6527" s="61"/>
      <c r="W6527" s="92" t="s">
        <v>652</v>
      </c>
      <c r="X6527" s="93" t="s">
        <v>32</v>
      </c>
      <c r="Y6527" s="93" t="s">
        <v>1349</v>
      </c>
      <c r="Z6527" s="134">
        <f>VLOOKUP(W6527,Sheet2!$B:$D,3,FALSE)</f>
        <v>104088.41149999997</v>
      </c>
      <c r="AA6527" s="93">
        <v>1</v>
      </c>
      <c r="AB6527" s="93">
        <f>AD6527/AC6526</f>
        <v>104088.41149999997</v>
      </c>
      <c r="AC6527" s="93">
        <f>AC6526/AA6527</f>
        <v>0.37999999999999989</v>
      </c>
      <c r="AD6527" s="94">
        <f t="shared" ref="AD6527" si="4616">AC6527*Z6527</f>
        <v>39553.596369999977</v>
      </c>
      <c r="AE6527" s="190"/>
      <c r="AF6527" s="191"/>
      <c r="AG6527" s="191"/>
      <c r="AH6527" s="191"/>
      <c r="AI6527" s="186"/>
      <c r="AK6527" s="171"/>
    </row>
    <row r="6528" spans="1:41" s="102" customFormat="1" ht="20.100000000000001" customHeight="1" x14ac:dyDescent="0.25">
      <c r="A6528" s="45" t="s">
        <v>491</v>
      </c>
      <c r="B6528" s="276"/>
      <c r="C6528" s="285" t="s">
        <v>653</v>
      </c>
      <c r="D6528" s="59"/>
      <c r="E6528" s="116"/>
      <c r="F6528" s="120"/>
      <c r="G6528" s="120">
        <f t="shared" si="4575"/>
        <v>0</v>
      </c>
      <c r="H6528" s="120">
        <f t="shared" si="4576"/>
        <v>0</v>
      </c>
      <c r="I6528" s="60">
        <f t="shared" si="4577"/>
        <v>0</v>
      </c>
      <c r="J6528" s="116">
        <f t="shared" si="4578"/>
        <v>0</v>
      </c>
      <c r="K6528" s="213">
        <f t="shared" si="4579"/>
        <v>0</v>
      </c>
      <c r="L6528" s="120"/>
      <c r="M6528" s="120">
        <f t="shared" si="4580"/>
        <v>0</v>
      </c>
      <c r="N6528" s="167">
        <f t="shared" si="4581"/>
        <v>0</v>
      </c>
      <c r="O6528" s="120">
        <f t="shared" si="4582"/>
        <v>0</v>
      </c>
      <c r="P6528" s="120">
        <f t="shared" si="4583"/>
        <v>0</v>
      </c>
      <c r="Q6528" s="120">
        <f t="shared" si="4584"/>
        <v>0</v>
      </c>
      <c r="R6528" s="120">
        <f t="shared" si="4585"/>
        <v>0</v>
      </c>
      <c r="S6528" s="120"/>
      <c r="T6528" s="221">
        <f t="shared" si="4586"/>
        <v>0</v>
      </c>
      <c r="U6528" s="89"/>
      <c r="V6528" s="61"/>
      <c r="W6528" s="92"/>
      <c r="X6528" s="38"/>
      <c r="Y6528" s="93"/>
      <c r="Z6528" s="134"/>
      <c r="AA6528" s="93"/>
      <c r="AB6528" s="93"/>
      <c r="AC6528" s="93"/>
      <c r="AD6528" s="94"/>
      <c r="AE6528" s="190"/>
      <c r="AF6528" s="191"/>
      <c r="AG6528" s="191"/>
      <c r="AH6528" s="191"/>
      <c r="AI6528" s="186"/>
      <c r="AK6528" s="171"/>
    </row>
    <row r="6529" spans="1:41" s="102" customFormat="1" ht="173.25" x14ac:dyDescent="0.25">
      <c r="A6529" s="45" t="s">
        <v>491</v>
      </c>
      <c r="B6529" s="276"/>
      <c r="C6529" s="285" t="s">
        <v>688</v>
      </c>
      <c r="D6529" s="59"/>
      <c r="E6529" s="116"/>
      <c r="F6529" s="120"/>
      <c r="G6529" s="120">
        <f t="shared" si="4575"/>
        <v>0</v>
      </c>
      <c r="H6529" s="120">
        <f t="shared" si="4576"/>
        <v>0</v>
      </c>
      <c r="I6529" s="60">
        <f t="shared" si="4577"/>
        <v>0</v>
      </c>
      <c r="J6529" s="116">
        <f t="shared" si="4578"/>
        <v>0</v>
      </c>
      <c r="K6529" s="213">
        <f t="shared" si="4579"/>
        <v>0</v>
      </c>
      <c r="L6529" s="120"/>
      <c r="M6529" s="120">
        <f t="shared" si="4580"/>
        <v>0</v>
      </c>
      <c r="N6529" s="167">
        <f t="shared" si="4581"/>
        <v>0</v>
      </c>
      <c r="O6529" s="120">
        <f t="shared" si="4582"/>
        <v>0</v>
      </c>
      <c r="P6529" s="120">
        <f t="shared" si="4583"/>
        <v>0</v>
      </c>
      <c r="Q6529" s="120">
        <f t="shared" si="4584"/>
        <v>0</v>
      </c>
      <c r="R6529" s="120">
        <f t="shared" si="4585"/>
        <v>0</v>
      </c>
      <c r="S6529" s="120"/>
      <c r="T6529" s="221">
        <f t="shared" si="4586"/>
        <v>0</v>
      </c>
      <c r="U6529" s="89"/>
      <c r="V6529" s="61"/>
      <c r="W6529" s="92"/>
      <c r="X6529" s="38"/>
      <c r="Y6529" s="93"/>
      <c r="Z6529" s="134"/>
      <c r="AA6529" s="93"/>
      <c r="AB6529" s="93"/>
      <c r="AC6529" s="93"/>
      <c r="AD6529" s="94"/>
      <c r="AE6529" s="190"/>
      <c r="AF6529" s="191"/>
      <c r="AG6529" s="191"/>
      <c r="AH6529" s="191"/>
      <c r="AI6529" s="186"/>
      <c r="AK6529" s="171"/>
    </row>
    <row r="6530" spans="1:41" ht="20.100000000000001" customHeight="1" x14ac:dyDescent="0.25">
      <c r="A6530" s="277" t="s">
        <v>491</v>
      </c>
      <c r="B6530" s="278"/>
      <c r="C6530" s="64" t="s">
        <v>653</v>
      </c>
      <c r="D6530" s="46" t="s">
        <v>186</v>
      </c>
      <c r="E6530" s="114">
        <v>7.4999999999999956E-2</v>
      </c>
      <c r="F6530" s="44">
        <v>84970</v>
      </c>
      <c r="G6530" s="44">
        <f t="shared" si="4575"/>
        <v>6372.7499999999964</v>
      </c>
      <c r="H6530" s="44">
        <f t="shared" si="4576"/>
        <v>77660.269899999999</v>
      </c>
      <c r="I6530" s="43">
        <f t="shared" si="4577"/>
        <v>5824.5202424999961</v>
      </c>
      <c r="J6530" s="112">
        <f t="shared" si="4578"/>
        <v>7.4999999999999956E-2</v>
      </c>
      <c r="K6530" s="211">
        <f t="shared" si="4579"/>
        <v>7.4999999999999956E-2</v>
      </c>
      <c r="L6530" s="44"/>
      <c r="M6530" s="44">
        <f t="shared" si="4580"/>
        <v>7.4999999999999956E-2</v>
      </c>
      <c r="N6530" s="173">
        <f t="shared" si="4581"/>
        <v>1</v>
      </c>
      <c r="O6530" s="44">
        <f t="shared" si="4582"/>
        <v>84970</v>
      </c>
      <c r="P6530" s="44">
        <f t="shared" si="4583"/>
        <v>6372.7499999999964</v>
      </c>
      <c r="Q6530" s="44">
        <f t="shared" si="4584"/>
        <v>77660.269899999999</v>
      </c>
      <c r="R6530" s="44">
        <f t="shared" si="4585"/>
        <v>5824.5202424999961</v>
      </c>
      <c r="S6530" s="123"/>
      <c r="T6530" s="219">
        <f t="shared" si="4586"/>
        <v>5824.5202424999961</v>
      </c>
      <c r="U6530" s="87"/>
      <c r="V6530" s="47"/>
      <c r="W6530" s="48"/>
      <c r="X6530" s="48"/>
      <c r="Y6530" s="48"/>
      <c r="Z6530" s="135"/>
      <c r="AA6530" s="49"/>
      <c r="AB6530" s="50">
        <f t="shared" si="4587"/>
        <v>77660.269899999999</v>
      </c>
      <c r="AC6530" s="42">
        <f t="shared" si="4588"/>
        <v>7.4999999999999956E-2</v>
      </c>
      <c r="AD6530" s="90">
        <f>AD6531</f>
        <v>5824.5202424999961</v>
      </c>
      <c r="AE6530" s="188">
        <f t="shared" ref="AE6530" si="4617">AE6531</f>
        <v>0</v>
      </c>
      <c r="AF6530" s="189">
        <f t="shared" ref="AF6530" si="4618">AF6531</f>
        <v>0</v>
      </c>
      <c r="AG6530" s="189">
        <f t="shared" ref="AG6530" si="4619">AG6531</f>
        <v>0</v>
      </c>
      <c r="AH6530" s="189">
        <f t="shared" ref="AH6530" si="4620">AH6531</f>
        <v>0</v>
      </c>
      <c r="AI6530" s="161">
        <f t="shared" ref="AI6530" si="4621">SUM(AE6530:AH6530)</f>
        <v>0</v>
      </c>
      <c r="AK6530" s="169">
        <v>5</v>
      </c>
      <c r="AO6530" s="19" t="s">
        <v>63</v>
      </c>
    </row>
    <row r="6531" spans="1:41" s="103" customFormat="1" ht="19.899999999999999" customHeight="1" x14ac:dyDescent="0.25">
      <c r="A6531" s="51"/>
      <c r="B6531" s="52"/>
      <c r="C6531" s="165"/>
      <c r="D6531" s="52"/>
      <c r="E6531" s="115"/>
      <c r="F6531" s="58"/>
      <c r="G6531" s="58"/>
      <c r="H6531" s="58"/>
      <c r="I6531" s="55"/>
      <c r="J6531" s="113">
        <f>J6530</f>
        <v>7.4999999999999956E-2</v>
      </c>
      <c r="K6531" s="212">
        <f>K6530</f>
        <v>7.4999999999999956E-2</v>
      </c>
      <c r="L6531" s="58"/>
      <c r="M6531" s="58">
        <f>K6531-L6531</f>
        <v>7.4999999999999956E-2</v>
      </c>
      <c r="N6531" s="166"/>
      <c r="O6531" s="58"/>
      <c r="P6531" s="58"/>
      <c r="Q6531" s="58"/>
      <c r="R6531" s="58"/>
      <c r="S6531" s="58"/>
      <c r="T6531" s="220"/>
      <c r="U6531" s="88"/>
      <c r="V6531" s="56"/>
      <c r="W6531" s="57" t="s">
        <v>1590</v>
      </c>
      <c r="X6531" s="53"/>
      <c r="Y6531" s="91" t="s">
        <v>1349</v>
      </c>
      <c r="Z6531" s="136">
        <f>AD6531/AC6531</f>
        <v>77660.269899999999</v>
      </c>
      <c r="AA6531" s="58"/>
      <c r="AB6531" s="53">
        <f>AD6531/AC6531</f>
        <v>77660.269899999999</v>
      </c>
      <c r="AC6531" s="53">
        <f>M6531+$AE$10</f>
        <v>7.4999999999999956E-2</v>
      </c>
      <c r="AD6531" s="54">
        <f>SUM(AD6532)</f>
        <v>5824.5202424999961</v>
      </c>
      <c r="AE6531" s="184">
        <f>SUMIFS($AD$37:$AD$12971,$V$37:$V$12971,$V6531,$X$37:$X$12971,AE$13)</f>
        <v>0</v>
      </c>
      <c r="AF6531" s="185">
        <f>SUMIFS($AD$37:$AD$12971,$V$37:$V$12971,$V6531,$X$37:$X$12971,AF$13)</f>
        <v>0</v>
      </c>
      <c r="AG6531" s="185">
        <f>SUMIFS($AD$37:$AD$12971,$V$37:$V$12971,$V6531,$X$37:$X$12971,AG$13)</f>
        <v>0</v>
      </c>
      <c r="AH6531" s="187">
        <f>SUMIFS($AD$37:$AD$12971,$V$37:$V$12971,$V6531,$X$37:$X$12971,AH$13)</f>
        <v>0</v>
      </c>
      <c r="AI6531" s="161">
        <f t="shared" ref="AI6531" si="4622">SUM(AE6531:AH6531)</f>
        <v>0</v>
      </c>
      <c r="AK6531" s="172"/>
    </row>
    <row r="6532" spans="1:41" s="102" customFormat="1" ht="19.899999999999999" customHeight="1" x14ac:dyDescent="0.25">
      <c r="A6532" s="45"/>
      <c r="B6532" s="59"/>
      <c r="C6532" s="137"/>
      <c r="D6532" s="59"/>
      <c r="E6532" s="116"/>
      <c r="F6532" s="120"/>
      <c r="G6532" s="120"/>
      <c r="H6532" s="120"/>
      <c r="I6532" s="60"/>
      <c r="J6532" s="116"/>
      <c r="K6532" s="213"/>
      <c r="L6532" s="120"/>
      <c r="M6532" s="120"/>
      <c r="N6532" s="167"/>
      <c r="O6532" s="120"/>
      <c r="P6532" s="120"/>
      <c r="Q6532" s="120"/>
      <c r="R6532" s="120"/>
      <c r="S6532" s="120"/>
      <c r="T6532" s="221"/>
      <c r="U6532" s="89"/>
      <c r="V6532" s="61"/>
      <c r="W6532" s="92" t="s">
        <v>653</v>
      </c>
      <c r="X6532" s="93" t="s">
        <v>32</v>
      </c>
      <c r="Y6532" s="93" t="s">
        <v>1349</v>
      </c>
      <c r="Z6532" s="134">
        <f>VLOOKUP(W6532,Sheet2!$B:$D,3,FALSE)</f>
        <v>77660.269899999999</v>
      </c>
      <c r="AA6532" s="93">
        <v>1</v>
      </c>
      <c r="AB6532" s="93">
        <f>AD6532/AC6531</f>
        <v>77660.269899999999</v>
      </c>
      <c r="AC6532" s="93">
        <f>AC6531/AA6532</f>
        <v>7.4999999999999956E-2</v>
      </c>
      <c r="AD6532" s="94">
        <f t="shared" ref="AD6532" si="4623">AC6532*Z6532</f>
        <v>5824.5202424999961</v>
      </c>
      <c r="AE6532" s="190"/>
      <c r="AF6532" s="191"/>
      <c r="AG6532" s="191"/>
      <c r="AH6532" s="191"/>
      <c r="AI6532" s="186"/>
      <c r="AK6532" s="171"/>
    </row>
    <row r="6533" spans="1:41" s="102" customFormat="1" ht="20.100000000000001" customHeight="1" x14ac:dyDescent="0.25">
      <c r="A6533" s="45" t="s">
        <v>491</v>
      </c>
      <c r="B6533" s="276"/>
      <c r="C6533" s="285" t="s">
        <v>655</v>
      </c>
      <c r="D6533" s="59"/>
      <c r="E6533" s="116"/>
      <c r="F6533" s="120"/>
      <c r="G6533" s="120">
        <f t="shared" si="4575"/>
        <v>0</v>
      </c>
      <c r="H6533" s="120">
        <f t="shared" si="4576"/>
        <v>0</v>
      </c>
      <c r="I6533" s="60">
        <f t="shared" si="4577"/>
        <v>0</v>
      </c>
      <c r="J6533" s="116">
        <f t="shared" si="4578"/>
        <v>0</v>
      </c>
      <c r="K6533" s="213">
        <f t="shared" si="4579"/>
        <v>0</v>
      </c>
      <c r="L6533" s="120"/>
      <c r="M6533" s="120">
        <f t="shared" si="4580"/>
        <v>0</v>
      </c>
      <c r="N6533" s="167">
        <f t="shared" si="4581"/>
        <v>0</v>
      </c>
      <c r="O6533" s="120">
        <f t="shared" si="4582"/>
        <v>0</v>
      </c>
      <c r="P6533" s="120">
        <f t="shared" si="4583"/>
        <v>0</v>
      </c>
      <c r="Q6533" s="120">
        <f t="shared" si="4584"/>
        <v>0</v>
      </c>
      <c r="R6533" s="120">
        <f t="shared" si="4585"/>
        <v>0</v>
      </c>
      <c r="S6533" s="120"/>
      <c r="T6533" s="221">
        <f t="shared" si="4586"/>
        <v>0</v>
      </c>
      <c r="U6533" s="89"/>
      <c r="V6533" s="61"/>
      <c r="W6533" s="92"/>
      <c r="X6533" s="38"/>
      <c r="Y6533" s="93"/>
      <c r="Z6533" s="134"/>
      <c r="AA6533" s="93"/>
      <c r="AB6533" s="93"/>
      <c r="AC6533" s="93"/>
      <c r="AD6533" s="94"/>
      <c r="AE6533" s="190"/>
      <c r="AF6533" s="191"/>
      <c r="AG6533" s="191"/>
      <c r="AH6533" s="191"/>
      <c r="AI6533" s="186"/>
      <c r="AK6533" s="171"/>
    </row>
    <row r="6534" spans="1:41" ht="20.100000000000001" customHeight="1" x14ac:dyDescent="0.25">
      <c r="A6534" s="277" t="s">
        <v>491</v>
      </c>
      <c r="B6534" s="278"/>
      <c r="C6534" s="64" t="s">
        <v>656</v>
      </c>
      <c r="D6534" s="46" t="s">
        <v>186</v>
      </c>
      <c r="E6534" s="114">
        <v>1</v>
      </c>
      <c r="F6534" s="44">
        <v>13595</v>
      </c>
      <c r="G6534" s="44">
        <f t="shared" si="4575"/>
        <v>13595</v>
      </c>
      <c r="H6534" s="44">
        <f t="shared" si="4576"/>
        <v>9540</v>
      </c>
      <c r="I6534" s="43">
        <f t="shared" si="4577"/>
        <v>9540</v>
      </c>
      <c r="J6534" s="112">
        <f t="shared" si="4578"/>
        <v>1</v>
      </c>
      <c r="K6534" s="211">
        <f t="shared" si="4579"/>
        <v>1</v>
      </c>
      <c r="L6534" s="44"/>
      <c r="M6534" s="44">
        <f t="shared" si="4580"/>
        <v>1</v>
      </c>
      <c r="N6534" s="173">
        <f t="shared" si="4581"/>
        <v>1</v>
      </c>
      <c r="O6534" s="44">
        <f t="shared" si="4582"/>
        <v>13595</v>
      </c>
      <c r="P6534" s="44">
        <f t="shared" si="4583"/>
        <v>13595</v>
      </c>
      <c r="Q6534" s="44">
        <f t="shared" si="4584"/>
        <v>9540</v>
      </c>
      <c r="R6534" s="44">
        <f t="shared" si="4585"/>
        <v>9540</v>
      </c>
      <c r="S6534" s="123"/>
      <c r="T6534" s="219">
        <f t="shared" si="4586"/>
        <v>9540</v>
      </c>
      <c r="U6534" s="87"/>
      <c r="V6534" s="47"/>
      <c r="W6534" s="48"/>
      <c r="X6534" s="48"/>
      <c r="Y6534" s="48"/>
      <c r="Z6534" s="135"/>
      <c r="AA6534" s="49"/>
      <c r="AB6534" s="50">
        <f t="shared" si="4587"/>
        <v>9540</v>
      </c>
      <c r="AC6534" s="42">
        <f t="shared" si="4588"/>
        <v>1</v>
      </c>
      <c r="AD6534" s="90">
        <f>AD6535</f>
        <v>9540</v>
      </c>
      <c r="AE6534" s="188">
        <f t="shared" ref="AE6534" si="4624">AE6535</f>
        <v>0</v>
      </c>
      <c r="AF6534" s="189">
        <f t="shared" ref="AF6534" si="4625">AF6535</f>
        <v>0</v>
      </c>
      <c r="AG6534" s="189">
        <f t="shared" ref="AG6534" si="4626">AG6535</f>
        <v>0</v>
      </c>
      <c r="AH6534" s="189">
        <f t="shared" ref="AH6534" si="4627">AH6535</f>
        <v>0</v>
      </c>
      <c r="AI6534" s="161">
        <f t="shared" ref="AI6534" si="4628">SUM(AE6534:AH6534)</f>
        <v>0</v>
      </c>
      <c r="AK6534" s="169">
        <v>5</v>
      </c>
      <c r="AO6534" s="19" t="s">
        <v>63</v>
      </c>
    </row>
    <row r="6535" spans="1:41" s="103" customFormat="1" ht="19.899999999999999" customHeight="1" x14ac:dyDescent="0.25">
      <c r="A6535" s="51"/>
      <c r="B6535" s="52"/>
      <c r="C6535" s="165"/>
      <c r="D6535" s="52"/>
      <c r="E6535" s="115"/>
      <c r="F6535" s="58"/>
      <c r="G6535" s="58"/>
      <c r="H6535" s="58"/>
      <c r="I6535" s="55"/>
      <c r="J6535" s="113">
        <f>J6534</f>
        <v>1</v>
      </c>
      <c r="K6535" s="212">
        <f>K6534</f>
        <v>1</v>
      </c>
      <c r="L6535" s="58"/>
      <c r="M6535" s="58">
        <f>K6535-L6535</f>
        <v>1</v>
      </c>
      <c r="N6535" s="166"/>
      <c r="O6535" s="58"/>
      <c r="P6535" s="58"/>
      <c r="Q6535" s="58"/>
      <c r="R6535" s="58"/>
      <c r="S6535" s="58"/>
      <c r="T6535" s="220"/>
      <c r="U6535" s="88"/>
      <c r="V6535" s="56"/>
      <c r="W6535" s="57" t="s">
        <v>656</v>
      </c>
      <c r="X6535" s="53"/>
      <c r="Y6535" s="91" t="s">
        <v>1349</v>
      </c>
      <c r="Z6535" s="136">
        <f>AD6535/AC6535</f>
        <v>9540</v>
      </c>
      <c r="AA6535" s="58"/>
      <c r="AB6535" s="53">
        <f>AD6535/AC6535</f>
        <v>9540</v>
      </c>
      <c r="AC6535" s="53">
        <f>M6535+$AE$10</f>
        <v>1</v>
      </c>
      <c r="AD6535" s="54">
        <f>SUM(AD6536:AD6540)</f>
        <v>9540</v>
      </c>
      <c r="AE6535" s="184">
        <f>SUMIFS($AD$37:$AD$12971,$V$37:$V$12971,$V6535,$X$37:$X$12971,AE$13)</f>
        <v>0</v>
      </c>
      <c r="AF6535" s="185">
        <f>SUMIFS($AD$37:$AD$12971,$V$37:$V$12971,$V6535,$X$37:$X$12971,AF$13)</f>
        <v>0</v>
      </c>
      <c r="AG6535" s="185">
        <f>SUMIFS($AD$37:$AD$12971,$V$37:$V$12971,$V6535,$X$37:$X$12971,AG$13)</f>
        <v>0</v>
      </c>
      <c r="AH6535" s="187">
        <f>SUMIFS($AD$37:$AD$12971,$V$37:$V$12971,$V6535,$X$37:$X$12971,AH$13)</f>
        <v>0</v>
      </c>
      <c r="AI6535" s="161">
        <f t="shared" ref="AI6535" si="4629">SUM(AE6535:AH6535)</f>
        <v>0</v>
      </c>
      <c r="AK6535" s="172"/>
    </row>
    <row r="6536" spans="1:41" s="102" customFormat="1" ht="19.899999999999999" customHeight="1" x14ac:dyDescent="0.25">
      <c r="A6536" s="45"/>
      <c r="B6536" s="59"/>
      <c r="C6536" s="137"/>
      <c r="D6536" s="59"/>
      <c r="E6536" s="116"/>
      <c r="F6536" s="120"/>
      <c r="G6536" s="120"/>
      <c r="H6536" s="120"/>
      <c r="I6536" s="60"/>
      <c r="J6536" s="116"/>
      <c r="K6536" s="213"/>
      <c r="L6536" s="120"/>
      <c r="M6536" s="120"/>
      <c r="N6536" s="167"/>
      <c r="O6536" s="120"/>
      <c r="P6536" s="120"/>
      <c r="Q6536" s="120"/>
      <c r="R6536" s="120"/>
      <c r="S6536" s="120"/>
      <c r="T6536" s="221"/>
      <c r="U6536" s="89"/>
      <c r="V6536" s="61"/>
      <c r="W6536" s="92" t="s">
        <v>1032</v>
      </c>
      <c r="X6536" s="93" t="s">
        <v>30</v>
      </c>
      <c r="Y6536" s="93" t="s">
        <v>66</v>
      </c>
      <c r="Z6536" s="134">
        <f>VLOOKUP(W6536,Sheet2!$B:$D,3,FALSE)</f>
        <v>250</v>
      </c>
      <c r="AA6536" s="93">
        <f>1/3.6</f>
        <v>0.27777777777777779</v>
      </c>
      <c r="AB6536" s="93">
        <f>AD6536/AC6535</f>
        <v>899.99999999999989</v>
      </c>
      <c r="AC6536" s="93">
        <f>AC6535/AA6536</f>
        <v>3.5999999999999996</v>
      </c>
      <c r="AD6536" s="94">
        <f t="shared" ref="AD6536:AD6538" si="4630">AC6536*Z6536</f>
        <v>899.99999999999989</v>
      </c>
      <c r="AE6536" s="190"/>
      <c r="AF6536" s="191"/>
      <c r="AG6536" s="191"/>
      <c r="AH6536" s="191"/>
      <c r="AI6536" s="186"/>
      <c r="AK6536" s="171"/>
    </row>
    <row r="6537" spans="1:41" s="102" customFormat="1" ht="19.899999999999999" customHeight="1" x14ac:dyDescent="0.25">
      <c r="A6537" s="45"/>
      <c r="B6537" s="59"/>
      <c r="C6537" s="137"/>
      <c r="D6537" s="59"/>
      <c r="E6537" s="116"/>
      <c r="F6537" s="120"/>
      <c r="G6537" s="120"/>
      <c r="H6537" s="120"/>
      <c r="I6537" s="60"/>
      <c r="J6537" s="116"/>
      <c r="K6537" s="213"/>
      <c r="L6537" s="120"/>
      <c r="M6537" s="120"/>
      <c r="N6537" s="167"/>
      <c r="O6537" s="120"/>
      <c r="P6537" s="120"/>
      <c r="Q6537" s="120"/>
      <c r="R6537" s="120"/>
      <c r="S6537" s="120"/>
      <c r="T6537" s="221"/>
      <c r="U6537" s="89"/>
      <c r="V6537" s="61"/>
      <c r="W6537" s="92" t="s">
        <v>1354</v>
      </c>
      <c r="X6537" s="93" t="s">
        <v>32</v>
      </c>
      <c r="Y6537" s="93" t="s">
        <v>66</v>
      </c>
      <c r="Z6537" s="134">
        <f>VLOOKUP(W6537,Sheet2!$B:$D,3,FALSE)</f>
        <v>150</v>
      </c>
      <c r="AA6537" s="93">
        <f>AA6536</f>
        <v>0.27777777777777779</v>
      </c>
      <c r="AB6537" s="93">
        <f>AD6537/AC6535</f>
        <v>540</v>
      </c>
      <c r="AC6537" s="93">
        <f>AC6535/AA6537</f>
        <v>3.5999999999999996</v>
      </c>
      <c r="AD6537" s="94">
        <f t="shared" si="4630"/>
        <v>540</v>
      </c>
      <c r="AE6537" s="190"/>
      <c r="AF6537" s="191"/>
      <c r="AG6537" s="191"/>
      <c r="AH6537" s="191"/>
      <c r="AI6537" s="186"/>
      <c r="AK6537" s="171"/>
    </row>
    <row r="6538" spans="1:41" s="102" customFormat="1" ht="19.899999999999999" customHeight="1" x14ac:dyDescent="0.25">
      <c r="A6538" s="45"/>
      <c r="B6538" s="59"/>
      <c r="C6538" s="137"/>
      <c r="D6538" s="59"/>
      <c r="E6538" s="116"/>
      <c r="F6538" s="120"/>
      <c r="G6538" s="120"/>
      <c r="H6538" s="120"/>
      <c r="I6538" s="60"/>
      <c r="J6538" s="116"/>
      <c r="K6538" s="213"/>
      <c r="L6538" s="120"/>
      <c r="M6538" s="120"/>
      <c r="N6538" s="167"/>
      <c r="O6538" s="120"/>
      <c r="P6538" s="120"/>
      <c r="Q6538" s="120"/>
      <c r="R6538" s="120"/>
      <c r="S6538" s="120"/>
      <c r="T6538" s="221"/>
      <c r="U6538" s="89"/>
      <c r="V6538" s="61"/>
      <c r="W6538" s="92" t="s">
        <v>1353</v>
      </c>
      <c r="X6538" s="93" t="s">
        <v>30</v>
      </c>
      <c r="Y6538" s="93" t="s">
        <v>66</v>
      </c>
      <c r="Z6538" s="134">
        <f>VLOOKUP(W6538,Sheet2!$B:$D,3,FALSE)</f>
        <v>350</v>
      </c>
      <c r="AA6538" s="93">
        <f>1/(6*6*0.25)</f>
        <v>0.1111111111111111</v>
      </c>
      <c r="AB6538" s="93">
        <f>AD6538/AC6535</f>
        <v>3150</v>
      </c>
      <c r="AC6538" s="93">
        <f>AC6535/AA6538</f>
        <v>9</v>
      </c>
      <c r="AD6538" s="94">
        <f t="shared" si="4630"/>
        <v>3150</v>
      </c>
      <c r="AE6538" s="190"/>
      <c r="AF6538" s="191"/>
      <c r="AG6538" s="191"/>
      <c r="AH6538" s="191"/>
      <c r="AI6538" s="186"/>
      <c r="AK6538" s="171"/>
    </row>
    <row r="6539" spans="1:41" s="102" customFormat="1" ht="19.899999999999999" customHeight="1" x14ac:dyDescent="0.25">
      <c r="A6539" s="45"/>
      <c r="B6539" s="59"/>
      <c r="C6539" s="137"/>
      <c r="D6539" s="59"/>
      <c r="E6539" s="116"/>
      <c r="F6539" s="120"/>
      <c r="G6539" s="120"/>
      <c r="H6539" s="120"/>
      <c r="I6539" s="60"/>
      <c r="J6539" s="116"/>
      <c r="K6539" s="213"/>
      <c r="L6539" s="120"/>
      <c r="M6539" s="120"/>
      <c r="N6539" s="167"/>
      <c r="O6539" s="120"/>
      <c r="P6539" s="120"/>
      <c r="Q6539" s="120"/>
      <c r="R6539" s="120"/>
      <c r="S6539" s="120"/>
      <c r="T6539" s="221"/>
      <c r="U6539" s="89"/>
      <c r="V6539" s="61"/>
      <c r="W6539" s="92" t="s">
        <v>99</v>
      </c>
      <c r="X6539" s="93" t="s">
        <v>30</v>
      </c>
      <c r="Y6539" s="93" t="s">
        <v>67</v>
      </c>
      <c r="Z6539" s="134">
        <f>VLOOKUP(W6539,Sheet2!$B:$D,3,FALSE)</f>
        <v>2500</v>
      </c>
      <c r="AA6539" s="93">
        <f>AA6538/0.08</f>
        <v>1.3888888888888888</v>
      </c>
      <c r="AB6539" s="93">
        <f>AD6539/AC6535</f>
        <v>1800</v>
      </c>
      <c r="AC6539" s="93">
        <f>AC6535/AA6539</f>
        <v>0.72</v>
      </c>
      <c r="AD6539" s="94">
        <f>AC6539*Z6539</f>
        <v>1800</v>
      </c>
      <c r="AE6539" s="190"/>
      <c r="AF6539" s="191"/>
      <c r="AG6539" s="191"/>
      <c r="AH6539" s="191"/>
      <c r="AI6539" s="186"/>
      <c r="AK6539" s="171"/>
    </row>
    <row r="6540" spans="1:41" s="102" customFormat="1" ht="19.899999999999999" customHeight="1" x14ac:dyDescent="0.25">
      <c r="A6540" s="45"/>
      <c r="B6540" s="59"/>
      <c r="C6540" s="137"/>
      <c r="D6540" s="59"/>
      <c r="E6540" s="116"/>
      <c r="F6540" s="120"/>
      <c r="G6540" s="120"/>
      <c r="H6540" s="120"/>
      <c r="I6540" s="60"/>
      <c r="J6540" s="116"/>
      <c r="K6540" s="213"/>
      <c r="L6540" s="120"/>
      <c r="M6540" s="120"/>
      <c r="N6540" s="167"/>
      <c r="O6540" s="120"/>
      <c r="P6540" s="120"/>
      <c r="Q6540" s="120"/>
      <c r="R6540" s="120"/>
      <c r="S6540" s="120"/>
      <c r="T6540" s="221"/>
      <c r="U6540" s="89"/>
      <c r="V6540" s="61"/>
      <c r="W6540" s="92" t="s">
        <v>1378</v>
      </c>
      <c r="X6540" s="93" t="s">
        <v>32</v>
      </c>
      <c r="Y6540" s="93" t="s">
        <v>66</v>
      </c>
      <c r="Z6540" s="134">
        <f>VLOOKUP(W6540,Sheet2!$B:$D,3,FALSE)</f>
        <v>350</v>
      </c>
      <c r="AA6540" s="93">
        <f>AA6538</f>
        <v>0.1111111111111111</v>
      </c>
      <c r="AB6540" s="93">
        <f>AD6540/AC6535</f>
        <v>3150</v>
      </c>
      <c r="AC6540" s="93">
        <f>AC6535/AA6540</f>
        <v>9</v>
      </c>
      <c r="AD6540" s="94">
        <f t="shared" ref="AD6540" si="4631">AC6540*Z6540</f>
        <v>3150</v>
      </c>
      <c r="AE6540" s="190"/>
      <c r="AF6540" s="191"/>
      <c r="AG6540" s="191"/>
      <c r="AH6540" s="191"/>
      <c r="AI6540" s="186"/>
      <c r="AK6540" s="171"/>
    </row>
    <row r="6541" spans="1:41" s="102" customFormat="1" ht="20.100000000000001" customHeight="1" x14ac:dyDescent="0.25">
      <c r="A6541" s="45" t="s">
        <v>491</v>
      </c>
      <c r="B6541" s="276"/>
      <c r="C6541" s="285" t="s">
        <v>657</v>
      </c>
      <c r="D6541" s="59"/>
      <c r="E6541" s="116"/>
      <c r="F6541" s="120"/>
      <c r="G6541" s="120">
        <f t="shared" si="4575"/>
        <v>0</v>
      </c>
      <c r="H6541" s="120">
        <f t="shared" si="4576"/>
        <v>0</v>
      </c>
      <c r="I6541" s="60">
        <f t="shared" si="4577"/>
        <v>0</v>
      </c>
      <c r="J6541" s="116">
        <f t="shared" si="4578"/>
        <v>0</v>
      </c>
      <c r="K6541" s="213">
        <f t="shared" si="4579"/>
        <v>0</v>
      </c>
      <c r="L6541" s="120"/>
      <c r="M6541" s="120">
        <f t="shared" si="4580"/>
        <v>0</v>
      </c>
      <c r="N6541" s="167">
        <f t="shared" si="4581"/>
        <v>0</v>
      </c>
      <c r="O6541" s="120">
        <f t="shared" si="4582"/>
        <v>0</v>
      </c>
      <c r="P6541" s="120">
        <f t="shared" si="4583"/>
        <v>0</v>
      </c>
      <c r="Q6541" s="120">
        <f t="shared" si="4584"/>
        <v>0</v>
      </c>
      <c r="R6541" s="120">
        <f t="shared" si="4585"/>
        <v>0</v>
      </c>
      <c r="S6541" s="120"/>
      <c r="T6541" s="221">
        <f t="shared" si="4586"/>
        <v>0</v>
      </c>
      <c r="U6541" s="89"/>
      <c r="V6541" s="61"/>
      <c r="W6541" s="92"/>
      <c r="X6541" s="38"/>
      <c r="Y6541" s="93"/>
      <c r="Z6541" s="134"/>
      <c r="AA6541" s="93"/>
      <c r="AB6541" s="93"/>
      <c r="AC6541" s="93"/>
      <c r="AD6541" s="94"/>
      <c r="AE6541" s="190"/>
      <c r="AF6541" s="191"/>
      <c r="AG6541" s="191"/>
      <c r="AH6541" s="191"/>
      <c r="AI6541" s="186"/>
      <c r="AK6541" s="171"/>
    </row>
    <row r="6542" spans="1:41" s="102" customFormat="1" ht="63" x14ac:dyDescent="0.25">
      <c r="A6542" s="45" t="s">
        <v>491</v>
      </c>
      <c r="B6542" s="276"/>
      <c r="C6542" s="285" t="s">
        <v>658</v>
      </c>
      <c r="D6542" s="59"/>
      <c r="E6542" s="116"/>
      <c r="F6542" s="120"/>
      <c r="G6542" s="120">
        <f t="shared" si="4575"/>
        <v>0</v>
      </c>
      <c r="H6542" s="120">
        <f t="shared" si="4576"/>
        <v>0</v>
      </c>
      <c r="I6542" s="60">
        <f t="shared" si="4577"/>
        <v>0</v>
      </c>
      <c r="J6542" s="116">
        <f t="shared" si="4578"/>
        <v>0</v>
      </c>
      <c r="K6542" s="213">
        <f t="shared" si="4579"/>
        <v>0</v>
      </c>
      <c r="L6542" s="120"/>
      <c r="M6542" s="120">
        <f t="shared" si="4580"/>
        <v>0</v>
      </c>
      <c r="N6542" s="167">
        <f t="shared" si="4581"/>
        <v>0</v>
      </c>
      <c r="O6542" s="120">
        <f t="shared" si="4582"/>
        <v>0</v>
      </c>
      <c r="P6542" s="120">
        <f t="shared" si="4583"/>
        <v>0</v>
      </c>
      <c r="Q6542" s="120">
        <f t="shared" si="4584"/>
        <v>0</v>
      </c>
      <c r="R6542" s="120">
        <f t="shared" si="4585"/>
        <v>0</v>
      </c>
      <c r="S6542" s="120"/>
      <c r="T6542" s="221">
        <f t="shared" si="4586"/>
        <v>0</v>
      </c>
      <c r="U6542" s="89"/>
      <c r="V6542" s="61"/>
      <c r="W6542" s="92"/>
      <c r="X6542" s="38"/>
      <c r="Y6542" s="93"/>
      <c r="Z6542" s="134"/>
      <c r="AA6542" s="93"/>
      <c r="AB6542" s="93"/>
      <c r="AC6542" s="93"/>
      <c r="AD6542" s="94"/>
      <c r="AE6542" s="190"/>
      <c r="AF6542" s="191"/>
      <c r="AG6542" s="191"/>
      <c r="AH6542" s="191"/>
      <c r="AI6542" s="186"/>
      <c r="AK6542" s="171"/>
    </row>
    <row r="6543" spans="1:41" ht="20.100000000000001" customHeight="1" x14ac:dyDescent="0.25">
      <c r="A6543" s="277" t="s">
        <v>491</v>
      </c>
      <c r="B6543" s="278"/>
      <c r="C6543" s="64" t="s">
        <v>657</v>
      </c>
      <c r="D6543" s="46" t="s">
        <v>97</v>
      </c>
      <c r="E6543" s="114">
        <v>120</v>
      </c>
      <c r="F6543" s="44">
        <v>2266</v>
      </c>
      <c r="G6543" s="44">
        <f t="shared" si="4575"/>
        <v>271920</v>
      </c>
      <c r="H6543" s="44">
        <f t="shared" si="4576"/>
        <v>906.3355294117647</v>
      </c>
      <c r="I6543" s="43">
        <f t="shared" si="4577"/>
        <v>108760.26352941176</v>
      </c>
      <c r="J6543" s="112">
        <f t="shared" si="4578"/>
        <v>120</v>
      </c>
      <c r="K6543" s="211">
        <f t="shared" si="4579"/>
        <v>120</v>
      </c>
      <c r="L6543" s="44"/>
      <c r="M6543" s="44">
        <f t="shared" si="4580"/>
        <v>120</v>
      </c>
      <c r="N6543" s="173">
        <f t="shared" si="4581"/>
        <v>1</v>
      </c>
      <c r="O6543" s="44">
        <f t="shared" si="4582"/>
        <v>2266</v>
      </c>
      <c r="P6543" s="44">
        <f t="shared" si="4583"/>
        <v>271920</v>
      </c>
      <c r="Q6543" s="44">
        <f t="shared" si="4584"/>
        <v>906.3355294117647</v>
      </c>
      <c r="R6543" s="44">
        <f t="shared" si="4585"/>
        <v>108760.26352941176</v>
      </c>
      <c r="S6543" s="123"/>
      <c r="T6543" s="219">
        <f t="shared" si="4586"/>
        <v>108760.26352941176</v>
      </c>
      <c r="U6543" s="87"/>
      <c r="V6543" s="47"/>
      <c r="W6543" s="48"/>
      <c r="X6543" s="48"/>
      <c r="Y6543" s="48"/>
      <c r="Z6543" s="135"/>
      <c r="AA6543" s="49"/>
      <c r="AB6543" s="50">
        <f t="shared" si="4587"/>
        <v>906.3355294117647</v>
      </c>
      <c r="AC6543" s="42">
        <f t="shared" si="4588"/>
        <v>120</v>
      </c>
      <c r="AD6543" s="90">
        <f>AD6544+AD6549+AD6556</f>
        <v>108760.26352941176</v>
      </c>
      <c r="AE6543" s="188">
        <f t="shared" ref="AE6543:AH6543" si="4632">AE6544+AE6549+AE6556</f>
        <v>0</v>
      </c>
      <c r="AF6543" s="189">
        <f t="shared" si="4632"/>
        <v>0</v>
      </c>
      <c r="AG6543" s="189">
        <f t="shared" si="4632"/>
        <v>0</v>
      </c>
      <c r="AH6543" s="189">
        <f t="shared" si="4632"/>
        <v>0</v>
      </c>
      <c r="AI6543" s="161">
        <f t="shared" ref="AI6543" si="4633">SUM(AE6543:AH6543)</f>
        <v>0</v>
      </c>
      <c r="AK6543" s="169">
        <v>5</v>
      </c>
      <c r="AO6543" s="19" t="s">
        <v>63</v>
      </c>
    </row>
    <row r="6544" spans="1:41" s="103" customFormat="1" ht="19.899999999999999" customHeight="1" x14ac:dyDescent="0.25">
      <c r="A6544" s="51"/>
      <c r="B6544" s="52"/>
      <c r="C6544" s="165"/>
      <c r="D6544" s="52"/>
      <c r="E6544" s="115"/>
      <c r="F6544" s="58"/>
      <c r="G6544" s="58"/>
      <c r="H6544" s="58"/>
      <c r="I6544" s="55"/>
      <c r="J6544" s="113">
        <f>J6543</f>
        <v>120</v>
      </c>
      <c r="K6544" s="212">
        <f>K6543</f>
        <v>120</v>
      </c>
      <c r="L6544" s="58"/>
      <c r="M6544" s="58">
        <f>K6544-L6544</f>
        <v>120</v>
      </c>
      <c r="N6544" s="166"/>
      <c r="O6544" s="58"/>
      <c r="P6544" s="58"/>
      <c r="Q6544" s="58"/>
      <c r="R6544" s="58"/>
      <c r="S6544" s="58"/>
      <c r="T6544" s="220"/>
      <c r="U6544" s="88"/>
      <c r="V6544" s="56"/>
      <c r="W6544" s="57" t="s">
        <v>1591</v>
      </c>
      <c r="X6544" s="53"/>
      <c r="Y6544" s="91" t="s">
        <v>68</v>
      </c>
      <c r="Z6544" s="136">
        <f>AD6544/AC6544</f>
        <v>6.3355294117647061</v>
      </c>
      <c r="AA6544" s="58"/>
      <c r="AB6544" s="53">
        <f>AD6544/AC6544</f>
        <v>6.3355294117647061</v>
      </c>
      <c r="AC6544" s="53">
        <f>M6544+$AE$10</f>
        <v>120</v>
      </c>
      <c r="AD6544" s="54">
        <f>SUM(AD6545:AD6548)</f>
        <v>760.26352941176469</v>
      </c>
      <c r="AE6544" s="184">
        <f>SUMIFS($AD$37:$AD$12971,$V$37:$V$12971,$V6544,$X$37:$X$12971,AE$13)</f>
        <v>0</v>
      </c>
      <c r="AF6544" s="185">
        <f>SUMIFS($AD$37:$AD$12971,$V$37:$V$12971,$V6544,$X$37:$X$12971,AF$13)</f>
        <v>0</v>
      </c>
      <c r="AG6544" s="185">
        <f>SUMIFS($AD$37:$AD$12971,$V$37:$V$12971,$V6544,$X$37:$X$12971,AG$13)</f>
        <v>0</v>
      </c>
      <c r="AH6544" s="187">
        <f>SUMIFS($AD$37:$AD$12971,$V$37:$V$12971,$V6544,$X$37:$X$12971,AH$13)</f>
        <v>0</v>
      </c>
      <c r="AI6544" s="161">
        <f t="shared" ref="AI6544" si="4634">SUM(AE6544:AH6544)</f>
        <v>0</v>
      </c>
      <c r="AK6544" s="172"/>
    </row>
    <row r="6545" spans="1:41" s="102" customFormat="1" ht="19.899999999999999" customHeight="1" x14ac:dyDescent="0.25">
      <c r="A6545" s="45"/>
      <c r="B6545" s="59"/>
      <c r="C6545" s="137"/>
      <c r="D6545" s="59"/>
      <c r="E6545" s="116"/>
      <c r="F6545" s="120"/>
      <c r="G6545" s="120"/>
      <c r="H6545" s="120"/>
      <c r="I6545" s="60"/>
      <c r="J6545" s="116"/>
      <c r="K6545" s="213"/>
      <c r="L6545" s="120"/>
      <c r="M6545" s="120"/>
      <c r="N6545" s="167"/>
      <c r="O6545" s="120"/>
      <c r="P6545" s="120"/>
      <c r="Q6545" s="120"/>
      <c r="R6545" s="120"/>
      <c r="S6545" s="120"/>
      <c r="T6545" s="221"/>
      <c r="U6545" s="89"/>
      <c r="V6545" s="61"/>
      <c r="W6545" s="92" t="s">
        <v>129</v>
      </c>
      <c r="X6545" s="93" t="s">
        <v>29</v>
      </c>
      <c r="Y6545" s="93" t="s">
        <v>93</v>
      </c>
      <c r="Z6545" s="134">
        <f>VLOOKUP(W6545,Sheet2!$B:$D,3,FALSE)</f>
        <v>56</v>
      </c>
      <c r="AA6545" s="93">
        <f>80/(1.5*1*1)</f>
        <v>53.333333333333336</v>
      </c>
      <c r="AB6545" s="93">
        <f t="shared" ref="AB6545" si="4635">AD6545/AC6544</f>
        <v>1.05</v>
      </c>
      <c r="AC6545" s="93">
        <f>AC6544/AA6545</f>
        <v>2.25</v>
      </c>
      <c r="AD6545" s="94">
        <f t="shared" ref="AD6545:AD6546" si="4636">AC6545*Z6545</f>
        <v>126</v>
      </c>
      <c r="AE6545" s="190"/>
      <c r="AF6545" s="191"/>
      <c r="AG6545" s="191"/>
      <c r="AH6545" s="191"/>
      <c r="AI6545" s="186"/>
      <c r="AK6545" s="171"/>
    </row>
    <row r="6546" spans="1:41" s="102" customFormat="1" ht="19.899999999999999" customHeight="1" x14ac:dyDescent="0.25">
      <c r="A6546" s="45"/>
      <c r="B6546" s="59"/>
      <c r="C6546" s="137"/>
      <c r="D6546" s="59"/>
      <c r="E6546" s="116"/>
      <c r="F6546" s="120"/>
      <c r="G6546" s="120"/>
      <c r="H6546" s="120"/>
      <c r="I6546" s="60"/>
      <c r="J6546" s="116"/>
      <c r="K6546" s="213"/>
      <c r="L6546" s="120"/>
      <c r="M6546" s="120"/>
      <c r="N6546" s="167"/>
      <c r="O6546" s="120"/>
      <c r="P6546" s="120"/>
      <c r="Q6546" s="120"/>
      <c r="R6546" s="120"/>
      <c r="S6546" s="120"/>
      <c r="T6546" s="221"/>
      <c r="U6546" s="89"/>
      <c r="V6546" s="61"/>
      <c r="W6546" s="92" t="s">
        <v>65</v>
      </c>
      <c r="X6546" s="93" t="s">
        <v>30</v>
      </c>
      <c r="Y6546" s="93" t="s">
        <v>1011</v>
      </c>
      <c r="Z6546" s="134">
        <f>VLOOKUP(W6546,Sheet2!$B:$D,3,FALSE)</f>
        <v>1.76</v>
      </c>
      <c r="AA6546" s="93">
        <f>AA6545/14</f>
        <v>3.8095238095238098</v>
      </c>
      <c r="AB6546" s="93">
        <f>AD6546/AC6544</f>
        <v>0.46199999999999991</v>
      </c>
      <c r="AC6546" s="93">
        <f>AC6544/AA6546</f>
        <v>31.499999999999996</v>
      </c>
      <c r="AD6546" s="94">
        <f t="shared" si="4636"/>
        <v>55.439999999999991</v>
      </c>
      <c r="AE6546" s="190"/>
      <c r="AF6546" s="191"/>
      <c r="AG6546" s="191"/>
      <c r="AH6546" s="191"/>
      <c r="AI6546" s="186"/>
      <c r="AK6546" s="171"/>
    </row>
    <row r="6547" spans="1:41" s="102" customFormat="1" ht="19.899999999999999" customHeight="1" x14ac:dyDescent="0.25">
      <c r="A6547" s="45"/>
      <c r="B6547" s="59"/>
      <c r="C6547" s="137"/>
      <c r="D6547" s="59"/>
      <c r="E6547" s="116"/>
      <c r="F6547" s="120"/>
      <c r="G6547" s="120"/>
      <c r="H6547" s="120"/>
      <c r="I6547" s="60"/>
      <c r="J6547" s="116"/>
      <c r="K6547" s="213"/>
      <c r="L6547" s="120"/>
      <c r="M6547" s="120"/>
      <c r="N6547" s="167"/>
      <c r="O6547" s="120"/>
      <c r="P6547" s="120"/>
      <c r="Q6547" s="120"/>
      <c r="R6547" s="120"/>
      <c r="S6547" s="120"/>
      <c r="T6547" s="221"/>
      <c r="U6547" s="89"/>
      <c r="V6547" s="61"/>
      <c r="W6547" s="92" t="s">
        <v>161</v>
      </c>
      <c r="X6547" s="93" t="s">
        <v>29</v>
      </c>
      <c r="Y6547" s="93" t="s">
        <v>93</v>
      </c>
      <c r="Z6547" s="134">
        <f>VLOOKUP(W6547,Sheet2!$B:$D,3,FALSE)</f>
        <v>48</v>
      </c>
      <c r="AA6547" s="93">
        <f>(16*0.85*1.5)/(1.5*1*1)</f>
        <v>13.6</v>
      </c>
      <c r="AB6547" s="93">
        <f>AD6547/AC6544</f>
        <v>3.5294117647058827</v>
      </c>
      <c r="AC6547" s="93">
        <f>AC6544/AA6547</f>
        <v>8.8235294117647065</v>
      </c>
      <c r="AD6547" s="94">
        <f>AC6547*Z6547</f>
        <v>423.52941176470591</v>
      </c>
      <c r="AE6547" s="190"/>
      <c r="AF6547" s="191"/>
      <c r="AG6547" s="191"/>
      <c r="AH6547" s="191"/>
      <c r="AI6547" s="186"/>
      <c r="AK6547" s="171"/>
    </row>
    <row r="6548" spans="1:41" s="102" customFormat="1" ht="19.899999999999999" customHeight="1" x14ac:dyDescent="0.25">
      <c r="A6548" s="45"/>
      <c r="B6548" s="59"/>
      <c r="C6548" s="137"/>
      <c r="D6548" s="59"/>
      <c r="E6548" s="116"/>
      <c r="F6548" s="120"/>
      <c r="G6548" s="120"/>
      <c r="H6548" s="120"/>
      <c r="I6548" s="60"/>
      <c r="J6548" s="116"/>
      <c r="K6548" s="213"/>
      <c r="L6548" s="120"/>
      <c r="M6548" s="120"/>
      <c r="N6548" s="167"/>
      <c r="O6548" s="120"/>
      <c r="P6548" s="120"/>
      <c r="Q6548" s="120"/>
      <c r="R6548" s="120"/>
      <c r="S6548" s="120"/>
      <c r="T6548" s="221"/>
      <c r="U6548" s="89"/>
      <c r="V6548" s="61"/>
      <c r="W6548" s="92" t="s">
        <v>65</v>
      </c>
      <c r="X6548" s="93" t="s">
        <v>30</v>
      </c>
      <c r="Y6548" s="93" t="s">
        <v>1011</v>
      </c>
      <c r="Z6548" s="134">
        <f>VLOOKUP(W6548,Sheet2!$B:$D,3,FALSE)</f>
        <v>1.76</v>
      </c>
      <c r="AA6548" s="93">
        <f>AA6547/10</f>
        <v>1.3599999999999999</v>
      </c>
      <c r="AB6548" s="93">
        <f>AD6548/AC6544</f>
        <v>1.2941176470588236</v>
      </c>
      <c r="AC6548" s="93">
        <f>AC6544/AA6548</f>
        <v>88.235294117647072</v>
      </c>
      <c r="AD6548" s="94">
        <f>AC6548*Z6548</f>
        <v>155.29411764705884</v>
      </c>
      <c r="AE6548" s="190"/>
      <c r="AF6548" s="191"/>
      <c r="AG6548" s="191"/>
      <c r="AH6548" s="191"/>
      <c r="AI6548" s="186"/>
      <c r="AK6548" s="171"/>
    </row>
    <row r="6549" spans="1:41" s="103" customFormat="1" ht="19.899999999999999" customHeight="1" x14ac:dyDescent="0.25">
      <c r="A6549" s="51"/>
      <c r="B6549" s="52"/>
      <c r="C6549" s="165"/>
      <c r="D6549" s="52"/>
      <c r="E6549" s="115"/>
      <c r="F6549" s="58"/>
      <c r="G6549" s="58"/>
      <c r="H6549" s="58"/>
      <c r="I6549" s="55"/>
      <c r="J6549" s="113">
        <f>J6543</f>
        <v>120</v>
      </c>
      <c r="K6549" s="212">
        <f>K6543</f>
        <v>120</v>
      </c>
      <c r="L6549" s="58"/>
      <c r="M6549" s="58">
        <f>K6549-L6549</f>
        <v>120</v>
      </c>
      <c r="N6549" s="166"/>
      <c r="O6549" s="58"/>
      <c r="P6549" s="58"/>
      <c r="Q6549" s="58"/>
      <c r="R6549" s="58"/>
      <c r="S6549" s="58"/>
      <c r="T6549" s="220"/>
      <c r="U6549" s="88"/>
      <c r="V6549" s="56"/>
      <c r="W6549" s="57" t="s">
        <v>1592</v>
      </c>
      <c r="X6549" s="53"/>
      <c r="Y6549" s="91" t="s">
        <v>68</v>
      </c>
      <c r="Z6549" s="136">
        <f>AD6549/AC6549</f>
        <v>540</v>
      </c>
      <c r="AA6549" s="58"/>
      <c r="AB6549" s="53">
        <f>AD6549/AC6549</f>
        <v>540</v>
      </c>
      <c r="AC6549" s="53">
        <f>M6549+$AE$10</f>
        <v>120</v>
      </c>
      <c r="AD6549" s="54">
        <f>SUM(AD6550:AD6555)</f>
        <v>64800</v>
      </c>
      <c r="AE6549" s="184">
        <f>SUMIFS($AD$37:$AD$12971,$V$37:$V$12971,$V6549,$X$37:$X$12971,AE$13)</f>
        <v>0</v>
      </c>
      <c r="AF6549" s="185">
        <f>SUMIFS($AD$37:$AD$12971,$V$37:$V$12971,$V6549,$X$37:$X$12971,AF$13)</f>
        <v>0</v>
      </c>
      <c r="AG6549" s="185">
        <f>SUMIFS($AD$37:$AD$12971,$V$37:$V$12971,$V6549,$X$37:$X$12971,AG$13)</f>
        <v>0</v>
      </c>
      <c r="AH6549" s="187">
        <f>SUMIFS($AD$37:$AD$12971,$V$37:$V$12971,$V6549,$X$37:$X$12971,AH$13)</f>
        <v>0</v>
      </c>
      <c r="AI6549" s="161">
        <f t="shared" ref="AI6549" si="4637">SUM(AE6549:AH6549)</f>
        <v>0</v>
      </c>
      <c r="AK6549" s="172"/>
    </row>
    <row r="6550" spans="1:41" s="102" customFormat="1" ht="19.899999999999999" customHeight="1" x14ac:dyDescent="0.25">
      <c r="A6550" s="45"/>
      <c r="B6550" s="59"/>
      <c r="C6550" s="137"/>
      <c r="D6550" s="59"/>
      <c r="E6550" s="116"/>
      <c r="F6550" s="120"/>
      <c r="G6550" s="120"/>
      <c r="H6550" s="120"/>
      <c r="I6550" s="60"/>
      <c r="J6550" s="116"/>
      <c r="K6550" s="213"/>
      <c r="L6550" s="120"/>
      <c r="M6550" s="120"/>
      <c r="N6550" s="167"/>
      <c r="O6550" s="120"/>
      <c r="P6550" s="120"/>
      <c r="Q6550" s="120"/>
      <c r="R6550" s="120"/>
      <c r="S6550" s="120"/>
      <c r="T6550" s="221"/>
      <c r="U6550" s="89"/>
      <c r="V6550" s="61"/>
      <c r="W6550" s="92" t="s">
        <v>1032</v>
      </c>
      <c r="X6550" s="93" t="s">
        <v>30</v>
      </c>
      <c r="Y6550" s="93" t="s">
        <v>66</v>
      </c>
      <c r="Z6550" s="134">
        <f>VLOOKUP(W6550,Sheet2!$B:$D,3,FALSE)</f>
        <v>250</v>
      </c>
      <c r="AA6550" s="93">
        <f>1/0.2</f>
        <v>5</v>
      </c>
      <c r="AB6550" s="93">
        <f>AD6550/AC6556</f>
        <v>50</v>
      </c>
      <c r="AC6550" s="93">
        <f>AC6556/AA6550</f>
        <v>24</v>
      </c>
      <c r="AD6550" s="94">
        <f t="shared" ref="AD6550:AD6552" si="4638">AC6550*Z6550</f>
        <v>6000</v>
      </c>
      <c r="AE6550" s="190"/>
      <c r="AF6550" s="191"/>
      <c r="AG6550" s="191"/>
      <c r="AH6550" s="191"/>
      <c r="AI6550" s="186"/>
      <c r="AK6550" s="171"/>
    </row>
    <row r="6551" spans="1:41" s="102" customFormat="1" ht="19.899999999999999" customHeight="1" x14ac:dyDescent="0.25">
      <c r="A6551" s="45"/>
      <c r="B6551" s="59"/>
      <c r="C6551" s="137"/>
      <c r="D6551" s="59"/>
      <c r="E6551" s="116"/>
      <c r="F6551" s="120"/>
      <c r="G6551" s="120"/>
      <c r="H6551" s="120"/>
      <c r="I6551" s="60"/>
      <c r="J6551" s="116"/>
      <c r="K6551" s="213"/>
      <c r="L6551" s="120"/>
      <c r="M6551" s="120"/>
      <c r="N6551" s="167"/>
      <c r="O6551" s="120"/>
      <c r="P6551" s="120"/>
      <c r="Q6551" s="120"/>
      <c r="R6551" s="120"/>
      <c r="S6551" s="120"/>
      <c r="T6551" s="221"/>
      <c r="U6551" s="89"/>
      <c r="V6551" s="61"/>
      <c r="W6551" s="92" t="s">
        <v>1353</v>
      </c>
      <c r="X6551" s="93" t="s">
        <v>30</v>
      </c>
      <c r="Y6551" s="93" t="s">
        <v>66</v>
      </c>
      <c r="Z6551" s="134">
        <f>VLOOKUP(W6551,Sheet2!$B:$D,3,FALSE)</f>
        <v>350</v>
      </c>
      <c r="AA6551" s="93">
        <f>1/0.4</f>
        <v>2.5</v>
      </c>
      <c r="AB6551" s="93">
        <f>AD6551/AC6556</f>
        <v>140</v>
      </c>
      <c r="AC6551" s="93">
        <f>AC6556/AA6551</f>
        <v>48</v>
      </c>
      <c r="AD6551" s="94">
        <f t="shared" si="4638"/>
        <v>16800</v>
      </c>
      <c r="AE6551" s="190"/>
      <c r="AF6551" s="191"/>
      <c r="AG6551" s="191"/>
      <c r="AH6551" s="191"/>
      <c r="AI6551" s="186"/>
      <c r="AK6551" s="171"/>
    </row>
    <row r="6552" spans="1:41" s="102" customFormat="1" ht="19.899999999999999" customHeight="1" x14ac:dyDescent="0.25">
      <c r="A6552" s="45"/>
      <c r="B6552" s="59"/>
      <c r="C6552" s="137"/>
      <c r="D6552" s="59"/>
      <c r="E6552" s="116"/>
      <c r="F6552" s="120"/>
      <c r="G6552" s="120"/>
      <c r="H6552" s="120"/>
      <c r="I6552" s="60"/>
      <c r="J6552" s="116"/>
      <c r="K6552" s="213"/>
      <c r="L6552" s="120"/>
      <c r="M6552" s="120"/>
      <c r="N6552" s="167"/>
      <c r="O6552" s="120"/>
      <c r="P6552" s="120"/>
      <c r="Q6552" s="120"/>
      <c r="R6552" s="120"/>
      <c r="S6552" s="120"/>
      <c r="T6552" s="221"/>
      <c r="U6552" s="89"/>
      <c r="V6552" s="61"/>
      <c r="W6552" s="92" t="s">
        <v>99</v>
      </c>
      <c r="X6552" s="93" t="s">
        <v>30</v>
      </c>
      <c r="Y6552" s="93" t="s">
        <v>67</v>
      </c>
      <c r="Z6552" s="134">
        <f>VLOOKUP(W6552,Sheet2!$B:$D,3,FALSE)</f>
        <v>2500</v>
      </c>
      <c r="AA6552" s="93">
        <f>AA6551/0.1</f>
        <v>25</v>
      </c>
      <c r="AB6552" s="93">
        <f>AD6552/AC6556</f>
        <v>100</v>
      </c>
      <c r="AC6552" s="93">
        <f>AC6556/AA6552</f>
        <v>4.8</v>
      </c>
      <c r="AD6552" s="94">
        <f t="shared" si="4638"/>
        <v>12000</v>
      </c>
      <c r="AE6552" s="190"/>
      <c r="AF6552" s="191"/>
      <c r="AG6552" s="191"/>
      <c r="AH6552" s="191"/>
      <c r="AI6552" s="186"/>
      <c r="AK6552" s="171"/>
    </row>
    <row r="6553" spans="1:41" s="102" customFormat="1" ht="19.899999999999999" customHeight="1" x14ac:dyDescent="0.25">
      <c r="A6553" s="45"/>
      <c r="B6553" s="59"/>
      <c r="C6553" s="137"/>
      <c r="D6553" s="59"/>
      <c r="E6553" s="116"/>
      <c r="F6553" s="120"/>
      <c r="G6553" s="120"/>
      <c r="H6553" s="120"/>
      <c r="I6553" s="60"/>
      <c r="J6553" s="116"/>
      <c r="K6553" s="213"/>
      <c r="L6553" s="120"/>
      <c r="M6553" s="120"/>
      <c r="N6553" s="167"/>
      <c r="O6553" s="120"/>
      <c r="P6553" s="120"/>
      <c r="Q6553" s="120"/>
      <c r="R6553" s="120"/>
      <c r="S6553" s="120"/>
      <c r="T6553" s="221"/>
      <c r="U6553" s="89"/>
      <c r="V6553" s="61"/>
      <c r="W6553" s="92" t="s">
        <v>1354</v>
      </c>
      <c r="X6553" s="93" t="s">
        <v>32</v>
      </c>
      <c r="Y6553" s="93" t="s">
        <v>66</v>
      </c>
      <c r="Z6553" s="134">
        <f>VLOOKUP(W6553,Sheet2!$B:$D,3,FALSE)</f>
        <v>150</v>
      </c>
      <c r="AA6553" s="93">
        <f>AA6550</f>
        <v>5</v>
      </c>
      <c r="AB6553" s="93">
        <f>AD6553/AC6556</f>
        <v>30</v>
      </c>
      <c r="AC6553" s="93">
        <f>AC6556/AA6553</f>
        <v>24</v>
      </c>
      <c r="AD6553" s="94">
        <f>AC6553*Z6553</f>
        <v>3600</v>
      </c>
      <c r="AE6553" s="190"/>
      <c r="AF6553" s="191"/>
      <c r="AG6553" s="191"/>
      <c r="AH6553" s="191"/>
      <c r="AI6553" s="186"/>
      <c r="AK6553" s="171"/>
    </row>
    <row r="6554" spans="1:41" s="102" customFormat="1" ht="19.899999999999999" customHeight="1" x14ac:dyDescent="0.25">
      <c r="A6554" s="45"/>
      <c r="B6554" s="59"/>
      <c r="C6554" s="137"/>
      <c r="D6554" s="59"/>
      <c r="E6554" s="116"/>
      <c r="F6554" s="120"/>
      <c r="G6554" s="120"/>
      <c r="H6554" s="120"/>
      <c r="I6554" s="60"/>
      <c r="J6554" s="116"/>
      <c r="K6554" s="213"/>
      <c r="L6554" s="120"/>
      <c r="M6554" s="120"/>
      <c r="N6554" s="167"/>
      <c r="O6554" s="120"/>
      <c r="P6554" s="120"/>
      <c r="Q6554" s="120"/>
      <c r="R6554" s="120"/>
      <c r="S6554" s="120"/>
      <c r="T6554" s="221"/>
      <c r="U6554" s="89"/>
      <c r="V6554" s="61"/>
      <c r="W6554" s="92" t="s">
        <v>1355</v>
      </c>
      <c r="X6554" s="93" t="s">
        <v>32</v>
      </c>
      <c r="Y6554" s="93" t="s">
        <v>66</v>
      </c>
      <c r="Z6554" s="134">
        <f>VLOOKUP(W6554,Sheet2!$B:$D,3,FALSE)</f>
        <v>450</v>
      </c>
      <c r="AA6554" s="93">
        <f>AA6551</f>
        <v>2.5</v>
      </c>
      <c r="AB6554" s="93">
        <f>AD6554/AC6556</f>
        <v>180</v>
      </c>
      <c r="AC6554" s="93">
        <f>AC6556/AA6554</f>
        <v>48</v>
      </c>
      <c r="AD6554" s="94">
        <f>AC6554*Z6554</f>
        <v>21600</v>
      </c>
      <c r="AE6554" s="190"/>
      <c r="AF6554" s="191"/>
      <c r="AG6554" s="191"/>
      <c r="AH6554" s="191"/>
      <c r="AI6554" s="186"/>
      <c r="AK6554" s="171"/>
    </row>
    <row r="6555" spans="1:41" s="102" customFormat="1" ht="19.899999999999999" customHeight="1" x14ac:dyDescent="0.25">
      <c r="A6555" s="45"/>
      <c r="B6555" s="59"/>
      <c r="C6555" s="137"/>
      <c r="D6555" s="59"/>
      <c r="E6555" s="116"/>
      <c r="F6555" s="120"/>
      <c r="G6555" s="120"/>
      <c r="H6555" s="120"/>
      <c r="I6555" s="60"/>
      <c r="J6555" s="116"/>
      <c r="K6555" s="213"/>
      <c r="L6555" s="120"/>
      <c r="M6555" s="120"/>
      <c r="N6555" s="167"/>
      <c r="O6555" s="120"/>
      <c r="P6555" s="120"/>
      <c r="Q6555" s="120"/>
      <c r="R6555" s="120"/>
      <c r="S6555" s="120"/>
      <c r="T6555" s="221"/>
      <c r="U6555" s="89"/>
      <c r="V6555" s="61"/>
      <c r="W6555" s="92" t="s">
        <v>124</v>
      </c>
      <c r="X6555" s="93" t="s">
        <v>32</v>
      </c>
      <c r="Y6555" s="93" t="s">
        <v>64</v>
      </c>
      <c r="Z6555" s="134">
        <f>VLOOKUP(W6555,Sheet2!$B:$D,3,FALSE)</f>
        <v>10</v>
      </c>
      <c r="AA6555" s="93">
        <f>1/4</f>
        <v>0.25</v>
      </c>
      <c r="AB6555" s="93">
        <f t="shared" ref="AB6555" si="4639">AD6555/AC6549</f>
        <v>40</v>
      </c>
      <c r="AC6555" s="93">
        <f>AC6549/AA6555</f>
        <v>480</v>
      </c>
      <c r="AD6555" s="94">
        <f t="shared" ref="AD6555" si="4640">AC6555*Z6555</f>
        <v>4800</v>
      </c>
      <c r="AE6555" s="190"/>
      <c r="AF6555" s="191"/>
      <c r="AG6555" s="191"/>
      <c r="AH6555" s="191"/>
      <c r="AI6555" s="186"/>
      <c r="AK6555" s="171"/>
    </row>
    <row r="6556" spans="1:41" s="103" customFormat="1" ht="19.899999999999999" customHeight="1" x14ac:dyDescent="0.25">
      <c r="A6556" s="51"/>
      <c r="B6556" s="52"/>
      <c r="C6556" s="165"/>
      <c r="D6556" s="52"/>
      <c r="E6556" s="115"/>
      <c r="F6556" s="58"/>
      <c r="G6556" s="58"/>
      <c r="H6556" s="58"/>
      <c r="I6556" s="55"/>
      <c r="J6556" s="113">
        <f>J6543</f>
        <v>120</v>
      </c>
      <c r="K6556" s="212">
        <f>K6543</f>
        <v>120</v>
      </c>
      <c r="L6556" s="58"/>
      <c r="M6556" s="58">
        <f>K6556-L6556</f>
        <v>120</v>
      </c>
      <c r="N6556" s="166"/>
      <c r="O6556" s="58"/>
      <c r="P6556" s="58"/>
      <c r="Q6556" s="58"/>
      <c r="R6556" s="58"/>
      <c r="S6556" s="58"/>
      <c r="T6556" s="220"/>
      <c r="U6556" s="88"/>
      <c r="V6556" s="56"/>
      <c r="W6556" s="57" t="s">
        <v>1593</v>
      </c>
      <c r="X6556" s="53"/>
      <c r="Y6556" s="91" t="s">
        <v>68</v>
      </c>
      <c r="Z6556" s="136">
        <f>AD6556/AC6556</f>
        <v>360</v>
      </c>
      <c r="AA6556" s="58"/>
      <c r="AB6556" s="53">
        <f>AD6556/AC6556</f>
        <v>360</v>
      </c>
      <c r="AC6556" s="53">
        <f>M6556+$AE$10</f>
        <v>120</v>
      </c>
      <c r="AD6556" s="54">
        <f>SUM(AD6557:AD6559)</f>
        <v>43200</v>
      </c>
      <c r="AE6556" s="184">
        <f>SUMIFS($AD$37:$AD$12971,$V$37:$V$12971,$V6556,$X$37:$X$12971,AE$13)</f>
        <v>0</v>
      </c>
      <c r="AF6556" s="185">
        <f>SUMIFS($AD$37:$AD$12971,$V$37:$V$12971,$V6556,$X$37:$X$12971,AF$13)</f>
        <v>0</v>
      </c>
      <c r="AG6556" s="185">
        <f>SUMIFS($AD$37:$AD$12971,$V$37:$V$12971,$V6556,$X$37:$X$12971,AG$13)</f>
        <v>0</v>
      </c>
      <c r="AH6556" s="187">
        <f>SUMIFS($AD$37:$AD$12971,$V$37:$V$12971,$V6556,$X$37:$X$12971,AH$13)</f>
        <v>0</v>
      </c>
      <c r="AI6556" s="161">
        <f t="shared" ref="AI6556" si="4641">SUM(AE6556:AH6556)</f>
        <v>0</v>
      </c>
      <c r="AK6556" s="172"/>
    </row>
    <row r="6557" spans="1:41" s="102" customFormat="1" ht="19.899999999999999" customHeight="1" x14ac:dyDescent="0.25">
      <c r="A6557" s="45"/>
      <c r="B6557" s="59"/>
      <c r="C6557" s="137"/>
      <c r="D6557" s="59"/>
      <c r="E6557" s="116"/>
      <c r="F6557" s="120"/>
      <c r="G6557" s="120"/>
      <c r="H6557" s="120"/>
      <c r="I6557" s="60"/>
      <c r="J6557" s="116"/>
      <c r="K6557" s="213"/>
      <c r="L6557" s="120"/>
      <c r="M6557" s="120"/>
      <c r="N6557" s="167"/>
      <c r="O6557" s="120"/>
      <c r="P6557" s="120"/>
      <c r="Q6557" s="120"/>
      <c r="R6557" s="120"/>
      <c r="S6557" s="120"/>
      <c r="T6557" s="221"/>
      <c r="U6557" s="89"/>
      <c r="V6557" s="61"/>
      <c r="W6557" s="92" t="s">
        <v>1595</v>
      </c>
      <c r="X6557" s="93" t="s">
        <v>30</v>
      </c>
      <c r="Y6557" s="93" t="s">
        <v>68</v>
      </c>
      <c r="Z6557" s="134">
        <f>VLOOKUP(W6557,Sheet2!$B:$D,3,FALSE)</f>
        <v>150</v>
      </c>
      <c r="AA6557" s="93">
        <v>1</v>
      </c>
      <c r="AB6557" s="93">
        <f>AD6557/AC6556</f>
        <v>150</v>
      </c>
      <c r="AC6557" s="93">
        <f>AC6556/AA6557</f>
        <v>120</v>
      </c>
      <c r="AD6557" s="94">
        <f t="shared" ref="AD6557:AD6558" si="4642">AC6557*Z6557</f>
        <v>18000</v>
      </c>
      <c r="AE6557" s="190"/>
      <c r="AF6557" s="191"/>
      <c r="AG6557" s="191"/>
      <c r="AH6557" s="191"/>
      <c r="AI6557" s="186"/>
      <c r="AK6557" s="171"/>
    </row>
    <row r="6558" spans="1:41" s="102" customFormat="1" ht="19.899999999999999" customHeight="1" x14ac:dyDescent="0.25">
      <c r="A6558" s="45"/>
      <c r="B6558" s="59"/>
      <c r="C6558" s="137"/>
      <c r="D6558" s="59"/>
      <c r="E6558" s="116"/>
      <c r="F6558" s="120"/>
      <c r="G6558" s="120"/>
      <c r="H6558" s="120"/>
      <c r="I6558" s="60"/>
      <c r="J6558" s="116"/>
      <c r="K6558" s="213"/>
      <c r="L6558" s="120"/>
      <c r="M6558" s="120"/>
      <c r="N6558" s="167"/>
      <c r="O6558" s="120"/>
      <c r="P6558" s="120"/>
      <c r="Q6558" s="120"/>
      <c r="R6558" s="120"/>
      <c r="S6558" s="120"/>
      <c r="T6558" s="221"/>
      <c r="U6558" s="89"/>
      <c r="V6558" s="61"/>
      <c r="W6558" s="92" t="s">
        <v>1596</v>
      </c>
      <c r="X6558" s="93" t="s">
        <v>30</v>
      </c>
      <c r="Y6558" s="93" t="s">
        <v>68</v>
      </c>
      <c r="Z6558" s="134">
        <f>VLOOKUP(W6558,Sheet2!$B:$D,3,FALSE)</f>
        <v>90</v>
      </c>
      <c r="AA6558" s="93">
        <v>1</v>
      </c>
      <c r="AB6558" s="93">
        <f>AD6558/AC6556</f>
        <v>90</v>
      </c>
      <c r="AC6558" s="93">
        <f>AC6556/AA6558</f>
        <v>120</v>
      </c>
      <c r="AD6558" s="94">
        <f t="shared" si="4642"/>
        <v>10800</v>
      </c>
      <c r="AE6558" s="190"/>
      <c r="AF6558" s="191"/>
      <c r="AG6558" s="191"/>
      <c r="AH6558" s="191"/>
      <c r="AI6558" s="186"/>
      <c r="AK6558" s="171"/>
    </row>
    <row r="6559" spans="1:41" s="102" customFormat="1" ht="19.899999999999999" customHeight="1" x14ac:dyDescent="0.25">
      <c r="A6559" s="45"/>
      <c r="B6559" s="59"/>
      <c r="C6559" s="137"/>
      <c r="D6559" s="59"/>
      <c r="E6559" s="116"/>
      <c r="F6559" s="120"/>
      <c r="G6559" s="120"/>
      <c r="H6559" s="120"/>
      <c r="I6559" s="60"/>
      <c r="J6559" s="116"/>
      <c r="K6559" s="213"/>
      <c r="L6559" s="120"/>
      <c r="M6559" s="120"/>
      <c r="N6559" s="167"/>
      <c r="O6559" s="120"/>
      <c r="P6559" s="120"/>
      <c r="Q6559" s="120"/>
      <c r="R6559" s="120"/>
      <c r="S6559" s="120"/>
      <c r="T6559" s="221"/>
      <c r="U6559" s="89"/>
      <c r="V6559" s="61"/>
      <c r="W6559" s="92" t="s">
        <v>1594</v>
      </c>
      <c r="X6559" s="93" t="s">
        <v>32</v>
      </c>
      <c r="Y6559" s="93" t="s">
        <v>68</v>
      </c>
      <c r="Z6559" s="134">
        <f>VLOOKUP(W6559,Sheet2!$B:$D,3,FALSE)</f>
        <v>120</v>
      </c>
      <c r="AA6559" s="93">
        <v>1</v>
      </c>
      <c r="AB6559" s="93">
        <f>AD6559/AC6556</f>
        <v>120</v>
      </c>
      <c r="AC6559" s="93">
        <f>AC6556/AA6559</f>
        <v>120</v>
      </c>
      <c r="AD6559" s="94">
        <f>AC6559*Z6559</f>
        <v>14400</v>
      </c>
      <c r="AE6559" s="190"/>
      <c r="AF6559" s="191"/>
      <c r="AG6559" s="191"/>
      <c r="AH6559" s="191"/>
      <c r="AI6559" s="186"/>
      <c r="AK6559" s="171"/>
    </row>
    <row r="6560" spans="1:41" ht="20.100000000000001" customHeight="1" x14ac:dyDescent="0.25">
      <c r="A6560" s="277" t="s">
        <v>491</v>
      </c>
      <c r="B6560" s="278"/>
      <c r="C6560" s="64" t="s">
        <v>659</v>
      </c>
      <c r="D6560" s="46" t="s">
        <v>215</v>
      </c>
      <c r="E6560" s="114">
        <v>1</v>
      </c>
      <c r="F6560" s="44">
        <v>22658</v>
      </c>
      <c r="G6560" s="44">
        <f t="shared" si="4575"/>
        <v>22658</v>
      </c>
      <c r="H6560" s="44">
        <f t="shared" si="4576"/>
        <v>18500</v>
      </c>
      <c r="I6560" s="43">
        <f t="shared" si="4577"/>
        <v>18500</v>
      </c>
      <c r="J6560" s="112">
        <f t="shared" si="4578"/>
        <v>1</v>
      </c>
      <c r="K6560" s="211">
        <f t="shared" si="4579"/>
        <v>1</v>
      </c>
      <c r="L6560" s="44"/>
      <c r="M6560" s="44">
        <f t="shared" si="4580"/>
        <v>1</v>
      </c>
      <c r="N6560" s="173">
        <f t="shared" si="4581"/>
        <v>1</v>
      </c>
      <c r="O6560" s="44">
        <f t="shared" si="4582"/>
        <v>22658</v>
      </c>
      <c r="P6560" s="44">
        <f t="shared" si="4583"/>
        <v>22658</v>
      </c>
      <c r="Q6560" s="44">
        <f t="shared" si="4584"/>
        <v>18500</v>
      </c>
      <c r="R6560" s="44">
        <f t="shared" si="4585"/>
        <v>18500</v>
      </c>
      <c r="S6560" s="123"/>
      <c r="T6560" s="219">
        <f t="shared" si="4586"/>
        <v>18500</v>
      </c>
      <c r="U6560" s="87"/>
      <c r="V6560" s="47"/>
      <c r="W6560" s="48"/>
      <c r="X6560" s="48"/>
      <c r="Y6560" s="48"/>
      <c r="Z6560" s="135"/>
      <c r="AA6560" s="49"/>
      <c r="AB6560" s="50">
        <f t="shared" si="4587"/>
        <v>18500</v>
      </c>
      <c r="AC6560" s="42">
        <f t="shared" si="4588"/>
        <v>1</v>
      </c>
      <c r="AD6560" s="90">
        <f>AD6561</f>
        <v>18500</v>
      </c>
      <c r="AE6560" s="188">
        <f t="shared" ref="AE6560" si="4643">AE6561</f>
        <v>0</v>
      </c>
      <c r="AF6560" s="189">
        <f t="shared" ref="AF6560" si="4644">AF6561</f>
        <v>0</v>
      </c>
      <c r="AG6560" s="189">
        <f t="shared" ref="AG6560" si="4645">AG6561</f>
        <v>0</v>
      </c>
      <c r="AH6560" s="189">
        <f t="shared" ref="AH6560" si="4646">AH6561</f>
        <v>0</v>
      </c>
      <c r="AI6560" s="161">
        <f t="shared" ref="AI6560" si="4647">SUM(AE6560:AH6560)</f>
        <v>0</v>
      </c>
      <c r="AK6560" s="169">
        <v>5</v>
      </c>
      <c r="AO6560" s="19" t="s">
        <v>63</v>
      </c>
    </row>
    <row r="6561" spans="1:41" s="103" customFormat="1" ht="19.899999999999999" customHeight="1" x14ac:dyDescent="0.25">
      <c r="A6561" s="51"/>
      <c r="B6561" s="52"/>
      <c r="C6561" s="165"/>
      <c r="D6561" s="52"/>
      <c r="E6561" s="115"/>
      <c r="F6561" s="58"/>
      <c r="G6561" s="58"/>
      <c r="H6561" s="58"/>
      <c r="I6561" s="55"/>
      <c r="J6561" s="113">
        <f>J6560</f>
        <v>1</v>
      </c>
      <c r="K6561" s="212">
        <f>K6560</f>
        <v>1</v>
      </c>
      <c r="L6561" s="58"/>
      <c r="M6561" s="58">
        <f>K6561-L6561</f>
        <v>1</v>
      </c>
      <c r="N6561" s="166"/>
      <c r="O6561" s="58"/>
      <c r="P6561" s="58"/>
      <c r="Q6561" s="58"/>
      <c r="R6561" s="58"/>
      <c r="S6561" s="58"/>
      <c r="T6561" s="220"/>
      <c r="U6561" s="88"/>
      <c r="V6561" s="56"/>
      <c r="W6561" s="57" t="s">
        <v>1597</v>
      </c>
      <c r="X6561" s="53"/>
      <c r="Y6561" s="91" t="s">
        <v>1349</v>
      </c>
      <c r="Z6561" s="136">
        <f>AD6561/AC6561</f>
        <v>18500</v>
      </c>
      <c r="AA6561" s="58"/>
      <c r="AB6561" s="53">
        <f>AD6561/AC6561</f>
        <v>18500</v>
      </c>
      <c r="AC6561" s="53">
        <f>M6561+$AE$10</f>
        <v>1</v>
      </c>
      <c r="AD6561" s="54">
        <f>SUM(AD6562)</f>
        <v>18500</v>
      </c>
      <c r="AE6561" s="184">
        <f>SUMIFS($AD$37:$AD$12971,$V$37:$V$12971,$V6561,$X$37:$X$12971,AE$13)</f>
        <v>0</v>
      </c>
      <c r="AF6561" s="185">
        <f>SUMIFS($AD$37:$AD$12971,$V$37:$V$12971,$V6561,$X$37:$X$12971,AF$13)</f>
        <v>0</v>
      </c>
      <c r="AG6561" s="185">
        <f>SUMIFS($AD$37:$AD$12971,$V$37:$V$12971,$V6561,$X$37:$X$12971,AG$13)</f>
        <v>0</v>
      </c>
      <c r="AH6561" s="187">
        <f>SUMIFS($AD$37:$AD$12971,$V$37:$V$12971,$V6561,$X$37:$X$12971,AH$13)</f>
        <v>0</v>
      </c>
      <c r="AI6561" s="161">
        <f t="shared" ref="AI6561" si="4648">SUM(AE6561:AH6561)</f>
        <v>0</v>
      </c>
      <c r="AK6561" s="172"/>
    </row>
    <row r="6562" spans="1:41" s="102" customFormat="1" ht="19.899999999999999" customHeight="1" x14ac:dyDescent="0.25">
      <c r="A6562" s="45"/>
      <c r="B6562" s="59"/>
      <c r="C6562" s="137"/>
      <c r="D6562" s="59"/>
      <c r="E6562" s="116"/>
      <c r="F6562" s="120"/>
      <c r="G6562" s="120"/>
      <c r="H6562" s="120"/>
      <c r="I6562" s="60"/>
      <c r="J6562" s="116"/>
      <c r="K6562" s="213"/>
      <c r="L6562" s="120"/>
      <c r="M6562" s="120"/>
      <c r="N6562" s="167"/>
      <c r="O6562" s="120"/>
      <c r="P6562" s="120"/>
      <c r="Q6562" s="120"/>
      <c r="R6562" s="120"/>
      <c r="S6562" s="120"/>
      <c r="T6562" s="221"/>
      <c r="U6562" s="89"/>
      <c r="V6562" s="61"/>
      <c r="W6562" s="92" t="s">
        <v>1598</v>
      </c>
      <c r="X6562" s="93" t="s">
        <v>32</v>
      </c>
      <c r="Y6562" s="93" t="s">
        <v>1349</v>
      </c>
      <c r="Z6562" s="134">
        <f>VLOOKUP(W6562,Sheet2!$B:$D,3,FALSE)</f>
        <v>18500</v>
      </c>
      <c r="AA6562" s="93">
        <v>1</v>
      </c>
      <c r="AB6562" s="93">
        <f>AD6562/AC6561</f>
        <v>18500</v>
      </c>
      <c r="AC6562" s="93">
        <f>AC6561/AA6562</f>
        <v>1</v>
      </c>
      <c r="AD6562" s="94">
        <f t="shared" ref="AD6562" si="4649">AC6562*Z6562</f>
        <v>18500</v>
      </c>
      <c r="AE6562" s="190"/>
      <c r="AF6562" s="191"/>
      <c r="AG6562" s="191"/>
      <c r="AH6562" s="191"/>
      <c r="AI6562" s="186"/>
      <c r="AK6562" s="171"/>
    </row>
    <row r="6563" spans="1:41" ht="20.100000000000001" customHeight="1" x14ac:dyDescent="0.25">
      <c r="A6563" s="277" t="s">
        <v>491</v>
      </c>
      <c r="B6563" s="278"/>
      <c r="C6563" s="64" t="s">
        <v>660</v>
      </c>
      <c r="D6563" s="46" t="s">
        <v>215</v>
      </c>
      <c r="E6563" s="114">
        <v>1</v>
      </c>
      <c r="F6563" s="44">
        <v>8182</v>
      </c>
      <c r="G6563" s="44">
        <f t="shared" si="4575"/>
        <v>8182</v>
      </c>
      <c r="H6563" s="44">
        <f t="shared" si="4576"/>
        <v>4750</v>
      </c>
      <c r="I6563" s="43">
        <f t="shared" si="4577"/>
        <v>4750</v>
      </c>
      <c r="J6563" s="112">
        <f t="shared" si="4578"/>
        <v>1</v>
      </c>
      <c r="K6563" s="211">
        <f t="shared" si="4579"/>
        <v>1</v>
      </c>
      <c r="L6563" s="44"/>
      <c r="M6563" s="44">
        <f t="shared" si="4580"/>
        <v>1</v>
      </c>
      <c r="N6563" s="173">
        <f t="shared" si="4581"/>
        <v>1</v>
      </c>
      <c r="O6563" s="44">
        <f t="shared" si="4582"/>
        <v>8182</v>
      </c>
      <c r="P6563" s="44">
        <f t="shared" si="4583"/>
        <v>8182</v>
      </c>
      <c r="Q6563" s="44">
        <f t="shared" si="4584"/>
        <v>4750</v>
      </c>
      <c r="R6563" s="44">
        <f t="shared" si="4585"/>
        <v>4750</v>
      </c>
      <c r="S6563" s="123"/>
      <c r="T6563" s="219">
        <f t="shared" si="4586"/>
        <v>4750</v>
      </c>
      <c r="U6563" s="87"/>
      <c r="V6563" s="47"/>
      <c r="W6563" s="48"/>
      <c r="X6563" s="48"/>
      <c r="Y6563" s="48"/>
      <c r="Z6563" s="135"/>
      <c r="AA6563" s="49"/>
      <c r="AB6563" s="50">
        <f t="shared" si="4587"/>
        <v>4750</v>
      </c>
      <c r="AC6563" s="42">
        <f t="shared" si="4588"/>
        <v>1</v>
      </c>
      <c r="AD6563" s="90">
        <f>AD6564</f>
        <v>4750</v>
      </c>
      <c r="AE6563" s="188">
        <f t="shared" ref="AE6563" si="4650">AE6564</f>
        <v>0</v>
      </c>
      <c r="AF6563" s="189">
        <f t="shared" ref="AF6563" si="4651">AF6564</f>
        <v>0</v>
      </c>
      <c r="AG6563" s="189">
        <f t="shared" ref="AG6563" si="4652">AG6564</f>
        <v>0</v>
      </c>
      <c r="AH6563" s="189">
        <f t="shared" ref="AH6563" si="4653">AH6564</f>
        <v>0</v>
      </c>
      <c r="AI6563" s="161">
        <f t="shared" ref="AI6563" si="4654">SUM(AE6563:AH6563)</f>
        <v>0</v>
      </c>
      <c r="AK6563" s="169">
        <v>5</v>
      </c>
      <c r="AO6563" s="19" t="s">
        <v>63</v>
      </c>
    </row>
    <row r="6564" spans="1:41" s="103" customFormat="1" ht="19.899999999999999" customHeight="1" x14ac:dyDescent="0.25">
      <c r="A6564" s="51"/>
      <c r="B6564" s="52"/>
      <c r="C6564" s="165"/>
      <c r="D6564" s="52"/>
      <c r="E6564" s="115"/>
      <c r="F6564" s="58"/>
      <c r="G6564" s="58"/>
      <c r="H6564" s="58"/>
      <c r="I6564" s="55"/>
      <c r="J6564" s="113">
        <f>J6563</f>
        <v>1</v>
      </c>
      <c r="K6564" s="212">
        <f>K6563</f>
        <v>1</v>
      </c>
      <c r="L6564" s="58"/>
      <c r="M6564" s="58">
        <f>K6564-L6564</f>
        <v>1</v>
      </c>
      <c r="N6564" s="166"/>
      <c r="O6564" s="58"/>
      <c r="P6564" s="58"/>
      <c r="Q6564" s="58"/>
      <c r="R6564" s="58"/>
      <c r="S6564" s="58"/>
      <c r="T6564" s="220"/>
      <c r="U6564" s="88"/>
      <c r="V6564" s="56"/>
      <c r="W6564" s="57" t="s">
        <v>1599</v>
      </c>
      <c r="X6564" s="53"/>
      <c r="Y6564" s="91" t="s">
        <v>1349</v>
      </c>
      <c r="Z6564" s="136">
        <f>AD6564/AC6564</f>
        <v>4750</v>
      </c>
      <c r="AA6564" s="58"/>
      <c r="AB6564" s="53">
        <f>AD6564/AC6564</f>
        <v>4750</v>
      </c>
      <c r="AC6564" s="53">
        <f>M6564+$AE$10</f>
        <v>1</v>
      </c>
      <c r="AD6564" s="54">
        <f>SUM(AD6565)</f>
        <v>4750</v>
      </c>
      <c r="AE6564" s="184">
        <f>SUMIFS($AD$37:$AD$12971,$V$37:$V$12971,$V6564,$X$37:$X$12971,AE$13)</f>
        <v>0</v>
      </c>
      <c r="AF6564" s="185">
        <f>SUMIFS($AD$37:$AD$12971,$V$37:$V$12971,$V6564,$X$37:$X$12971,AF$13)</f>
        <v>0</v>
      </c>
      <c r="AG6564" s="185">
        <f>SUMIFS($AD$37:$AD$12971,$V$37:$V$12971,$V6564,$X$37:$X$12971,AG$13)</f>
        <v>0</v>
      </c>
      <c r="AH6564" s="187">
        <f>SUMIFS($AD$37:$AD$12971,$V$37:$V$12971,$V6564,$X$37:$X$12971,AH$13)</f>
        <v>0</v>
      </c>
      <c r="AI6564" s="161">
        <f t="shared" ref="AI6564" si="4655">SUM(AE6564:AH6564)</f>
        <v>0</v>
      </c>
      <c r="AK6564" s="172"/>
    </row>
    <row r="6565" spans="1:41" s="102" customFormat="1" ht="19.899999999999999" customHeight="1" x14ac:dyDescent="0.25">
      <c r="A6565" s="45"/>
      <c r="B6565" s="59"/>
      <c r="C6565" s="137"/>
      <c r="D6565" s="59"/>
      <c r="E6565" s="116"/>
      <c r="F6565" s="120"/>
      <c r="G6565" s="120"/>
      <c r="H6565" s="120"/>
      <c r="I6565" s="60"/>
      <c r="J6565" s="116"/>
      <c r="K6565" s="213"/>
      <c r="L6565" s="120"/>
      <c r="M6565" s="120"/>
      <c r="N6565" s="167"/>
      <c r="O6565" s="120"/>
      <c r="P6565" s="120"/>
      <c r="Q6565" s="120"/>
      <c r="R6565" s="120"/>
      <c r="S6565" s="120"/>
      <c r="T6565" s="221"/>
      <c r="U6565" s="89"/>
      <c r="V6565" s="61"/>
      <c r="W6565" s="92" t="s">
        <v>1600</v>
      </c>
      <c r="X6565" s="93" t="s">
        <v>32</v>
      </c>
      <c r="Y6565" s="93" t="s">
        <v>1349</v>
      </c>
      <c r="Z6565" s="134">
        <f>VLOOKUP(W6565,Sheet2!$B:$D,3,FALSE)</f>
        <v>4750</v>
      </c>
      <c r="AA6565" s="93">
        <v>1</v>
      </c>
      <c r="AB6565" s="93">
        <f>AD6565/AC6564</f>
        <v>4750</v>
      </c>
      <c r="AC6565" s="93">
        <f>AC6564/AA6565</f>
        <v>1</v>
      </c>
      <c r="AD6565" s="94">
        <f t="shared" ref="AD6565" si="4656">AC6565*Z6565</f>
        <v>4750</v>
      </c>
      <c r="AE6565" s="190"/>
      <c r="AF6565" s="191"/>
      <c r="AG6565" s="191"/>
      <c r="AH6565" s="191"/>
      <c r="AI6565" s="186"/>
      <c r="AK6565" s="171"/>
    </row>
    <row r="6566" spans="1:41" s="102" customFormat="1" ht="20.100000000000001" customHeight="1" x14ac:dyDescent="0.25">
      <c r="A6566" s="45" t="s">
        <v>491</v>
      </c>
      <c r="B6566" s="276"/>
      <c r="C6566" s="285" t="s">
        <v>661</v>
      </c>
      <c r="D6566" s="59"/>
      <c r="E6566" s="116"/>
      <c r="F6566" s="120"/>
      <c r="G6566" s="120">
        <f t="shared" si="4575"/>
        <v>0</v>
      </c>
      <c r="H6566" s="120">
        <f t="shared" si="4576"/>
        <v>0</v>
      </c>
      <c r="I6566" s="60">
        <f t="shared" si="4577"/>
        <v>0</v>
      </c>
      <c r="J6566" s="116">
        <f t="shared" si="4578"/>
        <v>0</v>
      </c>
      <c r="K6566" s="213">
        <f t="shared" si="4579"/>
        <v>0</v>
      </c>
      <c r="L6566" s="120"/>
      <c r="M6566" s="120">
        <f t="shared" si="4580"/>
        <v>0</v>
      </c>
      <c r="N6566" s="167">
        <f t="shared" si="4581"/>
        <v>0</v>
      </c>
      <c r="O6566" s="120">
        <f t="shared" si="4582"/>
        <v>0</v>
      </c>
      <c r="P6566" s="120">
        <f t="shared" si="4583"/>
        <v>0</v>
      </c>
      <c r="Q6566" s="120">
        <f t="shared" si="4584"/>
        <v>0</v>
      </c>
      <c r="R6566" s="120">
        <f t="shared" si="4585"/>
        <v>0</v>
      </c>
      <c r="S6566" s="120"/>
      <c r="T6566" s="221">
        <f t="shared" si="4586"/>
        <v>0</v>
      </c>
      <c r="U6566" s="89"/>
      <c r="V6566" s="61"/>
      <c r="W6566" s="92"/>
      <c r="X6566" s="38"/>
      <c r="Y6566" s="93"/>
      <c r="Z6566" s="134"/>
      <c r="AA6566" s="93"/>
      <c r="AB6566" s="93"/>
      <c r="AC6566" s="93"/>
      <c r="AD6566" s="94"/>
      <c r="AE6566" s="190"/>
      <c r="AF6566" s="191"/>
      <c r="AG6566" s="191"/>
      <c r="AH6566" s="191"/>
      <c r="AI6566" s="186"/>
      <c r="AK6566" s="171"/>
    </row>
    <row r="6567" spans="1:41" s="102" customFormat="1" ht="78.75" x14ac:dyDescent="0.25">
      <c r="A6567" s="45" t="s">
        <v>491</v>
      </c>
      <c r="B6567" s="276"/>
      <c r="C6567" s="285" t="s">
        <v>662</v>
      </c>
      <c r="D6567" s="59"/>
      <c r="E6567" s="116"/>
      <c r="F6567" s="120"/>
      <c r="G6567" s="120">
        <f t="shared" si="4575"/>
        <v>0</v>
      </c>
      <c r="H6567" s="120">
        <f t="shared" si="4576"/>
        <v>0</v>
      </c>
      <c r="I6567" s="60">
        <f t="shared" si="4577"/>
        <v>0</v>
      </c>
      <c r="J6567" s="116">
        <f t="shared" si="4578"/>
        <v>0</v>
      </c>
      <c r="K6567" s="213">
        <f t="shared" si="4579"/>
        <v>0</v>
      </c>
      <c r="L6567" s="120"/>
      <c r="M6567" s="120">
        <f t="shared" si="4580"/>
        <v>0</v>
      </c>
      <c r="N6567" s="167">
        <f t="shared" si="4581"/>
        <v>0</v>
      </c>
      <c r="O6567" s="120">
        <f t="shared" si="4582"/>
        <v>0</v>
      </c>
      <c r="P6567" s="120">
        <f t="shared" si="4583"/>
        <v>0</v>
      </c>
      <c r="Q6567" s="120">
        <f t="shared" si="4584"/>
        <v>0</v>
      </c>
      <c r="R6567" s="120">
        <f t="shared" si="4585"/>
        <v>0</v>
      </c>
      <c r="S6567" s="120"/>
      <c r="T6567" s="221">
        <f t="shared" si="4586"/>
        <v>0</v>
      </c>
      <c r="U6567" s="89"/>
      <c r="V6567" s="61"/>
      <c r="W6567" s="92"/>
      <c r="X6567" s="38"/>
      <c r="Y6567" s="93"/>
      <c r="Z6567" s="134"/>
      <c r="AA6567" s="93"/>
      <c r="AB6567" s="93"/>
      <c r="AC6567" s="93"/>
      <c r="AD6567" s="94"/>
      <c r="AE6567" s="190"/>
      <c r="AF6567" s="191"/>
      <c r="AG6567" s="191"/>
      <c r="AH6567" s="191"/>
      <c r="AI6567" s="186"/>
      <c r="AK6567" s="171"/>
    </row>
    <row r="6568" spans="1:41" ht="20.100000000000001" customHeight="1" x14ac:dyDescent="0.25">
      <c r="A6568" s="277" t="s">
        <v>491</v>
      </c>
      <c r="B6568" s="278"/>
      <c r="C6568" s="64" t="s">
        <v>663</v>
      </c>
      <c r="D6568" s="46" t="s">
        <v>186</v>
      </c>
      <c r="E6568" s="114">
        <v>1</v>
      </c>
      <c r="F6568" s="44">
        <v>314702</v>
      </c>
      <c r="G6568" s="44">
        <f t="shared" si="4575"/>
        <v>314702</v>
      </c>
      <c r="H6568" s="44">
        <f t="shared" si="4576"/>
        <v>219500</v>
      </c>
      <c r="I6568" s="43">
        <f t="shared" si="4577"/>
        <v>219500</v>
      </c>
      <c r="J6568" s="112">
        <f t="shared" si="4578"/>
        <v>1</v>
      </c>
      <c r="K6568" s="211">
        <f t="shared" si="4579"/>
        <v>1</v>
      </c>
      <c r="L6568" s="44"/>
      <c r="M6568" s="44">
        <f t="shared" si="4580"/>
        <v>1</v>
      </c>
      <c r="N6568" s="173">
        <f t="shared" si="4581"/>
        <v>1</v>
      </c>
      <c r="O6568" s="44">
        <f t="shared" si="4582"/>
        <v>314702</v>
      </c>
      <c r="P6568" s="44">
        <f t="shared" si="4583"/>
        <v>314702</v>
      </c>
      <c r="Q6568" s="44">
        <f t="shared" si="4584"/>
        <v>219500</v>
      </c>
      <c r="R6568" s="44">
        <f t="shared" si="4585"/>
        <v>219500</v>
      </c>
      <c r="S6568" s="123"/>
      <c r="T6568" s="219">
        <f t="shared" si="4586"/>
        <v>219500</v>
      </c>
      <c r="U6568" s="87"/>
      <c r="V6568" s="47"/>
      <c r="W6568" s="48"/>
      <c r="X6568" s="48"/>
      <c r="Y6568" s="48"/>
      <c r="Z6568" s="135"/>
      <c r="AA6568" s="49"/>
      <c r="AB6568" s="50">
        <f t="shared" si="4587"/>
        <v>219500</v>
      </c>
      <c r="AC6568" s="42">
        <f t="shared" si="4588"/>
        <v>1</v>
      </c>
      <c r="AD6568" s="90">
        <f>AD6569</f>
        <v>219500</v>
      </c>
      <c r="AE6568" s="188">
        <f t="shared" ref="AE6568" si="4657">AE6569</f>
        <v>0</v>
      </c>
      <c r="AF6568" s="189">
        <f t="shared" ref="AF6568" si="4658">AF6569</f>
        <v>0</v>
      </c>
      <c r="AG6568" s="189">
        <f t="shared" ref="AG6568" si="4659">AG6569</f>
        <v>0</v>
      </c>
      <c r="AH6568" s="189">
        <f t="shared" ref="AH6568" si="4660">AH6569</f>
        <v>0</v>
      </c>
      <c r="AI6568" s="161">
        <f t="shared" ref="AI6568" si="4661">SUM(AE6568:AH6568)</f>
        <v>0</v>
      </c>
      <c r="AK6568" s="169">
        <v>5</v>
      </c>
      <c r="AO6568" s="19" t="s">
        <v>63</v>
      </c>
    </row>
    <row r="6569" spans="1:41" s="103" customFormat="1" ht="19.899999999999999" customHeight="1" x14ac:dyDescent="0.25">
      <c r="A6569" s="51"/>
      <c r="B6569" s="52"/>
      <c r="C6569" s="165"/>
      <c r="D6569" s="52"/>
      <c r="E6569" s="115"/>
      <c r="F6569" s="58"/>
      <c r="G6569" s="58"/>
      <c r="H6569" s="58"/>
      <c r="I6569" s="55"/>
      <c r="J6569" s="113">
        <f>J6568</f>
        <v>1</v>
      </c>
      <c r="K6569" s="212">
        <f>K6568</f>
        <v>1</v>
      </c>
      <c r="L6569" s="58"/>
      <c r="M6569" s="58">
        <f>K6569-L6569</f>
        <v>1</v>
      </c>
      <c r="N6569" s="166"/>
      <c r="O6569" s="58"/>
      <c r="P6569" s="58"/>
      <c r="Q6569" s="58"/>
      <c r="R6569" s="58"/>
      <c r="S6569" s="58"/>
      <c r="T6569" s="220"/>
      <c r="U6569" s="88"/>
      <c r="V6569" s="56"/>
      <c r="W6569" s="57" t="s">
        <v>1601</v>
      </c>
      <c r="X6569" s="53"/>
      <c r="Y6569" s="91" t="s">
        <v>1349</v>
      </c>
      <c r="Z6569" s="136">
        <f>AD6569/AC6569</f>
        <v>219500</v>
      </c>
      <c r="AA6569" s="58"/>
      <c r="AB6569" s="53">
        <f>AD6569/AC6569</f>
        <v>219500</v>
      </c>
      <c r="AC6569" s="53">
        <f>M6569+$AE$10</f>
        <v>1</v>
      </c>
      <c r="AD6569" s="54">
        <f>SUM(AD6570)</f>
        <v>219500</v>
      </c>
      <c r="AE6569" s="184">
        <f>SUMIFS($AD$37:$AD$12971,$V$37:$V$12971,$V6569,$X$37:$X$12971,AE$13)</f>
        <v>0</v>
      </c>
      <c r="AF6569" s="185">
        <f>SUMIFS($AD$37:$AD$12971,$V$37:$V$12971,$V6569,$X$37:$X$12971,AF$13)</f>
        <v>0</v>
      </c>
      <c r="AG6569" s="185">
        <f>SUMIFS($AD$37:$AD$12971,$V$37:$V$12971,$V6569,$X$37:$X$12971,AG$13)</f>
        <v>0</v>
      </c>
      <c r="AH6569" s="187">
        <f>SUMIFS($AD$37:$AD$12971,$V$37:$V$12971,$V6569,$X$37:$X$12971,AH$13)</f>
        <v>0</v>
      </c>
      <c r="AI6569" s="161">
        <f t="shared" ref="AI6569" si="4662">SUM(AE6569:AH6569)</f>
        <v>0</v>
      </c>
      <c r="AK6569" s="172"/>
    </row>
    <row r="6570" spans="1:41" s="102" customFormat="1" ht="19.899999999999999" customHeight="1" x14ac:dyDescent="0.25">
      <c r="A6570" s="45"/>
      <c r="B6570" s="59"/>
      <c r="C6570" s="137"/>
      <c r="D6570" s="59"/>
      <c r="E6570" s="116"/>
      <c r="F6570" s="120"/>
      <c r="G6570" s="120"/>
      <c r="H6570" s="120"/>
      <c r="I6570" s="60"/>
      <c r="J6570" s="116"/>
      <c r="K6570" s="213"/>
      <c r="L6570" s="120"/>
      <c r="M6570" s="120"/>
      <c r="N6570" s="167"/>
      <c r="O6570" s="120"/>
      <c r="P6570" s="120"/>
      <c r="Q6570" s="120"/>
      <c r="R6570" s="120"/>
      <c r="S6570" s="120"/>
      <c r="T6570" s="221"/>
      <c r="U6570" s="89"/>
      <c r="V6570" s="61"/>
      <c r="W6570" s="92" t="s">
        <v>1602</v>
      </c>
      <c r="X6570" s="93" t="s">
        <v>32</v>
      </c>
      <c r="Y6570" s="93" t="s">
        <v>1349</v>
      </c>
      <c r="Z6570" s="134">
        <f>VLOOKUP(W6570,Sheet2!$B:$D,3,FALSE)</f>
        <v>219500</v>
      </c>
      <c r="AA6570" s="93">
        <v>1</v>
      </c>
      <c r="AB6570" s="93">
        <f>AD6570/AC6569</f>
        <v>219500</v>
      </c>
      <c r="AC6570" s="93">
        <f>AC6569/AA6570</f>
        <v>1</v>
      </c>
      <c r="AD6570" s="94">
        <f t="shared" ref="AD6570" si="4663">AC6570*Z6570</f>
        <v>219500</v>
      </c>
      <c r="AE6570" s="190"/>
      <c r="AF6570" s="191"/>
      <c r="AG6570" s="191"/>
      <c r="AH6570" s="191"/>
      <c r="AI6570" s="186"/>
      <c r="AK6570" s="171"/>
    </row>
    <row r="6571" spans="1:41" s="102" customFormat="1" ht="20.100000000000001" customHeight="1" x14ac:dyDescent="0.25">
      <c r="A6571" s="45" t="s">
        <v>491</v>
      </c>
      <c r="B6571" s="276"/>
      <c r="C6571" s="285" t="s">
        <v>696</v>
      </c>
      <c r="D6571" s="59"/>
      <c r="E6571" s="116"/>
      <c r="F6571" s="120"/>
      <c r="G6571" s="120">
        <f t="shared" si="4575"/>
        <v>0</v>
      </c>
      <c r="H6571" s="120">
        <f t="shared" si="4576"/>
        <v>0</v>
      </c>
      <c r="I6571" s="60">
        <f t="shared" si="4577"/>
        <v>0</v>
      </c>
      <c r="J6571" s="116">
        <f t="shared" si="4578"/>
        <v>0</v>
      </c>
      <c r="K6571" s="213">
        <f t="shared" si="4579"/>
        <v>0</v>
      </c>
      <c r="L6571" s="120"/>
      <c r="M6571" s="120">
        <f t="shared" si="4580"/>
        <v>0</v>
      </c>
      <c r="N6571" s="167">
        <f t="shared" si="4581"/>
        <v>0</v>
      </c>
      <c r="O6571" s="120">
        <f t="shared" si="4582"/>
        <v>0</v>
      </c>
      <c r="P6571" s="120">
        <f t="shared" si="4583"/>
        <v>0</v>
      </c>
      <c r="Q6571" s="120">
        <f t="shared" si="4584"/>
        <v>0</v>
      </c>
      <c r="R6571" s="120">
        <f t="shared" si="4585"/>
        <v>0</v>
      </c>
      <c r="S6571" s="120"/>
      <c r="T6571" s="221">
        <f t="shared" si="4586"/>
        <v>0</v>
      </c>
      <c r="U6571" s="89"/>
      <c r="V6571" s="61"/>
      <c r="W6571" s="92"/>
      <c r="X6571" s="38"/>
      <c r="Y6571" s="93"/>
      <c r="Z6571" s="134"/>
      <c r="AA6571" s="93"/>
      <c r="AB6571" s="93"/>
      <c r="AC6571" s="93"/>
      <c r="AD6571" s="94"/>
      <c r="AE6571" s="190"/>
      <c r="AF6571" s="191"/>
      <c r="AG6571" s="191"/>
      <c r="AH6571" s="191"/>
      <c r="AI6571" s="186"/>
      <c r="AK6571" s="171"/>
    </row>
    <row r="6572" spans="1:41" s="102" customFormat="1" ht="20.100000000000001" customHeight="1" x14ac:dyDescent="0.25">
      <c r="A6572" s="45" t="s">
        <v>491</v>
      </c>
      <c r="B6572" s="276"/>
      <c r="C6572" s="285" t="s">
        <v>664</v>
      </c>
      <c r="D6572" s="59"/>
      <c r="E6572" s="116"/>
      <c r="F6572" s="120"/>
      <c r="G6572" s="120">
        <f t="shared" si="4575"/>
        <v>0</v>
      </c>
      <c r="H6572" s="120">
        <f t="shared" si="4576"/>
        <v>0</v>
      </c>
      <c r="I6572" s="60">
        <f t="shared" si="4577"/>
        <v>0</v>
      </c>
      <c r="J6572" s="116">
        <f t="shared" si="4578"/>
        <v>0</v>
      </c>
      <c r="K6572" s="213">
        <f t="shared" si="4579"/>
        <v>0</v>
      </c>
      <c r="L6572" s="120"/>
      <c r="M6572" s="120">
        <f t="shared" si="4580"/>
        <v>0</v>
      </c>
      <c r="N6572" s="167">
        <f t="shared" si="4581"/>
        <v>0</v>
      </c>
      <c r="O6572" s="120">
        <f t="shared" si="4582"/>
        <v>0</v>
      </c>
      <c r="P6572" s="120">
        <f t="shared" si="4583"/>
        <v>0</v>
      </c>
      <c r="Q6572" s="120">
        <f t="shared" si="4584"/>
        <v>0</v>
      </c>
      <c r="R6572" s="120">
        <f t="shared" si="4585"/>
        <v>0</v>
      </c>
      <c r="S6572" s="120"/>
      <c r="T6572" s="221">
        <f t="shared" si="4586"/>
        <v>0</v>
      </c>
      <c r="U6572" s="89"/>
      <c r="V6572" s="61"/>
      <c r="W6572" s="92"/>
      <c r="X6572" s="38"/>
      <c r="Y6572" s="93"/>
      <c r="Z6572" s="134"/>
      <c r="AA6572" s="93"/>
      <c r="AB6572" s="93"/>
      <c r="AC6572" s="93"/>
      <c r="AD6572" s="94"/>
      <c r="AE6572" s="190"/>
      <c r="AF6572" s="191"/>
      <c r="AG6572" s="191"/>
      <c r="AH6572" s="191"/>
      <c r="AI6572" s="186"/>
      <c r="AK6572" s="171"/>
    </row>
    <row r="6573" spans="1:41" s="102" customFormat="1" ht="94.5" x14ac:dyDescent="0.25">
      <c r="A6573" s="45" t="s">
        <v>491</v>
      </c>
      <c r="B6573" s="276"/>
      <c r="C6573" s="285" t="s">
        <v>665</v>
      </c>
      <c r="D6573" s="59"/>
      <c r="E6573" s="116"/>
      <c r="F6573" s="120"/>
      <c r="G6573" s="120">
        <f t="shared" si="4575"/>
        <v>0</v>
      </c>
      <c r="H6573" s="120">
        <f t="shared" si="4576"/>
        <v>0</v>
      </c>
      <c r="I6573" s="60">
        <f t="shared" si="4577"/>
        <v>0</v>
      </c>
      <c r="J6573" s="116">
        <f t="shared" si="4578"/>
        <v>0</v>
      </c>
      <c r="K6573" s="213">
        <f t="shared" si="4579"/>
        <v>0</v>
      </c>
      <c r="L6573" s="120"/>
      <c r="M6573" s="120">
        <f t="shared" si="4580"/>
        <v>0</v>
      </c>
      <c r="N6573" s="167">
        <f t="shared" si="4581"/>
        <v>0</v>
      </c>
      <c r="O6573" s="120">
        <f t="shared" si="4582"/>
        <v>0</v>
      </c>
      <c r="P6573" s="120">
        <f t="shared" si="4583"/>
        <v>0</v>
      </c>
      <c r="Q6573" s="120">
        <f t="shared" si="4584"/>
        <v>0</v>
      </c>
      <c r="R6573" s="120">
        <f t="shared" si="4585"/>
        <v>0</v>
      </c>
      <c r="S6573" s="120"/>
      <c r="T6573" s="221">
        <f t="shared" si="4586"/>
        <v>0</v>
      </c>
      <c r="U6573" s="89"/>
      <c r="V6573" s="61"/>
      <c r="W6573" s="92"/>
      <c r="X6573" s="38"/>
      <c r="Y6573" s="93"/>
      <c r="Z6573" s="134"/>
      <c r="AA6573" s="93"/>
      <c r="AB6573" s="93"/>
      <c r="AC6573" s="93"/>
      <c r="AD6573" s="94"/>
      <c r="AE6573" s="190"/>
      <c r="AF6573" s="191"/>
      <c r="AG6573" s="191"/>
      <c r="AH6573" s="191"/>
      <c r="AI6573" s="186"/>
      <c r="AK6573" s="171"/>
    </row>
    <row r="6574" spans="1:41" ht="20.100000000000001" customHeight="1" x14ac:dyDescent="0.25">
      <c r="A6574" s="277" t="s">
        <v>491</v>
      </c>
      <c r="B6574" s="278"/>
      <c r="C6574" s="64" t="s">
        <v>666</v>
      </c>
      <c r="D6574" s="46" t="s">
        <v>97</v>
      </c>
      <c r="E6574" s="114">
        <v>25</v>
      </c>
      <c r="F6574" s="44">
        <v>104</v>
      </c>
      <c r="G6574" s="44">
        <f t="shared" si="4575"/>
        <v>2600</v>
      </c>
      <c r="H6574" s="44">
        <f t="shared" si="4576"/>
        <v>56.130707843137252</v>
      </c>
      <c r="I6574" s="43">
        <f t="shared" si="4577"/>
        <v>1403.2676960784313</v>
      </c>
      <c r="J6574" s="112">
        <f t="shared" si="4578"/>
        <v>25</v>
      </c>
      <c r="K6574" s="211">
        <f t="shared" si="4579"/>
        <v>25</v>
      </c>
      <c r="L6574" s="44"/>
      <c r="M6574" s="44">
        <f t="shared" si="4580"/>
        <v>25</v>
      </c>
      <c r="N6574" s="173">
        <f t="shared" si="4581"/>
        <v>1</v>
      </c>
      <c r="O6574" s="44">
        <f t="shared" si="4582"/>
        <v>104</v>
      </c>
      <c r="P6574" s="44">
        <f t="shared" si="4583"/>
        <v>2600</v>
      </c>
      <c r="Q6574" s="44">
        <f t="shared" si="4584"/>
        <v>56.130707843137252</v>
      </c>
      <c r="R6574" s="44">
        <f t="shared" si="4585"/>
        <v>1403.2676960784313</v>
      </c>
      <c r="S6574" s="123"/>
      <c r="T6574" s="219">
        <f t="shared" si="4586"/>
        <v>1403.2676960784313</v>
      </c>
      <c r="U6574" s="87"/>
      <c r="V6574" s="47"/>
      <c r="W6574" s="48"/>
      <c r="X6574" s="48"/>
      <c r="Y6574" s="48"/>
      <c r="Z6574" s="135"/>
      <c r="AA6574" s="49"/>
      <c r="AB6574" s="50">
        <f t="shared" si="4587"/>
        <v>56.130707843137252</v>
      </c>
      <c r="AC6574" s="42">
        <f t="shared" si="4588"/>
        <v>25</v>
      </c>
      <c r="AD6574" s="90">
        <f>AD6575+AD6582+AD6588</f>
        <v>1403.2676960784313</v>
      </c>
      <c r="AE6574" s="188">
        <f t="shared" ref="AE6574" si="4664">AE6575+AE6582+AE6588</f>
        <v>0</v>
      </c>
      <c r="AF6574" s="189">
        <f t="shared" ref="AF6574" si="4665">AF6575+AF6582+AF6588</f>
        <v>0</v>
      </c>
      <c r="AG6574" s="189">
        <f t="shared" ref="AG6574" si="4666">AG6575+AG6582+AG6588</f>
        <v>0</v>
      </c>
      <c r="AH6574" s="189">
        <f t="shared" ref="AH6574" si="4667">AH6575+AH6582+AH6588</f>
        <v>0</v>
      </c>
      <c r="AI6574" s="161">
        <f t="shared" ref="AI6574:AI6599" si="4668">SUM(AE6574:AH6574)</f>
        <v>0</v>
      </c>
      <c r="AK6574" s="169">
        <v>5</v>
      </c>
      <c r="AO6574" s="19" t="s">
        <v>63</v>
      </c>
    </row>
    <row r="6575" spans="1:41" s="103" customFormat="1" ht="19.899999999999999" customHeight="1" x14ac:dyDescent="0.25">
      <c r="A6575" s="51"/>
      <c r="B6575" s="52"/>
      <c r="C6575" s="165"/>
      <c r="D6575" s="52"/>
      <c r="E6575" s="115"/>
      <c r="F6575" s="58"/>
      <c r="G6575" s="58"/>
      <c r="H6575" s="58"/>
      <c r="I6575" s="55"/>
      <c r="J6575" s="113">
        <f>J6574</f>
        <v>25</v>
      </c>
      <c r="K6575" s="212">
        <f>K6574</f>
        <v>25</v>
      </c>
      <c r="L6575" s="58"/>
      <c r="M6575" s="58">
        <f>K6575-L6575</f>
        <v>25</v>
      </c>
      <c r="N6575" s="166"/>
      <c r="O6575" s="58"/>
      <c r="P6575" s="58"/>
      <c r="Q6575" s="58"/>
      <c r="R6575" s="58"/>
      <c r="S6575" s="58"/>
      <c r="T6575" s="220"/>
      <c r="U6575" s="88"/>
      <c r="V6575" s="56"/>
      <c r="W6575" s="57" t="s">
        <v>1603</v>
      </c>
      <c r="X6575" s="53"/>
      <c r="Y6575" s="91" t="s">
        <v>68</v>
      </c>
      <c r="Z6575" s="136">
        <f>AD6575/AC6575</f>
        <v>10.525694117647058</v>
      </c>
      <c r="AA6575" s="58"/>
      <c r="AB6575" s="53">
        <f>AD6575/AC6575</f>
        <v>10.525694117647058</v>
      </c>
      <c r="AC6575" s="53">
        <f>M6575+$AE$10</f>
        <v>25</v>
      </c>
      <c r="AD6575" s="54">
        <f>SUM(AD6576:AD6581)</f>
        <v>263.14235294117645</v>
      </c>
      <c r="AE6575" s="184">
        <f>SUMIFS($AD$37:$AD$12971,$V$37:$V$12971,$V6575,$X$37:$X$12971,AE$13)</f>
        <v>0</v>
      </c>
      <c r="AF6575" s="185">
        <f>SUMIFS($AD$37:$AD$12971,$V$37:$V$12971,$V6575,$X$37:$X$12971,AF$13)</f>
        <v>0</v>
      </c>
      <c r="AG6575" s="185">
        <f>SUMIFS($AD$37:$AD$12971,$V$37:$V$12971,$V6575,$X$37:$X$12971,AG$13)</f>
        <v>0</v>
      </c>
      <c r="AH6575" s="187">
        <f>SUMIFS($AD$37:$AD$12971,$V$37:$V$12971,$V6575,$X$37:$X$12971,AH$13)</f>
        <v>0</v>
      </c>
      <c r="AI6575" s="161">
        <f t="shared" ref="AI6575" si="4669">SUM(AE6575:AH6575)</f>
        <v>0</v>
      </c>
      <c r="AK6575" s="172"/>
    </row>
    <row r="6576" spans="1:41" s="102" customFormat="1" ht="19.899999999999999" customHeight="1" x14ac:dyDescent="0.25">
      <c r="A6576" s="45"/>
      <c r="B6576" s="59"/>
      <c r="C6576" s="137"/>
      <c r="D6576" s="59"/>
      <c r="E6576" s="116"/>
      <c r="F6576" s="120"/>
      <c r="G6576" s="120"/>
      <c r="H6576" s="120"/>
      <c r="I6576" s="60"/>
      <c r="J6576" s="116"/>
      <c r="K6576" s="213"/>
      <c r="L6576" s="120"/>
      <c r="M6576" s="120"/>
      <c r="N6576" s="167"/>
      <c r="O6576" s="120"/>
      <c r="P6576" s="120"/>
      <c r="Q6576" s="120"/>
      <c r="R6576" s="120"/>
      <c r="S6576" s="120"/>
      <c r="T6576" s="221"/>
      <c r="U6576" s="89"/>
      <c r="V6576" s="61"/>
      <c r="W6576" s="92" t="s">
        <v>129</v>
      </c>
      <c r="X6576" s="93" t="s">
        <v>29</v>
      </c>
      <c r="Y6576" s="93" t="s">
        <v>93</v>
      </c>
      <c r="Z6576" s="134">
        <f>VLOOKUP(W6576,Sheet2!$B:$D,3,FALSE)</f>
        <v>56</v>
      </c>
      <c r="AA6576" s="93">
        <f>100/(1.5*1.5)</f>
        <v>44.444444444444443</v>
      </c>
      <c r="AB6576" s="93">
        <f t="shared" ref="AB6576" si="4670">AD6576/AC6575</f>
        <v>1.26</v>
      </c>
      <c r="AC6576" s="93">
        <f>AC6575/AA6576</f>
        <v>0.5625</v>
      </c>
      <c r="AD6576" s="94">
        <f t="shared" ref="AD6576:AD6577" si="4671">AC6576*Z6576</f>
        <v>31.5</v>
      </c>
      <c r="AE6576" s="190"/>
      <c r="AF6576" s="191"/>
      <c r="AG6576" s="191"/>
      <c r="AH6576" s="191"/>
      <c r="AI6576" s="186"/>
      <c r="AK6576" s="171"/>
    </row>
    <row r="6577" spans="1:37" s="102" customFormat="1" ht="19.899999999999999" customHeight="1" x14ac:dyDescent="0.25">
      <c r="A6577" s="45"/>
      <c r="B6577" s="59"/>
      <c r="C6577" s="137"/>
      <c r="D6577" s="59"/>
      <c r="E6577" s="116"/>
      <c r="F6577" s="120"/>
      <c r="G6577" s="120"/>
      <c r="H6577" s="120"/>
      <c r="I6577" s="60"/>
      <c r="J6577" s="116"/>
      <c r="K6577" s="213"/>
      <c r="L6577" s="120"/>
      <c r="M6577" s="120"/>
      <c r="N6577" s="167"/>
      <c r="O6577" s="120"/>
      <c r="P6577" s="120"/>
      <c r="Q6577" s="120"/>
      <c r="R6577" s="120"/>
      <c r="S6577" s="120"/>
      <c r="T6577" s="221"/>
      <c r="U6577" s="89"/>
      <c r="V6577" s="61"/>
      <c r="W6577" s="92" t="s">
        <v>65</v>
      </c>
      <c r="X6577" s="93" t="s">
        <v>30</v>
      </c>
      <c r="Y6577" s="93" t="s">
        <v>1011</v>
      </c>
      <c r="Z6577" s="134">
        <f>VLOOKUP(W6577,Sheet2!$B:$D,3,FALSE)</f>
        <v>1.76</v>
      </c>
      <c r="AA6577" s="93">
        <f>AA6576/14</f>
        <v>3.1746031746031744</v>
      </c>
      <c r="AB6577" s="93">
        <f>AD6577/AC6575</f>
        <v>0.5544</v>
      </c>
      <c r="AC6577" s="93">
        <f>AC6575/AA6577</f>
        <v>7.875</v>
      </c>
      <c r="AD6577" s="94">
        <f t="shared" si="4671"/>
        <v>13.86</v>
      </c>
      <c r="AE6577" s="190"/>
      <c r="AF6577" s="191"/>
      <c r="AG6577" s="191"/>
      <c r="AH6577" s="191"/>
      <c r="AI6577" s="186"/>
      <c r="AK6577" s="171"/>
    </row>
    <row r="6578" spans="1:37" s="102" customFormat="1" ht="19.899999999999999" customHeight="1" x14ac:dyDescent="0.25">
      <c r="A6578" s="45"/>
      <c r="B6578" s="59"/>
      <c r="C6578" s="137"/>
      <c r="D6578" s="59"/>
      <c r="E6578" s="116"/>
      <c r="F6578" s="120"/>
      <c r="G6578" s="120"/>
      <c r="H6578" s="120"/>
      <c r="I6578" s="60"/>
      <c r="J6578" s="116"/>
      <c r="K6578" s="213"/>
      <c r="L6578" s="120"/>
      <c r="M6578" s="120"/>
      <c r="N6578" s="167"/>
      <c r="O6578" s="120"/>
      <c r="P6578" s="120"/>
      <c r="Q6578" s="120"/>
      <c r="R6578" s="120"/>
      <c r="S6578" s="120"/>
      <c r="T6578" s="221"/>
      <c r="U6578" s="89"/>
      <c r="V6578" s="61"/>
      <c r="W6578" s="92" t="s">
        <v>161</v>
      </c>
      <c r="X6578" s="93" t="s">
        <v>29</v>
      </c>
      <c r="Y6578" s="93" t="s">
        <v>93</v>
      </c>
      <c r="Z6578" s="134">
        <f>VLOOKUP(W6578,Sheet2!$B:$D,3,FALSE)</f>
        <v>48</v>
      </c>
      <c r="AA6578" s="93">
        <f>(16*0.85*1.5)/(1.5*1.5)</f>
        <v>9.0666666666666664</v>
      </c>
      <c r="AB6578" s="93">
        <f>AD6578/AC6575</f>
        <v>5.2941176470588234</v>
      </c>
      <c r="AC6578" s="93">
        <f>AC6575/AA6578</f>
        <v>2.7573529411764706</v>
      </c>
      <c r="AD6578" s="94">
        <f>AC6578*Z6578</f>
        <v>132.35294117647058</v>
      </c>
      <c r="AE6578" s="190"/>
      <c r="AF6578" s="191"/>
      <c r="AG6578" s="191"/>
      <c r="AH6578" s="191"/>
      <c r="AI6578" s="186"/>
      <c r="AK6578" s="171"/>
    </row>
    <row r="6579" spans="1:37" s="102" customFormat="1" ht="19.899999999999999" customHeight="1" x14ac:dyDescent="0.25">
      <c r="A6579" s="45"/>
      <c r="B6579" s="59"/>
      <c r="C6579" s="137"/>
      <c r="D6579" s="59"/>
      <c r="E6579" s="116"/>
      <c r="F6579" s="120"/>
      <c r="G6579" s="120"/>
      <c r="H6579" s="120"/>
      <c r="I6579" s="60"/>
      <c r="J6579" s="116"/>
      <c r="K6579" s="213"/>
      <c r="L6579" s="120"/>
      <c r="M6579" s="120"/>
      <c r="N6579" s="167"/>
      <c r="O6579" s="120"/>
      <c r="P6579" s="120"/>
      <c r="Q6579" s="120"/>
      <c r="R6579" s="120"/>
      <c r="S6579" s="120"/>
      <c r="T6579" s="221"/>
      <c r="U6579" s="89"/>
      <c r="V6579" s="61"/>
      <c r="W6579" s="92" t="s">
        <v>65</v>
      </c>
      <c r="X6579" s="93" t="s">
        <v>30</v>
      </c>
      <c r="Y6579" s="93" t="s">
        <v>1011</v>
      </c>
      <c r="Z6579" s="134">
        <f>VLOOKUP(W6579,Sheet2!$B:$D,3,FALSE)</f>
        <v>1.76</v>
      </c>
      <c r="AA6579" s="93">
        <f>AA6578/10</f>
        <v>0.90666666666666662</v>
      </c>
      <c r="AB6579" s="93">
        <f>AD6579/AC6575</f>
        <v>1.9411764705882353</v>
      </c>
      <c r="AC6579" s="93">
        <f>AC6575/AA6579</f>
        <v>27.573529411764707</v>
      </c>
      <c r="AD6579" s="94">
        <f>AC6579*Z6579</f>
        <v>48.529411764705884</v>
      </c>
      <c r="AE6579" s="190"/>
      <c r="AF6579" s="191"/>
      <c r="AG6579" s="191"/>
      <c r="AH6579" s="191"/>
      <c r="AI6579" s="186"/>
      <c r="AK6579" s="171"/>
    </row>
    <row r="6580" spans="1:37" s="102" customFormat="1" ht="19.899999999999999" customHeight="1" x14ac:dyDescent="0.25">
      <c r="A6580" s="45"/>
      <c r="B6580" s="59"/>
      <c r="C6580" s="137"/>
      <c r="D6580" s="59"/>
      <c r="E6580" s="116"/>
      <c r="F6580" s="120"/>
      <c r="G6580" s="120"/>
      <c r="H6580" s="120"/>
      <c r="I6580" s="60"/>
      <c r="J6580" s="116"/>
      <c r="K6580" s="213"/>
      <c r="L6580" s="120"/>
      <c r="M6580" s="120"/>
      <c r="N6580" s="167"/>
      <c r="O6580" s="120"/>
      <c r="P6580" s="120"/>
      <c r="Q6580" s="120"/>
      <c r="R6580" s="120"/>
      <c r="S6580" s="120"/>
      <c r="T6580" s="221"/>
      <c r="U6580" s="89"/>
      <c r="V6580" s="61"/>
      <c r="W6580" s="92" t="s">
        <v>148</v>
      </c>
      <c r="X6580" s="93" t="s">
        <v>29</v>
      </c>
      <c r="Y6580" s="93" t="s">
        <v>93</v>
      </c>
      <c r="Z6580" s="134">
        <f>VLOOKUP(W6580,Sheet2!$B:$D,3,FALSE)</f>
        <v>48</v>
      </c>
      <c r="AA6580" s="93">
        <f>AA6576</f>
        <v>44.444444444444443</v>
      </c>
      <c r="AB6580" s="93">
        <f>AD6580/AC6575</f>
        <v>1.08</v>
      </c>
      <c r="AC6580" s="93">
        <f>AC6575/AA6580</f>
        <v>0.5625</v>
      </c>
      <c r="AD6580" s="94">
        <f t="shared" ref="AD6580:AD6581" si="4672">AC6580*Z6580</f>
        <v>27</v>
      </c>
      <c r="AE6580" s="190"/>
      <c r="AF6580" s="191"/>
      <c r="AG6580" s="191"/>
      <c r="AH6580" s="191"/>
      <c r="AI6580" s="186"/>
      <c r="AK6580" s="171"/>
    </row>
    <row r="6581" spans="1:37" s="102" customFormat="1" ht="19.899999999999999" customHeight="1" x14ac:dyDescent="0.25">
      <c r="A6581" s="45"/>
      <c r="B6581" s="59"/>
      <c r="C6581" s="137"/>
      <c r="D6581" s="59"/>
      <c r="E6581" s="116"/>
      <c r="F6581" s="120"/>
      <c r="G6581" s="120"/>
      <c r="H6581" s="120"/>
      <c r="I6581" s="60"/>
      <c r="J6581" s="116"/>
      <c r="K6581" s="213"/>
      <c r="L6581" s="120"/>
      <c r="M6581" s="120"/>
      <c r="N6581" s="167"/>
      <c r="O6581" s="120"/>
      <c r="P6581" s="120"/>
      <c r="Q6581" s="120"/>
      <c r="R6581" s="120"/>
      <c r="S6581" s="120"/>
      <c r="T6581" s="221"/>
      <c r="U6581" s="89"/>
      <c r="V6581" s="61"/>
      <c r="W6581" s="92" t="s">
        <v>65</v>
      </c>
      <c r="X6581" s="93" t="s">
        <v>30</v>
      </c>
      <c r="Y6581" s="93" t="s">
        <v>1011</v>
      </c>
      <c r="Z6581" s="134">
        <f>VLOOKUP(W6581,Sheet2!$B:$D,3,FALSE)</f>
        <v>1.76</v>
      </c>
      <c r="AA6581" s="93">
        <f>AA6580/10</f>
        <v>4.4444444444444446</v>
      </c>
      <c r="AB6581" s="93">
        <f>AD6581/AC6575</f>
        <v>0.39600000000000002</v>
      </c>
      <c r="AC6581" s="93">
        <f>AC6575/AA6581</f>
        <v>5.625</v>
      </c>
      <c r="AD6581" s="94">
        <f t="shared" si="4672"/>
        <v>9.9</v>
      </c>
      <c r="AE6581" s="190"/>
      <c r="AF6581" s="191"/>
      <c r="AG6581" s="191"/>
      <c r="AH6581" s="191"/>
      <c r="AI6581" s="186"/>
      <c r="AK6581" s="171"/>
    </row>
    <row r="6582" spans="1:37" s="103" customFormat="1" ht="19.899999999999999" customHeight="1" x14ac:dyDescent="0.25">
      <c r="A6582" s="51"/>
      <c r="B6582" s="52"/>
      <c r="C6582" s="165"/>
      <c r="D6582" s="52"/>
      <c r="E6582" s="115"/>
      <c r="F6582" s="58"/>
      <c r="G6582" s="58"/>
      <c r="H6582" s="58"/>
      <c r="I6582" s="55"/>
      <c r="J6582" s="113">
        <f>J6574</f>
        <v>25</v>
      </c>
      <c r="K6582" s="212">
        <f>K6574</f>
        <v>25</v>
      </c>
      <c r="L6582" s="58"/>
      <c r="M6582" s="58">
        <f>K6582-L6582</f>
        <v>25</v>
      </c>
      <c r="N6582" s="166"/>
      <c r="O6582" s="58"/>
      <c r="P6582" s="58"/>
      <c r="Q6582" s="58"/>
      <c r="R6582" s="58"/>
      <c r="S6582" s="58"/>
      <c r="T6582" s="220"/>
      <c r="U6582" s="88"/>
      <c r="V6582" s="56"/>
      <c r="W6582" s="57" t="s">
        <v>1604</v>
      </c>
      <c r="X6582" s="53"/>
      <c r="Y6582" s="91" t="s">
        <v>68</v>
      </c>
      <c r="Z6582" s="136">
        <f>AD6582/AC6582</f>
        <v>31.34</v>
      </c>
      <c r="AA6582" s="58"/>
      <c r="AB6582" s="53">
        <f>AD6582/AC6582</f>
        <v>31.34</v>
      </c>
      <c r="AC6582" s="53">
        <f>M6582+$AE$10</f>
        <v>25</v>
      </c>
      <c r="AD6582" s="54">
        <f>SUM(AD6583:AD6587)</f>
        <v>783.5</v>
      </c>
      <c r="AE6582" s="184">
        <f>SUMIFS($AD$37:$AD$12971,$V$37:$V$12971,$V6582,$X$37:$X$12971,AE$13)</f>
        <v>0</v>
      </c>
      <c r="AF6582" s="185">
        <f>SUMIFS($AD$37:$AD$12971,$V$37:$V$12971,$V6582,$X$37:$X$12971,AF$13)</f>
        <v>0</v>
      </c>
      <c r="AG6582" s="185">
        <f>SUMIFS($AD$37:$AD$12971,$V$37:$V$12971,$V6582,$X$37:$X$12971,AG$13)</f>
        <v>0</v>
      </c>
      <c r="AH6582" s="187">
        <f>SUMIFS($AD$37:$AD$12971,$V$37:$V$12971,$V6582,$X$37:$X$12971,AH$13)</f>
        <v>0</v>
      </c>
      <c r="AI6582" s="161">
        <f t="shared" ref="AI6582" si="4673">SUM(AE6582:AH6582)</f>
        <v>0</v>
      </c>
      <c r="AK6582" s="172"/>
    </row>
    <row r="6583" spans="1:37" s="102" customFormat="1" ht="19.899999999999999" customHeight="1" x14ac:dyDescent="0.25">
      <c r="A6583" s="45"/>
      <c r="B6583" s="59"/>
      <c r="C6583" s="137"/>
      <c r="D6583" s="59"/>
      <c r="E6583" s="116"/>
      <c r="F6583" s="120"/>
      <c r="G6583" s="120"/>
      <c r="H6583" s="120"/>
      <c r="I6583" s="60"/>
      <c r="J6583" s="116"/>
      <c r="K6583" s="213"/>
      <c r="L6583" s="120"/>
      <c r="M6583" s="120"/>
      <c r="N6583" s="167"/>
      <c r="O6583" s="120"/>
      <c r="P6583" s="120"/>
      <c r="Q6583" s="120"/>
      <c r="R6583" s="120"/>
      <c r="S6583" s="120"/>
      <c r="T6583" s="221"/>
      <c r="U6583" s="89"/>
      <c r="V6583" s="61"/>
      <c r="W6583" s="92" t="s">
        <v>1032</v>
      </c>
      <c r="X6583" s="93" t="s">
        <v>30</v>
      </c>
      <c r="Y6583" s="93" t="s">
        <v>66</v>
      </c>
      <c r="Z6583" s="134">
        <f>VLOOKUP(W6583,Sheet2!$B:$D,3,FALSE)</f>
        <v>250</v>
      </c>
      <c r="AA6583" s="93">
        <f>1/(0.25*0.25)</f>
        <v>16</v>
      </c>
      <c r="AB6583" s="93">
        <f>AD6583/AC6582</f>
        <v>15.625</v>
      </c>
      <c r="AC6583" s="93">
        <f>AC6582/AA6583</f>
        <v>1.5625</v>
      </c>
      <c r="AD6583" s="94">
        <f t="shared" ref="AD6583" si="4674">AC6583*Z6583</f>
        <v>390.625</v>
      </c>
      <c r="AE6583" s="190"/>
      <c r="AF6583" s="191"/>
      <c r="AG6583" s="191"/>
      <c r="AH6583" s="191"/>
      <c r="AI6583" s="186"/>
      <c r="AK6583" s="171"/>
    </row>
    <row r="6584" spans="1:37" s="102" customFormat="1" ht="19.899999999999999" customHeight="1" x14ac:dyDescent="0.25">
      <c r="A6584" s="45"/>
      <c r="B6584" s="59"/>
      <c r="C6584" s="137"/>
      <c r="D6584" s="59"/>
      <c r="E6584" s="116"/>
      <c r="F6584" s="120"/>
      <c r="G6584" s="120"/>
      <c r="H6584" s="120"/>
      <c r="I6584" s="60"/>
      <c r="J6584" s="116"/>
      <c r="K6584" s="213"/>
      <c r="L6584" s="120"/>
      <c r="M6584" s="120"/>
      <c r="N6584" s="167"/>
      <c r="O6584" s="120"/>
      <c r="P6584" s="120"/>
      <c r="Q6584" s="120"/>
      <c r="R6584" s="120"/>
      <c r="S6584" s="120"/>
      <c r="T6584" s="221"/>
      <c r="U6584" s="89"/>
      <c r="V6584" s="61"/>
      <c r="W6584" s="92" t="s">
        <v>1270</v>
      </c>
      <c r="X6584" s="93" t="s">
        <v>30</v>
      </c>
      <c r="Y6584" s="93" t="s">
        <v>68</v>
      </c>
      <c r="Z6584" s="134">
        <f>VLOOKUP(W6584,Sheet2!$B:$D,3,FALSE)</f>
        <v>4</v>
      </c>
      <c r="AA6584" s="93">
        <f>1</f>
        <v>1</v>
      </c>
      <c r="AB6584" s="93">
        <f>AD6584/AC6582</f>
        <v>4</v>
      </c>
      <c r="AC6584" s="93">
        <f>AC6582/AA6584</f>
        <v>25</v>
      </c>
      <c r="AD6584" s="94">
        <f>AC6584*Z6584</f>
        <v>100</v>
      </c>
      <c r="AE6584" s="190"/>
      <c r="AF6584" s="191"/>
      <c r="AG6584" s="191"/>
      <c r="AH6584" s="191"/>
      <c r="AI6584" s="186"/>
      <c r="AK6584" s="171"/>
    </row>
    <row r="6585" spans="1:37" s="102" customFormat="1" ht="19.899999999999999" customHeight="1" x14ac:dyDescent="0.25">
      <c r="A6585" s="45"/>
      <c r="B6585" s="59"/>
      <c r="C6585" s="137"/>
      <c r="D6585" s="59"/>
      <c r="E6585" s="116"/>
      <c r="F6585" s="120"/>
      <c r="G6585" s="120"/>
      <c r="H6585" s="120"/>
      <c r="I6585" s="60"/>
      <c r="J6585" s="116"/>
      <c r="K6585" s="213"/>
      <c r="L6585" s="120"/>
      <c r="M6585" s="120"/>
      <c r="N6585" s="167"/>
      <c r="O6585" s="120"/>
      <c r="P6585" s="120"/>
      <c r="Q6585" s="120"/>
      <c r="R6585" s="120"/>
      <c r="S6585" s="120"/>
      <c r="T6585" s="221"/>
      <c r="U6585" s="89"/>
      <c r="V6585" s="61"/>
      <c r="W6585" s="92" t="s">
        <v>1271</v>
      </c>
      <c r="X6585" s="93" t="s">
        <v>30</v>
      </c>
      <c r="Y6585" s="93" t="s">
        <v>68</v>
      </c>
      <c r="Z6585" s="134">
        <f>VLOOKUP(W6585,Sheet2!$B:$D,3,FALSE)</f>
        <v>2</v>
      </c>
      <c r="AA6585" s="93">
        <f>AA6584</f>
        <v>1</v>
      </c>
      <c r="AB6585" s="93">
        <f>AD6585/AC6582</f>
        <v>2</v>
      </c>
      <c r="AC6585" s="93">
        <f>AC6582/AA6585</f>
        <v>25</v>
      </c>
      <c r="AD6585" s="94">
        <f>AC6585*Z6585</f>
        <v>50</v>
      </c>
      <c r="AE6585" s="190"/>
      <c r="AF6585" s="191"/>
      <c r="AG6585" s="191"/>
      <c r="AH6585" s="191"/>
      <c r="AI6585" s="186"/>
      <c r="AK6585" s="171"/>
    </row>
    <row r="6586" spans="1:37" s="102" customFormat="1" ht="19.899999999999999" customHeight="1" x14ac:dyDescent="0.25">
      <c r="A6586" s="45"/>
      <c r="B6586" s="59"/>
      <c r="C6586" s="137"/>
      <c r="D6586" s="59"/>
      <c r="E6586" s="116"/>
      <c r="F6586" s="120"/>
      <c r="G6586" s="120"/>
      <c r="H6586" s="120"/>
      <c r="I6586" s="60"/>
      <c r="J6586" s="116"/>
      <c r="K6586" s="213"/>
      <c r="L6586" s="120"/>
      <c r="M6586" s="120"/>
      <c r="N6586" s="167"/>
      <c r="O6586" s="120"/>
      <c r="P6586" s="120"/>
      <c r="Q6586" s="120"/>
      <c r="R6586" s="120"/>
      <c r="S6586" s="120"/>
      <c r="T6586" s="221"/>
      <c r="U6586" s="89"/>
      <c r="V6586" s="61"/>
      <c r="W6586" s="92" t="s">
        <v>1035</v>
      </c>
      <c r="X6586" s="93" t="s">
        <v>32</v>
      </c>
      <c r="Y6586" s="93" t="s">
        <v>66</v>
      </c>
      <c r="Z6586" s="134">
        <f>VLOOKUP(W6586,Sheet2!$B:$D,3,FALSE)</f>
        <v>150</v>
      </c>
      <c r="AA6586" s="93">
        <f>AA6583</f>
        <v>16</v>
      </c>
      <c r="AB6586" s="93">
        <f>AD6586/AC6582</f>
        <v>9.375</v>
      </c>
      <c r="AC6586" s="93">
        <f>AC6582/AA6586</f>
        <v>1.5625</v>
      </c>
      <c r="AD6586" s="94">
        <f t="shared" ref="AD6586:AD6587" si="4675">AC6586*Z6586</f>
        <v>234.375</v>
      </c>
      <c r="AE6586" s="190"/>
      <c r="AF6586" s="191"/>
      <c r="AG6586" s="191"/>
      <c r="AH6586" s="191"/>
      <c r="AI6586" s="186"/>
      <c r="AK6586" s="171"/>
    </row>
    <row r="6587" spans="1:37" s="102" customFormat="1" ht="19.899999999999999" customHeight="1" x14ac:dyDescent="0.25">
      <c r="A6587" s="45"/>
      <c r="B6587" s="59"/>
      <c r="C6587" s="137"/>
      <c r="D6587" s="59"/>
      <c r="E6587" s="116"/>
      <c r="F6587" s="120"/>
      <c r="G6587" s="120"/>
      <c r="H6587" s="120"/>
      <c r="I6587" s="60"/>
      <c r="J6587" s="116"/>
      <c r="K6587" s="213"/>
      <c r="L6587" s="120"/>
      <c r="M6587" s="120"/>
      <c r="N6587" s="167"/>
      <c r="O6587" s="120"/>
      <c r="P6587" s="120"/>
      <c r="Q6587" s="120"/>
      <c r="R6587" s="120"/>
      <c r="S6587" s="120"/>
      <c r="T6587" s="221"/>
      <c r="U6587" s="89"/>
      <c r="V6587" s="61"/>
      <c r="W6587" s="92" t="s">
        <v>107</v>
      </c>
      <c r="X6587" s="93" t="s">
        <v>31</v>
      </c>
      <c r="Y6587" s="93" t="s">
        <v>93</v>
      </c>
      <c r="Z6587" s="134">
        <f>VLOOKUP(W6587,Sheet2!$B:$D,3,FALSE)</f>
        <v>17</v>
      </c>
      <c r="AA6587" s="93">
        <v>50</v>
      </c>
      <c r="AB6587" s="93">
        <f>AD6587/AC6582</f>
        <v>0.34</v>
      </c>
      <c r="AC6587" s="93">
        <f>AC6582/AA6587</f>
        <v>0.5</v>
      </c>
      <c r="AD6587" s="94">
        <f t="shared" si="4675"/>
        <v>8.5</v>
      </c>
      <c r="AE6587" s="190"/>
      <c r="AF6587" s="191"/>
      <c r="AG6587" s="191"/>
      <c r="AH6587" s="191"/>
      <c r="AI6587" s="186"/>
      <c r="AK6587" s="171"/>
    </row>
    <row r="6588" spans="1:37" s="103" customFormat="1" ht="19.899999999999999" customHeight="1" x14ac:dyDescent="0.25">
      <c r="A6588" s="51"/>
      <c r="B6588" s="52"/>
      <c r="C6588" s="165"/>
      <c r="D6588" s="52"/>
      <c r="E6588" s="115"/>
      <c r="F6588" s="58"/>
      <c r="G6588" s="58"/>
      <c r="H6588" s="58"/>
      <c r="I6588" s="55"/>
      <c r="J6588" s="113">
        <f>J6574</f>
        <v>25</v>
      </c>
      <c r="K6588" s="212">
        <f>K6574</f>
        <v>25</v>
      </c>
      <c r="L6588" s="58"/>
      <c r="M6588" s="58">
        <f>K6588-L6588</f>
        <v>25</v>
      </c>
      <c r="N6588" s="166"/>
      <c r="O6588" s="58"/>
      <c r="P6588" s="58"/>
      <c r="Q6588" s="58"/>
      <c r="R6588" s="58"/>
      <c r="S6588" s="58"/>
      <c r="T6588" s="220"/>
      <c r="U6588" s="88"/>
      <c r="V6588" s="56"/>
      <c r="W6588" s="57" t="s">
        <v>1272</v>
      </c>
      <c r="X6588" s="53"/>
      <c r="Y6588" s="91" t="s">
        <v>68</v>
      </c>
      <c r="Z6588" s="136">
        <f>AD6588/AC6588</f>
        <v>14.265013725490196</v>
      </c>
      <c r="AA6588" s="58"/>
      <c r="AB6588" s="53">
        <f>AD6588/AC6588</f>
        <v>14.265013725490196</v>
      </c>
      <c r="AC6588" s="53">
        <f>M6588+$AE$10</f>
        <v>25</v>
      </c>
      <c r="AD6588" s="54">
        <f>SUM(AD6589:AD6598)</f>
        <v>356.6253431372549</v>
      </c>
      <c r="AE6588" s="184">
        <f>SUMIFS($AD$37:$AD$12971,$V$37:$V$12971,$V6588,$X$37:$X$12971,AE$13)</f>
        <v>0</v>
      </c>
      <c r="AF6588" s="185">
        <f>SUMIFS($AD$37:$AD$12971,$V$37:$V$12971,$V6588,$X$37:$X$12971,AF$13)</f>
        <v>0</v>
      </c>
      <c r="AG6588" s="185">
        <f>SUMIFS($AD$37:$AD$12971,$V$37:$V$12971,$V6588,$X$37:$X$12971,AG$13)</f>
        <v>0</v>
      </c>
      <c r="AH6588" s="187">
        <f>SUMIFS($AD$37:$AD$12971,$V$37:$V$12971,$V6588,$X$37:$X$12971,AH$13)</f>
        <v>0</v>
      </c>
      <c r="AI6588" s="161">
        <f t="shared" ref="AI6588" si="4676">SUM(AE6588:AH6588)</f>
        <v>0</v>
      </c>
      <c r="AK6588" s="172"/>
    </row>
    <row r="6589" spans="1:37" s="102" customFormat="1" ht="19.899999999999999" customHeight="1" x14ac:dyDescent="0.25">
      <c r="A6589" s="45"/>
      <c r="B6589" s="59"/>
      <c r="C6589" s="137"/>
      <c r="D6589" s="59"/>
      <c r="E6589" s="116"/>
      <c r="F6589" s="120"/>
      <c r="G6589" s="120"/>
      <c r="H6589" s="120"/>
      <c r="I6589" s="60"/>
      <c r="J6589" s="116"/>
      <c r="K6589" s="213"/>
      <c r="L6589" s="120"/>
      <c r="M6589" s="120"/>
      <c r="N6589" s="167"/>
      <c r="O6589" s="120"/>
      <c r="P6589" s="120"/>
      <c r="Q6589" s="120"/>
      <c r="R6589" s="120"/>
      <c r="S6589" s="120"/>
      <c r="T6589" s="221"/>
      <c r="U6589" s="89"/>
      <c r="V6589" s="61"/>
      <c r="W6589" s="92" t="s">
        <v>134</v>
      </c>
      <c r="X6589" s="93" t="s">
        <v>29</v>
      </c>
      <c r="Y6589" s="93" t="s">
        <v>93</v>
      </c>
      <c r="Z6589" s="134">
        <f>VLOOKUP(W6589,Sheet2!$B:$D,3,FALSE)</f>
        <v>65.599999999999994</v>
      </c>
      <c r="AA6589" s="93">
        <f>100/((1.5*1.5)-(0.25*0.25))</f>
        <v>45.714285714285715</v>
      </c>
      <c r="AB6589" s="93">
        <f>AD6589/AC6588</f>
        <v>1.4350000000000001</v>
      </c>
      <c r="AC6589" s="93">
        <f>AC6588/AA6589</f>
        <v>0.546875</v>
      </c>
      <c r="AD6589" s="94">
        <f t="shared" ref="AD6589:AD6590" si="4677">AC6589*Z6589</f>
        <v>35.875</v>
      </c>
      <c r="AE6589" s="190"/>
      <c r="AF6589" s="191"/>
      <c r="AG6589" s="191"/>
      <c r="AH6589" s="191"/>
      <c r="AI6589" s="186"/>
      <c r="AK6589" s="171"/>
    </row>
    <row r="6590" spans="1:37" s="102" customFormat="1" ht="19.899999999999999" customHeight="1" x14ac:dyDescent="0.25">
      <c r="A6590" s="45"/>
      <c r="B6590" s="59"/>
      <c r="C6590" s="137"/>
      <c r="D6590" s="59"/>
      <c r="E6590" s="116"/>
      <c r="F6590" s="120"/>
      <c r="G6590" s="120"/>
      <c r="H6590" s="120"/>
      <c r="I6590" s="60"/>
      <c r="J6590" s="116"/>
      <c r="K6590" s="213"/>
      <c r="L6590" s="120"/>
      <c r="M6590" s="120"/>
      <c r="N6590" s="167"/>
      <c r="O6590" s="120"/>
      <c r="P6590" s="120"/>
      <c r="Q6590" s="120"/>
      <c r="R6590" s="120"/>
      <c r="S6590" s="120"/>
      <c r="T6590" s="221"/>
      <c r="U6590" s="89"/>
      <c r="V6590" s="61"/>
      <c r="W6590" s="92" t="s">
        <v>65</v>
      </c>
      <c r="X6590" s="93" t="s">
        <v>30</v>
      </c>
      <c r="Y6590" s="93" t="s">
        <v>1011</v>
      </c>
      <c r="Z6590" s="134">
        <f>VLOOKUP(W6590,Sheet2!$B:$D,3,FALSE)</f>
        <v>1.76</v>
      </c>
      <c r="AA6590" s="93">
        <f>AA6589/9</f>
        <v>5.0793650793650791</v>
      </c>
      <c r="AB6590" s="93">
        <f>AD6590/AC6588</f>
        <v>0.34649999999999997</v>
      </c>
      <c r="AC6590" s="93">
        <f>AC6588/AA6590</f>
        <v>4.921875</v>
      </c>
      <c r="AD6590" s="94">
        <f t="shared" si="4677"/>
        <v>8.6624999999999996</v>
      </c>
      <c r="AE6590" s="190"/>
      <c r="AF6590" s="191"/>
      <c r="AG6590" s="191"/>
      <c r="AH6590" s="191"/>
      <c r="AI6590" s="186"/>
      <c r="AK6590" s="171"/>
    </row>
    <row r="6591" spans="1:37" s="102" customFormat="1" ht="19.899999999999999" customHeight="1" x14ac:dyDescent="0.25">
      <c r="A6591" s="45"/>
      <c r="B6591" s="59"/>
      <c r="C6591" s="137"/>
      <c r="D6591" s="59"/>
      <c r="E6591" s="116"/>
      <c r="F6591" s="120"/>
      <c r="G6591" s="120"/>
      <c r="H6591" s="120"/>
      <c r="I6591" s="60"/>
      <c r="J6591" s="116"/>
      <c r="K6591" s="213"/>
      <c r="L6591" s="120"/>
      <c r="M6591" s="120"/>
      <c r="N6591" s="167"/>
      <c r="O6591" s="120"/>
      <c r="P6591" s="120"/>
      <c r="Q6591" s="120"/>
      <c r="R6591" s="120"/>
      <c r="S6591" s="120"/>
      <c r="T6591" s="221"/>
      <c r="U6591" s="89"/>
      <c r="V6591" s="61"/>
      <c r="W6591" s="92" t="s">
        <v>161</v>
      </c>
      <c r="X6591" s="93" t="s">
        <v>29</v>
      </c>
      <c r="Y6591" s="93" t="s">
        <v>93</v>
      </c>
      <c r="Z6591" s="134">
        <f>VLOOKUP(W6591,Sheet2!$B:$D,3,FALSE)</f>
        <v>48</v>
      </c>
      <c r="AA6591" s="93">
        <f>(16*0.85*1.5)/((1.5*1.5)-(0.25*0.25))</f>
        <v>9.3257142857142856</v>
      </c>
      <c r="AB6591" s="93">
        <f>AD6591/AC6588</f>
        <v>5.1470588235294121</v>
      </c>
      <c r="AC6591" s="93">
        <f>AC6588/AA6591</f>
        <v>2.6807598039215685</v>
      </c>
      <c r="AD6591" s="94">
        <f>AC6591*Z6591</f>
        <v>128.6764705882353</v>
      </c>
      <c r="AE6591" s="190"/>
      <c r="AF6591" s="191"/>
      <c r="AG6591" s="191"/>
      <c r="AH6591" s="191"/>
      <c r="AI6591" s="186"/>
      <c r="AK6591" s="171"/>
    </row>
    <row r="6592" spans="1:37" s="102" customFormat="1" ht="19.899999999999999" customHeight="1" x14ac:dyDescent="0.25">
      <c r="A6592" s="45"/>
      <c r="B6592" s="59"/>
      <c r="C6592" s="137"/>
      <c r="D6592" s="59"/>
      <c r="E6592" s="116"/>
      <c r="F6592" s="120"/>
      <c r="G6592" s="120"/>
      <c r="H6592" s="120"/>
      <c r="I6592" s="60"/>
      <c r="J6592" s="116"/>
      <c r="K6592" s="213"/>
      <c r="L6592" s="120"/>
      <c r="M6592" s="120"/>
      <c r="N6592" s="167"/>
      <c r="O6592" s="120"/>
      <c r="P6592" s="120"/>
      <c r="Q6592" s="120"/>
      <c r="R6592" s="120"/>
      <c r="S6592" s="120"/>
      <c r="T6592" s="221"/>
      <c r="U6592" s="89"/>
      <c r="V6592" s="61"/>
      <c r="W6592" s="92" t="s">
        <v>65</v>
      </c>
      <c r="X6592" s="93" t="s">
        <v>30</v>
      </c>
      <c r="Y6592" s="93" t="s">
        <v>1011</v>
      </c>
      <c r="Z6592" s="134">
        <f>VLOOKUP(W6592,Sheet2!$B:$D,3,FALSE)</f>
        <v>1.76</v>
      </c>
      <c r="AA6592" s="93">
        <f>AA6591/10</f>
        <v>0.93257142857142861</v>
      </c>
      <c r="AB6592" s="93">
        <f>AD6592/AC6588</f>
        <v>1.8872549019607843</v>
      </c>
      <c r="AC6592" s="93">
        <f>AC6588/AA6592</f>
        <v>26.807598039215684</v>
      </c>
      <c r="AD6592" s="94">
        <f>AC6592*Z6592</f>
        <v>47.181372549019606</v>
      </c>
      <c r="AE6592" s="190"/>
      <c r="AF6592" s="191"/>
      <c r="AG6592" s="191"/>
      <c r="AH6592" s="191"/>
      <c r="AI6592" s="186"/>
      <c r="AK6592" s="171"/>
    </row>
    <row r="6593" spans="1:41" s="102" customFormat="1" ht="19.899999999999999" customHeight="1" x14ac:dyDescent="0.25">
      <c r="A6593" s="45"/>
      <c r="B6593" s="59"/>
      <c r="C6593" s="137"/>
      <c r="D6593" s="59"/>
      <c r="E6593" s="116"/>
      <c r="F6593" s="120"/>
      <c r="G6593" s="120"/>
      <c r="H6593" s="120"/>
      <c r="I6593" s="60"/>
      <c r="J6593" s="116"/>
      <c r="K6593" s="213"/>
      <c r="L6593" s="120"/>
      <c r="M6593" s="120"/>
      <c r="N6593" s="167"/>
      <c r="O6593" s="120"/>
      <c r="P6593" s="120"/>
      <c r="Q6593" s="120"/>
      <c r="R6593" s="120"/>
      <c r="S6593" s="120"/>
      <c r="T6593" s="221"/>
      <c r="U6593" s="89"/>
      <c r="V6593" s="61"/>
      <c r="W6593" s="92" t="s">
        <v>173</v>
      </c>
      <c r="X6593" s="93" t="s">
        <v>29</v>
      </c>
      <c r="Y6593" s="93" t="s">
        <v>93</v>
      </c>
      <c r="Z6593" s="134">
        <f>VLOOKUP(W6593,Sheet2!$B:$D,3,FALSE)</f>
        <v>36</v>
      </c>
      <c r="AA6593" s="93">
        <f>50/((1.5*1.5)-(0.25*0.25))</f>
        <v>22.857142857142858</v>
      </c>
      <c r="AB6593" s="93">
        <f>AD6593/AC6588</f>
        <v>1.575</v>
      </c>
      <c r="AC6593" s="93">
        <f>AC6588/AA6593</f>
        <v>1.09375</v>
      </c>
      <c r="AD6593" s="94">
        <f>AC6593*Z6593</f>
        <v>39.375</v>
      </c>
      <c r="AE6593" s="190"/>
      <c r="AF6593" s="191"/>
      <c r="AG6593" s="191"/>
      <c r="AH6593" s="191"/>
      <c r="AI6593" s="186"/>
      <c r="AK6593" s="171"/>
    </row>
    <row r="6594" spans="1:41" s="102" customFormat="1" ht="19.899999999999999" customHeight="1" x14ac:dyDescent="0.25">
      <c r="A6594" s="45"/>
      <c r="B6594" s="59"/>
      <c r="C6594" s="137"/>
      <c r="D6594" s="59"/>
      <c r="E6594" s="116"/>
      <c r="F6594" s="120"/>
      <c r="G6594" s="120"/>
      <c r="H6594" s="120"/>
      <c r="I6594" s="60"/>
      <c r="J6594" s="116"/>
      <c r="K6594" s="213"/>
      <c r="L6594" s="120"/>
      <c r="M6594" s="120"/>
      <c r="N6594" s="167"/>
      <c r="O6594" s="120"/>
      <c r="P6594" s="120"/>
      <c r="Q6594" s="120"/>
      <c r="R6594" s="120"/>
      <c r="S6594" s="120"/>
      <c r="T6594" s="221"/>
      <c r="U6594" s="89"/>
      <c r="V6594" s="61"/>
      <c r="W6594" s="92" t="s">
        <v>65</v>
      </c>
      <c r="X6594" s="93" t="s">
        <v>30</v>
      </c>
      <c r="Y6594" s="93" t="s">
        <v>1011</v>
      </c>
      <c r="Z6594" s="134">
        <f>VLOOKUP(W6594,Sheet2!$B:$D,3,FALSE)</f>
        <v>1.76</v>
      </c>
      <c r="AA6594" s="93">
        <f>AA6593/9</f>
        <v>2.5396825396825395</v>
      </c>
      <c r="AB6594" s="93">
        <f>AD6594/AC6588</f>
        <v>0.69299999999999995</v>
      </c>
      <c r="AC6594" s="93">
        <f>AC6588/AA6594</f>
        <v>9.84375</v>
      </c>
      <c r="AD6594" s="94">
        <f>AC6594*Z6594</f>
        <v>17.324999999999999</v>
      </c>
      <c r="AE6594" s="190"/>
      <c r="AF6594" s="191"/>
      <c r="AG6594" s="191"/>
      <c r="AH6594" s="191"/>
      <c r="AI6594" s="186"/>
      <c r="AK6594" s="171"/>
    </row>
    <row r="6595" spans="1:41" s="102" customFormat="1" ht="19.899999999999999" customHeight="1" x14ac:dyDescent="0.25">
      <c r="A6595" s="45"/>
      <c r="B6595" s="59"/>
      <c r="C6595" s="137"/>
      <c r="D6595" s="59"/>
      <c r="E6595" s="116"/>
      <c r="F6595" s="120"/>
      <c r="G6595" s="120"/>
      <c r="H6595" s="120"/>
      <c r="I6595" s="60"/>
      <c r="J6595" s="116"/>
      <c r="K6595" s="213"/>
      <c r="L6595" s="120"/>
      <c r="M6595" s="120"/>
      <c r="N6595" s="167"/>
      <c r="O6595" s="120"/>
      <c r="P6595" s="120"/>
      <c r="Q6595" s="120"/>
      <c r="R6595" s="120"/>
      <c r="S6595" s="120"/>
      <c r="T6595" s="221"/>
      <c r="U6595" s="89"/>
      <c r="V6595" s="61"/>
      <c r="W6595" s="92" t="s">
        <v>148</v>
      </c>
      <c r="X6595" s="93" t="s">
        <v>29</v>
      </c>
      <c r="Y6595" s="93" t="s">
        <v>93</v>
      </c>
      <c r="Z6595" s="134">
        <f>VLOOKUP(W6595,Sheet2!$B:$D,3,FALSE)</f>
        <v>48</v>
      </c>
      <c r="AA6595" s="93">
        <f>7.2/(1.5*1.5*0.1)</f>
        <v>32</v>
      </c>
      <c r="AB6595" s="93">
        <f>AD6595/AC6588</f>
        <v>1.5</v>
      </c>
      <c r="AC6595" s="93">
        <f>AC6588/AA6595</f>
        <v>0.78125</v>
      </c>
      <c r="AD6595" s="94">
        <f t="shared" ref="AD6595:AD6598" si="4678">AC6595*Z6595</f>
        <v>37.5</v>
      </c>
      <c r="AE6595" s="190"/>
      <c r="AF6595" s="191"/>
      <c r="AG6595" s="191"/>
      <c r="AH6595" s="191"/>
      <c r="AI6595" s="186"/>
      <c r="AK6595" s="171"/>
    </row>
    <row r="6596" spans="1:41" s="102" customFormat="1" ht="19.899999999999999" customHeight="1" x14ac:dyDescent="0.25">
      <c r="A6596" s="45"/>
      <c r="B6596" s="59"/>
      <c r="C6596" s="137"/>
      <c r="D6596" s="59"/>
      <c r="E6596" s="116"/>
      <c r="F6596" s="120"/>
      <c r="G6596" s="120"/>
      <c r="H6596" s="120"/>
      <c r="I6596" s="60"/>
      <c r="J6596" s="116"/>
      <c r="K6596" s="213"/>
      <c r="L6596" s="120"/>
      <c r="M6596" s="120"/>
      <c r="N6596" s="167"/>
      <c r="O6596" s="120"/>
      <c r="P6596" s="120"/>
      <c r="Q6596" s="120"/>
      <c r="R6596" s="120"/>
      <c r="S6596" s="120"/>
      <c r="T6596" s="221"/>
      <c r="U6596" s="89"/>
      <c r="V6596" s="61"/>
      <c r="W6596" s="92" t="s">
        <v>65</v>
      </c>
      <c r="X6596" s="93" t="s">
        <v>30</v>
      </c>
      <c r="Y6596" s="93" t="s">
        <v>1011</v>
      </c>
      <c r="Z6596" s="134">
        <f>VLOOKUP(W6596,Sheet2!$B:$D,3,FALSE)</f>
        <v>1.76</v>
      </c>
      <c r="AA6596" s="93">
        <f>AA6595/10</f>
        <v>3.2</v>
      </c>
      <c r="AB6596" s="93">
        <f>AD6596/AC6588</f>
        <v>0.55000000000000004</v>
      </c>
      <c r="AC6596" s="93">
        <f>AC6588/AA6596</f>
        <v>7.8125</v>
      </c>
      <c r="AD6596" s="94">
        <f t="shared" si="4678"/>
        <v>13.75</v>
      </c>
      <c r="AE6596" s="190"/>
      <c r="AF6596" s="191"/>
      <c r="AG6596" s="191"/>
      <c r="AH6596" s="191"/>
      <c r="AI6596" s="186"/>
      <c r="AK6596" s="171"/>
    </row>
    <row r="6597" spans="1:41" s="102" customFormat="1" ht="19.899999999999999" customHeight="1" x14ac:dyDescent="0.25">
      <c r="A6597" s="45"/>
      <c r="B6597" s="59"/>
      <c r="C6597" s="137"/>
      <c r="D6597" s="59"/>
      <c r="E6597" s="116"/>
      <c r="F6597" s="120"/>
      <c r="G6597" s="120"/>
      <c r="H6597" s="120"/>
      <c r="I6597" s="60"/>
      <c r="J6597" s="116"/>
      <c r="K6597" s="213"/>
      <c r="L6597" s="120"/>
      <c r="M6597" s="120"/>
      <c r="N6597" s="167"/>
      <c r="O6597" s="120"/>
      <c r="P6597" s="120"/>
      <c r="Q6597" s="120"/>
      <c r="R6597" s="120"/>
      <c r="S6597" s="120"/>
      <c r="T6597" s="221"/>
      <c r="U6597" s="89"/>
      <c r="V6597" s="61"/>
      <c r="W6597" s="92" t="s">
        <v>1030</v>
      </c>
      <c r="X6597" s="93" t="s">
        <v>29</v>
      </c>
      <c r="Y6597" s="93" t="s">
        <v>93</v>
      </c>
      <c r="Z6597" s="134">
        <f>VLOOKUP(W6597,Sheet2!$B:$D,3,FALSE)</f>
        <v>23</v>
      </c>
      <c r="AA6597" s="93">
        <v>25</v>
      </c>
      <c r="AB6597" s="93">
        <f>AD6597/AC6588</f>
        <v>0.92</v>
      </c>
      <c r="AC6597" s="93">
        <f>AC6588/AA6597</f>
        <v>1</v>
      </c>
      <c r="AD6597" s="94">
        <f t="shared" si="4678"/>
        <v>23</v>
      </c>
      <c r="AE6597" s="190"/>
      <c r="AF6597" s="191"/>
      <c r="AG6597" s="191"/>
      <c r="AH6597" s="191"/>
      <c r="AI6597" s="186"/>
      <c r="AK6597" s="171"/>
    </row>
    <row r="6598" spans="1:41" s="102" customFormat="1" ht="19.899999999999999" customHeight="1" x14ac:dyDescent="0.25">
      <c r="A6598" s="45"/>
      <c r="B6598" s="59"/>
      <c r="C6598" s="137"/>
      <c r="D6598" s="59"/>
      <c r="E6598" s="116"/>
      <c r="F6598" s="120"/>
      <c r="G6598" s="120"/>
      <c r="H6598" s="120"/>
      <c r="I6598" s="60"/>
      <c r="J6598" s="116"/>
      <c r="K6598" s="213"/>
      <c r="L6598" s="120"/>
      <c r="M6598" s="120"/>
      <c r="N6598" s="167"/>
      <c r="O6598" s="120"/>
      <c r="P6598" s="120"/>
      <c r="Q6598" s="120"/>
      <c r="R6598" s="120"/>
      <c r="S6598" s="120"/>
      <c r="T6598" s="221"/>
      <c r="U6598" s="89"/>
      <c r="V6598" s="61"/>
      <c r="W6598" s="92" t="s">
        <v>65</v>
      </c>
      <c r="X6598" s="93" t="s">
        <v>30</v>
      </c>
      <c r="Y6598" s="93" t="s">
        <v>1011</v>
      </c>
      <c r="Z6598" s="134">
        <f>VLOOKUP(W6598,Sheet2!$B:$D,3,FALSE)</f>
        <v>1.76</v>
      </c>
      <c r="AA6598" s="93">
        <f>AA6597/3</f>
        <v>8.3333333333333339</v>
      </c>
      <c r="AB6598" s="93">
        <f>AD6598/AC6588</f>
        <v>0.2112</v>
      </c>
      <c r="AC6598" s="93">
        <f>AC6588/AA6598</f>
        <v>3</v>
      </c>
      <c r="AD6598" s="94">
        <f t="shared" si="4678"/>
        <v>5.28</v>
      </c>
      <c r="AE6598" s="190"/>
      <c r="AF6598" s="191"/>
      <c r="AG6598" s="191"/>
      <c r="AH6598" s="191"/>
      <c r="AI6598" s="186"/>
      <c r="AK6598" s="171"/>
    </row>
    <row r="6599" spans="1:41" ht="20.100000000000001" customHeight="1" x14ac:dyDescent="0.25">
      <c r="A6599" s="277" t="s">
        <v>491</v>
      </c>
      <c r="B6599" s="278"/>
      <c r="C6599" s="64" t="s">
        <v>667</v>
      </c>
      <c r="D6599" s="46" t="s">
        <v>97</v>
      </c>
      <c r="E6599" s="114">
        <v>25</v>
      </c>
      <c r="F6599" s="44">
        <v>120</v>
      </c>
      <c r="G6599" s="44">
        <f t="shared" si="4575"/>
        <v>3000</v>
      </c>
      <c r="H6599" s="44">
        <f t="shared" si="4576"/>
        <v>78.539112156862757</v>
      </c>
      <c r="I6599" s="43">
        <f t="shared" si="4577"/>
        <v>1963.4778039215689</v>
      </c>
      <c r="J6599" s="112">
        <f t="shared" si="4578"/>
        <v>25</v>
      </c>
      <c r="K6599" s="211">
        <f t="shared" si="4579"/>
        <v>25</v>
      </c>
      <c r="L6599" s="44"/>
      <c r="M6599" s="44">
        <f t="shared" si="4580"/>
        <v>25</v>
      </c>
      <c r="N6599" s="173">
        <f t="shared" si="4581"/>
        <v>1</v>
      </c>
      <c r="O6599" s="44">
        <f t="shared" si="4582"/>
        <v>120</v>
      </c>
      <c r="P6599" s="44">
        <f t="shared" si="4583"/>
        <v>3000</v>
      </c>
      <c r="Q6599" s="44">
        <f t="shared" si="4584"/>
        <v>78.539112156862757</v>
      </c>
      <c r="R6599" s="44">
        <f t="shared" si="4585"/>
        <v>1963.4778039215689</v>
      </c>
      <c r="S6599" s="123"/>
      <c r="T6599" s="219">
        <f t="shared" si="4586"/>
        <v>1963.4778039215689</v>
      </c>
      <c r="U6599" s="87"/>
      <c r="V6599" s="47"/>
      <c r="W6599" s="48"/>
      <c r="X6599" s="48"/>
      <c r="Y6599" s="48"/>
      <c r="Z6599" s="135"/>
      <c r="AA6599" s="49"/>
      <c r="AB6599" s="50">
        <f t="shared" si="4587"/>
        <v>78.539112156862757</v>
      </c>
      <c r="AC6599" s="42">
        <f t="shared" si="4588"/>
        <v>25</v>
      </c>
      <c r="AD6599" s="90">
        <f>AD6600+AD6607+AD6613</f>
        <v>1963.4778039215689</v>
      </c>
      <c r="AE6599" s="188">
        <f t="shared" ref="AE6599" si="4679">AE6600+AE6607+AE6613</f>
        <v>0</v>
      </c>
      <c r="AF6599" s="189">
        <f t="shared" ref="AF6599" si="4680">AF6600+AF6607+AF6613</f>
        <v>0</v>
      </c>
      <c r="AG6599" s="189">
        <f t="shared" ref="AG6599" si="4681">AG6600+AG6607+AG6613</f>
        <v>0</v>
      </c>
      <c r="AH6599" s="189">
        <f t="shared" ref="AH6599" si="4682">AH6600+AH6607+AH6613</f>
        <v>0</v>
      </c>
      <c r="AI6599" s="161">
        <f t="shared" si="4668"/>
        <v>0</v>
      </c>
      <c r="AK6599" s="169">
        <v>5</v>
      </c>
      <c r="AO6599" s="19" t="s">
        <v>63</v>
      </c>
    </row>
    <row r="6600" spans="1:41" s="103" customFormat="1" ht="19.899999999999999" customHeight="1" x14ac:dyDescent="0.25">
      <c r="A6600" s="51"/>
      <c r="B6600" s="52"/>
      <c r="C6600" s="165"/>
      <c r="D6600" s="52"/>
      <c r="E6600" s="115"/>
      <c r="F6600" s="58"/>
      <c r="G6600" s="58"/>
      <c r="H6600" s="58"/>
      <c r="I6600" s="55"/>
      <c r="J6600" s="113">
        <f>J6599</f>
        <v>25</v>
      </c>
      <c r="K6600" s="212">
        <f>K6599</f>
        <v>25</v>
      </c>
      <c r="L6600" s="58"/>
      <c r="M6600" s="58">
        <f>K6600-L6600</f>
        <v>25</v>
      </c>
      <c r="N6600" s="166"/>
      <c r="O6600" s="58"/>
      <c r="P6600" s="58"/>
      <c r="Q6600" s="58"/>
      <c r="R6600" s="58"/>
      <c r="S6600" s="58"/>
      <c r="T6600" s="220"/>
      <c r="U6600" s="88"/>
      <c r="V6600" s="56"/>
      <c r="W6600" s="57" t="s">
        <v>1607</v>
      </c>
      <c r="X6600" s="53"/>
      <c r="Y6600" s="91" t="s">
        <v>68</v>
      </c>
      <c r="Z6600" s="136">
        <f>AD6600/AC6600</f>
        <v>11.227407058823532</v>
      </c>
      <c r="AA6600" s="58"/>
      <c r="AB6600" s="53">
        <f>AD6600/AC6600</f>
        <v>11.227407058823532</v>
      </c>
      <c r="AC6600" s="53">
        <f>M6600+$AE$10</f>
        <v>25</v>
      </c>
      <c r="AD6600" s="54">
        <f>SUM(AD6601:AD6606)</f>
        <v>280.68517647058832</v>
      </c>
      <c r="AE6600" s="184">
        <f>SUMIFS($AD$37:$AD$12971,$V$37:$V$12971,$V6600,$X$37:$X$12971,AE$13)</f>
        <v>0</v>
      </c>
      <c r="AF6600" s="185">
        <f>SUMIFS($AD$37:$AD$12971,$V$37:$V$12971,$V6600,$X$37:$X$12971,AF$13)</f>
        <v>0</v>
      </c>
      <c r="AG6600" s="185">
        <f>SUMIFS($AD$37:$AD$12971,$V$37:$V$12971,$V6600,$X$37:$X$12971,AG$13)</f>
        <v>0</v>
      </c>
      <c r="AH6600" s="187">
        <f>SUMIFS($AD$37:$AD$12971,$V$37:$V$12971,$V6600,$X$37:$X$12971,AH$13)</f>
        <v>0</v>
      </c>
      <c r="AI6600" s="161">
        <f t="shared" ref="AI6600" si="4683">SUM(AE6600:AH6600)</f>
        <v>0</v>
      </c>
      <c r="AK6600" s="172"/>
    </row>
    <row r="6601" spans="1:41" s="102" customFormat="1" ht="19.899999999999999" customHeight="1" x14ac:dyDescent="0.25">
      <c r="A6601" s="45"/>
      <c r="B6601" s="59"/>
      <c r="C6601" s="137"/>
      <c r="D6601" s="59"/>
      <c r="E6601" s="116"/>
      <c r="F6601" s="120"/>
      <c r="G6601" s="120"/>
      <c r="H6601" s="120"/>
      <c r="I6601" s="60"/>
      <c r="J6601" s="116"/>
      <c r="K6601" s="213"/>
      <c r="L6601" s="120"/>
      <c r="M6601" s="120"/>
      <c r="N6601" s="167"/>
      <c r="O6601" s="120"/>
      <c r="P6601" s="120"/>
      <c r="Q6601" s="120"/>
      <c r="R6601" s="120"/>
      <c r="S6601" s="120"/>
      <c r="T6601" s="221"/>
      <c r="U6601" s="89"/>
      <c r="V6601" s="61"/>
      <c r="W6601" s="92" t="s">
        <v>129</v>
      </c>
      <c r="X6601" s="93" t="s">
        <v>29</v>
      </c>
      <c r="Y6601" s="93" t="s">
        <v>93</v>
      </c>
      <c r="Z6601" s="134">
        <f>VLOOKUP(W6601,Sheet2!$B:$D,3,FALSE)</f>
        <v>56</v>
      </c>
      <c r="AA6601" s="93">
        <f>100/(1.6*1.5)</f>
        <v>41.666666666666657</v>
      </c>
      <c r="AB6601" s="93">
        <f t="shared" ref="AB6601" si="4684">AD6601/AC6600</f>
        <v>1.3440000000000003</v>
      </c>
      <c r="AC6601" s="93">
        <f>AC6600/AA6601</f>
        <v>0.60000000000000009</v>
      </c>
      <c r="AD6601" s="94">
        <f t="shared" ref="AD6601:AD6602" si="4685">AC6601*Z6601</f>
        <v>33.600000000000009</v>
      </c>
      <c r="AE6601" s="190"/>
      <c r="AF6601" s="191"/>
      <c r="AG6601" s="191"/>
      <c r="AH6601" s="191"/>
      <c r="AI6601" s="186"/>
      <c r="AK6601" s="171"/>
    </row>
    <row r="6602" spans="1:41" s="102" customFormat="1" ht="19.899999999999999" customHeight="1" x14ac:dyDescent="0.25">
      <c r="A6602" s="45"/>
      <c r="B6602" s="59"/>
      <c r="C6602" s="137"/>
      <c r="D6602" s="59"/>
      <c r="E6602" s="116"/>
      <c r="F6602" s="120"/>
      <c r="G6602" s="120"/>
      <c r="H6602" s="120"/>
      <c r="I6602" s="60"/>
      <c r="J6602" s="116"/>
      <c r="K6602" s="213"/>
      <c r="L6602" s="120"/>
      <c r="M6602" s="120"/>
      <c r="N6602" s="167"/>
      <c r="O6602" s="120"/>
      <c r="P6602" s="120"/>
      <c r="Q6602" s="120"/>
      <c r="R6602" s="120"/>
      <c r="S6602" s="120"/>
      <c r="T6602" s="221"/>
      <c r="U6602" s="89"/>
      <c r="V6602" s="61"/>
      <c r="W6602" s="92" t="s">
        <v>65</v>
      </c>
      <c r="X6602" s="93" t="s">
        <v>30</v>
      </c>
      <c r="Y6602" s="93" t="s">
        <v>1011</v>
      </c>
      <c r="Z6602" s="134">
        <f>VLOOKUP(W6602,Sheet2!$B:$D,3,FALSE)</f>
        <v>1.76</v>
      </c>
      <c r="AA6602" s="93">
        <f>AA6601/14</f>
        <v>2.9761904761904754</v>
      </c>
      <c r="AB6602" s="93">
        <f>AD6602/AC6600</f>
        <v>0.59136000000000022</v>
      </c>
      <c r="AC6602" s="93">
        <f>AC6600/AA6602</f>
        <v>8.4000000000000021</v>
      </c>
      <c r="AD6602" s="94">
        <f t="shared" si="4685"/>
        <v>14.784000000000004</v>
      </c>
      <c r="AE6602" s="190"/>
      <c r="AF6602" s="191"/>
      <c r="AG6602" s="191"/>
      <c r="AH6602" s="191"/>
      <c r="AI6602" s="186"/>
      <c r="AK6602" s="171"/>
    </row>
    <row r="6603" spans="1:41" s="102" customFormat="1" ht="19.899999999999999" customHeight="1" x14ac:dyDescent="0.25">
      <c r="A6603" s="45"/>
      <c r="B6603" s="59"/>
      <c r="C6603" s="137"/>
      <c r="D6603" s="59"/>
      <c r="E6603" s="116"/>
      <c r="F6603" s="120"/>
      <c r="G6603" s="120"/>
      <c r="H6603" s="120"/>
      <c r="I6603" s="60"/>
      <c r="J6603" s="116"/>
      <c r="K6603" s="213"/>
      <c r="L6603" s="120"/>
      <c r="M6603" s="120"/>
      <c r="N6603" s="167"/>
      <c r="O6603" s="120"/>
      <c r="P6603" s="120"/>
      <c r="Q6603" s="120"/>
      <c r="R6603" s="120"/>
      <c r="S6603" s="120"/>
      <c r="T6603" s="221"/>
      <c r="U6603" s="89"/>
      <c r="V6603" s="61"/>
      <c r="W6603" s="92" t="s">
        <v>161</v>
      </c>
      <c r="X6603" s="93" t="s">
        <v>29</v>
      </c>
      <c r="Y6603" s="93" t="s">
        <v>93</v>
      </c>
      <c r="Z6603" s="134">
        <f>VLOOKUP(W6603,Sheet2!$B:$D,3,FALSE)</f>
        <v>48</v>
      </c>
      <c r="AA6603" s="93">
        <f>(16*0.85*1.5)/(1.6*1.5)</f>
        <v>8.4999999999999982</v>
      </c>
      <c r="AB6603" s="93">
        <f>AD6603/AC6600</f>
        <v>5.647058823529413</v>
      </c>
      <c r="AC6603" s="93">
        <f>AC6600/AA6603</f>
        <v>2.9411764705882359</v>
      </c>
      <c r="AD6603" s="94">
        <f>AC6603*Z6603</f>
        <v>141.17647058823533</v>
      </c>
      <c r="AE6603" s="190"/>
      <c r="AF6603" s="191"/>
      <c r="AG6603" s="191"/>
      <c r="AH6603" s="191"/>
      <c r="AI6603" s="186"/>
      <c r="AK6603" s="171"/>
    </row>
    <row r="6604" spans="1:41" s="102" customFormat="1" ht="19.899999999999999" customHeight="1" x14ac:dyDescent="0.25">
      <c r="A6604" s="45"/>
      <c r="B6604" s="59"/>
      <c r="C6604" s="137"/>
      <c r="D6604" s="59"/>
      <c r="E6604" s="116"/>
      <c r="F6604" s="120"/>
      <c r="G6604" s="120"/>
      <c r="H6604" s="120"/>
      <c r="I6604" s="60"/>
      <c r="J6604" s="116"/>
      <c r="K6604" s="213"/>
      <c r="L6604" s="120"/>
      <c r="M6604" s="120"/>
      <c r="N6604" s="167"/>
      <c r="O6604" s="120"/>
      <c r="P6604" s="120"/>
      <c r="Q6604" s="120"/>
      <c r="R6604" s="120"/>
      <c r="S6604" s="120"/>
      <c r="T6604" s="221"/>
      <c r="U6604" s="89"/>
      <c r="V6604" s="61"/>
      <c r="W6604" s="92" t="s">
        <v>65</v>
      </c>
      <c r="X6604" s="93" t="s">
        <v>30</v>
      </c>
      <c r="Y6604" s="93" t="s">
        <v>1011</v>
      </c>
      <c r="Z6604" s="134">
        <f>VLOOKUP(W6604,Sheet2!$B:$D,3,FALSE)</f>
        <v>1.76</v>
      </c>
      <c r="AA6604" s="93">
        <f>AA6603/10</f>
        <v>0.84999999999999987</v>
      </c>
      <c r="AB6604" s="93">
        <f>AD6604/AC6600</f>
        <v>2.0705882352941178</v>
      </c>
      <c r="AC6604" s="93">
        <f>AC6600/AA6604</f>
        <v>29.411764705882359</v>
      </c>
      <c r="AD6604" s="94">
        <f>AC6604*Z6604</f>
        <v>51.764705882352949</v>
      </c>
      <c r="AE6604" s="190"/>
      <c r="AF6604" s="191"/>
      <c r="AG6604" s="191"/>
      <c r="AH6604" s="191"/>
      <c r="AI6604" s="186"/>
      <c r="AK6604" s="171"/>
    </row>
    <row r="6605" spans="1:41" s="102" customFormat="1" ht="19.899999999999999" customHeight="1" x14ac:dyDescent="0.25">
      <c r="A6605" s="45"/>
      <c r="B6605" s="59"/>
      <c r="C6605" s="137"/>
      <c r="D6605" s="59"/>
      <c r="E6605" s="116"/>
      <c r="F6605" s="120"/>
      <c r="G6605" s="120"/>
      <c r="H6605" s="120"/>
      <c r="I6605" s="60"/>
      <c r="J6605" s="116"/>
      <c r="K6605" s="213"/>
      <c r="L6605" s="120"/>
      <c r="M6605" s="120"/>
      <c r="N6605" s="167"/>
      <c r="O6605" s="120"/>
      <c r="P6605" s="120"/>
      <c r="Q6605" s="120"/>
      <c r="R6605" s="120"/>
      <c r="S6605" s="120"/>
      <c r="T6605" s="221"/>
      <c r="U6605" s="89"/>
      <c r="V6605" s="61"/>
      <c r="W6605" s="92" t="s">
        <v>148</v>
      </c>
      <c r="X6605" s="93" t="s">
        <v>29</v>
      </c>
      <c r="Y6605" s="93" t="s">
        <v>93</v>
      </c>
      <c r="Z6605" s="134">
        <f>VLOOKUP(W6605,Sheet2!$B:$D,3,FALSE)</f>
        <v>48</v>
      </c>
      <c r="AA6605" s="93">
        <f>AA6601</f>
        <v>41.666666666666657</v>
      </c>
      <c r="AB6605" s="93">
        <f>AD6605/AC6600</f>
        <v>1.1520000000000001</v>
      </c>
      <c r="AC6605" s="93">
        <f>AC6600/AA6605</f>
        <v>0.60000000000000009</v>
      </c>
      <c r="AD6605" s="94">
        <f t="shared" ref="AD6605:AD6606" si="4686">AC6605*Z6605</f>
        <v>28.800000000000004</v>
      </c>
      <c r="AE6605" s="190"/>
      <c r="AF6605" s="191"/>
      <c r="AG6605" s="191"/>
      <c r="AH6605" s="191"/>
      <c r="AI6605" s="186"/>
      <c r="AK6605" s="171"/>
    </row>
    <row r="6606" spans="1:41" s="102" customFormat="1" ht="19.899999999999999" customHeight="1" x14ac:dyDescent="0.25">
      <c r="A6606" s="45"/>
      <c r="B6606" s="59"/>
      <c r="C6606" s="137"/>
      <c r="D6606" s="59"/>
      <c r="E6606" s="116"/>
      <c r="F6606" s="120"/>
      <c r="G6606" s="120"/>
      <c r="H6606" s="120"/>
      <c r="I6606" s="60"/>
      <c r="J6606" s="116"/>
      <c r="K6606" s="213"/>
      <c r="L6606" s="120"/>
      <c r="M6606" s="120"/>
      <c r="N6606" s="167"/>
      <c r="O6606" s="120"/>
      <c r="P6606" s="120"/>
      <c r="Q6606" s="120"/>
      <c r="R6606" s="120"/>
      <c r="S6606" s="120"/>
      <c r="T6606" s="221"/>
      <c r="U6606" s="89"/>
      <c r="V6606" s="61"/>
      <c r="W6606" s="92" t="s">
        <v>65</v>
      </c>
      <c r="X6606" s="93" t="s">
        <v>30</v>
      </c>
      <c r="Y6606" s="93" t="s">
        <v>1011</v>
      </c>
      <c r="Z6606" s="134">
        <f>VLOOKUP(W6606,Sheet2!$B:$D,3,FALSE)</f>
        <v>1.76</v>
      </c>
      <c r="AA6606" s="93">
        <f>AA6605/10</f>
        <v>4.1666666666666661</v>
      </c>
      <c r="AB6606" s="93">
        <f>AD6606/AC6600</f>
        <v>0.42240000000000011</v>
      </c>
      <c r="AC6606" s="93">
        <f>AC6600/AA6606</f>
        <v>6.0000000000000009</v>
      </c>
      <c r="AD6606" s="94">
        <f t="shared" si="4686"/>
        <v>10.560000000000002</v>
      </c>
      <c r="AE6606" s="190"/>
      <c r="AF6606" s="191"/>
      <c r="AG6606" s="191"/>
      <c r="AH6606" s="191"/>
      <c r="AI6606" s="186"/>
      <c r="AK6606" s="171"/>
    </row>
    <row r="6607" spans="1:41" s="103" customFormat="1" ht="19.899999999999999" customHeight="1" x14ac:dyDescent="0.25">
      <c r="A6607" s="51"/>
      <c r="B6607" s="52"/>
      <c r="C6607" s="165"/>
      <c r="D6607" s="52"/>
      <c r="E6607" s="115"/>
      <c r="F6607" s="58"/>
      <c r="G6607" s="58"/>
      <c r="H6607" s="58"/>
      <c r="I6607" s="55"/>
      <c r="J6607" s="113">
        <f>J6599</f>
        <v>25</v>
      </c>
      <c r="K6607" s="212">
        <f>K6599</f>
        <v>25</v>
      </c>
      <c r="L6607" s="58"/>
      <c r="M6607" s="58">
        <f>K6607-L6607</f>
        <v>25</v>
      </c>
      <c r="N6607" s="166"/>
      <c r="O6607" s="58"/>
      <c r="P6607" s="58"/>
      <c r="Q6607" s="58"/>
      <c r="R6607" s="58"/>
      <c r="S6607" s="58"/>
      <c r="T6607" s="220"/>
      <c r="U6607" s="88"/>
      <c r="V6607" s="56"/>
      <c r="W6607" s="57" t="s">
        <v>1606</v>
      </c>
      <c r="X6607" s="53"/>
      <c r="Y6607" s="91" t="s">
        <v>68</v>
      </c>
      <c r="Z6607" s="136">
        <f>AD6607/AC6607</f>
        <v>52.34</v>
      </c>
      <c r="AA6607" s="58"/>
      <c r="AB6607" s="53">
        <f>AD6607/AC6607</f>
        <v>52.34</v>
      </c>
      <c r="AC6607" s="53">
        <f>M6607+$AE$10</f>
        <v>25</v>
      </c>
      <c r="AD6607" s="54">
        <f>SUM(AD6608:AD6612)</f>
        <v>1308.5</v>
      </c>
      <c r="AE6607" s="184">
        <f>SUMIFS($AD$37:$AD$12971,$V$37:$V$12971,$V6607,$X$37:$X$12971,AE$13)</f>
        <v>0</v>
      </c>
      <c r="AF6607" s="185">
        <f>SUMIFS($AD$37:$AD$12971,$V$37:$V$12971,$V6607,$X$37:$X$12971,AF$13)</f>
        <v>0</v>
      </c>
      <c r="AG6607" s="185">
        <f>SUMIFS($AD$37:$AD$12971,$V$37:$V$12971,$V6607,$X$37:$X$12971,AG$13)</f>
        <v>0</v>
      </c>
      <c r="AH6607" s="187">
        <f>SUMIFS($AD$37:$AD$12971,$V$37:$V$12971,$V6607,$X$37:$X$12971,AH$13)</f>
        <v>0</v>
      </c>
      <c r="AI6607" s="161">
        <f t="shared" ref="AI6607" si="4687">SUM(AE6607:AH6607)</f>
        <v>0</v>
      </c>
      <c r="AK6607" s="172"/>
    </row>
    <row r="6608" spans="1:41" s="102" customFormat="1" ht="19.899999999999999" customHeight="1" x14ac:dyDescent="0.25">
      <c r="A6608" s="45"/>
      <c r="B6608" s="59"/>
      <c r="C6608" s="137"/>
      <c r="D6608" s="59"/>
      <c r="E6608" s="116"/>
      <c r="F6608" s="120"/>
      <c r="G6608" s="120"/>
      <c r="H6608" s="120"/>
      <c r="I6608" s="60"/>
      <c r="J6608" s="116"/>
      <c r="K6608" s="213"/>
      <c r="L6608" s="120"/>
      <c r="M6608" s="120"/>
      <c r="N6608" s="167"/>
      <c r="O6608" s="120"/>
      <c r="P6608" s="120"/>
      <c r="Q6608" s="120"/>
      <c r="R6608" s="120"/>
      <c r="S6608" s="120"/>
      <c r="T6608" s="221"/>
      <c r="U6608" s="89"/>
      <c r="V6608" s="61"/>
      <c r="W6608" s="92" t="s">
        <v>1032</v>
      </c>
      <c r="X6608" s="93" t="s">
        <v>30</v>
      </c>
      <c r="Y6608" s="93" t="s">
        <v>66</v>
      </c>
      <c r="Z6608" s="134">
        <f>VLOOKUP(W6608,Sheet2!$B:$D,3,FALSE)</f>
        <v>250</v>
      </c>
      <c r="AA6608" s="93">
        <f>1/(0.4*0.25)</f>
        <v>10</v>
      </c>
      <c r="AB6608" s="93">
        <f>AD6608/AC6607</f>
        <v>25</v>
      </c>
      <c r="AC6608" s="93">
        <f>AC6607/AA6608</f>
        <v>2.5</v>
      </c>
      <c r="AD6608" s="94">
        <f t="shared" ref="AD6608" si="4688">AC6608*Z6608</f>
        <v>625</v>
      </c>
      <c r="AE6608" s="190"/>
      <c r="AF6608" s="191"/>
      <c r="AG6608" s="191"/>
      <c r="AH6608" s="191"/>
      <c r="AI6608" s="186"/>
      <c r="AK6608" s="171"/>
    </row>
    <row r="6609" spans="1:41" s="102" customFormat="1" ht="19.899999999999999" customHeight="1" x14ac:dyDescent="0.25">
      <c r="A6609" s="45"/>
      <c r="B6609" s="59"/>
      <c r="C6609" s="137"/>
      <c r="D6609" s="59"/>
      <c r="E6609" s="116"/>
      <c r="F6609" s="120"/>
      <c r="G6609" s="120"/>
      <c r="H6609" s="120"/>
      <c r="I6609" s="60"/>
      <c r="J6609" s="116"/>
      <c r="K6609" s="213"/>
      <c r="L6609" s="120"/>
      <c r="M6609" s="120"/>
      <c r="N6609" s="167"/>
      <c r="O6609" s="120"/>
      <c r="P6609" s="120"/>
      <c r="Q6609" s="120"/>
      <c r="R6609" s="120"/>
      <c r="S6609" s="120"/>
      <c r="T6609" s="221"/>
      <c r="U6609" s="89"/>
      <c r="V6609" s="61"/>
      <c r="W6609" s="92" t="s">
        <v>1270</v>
      </c>
      <c r="X6609" s="93" t="s">
        <v>30</v>
      </c>
      <c r="Y6609" s="93" t="s">
        <v>68</v>
      </c>
      <c r="Z6609" s="134">
        <f>VLOOKUP(W6609,Sheet2!$B:$D,3,FALSE)</f>
        <v>4</v>
      </c>
      <c r="AA6609" s="93">
        <f>1/2</f>
        <v>0.5</v>
      </c>
      <c r="AB6609" s="93">
        <f>AD6609/AC6607</f>
        <v>8</v>
      </c>
      <c r="AC6609" s="93">
        <f>AC6607/AA6609</f>
        <v>50</v>
      </c>
      <c r="AD6609" s="94">
        <f>AC6609*Z6609</f>
        <v>200</v>
      </c>
      <c r="AE6609" s="190"/>
      <c r="AF6609" s="191"/>
      <c r="AG6609" s="191"/>
      <c r="AH6609" s="191"/>
      <c r="AI6609" s="186"/>
      <c r="AK6609" s="171"/>
    </row>
    <row r="6610" spans="1:41" s="102" customFormat="1" ht="19.899999999999999" customHeight="1" x14ac:dyDescent="0.25">
      <c r="A6610" s="45"/>
      <c r="B6610" s="59"/>
      <c r="C6610" s="137"/>
      <c r="D6610" s="59"/>
      <c r="E6610" s="116"/>
      <c r="F6610" s="120"/>
      <c r="G6610" s="120"/>
      <c r="H6610" s="120"/>
      <c r="I6610" s="60"/>
      <c r="J6610" s="116"/>
      <c r="K6610" s="213"/>
      <c r="L6610" s="120"/>
      <c r="M6610" s="120"/>
      <c r="N6610" s="167"/>
      <c r="O6610" s="120"/>
      <c r="P6610" s="120"/>
      <c r="Q6610" s="120"/>
      <c r="R6610" s="120"/>
      <c r="S6610" s="120"/>
      <c r="T6610" s="221"/>
      <c r="U6610" s="89"/>
      <c r="V6610" s="61"/>
      <c r="W6610" s="92" t="s">
        <v>1271</v>
      </c>
      <c r="X6610" s="93" t="s">
        <v>30</v>
      </c>
      <c r="Y6610" s="93" t="s">
        <v>68</v>
      </c>
      <c r="Z6610" s="134">
        <f>VLOOKUP(W6610,Sheet2!$B:$D,3,FALSE)</f>
        <v>2</v>
      </c>
      <c r="AA6610" s="93">
        <f>AA6609</f>
        <v>0.5</v>
      </c>
      <c r="AB6610" s="93">
        <f>AD6610/AC6607</f>
        <v>4</v>
      </c>
      <c r="AC6610" s="93">
        <f>AC6607/AA6610</f>
        <v>50</v>
      </c>
      <c r="AD6610" s="94">
        <f>AC6610*Z6610</f>
        <v>100</v>
      </c>
      <c r="AE6610" s="190"/>
      <c r="AF6610" s="191"/>
      <c r="AG6610" s="191"/>
      <c r="AH6610" s="191"/>
      <c r="AI6610" s="186"/>
      <c r="AK6610" s="171"/>
    </row>
    <row r="6611" spans="1:41" s="102" customFormat="1" ht="19.899999999999999" customHeight="1" x14ac:dyDescent="0.25">
      <c r="A6611" s="45"/>
      <c r="B6611" s="59"/>
      <c r="C6611" s="137"/>
      <c r="D6611" s="59"/>
      <c r="E6611" s="116"/>
      <c r="F6611" s="120"/>
      <c r="G6611" s="120"/>
      <c r="H6611" s="120"/>
      <c r="I6611" s="60"/>
      <c r="J6611" s="116"/>
      <c r="K6611" s="213"/>
      <c r="L6611" s="120"/>
      <c r="M6611" s="120"/>
      <c r="N6611" s="167"/>
      <c r="O6611" s="120"/>
      <c r="P6611" s="120"/>
      <c r="Q6611" s="120"/>
      <c r="R6611" s="120"/>
      <c r="S6611" s="120"/>
      <c r="T6611" s="221"/>
      <c r="U6611" s="89"/>
      <c r="V6611" s="61"/>
      <c r="W6611" s="92" t="s">
        <v>1035</v>
      </c>
      <c r="X6611" s="93" t="s">
        <v>32</v>
      </c>
      <c r="Y6611" s="93" t="s">
        <v>66</v>
      </c>
      <c r="Z6611" s="134">
        <f>VLOOKUP(W6611,Sheet2!$B:$D,3,FALSE)</f>
        <v>150</v>
      </c>
      <c r="AA6611" s="93">
        <f>AA6608</f>
        <v>10</v>
      </c>
      <c r="AB6611" s="93">
        <f>AD6611/AC6607</f>
        <v>15</v>
      </c>
      <c r="AC6611" s="93">
        <f>AC6607/AA6611</f>
        <v>2.5</v>
      </c>
      <c r="AD6611" s="94">
        <f t="shared" ref="AD6611:AD6612" si="4689">AC6611*Z6611</f>
        <v>375</v>
      </c>
      <c r="AE6611" s="190"/>
      <c r="AF6611" s="191"/>
      <c r="AG6611" s="191"/>
      <c r="AH6611" s="191"/>
      <c r="AI6611" s="186"/>
      <c r="AK6611" s="171"/>
    </row>
    <row r="6612" spans="1:41" s="102" customFormat="1" ht="19.899999999999999" customHeight="1" x14ac:dyDescent="0.25">
      <c r="A6612" s="45"/>
      <c r="B6612" s="59"/>
      <c r="C6612" s="137"/>
      <c r="D6612" s="59"/>
      <c r="E6612" s="116"/>
      <c r="F6612" s="120"/>
      <c r="G6612" s="120"/>
      <c r="H6612" s="120"/>
      <c r="I6612" s="60"/>
      <c r="J6612" s="116"/>
      <c r="K6612" s="213"/>
      <c r="L6612" s="120"/>
      <c r="M6612" s="120"/>
      <c r="N6612" s="167"/>
      <c r="O6612" s="120"/>
      <c r="P6612" s="120"/>
      <c r="Q6612" s="120"/>
      <c r="R6612" s="120"/>
      <c r="S6612" s="120"/>
      <c r="T6612" s="221"/>
      <c r="U6612" s="89"/>
      <c r="V6612" s="61"/>
      <c r="W6612" s="92" t="s">
        <v>107</v>
      </c>
      <c r="X6612" s="93" t="s">
        <v>31</v>
      </c>
      <c r="Y6612" s="93" t="s">
        <v>93</v>
      </c>
      <c r="Z6612" s="134">
        <f>VLOOKUP(W6612,Sheet2!$B:$D,3,FALSE)</f>
        <v>17</v>
      </c>
      <c r="AA6612" s="93">
        <v>50</v>
      </c>
      <c r="AB6612" s="93">
        <f>AD6612/AC6607</f>
        <v>0.34</v>
      </c>
      <c r="AC6612" s="93">
        <f>AC6607/AA6612</f>
        <v>0.5</v>
      </c>
      <c r="AD6612" s="94">
        <f t="shared" si="4689"/>
        <v>8.5</v>
      </c>
      <c r="AE6612" s="190"/>
      <c r="AF6612" s="191"/>
      <c r="AG6612" s="191"/>
      <c r="AH6612" s="191"/>
      <c r="AI6612" s="186"/>
      <c r="AK6612" s="171"/>
    </row>
    <row r="6613" spans="1:41" s="103" customFormat="1" ht="19.899999999999999" customHeight="1" x14ac:dyDescent="0.25">
      <c r="A6613" s="51"/>
      <c r="B6613" s="52"/>
      <c r="C6613" s="165"/>
      <c r="D6613" s="52"/>
      <c r="E6613" s="115"/>
      <c r="F6613" s="58"/>
      <c r="G6613" s="58"/>
      <c r="H6613" s="58"/>
      <c r="I6613" s="55"/>
      <c r="J6613" s="113">
        <f>J6599</f>
        <v>25</v>
      </c>
      <c r="K6613" s="212">
        <f>K6599</f>
        <v>25</v>
      </c>
      <c r="L6613" s="58"/>
      <c r="M6613" s="58">
        <f>K6613-L6613</f>
        <v>25</v>
      </c>
      <c r="N6613" s="166"/>
      <c r="O6613" s="58"/>
      <c r="P6613" s="58"/>
      <c r="Q6613" s="58"/>
      <c r="R6613" s="58"/>
      <c r="S6613" s="58"/>
      <c r="T6613" s="220"/>
      <c r="U6613" s="88"/>
      <c r="V6613" s="56"/>
      <c r="W6613" s="57" t="s">
        <v>1272</v>
      </c>
      <c r="X6613" s="53"/>
      <c r="Y6613" s="91" t="s">
        <v>68</v>
      </c>
      <c r="Z6613" s="136">
        <f>AD6613/AC6613</f>
        <v>14.971705098039218</v>
      </c>
      <c r="AA6613" s="58"/>
      <c r="AB6613" s="53">
        <f>AD6613/AC6613</f>
        <v>14.971705098039218</v>
      </c>
      <c r="AC6613" s="53">
        <f>M6613+$AE$10</f>
        <v>25</v>
      </c>
      <c r="AD6613" s="54">
        <f>SUM(AD6614:AD6623)</f>
        <v>374.29262745098043</v>
      </c>
      <c r="AE6613" s="184">
        <f>SUMIFS($AD$37:$AD$12971,$V$37:$V$12971,$V6613,$X$37:$X$12971,AE$13)</f>
        <v>0</v>
      </c>
      <c r="AF6613" s="185">
        <f>SUMIFS($AD$37:$AD$12971,$V$37:$V$12971,$V6613,$X$37:$X$12971,AF$13)</f>
        <v>0</v>
      </c>
      <c r="AG6613" s="185">
        <f>SUMIFS($AD$37:$AD$12971,$V$37:$V$12971,$V6613,$X$37:$X$12971,AG$13)</f>
        <v>0</v>
      </c>
      <c r="AH6613" s="187">
        <f>SUMIFS($AD$37:$AD$12971,$V$37:$V$12971,$V6613,$X$37:$X$12971,AH$13)</f>
        <v>0</v>
      </c>
      <c r="AI6613" s="161">
        <f t="shared" ref="AI6613" si="4690">SUM(AE6613:AH6613)</f>
        <v>0</v>
      </c>
      <c r="AK6613" s="172"/>
    </row>
    <row r="6614" spans="1:41" s="102" customFormat="1" ht="19.899999999999999" customHeight="1" x14ac:dyDescent="0.25">
      <c r="A6614" s="45"/>
      <c r="B6614" s="59"/>
      <c r="C6614" s="137"/>
      <c r="D6614" s="59"/>
      <c r="E6614" s="116"/>
      <c r="F6614" s="120"/>
      <c r="G6614" s="120"/>
      <c r="H6614" s="120"/>
      <c r="I6614" s="60"/>
      <c r="J6614" s="116"/>
      <c r="K6614" s="213"/>
      <c r="L6614" s="120"/>
      <c r="M6614" s="120"/>
      <c r="N6614" s="167"/>
      <c r="O6614" s="120"/>
      <c r="P6614" s="120"/>
      <c r="Q6614" s="120"/>
      <c r="R6614" s="120"/>
      <c r="S6614" s="120"/>
      <c r="T6614" s="221"/>
      <c r="U6614" s="89"/>
      <c r="V6614" s="61"/>
      <c r="W6614" s="92" t="s">
        <v>134</v>
      </c>
      <c r="X6614" s="93" t="s">
        <v>29</v>
      </c>
      <c r="Y6614" s="93" t="s">
        <v>93</v>
      </c>
      <c r="Z6614" s="134">
        <f>VLOOKUP(W6614,Sheet2!$B:$D,3,FALSE)</f>
        <v>65.599999999999994</v>
      </c>
      <c r="AA6614" s="93">
        <f>100/((1.6*1.5)-(0.4*0.25))</f>
        <v>43.478260869565212</v>
      </c>
      <c r="AB6614" s="93">
        <f>AD6614/AC6613</f>
        <v>1.5087999999999999</v>
      </c>
      <c r="AC6614" s="93">
        <f>AC6613/AA6614</f>
        <v>0.57500000000000007</v>
      </c>
      <c r="AD6614" s="94">
        <f t="shared" ref="AD6614:AD6615" si="4691">AC6614*Z6614</f>
        <v>37.72</v>
      </c>
      <c r="AE6614" s="190"/>
      <c r="AF6614" s="191"/>
      <c r="AG6614" s="191"/>
      <c r="AH6614" s="191"/>
      <c r="AI6614" s="186"/>
      <c r="AK6614" s="171"/>
    </row>
    <row r="6615" spans="1:41" s="102" customFormat="1" ht="19.899999999999999" customHeight="1" x14ac:dyDescent="0.25">
      <c r="A6615" s="45"/>
      <c r="B6615" s="59"/>
      <c r="C6615" s="137"/>
      <c r="D6615" s="59"/>
      <c r="E6615" s="116"/>
      <c r="F6615" s="120"/>
      <c r="G6615" s="120"/>
      <c r="H6615" s="120"/>
      <c r="I6615" s="60"/>
      <c r="J6615" s="116"/>
      <c r="K6615" s="213"/>
      <c r="L6615" s="120"/>
      <c r="M6615" s="120"/>
      <c r="N6615" s="167"/>
      <c r="O6615" s="120"/>
      <c r="P6615" s="120"/>
      <c r="Q6615" s="120"/>
      <c r="R6615" s="120"/>
      <c r="S6615" s="120"/>
      <c r="T6615" s="221"/>
      <c r="U6615" s="89"/>
      <c r="V6615" s="61"/>
      <c r="W6615" s="92" t="s">
        <v>65</v>
      </c>
      <c r="X6615" s="93" t="s">
        <v>30</v>
      </c>
      <c r="Y6615" s="93" t="s">
        <v>1011</v>
      </c>
      <c r="Z6615" s="134">
        <f>VLOOKUP(W6615,Sheet2!$B:$D,3,FALSE)</f>
        <v>1.76</v>
      </c>
      <c r="AA6615" s="93">
        <f>AA6614/9</f>
        <v>4.8309178743961345</v>
      </c>
      <c r="AB6615" s="93">
        <f>AD6615/AC6613</f>
        <v>0.36432000000000003</v>
      </c>
      <c r="AC6615" s="93">
        <f>AC6613/AA6615</f>
        <v>5.1750000000000007</v>
      </c>
      <c r="AD6615" s="94">
        <f t="shared" si="4691"/>
        <v>9.1080000000000005</v>
      </c>
      <c r="AE6615" s="190"/>
      <c r="AF6615" s="191"/>
      <c r="AG6615" s="191"/>
      <c r="AH6615" s="191"/>
      <c r="AI6615" s="186"/>
      <c r="AK6615" s="171"/>
    </row>
    <row r="6616" spans="1:41" s="102" customFormat="1" ht="19.899999999999999" customHeight="1" x14ac:dyDescent="0.25">
      <c r="A6616" s="45"/>
      <c r="B6616" s="59"/>
      <c r="C6616" s="137"/>
      <c r="D6616" s="59"/>
      <c r="E6616" s="116"/>
      <c r="F6616" s="120"/>
      <c r="G6616" s="120"/>
      <c r="H6616" s="120"/>
      <c r="I6616" s="60"/>
      <c r="J6616" s="116"/>
      <c r="K6616" s="213"/>
      <c r="L6616" s="120"/>
      <c r="M6616" s="120"/>
      <c r="N6616" s="167"/>
      <c r="O6616" s="120"/>
      <c r="P6616" s="120"/>
      <c r="Q6616" s="120"/>
      <c r="R6616" s="120"/>
      <c r="S6616" s="120"/>
      <c r="T6616" s="221"/>
      <c r="U6616" s="89"/>
      <c r="V6616" s="61"/>
      <c r="W6616" s="92" t="s">
        <v>161</v>
      </c>
      <c r="X6616" s="93" t="s">
        <v>29</v>
      </c>
      <c r="Y6616" s="93" t="s">
        <v>93</v>
      </c>
      <c r="Z6616" s="134">
        <f>VLOOKUP(W6616,Sheet2!$B:$D,3,FALSE)</f>
        <v>48</v>
      </c>
      <c r="AA6616" s="93">
        <f>(16*0.85*1.5)/((1.6*1.5)-(0.4*0.25))</f>
        <v>8.8695652173913029</v>
      </c>
      <c r="AB6616" s="93">
        <f>AD6616/AC6613</f>
        <v>5.4117647058823533</v>
      </c>
      <c r="AC6616" s="93">
        <f>AC6613/AA6616</f>
        <v>2.8186274509803928</v>
      </c>
      <c r="AD6616" s="94">
        <f>AC6616*Z6616</f>
        <v>135.29411764705884</v>
      </c>
      <c r="AE6616" s="190"/>
      <c r="AF6616" s="191"/>
      <c r="AG6616" s="191"/>
      <c r="AH6616" s="191"/>
      <c r="AI6616" s="186"/>
      <c r="AK6616" s="171"/>
    </row>
    <row r="6617" spans="1:41" s="102" customFormat="1" ht="19.899999999999999" customHeight="1" x14ac:dyDescent="0.25">
      <c r="A6617" s="45"/>
      <c r="B6617" s="59"/>
      <c r="C6617" s="137"/>
      <c r="D6617" s="59"/>
      <c r="E6617" s="116"/>
      <c r="F6617" s="120"/>
      <c r="G6617" s="120"/>
      <c r="H6617" s="120"/>
      <c r="I6617" s="60"/>
      <c r="J6617" s="116"/>
      <c r="K6617" s="213"/>
      <c r="L6617" s="120"/>
      <c r="M6617" s="120"/>
      <c r="N6617" s="167"/>
      <c r="O6617" s="120"/>
      <c r="P6617" s="120"/>
      <c r="Q6617" s="120"/>
      <c r="R6617" s="120"/>
      <c r="S6617" s="120"/>
      <c r="T6617" s="221"/>
      <c r="U6617" s="89"/>
      <c r="V6617" s="61"/>
      <c r="W6617" s="92" t="s">
        <v>65</v>
      </c>
      <c r="X6617" s="93" t="s">
        <v>30</v>
      </c>
      <c r="Y6617" s="93" t="s">
        <v>1011</v>
      </c>
      <c r="Z6617" s="134">
        <f>VLOOKUP(W6617,Sheet2!$B:$D,3,FALSE)</f>
        <v>1.76</v>
      </c>
      <c r="AA6617" s="93">
        <f>AA6616/10</f>
        <v>0.88695652173913031</v>
      </c>
      <c r="AB6617" s="93">
        <f>AD6617/AC6613</f>
        <v>1.9843137254901964</v>
      </c>
      <c r="AC6617" s="93">
        <f>AC6613/AA6617</f>
        <v>28.186274509803926</v>
      </c>
      <c r="AD6617" s="94">
        <f>AC6617*Z6617</f>
        <v>49.60784313725491</v>
      </c>
      <c r="AE6617" s="190"/>
      <c r="AF6617" s="191"/>
      <c r="AG6617" s="191"/>
      <c r="AH6617" s="191"/>
      <c r="AI6617" s="186"/>
      <c r="AK6617" s="171"/>
    </row>
    <row r="6618" spans="1:41" s="102" customFormat="1" ht="19.899999999999999" customHeight="1" x14ac:dyDescent="0.25">
      <c r="A6618" s="45"/>
      <c r="B6618" s="59"/>
      <c r="C6618" s="137"/>
      <c r="D6618" s="59"/>
      <c r="E6618" s="116"/>
      <c r="F6618" s="120"/>
      <c r="G6618" s="120"/>
      <c r="H6618" s="120"/>
      <c r="I6618" s="60"/>
      <c r="J6618" s="116"/>
      <c r="K6618" s="213"/>
      <c r="L6618" s="120"/>
      <c r="M6618" s="120"/>
      <c r="N6618" s="167"/>
      <c r="O6618" s="120"/>
      <c r="P6618" s="120"/>
      <c r="Q6618" s="120"/>
      <c r="R6618" s="120"/>
      <c r="S6618" s="120"/>
      <c r="T6618" s="221"/>
      <c r="U6618" s="89"/>
      <c r="V6618" s="61"/>
      <c r="W6618" s="92" t="s">
        <v>173</v>
      </c>
      <c r="X6618" s="93" t="s">
        <v>29</v>
      </c>
      <c r="Y6618" s="93" t="s">
        <v>93</v>
      </c>
      <c r="Z6618" s="134">
        <f>VLOOKUP(W6618,Sheet2!$B:$D,3,FALSE)</f>
        <v>36</v>
      </c>
      <c r="AA6618" s="93">
        <f>50/((1.6*1.5)-(0.4*0.25))</f>
        <v>21.739130434782606</v>
      </c>
      <c r="AB6618" s="93">
        <f>AD6618/AC6613</f>
        <v>1.6560000000000001</v>
      </c>
      <c r="AC6618" s="93">
        <f>AC6613/AA6618</f>
        <v>1.1500000000000001</v>
      </c>
      <c r="AD6618" s="94">
        <f>AC6618*Z6618</f>
        <v>41.400000000000006</v>
      </c>
      <c r="AE6618" s="190"/>
      <c r="AF6618" s="191"/>
      <c r="AG6618" s="191"/>
      <c r="AH6618" s="191"/>
      <c r="AI6618" s="186"/>
      <c r="AK6618" s="171"/>
    </row>
    <row r="6619" spans="1:41" s="102" customFormat="1" ht="19.899999999999999" customHeight="1" x14ac:dyDescent="0.25">
      <c r="A6619" s="45"/>
      <c r="B6619" s="59"/>
      <c r="C6619" s="137"/>
      <c r="D6619" s="59"/>
      <c r="E6619" s="116"/>
      <c r="F6619" s="120"/>
      <c r="G6619" s="120"/>
      <c r="H6619" s="120"/>
      <c r="I6619" s="60"/>
      <c r="J6619" s="116"/>
      <c r="K6619" s="213"/>
      <c r="L6619" s="120"/>
      <c r="M6619" s="120"/>
      <c r="N6619" s="167"/>
      <c r="O6619" s="120"/>
      <c r="P6619" s="120"/>
      <c r="Q6619" s="120"/>
      <c r="R6619" s="120"/>
      <c r="S6619" s="120"/>
      <c r="T6619" s="221"/>
      <c r="U6619" s="89"/>
      <c r="V6619" s="61"/>
      <c r="W6619" s="92" t="s">
        <v>65</v>
      </c>
      <c r="X6619" s="93" t="s">
        <v>30</v>
      </c>
      <c r="Y6619" s="93" t="s">
        <v>1011</v>
      </c>
      <c r="Z6619" s="134">
        <f>VLOOKUP(W6619,Sheet2!$B:$D,3,FALSE)</f>
        <v>1.76</v>
      </c>
      <c r="AA6619" s="93">
        <f>AA6618/9</f>
        <v>2.4154589371980673</v>
      </c>
      <c r="AB6619" s="93">
        <f>AD6619/AC6613</f>
        <v>0.72864000000000007</v>
      </c>
      <c r="AC6619" s="93">
        <f>AC6613/AA6619</f>
        <v>10.350000000000001</v>
      </c>
      <c r="AD6619" s="94">
        <f>AC6619*Z6619</f>
        <v>18.216000000000001</v>
      </c>
      <c r="AE6619" s="190"/>
      <c r="AF6619" s="191"/>
      <c r="AG6619" s="191"/>
      <c r="AH6619" s="191"/>
      <c r="AI6619" s="186"/>
      <c r="AK6619" s="171"/>
    </row>
    <row r="6620" spans="1:41" s="102" customFormat="1" ht="19.899999999999999" customHeight="1" x14ac:dyDescent="0.25">
      <c r="A6620" s="45"/>
      <c r="B6620" s="59"/>
      <c r="C6620" s="137"/>
      <c r="D6620" s="59"/>
      <c r="E6620" s="116"/>
      <c r="F6620" s="120"/>
      <c r="G6620" s="120"/>
      <c r="H6620" s="120"/>
      <c r="I6620" s="60"/>
      <c r="J6620" s="116"/>
      <c r="K6620" s="213"/>
      <c r="L6620" s="120"/>
      <c r="M6620" s="120"/>
      <c r="N6620" s="167"/>
      <c r="O6620" s="120"/>
      <c r="P6620" s="120"/>
      <c r="Q6620" s="120"/>
      <c r="R6620" s="120"/>
      <c r="S6620" s="120"/>
      <c r="T6620" s="221"/>
      <c r="U6620" s="89"/>
      <c r="V6620" s="61"/>
      <c r="W6620" s="92" t="s">
        <v>148</v>
      </c>
      <c r="X6620" s="93" t="s">
        <v>29</v>
      </c>
      <c r="Y6620" s="93" t="s">
        <v>93</v>
      </c>
      <c r="Z6620" s="134">
        <f>VLOOKUP(W6620,Sheet2!$B:$D,3,FALSE)</f>
        <v>48</v>
      </c>
      <c r="AA6620" s="93">
        <f>7.2/(1.6*1.5*0.1)</f>
        <v>29.999999999999996</v>
      </c>
      <c r="AB6620" s="93">
        <f>AD6620/AC6613</f>
        <v>1.6000000000000003</v>
      </c>
      <c r="AC6620" s="93">
        <f>AC6613/AA6620</f>
        <v>0.83333333333333348</v>
      </c>
      <c r="AD6620" s="94">
        <f t="shared" ref="AD6620:AD6623" si="4692">AC6620*Z6620</f>
        <v>40.000000000000007</v>
      </c>
      <c r="AE6620" s="190"/>
      <c r="AF6620" s="191"/>
      <c r="AG6620" s="191"/>
      <c r="AH6620" s="191"/>
      <c r="AI6620" s="186"/>
      <c r="AK6620" s="171"/>
    </row>
    <row r="6621" spans="1:41" s="102" customFormat="1" ht="19.899999999999999" customHeight="1" x14ac:dyDescent="0.25">
      <c r="A6621" s="45"/>
      <c r="B6621" s="59"/>
      <c r="C6621" s="137"/>
      <c r="D6621" s="59"/>
      <c r="E6621" s="116"/>
      <c r="F6621" s="120"/>
      <c r="G6621" s="120"/>
      <c r="H6621" s="120"/>
      <c r="I6621" s="60"/>
      <c r="J6621" s="116"/>
      <c r="K6621" s="213"/>
      <c r="L6621" s="120"/>
      <c r="M6621" s="120"/>
      <c r="N6621" s="167"/>
      <c r="O6621" s="120"/>
      <c r="P6621" s="120"/>
      <c r="Q6621" s="120"/>
      <c r="R6621" s="120"/>
      <c r="S6621" s="120"/>
      <c r="T6621" s="221"/>
      <c r="U6621" s="89"/>
      <c r="V6621" s="61"/>
      <c r="W6621" s="92" t="s">
        <v>65</v>
      </c>
      <c r="X6621" s="93" t="s">
        <v>30</v>
      </c>
      <c r="Y6621" s="93" t="s">
        <v>1011</v>
      </c>
      <c r="Z6621" s="134">
        <f>VLOOKUP(W6621,Sheet2!$B:$D,3,FALSE)</f>
        <v>1.76</v>
      </c>
      <c r="AA6621" s="93">
        <f>AA6620/10</f>
        <v>2.9999999999999996</v>
      </c>
      <c r="AB6621" s="93">
        <f>AD6621/AC6613</f>
        <v>0.58666666666666667</v>
      </c>
      <c r="AC6621" s="93">
        <f>AC6613/AA6621</f>
        <v>8.3333333333333339</v>
      </c>
      <c r="AD6621" s="94">
        <f t="shared" si="4692"/>
        <v>14.666666666666668</v>
      </c>
      <c r="AE6621" s="190"/>
      <c r="AF6621" s="191"/>
      <c r="AG6621" s="191"/>
      <c r="AH6621" s="191"/>
      <c r="AI6621" s="186"/>
      <c r="AK6621" s="171"/>
    </row>
    <row r="6622" spans="1:41" s="102" customFormat="1" ht="19.899999999999999" customHeight="1" x14ac:dyDescent="0.25">
      <c r="A6622" s="45"/>
      <c r="B6622" s="59"/>
      <c r="C6622" s="137"/>
      <c r="D6622" s="59"/>
      <c r="E6622" s="116"/>
      <c r="F6622" s="120"/>
      <c r="G6622" s="120"/>
      <c r="H6622" s="120"/>
      <c r="I6622" s="60"/>
      <c r="J6622" s="116"/>
      <c r="K6622" s="213"/>
      <c r="L6622" s="120"/>
      <c r="M6622" s="120"/>
      <c r="N6622" s="167"/>
      <c r="O6622" s="120"/>
      <c r="P6622" s="120"/>
      <c r="Q6622" s="120"/>
      <c r="R6622" s="120"/>
      <c r="S6622" s="120"/>
      <c r="T6622" s="221"/>
      <c r="U6622" s="89"/>
      <c r="V6622" s="61"/>
      <c r="W6622" s="92" t="s">
        <v>1030</v>
      </c>
      <c r="X6622" s="93" t="s">
        <v>29</v>
      </c>
      <c r="Y6622" s="93" t="s">
        <v>93</v>
      </c>
      <c r="Z6622" s="134">
        <f>VLOOKUP(W6622,Sheet2!$B:$D,3,FALSE)</f>
        <v>23</v>
      </c>
      <c r="AA6622" s="93">
        <v>25</v>
      </c>
      <c r="AB6622" s="93">
        <f>AD6622/AC6613</f>
        <v>0.92</v>
      </c>
      <c r="AC6622" s="93">
        <f>AC6613/AA6622</f>
        <v>1</v>
      </c>
      <c r="AD6622" s="94">
        <f t="shared" si="4692"/>
        <v>23</v>
      </c>
      <c r="AE6622" s="190"/>
      <c r="AF6622" s="191"/>
      <c r="AG6622" s="191"/>
      <c r="AH6622" s="191"/>
      <c r="AI6622" s="186"/>
      <c r="AK6622" s="171"/>
    </row>
    <row r="6623" spans="1:41" s="102" customFormat="1" ht="19.899999999999999" customHeight="1" x14ac:dyDescent="0.25">
      <c r="A6623" s="45"/>
      <c r="B6623" s="59"/>
      <c r="C6623" s="137"/>
      <c r="D6623" s="59"/>
      <c r="E6623" s="116"/>
      <c r="F6623" s="120"/>
      <c r="G6623" s="120"/>
      <c r="H6623" s="120"/>
      <c r="I6623" s="60"/>
      <c r="J6623" s="116"/>
      <c r="K6623" s="213"/>
      <c r="L6623" s="120"/>
      <c r="M6623" s="120"/>
      <c r="N6623" s="167"/>
      <c r="O6623" s="120"/>
      <c r="P6623" s="120"/>
      <c r="Q6623" s="120"/>
      <c r="R6623" s="120"/>
      <c r="S6623" s="120"/>
      <c r="T6623" s="221"/>
      <c r="U6623" s="89"/>
      <c r="V6623" s="61"/>
      <c r="W6623" s="92" t="s">
        <v>65</v>
      </c>
      <c r="X6623" s="93" t="s">
        <v>30</v>
      </c>
      <c r="Y6623" s="93" t="s">
        <v>1011</v>
      </c>
      <c r="Z6623" s="134">
        <f>VLOOKUP(W6623,Sheet2!$B:$D,3,FALSE)</f>
        <v>1.76</v>
      </c>
      <c r="AA6623" s="93">
        <f>AA6622/3</f>
        <v>8.3333333333333339</v>
      </c>
      <c r="AB6623" s="93">
        <f>AD6623/AC6613</f>
        <v>0.2112</v>
      </c>
      <c r="AC6623" s="93">
        <f>AC6613/AA6623</f>
        <v>3</v>
      </c>
      <c r="AD6623" s="94">
        <f t="shared" si="4692"/>
        <v>5.28</v>
      </c>
      <c r="AE6623" s="190"/>
      <c r="AF6623" s="191"/>
      <c r="AG6623" s="191"/>
      <c r="AH6623" s="191"/>
      <c r="AI6623" s="186"/>
      <c r="AK6623" s="171"/>
    </row>
    <row r="6624" spans="1:41" ht="20.100000000000001" customHeight="1" x14ac:dyDescent="0.25">
      <c r="A6624" s="277" t="s">
        <v>491</v>
      </c>
      <c r="B6624" s="278"/>
      <c r="C6624" s="64" t="s">
        <v>668</v>
      </c>
      <c r="D6624" s="46" t="s">
        <v>97</v>
      </c>
      <c r="E6624" s="114">
        <v>20</v>
      </c>
      <c r="F6624" s="44">
        <v>380</v>
      </c>
      <c r="G6624" s="44">
        <f t="shared" si="4575"/>
        <v>7600</v>
      </c>
      <c r="H6624" s="44">
        <f t="shared" si="4576"/>
        <v>187.22548517647058</v>
      </c>
      <c r="I6624" s="43">
        <f t="shared" si="4577"/>
        <v>3744.5097035294116</v>
      </c>
      <c r="J6624" s="112">
        <f t="shared" si="4578"/>
        <v>20</v>
      </c>
      <c r="K6624" s="211">
        <f t="shared" si="4579"/>
        <v>20</v>
      </c>
      <c r="L6624" s="44"/>
      <c r="M6624" s="44">
        <f t="shared" si="4580"/>
        <v>20</v>
      </c>
      <c r="N6624" s="173">
        <f t="shared" si="4581"/>
        <v>1</v>
      </c>
      <c r="O6624" s="44">
        <f t="shared" si="4582"/>
        <v>380</v>
      </c>
      <c r="P6624" s="44">
        <f t="shared" si="4583"/>
        <v>7600</v>
      </c>
      <c r="Q6624" s="44">
        <f t="shared" si="4584"/>
        <v>187.22548517647058</v>
      </c>
      <c r="R6624" s="44">
        <f t="shared" si="4585"/>
        <v>3744.5097035294116</v>
      </c>
      <c r="S6624" s="123"/>
      <c r="T6624" s="219">
        <f t="shared" si="4586"/>
        <v>3744.5097035294116</v>
      </c>
      <c r="U6624" s="87"/>
      <c r="V6624" s="47"/>
      <c r="W6624" s="48"/>
      <c r="X6624" s="48"/>
      <c r="Y6624" s="48"/>
      <c r="Z6624" s="135"/>
      <c r="AA6624" s="49"/>
      <c r="AB6624" s="50">
        <f t="shared" si="4587"/>
        <v>187.22548517647058</v>
      </c>
      <c r="AC6624" s="42">
        <f t="shared" si="4588"/>
        <v>20</v>
      </c>
      <c r="AD6624" s="90">
        <f>AD6625+AD6632+AD6638</f>
        <v>3744.5097035294116</v>
      </c>
      <c r="AE6624" s="188">
        <f t="shared" ref="AE6624:AH6624" si="4693">AE6625+AE6632+AE6638</f>
        <v>0</v>
      </c>
      <c r="AF6624" s="189">
        <f t="shared" si="4693"/>
        <v>0</v>
      </c>
      <c r="AG6624" s="189">
        <f t="shared" si="4693"/>
        <v>0</v>
      </c>
      <c r="AH6624" s="189">
        <f t="shared" si="4693"/>
        <v>0</v>
      </c>
      <c r="AI6624" s="161">
        <f t="shared" ref="AI6624" si="4694">SUM(AE6624:AH6624)</f>
        <v>0</v>
      </c>
      <c r="AK6624" s="169">
        <v>5</v>
      </c>
      <c r="AO6624" s="19" t="s">
        <v>63</v>
      </c>
    </row>
    <row r="6625" spans="1:37" s="103" customFormat="1" ht="19.899999999999999" customHeight="1" x14ac:dyDescent="0.25">
      <c r="A6625" s="51"/>
      <c r="B6625" s="52"/>
      <c r="C6625" s="165"/>
      <c r="D6625" s="52"/>
      <c r="E6625" s="115"/>
      <c r="F6625" s="58"/>
      <c r="G6625" s="58"/>
      <c r="H6625" s="58"/>
      <c r="I6625" s="55"/>
      <c r="J6625" s="113">
        <f>J6624</f>
        <v>20</v>
      </c>
      <c r="K6625" s="212">
        <f>K6624</f>
        <v>20</v>
      </c>
      <c r="L6625" s="58"/>
      <c r="M6625" s="58">
        <f>K6625-L6625</f>
        <v>20</v>
      </c>
      <c r="N6625" s="166"/>
      <c r="O6625" s="58"/>
      <c r="P6625" s="58"/>
      <c r="Q6625" s="58"/>
      <c r="R6625" s="58"/>
      <c r="S6625" s="58"/>
      <c r="T6625" s="220"/>
      <c r="U6625" s="88"/>
      <c r="V6625" s="56"/>
      <c r="W6625" s="57" t="s">
        <v>1605</v>
      </c>
      <c r="X6625" s="53"/>
      <c r="Y6625" s="91" t="s">
        <v>68</v>
      </c>
      <c r="Z6625" s="136">
        <f>AD6625/AC6625</f>
        <v>11.929119999999999</v>
      </c>
      <c r="AA6625" s="58"/>
      <c r="AB6625" s="53">
        <f>AD6625/AC6625</f>
        <v>11.929119999999999</v>
      </c>
      <c r="AC6625" s="53">
        <f>M6625+$AE$10</f>
        <v>20</v>
      </c>
      <c r="AD6625" s="54">
        <f>SUM(AD6626:AD6631)</f>
        <v>238.58239999999998</v>
      </c>
      <c r="AE6625" s="184">
        <f>SUMIFS($AD$37:$AD$12971,$V$37:$V$12971,$V6625,$X$37:$X$12971,AE$13)</f>
        <v>0</v>
      </c>
      <c r="AF6625" s="185">
        <f>SUMIFS($AD$37:$AD$12971,$V$37:$V$12971,$V6625,$X$37:$X$12971,AF$13)</f>
        <v>0</v>
      </c>
      <c r="AG6625" s="185">
        <f>SUMIFS($AD$37:$AD$12971,$V$37:$V$12971,$V6625,$X$37:$X$12971,AG$13)</f>
        <v>0</v>
      </c>
      <c r="AH6625" s="187">
        <f>SUMIFS($AD$37:$AD$12971,$V$37:$V$12971,$V6625,$X$37:$X$12971,AH$13)</f>
        <v>0</v>
      </c>
      <c r="AI6625" s="161">
        <f t="shared" ref="AI6625" si="4695">SUM(AE6625:AH6625)</f>
        <v>0</v>
      </c>
      <c r="AK6625" s="172"/>
    </row>
    <row r="6626" spans="1:37" s="102" customFormat="1" ht="19.899999999999999" customHeight="1" x14ac:dyDescent="0.25">
      <c r="A6626" s="45"/>
      <c r="B6626" s="59"/>
      <c r="C6626" s="137"/>
      <c r="D6626" s="59"/>
      <c r="E6626" s="116"/>
      <c r="F6626" s="120"/>
      <c r="G6626" s="120"/>
      <c r="H6626" s="120"/>
      <c r="I6626" s="60"/>
      <c r="J6626" s="116"/>
      <c r="K6626" s="213"/>
      <c r="L6626" s="120"/>
      <c r="M6626" s="120"/>
      <c r="N6626" s="167"/>
      <c r="O6626" s="120"/>
      <c r="P6626" s="120"/>
      <c r="Q6626" s="120"/>
      <c r="R6626" s="120"/>
      <c r="S6626" s="120"/>
      <c r="T6626" s="221"/>
      <c r="U6626" s="89"/>
      <c r="V6626" s="61"/>
      <c r="W6626" s="92" t="s">
        <v>129</v>
      </c>
      <c r="X6626" s="93" t="s">
        <v>29</v>
      </c>
      <c r="Y6626" s="93" t="s">
        <v>93</v>
      </c>
      <c r="Z6626" s="134">
        <f>VLOOKUP(W6626,Sheet2!$B:$D,3,FALSE)</f>
        <v>56</v>
      </c>
      <c r="AA6626" s="93">
        <f>100/(1.7*1.5)</f>
        <v>39.215686274509807</v>
      </c>
      <c r="AB6626" s="93">
        <f t="shared" ref="AB6626" si="4696">AD6626/AC6625</f>
        <v>1.4280000000000002</v>
      </c>
      <c r="AC6626" s="93">
        <f>AC6625/AA6626</f>
        <v>0.51</v>
      </c>
      <c r="AD6626" s="94">
        <f t="shared" ref="AD6626:AD6627" si="4697">AC6626*Z6626</f>
        <v>28.560000000000002</v>
      </c>
      <c r="AE6626" s="190"/>
      <c r="AF6626" s="191"/>
      <c r="AG6626" s="191"/>
      <c r="AH6626" s="191"/>
      <c r="AI6626" s="186"/>
      <c r="AK6626" s="171"/>
    </row>
    <row r="6627" spans="1:37" s="102" customFormat="1" ht="19.899999999999999" customHeight="1" x14ac:dyDescent="0.25">
      <c r="A6627" s="45"/>
      <c r="B6627" s="59"/>
      <c r="C6627" s="137"/>
      <c r="D6627" s="59"/>
      <c r="E6627" s="116"/>
      <c r="F6627" s="120"/>
      <c r="G6627" s="120"/>
      <c r="H6627" s="120"/>
      <c r="I6627" s="60"/>
      <c r="J6627" s="116"/>
      <c r="K6627" s="213"/>
      <c r="L6627" s="120"/>
      <c r="M6627" s="120"/>
      <c r="N6627" s="167"/>
      <c r="O6627" s="120"/>
      <c r="P6627" s="120"/>
      <c r="Q6627" s="120"/>
      <c r="R6627" s="120"/>
      <c r="S6627" s="120"/>
      <c r="T6627" s="221"/>
      <c r="U6627" s="89"/>
      <c r="V6627" s="61"/>
      <c r="W6627" s="92" t="s">
        <v>65</v>
      </c>
      <c r="X6627" s="93" t="s">
        <v>30</v>
      </c>
      <c r="Y6627" s="93" t="s">
        <v>1011</v>
      </c>
      <c r="Z6627" s="134">
        <f>VLOOKUP(W6627,Sheet2!$B:$D,3,FALSE)</f>
        <v>1.76</v>
      </c>
      <c r="AA6627" s="93">
        <f>AA6626/14</f>
        <v>2.801120448179272</v>
      </c>
      <c r="AB6627" s="93">
        <f>AD6627/AC6625</f>
        <v>0.62831999999999999</v>
      </c>
      <c r="AC6627" s="93">
        <f>AC6625/AA6627</f>
        <v>7.14</v>
      </c>
      <c r="AD6627" s="94">
        <f t="shared" si="4697"/>
        <v>12.5664</v>
      </c>
      <c r="AE6627" s="190"/>
      <c r="AF6627" s="191"/>
      <c r="AG6627" s="191"/>
      <c r="AH6627" s="191"/>
      <c r="AI6627" s="186"/>
      <c r="AK6627" s="171"/>
    </row>
    <row r="6628" spans="1:37" s="102" customFormat="1" ht="19.899999999999999" customHeight="1" x14ac:dyDescent="0.25">
      <c r="A6628" s="45"/>
      <c r="B6628" s="59"/>
      <c r="C6628" s="137"/>
      <c r="D6628" s="59"/>
      <c r="E6628" s="116"/>
      <c r="F6628" s="120"/>
      <c r="G6628" s="120"/>
      <c r="H6628" s="120"/>
      <c r="I6628" s="60"/>
      <c r="J6628" s="116"/>
      <c r="K6628" s="213"/>
      <c r="L6628" s="120"/>
      <c r="M6628" s="120"/>
      <c r="N6628" s="167"/>
      <c r="O6628" s="120"/>
      <c r="P6628" s="120"/>
      <c r="Q6628" s="120"/>
      <c r="R6628" s="120"/>
      <c r="S6628" s="120"/>
      <c r="T6628" s="221"/>
      <c r="U6628" s="89"/>
      <c r="V6628" s="61"/>
      <c r="W6628" s="92" t="s">
        <v>161</v>
      </c>
      <c r="X6628" s="93" t="s">
        <v>29</v>
      </c>
      <c r="Y6628" s="93" t="s">
        <v>93</v>
      </c>
      <c r="Z6628" s="134">
        <f>VLOOKUP(W6628,Sheet2!$B:$D,3,FALSE)</f>
        <v>48</v>
      </c>
      <c r="AA6628" s="93">
        <f>(16*0.85*1.5)/(1.7*1.5)</f>
        <v>8</v>
      </c>
      <c r="AB6628" s="93">
        <f>AD6628/AC6625</f>
        <v>6</v>
      </c>
      <c r="AC6628" s="93">
        <f>AC6625/AA6628</f>
        <v>2.5</v>
      </c>
      <c r="AD6628" s="94">
        <f>AC6628*Z6628</f>
        <v>120</v>
      </c>
      <c r="AE6628" s="190"/>
      <c r="AF6628" s="191"/>
      <c r="AG6628" s="191"/>
      <c r="AH6628" s="191"/>
      <c r="AI6628" s="186"/>
      <c r="AK6628" s="171"/>
    </row>
    <row r="6629" spans="1:37" s="102" customFormat="1" ht="19.899999999999999" customHeight="1" x14ac:dyDescent="0.25">
      <c r="A6629" s="45"/>
      <c r="B6629" s="59"/>
      <c r="C6629" s="137"/>
      <c r="D6629" s="59"/>
      <c r="E6629" s="116"/>
      <c r="F6629" s="120"/>
      <c r="G6629" s="120"/>
      <c r="H6629" s="120"/>
      <c r="I6629" s="60"/>
      <c r="J6629" s="116"/>
      <c r="K6629" s="213"/>
      <c r="L6629" s="120"/>
      <c r="M6629" s="120"/>
      <c r="N6629" s="167"/>
      <c r="O6629" s="120"/>
      <c r="P6629" s="120"/>
      <c r="Q6629" s="120"/>
      <c r="R6629" s="120"/>
      <c r="S6629" s="120"/>
      <c r="T6629" s="221"/>
      <c r="U6629" s="89"/>
      <c r="V6629" s="61"/>
      <c r="W6629" s="92" t="s">
        <v>65</v>
      </c>
      <c r="X6629" s="93" t="s">
        <v>30</v>
      </c>
      <c r="Y6629" s="93" t="s">
        <v>1011</v>
      </c>
      <c r="Z6629" s="134">
        <f>VLOOKUP(W6629,Sheet2!$B:$D,3,FALSE)</f>
        <v>1.76</v>
      </c>
      <c r="AA6629" s="93">
        <f>AA6628/10</f>
        <v>0.8</v>
      </c>
      <c r="AB6629" s="93">
        <f>AD6629/AC6625</f>
        <v>2.2000000000000002</v>
      </c>
      <c r="AC6629" s="93">
        <f>AC6625/AA6629</f>
        <v>25</v>
      </c>
      <c r="AD6629" s="94">
        <f>AC6629*Z6629</f>
        <v>44</v>
      </c>
      <c r="AE6629" s="190"/>
      <c r="AF6629" s="191"/>
      <c r="AG6629" s="191"/>
      <c r="AH6629" s="191"/>
      <c r="AI6629" s="186"/>
      <c r="AK6629" s="171"/>
    </row>
    <row r="6630" spans="1:37" s="102" customFormat="1" ht="19.899999999999999" customHeight="1" x14ac:dyDescent="0.25">
      <c r="A6630" s="45"/>
      <c r="B6630" s="59"/>
      <c r="C6630" s="137"/>
      <c r="D6630" s="59"/>
      <c r="E6630" s="116"/>
      <c r="F6630" s="120"/>
      <c r="G6630" s="120"/>
      <c r="H6630" s="120"/>
      <c r="I6630" s="60"/>
      <c r="J6630" s="116"/>
      <c r="K6630" s="213"/>
      <c r="L6630" s="120"/>
      <c r="M6630" s="120"/>
      <c r="N6630" s="167"/>
      <c r="O6630" s="120"/>
      <c r="P6630" s="120"/>
      <c r="Q6630" s="120"/>
      <c r="R6630" s="120"/>
      <c r="S6630" s="120"/>
      <c r="T6630" s="221"/>
      <c r="U6630" s="89"/>
      <c r="V6630" s="61"/>
      <c r="W6630" s="92" t="s">
        <v>148</v>
      </c>
      <c r="X6630" s="93" t="s">
        <v>29</v>
      </c>
      <c r="Y6630" s="93" t="s">
        <v>93</v>
      </c>
      <c r="Z6630" s="134">
        <f>VLOOKUP(W6630,Sheet2!$B:$D,3,FALSE)</f>
        <v>48</v>
      </c>
      <c r="AA6630" s="93">
        <f>AA6626</f>
        <v>39.215686274509807</v>
      </c>
      <c r="AB6630" s="93">
        <f>AD6630/AC6625</f>
        <v>1.224</v>
      </c>
      <c r="AC6630" s="93">
        <f>AC6625/AA6630</f>
        <v>0.51</v>
      </c>
      <c r="AD6630" s="94">
        <f t="shared" ref="AD6630:AD6631" si="4698">AC6630*Z6630</f>
        <v>24.48</v>
      </c>
      <c r="AE6630" s="190"/>
      <c r="AF6630" s="191"/>
      <c r="AG6630" s="191"/>
      <c r="AH6630" s="191"/>
      <c r="AI6630" s="186"/>
      <c r="AK6630" s="171"/>
    </row>
    <row r="6631" spans="1:37" s="102" customFormat="1" ht="19.899999999999999" customHeight="1" x14ac:dyDescent="0.25">
      <c r="A6631" s="45"/>
      <c r="B6631" s="59"/>
      <c r="C6631" s="137"/>
      <c r="D6631" s="59"/>
      <c r="E6631" s="116"/>
      <c r="F6631" s="120"/>
      <c r="G6631" s="120"/>
      <c r="H6631" s="120"/>
      <c r="I6631" s="60"/>
      <c r="J6631" s="116"/>
      <c r="K6631" s="213"/>
      <c r="L6631" s="120"/>
      <c r="M6631" s="120"/>
      <c r="N6631" s="167"/>
      <c r="O6631" s="120"/>
      <c r="P6631" s="120"/>
      <c r="Q6631" s="120"/>
      <c r="R6631" s="120"/>
      <c r="S6631" s="120"/>
      <c r="T6631" s="221"/>
      <c r="U6631" s="89"/>
      <c r="V6631" s="61"/>
      <c r="W6631" s="92" t="s">
        <v>65</v>
      </c>
      <c r="X6631" s="93" t="s">
        <v>30</v>
      </c>
      <c r="Y6631" s="93" t="s">
        <v>1011</v>
      </c>
      <c r="Z6631" s="134">
        <f>VLOOKUP(W6631,Sheet2!$B:$D,3,FALSE)</f>
        <v>1.76</v>
      </c>
      <c r="AA6631" s="93">
        <f>AA6630/10</f>
        <v>3.9215686274509807</v>
      </c>
      <c r="AB6631" s="93">
        <f>AD6631/AC6625</f>
        <v>0.44879999999999998</v>
      </c>
      <c r="AC6631" s="93">
        <f>AC6625/AA6631</f>
        <v>5.0999999999999996</v>
      </c>
      <c r="AD6631" s="94">
        <f t="shared" si="4698"/>
        <v>8.9759999999999991</v>
      </c>
      <c r="AE6631" s="190"/>
      <c r="AF6631" s="191"/>
      <c r="AG6631" s="191"/>
      <c r="AH6631" s="191"/>
      <c r="AI6631" s="186"/>
      <c r="AK6631" s="171"/>
    </row>
    <row r="6632" spans="1:37" s="103" customFormat="1" ht="19.899999999999999" customHeight="1" x14ac:dyDescent="0.25">
      <c r="A6632" s="51"/>
      <c r="B6632" s="52"/>
      <c r="C6632" s="165"/>
      <c r="D6632" s="52"/>
      <c r="E6632" s="115"/>
      <c r="F6632" s="58"/>
      <c r="G6632" s="58"/>
      <c r="H6632" s="58"/>
      <c r="I6632" s="55"/>
      <c r="J6632" s="113">
        <f>J6624</f>
        <v>20</v>
      </c>
      <c r="K6632" s="212">
        <f>K6624</f>
        <v>20</v>
      </c>
      <c r="L6632" s="58"/>
      <c r="M6632" s="58">
        <f>K6632-L6632</f>
        <v>20</v>
      </c>
      <c r="N6632" s="166"/>
      <c r="O6632" s="58"/>
      <c r="P6632" s="58"/>
      <c r="Q6632" s="58"/>
      <c r="R6632" s="58"/>
      <c r="S6632" s="58"/>
      <c r="T6632" s="220"/>
      <c r="U6632" s="88"/>
      <c r="V6632" s="56"/>
      <c r="W6632" s="57" t="s">
        <v>1031</v>
      </c>
      <c r="X6632" s="53"/>
      <c r="Y6632" s="91" t="s">
        <v>68</v>
      </c>
      <c r="Z6632" s="136">
        <f>AD6632/AC6632</f>
        <v>160.34</v>
      </c>
      <c r="AA6632" s="58"/>
      <c r="AB6632" s="53">
        <f>AD6632/AC6632</f>
        <v>160.34</v>
      </c>
      <c r="AC6632" s="53">
        <f>M6632+$AE$10</f>
        <v>20</v>
      </c>
      <c r="AD6632" s="54">
        <f>SUM(AD6633:AD6637)</f>
        <v>3206.8</v>
      </c>
      <c r="AE6632" s="184">
        <f>SUMIFS($AD$37:$AD$12971,$V$37:$V$12971,$V6632,$X$37:$X$12971,AE$13)</f>
        <v>0</v>
      </c>
      <c r="AF6632" s="185">
        <f>SUMIFS($AD$37:$AD$12971,$V$37:$V$12971,$V6632,$X$37:$X$12971,AF$13)</f>
        <v>0</v>
      </c>
      <c r="AG6632" s="185">
        <f>SUMIFS($AD$37:$AD$12971,$V$37:$V$12971,$V6632,$X$37:$X$12971,AG$13)</f>
        <v>0</v>
      </c>
      <c r="AH6632" s="187">
        <f>SUMIFS($AD$37:$AD$12971,$V$37:$V$12971,$V6632,$X$37:$X$12971,AH$13)</f>
        <v>0</v>
      </c>
      <c r="AI6632" s="161">
        <f t="shared" ref="AI6632" si="4699">SUM(AE6632:AH6632)</f>
        <v>0</v>
      </c>
      <c r="AK6632" s="172"/>
    </row>
    <row r="6633" spans="1:37" s="102" customFormat="1" ht="19.899999999999999" customHeight="1" x14ac:dyDescent="0.25">
      <c r="A6633" s="45"/>
      <c r="B6633" s="59"/>
      <c r="C6633" s="137"/>
      <c r="D6633" s="59"/>
      <c r="E6633" s="116"/>
      <c r="F6633" s="120"/>
      <c r="G6633" s="120"/>
      <c r="H6633" s="120"/>
      <c r="I6633" s="60"/>
      <c r="J6633" s="116"/>
      <c r="K6633" s="213"/>
      <c r="L6633" s="120"/>
      <c r="M6633" s="120"/>
      <c r="N6633" s="167"/>
      <c r="O6633" s="120"/>
      <c r="P6633" s="120"/>
      <c r="Q6633" s="120"/>
      <c r="R6633" s="120"/>
      <c r="S6633" s="120"/>
      <c r="T6633" s="221"/>
      <c r="U6633" s="89"/>
      <c r="V6633" s="61"/>
      <c r="W6633" s="92" t="s">
        <v>1032</v>
      </c>
      <c r="X6633" s="93" t="s">
        <v>30</v>
      </c>
      <c r="Y6633" s="93" t="s">
        <v>66</v>
      </c>
      <c r="Z6633" s="134">
        <f>VLOOKUP(W6633,Sheet2!$B:$D,3,FALSE)</f>
        <v>250</v>
      </c>
      <c r="AA6633" s="93">
        <f>1/(0.7*0.4)</f>
        <v>3.5714285714285716</v>
      </c>
      <c r="AB6633" s="93">
        <f>AD6633/AC6632</f>
        <v>70</v>
      </c>
      <c r="AC6633" s="93">
        <f>AC6632/AA6633</f>
        <v>5.6</v>
      </c>
      <c r="AD6633" s="94">
        <f t="shared" ref="AD6633" si="4700">AC6633*Z6633</f>
        <v>1400</v>
      </c>
      <c r="AE6633" s="190"/>
      <c r="AF6633" s="191"/>
      <c r="AG6633" s="191"/>
      <c r="AH6633" s="191"/>
      <c r="AI6633" s="186"/>
      <c r="AK6633" s="171"/>
    </row>
    <row r="6634" spans="1:37" s="102" customFormat="1" ht="19.899999999999999" customHeight="1" x14ac:dyDescent="0.25">
      <c r="A6634" s="45"/>
      <c r="B6634" s="59"/>
      <c r="C6634" s="137"/>
      <c r="D6634" s="59"/>
      <c r="E6634" s="116"/>
      <c r="F6634" s="120"/>
      <c r="G6634" s="120"/>
      <c r="H6634" s="120"/>
      <c r="I6634" s="60"/>
      <c r="J6634" s="116"/>
      <c r="K6634" s="213"/>
      <c r="L6634" s="120"/>
      <c r="M6634" s="120"/>
      <c r="N6634" s="167"/>
      <c r="O6634" s="120"/>
      <c r="P6634" s="120"/>
      <c r="Q6634" s="120"/>
      <c r="R6634" s="120"/>
      <c r="S6634" s="120"/>
      <c r="T6634" s="221"/>
      <c r="U6634" s="89"/>
      <c r="V6634" s="61"/>
      <c r="W6634" s="92" t="s">
        <v>1270</v>
      </c>
      <c r="X6634" s="93" t="s">
        <v>30</v>
      </c>
      <c r="Y6634" s="93" t="s">
        <v>68</v>
      </c>
      <c r="Z6634" s="134">
        <f>VLOOKUP(W6634,Sheet2!$B:$D,3,FALSE)</f>
        <v>4</v>
      </c>
      <c r="AA6634" s="93">
        <f>1/8</f>
        <v>0.125</v>
      </c>
      <c r="AB6634" s="93">
        <f>AD6634/AC6632</f>
        <v>32</v>
      </c>
      <c r="AC6634" s="93">
        <f>AC6632/AA6634</f>
        <v>160</v>
      </c>
      <c r="AD6634" s="94">
        <f>AC6634*Z6634</f>
        <v>640</v>
      </c>
      <c r="AE6634" s="190"/>
      <c r="AF6634" s="191"/>
      <c r="AG6634" s="191"/>
      <c r="AH6634" s="191"/>
      <c r="AI6634" s="186"/>
      <c r="AK6634" s="171"/>
    </row>
    <row r="6635" spans="1:37" s="102" customFormat="1" ht="19.899999999999999" customHeight="1" x14ac:dyDescent="0.25">
      <c r="A6635" s="45"/>
      <c r="B6635" s="59"/>
      <c r="C6635" s="137"/>
      <c r="D6635" s="59"/>
      <c r="E6635" s="116"/>
      <c r="F6635" s="120"/>
      <c r="G6635" s="120"/>
      <c r="H6635" s="120"/>
      <c r="I6635" s="60"/>
      <c r="J6635" s="116"/>
      <c r="K6635" s="213"/>
      <c r="L6635" s="120"/>
      <c r="M6635" s="120"/>
      <c r="N6635" s="167"/>
      <c r="O6635" s="120"/>
      <c r="P6635" s="120"/>
      <c r="Q6635" s="120"/>
      <c r="R6635" s="120"/>
      <c r="S6635" s="120"/>
      <c r="T6635" s="221"/>
      <c r="U6635" s="89"/>
      <c r="V6635" s="61"/>
      <c r="W6635" s="92" t="s">
        <v>1271</v>
      </c>
      <c r="X6635" s="93" t="s">
        <v>30</v>
      </c>
      <c r="Y6635" s="93" t="s">
        <v>68</v>
      </c>
      <c r="Z6635" s="134">
        <f>VLOOKUP(W6635,Sheet2!$B:$D,3,FALSE)</f>
        <v>2</v>
      </c>
      <c r="AA6635" s="93">
        <f>AA6634</f>
        <v>0.125</v>
      </c>
      <c r="AB6635" s="93">
        <f>AD6635/AC6632</f>
        <v>16</v>
      </c>
      <c r="AC6635" s="93">
        <f>AC6632/AA6635</f>
        <v>160</v>
      </c>
      <c r="AD6635" s="94">
        <f>AC6635*Z6635</f>
        <v>320</v>
      </c>
      <c r="AE6635" s="190"/>
      <c r="AF6635" s="191"/>
      <c r="AG6635" s="191"/>
      <c r="AH6635" s="191"/>
      <c r="AI6635" s="186"/>
      <c r="AK6635" s="171"/>
    </row>
    <row r="6636" spans="1:37" s="102" customFormat="1" ht="19.899999999999999" customHeight="1" x14ac:dyDescent="0.25">
      <c r="A6636" s="45"/>
      <c r="B6636" s="59"/>
      <c r="C6636" s="137"/>
      <c r="D6636" s="59"/>
      <c r="E6636" s="116"/>
      <c r="F6636" s="120"/>
      <c r="G6636" s="120"/>
      <c r="H6636" s="120"/>
      <c r="I6636" s="60"/>
      <c r="J6636" s="116"/>
      <c r="K6636" s="213"/>
      <c r="L6636" s="120"/>
      <c r="M6636" s="120"/>
      <c r="N6636" s="167"/>
      <c r="O6636" s="120"/>
      <c r="P6636" s="120"/>
      <c r="Q6636" s="120"/>
      <c r="R6636" s="120"/>
      <c r="S6636" s="120"/>
      <c r="T6636" s="221"/>
      <c r="U6636" s="89"/>
      <c r="V6636" s="61"/>
      <c r="W6636" s="92" t="s">
        <v>1035</v>
      </c>
      <c r="X6636" s="93" t="s">
        <v>32</v>
      </c>
      <c r="Y6636" s="93" t="s">
        <v>66</v>
      </c>
      <c r="Z6636" s="134">
        <f>VLOOKUP(W6636,Sheet2!$B:$D,3,FALSE)</f>
        <v>150</v>
      </c>
      <c r="AA6636" s="93">
        <f>AA6633</f>
        <v>3.5714285714285716</v>
      </c>
      <c r="AB6636" s="93">
        <f>AD6636/AC6632</f>
        <v>42</v>
      </c>
      <c r="AC6636" s="93">
        <f>AC6632/AA6636</f>
        <v>5.6</v>
      </c>
      <c r="AD6636" s="94">
        <f t="shared" ref="AD6636:AD6637" si="4701">AC6636*Z6636</f>
        <v>840</v>
      </c>
      <c r="AE6636" s="190"/>
      <c r="AF6636" s="191"/>
      <c r="AG6636" s="191"/>
      <c r="AH6636" s="191"/>
      <c r="AI6636" s="186"/>
      <c r="AK6636" s="171"/>
    </row>
    <row r="6637" spans="1:37" s="102" customFormat="1" ht="19.899999999999999" customHeight="1" x14ac:dyDescent="0.25">
      <c r="A6637" s="45"/>
      <c r="B6637" s="59"/>
      <c r="C6637" s="137"/>
      <c r="D6637" s="59"/>
      <c r="E6637" s="116"/>
      <c r="F6637" s="120"/>
      <c r="G6637" s="120"/>
      <c r="H6637" s="120"/>
      <c r="I6637" s="60"/>
      <c r="J6637" s="116"/>
      <c r="K6637" s="213"/>
      <c r="L6637" s="120"/>
      <c r="M6637" s="120"/>
      <c r="N6637" s="167"/>
      <c r="O6637" s="120"/>
      <c r="P6637" s="120"/>
      <c r="Q6637" s="120"/>
      <c r="R6637" s="120"/>
      <c r="S6637" s="120"/>
      <c r="T6637" s="221"/>
      <c r="U6637" s="89"/>
      <c r="V6637" s="61"/>
      <c r="W6637" s="92" t="s">
        <v>107</v>
      </c>
      <c r="X6637" s="93" t="s">
        <v>31</v>
      </c>
      <c r="Y6637" s="93" t="s">
        <v>93</v>
      </c>
      <c r="Z6637" s="134">
        <f>VLOOKUP(W6637,Sheet2!$B:$D,3,FALSE)</f>
        <v>17</v>
      </c>
      <c r="AA6637" s="93">
        <v>50</v>
      </c>
      <c r="AB6637" s="93">
        <f>AD6637/AC6632</f>
        <v>0.34</v>
      </c>
      <c r="AC6637" s="93">
        <f>AC6632/AA6637</f>
        <v>0.4</v>
      </c>
      <c r="AD6637" s="94">
        <f t="shared" si="4701"/>
        <v>6.8000000000000007</v>
      </c>
      <c r="AE6637" s="190"/>
      <c r="AF6637" s="191"/>
      <c r="AG6637" s="191"/>
      <c r="AH6637" s="191"/>
      <c r="AI6637" s="186"/>
      <c r="AK6637" s="171"/>
    </row>
    <row r="6638" spans="1:37" s="103" customFormat="1" ht="19.899999999999999" customHeight="1" x14ac:dyDescent="0.25">
      <c r="A6638" s="51"/>
      <c r="B6638" s="52"/>
      <c r="C6638" s="165"/>
      <c r="D6638" s="52"/>
      <c r="E6638" s="115"/>
      <c r="F6638" s="58"/>
      <c r="G6638" s="58"/>
      <c r="H6638" s="58"/>
      <c r="I6638" s="55"/>
      <c r="J6638" s="113">
        <f>J6624</f>
        <v>20</v>
      </c>
      <c r="K6638" s="212">
        <f>K6624</f>
        <v>20</v>
      </c>
      <c r="L6638" s="58"/>
      <c r="M6638" s="58">
        <f>K6638-L6638</f>
        <v>20</v>
      </c>
      <c r="N6638" s="166"/>
      <c r="O6638" s="58"/>
      <c r="P6638" s="58"/>
      <c r="Q6638" s="58"/>
      <c r="R6638" s="58"/>
      <c r="S6638" s="58"/>
      <c r="T6638" s="220"/>
      <c r="U6638" s="88"/>
      <c r="V6638" s="56"/>
      <c r="W6638" s="57" t="s">
        <v>1272</v>
      </c>
      <c r="X6638" s="53"/>
      <c r="Y6638" s="91" t="s">
        <v>68</v>
      </c>
      <c r="Z6638" s="136">
        <f>AD6638/AC6638</f>
        <v>14.956365176470589</v>
      </c>
      <c r="AA6638" s="58"/>
      <c r="AB6638" s="53">
        <f>AD6638/AC6638</f>
        <v>14.956365176470589</v>
      </c>
      <c r="AC6638" s="53">
        <f>M6638+$AE$10</f>
        <v>20</v>
      </c>
      <c r="AD6638" s="54">
        <f>SUM(AD6639:AD6648)</f>
        <v>299.12730352941179</v>
      </c>
      <c r="AE6638" s="184">
        <f>SUMIFS($AD$37:$AD$12971,$V$37:$V$12971,$V6638,$X$37:$X$12971,AE$13)</f>
        <v>0</v>
      </c>
      <c r="AF6638" s="185">
        <f>SUMIFS($AD$37:$AD$12971,$V$37:$V$12971,$V6638,$X$37:$X$12971,AF$13)</f>
        <v>0</v>
      </c>
      <c r="AG6638" s="185">
        <f>SUMIFS($AD$37:$AD$12971,$V$37:$V$12971,$V6638,$X$37:$X$12971,AG$13)</f>
        <v>0</v>
      </c>
      <c r="AH6638" s="187">
        <f>SUMIFS($AD$37:$AD$12971,$V$37:$V$12971,$V6638,$X$37:$X$12971,AH$13)</f>
        <v>0</v>
      </c>
      <c r="AI6638" s="161">
        <f t="shared" ref="AI6638" si="4702">SUM(AE6638:AH6638)</f>
        <v>0</v>
      </c>
      <c r="AK6638" s="172"/>
    </row>
    <row r="6639" spans="1:37" s="102" customFormat="1" ht="19.899999999999999" customHeight="1" x14ac:dyDescent="0.25">
      <c r="A6639" s="45"/>
      <c r="B6639" s="59"/>
      <c r="C6639" s="137"/>
      <c r="D6639" s="59"/>
      <c r="E6639" s="116"/>
      <c r="F6639" s="120"/>
      <c r="G6639" s="120"/>
      <c r="H6639" s="120"/>
      <c r="I6639" s="60"/>
      <c r="J6639" s="116"/>
      <c r="K6639" s="213"/>
      <c r="L6639" s="120"/>
      <c r="M6639" s="120"/>
      <c r="N6639" s="167"/>
      <c r="O6639" s="120"/>
      <c r="P6639" s="120"/>
      <c r="Q6639" s="120"/>
      <c r="R6639" s="120"/>
      <c r="S6639" s="120"/>
      <c r="T6639" s="221"/>
      <c r="U6639" s="89"/>
      <c r="V6639" s="61"/>
      <c r="W6639" s="92" t="s">
        <v>134</v>
      </c>
      <c r="X6639" s="93" t="s">
        <v>29</v>
      </c>
      <c r="Y6639" s="93" t="s">
        <v>93</v>
      </c>
      <c r="Z6639" s="134">
        <f>VLOOKUP(W6639,Sheet2!$B:$D,3,FALSE)</f>
        <v>65.599999999999994</v>
      </c>
      <c r="AA6639" s="93">
        <f>100/((1.7*1.5)-(0.7*0.4))</f>
        <v>44.052863436123346</v>
      </c>
      <c r="AB6639" s="93">
        <f>AD6639/AC6638</f>
        <v>1.48912</v>
      </c>
      <c r="AC6639" s="93">
        <f>AC6638/AA6639</f>
        <v>0.45400000000000001</v>
      </c>
      <c r="AD6639" s="94">
        <f t="shared" ref="AD6639:AD6640" si="4703">AC6639*Z6639</f>
        <v>29.782399999999999</v>
      </c>
      <c r="AE6639" s="190"/>
      <c r="AF6639" s="191"/>
      <c r="AG6639" s="191"/>
      <c r="AH6639" s="191"/>
      <c r="AI6639" s="186"/>
      <c r="AK6639" s="171"/>
    </row>
    <row r="6640" spans="1:37" s="102" customFormat="1" ht="19.899999999999999" customHeight="1" x14ac:dyDescent="0.25">
      <c r="A6640" s="45"/>
      <c r="B6640" s="59"/>
      <c r="C6640" s="137"/>
      <c r="D6640" s="59"/>
      <c r="E6640" s="116"/>
      <c r="F6640" s="120"/>
      <c r="G6640" s="120"/>
      <c r="H6640" s="120"/>
      <c r="I6640" s="60"/>
      <c r="J6640" s="116"/>
      <c r="K6640" s="213"/>
      <c r="L6640" s="120"/>
      <c r="M6640" s="120"/>
      <c r="N6640" s="167"/>
      <c r="O6640" s="120"/>
      <c r="P6640" s="120"/>
      <c r="Q6640" s="120"/>
      <c r="R6640" s="120"/>
      <c r="S6640" s="120"/>
      <c r="T6640" s="221"/>
      <c r="U6640" s="89"/>
      <c r="V6640" s="61"/>
      <c r="W6640" s="92" t="s">
        <v>65</v>
      </c>
      <c r="X6640" s="93" t="s">
        <v>30</v>
      </c>
      <c r="Y6640" s="93" t="s">
        <v>1011</v>
      </c>
      <c r="Z6640" s="134">
        <f>VLOOKUP(W6640,Sheet2!$B:$D,3,FALSE)</f>
        <v>1.76</v>
      </c>
      <c r="AA6640" s="93">
        <f>AA6639/9</f>
        <v>4.8947626040137049</v>
      </c>
      <c r="AB6640" s="93">
        <f>AD6640/AC6638</f>
        <v>0.359568</v>
      </c>
      <c r="AC6640" s="93">
        <f>AC6638/AA6640</f>
        <v>4.0860000000000003</v>
      </c>
      <c r="AD6640" s="94">
        <f t="shared" si="4703"/>
        <v>7.1913600000000004</v>
      </c>
      <c r="AE6640" s="190"/>
      <c r="AF6640" s="191"/>
      <c r="AG6640" s="191"/>
      <c r="AH6640" s="191"/>
      <c r="AI6640" s="186"/>
      <c r="AK6640" s="171"/>
    </row>
    <row r="6641" spans="1:41" s="102" customFormat="1" ht="19.899999999999999" customHeight="1" x14ac:dyDescent="0.25">
      <c r="A6641" s="45"/>
      <c r="B6641" s="59"/>
      <c r="C6641" s="137"/>
      <c r="D6641" s="59"/>
      <c r="E6641" s="116"/>
      <c r="F6641" s="120"/>
      <c r="G6641" s="120"/>
      <c r="H6641" s="120"/>
      <c r="I6641" s="60"/>
      <c r="J6641" s="116"/>
      <c r="K6641" s="213"/>
      <c r="L6641" s="120"/>
      <c r="M6641" s="120"/>
      <c r="N6641" s="167"/>
      <c r="O6641" s="120"/>
      <c r="P6641" s="120"/>
      <c r="Q6641" s="120"/>
      <c r="R6641" s="120"/>
      <c r="S6641" s="120"/>
      <c r="T6641" s="221"/>
      <c r="U6641" s="89"/>
      <c r="V6641" s="61"/>
      <c r="W6641" s="92" t="s">
        <v>161</v>
      </c>
      <c r="X6641" s="93" t="s">
        <v>29</v>
      </c>
      <c r="Y6641" s="93" t="s">
        <v>93</v>
      </c>
      <c r="Z6641" s="134">
        <f>VLOOKUP(W6641,Sheet2!$B:$D,3,FALSE)</f>
        <v>48</v>
      </c>
      <c r="AA6641" s="93">
        <f>(16*0.85*1.5)/((1.7*1.5)-(0.7*0.4))</f>
        <v>8.9867841409691618</v>
      </c>
      <c r="AB6641" s="93">
        <f>AD6641/AC6638</f>
        <v>5.3411764705882359</v>
      </c>
      <c r="AC6641" s="93">
        <f>AC6638/AA6641</f>
        <v>2.2254901960784315</v>
      </c>
      <c r="AD6641" s="94">
        <f>AC6641*Z6641</f>
        <v>106.82352941176471</v>
      </c>
      <c r="AE6641" s="190"/>
      <c r="AF6641" s="191"/>
      <c r="AG6641" s="191"/>
      <c r="AH6641" s="191"/>
      <c r="AI6641" s="186"/>
      <c r="AK6641" s="171"/>
    </row>
    <row r="6642" spans="1:41" s="102" customFormat="1" ht="19.899999999999999" customHeight="1" x14ac:dyDescent="0.25">
      <c r="A6642" s="45"/>
      <c r="B6642" s="59"/>
      <c r="C6642" s="137"/>
      <c r="D6642" s="59"/>
      <c r="E6642" s="116"/>
      <c r="F6642" s="120"/>
      <c r="G6642" s="120"/>
      <c r="H6642" s="120"/>
      <c r="I6642" s="60"/>
      <c r="J6642" s="116"/>
      <c r="K6642" s="213"/>
      <c r="L6642" s="120"/>
      <c r="M6642" s="120"/>
      <c r="N6642" s="167"/>
      <c r="O6642" s="120"/>
      <c r="P6642" s="120"/>
      <c r="Q6642" s="120"/>
      <c r="R6642" s="120"/>
      <c r="S6642" s="120"/>
      <c r="T6642" s="221"/>
      <c r="U6642" s="89"/>
      <c r="V6642" s="61"/>
      <c r="W6642" s="92" t="s">
        <v>65</v>
      </c>
      <c r="X6642" s="93" t="s">
        <v>30</v>
      </c>
      <c r="Y6642" s="93" t="s">
        <v>1011</v>
      </c>
      <c r="Z6642" s="134">
        <f>VLOOKUP(W6642,Sheet2!$B:$D,3,FALSE)</f>
        <v>1.76</v>
      </c>
      <c r="AA6642" s="93">
        <f>AA6641/10</f>
        <v>0.89867841409691618</v>
      </c>
      <c r="AB6642" s="93">
        <f>AD6642/AC6638</f>
        <v>1.9584313725490197</v>
      </c>
      <c r="AC6642" s="93">
        <f>AC6638/AA6642</f>
        <v>22.254901960784316</v>
      </c>
      <c r="AD6642" s="94">
        <f>AC6642*Z6642</f>
        <v>39.168627450980395</v>
      </c>
      <c r="AE6642" s="190"/>
      <c r="AF6642" s="191"/>
      <c r="AG6642" s="191"/>
      <c r="AH6642" s="191"/>
      <c r="AI6642" s="186"/>
      <c r="AK6642" s="171"/>
    </row>
    <row r="6643" spans="1:41" s="102" customFormat="1" ht="19.899999999999999" customHeight="1" x14ac:dyDescent="0.25">
      <c r="A6643" s="45"/>
      <c r="B6643" s="59"/>
      <c r="C6643" s="137"/>
      <c r="D6643" s="59"/>
      <c r="E6643" s="116"/>
      <c r="F6643" s="120"/>
      <c r="G6643" s="120"/>
      <c r="H6643" s="120"/>
      <c r="I6643" s="60"/>
      <c r="J6643" s="116"/>
      <c r="K6643" s="213"/>
      <c r="L6643" s="120"/>
      <c r="M6643" s="120"/>
      <c r="N6643" s="167"/>
      <c r="O6643" s="120"/>
      <c r="P6643" s="120"/>
      <c r="Q6643" s="120"/>
      <c r="R6643" s="120"/>
      <c r="S6643" s="120"/>
      <c r="T6643" s="221"/>
      <c r="U6643" s="89"/>
      <c r="V6643" s="61"/>
      <c r="W6643" s="92" t="s">
        <v>173</v>
      </c>
      <c r="X6643" s="93" t="s">
        <v>29</v>
      </c>
      <c r="Y6643" s="93" t="s">
        <v>93</v>
      </c>
      <c r="Z6643" s="134">
        <f>VLOOKUP(W6643,Sheet2!$B:$D,3,FALSE)</f>
        <v>36</v>
      </c>
      <c r="AA6643" s="93">
        <f>50/((1.7*1.5)-(0.7*0.4))</f>
        <v>22.026431718061673</v>
      </c>
      <c r="AB6643" s="93">
        <f>AD6643/AC6638</f>
        <v>1.6344000000000001</v>
      </c>
      <c r="AC6643" s="93">
        <f>AC6638/AA6643</f>
        <v>0.90800000000000003</v>
      </c>
      <c r="AD6643" s="94">
        <f>AC6643*Z6643</f>
        <v>32.688000000000002</v>
      </c>
      <c r="AE6643" s="190"/>
      <c r="AF6643" s="191"/>
      <c r="AG6643" s="191"/>
      <c r="AH6643" s="191"/>
      <c r="AI6643" s="186"/>
      <c r="AK6643" s="171"/>
    </row>
    <row r="6644" spans="1:41" s="102" customFormat="1" ht="19.899999999999999" customHeight="1" x14ac:dyDescent="0.25">
      <c r="A6644" s="45"/>
      <c r="B6644" s="59"/>
      <c r="C6644" s="137"/>
      <c r="D6644" s="59"/>
      <c r="E6644" s="116"/>
      <c r="F6644" s="120"/>
      <c r="G6644" s="120"/>
      <c r="H6644" s="120"/>
      <c r="I6644" s="60"/>
      <c r="J6644" s="116"/>
      <c r="K6644" s="213"/>
      <c r="L6644" s="120"/>
      <c r="M6644" s="120"/>
      <c r="N6644" s="167"/>
      <c r="O6644" s="120"/>
      <c r="P6644" s="120"/>
      <c r="Q6644" s="120"/>
      <c r="R6644" s="120"/>
      <c r="S6644" s="120"/>
      <c r="T6644" s="221"/>
      <c r="U6644" s="89"/>
      <c r="V6644" s="61"/>
      <c r="W6644" s="92" t="s">
        <v>65</v>
      </c>
      <c r="X6644" s="93" t="s">
        <v>30</v>
      </c>
      <c r="Y6644" s="93" t="s">
        <v>1011</v>
      </c>
      <c r="Z6644" s="134">
        <f>VLOOKUP(W6644,Sheet2!$B:$D,3,FALSE)</f>
        <v>1.76</v>
      </c>
      <c r="AA6644" s="93">
        <f>AA6643/9</f>
        <v>2.4473813020068524</v>
      </c>
      <c r="AB6644" s="93">
        <f>AD6644/AC6638</f>
        <v>0.719136</v>
      </c>
      <c r="AC6644" s="93">
        <f>AC6638/AA6644</f>
        <v>8.1720000000000006</v>
      </c>
      <c r="AD6644" s="94">
        <f>AC6644*Z6644</f>
        <v>14.382720000000001</v>
      </c>
      <c r="AE6644" s="190"/>
      <c r="AF6644" s="191"/>
      <c r="AG6644" s="191"/>
      <c r="AH6644" s="191"/>
      <c r="AI6644" s="186"/>
      <c r="AK6644" s="171"/>
    </row>
    <row r="6645" spans="1:41" s="102" customFormat="1" ht="19.899999999999999" customHeight="1" x14ac:dyDescent="0.25">
      <c r="A6645" s="45"/>
      <c r="B6645" s="59"/>
      <c r="C6645" s="137"/>
      <c r="D6645" s="59"/>
      <c r="E6645" s="116"/>
      <c r="F6645" s="120"/>
      <c r="G6645" s="120"/>
      <c r="H6645" s="120"/>
      <c r="I6645" s="60"/>
      <c r="J6645" s="116"/>
      <c r="K6645" s="213"/>
      <c r="L6645" s="120"/>
      <c r="M6645" s="120"/>
      <c r="N6645" s="167"/>
      <c r="O6645" s="120"/>
      <c r="P6645" s="120"/>
      <c r="Q6645" s="120"/>
      <c r="R6645" s="120"/>
      <c r="S6645" s="120"/>
      <c r="T6645" s="221"/>
      <c r="U6645" s="89"/>
      <c r="V6645" s="61"/>
      <c r="W6645" s="92" t="s">
        <v>148</v>
      </c>
      <c r="X6645" s="93" t="s">
        <v>29</v>
      </c>
      <c r="Y6645" s="93" t="s">
        <v>93</v>
      </c>
      <c r="Z6645" s="134">
        <f>VLOOKUP(W6645,Sheet2!$B:$D,3,FALSE)</f>
        <v>48</v>
      </c>
      <c r="AA6645" s="93">
        <f>7.2/(1.7*1.5*0.1)</f>
        <v>28.235294117647058</v>
      </c>
      <c r="AB6645" s="93">
        <f>AD6645/AC6638</f>
        <v>1.7</v>
      </c>
      <c r="AC6645" s="93">
        <f>AC6638/AA6645</f>
        <v>0.70833333333333337</v>
      </c>
      <c r="AD6645" s="94">
        <f t="shared" ref="AD6645:AD6648" si="4704">AC6645*Z6645</f>
        <v>34</v>
      </c>
      <c r="AE6645" s="190"/>
      <c r="AF6645" s="191"/>
      <c r="AG6645" s="191"/>
      <c r="AH6645" s="191"/>
      <c r="AI6645" s="186"/>
      <c r="AK6645" s="171"/>
    </row>
    <row r="6646" spans="1:41" s="102" customFormat="1" ht="19.899999999999999" customHeight="1" x14ac:dyDescent="0.25">
      <c r="A6646" s="45"/>
      <c r="B6646" s="59"/>
      <c r="C6646" s="137"/>
      <c r="D6646" s="59"/>
      <c r="E6646" s="116"/>
      <c r="F6646" s="120"/>
      <c r="G6646" s="120"/>
      <c r="H6646" s="120"/>
      <c r="I6646" s="60"/>
      <c r="J6646" s="116"/>
      <c r="K6646" s="213"/>
      <c r="L6646" s="120"/>
      <c r="M6646" s="120"/>
      <c r="N6646" s="167"/>
      <c r="O6646" s="120"/>
      <c r="P6646" s="120"/>
      <c r="Q6646" s="120"/>
      <c r="R6646" s="120"/>
      <c r="S6646" s="120"/>
      <c r="T6646" s="221"/>
      <c r="U6646" s="89"/>
      <c r="V6646" s="61"/>
      <c r="W6646" s="92" t="s">
        <v>65</v>
      </c>
      <c r="X6646" s="93" t="s">
        <v>30</v>
      </c>
      <c r="Y6646" s="93" t="s">
        <v>1011</v>
      </c>
      <c r="Z6646" s="134">
        <f>VLOOKUP(W6646,Sheet2!$B:$D,3,FALSE)</f>
        <v>1.76</v>
      </c>
      <c r="AA6646" s="93">
        <f>AA6645/10</f>
        <v>2.8235294117647056</v>
      </c>
      <c r="AB6646" s="93">
        <f>AD6646/AC6638</f>
        <v>0.62333333333333341</v>
      </c>
      <c r="AC6646" s="93">
        <f>AC6638/AA6646</f>
        <v>7.0833333333333339</v>
      </c>
      <c r="AD6646" s="94">
        <f t="shared" si="4704"/>
        <v>12.466666666666669</v>
      </c>
      <c r="AE6646" s="190"/>
      <c r="AF6646" s="191"/>
      <c r="AG6646" s="191"/>
      <c r="AH6646" s="191"/>
      <c r="AI6646" s="186"/>
      <c r="AK6646" s="171"/>
    </row>
    <row r="6647" spans="1:41" s="102" customFormat="1" ht="19.899999999999999" customHeight="1" x14ac:dyDescent="0.25">
      <c r="A6647" s="45"/>
      <c r="B6647" s="59"/>
      <c r="C6647" s="137"/>
      <c r="D6647" s="59"/>
      <c r="E6647" s="116"/>
      <c r="F6647" s="120"/>
      <c r="G6647" s="120"/>
      <c r="H6647" s="120"/>
      <c r="I6647" s="60"/>
      <c r="J6647" s="116"/>
      <c r="K6647" s="213"/>
      <c r="L6647" s="120"/>
      <c r="M6647" s="120"/>
      <c r="N6647" s="167"/>
      <c r="O6647" s="120"/>
      <c r="P6647" s="120"/>
      <c r="Q6647" s="120"/>
      <c r="R6647" s="120"/>
      <c r="S6647" s="120"/>
      <c r="T6647" s="221"/>
      <c r="U6647" s="89"/>
      <c r="V6647" s="61"/>
      <c r="W6647" s="92" t="s">
        <v>1030</v>
      </c>
      <c r="X6647" s="93" t="s">
        <v>29</v>
      </c>
      <c r="Y6647" s="93" t="s">
        <v>93</v>
      </c>
      <c r="Z6647" s="134">
        <f>VLOOKUP(W6647,Sheet2!$B:$D,3,FALSE)</f>
        <v>23</v>
      </c>
      <c r="AA6647" s="93">
        <v>25</v>
      </c>
      <c r="AB6647" s="93">
        <f>AD6647/AC6638</f>
        <v>0.92000000000000015</v>
      </c>
      <c r="AC6647" s="93">
        <f>AC6638/AA6647</f>
        <v>0.8</v>
      </c>
      <c r="AD6647" s="94">
        <f t="shared" si="4704"/>
        <v>18.400000000000002</v>
      </c>
      <c r="AE6647" s="190"/>
      <c r="AF6647" s="191"/>
      <c r="AG6647" s="191"/>
      <c r="AH6647" s="191"/>
      <c r="AI6647" s="186"/>
      <c r="AK6647" s="171"/>
    </row>
    <row r="6648" spans="1:41" s="102" customFormat="1" ht="19.899999999999999" customHeight="1" x14ac:dyDescent="0.25">
      <c r="A6648" s="45"/>
      <c r="B6648" s="59"/>
      <c r="C6648" s="137"/>
      <c r="D6648" s="59"/>
      <c r="E6648" s="116"/>
      <c r="F6648" s="120"/>
      <c r="G6648" s="120"/>
      <c r="H6648" s="120"/>
      <c r="I6648" s="60"/>
      <c r="J6648" s="116"/>
      <c r="K6648" s="213"/>
      <c r="L6648" s="120"/>
      <c r="M6648" s="120"/>
      <c r="N6648" s="167"/>
      <c r="O6648" s="120"/>
      <c r="P6648" s="120"/>
      <c r="Q6648" s="120"/>
      <c r="R6648" s="120"/>
      <c r="S6648" s="120"/>
      <c r="T6648" s="221"/>
      <c r="U6648" s="89"/>
      <c r="V6648" s="61"/>
      <c r="W6648" s="92" t="s">
        <v>65</v>
      </c>
      <c r="X6648" s="93" t="s">
        <v>30</v>
      </c>
      <c r="Y6648" s="93" t="s">
        <v>1011</v>
      </c>
      <c r="Z6648" s="134">
        <f>VLOOKUP(W6648,Sheet2!$B:$D,3,FALSE)</f>
        <v>1.76</v>
      </c>
      <c r="AA6648" s="93">
        <f>AA6647/3</f>
        <v>8.3333333333333339</v>
      </c>
      <c r="AB6648" s="93">
        <f>AD6648/AC6638</f>
        <v>0.2112</v>
      </c>
      <c r="AC6648" s="93">
        <f>AC6638/AA6648</f>
        <v>2.4</v>
      </c>
      <c r="AD6648" s="94">
        <f t="shared" si="4704"/>
        <v>4.2240000000000002</v>
      </c>
      <c r="AE6648" s="190"/>
      <c r="AF6648" s="191"/>
      <c r="AG6648" s="191"/>
      <c r="AH6648" s="191"/>
      <c r="AI6648" s="186"/>
      <c r="AK6648" s="171"/>
    </row>
    <row r="6649" spans="1:41" s="102" customFormat="1" ht="20.100000000000001" customHeight="1" x14ac:dyDescent="0.25">
      <c r="A6649" s="45" t="s">
        <v>491</v>
      </c>
      <c r="B6649" s="276"/>
      <c r="C6649" s="285" t="s">
        <v>669</v>
      </c>
      <c r="D6649" s="59"/>
      <c r="E6649" s="116"/>
      <c r="F6649" s="120">
        <v>0</v>
      </c>
      <c r="G6649" s="120">
        <f t="shared" si="4575"/>
        <v>0</v>
      </c>
      <c r="H6649" s="120">
        <f t="shared" si="4576"/>
        <v>0</v>
      </c>
      <c r="I6649" s="60">
        <f t="shared" si="4577"/>
        <v>0</v>
      </c>
      <c r="J6649" s="116">
        <f t="shared" si="4578"/>
        <v>0</v>
      </c>
      <c r="K6649" s="213">
        <f t="shared" si="4579"/>
        <v>0</v>
      </c>
      <c r="L6649" s="120"/>
      <c r="M6649" s="120">
        <f t="shared" si="4580"/>
        <v>0</v>
      </c>
      <c r="N6649" s="167">
        <f t="shared" si="4581"/>
        <v>0</v>
      </c>
      <c r="O6649" s="120">
        <f t="shared" si="4582"/>
        <v>0</v>
      </c>
      <c r="P6649" s="120">
        <f t="shared" si="4583"/>
        <v>0</v>
      </c>
      <c r="Q6649" s="120">
        <f t="shared" si="4584"/>
        <v>0</v>
      </c>
      <c r="R6649" s="120">
        <f t="shared" si="4585"/>
        <v>0</v>
      </c>
      <c r="S6649" s="120"/>
      <c r="T6649" s="221">
        <f t="shared" si="4586"/>
        <v>0</v>
      </c>
      <c r="U6649" s="89"/>
      <c r="V6649" s="61"/>
      <c r="W6649" s="92"/>
      <c r="X6649" s="38"/>
      <c r="Y6649" s="93"/>
      <c r="Z6649" s="134"/>
      <c r="AA6649" s="93"/>
      <c r="AB6649" s="93"/>
      <c r="AC6649" s="93"/>
      <c r="AD6649" s="94"/>
      <c r="AE6649" s="190"/>
      <c r="AF6649" s="191"/>
      <c r="AG6649" s="191"/>
      <c r="AH6649" s="191"/>
      <c r="AI6649" s="186"/>
      <c r="AK6649" s="171"/>
    </row>
    <row r="6650" spans="1:41" ht="20.100000000000001" customHeight="1" x14ac:dyDescent="0.25">
      <c r="A6650" s="277" t="s">
        <v>491</v>
      </c>
      <c r="B6650" s="278"/>
      <c r="C6650" s="64" t="s">
        <v>670</v>
      </c>
      <c r="D6650" s="46" t="s">
        <v>215</v>
      </c>
      <c r="E6650" s="114">
        <v>1</v>
      </c>
      <c r="F6650" s="44">
        <v>1385</v>
      </c>
      <c r="G6650" s="44">
        <f t="shared" si="4575"/>
        <v>1385</v>
      </c>
      <c r="H6650" s="44">
        <f t="shared" si="4576"/>
        <v>1137.4000000000001</v>
      </c>
      <c r="I6650" s="43">
        <f t="shared" si="4577"/>
        <v>1137.4000000000001</v>
      </c>
      <c r="J6650" s="112">
        <f t="shared" si="4578"/>
        <v>1</v>
      </c>
      <c r="K6650" s="211">
        <f t="shared" si="4579"/>
        <v>1</v>
      </c>
      <c r="L6650" s="44"/>
      <c r="M6650" s="44">
        <f t="shared" si="4580"/>
        <v>1</v>
      </c>
      <c r="N6650" s="173">
        <f t="shared" si="4581"/>
        <v>1</v>
      </c>
      <c r="O6650" s="44">
        <f t="shared" si="4582"/>
        <v>1385</v>
      </c>
      <c r="P6650" s="44">
        <f t="shared" si="4583"/>
        <v>1385</v>
      </c>
      <c r="Q6650" s="44">
        <f t="shared" si="4584"/>
        <v>1137.4000000000001</v>
      </c>
      <c r="R6650" s="44">
        <f t="shared" si="4585"/>
        <v>1137.4000000000001</v>
      </c>
      <c r="S6650" s="123"/>
      <c r="T6650" s="219">
        <f t="shared" si="4586"/>
        <v>1137.4000000000001</v>
      </c>
      <c r="U6650" s="87"/>
      <c r="V6650" s="47"/>
      <c r="W6650" s="48"/>
      <c r="X6650" s="48"/>
      <c r="Y6650" s="48"/>
      <c r="Z6650" s="135"/>
      <c r="AA6650" s="49"/>
      <c r="AB6650" s="50">
        <f t="shared" si="4587"/>
        <v>1137.4000000000001</v>
      </c>
      <c r="AC6650" s="42">
        <f t="shared" si="4588"/>
        <v>1</v>
      </c>
      <c r="AD6650" s="90">
        <f>AD6651</f>
        <v>1137.4000000000001</v>
      </c>
      <c r="AE6650" s="188">
        <f t="shared" ref="AE6650" si="4705">AE6651</f>
        <v>0</v>
      </c>
      <c r="AF6650" s="189">
        <f t="shared" ref="AF6650" si="4706">AF6651</f>
        <v>0</v>
      </c>
      <c r="AG6650" s="189">
        <f t="shared" ref="AG6650" si="4707">AG6651</f>
        <v>0</v>
      </c>
      <c r="AH6650" s="189">
        <f t="shared" ref="AH6650" si="4708">AH6651</f>
        <v>0</v>
      </c>
      <c r="AI6650" s="161">
        <f t="shared" ref="AI6650:AI6653" si="4709">SUM(AE6650:AH6650)</f>
        <v>0</v>
      </c>
      <c r="AK6650" s="169">
        <v>5</v>
      </c>
      <c r="AO6650" s="19" t="s">
        <v>63</v>
      </c>
    </row>
    <row r="6651" spans="1:41" s="103" customFormat="1" ht="19.899999999999999" customHeight="1" x14ac:dyDescent="0.25">
      <c r="A6651" s="51"/>
      <c r="B6651" s="52"/>
      <c r="C6651" s="165"/>
      <c r="D6651" s="52"/>
      <c r="E6651" s="115"/>
      <c r="F6651" s="58"/>
      <c r="G6651" s="58"/>
      <c r="H6651" s="58"/>
      <c r="I6651" s="55"/>
      <c r="J6651" s="113">
        <f>J6650</f>
        <v>1</v>
      </c>
      <c r="K6651" s="212">
        <f>K6650</f>
        <v>1</v>
      </c>
      <c r="L6651" s="58"/>
      <c r="M6651" s="58">
        <f>K6651-L6651</f>
        <v>1</v>
      </c>
      <c r="N6651" s="166"/>
      <c r="O6651" s="58"/>
      <c r="P6651" s="58"/>
      <c r="Q6651" s="58"/>
      <c r="R6651" s="58"/>
      <c r="S6651" s="58"/>
      <c r="T6651" s="220"/>
      <c r="U6651" s="88"/>
      <c r="V6651" s="56"/>
      <c r="W6651" s="57" t="s">
        <v>670</v>
      </c>
      <c r="X6651" s="53"/>
      <c r="Y6651" s="91" t="s">
        <v>35</v>
      </c>
      <c r="Z6651" s="136">
        <f>AD6651/AC6651</f>
        <v>1137.4000000000001</v>
      </c>
      <c r="AA6651" s="58"/>
      <c r="AB6651" s="53">
        <f>AD6651/AC6651</f>
        <v>1137.4000000000001</v>
      </c>
      <c r="AC6651" s="53">
        <f>M6651+$AE$10</f>
        <v>1</v>
      </c>
      <c r="AD6651" s="54">
        <f>SUM(AD6652)</f>
        <v>1137.4000000000001</v>
      </c>
      <c r="AE6651" s="184">
        <f>SUMIFS($AD$37:$AD$12971,$V$37:$V$12971,$V6651,$X$37:$X$12971,AE$13)</f>
        <v>0</v>
      </c>
      <c r="AF6651" s="185">
        <f>SUMIFS($AD$37:$AD$12971,$V$37:$V$12971,$V6651,$X$37:$X$12971,AF$13)</f>
        <v>0</v>
      </c>
      <c r="AG6651" s="185">
        <f>SUMIFS($AD$37:$AD$12971,$V$37:$V$12971,$V6651,$X$37:$X$12971,AG$13)</f>
        <v>0</v>
      </c>
      <c r="AH6651" s="187">
        <f>SUMIFS($AD$37:$AD$12971,$V$37:$V$12971,$V6651,$X$37:$X$12971,AH$13)</f>
        <v>0</v>
      </c>
      <c r="AI6651" s="161">
        <f t="shared" ref="AI6651" si="4710">SUM(AE6651:AH6651)</f>
        <v>0</v>
      </c>
      <c r="AK6651" s="172"/>
    </row>
    <row r="6652" spans="1:41" s="102" customFormat="1" ht="19.899999999999999" customHeight="1" x14ac:dyDescent="0.25">
      <c r="A6652" s="45"/>
      <c r="B6652" s="59"/>
      <c r="C6652" s="137"/>
      <c r="D6652" s="59"/>
      <c r="E6652" s="116"/>
      <c r="F6652" s="120"/>
      <c r="G6652" s="120"/>
      <c r="H6652" s="120"/>
      <c r="I6652" s="60"/>
      <c r="J6652" s="116"/>
      <c r="K6652" s="213"/>
      <c r="L6652" s="120"/>
      <c r="M6652" s="120"/>
      <c r="N6652" s="167"/>
      <c r="O6652" s="120"/>
      <c r="P6652" s="120"/>
      <c r="Q6652" s="120"/>
      <c r="R6652" s="120"/>
      <c r="S6652" s="120"/>
      <c r="T6652" s="221"/>
      <c r="U6652" s="89"/>
      <c r="V6652" s="61"/>
      <c r="W6652" s="92" t="s">
        <v>670</v>
      </c>
      <c r="X6652" s="93" t="s">
        <v>32</v>
      </c>
      <c r="Y6652" s="93" t="s">
        <v>1349</v>
      </c>
      <c r="Z6652" s="134">
        <f>VLOOKUP(W6652,Sheet2!$B:$D,3,FALSE)</f>
        <v>1137.4000000000001</v>
      </c>
      <c r="AA6652" s="93">
        <v>1</v>
      </c>
      <c r="AB6652" s="93">
        <f>AD6652/AC6651</f>
        <v>1137.4000000000001</v>
      </c>
      <c r="AC6652" s="93">
        <f>AC6651/AA6652</f>
        <v>1</v>
      </c>
      <c r="AD6652" s="94">
        <f t="shared" ref="AD6652" si="4711">AC6652*Z6652</f>
        <v>1137.4000000000001</v>
      </c>
      <c r="AE6652" s="190"/>
      <c r="AF6652" s="191"/>
      <c r="AG6652" s="191"/>
      <c r="AH6652" s="191"/>
      <c r="AI6652" s="186"/>
      <c r="AK6652" s="171"/>
    </row>
    <row r="6653" spans="1:41" ht="20.100000000000001" customHeight="1" x14ac:dyDescent="0.25">
      <c r="A6653" s="277" t="s">
        <v>491</v>
      </c>
      <c r="B6653" s="278"/>
      <c r="C6653" s="64" t="s">
        <v>671</v>
      </c>
      <c r="D6653" s="46" t="s">
        <v>215</v>
      </c>
      <c r="E6653" s="114">
        <v>3</v>
      </c>
      <c r="F6653" s="44">
        <v>1762</v>
      </c>
      <c r="G6653" s="44">
        <f t="shared" si="4575"/>
        <v>5286</v>
      </c>
      <c r="H6653" s="44">
        <f t="shared" si="4576"/>
        <v>1447</v>
      </c>
      <c r="I6653" s="43">
        <f t="shared" si="4577"/>
        <v>4341</v>
      </c>
      <c r="J6653" s="112">
        <f t="shared" si="4578"/>
        <v>3</v>
      </c>
      <c r="K6653" s="211">
        <f t="shared" si="4579"/>
        <v>3</v>
      </c>
      <c r="L6653" s="44"/>
      <c r="M6653" s="44">
        <f t="shared" si="4580"/>
        <v>3</v>
      </c>
      <c r="N6653" s="173">
        <f t="shared" si="4581"/>
        <v>1</v>
      </c>
      <c r="O6653" s="44">
        <f t="shared" si="4582"/>
        <v>1762</v>
      </c>
      <c r="P6653" s="44">
        <f t="shared" si="4583"/>
        <v>5286</v>
      </c>
      <c r="Q6653" s="44">
        <f t="shared" si="4584"/>
        <v>1447</v>
      </c>
      <c r="R6653" s="44">
        <f t="shared" si="4585"/>
        <v>4341</v>
      </c>
      <c r="S6653" s="123"/>
      <c r="T6653" s="219">
        <f t="shared" si="4586"/>
        <v>4341</v>
      </c>
      <c r="U6653" s="87"/>
      <c r="V6653" s="47"/>
      <c r="W6653" s="48"/>
      <c r="X6653" s="48"/>
      <c r="Y6653" s="48"/>
      <c r="Z6653" s="135"/>
      <c r="AA6653" s="49"/>
      <c r="AB6653" s="50">
        <f t="shared" si="4587"/>
        <v>1447</v>
      </c>
      <c r="AC6653" s="42">
        <f t="shared" si="4588"/>
        <v>3</v>
      </c>
      <c r="AD6653" s="90">
        <f>AD6654</f>
        <v>4341</v>
      </c>
      <c r="AE6653" s="188">
        <f t="shared" ref="AE6653" si="4712">AE6654</f>
        <v>0</v>
      </c>
      <c r="AF6653" s="189">
        <f t="shared" ref="AF6653" si="4713">AF6654</f>
        <v>0</v>
      </c>
      <c r="AG6653" s="189">
        <f t="shared" ref="AG6653" si="4714">AG6654</f>
        <v>0</v>
      </c>
      <c r="AH6653" s="189">
        <f t="shared" ref="AH6653" si="4715">AH6654</f>
        <v>0</v>
      </c>
      <c r="AI6653" s="161">
        <f t="shared" si="4709"/>
        <v>0</v>
      </c>
      <c r="AK6653" s="169">
        <v>5</v>
      </c>
      <c r="AO6653" s="19" t="s">
        <v>63</v>
      </c>
    </row>
    <row r="6654" spans="1:41" s="103" customFormat="1" ht="19.899999999999999" customHeight="1" x14ac:dyDescent="0.25">
      <c r="A6654" s="51"/>
      <c r="B6654" s="52"/>
      <c r="C6654" s="165"/>
      <c r="D6654" s="52"/>
      <c r="E6654" s="115"/>
      <c r="F6654" s="58"/>
      <c r="G6654" s="58"/>
      <c r="H6654" s="58"/>
      <c r="I6654" s="55"/>
      <c r="J6654" s="113">
        <f>J6653</f>
        <v>3</v>
      </c>
      <c r="K6654" s="212">
        <f>K6653</f>
        <v>3</v>
      </c>
      <c r="L6654" s="58"/>
      <c r="M6654" s="58">
        <f>K6654-L6654</f>
        <v>3</v>
      </c>
      <c r="N6654" s="166"/>
      <c r="O6654" s="58"/>
      <c r="P6654" s="58"/>
      <c r="Q6654" s="58"/>
      <c r="R6654" s="58"/>
      <c r="S6654" s="58"/>
      <c r="T6654" s="220"/>
      <c r="U6654" s="88"/>
      <c r="V6654" s="56"/>
      <c r="W6654" s="57" t="s">
        <v>671</v>
      </c>
      <c r="X6654" s="53"/>
      <c r="Y6654" s="91" t="s">
        <v>35</v>
      </c>
      <c r="Z6654" s="136">
        <f>AD6654/AC6654</f>
        <v>1447</v>
      </c>
      <c r="AA6654" s="58"/>
      <c r="AB6654" s="53">
        <f>AD6654/AC6654</f>
        <v>1447</v>
      </c>
      <c r="AC6654" s="53">
        <f>M6654+$AE$10</f>
        <v>3</v>
      </c>
      <c r="AD6654" s="54">
        <f>SUM(AD6655)</f>
        <v>4341</v>
      </c>
      <c r="AE6654" s="184">
        <f>SUMIFS($AD$37:$AD$12971,$V$37:$V$12971,$V6654,$X$37:$X$12971,AE$13)</f>
        <v>0</v>
      </c>
      <c r="AF6654" s="185">
        <f>SUMIFS($AD$37:$AD$12971,$V$37:$V$12971,$V6654,$X$37:$X$12971,AF$13)</f>
        <v>0</v>
      </c>
      <c r="AG6654" s="185">
        <f>SUMIFS($AD$37:$AD$12971,$V$37:$V$12971,$V6654,$X$37:$X$12971,AG$13)</f>
        <v>0</v>
      </c>
      <c r="AH6654" s="187">
        <f>SUMIFS($AD$37:$AD$12971,$V$37:$V$12971,$V6654,$X$37:$X$12971,AH$13)</f>
        <v>0</v>
      </c>
      <c r="AI6654" s="161">
        <f t="shared" ref="AI6654" si="4716">SUM(AE6654:AH6654)</f>
        <v>0</v>
      </c>
      <c r="AK6654" s="172"/>
    </row>
    <row r="6655" spans="1:41" s="102" customFormat="1" ht="19.899999999999999" customHeight="1" x14ac:dyDescent="0.25">
      <c r="A6655" s="45"/>
      <c r="B6655" s="59"/>
      <c r="C6655" s="137"/>
      <c r="D6655" s="59"/>
      <c r="E6655" s="116"/>
      <c r="F6655" s="120"/>
      <c r="G6655" s="120"/>
      <c r="H6655" s="120"/>
      <c r="I6655" s="60"/>
      <c r="J6655" s="116"/>
      <c r="K6655" s="213"/>
      <c r="L6655" s="120"/>
      <c r="M6655" s="120"/>
      <c r="N6655" s="167"/>
      <c r="O6655" s="120"/>
      <c r="P6655" s="120"/>
      <c r="Q6655" s="120"/>
      <c r="R6655" s="120"/>
      <c r="S6655" s="120"/>
      <c r="T6655" s="221"/>
      <c r="U6655" s="89"/>
      <c r="V6655" s="61"/>
      <c r="W6655" s="92" t="s">
        <v>671</v>
      </c>
      <c r="X6655" s="93" t="s">
        <v>32</v>
      </c>
      <c r="Y6655" s="93" t="s">
        <v>1349</v>
      </c>
      <c r="Z6655" s="134">
        <f>VLOOKUP(W6655,Sheet2!$B:$D,3,FALSE)</f>
        <v>1447</v>
      </c>
      <c r="AA6655" s="93">
        <v>1</v>
      </c>
      <c r="AB6655" s="93">
        <f>AD6655/AC6654</f>
        <v>1447</v>
      </c>
      <c r="AC6655" s="93">
        <f>AC6654/AA6655</f>
        <v>3</v>
      </c>
      <c r="AD6655" s="94">
        <f t="shared" ref="AD6655" si="4717">AC6655*Z6655</f>
        <v>4341</v>
      </c>
      <c r="AE6655" s="190"/>
      <c r="AF6655" s="191"/>
      <c r="AG6655" s="191"/>
      <c r="AH6655" s="191"/>
      <c r="AI6655" s="186"/>
      <c r="AK6655" s="171"/>
    </row>
    <row r="6656" spans="1:41" s="102" customFormat="1" ht="20.100000000000001" customHeight="1" x14ac:dyDescent="0.25">
      <c r="A6656" s="45" t="s">
        <v>491</v>
      </c>
      <c r="B6656" s="276"/>
      <c r="C6656" s="285" t="s">
        <v>672</v>
      </c>
      <c r="D6656" s="59"/>
      <c r="E6656" s="116"/>
      <c r="F6656" s="120"/>
      <c r="G6656" s="120">
        <f t="shared" si="4575"/>
        <v>0</v>
      </c>
      <c r="H6656" s="120">
        <f t="shared" si="4576"/>
        <v>0</v>
      </c>
      <c r="I6656" s="60">
        <f t="shared" si="4577"/>
        <v>0</v>
      </c>
      <c r="J6656" s="116">
        <f t="shared" si="4578"/>
        <v>0</v>
      </c>
      <c r="K6656" s="213">
        <f t="shared" si="4579"/>
        <v>0</v>
      </c>
      <c r="L6656" s="120"/>
      <c r="M6656" s="120">
        <f t="shared" si="4580"/>
        <v>0</v>
      </c>
      <c r="N6656" s="167">
        <f t="shared" si="4581"/>
        <v>0</v>
      </c>
      <c r="O6656" s="120">
        <f t="shared" si="4582"/>
        <v>0</v>
      </c>
      <c r="P6656" s="120">
        <f t="shared" si="4583"/>
        <v>0</v>
      </c>
      <c r="Q6656" s="120">
        <f t="shared" si="4584"/>
        <v>0</v>
      </c>
      <c r="R6656" s="120">
        <f t="shared" si="4585"/>
        <v>0</v>
      </c>
      <c r="S6656" s="120"/>
      <c r="T6656" s="221">
        <f t="shared" si="4586"/>
        <v>0</v>
      </c>
      <c r="U6656" s="89"/>
      <c r="V6656" s="61"/>
      <c r="W6656" s="92"/>
      <c r="X6656" s="38"/>
      <c r="Y6656" s="93"/>
      <c r="Z6656" s="134"/>
      <c r="AA6656" s="93"/>
      <c r="AB6656" s="93"/>
      <c r="AC6656" s="93"/>
      <c r="AD6656" s="94"/>
      <c r="AE6656" s="190"/>
      <c r="AF6656" s="191"/>
      <c r="AG6656" s="191"/>
      <c r="AH6656" s="191"/>
      <c r="AI6656" s="186"/>
      <c r="AK6656" s="171"/>
    </row>
    <row r="6657" spans="1:41" s="102" customFormat="1" ht="47.25" x14ac:dyDescent="0.25">
      <c r="A6657" s="45" t="s">
        <v>491</v>
      </c>
      <c r="B6657" s="276"/>
      <c r="C6657" s="285" t="s">
        <v>673</v>
      </c>
      <c r="D6657" s="59"/>
      <c r="E6657" s="116"/>
      <c r="F6657" s="120"/>
      <c r="G6657" s="120">
        <f t="shared" si="4575"/>
        <v>0</v>
      </c>
      <c r="H6657" s="120">
        <f t="shared" si="4576"/>
        <v>0</v>
      </c>
      <c r="I6657" s="60">
        <f t="shared" si="4577"/>
        <v>0</v>
      </c>
      <c r="J6657" s="116">
        <f t="shared" si="4578"/>
        <v>0</v>
      </c>
      <c r="K6657" s="213">
        <f t="shared" si="4579"/>
        <v>0</v>
      </c>
      <c r="L6657" s="120"/>
      <c r="M6657" s="120">
        <f t="shared" si="4580"/>
        <v>0</v>
      </c>
      <c r="N6657" s="167">
        <f t="shared" si="4581"/>
        <v>0</v>
      </c>
      <c r="O6657" s="120">
        <f t="shared" si="4582"/>
        <v>0</v>
      </c>
      <c r="P6657" s="120">
        <f t="shared" si="4583"/>
        <v>0</v>
      </c>
      <c r="Q6657" s="120">
        <f t="shared" si="4584"/>
        <v>0</v>
      </c>
      <c r="R6657" s="120">
        <f t="shared" si="4585"/>
        <v>0</v>
      </c>
      <c r="S6657" s="120"/>
      <c r="T6657" s="221">
        <f t="shared" si="4586"/>
        <v>0</v>
      </c>
      <c r="U6657" s="89"/>
      <c r="V6657" s="61"/>
      <c r="W6657" s="92"/>
      <c r="X6657" s="38"/>
      <c r="Y6657" s="93"/>
      <c r="Z6657" s="134"/>
      <c r="AA6657" s="93"/>
      <c r="AB6657" s="93"/>
      <c r="AC6657" s="93"/>
      <c r="AD6657" s="94"/>
      <c r="AE6657" s="190"/>
      <c r="AF6657" s="191"/>
      <c r="AG6657" s="191"/>
      <c r="AH6657" s="191"/>
      <c r="AI6657" s="186"/>
      <c r="AK6657" s="171"/>
    </row>
    <row r="6658" spans="1:41" ht="20.100000000000001" customHeight="1" x14ac:dyDescent="0.25">
      <c r="A6658" s="277" t="s">
        <v>491</v>
      </c>
      <c r="B6658" s="278"/>
      <c r="C6658" s="64" t="s">
        <v>674</v>
      </c>
      <c r="D6658" s="46" t="s">
        <v>196</v>
      </c>
      <c r="E6658" s="114">
        <v>495</v>
      </c>
      <c r="F6658" s="44">
        <v>86</v>
      </c>
      <c r="G6658" s="44">
        <f t="shared" si="4575"/>
        <v>42570</v>
      </c>
      <c r="H6658" s="44">
        <f t="shared" si="4576"/>
        <v>54.382400000000004</v>
      </c>
      <c r="I6658" s="43">
        <f t="shared" si="4577"/>
        <v>26919.288</v>
      </c>
      <c r="J6658" s="112">
        <f t="shared" si="4578"/>
        <v>495</v>
      </c>
      <c r="K6658" s="211">
        <f t="shared" si="4579"/>
        <v>495</v>
      </c>
      <c r="L6658" s="44"/>
      <c r="M6658" s="44">
        <f t="shared" si="4580"/>
        <v>495</v>
      </c>
      <c r="N6658" s="173">
        <f t="shared" si="4581"/>
        <v>1</v>
      </c>
      <c r="O6658" s="44">
        <f t="shared" si="4582"/>
        <v>86</v>
      </c>
      <c r="P6658" s="44">
        <f t="shared" si="4583"/>
        <v>42570</v>
      </c>
      <c r="Q6658" s="44">
        <f t="shared" si="4584"/>
        <v>54.382400000000004</v>
      </c>
      <c r="R6658" s="44">
        <f t="shared" si="4585"/>
        <v>26919.288</v>
      </c>
      <c r="S6658" s="123"/>
      <c r="T6658" s="219">
        <f t="shared" si="4586"/>
        <v>26919.288</v>
      </c>
      <c r="U6658" s="87"/>
      <c r="V6658" s="47"/>
      <c r="W6658" s="48"/>
      <c r="X6658" s="48"/>
      <c r="Y6658" s="48"/>
      <c r="Z6658" s="135"/>
      <c r="AA6658" s="49"/>
      <c r="AB6658" s="50">
        <f t="shared" si="4587"/>
        <v>54.382400000000004</v>
      </c>
      <c r="AC6658" s="42">
        <f t="shared" si="4588"/>
        <v>495</v>
      </c>
      <c r="AD6658" s="90">
        <f>AD6659+AD6666</f>
        <v>26919.288</v>
      </c>
      <c r="AE6658" s="188">
        <f t="shared" ref="AE6658" si="4718">AE6659+AE6666</f>
        <v>0</v>
      </c>
      <c r="AF6658" s="189">
        <f t="shared" ref="AF6658" si="4719">AF6659+AF6666</f>
        <v>0</v>
      </c>
      <c r="AG6658" s="189">
        <f t="shared" ref="AG6658" si="4720">AG6659+AG6666</f>
        <v>0</v>
      </c>
      <c r="AH6658" s="189">
        <f t="shared" ref="AH6658" si="4721">AH6659+AH6666</f>
        <v>0</v>
      </c>
      <c r="AI6658" s="161">
        <f t="shared" ref="AI6658" si="4722">SUM(AE6658:AH6658)</f>
        <v>0</v>
      </c>
      <c r="AK6658" s="169">
        <v>5</v>
      </c>
      <c r="AO6658" s="19" t="s">
        <v>63</v>
      </c>
    </row>
    <row r="6659" spans="1:41" s="103" customFormat="1" ht="19.899999999999999" customHeight="1" x14ac:dyDescent="0.25">
      <c r="A6659" s="51"/>
      <c r="B6659" s="52"/>
      <c r="C6659" s="165"/>
      <c r="D6659" s="52"/>
      <c r="E6659" s="115"/>
      <c r="F6659" s="58"/>
      <c r="G6659" s="58"/>
      <c r="H6659" s="58"/>
      <c r="I6659" s="55"/>
      <c r="J6659" s="113">
        <f>J6658</f>
        <v>495</v>
      </c>
      <c r="K6659" s="212">
        <f>K6658</f>
        <v>495</v>
      </c>
      <c r="L6659" s="58"/>
      <c r="M6659" s="58">
        <f>K6659-L6659</f>
        <v>495</v>
      </c>
      <c r="N6659" s="166"/>
      <c r="O6659" s="58"/>
      <c r="P6659" s="58"/>
      <c r="Q6659" s="58"/>
      <c r="R6659" s="58"/>
      <c r="S6659" s="58"/>
      <c r="T6659" s="220"/>
      <c r="U6659" s="88"/>
      <c r="V6659" s="56"/>
      <c r="W6659" s="57" t="s">
        <v>1608</v>
      </c>
      <c r="X6659" s="53"/>
      <c r="Y6659" s="91" t="s">
        <v>64</v>
      </c>
      <c r="Z6659" s="136">
        <f>AD6659/AC6659</f>
        <v>4.3823999999999987</v>
      </c>
      <c r="AA6659" s="58"/>
      <c r="AB6659" s="53">
        <f>AD6659/AC6659</f>
        <v>4.3823999999999987</v>
      </c>
      <c r="AC6659" s="53">
        <f>M6659+$AE$10</f>
        <v>495</v>
      </c>
      <c r="AD6659" s="54">
        <f>SUM(AD6660:AD6665)</f>
        <v>2169.2879999999996</v>
      </c>
      <c r="AE6659" s="184">
        <f>SUMIFS($AD$37:$AD$12971,$V$37:$V$12971,$V6659,$X$37:$X$12971,AE$13)</f>
        <v>0</v>
      </c>
      <c r="AF6659" s="185">
        <f>SUMIFS($AD$37:$AD$12971,$V$37:$V$12971,$V6659,$X$37:$X$12971,AF$13)</f>
        <v>0</v>
      </c>
      <c r="AG6659" s="185">
        <f>SUMIFS($AD$37:$AD$12971,$V$37:$V$12971,$V6659,$X$37:$X$12971,AG$13)</f>
        <v>0</v>
      </c>
      <c r="AH6659" s="187">
        <f>SUMIFS($AD$37:$AD$12971,$V$37:$V$12971,$V6659,$X$37:$X$12971,AH$13)</f>
        <v>0</v>
      </c>
      <c r="AI6659" s="161">
        <f t="shared" ref="AI6659" si="4723">SUM(AE6659:AH6659)</f>
        <v>0</v>
      </c>
      <c r="AK6659" s="172"/>
    </row>
    <row r="6660" spans="1:41" s="102" customFormat="1" ht="19.899999999999999" customHeight="1" x14ac:dyDescent="0.25">
      <c r="A6660" s="45"/>
      <c r="B6660" s="59"/>
      <c r="C6660" s="137"/>
      <c r="D6660" s="59"/>
      <c r="E6660" s="116"/>
      <c r="F6660" s="120"/>
      <c r="G6660" s="120"/>
      <c r="H6660" s="120"/>
      <c r="I6660" s="60"/>
      <c r="J6660" s="116"/>
      <c r="K6660" s="213"/>
      <c r="L6660" s="120"/>
      <c r="M6660" s="120"/>
      <c r="N6660" s="167"/>
      <c r="O6660" s="120"/>
      <c r="P6660" s="120"/>
      <c r="Q6660" s="120"/>
      <c r="R6660" s="120"/>
      <c r="S6660" s="120"/>
      <c r="T6660" s="221"/>
      <c r="U6660" s="89"/>
      <c r="V6660" s="61"/>
      <c r="W6660" s="92" t="s">
        <v>160</v>
      </c>
      <c r="X6660" s="93" t="s">
        <v>29</v>
      </c>
      <c r="Y6660" s="93" t="s">
        <v>93</v>
      </c>
      <c r="Z6660" s="134">
        <f>VLOOKUP(W6660,Sheet2!$B:$D,3,FALSE)</f>
        <v>44</v>
      </c>
      <c r="AA6660" s="93">
        <v>20</v>
      </c>
      <c r="AB6660" s="93">
        <f>AD6660/AC6659</f>
        <v>2.2000000000000002</v>
      </c>
      <c r="AC6660" s="93">
        <f>AC6659/AA6660</f>
        <v>24.75</v>
      </c>
      <c r="AD6660" s="94">
        <f t="shared" ref="AD6660:AD6661" si="4724">AC6660*Z6660</f>
        <v>1089</v>
      </c>
      <c r="AE6660" s="190"/>
      <c r="AF6660" s="191"/>
      <c r="AG6660" s="191"/>
      <c r="AH6660" s="191"/>
      <c r="AI6660" s="186"/>
      <c r="AK6660" s="171"/>
    </row>
    <row r="6661" spans="1:41" s="102" customFormat="1" ht="19.899999999999999" customHeight="1" x14ac:dyDescent="0.25">
      <c r="A6661" s="45"/>
      <c r="B6661" s="59"/>
      <c r="C6661" s="137"/>
      <c r="D6661" s="59"/>
      <c r="E6661" s="116"/>
      <c r="F6661" s="120"/>
      <c r="G6661" s="120"/>
      <c r="H6661" s="120"/>
      <c r="I6661" s="60"/>
      <c r="J6661" s="116"/>
      <c r="K6661" s="213"/>
      <c r="L6661" s="120"/>
      <c r="M6661" s="120"/>
      <c r="N6661" s="167"/>
      <c r="O6661" s="120"/>
      <c r="P6661" s="120"/>
      <c r="Q6661" s="120"/>
      <c r="R6661" s="120"/>
      <c r="S6661" s="120"/>
      <c r="T6661" s="221"/>
      <c r="U6661" s="89"/>
      <c r="V6661" s="61"/>
      <c r="W6661" s="92" t="s">
        <v>65</v>
      </c>
      <c r="X6661" s="93" t="s">
        <v>30</v>
      </c>
      <c r="Y6661" s="93" t="s">
        <v>1011</v>
      </c>
      <c r="Z6661" s="134">
        <f>VLOOKUP(W6661,Sheet2!$B:$D,3,FALSE)</f>
        <v>1.76</v>
      </c>
      <c r="AA6661" s="93">
        <f>AA6660/10</f>
        <v>2</v>
      </c>
      <c r="AB6661" s="93">
        <f>AD6661/AC6659</f>
        <v>0.88</v>
      </c>
      <c r="AC6661" s="93">
        <f>AC6659/AA6661</f>
        <v>247.5</v>
      </c>
      <c r="AD6661" s="94">
        <f t="shared" si="4724"/>
        <v>435.6</v>
      </c>
      <c r="AE6661" s="190"/>
      <c r="AF6661" s="191"/>
      <c r="AG6661" s="191"/>
      <c r="AH6661" s="191"/>
      <c r="AI6661" s="186"/>
      <c r="AK6661" s="171"/>
    </row>
    <row r="6662" spans="1:41" s="102" customFormat="1" ht="19.899999999999999" customHeight="1" x14ac:dyDescent="0.25">
      <c r="A6662" s="45"/>
      <c r="B6662" s="59"/>
      <c r="C6662" s="137"/>
      <c r="D6662" s="59"/>
      <c r="E6662" s="116"/>
      <c r="F6662" s="120"/>
      <c r="G6662" s="120"/>
      <c r="H6662" s="120"/>
      <c r="I6662" s="60"/>
      <c r="J6662" s="116"/>
      <c r="K6662" s="213"/>
      <c r="L6662" s="120"/>
      <c r="M6662" s="120"/>
      <c r="N6662" s="167"/>
      <c r="O6662" s="120"/>
      <c r="P6662" s="120"/>
      <c r="Q6662" s="120"/>
      <c r="R6662" s="120"/>
      <c r="S6662" s="120"/>
      <c r="T6662" s="221"/>
      <c r="U6662" s="89"/>
      <c r="V6662" s="61"/>
      <c r="W6662" s="92" t="s">
        <v>148</v>
      </c>
      <c r="X6662" s="93" t="s">
        <v>29</v>
      </c>
      <c r="Y6662" s="93" t="s">
        <v>93</v>
      </c>
      <c r="Z6662" s="134">
        <f>VLOOKUP(W6662,Sheet2!$B:$D,3,FALSE)</f>
        <v>48</v>
      </c>
      <c r="AA6662" s="93">
        <v>100</v>
      </c>
      <c r="AB6662" s="93">
        <f>AD6662/AC6659</f>
        <v>0.48000000000000004</v>
      </c>
      <c r="AC6662" s="93">
        <f>AC6659/AA6662</f>
        <v>4.95</v>
      </c>
      <c r="AD6662" s="94">
        <f>AC6662*Z6662</f>
        <v>237.60000000000002</v>
      </c>
      <c r="AE6662" s="190"/>
      <c r="AF6662" s="191"/>
      <c r="AG6662" s="191"/>
      <c r="AH6662" s="191"/>
      <c r="AI6662" s="186"/>
      <c r="AK6662" s="171"/>
    </row>
    <row r="6663" spans="1:41" s="102" customFormat="1" ht="19.899999999999999" customHeight="1" x14ac:dyDescent="0.25">
      <c r="A6663" s="45"/>
      <c r="B6663" s="59"/>
      <c r="C6663" s="137"/>
      <c r="D6663" s="59"/>
      <c r="E6663" s="116"/>
      <c r="F6663" s="120"/>
      <c r="G6663" s="120"/>
      <c r="H6663" s="120"/>
      <c r="I6663" s="60"/>
      <c r="J6663" s="116"/>
      <c r="K6663" s="213"/>
      <c r="L6663" s="120"/>
      <c r="M6663" s="120"/>
      <c r="N6663" s="167"/>
      <c r="O6663" s="120"/>
      <c r="P6663" s="120"/>
      <c r="Q6663" s="120"/>
      <c r="R6663" s="120"/>
      <c r="S6663" s="120"/>
      <c r="T6663" s="221"/>
      <c r="U6663" s="89"/>
      <c r="V6663" s="61"/>
      <c r="W6663" s="92" t="s">
        <v>65</v>
      </c>
      <c r="X6663" s="93" t="s">
        <v>30</v>
      </c>
      <c r="Y6663" s="93" t="s">
        <v>1011</v>
      </c>
      <c r="Z6663" s="134">
        <f>VLOOKUP(W6663,Sheet2!$B:$D,3,FALSE)</f>
        <v>1.76</v>
      </c>
      <c r="AA6663" s="93">
        <f>AA6662/10</f>
        <v>10</v>
      </c>
      <c r="AB6663" s="93">
        <f>AD6663/AC6659</f>
        <v>0.17600000000000002</v>
      </c>
      <c r="AC6663" s="93">
        <f>AC6659/AA6663</f>
        <v>49.5</v>
      </c>
      <c r="AD6663" s="94">
        <f t="shared" ref="AD6663:AD6665" si="4725">AC6663*Z6663</f>
        <v>87.12</v>
      </c>
      <c r="AE6663" s="190"/>
      <c r="AF6663" s="191"/>
      <c r="AG6663" s="191"/>
      <c r="AH6663" s="191"/>
      <c r="AI6663" s="186"/>
      <c r="AK6663" s="171"/>
    </row>
    <row r="6664" spans="1:41" s="102" customFormat="1" ht="19.899999999999999" customHeight="1" x14ac:dyDescent="0.25">
      <c r="A6664" s="45"/>
      <c r="B6664" s="59"/>
      <c r="C6664" s="137"/>
      <c r="D6664" s="59"/>
      <c r="E6664" s="116"/>
      <c r="F6664" s="120"/>
      <c r="G6664" s="120"/>
      <c r="H6664" s="120"/>
      <c r="I6664" s="60"/>
      <c r="J6664" s="116"/>
      <c r="K6664" s="213"/>
      <c r="L6664" s="120"/>
      <c r="M6664" s="120"/>
      <c r="N6664" s="167"/>
      <c r="O6664" s="120"/>
      <c r="P6664" s="120"/>
      <c r="Q6664" s="120"/>
      <c r="R6664" s="120"/>
      <c r="S6664" s="120"/>
      <c r="T6664" s="221"/>
      <c r="U6664" s="89"/>
      <c r="V6664" s="61"/>
      <c r="W6664" s="92" t="s">
        <v>145</v>
      </c>
      <c r="X6664" s="93" t="s">
        <v>29</v>
      </c>
      <c r="Y6664" s="93" t="s">
        <v>93</v>
      </c>
      <c r="Z6664" s="134">
        <f>VLOOKUP(W6664,Sheet2!$B:$D,3,FALSE)</f>
        <v>40</v>
      </c>
      <c r="AA6664" s="93">
        <v>100</v>
      </c>
      <c r="AB6664" s="93">
        <f t="shared" ref="AB6664" si="4726">AD6664/AC6659</f>
        <v>0.4</v>
      </c>
      <c r="AC6664" s="93">
        <f>AC6659/AA6664</f>
        <v>4.95</v>
      </c>
      <c r="AD6664" s="94">
        <f t="shared" si="4725"/>
        <v>198</v>
      </c>
      <c r="AE6664" s="190"/>
      <c r="AF6664" s="191"/>
      <c r="AG6664" s="191"/>
      <c r="AH6664" s="191"/>
      <c r="AI6664" s="186"/>
      <c r="AK6664" s="171"/>
    </row>
    <row r="6665" spans="1:41" s="102" customFormat="1" ht="19.899999999999999" customHeight="1" x14ac:dyDescent="0.25">
      <c r="A6665" s="45"/>
      <c r="B6665" s="59"/>
      <c r="C6665" s="137"/>
      <c r="D6665" s="59"/>
      <c r="E6665" s="116"/>
      <c r="F6665" s="120"/>
      <c r="G6665" s="120"/>
      <c r="H6665" s="120"/>
      <c r="I6665" s="60"/>
      <c r="J6665" s="116"/>
      <c r="K6665" s="213"/>
      <c r="L6665" s="120"/>
      <c r="M6665" s="120"/>
      <c r="N6665" s="167"/>
      <c r="O6665" s="120"/>
      <c r="P6665" s="120"/>
      <c r="Q6665" s="120"/>
      <c r="R6665" s="120"/>
      <c r="S6665" s="120"/>
      <c r="T6665" s="221"/>
      <c r="U6665" s="89"/>
      <c r="V6665" s="61"/>
      <c r="W6665" s="92" t="s">
        <v>65</v>
      </c>
      <c r="X6665" s="93" t="s">
        <v>30</v>
      </c>
      <c r="Y6665" s="93" t="s">
        <v>1011</v>
      </c>
      <c r="Z6665" s="134">
        <f>VLOOKUP(W6665,Sheet2!$B:$D,3,FALSE)</f>
        <v>1.76</v>
      </c>
      <c r="AA6665" s="93">
        <f>AA6664/14</f>
        <v>7.1428571428571432</v>
      </c>
      <c r="AB6665" s="93">
        <f>AD6665/AC6659</f>
        <v>0.24639999999999998</v>
      </c>
      <c r="AC6665" s="93">
        <f>AC6659/AA6665</f>
        <v>69.3</v>
      </c>
      <c r="AD6665" s="94">
        <f t="shared" si="4725"/>
        <v>121.96799999999999</v>
      </c>
      <c r="AE6665" s="190"/>
      <c r="AF6665" s="191"/>
      <c r="AG6665" s="191"/>
      <c r="AH6665" s="191"/>
      <c r="AI6665" s="186"/>
      <c r="AK6665" s="171"/>
    </row>
    <row r="6666" spans="1:41" s="103" customFormat="1" ht="19.899999999999999" customHeight="1" x14ac:dyDescent="0.25">
      <c r="A6666" s="51"/>
      <c r="B6666" s="52"/>
      <c r="C6666" s="165"/>
      <c r="D6666" s="52"/>
      <c r="E6666" s="115"/>
      <c r="F6666" s="58"/>
      <c r="G6666" s="58"/>
      <c r="H6666" s="58"/>
      <c r="I6666" s="55"/>
      <c r="J6666" s="113">
        <f>J6658</f>
        <v>495</v>
      </c>
      <c r="K6666" s="212">
        <f>K6658</f>
        <v>495</v>
      </c>
      <c r="L6666" s="58"/>
      <c r="M6666" s="58">
        <f>K6666-L6666</f>
        <v>495</v>
      </c>
      <c r="N6666" s="166"/>
      <c r="O6666" s="58"/>
      <c r="P6666" s="58"/>
      <c r="Q6666" s="58"/>
      <c r="R6666" s="58"/>
      <c r="S6666" s="58"/>
      <c r="T6666" s="220"/>
      <c r="U6666" s="88"/>
      <c r="V6666" s="56"/>
      <c r="W6666" s="57" t="s">
        <v>1612</v>
      </c>
      <c r="X6666" s="53"/>
      <c r="Y6666" s="91" t="s">
        <v>64</v>
      </c>
      <c r="Z6666" s="136">
        <f>AD6666/AC6666</f>
        <v>50</v>
      </c>
      <c r="AA6666" s="58"/>
      <c r="AB6666" s="53">
        <f>AD6666/AC6666</f>
        <v>50</v>
      </c>
      <c r="AC6666" s="53">
        <f>M6666+$AE$10</f>
        <v>495</v>
      </c>
      <c r="AD6666" s="54">
        <f>SUM(AD6667:AD6670)</f>
        <v>24750</v>
      </c>
      <c r="AE6666" s="184">
        <f>SUMIFS($AD$37:$AD$12971,$V$37:$V$12971,$V6666,$X$37:$X$12971,AE$13)</f>
        <v>0</v>
      </c>
      <c r="AF6666" s="185">
        <f>SUMIFS($AD$37:$AD$12971,$V$37:$V$12971,$V6666,$X$37:$X$12971,AF$13)</f>
        <v>0</v>
      </c>
      <c r="AG6666" s="185">
        <f>SUMIFS($AD$37:$AD$12971,$V$37:$V$12971,$V6666,$X$37:$X$12971,AG$13)</f>
        <v>0</v>
      </c>
      <c r="AH6666" s="187">
        <f>SUMIFS($AD$37:$AD$12971,$V$37:$V$12971,$V6666,$X$37:$X$12971,AH$13)</f>
        <v>0</v>
      </c>
      <c r="AI6666" s="161">
        <f t="shared" ref="AI6666" si="4727">SUM(AE6666:AH6666)</f>
        <v>0</v>
      </c>
      <c r="AK6666" s="172"/>
    </row>
    <row r="6667" spans="1:41" s="102" customFormat="1" ht="19.899999999999999" customHeight="1" x14ac:dyDescent="0.25">
      <c r="A6667" s="45"/>
      <c r="B6667" s="59"/>
      <c r="C6667" s="137"/>
      <c r="D6667" s="59"/>
      <c r="E6667" s="116"/>
      <c r="F6667" s="120"/>
      <c r="G6667" s="120"/>
      <c r="H6667" s="120"/>
      <c r="I6667" s="60"/>
      <c r="J6667" s="116"/>
      <c r="K6667" s="213"/>
      <c r="L6667" s="120"/>
      <c r="M6667" s="120"/>
      <c r="N6667" s="167"/>
      <c r="O6667" s="120"/>
      <c r="P6667" s="120"/>
      <c r="Q6667" s="120"/>
      <c r="R6667" s="120"/>
      <c r="S6667" s="120"/>
      <c r="T6667" s="221"/>
      <c r="U6667" s="89"/>
      <c r="V6667" s="61"/>
      <c r="W6667" s="92" t="s">
        <v>103</v>
      </c>
      <c r="X6667" s="93" t="s">
        <v>29</v>
      </c>
      <c r="Y6667" s="93" t="s">
        <v>64</v>
      </c>
      <c r="Z6667" s="134">
        <f>VLOOKUP(W6667,Sheet2!$B:$D,3,FALSE)</f>
        <v>2</v>
      </c>
      <c r="AA6667" s="93">
        <v>1</v>
      </c>
      <c r="AB6667" s="93">
        <f>AD6667/AC6666</f>
        <v>2</v>
      </c>
      <c r="AC6667" s="93">
        <f>AC6666/AA6667</f>
        <v>495</v>
      </c>
      <c r="AD6667" s="94">
        <f t="shared" ref="AD6667:AD6668" si="4728">AC6667*Z6667</f>
        <v>990</v>
      </c>
      <c r="AE6667" s="190"/>
      <c r="AF6667" s="191"/>
      <c r="AG6667" s="191"/>
      <c r="AH6667" s="191"/>
      <c r="AI6667" s="186"/>
      <c r="AK6667" s="171"/>
    </row>
    <row r="6668" spans="1:41" s="102" customFormat="1" ht="19.899999999999999" customHeight="1" x14ac:dyDescent="0.25">
      <c r="A6668" s="45"/>
      <c r="B6668" s="59"/>
      <c r="C6668" s="137"/>
      <c r="D6668" s="59"/>
      <c r="E6668" s="116"/>
      <c r="F6668" s="120"/>
      <c r="G6668" s="120"/>
      <c r="H6668" s="120"/>
      <c r="I6668" s="60"/>
      <c r="J6668" s="116"/>
      <c r="K6668" s="213"/>
      <c r="L6668" s="120"/>
      <c r="M6668" s="120"/>
      <c r="N6668" s="167"/>
      <c r="O6668" s="120"/>
      <c r="P6668" s="120"/>
      <c r="Q6668" s="120"/>
      <c r="R6668" s="120"/>
      <c r="S6668" s="120"/>
      <c r="T6668" s="221"/>
      <c r="U6668" s="89"/>
      <c r="V6668" s="61"/>
      <c r="W6668" s="92" t="s">
        <v>1611</v>
      </c>
      <c r="X6668" s="93" t="s">
        <v>30</v>
      </c>
      <c r="Y6668" s="93" t="s">
        <v>66</v>
      </c>
      <c r="Z6668" s="134">
        <f>VLOOKUP(W6668,Sheet2!$B:$D,3,FALSE)</f>
        <v>30</v>
      </c>
      <c r="AA6668" s="93">
        <v>10</v>
      </c>
      <c r="AB6668" s="93">
        <f>AD6668/AC6666</f>
        <v>3</v>
      </c>
      <c r="AC6668" s="93">
        <f>AC6666/AA6668</f>
        <v>49.5</v>
      </c>
      <c r="AD6668" s="94">
        <f t="shared" si="4728"/>
        <v>1485</v>
      </c>
      <c r="AE6668" s="190"/>
      <c r="AF6668" s="191"/>
      <c r="AG6668" s="191"/>
      <c r="AH6668" s="191"/>
      <c r="AI6668" s="186"/>
      <c r="AK6668" s="171"/>
    </row>
    <row r="6669" spans="1:41" s="102" customFormat="1" ht="19.899999999999999" customHeight="1" x14ac:dyDescent="0.25">
      <c r="A6669" s="45"/>
      <c r="B6669" s="59"/>
      <c r="C6669" s="137"/>
      <c r="D6669" s="59"/>
      <c r="E6669" s="116"/>
      <c r="F6669" s="120"/>
      <c r="G6669" s="120"/>
      <c r="H6669" s="120"/>
      <c r="I6669" s="60"/>
      <c r="J6669" s="116"/>
      <c r="K6669" s="213"/>
      <c r="L6669" s="120"/>
      <c r="M6669" s="120"/>
      <c r="N6669" s="167"/>
      <c r="O6669" s="120"/>
      <c r="P6669" s="120"/>
      <c r="Q6669" s="120"/>
      <c r="R6669" s="120"/>
      <c r="S6669" s="120"/>
      <c r="T6669" s="221"/>
      <c r="U6669" s="89"/>
      <c r="V6669" s="61"/>
      <c r="W6669" s="92" t="s">
        <v>1609</v>
      </c>
      <c r="X6669" s="93" t="s">
        <v>30</v>
      </c>
      <c r="Y6669" s="93" t="s">
        <v>64</v>
      </c>
      <c r="Z6669" s="134">
        <f>VLOOKUP(W6669,Sheet2!$B:$D,3,FALSE)</f>
        <v>25</v>
      </c>
      <c r="AA6669" s="93">
        <v>1</v>
      </c>
      <c r="AB6669" s="93">
        <f>AD6669/AC6666</f>
        <v>25</v>
      </c>
      <c r="AC6669" s="93">
        <f>AC6666/AA6669</f>
        <v>495</v>
      </c>
      <c r="AD6669" s="94">
        <f>AC6669*Z6669</f>
        <v>12375</v>
      </c>
      <c r="AE6669" s="190"/>
      <c r="AF6669" s="191"/>
      <c r="AG6669" s="191"/>
      <c r="AH6669" s="191"/>
      <c r="AI6669" s="186"/>
      <c r="AK6669" s="171"/>
    </row>
    <row r="6670" spans="1:41" s="102" customFormat="1" ht="19.899999999999999" customHeight="1" x14ac:dyDescent="0.25">
      <c r="A6670" s="45"/>
      <c r="B6670" s="59"/>
      <c r="C6670" s="137"/>
      <c r="D6670" s="59"/>
      <c r="E6670" s="116"/>
      <c r="F6670" s="120"/>
      <c r="G6670" s="120"/>
      <c r="H6670" s="120"/>
      <c r="I6670" s="60"/>
      <c r="J6670" s="116"/>
      <c r="K6670" s="213"/>
      <c r="L6670" s="120"/>
      <c r="M6670" s="120"/>
      <c r="N6670" s="167"/>
      <c r="O6670" s="120"/>
      <c r="P6670" s="120"/>
      <c r="Q6670" s="120"/>
      <c r="R6670" s="120"/>
      <c r="S6670" s="120"/>
      <c r="T6670" s="221"/>
      <c r="U6670" s="89"/>
      <c r="V6670" s="61"/>
      <c r="W6670" s="92" t="s">
        <v>1610</v>
      </c>
      <c r="X6670" s="93" t="s">
        <v>32</v>
      </c>
      <c r="Y6670" s="93" t="s">
        <v>64</v>
      </c>
      <c r="Z6670" s="134">
        <f>VLOOKUP(W6670,Sheet2!$B:$D,3,FALSE)</f>
        <v>20</v>
      </c>
      <c r="AA6670" s="93">
        <v>1</v>
      </c>
      <c r="AB6670" s="93">
        <f>AD6670/AC6666</f>
        <v>20</v>
      </c>
      <c r="AC6670" s="93">
        <f>AC6666/AA6670</f>
        <v>495</v>
      </c>
      <c r="AD6670" s="94">
        <f>AC6670*Z6670</f>
        <v>9900</v>
      </c>
      <c r="AE6670" s="190"/>
      <c r="AF6670" s="191"/>
      <c r="AG6670" s="191"/>
      <c r="AH6670" s="191"/>
      <c r="AI6670" s="186"/>
      <c r="AK6670" s="171"/>
    </row>
    <row r="6671" spans="1:41" ht="20.100000000000001" customHeight="1" x14ac:dyDescent="0.25">
      <c r="A6671" s="277" t="s">
        <v>491</v>
      </c>
      <c r="B6671" s="278"/>
      <c r="C6671" s="64" t="s">
        <v>675</v>
      </c>
      <c r="D6671" s="46" t="s">
        <v>196</v>
      </c>
      <c r="E6671" s="114">
        <v>120</v>
      </c>
      <c r="F6671" s="44">
        <v>86</v>
      </c>
      <c r="G6671" s="44">
        <f t="shared" si="4575"/>
        <v>10320</v>
      </c>
      <c r="H6671" s="44">
        <f t="shared" si="4576"/>
        <v>54.382399999999997</v>
      </c>
      <c r="I6671" s="43">
        <f t="shared" si="4577"/>
        <v>6525.8879999999999</v>
      </c>
      <c r="J6671" s="112">
        <f t="shared" si="4578"/>
        <v>120</v>
      </c>
      <c r="K6671" s="211">
        <f t="shared" si="4579"/>
        <v>120</v>
      </c>
      <c r="L6671" s="44"/>
      <c r="M6671" s="44">
        <f t="shared" si="4580"/>
        <v>120</v>
      </c>
      <c r="N6671" s="173">
        <f t="shared" si="4581"/>
        <v>1</v>
      </c>
      <c r="O6671" s="44">
        <f t="shared" si="4582"/>
        <v>86</v>
      </c>
      <c r="P6671" s="44">
        <f t="shared" si="4583"/>
        <v>10320</v>
      </c>
      <c r="Q6671" s="44">
        <f t="shared" si="4584"/>
        <v>54.382399999999997</v>
      </c>
      <c r="R6671" s="44">
        <f t="shared" si="4585"/>
        <v>6525.8879999999999</v>
      </c>
      <c r="S6671" s="123"/>
      <c r="T6671" s="219">
        <f t="shared" si="4586"/>
        <v>6525.8879999999999</v>
      </c>
      <c r="U6671" s="87"/>
      <c r="V6671" s="47"/>
      <c r="W6671" s="48"/>
      <c r="X6671" s="48"/>
      <c r="Y6671" s="48"/>
      <c r="Z6671" s="135"/>
      <c r="AA6671" s="49"/>
      <c r="AB6671" s="50">
        <f t="shared" si="4587"/>
        <v>54.382399999999997</v>
      </c>
      <c r="AC6671" s="42">
        <f t="shared" si="4588"/>
        <v>120</v>
      </c>
      <c r="AD6671" s="90">
        <f>AD6672+AD6679</f>
        <v>6525.8879999999999</v>
      </c>
      <c r="AE6671" s="188">
        <f t="shared" ref="AE6671" si="4729">AE6672+AE6679</f>
        <v>0</v>
      </c>
      <c r="AF6671" s="189">
        <f t="shared" ref="AF6671" si="4730">AF6672+AF6679</f>
        <v>0</v>
      </c>
      <c r="AG6671" s="189">
        <f t="shared" ref="AG6671" si="4731">AG6672+AG6679</f>
        <v>0</v>
      </c>
      <c r="AH6671" s="189">
        <f t="shared" ref="AH6671" si="4732">AH6672+AH6679</f>
        <v>0</v>
      </c>
      <c r="AI6671" s="161">
        <f t="shared" ref="AI6671" si="4733">SUM(AE6671:AH6671)</f>
        <v>0</v>
      </c>
      <c r="AK6671" s="169">
        <v>5</v>
      </c>
      <c r="AO6671" s="19" t="s">
        <v>63</v>
      </c>
    </row>
    <row r="6672" spans="1:41" s="103" customFormat="1" ht="19.899999999999999" customHeight="1" x14ac:dyDescent="0.25">
      <c r="A6672" s="51"/>
      <c r="B6672" s="52"/>
      <c r="C6672" s="165"/>
      <c r="D6672" s="52"/>
      <c r="E6672" s="115"/>
      <c r="F6672" s="58"/>
      <c r="G6672" s="58"/>
      <c r="H6672" s="58"/>
      <c r="I6672" s="55"/>
      <c r="J6672" s="113">
        <f>J6671</f>
        <v>120</v>
      </c>
      <c r="K6672" s="212">
        <f>K6671</f>
        <v>120</v>
      </c>
      <c r="L6672" s="58"/>
      <c r="M6672" s="58">
        <f>K6672-L6672</f>
        <v>120</v>
      </c>
      <c r="N6672" s="166"/>
      <c r="O6672" s="58"/>
      <c r="P6672" s="58"/>
      <c r="Q6672" s="58"/>
      <c r="R6672" s="58"/>
      <c r="S6672" s="58"/>
      <c r="T6672" s="220"/>
      <c r="U6672" s="88"/>
      <c r="V6672" s="56"/>
      <c r="W6672" s="57" t="s">
        <v>1608</v>
      </c>
      <c r="X6672" s="53"/>
      <c r="Y6672" s="91" t="s">
        <v>64</v>
      </c>
      <c r="Z6672" s="136">
        <f>AD6672/AC6672</f>
        <v>4.3824000000000005</v>
      </c>
      <c r="AA6672" s="58"/>
      <c r="AB6672" s="53">
        <f>AD6672/AC6672</f>
        <v>4.3824000000000005</v>
      </c>
      <c r="AC6672" s="53">
        <f>M6672+$AE$10</f>
        <v>120</v>
      </c>
      <c r="AD6672" s="54">
        <f>SUM(AD6673:AD6678)</f>
        <v>525.88800000000003</v>
      </c>
      <c r="AE6672" s="184">
        <f>SUMIFS($AD$37:$AD$12971,$V$37:$V$12971,$V6672,$X$37:$X$12971,AE$13)</f>
        <v>0</v>
      </c>
      <c r="AF6672" s="185">
        <f>SUMIFS($AD$37:$AD$12971,$V$37:$V$12971,$V6672,$X$37:$X$12971,AF$13)</f>
        <v>0</v>
      </c>
      <c r="AG6672" s="185">
        <f>SUMIFS($AD$37:$AD$12971,$V$37:$V$12971,$V6672,$X$37:$X$12971,AG$13)</f>
        <v>0</v>
      </c>
      <c r="AH6672" s="187">
        <f>SUMIFS($AD$37:$AD$12971,$V$37:$V$12971,$V6672,$X$37:$X$12971,AH$13)</f>
        <v>0</v>
      </c>
      <c r="AI6672" s="161">
        <f t="shared" ref="AI6672" si="4734">SUM(AE6672:AH6672)</f>
        <v>0</v>
      </c>
      <c r="AK6672" s="172"/>
    </row>
    <row r="6673" spans="1:41" s="102" customFormat="1" ht="19.899999999999999" customHeight="1" x14ac:dyDescent="0.25">
      <c r="A6673" s="45"/>
      <c r="B6673" s="59"/>
      <c r="C6673" s="137"/>
      <c r="D6673" s="59"/>
      <c r="E6673" s="116"/>
      <c r="F6673" s="120"/>
      <c r="G6673" s="120"/>
      <c r="H6673" s="120"/>
      <c r="I6673" s="60"/>
      <c r="J6673" s="116"/>
      <c r="K6673" s="213"/>
      <c r="L6673" s="120"/>
      <c r="M6673" s="120"/>
      <c r="N6673" s="167"/>
      <c r="O6673" s="120"/>
      <c r="P6673" s="120"/>
      <c r="Q6673" s="120"/>
      <c r="R6673" s="120"/>
      <c r="S6673" s="120"/>
      <c r="T6673" s="221"/>
      <c r="U6673" s="89"/>
      <c r="V6673" s="61"/>
      <c r="W6673" s="92" t="s">
        <v>160</v>
      </c>
      <c r="X6673" s="93" t="s">
        <v>29</v>
      </c>
      <c r="Y6673" s="93" t="s">
        <v>93</v>
      </c>
      <c r="Z6673" s="134">
        <f>VLOOKUP(W6673,Sheet2!$B:$D,3,FALSE)</f>
        <v>44</v>
      </c>
      <c r="AA6673" s="93">
        <v>20</v>
      </c>
      <c r="AB6673" s="93">
        <f>AD6673/AC6672</f>
        <v>2.2000000000000002</v>
      </c>
      <c r="AC6673" s="93">
        <f>AC6672/AA6673</f>
        <v>6</v>
      </c>
      <c r="AD6673" s="94">
        <f t="shared" ref="AD6673:AD6674" si="4735">AC6673*Z6673</f>
        <v>264</v>
      </c>
      <c r="AE6673" s="190"/>
      <c r="AF6673" s="191"/>
      <c r="AG6673" s="191"/>
      <c r="AH6673" s="191"/>
      <c r="AI6673" s="186"/>
      <c r="AK6673" s="171"/>
    </row>
    <row r="6674" spans="1:41" s="102" customFormat="1" ht="19.899999999999999" customHeight="1" x14ac:dyDescent="0.25">
      <c r="A6674" s="45"/>
      <c r="B6674" s="59"/>
      <c r="C6674" s="137"/>
      <c r="D6674" s="59"/>
      <c r="E6674" s="116"/>
      <c r="F6674" s="120"/>
      <c r="G6674" s="120"/>
      <c r="H6674" s="120"/>
      <c r="I6674" s="60"/>
      <c r="J6674" s="116"/>
      <c r="K6674" s="213"/>
      <c r="L6674" s="120"/>
      <c r="M6674" s="120"/>
      <c r="N6674" s="167"/>
      <c r="O6674" s="120"/>
      <c r="P6674" s="120"/>
      <c r="Q6674" s="120"/>
      <c r="R6674" s="120"/>
      <c r="S6674" s="120"/>
      <c r="T6674" s="221"/>
      <c r="U6674" s="89"/>
      <c r="V6674" s="61"/>
      <c r="W6674" s="92" t="s">
        <v>65</v>
      </c>
      <c r="X6674" s="93" t="s">
        <v>30</v>
      </c>
      <c r="Y6674" s="93" t="s">
        <v>1011</v>
      </c>
      <c r="Z6674" s="134">
        <f>VLOOKUP(W6674,Sheet2!$B:$D,3,FALSE)</f>
        <v>1.76</v>
      </c>
      <c r="AA6674" s="93">
        <f>AA6673/10</f>
        <v>2</v>
      </c>
      <c r="AB6674" s="93">
        <f>AD6674/AC6672</f>
        <v>0.88</v>
      </c>
      <c r="AC6674" s="93">
        <f>AC6672/AA6674</f>
        <v>60</v>
      </c>
      <c r="AD6674" s="94">
        <f t="shared" si="4735"/>
        <v>105.6</v>
      </c>
      <c r="AE6674" s="190"/>
      <c r="AF6674" s="191"/>
      <c r="AG6674" s="191"/>
      <c r="AH6674" s="191"/>
      <c r="AI6674" s="186"/>
      <c r="AK6674" s="171"/>
    </row>
    <row r="6675" spans="1:41" s="102" customFormat="1" ht="19.899999999999999" customHeight="1" x14ac:dyDescent="0.25">
      <c r="A6675" s="45"/>
      <c r="B6675" s="59"/>
      <c r="C6675" s="137"/>
      <c r="D6675" s="59"/>
      <c r="E6675" s="116"/>
      <c r="F6675" s="120"/>
      <c r="G6675" s="120"/>
      <c r="H6675" s="120"/>
      <c r="I6675" s="60"/>
      <c r="J6675" s="116"/>
      <c r="K6675" s="213"/>
      <c r="L6675" s="120"/>
      <c r="M6675" s="120"/>
      <c r="N6675" s="167"/>
      <c r="O6675" s="120"/>
      <c r="P6675" s="120"/>
      <c r="Q6675" s="120"/>
      <c r="R6675" s="120"/>
      <c r="S6675" s="120"/>
      <c r="T6675" s="221"/>
      <c r="U6675" s="89"/>
      <c r="V6675" s="61"/>
      <c r="W6675" s="92" t="s">
        <v>148</v>
      </c>
      <c r="X6675" s="93" t="s">
        <v>29</v>
      </c>
      <c r="Y6675" s="93" t="s">
        <v>93</v>
      </c>
      <c r="Z6675" s="134">
        <f>VLOOKUP(W6675,Sheet2!$B:$D,3,FALSE)</f>
        <v>48</v>
      </c>
      <c r="AA6675" s="93">
        <v>100</v>
      </c>
      <c r="AB6675" s="93">
        <f>AD6675/AC6672</f>
        <v>0.47999999999999993</v>
      </c>
      <c r="AC6675" s="93">
        <f>AC6672/AA6675</f>
        <v>1.2</v>
      </c>
      <c r="AD6675" s="94">
        <f>AC6675*Z6675</f>
        <v>57.599999999999994</v>
      </c>
      <c r="AE6675" s="190"/>
      <c r="AF6675" s="191"/>
      <c r="AG6675" s="191"/>
      <c r="AH6675" s="191"/>
      <c r="AI6675" s="186"/>
      <c r="AK6675" s="171"/>
    </row>
    <row r="6676" spans="1:41" s="102" customFormat="1" ht="19.899999999999999" customHeight="1" x14ac:dyDescent="0.25">
      <c r="A6676" s="45"/>
      <c r="B6676" s="59"/>
      <c r="C6676" s="137"/>
      <c r="D6676" s="59"/>
      <c r="E6676" s="116"/>
      <c r="F6676" s="120"/>
      <c r="G6676" s="120"/>
      <c r="H6676" s="120"/>
      <c r="I6676" s="60"/>
      <c r="J6676" s="116"/>
      <c r="K6676" s="213"/>
      <c r="L6676" s="120"/>
      <c r="M6676" s="120"/>
      <c r="N6676" s="167"/>
      <c r="O6676" s="120"/>
      <c r="P6676" s="120"/>
      <c r="Q6676" s="120"/>
      <c r="R6676" s="120"/>
      <c r="S6676" s="120"/>
      <c r="T6676" s="221"/>
      <c r="U6676" s="89"/>
      <c r="V6676" s="61"/>
      <c r="W6676" s="92" t="s">
        <v>65</v>
      </c>
      <c r="X6676" s="93" t="s">
        <v>30</v>
      </c>
      <c r="Y6676" s="93" t="s">
        <v>1011</v>
      </c>
      <c r="Z6676" s="134">
        <f>VLOOKUP(W6676,Sheet2!$B:$D,3,FALSE)</f>
        <v>1.76</v>
      </c>
      <c r="AA6676" s="93">
        <f>AA6675/10</f>
        <v>10</v>
      </c>
      <c r="AB6676" s="93">
        <f>AD6676/AC6672</f>
        <v>0.17600000000000002</v>
      </c>
      <c r="AC6676" s="93">
        <f>AC6672/AA6676</f>
        <v>12</v>
      </c>
      <c r="AD6676" s="94">
        <f t="shared" ref="AD6676:AD6678" si="4736">AC6676*Z6676</f>
        <v>21.12</v>
      </c>
      <c r="AE6676" s="190"/>
      <c r="AF6676" s="191"/>
      <c r="AG6676" s="191"/>
      <c r="AH6676" s="191"/>
      <c r="AI6676" s="186"/>
      <c r="AK6676" s="171"/>
    </row>
    <row r="6677" spans="1:41" s="102" customFormat="1" ht="19.899999999999999" customHeight="1" x14ac:dyDescent="0.25">
      <c r="A6677" s="45"/>
      <c r="B6677" s="59"/>
      <c r="C6677" s="137"/>
      <c r="D6677" s="59"/>
      <c r="E6677" s="116"/>
      <c r="F6677" s="120"/>
      <c r="G6677" s="120"/>
      <c r="H6677" s="120"/>
      <c r="I6677" s="60"/>
      <c r="J6677" s="116"/>
      <c r="K6677" s="213"/>
      <c r="L6677" s="120"/>
      <c r="M6677" s="120"/>
      <c r="N6677" s="167"/>
      <c r="O6677" s="120"/>
      <c r="P6677" s="120"/>
      <c r="Q6677" s="120"/>
      <c r="R6677" s="120"/>
      <c r="S6677" s="120"/>
      <c r="T6677" s="221"/>
      <c r="U6677" s="89"/>
      <c r="V6677" s="61"/>
      <c r="W6677" s="92" t="s">
        <v>145</v>
      </c>
      <c r="X6677" s="93" t="s">
        <v>29</v>
      </c>
      <c r="Y6677" s="93" t="s">
        <v>93</v>
      </c>
      <c r="Z6677" s="134">
        <f>VLOOKUP(W6677,Sheet2!$B:$D,3,FALSE)</f>
        <v>40</v>
      </c>
      <c r="AA6677" s="93">
        <v>100</v>
      </c>
      <c r="AB6677" s="93">
        <f t="shared" ref="AB6677" si="4737">AD6677/AC6672</f>
        <v>0.4</v>
      </c>
      <c r="AC6677" s="93">
        <f>AC6672/AA6677</f>
        <v>1.2</v>
      </c>
      <c r="AD6677" s="94">
        <f t="shared" si="4736"/>
        <v>48</v>
      </c>
      <c r="AE6677" s="190"/>
      <c r="AF6677" s="191"/>
      <c r="AG6677" s="191"/>
      <c r="AH6677" s="191"/>
      <c r="AI6677" s="186"/>
      <c r="AK6677" s="171"/>
    </row>
    <row r="6678" spans="1:41" s="102" customFormat="1" ht="19.899999999999999" customHeight="1" x14ac:dyDescent="0.25">
      <c r="A6678" s="45"/>
      <c r="B6678" s="59"/>
      <c r="C6678" s="137"/>
      <c r="D6678" s="59"/>
      <c r="E6678" s="116"/>
      <c r="F6678" s="120"/>
      <c r="G6678" s="120"/>
      <c r="H6678" s="120"/>
      <c r="I6678" s="60"/>
      <c r="J6678" s="116"/>
      <c r="K6678" s="213"/>
      <c r="L6678" s="120"/>
      <c r="M6678" s="120"/>
      <c r="N6678" s="167"/>
      <c r="O6678" s="120"/>
      <c r="P6678" s="120"/>
      <c r="Q6678" s="120"/>
      <c r="R6678" s="120"/>
      <c r="S6678" s="120"/>
      <c r="T6678" s="221"/>
      <c r="U6678" s="89"/>
      <c r="V6678" s="61"/>
      <c r="W6678" s="92" t="s">
        <v>65</v>
      </c>
      <c r="X6678" s="93" t="s">
        <v>30</v>
      </c>
      <c r="Y6678" s="93" t="s">
        <v>1011</v>
      </c>
      <c r="Z6678" s="134">
        <f>VLOOKUP(W6678,Sheet2!$B:$D,3,FALSE)</f>
        <v>1.76</v>
      </c>
      <c r="AA6678" s="93">
        <f>AA6677/14</f>
        <v>7.1428571428571432</v>
      </c>
      <c r="AB6678" s="93">
        <f>AD6678/AC6672</f>
        <v>0.24640000000000001</v>
      </c>
      <c r="AC6678" s="93">
        <f>AC6672/AA6678</f>
        <v>16.8</v>
      </c>
      <c r="AD6678" s="94">
        <f t="shared" si="4736"/>
        <v>29.568000000000001</v>
      </c>
      <c r="AE6678" s="190"/>
      <c r="AF6678" s="191"/>
      <c r="AG6678" s="191"/>
      <c r="AH6678" s="191"/>
      <c r="AI6678" s="186"/>
      <c r="AK6678" s="171"/>
    </row>
    <row r="6679" spans="1:41" s="103" customFormat="1" ht="19.899999999999999" customHeight="1" x14ac:dyDescent="0.25">
      <c r="A6679" s="51"/>
      <c r="B6679" s="52"/>
      <c r="C6679" s="165"/>
      <c r="D6679" s="52"/>
      <c r="E6679" s="115"/>
      <c r="F6679" s="58"/>
      <c r="G6679" s="58"/>
      <c r="H6679" s="58"/>
      <c r="I6679" s="55"/>
      <c r="J6679" s="113">
        <f>J6671</f>
        <v>120</v>
      </c>
      <c r="K6679" s="212">
        <f>K6671</f>
        <v>120</v>
      </c>
      <c r="L6679" s="58"/>
      <c r="M6679" s="58">
        <f>K6679-L6679</f>
        <v>120</v>
      </c>
      <c r="N6679" s="166"/>
      <c r="O6679" s="58"/>
      <c r="P6679" s="58"/>
      <c r="Q6679" s="58"/>
      <c r="R6679" s="58"/>
      <c r="S6679" s="58"/>
      <c r="T6679" s="220"/>
      <c r="U6679" s="88"/>
      <c r="V6679" s="56"/>
      <c r="W6679" s="57" t="s">
        <v>1612</v>
      </c>
      <c r="X6679" s="53"/>
      <c r="Y6679" s="91" t="s">
        <v>64</v>
      </c>
      <c r="Z6679" s="136">
        <f>AD6679/AC6679</f>
        <v>50</v>
      </c>
      <c r="AA6679" s="58"/>
      <c r="AB6679" s="53">
        <f>AD6679/AC6679</f>
        <v>50</v>
      </c>
      <c r="AC6679" s="53">
        <f>M6679+$AE$10</f>
        <v>120</v>
      </c>
      <c r="AD6679" s="54">
        <f>SUM(AD6680:AD6683)</f>
        <v>6000</v>
      </c>
      <c r="AE6679" s="184">
        <f>SUMIFS($AD$37:$AD$12971,$V$37:$V$12971,$V6679,$X$37:$X$12971,AE$13)</f>
        <v>0</v>
      </c>
      <c r="AF6679" s="185">
        <f>SUMIFS($AD$37:$AD$12971,$V$37:$V$12971,$V6679,$X$37:$X$12971,AF$13)</f>
        <v>0</v>
      </c>
      <c r="AG6679" s="185">
        <f>SUMIFS($AD$37:$AD$12971,$V$37:$V$12971,$V6679,$X$37:$X$12971,AG$13)</f>
        <v>0</v>
      </c>
      <c r="AH6679" s="187">
        <f>SUMIFS($AD$37:$AD$12971,$V$37:$V$12971,$V6679,$X$37:$X$12971,AH$13)</f>
        <v>0</v>
      </c>
      <c r="AI6679" s="161">
        <f t="shared" ref="AI6679" si="4738">SUM(AE6679:AH6679)</f>
        <v>0</v>
      </c>
      <c r="AK6679" s="172"/>
    </row>
    <row r="6680" spans="1:41" s="102" customFormat="1" ht="19.899999999999999" customHeight="1" x14ac:dyDescent="0.25">
      <c r="A6680" s="45"/>
      <c r="B6680" s="59"/>
      <c r="C6680" s="137"/>
      <c r="D6680" s="59"/>
      <c r="E6680" s="116"/>
      <c r="F6680" s="120"/>
      <c r="G6680" s="120"/>
      <c r="H6680" s="120"/>
      <c r="I6680" s="60"/>
      <c r="J6680" s="116"/>
      <c r="K6680" s="213"/>
      <c r="L6680" s="120"/>
      <c r="M6680" s="120"/>
      <c r="N6680" s="167"/>
      <c r="O6680" s="120"/>
      <c r="P6680" s="120"/>
      <c r="Q6680" s="120"/>
      <c r="R6680" s="120"/>
      <c r="S6680" s="120"/>
      <c r="T6680" s="221"/>
      <c r="U6680" s="89"/>
      <c r="V6680" s="61"/>
      <c r="W6680" s="92" t="s">
        <v>103</v>
      </c>
      <c r="X6680" s="93" t="s">
        <v>29</v>
      </c>
      <c r="Y6680" s="93" t="s">
        <v>64</v>
      </c>
      <c r="Z6680" s="134">
        <f>VLOOKUP(W6680,Sheet2!$B:$D,3,FALSE)</f>
        <v>2</v>
      </c>
      <c r="AA6680" s="93">
        <v>1</v>
      </c>
      <c r="AB6680" s="93">
        <f>AD6680/AC6679</f>
        <v>2</v>
      </c>
      <c r="AC6680" s="93">
        <f>AC6679/AA6680</f>
        <v>120</v>
      </c>
      <c r="AD6680" s="94">
        <f t="shared" ref="AD6680:AD6681" si="4739">AC6680*Z6680</f>
        <v>240</v>
      </c>
      <c r="AE6680" s="190"/>
      <c r="AF6680" s="191"/>
      <c r="AG6680" s="191"/>
      <c r="AH6680" s="191"/>
      <c r="AI6680" s="186"/>
      <c r="AK6680" s="171"/>
    </row>
    <row r="6681" spans="1:41" s="102" customFormat="1" ht="19.899999999999999" customHeight="1" x14ac:dyDescent="0.25">
      <c r="A6681" s="45"/>
      <c r="B6681" s="59"/>
      <c r="C6681" s="137"/>
      <c r="D6681" s="59"/>
      <c r="E6681" s="116"/>
      <c r="F6681" s="120"/>
      <c r="G6681" s="120"/>
      <c r="H6681" s="120"/>
      <c r="I6681" s="60"/>
      <c r="J6681" s="116"/>
      <c r="K6681" s="213"/>
      <c r="L6681" s="120"/>
      <c r="M6681" s="120"/>
      <c r="N6681" s="167"/>
      <c r="O6681" s="120"/>
      <c r="P6681" s="120"/>
      <c r="Q6681" s="120"/>
      <c r="R6681" s="120"/>
      <c r="S6681" s="120"/>
      <c r="T6681" s="221"/>
      <c r="U6681" s="89"/>
      <c r="V6681" s="61"/>
      <c r="W6681" s="92" t="s">
        <v>1611</v>
      </c>
      <c r="X6681" s="93" t="s">
        <v>30</v>
      </c>
      <c r="Y6681" s="93" t="s">
        <v>66</v>
      </c>
      <c r="Z6681" s="134">
        <f>VLOOKUP(W6681,Sheet2!$B:$D,3,FALSE)</f>
        <v>30</v>
      </c>
      <c r="AA6681" s="93">
        <v>10</v>
      </c>
      <c r="AB6681" s="93">
        <f>AD6681/AC6679</f>
        <v>3</v>
      </c>
      <c r="AC6681" s="93">
        <f>AC6679/AA6681</f>
        <v>12</v>
      </c>
      <c r="AD6681" s="94">
        <f t="shared" si="4739"/>
        <v>360</v>
      </c>
      <c r="AE6681" s="190"/>
      <c r="AF6681" s="191"/>
      <c r="AG6681" s="191"/>
      <c r="AH6681" s="191"/>
      <c r="AI6681" s="186"/>
      <c r="AK6681" s="171"/>
    </row>
    <row r="6682" spans="1:41" s="102" customFormat="1" ht="19.899999999999999" customHeight="1" x14ac:dyDescent="0.25">
      <c r="A6682" s="45"/>
      <c r="B6682" s="59"/>
      <c r="C6682" s="137"/>
      <c r="D6682" s="59"/>
      <c r="E6682" s="116"/>
      <c r="F6682" s="120"/>
      <c r="G6682" s="120"/>
      <c r="H6682" s="120"/>
      <c r="I6682" s="60"/>
      <c r="J6682" s="116"/>
      <c r="K6682" s="213"/>
      <c r="L6682" s="120"/>
      <c r="M6682" s="120"/>
      <c r="N6682" s="167"/>
      <c r="O6682" s="120"/>
      <c r="P6682" s="120"/>
      <c r="Q6682" s="120"/>
      <c r="R6682" s="120"/>
      <c r="S6682" s="120"/>
      <c r="T6682" s="221"/>
      <c r="U6682" s="89"/>
      <c r="V6682" s="61"/>
      <c r="W6682" s="92" t="s">
        <v>1609</v>
      </c>
      <c r="X6682" s="93" t="s">
        <v>30</v>
      </c>
      <c r="Y6682" s="93" t="s">
        <v>64</v>
      </c>
      <c r="Z6682" s="134">
        <f>VLOOKUP(W6682,Sheet2!$B:$D,3,FALSE)</f>
        <v>25</v>
      </c>
      <c r="AA6682" s="93">
        <v>1</v>
      </c>
      <c r="AB6682" s="93">
        <f>AD6682/AC6679</f>
        <v>25</v>
      </c>
      <c r="AC6682" s="93">
        <f>AC6679/AA6682</f>
        <v>120</v>
      </c>
      <c r="AD6682" s="94">
        <f>AC6682*Z6682</f>
        <v>3000</v>
      </c>
      <c r="AE6682" s="190"/>
      <c r="AF6682" s="191"/>
      <c r="AG6682" s="191"/>
      <c r="AH6682" s="191"/>
      <c r="AI6682" s="186"/>
      <c r="AK6682" s="171"/>
    </row>
    <row r="6683" spans="1:41" s="102" customFormat="1" ht="19.899999999999999" customHeight="1" x14ac:dyDescent="0.25">
      <c r="A6683" s="45"/>
      <c r="B6683" s="59"/>
      <c r="C6683" s="137"/>
      <c r="D6683" s="59"/>
      <c r="E6683" s="116"/>
      <c r="F6683" s="120"/>
      <c r="G6683" s="120"/>
      <c r="H6683" s="120"/>
      <c r="I6683" s="60"/>
      <c r="J6683" s="116"/>
      <c r="K6683" s="213"/>
      <c r="L6683" s="120"/>
      <c r="M6683" s="120"/>
      <c r="N6683" s="167"/>
      <c r="O6683" s="120"/>
      <c r="P6683" s="120"/>
      <c r="Q6683" s="120"/>
      <c r="R6683" s="120"/>
      <c r="S6683" s="120"/>
      <c r="T6683" s="221"/>
      <c r="U6683" s="89"/>
      <c r="V6683" s="61"/>
      <c r="W6683" s="92" t="s">
        <v>1610</v>
      </c>
      <c r="X6683" s="93" t="s">
        <v>32</v>
      </c>
      <c r="Y6683" s="93" t="s">
        <v>64</v>
      </c>
      <c r="Z6683" s="134">
        <f>VLOOKUP(W6683,Sheet2!$B:$D,3,FALSE)</f>
        <v>20</v>
      </c>
      <c r="AA6683" s="93">
        <v>1</v>
      </c>
      <c r="AB6683" s="93">
        <f>AD6683/AC6679</f>
        <v>20</v>
      </c>
      <c r="AC6683" s="93">
        <f>AC6679/AA6683</f>
        <v>120</v>
      </c>
      <c r="AD6683" s="94">
        <f>AC6683*Z6683</f>
        <v>2400</v>
      </c>
      <c r="AE6683" s="190"/>
      <c r="AF6683" s="191"/>
      <c r="AG6683" s="191"/>
      <c r="AH6683" s="191"/>
      <c r="AI6683" s="186"/>
      <c r="AK6683" s="171"/>
    </row>
    <row r="6684" spans="1:41" s="102" customFormat="1" ht="20.100000000000001" customHeight="1" x14ac:dyDescent="0.25">
      <c r="A6684" s="45" t="s">
        <v>491</v>
      </c>
      <c r="B6684" s="276"/>
      <c r="C6684" s="285" t="s">
        <v>676</v>
      </c>
      <c r="D6684" s="59"/>
      <c r="E6684" s="116"/>
      <c r="F6684" s="120"/>
      <c r="G6684" s="120">
        <f t="shared" si="4575"/>
        <v>0</v>
      </c>
      <c r="H6684" s="120">
        <f t="shared" si="4576"/>
        <v>0</v>
      </c>
      <c r="I6684" s="60">
        <f t="shared" si="4577"/>
        <v>0</v>
      </c>
      <c r="J6684" s="116">
        <f t="shared" si="4578"/>
        <v>0</v>
      </c>
      <c r="K6684" s="213">
        <f t="shared" si="4579"/>
        <v>0</v>
      </c>
      <c r="L6684" s="120"/>
      <c r="M6684" s="120">
        <f t="shared" si="4580"/>
        <v>0</v>
      </c>
      <c r="N6684" s="167">
        <f t="shared" si="4581"/>
        <v>0</v>
      </c>
      <c r="O6684" s="120">
        <f t="shared" si="4582"/>
        <v>0</v>
      </c>
      <c r="P6684" s="120">
        <f t="shared" si="4583"/>
        <v>0</v>
      </c>
      <c r="Q6684" s="120">
        <f t="shared" si="4584"/>
        <v>0</v>
      </c>
      <c r="R6684" s="120">
        <f t="shared" si="4585"/>
        <v>0</v>
      </c>
      <c r="S6684" s="120"/>
      <c r="T6684" s="221">
        <f t="shared" si="4586"/>
        <v>0</v>
      </c>
      <c r="U6684" s="89"/>
      <c r="V6684" s="61"/>
      <c r="W6684" s="92"/>
      <c r="X6684" s="38"/>
      <c r="Y6684" s="93"/>
      <c r="Z6684" s="134"/>
      <c r="AA6684" s="93"/>
      <c r="AB6684" s="93"/>
      <c r="AC6684" s="93"/>
      <c r="AD6684" s="94"/>
      <c r="AE6684" s="190"/>
      <c r="AF6684" s="191"/>
      <c r="AG6684" s="191"/>
      <c r="AH6684" s="191"/>
      <c r="AI6684" s="186"/>
      <c r="AK6684" s="171"/>
    </row>
    <row r="6685" spans="1:41" s="102" customFormat="1" ht="94.5" x14ac:dyDescent="0.25">
      <c r="A6685" s="45" t="s">
        <v>491</v>
      </c>
      <c r="B6685" s="276"/>
      <c r="C6685" s="285" t="s">
        <v>677</v>
      </c>
      <c r="D6685" s="59"/>
      <c r="E6685" s="116"/>
      <c r="F6685" s="120"/>
      <c r="G6685" s="120">
        <f t="shared" si="4575"/>
        <v>0</v>
      </c>
      <c r="H6685" s="120">
        <f t="shared" si="4576"/>
        <v>0</v>
      </c>
      <c r="I6685" s="60">
        <f t="shared" si="4577"/>
        <v>0</v>
      </c>
      <c r="J6685" s="116">
        <f t="shared" si="4578"/>
        <v>0</v>
      </c>
      <c r="K6685" s="213">
        <f t="shared" si="4579"/>
        <v>0</v>
      </c>
      <c r="L6685" s="120"/>
      <c r="M6685" s="120">
        <f t="shared" si="4580"/>
        <v>0</v>
      </c>
      <c r="N6685" s="167">
        <f t="shared" si="4581"/>
        <v>0</v>
      </c>
      <c r="O6685" s="120">
        <f t="shared" si="4582"/>
        <v>0</v>
      </c>
      <c r="P6685" s="120">
        <f t="shared" si="4583"/>
        <v>0</v>
      </c>
      <c r="Q6685" s="120">
        <f t="shared" si="4584"/>
        <v>0</v>
      </c>
      <c r="R6685" s="120">
        <f t="shared" si="4585"/>
        <v>0</v>
      </c>
      <c r="S6685" s="120"/>
      <c r="T6685" s="221">
        <f t="shared" si="4586"/>
        <v>0</v>
      </c>
      <c r="U6685" s="89"/>
      <c r="V6685" s="61"/>
      <c r="W6685" s="92"/>
      <c r="X6685" s="38"/>
      <c r="Y6685" s="93"/>
      <c r="Z6685" s="134"/>
      <c r="AA6685" s="93"/>
      <c r="AB6685" s="93"/>
      <c r="AC6685" s="93"/>
      <c r="AD6685" s="94"/>
      <c r="AE6685" s="190"/>
      <c r="AF6685" s="191"/>
      <c r="AG6685" s="191"/>
      <c r="AH6685" s="191"/>
      <c r="AI6685" s="186"/>
      <c r="AK6685" s="171"/>
    </row>
    <row r="6686" spans="1:41" ht="25.5" x14ac:dyDescent="0.25">
      <c r="A6686" s="277" t="s">
        <v>491</v>
      </c>
      <c r="B6686" s="278"/>
      <c r="C6686" s="64" t="s">
        <v>678</v>
      </c>
      <c r="D6686" s="46" t="s">
        <v>97</v>
      </c>
      <c r="E6686" s="114">
        <v>45</v>
      </c>
      <c r="F6686" s="44">
        <v>298</v>
      </c>
      <c r="G6686" s="44">
        <f t="shared" si="4575"/>
        <v>13410</v>
      </c>
      <c r="H6686" s="44">
        <f t="shared" si="4576"/>
        <v>182.48333333333332</v>
      </c>
      <c r="I6686" s="43">
        <f t="shared" si="4577"/>
        <v>8211.75</v>
      </c>
      <c r="J6686" s="112">
        <f t="shared" si="4578"/>
        <v>45</v>
      </c>
      <c r="K6686" s="211">
        <f t="shared" si="4579"/>
        <v>45</v>
      </c>
      <c r="L6686" s="44"/>
      <c r="M6686" s="44">
        <f t="shared" si="4580"/>
        <v>45</v>
      </c>
      <c r="N6686" s="173">
        <f t="shared" si="4581"/>
        <v>1</v>
      </c>
      <c r="O6686" s="44">
        <f t="shared" si="4582"/>
        <v>298</v>
      </c>
      <c r="P6686" s="44">
        <f t="shared" si="4583"/>
        <v>13410</v>
      </c>
      <c r="Q6686" s="44">
        <f t="shared" si="4584"/>
        <v>182.48333333333332</v>
      </c>
      <c r="R6686" s="44">
        <f t="shared" si="4585"/>
        <v>8211.75</v>
      </c>
      <c r="S6686" s="123"/>
      <c r="T6686" s="219">
        <f t="shared" si="4586"/>
        <v>8211.75</v>
      </c>
      <c r="U6686" s="87"/>
      <c r="V6686" s="47"/>
      <c r="W6686" s="48"/>
      <c r="X6686" s="48"/>
      <c r="Y6686" s="48"/>
      <c r="Z6686" s="135"/>
      <c r="AA6686" s="49"/>
      <c r="AB6686" s="50">
        <f t="shared" si="4587"/>
        <v>182.48333333333332</v>
      </c>
      <c r="AC6686" s="42">
        <f t="shared" si="4588"/>
        <v>45</v>
      </c>
      <c r="AD6686" s="90">
        <f>AD6687+AD6690+AD6692</f>
        <v>8211.75</v>
      </c>
      <c r="AE6686" s="188">
        <f t="shared" ref="AE6686:AH6686" si="4740">AE6687+AE6690+AE6692</f>
        <v>0</v>
      </c>
      <c r="AF6686" s="189">
        <f t="shared" si="4740"/>
        <v>0</v>
      </c>
      <c r="AG6686" s="189">
        <f t="shared" si="4740"/>
        <v>0</v>
      </c>
      <c r="AH6686" s="189">
        <f t="shared" si="4740"/>
        <v>0</v>
      </c>
      <c r="AI6686" s="161">
        <f t="shared" ref="AI6686:AI6687" si="4741">SUM(AE6686:AH6686)</f>
        <v>0</v>
      </c>
      <c r="AK6686" s="169">
        <v>5</v>
      </c>
      <c r="AO6686" s="19" t="s">
        <v>63</v>
      </c>
    </row>
    <row r="6687" spans="1:41" s="103" customFormat="1" ht="19.899999999999999" customHeight="1" x14ac:dyDescent="0.25">
      <c r="A6687" s="51"/>
      <c r="B6687" s="52"/>
      <c r="C6687" s="165"/>
      <c r="D6687" s="52"/>
      <c r="E6687" s="115"/>
      <c r="F6687" s="58"/>
      <c r="G6687" s="58"/>
      <c r="H6687" s="58"/>
      <c r="I6687" s="55"/>
      <c r="J6687" s="113">
        <f>J6686</f>
        <v>45</v>
      </c>
      <c r="K6687" s="212">
        <f>K6686</f>
        <v>45</v>
      </c>
      <c r="L6687" s="58"/>
      <c r="M6687" s="58">
        <f>K6687-L6687</f>
        <v>45</v>
      </c>
      <c r="N6687" s="166"/>
      <c r="O6687" s="58"/>
      <c r="P6687" s="58"/>
      <c r="Q6687" s="58"/>
      <c r="R6687" s="58"/>
      <c r="S6687" s="58"/>
      <c r="T6687" s="220"/>
      <c r="U6687" s="88"/>
      <c r="V6687" s="56"/>
      <c r="W6687" s="57" t="s">
        <v>1613</v>
      </c>
      <c r="X6687" s="53"/>
      <c r="Y6687" s="91" t="s">
        <v>68</v>
      </c>
      <c r="Z6687" s="136">
        <f>AD6687/AC6687</f>
        <v>3.3</v>
      </c>
      <c r="AA6687" s="58"/>
      <c r="AB6687" s="53">
        <f>AD6687/AC6687</f>
        <v>3.3</v>
      </c>
      <c r="AC6687" s="53">
        <f>M6687+$AE$10</f>
        <v>45</v>
      </c>
      <c r="AD6687" s="54">
        <f>SUM(AD6688:AD6689)</f>
        <v>148.5</v>
      </c>
      <c r="AE6687" s="184">
        <f>SUMIFS($AD$37:$AD$12971,$V$37:$V$12971,$V6687,$X$37:$X$12971,AE$13)</f>
        <v>0</v>
      </c>
      <c r="AF6687" s="185">
        <f>SUMIFS($AD$37:$AD$12971,$V$37:$V$12971,$V6687,$X$37:$X$12971,AF$13)</f>
        <v>0</v>
      </c>
      <c r="AG6687" s="185">
        <f>SUMIFS($AD$37:$AD$12971,$V$37:$V$12971,$V6687,$X$37:$X$12971,AG$13)</f>
        <v>0</v>
      </c>
      <c r="AH6687" s="187">
        <f>SUMIFS($AD$37:$AD$12971,$V$37:$V$12971,$V6687,$X$37:$X$12971,AH$13)</f>
        <v>0</v>
      </c>
      <c r="AI6687" s="161">
        <f t="shared" si="4741"/>
        <v>0</v>
      </c>
      <c r="AK6687" s="172"/>
    </row>
    <row r="6688" spans="1:41" s="102" customFormat="1" ht="19.899999999999999" customHeight="1" x14ac:dyDescent="0.25">
      <c r="A6688" s="45"/>
      <c r="B6688" s="59"/>
      <c r="C6688" s="137"/>
      <c r="D6688" s="59"/>
      <c r="E6688" s="116"/>
      <c r="F6688" s="120"/>
      <c r="G6688" s="120"/>
      <c r="H6688" s="120"/>
      <c r="I6688" s="60"/>
      <c r="J6688" s="116"/>
      <c r="K6688" s="213"/>
      <c r="L6688" s="120"/>
      <c r="M6688" s="120"/>
      <c r="N6688" s="167"/>
      <c r="O6688" s="120"/>
      <c r="P6688" s="120"/>
      <c r="Q6688" s="120"/>
      <c r="R6688" s="120"/>
      <c r="S6688" s="120"/>
      <c r="T6688" s="221"/>
      <c r="U6688" s="89"/>
      <c r="V6688" s="61"/>
      <c r="W6688" s="92" t="s">
        <v>1614</v>
      </c>
      <c r="X6688" s="93" t="s">
        <v>29</v>
      </c>
      <c r="Y6688" s="93" t="s">
        <v>93</v>
      </c>
      <c r="Z6688" s="134">
        <f>VLOOKUP(W6688,Sheet2!$B:$D,3,FALSE)</f>
        <v>40</v>
      </c>
      <c r="AA6688" s="93">
        <v>20</v>
      </c>
      <c r="AB6688" s="93">
        <f>AD6688/AC6687</f>
        <v>2</v>
      </c>
      <c r="AC6688" s="93">
        <f>AC6687/AA6688</f>
        <v>2.25</v>
      </c>
      <c r="AD6688" s="94">
        <f t="shared" ref="AD6688:AD6689" si="4742">AC6688*Z6688</f>
        <v>90</v>
      </c>
      <c r="AE6688" s="190"/>
      <c r="AF6688" s="191"/>
      <c r="AG6688" s="191"/>
      <c r="AH6688" s="191"/>
      <c r="AI6688" s="186"/>
      <c r="AK6688" s="171"/>
    </row>
    <row r="6689" spans="1:41" s="102" customFormat="1" ht="19.899999999999999" customHeight="1" x14ac:dyDescent="0.25">
      <c r="A6689" s="45"/>
      <c r="B6689" s="59"/>
      <c r="C6689" s="137"/>
      <c r="D6689" s="59"/>
      <c r="E6689" s="116"/>
      <c r="F6689" s="120"/>
      <c r="G6689" s="120"/>
      <c r="H6689" s="120"/>
      <c r="I6689" s="60"/>
      <c r="J6689" s="116"/>
      <c r="K6689" s="213"/>
      <c r="L6689" s="120"/>
      <c r="M6689" s="120"/>
      <c r="N6689" s="167"/>
      <c r="O6689" s="120"/>
      <c r="P6689" s="120"/>
      <c r="Q6689" s="120"/>
      <c r="R6689" s="120"/>
      <c r="S6689" s="120"/>
      <c r="T6689" s="221"/>
      <c r="U6689" s="89"/>
      <c r="V6689" s="61"/>
      <c r="W6689" s="92" t="s">
        <v>112</v>
      </c>
      <c r="X6689" s="93" t="s">
        <v>31</v>
      </c>
      <c r="Y6689" s="93" t="s">
        <v>93</v>
      </c>
      <c r="Z6689" s="134">
        <f>VLOOKUP(W6689,Sheet2!$B:$D,3,FALSE)</f>
        <v>13</v>
      </c>
      <c r="AA6689" s="93">
        <v>10</v>
      </c>
      <c r="AB6689" s="93">
        <f>AD6689/AC6687</f>
        <v>1.3</v>
      </c>
      <c r="AC6689" s="93">
        <f>AC6687/AA6689</f>
        <v>4.5</v>
      </c>
      <c r="AD6689" s="94">
        <f t="shared" si="4742"/>
        <v>58.5</v>
      </c>
      <c r="AE6689" s="190"/>
      <c r="AF6689" s="191"/>
      <c r="AG6689" s="191"/>
      <c r="AH6689" s="191"/>
      <c r="AI6689" s="186"/>
      <c r="AK6689" s="171"/>
    </row>
    <row r="6690" spans="1:41" s="103" customFormat="1" ht="19.899999999999999" customHeight="1" x14ac:dyDescent="0.25">
      <c r="A6690" s="51"/>
      <c r="B6690" s="52"/>
      <c r="C6690" s="165"/>
      <c r="D6690" s="52"/>
      <c r="E6690" s="115"/>
      <c r="F6690" s="58"/>
      <c r="G6690" s="58"/>
      <c r="H6690" s="58"/>
      <c r="I6690" s="55"/>
      <c r="J6690" s="113">
        <f>J6686</f>
        <v>45</v>
      </c>
      <c r="K6690" s="212">
        <v>45</v>
      </c>
      <c r="L6690" s="58"/>
      <c r="M6690" s="58">
        <f>K6690-L6690</f>
        <v>45</v>
      </c>
      <c r="N6690" s="166"/>
      <c r="O6690" s="58"/>
      <c r="P6690" s="58"/>
      <c r="Q6690" s="58"/>
      <c r="R6690" s="58"/>
      <c r="S6690" s="58"/>
      <c r="T6690" s="220"/>
      <c r="U6690" s="88"/>
      <c r="V6690" s="56"/>
      <c r="W6690" s="57" t="s">
        <v>1615</v>
      </c>
      <c r="X6690" s="53"/>
      <c r="Y6690" s="91" t="s">
        <v>68</v>
      </c>
      <c r="Z6690" s="136">
        <f>AD6690/AC6690</f>
        <v>8.3333333333333339</v>
      </c>
      <c r="AA6690" s="58"/>
      <c r="AB6690" s="53">
        <f>AD6690/AC6690</f>
        <v>8.3333333333333339</v>
      </c>
      <c r="AC6690" s="53">
        <f>M6690+$AE$10</f>
        <v>45</v>
      </c>
      <c r="AD6690" s="54">
        <f>SUM(AD6691)</f>
        <v>375</v>
      </c>
      <c r="AE6690" s="184">
        <f>SUMIFS($AD$37:$AD$12971,$V$37:$V$12971,$V6690,$X$37:$X$12971,AE$13)</f>
        <v>0</v>
      </c>
      <c r="AF6690" s="185">
        <f>SUMIFS($AD$37:$AD$12971,$V$37:$V$12971,$V6690,$X$37:$X$12971,AF$13)</f>
        <v>0</v>
      </c>
      <c r="AG6690" s="185">
        <f>SUMIFS($AD$37:$AD$12971,$V$37:$V$12971,$V6690,$X$37:$X$12971,AG$13)</f>
        <v>0</v>
      </c>
      <c r="AH6690" s="187">
        <f>SUMIFS($AD$37:$AD$12971,$V$37:$V$12971,$V6690,$X$37:$X$12971,AH$13)</f>
        <v>0</v>
      </c>
      <c r="AI6690" s="161">
        <f t="shared" ref="AI6690" si="4743">SUM(AE6690:AH6690)</f>
        <v>0</v>
      </c>
      <c r="AK6690" s="172"/>
    </row>
    <row r="6691" spans="1:41" s="102" customFormat="1" ht="19.899999999999999" customHeight="1" x14ac:dyDescent="0.25">
      <c r="A6691" s="45"/>
      <c r="B6691" s="59"/>
      <c r="C6691" s="137"/>
      <c r="D6691" s="59"/>
      <c r="E6691" s="116"/>
      <c r="F6691" s="120"/>
      <c r="G6691" s="120"/>
      <c r="H6691" s="120"/>
      <c r="I6691" s="60"/>
      <c r="J6691" s="116"/>
      <c r="K6691" s="213"/>
      <c r="L6691" s="120"/>
      <c r="M6691" s="120"/>
      <c r="N6691" s="167"/>
      <c r="O6691" s="120"/>
      <c r="P6691" s="120"/>
      <c r="Q6691" s="120"/>
      <c r="R6691" s="120"/>
      <c r="S6691" s="120"/>
      <c r="T6691" s="221"/>
      <c r="U6691" s="89"/>
      <c r="V6691" s="61"/>
      <c r="W6691" s="92" t="s">
        <v>1032</v>
      </c>
      <c r="X6691" s="93" t="s">
        <v>30</v>
      </c>
      <c r="Y6691" s="93" t="s">
        <v>66</v>
      </c>
      <c r="Z6691" s="134">
        <f>VLOOKUP(W6691,Sheet2!$B:$D,3,FALSE)</f>
        <v>250</v>
      </c>
      <c r="AA6691" s="93">
        <v>30</v>
      </c>
      <c r="AB6691" s="93">
        <f>AD6691/AC6690</f>
        <v>8.3333333333333339</v>
      </c>
      <c r="AC6691" s="93">
        <f>AC6690/AA6691</f>
        <v>1.5</v>
      </c>
      <c r="AD6691" s="94">
        <f t="shared" ref="AD6691" si="4744">AC6691*Z6691</f>
        <v>375</v>
      </c>
      <c r="AE6691" s="190"/>
      <c r="AF6691" s="191"/>
      <c r="AG6691" s="191"/>
      <c r="AH6691" s="191"/>
      <c r="AI6691" s="186"/>
      <c r="AK6691" s="171"/>
    </row>
    <row r="6692" spans="1:41" s="103" customFormat="1" ht="19.899999999999999" customHeight="1" x14ac:dyDescent="0.25">
      <c r="A6692" s="51"/>
      <c r="B6692" s="52"/>
      <c r="C6692" s="165"/>
      <c r="D6692" s="52"/>
      <c r="E6692" s="115"/>
      <c r="F6692" s="58"/>
      <c r="G6692" s="58"/>
      <c r="H6692" s="58"/>
      <c r="I6692" s="55"/>
      <c r="J6692" s="113">
        <f>J6686</f>
        <v>45</v>
      </c>
      <c r="K6692" s="212">
        <v>45</v>
      </c>
      <c r="L6692" s="58"/>
      <c r="M6692" s="58">
        <f>K6692-L6692</f>
        <v>45</v>
      </c>
      <c r="N6692" s="166"/>
      <c r="O6692" s="58"/>
      <c r="P6692" s="58"/>
      <c r="Q6692" s="58"/>
      <c r="R6692" s="58"/>
      <c r="S6692" s="58"/>
      <c r="T6692" s="220"/>
      <c r="U6692" s="88"/>
      <c r="V6692" s="56"/>
      <c r="W6692" s="57" t="s">
        <v>1616</v>
      </c>
      <c r="X6692" s="53"/>
      <c r="Y6692" s="91" t="s">
        <v>68</v>
      </c>
      <c r="Z6692" s="136">
        <f>AD6692/AC6692</f>
        <v>170.85</v>
      </c>
      <c r="AA6692" s="58"/>
      <c r="AB6692" s="53">
        <f>AD6692/AC6692</f>
        <v>170.85</v>
      </c>
      <c r="AC6692" s="53">
        <f>M6692+$AE$10</f>
        <v>45</v>
      </c>
      <c r="AD6692" s="54">
        <f>SUM(AD6693:AD6695)</f>
        <v>7688.25</v>
      </c>
      <c r="AE6692" s="184">
        <f>SUMIFS($AD$37:$AD$12971,$V$37:$V$12971,$V6692,$X$37:$X$12971,AE$13)</f>
        <v>0</v>
      </c>
      <c r="AF6692" s="185">
        <f>SUMIFS($AD$37:$AD$12971,$V$37:$V$12971,$V6692,$X$37:$X$12971,AF$13)</f>
        <v>0</v>
      </c>
      <c r="AG6692" s="185">
        <f>SUMIFS($AD$37:$AD$12971,$V$37:$V$12971,$V6692,$X$37:$X$12971,AG$13)</f>
        <v>0</v>
      </c>
      <c r="AH6692" s="187">
        <f>SUMIFS($AD$37:$AD$12971,$V$37:$V$12971,$V6692,$X$37:$X$12971,AH$13)</f>
        <v>0</v>
      </c>
      <c r="AI6692" s="161">
        <f t="shared" ref="AI6692" si="4745">SUM(AE6692:AH6692)</f>
        <v>0</v>
      </c>
      <c r="AK6692" s="172"/>
    </row>
    <row r="6693" spans="1:41" s="102" customFormat="1" ht="19.899999999999999" customHeight="1" x14ac:dyDescent="0.25">
      <c r="A6693" s="45"/>
      <c r="B6693" s="59"/>
      <c r="C6693" s="137"/>
      <c r="D6693" s="59"/>
      <c r="E6693" s="116"/>
      <c r="F6693" s="120"/>
      <c r="G6693" s="120"/>
      <c r="H6693" s="120"/>
      <c r="I6693" s="60"/>
      <c r="J6693" s="116"/>
      <c r="K6693" s="213"/>
      <c r="L6693" s="120"/>
      <c r="M6693" s="120"/>
      <c r="N6693" s="167"/>
      <c r="O6693" s="120"/>
      <c r="P6693" s="120"/>
      <c r="Q6693" s="120"/>
      <c r="R6693" s="120"/>
      <c r="S6693" s="120"/>
      <c r="T6693" s="221"/>
      <c r="U6693" s="89"/>
      <c r="V6693" s="61"/>
      <c r="W6693" s="92" t="s">
        <v>1617</v>
      </c>
      <c r="X6693" s="93" t="s">
        <v>30</v>
      </c>
      <c r="Y6693" s="93" t="s">
        <v>68</v>
      </c>
      <c r="Z6693" s="134">
        <f>VLOOKUP(W6693,Sheet2!$B:$D,3,FALSE)</f>
        <v>150</v>
      </c>
      <c r="AA6693" s="93">
        <v>1</v>
      </c>
      <c r="AB6693" s="93">
        <f>AD6693/AC6692</f>
        <v>150</v>
      </c>
      <c r="AC6693" s="93">
        <f>AC6692/AA6693</f>
        <v>45</v>
      </c>
      <c r="AD6693" s="94">
        <f t="shared" ref="AD6693:AD6694" si="4746">AC6693*Z6693</f>
        <v>6750</v>
      </c>
      <c r="AE6693" s="190"/>
      <c r="AF6693" s="191"/>
      <c r="AG6693" s="191"/>
      <c r="AH6693" s="191"/>
      <c r="AI6693" s="186"/>
      <c r="AK6693" s="171"/>
    </row>
    <row r="6694" spans="1:41" s="102" customFormat="1" ht="19.899999999999999" customHeight="1" x14ac:dyDescent="0.25">
      <c r="A6694" s="45"/>
      <c r="B6694" s="59"/>
      <c r="C6694" s="137"/>
      <c r="D6694" s="59"/>
      <c r="E6694" s="116"/>
      <c r="F6694" s="120"/>
      <c r="G6694" s="120"/>
      <c r="H6694" s="120"/>
      <c r="I6694" s="60"/>
      <c r="J6694" s="116"/>
      <c r="K6694" s="213"/>
      <c r="L6694" s="120"/>
      <c r="M6694" s="120"/>
      <c r="N6694" s="167"/>
      <c r="O6694" s="120"/>
      <c r="P6694" s="120"/>
      <c r="Q6694" s="120"/>
      <c r="R6694" s="120"/>
      <c r="S6694" s="120"/>
      <c r="T6694" s="221"/>
      <c r="U6694" s="89"/>
      <c r="V6694" s="61"/>
      <c r="W6694" s="92" t="s">
        <v>1618</v>
      </c>
      <c r="X6694" s="93" t="s">
        <v>30</v>
      </c>
      <c r="Y6694" s="93" t="s">
        <v>68</v>
      </c>
      <c r="Z6694" s="134">
        <f>VLOOKUP(W6694,Sheet2!$B:$D,3,FALSE)</f>
        <v>20</v>
      </c>
      <c r="AA6694" s="93">
        <v>1</v>
      </c>
      <c r="AB6694" s="93">
        <f>AD6694/AC6692</f>
        <v>20</v>
      </c>
      <c r="AC6694" s="93">
        <f>AC6692/AA6694</f>
        <v>45</v>
      </c>
      <c r="AD6694" s="94">
        <f t="shared" si="4746"/>
        <v>900</v>
      </c>
      <c r="AE6694" s="190"/>
      <c r="AF6694" s="191"/>
      <c r="AG6694" s="191"/>
      <c r="AH6694" s="191"/>
      <c r="AI6694" s="186"/>
      <c r="AK6694" s="171"/>
    </row>
    <row r="6695" spans="1:41" s="102" customFormat="1" ht="19.899999999999999" customHeight="1" x14ac:dyDescent="0.25">
      <c r="A6695" s="45"/>
      <c r="B6695" s="59"/>
      <c r="C6695" s="137"/>
      <c r="D6695" s="59"/>
      <c r="E6695" s="116"/>
      <c r="F6695" s="120"/>
      <c r="G6695" s="120"/>
      <c r="H6695" s="120"/>
      <c r="I6695" s="60"/>
      <c r="J6695" s="116"/>
      <c r="K6695" s="213"/>
      <c r="L6695" s="120"/>
      <c r="M6695" s="120"/>
      <c r="N6695" s="167"/>
      <c r="O6695" s="120"/>
      <c r="P6695" s="120"/>
      <c r="Q6695" s="120"/>
      <c r="R6695" s="120"/>
      <c r="S6695" s="120"/>
      <c r="T6695" s="221"/>
      <c r="U6695" s="89"/>
      <c r="V6695" s="61"/>
      <c r="W6695" s="92" t="s">
        <v>1619</v>
      </c>
      <c r="X6695" s="93" t="s">
        <v>31</v>
      </c>
      <c r="Y6695" s="93" t="s">
        <v>93</v>
      </c>
      <c r="Z6695" s="134">
        <f>VLOOKUP(W6695,Sheet2!$B:$D,3,FALSE)</f>
        <v>17</v>
      </c>
      <c r="AA6695" s="93">
        <v>20</v>
      </c>
      <c r="AB6695" s="93">
        <f>AD6695/AC6692</f>
        <v>0.85</v>
      </c>
      <c r="AC6695" s="93">
        <f>AC6692/AA6695</f>
        <v>2.25</v>
      </c>
      <c r="AD6695" s="94">
        <f>AC6695*Z6695</f>
        <v>38.25</v>
      </c>
      <c r="AE6695" s="190"/>
      <c r="AF6695" s="191"/>
      <c r="AG6695" s="191"/>
      <c r="AH6695" s="191"/>
      <c r="AI6695" s="186"/>
      <c r="AK6695" s="171"/>
    </row>
    <row r="6696" spans="1:41" s="102" customFormat="1" ht="20.100000000000001" customHeight="1" x14ac:dyDescent="0.25">
      <c r="A6696" s="45" t="s">
        <v>491</v>
      </c>
      <c r="B6696" s="276"/>
      <c r="C6696" s="285" t="s">
        <v>691</v>
      </c>
      <c r="D6696" s="59"/>
      <c r="E6696" s="116"/>
      <c r="F6696" s="120"/>
      <c r="G6696" s="120">
        <f t="shared" si="4575"/>
        <v>0</v>
      </c>
      <c r="H6696" s="120">
        <f t="shared" si="4576"/>
        <v>0</v>
      </c>
      <c r="I6696" s="60">
        <f t="shared" si="4577"/>
        <v>0</v>
      </c>
      <c r="J6696" s="116">
        <f t="shared" si="4578"/>
        <v>0</v>
      </c>
      <c r="K6696" s="213">
        <f t="shared" si="4579"/>
        <v>0</v>
      </c>
      <c r="L6696" s="120"/>
      <c r="M6696" s="120">
        <f t="shared" si="4580"/>
        <v>0</v>
      </c>
      <c r="N6696" s="167">
        <f t="shared" si="4581"/>
        <v>0</v>
      </c>
      <c r="O6696" s="120">
        <f t="shared" si="4582"/>
        <v>0</v>
      </c>
      <c r="P6696" s="120">
        <f t="shared" si="4583"/>
        <v>0</v>
      </c>
      <c r="Q6696" s="120">
        <f t="shared" si="4584"/>
        <v>0</v>
      </c>
      <c r="R6696" s="120">
        <f t="shared" si="4585"/>
        <v>0</v>
      </c>
      <c r="S6696" s="120"/>
      <c r="T6696" s="221">
        <f t="shared" si="4586"/>
        <v>0</v>
      </c>
      <c r="U6696" s="89"/>
      <c r="V6696" s="61"/>
      <c r="W6696" s="92"/>
      <c r="X6696" s="38"/>
      <c r="Y6696" s="93"/>
      <c r="Z6696" s="134"/>
      <c r="AA6696" s="93"/>
      <c r="AB6696" s="93"/>
      <c r="AC6696" s="93"/>
      <c r="AD6696" s="94"/>
      <c r="AE6696" s="190"/>
      <c r="AF6696" s="191"/>
      <c r="AG6696" s="191"/>
      <c r="AH6696" s="191"/>
      <c r="AI6696" s="186"/>
      <c r="AK6696" s="171"/>
    </row>
    <row r="6697" spans="1:41" ht="38.25" x14ac:dyDescent="0.25">
      <c r="A6697" s="277" t="s">
        <v>491</v>
      </c>
      <c r="B6697" s="278"/>
      <c r="C6697" s="64" t="s">
        <v>697</v>
      </c>
      <c r="D6697" s="46" t="s">
        <v>201</v>
      </c>
      <c r="E6697" s="114">
        <v>1</v>
      </c>
      <c r="F6697" s="44">
        <v>32</v>
      </c>
      <c r="G6697" s="44">
        <f t="shared" si="4575"/>
        <v>32</v>
      </c>
      <c r="H6697" s="44">
        <f t="shared" si="4576"/>
        <v>19.742039215686276</v>
      </c>
      <c r="I6697" s="43">
        <f t="shared" si="4577"/>
        <v>19.742039215686276</v>
      </c>
      <c r="J6697" s="112">
        <f t="shared" si="4578"/>
        <v>1</v>
      </c>
      <c r="K6697" s="211">
        <f t="shared" si="4579"/>
        <v>1</v>
      </c>
      <c r="L6697" s="44"/>
      <c r="M6697" s="44">
        <f t="shared" si="4580"/>
        <v>1</v>
      </c>
      <c r="N6697" s="173">
        <f t="shared" si="4581"/>
        <v>1</v>
      </c>
      <c r="O6697" s="44">
        <f t="shared" si="4582"/>
        <v>32</v>
      </c>
      <c r="P6697" s="44">
        <f t="shared" si="4583"/>
        <v>32</v>
      </c>
      <c r="Q6697" s="44">
        <f t="shared" si="4584"/>
        <v>19.742039215686276</v>
      </c>
      <c r="R6697" s="44">
        <f t="shared" si="4585"/>
        <v>19.742039215686276</v>
      </c>
      <c r="S6697" s="123"/>
      <c r="T6697" s="219">
        <f t="shared" si="4586"/>
        <v>19.742039215686276</v>
      </c>
      <c r="U6697" s="87"/>
      <c r="V6697" s="47"/>
      <c r="W6697" s="48"/>
      <c r="X6697" s="48"/>
      <c r="Y6697" s="48"/>
      <c r="Z6697" s="135"/>
      <c r="AA6697" s="49"/>
      <c r="AB6697" s="50">
        <f t="shared" si="4587"/>
        <v>19.742039215686276</v>
      </c>
      <c r="AC6697" s="42">
        <f t="shared" si="4588"/>
        <v>1</v>
      </c>
      <c r="AD6697" s="90">
        <f>AD6698+AD6705</f>
        <v>19.742039215686276</v>
      </c>
      <c r="AE6697" s="188">
        <f t="shared" ref="AE6697:AH6697" si="4747">AE6698+AE6705</f>
        <v>0</v>
      </c>
      <c r="AF6697" s="189">
        <f t="shared" si="4747"/>
        <v>0</v>
      </c>
      <c r="AG6697" s="189">
        <f t="shared" si="4747"/>
        <v>0</v>
      </c>
      <c r="AH6697" s="189">
        <f t="shared" si="4747"/>
        <v>0</v>
      </c>
      <c r="AI6697" s="161">
        <f t="shared" ref="AI6697" si="4748">SUM(AE6697:AH6697)</f>
        <v>0</v>
      </c>
      <c r="AK6697" s="169">
        <v>5</v>
      </c>
      <c r="AO6697" s="19" t="s">
        <v>63</v>
      </c>
    </row>
    <row r="6698" spans="1:41" s="103" customFormat="1" ht="19.899999999999999" customHeight="1" x14ac:dyDescent="0.25">
      <c r="A6698" s="51"/>
      <c r="B6698" s="52"/>
      <c r="C6698" s="165"/>
      <c r="D6698" s="52"/>
      <c r="E6698" s="115"/>
      <c r="F6698" s="58"/>
      <c r="G6698" s="58"/>
      <c r="H6698" s="58"/>
      <c r="I6698" s="55"/>
      <c r="J6698" s="113">
        <f>J6697</f>
        <v>1</v>
      </c>
      <c r="K6698" s="212">
        <f>K6697</f>
        <v>1</v>
      </c>
      <c r="L6698" s="58"/>
      <c r="M6698" s="58">
        <f>K6698-L6698</f>
        <v>1</v>
      </c>
      <c r="N6698" s="166"/>
      <c r="O6698" s="58"/>
      <c r="P6698" s="58"/>
      <c r="Q6698" s="58"/>
      <c r="R6698" s="58"/>
      <c r="S6698" s="58"/>
      <c r="T6698" s="220"/>
      <c r="U6698" s="88"/>
      <c r="V6698" s="56"/>
      <c r="W6698" s="57" t="s">
        <v>1630</v>
      </c>
      <c r="X6698" s="53"/>
      <c r="Y6698" s="91" t="s">
        <v>66</v>
      </c>
      <c r="Z6698" s="136">
        <f>AD6698/AC6698</f>
        <v>13.047152941176472</v>
      </c>
      <c r="AA6698" s="58"/>
      <c r="AB6698" s="53">
        <f>AD6698/AC6698</f>
        <v>13.047152941176472</v>
      </c>
      <c r="AC6698" s="53">
        <f>M6698+$AE$10</f>
        <v>1</v>
      </c>
      <c r="AD6698" s="54">
        <f>SUM(AD6699:AD6704)</f>
        <v>13.047152941176472</v>
      </c>
      <c r="AE6698" s="184">
        <f>SUMIFS($AD$37:$AD$12971,$V$37:$V$12971,$V6698,$X$37:$X$12971,AE$13)</f>
        <v>0</v>
      </c>
      <c r="AF6698" s="185">
        <f>SUMIFS($AD$37:$AD$12971,$V$37:$V$12971,$V6698,$X$37:$X$12971,AF$13)</f>
        <v>0</v>
      </c>
      <c r="AG6698" s="185">
        <f>SUMIFS($AD$37:$AD$12971,$V$37:$V$12971,$V6698,$X$37:$X$12971,AG$13)</f>
        <v>0</v>
      </c>
      <c r="AH6698" s="187">
        <f>SUMIFS($AD$37:$AD$12971,$V$37:$V$12971,$V6698,$X$37:$X$12971,AH$13)</f>
        <v>0</v>
      </c>
      <c r="AI6698" s="161">
        <f t="shared" ref="AI6698" si="4749">SUM(AE6698:AH6698)</f>
        <v>0</v>
      </c>
      <c r="AK6698" s="172"/>
    </row>
    <row r="6699" spans="1:41" s="102" customFormat="1" ht="19.899999999999999" customHeight="1" x14ac:dyDescent="0.25">
      <c r="A6699" s="45"/>
      <c r="B6699" s="59"/>
      <c r="C6699" s="137"/>
      <c r="D6699" s="59"/>
      <c r="E6699" s="116"/>
      <c r="F6699" s="120"/>
      <c r="G6699" s="120"/>
      <c r="H6699" s="120"/>
      <c r="I6699" s="60"/>
      <c r="J6699" s="116"/>
      <c r="K6699" s="213"/>
      <c r="L6699" s="120"/>
      <c r="M6699" s="120"/>
      <c r="N6699" s="167"/>
      <c r="O6699" s="120"/>
      <c r="P6699" s="120"/>
      <c r="Q6699" s="120"/>
      <c r="R6699" s="120"/>
      <c r="S6699" s="120"/>
      <c r="T6699" s="221"/>
      <c r="U6699" s="89"/>
      <c r="V6699" s="61"/>
      <c r="W6699" s="92" t="s">
        <v>110</v>
      </c>
      <c r="X6699" s="93" t="s">
        <v>29</v>
      </c>
      <c r="Y6699" s="93" t="s">
        <v>93</v>
      </c>
      <c r="Z6699" s="134">
        <f>VLOOKUP(W6699,Sheet2!$B:$D,3,FALSE)</f>
        <v>150.4</v>
      </c>
      <c r="AA6699" s="93">
        <v>25</v>
      </c>
      <c r="AB6699" s="93">
        <f>AD6699/AC6698</f>
        <v>6.016</v>
      </c>
      <c r="AC6699" s="93">
        <f>AC6698/AA6699</f>
        <v>0.04</v>
      </c>
      <c r="AD6699" s="94">
        <f t="shared" ref="AD6699:AD6702" si="4750">AC6699*Z6699</f>
        <v>6.016</v>
      </c>
      <c r="AE6699" s="190"/>
      <c r="AF6699" s="191"/>
      <c r="AG6699" s="191"/>
      <c r="AH6699" s="191"/>
      <c r="AI6699" s="186"/>
      <c r="AK6699" s="171"/>
    </row>
    <row r="6700" spans="1:41" s="102" customFormat="1" ht="19.899999999999999" customHeight="1" x14ac:dyDescent="0.25">
      <c r="A6700" s="45"/>
      <c r="B6700" s="59"/>
      <c r="C6700" s="137"/>
      <c r="D6700" s="59"/>
      <c r="E6700" s="116"/>
      <c r="F6700" s="120"/>
      <c r="G6700" s="120"/>
      <c r="H6700" s="120"/>
      <c r="I6700" s="60"/>
      <c r="J6700" s="116"/>
      <c r="K6700" s="213"/>
      <c r="L6700" s="120"/>
      <c r="M6700" s="120"/>
      <c r="N6700" s="167"/>
      <c r="O6700" s="120"/>
      <c r="P6700" s="120"/>
      <c r="Q6700" s="120"/>
      <c r="R6700" s="120"/>
      <c r="S6700" s="120"/>
      <c r="T6700" s="221"/>
      <c r="U6700" s="89"/>
      <c r="V6700" s="61"/>
      <c r="W6700" s="92" t="s">
        <v>65</v>
      </c>
      <c r="X6700" s="93" t="s">
        <v>30</v>
      </c>
      <c r="Y6700" s="93" t="s">
        <v>1011</v>
      </c>
      <c r="Z6700" s="134">
        <f>VLOOKUP(W6700,Sheet2!$B:$D,3,FALSE)</f>
        <v>1.76</v>
      </c>
      <c r="AA6700" s="93">
        <f>AA6699/32</f>
        <v>0.78125</v>
      </c>
      <c r="AB6700" s="93">
        <f>AD6700/AC6698</f>
        <v>2.2528000000000001</v>
      </c>
      <c r="AC6700" s="93">
        <f>AC6698/AA6700</f>
        <v>1.28</v>
      </c>
      <c r="AD6700" s="94">
        <f t="shared" si="4750"/>
        <v>2.2528000000000001</v>
      </c>
      <c r="AE6700" s="190"/>
      <c r="AF6700" s="191"/>
      <c r="AG6700" s="191"/>
      <c r="AH6700" s="191"/>
      <c r="AI6700" s="186"/>
      <c r="AK6700" s="171"/>
    </row>
    <row r="6701" spans="1:41" s="102" customFormat="1" ht="19.899999999999999" customHeight="1" x14ac:dyDescent="0.25">
      <c r="A6701" s="45"/>
      <c r="B6701" s="59"/>
      <c r="C6701" s="137"/>
      <c r="D6701" s="59"/>
      <c r="E6701" s="116"/>
      <c r="F6701" s="120"/>
      <c r="G6701" s="120"/>
      <c r="H6701" s="120"/>
      <c r="I6701" s="60"/>
      <c r="J6701" s="116"/>
      <c r="K6701" s="213"/>
      <c r="L6701" s="120"/>
      <c r="M6701" s="120"/>
      <c r="N6701" s="167"/>
      <c r="O6701" s="120"/>
      <c r="P6701" s="120"/>
      <c r="Q6701" s="120"/>
      <c r="R6701" s="120"/>
      <c r="S6701" s="120"/>
      <c r="T6701" s="221"/>
      <c r="U6701" s="89"/>
      <c r="V6701" s="61"/>
      <c r="W6701" s="92" t="s">
        <v>131</v>
      </c>
      <c r="X6701" s="93" t="s">
        <v>29</v>
      </c>
      <c r="Y6701" s="93" t="s">
        <v>93</v>
      </c>
      <c r="Z6701" s="134">
        <f>VLOOKUP(W6701,Sheet2!$B:$D,3,FALSE)</f>
        <v>131.19999999999999</v>
      </c>
      <c r="AA6701" s="93">
        <v>120</v>
      </c>
      <c r="AB6701" s="93">
        <f t="shared" ref="AB6701" si="4751">AD6701/AC6698</f>
        <v>1.0933333333333333</v>
      </c>
      <c r="AC6701" s="93">
        <f>AC6698/AA6701</f>
        <v>8.3333333333333332E-3</v>
      </c>
      <c r="AD6701" s="94">
        <f t="shared" si="4750"/>
        <v>1.0933333333333333</v>
      </c>
      <c r="AE6701" s="190"/>
      <c r="AF6701" s="191"/>
      <c r="AG6701" s="191"/>
      <c r="AH6701" s="191"/>
      <c r="AI6701" s="186"/>
      <c r="AK6701" s="171"/>
    </row>
    <row r="6702" spans="1:41" s="102" customFormat="1" ht="19.899999999999999" customHeight="1" x14ac:dyDescent="0.25">
      <c r="A6702" s="45"/>
      <c r="B6702" s="59"/>
      <c r="C6702" s="137"/>
      <c r="D6702" s="59"/>
      <c r="E6702" s="116"/>
      <c r="F6702" s="120"/>
      <c r="G6702" s="120"/>
      <c r="H6702" s="120"/>
      <c r="I6702" s="60"/>
      <c r="J6702" s="116"/>
      <c r="K6702" s="213"/>
      <c r="L6702" s="120"/>
      <c r="M6702" s="120"/>
      <c r="N6702" s="167"/>
      <c r="O6702" s="120"/>
      <c r="P6702" s="120"/>
      <c r="Q6702" s="120"/>
      <c r="R6702" s="120"/>
      <c r="S6702" s="120"/>
      <c r="T6702" s="221"/>
      <c r="U6702" s="89"/>
      <c r="V6702" s="61"/>
      <c r="W6702" s="92" t="s">
        <v>65</v>
      </c>
      <c r="X6702" s="93" t="s">
        <v>30</v>
      </c>
      <c r="Y6702" s="93" t="s">
        <v>1011</v>
      </c>
      <c r="Z6702" s="134">
        <f>VLOOKUP(W6702,Sheet2!$B:$D,3,FALSE)</f>
        <v>1.76</v>
      </c>
      <c r="AA6702" s="93">
        <f>AA6701/32</f>
        <v>3.75</v>
      </c>
      <c r="AB6702" s="93">
        <f>AD6702/AC6698</f>
        <v>0.46933333333333332</v>
      </c>
      <c r="AC6702" s="93">
        <f>AC6698/AA6702</f>
        <v>0.26666666666666666</v>
      </c>
      <c r="AD6702" s="94">
        <f t="shared" si="4750"/>
        <v>0.46933333333333332</v>
      </c>
      <c r="AE6702" s="190"/>
      <c r="AF6702" s="191"/>
      <c r="AG6702" s="191"/>
      <c r="AH6702" s="191"/>
      <c r="AI6702" s="186"/>
      <c r="AK6702" s="171"/>
    </row>
    <row r="6703" spans="1:41" s="102" customFormat="1" ht="19.899999999999999" customHeight="1" x14ac:dyDescent="0.25">
      <c r="A6703" s="45"/>
      <c r="B6703" s="59"/>
      <c r="C6703" s="137"/>
      <c r="D6703" s="59"/>
      <c r="E6703" s="116"/>
      <c r="F6703" s="120"/>
      <c r="G6703" s="120"/>
      <c r="H6703" s="120"/>
      <c r="I6703" s="60"/>
      <c r="J6703" s="116"/>
      <c r="K6703" s="213"/>
      <c r="L6703" s="120"/>
      <c r="M6703" s="120"/>
      <c r="N6703" s="167"/>
      <c r="O6703" s="120"/>
      <c r="P6703" s="120"/>
      <c r="Q6703" s="120"/>
      <c r="R6703" s="120"/>
      <c r="S6703" s="120"/>
      <c r="T6703" s="221"/>
      <c r="U6703" s="89"/>
      <c r="V6703" s="61"/>
      <c r="W6703" s="92" t="s">
        <v>161</v>
      </c>
      <c r="X6703" s="93" t="s">
        <v>29</v>
      </c>
      <c r="Y6703" s="93" t="s">
        <v>93</v>
      </c>
      <c r="Z6703" s="134">
        <f>VLOOKUP(W6703,Sheet2!$B:$D,3,FALSE)</f>
        <v>48</v>
      </c>
      <c r="AA6703" s="93">
        <f>(16*0.85*1.5)</f>
        <v>20.399999999999999</v>
      </c>
      <c r="AB6703" s="93">
        <f>AD6703/AC6698</f>
        <v>2.3529411764705888</v>
      </c>
      <c r="AC6703" s="93">
        <f>AC6698/AA6703</f>
        <v>4.9019607843137261E-2</v>
      </c>
      <c r="AD6703" s="94">
        <f>AC6703*Z6703</f>
        <v>2.3529411764705888</v>
      </c>
      <c r="AE6703" s="190"/>
      <c r="AF6703" s="191"/>
      <c r="AG6703" s="191"/>
      <c r="AH6703" s="191"/>
      <c r="AI6703" s="186"/>
      <c r="AK6703" s="171"/>
    </row>
    <row r="6704" spans="1:41" s="102" customFormat="1" ht="19.899999999999999" customHeight="1" x14ac:dyDescent="0.25">
      <c r="A6704" s="45"/>
      <c r="B6704" s="59"/>
      <c r="C6704" s="137"/>
      <c r="D6704" s="59"/>
      <c r="E6704" s="116"/>
      <c r="F6704" s="120"/>
      <c r="G6704" s="120"/>
      <c r="H6704" s="120"/>
      <c r="I6704" s="60"/>
      <c r="J6704" s="116"/>
      <c r="K6704" s="213"/>
      <c r="L6704" s="120"/>
      <c r="M6704" s="120"/>
      <c r="N6704" s="167"/>
      <c r="O6704" s="120"/>
      <c r="P6704" s="120"/>
      <c r="Q6704" s="120"/>
      <c r="R6704" s="120"/>
      <c r="S6704" s="120"/>
      <c r="T6704" s="221"/>
      <c r="U6704" s="89"/>
      <c r="V6704" s="61"/>
      <c r="W6704" s="92" t="s">
        <v>65</v>
      </c>
      <c r="X6704" s="93" t="s">
        <v>30</v>
      </c>
      <c r="Y6704" s="93" t="s">
        <v>1011</v>
      </c>
      <c r="Z6704" s="134">
        <f>VLOOKUP(W6704,Sheet2!$B:$D,3,FALSE)</f>
        <v>1.76</v>
      </c>
      <c r="AA6704" s="93">
        <f>AA6703/10</f>
        <v>2.04</v>
      </c>
      <c r="AB6704" s="93">
        <f>AD6704/AC6698</f>
        <v>0.86274509803921562</v>
      </c>
      <c r="AC6704" s="93">
        <f>AC6698/AA6704</f>
        <v>0.49019607843137253</v>
      </c>
      <c r="AD6704" s="94">
        <f>AC6704*Z6704</f>
        <v>0.86274509803921562</v>
      </c>
      <c r="AE6704" s="190"/>
      <c r="AF6704" s="191"/>
      <c r="AG6704" s="191"/>
      <c r="AH6704" s="191"/>
      <c r="AI6704" s="186"/>
      <c r="AK6704" s="171"/>
    </row>
    <row r="6705" spans="1:41" s="103" customFormat="1" ht="19.899999999999999" customHeight="1" x14ac:dyDescent="0.25">
      <c r="A6705" s="51"/>
      <c r="B6705" s="52"/>
      <c r="C6705" s="165"/>
      <c r="D6705" s="52"/>
      <c r="E6705" s="115"/>
      <c r="F6705" s="58"/>
      <c r="G6705" s="58"/>
      <c r="H6705" s="58"/>
      <c r="I6705" s="55"/>
      <c r="J6705" s="113">
        <f>J6697</f>
        <v>1</v>
      </c>
      <c r="K6705" s="212">
        <f>K6697</f>
        <v>1</v>
      </c>
      <c r="L6705" s="58"/>
      <c r="M6705" s="58">
        <f>K6705-L6705</f>
        <v>1</v>
      </c>
      <c r="N6705" s="166"/>
      <c r="O6705" s="58"/>
      <c r="P6705" s="58"/>
      <c r="Q6705" s="58"/>
      <c r="R6705" s="58"/>
      <c r="S6705" s="58"/>
      <c r="T6705" s="220"/>
      <c r="U6705" s="88"/>
      <c r="V6705" s="56"/>
      <c r="W6705" s="57" t="s">
        <v>1380</v>
      </c>
      <c r="X6705" s="53"/>
      <c r="Y6705" s="91" t="s">
        <v>66</v>
      </c>
      <c r="Z6705" s="136">
        <f>AD6705/AC6705</f>
        <v>6.6948862745098028</v>
      </c>
      <c r="AA6705" s="58"/>
      <c r="AB6705" s="53">
        <f>AD6705/AC6705</f>
        <v>6.6948862745098028</v>
      </c>
      <c r="AC6705" s="53">
        <f>M6705+$AE$10</f>
        <v>1</v>
      </c>
      <c r="AD6705" s="54">
        <f>SUM(AD6706:AD6715)</f>
        <v>6.6948862745098028</v>
      </c>
      <c r="AE6705" s="184">
        <f>SUMIFS($AD$37:$AD$12971,$V$37:$V$12971,$V6705,$X$37:$X$12971,AE$13)</f>
        <v>0</v>
      </c>
      <c r="AF6705" s="185">
        <f>SUMIFS($AD$37:$AD$12971,$V$37:$V$12971,$V6705,$X$37:$X$12971,AF$13)</f>
        <v>0</v>
      </c>
      <c r="AG6705" s="185">
        <f>SUMIFS($AD$37:$AD$12971,$V$37:$V$12971,$V6705,$X$37:$X$12971,AG$13)</f>
        <v>0</v>
      </c>
      <c r="AH6705" s="187">
        <f>SUMIFS($AD$37:$AD$12971,$V$37:$V$12971,$V6705,$X$37:$X$12971,AH$13)</f>
        <v>0</v>
      </c>
      <c r="AI6705" s="161">
        <f t="shared" ref="AI6705" si="4752">SUM(AE6705:AH6705)</f>
        <v>0</v>
      </c>
      <c r="AK6705" s="172"/>
    </row>
    <row r="6706" spans="1:41" s="102" customFormat="1" ht="19.899999999999999" customHeight="1" x14ac:dyDescent="0.25">
      <c r="A6706" s="45"/>
      <c r="B6706" s="59"/>
      <c r="C6706" s="137"/>
      <c r="D6706" s="59"/>
      <c r="E6706" s="116"/>
      <c r="F6706" s="120"/>
      <c r="G6706" s="120"/>
      <c r="H6706" s="120"/>
      <c r="I6706" s="60"/>
      <c r="J6706" s="116"/>
      <c r="K6706" s="213"/>
      <c r="L6706" s="120"/>
      <c r="M6706" s="120"/>
      <c r="N6706" s="167"/>
      <c r="O6706" s="120"/>
      <c r="P6706" s="120"/>
      <c r="Q6706" s="120"/>
      <c r="R6706" s="120"/>
      <c r="S6706" s="120"/>
      <c r="T6706" s="221"/>
      <c r="U6706" s="89"/>
      <c r="V6706" s="61"/>
      <c r="W6706" s="92" t="s">
        <v>134</v>
      </c>
      <c r="X6706" s="93" t="s">
        <v>29</v>
      </c>
      <c r="Y6706" s="93" t="s">
        <v>93</v>
      </c>
      <c r="Z6706" s="134">
        <f>VLOOKUP(W6706,Sheet2!$B:$D,3,FALSE)</f>
        <v>65.599999999999994</v>
      </c>
      <c r="AA6706" s="93">
        <f>100</f>
        <v>100</v>
      </c>
      <c r="AB6706" s="93">
        <f>AD6706/AC6705</f>
        <v>0.65599999999999992</v>
      </c>
      <c r="AC6706" s="93">
        <f>AC6705/AA6706</f>
        <v>0.01</v>
      </c>
      <c r="AD6706" s="94">
        <f t="shared" ref="AD6706:AD6707" si="4753">AC6706*Z6706</f>
        <v>0.65599999999999992</v>
      </c>
      <c r="AE6706" s="190"/>
      <c r="AF6706" s="191"/>
      <c r="AG6706" s="191"/>
      <c r="AH6706" s="191"/>
      <c r="AI6706" s="186"/>
      <c r="AK6706" s="171"/>
    </row>
    <row r="6707" spans="1:41" s="102" customFormat="1" ht="19.899999999999999" customHeight="1" x14ac:dyDescent="0.25">
      <c r="A6707" s="45"/>
      <c r="B6707" s="59"/>
      <c r="C6707" s="137"/>
      <c r="D6707" s="59"/>
      <c r="E6707" s="116"/>
      <c r="F6707" s="120"/>
      <c r="G6707" s="120"/>
      <c r="H6707" s="120"/>
      <c r="I6707" s="60"/>
      <c r="J6707" s="116"/>
      <c r="K6707" s="213"/>
      <c r="L6707" s="120"/>
      <c r="M6707" s="120"/>
      <c r="N6707" s="167"/>
      <c r="O6707" s="120"/>
      <c r="P6707" s="120"/>
      <c r="Q6707" s="120"/>
      <c r="R6707" s="120"/>
      <c r="S6707" s="120"/>
      <c r="T6707" s="221"/>
      <c r="U6707" s="89"/>
      <c r="V6707" s="61"/>
      <c r="W6707" s="92" t="s">
        <v>65</v>
      </c>
      <c r="X6707" s="93" t="s">
        <v>30</v>
      </c>
      <c r="Y6707" s="93" t="s">
        <v>1011</v>
      </c>
      <c r="Z6707" s="134">
        <f>VLOOKUP(W6707,Sheet2!$B:$D,3,FALSE)</f>
        <v>1.76</v>
      </c>
      <c r="AA6707" s="93">
        <f>AA6706/9</f>
        <v>11.111111111111111</v>
      </c>
      <c r="AB6707" s="93">
        <f>AD6707/AC6705</f>
        <v>0.15839999999999999</v>
      </c>
      <c r="AC6707" s="93">
        <f>AC6705/AA6707</f>
        <v>0.09</v>
      </c>
      <c r="AD6707" s="94">
        <f t="shared" si="4753"/>
        <v>0.15839999999999999</v>
      </c>
      <c r="AE6707" s="190"/>
      <c r="AF6707" s="191"/>
      <c r="AG6707" s="191"/>
      <c r="AH6707" s="191"/>
      <c r="AI6707" s="186"/>
      <c r="AK6707" s="171"/>
    </row>
    <row r="6708" spans="1:41" s="102" customFormat="1" ht="19.899999999999999" customHeight="1" x14ac:dyDescent="0.25">
      <c r="A6708" s="45"/>
      <c r="B6708" s="59"/>
      <c r="C6708" s="137"/>
      <c r="D6708" s="59"/>
      <c r="E6708" s="116"/>
      <c r="F6708" s="120"/>
      <c r="G6708" s="120"/>
      <c r="H6708" s="120"/>
      <c r="I6708" s="60"/>
      <c r="J6708" s="116"/>
      <c r="K6708" s="213"/>
      <c r="L6708" s="120"/>
      <c r="M6708" s="120"/>
      <c r="N6708" s="167"/>
      <c r="O6708" s="120"/>
      <c r="P6708" s="120"/>
      <c r="Q6708" s="120"/>
      <c r="R6708" s="120"/>
      <c r="S6708" s="120"/>
      <c r="T6708" s="221"/>
      <c r="U6708" s="89"/>
      <c r="V6708" s="61"/>
      <c r="W6708" s="92" t="s">
        <v>161</v>
      </c>
      <c r="X6708" s="93" t="s">
        <v>29</v>
      </c>
      <c r="Y6708" s="93" t="s">
        <v>93</v>
      </c>
      <c r="Z6708" s="134">
        <f>VLOOKUP(W6708,Sheet2!$B:$D,3,FALSE)</f>
        <v>48</v>
      </c>
      <c r="AA6708" s="93">
        <f>(16*0.85*1.5)</f>
        <v>20.399999999999999</v>
      </c>
      <c r="AB6708" s="93">
        <f>AD6708/AC6705</f>
        <v>2.3529411764705888</v>
      </c>
      <c r="AC6708" s="93">
        <f>AC6705/AA6708</f>
        <v>4.9019607843137261E-2</v>
      </c>
      <c r="AD6708" s="94">
        <f>AC6708*Z6708</f>
        <v>2.3529411764705888</v>
      </c>
      <c r="AE6708" s="190"/>
      <c r="AF6708" s="191"/>
      <c r="AG6708" s="191"/>
      <c r="AH6708" s="191"/>
      <c r="AI6708" s="186"/>
      <c r="AK6708" s="171"/>
    </row>
    <row r="6709" spans="1:41" s="102" customFormat="1" ht="19.899999999999999" customHeight="1" x14ac:dyDescent="0.25">
      <c r="A6709" s="45"/>
      <c r="B6709" s="59"/>
      <c r="C6709" s="137"/>
      <c r="D6709" s="59"/>
      <c r="E6709" s="116"/>
      <c r="F6709" s="120"/>
      <c r="G6709" s="120"/>
      <c r="H6709" s="120"/>
      <c r="I6709" s="60"/>
      <c r="J6709" s="116"/>
      <c r="K6709" s="213"/>
      <c r="L6709" s="120"/>
      <c r="M6709" s="120"/>
      <c r="N6709" s="167"/>
      <c r="O6709" s="120"/>
      <c r="P6709" s="120"/>
      <c r="Q6709" s="120"/>
      <c r="R6709" s="120"/>
      <c r="S6709" s="120"/>
      <c r="T6709" s="221"/>
      <c r="U6709" s="89"/>
      <c r="V6709" s="61"/>
      <c r="W6709" s="92" t="s">
        <v>65</v>
      </c>
      <c r="X6709" s="93" t="s">
        <v>30</v>
      </c>
      <c r="Y6709" s="93" t="s">
        <v>1011</v>
      </c>
      <c r="Z6709" s="134">
        <f>VLOOKUP(W6709,Sheet2!$B:$D,3,FALSE)</f>
        <v>1.76</v>
      </c>
      <c r="AA6709" s="93">
        <f>AA6708/10</f>
        <v>2.04</v>
      </c>
      <c r="AB6709" s="93">
        <f>AD6709/AC6705</f>
        <v>0.86274509803921562</v>
      </c>
      <c r="AC6709" s="93">
        <f>AC6705/AA6709</f>
        <v>0.49019607843137253</v>
      </c>
      <c r="AD6709" s="94">
        <f>AC6709*Z6709</f>
        <v>0.86274509803921562</v>
      </c>
      <c r="AE6709" s="190"/>
      <c r="AF6709" s="191"/>
      <c r="AG6709" s="191"/>
      <c r="AH6709" s="191"/>
      <c r="AI6709" s="186"/>
      <c r="AK6709" s="171"/>
    </row>
    <row r="6710" spans="1:41" s="102" customFormat="1" ht="19.899999999999999" customHeight="1" x14ac:dyDescent="0.25">
      <c r="A6710" s="45"/>
      <c r="B6710" s="59"/>
      <c r="C6710" s="137"/>
      <c r="D6710" s="59"/>
      <c r="E6710" s="116"/>
      <c r="F6710" s="120"/>
      <c r="G6710" s="120"/>
      <c r="H6710" s="120"/>
      <c r="I6710" s="60"/>
      <c r="J6710" s="116"/>
      <c r="K6710" s="213"/>
      <c r="L6710" s="120"/>
      <c r="M6710" s="120"/>
      <c r="N6710" s="167"/>
      <c r="O6710" s="120"/>
      <c r="P6710" s="120"/>
      <c r="Q6710" s="120"/>
      <c r="R6710" s="120"/>
      <c r="S6710" s="120"/>
      <c r="T6710" s="221"/>
      <c r="U6710" s="89"/>
      <c r="V6710" s="61"/>
      <c r="W6710" s="92" t="s">
        <v>173</v>
      </c>
      <c r="X6710" s="93" t="s">
        <v>29</v>
      </c>
      <c r="Y6710" s="93" t="s">
        <v>93</v>
      </c>
      <c r="Z6710" s="134">
        <f>VLOOKUP(W6710,Sheet2!$B:$D,3,FALSE)</f>
        <v>36</v>
      </c>
      <c r="AA6710" s="93">
        <f>50</f>
        <v>50</v>
      </c>
      <c r="AB6710" s="93">
        <f>AD6710/AC6705</f>
        <v>0.72</v>
      </c>
      <c r="AC6710" s="93">
        <f>AC6705/AA6710</f>
        <v>0.02</v>
      </c>
      <c r="AD6710" s="94">
        <f>AC6710*Z6710</f>
        <v>0.72</v>
      </c>
      <c r="AE6710" s="190"/>
      <c r="AF6710" s="191"/>
      <c r="AG6710" s="191"/>
      <c r="AH6710" s="191"/>
      <c r="AI6710" s="186"/>
      <c r="AK6710" s="171"/>
    </row>
    <row r="6711" spans="1:41" s="102" customFormat="1" ht="19.899999999999999" customHeight="1" x14ac:dyDescent="0.25">
      <c r="A6711" s="45"/>
      <c r="B6711" s="59"/>
      <c r="C6711" s="137"/>
      <c r="D6711" s="59"/>
      <c r="E6711" s="116"/>
      <c r="F6711" s="120"/>
      <c r="G6711" s="120"/>
      <c r="H6711" s="120"/>
      <c r="I6711" s="60"/>
      <c r="J6711" s="116"/>
      <c r="K6711" s="213"/>
      <c r="L6711" s="120"/>
      <c r="M6711" s="120"/>
      <c r="N6711" s="167"/>
      <c r="O6711" s="120"/>
      <c r="P6711" s="120"/>
      <c r="Q6711" s="120"/>
      <c r="R6711" s="120"/>
      <c r="S6711" s="120"/>
      <c r="T6711" s="221"/>
      <c r="U6711" s="89"/>
      <c r="V6711" s="61"/>
      <c r="W6711" s="92" t="s">
        <v>65</v>
      </c>
      <c r="X6711" s="93" t="s">
        <v>30</v>
      </c>
      <c r="Y6711" s="93" t="s">
        <v>1011</v>
      </c>
      <c r="Z6711" s="134">
        <f>VLOOKUP(W6711,Sheet2!$B:$D,3,FALSE)</f>
        <v>1.76</v>
      </c>
      <c r="AA6711" s="93">
        <f>AA6710/9</f>
        <v>5.5555555555555554</v>
      </c>
      <c r="AB6711" s="93">
        <f>AD6711/AC6705</f>
        <v>0.31679999999999997</v>
      </c>
      <c r="AC6711" s="93">
        <f>AC6705/AA6711</f>
        <v>0.18</v>
      </c>
      <c r="AD6711" s="94">
        <f>AC6711*Z6711</f>
        <v>0.31679999999999997</v>
      </c>
      <c r="AE6711" s="190"/>
      <c r="AF6711" s="191"/>
      <c r="AG6711" s="191"/>
      <c r="AH6711" s="191"/>
      <c r="AI6711" s="186"/>
      <c r="AK6711" s="171"/>
    </row>
    <row r="6712" spans="1:41" s="102" customFormat="1" ht="19.899999999999999" customHeight="1" x14ac:dyDescent="0.25">
      <c r="A6712" s="45"/>
      <c r="B6712" s="59"/>
      <c r="C6712" s="137"/>
      <c r="D6712" s="59"/>
      <c r="E6712" s="116"/>
      <c r="F6712" s="120"/>
      <c r="G6712" s="120"/>
      <c r="H6712" s="120"/>
      <c r="I6712" s="60"/>
      <c r="J6712" s="116"/>
      <c r="K6712" s="213"/>
      <c r="L6712" s="120"/>
      <c r="M6712" s="120"/>
      <c r="N6712" s="167"/>
      <c r="O6712" s="120"/>
      <c r="P6712" s="120"/>
      <c r="Q6712" s="120"/>
      <c r="R6712" s="120"/>
      <c r="S6712" s="120"/>
      <c r="T6712" s="221"/>
      <c r="U6712" s="89"/>
      <c r="V6712" s="61"/>
      <c r="W6712" s="92" t="s">
        <v>148</v>
      </c>
      <c r="X6712" s="93" t="s">
        <v>29</v>
      </c>
      <c r="Y6712" s="93" t="s">
        <v>93</v>
      </c>
      <c r="Z6712" s="134">
        <f>VLOOKUP(W6712,Sheet2!$B:$D,3,FALSE)</f>
        <v>48</v>
      </c>
      <c r="AA6712" s="93">
        <v>80</v>
      </c>
      <c r="AB6712" s="93">
        <f>AD6712/AC6705</f>
        <v>0.60000000000000009</v>
      </c>
      <c r="AC6712" s="93">
        <f>AC6705/AA6712</f>
        <v>1.2500000000000001E-2</v>
      </c>
      <c r="AD6712" s="94">
        <f t="shared" ref="AD6712:AD6715" si="4754">AC6712*Z6712</f>
        <v>0.60000000000000009</v>
      </c>
      <c r="AE6712" s="190"/>
      <c r="AF6712" s="191"/>
      <c r="AG6712" s="191"/>
      <c r="AH6712" s="191"/>
      <c r="AI6712" s="186"/>
      <c r="AK6712" s="171"/>
    </row>
    <row r="6713" spans="1:41" s="102" customFormat="1" ht="19.899999999999999" customHeight="1" x14ac:dyDescent="0.25">
      <c r="A6713" s="45"/>
      <c r="B6713" s="59"/>
      <c r="C6713" s="137"/>
      <c r="D6713" s="59"/>
      <c r="E6713" s="116"/>
      <c r="F6713" s="120"/>
      <c r="G6713" s="120"/>
      <c r="H6713" s="120"/>
      <c r="I6713" s="60"/>
      <c r="J6713" s="116"/>
      <c r="K6713" s="213"/>
      <c r="L6713" s="120"/>
      <c r="M6713" s="120"/>
      <c r="N6713" s="167"/>
      <c r="O6713" s="120"/>
      <c r="P6713" s="120"/>
      <c r="Q6713" s="120"/>
      <c r="R6713" s="120"/>
      <c r="S6713" s="120"/>
      <c r="T6713" s="221"/>
      <c r="U6713" s="89"/>
      <c r="V6713" s="61"/>
      <c r="W6713" s="92" t="s">
        <v>65</v>
      </c>
      <c r="X6713" s="93" t="s">
        <v>30</v>
      </c>
      <c r="Y6713" s="93" t="s">
        <v>1011</v>
      </c>
      <c r="Z6713" s="134">
        <f>VLOOKUP(W6713,Sheet2!$B:$D,3,FALSE)</f>
        <v>1.76</v>
      </c>
      <c r="AA6713" s="93">
        <f>AA6712/10</f>
        <v>8</v>
      </c>
      <c r="AB6713" s="93">
        <f>AD6713/AC6705</f>
        <v>0.22</v>
      </c>
      <c r="AC6713" s="93">
        <f>AC6705/AA6713</f>
        <v>0.125</v>
      </c>
      <c r="AD6713" s="94">
        <f t="shared" si="4754"/>
        <v>0.22</v>
      </c>
      <c r="AE6713" s="190"/>
      <c r="AF6713" s="191"/>
      <c r="AG6713" s="191"/>
      <c r="AH6713" s="191"/>
      <c r="AI6713" s="186"/>
      <c r="AK6713" s="171"/>
    </row>
    <row r="6714" spans="1:41" s="102" customFormat="1" ht="19.899999999999999" customHeight="1" x14ac:dyDescent="0.25">
      <c r="A6714" s="45"/>
      <c r="B6714" s="59"/>
      <c r="C6714" s="137"/>
      <c r="D6714" s="59"/>
      <c r="E6714" s="116"/>
      <c r="F6714" s="120"/>
      <c r="G6714" s="120"/>
      <c r="H6714" s="120"/>
      <c r="I6714" s="60"/>
      <c r="J6714" s="116"/>
      <c r="K6714" s="213"/>
      <c r="L6714" s="120"/>
      <c r="M6714" s="120"/>
      <c r="N6714" s="167"/>
      <c r="O6714" s="120"/>
      <c r="P6714" s="120"/>
      <c r="Q6714" s="120"/>
      <c r="R6714" s="120"/>
      <c r="S6714" s="120"/>
      <c r="T6714" s="221"/>
      <c r="U6714" s="89"/>
      <c r="V6714" s="61"/>
      <c r="W6714" s="92" t="s">
        <v>145</v>
      </c>
      <c r="X6714" s="93" t="s">
        <v>29</v>
      </c>
      <c r="Y6714" s="93" t="s">
        <v>93</v>
      </c>
      <c r="Z6714" s="134">
        <f>VLOOKUP(W6714,Sheet2!$B:$D,3,FALSE)</f>
        <v>40</v>
      </c>
      <c r="AA6714" s="93">
        <v>80</v>
      </c>
      <c r="AB6714" s="93">
        <f>AD6714/AC6705</f>
        <v>0.5</v>
      </c>
      <c r="AC6714" s="93">
        <f>AC6705/AA6714</f>
        <v>1.2500000000000001E-2</v>
      </c>
      <c r="AD6714" s="94">
        <f t="shared" si="4754"/>
        <v>0.5</v>
      </c>
      <c r="AE6714" s="190"/>
      <c r="AF6714" s="191"/>
      <c r="AG6714" s="191"/>
      <c r="AH6714" s="191"/>
      <c r="AI6714" s="186"/>
      <c r="AK6714" s="171"/>
    </row>
    <row r="6715" spans="1:41" s="102" customFormat="1" ht="19.899999999999999" customHeight="1" x14ac:dyDescent="0.25">
      <c r="A6715" s="45"/>
      <c r="B6715" s="59"/>
      <c r="C6715" s="137"/>
      <c r="D6715" s="59"/>
      <c r="E6715" s="116"/>
      <c r="F6715" s="120"/>
      <c r="G6715" s="120"/>
      <c r="H6715" s="120"/>
      <c r="I6715" s="60"/>
      <c r="J6715" s="116"/>
      <c r="K6715" s="213"/>
      <c r="L6715" s="120"/>
      <c r="M6715" s="120"/>
      <c r="N6715" s="167"/>
      <c r="O6715" s="120"/>
      <c r="P6715" s="120"/>
      <c r="Q6715" s="120"/>
      <c r="R6715" s="120"/>
      <c r="S6715" s="120"/>
      <c r="T6715" s="221"/>
      <c r="U6715" s="89"/>
      <c r="V6715" s="61"/>
      <c r="W6715" s="92" t="s">
        <v>65</v>
      </c>
      <c r="X6715" s="93" t="s">
        <v>30</v>
      </c>
      <c r="Y6715" s="93" t="s">
        <v>1011</v>
      </c>
      <c r="Z6715" s="134">
        <f>VLOOKUP(W6715,Sheet2!$B:$D,3,FALSE)</f>
        <v>1.76</v>
      </c>
      <c r="AA6715" s="93">
        <f>AA6714/14</f>
        <v>5.7142857142857144</v>
      </c>
      <c r="AB6715" s="93">
        <f>AD6715/AC6705</f>
        <v>0.308</v>
      </c>
      <c r="AC6715" s="93">
        <f>AC6705/AA6715</f>
        <v>0.17499999999999999</v>
      </c>
      <c r="AD6715" s="94">
        <f t="shared" si="4754"/>
        <v>0.308</v>
      </c>
      <c r="AE6715" s="190"/>
      <c r="AF6715" s="191"/>
      <c r="AG6715" s="191"/>
      <c r="AH6715" s="191"/>
      <c r="AI6715" s="186"/>
      <c r="AK6715" s="171"/>
    </row>
    <row r="6716" spans="1:41" s="102" customFormat="1" ht="20.100000000000001" customHeight="1" x14ac:dyDescent="0.25">
      <c r="A6716" s="45" t="s">
        <v>491</v>
      </c>
      <c r="B6716" s="276"/>
      <c r="C6716" s="285" t="s">
        <v>698</v>
      </c>
      <c r="D6716" s="59"/>
      <c r="E6716" s="116"/>
      <c r="F6716" s="120"/>
      <c r="G6716" s="120">
        <f t="shared" si="4575"/>
        <v>0</v>
      </c>
      <c r="H6716" s="120">
        <f t="shared" si="4576"/>
        <v>0</v>
      </c>
      <c r="I6716" s="60">
        <f t="shared" si="4577"/>
        <v>0</v>
      </c>
      <c r="J6716" s="116">
        <f t="shared" si="4578"/>
        <v>0</v>
      </c>
      <c r="K6716" s="213">
        <f t="shared" si="4579"/>
        <v>0</v>
      </c>
      <c r="L6716" s="120"/>
      <c r="M6716" s="120">
        <f t="shared" si="4580"/>
        <v>0</v>
      </c>
      <c r="N6716" s="167">
        <f t="shared" si="4581"/>
        <v>0</v>
      </c>
      <c r="O6716" s="120">
        <f t="shared" si="4582"/>
        <v>0</v>
      </c>
      <c r="P6716" s="120">
        <f t="shared" si="4583"/>
        <v>0</v>
      </c>
      <c r="Q6716" s="120">
        <f t="shared" si="4584"/>
        <v>0</v>
      </c>
      <c r="R6716" s="120">
        <f t="shared" si="4585"/>
        <v>0</v>
      </c>
      <c r="S6716" s="120"/>
      <c r="T6716" s="221">
        <f t="shared" si="4586"/>
        <v>0</v>
      </c>
      <c r="U6716" s="89"/>
      <c r="V6716" s="61"/>
      <c r="W6716" s="92"/>
      <c r="X6716" s="38"/>
      <c r="Y6716" s="93"/>
      <c r="Z6716" s="134"/>
      <c r="AA6716" s="93"/>
      <c r="AB6716" s="93"/>
      <c r="AC6716" s="93"/>
      <c r="AD6716" s="94"/>
      <c r="AE6716" s="190"/>
      <c r="AF6716" s="191"/>
      <c r="AG6716" s="191"/>
      <c r="AH6716" s="191"/>
      <c r="AI6716" s="186"/>
      <c r="AK6716" s="171"/>
    </row>
    <row r="6717" spans="1:41" ht="20.100000000000001" customHeight="1" x14ac:dyDescent="0.25">
      <c r="A6717" s="277" t="s">
        <v>491</v>
      </c>
      <c r="B6717" s="278"/>
      <c r="C6717" s="64" t="s">
        <v>681</v>
      </c>
      <c r="D6717" s="46"/>
      <c r="E6717" s="114"/>
      <c r="F6717" s="44"/>
      <c r="G6717" s="44">
        <f t="shared" si="4575"/>
        <v>0</v>
      </c>
      <c r="H6717" s="44">
        <f t="shared" si="4576"/>
        <v>0</v>
      </c>
      <c r="I6717" s="43">
        <f t="shared" si="4577"/>
        <v>0</v>
      </c>
      <c r="J6717" s="112">
        <f t="shared" si="4578"/>
        <v>0</v>
      </c>
      <c r="K6717" s="211">
        <f t="shared" si="4579"/>
        <v>0</v>
      </c>
      <c r="L6717" s="44"/>
      <c r="M6717" s="44">
        <f t="shared" si="4580"/>
        <v>0</v>
      </c>
      <c r="N6717" s="173">
        <f t="shared" si="4581"/>
        <v>0</v>
      </c>
      <c r="O6717" s="44">
        <f t="shared" si="4582"/>
        <v>0</v>
      </c>
      <c r="P6717" s="44">
        <f t="shared" si="4583"/>
        <v>0</v>
      </c>
      <c r="Q6717" s="44">
        <f t="shared" si="4584"/>
        <v>0</v>
      </c>
      <c r="R6717" s="44">
        <f t="shared" si="4585"/>
        <v>0</v>
      </c>
      <c r="S6717" s="123"/>
      <c r="T6717" s="219">
        <f t="shared" si="4586"/>
        <v>0</v>
      </c>
      <c r="U6717" s="87"/>
      <c r="V6717" s="47"/>
      <c r="W6717" s="48"/>
      <c r="X6717" s="48"/>
      <c r="Y6717" s="48"/>
      <c r="Z6717" s="135"/>
      <c r="AA6717" s="49"/>
      <c r="AB6717" s="50">
        <f t="shared" si="4587"/>
        <v>0</v>
      </c>
      <c r="AC6717" s="42">
        <f t="shared" si="4588"/>
        <v>9.9999999999999998E-20</v>
      </c>
      <c r="AD6717" s="90"/>
      <c r="AE6717" s="188"/>
      <c r="AF6717" s="189"/>
      <c r="AG6717" s="189"/>
      <c r="AH6717" s="189"/>
      <c r="AI6717" s="161"/>
    </row>
    <row r="6718" spans="1:41" ht="25.5" x14ac:dyDescent="0.25">
      <c r="A6718" s="277" t="s">
        <v>491</v>
      </c>
      <c r="B6718" s="278"/>
      <c r="C6718" s="64" t="s">
        <v>682</v>
      </c>
      <c r="D6718" s="46" t="s">
        <v>215</v>
      </c>
      <c r="E6718" s="114">
        <v>0.3889791200303282</v>
      </c>
      <c r="F6718" s="44">
        <v>188821</v>
      </c>
      <c r="G6718" s="44">
        <f t="shared" si="4575"/>
        <v>73447.426423246594</v>
      </c>
      <c r="H6718" s="44">
        <f t="shared" si="4576"/>
        <v>131835</v>
      </c>
      <c r="I6718" s="43">
        <f t="shared" si="4577"/>
        <v>51281.062289198315</v>
      </c>
      <c r="J6718" s="112">
        <f t="shared" si="4578"/>
        <v>0.3889791200303282</v>
      </c>
      <c r="K6718" s="211">
        <f t="shared" si="4579"/>
        <v>0.3889791200303282</v>
      </c>
      <c r="L6718" s="44"/>
      <c r="M6718" s="44">
        <f t="shared" si="4580"/>
        <v>0.3889791200303282</v>
      </c>
      <c r="N6718" s="173">
        <f t="shared" si="4581"/>
        <v>1</v>
      </c>
      <c r="O6718" s="44">
        <f t="shared" si="4582"/>
        <v>188821</v>
      </c>
      <c r="P6718" s="44">
        <f t="shared" si="4583"/>
        <v>73447.426423246594</v>
      </c>
      <c r="Q6718" s="44">
        <f t="shared" si="4584"/>
        <v>131835</v>
      </c>
      <c r="R6718" s="44">
        <f t="shared" si="4585"/>
        <v>51281.062289198315</v>
      </c>
      <c r="S6718" s="123"/>
      <c r="T6718" s="219">
        <f t="shared" si="4586"/>
        <v>51281.062289198315</v>
      </c>
      <c r="U6718" s="87"/>
      <c r="V6718" s="47"/>
      <c r="W6718" s="48"/>
      <c r="X6718" s="48"/>
      <c r="Y6718" s="48"/>
      <c r="Z6718" s="135"/>
      <c r="AA6718" s="49"/>
      <c r="AB6718" s="50">
        <f t="shared" si="4587"/>
        <v>131835</v>
      </c>
      <c r="AC6718" s="42">
        <f t="shared" si="4588"/>
        <v>0.3889791200303282</v>
      </c>
      <c r="AD6718" s="90">
        <f>AD6719</f>
        <v>51281.062289198315</v>
      </c>
      <c r="AE6718" s="188">
        <f t="shared" ref="AE6718" si="4755">AE6719</f>
        <v>0</v>
      </c>
      <c r="AF6718" s="189">
        <f t="shared" ref="AF6718" si="4756">AF6719</f>
        <v>0</v>
      </c>
      <c r="AG6718" s="189">
        <f t="shared" ref="AG6718" si="4757">AG6719</f>
        <v>0</v>
      </c>
      <c r="AH6718" s="189">
        <f t="shared" ref="AH6718" si="4758">AH6719</f>
        <v>0</v>
      </c>
      <c r="AI6718" s="161">
        <f t="shared" ref="AI6718" si="4759">SUM(AE6718:AH6718)</f>
        <v>0</v>
      </c>
      <c r="AK6718" s="169">
        <v>5</v>
      </c>
      <c r="AO6718" s="19" t="s">
        <v>63</v>
      </c>
    </row>
    <row r="6719" spans="1:41" s="103" customFormat="1" ht="19.899999999999999" customHeight="1" x14ac:dyDescent="0.25">
      <c r="A6719" s="51"/>
      <c r="B6719" s="52"/>
      <c r="C6719" s="165"/>
      <c r="D6719" s="52"/>
      <c r="E6719" s="115"/>
      <c r="F6719" s="58"/>
      <c r="G6719" s="58"/>
      <c r="H6719" s="58"/>
      <c r="I6719" s="55"/>
      <c r="J6719" s="113">
        <f>J6718</f>
        <v>0.3889791200303282</v>
      </c>
      <c r="K6719" s="212">
        <f>K6718</f>
        <v>0.3889791200303282</v>
      </c>
      <c r="L6719" s="58"/>
      <c r="M6719" s="58">
        <f>K6719-L6719</f>
        <v>0.3889791200303282</v>
      </c>
      <c r="N6719" s="166"/>
      <c r="O6719" s="58"/>
      <c r="P6719" s="58"/>
      <c r="Q6719" s="58"/>
      <c r="R6719" s="58"/>
      <c r="S6719" s="58"/>
      <c r="T6719" s="220"/>
      <c r="U6719" s="88"/>
      <c r="V6719" s="56"/>
      <c r="W6719" s="57" t="s">
        <v>1631</v>
      </c>
      <c r="X6719" s="53"/>
      <c r="Y6719" s="91" t="s">
        <v>1349</v>
      </c>
      <c r="Z6719" s="136">
        <f>AD6719/AC6719</f>
        <v>131835</v>
      </c>
      <c r="AA6719" s="58"/>
      <c r="AB6719" s="53">
        <f>AD6719/AC6719</f>
        <v>131835</v>
      </c>
      <c r="AC6719" s="53">
        <f>M6719+$AE$10</f>
        <v>0.3889791200303282</v>
      </c>
      <c r="AD6719" s="54">
        <f>SUM(AD6720)</f>
        <v>51281.062289198315</v>
      </c>
      <c r="AE6719" s="184">
        <f>SUMIFS($AD$37:$AD$12971,$V$37:$V$12971,$V6719,$X$37:$X$12971,AE$13)</f>
        <v>0</v>
      </c>
      <c r="AF6719" s="185">
        <f>SUMIFS($AD$37:$AD$12971,$V$37:$V$12971,$V6719,$X$37:$X$12971,AF$13)</f>
        <v>0</v>
      </c>
      <c r="AG6719" s="185">
        <f>SUMIFS($AD$37:$AD$12971,$V$37:$V$12971,$V6719,$X$37:$X$12971,AG$13)</f>
        <v>0</v>
      </c>
      <c r="AH6719" s="187">
        <f>SUMIFS($AD$37:$AD$12971,$V$37:$V$12971,$V6719,$X$37:$X$12971,AH$13)</f>
        <v>0</v>
      </c>
      <c r="AI6719" s="161">
        <f t="shared" ref="AI6719" si="4760">SUM(AE6719:AH6719)</f>
        <v>0</v>
      </c>
      <c r="AK6719" s="172"/>
    </row>
    <row r="6720" spans="1:41" s="102" customFormat="1" ht="19.899999999999999" customHeight="1" x14ac:dyDescent="0.25">
      <c r="A6720" s="45"/>
      <c r="B6720" s="59"/>
      <c r="C6720" s="137"/>
      <c r="D6720" s="59"/>
      <c r="E6720" s="116"/>
      <c r="F6720" s="120"/>
      <c r="G6720" s="120"/>
      <c r="H6720" s="120"/>
      <c r="I6720" s="60"/>
      <c r="J6720" s="116"/>
      <c r="K6720" s="213"/>
      <c r="L6720" s="120"/>
      <c r="M6720" s="120"/>
      <c r="N6720" s="167"/>
      <c r="O6720" s="120"/>
      <c r="P6720" s="120"/>
      <c r="Q6720" s="120"/>
      <c r="R6720" s="120"/>
      <c r="S6720" s="120"/>
      <c r="T6720" s="221"/>
      <c r="U6720" s="89"/>
      <c r="V6720" s="61"/>
      <c r="W6720" s="92" t="s">
        <v>1632</v>
      </c>
      <c r="X6720" s="93" t="s">
        <v>32</v>
      </c>
      <c r="Y6720" s="93" t="s">
        <v>1349</v>
      </c>
      <c r="Z6720" s="134">
        <f>VLOOKUP(W6720,Sheet2!$B:$D,3,FALSE)</f>
        <v>131835</v>
      </c>
      <c r="AA6720" s="93">
        <v>1</v>
      </c>
      <c r="AB6720" s="93">
        <f>AD6720/AC6719</f>
        <v>131835</v>
      </c>
      <c r="AC6720" s="93">
        <f>AC6719/AA6720</f>
        <v>0.3889791200303282</v>
      </c>
      <c r="AD6720" s="94">
        <f t="shared" ref="AD6720" si="4761">AC6720*Z6720</f>
        <v>51281.062289198315</v>
      </c>
      <c r="AE6720" s="190"/>
      <c r="AF6720" s="191"/>
      <c r="AG6720" s="191"/>
      <c r="AH6720" s="191"/>
      <c r="AI6720" s="186"/>
      <c r="AK6720" s="171"/>
    </row>
    <row r="6721" spans="1:41" s="102" customFormat="1" ht="20.100000000000001" customHeight="1" x14ac:dyDescent="0.25">
      <c r="A6721" s="45" t="s">
        <v>491</v>
      </c>
      <c r="B6721" s="276"/>
      <c r="C6721" s="285" t="s">
        <v>684</v>
      </c>
      <c r="D6721" s="59"/>
      <c r="E6721" s="116"/>
      <c r="F6721" s="120"/>
      <c r="G6721" s="120">
        <f t="shared" si="4575"/>
        <v>0</v>
      </c>
      <c r="H6721" s="120">
        <f t="shared" si="4576"/>
        <v>0</v>
      </c>
      <c r="I6721" s="60">
        <f t="shared" si="4577"/>
        <v>0</v>
      </c>
      <c r="J6721" s="116">
        <f t="shared" si="4578"/>
        <v>0</v>
      </c>
      <c r="K6721" s="213">
        <f t="shared" si="4579"/>
        <v>0</v>
      </c>
      <c r="L6721" s="120"/>
      <c r="M6721" s="120">
        <f t="shared" si="4580"/>
        <v>0</v>
      </c>
      <c r="N6721" s="167">
        <f t="shared" si="4581"/>
        <v>0</v>
      </c>
      <c r="O6721" s="120">
        <f t="shared" si="4582"/>
        <v>0</v>
      </c>
      <c r="P6721" s="120">
        <f t="shared" si="4583"/>
        <v>0</v>
      </c>
      <c r="Q6721" s="120">
        <f t="shared" si="4584"/>
        <v>0</v>
      </c>
      <c r="R6721" s="120">
        <f t="shared" si="4585"/>
        <v>0</v>
      </c>
      <c r="S6721" s="120"/>
      <c r="T6721" s="221">
        <f t="shared" si="4586"/>
        <v>0</v>
      </c>
      <c r="U6721" s="89"/>
      <c r="V6721" s="61"/>
      <c r="W6721" s="92"/>
      <c r="X6721" s="38"/>
      <c r="Y6721" s="93"/>
      <c r="Z6721" s="134"/>
      <c r="AA6721" s="93"/>
      <c r="AB6721" s="93"/>
      <c r="AC6721" s="93"/>
      <c r="AD6721" s="94"/>
      <c r="AE6721" s="190"/>
      <c r="AF6721" s="191"/>
      <c r="AG6721" s="191"/>
      <c r="AH6721" s="191"/>
      <c r="AI6721" s="186"/>
      <c r="AK6721" s="171"/>
    </row>
    <row r="6722" spans="1:41" s="102" customFormat="1" ht="155.25" customHeight="1" x14ac:dyDescent="0.25">
      <c r="A6722" s="45" t="s">
        <v>491</v>
      </c>
      <c r="B6722" s="276"/>
      <c r="C6722" s="285" t="s">
        <v>635</v>
      </c>
      <c r="D6722" s="59"/>
      <c r="E6722" s="116"/>
      <c r="F6722" s="120"/>
      <c r="G6722" s="120">
        <f t="shared" si="4575"/>
        <v>0</v>
      </c>
      <c r="H6722" s="120">
        <f t="shared" si="4576"/>
        <v>0</v>
      </c>
      <c r="I6722" s="60">
        <f t="shared" si="4577"/>
        <v>0</v>
      </c>
      <c r="J6722" s="116">
        <f t="shared" si="4578"/>
        <v>0</v>
      </c>
      <c r="K6722" s="213">
        <f t="shared" si="4579"/>
        <v>0</v>
      </c>
      <c r="L6722" s="120"/>
      <c r="M6722" s="120">
        <f t="shared" si="4580"/>
        <v>0</v>
      </c>
      <c r="N6722" s="167">
        <f t="shared" si="4581"/>
        <v>0</v>
      </c>
      <c r="O6722" s="120">
        <f t="shared" si="4582"/>
        <v>0</v>
      </c>
      <c r="P6722" s="120">
        <f t="shared" si="4583"/>
        <v>0</v>
      </c>
      <c r="Q6722" s="120">
        <f t="shared" si="4584"/>
        <v>0</v>
      </c>
      <c r="R6722" s="120">
        <f t="shared" si="4585"/>
        <v>0</v>
      </c>
      <c r="S6722" s="120"/>
      <c r="T6722" s="221">
        <f t="shared" si="4586"/>
        <v>0</v>
      </c>
      <c r="U6722" s="89"/>
      <c r="V6722" s="61"/>
      <c r="W6722" s="92"/>
      <c r="X6722" s="38"/>
      <c r="Y6722" s="93"/>
      <c r="Z6722" s="134"/>
      <c r="AA6722" s="93"/>
      <c r="AB6722" s="93"/>
      <c r="AC6722" s="93"/>
      <c r="AD6722" s="94"/>
      <c r="AE6722" s="190"/>
      <c r="AF6722" s="191"/>
      <c r="AG6722" s="191"/>
      <c r="AH6722" s="191"/>
      <c r="AI6722" s="186"/>
      <c r="AK6722" s="171"/>
    </row>
    <row r="6723" spans="1:41" ht="52.5" customHeight="1" x14ac:dyDescent="0.25">
      <c r="A6723" s="277" t="s">
        <v>491</v>
      </c>
      <c r="B6723" s="278"/>
      <c r="C6723" s="64" t="s">
        <v>699</v>
      </c>
      <c r="D6723" s="46" t="s">
        <v>186</v>
      </c>
      <c r="E6723" s="114">
        <v>0.30000000000000004</v>
      </c>
      <c r="F6723" s="44">
        <v>1500079</v>
      </c>
      <c r="G6723" s="44">
        <f t="shared" si="4575"/>
        <v>450023.70000000007</v>
      </c>
      <c r="H6723" s="44">
        <f t="shared" si="4576"/>
        <v>1047355.8333333331</v>
      </c>
      <c r="I6723" s="43">
        <f t="shared" si="4577"/>
        <v>314206.75</v>
      </c>
      <c r="J6723" s="112">
        <f t="shared" si="4578"/>
        <v>0.30000000000000004</v>
      </c>
      <c r="K6723" s="211">
        <f t="shared" si="4579"/>
        <v>0.30000000000000004</v>
      </c>
      <c r="L6723" s="44"/>
      <c r="M6723" s="44">
        <f t="shared" si="4580"/>
        <v>0.30000000000000004</v>
      </c>
      <c r="N6723" s="173">
        <f t="shared" si="4581"/>
        <v>1</v>
      </c>
      <c r="O6723" s="44">
        <f t="shared" si="4582"/>
        <v>1500079</v>
      </c>
      <c r="P6723" s="44">
        <f t="shared" si="4583"/>
        <v>450023.70000000007</v>
      </c>
      <c r="Q6723" s="44">
        <f t="shared" si="4584"/>
        <v>1047355.8333333331</v>
      </c>
      <c r="R6723" s="44">
        <f t="shared" si="4585"/>
        <v>314206.75</v>
      </c>
      <c r="S6723" s="123"/>
      <c r="T6723" s="219">
        <f t="shared" si="4586"/>
        <v>314206.75</v>
      </c>
      <c r="U6723" s="87"/>
      <c r="V6723" s="47"/>
      <c r="W6723" s="48"/>
      <c r="X6723" s="48"/>
      <c r="Y6723" s="48"/>
      <c r="Z6723" s="135"/>
      <c r="AA6723" s="49"/>
      <c r="AB6723" s="50">
        <f t="shared" si="4587"/>
        <v>1047355.8333333331</v>
      </c>
      <c r="AC6723" s="42">
        <f t="shared" si="4588"/>
        <v>0.30000000000000004</v>
      </c>
      <c r="AD6723" s="90">
        <f>AD6724</f>
        <v>314206.75</v>
      </c>
      <c r="AE6723" s="188">
        <f t="shared" ref="AE6723" si="4762">AE6724</f>
        <v>0</v>
      </c>
      <c r="AF6723" s="189">
        <f t="shared" ref="AF6723" si="4763">AF6724</f>
        <v>0</v>
      </c>
      <c r="AG6723" s="189">
        <f t="shared" ref="AG6723" si="4764">AG6724</f>
        <v>0</v>
      </c>
      <c r="AH6723" s="189">
        <f t="shared" ref="AH6723" si="4765">AH6724</f>
        <v>0</v>
      </c>
      <c r="AI6723" s="161">
        <f t="shared" ref="AI6723" si="4766">SUM(AE6723:AH6723)</f>
        <v>0</v>
      </c>
      <c r="AK6723" s="169">
        <v>5</v>
      </c>
      <c r="AO6723" s="19" t="s">
        <v>63</v>
      </c>
    </row>
    <row r="6724" spans="1:41" s="103" customFormat="1" ht="19.899999999999999" customHeight="1" x14ac:dyDescent="0.25">
      <c r="A6724" s="51"/>
      <c r="B6724" s="52"/>
      <c r="C6724" s="165"/>
      <c r="D6724" s="52"/>
      <c r="E6724" s="115"/>
      <c r="F6724" s="58"/>
      <c r="G6724" s="58"/>
      <c r="H6724" s="58"/>
      <c r="I6724" s="55"/>
      <c r="J6724" s="113">
        <f>J6723</f>
        <v>0.30000000000000004</v>
      </c>
      <c r="K6724" s="212">
        <f>K6723</f>
        <v>0.30000000000000004</v>
      </c>
      <c r="L6724" s="58"/>
      <c r="M6724" s="58">
        <f>K6724-L6724</f>
        <v>0.30000000000000004</v>
      </c>
      <c r="N6724" s="166"/>
      <c r="O6724" s="58"/>
      <c r="P6724" s="58"/>
      <c r="Q6724" s="58"/>
      <c r="R6724" s="58"/>
      <c r="S6724" s="58"/>
      <c r="T6724" s="220"/>
      <c r="U6724" s="88"/>
      <c r="V6724" s="56"/>
      <c r="W6724" s="57" t="s">
        <v>1633</v>
      </c>
      <c r="X6724" s="53"/>
      <c r="Y6724" s="91" t="s">
        <v>1349</v>
      </c>
      <c r="Z6724" s="136">
        <f>AD6724/AC6724</f>
        <v>1047355.8333333331</v>
      </c>
      <c r="AA6724" s="58"/>
      <c r="AB6724" s="53">
        <f>AD6724/AC6724</f>
        <v>1047355.8333333331</v>
      </c>
      <c r="AC6724" s="53">
        <f>M6724+$AE$10</f>
        <v>0.30000000000000004</v>
      </c>
      <c r="AD6724" s="54">
        <f>SUM(AD6725)</f>
        <v>314206.75</v>
      </c>
      <c r="AE6724" s="184">
        <f>SUMIFS($AD$37:$AD$12971,$V$37:$V$12971,$V6724,$X$37:$X$12971,AE$13)</f>
        <v>0</v>
      </c>
      <c r="AF6724" s="185">
        <f>SUMIFS($AD$37:$AD$12971,$V$37:$V$12971,$V6724,$X$37:$X$12971,AF$13)</f>
        <v>0</v>
      </c>
      <c r="AG6724" s="185">
        <f>SUMIFS($AD$37:$AD$12971,$V$37:$V$12971,$V6724,$X$37:$X$12971,AG$13)</f>
        <v>0</v>
      </c>
      <c r="AH6724" s="187">
        <f>SUMIFS($AD$37:$AD$12971,$V$37:$V$12971,$V6724,$X$37:$X$12971,AH$13)</f>
        <v>0</v>
      </c>
      <c r="AI6724" s="161">
        <f t="shared" ref="AI6724" si="4767">SUM(AE6724:AH6724)</f>
        <v>0</v>
      </c>
      <c r="AK6724" s="172"/>
    </row>
    <row r="6725" spans="1:41" s="102" customFormat="1" ht="19.899999999999999" customHeight="1" x14ac:dyDescent="0.25">
      <c r="A6725" s="45"/>
      <c r="B6725" s="59"/>
      <c r="C6725" s="137"/>
      <c r="D6725" s="59"/>
      <c r="E6725" s="116"/>
      <c r="F6725" s="120"/>
      <c r="G6725" s="120"/>
      <c r="H6725" s="120"/>
      <c r="I6725" s="60"/>
      <c r="J6725" s="116"/>
      <c r="K6725" s="213"/>
      <c r="L6725" s="120"/>
      <c r="M6725" s="120"/>
      <c r="N6725" s="167"/>
      <c r="O6725" s="120"/>
      <c r="P6725" s="120"/>
      <c r="Q6725" s="120"/>
      <c r="R6725" s="120"/>
      <c r="S6725" s="120"/>
      <c r="T6725" s="221"/>
      <c r="U6725" s="89"/>
      <c r="V6725" s="61"/>
      <c r="W6725" s="92" t="s">
        <v>1633</v>
      </c>
      <c r="X6725" s="93" t="s">
        <v>32</v>
      </c>
      <c r="Y6725" s="93" t="s">
        <v>1349</v>
      </c>
      <c r="Z6725" s="134">
        <f>VLOOKUP(W6725,Sheet2!$B:$D,3,FALSE)</f>
        <v>1047355.8333333331</v>
      </c>
      <c r="AA6725" s="93">
        <v>1</v>
      </c>
      <c r="AB6725" s="93">
        <f>AD6725/AC6724</f>
        <v>1047355.8333333331</v>
      </c>
      <c r="AC6725" s="93">
        <f>AC6724/AA6725</f>
        <v>0.30000000000000004</v>
      </c>
      <c r="AD6725" s="94">
        <f t="shared" ref="AD6725" si="4768">AC6725*Z6725</f>
        <v>314206.75</v>
      </c>
      <c r="AE6725" s="190"/>
      <c r="AF6725" s="191"/>
      <c r="AG6725" s="191"/>
      <c r="AH6725" s="191"/>
      <c r="AI6725" s="186"/>
      <c r="AK6725" s="171"/>
    </row>
    <row r="6726" spans="1:41" ht="20.100000000000001" customHeight="1" x14ac:dyDescent="0.25">
      <c r="A6726" s="277" t="s">
        <v>491</v>
      </c>
      <c r="B6726" s="278"/>
      <c r="C6726" s="64" t="s">
        <v>637</v>
      </c>
      <c r="D6726" s="46" t="s">
        <v>186</v>
      </c>
      <c r="E6726" s="114">
        <v>1</v>
      </c>
      <c r="F6726" s="44">
        <v>226585</v>
      </c>
      <c r="G6726" s="44">
        <f t="shared" si="4575"/>
        <v>226585</v>
      </c>
      <c r="H6726" s="44">
        <f t="shared" si="4576"/>
        <v>145500</v>
      </c>
      <c r="I6726" s="43">
        <f t="shared" si="4577"/>
        <v>145500</v>
      </c>
      <c r="J6726" s="112">
        <f t="shared" si="4578"/>
        <v>1</v>
      </c>
      <c r="K6726" s="211">
        <f t="shared" si="4579"/>
        <v>1</v>
      </c>
      <c r="L6726" s="44"/>
      <c r="M6726" s="44">
        <f t="shared" si="4580"/>
        <v>1</v>
      </c>
      <c r="N6726" s="173">
        <f t="shared" si="4581"/>
        <v>1</v>
      </c>
      <c r="O6726" s="44">
        <f t="shared" si="4582"/>
        <v>226585</v>
      </c>
      <c r="P6726" s="44">
        <f t="shared" si="4583"/>
        <v>226585</v>
      </c>
      <c r="Q6726" s="44">
        <f t="shared" si="4584"/>
        <v>145500</v>
      </c>
      <c r="R6726" s="44">
        <f t="shared" si="4585"/>
        <v>145500</v>
      </c>
      <c r="S6726" s="123"/>
      <c r="T6726" s="219">
        <f t="shared" si="4586"/>
        <v>145500</v>
      </c>
      <c r="U6726" s="87"/>
      <c r="V6726" s="47"/>
      <c r="W6726" s="48"/>
      <c r="X6726" s="48"/>
      <c r="Y6726" s="48"/>
      <c r="Z6726" s="135"/>
      <c r="AA6726" s="49"/>
      <c r="AB6726" s="50">
        <f t="shared" si="4587"/>
        <v>145500</v>
      </c>
      <c r="AC6726" s="42">
        <f t="shared" si="4588"/>
        <v>1</v>
      </c>
      <c r="AD6726" s="90">
        <f>AD6727</f>
        <v>145500</v>
      </c>
      <c r="AE6726" s="188">
        <f t="shared" ref="AE6726" si="4769">AE6727</f>
        <v>0</v>
      </c>
      <c r="AF6726" s="189">
        <f t="shared" ref="AF6726" si="4770">AF6727</f>
        <v>0</v>
      </c>
      <c r="AG6726" s="189">
        <f t="shared" ref="AG6726" si="4771">AG6727</f>
        <v>0</v>
      </c>
      <c r="AH6726" s="189">
        <f t="shared" ref="AH6726" si="4772">AH6727</f>
        <v>0</v>
      </c>
      <c r="AI6726" s="161">
        <f t="shared" ref="AI6726" si="4773">SUM(AE6726:AH6726)</f>
        <v>0</v>
      </c>
      <c r="AK6726" s="169">
        <v>5</v>
      </c>
      <c r="AO6726" s="19" t="s">
        <v>63</v>
      </c>
    </row>
    <row r="6727" spans="1:41" s="103" customFormat="1" ht="19.899999999999999" customHeight="1" x14ac:dyDescent="0.25">
      <c r="A6727" s="51"/>
      <c r="B6727" s="52"/>
      <c r="C6727" s="165"/>
      <c r="D6727" s="52"/>
      <c r="E6727" s="115"/>
      <c r="F6727" s="58"/>
      <c r="G6727" s="58"/>
      <c r="H6727" s="58"/>
      <c r="I6727" s="55"/>
      <c r="J6727" s="113">
        <f>J6726</f>
        <v>1</v>
      </c>
      <c r="K6727" s="212">
        <f>K6726</f>
        <v>1</v>
      </c>
      <c r="L6727" s="58"/>
      <c r="M6727" s="58">
        <f>K6727-L6727</f>
        <v>1</v>
      </c>
      <c r="N6727" s="166"/>
      <c r="O6727" s="58"/>
      <c r="P6727" s="58"/>
      <c r="Q6727" s="58"/>
      <c r="R6727" s="58"/>
      <c r="S6727" s="58"/>
      <c r="T6727" s="220"/>
      <c r="U6727" s="88"/>
      <c r="V6727" s="56"/>
      <c r="W6727" s="57" t="s">
        <v>1579</v>
      </c>
      <c r="X6727" s="53"/>
      <c r="Y6727" s="91" t="s">
        <v>1349</v>
      </c>
      <c r="Z6727" s="136">
        <f>AD6727/AC6727</f>
        <v>145500</v>
      </c>
      <c r="AA6727" s="58"/>
      <c r="AB6727" s="53">
        <f>AD6727/AC6727</f>
        <v>145500</v>
      </c>
      <c r="AC6727" s="53">
        <f>M6727+$AE$10</f>
        <v>1</v>
      </c>
      <c r="AD6727" s="54">
        <f>SUM(AD6728)</f>
        <v>145500</v>
      </c>
      <c r="AE6727" s="184">
        <f>SUMIFS($AD$37:$AD$12971,$V$37:$V$12971,$V6727,$X$37:$X$12971,AE$13)</f>
        <v>0</v>
      </c>
      <c r="AF6727" s="185">
        <f>SUMIFS($AD$37:$AD$12971,$V$37:$V$12971,$V6727,$X$37:$X$12971,AF$13)</f>
        <v>0</v>
      </c>
      <c r="AG6727" s="185">
        <f>SUMIFS($AD$37:$AD$12971,$V$37:$V$12971,$V6727,$X$37:$X$12971,AG$13)</f>
        <v>0</v>
      </c>
      <c r="AH6727" s="187">
        <f>SUMIFS($AD$37:$AD$12971,$V$37:$V$12971,$V6727,$X$37:$X$12971,AH$13)</f>
        <v>0</v>
      </c>
      <c r="AI6727" s="161">
        <f t="shared" ref="AI6727" si="4774">SUM(AE6727:AH6727)</f>
        <v>0</v>
      </c>
      <c r="AK6727" s="172"/>
    </row>
    <row r="6728" spans="1:41" s="102" customFormat="1" ht="19.899999999999999" customHeight="1" x14ac:dyDescent="0.25">
      <c r="A6728" s="45"/>
      <c r="B6728" s="59"/>
      <c r="C6728" s="137"/>
      <c r="D6728" s="59"/>
      <c r="E6728" s="116"/>
      <c r="F6728" s="120"/>
      <c r="G6728" s="120"/>
      <c r="H6728" s="120"/>
      <c r="I6728" s="60"/>
      <c r="J6728" s="116"/>
      <c r="K6728" s="213"/>
      <c r="L6728" s="120"/>
      <c r="M6728" s="120"/>
      <c r="N6728" s="167"/>
      <c r="O6728" s="120"/>
      <c r="P6728" s="120"/>
      <c r="Q6728" s="120"/>
      <c r="R6728" s="120"/>
      <c r="S6728" s="120"/>
      <c r="T6728" s="221"/>
      <c r="U6728" s="89"/>
      <c r="V6728" s="61"/>
      <c r="W6728" s="92" t="s">
        <v>1581</v>
      </c>
      <c r="X6728" s="93" t="s">
        <v>32</v>
      </c>
      <c r="Y6728" s="93" t="s">
        <v>1349</v>
      </c>
      <c r="Z6728" s="134">
        <f>VLOOKUP(W6728,Sheet2!$B:$D,3,FALSE)</f>
        <v>145500</v>
      </c>
      <c r="AA6728" s="93">
        <v>1</v>
      </c>
      <c r="AB6728" s="93">
        <f>AD6728/AC6727</f>
        <v>145500</v>
      </c>
      <c r="AC6728" s="93">
        <f>AC6727/AA6728</f>
        <v>1</v>
      </c>
      <c r="AD6728" s="94">
        <f t="shared" ref="AD6728" si="4775">AC6728*Z6728</f>
        <v>145500</v>
      </c>
      <c r="AE6728" s="190"/>
      <c r="AF6728" s="191"/>
      <c r="AG6728" s="191"/>
      <c r="AH6728" s="191"/>
      <c r="AI6728" s="186"/>
      <c r="AK6728" s="171"/>
    </row>
    <row r="6729" spans="1:41" ht="20.100000000000001" customHeight="1" x14ac:dyDescent="0.25">
      <c r="A6729" s="277" t="s">
        <v>491</v>
      </c>
      <c r="B6729" s="278"/>
      <c r="C6729" s="64" t="s">
        <v>638</v>
      </c>
      <c r="D6729" s="46" t="s">
        <v>215</v>
      </c>
      <c r="E6729" s="114">
        <v>1</v>
      </c>
      <c r="F6729" s="44">
        <v>1022781</v>
      </c>
      <c r="G6729" s="44">
        <f t="shared" si="4575"/>
        <v>1022781</v>
      </c>
      <c r="H6729" s="44">
        <f t="shared" si="4576"/>
        <v>715000</v>
      </c>
      <c r="I6729" s="43">
        <f t="shared" si="4577"/>
        <v>715000</v>
      </c>
      <c r="J6729" s="112">
        <f t="shared" si="4578"/>
        <v>1</v>
      </c>
      <c r="K6729" s="211">
        <f t="shared" si="4579"/>
        <v>1</v>
      </c>
      <c r="L6729" s="44"/>
      <c r="M6729" s="44">
        <f t="shared" si="4580"/>
        <v>1</v>
      </c>
      <c r="N6729" s="173">
        <f t="shared" si="4581"/>
        <v>1</v>
      </c>
      <c r="O6729" s="44">
        <f t="shared" si="4582"/>
        <v>1022781</v>
      </c>
      <c r="P6729" s="44">
        <f t="shared" si="4583"/>
        <v>1022781</v>
      </c>
      <c r="Q6729" s="44">
        <f t="shared" si="4584"/>
        <v>715000</v>
      </c>
      <c r="R6729" s="44">
        <f t="shared" si="4585"/>
        <v>715000</v>
      </c>
      <c r="S6729" s="123"/>
      <c r="T6729" s="219">
        <f t="shared" si="4586"/>
        <v>715000</v>
      </c>
      <c r="U6729" s="87"/>
      <c r="V6729" s="47"/>
      <c r="W6729" s="48"/>
      <c r="X6729" s="48"/>
      <c r="Y6729" s="48"/>
      <c r="Z6729" s="135"/>
      <c r="AA6729" s="49"/>
      <c r="AB6729" s="50">
        <f t="shared" si="4587"/>
        <v>715000</v>
      </c>
      <c r="AC6729" s="42">
        <f t="shared" si="4588"/>
        <v>1</v>
      </c>
      <c r="AD6729" s="90">
        <f>AD6730</f>
        <v>715000</v>
      </c>
      <c r="AE6729" s="188">
        <f t="shared" ref="AE6729" si="4776">AE6730</f>
        <v>0</v>
      </c>
      <c r="AF6729" s="189">
        <f t="shared" ref="AF6729" si="4777">AF6730</f>
        <v>0</v>
      </c>
      <c r="AG6729" s="189">
        <f t="shared" ref="AG6729" si="4778">AG6730</f>
        <v>0</v>
      </c>
      <c r="AH6729" s="189">
        <f t="shared" ref="AH6729" si="4779">AH6730</f>
        <v>0</v>
      </c>
      <c r="AI6729" s="161">
        <f t="shared" ref="AI6729" si="4780">SUM(AE6729:AH6729)</f>
        <v>0</v>
      </c>
      <c r="AK6729" s="169">
        <v>5</v>
      </c>
      <c r="AO6729" s="19" t="s">
        <v>63</v>
      </c>
    </row>
    <row r="6730" spans="1:41" s="103" customFormat="1" ht="19.899999999999999" customHeight="1" x14ac:dyDescent="0.25">
      <c r="A6730" s="51"/>
      <c r="B6730" s="52"/>
      <c r="C6730" s="165"/>
      <c r="D6730" s="52"/>
      <c r="E6730" s="115"/>
      <c r="F6730" s="58"/>
      <c r="G6730" s="58"/>
      <c r="H6730" s="58"/>
      <c r="I6730" s="55"/>
      <c r="J6730" s="113">
        <f>J6729</f>
        <v>1</v>
      </c>
      <c r="K6730" s="212">
        <f>K6729</f>
        <v>1</v>
      </c>
      <c r="L6730" s="58"/>
      <c r="M6730" s="58">
        <f>K6730-L6730</f>
        <v>1</v>
      </c>
      <c r="N6730" s="166"/>
      <c r="O6730" s="58"/>
      <c r="P6730" s="58"/>
      <c r="Q6730" s="58"/>
      <c r="R6730" s="58"/>
      <c r="S6730" s="58"/>
      <c r="T6730" s="220"/>
      <c r="U6730" s="88"/>
      <c r="V6730" s="56"/>
      <c r="W6730" s="57" t="s">
        <v>638</v>
      </c>
      <c r="X6730" s="53"/>
      <c r="Y6730" s="91" t="s">
        <v>35</v>
      </c>
      <c r="Z6730" s="136">
        <f>AD6730/AC6730</f>
        <v>715000</v>
      </c>
      <c r="AA6730" s="58"/>
      <c r="AB6730" s="53">
        <f>AD6730/AC6730</f>
        <v>715000</v>
      </c>
      <c r="AC6730" s="53">
        <f>M6730+$AE$10</f>
        <v>1</v>
      </c>
      <c r="AD6730" s="54">
        <f>SUM(AD6731)</f>
        <v>715000</v>
      </c>
      <c r="AE6730" s="184">
        <f>SUMIFS($AD$37:$AD$12971,$V$37:$V$12971,$V6730,$X$37:$X$12971,AE$13)</f>
        <v>0</v>
      </c>
      <c r="AF6730" s="185">
        <f>SUMIFS($AD$37:$AD$12971,$V$37:$V$12971,$V6730,$X$37:$X$12971,AF$13)</f>
        <v>0</v>
      </c>
      <c r="AG6730" s="185">
        <f>SUMIFS($AD$37:$AD$12971,$V$37:$V$12971,$V6730,$X$37:$X$12971,AG$13)</f>
        <v>0</v>
      </c>
      <c r="AH6730" s="187">
        <f>SUMIFS($AD$37:$AD$12971,$V$37:$V$12971,$V6730,$X$37:$X$12971,AH$13)</f>
        <v>0</v>
      </c>
      <c r="AI6730" s="161">
        <f t="shared" ref="AI6730" si="4781">SUM(AE6730:AH6730)</f>
        <v>0</v>
      </c>
      <c r="AK6730" s="172"/>
    </row>
    <row r="6731" spans="1:41" s="102" customFormat="1" ht="19.899999999999999" customHeight="1" x14ac:dyDescent="0.25">
      <c r="A6731" s="45"/>
      <c r="B6731" s="59"/>
      <c r="C6731" s="137"/>
      <c r="D6731" s="59"/>
      <c r="E6731" s="116"/>
      <c r="F6731" s="120"/>
      <c r="G6731" s="120"/>
      <c r="H6731" s="120"/>
      <c r="I6731" s="60"/>
      <c r="J6731" s="116"/>
      <c r="K6731" s="213"/>
      <c r="L6731" s="120"/>
      <c r="M6731" s="120"/>
      <c r="N6731" s="167"/>
      <c r="O6731" s="120"/>
      <c r="P6731" s="120"/>
      <c r="Q6731" s="120"/>
      <c r="R6731" s="120"/>
      <c r="S6731" s="120"/>
      <c r="T6731" s="221"/>
      <c r="U6731" s="89"/>
      <c r="V6731" s="61"/>
      <c r="W6731" s="92" t="s">
        <v>1625</v>
      </c>
      <c r="X6731" s="93" t="s">
        <v>32</v>
      </c>
      <c r="Y6731" s="93" t="s">
        <v>1349</v>
      </c>
      <c r="Z6731" s="134">
        <f>VLOOKUP(W6731,Sheet2!$B:$D,3,FALSE)</f>
        <v>715000</v>
      </c>
      <c r="AA6731" s="93">
        <v>1</v>
      </c>
      <c r="AB6731" s="93">
        <f>AD6731/AC6730</f>
        <v>715000</v>
      </c>
      <c r="AC6731" s="93">
        <f>AC6730/AA6731</f>
        <v>1</v>
      </c>
      <c r="AD6731" s="94">
        <f t="shared" ref="AD6731" si="4782">AC6731*Z6731</f>
        <v>715000</v>
      </c>
      <c r="AE6731" s="190"/>
      <c r="AF6731" s="191"/>
      <c r="AG6731" s="191"/>
      <c r="AH6731" s="191"/>
      <c r="AI6731" s="186"/>
      <c r="AK6731" s="171"/>
    </row>
    <row r="6732" spans="1:41" s="102" customFormat="1" ht="20.100000000000001" customHeight="1" x14ac:dyDescent="0.25">
      <c r="A6732" s="45" t="s">
        <v>491</v>
      </c>
      <c r="B6732" s="276"/>
      <c r="C6732" s="285" t="s">
        <v>639</v>
      </c>
      <c r="D6732" s="59"/>
      <c r="E6732" s="116"/>
      <c r="F6732" s="120"/>
      <c r="G6732" s="120">
        <f t="shared" si="4575"/>
        <v>0</v>
      </c>
      <c r="H6732" s="120">
        <f t="shared" si="4576"/>
        <v>0</v>
      </c>
      <c r="I6732" s="60">
        <f t="shared" si="4577"/>
        <v>0</v>
      </c>
      <c r="J6732" s="116">
        <f t="shared" si="4578"/>
        <v>0</v>
      </c>
      <c r="K6732" s="213">
        <f t="shared" si="4579"/>
        <v>0</v>
      </c>
      <c r="L6732" s="120"/>
      <c r="M6732" s="120">
        <f t="shared" si="4580"/>
        <v>0</v>
      </c>
      <c r="N6732" s="167">
        <f t="shared" si="4581"/>
        <v>0</v>
      </c>
      <c r="O6732" s="120">
        <f t="shared" si="4582"/>
        <v>0</v>
      </c>
      <c r="P6732" s="120">
        <f t="shared" si="4583"/>
        <v>0</v>
      </c>
      <c r="Q6732" s="120">
        <f t="shared" si="4584"/>
        <v>0</v>
      </c>
      <c r="R6732" s="120">
        <f t="shared" si="4585"/>
        <v>0</v>
      </c>
      <c r="S6732" s="120"/>
      <c r="T6732" s="221">
        <f t="shared" si="4586"/>
        <v>0</v>
      </c>
      <c r="U6732" s="89"/>
      <c r="V6732" s="61"/>
      <c r="W6732" s="92"/>
      <c r="X6732" s="38"/>
      <c r="Y6732" s="93"/>
      <c r="Z6732" s="134"/>
      <c r="AA6732" s="93"/>
      <c r="AB6732" s="93"/>
      <c r="AC6732" s="93"/>
      <c r="AD6732" s="94"/>
      <c r="AE6732" s="190"/>
      <c r="AF6732" s="191"/>
      <c r="AG6732" s="191"/>
      <c r="AH6732" s="191"/>
      <c r="AI6732" s="186"/>
      <c r="AK6732" s="171"/>
    </row>
    <row r="6733" spans="1:41" s="102" customFormat="1" ht="94.5" x14ac:dyDescent="0.25">
      <c r="A6733" s="45" t="s">
        <v>491</v>
      </c>
      <c r="B6733" s="276"/>
      <c r="C6733" s="285" t="s">
        <v>640</v>
      </c>
      <c r="D6733" s="59"/>
      <c r="E6733" s="116"/>
      <c r="F6733" s="120"/>
      <c r="G6733" s="120">
        <f t="shared" si="4575"/>
        <v>0</v>
      </c>
      <c r="H6733" s="120">
        <f t="shared" si="4576"/>
        <v>0</v>
      </c>
      <c r="I6733" s="60">
        <f t="shared" si="4577"/>
        <v>0</v>
      </c>
      <c r="J6733" s="116">
        <f t="shared" si="4578"/>
        <v>0</v>
      </c>
      <c r="K6733" s="213">
        <f t="shared" si="4579"/>
        <v>0</v>
      </c>
      <c r="L6733" s="120"/>
      <c r="M6733" s="120">
        <f t="shared" si="4580"/>
        <v>0</v>
      </c>
      <c r="N6733" s="167">
        <f t="shared" si="4581"/>
        <v>0</v>
      </c>
      <c r="O6733" s="120">
        <f t="shared" si="4582"/>
        <v>0</v>
      </c>
      <c r="P6733" s="120">
        <f t="shared" si="4583"/>
        <v>0</v>
      </c>
      <c r="Q6733" s="120">
        <f t="shared" si="4584"/>
        <v>0</v>
      </c>
      <c r="R6733" s="120">
        <f t="shared" si="4585"/>
        <v>0</v>
      </c>
      <c r="S6733" s="120"/>
      <c r="T6733" s="221">
        <f t="shared" si="4586"/>
        <v>0</v>
      </c>
      <c r="U6733" s="89"/>
      <c r="V6733" s="61"/>
      <c r="W6733" s="92"/>
      <c r="X6733" s="38"/>
      <c r="Y6733" s="93"/>
      <c r="Z6733" s="134"/>
      <c r="AA6733" s="93"/>
      <c r="AB6733" s="93"/>
      <c r="AC6733" s="93"/>
      <c r="AD6733" s="94"/>
      <c r="AE6733" s="190"/>
      <c r="AF6733" s="191"/>
      <c r="AG6733" s="191"/>
      <c r="AH6733" s="191"/>
      <c r="AI6733" s="186"/>
      <c r="AK6733" s="171"/>
    </row>
    <row r="6734" spans="1:41" ht="20.100000000000001" customHeight="1" x14ac:dyDescent="0.25">
      <c r="A6734" s="277" t="s">
        <v>491</v>
      </c>
      <c r="B6734" s="278"/>
      <c r="C6734" s="64" t="s">
        <v>641</v>
      </c>
      <c r="D6734" s="46" t="s">
        <v>186</v>
      </c>
      <c r="E6734" s="114">
        <v>0.28000000000000003</v>
      </c>
      <c r="F6734" s="44">
        <v>94411</v>
      </c>
      <c r="G6734" s="44">
        <f t="shared" si="4575"/>
        <v>26435.08</v>
      </c>
      <c r="H6734" s="44">
        <f t="shared" si="4576"/>
        <v>65499.999999999993</v>
      </c>
      <c r="I6734" s="43">
        <f t="shared" si="4577"/>
        <v>18340</v>
      </c>
      <c r="J6734" s="112">
        <f t="shared" si="4578"/>
        <v>0.28000000000000003</v>
      </c>
      <c r="K6734" s="211">
        <f t="shared" si="4579"/>
        <v>0.28000000000000003</v>
      </c>
      <c r="L6734" s="44"/>
      <c r="M6734" s="44">
        <f t="shared" si="4580"/>
        <v>0.28000000000000003</v>
      </c>
      <c r="N6734" s="173">
        <f t="shared" si="4581"/>
        <v>1</v>
      </c>
      <c r="O6734" s="44">
        <f t="shared" si="4582"/>
        <v>94411</v>
      </c>
      <c r="P6734" s="44">
        <f t="shared" si="4583"/>
        <v>26435.08</v>
      </c>
      <c r="Q6734" s="44">
        <f t="shared" si="4584"/>
        <v>65499.999999999993</v>
      </c>
      <c r="R6734" s="44">
        <f t="shared" si="4585"/>
        <v>18340</v>
      </c>
      <c r="S6734" s="123"/>
      <c r="T6734" s="219">
        <f t="shared" si="4586"/>
        <v>18340</v>
      </c>
      <c r="U6734" s="87"/>
      <c r="V6734" s="47"/>
      <c r="W6734" s="48"/>
      <c r="X6734" s="48"/>
      <c r="Y6734" s="48"/>
      <c r="Z6734" s="135"/>
      <c r="AA6734" s="49"/>
      <c r="AB6734" s="50">
        <f t="shared" si="4587"/>
        <v>65499.999999999993</v>
      </c>
      <c r="AC6734" s="42">
        <f t="shared" si="4588"/>
        <v>0.28000000000000003</v>
      </c>
      <c r="AD6734" s="90">
        <f>AD6735</f>
        <v>18340</v>
      </c>
      <c r="AE6734" s="188">
        <f t="shared" ref="AE6734" si="4783">AE6735</f>
        <v>0</v>
      </c>
      <c r="AF6734" s="189">
        <f t="shared" ref="AF6734" si="4784">AF6735</f>
        <v>0</v>
      </c>
      <c r="AG6734" s="189">
        <f t="shared" ref="AG6734" si="4785">AG6735</f>
        <v>0</v>
      </c>
      <c r="AH6734" s="189">
        <f t="shared" ref="AH6734" si="4786">AH6735</f>
        <v>0</v>
      </c>
      <c r="AI6734" s="161">
        <f t="shared" ref="AI6734" si="4787">SUM(AE6734:AH6734)</f>
        <v>0</v>
      </c>
      <c r="AK6734" s="169">
        <v>5</v>
      </c>
      <c r="AO6734" s="19" t="s">
        <v>63</v>
      </c>
    </row>
    <row r="6735" spans="1:41" s="103" customFormat="1" ht="19.899999999999999" customHeight="1" x14ac:dyDescent="0.25">
      <c r="A6735" s="51"/>
      <c r="B6735" s="52"/>
      <c r="C6735" s="165"/>
      <c r="D6735" s="52"/>
      <c r="E6735" s="115"/>
      <c r="F6735" s="58"/>
      <c r="G6735" s="58"/>
      <c r="H6735" s="58"/>
      <c r="I6735" s="55"/>
      <c r="J6735" s="113">
        <f>J6734</f>
        <v>0.28000000000000003</v>
      </c>
      <c r="K6735" s="212">
        <f>K6734</f>
        <v>0.28000000000000003</v>
      </c>
      <c r="L6735" s="58"/>
      <c r="M6735" s="58">
        <f>K6735-L6735</f>
        <v>0.28000000000000003</v>
      </c>
      <c r="N6735" s="166"/>
      <c r="O6735" s="58"/>
      <c r="P6735" s="58"/>
      <c r="Q6735" s="58"/>
      <c r="R6735" s="58"/>
      <c r="S6735" s="58"/>
      <c r="T6735" s="220"/>
      <c r="U6735" s="88"/>
      <c r="V6735" s="56"/>
      <c r="W6735" s="57" t="s">
        <v>1623</v>
      </c>
      <c r="X6735" s="53"/>
      <c r="Y6735" s="91" t="s">
        <v>1349</v>
      </c>
      <c r="Z6735" s="136">
        <f>AD6735/AC6735</f>
        <v>65499.999999999993</v>
      </c>
      <c r="AA6735" s="58"/>
      <c r="AB6735" s="53">
        <f>AD6735/AC6735</f>
        <v>65499.999999999993</v>
      </c>
      <c r="AC6735" s="53">
        <f>M6735+$AE$10</f>
        <v>0.28000000000000003</v>
      </c>
      <c r="AD6735" s="54">
        <f>SUM(AD6736)</f>
        <v>18340</v>
      </c>
      <c r="AE6735" s="184">
        <f>SUMIFS($AD$37:$AD$12971,$V$37:$V$12971,$V6735,$X$37:$X$12971,AE$13)</f>
        <v>0</v>
      </c>
      <c r="AF6735" s="185">
        <f>SUMIFS($AD$37:$AD$12971,$V$37:$V$12971,$V6735,$X$37:$X$12971,AF$13)</f>
        <v>0</v>
      </c>
      <c r="AG6735" s="185">
        <f>SUMIFS($AD$37:$AD$12971,$V$37:$V$12971,$V6735,$X$37:$X$12971,AG$13)</f>
        <v>0</v>
      </c>
      <c r="AH6735" s="187">
        <f>SUMIFS($AD$37:$AD$12971,$V$37:$V$12971,$V6735,$X$37:$X$12971,AH$13)</f>
        <v>0</v>
      </c>
      <c r="AI6735" s="161">
        <f t="shared" ref="AI6735" si="4788">SUM(AE6735:AH6735)</f>
        <v>0</v>
      </c>
      <c r="AK6735" s="172"/>
    </row>
    <row r="6736" spans="1:41" s="102" customFormat="1" ht="19.899999999999999" customHeight="1" x14ac:dyDescent="0.25">
      <c r="A6736" s="45"/>
      <c r="B6736" s="59"/>
      <c r="C6736" s="137"/>
      <c r="D6736" s="59"/>
      <c r="E6736" s="116"/>
      <c r="F6736" s="120"/>
      <c r="G6736" s="120"/>
      <c r="H6736" s="120"/>
      <c r="I6736" s="60"/>
      <c r="J6736" s="116"/>
      <c r="K6736" s="213"/>
      <c r="L6736" s="120"/>
      <c r="M6736" s="120"/>
      <c r="N6736" s="167"/>
      <c r="O6736" s="120"/>
      <c r="P6736" s="120"/>
      <c r="Q6736" s="120"/>
      <c r="R6736" s="120"/>
      <c r="S6736" s="120"/>
      <c r="T6736" s="221"/>
      <c r="U6736" s="89"/>
      <c r="V6736" s="61"/>
      <c r="W6736" s="92" t="s">
        <v>1623</v>
      </c>
      <c r="X6736" s="93" t="s">
        <v>32</v>
      </c>
      <c r="Y6736" s="93" t="s">
        <v>1349</v>
      </c>
      <c r="Z6736" s="134">
        <f>VLOOKUP(W6736,Sheet2!$B:$D,3,FALSE)</f>
        <v>65500</v>
      </c>
      <c r="AA6736" s="93">
        <v>1</v>
      </c>
      <c r="AB6736" s="93">
        <f>AD6736/AC6735</f>
        <v>65499.999999999993</v>
      </c>
      <c r="AC6736" s="93">
        <f>AC6735/AA6736</f>
        <v>0.28000000000000003</v>
      </c>
      <c r="AD6736" s="94">
        <f t="shared" ref="AD6736" si="4789">AC6736*Z6736</f>
        <v>18340</v>
      </c>
      <c r="AE6736" s="190"/>
      <c r="AF6736" s="191"/>
      <c r="AG6736" s="191"/>
      <c r="AH6736" s="191"/>
      <c r="AI6736" s="186"/>
      <c r="AK6736" s="171"/>
    </row>
    <row r="6737" spans="1:41" ht="20.100000000000001" customHeight="1" x14ac:dyDescent="0.25">
      <c r="A6737" s="277" t="s">
        <v>491</v>
      </c>
      <c r="B6737" s="278"/>
      <c r="C6737" s="64" t="s">
        <v>642</v>
      </c>
      <c r="D6737" s="46" t="s">
        <v>186</v>
      </c>
      <c r="E6737" s="114">
        <v>1</v>
      </c>
      <c r="F6737" s="44">
        <v>31470</v>
      </c>
      <c r="G6737" s="44">
        <f t="shared" si="4575"/>
        <v>31470</v>
      </c>
      <c r="H6737" s="44">
        <f t="shared" si="4576"/>
        <v>21972.5</v>
      </c>
      <c r="I6737" s="43">
        <f t="shared" si="4577"/>
        <v>21972.5</v>
      </c>
      <c r="J6737" s="112">
        <f t="shared" si="4578"/>
        <v>1</v>
      </c>
      <c r="K6737" s="211">
        <f t="shared" si="4579"/>
        <v>1</v>
      </c>
      <c r="L6737" s="44"/>
      <c r="M6737" s="44">
        <f t="shared" si="4580"/>
        <v>1</v>
      </c>
      <c r="N6737" s="173">
        <f t="shared" si="4581"/>
        <v>1</v>
      </c>
      <c r="O6737" s="44">
        <f t="shared" si="4582"/>
        <v>31470</v>
      </c>
      <c r="P6737" s="44">
        <f t="shared" si="4583"/>
        <v>31470</v>
      </c>
      <c r="Q6737" s="44">
        <f t="shared" si="4584"/>
        <v>21972.5</v>
      </c>
      <c r="R6737" s="44">
        <f t="shared" si="4585"/>
        <v>21972.5</v>
      </c>
      <c r="S6737" s="123"/>
      <c r="T6737" s="219">
        <f t="shared" si="4586"/>
        <v>21972.5</v>
      </c>
      <c r="U6737" s="87"/>
      <c r="V6737" s="47"/>
      <c r="W6737" s="48"/>
      <c r="X6737" s="48"/>
      <c r="Y6737" s="48"/>
      <c r="Z6737" s="135"/>
      <c r="AA6737" s="49"/>
      <c r="AB6737" s="50">
        <f t="shared" si="4587"/>
        <v>21972.5</v>
      </c>
      <c r="AC6737" s="42">
        <f t="shared" si="4588"/>
        <v>1</v>
      </c>
      <c r="AD6737" s="90">
        <f>AD6738</f>
        <v>21972.5</v>
      </c>
      <c r="AE6737" s="188">
        <f t="shared" ref="AE6737" si="4790">AE6738</f>
        <v>0</v>
      </c>
      <c r="AF6737" s="189">
        <f t="shared" ref="AF6737" si="4791">AF6738</f>
        <v>0</v>
      </c>
      <c r="AG6737" s="189">
        <f t="shared" ref="AG6737" si="4792">AG6738</f>
        <v>0</v>
      </c>
      <c r="AH6737" s="189">
        <f t="shared" ref="AH6737" si="4793">AH6738</f>
        <v>0</v>
      </c>
      <c r="AI6737" s="161">
        <f t="shared" ref="AI6737" si="4794">SUM(AE6737:AH6737)</f>
        <v>0</v>
      </c>
      <c r="AK6737" s="169">
        <v>5</v>
      </c>
      <c r="AO6737" s="19" t="s">
        <v>63</v>
      </c>
    </row>
    <row r="6738" spans="1:41" s="103" customFormat="1" ht="19.899999999999999" customHeight="1" x14ac:dyDescent="0.25">
      <c r="A6738" s="51"/>
      <c r="B6738" s="52"/>
      <c r="C6738" s="165"/>
      <c r="D6738" s="52"/>
      <c r="E6738" s="115"/>
      <c r="F6738" s="58"/>
      <c r="G6738" s="58"/>
      <c r="H6738" s="58"/>
      <c r="I6738" s="55"/>
      <c r="J6738" s="113">
        <f>J6737</f>
        <v>1</v>
      </c>
      <c r="K6738" s="212">
        <f>K6737</f>
        <v>1</v>
      </c>
      <c r="L6738" s="58"/>
      <c r="M6738" s="58">
        <f>K6738-L6738</f>
        <v>1</v>
      </c>
      <c r="N6738" s="166"/>
      <c r="O6738" s="58"/>
      <c r="P6738" s="58"/>
      <c r="Q6738" s="58"/>
      <c r="R6738" s="58"/>
      <c r="S6738" s="58"/>
      <c r="T6738" s="220"/>
      <c r="U6738" s="88"/>
      <c r="V6738" s="56"/>
      <c r="W6738" s="57" t="s">
        <v>642</v>
      </c>
      <c r="X6738" s="53"/>
      <c r="Y6738" s="91" t="s">
        <v>1349</v>
      </c>
      <c r="Z6738" s="136">
        <f>AD6738/AC6738</f>
        <v>21972.5</v>
      </c>
      <c r="AA6738" s="58"/>
      <c r="AB6738" s="53">
        <f>AD6738/AC6738</f>
        <v>21972.5</v>
      </c>
      <c r="AC6738" s="53">
        <f>M6738+$AE$10</f>
        <v>1</v>
      </c>
      <c r="AD6738" s="54">
        <f>SUM(AD6739)</f>
        <v>21972.5</v>
      </c>
      <c r="AE6738" s="184">
        <f>SUMIFS($AD$37:$AD$12971,$V$37:$V$12971,$V6738,$X$37:$X$12971,AE$13)</f>
        <v>0</v>
      </c>
      <c r="AF6738" s="185">
        <f>SUMIFS($AD$37:$AD$12971,$V$37:$V$12971,$V6738,$X$37:$X$12971,AF$13)</f>
        <v>0</v>
      </c>
      <c r="AG6738" s="185">
        <f>SUMIFS($AD$37:$AD$12971,$V$37:$V$12971,$V6738,$X$37:$X$12971,AG$13)</f>
        <v>0</v>
      </c>
      <c r="AH6738" s="187">
        <f>SUMIFS($AD$37:$AD$12971,$V$37:$V$12971,$V6738,$X$37:$X$12971,AH$13)</f>
        <v>0</v>
      </c>
      <c r="AI6738" s="161">
        <f t="shared" ref="AI6738" si="4795">SUM(AE6738:AH6738)</f>
        <v>0</v>
      </c>
      <c r="AK6738" s="172"/>
    </row>
    <row r="6739" spans="1:41" s="102" customFormat="1" ht="19.899999999999999" customHeight="1" x14ac:dyDescent="0.25">
      <c r="A6739" s="45"/>
      <c r="B6739" s="59"/>
      <c r="C6739" s="137"/>
      <c r="D6739" s="59"/>
      <c r="E6739" s="116"/>
      <c r="F6739" s="120"/>
      <c r="G6739" s="120"/>
      <c r="H6739" s="120"/>
      <c r="I6739" s="60"/>
      <c r="J6739" s="116"/>
      <c r="K6739" s="213"/>
      <c r="L6739" s="120"/>
      <c r="M6739" s="120"/>
      <c r="N6739" s="167"/>
      <c r="O6739" s="120"/>
      <c r="P6739" s="120"/>
      <c r="Q6739" s="120"/>
      <c r="R6739" s="120"/>
      <c r="S6739" s="120"/>
      <c r="T6739" s="221"/>
      <c r="U6739" s="89"/>
      <c r="V6739" s="61"/>
      <c r="W6739" s="92" t="s">
        <v>1587</v>
      </c>
      <c r="X6739" s="93" t="s">
        <v>32</v>
      </c>
      <c r="Y6739" s="93" t="s">
        <v>1349</v>
      </c>
      <c r="Z6739" s="134">
        <f>VLOOKUP(W6739,Sheet2!$B:$D,3,FALSE)</f>
        <v>21972.5</v>
      </c>
      <c r="AA6739" s="93">
        <v>1</v>
      </c>
      <c r="AB6739" s="93">
        <f>AD6739/AC6738</f>
        <v>21972.5</v>
      </c>
      <c r="AC6739" s="93">
        <f>AC6738/AA6739</f>
        <v>1</v>
      </c>
      <c r="AD6739" s="94">
        <f t="shared" ref="AD6739" si="4796">AC6739*Z6739</f>
        <v>21972.5</v>
      </c>
      <c r="AE6739" s="190"/>
      <c r="AF6739" s="191"/>
      <c r="AG6739" s="191"/>
      <c r="AH6739" s="191"/>
      <c r="AI6739" s="186"/>
      <c r="AK6739" s="171"/>
    </row>
    <row r="6740" spans="1:41" s="102" customFormat="1" ht="20.100000000000001" customHeight="1" x14ac:dyDescent="0.25">
      <c r="A6740" s="45" t="s">
        <v>491</v>
      </c>
      <c r="B6740" s="276"/>
      <c r="C6740" s="285" t="s">
        <v>643</v>
      </c>
      <c r="D6740" s="59"/>
      <c r="E6740" s="116"/>
      <c r="F6740" s="120"/>
      <c r="G6740" s="120">
        <f t="shared" si="4575"/>
        <v>0</v>
      </c>
      <c r="H6740" s="120">
        <f t="shared" si="4576"/>
        <v>0</v>
      </c>
      <c r="I6740" s="60">
        <f t="shared" si="4577"/>
        <v>0</v>
      </c>
      <c r="J6740" s="116">
        <f t="shared" si="4578"/>
        <v>0</v>
      </c>
      <c r="K6740" s="213">
        <f t="shared" si="4579"/>
        <v>0</v>
      </c>
      <c r="L6740" s="120"/>
      <c r="M6740" s="120">
        <f t="shared" si="4580"/>
        <v>0</v>
      </c>
      <c r="N6740" s="167">
        <f t="shared" si="4581"/>
        <v>0</v>
      </c>
      <c r="O6740" s="120">
        <f t="shared" si="4582"/>
        <v>0</v>
      </c>
      <c r="P6740" s="120">
        <f t="shared" si="4583"/>
        <v>0</v>
      </c>
      <c r="Q6740" s="120">
        <f t="shared" si="4584"/>
        <v>0</v>
      </c>
      <c r="R6740" s="120">
        <f t="shared" si="4585"/>
        <v>0</v>
      </c>
      <c r="S6740" s="120"/>
      <c r="T6740" s="221">
        <f t="shared" si="4586"/>
        <v>0</v>
      </c>
      <c r="U6740" s="89"/>
      <c r="V6740" s="61"/>
      <c r="W6740" s="92"/>
      <c r="X6740" s="38"/>
      <c r="Y6740" s="93"/>
      <c r="Z6740" s="134"/>
      <c r="AA6740" s="93"/>
      <c r="AB6740" s="93"/>
      <c r="AC6740" s="93"/>
      <c r="AD6740" s="94"/>
      <c r="AE6740" s="190"/>
      <c r="AF6740" s="191"/>
      <c r="AG6740" s="191"/>
      <c r="AH6740" s="191"/>
      <c r="AI6740" s="186"/>
      <c r="AK6740" s="171"/>
    </row>
    <row r="6741" spans="1:41" ht="38.25" x14ac:dyDescent="0.25">
      <c r="A6741" s="277" t="s">
        <v>491</v>
      </c>
      <c r="B6741" s="278"/>
      <c r="C6741" s="64" t="s">
        <v>1584</v>
      </c>
      <c r="D6741" s="46" t="s">
        <v>215</v>
      </c>
      <c r="E6741" s="114">
        <v>0.85</v>
      </c>
      <c r="F6741" s="44">
        <v>1388390</v>
      </c>
      <c r="G6741" s="44">
        <f t="shared" si="4575"/>
        <v>1180131.5</v>
      </c>
      <c r="H6741" s="44">
        <f t="shared" si="4576"/>
        <v>345270</v>
      </c>
      <c r="I6741" s="43">
        <f t="shared" si="4577"/>
        <v>293479.5</v>
      </c>
      <c r="J6741" s="112">
        <f t="shared" si="4578"/>
        <v>0.85</v>
      </c>
      <c r="K6741" s="211">
        <f t="shared" si="4579"/>
        <v>0.85</v>
      </c>
      <c r="L6741" s="44"/>
      <c r="M6741" s="44">
        <f t="shared" si="4580"/>
        <v>0.85</v>
      </c>
      <c r="N6741" s="173">
        <f t="shared" si="4581"/>
        <v>1</v>
      </c>
      <c r="O6741" s="44">
        <f t="shared" si="4582"/>
        <v>1388390</v>
      </c>
      <c r="P6741" s="44">
        <f t="shared" si="4583"/>
        <v>1180131.5</v>
      </c>
      <c r="Q6741" s="44">
        <f t="shared" si="4584"/>
        <v>345270</v>
      </c>
      <c r="R6741" s="44">
        <f t="shared" si="4585"/>
        <v>293479.5</v>
      </c>
      <c r="S6741" s="123"/>
      <c r="T6741" s="219">
        <f t="shared" si="4586"/>
        <v>293479.5</v>
      </c>
      <c r="U6741" s="87"/>
      <c r="V6741" s="47"/>
      <c r="W6741" s="48"/>
      <c r="X6741" s="48"/>
      <c r="Y6741" s="48"/>
      <c r="Z6741" s="135"/>
      <c r="AA6741" s="49"/>
      <c r="AB6741" s="50">
        <f t="shared" si="4587"/>
        <v>345270</v>
      </c>
      <c r="AC6741" s="42">
        <f t="shared" si="4588"/>
        <v>0.85</v>
      </c>
      <c r="AD6741" s="90">
        <f>AD6742</f>
        <v>293479.5</v>
      </c>
      <c r="AE6741" s="188">
        <f t="shared" ref="AE6741" si="4797">AE6742</f>
        <v>0</v>
      </c>
      <c r="AF6741" s="189">
        <f t="shared" ref="AF6741" si="4798">AF6742</f>
        <v>0</v>
      </c>
      <c r="AG6741" s="189">
        <f t="shared" ref="AG6741" si="4799">AG6742</f>
        <v>0</v>
      </c>
      <c r="AH6741" s="189">
        <f t="shared" ref="AH6741" si="4800">AH6742</f>
        <v>0</v>
      </c>
      <c r="AI6741" s="161">
        <f t="shared" ref="AI6741" si="4801">SUM(AE6741:AH6741)</f>
        <v>0</v>
      </c>
      <c r="AK6741" s="169">
        <v>5</v>
      </c>
      <c r="AO6741" s="19" t="s">
        <v>63</v>
      </c>
    </row>
    <row r="6742" spans="1:41" s="103" customFormat="1" ht="19.899999999999999" customHeight="1" x14ac:dyDescent="0.25">
      <c r="A6742" s="51"/>
      <c r="B6742" s="52"/>
      <c r="C6742" s="165"/>
      <c r="D6742" s="52"/>
      <c r="E6742" s="115"/>
      <c r="F6742" s="58"/>
      <c r="G6742" s="58"/>
      <c r="H6742" s="58"/>
      <c r="I6742" s="55"/>
      <c r="J6742" s="113">
        <f>J6741</f>
        <v>0.85</v>
      </c>
      <c r="K6742" s="212">
        <f>K6741</f>
        <v>0.85</v>
      </c>
      <c r="L6742" s="58"/>
      <c r="M6742" s="58">
        <f>K6742-L6742</f>
        <v>0.85</v>
      </c>
      <c r="N6742" s="166"/>
      <c r="O6742" s="58"/>
      <c r="P6742" s="58"/>
      <c r="Q6742" s="58"/>
      <c r="R6742" s="58"/>
      <c r="S6742" s="58"/>
      <c r="T6742" s="220"/>
      <c r="U6742" s="88"/>
      <c r="V6742" s="56"/>
      <c r="W6742" s="57" t="s">
        <v>1582</v>
      </c>
      <c r="X6742" s="53"/>
      <c r="Y6742" s="91" t="s">
        <v>1349</v>
      </c>
      <c r="Z6742" s="136">
        <f>AD6742/AC6742</f>
        <v>345270</v>
      </c>
      <c r="AA6742" s="58"/>
      <c r="AB6742" s="53">
        <f>AD6742/AC6742</f>
        <v>345270</v>
      </c>
      <c r="AC6742" s="53">
        <f>M6742+$AE$10</f>
        <v>0.85</v>
      </c>
      <c r="AD6742" s="54">
        <f>SUM(AD6743)</f>
        <v>293479.5</v>
      </c>
      <c r="AE6742" s="184">
        <f>SUMIFS($AD$37:$AD$12971,$V$37:$V$12971,$V6742,$X$37:$X$12971,AE$13)</f>
        <v>0</v>
      </c>
      <c r="AF6742" s="185">
        <f>SUMIFS($AD$37:$AD$12971,$V$37:$V$12971,$V6742,$X$37:$X$12971,AF$13)</f>
        <v>0</v>
      </c>
      <c r="AG6742" s="185">
        <f>SUMIFS($AD$37:$AD$12971,$V$37:$V$12971,$V6742,$X$37:$X$12971,AG$13)</f>
        <v>0</v>
      </c>
      <c r="AH6742" s="187">
        <f>SUMIFS($AD$37:$AD$12971,$V$37:$V$12971,$V6742,$X$37:$X$12971,AH$13)</f>
        <v>0</v>
      </c>
      <c r="AI6742" s="161">
        <f t="shared" ref="AI6742" si="4802">SUM(AE6742:AH6742)</f>
        <v>0</v>
      </c>
      <c r="AK6742" s="172"/>
    </row>
    <row r="6743" spans="1:41" s="102" customFormat="1" ht="19.899999999999999" customHeight="1" x14ac:dyDescent="0.25">
      <c r="A6743" s="45"/>
      <c r="B6743" s="59"/>
      <c r="C6743" s="137"/>
      <c r="D6743" s="59"/>
      <c r="E6743" s="116"/>
      <c r="F6743" s="120"/>
      <c r="G6743" s="120"/>
      <c r="H6743" s="120"/>
      <c r="I6743" s="60"/>
      <c r="J6743" s="116"/>
      <c r="K6743" s="213"/>
      <c r="L6743" s="120"/>
      <c r="M6743" s="120"/>
      <c r="N6743" s="167"/>
      <c r="O6743" s="120"/>
      <c r="P6743" s="120"/>
      <c r="Q6743" s="120"/>
      <c r="R6743" s="120"/>
      <c r="S6743" s="120"/>
      <c r="T6743" s="221"/>
      <c r="U6743" s="89"/>
      <c r="V6743" s="61"/>
      <c r="W6743" s="92" t="s">
        <v>1582</v>
      </c>
      <c r="X6743" s="93" t="s">
        <v>32</v>
      </c>
      <c r="Y6743" s="93" t="s">
        <v>1349</v>
      </c>
      <c r="Z6743" s="134">
        <f>VLOOKUP(W6743,Sheet2!$B:$D,3,FALSE)</f>
        <v>345270</v>
      </c>
      <c r="AA6743" s="93">
        <v>1</v>
      </c>
      <c r="AB6743" s="93">
        <f>AD6743/AC6742</f>
        <v>345270</v>
      </c>
      <c r="AC6743" s="93">
        <f>AC6742/AA6743</f>
        <v>0.85</v>
      </c>
      <c r="AD6743" s="94">
        <f t="shared" ref="AD6743" si="4803">AC6743*Z6743</f>
        <v>293479.5</v>
      </c>
      <c r="AE6743" s="190"/>
      <c r="AF6743" s="191"/>
      <c r="AG6743" s="191"/>
      <c r="AH6743" s="191"/>
      <c r="AI6743" s="186"/>
      <c r="AK6743" s="171"/>
    </row>
    <row r="6744" spans="1:41" s="102" customFormat="1" ht="20.100000000000001" customHeight="1" x14ac:dyDescent="0.25">
      <c r="A6744" s="45" t="s">
        <v>491</v>
      </c>
      <c r="B6744" s="276"/>
      <c r="C6744" s="285" t="s">
        <v>700</v>
      </c>
      <c r="D6744" s="59"/>
      <c r="E6744" s="116"/>
      <c r="F6744" s="120"/>
      <c r="G6744" s="120">
        <f t="shared" si="4575"/>
        <v>0</v>
      </c>
      <c r="H6744" s="120">
        <f t="shared" si="4576"/>
        <v>0</v>
      </c>
      <c r="I6744" s="60">
        <f t="shared" si="4577"/>
        <v>0</v>
      </c>
      <c r="J6744" s="116">
        <f t="shared" si="4578"/>
        <v>0</v>
      </c>
      <c r="K6744" s="213">
        <f t="shared" si="4579"/>
        <v>0</v>
      </c>
      <c r="L6744" s="120"/>
      <c r="M6744" s="120">
        <f t="shared" si="4580"/>
        <v>0</v>
      </c>
      <c r="N6744" s="167">
        <f t="shared" si="4581"/>
        <v>0</v>
      </c>
      <c r="O6744" s="120">
        <f t="shared" si="4582"/>
        <v>0</v>
      </c>
      <c r="P6744" s="120">
        <f t="shared" si="4583"/>
        <v>0</v>
      </c>
      <c r="Q6744" s="120">
        <f t="shared" si="4584"/>
        <v>0</v>
      </c>
      <c r="R6744" s="120">
        <f t="shared" si="4585"/>
        <v>0</v>
      </c>
      <c r="S6744" s="120"/>
      <c r="T6744" s="221">
        <f t="shared" si="4586"/>
        <v>0</v>
      </c>
      <c r="U6744" s="89"/>
      <c r="V6744" s="61"/>
      <c r="W6744" s="92"/>
      <c r="X6744" s="38"/>
      <c r="Y6744" s="93"/>
      <c r="Z6744" s="134"/>
      <c r="AA6744" s="93"/>
      <c r="AB6744" s="93"/>
      <c r="AC6744" s="93"/>
      <c r="AD6744" s="94"/>
      <c r="AE6744" s="190"/>
      <c r="AF6744" s="191"/>
      <c r="AG6744" s="191"/>
      <c r="AH6744" s="191"/>
      <c r="AI6744" s="186"/>
      <c r="AK6744" s="171"/>
    </row>
    <row r="6745" spans="1:41" s="102" customFormat="1" ht="20.100000000000001" customHeight="1" x14ac:dyDescent="0.25">
      <c r="A6745" s="45" t="s">
        <v>491</v>
      </c>
      <c r="B6745" s="276"/>
      <c r="C6745" s="285" t="s">
        <v>646</v>
      </c>
      <c r="D6745" s="59"/>
      <c r="E6745" s="116"/>
      <c r="F6745" s="120"/>
      <c r="G6745" s="120">
        <f t="shared" si="4575"/>
        <v>0</v>
      </c>
      <c r="H6745" s="120">
        <f t="shared" si="4576"/>
        <v>0</v>
      </c>
      <c r="I6745" s="60">
        <f t="shared" si="4577"/>
        <v>0</v>
      </c>
      <c r="J6745" s="116">
        <f t="shared" si="4578"/>
        <v>0</v>
      </c>
      <c r="K6745" s="213">
        <f t="shared" si="4579"/>
        <v>0</v>
      </c>
      <c r="L6745" s="120"/>
      <c r="M6745" s="120">
        <f t="shared" si="4580"/>
        <v>0</v>
      </c>
      <c r="N6745" s="167">
        <f t="shared" si="4581"/>
        <v>0</v>
      </c>
      <c r="O6745" s="120">
        <f t="shared" si="4582"/>
        <v>0</v>
      </c>
      <c r="P6745" s="120">
        <f t="shared" si="4583"/>
        <v>0</v>
      </c>
      <c r="Q6745" s="120">
        <f t="shared" si="4584"/>
        <v>0</v>
      </c>
      <c r="R6745" s="120">
        <f t="shared" si="4585"/>
        <v>0</v>
      </c>
      <c r="S6745" s="120"/>
      <c r="T6745" s="221">
        <f t="shared" si="4586"/>
        <v>0</v>
      </c>
      <c r="U6745" s="89"/>
      <c r="V6745" s="61"/>
      <c r="W6745" s="92"/>
      <c r="X6745" s="38"/>
      <c r="Y6745" s="93"/>
      <c r="Z6745" s="134"/>
      <c r="AA6745" s="93"/>
      <c r="AB6745" s="93"/>
      <c r="AC6745" s="93"/>
      <c r="AD6745" s="94"/>
      <c r="AE6745" s="190"/>
      <c r="AF6745" s="191"/>
      <c r="AG6745" s="191"/>
      <c r="AH6745" s="191"/>
      <c r="AI6745" s="186"/>
      <c r="AK6745" s="171"/>
    </row>
    <row r="6746" spans="1:41" s="102" customFormat="1" ht="135.75" customHeight="1" x14ac:dyDescent="0.25">
      <c r="A6746" s="45" t="s">
        <v>491</v>
      </c>
      <c r="B6746" s="276"/>
      <c r="C6746" s="285" t="s">
        <v>647</v>
      </c>
      <c r="D6746" s="59"/>
      <c r="E6746" s="116"/>
      <c r="F6746" s="120"/>
      <c r="G6746" s="120">
        <f t="shared" si="4575"/>
        <v>0</v>
      </c>
      <c r="H6746" s="120">
        <f t="shared" si="4576"/>
        <v>0</v>
      </c>
      <c r="I6746" s="60">
        <f t="shared" si="4577"/>
        <v>0</v>
      </c>
      <c r="J6746" s="116">
        <f t="shared" si="4578"/>
        <v>0</v>
      </c>
      <c r="K6746" s="213">
        <f t="shared" si="4579"/>
        <v>0</v>
      </c>
      <c r="L6746" s="120"/>
      <c r="M6746" s="120">
        <f t="shared" si="4580"/>
        <v>0</v>
      </c>
      <c r="N6746" s="167">
        <f t="shared" si="4581"/>
        <v>0</v>
      </c>
      <c r="O6746" s="120">
        <f t="shared" si="4582"/>
        <v>0</v>
      </c>
      <c r="P6746" s="120">
        <f t="shared" si="4583"/>
        <v>0</v>
      </c>
      <c r="Q6746" s="120">
        <f t="shared" si="4584"/>
        <v>0</v>
      </c>
      <c r="R6746" s="120">
        <f t="shared" si="4585"/>
        <v>0</v>
      </c>
      <c r="S6746" s="120"/>
      <c r="T6746" s="221">
        <f t="shared" si="4586"/>
        <v>0</v>
      </c>
      <c r="U6746" s="89"/>
      <c r="V6746" s="61"/>
      <c r="W6746" s="92"/>
      <c r="X6746" s="38"/>
      <c r="Y6746" s="93"/>
      <c r="Z6746" s="134"/>
      <c r="AA6746" s="93"/>
      <c r="AB6746" s="93"/>
      <c r="AC6746" s="93"/>
      <c r="AD6746" s="94"/>
      <c r="AE6746" s="190"/>
      <c r="AF6746" s="191"/>
      <c r="AG6746" s="191"/>
      <c r="AH6746" s="191"/>
      <c r="AI6746" s="186"/>
      <c r="AK6746" s="171"/>
    </row>
    <row r="6747" spans="1:41" ht="33" customHeight="1" x14ac:dyDescent="0.25">
      <c r="A6747" s="277" t="s">
        <v>491</v>
      </c>
      <c r="B6747" s="278"/>
      <c r="C6747" s="64" t="s">
        <v>701</v>
      </c>
      <c r="D6747" s="46" t="s">
        <v>186</v>
      </c>
      <c r="E6747" s="114">
        <v>0.51</v>
      </c>
      <c r="F6747" s="44">
        <v>416036</v>
      </c>
      <c r="G6747" s="44">
        <f t="shared" si="4575"/>
        <v>212178.36000000002</v>
      </c>
      <c r="H6747" s="44">
        <f t="shared" si="4576"/>
        <v>272802.63050000003</v>
      </c>
      <c r="I6747" s="43">
        <f t="shared" si="4577"/>
        <v>139129.34155500002</v>
      </c>
      <c r="J6747" s="112">
        <f t="shared" si="4578"/>
        <v>0.51</v>
      </c>
      <c r="K6747" s="211">
        <f t="shared" si="4579"/>
        <v>0.51</v>
      </c>
      <c r="L6747" s="44"/>
      <c r="M6747" s="44">
        <f t="shared" si="4580"/>
        <v>0.51</v>
      </c>
      <c r="N6747" s="173">
        <f t="shared" si="4581"/>
        <v>1</v>
      </c>
      <c r="O6747" s="44">
        <f t="shared" si="4582"/>
        <v>416036</v>
      </c>
      <c r="P6747" s="44">
        <f t="shared" si="4583"/>
        <v>212178.36000000002</v>
      </c>
      <c r="Q6747" s="44">
        <f t="shared" si="4584"/>
        <v>272802.63050000003</v>
      </c>
      <c r="R6747" s="44">
        <f t="shared" si="4585"/>
        <v>139129.34155500002</v>
      </c>
      <c r="S6747" s="123"/>
      <c r="T6747" s="219">
        <f t="shared" si="4586"/>
        <v>139129.34155500002</v>
      </c>
      <c r="U6747" s="87"/>
      <c r="V6747" s="47"/>
      <c r="W6747" s="48"/>
      <c r="X6747" s="48"/>
      <c r="Y6747" s="48"/>
      <c r="Z6747" s="135"/>
      <c r="AA6747" s="49"/>
      <c r="AB6747" s="50">
        <f t="shared" si="4587"/>
        <v>272802.63050000003</v>
      </c>
      <c r="AC6747" s="42">
        <f t="shared" si="4588"/>
        <v>0.51</v>
      </c>
      <c r="AD6747" s="90">
        <f>AD6748</f>
        <v>139129.34155500002</v>
      </c>
      <c r="AE6747" s="188">
        <f t="shared" ref="AE6747" si="4804">AE6748</f>
        <v>0</v>
      </c>
      <c r="AF6747" s="189">
        <f t="shared" ref="AF6747" si="4805">AF6748</f>
        <v>0</v>
      </c>
      <c r="AG6747" s="189">
        <f t="shared" ref="AG6747" si="4806">AG6748</f>
        <v>0</v>
      </c>
      <c r="AH6747" s="189">
        <f t="shared" ref="AH6747" si="4807">AH6748</f>
        <v>0</v>
      </c>
      <c r="AI6747" s="161">
        <f t="shared" ref="AI6747" si="4808">SUM(AE6747:AH6747)</f>
        <v>0</v>
      </c>
      <c r="AK6747" s="169">
        <v>5</v>
      </c>
      <c r="AO6747" s="19" t="s">
        <v>63</v>
      </c>
    </row>
    <row r="6748" spans="1:41" s="103" customFormat="1" ht="19.899999999999999" customHeight="1" x14ac:dyDescent="0.25">
      <c r="A6748" s="51"/>
      <c r="B6748" s="52"/>
      <c r="C6748" s="165"/>
      <c r="D6748" s="52"/>
      <c r="E6748" s="115"/>
      <c r="F6748" s="58"/>
      <c r="G6748" s="58"/>
      <c r="H6748" s="58"/>
      <c r="I6748" s="55"/>
      <c r="J6748" s="113">
        <f>J6747</f>
        <v>0.51</v>
      </c>
      <c r="K6748" s="212">
        <f>K6747</f>
        <v>0.51</v>
      </c>
      <c r="L6748" s="58"/>
      <c r="M6748" s="58">
        <f>K6748-L6748</f>
        <v>0.51</v>
      </c>
      <c r="N6748" s="166"/>
      <c r="O6748" s="58"/>
      <c r="P6748" s="58"/>
      <c r="Q6748" s="58"/>
      <c r="R6748" s="58"/>
      <c r="S6748" s="58"/>
      <c r="T6748" s="220"/>
      <c r="U6748" s="88"/>
      <c r="V6748" s="56"/>
      <c r="W6748" s="57" t="s">
        <v>1628</v>
      </c>
      <c r="X6748" s="53"/>
      <c r="Y6748" s="91" t="s">
        <v>1349</v>
      </c>
      <c r="Z6748" s="136">
        <f>AD6748/AC6748</f>
        <v>272802.63050000003</v>
      </c>
      <c r="AA6748" s="58"/>
      <c r="AB6748" s="53">
        <f>AD6748/AC6748</f>
        <v>272802.63050000003</v>
      </c>
      <c r="AC6748" s="53">
        <f>M6748+$AE$10</f>
        <v>0.51</v>
      </c>
      <c r="AD6748" s="54">
        <f>SUM(AD6749)</f>
        <v>139129.34155500002</v>
      </c>
      <c r="AE6748" s="184">
        <f>SUMIFS($AD$37:$AD$12971,$V$37:$V$12971,$V6748,$X$37:$X$12971,AE$13)</f>
        <v>0</v>
      </c>
      <c r="AF6748" s="185">
        <f>SUMIFS($AD$37:$AD$12971,$V$37:$V$12971,$V6748,$X$37:$X$12971,AF$13)</f>
        <v>0</v>
      </c>
      <c r="AG6748" s="185">
        <f>SUMIFS($AD$37:$AD$12971,$V$37:$V$12971,$V6748,$X$37:$X$12971,AG$13)</f>
        <v>0</v>
      </c>
      <c r="AH6748" s="187">
        <f>SUMIFS($AD$37:$AD$12971,$V$37:$V$12971,$V6748,$X$37:$X$12971,AH$13)</f>
        <v>0</v>
      </c>
      <c r="AI6748" s="161">
        <f t="shared" ref="AI6748" si="4809">SUM(AE6748:AH6748)</f>
        <v>0</v>
      </c>
      <c r="AK6748" s="172"/>
    </row>
    <row r="6749" spans="1:41" s="102" customFormat="1" ht="19.899999999999999" customHeight="1" x14ac:dyDescent="0.25">
      <c r="A6749" s="45"/>
      <c r="B6749" s="59"/>
      <c r="C6749" s="137"/>
      <c r="D6749" s="59"/>
      <c r="E6749" s="116"/>
      <c r="F6749" s="120"/>
      <c r="G6749" s="120"/>
      <c r="H6749" s="120"/>
      <c r="I6749" s="60"/>
      <c r="J6749" s="116"/>
      <c r="K6749" s="213"/>
      <c r="L6749" s="120"/>
      <c r="M6749" s="120"/>
      <c r="N6749" s="167"/>
      <c r="O6749" s="120"/>
      <c r="P6749" s="120"/>
      <c r="Q6749" s="120"/>
      <c r="R6749" s="120"/>
      <c r="S6749" s="120"/>
      <c r="T6749" s="221"/>
      <c r="U6749" s="89"/>
      <c r="V6749" s="61"/>
      <c r="W6749" s="92" t="s">
        <v>1628</v>
      </c>
      <c r="X6749" s="93" t="s">
        <v>32</v>
      </c>
      <c r="Y6749" s="93" t="s">
        <v>1349</v>
      </c>
      <c r="Z6749" s="134">
        <f>VLOOKUP(W6749,Sheet2!$B:$D,3,FALSE)</f>
        <v>272802.63050000003</v>
      </c>
      <c r="AA6749" s="93">
        <v>1</v>
      </c>
      <c r="AB6749" s="93">
        <f>AD6749/AC6748</f>
        <v>272802.63050000003</v>
      </c>
      <c r="AC6749" s="93">
        <f>AC6748/AA6749</f>
        <v>0.51</v>
      </c>
      <c r="AD6749" s="94">
        <f t="shared" ref="AD6749" si="4810">AC6749*Z6749</f>
        <v>139129.34155500002</v>
      </c>
      <c r="AE6749" s="190"/>
      <c r="AF6749" s="191"/>
      <c r="AG6749" s="191"/>
      <c r="AH6749" s="191"/>
      <c r="AI6749" s="186"/>
      <c r="AK6749" s="171"/>
    </row>
    <row r="6750" spans="1:41" ht="20.100000000000001" customHeight="1" x14ac:dyDescent="0.25">
      <c r="A6750" s="277" t="s">
        <v>491</v>
      </c>
      <c r="B6750" s="278"/>
      <c r="C6750" s="64" t="s">
        <v>650</v>
      </c>
      <c r="D6750" s="46"/>
      <c r="E6750" s="114"/>
      <c r="F6750" s="44"/>
      <c r="G6750" s="44">
        <f t="shared" si="4575"/>
        <v>0</v>
      </c>
      <c r="H6750" s="44">
        <f t="shared" si="4576"/>
        <v>0</v>
      </c>
      <c r="I6750" s="43">
        <f t="shared" si="4577"/>
        <v>0</v>
      </c>
      <c r="J6750" s="112">
        <f t="shared" si="4578"/>
        <v>0</v>
      </c>
      <c r="K6750" s="211">
        <f t="shared" si="4579"/>
        <v>0</v>
      </c>
      <c r="L6750" s="44"/>
      <c r="M6750" s="44">
        <f t="shared" si="4580"/>
        <v>0</v>
      </c>
      <c r="N6750" s="173">
        <f t="shared" si="4581"/>
        <v>0</v>
      </c>
      <c r="O6750" s="44">
        <f t="shared" si="4582"/>
        <v>0</v>
      </c>
      <c r="P6750" s="44">
        <f t="shared" si="4583"/>
        <v>0</v>
      </c>
      <c r="Q6750" s="44">
        <f t="shared" si="4584"/>
        <v>0</v>
      </c>
      <c r="R6750" s="44">
        <f t="shared" si="4585"/>
        <v>0</v>
      </c>
      <c r="S6750" s="123"/>
      <c r="T6750" s="219">
        <f t="shared" si="4586"/>
        <v>0</v>
      </c>
      <c r="U6750" s="87"/>
      <c r="V6750" s="47"/>
      <c r="W6750" s="48"/>
      <c r="X6750" s="48"/>
      <c r="Y6750" s="48"/>
      <c r="Z6750" s="135"/>
      <c r="AA6750" s="49"/>
      <c r="AB6750" s="50">
        <f t="shared" si="4587"/>
        <v>0</v>
      </c>
      <c r="AC6750" s="42">
        <f t="shared" si="4588"/>
        <v>9.9999999999999998E-20</v>
      </c>
      <c r="AD6750" s="90"/>
      <c r="AE6750" s="188"/>
      <c r="AF6750" s="189"/>
      <c r="AG6750" s="189"/>
      <c r="AH6750" s="189"/>
      <c r="AI6750" s="161"/>
    </row>
    <row r="6751" spans="1:41" ht="20.100000000000001" customHeight="1" x14ac:dyDescent="0.25">
      <c r="A6751" s="277" t="s">
        <v>491</v>
      </c>
      <c r="B6751" s="278"/>
      <c r="C6751" s="64" t="s">
        <v>651</v>
      </c>
      <c r="D6751" s="46" t="s">
        <v>186</v>
      </c>
      <c r="E6751" s="114">
        <v>0.51</v>
      </c>
      <c r="F6751" s="44">
        <v>399671</v>
      </c>
      <c r="G6751" s="44">
        <f t="shared" si="4575"/>
        <v>203832.21</v>
      </c>
      <c r="H6751" s="44">
        <f t="shared" si="4576"/>
        <v>214682.1915666667</v>
      </c>
      <c r="I6751" s="43">
        <f t="shared" si="4577"/>
        <v>109487.91769900003</v>
      </c>
      <c r="J6751" s="112">
        <f t="shared" si="4578"/>
        <v>0.51</v>
      </c>
      <c r="K6751" s="211">
        <f t="shared" si="4579"/>
        <v>0.51</v>
      </c>
      <c r="L6751" s="44"/>
      <c r="M6751" s="44">
        <f t="shared" si="4580"/>
        <v>0.51</v>
      </c>
      <c r="N6751" s="173">
        <f t="shared" si="4581"/>
        <v>1</v>
      </c>
      <c r="O6751" s="44">
        <f t="shared" si="4582"/>
        <v>399671</v>
      </c>
      <c r="P6751" s="44">
        <f t="shared" si="4583"/>
        <v>203832.21</v>
      </c>
      <c r="Q6751" s="44">
        <f t="shared" si="4584"/>
        <v>214682.1915666667</v>
      </c>
      <c r="R6751" s="44">
        <f t="shared" si="4585"/>
        <v>109487.91769900003</v>
      </c>
      <c r="S6751" s="123"/>
      <c r="T6751" s="219">
        <f t="shared" si="4586"/>
        <v>109487.91769900003</v>
      </c>
      <c r="U6751" s="87"/>
      <c r="V6751" s="47"/>
      <c r="W6751" s="48"/>
      <c r="X6751" s="48"/>
      <c r="Y6751" s="48"/>
      <c r="Z6751" s="135"/>
      <c r="AA6751" s="49"/>
      <c r="AB6751" s="50">
        <f t="shared" si="4587"/>
        <v>214682.1915666667</v>
      </c>
      <c r="AC6751" s="42">
        <f t="shared" si="4588"/>
        <v>0.51</v>
      </c>
      <c r="AD6751" s="90">
        <f>AD6752</f>
        <v>109487.91769900003</v>
      </c>
      <c r="AE6751" s="188">
        <f t="shared" ref="AE6751" si="4811">AE6752</f>
        <v>0</v>
      </c>
      <c r="AF6751" s="189">
        <f t="shared" ref="AF6751" si="4812">AF6752</f>
        <v>0</v>
      </c>
      <c r="AG6751" s="189">
        <f t="shared" ref="AG6751" si="4813">AG6752</f>
        <v>0</v>
      </c>
      <c r="AH6751" s="189">
        <f t="shared" ref="AH6751" si="4814">AH6752</f>
        <v>0</v>
      </c>
      <c r="AI6751" s="161">
        <f t="shared" ref="AI6751" si="4815">SUM(AE6751:AH6751)</f>
        <v>0</v>
      </c>
      <c r="AK6751" s="169">
        <v>5</v>
      </c>
      <c r="AO6751" s="19" t="s">
        <v>63</v>
      </c>
    </row>
    <row r="6752" spans="1:41" s="103" customFormat="1" ht="19.899999999999999" customHeight="1" x14ac:dyDescent="0.25">
      <c r="A6752" s="51"/>
      <c r="B6752" s="52"/>
      <c r="C6752" s="165"/>
      <c r="D6752" s="52"/>
      <c r="E6752" s="115"/>
      <c r="F6752" s="58"/>
      <c r="G6752" s="58"/>
      <c r="H6752" s="58"/>
      <c r="I6752" s="55"/>
      <c r="J6752" s="113">
        <f>J6751</f>
        <v>0.51</v>
      </c>
      <c r="K6752" s="212">
        <f>K6751</f>
        <v>0.51</v>
      </c>
      <c r="L6752" s="58"/>
      <c r="M6752" s="58">
        <f>K6752-L6752</f>
        <v>0.51</v>
      </c>
      <c r="N6752" s="166"/>
      <c r="O6752" s="58"/>
      <c r="P6752" s="58"/>
      <c r="Q6752" s="58"/>
      <c r="R6752" s="58"/>
      <c r="S6752" s="58"/>
      <c r="T6752" s="220"/>
      <c r="U6752" s="88"/>
      <c r="V6752" s="56"/>
      <c r="W6752" s="57" t="s">
        <v>1588</v>
      </c>
      <c r="X6752" s="53"/>
      <c r="Y6752" s="91" t="s">
        <v>1349</v>
      </c>
      <c r="Z6752" s="136">
        <f>AD6752/AC6752</f>
        <v>214682.1915666667</v>
      </c>
      <c r="AA6752" s="58"/>
      <c r="AB6752" s="53">
        <f>AD6752/AC6752</f>
        <v>214682.1915666667</v>
      </c>
      <c r="AC6752" s="53">
        <f>M6752+$AE$10</f>
        <v>0.51</v>
      </c>
      <c r="AD6752" s="54">
        <f>SUM(AD6753)</f>
        <v>109487.91769900003</v>
      </c>
      <c r="AE6752" s="184">
        <f>SUMIFS($AD$37:$AD$12971,$V$37:$V$12971,$V6752,$X$37:$X$12971,AE$13)</f>
        <v>0</v>
      </c>
      <c r="AF6752" s="185">
        <f>SUMIFS($AD$37:$AD$12971,$V$37:$V$12971,$V6752,$X$37:$X$12971,AF$13)</f>
        <v>0</v>
      </c>
      <c r="AG6752" s="185">
        <f>SUMIFS($AD$37:$AD$12971,$V$37:$V$12971,$V6752,$X$37:$X$12971,AG$13)</f>
        <v>0</v>
      </c>
      <c r="AH6752" s="187">
        <f>SUMIFS($AD$37:$AD$12971,$V$37:$V$12971,$V6752,$X$37:$X$12971,AH$13)</f>
        <v>0</v>
      </c>
      <c r="AI6752" s="161">
        <f t="shared" ref="AI6752" si="4816">SUM(AE6752:AH6752)</f>
        <v>0</v>
      </c>
      <c r="AK6752" s="172"/>
    </row>
    <row r="6753" spans="1:41" s="102" customFormat="1" ht="19.899999999999999" customHeight="1" x14ac:dyDescent="0.25">
      <c r="A6753" s="45"/>
      <c r="B6753" s="59"/>
      <c r="C6753" s="137"/>
      <c r="D6753" s="59"/>
      <c r="E6753" s="116"/>
      <c r="F6753" s="120"/>
      <c r="G6753" s="120"/>
      <c r="H6753" s="120"/>
      <c r="I6753" s="60"/>
      <c r="J6753" s="116"/>
      <c r="K6753" s="213"/>
      <c r="L6753" s="120"/>
      <c r="M6753" s="120"/>
      <c r="N6753" s="167"/>
      <c r="O6753" s="120"/>
      <c r="P6753" s="120"/>
      <c r="Q6753" s="120"/>
      <c r="R6753" s="120"/>
      <c r="S6753" s="120"/>
      <c r="T6753" s="221"/>
      <c r="U6753" s="89"/>
      <c r="V6753" s="61"/>
      <c r="W6753" s="92" t="s">
        <v>651</v>
      </c>
      <c r="X6753" s="93" t="s">
        <v>32</v>
      </c>
      <c r="Y6753" s="93" t="s">
        <v>1349</v>
      </c>
      <c r="Z6753" s="134">
        <f>VLOOKUP(W6753,Sheet2!$B:$D,3,FALSE)</f>
        <v>214682.1915666667</v>
      </c>
      <c r="AA6753" s="93">
        <v>1</v>
      </c>
      <c r="AB6753" s="93">
        <f>AD6753/AC6752</f>
        <v>214682.1915666667</v>
      </c>
      <c r="AC6753" s="93">
        <f>AC6752/AA6753</f>
        <v>0.51</v>
      </c>
      <c r="AD6753" s="94">
        <f t="shared" ref="AD6753" si="4817">AC6753*Z6753</f>
        <v>109487.91769900003</v>
      </c>
      <c r="AE6753" s="190"/>
      <c r="AF6753" s="191"/>
      <c r="AG6753" s="191"/>
      <c r="AH6753" s="191"/>
      <c r="AI6753" s="186"/>
      <c r="AK6753" s="171"/>
    </row>
    <row r="6754" spans="1:41" ht="20.100000000000001" customHeight="1" x14ac:dyDescent="0.25">
      <c r="A6754" s="277" t="s">
        <v>491</v>
      </c>
      <c r="B6754" s="278"/>
      <c r="C6754" s="64" t="s">
        <v>652</v>
      </c>
      <c r="D6754" s="46" t="s">
        <v>186</v>
      </c>
      <c r="E6754" s="114">
        <v>0.51</v>
      </c>
      <c r="F6754" s="44">
        <v>236656</v>
      </c>
      <c r="G6754" s="44">
        <f t="shared" si="4575"/>
        <v>120694.56</v>
      </c>
      <c r="H6754" s="44">
        <f t="shared" si="4576"/>
        <v>104088.41149999997</v>
      </c>
      <c r="I6754" s="43">
        <f t="shared" si="4577"/>
        <v>53085.089864999987</v>
      </c>
      <c r="J6754" s="112">
        <f t="shared" si="4578"/>
        <v>0.51</v>
      </c>
      <c r="K6754" s="211">
        <f t="shared" si="4579"/>
        <v>0.51</v>
      </c>
      <c r="L6754" s="44"/>
      <c r="M6754" s="44">
        <f t="shared" si="4580"/>
        <v>0.51</v>
      </c>
      <c r="N6754" s="173">
        <f t="shared" si="4581"/>
        <v>1</v>
      </c>
      <c r="O6754" s="44">
        <f t="shared" si="4582"/>
        <v>236656</v>
      </c>
      <c r="P6754" s="44">
        <f t="shared" si="4583"/>
        <v>120694.56</v>
      </c>
      <c r="Q6754" s="44">
        <f t="shared" si="4584"/>
        <v>104088.41149999997</v>
      </c>
      <c r="R6754" s="44">
        <f t="shared" si="4585"/>
        <v>53085.089864999987</v>
      </c>
      <c r="S6754" s="123"/>
      <c r="T6754" s="219">
        <f t="shared" si="4586"/>
        <v>53085.089864999987</v>
      </c>
      <c r="U6754" s="87"/>
      <c r="V6754" s="47"/>
      <c r="W6754" s="48"/>
      <c r="X6754" s="48"/>
      <c r="Y6754" s="48"/>
      <c r="Z6754" s="135"/>
      <c r="AA6754" s="49"/>
      <c r="AB6754" s="50">
        <f t="shared" si="4587"/>
        <v>104088.41149999997</v>
      </c>
      <c r="AC6754" s="42">
        <f t="shared" si="4588"/>
        <v>0.51</v>
      </c>
      <c r="AD6754" s="90">
        <f>AD6755</f>
        <v>53085.089864999987</v>
      </c>
      <c r="AE6754" s="188">
        <f t="shared" ref="AE6754" si="4818">AE6755</f>
        <v>0</v>
      </c>
      <c r="AF6754" s="189">
        <f t="shared" ref="AF6754" si="4819">AF6755</f>
        <v>0</v>
      </c>
      <c r="AG6754" s="189">
        <f t="shared" ref="AG6754" si="4820">AG6755</f>
        <v>0</v>
      </c>
      <c r="AH6754" s="189">
        <f t="shared" ref="AH6754" si="4821">AH6755</f>
        <v>0</v>
      </c>
      <c r="AI6754" s="161">
        <f t="shared" ref="AI6754" si="4822">SUM(AE6754:AH6754)</f>
        <v>0</v>
      </c>
      <c r="AK6754" s="169">
        <v>5</v>
      </c>
      <c r="AO6754" s="19" t="s">
        <v>63</v>
      </c>
    </row>
    <row r="6755" spans="1:41" s="103" customFormat="1" ht="19.899999999999999" customHeight="1" x14ac:dyDescent="0.25">
      <c r="A6755" s="51"/>
      <c r="B6755" s="52"/>
      <c r="C6755" s="165"/>
      <c r="D6755" s="52"/>
      <c r="E6755" s="115"/>
      <c r="F6755" s="58"/>
      <c r="G6755" s="58"/>
      <c r="H6755" s="58"/>
      <c r="I6755" s="55"/>
      <c r="J6755" s="113">
        <f>J6754</f>
        <v>0.51</v>
      </c>
      <c r="K6755" s="212">
        <f>K6754</f>
        <v>0.51</v>
      </c>
      <c r="L6755" s="58"/>
      <c r="M6755" s="58">
        <f>K6755-L6755</f>
        <v>0.51</v>
      </c>
      <c r="N6755" s="166"/>
      <c r="O6755" s="58"/>
      <c r="P6755" s="58"/>
      <c r="Q6755" s="58"/>
      <c r="R6755" s="58"/>
      <c r="S6755" s="58"/>
      <c r="T6755" s="220"/>
      <c r="U6755" s="88"/>
      <c r="V6755" s="56"/>
      <c r="W6755" s="57" t="s">
        <v>1589</v>
      </c>
      <c r="X6755" s="53"/>
      <c r="Y6755" s="91" t="s">
        <v>1349</v>
      </c>
      <c r="Z6755" s="136">
        <f>AD6755/AC6755</f>
        <v>104088.41149999997</v>
      </c>
      <c r="AA6755" s="58"/>
      <c r="AB6755" s="53">
        <f>AD6755/AC6755</f>
        <v>104088.41149999997</v>
      </c>
      <c r="AC6755" s="53">
        <f>M6755+$AE$10</f>
        <v>0.51</v>
      </c>
      <c r="AD6755" s="54">
        <f>SUM(AD6756)</f>
        <v>53085.089864999987</v>
      </c>
      <c r="AE6755" s="184">
        <f>SUMIFS($AD$37:$AD$12971,$V$37:$V$12971,$V6755,$X$37:$X$12971,AE$13)</f>
        <v>0</v>
      </c>
      <c r="AF6755" s="185">
        <f>SUMIFS($AD$37:$AD$12971,$V$37:$V$12971,$V6755,$X$37:$X$12971,AF$13)</f>
        <v>0</v>
      </c>
      <c r="AG6755" s="185">
        <f>SUMIFS($AD$37:$AD$12971,$V$37:$V$12971,$V6755,$X$37:$X$12971,AG$13)</f>
        <v>0</v>
      </c>
      <c r="AH6755" s="187">
        <f>SUMIFS($AD$37:$AD$12971,$V$37:$V$12971,$V6755,$X$37:$X$12971,AH$13)</f>
        <v>0</v>
      </c>
      <c r="AI6755" s="161">
        <f t="shared" ref="AI6755" si="4823">SUM(AE6755:AH6755)</f>
        <v>0</v>
      </c>
      <c r="AK6755" s="172"/>
    </row>
    <row r="6756" spans="1:41" s="102" customFormat="1" ht="19.899999999999999" customHeight="1" x14ac:dyDescent="0.25">
      <c r="A6756" s="45"/>
      <c r="B6756" s="59"/>
      <c r="C6756" s="137"/>
      <c r="D6756" s="59"/>
      <c r="E6756" s="116"/>
      <c r="F6756" s="120"/>
      <c r="G6756" s="120"/>
      <c r="H6756" s="120"/>
      <c r="I6756" s="60"/>
      <c r="J6756" s="116"/>
      <c r="K6756" s="213"/>
      <c r="L6756" s="120"/>
      <c r="M6756" s="120"/>
      <c r="N6756" s="167"/>
      <c r="O6756" s="120"/>
      <c r="P6756" s="120"/>
      <c r="Q6756" s="120"/>
      <c r="R6756" s="120"/>
      <c r="S6756" s="120"/>
      <c r="T6756" s="221"/>
      <c r="U6756" s="89"/>
      <c r="V6756" s="61"/>
      <c r="W6756" s="92" t="s">
        <v>652</v>
      </c>
      <c r="X6756" s="93" t="s">
        <v>32</v>
      </c>
      <c r="Y6756" s="93" t="s">
        <v>1349</v>
      </c>
      <c r="Z6756" s="134">
        <f>VLOOKUP(W6756,Sheet2!$B:$D,3,FALSE)</f>
        <v>104088.41149999997</v>
      </c>
      <c r="AA6756" s="93">
        <v>1</v>
      </c>
      <c r="AB6756" s="93">
        <f>AD6756/AC6755</f>
        <v>104088.41149999997</v>
      </c>
      <c r="AC6756" s="93">
        <f>AC6755/AA6756</f>
        <v>0.51</v>
      </c>
      <c r="AD6756" s="94">
        <f t="shared" ref="AD6756" si="4824">AC6756*Z6756</f>
        <v>53085.089864999987</v>
      </c>
      <c r="AE6756" s="190"/>
      <c r="AF6756" s="191"/>
      <c r="AG6756" s="191"/>
      <c r="AH6756" s="191"/>
      <c r="AI6756" s="186"/>
      <c r="AK6756" s="171"/>
    </row>
    <row r="6757" spans="1:41" s="102" customFormat="1" ht="20.100000000000001" customHeight="1" x14ac:dyDescent="0.25">
      <c r="A6757" s="45" t="s">
        <v>491</v>
      </c>
      <c r="B6757" s="276"/>
      <c r="C6757" s="285" t="s">
        <v>700</v>
      </c>
      <c r="D6757" s="59"/>
      <c r="E6757" s="116"/>
      <c r="F6757" s="120"/>
      <c r="G6757" s="120">
        <f t="shared" si="4575"/>
        <v>0</v>
      </c>
      <c r="H6757" s="120">
        <f t="shared" si="4576"/>
        <v>0</v>
      </c>
      <c r="I6757" s="60">
        <f t="shared" si="4577"/>
        <v>0</v>
      </c>
      <c r="J6757" s="116">
        <f t="shared" si="4578"/>
        <v>0</v>
      </c>
      <c r="K6757" s="213">
        <f t="shared" si="4579"/>
        <v>0</v>
      </c>
      <c r="L6757" s="120"/>
      <c r="M6757" s="120">
        <f t="shared" si="4580"/>
        <v>0</v>
      </c>
      <c r="N6757" s="167">
        <f t="shared" si="4581"/>
        <v>0</v>
      </c>
      <c r="O6757" s="120">
        <f t="shared" si="4582"/>
        <v>0</v>
      </c>
      <c r="P6757" s="120">
        <f t="shared" si="4583"/>
        <v>0</v>
      </c>
      <c r="Q6757" s="120">
        <f t="shared" si="4584"/>
        <v>0</v>
      </c>
      <c r="R6757" s="120">
        <f t="shared" si="4585"/>
        <v>0</v>
      </c>
      <c r="S6757" s="120"/>
      <c r="T6757" s="221">
        <f t="shared" si="4586"/>
        <v>0</v>
      </c>
      <c r="U6757" s="89"/>
      <c r="V6757" s="61"/>
      <c r="W6757" s="92"/>
      <c r="X6757" s="38"/>
      <c r="Y6757" s="93"/>
      <c r="Z6757" s="134"/>
      <c r="AA6757" s="93"/>
      <c r="AB6757" s="93"/>
      <c r="AC6757" s="93"/>
      <c r="AD6757" s="94"/>
      <c r="AE6757" s="190"/>
      <c r="AF6757" s="191"/>
      <c r="AG6757" s="191"/>
      <c r="AH6757" s="191"/>
      <c r="AI6757" s="186"/>
      <c r="AK6757" s="171"/>
    </row>
    <row r="6758" spans="1:41" s="102" customFormat="1" ht="20.100000000000001" customHeight="1" x14ac:dyDescent="0.25">
      <c r="A6758" s="45" t="s">
        <v>491</v>
      </c>
      <c r="B6758" s="276"/>
      <c r="C6758" s="285" t="s">
        <v>653</v>
      </c>
      <c r="D6758" s="59"/>
      <c r="E6758" s="116"/>
      <c r="F6758" s="120"/>
      <c r="G6758" s="120">
        <f t="shared" si="4575"/>
        <v>0</v>
      </c>
      <c r="H6758" s="120">
        <f t="shared" si="4576"/>
        <v>0</v>
      </c>
      <c r="I6758" s="60">
        <f t="shared" si="4577"/>
        <v>0</v>
      </c>
      <c r="J6758" s="116">
        <f t="shared" si="4578"/>
        <v>0</v>
      </c>
      <c r="K6758" s="213">
        <f t="shared" si="4579"/>
        <v>0</v>
      </c>
      <c r="L6758" s="120"/>
      <c r="M6758" s="120">
        <f t="shared" si="4580"/>
        <v>0</v>
      </c>
      <c r="N6758" s="167">
        <f t="shared" si="4581"/>
        <v>0</v>
      </c>
      <c r="O6758" s="120">
        <f t="shared" si="4582"/>
        <v>0</v>
      </c>
      <c r="P6758" s="120">
        <f t="shared" si="4583"/>
        <v>0</v>
      </c>
      <c r="Q6758" s="120">
        <f t="shared" si="4584"/>
        <v>0</v>
      </c>
      <c r="R6758" s="120">
        <f t="shared" si="4585"/>
        <v>0</v>
      </c>
      <c r="S6758" s="120"/>
      <c r="T6758" s="221">
        <f t="shared" si="4586"/>
        <v>0</v>
      </c>
      <c r="U6758" s="89"/>
      <c r="V6758" s="61"/>
      <c r="W6758" s="92"/>
      <c r="X6758" s="38"/>
      <c r="Y6758" s="93"/>
      <c r="Z6758" s="134"/>
      <c r="AA6758" s="93"/>
      <c r="AB6758" s="93"/>
      <c r="AC6758" s="93"/>
      <c r="AD6758" s="94"/>
      <c r="AE6758" s="190"/>
      <c r="AF6758" s="191"/>
      <c r="AG6758" s="191"/>
      <c r="AH6758" s="191"/>
      <c r="AI6758" s="186"/>
      <c r="AK6758" s="171"/>
    </row>
    <row r="6759" spans="1:41" s="102" customFormat="1" ht="173.25" x14ac:dyDescent="0.25">
      <c r="A6759" s="45" t="s">
        <v>491</v>
      </c>
      <c r="B6759" s="276"/>
      <c r="C6759" s="285" t="s">
        <v>688</v>
      </c>
      <c r="D6759" s="59"/>
      <c r="E6759" s="116"/>
      <c r="F6759" s="120"/>
      <c r="G6759" s="120">
        <f t="shared" si="4575"/>
        <v>0</v>
      </c>
      <c r="H6759" s="120">
        <f t="shared" si="4576"/>
        <v>0</v>
      </c>
      <c r="I6759" s="60">
        <f t="shared" si="4577"/>
        <v>0</v>
      </c>
      <c r="J6759" s="116">
        <f t="shared" si="4578"/>
        <v>0</v>
      </c>
      <c r="K6759" s="213">
        <f t="shared" si="4579"/>
        <v>0</v>
      </c>
      <c r="L6759" s="120"/>
      <c r="M6759" s="120">
        <f t="shared" si="4580"/>
        <v>0</v>
      </c>
      <c r="N6759" s="167">
        <f t="shared" si="4581"/>
        <v>0</v>
      </c>
      <c r="O6759" s="120">
        <f t="shared" si="4582"/>
        <v>0</v>
      </c>
      <c r="P6759" s="120">
        <f t="shared" si="4583"/>
        <v>0</v>
      </c>
      <c r="Q6759" s="120">
        <f t="shared" si="4584"/>
        <v>0</v>
      </c>
      <c r="R6759" s="120">
        <f t="shared" si="4585"/>
        <v>0</v>
      </c>
      <c r="S6759" s="120"/>
      <c r="T6759" s="221">
        <f t="shared" si="4586"/>
        <v>0</v>
      </c>
      <c r="U6759" s="89"/>
      <c r="V6759" s="61"/>
      <c r="W6759" s="92"/>
      <c r="X6759" s="38"/>
      <c r="Y6759" s="93"/>
      <c r="Z6759" s="134"/>
      <c r="AA6759" s="93"/>
      <c r="AB6759" s="93"/>
      <c r="AC6759" s="93"/>
      <c r="AD6759" s="94"/>
      <c r="AE6759" s="190"/>
      <c r="AF6759" s="191"/>
      <c r="AG6759" s="191"/>
      <c r="AH6759" s="191"/>
      <c r="AI6759" s="186"/>
      <c r="AK6759" s="171"/>
    </row>
    <row r="6760" spans="1:41" ht="20.100000000000001" customHeight="1" x14ac:dyDescent="0.25">
      <c r="A6760" s="277" t="s">
        <v>491</v>
      </c>
      <c r="B6760" s="278"/>
      <c r="C6760" s="64" t="s">
        <v>653</v>
      </c>
      <c r="D6760" s="46" t="s">
        <v>186</v>
      </c>
      <c r="E6760" s="114">
        <v>7.4999999999999956E-2</v>
      </c>
      <c r="F6760" s="44">
        <v>918930</v>
      </c>
      <c r="G6760" s="44">
        <f t="shared" si="4575"/>
        <v>68919.749999999956</v>
      </c>
      <c r="H6760" s="44">
        <f t="shared" si="4576"/>
        <v>754820.00000000012</v>
      </c>
      <c r="I6760" s="43">
        <f t="shared" si="4577"/>
        <v>56611.499999999978</v>
      </c>
      <c r="J6760" s="112">
        <f t="shared" si="4578"/>
        <v>7.4999999999999956E-2</v>
      </c>
      <c r="K6760" s="211">
        <f t="shared" si="4579"/>
        <v>7.4999999999999956E-2</v>
      </c>
      <c r="L6760" s="44"/>
      <c r="M6760" s="44">
        <f t="shared" si="4580"/>
        <v>7.4999999999999956E-2</v>
      </c>
      <c r="N6760" s="173">
        <f t="shared" si="4581"/>
        <v>1</v>
      </c>
      <c r="O6760" s="44">
        <f t="shared" si="4582"/>
        <v>918930</v>
      </c>
      <c r="P6760" s="44">
        <f t="shared" si="4583"/>
        <v>68919.749999999956</v>
      </c>
      <c r="Q6760" s="44">
        <f t="shared" si="4584"/>
        <v>754820.00000000012</v>
      </c>
      <c r="R6760" s="44">
        <f t="shared" si="4585"/>
        <v>56611.499999999978</v>
      </c>
      <c r="S6760" s="123"/>
      <c r="T6760" s="219">
        <f t="shared" si="4586"/>
        <v>56611.499999999978</v>
      </c>
      <c r="U6760" s="87"/>
      <c r="V6760" s="47"/>
      <c r="W6760" s="48"/>
      <c r="X6760" s="48"/>
      <c r="Y6760" s="48"/>
      <c r="Z6760" s="135"/>
      <c r="AA6760" s="49"/>
      <c r="AB6760" s="50">
        <f t="shared" si="4587"/>
        <v>754820.00000000012</v>
      </c>
      <c r="AC6760" s="42">
        <f t="shared" si="4588"/>
        <v>7.4999999999999956E-2</v>
      </c>
      <c r="AD6760" s="90">
        <f>AD6761</f>
        <v>56611.499999999978</v>
      </c>
      <c r="AE6760" s="188">
        <f t="shared" ref="AE6760" si="4825">AE6761</f>
        <v>0</v>
      </c>
      <c r="AF6760" s="189">
        <f t="shared" ref="AF6760" si="4826">AF6761</f>
        <v>0</v>
      </c>
      <c r="AG6760" s="189">
        <f t="shared" ref="AG6760" si="4827">AG6761</f>
        <v>0</v>
      </c>
      <c r="AH6760" s="189">
        <f t="shared" ref="AH6760" si="4828">AH6761</f>
        <v>0</v>
      </c>
      <c r="AI6760" s="161">
        <f t="shared" ref="AI6760" si="4829">SUM(AE6760:AH6760)</f>
        <v>0</v>
      </c>
      <c r="AK6760" s="169">
        <v>5</v>
      </c>
      <c r="AO6760" s="19" t="s">
        <v>63</v>
      </c>
    </row>
    <row r="6761" spans="1:41" s="103" customFormat="1" ht="19.899999999999999" customHeight="1" x14ac:dyDescent="0.25">
      <c r="A6761" s="51"/>
      <c r="B6761" s="52"/>
      <c r="C6761" s="165"/>
      <c r="D6761" s="52"/>
      <c r="E6761" s="115"/>
      <c r="F6761" s="58"/>
      <c r="G6761" s="58"/>
      <c r="H6761" s="58"/>
      <c r="I6761" s="55"/>
      <c r="J6761" s="113">
        <f>J6760</f>
        <v>7.4999999999999956E-2</v>
      </c>
      <c r="K6761" s="212">
        <f>K6760</f>
        <v>7.4999999999999956E-2</v>
      </c>
      <c r="L6761" s="58"/>
      <c r="M6761" s="58">
        <f>K6761-L6761</f>
        <v>7.4999999999999956E-2</v>
      </c>
      <c r="N6761" s="166"/>
      <c r="O6761" s="58"/>
      <c r="P6761" s="58"/>
      <c r="Q6761" s="58"/>
      <c r="R6761" s="58"/>
      <c r="S6761" s="58"/>
      <c r="T6761" s="220"/>
      <c r="U6761" s="88"/>
      <c r="V6761" s="56"/>
      <c r="W6761" s="57" t="s">
        <v>1590</v>
      </c>
      <c r="X6761" s="53"/>
      <c r="Y6761" s="91" t="s">
        <v>1349</v>
      </c>
      <c r="Z6761" s="136">
        <f>AD6761/AC6761</f>
        <v>754820.00000000012</v>
      </c>
      <c r="AA6761" s="58"/>
      <c r="AB6761" s="53">
        <f>AD6761/AC6761</f>
        <v>754820.00000000012</v>
      </c>
      <c r="AC6761" s="53">
        <f>M6761+$AE$10</f>
        <v>7.4999999999999956E-2</v>
      </c>
      <c r="AD6761" s="54">
        <f>SUM(AD6762)</f>
        <v>56611.499999999978</v>
      </c>
      <c r="AE6761" s="184">
        <f>SUMIFS($AD$37:$AD$12971,$V$37:$V$12971,$V6761,$X$37:$X$12971,AE$13)</f>
        <v>0</v>
      </c>
      <c r="AF6761" s="185">
        <f>SUMIFS($AD$37:$AD$12971,$V$37:$V$12971,$V6761,$X$37:$X$12971,AF$13)</f>
        <v>0</v>
      </c>
      <c r="AG6761" s="185">
        <f>SUMIFS($AD$37:$AD$12971,$V$37:$V$12971,$V6761,$X$37:$X$12971,AG$13)</f>
        <v>0</v>
      </c>
      <c r="AH6761" s="187">
        <f>SUMIFS($AD$37:$AD$12971,$V$37:$V$12971,$V6761,$X$37:$X$12971,AH$13)</f>
        <v>0</v>
      </c>
      <c r="AI6761" s="161">
        <f t="shared" ref="AI6761" si="4830">SUM(AE6761:AH6761)</f>
        <v>0</v>
      </c>
      <c r="AK6761" s="172"/>
    </row>
    <row r="6762" spans="1:41" s="102" customFormat="1" ht="19.899999999999999" customHeight="1" x14ac:dyDescent="0.25">
      <c r="A6762" s="45"/>
      <c r="B6762" s="59"/>
      <c r="C6762" s="137"/>
      <c r="D6762" s="59"/>
      <c r="E6762" s="116"/>
      <c r="F6762" s="120"/>
      <c r="G6762" s="120"/>
      <c r="H6762" s="120"/>
      <c r="I6762" s="60"/>
      <c r="J6762" s="116"/>
      <c r="K6762" s="213"/>
      <c r="L6762" s="120"/>
      <c r="M6762" s="120"/>
      <c r="N6762" s="167"/>
      <c r="O6762" s="120"/>
      <c r="P6762" s="120"/>
      <c r="Q6762" s="120"/>
      <c r="R6762" s="120"/>
      <c r="S6762" s="120"/>
      <c r="T6762" s="221"/>
      <c r="U6762" s="89"/>
      <c r="V6762" s="61"/>
      <c r="W6762" s="92" t="s">
        <v>1626</v>
      </c>
      <c r="X6762" s="93" t="s">
        <v>32</v>
      </c>
      <c r="Y6762" s="93" t="s">
        <v>1349</v>
      </c>
      <c r="Z6762" s="134">
        <f>VLOOKUP(W6762,Sheet2!$B:$D,3,FALSE)</f>
        <v>754820.00000000012</v>
      </c>
      <c r="AA6762" s="93">
        <v>1</v>
      </c>
      <c r="AB6762" s="93">
        <f>AD6762/AC6761</f>
        <v>754820.00000000012</v>
      </c>
      <c r="AC6762" s="93">
        <f>AC6761/AA6762</f>
        <v>7.4999999999999956E-2</v>
      </c>
      <c r="AD6762" s="94">
        <f t="shared" ref="AD6762" si="4831">AC6762*Z6762</f>
        <v>56611.499999999978</v>
      </c>
      <c r="AE6762" s="190"/>
      <c r="AF6762" s="191"/>
      <c r="AG6762" s="191"/>
      <c r="AH6762" s="191"/>
      <c r="AI6762" s="186"/>
      <c r="AK6762" s="171"/>
    </row>
    <row r="6763" spans="1:41" s="102" customFormat="1" ht="20.100000000000001" customHeight="1" x14ac:dyDescent="0.25">
      <c r="A6763" s="45" t="s">
        <v>491</v>
      </c>
      <c r="B6763" s="276"/>
      <c r="C6763" s="285" t="s">
        <v>655</v>
      </c>
      <c r="D6763" s="59"/>
      <c r="E6763" s="116"/>
      <c r="F6763" s="120"/>
      <c r="G6763" s="120">
        <f t="shared" si="4575"/>
        <v>0</v>
      </c>
      <c r="H6763" s="120">
        <f t="shared" si="4576"/>
        <v>0</v>
      </c>
      <c r="I6763" s="60">
        <f t="shared" si="4577"/>
        <v>0</v>
      </c>
      <c r="J6763" s="116">
        <f t="shared" si="4578"/>
        <v>0</v>
      </c>
      <c r="K6763" s="213">
        <f t="shared" si="4579"/>
        <v>0</v>
      </c>
      <c r="L6763" s="120"/>
      <c r="M6763" s="120">
        <f t="shared" si="4580"/>
        <v>0</v>
      </c>
      <c r="N6763" s="167">
        <f t="shared" si="4581"/>
        <v>0</v>
      </c>
      <c r="O6763" s="120">
        <f t="shared" si="4582"/>
        <v>0</v>
      </c>
      <c r="P6763" s="120">
        <f t="shared" si="4583"/>
        <v>0</v>
      </c>
      <c r="Q6763" s="120">
        <f t="shared" si="4584"/>
        <v>0</v>
      </c>
      <c r="R6763" s="120">
        <f t="shared" si="4585"/>
        <v>0</v>
      </c>
      <c r="S6763" s="120"/>
      <c r="T6763" s="221">
        <f t="shared" si="4586"/>
        <v>0</v>
      </c>
      <c r="U6763" s="89"/>
      <c r="V6763" s="61"/>
      <c r="W6763" s="92"/>
      <c r="X6763" s="38"/>
      <c r="Y6763" s="93"/>
      <c r="Z6763" s="134"/>
      <c r="AA6763" s="93"/>
      <c r="AB6763" s="93"/>
      <c r="AC6763" s="93"/>
      <c r="AD6763" s="94"/>
      <c r="AE6763" s="190"/>
      <c r="AF6763" s="191"/>
      <c r="AG6763" s="191"/>
      <c r="AH6763" s="191"/>
      <c r="AI6763" s="186"/>
      <c r="AK6763" s="171"/>
    </row>
    <row r="6764" spans="1:41" ht="20.100000000000001" customHeight="1" x14ac:dyDescent="0.25">
      <c r="A6764" s="277" t="s">
        <v>491</v>
      </c>
      <c r="B6764" s="278"/>
      <c r="C6764" s="64" t="s">
        <v>656</v>
      </c>
      <c r="D6764" s="46" t="s">
        <v>186</v>
      </c>
      <c r="E6764" s="114">
        <v>1</v>
      </c>
      <c r="F6764" s="44">
        <v>13595</v>
      </c>
      <c r="G6764" s="44">
        <f t="shared" si="4575"/>
        <v>13595</v>
      </c>
      <c r="H6764" s="44">
        <f t="shared" si="4576"/>
        <v>9540</v>
      </c>
      <c r="I6764" s="43">
        <f t="shared" si="4577"/>
        <v>9540</v>
      </c>
      <c r="J6764" s="112">
        <f t="shared" si="4578"/>
        <v>1</v>
      </c>
      <c r="K6764" s="211">
        <f t="shared" si="4579"/>
        <v>1</v>
      </c>
      <c r="L6764" s="44"/>
      <c r="M6764" s="44">
        <f t="shared" si="4580"/>
        <v>1</v>
      </c>
      <c r="N6764" s="173">
        <f t="shared" si="4581"/>
        <v>1</v>
      </c>
      <c r="O6764" s="44">
        <f t="shared" si="4582"/>
        <v>13595</v>
      </c>
      <c r="P6764" s="44">
        <f t="shared" si="4583"/>
        <v>13595</v>
      </c>
      <c r="Q6764" s="44">
        <f t="shared" si="4584"/>
        <v>9540</v>
      </c>
      <c r="R6764" s="44">
        <f t="shared" si="4585"/>
        <v>9540</v>
      </c>
      <c r="S6764" s="123"/>
      <c r="T6764" s="219">
        <f t="shared" si="4586"/>
        <v>9540</v>
      </c>
      <c r="U6764" s="87"/>
      <c r="V6764" s="47"/>
      <c r="W6764" s="48"/>
      <c r="X6764" s="48"/>
      <c r="Y6764" s="48"/>
      <c r="Z6764" s="135"/>
      <c r="AA6764" s="49"/>
      <c r="AB6764" s="50">
        <f t="shared" si="4587"/>
        <v>9540</v>
      </c>
      <c r="AC6764" s="42">
        <f t="shared" si="4588"/>
        <v>1</v>
      </c>
      <c r="AD6764" s="90">
        <f>AD6765</f>
        <v>9540</v>
      </c>
      <c r="AE6764" s="188">
        <f t="shared" ref="AE6764" si="4832">AE6765</f>
        <v>0</v>
      </c>
      <c r="AF6764" s="189">
        <f t="shared" ref="AF6764" si="4833">AF6765</f>
        <v>0</v>
      </c>
      <c r="AG6764" s="189">
        <f t="shared" ref="AG6764" si="4834">AG6765</f>
        <v>0</v>
      </c>
      <c r="AH6764" s="189">
        <f t="shared" ref="AH6764" si="4835">AH6765</f>
        <v>0</v>
      </c>
      <c r="AI6764" s="161">
        <f t="shared" ref="AI6764" si="4836">SUM(AE6764:AH6764)</f>
        <v>0</v>
      </c>
      <c r="AK6764" s="169">
        <v>5</v>
      </c>
      <c r="AO6764" s="19" t="s">
        <v>63</v>
      </c>
    </row>
    <row r="6765" spans="1:41" s="103" customFormat="1" ht="19.899999999999999" customHeight="1" x14ac:dyDescent="0.25">
      <c r="A6765" s="51"/>
      <c r="B6765" s="52"/>
      <c r="C6765" s="165"/>
      <c r="D6765" s="52"/>
      <c r="E6765" s="115"/>
      <c r="F6765" s="58"/>
      <c r="G6765" s="58"/>
      <c r="H6765" s="58"/>
      <c r="I6765" s="55"/>
      <c r="J6765" s="113">
        <f>J6764</f>
        <v>1</v>
      </c>
      <c r="K6765" s="212">
        <f>K6764</f>
        <v>1</v>
      </c>
      <c r="L6765" s="58"/>
      <c r="M6765" s="58">
        <f>K6765-L6765</f>
        <v>1</v>
      </c>
      <c r="N6765" s="166"/>
      <c r="O6765" s="58"/>
      <c r="P6765" s="58"/>
      <c r="Q6765" s="58"/>
      <c r="R6765" s="58"/>
      <c r="S6765" s="58"/>
      <c r="T6765" s="220"/>
      <c r="U6765" s="88"/>
      <c r="V6765" s="56"/>
      <c r="W6765" s="57" t="s">
        <v>656</v>
      </c>
      <c r="X6765" s="53"/>
      <c r="Y6765" s="91" t="s">
        <v>1349</v>
      </c>
      <c r="Z6765" s="136">
        <f>AD6765/AC6765</f>
        <v>9540</v>
      </c>
      <c r="AA6765" s="58"/>
      <c r="AB6765" s="53">
        <f>AD6765/AC6765</f>
        <v>9540</v>
      </c>
      <c r="AC6765" s="53">
        <f>M6765+$AE$10</f>
        <v>1</v>
      </c>
      <c r="AD6765" s="54">
        <f>SUM(AD6766:AD6770)</f>
        <v>9540</v>
      </c>
      <c r="AE6765" s="184">
        <f>SUMIFS($AD$37:$AD$12971,$V$37:$V$12971,$V6765,$X$37:$X$12971,AE$13)</f>
        <v>0</v>
      </c>
      <c r="AF6765" s="185">
        <f>SUMIFS($AD$37:$AD$12971,$V$37:$V$12971,$V6765,$X$37:$X$12971,AF$13)</f>
        <v>0</v>
      </c>
      <c r="AG6765" s="185">
        <f>SUMIFS($AD$37:$AD$12971,$V$37:$V$12971,$V6765,$X$37:$X$12971,AG$13)</f>
        <v>0</v>
      </c>
      <c r="AH6765" s="187">
        <f>SUMIFS($AD$37:$AD$12971,$V$37:$V$12971,$V6765,$X$37:$X$12971,AH$13)</f>
        <v>0</v>
      </c>
      <c r="AI6765" s="161">
        <f t="shared" ref="AI6765" si="4837">SUM(AE6765:AH6765)</f>
        <v>0</v>
      </c>
      <c r="AK6765" s="172"/>
    </row>
    <row r="6766" spans="1:41" s="102" customFormat="1" ht="19.899999999999999" customHeight="1" x14ac:dyDescent="0.25">
      <c r="A6766" s="45"/>
      <c r="B6766" s="59"/>
      <c r="C6766" s="137"/>
      <c r="D6766" s="59"/>
      <c r="E6766" s="116"/>
      <c r="F6766" s="120"/>
      <c r="G6766" s="120"/>
      <c r="H6766" s="120"/>
      <c r="I6766" s="60"/>
      <c r="J6766" s="116"/>
      <c r="K6766" s="213"/>
      <c r="L6766" s="120"/>
      <c r="M6766" s="120"/>
      <c r="N6766" s="167"/>
      <c r="O6766" s="120"/>
      <c r="P6766" s="120"/>
      <c r="Q6766" s="120"/>
      <c r="R6766" s="120"/>
      <c r="S6766" s="120"/>
      <c r="T6766" s="221"/>
      <c r="U6766" s="89"/>
      <c r="V6766" s="61"/>
      <c r="W6766" s="92" t="s">
        <v>1032</v>
      </c>
      <c r="X6766" s="93" t="s">
        <v>30</v>
      </c>
      <c r="Y6766" s="93" t="s">
        <v>66</v>
      </c>
      <c r="Z6766" s="134">
        <f>VLOOKUP(W6766,Sheet2!$B:$D,3,FALSE)</f>
        <v>250</v>
      </c>
      <c r="AA6766" s="93">
        <f>1/3.6</f>
        <v>0.27777777777777779</v>
      </c>
      <c r="AB6766" s="93">
        <f>AD6766/AC6765</f>
        <v>899.99999999999989</v>
      </c>
      <c r="AC6766" s="93">
        <f>AC6765/AA6766</f>
        <v>3.5999999999999996</v>
      </c>
      <c r="AD6766" s="94">
        <f t="shared" ref="AD6766:AD6768" si="4838">AC6766*Z6766</f>
        <v>899.99999999999989</v>
      </c>
      <c r="AE6766" s="190"/>
      <c r="AF6766" s="191"/>
      <c r="AG6766" s="191"/>
      <c r="AH6766" s="191"/>
      <c r="AI6766" s="186"/>
      <c r="AK6766" s="171"/>
    </row>
    <row r="6767" spans="1:41" s="102" customFormat="1" ht="19.899999999999999" customHeight="1" x14ac:dyDescent="0.25">
      <c r="A6767" s="45"/>
      <c r="B6767" s="59"/>
      <c r="C6767" s="137"/>
      <c r="D6767" s="59"/>
      <c r="E6767" s="116"/>
      <c r="F6767" s="120"/>
      <c r="G6767" s="120"/>
      <c r="H6767" s="120"/>
      <c r="I6767" s="60"/>
      <c r="J6767" s="116"/>
      <c r="K6767" s="213"/>
      <c r="L6767" s="120"/>
      <c r="M6767" s="120"/>
      <c r="N6767" s="167"/>
      <c r="O6767" s="120"/>
      <c r="P6767" s="120"/>
      <c r="Q6767" s="120"/>
      <c r="R6767" s="120"/>
      <c r="S6767" s="120"/>
      <c r="T6767" s="221"/>
      <c r="U6767" s="89"/>
      <c r="V6767" s="61"/>
      <c r="W6767" s="92" t="s">
        <v>1354</v>
      </c>
      <c r="X6767" s="93" t="s">
        <v>32</v>
      </c>
      <c r="Y6767" s="93" t="s">
        <v>66</v>
      </c>
      <c r="Z6767" s="134">
        <f>VLOOKUP(W6767,Sheet2!$B:$D,3,FALSE)</f>
        <v>150</v>
      </c>
      <c r="AA6767" s="93">
        <f>AA6766</f>
        <v>0.27777777777777779</v>
      </c>
      <c r="AB6767" s="93">
        <f>AD6767/AC6765</f>
        <v>540</v>
      </c>
      <c r="AC6767" s="93">
        <f>AC6765/AA6767</f>
        <v>3.5999999999999996</v>
      </c>
      <c r="AD6767" s="94">
        <f t="shared" si="4838"/>
        <v>540</v>
      </c>
      <c r="AE6767" s="190"/>
      <c r="AF6767" s="191"/>
      <c r="AG6767" s="191"/>
      <c r="AH6767" s="191"/>
      <c r="AI6767" s="186"/>
      <c r="AK6767" s="171"/>
    </row>
    <row r="6768" spans="1:41" s="102" customFormat="1" ht="19.899999999999999" customHeight="1" x14ac:dyDescent="0.25">
      <c r="A6768" s="45"/>
      <c r="B6768" s="59"/>
      <c r="C6768" s="137"/>
      <c r="D6768" s="59"/>
      <c r="E6768" s="116"/>
      <c r="F6768" s="120"/>
      <c r="G6768" s="120"/>
      <c r="H6768" s="120"/>
      <c r="I6768" s="60"/>
      <c r="J6768" s="116"/>
      <c r="K6768" s="213"/>
      <c r="L6768" s="120"/>
      <c r="M6768" s="120"/>
      <c r="N6768" s="167"/>
      <c r="O6768" s="120"/>
      <c r="P6768" s="120"/>
      <c r="Q6768" s="120"/>
      <c r="R6768" s="120"/>
      <c r="S6768" s="120"/>
      <c r="T6768" s="221"/>
      <c r="U6768" s="89"/>
      <c r="V6768" s="61"/>
      <c r="W6768" s="92" t="s">
        <v>1353</v>
      </c>
      <c r="X6768" s="93" t="s">
        <v>30</v>
      </c>
      <c r="Y6768" s="93" t="s">
        <v>66</v>
      </c>
      <c r="Z6768" s="134">
        <f>VLOOKUP(W6768,Sheet2!$B:$D,3,FALSE)</f>
        <v>350</v>
      </c>
      <c r="AA6768" s="93">
        <f>1/(6*6*0.25)</f>
        <v>0.1111111111111111</v>
      </c>
      <c r="AB6768" s="93">
        <f>AD6768/AC6765</f>
        <v>3150</v>
      </c>
      <c r="AC6768" s="93">
        <f>AC6765/AA6768</f>
        <v>9</v>
      </c>
      <c r="AD6768" s="94">
        <f t="shared" si="4838"/>
        <v>3150</v>
      </c>
      <c r="AE6768" s="190"/>
      <c r="AF6768" s="191"/>
      <c r="AG6768" s="191"/>
      <c r="AH6768" s="191"/>
      <c r="AI6768" s="186"/>
      <c r="AK6768" s="171"/>
    </row>
    <row r="6769" spans="1:41" s="102" customFormat="1" ht="19.899999999999999" customHeight="1" x14ac:dyDescent="0.25">
      <c r="A6769" s="45"/>
      <c r="B6769" s="59"/>
      <c r="C6769" s="137"/>
      <c r="D6769" s="59"/>
      <c r="E6769" s="116"/>
      <c r="F6769" s="120"/>
      <c r="G6769" s="120"/>
      <c r="H6769" s="120"/>
      <c r="I6769" s="60"/>
      <c r="J6769" s="116"/>
      <c r="K6769" s="213"/>
      <c r="L6769" s="120"/>
      <c r="M6769" s="120"/>
      <c r="N6769" s="167"/>
      <c r="O6769" s="120"/>
      <c r="P6769" s="120"/>
      <c r="Q6769" s="120"/>
      <c r="R6769" s="120"/>
      <c r="S6769" s="120"/>
      <c r="T6769" s="221"/>
      <c r="U6769" s="89"/>
      <c r="V6769" s="61"/>
      <c r="W6769" s="92" t="s">
        <v>99</v>
      </c>
      <c r="X6769" s="93" t="s">
        <v>30</v>
      </c>
      <c r="Y6769" s="93" t="s">
        <v>67</v>
      </c>
      <c r="Z6769" s="134">
        <f>VLOOKUP(W6769,Sheet2!$B:$D,3,FALSE)</f>
        <v>2500</v>
      </c>
      <c r="AA6769" s="93">
        <f>AA6768/0.08</f>
        <v>1.3888888888888888</v>
      </c>
      <c r="AB6769" s="93">
        <f>AD6769/AC6765</f>
        <v>1800</v>
      </c>
      <c r="AC6769" s="93">
        <f>AC6765/AA6769</f>
        <v>0.72</v>
      </c>
      <c r="AD6769" s="94">
        <f>AC6769*Z6769</f>
        <v>1800</v>
      </c>
      <c r="AE6769" s="190"/>
      <c r="AF6769" s="191"/>
      <c r="AG6769" s="191"/>
      <c r="AH6769" s="191"/>
      <c r="AI6769" s="186"/>
      <c r="AK6769" s="171"/>
    </row>
    <row r="6770" spans="1:41" s="102" customFormat="1" ht="19.899999999999999" customHeight="1" x14ac:dyDescent="0.25">
      <c r="A6770" s="45"/>
      <c r="B6770" s="59"/>
      <c r="C6770" s="137"/>
      <c r="D6770" s="59"/>
      <c r="E6770" s="116"/>
      <c r="F6770" s="120"/>
      <c r="G6770" s="120"/>
      <c r="H6770" s="120"/>
      <c r="I6770" s="60"/>
      <c r="J6770" s="116"/>
      <c r="K6770" s="213"/>
      <c r="L6770" s="120"/>
      <c r="M6770" s="120"/>
      <c r="N6770" s="167"/>
      <c r="O6770" s="120"/>
      <c r="P6770" s="120"/>
      <c r="Q6770" s="120"/>
      <c r="R6770" s="120"/>
      <c r="S6770" s="120"/>
      <c r="T6770" s="221"/>
      <c r="U6770" s="89"/>
      <c r="V6770" s="61"/>
      <c r="W6770" s="92" t="s">
        <v>1378</v>
      </c>
      <c r="X6770" s="93" t="s">
        <v>32</v>
      </c>
      <c r="Y6770" s="93" t="s">
        <v>66</v>
      </c>
      <c r="Z6770" s="134">
        <f>VLOOKUP(W6770,Sheet2!$B:$D,3,FALSE)</f>
        <v>350</v>
      </c>
      <c r="AA6770" s="93">
        <f>AA6768</f>
        <v>0.1111111111111111</v>
      </c>
      <c r="AB6770" s="93">
        <f>AD6770/AC6765</f>
        <v>3150</v>
      </c>
      <c r="AC6770" s="93">
        <f>AC6765/AA6770</f>
        <v>9</v>
      </c>
      <c r="AD6770" s="94">
        <f t="shared" ref="AD6770" si="4839">AC6770*Z6770</f>
        <v>3150</v>
      </c>
      <c r="AE6770" s="190"/>
      <c r="AF6770" s="191"/>
      <c r="AG6770" s="191"/>
      <c r="AH6770" s="191"/>
      <c r="AI6770" s="186"/>
      <c r="AK6770" s="171"/>
    </row>
    <row r="6771" spans="1:41" s="102" customFormat="1" ht="20.100000000000001" customHeight="1" x14ac:dyDescent="0.25">
      <c r="A6771" s="45" t="s">
        <v>491</v>
      </c>
      <c r="B6771" s="276"/>
      <c r="C6771" s="285" t="s">
        <v>657</v>
      </c>
      <c r="D6771" s="59"/>
      <c r="E6771" s="116"/>
      <c r="F6771" s="120"/>
      <c r="G6771" s="120">
        <f t="shared" si="4575"/>
        <v>0</v>
      </c>
      <c r="H6771" s="120">
        <f t="shared" si="4576"/>
        <v>0</v>
      </c>
      <c r="I6771" s="60">
        <f t="shared" si="4577"/>
        <v>0</v>
      </c>
      <c r="J6771" s="116">
        <f t="shared" si="4578"/>
        <v>0</v>
      </c>
      <c r="K6771" s="213">
        <f t="shared" si="4579"/>
        <v>0</v>
      </c>
      <c r="L6771" s="120"/>
      <c r="M6771" s="120">
        <f t="shared" si="4580"/>
        <v>0</v>
      </c>
      <c r="N6771" s="167">
        <f t="shared" si="4581"/>
        <v>0</v>
      </c>
      <c r="O6771" s="120">
        <f t="shared" si="4582"/>
        <v>0</v>
      </c>
      <c r="P6771" s="120">
        <f t="shared" si="4583"/>
        <v>0</v>
      </c>
      <c r="Q6771" s="120">
        <f t="shared" si="4584"/>
        <v>0</v>
      </c>
      <c r="R6771" s="120">
        <f t="shared" si="4585"/>
        <v>0</v>
      </c>
      <c r="S6771" s="120"/>
      <c r="T6771" s="221">
        <f t="shared" si="4586"/>
        <v>0</v>
      </c>
      <c r="U6771" s="89"/>
      <c r="V6771" s="61"/>
      <c r="W6771" s="92"/>
      <c r="X6771" s="38"/>
      <c r="Y6771" s="93"/>
      <c r="Z6771" s="134"/>
      <c r="AA6771" s="93"/>
      <c r="AB6771" s="93"/>
      <c r="AC6771" s="93"/>
      <c r="AD6771" s="94"/>
      <c r="AE6771" s="190"/>
      <c r="AF6771" s="191"/>
      <c r="AG6771" s="191"/>
      <c r="AH6771" s="191"/>
      <c r="AI6771" s="186"/>
      <c r="AK6771" s="171"/>
    </row>
    <row r="6772" spans="1:41" s="102" customFormat="1" ht="63" x14ac:dyDescent="0.25">
      <c r="A6772" s="45" t="s">
        <v>491</v>
      </c>
      <c r="B6772" s="276"/>
      <c r="C6772" s="285" t="s">
        <v>658</v>
      </c>
      <c r="D6772" s="59"/>
      <c r="E6772" s="116"/>
      <c r="F6772" s="120"/>
      <c r="G6772" s="120">
        <f t="shared" si="4575"/>
        <v>0</v>
      </c>
      <c r="H6772" s="120">
        <f t="shared" si="4576"/>
        <v>0</v>
      </c>
      <c r="I6772" s="60">
        <f t="shared" si="4577"/>
        <v>0</v>
      </c>
      <c r="J6772" s="116">
        <f t="shared" si="4578"/>
        <v>0</v>
      </c>
      <c r="K6772" s="213">
        <f t="shared" si="4579"/>
        <v>0</v>
      </c>
      <c r="L6772" s="120"/>
      <c r="M6772" s="120">
        <f t="shared" si="4580"/>
        <v>0</v>
      </c>
      <c r="N6772" s="167">
        <f t="shared" si="4581"/>
        <v>0</v>
      </c>
      <c r="O6772" s="120">
        <f t="shared" si="4582"/>
        <v>0</v>
      </c>
      <c r="P6772" s="120">
        <f t="shared" si="4583"/>
        <v>0</v>
      </c>
      <c r="Q6772" s="120">
        <f t="shared" si="4584"/>
        <v>0</v>
      </c>
      <c r="R6772" s="120">
        <f t="shared" si="4585"/>
        <v>0</v>
      </c>
      <c r="S6772" s="120"/>
      <c r="T6772" s="221">
        <f t="shared" si="4586"/>
        <v>0</v>
      </c>
      <c r="U6772" s="89"/>
      <c r="V6772" s="61"/>
      <c r="W6772" s="92"/>
      <c r="X6772" s="38"/>
      <c r="Y6772" s="93"/>
      <c r="Z6772" s="134"/>
      <c r="AA6772" s="93"/>
      <c r="AB6772" s="93"/>
      <c r="AC6772" s="93"/>
      <c r="AD6772" s="94"/>
      <c r="AE6772" s="190"/>
      <c r="AF6772" s="191"/>
      <c r="AG6772" s="191"/>
      <c r="AH6772" s="191"/>
      <c r="AI6772" s="186"/>
      <c r="AK6772" s="171"/>
    </row>
    <row r="6773" spans="1:41" ht="20.100000000000001" customHeight="1" x14ac:dyDescent="0.25">
      <c r="A6773" s="277" t="s">
        <v>491</v>
      </c>
      <c r="B6773" s="278"/>
      <c r="C6773" s="64" t="s">
        <v>657</v>
      </c>
      <c r="D6773" s="46" t="s">
        <v>97</v>
      </c>
      <c r="E6773" s="114">
        <v>120</v>
      </c>
      <c r="F6773" s="44">
        <v>2266</v>
      </c>
      <c r="G6773" s="44">
        <f t="shared" si="4575"/>
        <v>271920</v>
      </c>
      <c r="H6773" s="44">
        <f t="shared" si="4576"/>
        <v>906.3355294117647</v>
      </c>
      <c r="I6773" s="43">
        <f t="shared" si="4577"/>
        <v>108760.26352941176</v>
      </c>
      <c r="J6773" s="112">
        <f t="shared" si="4578"/>
        <v>120</v>
      </c>
      <c r="K6773" s="211">
        <f t="shared" si="4579"/>
        <v>120</v>
      </c>
      <c r="L6773" s="44"/>
      <c r="M6773" s="44">
        <f t="shared" si="4580"/>
        <v>120</v>
      </c>
      <c r="N6773" s="173">
        <f t="shared" si="4581"/>
        <v>1</v>
      </c>
      <c r="O6773" s="44">
        <f t="shared" si="4582"/>
        <v>2266</v>
      </c>
      <c r="P6773" s="44">
        <f t="shared" si="4583"/>
        <v>271920</v>
      </c>
      <c r="Q6773" s="44">
        <f t="shared" si="4584"/>
        <v>906.3355294117647</v>
      </c>
      <c r="R6773" s="44">
        <f t="shared" si="4585"/>
        <v>108760.26352941176</v>
      </c>
      <c r="S6773" s="123"/>
      <c r="T6773" s="219">
        <f t="shared" si="4586"/>
        <v>108760.26352941176</v>
      </c>
      <c r="U6773" s="87"/>
      <c r="V6773" s="47"/>
      <c r="W6773" s="48"/>
      <c r="X6773" s="48"/>
      <c r="Y6773" s="48"/>
      <c r="Z6773" s="135"/>
      <c r="AA6773" s="49"/>
      <c r="AB6773" s="50">
        <f t="shared" si="4587"/>
        <v>906.3355294117647</v>
      </c>
      <c r="AC6773" s="42">
        <f t="shared" si="4588"/>
        <v>120</v>
      </c>
      <c r="AD6773" s="90">
        <f>AD6774+AD6779+AD6786</f>
        <v>108760.26352941176</v>
      </c>
      <c r="AE6773" s="188">
        <f t="shared" ref="AE6773:AH6773" si="4840">AE6774+AE6779+AE6786</f>
        <v>0</v>
      </c>
      <c r="AF6773" s="189">
        <f t="shared" si="4840"/>
        <v>0</v>
      </c>
      <c r="AG6773" s="189">
        <f t="shared" si="4840"/>
        <v>0</v>
      </c>
      <c r="AH6773" s="189">
        <f t="shared" si="4840"/>
        <v>0</v>
      </c>
      <c r="AI6773" s="161">
        <f t="shared" ref="AI6773" si="4841">SUM(AE6773:AH6773)</f>
        <v>0</v>
      </c>
      <c r="AK6773" s="169">
        <v>5</v>
      </c>
      <c r="AO6773" s="19" t="s">
        <v>63</v>
      </c>
    </row>
    <row r="6774" spans="1:41" s="103" customFormat="1" ht="19.899999999999999" customHeight="1" x14ac:dyDescent="0.25">
      <c r="A6774" s="51"/>
      <c r="B6774" s="52"/>
      <c r="C6774" s="165"/>
      <c r="D6774" s="52"/>
      <c r="E6774" s="115"/>
      <c r="F6774" s="58"/>
      <c r="G6774" s="58"/>
      <c r="H6774" s="58"/>
      <c r="I6774" s="55"/>
      <c r="J6774" s="113">
        <f>J6773</f>
        <v>120</v>
      </c>
      <c r="K6774" s="212">
        <f>K6773</f>
        <v>120</v>
      </c>
      <c r="L6774" s="58"/>
      <c r="M6774" s="58">
        <f>K6774-L6774</f>
        <v>120</v>
      </c>
      <c r="N6774" s="166"/>
      <c r="O6774" s="58"/>
      <c r="P6774" s="58"/>
      <c r="Q6774" s="58"/>
      <c r="R6774" s="58"/>
      <c r="S6774" s="58"/>
      <c r="T6774" s="220"/>
      <c r="U6774" s="88"/>
      <c r="V6774" s="56"/>
      <c r="W6774" s="57" t="s">
        <v>1591</v>
      </c>
      <c r="X6774" s="53"/>
      <c r="Y6774" s="91" t="s">
        <v>68</v>
      </c>
      <c r="Z6774" s="136">
        <f>AD6774/AC6774</f>
        <v>6.3355294117647061</v>
      </c>
      <c r="AA6774" s="58"/>
      <c r="AB6774" s="53">
        <f>AD6774/AC6774</f>
        <v>6.3355294117647061</v>
      </c>
      <c r="AC6774" s="53">
        <f>M6774+$AE$10</f>
        <v>120</v>
      </c>
      <c r="AD6774" s="54">
        <f>SUM(AD6775:AD6778)</f>
        <v>760.26352941176469</v>
      </c>
      <c r="AE6774" s="184">
        <f>SUMIFS($AD$37:$AD$12971,$V$37:$V$12971,$V6774,$X$37:$X$12971,AE$13)</f>
        <v>0</v>
      </c>
      <c r="AF6774" s="185">
        <f>SUMIFS($AD$37:$AD$12971,$V$37:$V$12971,$V6774,$X$37:$X$12971,AF$13)</f>
        <v>0</v>
      </c>
      <c r="AG6774" s="185">
        <f>SUMIFS($AD$37:$AD$12971,$V$37:$V$12971,$V6774,$X$37:$X$12971,AG$13)</f>
        <v>0</v>
      </c>
      <c r="AH6774" s="187">
        <f>SUMIFS($AD$37:$AD$12971,$V$37:$V$12971,$V6774,$X$37:$X$12971,AH$13)</f>
        <v>0</v>
      </c>
      <c r="AI6774" s="161">
        <f t="shared" ref="AI6774" si="4842">SUM(AE6774:AH6774)</f>
        <v>0</v>
      </c>
      <c r="AK6774" s="172"/>
    </row>
    <row r="6775" spans="1:41" s="102" customFormat="1" ht="19.899999999999999" customHeight="1" x14ac:dyDescent="0.25">
      <c r="A6775" s="45"/>
      <c r="B6775" s="59"/>
      <c r="C6775" s="137"/>
      <c r="D6775" s="59"/>
      <c r="E6775" s="116"/>
      <c r="F6775" s="120"/>
      <c r="G6775" s="120"/>
      <c r="H6775" s="120"/>
      <c r="I6775" s="60"/>
      <c r="J6775" s="116"/>
      <c r="K6775" s="213"/>
      <c r="L6775" s="120"/>
      <c r="M6775" s="120"/>
      <c r="N6775" s="167"/>
      <c r="O6775" s="120"/>
      <c r="P6775" s="120"/>
      <c r="Q6775" s="120"/>
      <c r="R6775" s="120"/>
      <c r="S6775" s="120"/>
      <c r="T6775" s="221"/>
      <c r="U6775" s="89"/>
      <c r="V6775" s="61"/>
      <c r="W6775" s="92" t="s">
        <v>129</v>
      </c>
      <c r="X6775" s="93" t="s">
        <v>29</v>
      </c>
      <c r="Y6775" s="93" t="s">
        <v>93</v>
      </c>
      <c r="Z6775" s="134">
        <f>VLOOKUP(W6775,Sheet2!$B:$D,3,FALSE)</f>
        <v>56</v>
      </c>
      <c r="AA6775" s="93">
        <f>80/(1.5*1*1)</f>
        <v>53.333333333333336</v>
      </c>
      <c r="AB6775" s="93">
        <f t="shared" ref="AB6775" si="4843">AD6775/AC6774</f>
        <v>1.05</v>
      </c>
      <c r="AC6775" s="93">
        <f>AC6774/AA6775</f>
        <v>2.25</v>
      </c>
      <c r="AD6775" s="94">
        <f t="shared" ref="AD6775:AD6776" si="4844">AC6775*Z6775</f>
        <v>126</v>
      </c>
      <c r="AE6775" s="190"/>
      <c r="AF6775" s="191"/>
      <c r="AG6775" s="191"/>
      <c r="AH6775" s="191"/>
      <c r="AI6775" s="186"/>
      <c r="AK6775" s="171"/>
    </row>
    <row r="6776" spans="1:41" s="102" customFormat="1" ht="19.899999999999999" customHeight="1" x14ac:dyDescent="0.25">
      <c r="A6776" s="45"/>
      <c r="B6776" s="59"/>
      <c r="C6776" s="137"/>
      <c r="D6776" s="59"/>
      <c r="E6776" s="116"/>
      <c r="F6776" s="120"/>
      <c r="G6776" s="120"/>
      <c r="H6776" s="120"/>
      <c r="I6776" s="60"/>
      <c r="J6776" s="116"/>
      <c r="K6776" s="213"/>
      <c r="L6776" s="120"/>
      <c r="M6776" s="120"/>
      <c r="N6776" s="167"/>
      <c r="O6776" s="120"/>
      <c r="P6776" s="120"/>
      <c r="Q6776" s="120"/>
      <c r="R6776" s="120"/>
      <c r="S6776" s="120"/>
      <c r="T6776" s="221"/>
      <c r="U6776" s="89"/>
      <c r="V6776" s="61"/>
      <c r="W6776" s="92" t="s">
        <v>65</v>
      </c>
      <c r="X6776" s="93" t="s">
        <v>30</v>
      </c>
      <c r="Y6776" s="93" t="s">
        <v>1011</v>
      </c>
      <c r="Z6776" s="134">
        <f>VLOOKUP(W6776,Sheet2!$B:$D,3,FALSE)</f>
        <v>1.76</v>
      </c>
      <c r="AA6776" s="93">
        <f>AA6775/14</f>
        <v>3.8095238095238098</v>
      </c>
      <c r="AB6776" s="93">
        <f>AD6776/AC6774</f>
        <v>0.46199999999999991</v>
      </c>
      <c r="AC6776" s="93">
        <f>AC6774/AA6776</f>
        <v>31.499999999999996</v>
      </c>
      <c r="AD6776" s="94">
        <f t="shared" si="4844"/>
        <v>55.439999999999991</v>
      </c>
      <c r="AE6776" s="190"/>
      <c r="AF6776" s="191"/>
      <c r="AG6776" s="191"/>
      <c r="AH6776" s="191"/>
      <c r="AI6776" s="186"/>
      <c r="AK6776" s="171"/>
    </row>
    <row r="6777" spans="1:41" s="102" customFormat="1" ht="19.899999999999999" customHeight="1" x14ac:dyDescent="0.25">
      <c r="A6777" s="45"/>
      <c r="B6777" s="59"/>
      <c r="C6777" s="137"/>
      <c r="D6777" s="59"/>
      <c r="E6777" s="116"/>
      <c r="F6777" s="120"/>
      <c r="G6777" s="120"/>
      <c r="H6777" s="120"/>
      <c r="I6777" s="60"/>
      <c r="J6777" s="116"/>
      <c r="K6777" s="213"/>
      <c r="L6777" s="120"/>
      <c r="M6777" s="120"/>
      <c r="N6777" s="167"/>
      <c r="O6777" s="120"/>
      <c r="P6777" s="120"/>
      <c r="Q6777" s="120"/>
      <c r="R6777" s="120"/>
      <c r="S6777" s="120"/>
      <c r="T6777" s="221"/>
      <c r="U6777" s="89"/>
      <c r="V6777" s="61"/>
      <c r="W6777" s="92" t="s">
        <v>161</v>
      </c>
      <c r="X6777" s="93" t="s">
        <v>29</v>
      </c>
      <c r="Y6777" s="93" t="s">
        <v>93</v>
      </c>
      <c r="Z6777" s="134">
        <f>VLOOKUP(W6777,Sheet2!$B:$D,3,FALSE)</f>
        <v>48</v>
      </c>
      <c r="AA6777" s="93">
        <f>(16*0.85*1.5)/(1.5*1*1)</f>
        <v>13.6</v>
      </c>
      <c r="AB6777" s="93">
        <f>AD6777/AC6774</f>
        <v>3.5294117647058827</v>
      </c>
      <c r="AC6777" s="93">
        <f>AC6774/AA6777</f>
        <v>8.8235294117647065</v>
      </c>
      <c r="AD6777" s="94">
        <f>AC6777*Z6777</f>
        <v>423.52941176470591</v>
      </c>
      <c r="AE6777" s="190"/>
      <c r="AF6777" s="191"/>
      <c r="AG6777" s="191"/>
      <c r="AH6777" s="191"/>
      <c r="AI6777" s="186"/>
      <c r="AK6777" s="171"/>
    </row>
    <row r="6778" spans="1:41" s="102" customFormat="1" ht="19.899999999999999" customHeight="1" x14ac:dyDescent="0.25">
      <c r="A6778" s="45"/>
      <c r="B6778" s="59"/>
      <c r="C6778" s="137"/>
      <c r="D6778" s="59"/>
      <c r="E6778" s="116"/>
      <c r="F6778" s="120"/>
      <c r="G6778" s="120"/>
      <c r="H6778" s="120"/>
      <c r="I6778" s="60"/>
      <c r="J6778" s="116"/>
      <c r="K6778" s="213"/>
      <c r="L6778" s="120"/>
      <c r="M6778" s="120"/>
      <c r="N6778" s="167"/>
      <c r="O6778" s="120"/>
      <c r="P6778" s="120"/>
      <c r="Q6778" s="120"/>
      <c r="R6778" s="120"/>
      <c r="S6778" s="120"/>
      <c r="T6778" s="221"/>
      <c r="U6778" s="89"/>
      <c r="V6778" s="61"/>
      <c r="W6778" s="92" t="s">
        <v>65</v>
      </c>
      <c r="X6778" s="93" t="s">
        <v>30</v>
      </c>
      <c r="Y6778" s="93" t="s">
        <v>1011</v>
      </c>
      <c r="Z6778" s="134">
        <f>VLOOKUP(W6778,Sheet2!$B:$D,3,FALSE)</f>
        <v>1.76</v>
      </c>
      <c r="AA6778" s="93">
        <f>AA6777/10</f>
        <v>1.3599999999999999</v>
      </c>
      <c r="AB6778" s="93">
        <f>AD6778/AC6774</f>
        <v>1.2941176470588236</v>
      </c>
      <c r="AC6778" s="93">
        <f>AC6774/AA6778</f>
        <v>88.235294117647072</v>
      </c>
      <c r="AD6778" s="94">
        <f>AC6778*Z6778</f>
        <v>155.29411764705884</v>
      </c>
      <c r="AE6778" s="190"/>
      <c r="AF6778" s="191"/>
      <c r="AG6778" s="191"/>
      <c r="AH6778" s="191"/>
      <c r="AI6778" s="186"/>
      <c r="AK6778" s="171"/>
    </row>
    <row r="6779" spans="1:41" s="103" customFormat="1" ht="19.899999999999999" customHeight="1" x14ac:dyDescent="0.25">
      <c r="A6779" s="51"/>
      <c r="B6779" s="52"/>
      <c r="C6779" s="165"/>
      <c r="D6779" s="52"/>
      <c r="E6779" s="115"/>
      <c r="F6779" s="58"/>
      <c r="G6779" s="58"/>
      <c r="H6779" s="58"/>
      <c r="I6779" s="55"/>
      <c r="J6779" s="113">
        <f>J6773</f>
        <v>120</v>
      </c>
      <c r="K6779" s="212">
        <f>K6773</f>
        <v>120</v>
      </c>
      <c r="L6779" s="58"/>
      <c r="M6779" s="58">
        <f>K6779-L6779</f>
        <v>120</v>
      </c>
      <c r="N6779" s="166"/>
      <c r="O6779" s="58"/>
      <c r="P6779" s="58"/>
      <c r="Q6779" s="58"/>
      <c r="R6779" s="58"/>
      <c r="S6779" s="58"/>
      <c r="T6779" s="220"/>
      <c r="U6779" s="88"/>
      <c r="V6779" s="56"/>
      <c r="W6779" s="57" t="s">
        <v>1592</v>
      </c>
      <c r="X6779" s="53"/>
      <c r="Y6779" s="91" t="s">
        <v>68</v>
      </c>
      <c r="Z6779" s="136">
        <f>AD6779/AC6779</f>
        <v>540</v>
      </c>
      <c r="AA6779" s="58"/>
      <c r="AB6779" s="53">
        <f>AD6779/AC6779</f>
        <v>540</v>
      </c>
      <c r="AC6779" s="53">
        <f>M6779+$AE$10</f>
        <v>120</v>
      </c>
      <c r="AD6779" s="54">
        <f>SUM(AD6780:AD6785)</f>
        <v>64800</v>
      </c>
      <c r="AE6779" s="184">
        <f>SUMIFS($AD$37:$AD$12971,$V$37:$V$12971,$V6779,$X$37:$X$12971,AE$13)</f>
        <v>0</v>
      </c>
      <c r="AF6779" s="185">
        <f>SUMIFS($AD$37:$AD$12971,$V$37:$V$12971,$V6779,$X$37:$X$12971,AF$13)</f>
        <v>0</v>
      </c>
      <c r="AG6779" s="185">
        <f>SUMIFS($AD$37:$AD$12971,$V$37:$V$12971,$V6779,$X$37:$X$12971,AG$13)</f>
        <v>0</v>
      </c>
      <c r="AH6779" s="187">
        <f>SUMIFS($AD$37:$AD$12971,$V$37:$V$12971,$V6779,$X$37:$X$12971,AH$13)</f>
        <v>0</v>
      </c>
      <c r="AI6779" s="161">
        <f t="shared" ref="AI6779" si="4845">SUM(AE6779:AH6779)</f>
        <v>0</v>
      </c>
      <c r="AK6779" s="172"/>
    </row>
    <row r="6780" spans="1:41" s="102" customFormat="1" ht="19.899999999999999" customHeight="1" x14ac:dyDescent="0.25">
      <c r="A6780" s="45"/>
      <c r="B6780" s="59"/>
      <c r="C6780" s="137"/>
      <c r="D6780" s="59"/>
      <c r="E6780" s="116"/>
      <c r="F6780" s="120"/>
      <c r="G6780" s="120"/>
      <c r="H6780" s="120"/>
      <c r="I6780" s="60"/>
      <c r="J6780" s="116"/>
      <c r="K6780" s="213"/>
      <c r="L6780" s="120"/>
      <c r="M6780" s="120"/>
      <c r="N6780" s="167"/>
      <c r="O6780" s="120"/>
      <c r="P6780" s="120"/>
      <c r="Q6780" s="120"/>
      <c r="R6780" s="120"/>
      <c r="S6780" s="120"/>
      <c r="T6780" s="221"/>
      <c r="U6780" s="89"/>
      <c r="V6780" s="61"/>
      <c r="W6780" s="92" t="s">
        <v>1032</v>
      </c>
      <c r="X6780" s="93" t="s">
        <v>30</v>
      </c>
      <c r="Y6780" s="93" t="s">
        <v>66</v>
      </c>
      <c r="Z6780" s="134">
        <f>VLOOKUP(W6780,Sheet2!$B:$D,3,FALSE)</f>
        <v>250</v>
      </c>
      <c r="AA6780" s="93">
        <f>1/0.2</f>
        <v>5</v>
      </c>
      <c r="AB6780" s="93">
        <f>AD6780/AC6786</f>
        <v>50</v>
      </c>
      <c r="AC6780" s="93">
        <f>AC6786/AA6780</f>
        <v>24</v>
      </c>
      <c r="AD6780" s="94">
        <f t="shared" ref="AD6780:AD6782" si="4846">AC6780*Z6780</f>
        <v>6000</v>
      </c>
      <c r="AE6780" s="190"/>
      <c r="AF6780" s="191"/>
      <c r="AG6780" s="191"/>
      <c r="AH6780" s="191"/>
      <c r="AI6780" s="186"/>
      <c r="AK6780" s="171"/>
    </row>
    <row r="6781" spans="1:41" s="102" customFormat="1" ht="19.899999999999999" customHeight="1" x14ac:dyDescent="0.25">
      <c r="A6781" s="45"/>
      <c r="B6781" s="59"/>
      <c r="C6781" s="137"/>
      <c r="D6781" s="59"/>
      <c r="E6781" s="116"/>
      <c r="F6781" s="120"/>
      <c r="G6781" s="120"/>
      <c r="H6781" s="120"/>
      <c r="I6781" s="60"/>
      <c r="J6781" s="116"/>
      <c r="K6781" s="213"/>
      <c r="L6781" s="120"/>
      <c r="M6781" s="120"/>
      <c r="N6781" s="167"/>
      <c r="O6781" s="120"/>
      <c r="P6781" s="120"/>
      <c r="Q6781" s="120"/>
      <c r="R6781" s="120"/>
      <c r="S6781" s="120"/>
      <c r="T6781" s="221"/>
      <c r="U6781" s="89"/>
      <c r="V6781" s="61"/>
      <c r="W6781" s="92" t="s">
        <v>1353</v>
      </c>
      <c r="X6781" s="93" t="s">
        <v>30</v>
      </c>
      <c r="Y6781" s="93" t="s">
        <v>66</v>
      </c>
      <c r="Z6781" s="134">
        <f>VLOOKUP(W6781,Sheet2!$B:$D,3,FALSE)</f>
        <v>350</v>
      </c>
      <c r="AA6781" s="93">
        <f>1/0.4</f>
        <v>2.5</v>
      </c>
      <c r="AB6781" s="93">
        <f>AD6781/AC6786</f>
        <v>140</v>
      </c>
      <c r="AC6781" s="93">
        <f>AC6786/AA6781</f>
        <v>48</v>
      </c>
      <c r="AD6781" s="94">
        <f t="shared" si="4846"/>
        <v>16800</v>
      </c>
      <c r="AE6781" s="190"/>
      <c r="AF6781" s="191"/>
      <c r="AG6781" s="191"/>
      <c r="AH6781" s="191"/>
      <c r="AI6781" s="186"/>
      <c r="AK6781" s="171"/>
    </row>
    <row r="6782" spans="1:41" s="102" customFormat="1" ht="19.899999999999999" customHeight="1" x14ac:dyDescent="0.25">
      <c r="A6782" s="45"/>
      <c r="B6782" s="59"/>
      <c r="C6782" s="137"/>
      <c r="D6782" s="59"/>
      <c r="E6782" s="116"/>
      <c r="F6782" s="120"/>
      <c r="G6782" s="120"/>
      <c r="H6782" s="120"/>
      <c r="I6782" s="60"/>
      <c r="J6782" s="116"/>
      <c r="K6782" s="213"/>
      <c r="L6782" s="120"/>
      <c r="M6782" s="120"/>
      <c r="N6782" s="167"/>
      <c r="O6782" s="120"/>
      <c r="P6782" s="120"/>
      <c r="Q6782" s="120"/>
      <c r="R6782" s="120"/>
      <c r="S6782" s="120"/>
      <c r="T6782" s="221"/>
      <c r="U6782" s="89"/>
      <c r="V6782" s="61"/>
      <c r="W6782" s="92" t="s">
        <v>99</v>
      </c>
      <c r="X6782" s="93" t="s">
        <v>30</v>
      </c>
      <c r="Y6782" s="93" t="s">
        <v>67</v>
      </c>
      <c r="Z6782" s="134">
        <f>VLOOKUP(W6782,Sheet2!$B:$D,3,FALSE)</f>
        <v>2500</v>
      </c>
      <c r="AA6782" s="93">
        <f>AA6781/0.1</f>
        <v>25</v>
      </c>
      <c r="AB6782" s="93">
        <f>AD6782/AC6786</f>
        <v>100</v>
      </c>
      <c r="AC6782" s="93">
        <f>AC6786/AA6782</f>
        <v>4.8</v>
      </c>
      <c r="AD6782" s="94">
        <f t="shared" si="4846"/>
        <v>12000</v>
      </c>
      <c r="AE6782" s="190"/>
      <c r="AF6782" s="191"/>
      <c r="AG6782" s="191"/>
      <c r="AH6782" s="191"/>
      <c r="AI6782" s="186"/>
      <c r="AK6782" s="171"/>
    </row>
    <row r="6783" spans="1:41" s="102" customFormat="1" ht="19.899999999999999" customHeight="1" x14ac:dyDescent="0.25">
      <c r="A6783" s="45"/>
      <c r="B6783" s="59"/>
      <c r="C6783" s="137"/>
      <c r="D6783" s="59"/>
      <c r="E6783" s="116"/>
      <c r="F6783" s="120"/>
      <c r="G6783" s="120"/>
      <c r="H6783" s="120"/>
      <c r="I6783" s="60"/>
      <c r="J6783" s="116"/>
      <c r="K6783" s="213"/>
      <c r="L6783" s="120"/>
      <c r="M6783" s="120"/>
      <c r="N6783" s="167"/>
      <c r="O6783" s="120"/>
      <c r="P6783" s="120"/>
      <c r="Q6783" s="120"/>
      <c r="R6783" s="120"/>
      <c r="S6783" s="120"/>
      <c r="T6783" s="221"/>
      <c r="U6783" s="89"/>
      <c r="V6783" s="61"/>
      <c r="W6783" s="92" t="s">
        <v>1354</v>
      </c>
      <c r="X6783" s="93" t="s">
        <v>32</v>
      </c>
      <c r="Y6783" s="93" t="s">
        <v>66</v>
      </c>
      <c r="Z6783" s="134">
        <f>VLOOKUP(W6783,Sheet2!$B:$D,3,FALSE)</f>
        <v>150</v>
      </c>
      <c r="AA6783" s="93">
        <f>AA6780</f>
        <v>5</v>
      </c>
      <c r="AB6783" s="93">
        <f>AD6783/AC6786</f>
        <v>30</v>
      </c>
      <c r="AC6783" s="93">
        <f>AC6786/AA6783</f>
        <v>24</v>
      </c>
      <c r="AD6783" s="94">
        <f>AC6783*Z6783</f>
        <v>3600</v>
      </c>
      <c r="AE6783" s="190"/>
      <c r="AF6783" s="191"/>
      <c r="AG6783" s="191"/>
      <c r="AH6783" s="191"/>
      <c r="AI6783" s="186"/>
      <c r="AK6783" s="171"/>
    </row>
    <row r="6784" spans="1:41" s="102" customFormat="1" ht="19.899999999999999" customHeight="1" x14ac:dyDescent="0.25">
      <c r="A6784" s="45"/>
      <c r="B6784" s="59"/>
      <c r="C6784" s="137"/>
      <c r="D6784" s="59"/>
      <c r="E6784" s="116"/>
      <c r="F6784" s="120"/>
      <c r="G6784" s="120"/>
      <c r="H6784" s="120"/>
      <c r="I6784" s="60"/>
      <c r="J6784" s="116"/>
      <c r="K6784" s="213"/>
      <c r="L6784" s="120"/>
      <c r="M6784" s="120"/>
      <c r="N6784" s="167"/>
      <c r="O6784" s="120"/>
      <c r="P6784" s="120"/>
      <c r="Q6784" s="120"/>
      <c r="R6784" s="120"/>
      <c r="S6784" s="120"/>
      <c r="T6784" s="221"/>
      <c r="U6784" s="89"/>
      <c r="V6784" s="61"/>
      <c r="W6784" s="92" t="s">
        <v>1355</v>
      </c>
      <c r="X6784" s="93" t="s">
        <v>32</v>
      </c>
      <c r="Y6784" s="93" t="s">
        <v>66</v>
      </c>
      <c r="Z6784" s="134">
        <f>VLOOKUP(W6784,Sheet2!$B:$D,3,FALSE)</f>
        <v>450</v>
      </c>
      <c r="AA6784" s="93">
        <f>AA6781</f>
        <v>2.5</v>
      </c>
      <c r="AB6784" s="93">
        <f>AD6784/AC6786</f>
        <v>180</v>
      </c>
      <c r="AC6784" s="93">
        <f>AC6786/AA6784</f>
        <v>48</v>
      </c>
      <c r="AD6784" s="94">
        <f>AC6784*Z6784</f>
        <v>21600</v>
      </c>
      <c r="AE6784" s="190"/>
      <c r="AF6784" s="191"/>
      <c r="AG6784" s="191"/>
      <c r="AH6784" s="191"/>
      <c r="AI6784" s="186"/>
      <c r="AK6784" s="171"/>
    </row>
    <row r="6785" spans="1:41" s="102" customFormat="1" ht="19.899999999999999" customHeight="1" x14ac:dyDescent="0.25">
      <c r="A6785" s="45"/>
      <c r="B6785" s="59"/>
      <c r="C6785" s="137"/>
      <c r="D6785" s="59"/>
      <c r="E6785" s="116"/>
      <c r="F6785" s="120"/>
      <c r="G6785" s="120"/>
      <c r="H6785" s="120"/>
      <c r="I6785" s="60"/>
      <c r="J6785" s="116"/>
      <c r="K6785" s="213"/>
      <c r="L6785" s="120"/>
      <c r="M6785" s="120"/>
      <c r="N6785" s="167"/>
      <c r="O6785" s="120"/>
      <c r="P6785" s="120"/>
      <c r="Q6785" s="120"/>
      <c r="R6785" s="120"/>
      <c r="S6785" s="120"/>
      <c r="T6785" s="221"/>
      <c r="U6785" s="89"/>
      <c r="V6785" s="61"/>
      <c r="W6785" s="92" t="s">
        <v>124</v>
      </c>
      <c r="X6785" s="93" t="s">
        <v>32</v>
      </c>
      <c r="Y6785" s="93" t="s">
        <v>64</v>
      </c>
      <c r="Z6785" s="134">
        <f>VLOOKUP(W6785,Sheet2!$B:$D,3,FALSE)</f>
        <v>10</v>
      </c>
      <c r="AA6785" s="93">
        <f>1/4</f>
        <v>0.25</v>
      </c>
      <c r="AB6785" s="93">
        <f t="shared" ref="AB6785" si="4847">AD6785/AC6779</f>
        <v>40</v>
      </c>
      <c r="AC6785" s="93">
        <f>AC6779/AA6785</f>
        <v>480</v>
      </c>
      <c r="AD6785" s="94">
        <f t="shared" ref="AD6785" si="4848">AC6785*Z6785</f>
        <v>4800</v>
      </c>
      <c r="AE6785" s="190"/>
      <c r="AF6785" s="191"/>
      <c r="AG6785" s="191"/>
      <c r="AH6785" s="191"/>
      <c r="AI6785" s="186"/>
      <c r="AK6785" s="171"/>
    </row>
    <row r="6786" spans="1:41" s="103" customFormat="1" ht="19.899999999999999" customHeight="1" x14ac:dyDescent="0.25">
      <c r="A6786" s="51"/>
      <c r="B6786" s="52"/>
      <c r="C6786" s="165"/>
      <c r="D6786" s="52"/>
      <c r="E6786" s="115"/>
      <c r="F6786" s="58"/>
      <c r="G6786" s="58"/>
      <c r="H6786" s="58"/>
      <c r="I6786" s="55"/>
      <c r="J6786" s="113">
        <f>J6773</f>
        <v>120</v>
      </c>
      <c r="K6786" s="212">
        <f>K6773</f>
        <v>120</v>
      </c>
      <c r="L6786" s="58"/>
      <c r="M6786" s="58">
        <f>K6786-L6786</f>
        <v>120</v>
      </c>
      <c r="N6786" s="166"/>
      <c r="O6786" s="58"/>
      <c r="P6786" s="58"/>
      <c r="Q6786" s="58"/>
      <c r="R6786" s="58"/>
      <c r="S6786" s="58"/>
      <c r="T6786" s="220"/>
      <c r="U6786" s="88"/>
      <c r="V6786" s="56"/>
      <c r="W6786" s="57" t="s">
        <v>1593</v>
      </c>
      <c r="X6786" s="53"/>
      <c r="Y6786" s="91" t="s">
        <v>68</v>
      </c>
      <c r="Z6786" s="136">
        <f>AD6786/AC6786</f>
        <v>360</v>
      </c>
      <c r="AA6786" s="58"/>
      <c r="AB6786" s="53">
        <f>AD6786/AC6786</f>
        <v>360</v>
      </c>
      <c r="AC6786" s="53">
        <f>M6786+$AE$10</f>
        <v>120</v>
      </c>
      <c r="AD6786" s="54">
        <f>SUM(AD6787:AD6789)</f>
        <v>43200</v>
      </c>
      <c r="AE6786" s="184">
        <f>SUMIFS($AD$37:$AD$12971,$V$37:$V$12971,$V6786,$X$37:$X$12971,AE$13)</f>
        <v>0</v>
      </c>
      <c r="AF6786" s="185">
        <f>SUMIFS($AD$37:$AD$12971,$V$37:$V$12971,$V6786,$X$37:$X$12971,AF$13)</f>
        <v>0</v>
      </c>
      <c r="AG6786" s="185">
        <f>SUMIFS($AD$37:$AD$12971,$V$37:$V$12971,$V6786,$X$37:$X$12971,AG$13)</f>
        <v>0</v>
      </c>
      <c r="AH6786" s="187">
        <f>SUMIFS($AD$37:$AD$12971,$V$37:$V$12971,$V6786,$X$37:$X$12971,AH$13)</f>
        <v>0</v>
      </c>
      <c r="AI6786" s="161">
        <f t="shared" ref="AI6786" si="4849">SUM(AE6786:AH6786)</f>
        <v>0</v>
      </c>
      <c r="AK6786" s="172"/>
    </row>
    <row r="6787" spans="1:41" s="102" customFormat="1" ht="19.899999999999999" customHeight="1" x14ac:dyDescent="0.25">
      <c r="A6787" s="45"/>
      <c r="B6787" s="59"/>
      <c r="C6787" s="137"/>
      <c r="D6787" s="59"/>
      <c r="E6787" s="116"/>
      <c r="F6787" s="120"/>
      <c r="G6787" s="120"/>
      <c r="H6787" s="120"/>
      <c r="I6787" s="60"/>
      <c r="J6787" s="116"/>
      <c r="K6787" s="213"/>
      <c r="L6787" s="120"/>
      <c r="M6787" s="120"/>
      <c r="N6787" s="167"/>
      <c r="O6787" s="120"/>
      <c r="P6787" s="120"/>
      <c r="Q6787" s="120"/>
      <c r="R6787" s="120"/>
      <c r="S6787" s="120"/>
      <c r="T6787" s="221"/>
      <c r="U6787" s="89"/>
      <c r="V6787" s="61"/>
      <c r="W6787" s="92" t="s">
        <v>1595</v>
      </c>
      <c r="X6787" s="93" t="s">
        <v>30</v>
      </c>
      <c r="Y6787" s="93" t="s">
        <v>68</v>
      </c>
      <c r="Z6787" s="134">
        <f>VLOOKUP(W6787,Sheet2!$B:$D,3,FALSE)</f>
        <v>150</v>
      </c>
      <c r="AA6787" s="93">
        <v>1</v>
      </c>
      <c r="AB6787" s="93">
        <f>AD6787/AC6786</f>
        <v>150</v>
      </c>
      <c r="AC6787" s="93">
        <f>AC6786/AA6787</f>
        <v>120</v>
      </c>
      <c r="AD6787" s="94">
        <f t="shared" ref="AD6787:AD6788" si="4850">AC6787*Z6787</f>
        <v>18000</v>
      </c>
      <c r="AE6787" s="190"/>
      <c r="AF6787" s="191"/>
      <c r="AG6787" s="191"/>
      <c r="AH6787" s="191"/>
      <c r="AI6787" s="186"/>
      <c r="AK6787" s="171"/>
    </row>
    <row r="6788" spans="1:41" s="102" customFormat="1" ht="19.899999999999999" customHeight="1" x14ac:dyDescent="0.25">
      <c r="A6788" s="45"/>
      <c r="B6788" s="59"/>
      <c r="C6788" s="137"/>
      <c r="D6788" s="59"/>
      <c r="E6788" s="116"/>
      <c r="F6788" s="120"/>
      <c r="G6788" s="120"/>
      <c r="H6788" s="120"/>
      <c r="I6788" s="60"/>
      <c r="J6788" s="116"/>
      <c r="K6788" s="213"/>
      <c r="L6788" s="120"/>
      <c r="M6788" s="120"/>
      <c r="N6788" s="167"/>
      <c r="O6788" s="120"/>
      <c r="P6788" s="120"/>
      <c r="Q6788" s="120"/>
      <c r="R6788" s="120"/>
      <c r="S6788" s="120"/>
      <c r="T6788" s="221"/>
      <c r="U6788" s="89"/>
      <c r="V6788" s="61"/>
      <c r="W6788" s="92" t="s">
        <v>1596</v>
      </c>
      <c r="X6788" s="93" t="s">
        <v>30</v>
      </c>
      <c r="Y6788" s="93" t="s">
        <v>68</v>
      </c>
      <c r="Z6788" s="134">
        <f>VLOOKUP(W6788,Sheet2!$B:$D,3,FALSE)</f>
        <v>90</v>
      </c>
      <c r="AA6788" s="93">
        <v>1</v>
      </c>
      <c r="AB6788" s="93">
        <f>AD6788/AC6786</f>
        <v>90</v>
      </c>
      <c r="AC6788" s="93">
        <f>AC6786/AA6788</f>
        <v>120</v>
      </c>
      <c r="AD6788" s="94">
        <f t="shared" si="4850"/>
        <v>10800</v>
      </c>
      <c r="AE6788" s="190"/>
      <c r="AF6788" s="191"/>
      <c r="AG6788" s="191"/>
      <c r="AH6788" s="191"/>
      <c r="AI6788" s="186"/>
      <c r="AK6788" s="171"/>
    </row>
    <row r="6789" spans="1:41" s="102" customFormat="1" ht="19.899999999999999" customHeight="1" x14ac:dyDescent="0.25">
      <c r="A6789" s="45"/>
      <c r="B6789" s="59"/>
      <c r="C6789" s="137"/>
      <c r="D6789" s="59"/>
      <c r="E6789" s="116"/>
      <c r="F6789" s="120"/>
      <c r="G6789" s="120"/>
      <c r="H6789" s="120"/>
      <c r="I6789" s="60"/>
      <c r="J6789" s="116"/>
      <c r="K6789" s="213"/>
      <c r="L6789" s="120"/>
      <c r="M6789" s="120"/>
      <c r="N6789" s="167"/>
      <c r="O6789" s="120"/>
      <c r="P6789" s="120"/>
      <c r="Q6789" s="120"/>
      <c r="R6789" s="120"/>
      <c r="S6789" s="120"/>
      <c r="T6789" s="221"/>
      <c r="U6789" s="89"/>
      <c r="V6789" s="61"/>
      <c r="W6789" s="92" t="s">
        <v>1594</v>
      </c>
      <c r="X6789" s="93" t="s">
        <v>32</v>
      </c>
      <c r="Y6789" s="93" t="s">
        <v>68</v>
      </c>
      <c r="Z6789" s="134">
        <f>VLOOKUP(W6789,Sheet2!$B:$D,3,FALSE)</f>
        <v>120</v>
      </c>
      <c r="AA6789" s="93">
        <v>1</v>
      </c>
      <c r="AB6789" s="93">
        <f>AD6789/AC6786</f>
        <v>120</v>
      </c>
      <c r="AC6789" s="93">
        <f>AC6786/AA6789</f>
        <v>120</v>
      </c>
      <c r="AD6789" s="94">
        <f>AC6789*Z6789</f>
        <v>14400</v>
      </c>
      <c r="AE6789" s="190"/>
      <c r="AF6789" s="191"/>
      <c r="AG6789" s="191"/>
      <c r="AH6789" s="191"/>
      <c r="AI6789" s="186"/>
      <c r="AK6789" s="171"/>
    </row>
    <row r="6790" spans="1:41" ht="20.100000000000001" customHeight="1" x14ac:dyDescent="0.25">
      <c r="A6790" s="277" t="s">
        <v>491</v>
      </c>
      <c r="B6790" s="278"/>
      <c r="C6790" s="64" t="s">
        <v>659</v>
      </c>
      <c r="D6790" s="46" t="s">
        <v>215</v>
      </c>
      <c r="E6790" s="114">
        <v>1</v>
      </c>
      <c r="F6790" s="44">
        <v>22658</v>
      </c>
      <c r="G6790" s="44">
        <f t="shared" si="4575"/>
        <v>22658</v>
      </c>
      <c r="H6790" s="44">
        <f t="shared" si="4576"/>
        <v>18500</v>
      </c>
      <c r="I6790" s="43">
        <f t="shared" si="4577"/>
        <v>18500</v>
      </c>
      <c r="J6790" s="112">
        <f t="shared" si="4578"/>
        <v>1</v>
      </c>
      <c r="K6790" s="211">
        <f t="shared" si="4579"/>
        <v>1</v>
      </c>
      <c r="L6790" s="44"/>
      <c r="M6790" s="44">
        <f t="shared" si="4580"/>
        <v>1</v>
      </c>
      <c r="N6790" s="173">
        <f t="shared" si="4581"/>
        <v>1</v>
      </c>
      <c r="O6790" s="44">
        <f t="shared" si="4582"/>
        <v>22658</v>
      </c>
      <c r="P6790" s="44">
        <f t="shared" si="4583"/>
        <v>22658</v>
      </c>
      <c r="Q6790" s="44">
        <f t="shared" si="4584"/>
        <v>18500</v>
      </c>
      <c r="R6790" s="44">
        <f t="shared" si="4585"/>
        <v>18500</v>
      </c>
      <c r="S6790" s="123"/>
      <c r="T6790" s="219">
        <f t="shared" si="4586"/>
        <v>18500</v>
      </c>
      <c r="U6790" s="87"/>
      <c r="V6790" s="47"/>
      <c r="W6790" s="48"/>
      <c r="X6790" s="48"/>
      <c r="Y6790" s="48"/>
      <c r="Z6790" s="135"/>
      <c r="AA6790" s="49"/>
      <c r="AB6790" s="50">
        <f t="shared" si="4587"/>
        <v>18500</v>
      </c>
      <c r="AC6790" s="42">
        <f t="shared" si="4588"/>
        <v>1</v>
      </c>
      <c r="AD6790" s="90">
        <f>AD6791</f>
        <v>18500</v>
      </c>
      <c r="AE6790" s="188">
        <f t="shared" ref="AE6790" si="4851">AE6791</f>
        <v>0</v>
      </c>
      <c r="AF6790" s="189">
        <f t="shared" ref="AF6790" si="4852">AF6791</f>
        <v>0</v>
      </c>
      <c r="AG6790" s="189">
        <f t="shared" ref="AG6790" si="4853">AG6791</f>
        <v>0</v>
      </c>
      <c r="AH6790" s="189">
        <f t="shared" ref="AH6790" si="4854">AH6791</f>
        <v>0</v>
      </c>
      <c r="AI6790" s="161">
        <f t="shared" ref="AI6790" si="4855">SUM(AE6790:AH6790)</f>
        <v>0</v>
      </c>
      <c r="AK6790" s="169">
        <v>5</v>
      </c>
      <c r="AO6790" s="19" t="s">
        <v>63</v>
      </c>
    </row>
    <row r="6791" spans="1:41" s="103" customFormat="1" ht="19.899999999999999" customHeight="1" x14ac:dyDescent="0.25">
      <c r="A6791" s="51"/>
      <c r="B6791" s="52"/>
      <c r="C6791" s="165"/>
      <c r="D6791" s="52"/>
      <c r="E6791" s="115"/>
      <c r="F6791" s="58"/>
      <c r="G6791" s="58"/>
      <c r="H6791" s="58"/>
      <c r="I6791" s="55"/>
      <c r="J6791" s="113">
        <f>J6790</f>
        <v>1</v>
      </c>
      <c r="K6791" s="212">
        <f>K6790</f>
        <v>1</v>
      </c>
      <c r="L6791" s="58"/>
      <c r="M6791" s="58">
        <f>K6791-L6791</f>
        <v>1</v>
      </c>
      <c r="N6791" s="166"/>
      <c r="O6791" s="58"/>
      <c r="P6791" s="58"/>
      <c r="Q6791" s="58"/>
      <c r="R6791" s="58"/>
      <c r="S6791" s="58"/>
      <c r="T6791" s="220"/>
      <c r="U6791" s="88"/>
      <c r="V6791" s="56"/>
      <c r="W6791" s="57" t="s">
        <v>1597</v>
      </c>
      <c r="X6791" s="53"/>
      <c r="Y6791" s="91" t="s">
        <v>1349</v>
      </c>
      <c r="Z6791" s="136">
        <f>AD6791/AC6791</f>
        <v>18500</v>
      </c>
      <c r="AA6791" s="58"/>
      <c r="AB6791" s="53">
        <f>AD6791/AC6791</f>
        <v>18500</v>
      </c>
      <c r="AC6791" s="53">
        <f>M6791+$AE$10</f>
        <v>1</v>
      </c>
      <c r="AD6791" s="54">
        <f>SUM(AD6792)</f>
        <v>18500</v>
      </c>
      <c r="AE6791" s="184">
        <f>SUMIFS($AD$37:$AD$12971,$V$37:$V$12971,$V6791,$X$37:$X$12971,AE$13)</f>
        <v>0</v>
      </c>
      <c r="AF6791" s="185">
        <f>SUMIFS($AD$37:$AD$12971,$V$37:$V$12971,$V6791,$X$37:$X$12971,AF$13)</f>
        <v>0</v>
      </c>
      <c r="AG6791" s="185">
        <f>SUMIFS($AD$37:$AD$12971,$V$37:$V$12971,$V6791,$X$37:$X$12971,AG$13)</f>
        <v>0</v>
      </c>
      <c r="AH6791" s="187">
        <f>SUMIFS($AD$37:$AD$12971,$V$37:$V$12971,$V6791,$X$37:$X$12971,AH$13)</f>
        <v>0</v>
      </c>
      <c r="AI6791" s="161">
        <f t="shared" ref="AI6791" si="4856">SUM(AE6791:AH6791)</f>
        <v>0</v>
      </c>
      <c r="AK6791" s="172"/>
    </row>
    <row r="6792" spans="1:41" s="102" customFormat="1" ht="19.899999999999999" customHeight="1" x14ac:dyDescent="0.25">
      <c r="A6792" s="45"/>
      <c r="B6792" s="59"/>
      <c r="C6792" s="137"/>
      <c r="D6792" s="59"/>
      <c r="E6792" s="116"/>
      <c r="F6792" s="120"/>
      <c r="G6792" s="120"/>
      <c r="H6792" s="120"/>
      <c r="I6792" s="60"/>
      <c r="J6792" s="116"/>
      <c r="K6792" s="213"/>
      <c r="L6792" s="120"/>
      <c r="M6792" s="120"/>
      <c r="N6792" s="167"/>
      <c r="O6792" s="120"/>
      <c r="P6792" s="120"/>
      <c r="Q6792" s="120"/>
      <c r="R6792" s="120"/>
      <c r="S6792" s="120"/>
      <c r="T6792" s="221"/>
      <c r="U6792" s="89"/>
      <c r="V6792" s="61"/>
      <c r="W6792" s="92" t="s">
        <v>1598</v>
      </c>
      <c r="X6792" s="93" t="s">
        <v>32</v>
      </c>
      <c r="Y6792" s="93" t="s">
        <v>1349</v>
      </c>
      <c r="Z6792" s="134">
        <f>VLOOKUP(W6792,Sheet2!$B:$D,3,FALSE)</f>
        <v>18500</v>
      </c>
      <c r="AA6792" s="93">
        <v>1</v>
      </c>
      <c r="AB6792" s="93">
        <f>AD6792/AC6791</f>
        <v>18500</v>
      </c>
      <c r="AC6792" s="93">
        <f>AC6791/AA6792</f>
        <v>1</v>
      </c>
      <c r="AD6792" s="94">
        <f t="shared" ref="AD6792" si="4857">AC6792*Z6792</f>
        <v>18500</v>
      </c>
      <c r="AE6792" s="190"/>
      <c r="AF6792" s="191"/>
      <c r="AG6792" s="191"/>
      <c r="AH6792" s="191"/>
      <c r="AI6792" s="186"/>
      <c r="AK6792" s="171"/>
    </row>
    <row r="6793" spans="1:41" ht="20.100000000000001" customHeight="1" x14ac:dyDescent="0.25">
      <c r="A6793" s="277" t="s">
        <v>491</v>
      </c>
      <c r="B6793" s="278"/>
      <c r="C6793" s="64" t="s">
        <v>660</v>
      </c>
      <c r="D6793" s="46" t="s">
        <v>215</v>
      </c>
      <c r="E6793" s="114">
        <v>1</v>
      </c>
      <c r="F6793" s="44">
        <v>8182</v>
      </c>
      <c r="G6793" s="44">
        <f t="shared" si="4575"/>
        <v>8182</v>
      </c>
      <c r="H6793" s="44">
        <f t="shared" si="4576"/>
        <v>4750</v>
      </c>
      <c r="I6793" s="43">
        <f t="shared" si="4577"/>
        <v>4750</v>
      </c>
      <c r="J6793" s="112">
        <f t="shared" si="4578"/>
        <v>1</v>
      </c>
      <c r="K6793" s="211">
        <f t="shared" si="4579"/>
        <v>1</v>
      </c>
      <c r="L6793" s="44"/>
      <c r="M6793" s="44">
        <f t="shared" si="4580"/>
        <v>1</v>
      </c>
      <c r="N6793" s="173">
        <f t="shared" si="4581"/>
        <v>1</v>
      </c>
      <c r="O6793" s="44">
        <f t="shared" si="4582"/>
        <v>8182</v>
      </c>
      <c r="P6793" s="44">
        <f t="shared" si="4583"/>
        <v>8182</v>
      </c>
      <c r="Q6793" s="44">
        <f t="shared" si="4584"/>
        <v>4750</v>
      </c>
      <c r="R6793" s="44">
        <f t="shared" si="4585"/>
        <v>4750</v>
      </c>
      <c r="S6793" s="123"/>
      <c r="T6793" s="219">
        <f t="shared" si="4586"/>
        <v>4750</v>
      </c>
      <c r="U6793" s="87"/>
      <c r="V6793" s="47"/>
      <c r="W6793" s="48"/>
      <c r="X6793" s="48"/>
      <c r="Y6793" s="48"/>
      <c r="Z6793" s="135"/>
      <c r="AA6793" s="49"/>
      <c r="AB6793" s="50">
        <f t="shared" si="4587"/>
        <v>4750</v>
      </c>
      <c r="AC6793" s="42">
        <f t="shared" si="4588"/>
        <v>1</v>
      </c>
      <c r="AD6793" s="90">
        <f>AD6794</f>
        <v>4750</v>
      </c>
      <c r="AE6793" s="188">
        <f t="shared" ref="AE6793" si="4858">AE6794</f>
        <v>0</v>
      </c>
      <c r="AF6793" s="189">
        <f t="shared" ref="AF6793" si="4859">AF6794</f>
        <v>0</v>
      </c>
      <c r="AG6793" s="189">
        <f t="shared" ref="AG6793" si="4860">AG6794</f>
        <v>0</v>
      </c>
      <c r="AH6793" s="189">
        <f t="shared" ref="AH6793" si="4861">AH6794</f>
        <v>0</v>
      </c>
      <c r="AI6793" s="161">
        <f t="shared" ref="AI6793" si="4862">SUM(AE6793:AH6793)</f>
        <v>0</v>
      </c>
      <c r="AK6793" s="169">
        <v>5</v>
      </c>
      <c r="AO6793" s="19" t="s">
        <v>63</v>
      </c>
    </row>
    <row r="6794" spans="1:41" s="103" customFormat="1" ht="19.899999999999999" customHeight="1" x14ac:dyDescent="0.25">
      <c r="A6794" s="51"/>
      <c r="B6794" s="52"/>
      <c r="C6794" s="165"/>
      <c r="D6794" s="52"/>
      <c r="E6794" s="115"/>
      <c r="F6794" s="58"/>
      <c r="G6794" s="58"/>
      <c r="H6794" s="58"/>
      <c r="I6794" s="55"/>
      <c r="J6794" s="113">
        <f>J6793</f>
        <v>1</v>
      </c>
      <c r="K6794" s="212">
        <f>K6793</f>
        <v>1</v>
      </c>
      <c r="L6794" s="58"/>
      <c r="M6794" s="58">
        <f>K6794-L6794</f>
        <v>1</v>
      </c>
      <c r="N6794" s="166"/>
      <c r="O6794" s="58"/>
      <c r="P6794" s="58"/>
      <c r="Q6794" s="58"/>
      <c r="R6794" s="58"/>
      <c r="S6794" s="58"/>
      <c r="T6794" s="220"/>
      <c r="U6794" s="88"/>
      <c r="V6794" s="56"/>
      <c r="W6794" s="57" t="s">
        <v>1599</v>
      </c>
      <c r="X6794" s="53"/>
      <c r="Y6794" s="91" t="s">
        <v>1349</v>
      </c>
      <c r="Z6794" s="136">
        <f>AD6794/AC6794</f>
        <v>4750</v>
      </c>
      <c r="AA6794" s="58"/>
      <c r="AB6794" s="53">
        <f>AD6794/AC6794</f>
        <v>4750</v>
      </c>
      <c r="AC6794" s="53">
        <f>M6794+$AE$10</f>
        <v>1</v>
      </c>
      <c r="AD6794" s="54">
        <f>SUM(AD6795)</f>
        <v>4750</v>
      </c>
      <c r="AE6794" s="184">
        <f>SUMIFS($AD$37:$AD$12971,$V$37:$V$12971,$V6794,$X$37:$X$12971,AE$13)</f>
        <v>0</v>
      </c>
      <c r="AF6794" s="185">
        <f>SUMIFS($AD$37:$AD$12971,$V$37:$V$12971,$V6794,$X$37:$X$12971,AF$13)</f>
        <v>0</v>
      </c>
      <c r="AG6794" s="185">
        <f>SUMIFS($AD$37:$AD$12971,$V$37:$V$12971,$V6794,$X$37:$X$12971,AG$13)</f>
        <v>0</v>
      </c>
      <c r="AH6794" s="187">
        <f>SUMIFS($AD$37:$AD$12971,$V$37:$V$12971,$V6794,$X$37:$X$12971,AH$13)</f>
        <v>0</v>
      </c>
      <c r="AI6794" s="161">
        <f t="shared" ref="AI6794" si="4863">SUM(AE6794:AH6794)</f>
        <v>0</v>
      </c>
      <c r="AK6794" s="172"/>
    </row>
    <row r="6795" spans="1:41" s="102" customFormat="1" ht="19.899999999999999" customHeight="1" x14ac:dyDescent="0.25">
      <c r="A6795" s="45"/>
      <c r="B6795" s="59"/>
      <c r="C6795" s="137"/>
      <c r="D6795" s="59"/>
      <c r="E6795" s="116"/>
      <c r="F6795" s="120"/>
      <c r="G6795" s="120"/>
      <c r="H6795" s="120"/>
      <c r="I6795" s="60"/>
      <c r="J6795" s="116"/>
      <c r="K6795" s="213"/>
      <c r="L6795" s="120"/>
      <c r="M6795" s="120"/>
      <c r="N6795" s="167"/>
      <c r="O6795" s="120"/>
      <c r="P6795" s="120"/>
      <c r="Q6795" s="120"/>
      <c r="R6795" s="120"/>
      <c r="S6795" s="120"/>
      <c r="T6795" s="221"/>
      <c r="U6795" s="89"/>
      <c r="V6795" s="61"/>
      <c r="W6795" s="92" t="s">
        <v>1600</v>
      </c>
      <c r="X6795" s="93" t="s">
        <v>32</v>
      </c>
      <c r="Y6795" s="93" t="s">
        <v>1349</v>
      </c>
      <c r="Z6795" s="134">
        <f>VLOOKUP(W6795,Sheet2!$B:$D,3,FALSE)</f>
        <v>4750</v>
      </c>
      <c r="AA6795" s="93">
        <v>1</v>
      </c>
      <c r="AB6795" s="93">
        <f>AD6795/AC6794</f>
        <v>4750</v>
      </c>
      <c r="AC6795" s="93">
        <f>AC6794/AA6795</f>
        <v>1</v>
      </c>
      <c r="AD6795" s="94">
        <f t="shared" ref="AD6795" si="4864">AC6795*Z6795</f>
        <v>4750</v>
      </c>
      <c r="AE6795" s="190"/>
      <c r="AF6795" s="191"/>
      <c r="AG6795" s="191"/>
      <c r="AH6795" s="191"/>
      <c r="AI6795" s="186"/>
      <c r="AK6795" s="171"/>
    </row>
    <row r="6796" spans="1:41" s="102" customFormat="1" ht="20.100000000000001" customHeight="1" x14ac:dyDescent="0.25">
      <c r="A6796" s="45" t="s">
        <v>491</v>
      </c>
      <c r="B6796" s="276"/>
      <c r="C6796" s="285" t="s">
        <v>661</v>
      </c>
      <c r="D6796" s="59"/>
      <c r="E6796" s="116"/>
      <c r="F6796" s="120"/>
      <c r="G6796" s="120">
        <f t="shared" si="4575"/>
        <v>0</v>
      </c>
      <c r="H6796" s="120">
        <f t="shared" si="4576"/>
        <v>0</v>
      </c>
      <c r="I6796" s="60">
        <f t="shared" si="4577"/>
        <v>0</v>
      </c>
      <c r="J6796" s="116">
        <f t="shared" si="4578"/>
        <v>0</v>
      </c>
      <c r="K6796" s="213">
        <f t="shared" si="4579"/>
        <v>0</v>
      </c>
      <c r="L6796" s="120"/>
      <c r="M6796" s="120">
        <f t="shared" si="4580"/>
        <v>0</v>
      </c>
      <c r="N6796" s="167">
        <f t="shared" si="4581"/>
        <v>0</v>
      </c>
      <c r="O6796" s="120">
        <f t="shared" si="4582"/>
        <v>0</v>
      </c>
      <c r="P6796" s="120">
        <f t="shared" si="4583"/>
        <v>0</v>
      </c>
      <c r="Q6796" s="120">
        <f t="shared" si="4584"/>
        <v>0</v>
      </c>
      <c r="R6796" s="120">
        <f t="shared" si="4585"/>
        <v>0</v>
      </c>
      <c r="S6796" s="120"/>
      <c r="T6796" s="221">
        <f t="shared" si="4586"/>
        <v>0</v>
      </c>
      <c r="U6796" s="89"/>
      <c r="V6796" s="61"/>
      <c r="W6796" s="92"/>
      <c r="X6796" s="38"/>
      <c r="Y6796" s="93"/>
      <c r="Z6796" s="134"/>
      <c r="AA6796" s="93"/>
      <c r="AB6796" s="93"/>
      <c r="AC6796" s="93"/>
      <c r="AD6796" s="94"/>
      <c r="AE6796" s="190"/>
      <c r="AF6796" s="191"/>
      <c r="AG6796" s="191"/>
      <c r="AH6796" s="191"/>
      <c r="AI6796" s="186"/>
      <c r="AK6796" s="171"/>
    </row>
    <row r="6797" spans="1:41" s="102" customFormat="1" ht="78.75" x14ac:dyDescent="0.25">
      <c r="A6797" s="45" t="s">
        <v>491</v>
      </c>
      <c r="B6797" s="276"/>
      <c r="C6797" s="285" t="s">
        <v>662</v>
      </c>
      <c r="D6797" s="59"/>
      <c r="E6797" s="116"/>
      <c r="F6797" s="120"/>
      <c r="G6797" s="120">
        <f t="shared" si="4575"/>
        <v>0</v>
      </c>
      <c r="H6797" s="120">
        <f t="shared" si="4576"/>
        <v>0</v>
      </c>
      <c r="I6797" s="60">
        <f t="shared" si="4577"/>
        <v>0</v>
      </c>
      <c r="J6797" s="116">
        <f t="shared" si="4578"/>
        <v>0</v>
      </c>
      <c r="K6797" s="213">
        <f t="shared" si="4579"/>
        <v>0</v>
      </c>
      <c r="L6797" s="120"/>
      <c r="M6797" s="120">
        <f t="shared" si="4580"/>
        <v>0</v>
      </c>
      <c r="N6797" s="167">
        <f t="shared" si="4581"/>
        <v>0</v>
      </c>
      <c r="O6797" s="120">
        <f t="shared" si="4582"/>
        <v>0</v>
      </c>
      <c r="P6797" s="120">
        <f t="shared" si="4583"/>
        <v>0</v>
      </c>
      <c r="Q6797" s="120">
        <f t="shared" si="4584"/>
        <v>0</v>
      </c>
      <c r="R6797" s="120">
        <f t="shared" si="4585"/>
        <v>0</v>
      </c>
      <c r="S6797" s="120"/>
      <c r="T6797" s="221">
        <f t="shared" si="4586"/>
        <v>0</v>
      </c>
      <c r="U6797" s="89"/>
      <c r="V6797" s="61"/>
      <c r="W6797" s="92"/>
      <c r="X6797" s="38"/>
      <c r="Y6797" s="93"/>
      <c r="Z6797" s="134"/>
      <c r="AA6797" s="93"/>
      <c r="AB6797" s="93"/>
      <c r="AC6797" s="93"/>
      <c r="AD6797" s="94"/>
      <c r="AE6797" s="190"/>
      <c r="AF6797" s="191"/>
      <c r="AG6797" s="191"/>
      <c r="AH6797" s="191"/>
      <c r="AI6797" s="186"/>
      <c r="AK6797" s="171"/>
    </row>
    <row r="6798" spans="1:41" ht="20.100000000000001" customHeight="1" x14ac:dyDescent="0.25">
      <c r="A6798" s="277" t="s">
        <v>491</v>
      </c>
      <c r="B6798" s="278"/>
      <c r="C6798" s="64" t="s">
        <v>663</v>
      </c>
      <c r="D6798" s="46" t="s">
        <v>186</v>
      </c>
      <c r="E6798" s="114">
        <v>1</v>
      </c>
      <c r="F6798" s="44">
        <v>314702</v>
      </c>
      <c r="G6798" s="44">
        <f t="shared" si="4575"/>
        <v>314702</v>
      </c>
      <c r="H6798" s="44">
        <f t="shared" si="4576"/>
        <v>219500</v>
      </c>
      <c r="I6798" s="43">
        <f t="shared" si="4577"/>
        <v>219500</v>
      </c>
      <c r="J6798" s="112">
        <f t="shared" si="4578"/>
        <v>1</v>
      </c>
      <c r="K6798" s="211">
        <f t="shared" si="4579"/>
        <v>1</v>
      </c>
      <c r="L6798" s="44"/>
      <c r="M6798" s="44">
        <f t="shared" si="4580"/>
        <v>1</v>
      </c>
      <c r="N6798" s="173">
        <f t="shared" si="4581"/>
        <v>1</v>
      </c>
      <c r="O6798" s="44">
        <f t="shared" si="4582"/>
        <v>314702</v>
      </c>
      <c r="P6798" s="44">
        <f t="shared" si="4583"/>
        <v>314702</v>
      </c>
      <c r="Q6798" s="44">
        <f t="shared" si="4584"/>
        <v>219500</v>
      </c>
      <c r="R6798" s="44">
        <f t="shared" si="4585"/>
        <v>219500</v>
      </c>
      <c r="S6798" s="123"/>
      <c r="T6798" s="219">
        <f t="shared" si="4586"/>
        <v>219500</v>
      </c>
      <c r="U6798" s="87"/>
      <c r="V6798" s="47"/>
      <c r="W6798" s="48"/>
      <c r="X6798" s="48"/>
      <c r="Y6798" s="48"/>
      <c r="Z6798" s="135"/>
      <c r="AA6798" s="49"/>
      <c r="AB6798" s="50">
        <f t="shared" si="4587"/>
        <v>219500</v>
      </c>
      <c r="AC6798" s="42">
        <f t="shared" si="4588"/>
        <v>1</v>
      </c>
      <c r="AD6798" s="90">
        <f>AD6799</f>
        <v>219500</v>
      </c>
      <c r="AE6798" s="188">
        <f t="shared" ref="AE6798" si="4865">AE6799</f>
        <v>0</v>
      </c>
      <c r="AF6798" s="189">
        <f t="shared" ref="AF6798" si="4866">AF6799</f>
        <v>0</v>
      </c>
      <c r="AG6798" s="189">
        <f t="shared" ref="AG6798" si="4867">AG6799</f>
        <v>0</v>
      </c>
      <c r="AH6798" s="189">
        <f t="shared" ref="AH6798" si="4868">AH6799</f>
        <v>0</v>
      </c>
      <c r="AI6798" s="161">
        <f t="shared" ref="AI6798" si="4869">SUM(AE6798:AH6798)</f>
        <v>0</v>
      </c>
      <c r="AK6798" s="169">
        <v>5</v>
      </c>
      <c r="AO6798" s="19" t="s">
        <v>63</v>
      </c>
    </row>
    <row r="6799" spans="1:41" s="103" customFormat="1" ht="19.899999999999999" customHeight="1" x14ac:dyDescent="0.25">
      <c r="A6799" s="51"/>
      <c r="B6799" s="52"/>
      <c r="C6799" s="165"/>
      <c r="D6799" s="52"/>
      <c r="E6799" s="115"/>
      <c r="F6799" s="58"/>
      <c r="G6799" s="58"/>
      <c r="H6799" s="58"/>
      <c r="I6799" s="55"/>
      <c r="J6799" s="113">
        <f>J6798</f>
        <v>1</v>
      </c>
      <c r="K6799" s="212">
        <f>K6798</f>
        <v>1</v>
      </c>
      <c r="L6799" s="58"/>
      <c r="M6799" s="58">
        <f>K6799-L6799</f>
        <v>1</v>
      </c>
      <c r="N6799" s="166"/>
      <c r="O6799" s="58"/>
      <c r="P6799" s="58"/>
      <c r="Q6799" s="58"/>
      <c r="R6799" s="58"/>
      <c r="S6799" s="58"/>
      <c r="T6799" s="220"/>
      <c r="U6799" s="88"/>
      <c r="V6799" s="56"/>
      <c r="W6799" s="57" t="s">
        <v>1601</v>
      </c>
      <c r="X6799" s="53"/>
      <c r="Y6799" s="91" t="s">
        <v>1349</v>
      </c>
      <c r="Z6799" s="136">
        <f>AD6799/AC6799</f>
        <v>219500</v>
      </c>
      <c r="AA6799" s="58"/>
      <c r="AB6799" s="53">
        <f>AD6799/AC6799</f>
        <v>219500</v>
      </c>
      <c r="AC6799" s="53">
        <f>M6799+$AE$10</f>
        <v>1</v>
      </c>
      <c r="AD6799" s="54">
        <f>SUM(AD6800)</f>
        <v>219500</v>
      </c>
      <c r="AE6799" s="184">
        <f>SUMIFS($AD$37:$AD$12971,$V$37:$V$12971,$V6799,$X$37:$X$12971,AE$13)</f>
        <v>0</v>
      </c>
      <c r="AF6799" s="185">
        <f>SUMIFS($AD$37:$AD$12971,$V$37:$V$12971,$V6799,$X$37:$X$12971,AF$13)</f>
        <v>0</v>
      </c>
      <c r="AG6799" s="185">
        <f>SUMIFS($AD$37:$AD$12971,$V$37:$V$12971,$V6799,$X$37:$X$12971,AG$13)</f>
        <v>0</v>
      </c>
      <c r="AH6799" s="187">
        <f>SUMIFS($AD$37:$AD$12971,$V$37:$V$12971,$V6799,$X$37:$X$12971,AH$13)</f>
        <v>0</v>
      </c>
      <c r="AI6799" s="161">
        <f t="shared" ref="AI6799" si="4870">SUM(AE6799:AH6799)</f>
        <v>0</v>
      </c>
      <c r="AK6799" s="172"/>
    </row>
    <row r="6800" spans="1:41" s="102" customFormat="1" ht="19.899999999999999" customHeight="1" x14ac:dyDescent="0.25">
      <c r="A6800" s="45"/>
      <c r="B6800" s="59"/>
      <c r="C6800" s="137"/>
      <c r="D6800" s="59"/>
      <c r="E6800" s="116"/>
      <c r="F6800" s="120"/>
      <c r="G6800" s="120"/>
      <c r="H6800" s="120"/>
      <c r="I6800" s="60"/>
      <c r="J6800" s="116"/>
      <c r="K6800" s="213"/>
      <c r="L6800" s="120"/>
      <c r="M6800" s="120"/>
      <c r="N6800" s="167"/>
      <c r="O6800" s="120"/>
      <c r="P6800" s="120"/>
      <c r="Q6800" s="120"/>
      <c r="R6800" s="120"/>
      <c r="S6800" s="120"/>
      <c r="T6800" s="221"/>
      <c r="U6800" s="89"/>
      <c r="V6800" s="61"/>
      <c r="W6800" s="92" t="s">
        <v>1602</v>
      </c>
      <c r="X6800" s="93" t="s">
        <v>32</v>
      </c>
      <c r="Y6800" s="93" t="s">
        <v>1349</v>
      </c>
      <c r="Z6800" s="134">
        <f>VLOOKUP(W6800,Sheet2!$B:$D,3,FALSE)</f>
        <v>219500</v>
      </c>
      <c r="AA6800" s="93">
        <v>1</v>
      </c>
      <c r="AB6800" s="93">
        <f>AD6800/AC6799</f>
        <v>219500</v>
      </c>
      <c r="AC6800" s="93">
        <f>AC6799/AA6800</f>
        <v>1</v>
      </c>
      <c r="AD6800" s="94">
        <f t="shared" ref="AD6800" si="4871">AC6800*Z6800</f>
        <v>219500</v>
      </c>
      <c r="AE6800" s="190"/>
      <c r="AF6800" s="191"/>
      <c r="AG6800" s="191"/>
      <c r="AH6800" s="191"/>
      <c r="AI6800" s="186"/>
      <c r="AK6800" s="171"/>
    </row>
    <row r="6801" spans="1:41" s="102" customFormat="1" ht="20.100000000000001" customHeight="1" x14ac:dyDescent="0.25">
      <c r="A6801" s="45" t="s">
        <v>491</v>
      </c>
      <c r="B6801" s="276"/>
      <c r="C6801" s="285" t="s">
        <v>664</v>
      </c>
      <c r="D6801" s="59"/>
      <c r="E6801" s="116"/>
      <c r="F6801" s="120"/>
      <c r="G6801" s="120">
        <f t="shared" si="4575"/>
        <v>0</v>
      </c>
      <c r="H6801" s="120">
        <f t="shared" si="4576"/>
        <v>0</v>
      </c>
      <c r="I6801" s="60">
        <f t="shared" si="4577"/>
        <v>0</v>
      </c>
      <c r="J6801" s="116">
        <f t="shared" si="4578"/>
        <v>0</v>
      </c>
      <c r="K6801" s="213">
        <f t="shared" si="4579"/>
        <v>0</v>
      </c>
      <c r="L6801" s="120"/>
      <c r="M6801" s="120">
        <f t="shared" si="4580"/>
        <v>0</v>
      </c>
      <c r="N6801" s="167">
        <f t="shared" si="4581"/>
        <v>0</v>
      </c>
      <c r="O6801" s="120">
        <f t="shared" si="4582"/>
        <v>0</v>
      </c>
      <c r="P6801" s="120">
        <f t="shared" si="4583"/>
        <v>0</v>
      </c>
      <c r="Q6801" s="120">
        <f t="shared" si="4584"/>
        <v>0</v>
      </c>
      <c r="R6801" s="120">
        <f t="shared" si="4585"/>
        <v>0</v>
      </c>
      <c r="S6801" s="120"/>
      <c r="T6801" s="221">
        <f t="shared" si="4586"/>
        <v>0</v>
      </c>
      <c r="U6801" s="89"/>
      <c r="V6801" s="61"/>
      <c r="W6801" s="92"/>
      <c r="X6801" s="38"/>
      <c r="Y6801" s="93"/>
      <c r="Z6801" s="134"/>
      <c r="AA6801" s="93"/>
      <c r="AB6801" s="93"/>
      <c r="AC6801" s="93"/>
      <c r="AD6801" s="94"/>
      <c r="AE6801" s="190"/>
      <c r="AF6801" s="191"/>
      <c r="AG6801" s="191"/>
      <c r="AH6801" s="191"/>
      <c r="AI6801" s="186"/>
      <c r="AK6801" s="171"/>
    </row>
    <row r="6802" spans="1:41" s="102" customFormat="1" ht="94.5" x14ac:dyDescent="0.25">
      <c r="A6802" s="45" t="s">
        <v>491</v>
      </c>
      <c r="B6802" s="276"/>
      <c r="C6802" s="285" t="s">
        <v>665</v>
      </c>
      <c r="D6802" s="59"/>
      <c r="E6802" s="116"/>
      <c r="F6802" s="120"/>
      <c r="G6802" s="120">
        <f t="shared" si="4575"/>
        <v>0</v>
      </c>
      <c r="H6802" s="120">
        <f t="shared" si="4576"/>
        <v>0</v>
      </c>
      <c r="I6802" s="60">
        <f t="shared" si="4577"/>
        <v>0</v>
      </c>
      <c r="J6802" s="116">
        <f t="shared" si="4578"/>
        <v>0</v>
      </c>
      <c r="K6802" s="213">
        <f t="shared" si="4579"/>
        <v>0</v>
      </c>
      <c r="L6802" s="120"/>
      <c r="M6802" s="120">
        <f t="shared" si="4580"/>
        <v>0</v>
      </c>
      <c r="N6802" s="167">
        <f t="shared" si="4581"/>
        <v>0</v>
      </c>
      <c r="O6802" s="120">
        <f t="shared" si="4582"/>
        <v>0</v>
      </c>
      <c r="P6802" s="120">
        <f t="shared" si="4583"/>
        <v>0</v>
      </c>
      <c r="Q6802" s="120">
        <f t="shared" si="4584"/>
        <v>0</v>
      </c>
      <c r="R6802" s="120">
        <f t="shared" si="4585"/>
        <v>0</v>
      </c>
      <c r="S6802" s="120"/>
      <c r="T6802" s="221">
        <f t="shared" si="4586"/>
        <v>0</v>
      </c>
      <c r="U6802" s="89"/>
      <c r="V6802" s="61"/>
      <c r="W6802" s="92"/>
      <c r="X6802" s="38"/>
      <c r="Y6802" s="93"/>
      <c r="Z6802" s="134"/>
      <c r="AA6802" s="93"/>
      <c r="AB6802" s="93"/>
      <c r="AC6802" s="93"/>
      <c r="AD6802" s="94"/>
      <c r="AE6802" s="190"/>
      <c r="AF6802" s="191"/>
      <c r="AG6802" s="191"/>
      <c r="AH6802" s="191"/>
      <c r="AI6802" s="186"/>
      <c r="AK6802" s="171"/>
    </row>
    <row r="6803" spans="1:41" ht="20.100000000000001" customHeight="1" x14ac:dyDescent="0.25">
      <c r="A6803" s="277" t="s">
        <v>491</v>
      </c>
      <c r="B6803" s="278"/>
      <c r="C6803" s="64" t="s">
        <v>666</v>
      </c>
      <c r="D6803" s="46" t="s">
        <v>97</v>
      </c>
      <c r="E6803" s="114">
        <v>9</v>
      </c>
      <c r="F6803" s="44">
        <v>104</v>
      </c>
      <c r="G6803" s="44">
        <f t="shared" si="4575"/>
        <v>936</v>
      </c>
      <c r="H6803" s="44">
        <f t="shared" si="4576"/>
        <v>56.130707843137252</v>
      </c>
      <c r="I6803" s="43">
        <f t="shared" si="4577"/>
        <v>505.17637058823527</v>
      </c>
      <c r="J6803" s="112">
        <f t="shared" si="4578"/>
        <v>9</v>
      </c>
      <c r="K6803" s="211">
        <f t="shared" si="4579"/>
        <v>9</v>
      </c>
      <c r="L6803" s="44"/>
      <c r="M6803" s="44">
        <f t="shared" si="4580"/>
        <v>9</v>
      </c>
      <c r="N6803" s="173">
        <f t="shared" si="4581"/>
        <v>1</v>
      </c>
      <c r="O6803" s="44">
        <f t="shared" si="4582"/>
        <v>104</v>
      </c>
      <c r="P6803" s="44">
        <f t="shared" si="4583"/>
        <v>936</v>
      </c>
      <c r="Q6803" s="44">
        <f t="shared" si="4584"/>
        <v>56.130707843137252</v>
      </c>
      <c r="R6803" s="44">
        <f t="shared" si="4585"/>
        <v>505.17637058823527</v>
      </c>
      <c r="S6803" s="123"/>
      <c r="T6803" s="219">
        <f t="shared" si="4586"/>
        <v>505.17637058823527</v>
      </c>
      <c r="U6803" s="87"/>
      <c r="V6803" s="47"/>
      <c r="W6803" s="48"/>
      <c r="X6803" s="48"/>
      <c r="Y6803" s="48"/>
      <c r="Z6803" s="135"/>
      <c r="AA6803" s="49"/>
      <c r="AB6803" s="50">
        <f t="shared" si="4587"/>
        <v>56.130707843137252</v>
      </c>
      <c r="AC6803" s="42">
        <f t="shared" si="4588"/>
        <v>9</v>
      </c>
      <c r="AD6803" s="90">
        <f>AD6804+AD6811+AD6817</f>
        <v>505.17637058823527</v>
      </c>
      <c r="AE6803" s="188">
        <f t="shared" ref="AE6803" si="4872">AE6804+AE6811+AE6817</f>
        <v>0</v>
      </c>
      <c r="AF6803" s="189">
        <f t="shared" ref="AF6803" si="4873">AF6804+AF6811+AF6817</f>
        <v>0</v>
      </c>
      <c r="AG6803" s="189">
        <f t="shared" ref="AG6803" si="4874">AG6804+AG6811+AG6817</f>
        <v>0</v>
      </c>
      <c r="AH6803" s="189">
        <f t="shared" ref="AH6803" si="4875">AH6804+AH6811+AH6817</f>
        <v>0</v>
      </c>
      <c r="AI6803" s="161">
        <f t="shared" ref="AI6803:AI6828" si="4876">SUM(AE6803:AH6803)</f>
        <v>0</v>
      </c>
      <c r="AK6803" s="169">
        <v>5</v>
      </c>
      <c r="AO6803" s="19" t="s">
        <v>63</v>
      </c>
    </row>
    <row r="6804" spans="1:41" s="103" customFormat="1" ht="19.899999999999999" customHeight="1" x14ac:dyDescent="0.25">
      <c r="A6804" s="51"/>
      <c r="B6804" s="52"/>
      <c r="C6804" s="165"/>
      <c r="D6804" s="52"/>
      <c r="E6804" s="115"/>
      <c r="F6804" s="58"/>
      <c r="G6804" s="58"/>
      <c r="H6804" s="58"/>
      <c r="I6804" s="55"/>
      <c r="J6804" s="113">
        <f>J6803</f>
        <v>9</v>
      </c>
      <c r="K6804" s="212">
        <f>K6803</f>
        <v>9</v>
      </c>
      <c r="L6804" s="58"/>
      <c r="M6804" s="58">
        <f>K6804-L6804</f>
        <v>9</v>
      </c>
      <c r="N6804" s="166"/>
      <c r="O6804" s="58"/>
      <c r="P6804" s="58"/>
      <c r="Q6804" s="58"/>
      <c r="R6804" s="58"/>
      <c r="S6804" s="58"/>
      <c r="T6804" s="220"/>
      <c r="U6804" s="88"/>
      <c r="V6804" s="56"/>
      <c r="W6804" s="57" t="s">
        <v>1603</v>
      </c>
      <c r="X6804" s="53"/>
      <c r="Y6804" s="91" t="s">
        <v>68</v>
      </c>
      <c r="Z6804" s="136">
        <f>AD6804/AC6804</f>
        <v>10.525694117647058</v>
      </c>
      <c r="AA6804" s="58"/>
      <c r="AB6804" s="53">
        <f>AD6804/AC6804</f>
        <v>10.525694117647058</v>
      </c>
      <c r="AC6804" s="53">
        <f>M6804+$AE$10</f>
        <v>9</v>
      </c>
      <c r="AD6804" s="54">
        <f>SUM(AD6805:AD6810)</f>
        <v>94.731247058823527</v>
      </c>
      <c r="AE6804" s="184">
        <f>SUMIFS($AD$37:$AD$12971,$V$37:$V$12971,$V6804,$X$37:$X$12971,AE$13)</f>
        <v>0</v>
      </c>
      <c r="AF6804" s="185">
        <f>SUMIFS($AD$37:$AD$12971,$V$37:$V$12971,$V6804,$X$37:$X$12971,AF$13)</f>
        <v>0</v>
      </c>
      <c r="AG6804" s="185">
        <f>SUMIFS($AD$37:$AD$12971,$V$37:$V$12971,$V6804,$X$37:$X$12971,AG$13)</f>
        <v>0</v>
      </c>
      <c r="AH6804" s="187">
        <f>SUMIFS($AD$37:$AD$12971,$V$37:$V$12971,$V6804,$X$37:$X$12971,AH$13)</f>
        <v>0</v>
      </c>
      <c r="AI6804" s="161">
        <f t="shared" ref="AI6804" si="4877">SUM(AE6804:AH6804)</f>
        <v>0</v>
      </c>
      <c r="AK6804" s="172"/>
    </row>
    <row r="6805" spans="1:41" s="102" customFormat="1" ht="19.899999999999999" customHeight="1" x14ac:dyDescent="0.25">
      <c r="A6805" s="45"/>
      <c r="B6805" s="59"/>
      <c r="C6805" s="137"/>
      <c r="D6805" s="59"/>
      <c r="E6805" s="116"/>
      <c r="F6805" s="120"/>
      <c r="G6805" s="120"/>
      <c r="H6805" s="120"/>
      <c r="I6805" s="60"/>
      <c r="J6805" s="116"/>
      <c r="K6805" s="213"/>
      <c r="L6805" s="120"/>
      <c r="M6805" s="120"/>
      <c r="N6805" s="167"/>
      <c r="O6805" s="120"/>
      <c r="P6805" s="120"/>
      <c r="Q6805" s="120"/>
      <c r="R6805" s="120"/>
      <c r="S6805" s="120"/>
      <c r="T6805" s="221"/>
      <c r="U6805" s="89"/>
      <c r="V6805" s="61"/>
      <c r="W6805" s="92" t="s">
        <v>129</v>
      </c>
      <c r="X6805" s="93" t="s">
        <v>29</v>
      </c>
      <c r="Y6805" s="93" t="s">
        <v>93</v>
      </c>
      <c r="Z6805" s="134">
        <f>VLOOKUP(W6805,Sheet2!$B:$D,3,FALSE)</f>
        <v>56</v>
      </c>
      <c r="AA6805" s="93">
        <f>100/(1.5*1.5)</f>
        <v>44.444444444444443</v>
      </c>
      <c r="AB6805" s="93">
        <f t="shared" ref="AB6805" si="4878">AD6805/AC6804</f>
        <v>1.26</v>
      </c>
      <c r="AC6805" s="93">
        <f>AC6804/AA6805</f>
        <v>0.20250000000000001</v>
      </c>
      <c r="AD6805" s="94">
        <f t="shared" ref="AD6805:AD6806" si="4879">AC6805*Z6805</f>
        <v>11.34</v>
      </c>
      <c r="AE6805" s="190"/>
      <c r="AF6805" s="191"/>
      <c r="AG6805" s="191"/>
      <c r="AH6805" s="191"/>
      <c r="AI6805" s="186"/>
      <c r="AK6805" s="171"/>
    </row>
    <row r="6806" spans="1:41" s="102" customFormat="1" ht="19.899999999999999" customHeight="1" x14ac:dyDescent="0.25">
      <c r="A6806" s="45"/>
      <c r="B6806" s="59"/>
      <c r="C6806" s="137"/>
      <c r="D6806" s="59"/>
      <c r="E6806" s="116"/>
      <c r="F6806" s="120"/>
      <c r="G6806" s="120"/>
      <c r="H6806" s="120"/>
      <c r="I6806" s="60"/>
      <c r="J6806" s="116"/>
      <c r="K6806" s="213"/>
      <c r="L6806" s="120"/>
      <c r="M6806" s="120"/>
      <c r="N6806" s="167"/>
      <c r="O6806" s="120"/>
      <c r="P6806" s="120"/>
      <c r="Q6806" s="120"/>
      <c r="R6806" s="120"/>
      <c r="S6806" s="120"/>
      <c r="T6806" s="221"/>
      <c r="U6806" s="89"/>
      <c r="V6806" s="61"/>
      <c r="W6806" s="92" t="s">
        <v>65</v>
      </c>
      <c r="X6806" s="93" t="s">
        <v>30</v>
      </c>
      <c r="Y6806" s="93" t="s">
        <v>1011</v>
      </c>
      <c r="Z6806" s="134">
        <f>VLOOKUP(W6806,Sheet2!$B:$D,3,FALSE)</f>
        <v>1.76</v>
      </c>
      <c r="AA6806" s="93">
        <f>AA6805/14</f>
        <v>3.1746031746031744</v>
      </c>
      <c r="AB6806" s="93">
        <f>AD6806/AC6804</f>
        <v>0.5544</v>
      </c>
      <c r="AC6806" s="93">
        <f>AC6804/AA6806</f>
        <v>2.835</v>
      </c>
      <c r="AD6806" s="94">
        <f t="shared" si="4879"/>
        <v>4.9896000000000003</v>
      </c>
      <c r="AE6806" s="190"/>
      <c r="AF6806" s="191"/>
      <c r="AG6806" s="191"/>
      <c r="AH6806" s="191"/>
      <c r="AI6806" s="186"/>
      <c r="AK6806" s="171"/>
    </row>
    <row r="6807" spans="1:41" s="102" customFormat="1" ht="19.899999999999999" customHeight="1" x14ac:dyDescent="0.25">
      <c r="A6807" s="45"/>
      <c r="B6807" s="59"/>
      <c r="C6807" s="137"/>
      <c r="D6807" s="59"/>
      <c r="E6807" s="116"/>
      <c r="F6807" s="120"/>
      <c r="G6807" s="120"/>
      <c r="H6807" s="120"/>
      <c r="I6807" s="60"/>
      <c r="J6807" s="116"/>
      <c r="K6807" s="213"/>
      <c r="L6807" s="120"/>
      <c r="M6807" s="120"/>
      <c r="N6807" s="167"/>
      <c r="O6807" s="120"/>
      <c r="P6807" s="120"/>
      <c r="Q6807" s="120"/>
      <c r="R6807" s="120"/>
      <c r="S6807" s="120"/>
      <c r="T6807" s="221"/>
      <c r="U6807" s="89"/>
      <c r="V6807" s="61"/>
      <c r="W6807" s="92" t="s">
        <v>161</v>
      </c>
      <c r="X6807" s="93" t="s">
        <v>29</v>
      </c>
      <c r="Y6807" s="93" t="s">
        <v>93</v>
      </c>
      <c r="Z6807" s="134">
        <f>VLOOKUP(W6807,Sheet2!$B:$D,3,FALSE)</f>
        <v>48</v>
      </c>
      <c r="AA6807" s="93">
        <f>(16*0.85*1.5)/(1.5*1.5)</f>
        <v>9.0666666666666664</v>
      </c>
      <c r="AB6807" s="93">
        <f>AD6807/AC6804</f>
        <v>5.2941176470588234</v>
      </c>
      <c r="AC6807" s="93">
        <f>AC6804/AA6807</f>
        <v>0.99264705882352944</v>
      </c>
      <c r="AD6807" s="94">
        <f>AC6807*Z6807</f>
        <v>47.647058823529413</v>
      </c>
      <c r="AE6807" s="190"/>
      <c r="AF6807" s="191"/>
      <c r="AG6807" s="191"/>
      <c r="AH6807" s="191"/>
      <c r="AI6807" s="186"/>
      <c r="AK6807" s="171"/>
    </row>
    <row r="6808" spans="1:41" s="102" customFormat="1" ht="19.899999999999999" customHeight="1" x14ac:dyDescent="0.25">
      <c r="A6808" s="45"/>
      <c r="B6808" s="59"/>
      <c r="C6808" s="137"/>
      <c r="D6808" s="59"/>
      <c r="E6808" s="116"/>
      <c r="F6808" s="120"/>
      <c r="G6808" s="120"/>
      <c r="H6808" s="120"/>
      <c r="I6808" s="60"/>
      <c r="J6808" s="116"/>
      <c r="K6808" s="213"/>
      <c r="L6808" s="120"/>
      <c r="M6808" s="120"/>
      <c r="N6808" s="167"/>
      <c r="O6808" s="120"/>
      <c r="P6808" s="120"/>
      <c r="Q6808" s="120"/>
      <c r="R6808" s="120"/>
      <c r="S6808" s="120"/>
      <c r="T6808" s="221"/>
      <c r="U6808" s="89"/>
      <c r="V6808" s="61"/>
      <c r="W6808" s="92" t="s">
        <v>65</v>
      </c>
      <c r="X6808" s="93" t="s">
        <v>30</v>
      </c>
      <c r="Y6808" s="93" t="s">
        <v>1011</v>
      </c>
      <c r="Z6808" s="134">
        <f>VLOOKUP(W6808,Sheet2!$B:$D,3,FALSE)</f>
        <v>1.76</v>
      </c>
      <c r="AA6808" s="93">
        <f>AA6807/10</f>
        <v>0.90666666666666662</v>
      </c>
      <c r="AB6808" s="93">
        <f>AD6808/AC6804</f>
        <v>1.9411764705882355</v>
      </c>
      <c r="AC6808" s="93">
        <f>AC6804/AA6808</f>
        <v>9.9264705882352953</v>
      </c>
      <c r="AD6808" s="94">
        <f>AC6808*Z6808</f>
        <v>17.47058823529412</v>
      </c>
      <c r="AE6808" s="190"/>
      <c r="AF6808" s="191"/>
      <c r="AG6808" s="191"/>
      <c r="AH6808" s="191"/>
      <c r="AI6808" s="186"/>
      <c r="AK6808" s="171"/>
    </row>
    <row r="6809" spans="1:41" s="102" customFormat="1" ht="19.899999999999999" customHeight="1" x14ac:dyDescent="0.25">
      <c r="A6809" s="45"/>
      <c r="B6809" s="59"/>
      <c r="C6809" s="137"/>
      <c r="D6809" s="59"/>
      <c r="E6809" s="116"/>
      <c r="F6809" s="120"/>
      <c r="G6809" s="120"/>
      <c r="H6809" s="120"/>
      <c r="I6809" s="60"/>
      <c r="J6809" s="116"/>
      <c r="K6809" s="213"/>
      <c r="L6809" s="120"/>
      <c r="M6809" s="120"/>
      <c r="N6809" s="167"/>
      <c r="O6809" s="120"/>
      <c r="P6809" s="120"/>
      <c r="Q6809" s="120"/>
      <c r="R6809" s="120"/>
      <c r="S6809" s="120"/>
      <c r="T6809" s="221"/>
      <c r="U6809" s="89"/>
      <c r="V6809" s="61"/>
      <c r="W6809" s="92" t="s">
        <v>148</v>
      </c>
      <c r="X6809" s="93" t="s">
        <v>29</v>
      </c>
      <c r="Y6809" s="93" t="s">
        <v>93</v>
      </c>
      <c r="Z6809" s="134">
        <f>VLOOKUP(W6809,Sheet2!$B:$D,3,FALSE)</f>
        <v>48</v>
      </c>
      <c r="AA6809" s="93">
        <f>AA6805</f>
        <v>44.444444444444443</v>
      </c>
      <c r="AB6809" s="93">
        <f>AD6809/AC6804</f>
        <v>1.08</v>
      </c>
      <c r="AC6809" s="93">
        <f>AC6804/AA6809</f>
        <v>0.20250000000000001</v>
      </c>
      <c r="AD6809" s="94">
        <f t="shared" ref="AD6809:AD6810" si="4880">AC6809*Z6809</f>
        <v>9.7200000000000006</v>
      </c>
      <c r="AE6809" s="190"/>
      <c r="AF6809" s="191"/>
      <c r="AG6809" s="191"/>
      <c r="AH6809" s="191"/>
      <c r="AI6809" s="186"/>
      <c r="AK6809" s="171"/>
    </row>
    <row r="6810" spans="1:41" s="102" customFormat="1" ht="19.899999999999999" customHeight="1" x14ac:dyDescent="0.25">
      <c r="A6810" s="45"/>
      <c r="B6810" s="59"/>
      <c r="C6810" s="137"/>
      <c r="D6810" s="59"/>
      <c r="E6810" s="116"/>
      <c r="F6810" s="120"/>
      <c r="G6810" s="120"/>
      <c r="H6810" s="120"/>
      <c r="I6810" s="60"/>
      <c r="J6810" s="116"/>
      <c r="K6810" s="213"/>
      <c r="L6810" s="120"/>
      <c r="M6810" s="120"/>
      <c r="N6810" s="167"/>
      <c r="O6810" s="120"/>
      <c r="P6810" s="120"/>
      <c r="Q6810" s="120"/>
      <c r="R6810" s="120"/>
      <c r="S6810" s="120"/>
      <c r="T6810" s="221"/>
      <c r="U6810" s="89"/>
      <c r="V6810" s="61"/>
      <c r="W6810" s="92" t="s">
        <v>65</v>
      </c>
      <c r="X6810" s="93" t="s">
        <v>30</v>
      </c>
      <c r="Y6810" s="93" t="s">
        <v>1011</v>
      </c>
      <c r="Z6810" s="134">
        <f>VLOOKUP(W6810,Sheet2!$B:$D,3,FALSE)</f>
        <v>1.76</v>
      </c>
      <c r="AA6810" s="93">
        <f>AA6809/10</f>
        <v>4.4444444444444446</v>
      </c>
      <c r="AB6810" s="93">
        <f>AD6810/AC6804</f>
        <v>0.39600000000000002</v>
      </c>
      <c r="AC6810" s="93">
        <f>AC6804/AA6810</f>
        <v>2.0249999999999999</v>
      </c>
      <c r="AD6810" s="94">
        <f t="shared" si="4880"/>
        <v>3.5640000000000001</v>
      </c>
      <c r="AE6810" s="190"/>
      <c r="AF6810" s="191"/>
      <c r="AG6810" s="191"/>
      <c r="AH6810" s="191"/>
      <c r="AI6810" s="186"/>
      <c r="AK6810" s="171"/>
    </row>
    <row r="6811" spans="1:41" s="103" customFormat="1" ht="19.899999999999999" customHeight="1" x14ac:dyDescent="0.25">
      <c r="A6811" s="51"/>
      <c r="B6811" s="52"/>
      <c r="C6811" s="165"/>
      <c r="D6811" s="52"/>
      <c r="E6811" s="115"/>
      <c r="F6811" s="58"/>
      <c r="G6811" s="58"/>
      <c r="H6811" s="58"/>
      <c r="I6811" s="55"/>
      <c r="J6811" s="113">
        <f>J6803</f>
        <v>9</v>
      </c>
      <c r="K6811" s="212">
        <f>K6803</f>
        <v>9</v>
      </c>
      <c r="L6811" s="58"/>
      <c r="M6811" s="58">
        <f>K6811-L6811</f>
        <v>9</v>
      </c>
      <c r="N6811" s="166"/>
      <c r="O6811" s="58"/>
      <c r="P6811" s="58"/>
      <c r="Q6811" s="58"/>
      <c r="R6811" s="58"/>
      <c r="S6811" s="58"/>
      <c r="T6811" s="220"/>
      <c r="U6811" s="88"/>
      <c r="V6811" s="56"/>
      <c r="W6811" s="57" t="s">
        <v>1604</v>
      </c>
      <c r="X6811" s="53"/>
      <c r="Y6811" s="91" t="s">
        <v>68</v>
      </c>
      <c r="Z6811" s="136">
        <f>AD6811/AC6811</f>
        <v>31.34</v>
      </c>
      <c r="AA6811" s="58"/>
      <c r="AB6811" s="53">
        <f>AD6811/AC6811</f>
        <v>31.34</v>
      </c>
      <c r="AC6811" s="53">
        <f>M6811+$AE$10</f>
        <v>9</v>
      </c>
      <c r="AD6811" s="54">
        <f>SUM(AD6812:AD6816)</f>
        <v>282.06</v>
      </c>
      <c r="AE6811" s="184">
        <f>SUMIFS($AD$37:$AD$12971,$V$37:$V$12971,$V6811,$X$37:$X$12971,AE$13)</f>
        <v>0</v>
      </c>
      <c r="AF6811" s="185">
        <f>SUMIFS($AD$37:$AD$12971,$V$37:$V$12971,$V6811,$X$37:$X$12971,AF$13)</f>
        <v>0</v>
      </c>
      <c r="AG6811" s="185">
        <f>SUMIFS($AD$37:$AD$12971,$V$37:$V$12971,$V6811,$X$37:$X$12971,AG$13)</f>
        <v>0</v>
      </c>
      <c r="AH6811" s="187">
        <f>SUMIFS($AD$37:$AD$12971,$V$37:$V$12971,$V6811,$X$37:$X$12971,AH$13)</f>
        <v>0</v>
      </c>
      <c r="AI6811" s="161">
        <f t="shared" ref="AI6811" si="4881">SUM(AE6811:AH6811)</f>
        <v>0</v>
      </c>
      <c r="AK6811" s="172"/>
    </row>
    <row r="6812" spans="1:41" s="102" customFormat="1" ht="19.899999999999999" customHeight="1" x14ac:dyDescent="0.25">
      <c r="A6812" s="45"/>
      <c r="B6812" s="59"/>
      <c r="C6812" s="137"/>
      <c r="D6812" s="59"/>
      <c r="E6812" s="116"/>
      <c r="F6812" s="120"/>
      <c r="G6812" s="120"/>
      <c r="H6812" s="120"/>
      <c r="I6812" s="60"/>
      <c r="J6812" s="116"/>
      <c r="K6812" s="213"/>
      <c r="L6812" s="120"/>
      <c r="M6812" s="120"/>
      <c r="N6812" s="167"/>
      <c r="O6812" s="120"/>
      <c r="P6812" s="120"/>
      <c r="Q6812" s="120"/>
      <c r="R6812" s="120"/>
      <c r="S6812" s="120"/>
      <c r="T6812" s="221"/>
      <c r="U6812" s="89"/>
      <c r="V6812" s="61"/>
      <c r="W6812" s="92" t="s">
        <v>1032</v>
      </c>
      <c r="X6812" s="93" t="s">
        <v>30</v>
      </c>
      <c r="Y6812" s="93" t="s">
        <v>66</v>
      </c>
      <c r="Z6812" s="134">
        <f>VLOOKUP(W6812,Sheet2!$B:$D,3,FALSE)</f>
        <v>250</v>
      </c>
      <c r="AA6812" s="93">
        <f>1/(0.25*0.25)</f>
        <v>16</v>
      </c>
      <c r="AB6812" s="93">
        <f>AD6812/AC6811</f>
        <v>15.625</v>
      </c>
      <c r="AC6812" s="93">
        <f>AC6811/AA6812</f>
        <v>0.5625</v>
      </c>
      <c r="AD6812" s="94">
        <f t="shared" ref="AD6812" si="4882">AC6812*Z6812</f>
        <v>140.625</v>
      </c>
      <c r="AE6812" s="190"/>
      <c r="AF6812" s="191"/>
      <c r="AG6812" s="191"/>
      <c r="AH6812" s="191"/>
      <c r="AI6812" s="186"/>
      <c r="AK6812" s="171"/>
    </row>
    <row r="6813" spans="1:41" s="102" customFormat="1" ht="19.899999999999999" customHeight="1" x14ac:dyDescent="0.25">
      <c r="A6813" s="45"/>
      <c r="B6813" s="59"/>
      <c r="C6813" s="137"/>
      <c r="D6813" s="59"/>
      <c r="E6813" s="116"/>
      <c r="F6813" s="120"/>
      <c r="G6813" s="120"/>
      <c r="H6813" s="120"/>
      <c r="I6813" s="60"/>
      <c r="J6813" s="116"/>
      <c r="K6813" s="213"/>
      <c r="L6813" s="120"/>
      <c r="M6813" s="120"/>
      <c r="N6813" s="167"/>
      <c r="O6813" s="120"/>
      <c r="P6813" s="120"/>
      <c r="Q6813" s="120"/>
      <c r="R6813" s="120"/>
      <c r="S6813" s="120"/>
      <c r="T6813" s="221"/>
      <c r="U6813" s="89"/>
      <c r="V6813" s="61"/>
      <c r="W6813" s="92" t="s">
        <v>1270</v>
      </c>
      <c r="X6813" s="93" t="s">
        <v>30</v>
      </c>
      <c r="Y6813" s="93" t="s">
        <v>68</v>
      </c>
      <c r="Z6813" s="134">
        <f>VLOOKUP(W6813,Sheet2!$B:$D,3,FALSE)</f>
        <v>4</v>
      </c>
      <c r="AA6813" s="93">
        <f>1</f>
        <v>1</v>
      </c>
      <c r="AB6813" s="93">
        <f>AD6813/AC6811</f>
        <v>4</v>
      </c>
      <c r="AC6813" s="93">
        <f>AC6811/AA6813</f>
        <v>9</v>
      </c>
      <c r="AD6813" s="94">
        <f>AC6813*Z6813</f>
        <v>36</v>
      </c>
      <c r="AE6813" s="190"/>
      <c r="AF6813" s="191"/>
      <c r="AG6813" s="191"/>
      <c r="AH6813" s="191"/>
      <c r="AI6813" s="186"/>
      <c r="AK6813" s="171"/>
    </row>
    <row r="6814" spans="1:41" s="102" customFormat="1" ht="19.899999999999999" customHeight="1" x14ac:dyDescent="0.25">
      <c r="A6814" s="45"/>
      <c r="B6814" s="59"/>
      <c r="C6814" s="137"/>
      <c r="D6814" s="59"/>
      <c r="E6814" s="116"/>
      <c r="F6814" s="120"/>
      <c r="G6814" s="120"/>
      <c r="H6814" s="120"/>
      <c r="I6814" s="60"/>
      <c r="J6814" s="116"/>
      <c r="K6814" s="213"/>
      <c r="L6814" s="120"/>
      <c r="M6814" s="120"/>
      <c r="N6814" s="167"/>
      <c r="O6814" s="120"/>
      <c r="P6814" s="120"/>
      <c r="Q6814" s="120"/>
      <c r="R6814" s="120"/>
      <c r="S6814" s="120"/>
      <c r="T6814" s="221"/>
      <c r="U6814" s="89"/>
      <c r="V6814" s="61"/>
      <c r="W6814" s="92" t="s">
        <v>1271</v>
      </c>
      <c r="X6814" s="93" t="s">
        <v>30</v>
      </c>
      <c r="Y6814" s="93" t="s">
        <v>68</v>
      </c>
      <c r="Z6814" s="134">
        <f>VLOOKUP(W6814,Sheet2!$B:$D,3,FALSE)</f>
        <v>2</v>
      </c>
      <c r="AA6814" s="93">
        <f>AA6813</f>
        <v>1</v>
      </c>
      <c r="AB6814" s="93">
        <f>AD6814/AC6811</f>
        <v>2</v>
      </c>
      <c r="AC6814" s="93">
        <f>AC6811/AA6814</f>
        <v>9</v>
      </c>
      <c r="AD6814" s="94">
        <f>AC6814*Z6814</f>
        <v>18</v>
      </c>
      <c r="AE6814" s="190"/>
      <c r="AF6814" s="191"/>
      <c r="AG6814" s="191"/>
      <c r="AH6814" s="191"/>
      <c r="AI6814" s="186"/>
      <c r="AK6814" s="171"/>
    </row>
    <row r="6815" spans="1:41" s="102" customFormat="1" ht="19.899999999999999" customHeight="1" x14ac:dyDescent="0.25">
      <c r="A6815" s="45"/>
      <c r="B6815" s="59"/>
      <c r="C6815" s="137"/>
      <c r="D6815" s="59"/>
      <c r="E6815" s="116"/>
      <c r="F6815" s="120"/>
      <c r="G6815" s="120"/>
      <c r="H6815" s="120"/>
      <c r="I6815" s="60"/>
      <c r="J6815" s="116"/>
      <c r="K6815" s="213"/>
      <c r="L6815" s="120"/>
      <c r="M6815" s="120"/>
      <c r="N6815" s="167"/>
      <c r="O6815" s="120"/>
      <c r="P6815" s="120"/>
      <c r="Q6815" s="120"/>
      <c r="R6815" s="120"/>
      <c r="S6815" s="120"/>
      <c r="T6815" s="221"/>
      <c r="U6815" s="89"/>
      <c r="V6815" s="61"/>
      <c r="W6815" s="92" t="s">
        <v>1035</v>
      </c>
      <c r="X6815" s="93" t="s">
        <v>32</v>
      </c>
      <c r="Y6815" s="93" t="s">
        <v>66</v>
      </c>
      <c r="Z6815" s="134">
        <f>VLOOKUP(W6815,Sheet2!$B:$D,3,FALSE)</f>
        <v>150</v>
      </c>
      <c r="AA6815" s="93">
        <f>AA6812</f>
        <v>16</v>
      </c>
      <c r="AB6815" s="93">
        <f>AD6815/AC6811</f>
        <v>9.375</v>
      </c>
      <c r="AC6815" s="93">
        <f>AC6811/AA6815</f>
        <v>0.5625</v>
      </c>
      <c r="AD6815" s="94">
        <f t="shared" ref="AD6815:AD6816" si="4883">AC6815*Z6815</f>
        <v>84.375</v>
      </c>
      <c r="AE6815" s="190"/>
      <c r="AF6815" s="191"/>
      <c r="AG6815" s="191"/>
      <c r="AH6815" s="191"/>
      <c r="AI6815" s="186"/>
      <c r="AK6815" s="171"/>
    </row>
    <row r="6816" spans="1:41" s="102" customFormat="1" ht="19.899999999999999" customHeight="1" x14ac:dyDescent="0.25">
      <c r="A6816" s="45"/>
      <c r="B6816" s="59"/>
      <c r="C6816" s="137"/>
      <c r="D6816" s="59"/>
      <c r="E6816" s="116"/>
      <c r="F6816" s="120"/>
      <c r="G6816" s="120"/>
      <c r="H6816" s="120"/>
      <c r="I6816" s="60"/>
      <c r="J6816" s="116"/>
      <c r="K6816" s="213"/>
      <c r="L6816" s="120"/>
      <c r="M6816" s="120"/>
      <c r="N6816" s="167"/>
      <c r="O6816" s="120"/>
      <c r="P6816" s="120"/>
      <c r="Q6816" s="120"/>
      <c r="R6816" s="120"/>
      <c r="S6816" s="120"/>
      <c r="T6816" s="221"/>
      <c r="U6816" s="89"/>
      <c r="V6816" s="61"/>
      <c r="W6816" s="92" t="s">
        <v>107</v>
      </c>
      <c r="X6816" s="93" t="s">
        <v>31</v>
      </c>
      <c r="Y6816" s="93" t="s">
        <v>93</v>
      </c>
      <c r="Z6816" s="134">
        <f>VLOOKUP(W6816,Sheet2!$B:$D,3,FALSE)</f>
        <v>17</v>
      </c>
      <c r="AA6816" s="93">
        <v>50</v>
      </c>
      <c r="AB6816" s="93">
        <f>AD6816/AC6811</f>
        <v>0.34</v>
      </c>
      <c r="AC6816" s="93">
        <f>AC6811/AA6816</f>
        <v>0.18</v>
      </c>
      <c r="AD6816" s="94">
        <f t="shared" si="4883"/>
        <v>3.06</v>
      </c>
      <c r="AE6816" s="190"/>
      <c r="AF6816" s="191"/>
      <c r="AG6816" s="191"/>
      <c r="AH6816" s="191"/>
      <c r="AI6816" s="186"/>
      <c r="AK6816" s="171"/>
    </row>
    <row r="6817" spans="1:41" s="103" customFormat="1" ht="19.899999999999999" customHeight="1" x14ac:dyDescent="0.25">
      <c r="A6817" s="51"/>
      <c r="B6817" s="52"/>
      <c r="C6817" s="165"/>
      <c r="D6817" s="52"/>
      <c r="E6817" s="115"/>
      <c r="F6817" s="58"/>
      <c r="G6817" s="58"/>
      <c r="H6817" s="58"/>
      <c r="I6817" s="55"/>
      <c r="J6817" s="113">
        <f>J6803</f>
        <v>9</v>
      </c>
      <c r="K6817" s="212">
        <f>K6803</f>
        <v>9</v>
      </c>
      <c r="L6817" s="58"/>
      <c r="M6817" s="58">
        <f>K6817-L6817</f>
        <v>9</v>
      </c>
      <c r="N6817" s="166"/>
      <c r="O6817" s="58"/>
      <c r="P6817" s="58"/>
      <c r="Q6817" s="58"/>
      <c r="R6817" s="58"/>
      <c r="S6817" s="58"/>
      <c r="T6817" s="220"/>
      <c r="U6817" s="88"/>
      <c r="V6817" s="56"/>
      <c r="W6817" s="57" t="s">
        <v>1272</v>
      </c>
      <c r="X6817" s="53"/>
      <c r="Y6817" s="91" t="s">
        <v>68</v>
      </c>
      <c r="Z6817" s="136">
        <f>AD6817/AC6817</f>
        <v>14.265013725490197</v>
      </c>
      <c r="AA6817" s="58"/>
      <c r="AB6817" s="53">
        <f>AD6817/AC6817</f>
        <v>14.265013725490197</v>
      </c>
      <c r="AC6817" s="53">
        <f>M6817+$AE$10</f>
        <v>9</v>
      </c>
      <c r="AD6817" s="54">
        <f>SUM(AD6818:AD6827)</f>
        <v>128.38512352941177</v>
      </c>
      <c r="AE6817" s="184">
        <f>SUMIFS($AD$37:$AD$12971,$V$37:$V$12971,$V6817,$X$37:$X$12971,AE$13)</f>
        <v>0</v>
      </c>
      <c r="AF6817" s="185">
        <f>SUMIFS($AD$37:$AD$12971,$V$37:$V$12971,$V6817,$X$37:$X$12971,AF$13)</f>
        <v>0</v>
      </c>
      <c r="AG6817" s="185">
        <f>SUMIFS($AD$37:$AD$12971,$V$37:$V$12971,$V6817,$X$37:$X$12971,AG$13)</f>
        <v>0</v>
      </c>
      <c r="AH6817" s="187">
        <f>SUMIFS($AD$37:$AD$12971,$V$37:$V$12971,$V6817,$X$37:$X$12971,AH$13)</f>
        <v>0</v>
      </c>
      <c r="AI6817" s="161">
        <f t="shared" ref="AI6817" si="4884">SUM(AE6817:AH6817)</f>
        <v>0</v>
      </c>
      <c r="AK6817" s="172"/>
    </row>
    <row r="6818" spans="1:41" s="102" customFormat="1" ht="19.899999999999999" customHeight="1" x14ac:dyDescent="0.25">
      <c r="A6818" s="45"/>
      <c r="B6818" s="59"/>
      <c r="C6818" s="137"/>
      <c r="D6818" s="59"/>
      <c r="E6818" s="116"/>
      <c r="F6818" s="120"/>
      <c r="G6818" s="120"/>
      <c r="H6818" s="120"/>
      <c r="I6818" s="60"/>
      <c r="J6818" s="116"/>
      <c r="K6818" s="213"/>
      <c r="L6818" s="120"/>
      <c r="M6818" s="120"/>
      <c r="N6818" s="167"/>
      <c r="O6818" s="120"/>
      <c r="P6818" s="120"/>
      <c r="Q6818" s="120"/>
      <c r="R6818" s="120"/>
      <c r="S6818" s="120"/>
      <c r="T6818" s="221"/>
      <c r="U6818" s="89"/>
      <c r="V6818" s="61"/>
      <c r="W6818" s="92" t="s">
        <v>134</v>
      </c>
      <c r="X6818" s="93" t="s">
        <v>29</v>
      </c>
      <c r="Y6818" s="93" t="s">
        <v>93</v>
      </c>
      <c r="Z6818" s="134">
        <f>VLOOKUP(W6818,Sheet2!$B:$D,3,FALSE)</f>
        <v>65.599999999999994</v>
      </c>
      <c r="AA6818" s="93">
        <f>100/((1.5*1.5)-(0.25*0.25))</f>
        <v>45.714285714285715</v>
      </c>
      <c r="AB6818" s="93">
        <f>AD6818/AC6817</f>
        <v>1.4349999999999998</v>
      </c>
      <c r="AC6818" s="93">
        <f>AC6817/AA6818</f>
        <v>0.19687499999999999</v>
      </c>
      <c r="AD6818" s="94">
        <f t="shared" ref="AD6818:AD6819" si="4885">AC6818*Z6818</f>
        <v>12.914999999999999</v>
      </c>
      <c r="AE6818" s="190"/>
      <c r="AF6818" s="191"/>
      <c r="AG6818" s="191"/>
      <c r="AH6818" s="191"/>
      <c r="AI6818" s="186"/>
      <c r="AK6818" s="171"/>
    </row>
    <row r="6819" spans="1:41" s="102" customFormat="1" ht="19.899999999999999" customHeight="1" x14ac:dyDescent="0.25">
      <c r="A6819" s="45"/>
      <c r="B6819" s="59"/>
      <c r="C6819" s="137"/>
      <c r="D6819" s="59"/>
      <c r="E6819" s="116"/>
      <c r="F6819" s="120"/>
      <c r="G6819" s="120"/>
      <c r="H6819" s="120"/>
      <c r="I6819" s="60"/>
      <c r="J6819" s="116"/>
      <c r="K6819" s="213"/>
      <c r="L6819" s="120"/>
      <c r="M6819" s="120"/>
      <c r="N6819" s="167"/>
      <c r="O6819" s="120"/>
      <c r="P6819" s="120"/>
      <c r="Q6819" s="120"/>
      <c r="R6819" s="120"/>
      <c r="S6819" s="120"/>
      <c r="T6819" s="221"/>
      <c r="U6819" s="89"/>
      <c r="V6819" s="61"/>
      <c r="W6819" s="92" t="s">
        <v>65</v>
      </c>
      <c r="X6819" s="93" t="s">
        <v>30</v>
      </c>
      <c r="Y6819" s="93" t="s">
        <v>1011</v>
      </c>
      <c r="Z6819" s="134">
        <f>VLOOKUP(W6819,Sheet2!$B:$D,3,FALSE)</f>
        <v>1.76</v>
      </c>
      <c r="AA6819" s="93">
        <f>AA6818/9</f>
        <v>5.0793650793650791</v>
      </c>
      <c r="AB6819" s="93">
        <f>AD6819/AC6817</f>
        <v>0.34650000000000003</v>
      </c>
      <c r="AC6819" s="93">
        <f>AC6817/AA6819</f>
        <v>1.7718750000000001</v>
      </c>
      <c r="AD6819" s="94">
        <f t="shared" si="4885"/>
        <v>3.1185</v>
      </c>
      <c r="AE6819" s="190"/>
      <c r="AF6819" s="191"/>
      <c r="AG6819" s="191"/>
      <c r="AH6819" s="191"/>
      <c r="AI6819" s="186"/>
      <c r="AK6819" s="171"/>
    </row>
    <row r="6820" spans="1:41" s="102" customFormat="1" ht="19.899999999999999" customHeight="1" x14ac:dyDescent="0.25">
      <c r="A6820" s="45"/>
      <c r="B6820" s="59"/>
      <c r="C6820" s="137"/>
      <c r="D6820" s="59"/>
      <c r="E6820" s="116"/>
      <c r="F6820" s="120"/>
      <c r="G6820" s="120"/>
      <c r="H6820" s="120"/>
      <c r="I6820" s="60"/>
      <c r="J6820" s="116"/>
      <c r="K6820" s="213"/>
      <c r="L6820" s="120"/>
      <c r="M6820" s="120"/>
      <c r="N6820" s="167"/>
      <c r="O6820" s="120"/>
      <c r="P6820" s="120"/>
      <c r="Q6820" s="120"/>
      <c r="R6820" s="120"/>
      <c r="S6820" s="120"/>
      <c r="T6820" s="221"/>
      <c r="U6820" s="89"/>
      <c r="V6820" s="61"/>
      <c r="W6820" s="92" t="s">
        <v>161</v>
      </c>
      <c r="X6820" s="93" t="s">
        <v>29</v>
      </c>
      <c r="Y6820" s="93" t="s">
        <v>93</v>
      </c>
      <c r="Z6820" s="134">
        <f>VLOOKUP(W6820,Sheet2!$B:$D,3,FALSE)</f>
        <v>48</v>
      </c>
      <c r="AA6820" s="93">
        <f>(16*0.85*1.5)/((1.5*1.5)-(0.25*0.25))</f>
        <v>9.3257142857142856</v>
      </c>
      <c r="AB6820" s="93">
        <f>AD6820/AC6817</f>
        <v>5.1470588235294121</v>
      </c>
      <c r="AC6820" s="93">
        <f>AC6817/AA6820</f>
        <v>0.96507352941176472</v>
      </c>
      <c r="AD6820" s="94">
        <f>AC6820*Z6820</f>
        <v>46.32352941176471</v>
      </c>
      <c r="AE6820" s="190"/>
      <c r="AF6820" s="191"/>
      <c r="AG6820" s="191"/>
      <c r="AH6820" s="191"/>
      <c r="AI6820" s="186"/>
      <c r="AK6820" s="171"/>
    </row>
    <row r="6821" spans="1:41" s="102" customFormat="1" ht="19.899999999999999" customHeight="1" x14ac:dyDescent="0.25">
      <c r="A6821" s="45"/>
      <c r="B6821" s="59"/>
      <c r="C6821" s="137"/>
      <c r="D6821" s="59"/>
      <c r="E6821" s="116"/>
      <c r="F6821" s="120"/>
      <c r="G6821" s="120"/>
      <c r="H6821" s="120"/>
      <c r="I6821" s="60"/>
      <c r="J6821" s="116"/>
      <c r="K6821" s="213"/>
      <c r="L6821" s="120"/>
      <c r="M6821" s="120"/>
      <c r="N6821" s="167"/>
      <c r="O6821" s="120"/>
      <c r="P6821" s="120"/>
      <c r="Q6821" s="120"/>
      <c r="R6821" s="120"/>
      <c r="S6821" s="120"/>
      <c r="T6821" s="221"/>
      <c r="U6821" s="89"/>
      <c r="V6821" s="61"/>
      <c r="W6821" s="92" t="s">
        <v>65</v>
      </c>
      <c r="X6821" s="93" t="s">
        <v>30</v>
      </c>
      <c r="Y6821" s="93" t="s">
        <v>1011</v>
      </c>
      <c r="Z6821" s="134">
        <f>VLOOKUP(W6821,Sheet2!$B:$D,3,FALSE)</f>
        <v>1.76</v>
      </c>
      <c r="AA6821" s="93">
        <f>AA6820/10</f>
        <v>0.93257142857142861</v>
      </c>
      <c r="AB6821" s="93">
        <f>AD6821/AC6817</f>
        <v>1.8872549019607843</v>
      </c>
      <c r="AC6821" s="93">
        <f>AC6817/AA6821</f>
        <v>9.6507352941176467</v>
      </c>
      <c r="AD6821" s="94">
        <f>AC6821*Z6821</f>
        <v>16.985294117647058</v>
      </c>
      <c r="AE6821" s="190"/>
      <c r="AF6821" s="191"/>
      <c r="AG6821" s="191"/>
      <c r="AH6821" s="191"/>
      <c r="AI6821" s="186"/>
      <c r="AK6821" s="171"/>
    </row>
    <row r="6822" spans="1:41" s="102" customFormat="1" ht="19.899999999999999" customHeight="1" x14ac:dyDescent="0.25">
      <c r="A6822" s="45"/>
      <c r="B6822" s="59"/>
      <c r="C6822" s="137"/>
      <c r="D6822" s="59"/>
      <c r="E6822" s="116"/>
      <c r="F6822" s="120"/>
      <c r="G6822" s="120"/>
      <c r="H6822" s="120"/>
      <c r="I6822" s="60"/>
      <c r="J6822" s="116"/>
      <c r="K6822" s="213"/>
      <c r="L6822" s="120"/>
      <c r="M6822" s="120"/>
      <c r="N6822" s="167"/>
      <c r="O6822" s="120"/>
      <c r="P6822" s="120"/>
      <c r="Q6822" s="120"/>
      <c r="R6822" s="120"/>
      <c r="S6822" s="120"/>
      <c r="T6822" s="221"/>
      <c r="U6822" s="89"/>
      <c r="V6822" s="61"/>
      <c r="W6822" s="92" t="s">
        <v>173</v>
      </c>
      <c r="X6822" s="93" t="s">
        <v>29</v>
      </c>
      <c r="Y6822" s="93" t="s">
        <v>93</v>
      </c>
      <c r="Z6822" s="134">
        <f>VLOOKUP(W6822,Sheet2!$B:$D,3,FALSE)</f>
        <v>36</v>
      </c>
      <c r="AA6822" s="93">
        <f>50/((1.5*1.5)-(0.25*0.25))</f>
        <v>22.857142857142858</v>
      </c>
      <c r="AB6822" s="93">
        <f>AD6822/AC6817</f>
        <v>1.575</v>
      </c>
      <c r="AC6822" s="93">
        <f>AC6817/AA6822</f>
        <v>0.39374999999999999</v>
      </c>
      <c r="AD6822" s="94">
        <f>AC6822*Z6822</f>
        <v>14.174999999999999</v>
      </c>
      <c r="AE6822" s="190"/>
      <c r="AF6822" s="191"/>
      <c r="AG6822" s="191"/>
      <c r="AH6822" s="191"/>
      <c r="AI6822" s="186"/>
      <c r="AK6822" s="171"/>
    </row>
    <row r="6823" spans="1:41" s="102" customFormat="1" ht="19.899999999999999" customHeight="1" x14ac:dyDescent="0.25">
      <c r="A6823" s="45"/>
      <c r="B6823" s="59"/>
      <c r="C6823" s="137"/>
      <c r="D6823" s="59"/>
      <c r="E6823" s="116"/>
      <c r="F6823" s="120"/>
      <c r="G6823" s="120"/>
      <c r="H6823" s="120"/>
      <c r="I6823" s="60"/>
      <c r="J6823" s="116"/>
      <c r="K6823" s="213"/>
      <c r="L6823" s="120"/>
      <c r="M6823" s="120"/>
      <c r="N6823" s="167"/>
      <c r="O6823" s="120"/>
      <c r="P6823" s="120"/>
      <c r="Q6823" s="120"/>
      <c r="R6823" s="120"/>
      <c r="S6823" s="120"/>
      <c r="T6823" s="221"/>
      <c r="U6823" s="89"/>
      <c r="V6823" s="61"/>
      <c r="W6823" s="92" t="s">
        <v>65</v>
      </c>
      <c r="X6823" s="93" t="s">
        <v>30</v>
      </c>
      <c r="Y6823" s="93" t="s">
        <v>1011</v>
      </c>
      <c r="Z6823" s="134">
        <f>VLOOKUP(W6823,Sheet2!$B:$D,3,FALSE)</f>
        <v>1.76</v>
      </c>
      <c r="AA6823" s="93">
        <f>AA6822/9</f>
        <v>2.5396825396825395</v>
      </c>
      <c r="AB6823" s="93">
        <f>AD6823/AC6817</f>
        <v>0.69300000000000006</v>
      </c>
      <c r="AC6823" s="93">
        <f>AC6817/AA6823</f>
        <v>3.5437500000000002</v>
      </c>
      <c r="AD6823" s="94">
        <f>AC6823*Z6823</f>
        <v>6.2370000000000001</v>
      </c>
      <c r="AE6823" s="190"/>
      <c r="AF6823" s="191"/>
      <c r="AG6823" s="191"/>
      <c r="AH6823" s="191"/>
      <c r="AI6823" s="186"/>
      <c r="AK6823" s="171"/>
    </row>
    <row r="6824" spans="1:41" s="102" customFormat="1" ht="19.899999999999999" customHeight="1" x14ac:dyDescent="0.25">
      <c r="A6824" s="45"/>
      <c r="B6824" s="59"/>
      <c r="C6824" s="137"/>
      <c r="D6824" s="59"/>
      <c r="E6824" s="116"/>
      <c r="F6824" s="120"/>
      <c r="G6824" s="120"/>
      <c r="H6824" s="120"/>
      <c r="I6824" s="60"/>
      <c r="J6824" s="116"/>
      <c r="K6824" s="213"/>
      <c r="L6824" s="120"/>
      <c r="M6824" s="120"/>
      <c r="N6824" s="167"/>
      <c r="O6824" s="120"/>
      <c r="P6824" s="120"/>
      <c r="Q6824" s="120"/>
      <c r="R6824" s="120"/>
      <c r="S6824" s="120"/>
      <c r="T6824" s="221"/>
      <c r="U6824" s="89"/>
      <c r="V6824" s="61"/>
      <c r="W6824" s="92" t="s">
        <v>148</v>
      </c>
      <c r="X6824" s="93" t="s">
        <v>29</v>
      </c>
      <c r="Y6824" s="93" t="s">
        <v>93</v>
      </c>
      <c r="Z6824" s="134">
        <f>VLOOKUP(W6824,Sheet2!$B:$D,3,FALSE)</f>
        <v>48</v>
      </c>
      <c r="AA6824" s="93">
        <f>7.2/(1.5*1.5*0.1)</f>
        <v>32</v>
      </c>
      <c r="AB6824" s="93">
        <f>AD6824/AC6817</f>
        <v>1.5</v>
      </c>
      <c r="AC6824" s="93">
        <f>AC6817/AA6824</f>
        <v>0.28125</v>
      </c>
      <c r="AD6824" s="94">
        <f t="shared" ref="AD6824:AD6827" si="4886">AC6824*Z6824</f>
        <v>13.5</v>
      </c>
      <c r="AE6824" s="190"/>
      <c r="AF6824" s="191"/>
      <c r="AG6824" s="191"/>
      <c r="AH6824" s="191"/>
      <c r="AI6824" s="186"/>
      <c r="AK6824" s="171"/>
    </row>
    <row r="6825" spans="1:41" s="102" customFormat="1" ht="19.899999999999999" customHeight="1" x14ac:dyDescent="0.25">
      <c r="A6825" s="45"/>
      <c r="B6825" s="59"/>
      <c r="C6825" s="137"/>
      <c r="D6825" s="59"/>
      <c r="E6825" s="116"/>
      <c r="F6825" s="120"/>
      <c r="G6825" s="120"/>
      <c r="H6825" s="120"/>
      <c r="I6825" s="60"/>
      <c r="J6825" s="116"/>
      <c r="K6825" s="213"/>
      <c r="L6825" s="120"/>
      <c r="M6825" s="120"/>
      <c r="N6825" s="167"/>
      <c r="O6825" s="120"/>
      <c r="P6825" s="120"/>
      <c r="Q6825" s="120"/>
      <c r="R6825" s="120"/>
      <c r="S6825" s="120"/>
      <c r="T6825" s="221"/>
      <c r="U6825" s="89"/>
      <c r="V6825" s="61"/>
      <c r="W6825" s="92" t="s">
        <v>65</v>
      </c>
      <c r="X6825" s="93" t="s">
        <v>30</v>
      </c>
      <c r="Y6825" s="93" t="s">
        <v>1011</v>
      </c>
      <c r="Z6825" s="134">
        <f>VLOOKUP(W6825,Sheet2!$B:$D,3,FALSE)</f>
        <v>1.76</v>
      </c>
      <c r="AA6825" s="93">
        <f>AA6824/10</f>
        <v>3.2</v>
      </c>
      <c r="AB6825" s="93">
        <f>AD6825/AC6817</f>
        <v>0.55000000000000004</v>
      </c>
      <c r="AC6825" s="93">
        <f>AC6817/AA6825</f>
        <v>2.8125</v>
      </c>
      <c r="AD6825" s="94">
        <f t="shared" si="4886"/>
        <v>4.95</v>
      </c>
      <c r="AE6825" s="190"/>
      <c r="AF6825" s="191"/>
      <c r="AG6825" s="191"/>
      <c r="AH6825" s="191"/>
      <c r="AI6825" s="186"/>
      <c r="AK6825" s="171"/>
    </row>
    <row r="6826" spans="1:41" s="102" customFormat="1" ht="19.899999999999999" customHeight="1" x14ac:dyDescent="0.25">
      <c r="A6826" s="45"/>
      <c r="B6826" s="59"/>
      <c r="C6826" s="137"/>
      <c r="D6826" s="59"/>
      <c r="E6826" s="116"/>
      <c r="F6826" s="120"/>
      <c r="G6826" s="120"/>
      <c r="H6826" s="120"/>
      <c r="I6826" s="60"/>
      <c r="J6826" s="116"/>
      <c r="K6826" s="213"/>
      <c r="L6826" s="120"/>
      <c r="M6826" s="120"/>
      <c r="N6826" s="167"/>
      <c r="O6826" s="120"/>
      <c r="P6826" s="120"/>
      <c r="Q6826" s="120"/>
      <c r="R6826" s="120"/>
      <c r="S6826" s="120"/>
      <c r="T6826" s="221"/>
      <c r="U6826" s="89"/>
      <c r="V6826" s="61"/>
      <c r="W6826" s="92" t="s">
        <v>1030</v>
      </c>
      <c r="X6826" s="93" t="s">
        <v>29</v>
      </c>
      <c r="Y6826" s="93" t="s">
        <v>93</v>
      </c>
      <c r="Z6826" s="134">
        <f>VLOOKUP(W6826,Sheet2!$B:$D,3,FALSE)</f>
        <v>23</v>
      </c>
      <c r="AA6826" s="93">
        <v>25</v>
      </c>
      <c r="AB6826" s="93">
        <f>AD6826/AC6817</f>
        <v>0.91999999999999993</v>
      </c>
      <c r="AC6826" s="93">
        <f>AC6817/AA6826</f>
        <v>0.36</v>
      </c>
      <c r="AD6826" s="94">
        <f t="shared" si="4886"/>
        <v>8.2799999999999994</v>
      </c>
      <c r="AE6826" s="190"/>
      <c r="AF6826" s="191"/>
      <c r="AG6826" s="191"/>
      <c r="AH6826" s="191"/>
      <c r="AI6826" s="186"/>
      <c r="AK6826" s="171"/>
    </row>
    <row r="6827" spans="1:41" s="102" customFormat="1" ht="19.899999999999999" customHeight="1" x14ac:dyDescent="0.25">
      <c r="A6827" s="45"/>
      <c r="B6827" s="59"/>
      <c r="C6827" s="137"/>
      <c r="D6827" s="59"/>
      <c r="E6827" s="116"/>
      <c r="F6827" s="120"/>
      <c r="G6827" s="120"/>
      <c r="H6827" s="120"/>
      <c r="I6827" s="60"/>
      <c r="J6827" s="116"/>
      <c r="K6827" s="213"/>
      <c r="L6827" s="120"/>
      <c r="M6827" s="120"/>
      <c r="N6827" s="167"/>
      <c r="O6827" s="120"/>
      <c r="P6827" s="120"/>
      <c r="Q6827" s="120"/>
      <c r="R6827" s="120"/>
      <c r="S6827" s="120"/>
      <c r="T6827" s="221"/>
      <c r="U6827" s="89"/>
      <c r="V6827" s="61"/>
      <c r="W6827" s="92" t="s">
        <v>65</v>
      </c>
      <c r="X6827" s="93" t="s">
        <v>30</v>
      </c>
      <c r="Y6827" s="93" t="s">
        <v>1011</v>
      </c>
      <c r="Z6827" s="134">
        <f>VLOOKUP(W6827,Sheet2!$B:$D,3,FALSE)</f>
        <v>1.76</v>
      </c>
      <c r="AA6827" s="93">
        <f>AA6826/3</f>
        <v>8.3333333333333339</v>
      </c>
      <c r="AB6827" s="93">
        <f>AD6827/AC6817</f>
        <v>0.21119999999999997</v>
      </c>
      <c r="AC6827" s="93">
        <f>AC6817/AA6827</f>
        <v>1.0799999999999998</v>
      </c>
      <c r="AD6827" s="94">
        <f t="shared" si="4886"/>
        <v>1.9007999999999998</v>
      </c>
      <c r="AE6827" s="190"/>
      <c r="AF6827" s="191"/>
      <c r="AG6827" s="191"/>
      <c r="AH6827" s="191"/>
      <c r="AI6827" s="186"/>
      <c r="AK6827" s="171"/>
    </row>
    <row r="6828" spans="1:41" ht="20.100000000000001" customHeight="1" x14ac:dyDescent="0.25">
      <c r="A6828" s="277" t="s">
        <v>491</v>
      </c>
      <c r="B6828" s="278"/>
      <c r="C6828" s="64" t="s">
        <v>667</v>
      </c>
      <c r="D6828" s="46" t="s">
        <v>97</v>
      </c>
      <c r="E6828" s="114">
        <v>9</v>
      </c>
      <c r="F6828" s="44">
        <v>120</v>
      </c>
      <c r="G6828" s="44">
        <f t="shared" si="4575"/>
        <v>1080</v>
      </c>
      <c r="H6828" s="44">
        <f t="shared" si="4576"/>
        <v>78.539112156862743</v>
      </c>
      <c r="I6828" s="43">
        <f t="shared" si="4577"/>
        <v>706.8520094117647</v>
      </c>
      <c r="J6828" s="112">
        <f t="shared" si="4578"/>
        <v>9</v>
      </c>
      <c r="K6828" s="211">
        <f t="shared" si="4579"/>
        <v>9</v>
      </c>
      <c r="L6828" s="44"/>
      <c r="M6828" s="44">
        <f t="shared" si="4580"/>
        <v>9</v>
      </c>
      <c r="N6828" s="173">
        <f t="shared" si="4581"/>
        <v>1</v>
      </c>
      <c r="O6828" s="44">
        <f t="shared" si="4582"/>
        <v>120</v>
      </c>
      <c r="P6828" s="44">
        <f t="shared" si="4583"/>
        <v>1080</v>
      </c>
      <c r="Q6828" s="44">
        <f t="shared" si="4584"/>
        <v>78.539112156862743</v>
      </c>
      <c r="R6828" s="44">
        <f t="shared" si="4585"/>
        <v>706.8520094117647</v>
      </c>
      <c r="S6828" s="123"/>
      <c r="T6828" s="219">
        <f t="shared" si="4586"/>
        <v>706.8520094117647</v>
      </c>
      <c r="U6828" s="87"/>
      <c r="V6828" s="47"/>
      <c r="W6828" s="48"/>
      <c r="X6828" s="48"/>
      <c r="Y6828" s="48"/>
      <c r="Z6828" s="135"/>
      <c r="AA6828" s="49"/>
      <c r="AB6828" s="50">
        <f t="shared" si="4587"/>
        <v>78.539112156862743</v>
      </c>
      <c r="AC6828" s="42">
        <f t="shared" si="4588"/>
        <v>9</v>
      </c>
      <c r="AD6828" s="90">
        <f>AD6829+AD6836+AD6842</f>
        <v>706.8520094117647</v>
      </c>
      <c r="AE6828" s="188">
        <f t="shared" ref="AE6828" si="4887">AE6829+AE6836+AE6842</f>
        <v>0</v>
      </c>
      <c r="AF6828" s="189">
        <f t="shared" ref="AF6828" si="4888">AF6829+AF6836+AF6842</f>
        <v>0</v>
      </c>
      <c r="AG6828" s="189">
        <f t="shared" ref="AG6828" si="4889">AG6829+AG6836+AG6842</f>
        <v>0</v>
      </c>
      <c r="AH6828" s="189">
        <f t="shared" ref="AH6828" si="4890">AH6829+AH6836+AH6842</f>
        <v>0</v>
      </c>
      <c r="AI6828" s="161">
        <f t="shared" si="4876"/>
        <v>0</v>
      </c>
      <c r="AK6828" s="169">
        <v>5</v>
      </c>
      <c r="AO6828" s="19" t="s">
        <v>63</v>
      </c>
    </row>
    <row r="6829" spans="1:41" s="103" customFormat="1" ht="19.899999999999999" customHeight="1" x14ac:dyDescent="0.25">
      <c r="A6829" s="51"/>
      <c r="B6829" s="52"/>
      <c r="C6829" s="165"/>
      <c r="D6829" s="52"/>
      <c r="E6829" s="115"/>
      <c r="F6829" s="58"/>
      <c r="G6829" s="58"/>
      <c r="H6829" s="58"/>
      <c r="I6829" s="55"/>
      <c r="J6829" s="113">
        <f>J6828</f>
        <v>9</v>
      </c>
      <c r="K6829" s="212">
        <f>K6828</f>
        <v>9</v>
      </c>
      <c r="L6829" s="58"/>
      <c r="M6829" s="58">
        <f>K6829-L6829</f>
        <v>9</v>
      </c>
      <c r="N6829" s="166"/>
      <c r="O6829" s="58"/>
      <c r="P6829" s="58"/>
      <c r="Q6829" s="58"/>
      <c r="R6829" s="58"/>
      <c r="S6829" s="58"/>
      <c r="T6829" s="220"/>
      <c r="U6829" s="88"/>
      <c r="V6829" s="56"/>
      <c r="W6829" s="57" t="s">
        <v>1607</v>
      </c>
      <c r="X6829" s="53"/>
      <c r="Y6829" s="91" t="s">
        <v>68</v>
      </c>
      <c r="Z6829" s="136">
        <f>AD6829/AC6829</f>
        <v>11.227407058823532</v>
      </c>
      <c r="AA6829" s="58"/>
      <c r="AB6829" s="53">
        <f>AD6829/AC6829</f>
        <v>11.227407058823532</v>
      </c>
      <c r="AC6829" s="53">
        <f>M6829+$AE$10</f>
        <v>9</v>
      </c>
      <c r="AD6829" s="54">
        <f>SUM(AD6830:AD6835)</f>
        <v>101.04666352941179</v>
      </c>
      <c r="AE6829" s="184">
        <f>SUMIFS($AD$37:$AD$12971,$V$37:$V$12971,$V6829,$X$37:$X$12971,AE$13)</f>
        <v>0</v>
      </c>
      <c r="AF6829" s="185">
        <f>SUMIFS($AD$37:$AD$12971,$V$37:$V$12971,$V6829,$X$37:$X$12971,AF$13)</f>
        <v>0</v>
      </c>
      <c r="AG6829" s="185">
        <f>SUMIFS($AD$37:$AD$12971,$V$37:$V$12971,$V6829,$X$37:$X$12971,AG$13)</f>
        <v>0</v>
      </c>
      <c r="AH6829" s="187">
        <f>SUMIFS($AD$37:$AD$12971,$V$37:$V$12971,$V6829,$X$37:$X$12971,AH$13)</f>
        <v>0</v>
      </c>
      <c r="AI6829" s="161">
        <f t="shared" ref="AI6829" si="4891">SUM(AE6829:AH6829)</f>
        <v>0</v>
      </c>
      <c r="AK6829" s="172"/>
    </row>
    <row r="6830" spans="1:41" s="102" customFormat="1" ht="19.899999999999999" customHeight="1" x14ac:dyDescent="0.25">
      <c r="A6830" s="45"/>
      <c r="B6830" s="59"/>
      <c r="C6830" s="137"/>
      <c r="D6830" s="59"/>
      <c r="E6830" s="116"/>
      <c r="F6830" s="120"/>
      <c r="G6830" s="120"/>
      <c r="H6830" s="120"/>
      <c r="I6830" s="60"/>
      <c r="J6830" s="116"/>
      <c r="K6830" s="213"/>
      <c r="L6830" s="120"/>
      <c r="M6830" s="120"/>
      <c r="N6830" s="167"/>
      <c r="O6830" s="120"/>
      <c r="P6830" s="120"/>
      <c r="Q6830" s="120"/>
      <c r="R6830" s="120"/>
      <c r="S6830" s="120"/>
      <c r="T6830" s="221"/>
      <c r="U6830" s="89"/>
      <c r="V6830" s="61"/>
      <c r="W6830" s="92" t="s">
        <v>129</v>
      </c>
      <c r="X6830" s="93" t="s">
        <v>29</v>
      </c>
      <c r="Y6830" s="93" t="s">
        <v>93</v>
      </c>
      <c r="Z6830" s="134">
        <f>VLOOKUP(W6830,Sheet2!$B:$D,3,FALSE)</f>
        <v>56</v>
      </c>
      <c r="AA6830" s="93">
        <f>100/(1.6*1.5)</f>
        <v>41.666666666666657</v>
      </c>
      <c r="AB6830" s="93">
        <f t="shared" ref="AB6830" si="4892">AD6830/AC6829</f>
        <v>1.3440000000000003</v>
      </c>
      <c r="AC6830" s="93">
        <f>AC6829/AA6830</f>
        <v>0.21600000000000005</v>
      </c>
      <c r="AD6830" s="94">
        <f t="shared" ref="AD6830:AD6831" si="4893">AC6830*Z6830</f>
        <v>12.096000000000004</v>
      </c>
      <c r="AE6830" s="190"/>
      <c r="AF6830" s="191"/>
      <c r="AG6830" s="191"/>
      <c r="AH6830" s="191"/>
      <c r="AI6830" s="186"/>
      <c r="AK6830" s="171"/>
    </row>
    <row r="6831" spans="1:41" s="102" customFormat="1" ht="19.899999999999999" customHeight="1" x14ac:dyDescent="0.25">
      <c r="A6831" s="45"/>
      <c r="B6831" s="59"/>
      <c r="C6831" s="137"/>
      <c r="D6831" s="59"/>
      <c r="E6831" s="116"/>
      <c r="F6831" s="120"/>
      <c r="G6831" s="120"/>
      <c r="H6831" s="120"/>
      <c r="I6831" s="60"/>
      <c r="J6831" s="116"/>
      <c r="K6831" s="213"/>
      <c r="L6831" s="120"/>
      <c r="M6831" s="120"/>
      <c r="N6831" s="167"/>
      <c r="O6831" s="120"/>
      <c r="P6831" s="120"/>
      <c r="Q6831" s="120"/>
      <c r="R6831" s="120"/>
      <c r="S6831" s="120"/>
      <c r="T6831" s="221"/>
      <c r="U6831" s="89"/>
      <c r="V6831" s="61"/>
      <c r="W6831" s="92" t="s">
        <v>65</v>
      </c>
      <c r="X6831" s="93" t="s">
        <v>30</v>
      </c>
      <c r="Y6831" s="93" t="s">
        <v>1011</v>
      </c>
      <c r="Z6831" s="134">
        <f>VLOOKUP(W6831,Sheet2!$B:$D,3,FALSE)</f>
        <v>1.76</v>
      </c>
      <c r="AA6831" s="93">
        <f>AA6830/14</f>
        <v>2.9761904761904754</v>
      </c>
      <c r="AB6831" s="93">
        <f>AD6831/AC6829</f>
        <v>0.59136000000000022</v>
      </c>
      <c r="AC6831" s="93">
        <f>AC6829/AA6831</f>
        <v>3.0240000000000009</v>
      </c>
      <c r="AD6831" s="94">
        <f t="shared" si="4893"/>
        <v>5.3222400000000016</v>
      </c>
      <c r="AE6831" s="190"/>
      <c r="AF6831" s="191"/>
      <c r="AG6831" s="191"/>
      <c r="AH6831" s="191"/>
      <c r="AI6831" s="186"/>
      <c r="AK6831" s="171"/>
    </row>
    <row r="6832" spans="1:41" s="102" customFormat="1" ht="19.899999999999999" customHeight="1" x14ac:dyDescent="0.25">
      <c r="A6832" s="45"/>
      <c r="B6832" s="59"/>
      <c r="C6832" s="137"/>
      <c r="D6832" s="59"/>
      <c r="E6832" s="116"/>
      <c r="F6832" s="120"/>
      <c r="G6832" s="120"/>
      <c r="H6832" s="120"/>
      <c r="I6832" s="60"/>
      <c r="J6832" s="116"/>
      <c r="K6832" s="213"/>
      <c r="L6832" s="120"/>
      <c r="M6832" s="120"/>
      <c r="N6832" s="167"/>
      <c r="O6832" s="120"/>
      <c r="P6832" s="120"/>
      <c r="Q6832" s="120"/>
      <c r="R6832" s="120"/>
      <c r="S6832" s="120"/>
      <c r="T6832" s="221"/>
      <c r="U6832" s="89"/>
      <c r="V6832" s="61"/>
      <c r="W6832" s="92" t="s">
        <v>161</v>
      </c>
      <c r="X6832" s="93" t="s">
        <v>29</v>
      </c>
      <c r="Y6832" s="93" t="s">
        <v>93</v>
      </c>
      <c r="Z6832" s="134">
        <f>VLOOKUP(W6832,Sheet2!$B:$D,3,FALSE)</f>
        <v>48</v>
      </c>
      <c r="AA6832" s="93">
        <f>(16*0.85*1.5)/(1.6*1.5)</f>
        <v>8.4999999999999982</v>
      </c>
      <c r="AB6832" s="93">
        <f>AD6832/AC6829</f>
        <v>5.647058823529413</v>
      </c>
      <c r="AC6832" s="93">
        <f>AC6829/AA6832</f>
        <v>1.0588235294117649</v>
      </c>
      <c r="AD6832" s="94">
        <f>AC6832*Z6832</f>
        <v>50.823529411764717</v>
      </c>
      <c r="AE6832" s="190"/>
      <c r="AF6832" s="191"/>
      <c r="AG6832" s="191"/>
      <c r="AH6832" s="191"/>
      <c r="AI6832" s="186"/>
      <c r="AK6832" s="171"/>
    </row>
    <row r="6833" spans="1:37" s="102" customFormat="1" ht="19.899999999999999" customHeight="1" x14ac:dyDescent="0.25">
      <c r="A6833" s="45"/>
      <c r="B6833" s="59"/>
      <c r="C6833" s="137"/>
      <c r="D6833" s="59"/>
      <c r="E6833" s="116"/>
      <c r="F6833" s="120"/>
      <c r="G6833" s="120"/>
      <c r="H6833" s="120"/>
      <c r="I6833" s="60"/>
      <c r="J6833" s="116"/>
      <c r="K6833" s="213"/>
      <c r="L6833" s="120"/>
      <c r="M6833" s="120"/>
      <c r="N6833" s="167"/>
      <c r="O6833" s="120"/>
      <c r="P6833" s="120"/>
      <c r="Q6833" s="120"/>
      <c r="R6833" s="120"/>
      <c r="S6833" s="120"/>
      <c r="T6833" s="221"/>
      <c r="U6833" s="89"/>
      <c r="V6833" s="61"/>
      <c r="W6833" s="92" t="s">
        <v>65</v>
      </c>
      <c r="X6833" s="93" t="s">
        <v>30</v>
      </c>
      <c r="Y6833" s="93" t="s">
        <v>1011</v>
      </c>
      <c r="Z6833" s="134">
        <f>VLOOKUP(W6833,Sheet2!$B:$D,3,FALSE)</f>
        <v>1.76</v>
      </c>
      <c r="AA6833" s="93">
        <f>AA6832/10</f>
        <v>0.84999999999999987</v>
      </c>
      <c r="AB6833" s="93">
        <f>AD6833/AC6829</f>
        <v>2.0705882352941178</v>
      </c>
      <c r="AC6833" s="93">
        <f>AC6829/AA6833</f>
        <v>10.588235294117649</v>
      </c>
      <c r="AD6833" s="94">
        <f>AC6833*Z6833</f>
        <v>18.63529411764706</v>
      </c>
      <c r="AE6833" s="190"/>
      <c r="AF6833" s="191"/>
      <c r="AG6833" s="191"/>
      <c r="AH6833" s="191"/>
      <c r="AI6833" s="186"/>
      <c r="AK6833" s="171"/>
    </row>
    <row r="6834" spans="1:37" s="102" customFormat="1" ht="19.899999999999999" customHeight="1" x14ac:dyDescent="0.25">
      <c r="A6834" s="45"/>
      <c r="B6834" s="59"/>
      <c r="C6834" s="137"/>
      <c r="D6834" s="59"/>
      <c r="E6834" s="116"/>
      <c r="F6834" s="120"/>
      <c r="G6834" s="120"/>
      <c r="H6834" s="120"/>
      <c r="I6834" s="60"/>
      <c r="J6834" s="116"/>
      <c r="K6834" s="213"/>
      <c r="L6834" s="120"/>
      <c r="M6834" s="120"/>
      <c r="N6834" s="167"/>
      <c r="O6834" s="120"/>
      <c r="P6834" s="120"/>
      <c r="Q6834" s="120"/>
      <c r="R6834" s="120"/>
      <c r="S6834" s="120"/>
      <c r="T6834" s="221"/>
      <c r="U6834" s="89"/>
      <c r="V6834" s="61"/>
      <c r="W6834" s="92" t="s">
        <v>148</v>
      </c>
      <c r="X6834" s="93" t="s">
        <v>29</v>
      </c>
      <c r="Y6834" s="93" t="s">
        <v>93</v>
      </c>
      <c r="Z6834" s="134">
        <f>VLOOKUP(W6834,Sheet2!$B:$D,3,FALSE)</f>
        <v>48</v>
      </c>
      <c r="AA6834" s="93">
        <f>AA6830</f>
        <v>41.666666666666657</v>
      </c>
      <c r="AB6834" s="93">
        <f>AD6834/AC6829</f>
        <v>1.1520000000000001</v>
      </c>
      <c r="AC6834" s="93">
        <f>AC6829/AA6834</f>
        <v>0.21600000000000005</v>
      </c>
      <c r="AD6834" s="94">
        <f t="shared" ref="AD6834:AD6835" si="4894">AC6834*Z6834</f>
        <v>10.368000000000002</v>
      </c>
      <c r="AE6834" s="190"/>
      <c r="AF6834" s="191"/>
      <c r="AG6834" s="191"/>
      <c r="AH6834" s="191"/>
      <c r="AI6834" s="186"/>
      <c r="AK6834" s="171"/>
    </row>
    <row r="6835" spans="1:37" s="102" customFormat="1" ht="19.899999999999999" customHeight="1" x14ac:dyDescent="0.25">
      <c r="A6835" s="45"/>
      <c r="B6835" s="59"/>
      <c r="C6835" s="137"/>
      <c r="D6835" s="59"/>
      <c r="E6835" s="116"/>
      <c r="F6835" s="120"/>
      <c r="G6835" s="120"/>
      <c r="H6835" s="120"/>
      <c r="I6835" s="60"/>
      <c r="J6835" s="116"/>
      <c r="K6835" s="213"/>
      <c r="L6835" s="120"/>
      <c r="M6835" s="120"/>
      <c r="N6835" s="167"/>
      <c r="O6835" s="120"/>
      <c r="P6835" s="120"/>
      <c r="Q6835" s="120"/>
      <c r="R6835" s="120"/>
      <c r="S6835" s="120"/>
      <c r="T6835" s="221"/>
      <c r="U6835" s="89"/>
      <c r="V6835" s="61"/>
      <c r="W6835" s="92" t="s">
        <v>65</v>
      </c>
      <c r="X6835" s="93" t="s">
        <v>30</v>
      </c>
      <c r="Y6835" s="93" t="s">
        <v>1011</v>
      </c>
      <c r="Z6835" s="134">
        <f>VLOOKUP(W6835,Sheet2!$B:$D,3,FALSE)</f>
        <v>1.76</v>
      </c>
      <c r="AA6835" s="93">
        <f>AA6834/10</f>
        <v>4.1666666666666661</v>
      </c>
      <c r="AB6835" s="93">
        <f>AD6835/AC6829</f>
        <v>0.4224</v>
      </c>
      <c r="AC6835" s="93">
        <f>AC6829/AA6835</f>
        <v>2.16</v>
      </c>
      <c r="AD6835" s="94">
        <f t="shared" si="4894"/>
        <v>3.8016000000000001</v>
      </c>
      <c r="AE6835" s="190"/>
      <c r="AF6835" s="191"/>
      <c r="AG6835" s="191"/>
      <c r="AH6835" s="191"/>
      <c r="AI6835" s="186"/>
      <c r="AK6835" s="171"/>
    </row>
    <row r="6836" spans="1:37" s="103" customFormat="1" ht="19.899999999999999" customHeight="1" x14ac:dyDescent="0.25">
      <c r="A6836" s="51"/>
      <c r="B6836" s="52"/>
      <c r="C6836" s="165"/>
      <c r="D6836" s="52"/>
      <c r="E6836" s="115"/>
      <c r="F6836" s="58"/>
      <c r="G6836" s="58"/>
      <c r="H6836" s="58"/>
      <c r="I6836" s="55"/>
      <c r="J6836" s="113">
        <f>J6828</f>
        <v>9</v>
      </c>
      <c r="K6836" s="212">
        <f>K6828</f>
        <v>9</v>
      </c>
      <c r="L6836" s="58"/>
      <c r="M6836" s="58">
        <f>K6836-L6836</f>
        <v>9</v>
      </c>
      <c r="N6836" s="166"/>
      <c r="O6836" s="58"/>
      <c r="P6836" s="58"/>
      <c r="Q6836" s="58"/>
      <c r="R6836" s="58"/>
      <c r="S6836" s="58"/>
      <c r="T6836" s="220"/>
      <c r="U6836" s="88"/>
      <c r="V6836" s="56"/>
      <c r="W6836" s="57" t="s">
        <v>1606</v>
      </c>
      <c r="X6836" s="53"/>
      <c r="Y6836" s="91" t="s">
        <v>68</v>
      </c>
      <c r="Z6836" s="136">
        <f>AD6836/AC6836</f>
        <v>52.34</v>
      </c>
      <c r="AA6836" s="58"/>
      <c r="AB6836" s="53">
        <f>AD6836/AC6836</f>
        <v>52.34</v>
      </c>
      <c r="AC6836" s="53">
        <f>M6836+$AE$10</f>
        <v>9</v>
      </c>
      <c r="AD6836" s="54">
        <f>SUM(AD6837:AD6841)</f>
        <v>471.06</v>
      </c>
      <c r="AE6836" s="184">
        <f>SUMIFS($AD$37:$AD$12971,$V$37:$V$12971,$V6836,$X$37:$X$12971,AE$13)</f>
        <v>0</v>
      </c>
      <c r="AF6836" s="185">
        <f>SUMIFS($AD$37:$AD$12971,$V$37:$V$12971,$V6836,$X$37:$X$12971,AF$13)</f>
        <v>0</v>
      </c>
      <c r="AG6836" s="185">
        <f>SUMIFS($AD$37:$AD$12971,$V$37:$V$12971,$V6836,$X$37:$X$12971,AG$13)</f>
        <v>0</v>
      </c>
      <c r="AH6836" s="187">
        <f>SUMIFS($AD$37:$AD$12971,$V$37:$V$12971,$V6836,$X$37:$X$12971,AH$13)</f>
        <v>0</v>
      </c>
      <c r="AI6836" s="161">
        <f t="shared" ref="AI6836" si="4895">SUM(AE6836:AH6836)</f>
        <v>0</v>
      </c>
      <c r="AK6836" s="172"/>
    </row>
    <row r="6837" spans="1:37" s="102" customFormat="1" ht="19.899999999999999" customHeight="1" x14ac:dyDescent="0.25">
      <c r="A6837" s="45"/>
      <c r="B6837" s="59"/>
      <c r="C6837" s="137"/>
      <c r="D6837" s="59"/>
      <c r="E6837" s="116"/>
      <c r="F6837" s="120"/>
      <c r="G6837" s="120"/>
      <c r="H6837" s="120"/>
      <c r="I6837" s="60"/>
      <c r="J6837" s="116"/>
      <c r="K6837" s="213"/>
      <c r="L6837" s="120"/>
      <c r="M6837" s="120"/>
      <c r="N6837" s="167"/>
      <c r="O6837" s="120"/>
      <c r="P6837" s="120"/>
      <c r="Q6837" s="120"/>
      <c r="R6837" s="120"/>
      <c r="S6837" s="120"/>
      <c r="T6837" s="221"/>
      <c r="U6837" s="89"/>
      <c r="V6837" s="61"/>
      <c r="W6837" s="92" t="s">
        <v>1032</v>
      </c>
      <c r="X6837" s="93" t="s">
        <v>30</v>
      </c>
      <c r="Y6837" s="93" t="s">
        <v>66</v>
      </c>
      <c r="Z6837" s="134">
        <f>VLOOKUP(W6837,Sheet2!$B:$D,3,FALSE)</f>
        <v>250</v>
      </c>
      <c r="AA6837" s="93">
        <f>1/(0.4*0.25)</f>
        <v>10</v>
      </c>
      <c r="AB6837" s="93">
        <f>AD6837/AC6836</f>
        <v>25</v>
      </c>
      <c r="AC6837" s="93">
        <f>AC6836/AA6837</f>
        <v>0.9</v>
      </c>
      <c r="AD6837" s="94">
        <f t="shared" ref="AD6837" si="4896">AC6837*Z6837</f>
        <v>225</v>
      </c>
      <c r="AE6837" s="190"/>
      <c r="AF6837" s="191"/>
      <c r="AG6837" s="191"/>
      <c r="AH6837" s="191"/>
      <c r="AI6837" s="186"/>
      <c r="AK6837" s="171"/>
    </row>
    <row r="6838" spans="1:37" s="102" customFormat="1" ht="19.899999999999999" customHeight="1" x14ac:dyDescent="0.25">
      <c r="A6838" s="45"/>
      <c r="B6838" s="59"/>
      <c r="C6838" s="137"/>
      <c r="D6838" s="59"/>
      <c r="E6838" s="116"/>
      <c r="F6838" s="120"/>
      <c r="G6838" s="120"/>
      <c r="H6838" s="120"/>
      <c r="I6838" s="60"/>
      <c r="J6838" s="116"/>
      <c r="K6838" s="213"/>
      <c r="L6838" s="120"/>
      <c r="M6838" s="120"/>
      <c r="N6838" s="167"/>
      <c r="O6838" s="120"/>
      <c r="P6838" s="120"/>
      <c r="Q6838" s="120"/>
      <c r="R6838" s="120"/>
      <c r="S6838" s="120"/>
      <c r="T6838" s="221"/>
      <c r="U6838" s="89"/>
      <c r="V6838" s="61"/>
      <c r="W6838" s="92" t="s">
        <v>1270</v>
      </c>
      <c r="X6838" s="93" t="s">
        <v>30</v>
      </c>
      <c r="Y6838" s="93" t="s">
        <v>68</v>
      </c>
      <c r="Z6838" s="134">
        <f>VLOOKUP(W6838,Sheet2!$B:$D,3,FALSE)</f>
        <v>4</v>
      </c>
      <c r="AA6838" s="93">
        <f>1/2</f>
        <v>0.5</v>
      </c>
      <c r="AB6838" s="93">
        <f>AD6838/AC6836</f>
        <v>8</v>
      </c>
      <c r="AC6838" s="93">
        <f>AC6836/AA6838</f>
        <v>18</v>
      </c>
      <c r="AD6838" s="94">
        <f>AC6838*Z6838</f>
        <v>72</v>
      </c>
      <c r="AE6838" s="190"/>
      <c r="AF6838" s="191"/>
      <c r="AG6838" s="191"/>
      <c r="AH6838" s="191"/>
      <c r="AI6838" s="186"/>
      <c r="AK6838" s="171"/>
    </row>
    <row r="6839" spans="1:37" s="102" customFormat="1" ht="19.899999999999999" customHeight="1" x14ac:dyDescent="0.25">
      <c r="A6839" s="45"/>
      <c r="B6839" s="59"/>
      <c r="C6839" s="137"/>
      <c r="D6839" s="59"/>
      <c r="E6839" s="116"/>
      <c r="F6839" s="120"/>
      <c r="G6839" s="120"/>
      <c r="H6839" s="120"/>
      <c r="I6839" s="60"/>
      <c r="J6839" s="116"/>
      <c r="K6839" s="213"/>
      <c r="L6839" s="120"/>
      <c r="M6839" s="120"/>
      <c r="N6839" s="167"/>
      <c r="O6839" s="120"/>
      <c r="P6839" s="120"/>
      <c r="Q6839" s="120"/>
      <c r="R6839" s="120"/>
      <c r="S6839" s="120"/>
      <c r="T6839" s="221"/>
      <c r="U6839" s="89"/>
      <c r="V6839" s="61"/>
      <c r="W6839" s="92" t="s">
        <v>1271</v>
      </c>
      <c r="X6839" s="93" t="s">
        <v>30</v>
      </c>
      <c r="Y6839" s="93" t="s">
        <v>68</v>
      </c>
      <c r="Z6839" s="134">
        <f>VLOOKUP(W6839,Sheet2!$B:$D,3,FALSE)</f>
        <v>2</v>
      </c>
      <c r="AA6839" s="93">
        <f>AA6838</f>
        <v>0.5</v>
      </c>
      <c r="AB6839" s="93">
        <f>AD6839/AC6836</f>
        <v>4</v>
      </c>
      <c r="AC6839" s="93">
        <f>AC6836/AA6839</f>
        <v>18</v>
      </c>
      <c r="AD6839" s="94">
        <f>AC6839*Z6839</f>
        <v>36</v>
      </c>
      <c r="AE6839" s="190"/>
      <c r="AF6839" s="191"/>
      <c r="AG6839" s="191"/>
      <c r="AH6839" s="191"/>
      <c r="AI6839" s="186"/>
      <c r="AK6839" s="171"/>
    </row>
    <row r="6840" spans="1:37" s="102" customFormat="1" ht="19.899999999999999" customHeight="1" x14ac:dyDescent="0.25">
      <c r="A6840" s="45"/>
      <c r="B6840" s="59"/>
      <c r="C6840" s="137"/>
      <c r="D6840" s="59"/>
      <c r="E6840" s="116"/>
      <c r="F6840" s="120"/>
      <c r="G6840" s="120"/>
      <c r="H6840" s="120"/>
      <c r="I6840" s="60"/>
      <c r="J6840" s="116"/>
      <c r="K6840" s="213"/>
      <c r="L6840" s="120"/>
      <c r="M6840" s="120"/>
      <c r="N6840" s="167"/>
      <c r="O6840" s="120"/>
      <c r="P6840" s="120"/>
      <c r="Q6840" s="120"/>
      <c r="R6840" s="120"/>
      <c r="S6840" s="120"/>
      <c r="T6840" s="221"/>
      <c r="U6840" s="89"/>
      <c r="V6840" s="61"/>
      <c r="W6840" s="92" t="s">
        <v>1035</v>
      </c>
      <c r="X6840" s="93" t="s">
        <v>32</v>
      </c>
      <c r="Y6840" s="93" t="s">
        <v>66</v>
      </c>
      <c r="Z6840" s="134">
        <f>VLOOKUP(W6840,Sheet2!$B:$D,3,FALSE)</f>
        <v>150</v>
      </c>
      <c r="AA6840" s="93">
        <f>AA6837</f>
        <v>10</v>
      </c>
      <c r="AB6840" s="93">
        <f>AD6840/AC6836</f>
        <v>15</v>
      </c>
      <c r="AC6840" s="93">
        <f>AC6836/AA6840</f>
        <v>0.9</v>
      </c>
      <c r="AD6840" s="94">
        <f t="shared" ref="AD6840:AD6841" si="4897">AC6840*Z6840</f>
        <v>135</v>
      </c>
      <c r="AE6840" s="190"/>
      <c r="AF6840" s="191"/>
      <c r="AG6840" s="191"/>
      <c r="AH6840" s="191"/>
      <c r="AI6840" s="186"/>
      <c r="AK6840" s="171"/>
    </row>
    <row r="6841" spans="1:37" s="102" customFormat="1" ht="19.899999999999999" customHeight="1" x14ac:dyDescent="0.25">
      <c r="A6841" s="45"/>
      <c r="B6841" s="59"/>
      <c r="C6841" s="137"/>
      <c r="D6841" s="59"/>
      <c r="E6841" s="116"/>
      <c r="F6841" s="120"/>
      <c r="G6841" s="120"/>
      <c r="H6841" s="120"/>
      <c r="I6841" s="60"/>
      <c r="J6841" s="116"/>
      <c r="K6841" s="213"/>
      <c r="L6841" s="120"/>
      <c r="M6841" s="120"/>
      <c r="N6841" s="167"/>
      <c r="O6841" s="120"/>
      <c r="P6841" s="120"/>
      <c r="Q6841" s="120"/>
      <c r="R6841" s="120"/>
      <c r="S6841" s="120"/>
      <c r="T6841" s="221"/>
      <c r="U6841" s="89"/>
      <c r="V6841" s="61"/>
      <c r="W6841" s="92" t="s">
        <v>107</v>
      </c>
      <c r="X6841" s="93" t="s">
        <v>31</v>
      </c>
      <c r="Y6841" s="93" t="s">
        <v>93</v>
      </c>
      <c r="Z6841" s="134">
        <f>VLOOKUP(W6841,Sheet2!$B:$D,3,FALSE)</f>
        <v>17</v>
      </c>
      <c r="AA6841" s="93">
        <v>50</v>
      </c>
      <c r="AB6841" s="93">
        <f>AD6841/AC6836</f>
        <v>0.34</v>
      </c>
      <c r="AC6841" s="93">
        <f>AC6836/AA6841</f>
        <v>0.18</v>
      </c>
      <c r="AD6841" s="94">
        <f t="shared" si="4897"/>
        <v>3.06</v>
      </c>
      <c r="AE6841" s="190"/>
      <c r="AF6841" s="191"/>
      <c r="AG6841" s="191"/>
      <c r="AH6841" s="191"/>
      <c r="AI6841" s="186"/>
      <c r="AK6841" s="171"/>
    </row>
    <row r="6842" spans="1:37" s="103" customFormat="1" ht="19.899999999999999" customHeight="1" x14ac:dyDescent="0.25">
      <c r="A6842" s="51"/>
      <c r="B6842" s="52"/>
      <c r="C6842" s="165"/>
      <c r="D6842" s="52"/>
      <c r="E6842" s="115"/>
      <c r="F6842" s="58"/>
      <c r="G6842" s="58"/>
      <c r="H6842" s="58"/>
      <c r="I6842" s="55"/>
      <c r="J6842" s="113">
        <f>J6828</f>
        <v>9</v>
      </c>
      <c r="K6842" s="212">
        <f>K6828</f>
        <v>9</v>
      </c>
      <c r="L6842" s="58"/>
      <c r="M6842" s="58">
        <f>K6842-L6842</f>
        <v>9</v>
      </c>
      <c r="N6842" s="166"/>
      <c r="O6842" s="58"/>
      <c r="P6842" s="58"/>
      <c r="Q6842" s="58"/>
      <c r="R6842" s="58"/>
      <c r="S6842" s="58"/>
      <c r="T6842" s="220"/>
      <c r="U6842" s="88"/>
      <c r="V6842" s="56"/>
      <c r="W6842" s="57" t="s">
        <v>1272</v>
      </c>
      <c r="X6842" s="53"/>
      <c r="Y6842" s="91" t="s">
        <v>68</v>
      </c>
      <c r="Z6842" s="136">
        <f>AD6842/AC6842</f>
        <v>14.971705098039216</v>
      </c>
      <c r="AA6842" s="58"/>
      <c r="AB6842" s="53">
        <f>AD6842/AC6842</f>
        <v>14.971705098039216</v>
      </c>
      <c r="AC6842" s="53">
        <f>M6842+$AE$10</f>
        <v>9</v>
      </c>
      <c r="AD6842" s="54">
        <f>SUM(AD6843:AD6852)</f>
        <v>134.74534588235295</v>
      </c>
      <c r="AE6842" s="184">
        <f>SUMIFS($AD$37:$AD$12971,$V$37:$V$12971,$V6842,$X$37:$X$12971,AE$13)</f>
        <v>0</v>
      </c>
      <c r="AF6842" s="185">
        <f>SUMIFS($AD$37:$AD$12971,$V$37:$V$12971,$V6842,$X$37:$X$12971,AF$13)</f>
        <v>0</v>
      </c>
      <c r="AG6842" s="185">
        <f>SUMIFS($AD$37:$AD$12971,$V$37:$V$12971,$V6842,$X$37:$X$12971,AG$13)</f>
        <v>0</v>
      </c>
      <c r="AH6842" s="187">
        <f>SUMIFS($AD$37:$AD$12971,$V$37:$V$12971,$V6842,$X$37:$X$12971,AH$13)</f>
        <v>0</v>
      </c>
      <c r="AI6842" s="161">
        <f t="shared" ref="AI6842" si="4898">SUM(AE6842:AH6842)</f>
        <v>0</v>
      </c>
      <c r="AK6842" s="172"/>
    </row>
    <row r="6843" spans="1:37" s="102" customFormat="1" ht="19.899999999999999" customHeight="1" x14ac:dyDescent="0.25">
      <c r="A6843" s="45"/>
      <c r="B6843" s="59"/>
      <c r="C6843" s="137"/>
      <c r="D6843" s="59"/>
      <c r="E6843" s="116"/>
      <c r="F6843" s="120"/>
      <c r="G6843" s="120"/>
      <c r="H6843" s="120"/>
      <c r="I6843" s="60"/>
      <c r="J6843" s="116"/>
      <c r="K6843" s="213"/>
      <c r="L6843" s="120"/>
      <c r="M6843" s="120"/>
      <c r="N6843" s="167"/>
      <c r="O6843" s="120"/>
      <c r="P6843" s="120"/>
      <c r="Q6843" s="120"/>
      <c r="R6843" s="120"/>
      <c r="S6843" s="120"/>
      <c r="T6843" s="221"/>
      <c r="U6843" s="89"/>
      <c r="V6843" s="61"/>
      <c r="W6843" s="92" t="s">
        <v>134</v>
      </c>
      <c r="X6843" s="93" t="s">
        <v>29</v>
      </c>
      <c r="Y6843" s="93" t="s">
        <v>93</v>
      </c>
      <c r="Z6843" s="134">
        <f>VLOOKUP(W6843,Sheet2!$B:$D,3,FALSE)</f>
        <v>65.599999999999994</v>
      </c>
      <c r="AA6843" s="93">
        <f>100/((1.6*1.5)-(0.4*0.25))</f>
        <v>43.478260869565212</v>
      </c>
      <c r="AB6843" s="93">
        <f>AD6843/AC6842</f>
        <v>1.5087999999999999</v>
      </c>
      <c r="AC6843" s="93">
        <f>AC6842/AA6843</f>
        <v>0.20700000000000002</v>
      </c>
      <c r="AD6843" s="94">
        <f t="shared" ref="AD6843:AD6844" si="4899">AC6843*Z6843</f>
        <v>13.5792</v>
      </c>
      <c r="AE6843" s="190"/>
      <c r="AF6843" s="191"/>
      <c r="AG6843" s="191"/>
      <c r="AH6843" s="191"/>
      <c r="AI6843" s="186"/>
      <c r="AK6843" s="171"/>
    </row>
    <row r="6844" spans="1:37" s="102" customFormat="1" ht="19.899999999999999" customHeight="1" x14ac:dyDescent="0.25">
      <c r="A6844" s="45"/>
      <c r="B6844" s="59"/>
      <c r="C6844" s="137"/>
      <c r="D6844" s="59"/>
      <c r="E6844" s="116"/>
      <c r="F6844" s="120"/>
      <c r="G6844" s="120"/>
      <c r="H6844" s="120"/>
      <c r="I6844" s="60"/>
      <c r="J6844" s="116"/>
      <c r="K6844" s="213"/>
      <c r="L6844" s="120"/>
      <c r="M6844" s="120"/>
      <c r="N6844" s="167"/>
      <c r="O6844" s="120"/>
      <c r="P6844" s="120"/>
      <c r="Q6844" s="120"/>
      <c r="R6844" s="120"/>
      <c r="S6844" s="120"/>
      <c r="T6844" s="221"/>
      <c r="U6844" s="89"/>
      <c r="V6844" s="61"/>
      <c r="W6844" s="92" t="s">
        <v>65</v>
      </c>
      <c r="X6844" s="93" t="s">
        <v>30</v>
      </c>
      <c r="Y6844" s="93" t="s">
        <v>1011</v>
      </c>
      <c r="Z6844" s="134">
        <f>VLOOKUP(W6844,Sheet2!$B:$D,3,FALSE)</f>
        <v>1.76</v>
      </c>
      <c r="AA6844" s="93">
        <f>AA6843/9</f>
        <v>4.8309178743961345</v>
      </c>
      <c r="AB6844" s="93">
        <f>AD6844/AC6842</f>
        <v>0.36432000000000003</v>
      </c>
      <c r="AC6844" s="93">
        <f>AC6842/AA6844</f>
        <v>1.8630000000000002</v>
      </c>
      <c r="AD6844" s="94">
        <f t="shared" si="4899"/>
        <v>3.2788800000000005</v>
      </c>
      <c r="AE6844" s="190"/>
      <c r="AF6844" s="191"/>
      <c r="AG6844" s="191"/>
      <c r="AH6844" s="191"/>
      <c r="AI6844" s="186"/>
      <c r="AK6844" s="171"/>
    </row>
    <row r="6845" spans="1:37" s="102" customFormat="1" ht="19.899999999999999" customHeight="1" x14ac:dyDescent="0.25">
      <c r="A6845" s="45"/>
      <c r="B6845" s="59"/>
      <c r="C6845" s="137"/>
      <c r="D6845" s="59"/>
      <c r="E6845" s="116"/>
      <c r="F6845" s="120"/>
      <c r="G6845" s="120"/>
      <c r="H6845" s="120"/>
      <c r="I6845" s="60"/>
      <c r="J6845" s="116"/>
      <c r="K6845" s="213"/>
      <c r="L6845" s="120"/>
      <c r="M6845" s="120"/>
      <c r="N6845" s="167"/>
      <c r="O6845" s="120"/>
      <c r="P6845" s="120"/>
      <c r="Q6845" s="120"/>
      <c r="R6845" s="120"/>
      <c r="S6845" s="120"/>
      <c r="T6845" s="221"/>
      <c r="U6845" s="89"/>
      <c r="V6845" s="61"/>
      <c r="W6845" s="92" t="s">
        <v>161</v>
      </c>
      <c r="X6845" s="93" t="s">
        <v>29</v>
      </c>
      <c r="Y6845" s="93" t="s">
        <v>93</v>
      </c>
      <c r="Z6845" s="134">
        <f>VLOOKUP(W6845,Sheet2!$B:$D,3,FALSE)</f>
        <v>48</v>
      </c>
      <c r="AA6845" s="93">
        <f>(16*0.85*1.5)/((1.6*1.5)-(0.4*0.25))</f>
        <v>8.8695652173913029</v>
      </c>
      <c r="AB6845" s="93">
        <f>AD6845/AC6842</f>
        <v>5.4117647058823541</v>
      </c>
      <c r="AC6845" s="93">
        <f>AC6842/AA6845</f>
        <v>1.0147058823529413</v>
      </c>
      <c r="AD6845" s="94">
        <f>AC6845*Z6845</f>
        <v>48.705882352941188</v>
      </c>
      <c r="AE6845" s="190"/>
      <c r="AF6845" s="191"/>
      <c r="AG6845" s="191"/>
      <c r="AH6845" s="191"/>
      <c r="AI6845" s="186"/>
      <c r="AK6845" s="171"/>
    </row>
    <row r="6846" spans="1:37" s="102" customFormat="1" ht="19.899999999999999" customHeight="1" x14ac:dyDescent="0.25">
      <c r="A6846" s="45"/>
      <c r="B6846" s="59"/>
      <c r="C6846" s="137"/>
      <c r="D6846" s="59"/>
      <c r="E6846" s="116"/>
      <c r="F6846" s="120"/>
      <c r="G6846" s="120"/>
      <c r="H6846" s="120"/>
      <c r="I6846" s="60"/>
      <c r="J6846" s="116"/>
      <c r="K6846" s="213"/>
      <c r="L6846" s="120"/>
      <c r="M6846" s="120"/>
      <c r="N6846" s="167"/>
      <c r="O6846" s="120"/>
      <c r="P6846" s="120"/>
      <c r="Q6846" s="120"/>
      <c r="R6846" s="120"/>
      <c r="S6846" s="120"/>
      <c r="T6846" s="221"/>
      <c r="U6846" s="89"/>
      <c r="V6846" s="61"/>
      <c r="W6846" s="92" t="s">
        <v>65</v>
      </c>
      <c r="X6846" s="93" t="s">
        <v>30</v>
      </c>
      <c r="Y6846" s="93" t="s">
        <v>1011</v>
      </c>
      <c r="Z6846" s="134">
        <f>VLOOKUP(W6846,Sheet2!$B:$D,3,FALSE)</f>
        <v>1.76</v>
      </c>
      <c r="AA6846" s="93">
        <f>AA6845/10</f>
        <v>0.88695652173913031</v>
      </c>
      <c r="AB6846" s="93">
        <f>AD6846/AC6842</f>
        <v>1.9843137254901966</v>
      </c>
      <c r="AC6846" s="93">
        <f>AC6842/AA6846</f>
        <v>10.147058823529413</v>
      </c>
      <c r="AD6846" s="94">
        <f>AC6846*Z6846</f>
        <v>17.858823529411769</v>
      </c>
      <c r="AE6846" s="190"/>
      <c r="AF6846" s="191"/>
      <c r="AG6846" s="191"/>
      <c r="AH6846" s="191"/>
      <c r="AI6846" s="186"/>
      <c r="AK6846" s="171"/>
    </row>
    <row r="6847" spans="1:37" s="102" customFormat="1" ht="19.899999999999999" customHeight="1" x14ac:dyDescent="0.25">
      <c r="A6847" s="45"/>
      <c r="B6847" s="59"/>
      <c r="C6847" s="137"/>
      <c r="D6847" s="59"/>
      <c r="E6847" s="116"/>
      <c r="F6847" s="120"/>
      <c r="G6847" s="120"/>
      <c r="H6847" s="120"/>
      <c r="I6847" s="60"/>
      <c r="J6847" s="116"/>
      <c r="K6847" s="213"/>
      <c r="L6847" s="120"/>
      <c r="M6847" s="120"/>
      <c r="N6847" s="167"/>
      <c r="O6847" s="120"/>
      <c r="P6847" s="120"/>
      <c r="Q6847" s="120"/>
      <c r="R6847" s="120"/>
      <c r="S6847" s="120"/>
      <c r="T6847" s="221"/>
      <c r="U6847" s="89"/>
      <c r="V6847" s="61"/>
      <c r="W6847" s="92" t="s">
        <v>173</v>
      </c>
      <c r="X6847" s="93" t="s">
        <v>29</v>
      </c>
      <c r="Y6847" s="93" t="s">
        <v>93</v>
      </c>
      <c r="Z6847" s="134">
        <f>VLOOKUP(W6847,Sheet2!$B:$D,3,FALSE)</f>
        <v>36</v>
      </c>
      <c r="AA6847" s="93">
        <f>50/((1.6*1.5)-(0.4*0.25))</f>
        <v>21.739130434782606</v>
      </c>
      <c r="AB6847" s="93">
        <f>AD6847/AC6842</f>
        <v>1.6560000000000001</v>
      </c>
      <c r="AC6847" s="93">
        <f>AC6842/AA6847</f>
        <v>0.41400000000000003</v>
      </c>
      <c r="AD6847" s="94">
        <f>AC6847*Z6847</f>
        <v>14.904000000000002</v>
      </c>
      <c r="AE6847" s="190"/>
      <c r="AF6847" s="191"/>
      <c r="AG6847" s="191"/>
      <c r="AH6847" s="191"/>
      <c r="AI6847" s="186"/>
      <c r="AK6847" s="171"/>
    </row>
    <row r="6848" spans="1:37" s="102" customFormat="1" ht="19.899999999999999" customHeight="1" x14ac:dyDescent="0.25">
      <c r="A6848" s="45"/>
      <c r="B6848" s="59"/>
      <c r="C6848" s="137"/>
      <c r="D6848" s="59"/>
      <c r="E6848" s="116"/>
      <c r="F6848" s="120"/>
      <c r="G6848" s="120"/>
      <c r="H6848" s="120"/>
      <c r="I6848" s="60"/>
      <c r="J6848" s="116"/>
      <c r="K6848" s="213"/>
      <c r="L6848" s="120"/>
      <c r="M6848" s="120"/>
      <c r="N6848" s="167"/>
      <c r="O6848" s="120"/>
      <c r="P6848" s="120"/>
      <c r="Q6848" s="120"/>
      <c r="R6848" s="120"/>
      <c r="S6848" s="120"/>
      <c r="T6848" s="221"/>
      <c r="U6848" s="89"/>
      <c r="V6848" s="61"/>
      <c r="W6848" s="92" t="s">
        <v>65</v>
      </c>
      <c r="X6848" s="93" t="s">
        <v>30</v>
      </c>
      <c r="Y6848" s="93" t="s">
        <v>1011</v>
      </c>
      <c r="Z6848" s="134">
        <f>VLOOKUP(W6848,Sheet2!$B:$D,3,FALSE)</f>
        <v>1.76</v>
      </c>
      <c r="AA6848" s="93">
        <f>AA6847/9</f>
        <v>2.4154589371980673</v>
      </c>
      <c r="AB6848" s="93">
        <f>AD6848/AC6842</f>
        <v>0.72864000000000007</v>
      </c>
      <c r="AC6848" s="93">
        <f>AC6842/AA6848</f>
        <v>3.7260000000000004</v>
      </c>
      <c r="AD6848" s="94">
        <f>AC6848*Z6848</f>
        <v>6.5577600000000009</v>
      </c>
      <c r="AE6848" s="190"/>
      <c r="AF6848" s="191"/>
      <c r="AG6848" s="191"/>
      <c r="AH6848" s="191"/>
      <c r="AI6848" s="186"/>
      <c r="AK6848" s="171"/>
    </row>
    <row r="6849" spans="1:41" s="102" customFormat="1" ht="19.899999999999999" customHeight="1" x14ac:dyDescent="0.25">
      <c r="A6849" s="45"/>
      <c r="B6849" s="59"/>
      <c r="C6849" s="137"/>
      <c r="D6849" s="59"/>
      <c r="E6849" s="116"/>
      <c r="F6849" s="120"/>
      <c r="G6849" s="120"/>
      <c r="H6849" s="120"/>
      <c r="I6849" s="60"/>
      <c r="J6849" s="116"/>
      <c r="K6849" s="213"/>
      <c r="L6849" s="120"/>
      <c r="M6849" s="120"/>
      <c r="N6849" s="167"/>
      <c r="O6849" s="120"/>
      <c r="P6849" s="120"/>
      <c r="Q6849" s="120"/>
      <c r="R6849" s="120"/>
      <c r="S6849" s="120"/>
      <c r="T6849" s="221"/>
      <c r="U6849" s="89"/>
      <c r="V6849" s="61"/>
      <c r="W6849" s="92" t="s">
        <v>148</v>
      </c>
      <c r="X6849" s="93" t="s">
        <v>29</v>
      </c>
      <c r="Y6849" s="93" t="s">
        <v>93</v>
      </c>
      <c r="Z6849" s="134">
        <f>VLOOKUP(W6849,Sheet2!$B:$D,3,FALSE)</f>
        <v>48</v>
      </c>
      <c r="AA6849" s="93">
        <f>7.2/(1.6*1.5*0.1)</f>
        <v>29.999999999999996</v>
      </c>
      <c r="AB6849" s="93">
        <f>AD6849/AC6842</f>
        <v>1.6000000000000003</v>
      </c>
      <c r="AC6849" s="93">
        <f>AC6842/AA6849</f>
        <v>0.30000000000000004</v>
      </c>
      <c r="AD6849" s="94">
        <f t="shared" ref="AD6849:AD6852" si="4900">AC6849*Z6849</f>
        <v>14.400000000000002</v>
      </c>
      <c r="AE6849" s="190"/>
      <c r="AF6849" s="191"/>
      <c r="AG6849" s="191"/>
      <c r="AH6849" s="191"/>
      <c r="AI6849" s="186"/>
      <c r="AK6849" s="171"/>
    </row>
    <row r="6850" spans="1:41" s="102" customFormat="1" ht="19.899999999999999" customHeight="1" x14ac:dyDescent="0.25">
      <c r="A6850" s="45"/>
      <c r="B6850" s="59"/>
      <c r="C6850" s="137"/>
      <c r="D6850" s="59"/>
      <c r="E6850" s="116"/>
      <c r="F6850" s="120"/>
      <c r="G6850" s="120"/>
      <c r="H6850" s="120"/>
      <c r="I6850" s="60"/>
      <c r="J6850" s="116"/>
      <c r="K6850" s="213"/>
      <c r="L6850" s="120"/>
      <c r="M6850" s="120"/>
      <c r="N6850" s="167"/>
      <c r="O6850" s="120"/>
      <c r="P6850" s="120"/>
      <c r="Q6850" s="120"/>
      <c r="R6850" s="120"/>
      <c r="S6850" s="120"/>
      <c r="T6850" s="221"/>
      <c r="U6850" s="89"/>
      <c r="V6850" s="61"/>
      <c r="W6850" s="92" t="s">
        <v>65</v>
      </c>
      <c r="X6850" s="93" t="s">
        <v>30</v>
      </c>
      <c r="Y6850" s="93" t="s">
        <v>1011</v>
      </c>
      <c r="Z6850" s="134">
        <f>VLOOKUP(W6850,Sheet2!$B:$D,3,FALSE)</f>
        <v>1.76</v>
      </c>
      <c r="AA6850" s="93">
        <f>AA6849/10</f>
        <v>2.9999999999999996</v>
      </c>
      <c r="AB6850" s="93">
        <f>AD6850/AC6842</f>
        <v>0.58666666666666678</v>
      </c>
      <c r="AC6850" s="93">
        <f>AC6842/AA6850</f>
        <v>3.0000000000000004</v>
      </c>
      <c r="AD6850" s="94">
        <f t="shared" si="4900"/>
        <v>5.2800000000000011</v>
      </c>
      <c r="AE6850" s="190"/>
      <c r="AF6850" s="191"/>
      <c r="AG6850" s="191"/>
      <c r="AH6850" s="191"/>
      <c r="AI6850" s="186"/>
      <c r="AK6850" s="171"/>
    </row>
    <row r="6851" spans="1:41" s="102" customFormat="1" ht="19.899999999999999" customHeight="1" x14ac:dyDescent="0.25">
      <c r="A6851" s="45"/>
      <c r="B6851" s="59"/>
      <c r="C6851" s="137"/>
      <c r="D6851" s="59"/>
      <c r="E6851" s="116"/>
      <c r="F6851" s="120"/>
      <c r="G6851" s="120"/>
      <c r="H6851" s="120"/>
      <c r="I6851" s="60"/>
      <c r="J6851" s="116"/>
      <c r="K6851" s="213"/>
      <c r="L6851" s="120"/>
      <c r="M6851" s="120"/>
      <c r="N6851" s="167"/>
      <c r="O6851" s="120"/>
      <c r="P6851" s="120"/>
      <c r="Q6851" s="120"/>
      <c r="R6851" s="120"/>
      <c r="S6851" s="120"/>
      <c r="T6851" s="221"/>
      <c r="U6851" s="89"/>
      <c r="V6851" s="61"/>
      <c r="W6851" s="92" t="s">
        <v>1030</v>
      </c>
      <c r="X6851" s="93" t="s">
        <v>29</v>
      </c>
      <c r="Y6851" s="93" t="s">
        <v>93</v>
      </c>
      <c r="Z6851" s="134">
        <f>VLOOKUP(W6851,Sheet2!$B:$D,3,FALSE)</f>
        <v>23</v>
      </c>
      <c r="AA6851" s="93">
        <v>25</v>
      </c>
      <c r="AB6851" s="93">
        <f>AD6851/AC6842</f>
        <v>0.91999999999999993</v>
      </c>
      <c r="AC6851" s="93">
        <f>AC6842/AA6851</f>
        <v>0.36</v>
      </c>
      <c r="AD6851" s="94">
        <f t="shared" si="4900"/>
        <v>8.2799999999999994</v>
      </c>
      <c r="AE6851" s="190"/>
      <c r="AF6851" s="191"/>
      <c r="AG6851" s="191"/>
      <c r="AH6851" s="191"/>
      <c r="AI6851" s="186"/>
      <c r="AK6851" s="171"/>
    </row>
    <row r="6852" spans="1:41" s="102" customFormat="1" ht="19.899999999999999" customHeight="1" x14ac:dyDescent="0.25">
      <c r="A6852" s="45"/>
      <c r="B6852" s="59"/>
      <c r="C6852" s="137"/>
      <c r="D6852" s="59"/>
      <c r="E6852" s="116"/>
      <c r="F6852" s="120"/>
      <c r="G6852" s="120"/>
      <c r="H6852" s="120"/>
      <c r="I6852" s="60"/>
      <c r="J6852" s="116"/>
      <c r="K6852" s="213"/>
      <c r="L6852" s="120"/>
      <c r="M6852" s="120"/>
      <c r="N6852" s="167"/>
      <c r="O6852" s="120"/>
      <c r="P6852" s="120"/>
      <c r="Q6852" s="120"/>
      <c r="R6852" s="120"/>
      <c r="S6852" s="120"/>
      <c r="T6852" s="221"/>
      <c r="U6852" s="89"/>
      <c r="V6852" s="61"/>
      <c r="W6852" s="92" t="s">
        <v>65</v>
      </c>
      <c r="X6852" s="93" t="s">
        <v>30</v>
      </c>
      <c r="Y6852" s="93" t="s">
        <v>1011</v>
      </c>
      <c r="Z6852" s="134">
        <f>VLOOKUP(W6852,Sheet2!$B:$D,3,FALSE)</f>
        <v>1.76</v>
      </c>
      <c r="AA6852" s="93">
        <f>AA6851/3</f>
        <v>8.3333333333333339</v>
      </c>
      <c r="AB6852" s="93">
        <f>AD6852/AC6842</f>
        <v>0.21119999999999997</v>
      </c>
      <c r="AC6852" s="93">
        <f>AC6842/AA6852</f>
        <v>1.0799999999999998</v>
      </c>
      <c r="AD6852" s="94">
        <f t="shared" si="4900"/>
        <v>1.9007999999999998</v>
      </c>
      <c r="AE6852" s="190"/>
      <c r="AF6852" s="191"/>
      <c r="AG6852" s="191"/>
      <c r="AH6852" s="191"/>
      <c r="AI6852" s="186"/>
      <c r="AK6852" s="171"/>
    </row>
    <row r="6853" spans="1:41" ht="20.100000000000001" customHeight="1" x14ac:dyDescent="0.25">
      <c r="A6853" s="277" t="s">
        <v>491</v>
      </c>
      <c r="B6853" s="278"/>
      <c r="C6853" s="64" t="s">
        <v>668</v>
      </c>
      <c r="D6853" s="46" t="s">
        <v>97</v>
      </c>
      <c r="E6853" s="114">
        <v>20</v>
      </c>
      <c r="F6853" s="44">
        <v>380</v>
      </c>
      <c r="G6853" s="44">
        <f t="shared" si="4575"/>
        <v>7600</v>
      </c>
      <c r="H6853" s="44">
        <f t="shared" si="4576"/>
        <v>187.22548517647058</v>
      </c>
      <c r="I6853" s="43">
        <f t="shared" si="4577"/>
        <v>3744.5097035294116</v>
      </c>
      <c r="J6853" s="112">
        <f t="shared" si="4578"/>
        <v>20</v>
      </c>
      <c r="K6853" s="211">
        <f t="shared" si="4579"/>
        <v>20</v>
      </c>
      <c r="L6853" s="44"/>
      <c r="M6853" s="44">
        <f t="shared" si="4580"/>
        <v>20</v>
      </c>
      <c r="N6853" s="173">
        <f t="shared" si="4581"/>
        <v>1</v>
      </c>
      <c r="O6853" s="44">
        <f t="shared" si="4582"/>
        <v>380</v>
      </c>
      <c r="P6853" s="44">
        <f t="shared" si="4583"/>
        <v>7600</v>
      </c>
      <c r="Q6853" s="44">
        <f t="shared" si="4584"/>
        <v>187.22548517647058</v>
      </c>
      <c r="R6853" s="44">
        <f t="shared" si="4585"/>
        <v>3744.5097035294116</v>
      </c>
      <c r="S6853" s="123"/>
      <c r="T6853" s="219">
        <f t="shared" si="4586"/>
        <v>3744.5097035294116</v>
      </c>
      <c r="U6853" s="87"/>
      <c r="V6853" s="47"/>
      <c r="W6853" s="48"/>
      <c r="X6853" s="48"/>
      <c r="Y6853" s="48"/>
      <c r="Z6853" s="135"/>
      <c r="AA6853" s="49"/>
      <c r="AB6853" s="50">
        <f t="shared" si="4587"/>
        <v>187.22548517647058</v>
      </c>
      <c r="AC6853" s="42">
        <f t="shared" si="4588"/>
        <v>20</v>
      </c>
      <c r="AD6853" s="90">
        <f>AD6854+AD6861+AD6867</f>
        <v>3744.5097035294116</v>
      </c>
      <c r="AE6853" s="188">
        <f t="shared" ref="AE6853:AH6853" si="4901">AE6854+AE6861+AE6867</f>
        <v>0</v>
      </c>
      <c r="AF6853" s="189">
        <f t="shared" si="4901"/>
        <v>0</v>
      </c>
      <c r="AG6853" s="189">
        <f t="shared" si="4901"/>
        <v>0</v>
      </c>
      <c r="AH6853" s="189">
        <f t="shared" si="4901"/>
        <v>0</v>
      </c>
      <c r="AI6853" s="161">
        <f t="shared" ref="AI6853" si="4902">SUM(AE6853:AH6853)</f>
        <v>0</v>
      </c>
      <c r="AK6853" s="169">
        <v>5</v>
      </c>
      <c r="AO6853" s="19" t="s">
        <v>63</v>
      </c>
    </row>
    <row r="6854" spans="1:41" s="103" customFormat="1" ht="19.899999999999999" customHeight="1" x14ac:dyDescent="0.25">
      <c r="A6854" s="51"/>
      <c r="B6854" s="52"/>
      <c r="C6854" s="165"/>
      <c r="D6854" s="52"/>
      <c r="E6854" s="115"/>
      <c r="F6854" s="58"/>
      <c r="G6854" s="58"/>
      <c r="H6854" s="58"/>
      <c r="I6854" s="55"/>
      <c r="J6854" s="113">
        <f>J6853</f>
        <v>20</v>
      </c>
      <c r="K6854" s="212">
        <f>K6853</f>
        <v>20</v>
      </c>
      <c r="L6854" s="58"/>
      <c r="M6854" s="58">
        <f>K6854-L6854</f>
        <v>20</v>
      </c>
      <c r="N6854" s="166"/>
      <c r="O6854" s="58"/>
      <c r="P6854" s="58"/>
      <c r="Q6854" s="58"/>
      <c r="R6854" s="58"/>
      <c r="S6854" s="58"/>
      <c r="T6854" s="220"/>
      <c r="U6854" s="88"/>
      <c r="V6854" s="56"/>
      <c r="W6854" s="57" t="s">
        <v>1605</v>
      </c>
      <c r="X6854" s="53"/>
      <c r="Y6854" s="91" t="s">
        <v>68</v>
      </c>
      <c r="Z6854" s="136">
        <f>AD6854/AC6854</f>
        <v>11.929119999999999</v>
      </c>
      <c r="AA6854" s="58"/>
      <c r="AB6854" s="53">
        <f>AD6854/AC6854</f>
        <v>11.929119999999999</v>
      </c>
      <c r="AC6854" s="53">
        <f>M6854+$AE$10</f>
        <v>20</v>
      </c>
      <c r="AD6854" s="54">
        <f>SUM(AD6855:AD6860)</f>
        <v>238.58239999999998</v>
      </c>
      <c r="AE6854" s="184">
        <f>SUMIFS($AD$37:$AD$12971,$V$37:$V$12971,$V6854,$X$37:$X$12971,AE$13)</f>
        <v>0</v>
      </c>
      <c r="AF6854" s="185">
        <f>SUMIFS($AD$37:$AD$12971,$V$37:$V$12971,$V6854,$X$37:$X$12971,AF$13)</f>
        <v>0</v>
      </c>
      <c r="AG6854" s="185">
        <f>SUMIFS($AD$37:$AD$12971,$V$37:$V$12971,$V6854,$X$37:$X$12971,AG$13)</f>
        <v>0</v>
      </c>
      <c r="AH6854" s="187">
        <f>SUMIFS($AD$37:$AD$12971,$V$37:$V$12971,$V6854,$X$37:$X$12971,AH$13)</f>
        <v>0</v>
      </c>
      <c r="AI6854" s="161">
        <f t="shared" ref="AI6854" si="4903">SUM(AE6854:AH6854)</f>
        <v>0</v>
      </c>
      <c r="AK6854" s="172"/>
    </row>
    <row r="6855" spans="1:41" s="102" customFormat="1" ht="19.899999999999999" customHeight="1" x14ac:dyDescent="0.25">
      <c r="A6855" s="45"/>
      <c r="B6855" s="59"/>
      <c r="C6855" s="137"/>
      <c r="D6855" s="59"/>
      <c r="E6855" s="116"/>
      <c r="F6855" s="120"/>
      <c r="G6855" s="120"/>
      <c r="H6855" s="120"/>
      <c r="I6855" s="60"/>
      <c r="J6855" s="116"/>
      <c r="K6855" s="213"/>
      <c r="L6855" s="120"/>
      <c r="M6855" s="120"/>
      <c r="N6855" s="167"/>
      <c r="O6855" s="120"/>
      <c r="P6855" s="120"/>
      <c r="Q6855" s="120"/>
      <c r="R6855" s="120"/>
      <c r="S6855" s="120"/>
      <c r="T6855" s="221"/>
      <c r="U6855" s="89"/>
      <c r="V6855" s="61"/>
      <c r="W6855" s="92" t="s">
        <v>129</v>
      </c>
      <c r="X6855" s="93" t="s">
        <v>29</v>
      </c>
      <c r="Y6855" s="93" t="s">
        <v>93</v>
      </c>
      <c r="Z6855" s="134">
        <f>VLOOKUP(W6855,Sheet2!$B:$D,3,FALSE)</f>
        <v>56</v>
      </c>
      <c r="AA6855" s="93">
        <f>100/(1.7*1.5)</f>
        <v>39.215686274509807</v>
      </c>
      <c r="AB6855" s="93">
        <f t="shared" ref="AB6855" si="4904">AD6855/AC6854</f>
        <v>1.4280000000000002</v>
      </c>
      <c r="AC6855" s="93">
        <f>AC6854/AA6855</f>
        <v>0.51</v>
      </c>
      <c r="AD6855" s="94">
        <f t="shared" ref="AD6855:AD6856" si="4905">AC6855*Z6855</f>
        <v>28.560000000000002</v>
      </c>
      <c r="AE6855" s="190"/>
      <c r="AF6855" s="191"/>
      <c r="AG6855" s="191"/>
      <c r="AH6855" s="191"/>
      <c r="AI6855" s="186"/>
      <c r="AK6855" s="171"/>
    </row>
    <row r="6856" spans="1:41" s="102" customFormat="1" ht="19.899999999999999" customHeight="1" x14ac:dyDescent="0.25">
      <c r="A6856" s="45"/>
      <c r="B6856" s="59"/>
      <c r="C6856" s="137"/>
      <c r="D6856" s="59"/>
      <c r="E6856" s="116"/>
      <c r="F6856" s="120"/>
      <c r="G6856" s="120"/>
      <c r="H6856" s="120"/>
      <c r="I6856" s="60"/>
      <c r="J6856" s="116"/>
      <c r="K6856" s="213"/>
      <c r="L6856" s="120"/>
      <c r="M6856" s="120"/>
      <c r="N6856" s="167"/>
      <c r="O6856" s="120"/>
      <c r="P6856" s="120"/>
      <c r="Q6856" s="120"/>
      <c r="R6856" s="120"/>
      <c r="S6856" s="120"/>
      <c r="T6856" s="221"/>
      <c r="U6856" s="89"/>
      <c r="V6856" s="61"/>
      <c r="W6856" s="92" t="s">
        <v>65</v>
      </c>
      <c r="X6856" s="93" t="s">
        <v>30</v>
      </c>
      <c r="Y6856" s="93" t="s">
        <v>1011</v>
      </c>
      <c r="Z6856" s="134">
        <f>VLOOKUP(W6856,Sheet2!$B:$D,3,FALSE)</f>
        <v>1.76</v>
      </c>
      <c r="AA6856" s="93">
        <f>AA6855/14</f>
        <v>2.801120448179272</v>
      </c>
      <c r="AB6856" s="93">
        <f>AD6856/AC6854</f>
        <v>0.62831999999999999</v>
      </c>
      <c r="AC6856" s="93">
        <f>AC6854/AA6856</f>
        <v>7.14</v>
      </c>
      <c r="AD6856" s="94">
        <f t="shared" si="4905"/>
        <v>12.5664</v>
      </c>
      <c r="AE6856" s="190"/>
      <c r="AF6856" s="191"/>
      <c r="AG6856" s="191"/>
      <c r="AH6856" s="191"/>
      <c r="AI6856" s="186"/>
      <c r="AK6856" s="171"/>
    </row>
    <row r="6857" spans="1:41" s="102" customFormat="1" ht="19.899999999999999" customHeight="1" x14ac:dyDescent="0.25">
      <c r="A6857" s="45"/>
      <c r="B6857" s="59"/>
      <c r="C6857" s="137"/>
      <c r="D6857" s="59"/>
      <c r="E6857" s="116"/>
      <c r="F6857" s="120"/>
      <c r="G6857" s="120"/>
      <c r="H6857" s="120"/>
      <c r="I6857" s="60"/>
      <c r="J6857" s="116"/>
      <c r="K6857" s="213"/>
      <c r="L6857" s="120"/>
      <c r="M6857" s="120"/>
      <c r="N6857" s="167"/>
      <c r="O6857" s="120"/>
      <c r="P6857" s="120"/>
      <c r="Q6857" s="120"/>
      <c r="R6857" s="120"/>
      <c r="S6857" s="120"/>
      <c r="T6857" s="221"/>
      <c r="U6857" s="89"/>
      <c r="V6857" s="61"/>
      <c r="W6857" s="92" t="s">
        <v>161</v>
      </c>
      <c r="X6857" s="93" t="s">
        <v>29</v>
      </c>
      <c r="Y6857" s="93" t="s">
        <v>93</v>
      </c>
      <c r="Z6857" s="134">
        <f>VLOOKUP(W6857,Sheet2!$B:$D,3,FALSE)</f>
        <v>48</v>
      </c>
      <c r="AA6857" s="93">
        <f>(16*0.85*1.5)/(1.7*1.5)</f>
        <v>8</v>
      </c>
      <c r="AB6857" s="93">
        <f>AD6857/AC6854</f>
        <v>6</v>
      </c>
      <c r="AC6857" s="93">
        <f>AC6854/AA6857</f>
        <v>2.5</v>
      </c>
      <c r="AD6857" s="94">
        <f>AC6857*Z6857</f>
        <v>120</v>
      </c>
      <c r="AE6857" s="190"/>
      <c r="AF6857" s="191"/>
      <c r="AG6857" s="191"/>
      <c r="AH6857" s="191"/>
      <c r="AI6857" s="186"/>
      <c r="AK6857" s="171"/>
    </row>
    <row r="6858" spans="1:41" s="102" customFormat="1" ht="19.899999999999999" customHeight="1" x14ac:dyDescent="0.25">
      <c r="A6858" s="45"/>
      <c r="B6858" s="59"/>
      <c r="C6858" s="137"/>
      <c r="D6858" s="59"/>
      <c r="E6858" s="116"/>
      <c r="F6858" s="120"/>
      <c r="G6858" s="120"/>
      <c r="H6858" s="120"/>
      <c r="I6858" s="60"/>
      <c r="J6858" s="116"/>
      <c r="K6858" s="213"/>
      <c r="L6858" s="120"/>
      <c r="M6858" s="120"/>
      <c r="N6858" s="167"/>
      <c r="O6858" s="120"/>
      <c r="P6858" s="120"/>
      <c r="Q6858" s="120"/>
      <c r="R6858" s="120"/>
      <c r="S6858" s="120"/>
      <c r="T6858" s="221"/>
      <c r="U6858" s="89"/>
      <c r="V6858" s="61"/>
      <c r="W6858" s="92" t="s">
        <v>65</v>
      </c>
      <c r="X6858" s="93" t="s">
        <v>30</v>
      </c>
      <c r="Y6858" s="93" t="s">
        <v>1011</v>
      </c>
      <c r="Z6858" s="134">
        <f>VLOOKUP(W6858,Sheet2!$B:$D,3,FALSE)</f>
        <v>1.76</v>
      </c>
      <c r="AA6858" s="93">
        <f>AA6857/10</f>
        <v>0.8</v>
      </c>
      <c r="AB6858" s="93">
        <f>AD6858/AC6854</f>
        <v>2.2000000000000002</v>
      </c>
      <c r="AC6858" s="93">
        <f>AC6854/AA6858</f>
        <v>25</v>
      </c>
      <c r="AD6858" s="94">
        <f>AC6858*Z6858</f>
        <v>44</v>
      </c>
      <c r="AE6858" s="190"/>
      <c r="AF6858" s="191"/>
      <c r="AG6858" s="191"/>
      <c r="AH6858" s="191"/>
      <c r="AI6858" s="186"/>
      <c r="AK6858" s="171"/>
    </row>
    <row r="6859" spans="1:41" s="102" customFormat="1" ht="19.899999999999999" customHeight="1" x14ac:dyDescent="0.25">
      <c r="A6859" s="45"/>
      <c r="B6859" s="59"/>
      <c r="C6859" s="137"/>
      <c r="D6859" s="59"/>
      <c r="E6859" s="116"/>
      <c r="F6859" s="120"/>
      <c r="G6859" s="120"/>
      <c r="H6859" s="120"/>
      <c r="I6859" s="60"/>
      <c r="J6859" s="116"/>
      <c r="K6859" s="213"/>
      <c r="L6859" s="120"/>
      <c r="M6859" s="120"/>
      <c r="N6859" s="167"/>
      <c r="O6859" s="120"/>
      <c r="P6859" s="120"/>
      <c r="Q6859" s="120"/>
      <c r="R6859" s="120"/>
      <c r="S6859" s="120"/>
      <c r="T6859" s="221"/>
      <c r="U6859" s="89"/>
      <c r="V6859" s="61"/>
      <c r="W6859" s="92" t="s">
        <v>148</v>
      </c>
      <c r="X6859" s="93" t="s">
        <v>29</v>
      </c>
      <c r="Y6859" s="93" t="s">
        <v>93</v>
      </c>
      <c r="Z6859" s="134">
        <f>VLOOKUP(W6859,Sheet2!$B:$D,3,FALSE)</f>
        <v>48</v>
      </c>
      <c r="AA6859" s="93">
        <f>AA6855</f>
        <v>39.215686274509807</v>
      </c>
      <c r="AB6859" s="93">
        <f>AD6859/AC6854</f>
        <v>1.224</v>
      </c>
      <c r="AC6859" s="93">
        <f>AC6854/AA6859</f>
        <v>0.51</v>
      </c>
      <c r="AD6859" s="94">
        <f t="shared" ref="AD6859:AD6860" si="4906">AC6859*Z6859</f>
        <v>24.48</v>
      </c>
      <c r="AE6859" s="190"/>
      <c r="AF6859" s="191"/>
      <c r="AG6859" s="191"/>
      <c r="AH6859" s="191"/>
      <c r="AI6859" s="186"/>
      <c r="AK6859" s="171"/>
    </row>
    <row r="6860" spans="1:41" s="102" customFormat="1" ht="19.899999999999999" customHeight="1" x14ac:dyDescent="0.25">
      <c r="A6860" s="45"/>
      <c r="B6860" s="59"/>
      <c r="C6860" s="137"/>
      <c r="D6860" s="59"/>
      <c r="E6860" s="116"/>
      <c r="F6860" s="120"/>
      <c r="G6860" s="120"/>
      <c r="H6860" s="120"/>
      <c r="I6860" s="60"/>
      <c r="J6860" s="116"/>
      <c r="K6860" s="213"/>
      <c r="L6860" s="120"/>
      <c r="M6860" s="120"/>
      <c r="N6860" s="167"/>
      <c r="O6860" s="120"/>
      <c r="P6860" s="120"/>
      <c r="Q6860" s="120"/>
      <c r="R6860" s="120"/>
      <c r="S6860" s="120"/>
      <c r="T6860" s="221"/>
      <c r="U6860" s="89"/>
      <c r="V6860" s="61"/>
      <c r="W6860" s="92" t="s">
        <v>65</v>
      </c>
      <c r="X6860" s="93" t="s">
        <v>30</v>
      </c>
      <c r="Y6860" s="93" t="s">
        <v>1011</v>
      </c>
      <c r="Z6860" s="134">
        <f>VLOOKUP(W6860,Sheet2!$B:$D,3,FALSE)</f>
        <v>1.76</v>
      </c>
      <c r="AA6860" s="93">
        <f>AA6859/10</f>
        <v>3.9215686274509807</v>
      </c>
      <c r="AB6860" s="93">
        <f>AD6860/AC6854</f>
        <v>0.44879999999999998</v>
      </c>
      <c r="AC6860" s="93">
        <f>AC6854/AA6860</f>
        <v>5.0999999999999996</v>
      </c>
      <c r="AD6860" s="94">
        <f t="shared" si="4906"/>
        <v>8.9759999999999991</v>
      </c>
      <c r="AE6860" s="190"/>
      <c r="AF6860" s="191"/>
      <c r="AG6860" s="191"/>
      <c r="AH6860" s="191"/>
      <c r="AI6860" s="186"/>
      <c r="AK6860" s="171"/>
    </row>
    <row r="6861" spans="1:41" s="103" customFormat="1" ht="19.899999999999999" customHeight="1" x14ac:dyDescent="0.25">
      <c r="A6861" s="51"/>
      <c r="B6861" s="52"/>
      <c r="C6861" s="165"/>
      <c r="D6861" s="52"/>
      <c r="E6861" s="115"/>
      <c r="F6861" s="58"/>
      <c r="G6861" s="58"/>
      <c r="H6861" s="58"/>
      <c r="I6861" s="55"/>
      <c r="J6861" s="113">
        <f>J6853</f>
        <v>20</v>
      </c>
      <c r="K6861" s="212">
        <f>K6853</f>
        <v>20</v>
      </c>
      <c r="L6861" s="58"/>
      <c r="M6861" s="58">
        <f>K6861-L6861</f>
        <v>20</v>
      </c>
      <c r="N6861" s="166"/>
      <c r="O6861" s="58"/>
      <c r="P6861" s="58"/>
      <c r="Q6861" s="58"/>
      <c r="R6861" s="58"/>
      <c r="S6861" s="58"/>
      <c r="T6861" s="220"/>
      <c r="U6861" s="88"/>
      <c r="V6861" s="56"/>
      <c r="W6861" s="57" t="s">
        <v>1031</v>
      </c>
      <c r="X6861" s="53"/>
      <c r="Y6861" s="91" t="s">
        <v>68</v>
      </c>
      <c r="Z6861" s="136">
        <f>AD6861/AC6861</f>
        <v>160.34</v>
      </c>
      <c r="AA6861" s="58"/>
      <c r="AB6861" s="53">
        <f>AD6861/AC6861</f>
        <v>160.34</v>
      </c>
      <c r="AC6861" s="53">
        <f>M6861+$AE$10</f>
        <v>20</v>
      </c>
      <c r="AD6861" s="54">
        <f>SUM(AD6862:AD6866)</f>
        <v>3206.8</v>
      </c>
      <c r="AE6861" s="184">
        <f>SUMIFS($AD$37:$AD$12971,$V$37:$V$12971,$V6861,$X$37:$X$12971,AE$13)</f>
        <v>0</v>
      </c>
      <c r="AF6861" s="185">
        <f>SUMIFS($AD$37:$AD$12971,$V$37:$V$12971,$V6861,$X$37:$X$12971,AF$13)</f>
        <v>0</v>
      </c>
      <c r="AG6861" s="185">
        <f>SUMIFS($AD$37:$AD$12971,$V$37:$V$12971,$V6861,$X$37:$X$12971,AG$13)</f>
        <v>0</v>
      </c>
      <c r="AH6861" s="187">
        <f>SUMIFS($AD$37:$AD$12971,$V$37:$V$12971,$V6861,$X$37:$X$12971,AH$13)</f>
        <v>0</v>
      </c>
      <c r="AI6861" s="161">
        <f t="shared" ref="AI6861" si="4907">SUM(AE6861:AH6861)</f>
        <v>0</v>
      </c>
      <c r="AK6861" s="172"/>
    </row>
    <row r="6862" spans="1:41" s="102" customFormat="1" ht="19.899999999999999" customHeight="1" x14ac:dyDescent="0.25">
      <c r="A6862" s="45"/>
      <c r="B6862" s="59"/>
      <c r="C6862" s="137"/>
      <c r="D6862" s="59"/>
      <c r="E6862" s="116"/>
      <c r="F6862" s="120"/>
      <c r="G6862" s="120"/>
      <c r="H6862" s="120"/>
      <c r="I6862" s="60"/>
      <c r="J6862" s="116"/>
      <c r="K6862" s="213"/>
      <c r="L6862" s="120"/>
      <c r="M6862" s="120"/>
      <c r="N6862" s="167"/>
      <c r="O6862" s="120"/>
      <c r="P6862" s="120"/>
      <c r="Q6862" s="120"/>
      <c r="R6862" s="120"/>
      <c r="S6862" s="120"/>
      <c r="T6862" s="221"/>
      <c r="U6862" s="89"/>
      <c r="V6862" s="61"/>
      <c r="W6862" s="92" t="s">
        <v>1032</v>
      </c>
      <c r="X6862" s="93" t="s">
        <v>30</v>
      </c>
      <c r="Y6862" s="93" t="s">
        <v>66</v>
      </c>
      <c r="Z6862" s="134">
        <f>VLOOKUP(W6862,Sheet2!$B:$D,3,FALSE)</f>
        <v>250</v>
      </c>
      <c r="AA6862" s="93">
        <f>1/(0.7*0.4)</f>
        <v>3.5714285714285716</v>
      </c>
      <c r="AB6862" s="93">
        <f>AD6862/AC6861</f>
        <v>70</v>
      </c>
      <c r="AC6862" s="93">
        <f>AC6861/AA6862</f>
        <v>5.6</v>
      </c>
      <c r="AD6862" s="94">
        <f t="shared" ref="AD6862" si="4908">AC6862*Z6862</f>
        <v>1400</v>
      </c>
      <c r="AE6862" s="190"/>
      <c r="AF6862" s="191"/>
      <c r="AG6862" s="191"/>
      <c r="AH6862" s="191"/>
      <c r="AI6862" s="186"/>
      <c r="AK6862" s="171"/>
    </row>
    <row r="6863" spans="1:41" s="102" customFormat="1" ht="19.899999999999999" customHeight="1" x14ac:dyDescent="0.25">
      <c r="A6863" s="45"/>
      <c r="B6863" s="59"/>
      <c r="C6863" s="137"/>
      <c r="D6863" s="59"/>
      <c r="E6863" s="116"/>
      <c r="F6863" s="120"/>
      <c r="G6863" s="120"/>
      <c r="H6863" s="120"/>
      <c r="I6863" s="60"/>
      <c r="J6863" s="116"/>
      <c r="K6863" s="213"/>
      <c r="L6863" s="120"/>
      <c r="M6863" s="120"/>
      <c r="N6863" s="167"/>
      <c r="O6863" s="120"/>
      <c r="P6863" s="120"/>
      <c r="Q6863" s="120"/>
      <c r="R6863" s="120"/>
      <c r="S6863" s="120"/>
      <c r="T6863" s="221"/>
      <c r="U6863" s="89"/>
      <c r="V6863" s="61"/>
      <c r="W6863" s="92" t="s">
        <v>1270</v>
      </c>
      <c r="X6863" s="93" t="s">
        <v>30</v>
      </c>
      <c r="Y6863" s="93" t="s">
        <v>68</v>
      </c>
      <c r="Z6863" s="134">
        <f>VLOOKUP(W6863,Sheet2!$B:$D,3,FALSE)</f>
        <v>4</v>
      </c>
      <c r="AA6863" s="93">
        <f>1/8</f>
        <v>0.125</v>
      </c>
      <c r="AB6863" s="93">
        <f>AD6863/AC6861</f>
        <v>32</v>
      </c>
      <c r="AC6863" s="93">
        <f>AC6861/AA6863</f>
        <v>160</v>
      </c>
      <c r="AD6863" s="94">
        <f>AC6863*Z6863</f>
        <v>640</v>
      </c>
      <c r="AE6863" s="190"/>
      <c r="AF6863" s="191"/>
      <c r="AG6863" s="191"/>
      <c r="AH6863" s="191"/>
      <c r="AI6863" s="186"/>
      <c r="AK6863" s="171"/>
    </row>
    <row r="6864" spans="1:41" s="102" customFormat="1" ht="19.899999999999999" customHeight="1" x14ac:dyDescent="0.25">
      <c r="A6864" s="45"/>
      <c r="B6864" s="59"/>
      <c r="C6864" s="137"/>
      <c r="D6864" s="59"/>
      <c r="E6864" s="116"/>
      <c r="F6864" s="120"/>
      <c r="G6864" s="120"/>
      <c r="H6864" s="120"/>
      <c r="I6864" s="60"/>
      <c r="J6864" s="116"/>
      <c r="K6864" s="213"/>
      <c r="L6864" s="120"/>
      <c r="M6864" s="120"/>
      <c r="N6864" s="167"/>
      <c r="O6864" s="120"/>
      <c r="P6864" s="120"/>
      <c r="Q6864" s="120"/>
      <c r="R6864" s="120"/>
      <c r="S6864" s="120"/>
      <c r="T6864" s="221"/>
      <c r="U6864" s="89"/>
      <c r="V6864" s="61"/>
      <c r="W6864" s="92" t="s">
        <v>1271</v>
      </c>
      <c r="X6864" s="93" t="s">
        <v>30</v>
      </c>
      <c r="Y6864" s="93" t="s">
        <v>68</v>
      </c>
      <c r="Z6864" s="134">
        <f>VLOOKUP(W6864,Sheet2!$B:$D,3,FALSE)</f>
        <v>2</v>
      </c>
      <c r="AA6864" s="93">
        <f>AA6863</f>
        <v>0.125</v>
      </c>
      <c r="AB6864" s="93">
        <f>AD6864/AC6861</f>
        <v>16</v>
      </c>
      <c r="AC6864" s="93">
        <f>AC6861/AA6864</f>
        <v>160</v>
      </c>
      <c r="AD6864" s="94">
        <f>AC6864*Z6864</f>
        <v>320</v>
      </c>
      <c r="AE6864" s="190"/>
      <c r="AF6864" s="191"/>
      <c r="AG6864" s="191"/>
      <c r="AH6864" s="191"/>
      <c r="AI6864" s="186"/>
      <c r="AK6864" s="171"/>
    </row>
    <row r="6865" spans="1:41" s="102" customFormat="1" ht="19.899999999999999" customHeight="1" x14ac:dyDescent="0.25">
      <c r="A6865" s="45"/>
      <c r="B6865" s="59"/>
      <c r="C6865" s="137"/>
      <c r="D6865" s="59"/>
      <c r="E6865" s="116"/>
      <c r="F6865" s="120"/>
      <c r="G6865" s="120"/>
      <c r="H6865" s="120"/>
      <c r="I6865" s="60"/>
      <c r="J6865" s="116"/>
      <c r="K6865" s="213"/>
      <c r="L6865" s="120"/>
      <c r="M6865" s="120"/>
      <c r="N6865" s="167"/>
      <c r="O6865" s="120"/>
      <c r="P6865" s="120"/>
      <c r="Q6865" s="120"/>
      <c r="R6865" s="120"/>
      <c r="S6865" s="120"/>
      <c r="T6865" s="221"/>
      <c r="U6865" s="89"/>
      <c r="V6865" s="61"/>
      <c r="W6865" s="92" t="s">
        <v>1035</v>
      </c>
      <c r="X6865" s="93" t="s">
        <v>32</v>
      </c>
      <c r="Y6865" s="93" t="s">
        <v>66</v>
      </c>
      <c r="Z6865" s="134">
        <f>VLOOKUP(W6865,Sheet2!$B:$D,3,FALSE)</f>
        <v>150</v>
      </c>
      <c r="AA6865" s="93">
        <f>AA6862</f>
        <v>3.5714285714285716</v>
      </c>
      <c r="AB6865" s="93">
        <f>AD6865/AC6861</f>
        <v>42</v>
      </c>
      <c r="AC6865" s="93">
        <f>AC6861/AA6865</f>
        <v>5.6</v>
      </c>
      <c r="AD6865" s="94">
        <f t="shared" ref="AD6865:AD6866" si="4909">AC6865*Z6865</f>
        <v>840</v>
      </c>
      <c r="AE6865" s="190"/>
      <c r="AF6865" s="191"/>
      <c r="AG6865" s="191"/>
      <c r="AH6865" s="191"/>
      <c r="AI6865" s="186"/>
      <c r="AK6865" s="171"/>
    </row>
    <row r="6866" spans="1:41" s="102" customFormat="1" ht="19.899999999999999" customHeight="1" x14ac:dyDescent="0.25">
      <c r="A6866" s="45"/>
      <c r="B6866" s="59"/>
      <c r="C6866" s="137"/>
      <c r="D6866" s="59"/>
      <c r="E6866" s="116"/>
      <c r="F6866" s="120"/>
      <c r="G6866" s="120"/>
      <c r="H6866" s="120"/>
      <c r="I6866" s="60"/>
      <c r="J6866" s="116"/>
      <c r="K6866" s="213"/>
      <c r="L6866" s="120"/>
      <c r="M6866" s="120"/>
      <c r="N6866" s="167"/>
      <c r="O6866" s="120"/>
      <c r="P6866" s="120"/>
      <c r="Q6866" s="120"/>
      <c r="R6866" s="120"/>
      <c r="S6866" s="120"/>
      <c r="T6866" s="221"/>
      <c r="U6866" s="89"/>
      <c r="V6866" s="61"/>
      <c r="W6866" s="92" t="s">
        <v>107</v>
      </c>
      <c r="X6866" s="93" t="s">
        <v>31</v>
      </c>
      <c r="Y6866" s="93" t="s">
        <v>93</v>
      </c>
      <c r="Z6866" s="134">
        <f>VLOOKUP(W6866,Sheet2!$B:$D,3,FALSE)</f>
        <v>17</v>
      </c>
      <c r="AA6866" s="93">
        <v>50</v>
      </c>
      <c r="AB6866" s="93">
        <f>AD6866/AC6861</f>
        <v>0.34</v>
      </c>
      <c r="AC6866" s="93">
        <f>AC6861/AA6866</f>
        <v>0.4</v>
      </c>
      <c r="AD6866" s="94">
        <f t="shared" si="4909"/>
        <v>6.8000000000000007</v>
      </c>
      <c r="AE6866" s="190"/>
      <c r="AF6866" s="191"/>
      <c r="AG6866" s="191"/>
      <c r="AH6866" s="191"/>
      <c r="AI6866" s="186"/>
      <c r="AK6866" s="171"/>
    </row>
    <row r="6867" spans="1:41" s="103" customFormat="1" ht="19.899999999999999" customHeight="1" x14ac:dyDescent="0.25">
      <c r="A6867" s="51"/>
      <c r="B6867" s="52"/>
      <c r="C6867" s="165"/>
      <c r="D6867" s="52"/>
      <c r="E6867" s="115"/>
      <c r="F6867" s="58"/>
      <c r="G6867" s="58"/>
      <c r="H6867" s="58"/>
      <c r="I6867" s="55"/>
      <c r="J6867" s="113">
        <f>J6853</f>
        <v>20</v>
      </c>
      <c r="K6867" s="212">
        <f>K6853</f>
        <v>20</v>
      </c>
      <c r="L6867" s="58"/>
      <c r="M6867" s="58">
        <f>K6867-L6867</f>
        <v>20</v>
      </c>
      <c r="N6867" s="166"/>
      <c r="O6867" s="58"/>
      <c r="P6867" s="58"/>
      <c r="Q6867" s="58"/>
      <c r="R6867" s="58"/>
      <c r="S6867" s="58"/>
      <c r="T6867" s="220"/>
      <c r="U6867" s="88"/>
      <c r="V6867" s="56"/>
      <c r="W6867" s="57" t="s">
        <v>1272</v>
      </c>
      <c r="X6867" s="53"/>
      <c r="Y6867" s="91" t="s">
        <v>68</v>
      </c>
      <c r="Z6867" s="136">
        <f>AD6867/AC6867</f>
        <v>14.956365176470589</v>
      </c>
      <c r="AA6867" s="58"/>
      <c r="AB6867" s="53">
        <f>AD6867/AC6867</f>
        <v>14.956365176470589</v>
      </c>
      <c r="AC6867" s="53">
        <f>M6867+$AE$10</f>
        <v>20</v>
      </c>
      <c r="AD6867" s="54">
        <f>SUM(AD6868:AD6877)</f>
        <v>299.12730352941179</v>
      </c>
      <c r="AE6867" s="184">
        <f>SUMIFS($AD$37:$AD$12971,$V$37:$V$12971,$V6867,$X$37:$X$12971,AE$13)</f>
        <v>0</v>
      </c>
      <c r="AF6867" s="185">
        <f>SUMIFS($AD$37:$AD$12971,$V$37:$V$12971,$V6867,$X$37:$X$12971,AF$13)</f>
        <v>0</v>
      </c>
      <c r="AG6867" s="185">
        <f>SUMIFS($AD$37:$AD$12971,$V$37:$V$12971,$V6867,$X$37:$X$12971,AG$13)</f>
        <v>0</v>
      </c>
      <c r="AH6867" s="187">
        <f>SUMIFS($AD$37:$AD$12971,$V$37:$V$12971,$V6867,$X$37:$X$12971,AH$13)</f>
        <v>0</v>
      </c>
      <c r="AI6867" s="161">
        <f t="shared" ref="AI6867" si="4910">SUM(AE6867:AH6867)</f>
        <v>0</v>
      </c>
      <c r="AK6867" s="172"/>
    </row>
    <row r="6868" spans="1:41" s="102" customFormat="1" ht="19.899999999999999" customHeight="1" x14ac:dyDescent="0.25">
      <c r="A6868" s="45"/>
      <c r="B6868" s="59"/>
      <c r="C6868" s="137"/>
      <c r="D6868" s="59"/>
      <c r="E6868" s="116"/>
      <c r="F6868" s="120"/>
      <c r="G6868" s="120"/>
      <c r="H6868" s="120"/>
      <c r="I6868" s="60"/>
      <c r="J6868" s="116"/>
      <c r="K6868" s="213"/>
      <c r="L6868" s="120"/>
      <c r="M6868" s="120"/>
      <c r="N6868" s="167"/>
      <c r="O6868" s="120"/>
      <c r="P6868" s="120"/>
      <c r="Q6868" s="120"/>
      <c r="R6868" s="120"/>
      <c r="S6868" s="120"/>
      <c r="T6868" s="221"/>
      <c r="U6868" s="89"/>
      <c r="V6868" s="61"/>
      <c r="W6868" s="92" t="s">
        <v>134</v>
      </c>
      <c r="X6868" s="93" t="s">
        <v>29</v>
      </c>
      <c r="Y6868" s="93" t="s">
        <v>93</v>
      </c>
      <c r="Z6868" s="134">
        <f>VLOOKUP(W6868,Sheet2!$B:$D,3,FALSE)</f>
        <v>65.599999999999994</v>
      </c>
      <c r="AA6868" s="93">
        <f>100/((1.7*1.5)-(0.7*0.4))</f>
        <v>44.052863436123346</v>
      </c>
      <c r="AB6868" s="93">
        <f>AD6868/AC6867</f>
        <v>1.48912</v>
      </c>
      <c r="AC6868" s="93">
        <f>AC6867/AA6868</f>
        <v>0.45400000000000001</v>
      </c>
      <c r="AD6868" s="94">
        <f t="shared" ref="AD6868:AD6869" si="4911">AC6868*Z6868</f>
        <v>29.782399999999999</v>
      </c>
      <c r="AE6868" s="190"/>
      <c r="AF6868" s="191"/>
      <c r="AG6868" s="191"/>
      <c r="AH6868" s="191"/>
      <c r="AI6868" s="186"/>
      <c r="AK6868" s="171"/>
    </row>
    <row r="6869" spans="1:41" s="102" customFormat="1" ht="19.899999999999999" customHeight="1" x14ac:dyDescent="0.25">
      <c r="A6869" s="45"/>
      <c r="B6869" s="59"/>
      <c r="C6869" s="137"/>
      <c r="D6869" s="59"/>
      <c r="E6869" s="116"/>
      <c r="F6869" s="120"/>
      <c r="G6869" s="120"/>
      <c r="H6869" s="120"/>
      <c r="I6869" s="60"/>
      <c r="J6869" s="116"/>
      <c r="K6869" s="213"/>
      <c r="L6869" s="120"/>
      <c r="M6869" s="120"/>
      <c r="N6869" s="167"/>
      <c r="O6869" s="120"/>
      <c r="P6869" s="120"/>
      <c r="Q6869" s="120"/>
      <c r="R6869" s="120"/>
      <c r="S6869" s="120"/>
      <c r="T6869" s="221"/>
      <c r="U6869" s="89"/>
      <c r="V6869" s="61"/>
      <c r="W6869" s="92" t="s">
        <v>65</v>
      </c>
      <c r="X6869" s="93" t="s">
        <v>30</v>
      </c>
      <c r="Y6869" s="93" t="s">
        <v>1011</v>
      </c>
      <c r="Z6869" s="134">
        <f>VLOOKUP(W6869,Sheet2!$B:$D,3,FALSE)</f>
        <v>1.76</v>
      </c>
      <c r="AA6869" s="93">
        <f>AA6868/9</f>
        <v>4.8947626040137049</v>
      </c>
      <c r="AB6869" s="93">
        <f>AD6869/AC6867</f>
        <v>0.359568</v>
      </c>
      <c r="AC6869" s="93">
        <f>AC6867/AA6869</f>
        <v>4.0860000000000003</v>
      </c>
      <c r="AD6869" s="94">
        <f t="shared" si="4911"/>
        <v>7.1913600000000004</v>
      </c>
      <c r="AE6869" s="190"/>
      <c r="AF6869" s="191"/>
      <c r="AG6869" s="191"/>
      <c r="AH6869" s="191"/>
      <c r="AI6869" s="186"/>
      <c r="AK6869" s="171"/>
    </row>
    <row r="6870" spans="1:41" s="102" customFormat="1" ht="19.899999999999999" customHeight="1" x14ac:dyDescent="0.25">
      <c r="A6870" s="45"/>
      <c r="B6870" s="59"/>
      <c r="C6870" s="137"/>
      <c r="D6870" s="59"/>
      <c r="E6870" s="116"/>
      <c r="F6870" s="120"/>
      <c r="G6870" s="120"/>
      <c r="H6870" s="120"/>
      <c r="I6870" s="60"/>
      <c r="J6870" s="116"/>
      <c r="K6870" s="213"/>
      <c r="L6870" s="120"/>
      <c r="M6870" s="120"/>
      <c r="N6870" s="167"/>
      <c r="O6870" s="120"/>
      <c r="P6870" s="120"/>
      <c r="Q6870" s="120"/>
      <c r="R6870" s="120"/>
      <c r="S6870" s="120"/>
      <c r="T6870" s="221"/>
      <c r="U6870" s="89"/>
      <c r="V6870" s="61"/>
      <c r="W6870" s="92" t="s">
        <v>161</v>
      </c>
      <c r="X6870" s="93" t="s">
        <v>29</v>
      </c>
      <c r="Y6870" s="93" t="s">
        <v>93</v>
      </c>
      <c r="Z6870" s="134">
        <f>VLOOKUP(W6870,Sheet2!$B:$D,3,FALSE)</f>
        <v>48</v>
      </c>
      <c r="AA6870" s="93">
        <f>(16*0.85*1.5)/((1.7*1.5)-(0.7*0.4))</f>
        <v>8.9867841409691618</v>
      </c>
      <c r="AB6870" s="93">
        <f>AD6870/AC6867</f>
        <v>5.3411764705882359</v>
      </c>
      <c r="AC6870" s="93">
        <f>AC6867/AA6870</f>
        <v>2.2254901960784315</v>
      </c>
      <c r="AD6870" s="94">
        <f>AC6870*Z6870</f>
        <v>106.82352941176471</v>
      </c>
      <c r="AE6870" s="190"/>
      <c r="AF6870" s="191"/>
      <c r="AG6870" s="191"/>
      <c r="AH6870" s="191"/>
      <c r="AI6870" s="186"/>
      <c r="AK6870" s="171"/>
    </row>
    <row r="6871" spans="1:41" s="102" customFormat="1" ht="19.899999999999999" customHeight="1" x14ac:dyDescent="0.25">
      <c r="A6871" s="45"/>
      <c r="B6871" s="59"/>
      <c r="C6871" s="137"/>
      <c r="D6871" s="59"/>
      <c r="E6871" s="116"/>
      <c r="F6871" s="120"/>
      <c r="G6871" s="120"/>
      <c r="H6871" s="120"/>
      <c r="I6871" s="60"/>
      <c r="J6871" s="116"/>
      <c r="K6871" s="213"/>
      <c r="L6871" s="120"/>
      <c r="M6871" s="120"/>
      <c r="N6871" s="167"/>
      <c r="O6871" s="120"/>
      <c r="P6871" s="120"/>
      <c r="Q6871" s="120"/>
      <c r="R6871" s="120"/>
      <c r="S6871" s="120"/>
      <c r="T6871" s="221"/>
      <c r="U6871" s="89"/>
      <c r="V6871" s="61"/>
      <c r="W6871" s="92" t="s">
        <v>65</v>
      </c>
      <c r="X6871" s="93" t="s">
        <v>30</v>
      </c>
      <c r="Y6871" s="93" t="s">
        <v>1011</v>
      </c>
      <c r="Z6871" s="134">
        <f>VLOOKUP(W6871,Sheet2!$B:$D,3,FALSE)</f>
        <v>1.76</v>
      </c>
      <c r="AA6871" s="93">
        <f>AA6870/10</f>
        <v>0.89867841409691618</v>
      </c>
      <c r="AB6871" s="93">
        <f>AD6871/AC6867</f>
        <v>1.9584313725490197</v>
      </c>
      <c r="AC6871" s="93">
        <f>AC6867/AA6871</f>
        <v>22.254901960784316</v>
      </c>
      <c r="AD6871" s="94">
        <f>AC6871*Z6871</f>
        <v>39.168627450980395</v>
      </c>
      <c r="AE6871" s="190"/>
      <c r="AF6871" s="191"/>
      <c r="AG6871" s="191"/>
      <c r="AH6871" s="191"/>
      <c r="AI6871" s="186"/>
      <c r="AK6871" s="171"/>
    </row>
    <row r="6872" spans="1:41" s="102" customFormat="1" ht="19.899999999999999" customHeight="1" x14ac:dyDescent="0.25">
      <c r="A6872" s="45"/>
      <c r="B6872" s="59"/>
      <c r="C6872" s="137"/>
      <c r="D6872" s="59"/>
      <c r="E6872" s="116"/>
      <c r="F6872" s="120"/>
      <c r="G6872" s="120"/>
      <c r="H6872" s="120"/>
      <c r="I6872" s="60"/>
      <c r="J6872" s="116"/>
      <c r="K6872" s="213"/>
      <c r="L6872" s="120"/>
      <c r="M6872" s="120"/>
      <c r="N6872" s="167"/>
      <c r="O6872" s="120"/>
      <c r="P6872" s="120"/>
      <c r="Q6872" s="120"/>
      <c r="R6872" s="120"/>
      <c r="S6872" s="120"/>
      <c r="T6872" s="221"/>
      <c r="U6872" s="89"/>
      <c r="V6872" s="61"/>
      <c r="W6872" s="92" t="s">
        <v>173</v>
      </c>
      <c r="X6872" s="93" t="s">
        <v>29</v>
      </c>
      <c r="Y6872" s="93" t="s">
        <v>93</v>
      </c>
      <c r="Z6872" s="134">
        <f>VLOOKUP(W6872,Sheet2!$B:$D,3,FALSE)</f>
        <v>36</v>
      </c>
      <c r="AA6872" s="93">
        <f>50/((1.7*1.5)-(0.7*0.4))</f>
        <v>22.026431718061673</v>
      </c>
      <c r="AB6872" s="93">
        <f>AD6872/AC6867</f>
        <v>1.6344000000000001</v>
      </c>
      <c r="AC6872" s="93">
        <f>AC6867/AA6872</f>
        <v>0.90800000000000003</v>
      </c>
      <c r="AD6872" s="94">
        <f>AC6872*Z6872</f>
        <v>32.688000000000002</v>
      </c>
      <c r="AE6872" s="190"/>
      <c r="AF6872" s="191"/>
      <c r="AG6872" s="191"/>
      <c r="AH6872" s="191"/>
      <c r="AI6872" s="186"/>
      <c r="AK6872" s="171"/>
    </row>
    <row r="6873" spans="1:41" s="102" customFormat="1" ht="19.899999999999999" customHeight="1" x14ac:dyDescent="0.25">
      <c r="A6873" s="45"/>
      <c r="B6873" s="59"/>
      <c r="C6873" s="137"/>
      <c r="D6873" s="59"/>
      <c r="E6873" s="116"/>
      <c r="F6873" s="120"/>
      <c r="G6873" s="120"/>
      <c r="H6873" s="120"/>
      <c r="I6873" s="60"/>
      <c r="J6873" s="116"/>
      <c r="K6873" s="213"/>
      <c r="L6873" s="120"/>
      <c r="M6873" s="120"/>
      <c r="N6873" s="167"/>
      <c r="O6873" s="120"/>
      <c r="P6873" s="120"/>
      <c r="Q6873" s="120"/>
      <c r="R6873" s="120"/>
      <c r="S6873" s="120"/>
      <c r="T6873" s="221"/>
      <c r="U6873" s="89"/>
      <c r="V6873" s="61"/>
      <c r="W6873" s="92" t="s">
        <v>65</v>
      </c>
      <c r="X6873" s="93" t="s">
        <v>30</v>
      </c>
      <c r="Y6873" s="93" t="s">
        <v>1011</v>
      </c>
      <c r="Z6873" s="134">
        <f>VLOOKUP(W6873,Sheet2!$B:$D,3,FALSE)</f>
        <v>1.76</v>
      </c>
      <c r="AA6873" s="93">
        <f>AA6872/9</f>
        <v>2.4473813020068524</v>
      </c>
      <c r="AB6873" s="93">
        <f>AD6873/AC6867</f>
        <v>0.719136</v>
      </c>
      <c r="AC6873" s="93">
        <f>AC6867/AA6873</f>
        <v>8.1720000000000006</v>
      </c>
      <c r="AD6873" s="94">
        <f>AC6873*Z6873</f>
        <v>14.382720000000001</v>
      </c>
      <c r="AE6873" s="190"/>
      <c r="AF6873" s="191"/>
      <c r="AG6873" s="191"/>
      <c r="AH6873" s="191"/>
      <c r="AI6873" s="186"/>
      <c r="AK6873" s="171"/>
    </row>
    <row r="6874" spans="1:41" s="102" customFormat="1" ht="19.899999999999999" customHeight="1" x14ac:dyDescent="0.25">
      <c r="A6874" s="45"/>
      <c r="B6874" s="59"/>
      <c r="C6874" s="137"/>
      <c r="D6874" s="59"/>
      <c r="E6874" s="116"/>
      <c r="F6874" s="120"/>
      <c r="G6874" s="120"/>
      <c r="H6874" s="120"/>
      <c r="I6874" s="60"/>
      <c r="J6874" s="116"/>
      <c r="K6874" s="213"/>
      <c r="L6874" s="120"/>
      <c r="M6874" s="120"/>
      <c r="N6874" s="167"/>
      <c r="O6874" s="120"/>
      <c r="P6874" s="120"/>
      <c r="Q6874" s="120"/>
      <c r="R6874" s="120"/>
      <c r="S6874" s="120"/>
      <c r="T6874" s="221"/>
      <c r="U6874" s="89"/>
      <c r="V6874" s="61"/>
      <c r="W6874" s="92" t="s">
        <v>148</v>
      </c>
      <c r="X6874" s="93" t="s">
        <v>29</v>
      </c>
      <c r="Y6874" s="93" t="s">
        <v>93</v>
      </c>
      <c r="Z6874" s="134">
        <f>VLOOKUP(W6874,Sheet2!$B:$D,3,FALSE)</f>
        <v>48</v>
      </c>
      <c r="AA6874" s="93">
        <f>7.2/(1.7*1.5*0.1)</f>
        <v>28.235294117647058</v>
      </c>
      <c r="AB6874" s="93">
        <f>AD6874/AC6867</f>
        <v>1.7</v>
      </c>
      <c r="AC6874" s="93">
        <f>AC6867/AA6874</f>
        <v>0.70833333333333337</v>
      </c>
      <c r="AD6874" s="94">
        <f t="shared" ref="AD6874:AD6877" si="4912">AC6874*Z6874</f>
        <v>34</v>
      </c>
      <c r="AE6874" s="190"/>
      <c r="AF6874" s="191"/>
      <c r="AG6874" s="191"/>
      <c r="AH6874" s="191"/>
      <c r="AI6874" s="186"/>
      <c r="AK6874" s="171"/>
    </row>
    <row r="6875" spans="1:41" s="102" customFormat="1" ht="19.899999999999999" customHeight="1" x14ac:dyDescent="0.25">
      <c r="A6875" s="45"/>
      <c r="B6875" s="59"/>
      <c r="C6875" s="137"/>
      <c r="D6875" s="59"/>
      <c r="E6875" s="116"/>
      <c r="F6875" s="120"/>
      <c r="G6875" s="120"/>
      <c r="H6875" s="120"/>
      <c r="I6875" s="60"/>
      <c r="J6875" s="116"/>
      <c r="K6875" s="213"/>
      <c r="L6875" s="120"/>
      <c r="M6875" s="120"/>
      <c r="N6875" s="167"/>
      <c r="O6875" s="120"/>
      <c r="P6875" s="120"/>
      <c r="Q6875" s="120"/>
      <c r="R6875" s="120"/>
      <c r="S6875" s="120"/>
      <c r="T6875" s="221"/>
      <c r="U6875" s="89"/>
      <c r="V6875" s="61"/>
      <c r="W6875" s="92" t="s">
        <v>65</v>
      </c>
      <c r="X6875" s="93" t="s">
        <v>30</v>
      </c>
      <c r="Y6875" s="93" t="s">
        <v>1011</v>
      </c>
      <c r="Z6875" s="134">
        <f>VLOOKUP(W6875,Sheet2!$B:$D,3,FALSE)</f>
        <v>1.76</v>
      </c>
      <c r="AA6875" s="93">
        <f>AA6874/10</f>
        <v>2.8235294117647056</v>
      </c>
      <c r="AB6875" s="93">
        <f>AD6875/AC6867</f>
        <v>0.62333333333333341</v>
      </c>
      <c r="AC6875" s="93">
        <f>AC6867/AA6875</f>
        <v>7.0833333333333339</v>
      </c>
      <c r="AD6875" s="94">
        <f t="shared" si="4912"/>
        <v>12.466666666666669</v>
      </c>
      <c r="AE6875" s="190"/>
      <c r="AF6875" s="191"/>
      <c r="AG6875" s="191"/>
      <c r="AH6875" s="191"/>
      <c r="AI6875" s="186"/>
      <c r="AK6875" s="171"/>
    </row>
    <row r="6876" spans="1:41" s="102" customFormat="1" ht="19.899999999999999" customHeight="1" x14ac:dyDescent="0.25">
      <c r="A6876" s="45"/>
      <c r="B6876" s="59"/>
      <c r="C6876" s="137"/>
      <c r="D6876" s="59"/>
      <c r="E6876" s="116"/>
      <c r="F6876" s="120"/>
      <c r="G6876" s="120"/>
      <c r="H6876" s="120"/>
      <c r="I6876" s="60"/>
      <c r="J6876" s="116"/>
      <c r="K6876" s="213"/>
      <c r="L6876" s="120"/>
      <c r="M6876" s="120"/>
      <c r="N6876" s="167"/>
      <c r="O6876" s="120"/>
      <c r="P6876" s="120"/>
      <c r="Q6876" s="120"/>
      <c r="R6876" s="120"/>
      <c r="S6876" s="120"/>
      <c r="T6876" s="221"/>
      <c r="U6876" s="89"/>
      <c r="V6876" s="61"/>
      <c r="W6876" s="92" t="s">
        <v>1030</v>
      </c>
      <c r="X6876" s="93" t="s">
        <v>29</v>
      </c>
      <c r="Y6876" s="93" t="s">
        <v>93</v>
      </c>
      <c r="Z6876" s="134">
        <f>VLOOKUP(W6876,Sheet2!$B:$D,3,FALSE)</f>
        <v>23</v>
      </c>
      <c r="AA6876" s="93">
        <v>25</v>
      </c>
      <c r="AB6876" s="93">
        <f>AD6876/AC6867</f>
        <v>0.92000000000000015</v>
      </c>
      <c r="AC6876" s="93">
        <f>AC6867/AA6876</f>
        <v>0.8</v>
      </c>
      <c r="AD6876" s="94">
        <f t="shared" si="4912"/>
        <v>18.400000000000002</v>
      </c>
      <c r="AE6876" s="190"/>
      <c r="AF6876" s="191"/>
      <c r="AG6876" s="191"/>
      <c r="AH6876" s="191"/>
      <c r="AI6876" s="186"/>
      <c r="AK6876" s="171"/>
    </row>
    <row r="6877" spans="1:41" s="102" customFormat="1" ht="19.899999999999999" customHeight="1" x14ac:dyDescent="0.25">
      <c r="A6877" s="45"/>
      <c r="B6877" s="59"/>
      <c r="C6877" s="137"/>
      <c r="D6877" s="59"/>
      <c r="E6877" s="116"/>
      <c r="F6877" s="120"/>
      <c r="G6877" s="120"/>
      <c r="H6877" s="120"/>
      <c r="I6877" s="60"/>
      <c r="J6877" s="116"/>
      <c r="K6877" s="213"/>
      <c r="L6877" s="120"/>
      <c r="M6877" s="120"/>
      <c r="N6877" s="167"/>
      <c r="O6877" s="120"/>
      <c r="P6877" s="120"/>
      <c r="Q6877" s="120"/>
      <c r="R6877" s="120"/>
      <c r="S6877" s="120"/>
      <c r="T6877" s="221"/>
      <c r="U6877" s="89"/>
      <c r="V6877" s="61"/>
      <c r="W6877" s="92" t="s">
        <v>65</v>
      </c>
      <c r="X6877" s="93" t="s">
        <v>30</v>
      </c>
      <c r="Y6877" s="93" t="s">
        <v>1011</v>
      </c>
      <c r="Z6877" s="134">
        <f>VLOOKUP(W6877,Sheet2!$B:$D,3,FALSE)</f>
        <v>1.76</v>
      </c>
      <c r="AA6877" s="93">
        <f>AA6876/3</f>
        <v>8.3333333333333339</v>
      </c>
      <c r="AB6877" s="93">
        <f>AD6877/AC6867</f>
        <v>0.2112</v>
      </c>
      <c r="AC6877" s="93">
        <f>AC6867/AA6877</f>
        <v>2.4</v>
      </c>
      <c r="AD6877" s="94">
        <f t="shared" si="4912"/>
        <v>4.2240000000000002</v>
      </c>
      <c r="AE6877" s="190"/>
      <c r="AF6877" s="191"/>
      <c r="AG6877" s="191"/>
      <c r="AH6877" s="191"/>
      <c r="AI6877" s="186"/>
      <c r="AK6877" s="171"/>
    </row>
    <row r="6878" spans="1:41" s="102" customFormat="1" ht="20.100000000000001" customHeight="1" x14ac:dyDescent="0.25">
      <c r="A6878" s="45" t="s">
        <v>491</v>
      </c>
      <c r="B6878" s="276"/>
      <c r="C6878" s="285" t="s">
        <v>669</v>
      </c>
      <c r="D6878" s="59"/>
      <c r="E6878" s="116"/>
      <c r="F6878" s="120"/>
      <c r="G6878" s="120">
        <f t="shared" si="4575"/>
        <v>0</v>
      </c>
      <c r="H6878" s="120">
        <f t="shared" si="4576"/>
        <v>0</v>
      </c>
      <c r="I6878" s="60">
        <f t="shared" si="4577"/>
        <v>0</v>
      </c>
      <c r="J6878" s="116">
        <f t="shared" si="4578"/>
        <v>0</v>
      </c>
      <c r="K6878" s="213">
        <f t="shared" si="4579"/>
        <v>0</v>
      </c>
      <c r="L6878" s="120"/>
      <c r="M6878" s="120">
        <f t="shared" si="4580"/>
        <v>0</v>
      </c>
      <c r="N6878" s="167">
        <f t="shared" si="4581"/>
        <v>0</v>
      </c>
      <c r="O6878" s="120">
        <f t="shared" si="4582"/>
        <v>0</v>
      </c>
      <c r="P6878" s="120">
        <f t="shared" si="4583"/>
        <v>0</v>
      </c>
      <c r="Q6878" s="120">
        <f t="shared" si="4584"/>
        <v>0</v>
      </c>
      <c r="R6878" s="120">
        <f t="shared" si="4585"/>
        <v>0</v>
      </c>
      <c r="S6878" s="120"/>
      <c r="T6878" s="221">
        <f t="shared" si="4586"/>
        <v>0</v>
      </c>
      <c r="U6878" s="89"/>
      <c r="V6878" s="61"/>
      <c r="W6878" s="92"/>
      <c r="X6878" s="38"/>
      <c r="Y6878" s="93"/>
      <c r="Z6878" s="134"/>
      <c r="AA6878" s="93"/>
      <c r="AB6878" s="93"/>
      <c r="AC6878" s="93"/>
      <c r="AD6878" s="94"/>
      <c r="AE6878" s="190"/>
      <c r="AF6878" s="191"/>
      <c r="AG6878" s="191"/>
      <c r="AH6878" s="191"/>
      <c r="AI6878" s="186"/>
      <c r="AK6878" s="171"/>
    </row>
    <row r="6879" spans="1:41" ht="20.100000000000001" customHeight="1" x14ac:dyDescent="0.25">
      <c r="A6879" s="277" t="s">
        <v>491</v>
      </c>
      <c r="B6879" s="278"/>
      <c r="C6879" s="64" t="s">
        <v>670</v>
      </c>
      <c r="D6879" s="46" t="s">
        <v>215</v>
      </c>
      <c r="E6879" s="114">
        <v>1</v>
      </c>
      <c r="F6879" s="44">
        <v>1385</v>
      </c>
      <c r="G6879" s="44">
        <f t="shared" si="4575"/>
        <v>1385</v>
      </c>
      <c r="H6879" s="44">
        <f t="shared" si="4576"/>
        <v>1137.4000000000001</v>
      </c>
      <c r="I6879" s="43">
        <f t="shared" si="4577"/>
        <v>1137.4000000000001</v>
      </c>
      <c r="J6879" s="112">
        <f t="shared" si="4578"/>
        <v>1</v>
      </c>
      <c r="K6879" s="211">
        <f t="shared" si="4579"/>
        <v>1</v>
      </c>
      <c r="L6879" s="44"/>
      <c r="M6879" s="44">
        <f t="shared" si="4580"/>
        <v>1</v>
      </c>
      <c r="N6879" s="173">
        <f t="shared" si="4581"/>
        <v>1</v>
      </c>
      <c r="O6879" s="44">
        <f t="shared" si="4582"/>
        <v>1385</v>
      </c>
      <c r="P6879" s="44">
        <f t="shared" si="4583"/>
        <v>1385</v>
      </c>
      <c r="Q6879" s="44">
        <f t="shared" si="4584"/>
        <v>1137.4000000000001</v>
      </c>
      <c r="R6879" s="44">
        <f t="shared" si="4585"/>
        <v>1137.4000000000001</v>
      </c>
      <c r="S6879" s="123"/>
      <c r="T6879" s="219">
        <f t="shared" si="4586"/>
        <v>1137.4000000000001</v>
      </c>
      <c r="U6879" s="87"/>
      <c r="V6879" s="47"/>
      <c r="W6879" s="48"/>
      <c r="X6879" s="48"/>
      <c r="Y6879" s="48"/>
      <c r="Z6879" s="135"/>
      <c r="AA6879" s="49"/>
      <c r="AB6879" s="50">
        <f t="shared" si="4587"/>
        <v>1137.4000000000001</v>
      </c>
      <c r="AC6879" s="42">
        <f t="shared" si="4588"/>
        <v>1</v>
      </c>
      <c r="AD6879" s="90">
        <f>AD6880</f>
        <v>1137.4000000000001</v>
      </c>
      <c r="AE6879" s="188">
        <f t="shared" ref="AE6879" si="4913">AE6880</f>
        <v>0</v>
      </c>
      <c r="AF6879" s="189">
        <f t="shared" ref="AF6879" si="4914">AF6880</f>
        <v>0</v>
      </c>
      <c r="AG6879" s="189">
        <f t="shared" ref="AG6879" si="4915">AG6880</f>
        <v>0</v>
      </c>
      <c r="AH6879" s="189">
        <f t="shared" ref="AH6879" si="4916">AH6880</f>
        <v>0</v>
      </c>
      <c r="AI6879" s="161">
        <f t="shared" ref="AI6879:AI6882" si="4917">SUM(AE6879:AH6879)</f>
        <v>0</v>
      </c>
      <c r="AK6879" s="169">
        <v>5</v>
      </c>
      <c r="AO6879" s="19" t="s">
        <v>63</v>
      </c>
    </row>
    <row r="6880" spans="1:41" s="103" customFormat="1" ht="19.899999999999999" customHeight="1" x14ac:dyDescent="0.25">
      <c r="A6880" s="51"/>
      <c r="B6880" s="52"/>
      <c r="C6880" s="165"/>
      <c r="D6880" s="52"/>
      <c r="E6880" s="115"/>
      <c r="F6880" s="58"/>
      <c r="G6880" s="58"/>
      <c r="H6880" s="58"/>
      <c r="I6880" s="55"/>
      <c r="J6880" s="113">
        <f>J6879</f>
        <v>1</v>
      </c>
      <c r="K6880" s="212">
        <f>K6879</f>
        <v>1</v>
      </c>
      <c r="L6880" s="58"/>
      <c r="M6880" s="58">
        <f>K6880-L6880</f>
        <v>1</v>
      </c>
      <c r="N6880" s="166"/>
      <c r="O6880" s="58"/>
      <c r="P6880" s="58"/>
      <c r="Q6880" s="58"/>
      <c r="R6880" s="58"/>
      <c r="S6880" s="58"/>
      <c r="T6880" s="220"/>
      <c r="U6880" s="88"/>
      <c r="V6880" s="56"/>
      <c r="W6880" s="57" t="s">
        <v>670</v>
      </c>
      <c r="X6880" s="53"/>
      <c r="Y6880" s="91" t="s">
        <v>35</v>
      </c>
      <c r="Z6880" s="136">
        <f>AD6880/AC6880</f>
        <v>1137.4000000000001</v>
      </c>
      <c r="AA6880" s="58"/>
      <c r="AB6880" s="53">
        <f>AD6880/AC6880</f>
        <v>1137.4000000000001</v>
      </c>
      <c r="AC6880" s="53">
        <f>M6880+$AE$10</f>
        <v>1</v>
      </c>
      <c r="AD6880" s="54">
        <f>SUM(AD6881)</f>
        <v>1137.4000000000001</v>
      </c>
      <c r="AE6880" s="184">
        <f>SUMIFS($AD$37:$AD$12971,$V$37:$V$12971,$V6880,$X$37:$X$12971,AE$13)</f>
        <v>0</v>
      </c>
      <c r="AF6880" s="185">
        <f>SUMIFS($AD$37:$AD$12971,$V$37:$V$12971,$V6880,$X$37:$X$12971,AF$13)</f>
        <v>0</v>
      </c>
      <c r="AG6880" s="185">
        <f>SUMIFS($AD$37:$AD$12971,$V$37:$V$12971,$V6880,$X$37:$X$12971,AG$13)</f>
        <v>0</v>
      </c>
      <c r="AH6880" s="187">
        <f>SUMIFS($AD$37:$AD$12971,$V$37:$V$12971,$V6880,$X$37:$X$12971,AH$13)</f>
        <v>0</v>
      </c>
      <c r="AI6880" s="161">
        <f t="shared" ref="AI6880" si="4918">SUM(AE6880:AH6880)</f>
        <v>0</v>
      </c>
      <c r="AK6880" s="172"/>
    </row>
    <row r="6881" spans="1:41" s="102" customFormat="1" ht="19.899999999999999" customHeight="1" x14ac:dyDescent="0.25">
      <c r="A6881" s="45"/>
      <c r="B6881" s="59"/>
      <c r="C6881" s="137"/>
      <c r="D6881" s="59"/>
      <c r="E6881" s="116"/>
      <c r="F6881" s="120"/>
      <c r="G6881" s="120"/>
      <c r="H6881" s="120"/>
      <c r="I6881" s="60"/>
      <c r="J6881" s="116"/>
      <c r="K6881" s="213"/>
      <c r="L6881" s="120"/>
      <c r="M6881" s="120"/>
      <c r="N6881" s="167"/>
      <c r="O6881" s="120"/>
      <c r="P6881" s="120"/>
      <c r="Q6881" s="120"/>
      <c r="R6881" s="120"/>
      <c r="S6881" s="120"/>
      <c r="T6881" s="221"/>
      <c r="U6881" s="89"/>
      <c r="V6881" s="61"/>
      <c r="W6881" s="92" t="s">
        <v>670</v>
      </c>
      <c r="X6881" s="93" t="s">
        <v>32</v>
      </c>
      <c r="Y6881" s="93" t="s">
        <v>1349</v>
      </c>
      <c r="Z6881" s="134">
        <f>VLOOKUP(W6881,Sheet2!$B:$D,3,FALSE)</f>
        <v>1137.4000000000001</v>
      </c>
      <c r="AA6881" s="93">
        <v>1</v>
      </c>
      <c r="AB6881" s="93">
        <f>AD6881/AC6880</f>
        <v>1137.4000000000001</v>
      </c>
      <c r="AC6881" s="93">
        <f>AC6880/AA6881</f>
        <v>1</v>
      </c>
      <c r="AD6881" s="94">
        <f t="shared" ref="AD6881" si="4919">AC6881*Z6881</f>
        <v>1137.4000000000001</v>
      </c>
      <c r="AE6881" s="190"/>
      <c r="AF6881" s="191"/>
      <c r="AG6881" s="191"/>
      <c r="AH6881" s="191"/>
      <c r="AI6881" s="186"/>
      <c r="AK6881" s="171"/>
    </row>
    <row r="6882" spans="1:41" ht="20.100000000000001" customHeight="1" x14ac:dyDescent="0.25">
      <c r="A6882" s="277" t="s">
        <v>491</v>
      </c>
      <c r="B6882" s="278"/>
      <c r="C6882" s="64" t="s">
        <v>671</v>
      </c>
      <c r="D6882" s="46" t="s">
        <v>215</v>
      </c>
      <c r="E6882" s="114">
        <v>2</v>
      </c>
      <c r="F6882" s="44">
        <v>1762</v>
      </c>
      <c r="G6882" s="44">
        <f t="shared" si="4575"/>
        <v>3524</v>
      </c>
      <c r="H6882" s="44">
        <f t="shared" si="4576"/>
        <v>1447</v>
      </c>
      <c r="I6882" s="43">
        <f t="shared" si="4577"/>
        <v>2894</v>
      </c>
      <c r="J6882" s="112">
        <f t="shared" si="4578"/>
        <v>2</v>
      </c>
      <c r="K6882" s="211">
        <f t="shared" si="4579"/>
        <v>2</v>
      </c>
      <c r="L6882" s="44"/>
      <c r="M6882" s="44">
        <f t="shared" si="4580"/>
        <v>2</v>
      </c>
      <c r="N6882" s="173">
        <f t="shared" si="4581"/>
        <v>1</v>
      </c>
      <c r="O6882" s="44">
        <f t="shared" si="4582"/>
        <v>1762</v>
      </c>
      <c r="P6882" s="44">
        <f t="shared" si="4583"/>
        <v>3524</v>
      </c>
      <c r="Q6882" s="44">
        <f t="shared" si="4584"/>
        <v>1447</v>
      </c>
      <c r="R6882" s="44">
        <f t="shared" si="4585"/>
        <v>2894</v>
      </c>
      <c r="S6882" s="123"/>
      <c r="T6882" s="219">
        <f t="shared" si="4586"/>
        <v>2894</v>
      </c>
      <c r="U6882" s="87"/>
      <c r="V6882" s="47"/>
      <c r="W6882" s="48"/>
      <c r="X6882" s="48"/>
      <c r="Y6882" s="48"/>
      <c r="Z6882" s="135"/>
      <c r="AA6882" s="49"/>
      <c r="AB6882" s="50">
        <f t="shared" si="4587"/>
        <v>1447</v>
      </c>
      <c r="AC6882" s="42">
        <f t="shared" si="4588"/>
        <v>2</v>
      </c>
      <c r="AD6882" s="90">
        <f>AD6883</f>
        <v>2894</v>
      </c>
      <c r="AE6882" s="188">
        <f t="shared" ref="AE6882" si="4920">AE6883</f>
        <v>0</v>
      </c>
      <c r="AF6882" s="189">
        <f t="shared" ref="AF6882" si="4921">AF6883</f>
        <v>0</v>
      </c>
      <c r="AG6882" s="189">
        <f t="shared" ref="AG6882" si="4922">AG6883</f>
        <v>0</v>
      </c>
      <c r="AH6882" s="189">
        <f t="shared" ref="AH6882" si="4923">AH6883</f>
        <v>0</v>
      </c>
      <c r="AI6882" s="161">
        <f t="shared" si="4917"/>
        <v>0</v>
      </c>
      <c r="AK6882" s="169">
        <v>5</v>
      </c>
      <c r="AO6882" s="19" t="s">
        <v>63</v>
      </c>
    </row>
    <row r="6883" spans="1:41" s="103" customFormat="1" ht="19.899999999999999" customHeight="1" x14ac:dyDescent="0.25">
      <c r="A6883" s="51"/>
      <c r="B6883" s="52"/>
      <c r="C6883" s="165"/>
      <c r="D6883" s="52"/>
      <c r="E6883" s="115"/>
      <c r="F6883" s="58"/>
      <c r="G6883" s="58"/>
      <c r="H6883" s="58"/>
      <c r="I6883" s="55"/>
      <c r="J6883" s="113">
        <f>J6882</f>
        <v>2</v>
      </c>
      <c r="K6883" s="212">
        <f>K6882</f>
        <v>2</v>
      </c>
      <c r="L6883" s="58"/>
      <c r="M6883" s="58">
        <f>K6883-L6883</f>
        <v>2</v>
      </c>
      <c r="N6883" s="166"/>
      <c r="O6883" s="58"/>
      <c r="P6883" s="58"/>
      <c r="Q6883" s="58"/>
      <c r="R6883" s="58"/>
      <c r="S6883" s="58"/>
      <c r="T6883" s="220"/>
      <c r="U6883" s="88"/>
      <c r="V6883" s="56"/>
      <c r="W6883" s="57" t="s">
        <v>671</v>
      </c>
      <c r="X6883" s="53"/>
      <c r="Y6883" s="91" t="s">
        <v>35</v>
      </c>
      <c r="Z6883" s="136">
        <f>AD6883/AC6883</f>
        <v>1447</v>
      </c>
      <c r="AA6883" s="58"/>
      <c r="AB6883" s="53">
        <f>AD6883/AC6883</f>
        <v>1447</v>
      </c>
      <c r="AC6883" s="53">
        <f>M6883+$AE$10</f>
        <v>2</v>
      </c>
      <c r="AD6883" s="54">
        <f>SUM(AD6884)</f>
        <v>2894</v>
      </c>
      <c r="AE6883" s="184">
        <f>SUMIFS($AD$37:$AD$12971,$V$37:$V$12971,$V6883,$X$37:$X$12971,AE$13)</f>
        <v>0</v>
      </c>
      <c r="AF6883" s="185">
        <f>SUMIFS($AD$37:$AD$12971,$V$37:$V$12971,$V6883,$X$37:$X$12971,AF$13)</f>
        <v>0</v>
      </c>
      <c r="AG6883" s="185">
        <f>SUMIFS($AD$37:$AD$12971,$V$37:$V$12971,$V6883,$X$37:$X$12971,AG$13)</f>
        <v>0</v>
      </c>
      <c r="AH6883" s="187">
        <f>SUMIFS($AD$37:$AD$12971,$V$37:$V$12971,$V6883,$X$37:$X$12971,AH$13)</f>
        <v>0</v>
      </c>
      <c r="AI6883" s="161">
        <f t="shared" ref="AI6883" si="4924">SUM(AE6883:AH6883)</f>
        <v>0</v>
      </c>
      <c r="AK6883" s="172"/>
    </row>
    <row r="6884" spans="1:41" s="102" customFormat="1" ht="19.899999999999999" customHeight="1" x14ac:dyDescent="0.25">
      <c r="A6884" s="45"/>
      <c r="B6884" s="59"/>
      <c r="C6884" s="137"/>
      <c r="D6884" s="59"/>
      <c r="E6884" s="116"/>
      <c r="F6884" s="120"/>
      <c r="G6884" s="120"/>
      <c r="H6884" s="120"/>
      <c r="I6884" s="60"/>
      <c r="J6884" s="116"/>
      <c r="K6884" s="213"/>
      <c r="L6884" s="120"/>
      <c r="M6884" s="120"/>
      <c r="N6884" s="167"/>
      <c r="O6884" s="120"/>
      <c r="P6884" s="120"/>
      <c r="Q6884" s="120"/>
      <c r="R6884" s="120"/>
      <c r="S6884" s="120"/>
      <c r="T6884" s="221"/>
      <c r="U6884" s="89"/>
      <c r="V6884" s="61"/>
      <c r="W6884" s="92" t="s">
        <v>671</v>
      </c>
      <c r="X6884" s="93" t="s">
        <v>32</v>
      </c>
      <c r="Y6884" s="93" t="s">
        <v>1349</v>
      </c>
      <c r="Z6884" s="134">
        <f>VLOOKUP(W6884,Sheet2!$B:$D,3,FALSE)</f>
        <v>1447</v>
      </c>
      <c r="AA6884" s="93">
        <v>1</v>
      </c>
      <c r="AB6884" s="93">
        <f>AD6884/AC6883</f>
        <v>1447</v>
      </c>
      <c r="AC6884" s="93">
        <f>AC6883/AA6884</f>
        <v>2</v>
      </c>
      <c r="AD6884" s="94">
        <f t="shared" ref="AD6884" si="4925">AC6884*Z6884</f>
        <v>2894</v>
      </c>
      <c r="AE6884" s="190"/>
      <c r="AF6884" s="191"/>
      <c r="AG6884" s="191"/>
      <c r="AH6884" s="191"/>
      <c r="AI6884" s="186"/>
      <c r="AK6884" s="171"/>
    </row>
    <row r="6885" spans="1:41" s="102" customFormat="1" ht="20.100000000000001" customHeight="1" x14ac:dyDescent="0.25">
      <c r="A6885" s="45" t="s">
        <v>491</v>
      </c>
      <c r="B6885" s="276"/>
      <c r="C6885" s="285" t="s">
        <v>700</v>
      </c>
      <c r="D6885" s="59"/>
      <c r="E6885" s="116"/>
      <c r="F6885" s="120"/>
      <c r="G6885" s="120">
        <f t="shared" si="4575"/>
        <v>0</v>
      </c>
      <c r="H6885" s="120">
        <f t="shared" si="4576"/>
        <v>0</v>
      </c>
      <c r="I6885" s="60">
        <f t="shared" si="4577"/>
        <v>0</v>
      </c>
      <c r="J6885" s="116">
        <f t="shared" si="4578"/>
        <v>0</v>
      </c>
      <c r="K6885" s="213">
        <f t="shared" si="4579"/>
        <v>0</v>
      </c>
      <c r="L6885" s="120"/>
      <c r="M6885" s="120">
        <f t="shared" si="4580"/>
        <v>0</v>
      </c>
      <c r="N6885" s="167">
        <f t="shared" si="4581"/>
        <v>0</v>
      </c>
      <c r="O6885" s="120">
        <f t="shared" si="4582"/>
        <v>0</v>
      </c>
      <c r="P6885" s="120">
        <f t="shared" si="4583"/>
        <v>0</v>
      </c>
      <c r="Q6885" s="120">
        <f t="shared" si="4584"/>
        <v>0</v>
      </c>
      <c r="R6885" s="120">
        <f t="shared" si="4585"/>
        <v>0</v>
      </c>
      <c r="S6885" s="120"/>
      <c r="T6885" s="221">
        <f t="shared" si="4586"/>
        <v>0</v>
      </c>
      <c r="U6885" s="89"/>
      <c r="V6885" s="61"/>
      <c r="W6885" s="92"/>
      <c r="X6885" s="38"/>
      <c r="Y6885" s="93"/>
      <c r="Z6885" s="134"/>
      <c r="AA6885" s="93"/>
      <c r="AB6885" s="93"/>
      <c r="AC6885" s="93"/>
      <c r="AD6885" s="94"/>
      <c r="AE6885" s="190"/>
      <c r="AF6885" s="191"/>
      <c r="AG6885" s="191"/>
      <c r="AH6885" s="191"/>
      <c r="AI6885" s="186"/>
      <c r="AK6885" s="171"/>
    </row>
    <row r="6886" spans="1:41" s="102" customFormat="1" ht="20.100000000000001" customHeight="1" x14ac:dyDescent="0.25">
      <c r="A6886" s="45" t="s">
        <v>491</v>
      </c>
      <c r="B6886" s="276"/>
      <c r="C6886" s="285" t="s">
        <v>672</v>
      </c>
      <c r="D6886" s="59"/>
      <c r="E6886" s="116"/>
      <c r="F6886" s="120"/>
      <c r="G6886" s="120">
        <f t="shared" si="4575"/>
        <v>0</v>
      </c>
      <c r="H6886" s="120">
        <f t="shared" si="4576"/>
        <v>0</v>
      </c>
      <c r="I6886" s="60">
        <f t="shared" si="4577"/>
        <v>0</v>
      </c>
      <c r="J6886" s="116">
        <f t="shared" si="4578"/>
        <v>0</v>
      </c>
      <c r="K6886" s="213">
        <f t="shared" si="4579"/>
        <v>0</v>
      </c>
      <c r="L6886" s="120"/>
      <c r="M6886" s="120">
        <f t="shared" si="4580"/>
        <v>0</v>
      </c>
      <c r="N6886" s="167">
        <f t="shared" si="4581"/>
        <v>0</v>
      </c>
      <c r="O6886" s="120">
        <f t="shared" si="4582"/>
        <v>0</v>
      </c>
      <c r="P6886" s="120">
        <f t="shared" si="4583"/>
        <v>0</v>
      </c>
      <c r="Q6886" s="120">
        <f t="shared" si="4584"/>
        <v>0</v>
      </c>
      <c r="R6886" s="120">
        <f t="shared" si="4585"/>
        <v>0</v>
      </c>
      <c r="S6886" s="120"/>
      <c r="T6886" s="221">
        <f t="shared" si="4586"/>
        <v>0</v>
      </c>
      <c r="U6886" s="89"/>
      <c r="V6886" s="61"/>
      <c r="W6886" s="92"/>
      <c r="X6886" s="38"/>
      <c r="Y6886" s="93"/>
      <c r="Z6886" s="134"/>
      <c r="AA6886" s="93"/>
      <c r="AB6886" s="93"/>
      <c r="AC6886" s="93"/>
      <c r="AD6886" s="94"/>
      <c r="AE6886" s="190"/>
      <c r="AF6886" s="191"/>
      <c r="AG6886" s="191"/>
      <c r="AH6886" s="191"/>
      <c r="AI6886" s="186"/>
      <c r="AK6886" s="171"/>
    </row>
    <row r="6887" spans="1:41" s="102" customFormat="1" ht="47.25" x14ac:dyDescent="0.25">
      <c r="A6887" s="45" t="s">
        <v>491</v>
      </c>
      <c r="B6887" s="276"/>
      <c r="C6887" s="285" t="s">
        <v>673</v>
      </c>
      <c r="D6887" s="59"/>
      <c r="E6887" s="116"/>
      <c r="F6887" s="120"/>
      <c r="G6887" s="120">
        <f t="shared" si="4575"/>
        <v>0</v>
      </c>
      <c r="H6887" s="120">
        <f t="shared" si="4576"/>
        <v>0</v>
      </c>
      <c r="I6887" s="60">
        <f t="shared" si="4577"/>
        <v>0</v>
      </c>
      <c r="J6887" s="116">
        <f t="shared" si="4578"/>
        <v>0</v>
      </c>
      <c r="K6887" s="213">
        <f t="shared" si="4579"/>
        <v>0</v>
      </c>
      <c r="L6887" s="120"/>
      <c r="M6887" s="120">
        <f t="shared" si="4580"/>
        <v>0</v>
      </c>
      <c r="N6887" s="167">
        <f t="shared" si="4581"/>
        <v>0</v>
      </c>
      <c r="O6887" s="120">
        <f t="shared" si="4582"/>
        <v>0</v>
      </c>
      <c r="P6887" s="120">
        <f t="shared" si="4583"/>
        <v>0</v>
      </c>
      <c r="Q6887" s="120">
        <f t="shared" si="4584"/>
        <v>0</v>
      </c>
      <c r="R6887" s="120">
        <f t="shared" si="4585"/>
        <v>0</v>
      </c>
      <c r="S6887" s="120"/>
      <c r="T6887" s="221">
        <f t="shared" si="4586"/>
        <v>0</v>
      </c>
      <c r="U6887" s="89"/>
      <c r="V6887" s="61"/>
      <c r="W6887" s="92"/>
      <c r="X6887" s="38"/>
      <c r="Y6887" s="93"/>
      <c r="Z6887" s="134"/>
      <c r="AA6887" s="93"/>
      <c r="AB6887" s="93"/>
      <c r="AC6887" s="93"/>
      <c r="AD6887" s="94"/>
      <c r="AE6887" s="190"/>
      <c r="AF6887" s="191"/>
      <c r="AG6887" s="191"/>
      <c r="AH6887" s="191"/>
      <c r="AI6887" s="186"/>
      <c r="AK6887" s="171"/>
    </row>
    <row r="6888" spans="1:41" ht="20.100000000000001" customHeight="1" x14ac:dyDescent="0.25">
      <c r="A6888" s="277" t="s">
        <v>491</v>
      </c>
      <c r="B6888" s="278"/>
      <c r="C6888" s="64" t="s">
        <v>674</v>
      </c>
      <c r="D6888" s="46" t="s">
        <v>196</v>
      </c>
      <c r="E6888" s="114">
        <v>277</v>
      </c>
      <c r="F6888" s="44">
        <v>86</v>
      </c>
      <c r="G6888" s="44">
        <f t="shared" si="4575"/>
        <v>23822</v>
      </c>
      <c r="H6888" s="44">
        <f t="shared" si="4576"/>
        <v>54.382400000000004</v>
      </c>
      <c r="I6888" s="43">
        <f t="shared" si="4577"/>
        <v>15063.924800000001</v>
      </c>
      <c r="J6888" s="112">
        <f t="shared" si="4578"/>
        <v>277</v>
      </c>
      <c r="K6888" s="211">
        <f t="shared" si="4579"/>
        <v>277</v>
      </c>
      <c r="L6888" s="44"/>
      <c r="M6888" s="44">
        <f t="shared" si="4580"/>
        <v>277</v>
      </c>
      <c r="N6888" s="173">
        <f t="shared" si="4581"/>
        <v>1</v>
      </c>
      <c r="O6888" s="44">
        <f t="shared" si="4582"/>
        <v>86</v>
      </c>
      <c r="P6888" s="44">
        <f t="shared" si="4583"/>
        <v>23822</v>
      </c>
      <c r="Q6888" s="44">
        <f t="shared" si="4584"/>
        <v>54.382400000000004</v>
      </c>
      <c r="R6888" s="44">
        <f t="shared" si="4585"/>
        <v>15063.924800000001</v>
      </c>
      <c r="S6888" s="123"/>
      <c r="T6888" s="219">
        <f t="shared" si="4586"/>
        <v>15063.924800000001</v>
      </c>
      <c r="U6888" s="87"/>
      <c r="V6888" s="47"/>
      <c r="W6888" s="48"/>
      <c r="X6888" s="48"/>
      <c r="Y6888" s="48"/>
      <c r="Z6888" s="135"/>
      <c r="AA6888" s="49"/>
      <c r="AB6888" s="50">
        <f t="shared" si="4587"/>
        <v>54.382400000000004</v>
      </c>
      <c r="AC6888" s="42">
        <f t="shared" si="4588"/>
        <v>277</v>
      </c>
      <c r="AD6888" s="90">
        <f>AD6889+AD6896</f>
        <v>15063.924800000001</v>
      </c>
      <c r="AE6888" s="188">
        <f t="shared" ref="AE6888" si="4926">AE6889+AE6896</f>
        <v>0</v>
      </c>
      <c r="AF6888" s="189">
        <f t="shared" ref="AF6888" si="4927">AF6889+AF6896</f>
        <v>0</v>
      </c>
      <c r="AG6888" s="189">
        <f t="shared" ref="AG6888" si="4928">AG6889+AG6896</f>
        <v>0</v>
      </c>
      <c r="AH6888" s="189">
        <f t="shared" ref="AH6888" si="4929">AH6889+AH6896</f>
        <v>0</v>
      </c>
      <c r="AI6888" s="161">
        <f t="shared" ref="AI6888" si="4930">SUM(AE6888:AH6888)</f>
        <v>0</v>
      </c>
      <c r="AK6888" s="169">
        <v>5</v>
      </c>
      <c r="AO6888" s="19" t="s">
        <v>63</v>
      </c>
    </row>
    <row r="6889" spans="1:41" s="103" customFormat="1" ht="19.899999999999999" customHeight="1" x14ac:dyDescent="0.25">
      <c r="A6889" s="51"/>
      <c r="B6889" s="52"/>
      <c r="C6889" s="165"/>
      <c r="D6889" s="52"/>
      <c r="E6889" s="115"/>
      <c r="F6889" s="58"/>
      <c r="G6889" s="58"/>
      <c r="H6889" s="58"/>
      <c r="I6889" s="55"/>
      <c r="J6889" s="113">
        <f>J6888</f>
        <v>277</v>
      </c>
      <c r="K6889" s="212">
        <f>K6888</f>
        <v>277</v>
      </c>
      <c r="L6889" s="58"/>
      <c r="M6889" s="58">
        <f>K6889-L6889</f>
        <v>277</v>
      </c>
      <c r="N6889" s="166"/>
      <c r="O6889" s="58"/>
      <c r="P6889" s="58"/>
      <c r="Q6889" s="58"/>
      <c r="R6889" s="58"/>
      <c r="S6889" s="58"/>
      <c r="T6889" s="220"/>
      <c r="U6889" s="88"/>
      <c r="V6889" s="56"/>
      <c r="W6889" s="57" t="s">
        <v>1608</v>
      </c>
      <c r="X6889" s="53"/>
      <c r="Y6889" s="91" t="s">
        <v>64</v>
      </c>
      <c r="Z6889" s="136">
        <f>AD6889/AC6889</f>
        <v>4.3823999999999996</v>
      </c>
      <c r="AA6889" s="58"/>
      <c r="AB6889" s="53">
        <f>AD6889/AC6889</f>
        <v>4.3823999999999996</v>
      </c>
      <c r="AC6889" s="53">
        <f>M6889+$AE$10</f>
        <v>277</v>
      </c>
      <c r="AD6889" s="54">
        <f>SUM(AD6890:AD6895)</f>
        <v>1213.9248</v>
      </c>
      <c r="AE6889" s="184">
        <f>SUMIFS($AD$37:$AD$12971,$V$37:$V$12971,$V6889,$X$37:$X$12971,AE$13)</f>
        <v>0</v>
      </c>
      <c r="AF6889" s="185">
        <f>SUMIFS($AD$37:$AD$12971,$V$37:$V$12971,$V6889,$X$37:$X$12971,AF$13)</f>
        <v>0</v>
      </c>
      <c r="AG6889" s="185">
        <f>SUMIFS($AD$37:$AD$12971,$V$37:$V$12971,$V6889,$X$37:$X$12971,AG$13)</f>
        <v>0</v>
      </c>
      <c r="AH6889" s="187">
        <f>SUMIFS($AD$37:$AD$12971,$V$37:$V$12971,$V6889,$X$37:$X$12971,AH$13)</f>
        <v>0</v>
      </c>
      <c r="AI6889" s="161">
        <f t="shared" ref="AI6889" si="4931">SUM(AE6889:AH6889)</f>
        <v>0</v>
      </c>
      <c r="AK6889" s="172"/>
    </row>
    <row r="6890" spans="1:41" s="102" customFormat="1" ht="19.899999999999999" customHeight="1" x14ac:dyDescent="0.25">
      <c r="A6890" s="45"/>
      <c r="B6890" s="59"/>
      <c r="C6890" s="137"/>
      <c r="D6890" s="59"/>
      <c r="E6890" s="116"/>
      <c r="F6890" s="120"/>
      <c r="G6890" s="120"/>
      <c r="H6890" s="120"/>
      <c r="I6890" s="60"/>
      <c r="J6890" s="116"/>
      <c r="K6890" s="213"/>
      <c r="L6890" s="120"/>
      <c r="M6890" s="120"/>
      <c r="N6890" s="167"/>
      <c r="O6890" s="120"/>
      <c r="P6890" s="120"/>
      <c r="Q6890" s="120"/>
      <c r="R6890" s="120"/>
      <c r="S6890" s="120"/>
      <c r="T6890" s="221"/>
      <c r="U6890" s="89"/>
      <c r="V6890" s="61"/>
      <c r="W6890" s="92" t="s">
        <v>160</v>
      </c>
      <c r="X6890" s="93" t="s">
        <v>29</v>
      </c>
      <c r="Y6890" s="93" t="s">
        <v>93</v>
      </c>
      <c r="Z6890" s="134">
        <f>VLOOKUP(W6890,Sheet2!$B:$D,3,FALSE)</f>
        <v>44</v>
      </c>
      <c r="AA6890" s="93">
        <v>20</v>
      </c>
      <c r="AB6890" s="93">
        <f>AD6890/AC6889</f>
        <v>2.1999999999999997</v>
      </c>
      <c r="AC6890" s="93">
        <f>AC6889/AA6890</f>
        <v>13.85</v>
      </c>
      <c r="AD6890" s="94">
        <f t="shared" ref="AD6890:AD6891" si="4932">AC6890*Z6890</f>
        <v>609.4</v>
      </c>
      <c r="AE6890" s="190"/>
      <c r="AF6890" s="191"/>
      <c r="AG6890" s="191"/>
      <c r="AH6890" s="191"/>
      <c r="AI6890" s="186"/>
      <c r="AK6890" s="171"/>
    </row>
    <row r="6891" spans="1:41" s="102" customFormat="1" ht="19.899999999999999" customHeight="1" x14ac:dyDescent="0.25">
      <c r="A6891" s="45"/>
      <c r="B6891" s="59"/>
      <c r="C6891" s="137"/>
      <c r="D6891" s="59"/>
      <c r="E6891" s="116"/>
      <c r="F6891" s="120"/>
      <c r="G6891" s="120"/>
      <c r="H6891" s="120"/>
      <c r="I6891" s="60"/>
      <c r="J6891" s="116"/>
      <c r="K6891" s="213"/>
      <c r="L6891" s="120"/>
      <c r="M6891" s="120"/>
      <c r="N6891" s="167"/>
      <c r="O6891" s="120"/>
      <c r="P6891" s="120"/>
      <c r="Q6891" s="120"/>
      <c r="R6891" s="120"/>
      <c r="S6891" s="120"/>
      <c r="T6891" s="221"/>
      <c r="U6891" s="89"/>
      <c r="V6891" s="61"/>
      <c r="W6891" s="92" t="s">
        <v>65</v>
      </c>
      <c r="X6891" s="93" t="s">
        <v>30</v>
      </c>
      <c r="Y6891" s="93" t="s">
        <v>1011</v>
      </c>
      <c r="Z6891" s="134">
        <f>VLOOKUP(W6891,Sheet2!$B:$D,3,FALSE)</f>
        <v>1.76</v>
      </c>
      <c r="AA6891" s="93">
        <f>AA6890/10</f>
        <v>2</v>
      </c>
      <c r="AB6891" s="93">
        <f>AD6891/AC6889</f>
        <v>0.88</v>
      </c>
      <c r="AC6891" s="93">
        <f>AC6889/AA6891</f>
        <v>138.5</v>
      </c>
      <c r="AD6891" s="94">
        <f t="shared" si="4932"/>
        <v>243.76</v>
      </c>
      <c r="AE6891" s="190"/>
      <c r="AF6891" s="191"/>
      <c r="AG6891" s="191"/>
      <c r="AH6891" s="191"/>
      <c r="AI6891" s="186"/>
      <c r="AK6891" s="171"/>
    </row>
    <row r="6892" spans="1:41" s="102" customFormat="1" ht="19.899999999999999" customHeight="1" x14ac:dyDescent="0.25">
      <c r="A6892" s="45"/>
      <c r="B6892" s="59"/>
      <c r="C6892" s="137"/>
      <c r="D6892" s="59"/>
      <c r="E6892" s="116"/>
      <c r="F6892" s="120"/>
      <c r="G6892" s="120"/>
      <c r="H6892" s="120"/>
      <c r="I6892" s="60"/>
      <c r="J6892" s="116"/>
      <c r="K6892" s="213"/>
      <c r="L6892" s="120"/>
      <c r="M6892" s="120"/>
      <c r="N6892" s="167"/>
      <c r="O6892" s="120"/>
      <c r="P6892" s="120"/>
      <c r="Q6892" s="120"/>
      <c r="R6892" s="120"/>
      <c r="S6892" s="120"/>
      <c r="T6892" s="221"/>
      <c r="U6892" s="89"/>
      <c r="V6892" s="61"/>
      <c r="W6892" s="92" t="s">
        <v>148</v>
      </c>
      <c r="X6892" s="93" t="s">
        <v>29</v>
      </c>
      <c r="Y6892" s="93" t="s">
        <v>93</v>
      </c>
      <c r="Z6892" s="134">
        <f>VLOOKUP(W6892,Sheet2!$B:$D,3,FALSE)</f>
        <v>48</v>
      </c>
      <c r="AA6892" s="93">
        <v>100</v>
      </c>
      <c r="AB6892" s="93">
        <f>AD6892/AC6889</f>
        <v>0.48000000000000004</v>
      </c>
      <c r="AC6892" s="93">
        <f>AC6889/AA6892</f>
        <v>2.77</v>
      </c>
      <c r="AD6892" s="94">
        <f>AC6892*Z6892</f>
        <v>132.96</v>
      </c>
      <c r="AE6892" s="190"/>
      <c r="AF6892" s="191"/>
      <c r="AG6892" s="191"/>
      <c r="AH6892" s="191"/>
      <c r="AI6892" s="186"/>
      <c r="AK6892" s="171"/>
    </row>
    <row r="6893" spans="1:41" s="102" customFormat="1" ht="19.899999999999999" customHeight="1" x14ac:dyDescent="0.25">
      <c r="A6893" s="45"/>
      <c r="B6893" s="59"/>
      <c r="C6893" s="137"/>
      <c r="D6893" s="59"/>
      <c r="E6893" s="116"/>
      <c r="F6893" s="120"/>
      <c r="G6893" s="120"/>
      <c r="H6893" s="120"/>
      <c r="I6893" s="60"/>
      <c r="J6893" s="116"/>
      <c r="K6893" s="213"/>
      <c r="L6893" s="120"/>
      <c r="M6893" s="120"/>
      <c r="N6893" s="167"/>
      <c r="O6893" s="120"/>
      <c r="P6893" s="120"/>
      <c r="Q6893" s="120"/>
      <c r="R6893" s="120"/>
      <c r="S6893" s="120"/>
      <c r="T6893" s="221"/>
      <c r="U6893" s="89"/>
      <c r="V6893" s="61"/>
      <c r="W6893" s="92" t="s">
        <v>65</v>
      </c>
      <c r="X6893" s="93" t="s">
        <v>30</v>
      </c>
      <c r="Y6893" s="93" t="s">
        <v>1011</v>
      </c>
      <c r="Z6893" s="134">
        <f>VLOOKUP(W6893,Sheet2!$B:$D,3,FALSE)</f>
        <v>1.76</v>
      </c>
      <c r="AA6893" s="93">
        <f>AA6892/10</f>
        <v>10</v>
      </c>
      <c r="AB6893" s="93">
        <f>AD6893/AC6889</f>
        <v>0.17600000000000002</v>
      </c>
      <c r="AC6893" s="93">
        <f>AC6889/AA6893</f>
        <v>27.7</v>
      </c>
      <c r="AD6893" s="94">
        <f t="shared" ref="AD6893:AD6895" si="4933">AC6893*Z6893</f>
        <v>48.752000000000002</v>
      </c>
      <c r="AE6893" s="190"/>
      <c r="AF6893" s="191"/>
      <c r="AG6893" s="191"/>
      <c r="AH6893" s="191"/>
      <c r="AI6893" s="186"/>
      <c r="AK6893" s="171"/>
    </row>
    <row r="6894" spans="1:41" s="102" customFormat="1" ht="19.899999999999999" customHeight="1" x14ac:dyDescent="0.25">
      <c r="A6894" s="45"/>
      <c r="B6894" s="59"/>
      <c r="C6894" s="137"/>
      <c r="D6894" s="59"/>
      <c r="E6894" s="116"/>
      <c r="F6894" s="120"/>
      <c r="G6894" s="120"/>
      <c r="H6894" s="120"/>
      <c r="I6894" s="60"/>
      <c r="J6894" s="116"/>
      <c r="K6894" s="213"/>
      <c r="L6894" s="120"/>
      <c r="M6894" s="120"/>
      <c r="N6894" s="167"/>
      <c r="O6894" s="120"/>
      <c r="P6894" s="120"/>
      <c r="Q6894" s="120"/>
      <c r="R6894" s="120"/>
      <c r="S6894" s="120"/>
      <c r="T6894" s="221"/>
      <c r="U6894" s="89"/>
      <c r="V6894" s="61"/>
      <c r="W6894" s="92" t="s">
        <v>145</v>
      </c>
      <c r="X6894" s="93" t="s">
        <v>29</v>
      </c>
      <c r="Y6894" s="93" t="s">
        <v>93</v>
      </c>
      <c r="Z6894" s="134">
        <f>VLOOKUP(W6894,Sheet2!$B:$D,3,FALSE)</f>
        <v>40</v>
      </c>
      <c r="AA6894" s="93">
        <v>100</v>
      </c>
      <c r="AB6894" s="93">
        <f t="shared" ref="AB6894" si="4934">AD6894/AC6889</f>
        <v>0.39999999999999997</v>
      </c>
      <c r="AC6894" s="93">
        <f>AC6889/AA6894</f>
        <v>2.77</v>
      </c>
      <c r="AD6894" s="94">
        <f t="shared" si="4933"/>
        <v>110.8</v>
      </c>
      <c r="AE6894" s="190"/>
      <c r="AF6894" s="191"/>
      <c r="AG6894" s="191"/>
      <c r="AH6894" s="191"/>
      <c r="AI6894" s="186"/>
      <c r="AK6894" s="171"/>
    </row>
    <row r="6895" spans="1:41" s="102" customFormat="1" ht="19.899999999999999" customHeight="1" x14ac:dyDescent="0.25">
      <c r="A6895" s="45"/>
      <c r="B6895" s="59"/>
      <c r="C6895" s="137"/>
      <c r="D6895" s="59"/>
      <c r="E6895" s="116"/>
      <c r="F6895" s="120"/>
      <c r="G6895" s="120"/>
      <c r="H6895" s="120"/>
      <c r="I6895" s="60"/>
      <c r="J6895" s="116"/>
      <c r="K6895" s="213"/>
      <c r="L6895" s="120"/>
      <c r="M6895" s="120"/>
      <c r="N6895" s="167"/>
      <c r="O6895" s="120"/>
      <c r="P6895" s="120"/>
      <c r="Q6895" s="120"/>
      <c r="R6895" s="120"/>
      <c r="S6895" s="120"/>
      <c r="T6895" s="221"/>
      <c r="U6895" s="89"/>
      <c r="V6895" s="61"/>
      <c r="W6895" s="92" t="s">
        <v>65</v>
      </c>
      <c r="X6895" s="93" t="s">
        <v>30</v>
      </c>
      <c r="Y6895" s="93" t="s">
        <v>1011</v>
      </c>
      <c r="Z6895" s="134">
        <f>VLOOKUP(W6895,Sheet2!$B:$D,3,FALSE)</f>
        <v>1.76</v>
      </c>
      <c r="AA6895" s="93">
        <f>AA6894/14</f>
        <v>7.1428571428571432</v>
      </c>
      <c r="AB6895" s="93">
        <f>AD6895/AC6889</f>
        <v>0.24640000000000004</v>
      </c>
      <c r="AC6895" s="93">
        <f>AC6889/AA6895</f>
        <v>38.78</v>
      </c>
      <c r="AD6895" s="94">
        <f t="shared" si="4933"/>
        <v>68.252800000000008</v>
      </c>
      <c r="AE6895" s="190"/>
      <c r="AF6895" s="191"/>
      <c r="AG6895" s="191"/>
      <c r="AH6895" s="191"/>
      <c r="AI6895" s="186"/>
      <c r="AK6895" s="171"/>
    </row>
    <row r="6896" spans="1:41" s="103" customFormat="1" ht="19.899999999999999" customHeight="1" x14ac:dyDescent="0.25">
      <c r="A6896" s="51"/>
      <c r="B6896" s="52"/>
      <c r="C6896" s="165"/>
      <c r="D6896" s="52"/>
      <c r="E6896" s="115"/>
      <c r="F6896" s="58"/>
      <c r="G6896" s="58"/>
      <c r="H6896" s="58"/>
      <c r="I6896" s="55"/>
      <c r="J6896" s="113">
        <f>J6888</f>
        <v>277</v>
      </c>
      <c r="K6896" s="212">
        <f>K6888</f>
        <v>277</v>
      </c>
      <c r="L6896" s="58"/>
      <c r="M6896" s="58">
        <f>K6896-L6896</f>
        <v>277</v>
      </c>
      <c r="N6896" s="166"/>
      <c r="O6896" s="58"/>
      <c r="P6896" s="58"/>
      <c r="Q6896" s="58"/>
      <c r="R6896" s="58"/>
      <c r="S6896" s="58"/>
      <c r="T6896" s="220"/>
      <c r="U6896" s="88"/>
      <c r="V6896" s="56"/>
      <c r="W6896" s="57" t="s">
        <v>1612</v>
      </c>
      <c r="X6896" s="53"/>
      <c r="Y6896" s="91" t="s">
        <v>64</v>
      </c>
      <c r="Z6896" s="136">
        <f>AD6896/AC6896</f>
        <v>50</v>
      </c>
      <c r="AA6896" s="58"/>
      <c r="AB6896" s="53">
        <f>AD6896/AC6896</f>
        <v>50</v>
      </c>
      <c r="AC6896" s="53">
        <f>M6896+$AE$10</f>
        <v>277</v>
      </c>
      <c r="AD6896" s="54">
        <f>SUM(AD6897:AD6900)</f>
        <v>13850</v>
      </c>
      <c r="AE6896" s="184">
        <f>SUMIFS($AD$37:$AD$12971,$V$37:$V$12971,$V6896,$X$37:$X$12971,AE$13)</f>
        <v>0</v>
      </c>
      <c r="AF6896" s="185">
        <f>SUMIFS($AD$37:$AD$12971,$V$37:$V$12971,$V6896,$X$37:$X$12971,AF$13)</f>
        <v>0</v>
      </c>
      <c r="AG6896" s="185">
        <f>SUMIFS($AD$37:$AD$12971,$V$37:$V$12971,$V6896,$X$37:$X$12971,AG$13)</f>
        <v>0</v>
      </c>
      <c r="AH6896" s="187">
        <f>SUMIFS($AD$37:$AD$12971,$V$37:$V$12971,$V6896,$X$37:$X$12971,AH$13)</f>
        <v>0</v>
      </c>
      <c r="AI6896" s="161">
        <f t="shared" ref="AI6896" si="4935">SUM(AE6896:AH6896)</f>
        <v>0</v>
      </c>
      <c r="AK6896" s="172"/>
    </row>
    <row r="6897" spans="1:41" s="102" customFormat="1" ht="19.899999999999999" customHeight="1" x14ac:dyDescent="0.25">
      <c r="A6897" s="45"/>
      <c r="B6897" s="59"/>
      <c r="C6897" s="137"/>
      <c r="D6897" s="59"/>
      <c r="E6897" s="116"/>
      <c r="F6897" s="120"/>
      <c r="G6897" s="120"/>
      <c r="H6897" s="120"/>
      <c r="I6897" s="60"/>
      <c r="J6897" s="116"/>
      <c r="K6897" s="213"/>
      <c r="L6897" s="120"/>
      <c r="M6897" s="120"/>
      <c r="N6897" s="167"/>
      <c r="O6897" s="120"/>
      <c r="P6897" s="120"/>
      <c r="Q6897" s="120"/>
      <c r="R6897" s="120"/>
      <c r="S6897" s="120"/>
      <c r="T6897" s="221"/>
      <c r="U6897" s="89"/>
      <c r="V6897" s="61"/>
      <c r="W6897" s="92" t="s">
        <v>103</v>
      </c>
      <c r="X6897" s="93" t="s">
        <v>29</v>
      </c>
      <c r="Y6897" s="93" t="s">
        <v>64</v>
      </c>
      <c r="Z6897" s="134">
        <f>VLOOKUP(W6897,Sheet2!$B:$D,3,FALSE)</f>
        <v>2</v>
      </c>
      <c r="AA6897" s="93">
        <v>1</v>
      </c>
      <c r="AB6897" s="93">
        <f>AD6897/AC6896</f>
        <v>2</v>
      </c>
      <c r="AC6897" s="93">
        <f>AC6896/AA6897</f>
        <v>277</v>
      </c>
      <c r="AD6897" s="94">
        <f t="shared" ref="AD6897:AD6898" si="4936">AC6897*Z6897</f>
        <v>554</v>
      </c>
      <c r="AE6897" s="190"/>
      <c r="AF6897" s="191"/>
      <c r="AG6897" s="191"/>
      <c r="AH6897" s="191"/>
      <c r="AI6897" s="186"/>
      <c r="AK6897" s="171"/>
    </row>
    <row r="6898" spans="1:41" s="102" customFormat="1" ht="19.899999999999999" customHeight="1" x14ac:dyDescent="0.25">
      <c r="A6898" s="45"/>
      <c r="B6898" s="59"/>
      <c r="C6898" s="137"/>
      <c r="D6898" s="59"/>
      <c r="E6898" s="116"/>
      <c r="F6898" s="120"/>
      <c r="G6898" s="120"/>
      <c r="H6898" s="120"/>
      <c r="I6898" s="60"/>
      <c r="J6898" s="116"/>
      <c r="K6898" s="213"/>
      <c r="L6898" s="120"/>
      <c r="M6898" s="120"/>
      <c r="N6898" s="167"/>
      <c r="O6898" s="120"/>
      <c r="P6898" s="120"/>
      <c r="Q6898" s="120"/>
      <c r="R6898" s="120"/>
      <c r="S6898" s="120"/>
      <c r="T6898" s="221"/>
      <c r="U6898" s="89"/>
      <c r="V6898" s="61"/>
      <c r="W6898" s="92" t="s">
        <v>1611</v>
      </c>
      <c r="X6898" s="93" t="s">
        <v>30</v>
      </c>
      <c r="Y6898" s="93" t="s">
        <v>66</v>
      </c>
      <c r="Z6898" s="134">
        <f>VLOOKUP(W6898,Sheet2!$B:$D,3,FALSE)</f>
        <v>30</v>
      </c>
      <c r="AA6898" s="93">
        <v>10</v>
      </c>
      <c r="AB6898" s="93">
        <f>AD6898/AC6896</f>
        <v>3</v>
      </c>
      <c r="AC6898" s="93">
        <f>AC6896/AA6898</f>
        <v>27.7</v>
      </c>
      <c r="AD6898" s="94">
        <f t="shared" si="4936"/>
        <v>831</v>
      </c>
      <c r="AE6898" s="190"/>
      <c r="AF6898" s="191"/>
      <c r="AG6898" s="191"/>
      <c r="AH6898" s="191"/>
      <c r="AI6898" s="186"/>
      <c r="AK6898" s="171"/>
    </row>
    <row r="6899" spans="1:41" s="102" customFormat="1" ht="19.899999999999999" customHeight="1" x14ac:dyDescent="0.25">
      <c r="A6899" s="45"/>
      <c r="B6899" s="59"/>
      <c r="C6899" s="137"/>
      <c r="D6899" s="59"/>
      <c r="E6899" s="116"/>
      <c r="F6899" s="120"/>
      <c r="G6899" s="120"/>
      <c r="H6899" s="120"/>
      <c r="I6899" s="60"/>
      <c r="J6899" s="116"/>
      <c r="K6899" s="213"/>
      <c r="L6899" s="120"/>
      <c r="M6899" s="120"/>
      <c r="N6899" s="167"/>
      <c r="O6899" s="120"/>
      <c r="P6899" s="120"/>
      <c r="Q6899" s="120"/>
      <c r="R6899" s="120"/>
      <c r="S6899" s="120"/>
      <c r="T6899" s="221"/>
      <c r="U6899" s="89"/>
      <c r="V6899" s="61"/>
      <c r="W6899" s="92" t="s">
        <v>1609</v>
      </c>
      <c r="X6899" s="93" t="s">
        <v>30</v>
      </c>
      <c r="Y6899" s="93" t="s">
        <v>64</v>
      </c>
      <c r="Z6899" s="134">
        <f>VLOOKUP(W6899,Sheet2!$B:$D,3,FALSE)</f>
        <v>25</v>
      </c>
      <c r="AA6899" s="93">
        <v>1</v>
      </c>
      <c r="AB6899" s="93">
        <f>AD6899/AC6896</f>
        <v>25</v>
      </c>
      <c r="AC6899" s="93">
        <f>AC6896/AA6899</f>
        <v>277</v>
      </c>
      <c r="AD6899" s="94">
        <f>AC6899*Z6899</f>
        <v>6925</v>
      </c>
      <c r="AE6899" s="190"/>
      <c r="AF6899" s="191"/>
      <c r="AG6899" s="191"/>
      <c r="AH6899" s="191"/>
      <c r="AI6899" s="186"/>
      <c r="AK6899" s="171"/>
    </row>
    <row r="6900" spans="1:41" s="102" customFormat="1" ht="19.899999999999999" customHeight="1" x14ac:dyDescent="0.25">
      <c r="A6900" s="45"/>
      <c r="B6900" s="59"/>
      <c r="C6900" s="137"/>
      <c r="D6900" s="59"/>
      <c r="E6900" s="116"/>
      <c r="F6900" s="120"/>
      <c r="G6900" s="120"/>
      <c r="H6900" s="120"/>
      <c r="I6900" s="60"/>
      <c r="J6900" s="116"/>
      <c r="K6900" s="213"/>
      <c r="L6900" s="120"/>
      <c r="M6900" s="120"/>
      <c r="N6900" s="167"/>
      <c r="O6900" s="120"/>
      <c r="P6900" s="120"/>
      <c r="Q6900" s="120"/>
      <c r="R6900" s="120"/>
      <c r="S6900" s="120"/>
      <c r="T6900" s="221"/>
      <c r="U6900" s="89"/>
      <c r="V6900" s="61"/>
      <c r="W6900" s="92" t="s">
        <v>1610</v>
      </c>
      <c r="X6900" s="93" t="s">
        <v>32</v>
      </c>
      <c r="Y6900" s="93" t="s">
        <v>64</v>
      </c>
      <c r="Z6900" s="134">
        <f>VLOOKUP(W6900,Sheet2!$B:$D,3,FALSE)</f>
        <v>20</v>
      </c>
      <c r="AA6900" s="93">
        <v>1</v>
      </c>
      <c r="AB6900" s="93">
        <f>AD6900/AC6896</f>
        <v>20</v>
      </c>
      <c r="AC6900" s="93">
        <f>AC6896/AA6900</f>
        <v>277</v>
      </c>
      <c r="AD6900" s="94">
        <f>AC6900*Z6900</f>
        <v>5540</v>
      </c>
      <c r="AE6900" s="190"/>
      <c r="AF6900" s="191"/>
      <c r="AG6900" s="191"/>
      <c r="AH6900" s="191"/>
      <c r="AI6900" s="186"/>
      <c r="AK6900" s="171"/>
    </row>
    <row r="6901" spans="1:41" ht="20.100000000000001" customHeight="1" x14ac:dyDescent="0.25">
      <c r="A6901" s="277" t="s">
        <v>491</v>
      </c>
      <c r="B6901" s="278"/>
      <c r="C6901" s="64" t="s">
        <v>675</v>
      </c>
      <c r="D6901" s="46" t="s">
        <v>196</v>
      </c>
      <c r="E6901" s="114">
        <v>43.65</v>
      </c>
      <c r="F6901" s="44">
        <v>86</v>
      </c>
      <c r="G6901" s="44">
        <f t="shared" si="4575"/>
        <v>3753.9</v>
      </c>
      <c r="H6901" s="44">
        <f t="shared" si="4576"/>
        <v>54.382400000000004</v>
      </c>
      <c r="I6901" s="43">
        <f t="shared" si="4577"/>
        <v>2373.7917600000001</v>
      </c>
      <c r="J6901" s="112">
        <f t="shared" si="4578"/>
        <v>43.65</v>
      </c>
      <c r="K6901" s="211">
        <f t="shared" si="4579"/>
        <v>43.65</v>
      </c>
      <c r="L6901" s="44"/>
      <c r="M6901" s="44">
        <f t="shared" si="4580"/>
        <v>43.65</v>
      </c>
      <c r="N6901" s="173">
        <f t="shared" si="4581"/>
        <v>1</v>
      </c>
      <c r="O6901" s="44">
        <f t="shared" si="4582"/>
        <v>86</v>
      </c>
      <c r="P6901" s="44">
        <f t="shared" si="4583"/>
        <v>3753.9</v>
      </c>
      <c r="Q6901" s="44">
        <f t="shared" si="4584"/>
        <v>54.382400000000004</v>
      </c>
      <c r="R6901" s="44">
        <f t="shared" si="4585"/>
        <v>2373.7917600000001</v>
      </c>
      <c r="S6901" s="123"/>
      <c r="T6901" s="219">
        <f t="shared" si="4586"/>
        <v>2373.7917600000001</v>
      </c>
      <c r="U6901" s="87"/>
      <c r="V6901" s="47"/>
      <c r="W6901" s="48"/>
      <c r="X6901" s="48"/>
      <c r="Y6901" s="48"/>
      <c r="Z6901" s="135"/>
      <c r="AA6901" s="49"/>
      <c r="AB6901" s="50">
        <f t="shared" si="4587"/>
        <v>54.382400000000004</v>
      </c>
      <c r="AC6901" s="42">
        <f t="shared" si="4588"/>
        <v>43.65</v>
      </c>
      <c r="AD6901" s="90">
        <f>AD6902+AD6909</f>
        <v>2373.7917600000001</v>
      </c>
      <c r="AE6901" s="188">
        <f>AE6902+AE6909</f>
        <v>0</v>
      </c>
      <c r="AF6901" s="189">
        <f t="shared" ref="AF6901:AH6901" si="4937">AF6902+AF6909</f>
        <v>0</v>
      </c>
      <c r="AG6901" s="189">
        <f t="shared" si="4937"/>
        <v>0</v>
      </c>
      <c r="AH6901" s="189">
        <f t="shared" si="4937"/>
        <v>0</v>
      </c>
      <c r="AI6901" s="161">
        <f t="shared" ref="AI6901" si="4938">SUM(AE6901:AH6901)</f>
        <v>0</v>
      </c>
      <c r="AK6901" s="169">
        <v>5</v>
      </c>
      <c r="AO6901" s="19" t="s">
        <v>63</v>
      </c>
    </row>
    <row r="6902" spans="1:41" s="103" customFormat="1" ht="19.899999999999999" customHeight="1" x14ac:dyDescent="0.25">
      <c r="A6902" s="51"/>
      <c r="B6902" s="52"/>
      <c r="C6902" s="165"/>
      <c r="D6902" s="52"/>
      <c r="E6902" s="115"/>
      <c r="F6902" s="58"/>
      <c r="G6902" s="58"/>
      <c r="H6902" s="58"/>
      <c r="I6902" s="55"/>
      <c r="J6902" s="113">
        <f>J6901</f>
        <v>43.65</v>
      </c>
      <c r="K6902" s="212">
        <f>K6901</f>
        <v>43.65</v>
      </c>
      <c r="L6902" s="58"/>
      <c r="M6902" s="58">
        <f>K6902-L6902</f>
        <v>43.65</v>
      </c>
      <c r="N6902" s="166"/>
      <c r="O6902" s="58"/>
      <c r="P6902" s="58"/>
      <c r="Q6902" s="58"/>
      <c r="R6902" s="58"/>
      <c r="S6902" s="58"/>
      <c r="T6902" s="220"/>
      <c r="U6902" s="88"/>
      <c r="V6902" s="56"/>
      <c r="W6902" s="57" t="s">
        <v>1608</v>
      </c>
      <c r="X6902" s="53"/>
      <c r="Y6902" s="91" t="s">
        <v>64</v>
      </c>
      <c r="Z6902" s="136">
        <f>AD6902/AC6902</f>
        <v>4.3824000000000005</v>
      </c>
      <c r="AA6902" s="58"/>
      <c r="AB6902" s="53">
        <f>AD6902/AC6902</f>
        <v>4.3824000000000005</v>
      </c>
      <c r="AC6902" s="53">
        <f>M6902+$AE$10</f>
        <v>43.65</v>
      </c>
      <c r="AD6902" s="54">
        <f>SUM(AD6903:AD6908)</f>
        <v>191.29176000000001</v>
      </c>
      <c r="AE6902" s="184">
        <f>SUMIFS($AD$37:$AD$12971,$V$37:$V$12971,$V6902,$X$37:$X$12971,AE$13)</f>
        <v>0</v>
      </c>
      <c r="AF6902" s="185">
        <f>SUMIFS($AD$37:$AD$12971,$V$37:$V$12971,$V6902,$X$37:$X$12971,AF$13)</f>
        <v>0</v>
      </c>
      <c r="AG6902" s="185">
        <f>SUMIFS($AD$37:$AD$12971,$V$37:$V$12971,$V6902,$X$37:$X$12971,AG$13)</f>
        <v>0</v>
      </c>
      <c r="AH6902" s="187">
        <f>SUMIFS($AD$37:$AD$12971,$V$37:$V$12971,$V6902,$X$37:$X$12971,AH$13)</f>
        <v>0</v>
      </c>
      <c r="AI6902" s="161">
        <f t="shared" ref="AI6902" si="4939">SUM(AE6902:AH6902)</f>
        <v>0</v>
      </c>
      <c r="AK6902" s="172"/>
    </row>
    <row r="6903" spans="1:41" s="102" customFormat="1" ht="19.899999999999999" customHeight="1" x14ac:dyDescent="0.25">
      <c r="A6903" s="45"/>
      <c r="B6903" s="59"/>
      <c r="C6903" s="137"/>
      <c r="D6903" s="59"/>
      <c r="E6903" s="116"/>
      <c r="F6903" s="120"/>
      <c r="G6903" s="120"/>
      <c r="H6903" s="120"/>
      <c r="I6903" s="60"/>
      <c r="J6903" s="116"/>
      <c r="K6903" s="213"/>
      <c r="L6903" s="120"/>
      <c r="M6903" s="120"/>
      <c r="N6903" s="167"/>
      <c r="O6903" s="120"/>
      <c r="P6903" s="120"/>
      <c r="Q6903" s="120"/>
      <c r="R6903" s="120"/>
      <c r="S6903" s="120"/>
      <c r="T6903" s="221"/>
      <c r="U6903" s="89"/>
      <c r="V6903" s="61"/>
      <c r="W6903" s="92" t="s">
        <v>160</v>
      </c>
      <c r="X6903" s="93" t="s">
        <v>29</v>
      </c>
      <c r="Y6903" s="93" t="s">
        <v>93</v>
      </c>
      <c r="Z6903" s="134">
        <f>VLOOKUP(W6903,Sheet2!$B:$D,3,FALSE)</f>
        <v>44</v>
      </c>
      <c r="AA6903" s="93">
        <v>20</v>
      </c>
      <c r="AB6903" s="93">
        <f>AD6903/AC6902</f>
        <v>2.2000000000000002</v>
      </c>
      <c r="AC6903" s="93">
        <f>AC6902/AA6903</f>
        <v>2.1825000000000001</v>
      </c>
      <c r="AD6903" s="94">
        <f t="shared" ref="AD6903:AD6904" si="4940">AC6903*Z6903</f>
        <v>96.03</v>
      </c>
      <c r="AE6903" s="190"/>
      <c r="AF6903" s="191"/>
      <c r="AG6903" s="191"/>
      <c r="AH6903" s="191"/>
      <c r="AI6903" s="186"/>
      <c r="AK6903" s="171"/>
    </row>
    <row r="6904" spans="1:41" s="102" customFormat="1" ht="19.899999999999999" customHeight="1" x14ac:dyDescent="0.25">
      <c r="A6904" s="45"/>
      <c r="B6904" s="59"/>
      <c r="C6904" s="137"/>
      <c r="D6904" s="59"/>
      <c r="E6904" s="116"/>
      <c r="F6904" s="120"/>
      <c r="G6904" s="120"/>
      <c r="H6904" s="120"/>
      <c r="I6904" s="60"/>
      <c r="J6904" s="116"/>
      <c r="K6904" s="213"/>
      <c r="L6904" s="120"/>
      <c r="M6904" s="120"/>
      <c r="N6904" s="167"/>
      <c r="O6904" s="120"/>
      <c r="P6904" s="120"/>
      <c r="Q6904" s="120"/>
      <c r="R6904" s="120"/>
      <c r="S6904" s="120"/>
      <c r="T6904" s="221"/>
      <c r="U6904" s="89"/>
      <c r="V6904" s="61"/>
      <c r="W6904" s="92" t="s">
        <v>65</v>
      </c>
      <c r="X6904" s="93" t="s">
        <v>30</v>
      </c>
      <c r="Y6904" s="93" t="s">
        <v>1011</v>
      </c>
      <c r="Z6904" s="134">
        <f>VLOOKUP(W6904,Sheet2!$B:$D,3,FALSE)</f>
        <v>1.76</v>
      </c>
      <c r="AA6904" s="93">
        <f>AA6903/10</f>
        <v>2</v>
      </c>
      <c r="AB6904" s="93">
        <f>AD6904/AC6902</f>
        <v>0.88</v>
      </c>
      <c r="AC6904" s="93">
        <f>AC6902/AA6904</f>
        <v>21.824999999999999</v>
      </c>
      <c r="AD6904" s="94">
        <f t="shared" si="4940"/>
        <v>38.411999999999999</v>
      </c>
      <c r="AE6904" s="190"/>
      <c r="AF6904" s="191"/>
      <c r="AG6904" s="191"/>
      <c r="AH6904" s="191"/>
      <c r="AI6904" s="186"/>
      <c r="AK6904" s="171"/>
    </row>
    <row r="6905" spans="1:41" s="102" customFormat="1" ht="19.899999999999999" customHeight="1" x14ac:dyDescent="0.25">
      <c r="A6905" s="45"/>
      <c r="B6905" s="59"/>
      <c r="C6905" s="137"/>
      <c r="D6905" s="59"/>
      <c r="E6905" s="116"/>
      <c r="F6905" s="120"/>
      <c r="G6905" s="120"/>
      <c r="H6905" s="120"/>
      <c r="I6905" s="60"/>
      <c r="J6905" s="116"/>
      <c r="K6905" s="213"/>
      <c r="L6905" s="120"/>
      <c r="M6905" s="120"/>
      <c r="N6905" s="167"/>
      <c r="O6905" s="120"/>
      <c r="P6905" s="120"/>
      <c r="Q6905" s="120"/>
      <c r="R6905" s="120"/>
      <c r="S6905" s="120"/>
      <c r="T6905" s="221"/>
      <c r="U6905" s="89"/>
      <c r="V6905" s="61"/>
      <c r="W6905" s="92" t="s">
        <v>148</v>
      </c>
      <c r="X6905" s="93" t="s">
        <v>29</v>
      </c>
      <c r="Y6905" s="93" t="s">
        <v>93</v>
      </c>
      <c r="Z6905" s="134">
        <f>VLOOKUP(W6905,Sheet2!$B:$D,3,FALSE)</f>
        <v>48</v>
      </c>
      <c r="AA6905" s="93">
        <v>100</v>
      </c>
      <c r="AB6905" s="93">
        <f>AD6905/AC6902</f>
        <v>0.48</v>
      </c>
      <c r="AC6905" s="93">
        <f>AC6902/AA6905</f>
        <v>0.4365</v>
      </c>
      <c r="AD6905" s="94">
        <f>AC6905*Z6905</f>
        <v>20.951999999999998</v>
      </c>
      <c r="AE6905" s="190"/>
      <c r="AF6905" s="191"/>
      <c r="AG6905" s="191"/>
      <c r="AH6905" s="191"/>
      <c r="AI6905" s="186"/>
      <c r="AK6905" s="171"/>
    </row>
    <row r="6906" spans="1:41" s="102" customFormat="1" ht="19.899999999999999" customHeight="1" x14ac:dyDescent="0.25">
      <c r="A6906" s="45"/>
      <c r="B6906" s="59"/>
      <c r="C6906" s="137"/>
      <c r="D6906" s="59"/>
      <c r="E6906" s="116"/>
      <c r="F6906" s="120"/>
      <c r="G6906" s="120"/>
      <c r="H6906" s="120"/>
      <c r="I6906" s="60"/>
      <c r="J6906" s="116"/>
      <c r="K6906" s="213"/>
      <c r="L6906" s="120"/>
      <c r="M6906" s="120"/>
      <c r="N6906" s="167"/>
      <c r="O6906" s="120"/>
      <c r="P6906" s="120"/>
      <c r="Q6906" s="120"/>
      <c r="R6906" s="120"/>
      <c r="S6906" s="120"/>
      <c r="T6906" s="221"/>
      <c r="U6906" s="89"/>
      <c r="V6906" s="61"/>
      <c r="W6906" s="92" t="s">
        <v>65</v>
      </c>
      <c r="X6906" s="93" t="s">
        <v>30</v>
      </c>
      <c r="Y6906" s="93" t="s">
        <v>1011</v>
      </c>
      <c r="Z6906" s="134">
        <f>VLOOKUP(W6906,Sheet2!$B:$D,3,FALSE)</f>
        <v>1.76</v>
      </c>
      <c r="AA6906" s="93">
        <f>AA6905/10</f>
        <v>10</v>
      </c>
      <c r="AB6906" s="93">
        <f>AD6906/AC6902</f>
        <v>0.17600000000000002</v>
      </c>
      <c r="AC6906" s="93">
        <f>AC6902/AA6906</f>
        <v>4.3650000000000002</v>
      </c>
      <c r="AD6906" s="94">
        <f t="shared" ref="AD6906:AD6908" si="4941">AC6906*Z6906</f>
        <v>7.6824000000000003</v>
      </c>
      <c r="AE6906" s="190"/>
      <c r="AF6906" s="191"/>
      <c r="AG6906" s="191"/>
      <c r="AH6906" s="191"/>
      <c r="AI6906" s="186"/>
      <c r="AK6906" s="171"/>
    </row>
    <row r="6907" spans="1:41" s="102" customFormat="1" ht="19.899999999999999" customHeight="1" x14ac:dyDescent="0.25">
      <c r="A6907" s="45"/>
      <c r="B6907" s="59"/>
      <c r="C6907" s="137"/>
      <c r="D6907" s="59"/>
      <c r="E6907" s="116"/>
      <c r="F6907" s="120"/>
      <c r="G6907" s="120"/>
      <c r="H6907" s="120"/>
      <c r="I6907" s="60"/>
      <c r="J6907" s="116"/>
      <c r="K6907" s="213"/>
      <c r="L6907" s="120"/>
      <c r="M6907" s="120"/>
      <c r="N6907" s="167"/>
      <c r="O6907" s="120"/>
      <c r="P6907" s="120"/>
      <c r="Q6907" s="120"/>
      <c r="R6907" s="120"/>
      <c r="S6907" s="120"/>
      <c r="T6907" s="221"/>
      <c r="U6907" s="89"/>
      <c r="V6907" s="61"/>
      <c r="W6907" s="92" t="s">
        <v>145</v>
      </c>
      <c r="X6907" s="93" t="s">
        <v>29</v>
      </c>
      <c r="Y6907" s="93" t="s">
        <v>93</v>
      </c>
      <c r="Z6907" s="134">
        <f>VLOOKUP(W6907,Sheet2!$B:$D,3,FALSE)</f>
        <v>40</v>
      </c>
      <c r="AA6907" s="93">
        <v>100</v>
      </c>
      <c r="AB6907" s="93">
        <f t="shared" ref="AB6907" si="4942">AD6907/AC6902</f>
        <v>0.4</v>
      </c>
      <c r="AC6907" s="93">
        <f>AC6902/AA6907</f>
        <v>0.4365</v>
      </c>
      <c r="AD6907" s="94">
        <f t="shared" si="4941"/>
        <v>17.46</v>
      </c>
      <c r="AE6907" s="190"/>
      <c r="AF6907" s="191"/>
      <c r="AG6907" s="191"/>
      <c r="AH6907" s="191"/>
      <c r="AI6907" s="186"/>
      <c r="AK6907" s="171"/>
    </row>
    <row r="6908" spans="1:41" s="102" customFormat="1" ht="19.899999999999999" customHeight="1" x14ac:dyDescent="0.25">
      <c r="A6908" s="45"/>
      <c r="B6908" s="59"/>
      <c r="C6908" s="137"/>
      <c r="D6908" s="59"/>
      <c r="E6908" s="116"/>
      <c r="F6908" s="120"/>
      <c r="G6908" s="120"/>
      <c r="H6908" s="120"/>
      <c r="I6908" s="60"/>
      <c r="J6908" s="116"/>
      <c r="K6908" s="213"/>
      <c r="L6908" s="120"/>
      <c r="M6908" s="120"/>
      <c r="N6908" s="167"/>
      <c r="O6908" s="120"/>
      <c r="P6908" s="120"/>
      <c r="Q6908" s="120"/>
      <c r="R6908" s="120"/>
      <c r="S6908" s="120"/>
      <c r="T6908" s="221"/>
      <c r="U6908" s="89"/>
      <c r="V6908" s="61"/>
      <c r="W6908" s="92" t="s">
        <v>65</v>
      </c>
      <c r="X6908" s="93" t="s">
        <v>30</v>
      </c>
      <c r="Y6908" s="93" t="s">
        <v>1011</v>
      </c>
      <c r="Z6908" s="134">
        <f>VLOOKUP(W6908,Sheet2!$B:$D,3,FALSE)</f>
        <v>1.76</v>
      </c>
      <c r="AA6908" s="93">
        <f>AA6907/14</f>
        <v>7.1428571428571432</v>
      </c>
      <c r="AB6908" s="93">
        <f>AD6908/AC6902</f>
        <v>0.24640000000000001</v>
      </c>
      <c r="AC6908" s="93">
        <f>AC6902/AA6908</f>
        <v>6.1109999999999998</v>
      </c>
      <c r="AD6908" s="94">
        <f t="shared" si="4941"/>
        <v>10.75536</v>
      </c>
      <c r="AE6908" s="190"/>
      <c r="AF6908" s="191"/>
      <c r="AG6908" s="191"/>
      <c r="AH6908" s="191"/>
      <c r="AI6908" s="186"/>
      <c r="AK6908" s="171"/>
    </row>
    <row r="6909" spans="1:41" s="103" customFormat="1" ht="19.899999999999999" customHeight="1" x14ac:dyDescent="0.25">
      <c r="A6909" s="51"/>
      <c r="B6909" s="52"/>
      <c r="C6909" s="165"/>
      <c r="D6909" s="52"/>
      <c r="E6909" s="115"/>
      <c r="F6909" s="58"/>
      <c r="G6909" s="58"/>
      <c r="H6909" s="58"/>
      <c r="I6909" s="55"/>
      <c r="J6909" s="113">
        <f>J6901</f>
        <v>43.65</v>
      </c>
      <c r="K6909" s="212">
        <f>K6901</f>
        <v>43.65</v>
      </c>
      <c r="L6909" s="58"/>
      <c r="M6909" s="58">
        <f>K6909-L6909</f>
        <v>43.65</v>
      </c>
      <c r="N6909" s="166"/>
      <c r="O6909" s="58"/>
      <c r="P6909" s="58"/>
      <c r="Q6909" s="58"/>
      <c r="R6909" s="58"/>
      <c r="S6909" s="58"/>
      <c r="T6909" s="220"/>
      <c r="U6909" s="88"/>
      <c r="V6909" s="56"/>
      <c r="W6909" s="57" t="s">
        <v>1612</v>
      </c>
      <c r="X6909" s="53"/>
      <c r="Y6909" s="91" t="s">
        <v>64</v>
      </c>
      <c r="Z6909" s="136">
        <f>AD6909/AC6909</f>
        <v>50</v>
      </c>
      <c r="AA6909" s="58"/>
      <c r="AB6909" s="53">
        <f>AD6909/AC6909</f>
        <v>50</v>
      </c>
      <c r="AC6909" s="53">
        <f>M6909+$AE$10</f>
        <v>43.65</v>
      </c>
      <c r="AD6909" s="54">
        <f>SUM(AD6910:AD6913)</f>
        <v>2182.5</v>
      </c>
      <c r="AE6909" s="184">
        <f>SUMIFS($AD$37:$AD$12971,$V$37:$V$12971,$V6909,$X$37:$X$12971,AE$13)</f>
        <v>0</v>
      </c>
      <c r="AF6909" s="185">
        <f>SUMIFS($AD$37:$AD$12971,$V$37:$V$12971,$V6909,$X$37:$X$12971,AF$13)</f>
        <v>0</v>
      </c>
      <c r="AG6909" s="185">
        <f>SUMIFS($AD$37:$AD$12971,$V$37:$V$12971,$V6909,$X$37:$X$12971,AG$13)</f>
        <v>0</v>
      </c>
      <c r="AH6909" s="187">
        <f>SUMIFS($AD$37:$AD$12971,$V$37:$V$12971,$V6909,$X$37:$X$12971,AH$13)</f>
        <v>0</v>
      </c>
      <c r="AI6909" s="161">
        <f t="shared" ref="AI6909" si="4943">SUM(AE6909:AH6909)</f>
        <v>0</v>
      </c>
      <c r="AK6909" s="172"/>
    </row>
    <row r="6910" spans="1:41" s="102" customFormat="1" ht="19.899999999999999" customHeight="1" x14ac:dyDescent="0.25">
      <c r="A6910" s="45"/>
      <c r="B6910" s="59"/>
      <c r="C6910" s="137"/>
      <c r="D6910" s="59"/>
      <c r="E6910" s="116"/>
      <c r="F6910" s="120"/>
      <c r="G6910" s="120"/>
      <c r="H6910" s="120"/>
      <c r="I6910" s="60"/>
      <c r="J6910" s="116"/>
      <c r="K6910" s="213"/>
      <c r="L6910" s="120"/>
      <c r="M6910" s="120"/>
      <c r="N6910" s="167"/>
      <c r="O6910" s="120"/>
      <c r="P6910" s="120"/>
      <c r="Q6910" s="120"/>
      <c r="R6910" s="120"/>
      <c r="S6910" s="120"/>
      <c r="T6910" s="221"/>
      <c r="U6910" s="89"/>
      <c r="V6910" s="61"/>
      <c r="W6910" s="92" t="s">
        <v>103</v>
      </c>
      <c r="X6910" s="93" t="s">
        <v>29</v>
      </c>
      <c r="Y6910" s="93" t="s">
        <v>64</v>
      </c>
      <c r="Z6910" s="134">
        <f>VLOOKUP(W6910,Sheet2!$B:$D,3,FALSE)</f>
        <v>2</v>
      </c>
      <c r="AA6910" s="93">
        <v>1</v>
      </c>
      <c r="AB6910" s="93">
        <f>AD6910/AC6909</f>
        <v>2</v>
      </c>
      <c r="AC6910" s="93">
        <f>AC6909/AA6910</f>
        <v>43.65</v>
      </c>
      <c r="AD6910" s="94">
        <f t="shared" ref="AD6910:AD6911" si="4944">AC6910*Z6910</f>
        <v>87.3</v>
      </c>
      <c r="AE6910" s="190"/>
      <c r="AF6910" s="191"/>
      <c r="AG6910" s="191"/>
      <c r="AH6910" s="191"/>
      <c r="AI6910" s="186"/>
      <c r="AK6910" s="171"/>
    </row>
    <row r="6911" spans="1:41" s="102" customFormat="1" ht="19.899999999999999" customHeight="1" x14ac:dyDescent="0.25">
      <c r="A6911" s="45"/>
      <c r="B6911" s="59"/>
      <c r="C6911" s="137"/>
      <c r="D6911" s="59"/>
      <c r="E6911" s="116"/>
      <c r="F6911" s="120"/>
      <c r="G6911" s="120"/>
      <c r="H6911" s="120"/>
      <c r="I6911" s="60"/>
      <c r="J6911" s="116"/>
      <c r="K6911" s="213"/>
      <c r="L6911" s="120"/>
      <c r="M6911" s="120"/>
      <c r="N6911" s="167"/>
      <c r="O6911" s="120"/>
      <c r="P6911" s="120"/>
      <c r="Q6911" s="120"/>
      <c r="R6911" s="120"/>
      <c r="S6911" s="120"/>
      <c r="T6911" s="221"/>
      <c r="U6911" s="89"/>
      <c r="V6911" s="61"/>
      <c r="W6911" s="92" t="s">
        <v>1611</v>
      </c>
      <c r="X6911" s="93" t="s">
        <v>30</v>
      </c>
      <c r="Y6911" s="93" t="s">
        <v>66</v>
      </c>
      <c r="Z6911" s="134">
        <f>VLOOKUP(W6911,Sheet2!$B:$D,3,FALSE)</f>
        <v>30</v>
      </c>
      <c r="AA6911" s="93">
        <v>10</v>
      </c>
      <c r="AB6911" s="93">
        <f>AD6911/AC6909</f>
        <v>3.0000000000000004</v>
      </c>
      <c r="AC6911" s="93">
        <f>AC6909/AA6911</f>
        <v>4.3650000000000002</v>
      </c>
      <c r="AD6911" s="94">
        <f t="shared" si="4944"/>
        <v>130.95000000000002</v>
      </c>
      <c r="AE6911" s="190"/>
      <c r="AF6911" s="191"/>
      <c r="AG6911" s="191"/>
      <c r="AH6911" s="191"/>
      <c r="AI6911" s="186"/>
      <c r="AK6911" s="171"/>
    </row>
    <row r="6912" spans="1:41" s="102" customFormat="1" ht="19.899999999999999" customHeight="1" x14ac:dyDescent="0.25">
      <c r="A6912" s="45"/>
      <c r="B6912" s="59"/>
      <c r="C6912" s="137"/>
      <c r="D6912" s="59"/>
      <c r="E6912" s="116"/>
      <c r="F6912" s="120"/>
      <c r="G6912" s="120"/>
      <c r="H6912" s="120"/>
      <c r="I6912" s="60"/>
      <c r="J6912" s="116"/>
      <c r="K6912" s="213"/>
      <c r="L6912" s="120"/>
      <c r="M6912" s="120"/>
      <c r="N6912" s="167"/>
      <c r="O6912" s="120"/>
      <c r="P6912" s="120"/>
      <c r="Q6912" s="120"/>
      <c r="R6912" s="120"/>
      <c r="S6912" s="120"/>
      <c r="T6912" s="221"/>
      <c r="U6912" s="89"/>
      <c r="V6912" s="61"/>
      <c r="W6912" s="92" t="s">
        <v>1609</v>
      </c>
      <c r="X6912" s="93" t="s">
        <v>30</v>
      </c>
      <c r="Y6912" s="93" t="s">
        <v>64</v>
      </c>
      <c r="Z6912" s="134">
        <f>VLOOKUP(W6912,Sheet2!$B:$D,3,FALSE)</f>
        <v>25</v>
      </c>
      <c r="AA6912" s="93">
        <v>1</v>
      </c>
      <c r="AB6912" s="93">
        <f>AD6912/AC6909</f>
        <v>25</v>
      </c>
      <c r="AC6912" s="93">
        <f>AC6909/AA6912</f>
        <v>43.65</v>
      </c>
      <c r="AD6912" s="94">
        <f>AC6912*Z6912</f>
        <v>1091.25</v>
      </c>
      <c r="AE6912" s="190"/>
      <c r="AF6912" s="191"/>
      <c r="AG6912" s="191"/>
      <c r="AH6912" s="191"/>
      <c r="AI6912" s="186"/>
      <c r="AK6912" s="171"/>
    </row>
    <row r="6913" spans="1:41" s="102" customFormat="1" ht="19.899999999999999" customHeight="1" x14ac:dyDescent="0.25">
      <c r="A6913" s="45"/>
      <c r="B6913" s="59"/>
      <c r="C6913" s="137"/>
      <c r="D6913" s="59"/>
      <c r="E6913" s="116"/>
      <c r="F6913" s="120"/>
      <c r="G6913" s="120"/>
      <c r="H6913" s="120"/>
      <c r="I6913" s="60"/>
      <c r="J6913" s="116"/>
      <c r="K6913" s="213"/>
      <c r="L6913" s="120"/>
      <c r="M6913" s="120"/>
      <c r="N6913" s="167"/>
      <c r="O6913" s="120"/>
      <c r="P6913" s="120"/>
      <c r="Q6913" s="120"/>
      <c r="R6913" s="120"/>
      <c r="S6913" s="120"/>
      <c r="T6913" s="221"/>
      <c r="U6913" s="89"/>
      <c r="V6913" s="61"/>
      <c r="W6913" s="92" t="s">
        <v>1610</v>
      </c>
      <c r="X6913" s="93" t="s">
        <v>32</v>
      </c>
      <c r="Y6913" s="93" t="s">
        <v>64</v>
      </c>
      <c r="Z6913" s="134">
        <f>VLOOKUP(W6913,Sheet2!$B:$D,3,FALSE)</f>
        <v>20</v>
      </c>
      <c r="AA6913" s="93">
        <v>1</v>
      </c>
      <c r="AB6913" s="93">
        <f>AD6913/AC6909</f>
        <v>20</v>
      </c>
      <c r="AC6913" s="93">
        <f>AC6909/AA6913</f>
        <v>43.65</v>
      </c>
      <c r="AD6913" s="94">
        <f>AC6913*Z6913</f>
        <v>873</v>
      </c>
      <c r="AE6913" s="190"/>
      <c r="AF6913" s="191"/>
      <c r="AG6913" s="191"/>
      <c r="AH6913" s="191"/>
      <c r="AI6913" s="186"/>
      <c r="AK6913" s="171"/>
    </row>
    <row r="6914" spans="1:41" s="102" customFormat="1" ht="20.100000000000001" customHeight="1" x14ac:dyDescent="0.25">
      <c r="A6914" s="45" t="s">
        <v>491</v>
      </c>
      <c r="B6914" s="276"/>
      <c r="C6914" s="285" t="s">
        <v>676</v>
      </c>
      <c r="D6914" s="59"/>
      <c r="E6914" s="116"/>
      <c r="F6914" s="120"/>
      <c r="G6914" s="120">
        <f t="shared" si="4575"/>
        <v>0</v>
      </c>
      <c r="H6914" s="120">
        <f t="shared" si="4576"/>
        <v>0</v>
      </c>
      <c r="I6914" s="60">
        <f t="shared" si="4577"/>
        <v>0</v>
      </c>
      <c r="J6914" s="116">
        <f t="shared" si="4578"/>
        <v>0</v>
      </c>
      <c r="K6914" s="213">
        <f t="shared" si="4579"/>
        <v>0</v>
      </c>
      <c r="L6914" s="120"/>
      <c r="M6914" s="120">
        <f t="shared" si="4580"/>
        <v>0</v>
      </c>
      <c r="N6914" s="167">
        <f t="shared" si="4581"/>
        <v>0</v>
      </c>
      <c r="O6914" s="120">
        <f t="shared" si="4582"/>
        <v>0</v>
      </c>
      <c r="P6914" s="120">
        <f t="shared" si="4583"/>
        <v>0</v>
      </c>
      <c r="Q6914" s="120">
        <f t="shared" si="4584"/>
        <v>0</v>
      </c>
      <c r="R6914" s="120">
        <f t="shared" si="4585"/>
        <v>0</v>
      </c>
      <c r="S6914" s="120"/>
      <c r="T6914" s="221">
        <f t="shared" si="4586"/>
        <v>0</v>
      </c>
      <c r="U6914" s="89"/>
      <c r="V6914" s="61"/>
      <c r="W6914" s="92"/>
      <c r="X6914" s="38"/>
      <c r="Y6914" s="93"/>
      <c r="Z6914" s="134"/>
      <c r="AA6914" s="93"/>
      <c r="AB6914" s="93"/>
      <c r="AC6914" s="93"/>
      <c r="AD6914" s="94"/>
      <c r="AE6914" s="190"/>
      <c r="AF6914" s="191"/>
      <c r="AG6914" s="191"/>
      <c r="AH6914" s="191"/>
      <c r="AI6914" s="186"/>
      <c r="AK6914" s="171"/>
    </row>
    <row r="6915" spans="1:41" s="102" customFormat="1" ht="94.5" x14ac:dyDescent="0.25">
      <c r="A6915" s="45" t="s">
        <v>491</v>
      </c>
      <c r="B6915" s="276"/>
      <c r="C6915" s="285" t="s">
        <v>677</v>
      </c>
      <c r="D6915" s="59"/>
      <c r="E6915" s="116"/>
      <c r="F6915" s="120"/>
      <c r="G6915" s="120">
        <f t="shared" si="4575"/>
        <v>0</v>
      </c>
      <c r="H6915" s="120">
        <f t="shared" si="4576"/>
        <v>0</v>
      </c>
      <c r="I6915" s="60">
        <f t="shared" si="4577"/>
        <v>0</v>
      </c>
      <c r="J6915" s="116">
        <f t="shared" si="4578"/>
        <v>0</v>
      </c>
      <c r="K6915" s="213">
        <f t="shared" si="4579"/>
        <v>0</v>
      </c>
      <c r="L6915" s="120"/>
      <c r="M6915" s="120">
        <f t="shared" si="4580"/>
        <v>0</v>
      </c>
      <c r="N6915" s="167">
        <f t="shared" si="4581"/>
        <v>0</v>
      </c>
      <c r="O6915" s="120">
        <f t="shared" si="4582"/>
        <v>0</v>
      </c>
      <c r="P6915" s="120">
        <f t="shared" si="4583"/>
        <v>0</v>
      </c>
      <c r="Q6915" s="120">
        <f t="shared" si="4584"/>
        <v>0</v>
      </c>
      <c r="R6915" s="120">
        <f t="shared" si="4585"/>
        <v>0</v>
      </c>
      <c r="S6915" s="120"/>
      <c r="T6915" s="221">
        <f t="shared" si="4586"/>
        <v>0</v>
      </c>
      <c r="U6915" s="89"/>
      <c r="V6915" s="61"/>
      <c r="W6915" s="92"/>
      <c r="X6915" s="38"/>
      <c r="Y6915" s="93"/>
      <c r="Z6915" s="134"/>
      <c r="AA6915" s="93"/>
      <c r="AB6915" s="93"/>
      <c r="AC6915" s="93"/>
      <c r="AD6915" s="94"/>
      <c r="AE6915" s="190"/>
      <c r="AF6915" s="191"/>
      <c r="AG6915" s="191"/>
      <c r="AH6915" s="191"/>
      <c r="AI6915" s="186"/>
      <c r="AK6915" s="171"/>
    </row>
    <row r="6916" spans="1:41" ht="25.5" x14ac:dyDescent="0.25">
      <c r="A6916" s="277" t="s">
        <v>491</v>
      </c>
      <c r="B6916" s="278"/>
      <c r="C6916" s="64" t="s">
        <v>678</v>
      </c>
      <c r="D6916" s="46" t="s">
        <v>97</v>
      </c>
      <c r="E6916" s="114">
        <v>120</v>
      </c>
      <c r="F6916" s="44">
        <v>298</v>
      </c>
      <c r="G6916" s="44">
        <f t="shared" si="4575"/>
        <v>35760</v>
      </c>
      <c r="H6916" s="44">
        <f t="shared" si="4576"/>
        <v>70.493750000000006</v>
      </c>
      <c r="I6916" s="43">
        <f t="shared" si="4577"/>
        <v>8459.25</v>
      </c>
      <c r="J6916" s="112">
        <f t="shared" si="4578"/>
        <v>120</v>
      </c>
      <c r="K6916" s="211">
        <f t="shared" si="4579"/>
        <v>120</v>
      </c>
      <c r="L6916" s="44"/>
      <c r="M6916" s="44">
        <f t="shared" si="4580"/>
        <v>120</v>
      </c>
      <c r="N6916" s="173">
        <f t="shared" si="4581"/>
        <v>1</v>
      </c>
      <c r="O6916" s="44">
        <f t="shared" si="4582"/>
        <v>298</v>
      </c>
      <c r="P6916" s="44">
        <f t="shared" si="4583"/>
        <v>35760</v>
      </c>
      <c r="Q6916" s="44">
        <f t="shared" si="4584"/>
        <v>70.493750000000006</v>
      </c>
      <c r="R6916" s="44">
        <f t="shared" si="4585"/>
        <v>8459.25</v>
      </c>
      <c r="S6916" s="123"/>
      <c r="T6916" s="219">
        <f t="shared" si="4586"/>
        <v>8459.25</v>
      </c>
      <c r="U6916" s="87"/>
      <c r="V6916" s="47"/>
      <c r="W6916" s="48"/>
      <c r="X6916" s="48"/>
      <c r="Y6916" s="48"/>
      <c r="Z6916" s="135"/>
      <c r="AA6916" s="49"/>
      <c r="AB6916" s="50">
        <f t="shared" si="4587"/>
        <v>70.493750000000006</v>
      </c>
      <c r="AC6916" s="42">
        <f t="shared" si="4588"/>
        <v>120</v>
      </c>
      <c r="AD6916" s="90">
        <f>AD6917+AD6920+AD6922</f>
        <v>8459.25</v>
      </c>
      <c r="AE6916" s="188">
        <f t="shared" ref="AE6916:AH6916" si="4945">AE6917+AE6920+AE6922</f>
        <v>0</v>
      </c>
      <c r="AF6916" s="189">
        <f t="shared" si="4945"/>
        <v>0</v>
      </c>
      <c r="AG6916" s="189">
        <f t="shared" si="4945"/>
        <v>0</v>
      </c>
      <c r="AH6916" s="189">
        <f t="shared" si="4945"/>
        <v>0</v>
      </c>
      <c r="AI6916" s="161">
        <f t="shared" ref="AI6916:AI6917" si="4946">SUM(AE6916:AH6916)</f>
        <v>0</v>
      </c>
      <c r="AK6916" s="169">
        <v>5</v>
      </c>
      <c r="AO6916" s="19" t="s">
        <v>63</v>
      </c>
    </row>
    <row r="6917" spans="1:41" s="103" customFormat="1" ht="19.899999999999999" customHeight="1" x14ac:dyDescent="0.25">
      <c r="A6917" s="51"/>
      <c r="B6917" s="52"/>
      <c r="C6917" s="165"/>
      <c r="D6917" s="52"/>
      <c r="E6917" s="115"/>
      <c r="F6917" s="58"/>
      <c r="G6917" s="58"/>
      <c r="H6917" s="58"/>
      <c r="I6917" s="55"/>
      <c r="J6917" s="113">
        <f>J6916</f>
        <v>120</v>
      </c>
      <c r="K6917" s="212">
        <f>K6916</f>
        <v>120</v>
      </c>
      <c r="L6917" s="58"/>
      <c r="M6917" s="58">
        <f>K6917-L6917</f>
        <v>120</v>
      </c>
      <c r="N6917" s="166"/>
      <c r="O6917" s="58"/>
      <c r="P6917" s="58"/>
      <c r="Q6917" s="58"/>
      <c r="R6917" s="58"/>
      <c r="S6917" s="58"/>
      <c r="T6917" s="220"/>
      <c r="U6917" s="88"/>
      <c r="V6917" s="56"/>
      <c r="W6917" s="57" t="s">
        <v>1613</v>
      </c>
      <c r="X6917" s="53"/>
      <c r="Y6917" s="91" t="s">
        <v>68</v>
      </c>
      <c r="Z6917" s="136">
        <f>AD6917/AC6917</f>
        <v>3.3</v>
      </c>
      <c r="AA6917" s="58"/>
      <c r="AB6917" s="53">
        <f>AD6917/AC6917</f>
        <v>3.3</v>
      </c>
      <c r="AC6917" s="53">
        <f>M6917+$AE$10</f>
        <v>120</v>
      </c>
      <c r="AD6917" s="54">
        <f>SUM(AD6918:AD6919)</f>
        <v>396</v>
      </c>
      <c r="AE6917" s="184">
        <f>SUMIFS($AD$37:$AD$12971,$V$37:$V$12971,$V6917,$X$37:$X$12971,AE$13)</f>
        <v>0</v>
      </c>
      <c r="AF6917" s="185">
        <f>SUMIFS($AD$37:$AD$12971,$V$37:$V$12971,$V6917,$X$37:$X$12971,AF$13)</f>
        <v>0</v>
      </c>
      <c r="AG6917" s="185">
        <f>SUMIFS($AD$37:$AD$12971,$V$37:$V$12971,$V6917,$X$37:$X$12971,AG$13)</f>
        <v>0</v>
      </c>
      <c r="AH6917" s="187">
        <f>SUMIFS($AD$37:$AD$12971,$V$37:$V$12971,$V6917,$X$37:$X$12971,AH$13)</f>
        <v>0</v>
      </c>
      <c r="AI6917" s="161">
        <f t="shared" si="4946"/>
        <v>0</v>
      </c>
      <c r="AK6917" s="172"/>
    </row>
    <row r="6918" spans="1:41" s="102" customFormat="1" ht="19.899999999999999" customHeight="1" x14ac:dyDescent="0.25">
      <c r="A6918" s="45"/>
      <c r="B6918" s="59"/>
      <c r="C6918" s="137"/>
      <c r="D6918" s="59"/>
      <c r="E6918" s="116"/>
      <c r="F6918" s="120"/>
      <c r="G6918" s="120"/>
      <c r="H6918" s="120"/>
      <c r="I6918" s="60"/>
      <c r="J6918" s="116"/>
      <c r="K6918" s="213"/>
      <c r="L6918" s="120"/>
      <c r="M6918" s="120"/>
      <c r="N6918" s="167"/>
      <c r="O6918" s="120"/>
      <c r="P6918" s="120"/>
      <c r="Q6918" s="120"/>
      <c r="R6918" s="120"/>
      <c r="S6918" s="120"/>
      <c r="T6918" s="221"/>
      <c r="U6918" s="89"/>
      <c r="V6918" s="61"/>
      <c r="W6918" s="92" t="s">
        <v>1614</v>
      </c>
      <c r="X6918" s="93" t="s">
        <v>29</v>
      </c>
      <c r="Y6918" s="93" t="s">
        <v>93</v>
      </c>
      <c r="Z6918" s="134">
        <f>VLOOKUP(W6918,Sheet2!$B:$D,3,FALSE)</f>
        <v>40</v>
      </c>
      <c r="AA6918" s="93">
        <v>20</v>
      </c>
      <c r="AB6918" s="93">
        <f>AD6918/AC6917</f>
        <v>2</v>
      </c>
      <c r="AC6918" s="93">
        <f>AC6917/AA6918</f>
        <v>6</v>
      </c>
      <c r="AD6918" s="94">
        <f t="shared" ref="AD6918:AD6919" si="4947">AC6918*Z6918</f>
        <v>240</v>
      </c>
      <c r="AE6918" s="190"/>
      <c r="AF6918" s="191"/>
      <c r="AG6918" s="191"/>
      <c r="AH6918" s="191"/>
      <c r="AI6918" s="186"/>
      <c r="AK6918" s="171"/>
    </row>
    <row r="6919" spans="1:41" s="102" customFormat="1" ht="19.899999999999999" customHeight="1" x14ac:dyDescent="0.25">
      <c r="A6919" s="45"/>
      <c r="B6919" s="59"/>
      <c r="C6919" s="137"/>
      <c r="D6919" s="59"/>
      <c r="E6919" s="116"/>
      <c r="F6919" s="120"/>
      <c r="G6919" s="120"/>
      <c r="H6919" s="120"/>
      <c r="I6919" s="60"/>
      <c r="J6919" s="116"/>
      <c r="K6919" s="213"/>
      <c r="L6919" s="120"/>
      <c r="M6919" s="120"/>
      <c r="N6919" s="167"/>
      <c r="O6919" s="120"/>
      <c r="P6919" s="120"/>
      <c r="Q6919" s="120"/>
      <c r="R6919" s="120"/>
      <c r="S6919" s="120"/>
      <c r="T6919" s="221"/>
      <c r="U6919" s="89"/>
      <c r="V6919" s="61"/>
      <c r="W6919" s="92" t="s">
        <v>112</v>
      </c>
      <c r="X6919" s="93" t="s">
        <v>31</v>
      </c>
      <c r="Y6919" s="93" t="s">
        <v>93</v>
      </c>
      <c r="Z6919" s="134">
        <f>VLOOKUP(W6919,Sheet2!$B:$D,3,FALSE)</f>
        <v>13</v>
      </c>
      <c r="AA6919" s="93">
        <v>10</v>
      </c>
      <c r="AB6919" s="93">
        <f>AD6919/AC6917</f>
        <v>1.3</v>
      </c>
      <c r="AC6919" s="93">
        <f>AC6917/AA6919</f>
        <v>12</v>
      </c>
      <c r="AD6919" s="94">
        <f t="shared" si="4947"/>
        <v>156</v>
      </c>
      <c r="AE6919" s="190"/>
      <c r="AF6919" s="191"/>
      <c r="AG6919" s="191"/>
      <c r="AH6919" s="191"/>
      <c r="AI6919" s="186"/>
      <c r="AK6919" s="171"/>
    </row>
    <row r="6920" spans="1:41" s="103" customFormat="1" ht="19.899999999999999" customHeight="1" x14ac:dyDescent="0.25">
      <c r="A6920" s="51"/>
      <c r="B6920" s="52"/>
      <c r="C6920" s="165"/>
      <c r="D6920" s="52"/>
      <c r="E6920" s="115"/>
      <c r="F6920" s="58"/>
      <c r="G6920" s="58"/>
      <c r="H6920" s="58"/>
      <c r="I6920" s="55"/>
      <c r="J6920" s="113">
        <f>J6916</f>
        <v>120</v>
      </c>
      <c r="K6920" s="212">
        <v>45</v>
      </c>
      <c r="L6920" s="58"/>
      <c r="M6920" s="58">
        <f>K6920-L6920</f>
        <v>45</v>
      </c>
      <c r="N6920" s="166"/>
      <c r="O6920" s="58"/>
      <c r="P6920" s="58"/>
      <c r="Q6920" s="58"/>
      <c r="R6920" s="58"/>
      <c r="S6920" s="58"/>
      <c r="T6920" s="220"/>
      <c r="U6920" s="88"/>
      <c r="V6920" s="56"/>
      <c r="W6920" s="57" t="s">
        <v>1615</v>
      </c>
      <c r="X6920" s="53"/>
      <c r="Y6920" s="91" t="s">
        <v>68</v>
      </c>
      <c r="Z6920" s="136">
        <f>AD6920/AC6920</f>
        <v>8.3333333333333339</v>
      </c>
      <c r="AA6920" s="58"/>
      <c r="AB6920" s="53">
        <f>AD6920/AC6920</f>
        <v>8.3333333333333339</v>
      </c>
      <c r="AC6920" s="53">
        <f>M6920+$AE$10</f>
        <v>45</v>
      </c>
      <c r="AD6920" s="54">
        <f>SUM(AD6921)</f>
        <v>375</v>
      </c>
      <c r="AE6920" s="184">
        <f>SUMIFS($AD$37:$AD$12971,$V$37:$V$12971,$V6920,$X$37:$X$12971,AE$13)</f>
        <v>0</v>
      </c>
      <c r="AF6920" s="185">
        <f>SUMIFS($AD$37:$AD$12971,$V$37:$V$12971,$V6920,$X$37:$X$12971,AF$13)</f>
        <v>0</v>
      </c>
      <c r="AG6920" s="185">
        <f>SUMIFS($AD$37:$AD$12971,$V$37:$V$12971,$V6920,$X$37:$X$12971,AG$13)</f>
        <v>0</v>
      </c>
      <c r="AH6920" s="187">
        <f>SUMIFS($AD$37:$AD$12971,$V$37:$V$12971,$V6920,$X$37:$X$12971,AH$13)</f>
        <v>0</v>
      </c>
      <c r="AI6920" s="161">
        <f t="shared" ref="AI6920" si="4948">SUM(AE6920:AH6920)</f>
        <v>0</v>
      </c>
      <c r="AK6920" s="172"/>
    </row>
    <row r="6921" spans="1:41" s="102" customFormat="1" ht="19.899999999999999" customHeight="1" x14ac:dyDescent="0.25">
      <c r="A6921" s="45"/>
      <c r="B6921" s="59"/>
      <c r="C6921" s="137"/>
      <c r="D6921" s="59"/>
      <c r="E6921" s="116"/>
      <c r="F6921" s="120"/>
      <c r="G6921" s="120"/>
      <c r="H6921" s="120"/>
      <c r="I6921" s="60"/>
      <c r="J6921" s="116"/>
      <c r="K6921" s="213"/>
      <c r="L6921" s="120"/>
      <c r="M6921" s="120"/>
      <c r="N6921" s="167"/>
      <c r="O6921" s="120"/>
      <c r="P6921" s="120"/>
      <c r="Q6921" s="120"/>
      <c r="R6921" s="120"/>
      <c r="S6921" s="120"/>
      <c r="T6921" s="221"/>
      <c r="U6921" s="89"/>
      <c r="V6921" s="61"/>
      <c r="W6921" s="92" t="s">
        <v>1032</v>
      </c>
      <c r="X6921" s="93" t="s">
        <v>30</v>
      </c>
      <c r="Y6921" s="93" t="s">
        <v>66</v>
      </c>
      <c r="Z6921" s="134">
        <f>VLOOKUP(W6921,Sheet2!$B:$D,3,FALSE)</f>
        <v>250</v>
      </c>
      <c r="AA6921" s="93">
        <v>30</v>
      </c>
      <c r="AB6921" s="93">
        <f>AD6921/AC6920</f>
        <v>8.3333333333333339</v>
      </c>
      <c r="AC6921" s="93">
        <f>AC6920/AA6921</f>
        <v>1.5</v>
      </c>
      <c r="AD6921" s="94">
        <f t="shared" ref="AD6921" si="4949">AC6921*Z6921</f>
        <v>375</v>
      </c>
      <c r="AE6921" s="190"/>
      <c r="AF6921" s="191"/>
      <c r="AG6921" s="191"/>
      <c r="AH6921" s="191"/>
      <c r="AI6921" s="186"/>
      <c r="AK6921" s="171"/>
    </row>
    <row r="6922" spans="1:41" s="103" customFormat="1" ht="19.899999999999999" customHeight="1" x14ac:dyDescent="0.25">
      <c r="A6922" s="51"/>
      <c r="B6922" s="52"/>
      <c r="C6922" s="165"/>
      <c r="D6922" s="52"/>
      <c r="E6922" s="115"/>
      <c r="F6922" s="58"/>
      <c r="G6922" s="58"/>
      <c r="H6922" s="58"/>
      <c r="I6922" s="55"/>
      <c r="J6922" s="113">
        <f>J6916</f>
        <v>120</v>
      </c>
      <c r="K6922" s="212">
        <v>45</v>
      </c>
      <c r="L6922" s="58"/>
      <c r="M6922" s="58">
        <f>K6922-L6922</f>
        <v>45</v>
      </c>
      <c r="N6922" s="166"/>
      <c r="O6922" s="58"/>
      <c r="P6922" s="58"/>
      <c r="Q6922" s="58"/>
      <c r="R6922" s="58"/>
      <c r="S6922" s="58"/>
      <c r="T6922" s="220"/>
      <c r="U6922" s="88"/>
      <c r="V6922" s="56"/>
      <c r="W6922" s="57" t="s">
        <v>1616</v>
      </c>
      <c r="X6922" s="53"/>
      <c r="Y6922" s="91" t="s">
        <v>68</v>
      </c>
      <c r="Z6922" s="136">
        <f>AD6922/AC6922</f>
        <v>170.85</v>
      </c>
      <c r="AA6922" s="58"/>
      <c r="AB6922" s="53">
        <f>AD6922/AC6922</f>
        <v>170.85</v>
      </c>
      <c r="AC6922" s="53">
        <f>M6922+$AE$10</f>
        <v>45</v>
      </c>
      <c r="AD6922" s="54">
        <f>SUM(AD6923:AD6925)</f>
        <v>7688.25</v>
      </c>
      <c r="AE6922" s="184">
        <f>SUMIFS($AD$37:$AD$12971,$V$37:$V$12971,$V6922,$X$37:$X$12971,AE$13)</f>
        <v>0</v>
      </c>
      <c r="AF6922" s="185">
        <f>SUMIFS($AD$37:$AD$12971,$V$37:$V$12971,$V6922,$X$37:$X$12971,AF$13)</f>
        <v>0</v>
      </c>
      <c r="AG6922" s="185">
        <f>SUMIFS($AD$37:$AD$12971,$V$37:$V$12971,$V6922,$X$37:$X$12971,AG$13)</f>
        <v>0</v>
      </c>
      <c r="AH6922" s="187">
        <f>SUMIFS($AD$37:$AD$12971,$V$37:$V$12971,$V6922,$X$37:$X$12971,AH$13)</f>
        <v>0</v>
      </c>
      <c r="AI6922" s="161">
        <f t="shared" ref="AI6922" si="4950">SUM(AE6922:AH6922)</f>
        <v>0</v>
      </c>
      <c r="AK6922" s="172"/>
    </row>
    <row r="6923" spans="1:41" s="102" customFormat="1" ht="19.899999999999999" customHeight="1" x14ac:dyDescent="0.25">
      <c r="A6923" s="45"/>
      <c r="B6923" s="59"/>
      <c r="C6923" s="137"/>
      <c r="D6923" s="59"/>
      <c r="E6923" s="116"/>
      <c r="F6923" s="120"/>
      <c r="G6923" s="120"/>
      <c r="H6923" s="120"/>
      <c r="I6923" s="60"/>
      <c r="J6923" s="116"/>
      <c r="K6923" s="213"/>
      <c r="L6923" s="120"/>
      <c r="M6923" s="120"/>
      <c r="N6923" s="167"/>
      <c r="O6923" s="120"/>
      <c r="P6923" s="120"/>
      <c r="Q6923" s="120"/>
      <c r="R6923" s="120"/>
      <c r="S6923" s="120"/>
      <c r="T6923" s="221"/>
      <c r="U6923" s="89"/>
      <c r="V6923" s="61"/>
      <c r="W6923" s="92" t="s">
        <v>1617</v>
      </c>
      <c r="X6923" s="93" t="s">
        <v>30</v>
      </c>
      <c r="Y6923" s="93" t="s">
        <v>68</v>
      </c>
      <c r="Z6923" s="134">
        <f>VLOOKUP(W6923,Sheet2!$B:$D,3,FALSE)</f>
        <v>150</v>
      </c>
      <c r="AA6923" s="93">
        <v>1</v>
      </c>
      <c r="AB6923" s="93">
        <f>AD6923/AC6922</f>
        <v>150</v>
      </c>
      <c r="AC6923" s="93">
        <f>AC6922/AA6923</f>
        <v>45</v>
      </c>
      <c r="AD6923" s="94">
        <f t="shared" ref="AD6923:AD6924" si="4951">AC6923*Z6923</f>
        <v>6750</v>
      </c>
      <c r="AE6923" s="190"/>
      <c r="AF6923" s="191"/>
      <c r="AG6923" s="191"/>
      <c r="AH6923" s="191"/>
      <c r="AI6923" s="186"/>
      <c r="AK6923" s="171"/>
    </row>
    <row r="6924" spans="1:41" s="102" customFormat="1" ht="19.899999999999999" customHeight="1" x14ac:dyDescent="0.25">
      <c r="A6924" s="45"/>
      <c r="B6924" s="59"/>
      <c r="C6924" s="137"/>
      <c r="D6924" s="59"/>
      <c r="E6924" s="116"/>
      <c r="F6924" s="120"/>
      <c r="G6924" s="120"/>
      <c r="H6924" s="120"/>
      <c r="I6924" s="60"/>
      <c r="J6924" s="116"/>
      <c r="K6924" s="213"/>
      <c r="L6924" s="120"/>
      <c r="M6924" s="120"/>
      <c r="N6924" s="167"/>
      <c r="O6924" s="120"/>
      <c r="P6924" s="120"/>
      <c r="Q6924" s="120"/>
      <c r="R6924" s="120"/>
      <c r="S6924" s="120"/>
      <c r="T6924" s="221"/>
      <c r="U6924" s="89"/>
      <c r="V6924" s="61"/>
      <c r="W6924" s="92" t="s">
        <v>1618</v>
      </c>
      <c r="X6924" s="93" t="s">
        <v>30</v>
      </c>
      <c r="Y6924" s="93" t="s">
        <v>68</v>
      </c>
      <c r="Z6924" s="134">
        <f>VLOOKUP(W6924,Sheet2!$B:$D,3,FALSE)</f>
        <v>20</v>
      </c>
      <c r="AA6924" s="93">
        <v>1</v>
      </c>
      <c r="AB6924" s="93">
        <f>AD6924/AC6922</f>
        <v>20</v>
      </c>
      <c r="AC6924" s="93">
        <f>AC6922/AA6924</f>
        <v>45</v>
      </c>
      <c r="AD6924" s="94">
        <f t="shared" si="4951"/>
        <v>900</v>
      </c>
      <c r="AE6924" s="190"/>
      <c r="AF6924" s="191"/>
      <c r="AG6924" s="191"/>
      <c r="AH6924" s="191"/>
      <c r="AI6924" s="186"/>
      <c r="AK6924" s="171"/>
    </row>
    <row r="6925" spans="1:41" s="102" customFormat="1" ht="19.899999999999999" customHeight="1" x14ac:dyDescent="0.25">
      <c r="A6925" s="45"/>
      <c r="B6925" s="59"/>
      <c r="C6925" s="137"/>
      <c r="D6925" s="59"/>
      <c r="E6925" s="116"/>
      <c r="F6925" s="120"/>
      <c r="G6925" s="120"/>
      <c r="H6925" s="120"/>
      <c r="I6925" s="60"/>
      <c r="J6925" s="116"/>
      <c r="K6925" s="213"/>
      <c r="L6925" s="120"/>
      <c r="M6925" s="120"/>
      <c r="N6925" s="167"/>
      <c r="O6925" s="120"/>
      <c r="P6925" s="120"/>
      <c r="Q6925" s="120"/>
      <c r="R6925" s="120"/>
      <c r="S6925" s="120"/>
      <c r="T6925" s="221"/>
      <c r="U6925" s="89"/>
      <c r="V6925" s="61"/>
      <c r="W6925" s="92" t="s">
        <v>1619</v>
      </c>
      <c r="X6925" s="93" t="s">
        <v>31</v>
      </c>
      <c r="Y6925" s="93" t="s">
        <v>93</v>
      </c>
      <c r="Z6925" s="134">
        <f>VLOOKUP(W6925,Sheet2!$B:$D,3,FALSE)</f>
        <v>17</v>
      </c>
      <c r="AA6925" s="93">
        <v>20</v>
      </c>
      <c r="AB6925" s="93">
        <f>AD6925/AC6922</f>
        <v>0.85</v>
      </c>
      <c r="AC6925" s="93">
        <f>AC6922/AA6925</f>
        <v>2.25</v>
      </c>
      <c r="AD6925" s="94">
        <f>AC6925*Z6925</f>
        <v>38.25</v>
      </c>
      <c r="AE6925" s="190"/>
      <c r="AF6925" s="191"/>
      <c r="AG6925" s="191"/>
      <c r="AH6925" s="191"/>
      <c r="AI6925" s="186"/>
      <c r="AK6925" s="171"/>
    </row>
    <row r="6926" spans="1:41" s="102" customFormat="1" ht="20.100000000000001" customHeight="1" x14ac:dyDescent="0.25">
      <c r="A6926" s="45" t="s">
        <v>491</v>
      </c>
      <c r="B6926" s="276"/>
      <c r="C6926" s="285" t="s">
        <v>691</v>
      </c>
      <c r="D6926" s="59"/>
      <c r="E6926" s="116"/>
      <c r="F6926" s="120"/>
      <c r="G6926" s="120">
        <f t="shared" si="4575"/>
        <v>0</v>
      </c>
      <c r="H6926" s="120">
        <f t="shared" si="4576"/>
        <v>0</v>
      </c>
      <c r="I6926" s="60">
        <f t="shared" si="4577"/>
        <v>0</v>
      </c>
      <c r="J6926" s="116">
        <f t="shared" si="4578"/>
        <v>0</v>
      </c>
      <c r="K6926" s="213">
        <f t="shared" si="4579"/>
        <v>0</v>
      </c>
      <c r="L6926" s="120"/>
      <c r="M6926" s="120">
        <f t="shared" si="4580"/>
        <v>0</v>
      </c>
      <c r="N6926" s="167">
        <f t="shared" si="4581"/>
        <v>0</v>
      </c>
      <c r="O6926" s="120">
        <f t="shared" si="4582"/>
        <v>0</v>
      </c>
      <c r="P6926" s="120">
        <f t="shared" si="4583"/>
        <v>0</v>
      </c>
      <c r="Q6926" s="120">
        <f t="shared" si="4584"/>
        <v>0</v>
      </c>
      <c r="R6926" s="120">
        <f t="shared" si="4585"/>
        <v>0</v>
      </c>
      <c r="S6926" s="120"/>
      <c r="T6926" s="221">
        <f t="shared" si="4586"/>
        <v>0</v>
      </c>
      <c r="U6926" s="89"/>
      <c r="V6926" s="61"/>
      <c r="W6926" s="92"/>
      <c r="X6926" s="38"/>
      <c r="Y6926" s="93"/>
      <c r="Z6926" s="134"/>
      <c r="AA6926" s="93"/>
      <c r="AB6926" s="93"/>
      <c r="AC6926" s="93"/>
      <c r="AD6926" s="94"/>
      <c r="AE6926" s="190"/>
      <c r="AF6926" s="191"/>
      <c r="AG6926" s="191"/>
      <c r="AH6926" s="191"/>
      <c r="AI6926" s="186"/>
      <c r="AK6926" s="171"/>
    </row>
    <row r="6927" spans="1:41" ht="38.25" x14ac:dyDescent="0.25">
      <c r="A6927" s="277" t="s">
        <v>491</v>
      </c>
      <c r="B6927" s="278"/>
      <c r="C6927" s="64" t="s">
        <v>702</v>
      </c>
      <c r="D6927" s="46" t="s">
        <v>201</v>
      </c>
      <c r="E6927" s="114">
        <v>1</v>
      </c>
      <c r="F6927" s="44">
        <v>32</v>
      </c>
      <c r="G6927" s="44">
        <f t="shared" si="4575"/>
        <v>32</v>
      </c>
      <c r="H6927" s="44">
        <f t="shared" si="4576"/>
        <v>19.742039215686276</v>
      </c>
      <c r="I6927" s="43">
        <f t="shared" si="4577"/>
        <v>19.742039215686276</v>
      </c>
      <c r="J6927" s="112">
        <f t="shared" si="4578"/>
        <v>1</v>
      </c>
      <c r="K6927" s="211">
        <f t="shared" si="4579"/>
        <v>1</v>
      </c>
      <c r="L6927" s="44"/>
      <c r="M6927" s="44">
        <f t="shared" si="4580"/>
        <v>1</v>
      </c>
      <c r="N6927" s="173">
        <f t="shared" si="4581"/>
        <v>1</v>
      </c>
      <c r="O6927" s="44">
        <f t="shared" si="4582"/>
        <v>32</v>
      </c>
      <c r="P6927" s="44">
        <f t="shared" si="4583"/>
        <v>32</v>
      </c>
      <c r="Q6927" s="44">
        <f t="shared" si="4584"/>
        <v>19.742039215686276</v>
      </c>
      <c r="R6927" s="44">
        <f t="shared" si="4585"/>
        <v>19.742039215686276</v>
      </c>
      <c r="S6927" s="123"/>
      <c r="T6927" s="219">
        <f t="shared" si="4586"/>
        <v>19.742039215686276</v>
      </c>
      <c r="U6927" s="87"/>
      <c r="V6927" s="47"/>
      <c r="W6927" s="48"/>
      <c r="X6927" s="48"/>
      <c r="Y6927" s="48"/>
      <c r="Z6927" s="135"/>
      <c r="AA6927" s="49"/>
      <c r="AB6927" s="50">
        <f t="shared" si="4587"/>
        <v>19.742039215686276</v>
      </c>
      <c r="AC6927" s="42">
        <f t="shared" si="4588"/>
        <v>1</v>
      </c>
      <c r="AD6927" s="90">
        <f>AD6928+AD6935</f>
        <v>19.742039215686276</v>
      </c>
      <c r="AE6927" s="188">
        <f t="shared" ref="AE6927:AH6927" si="4952">AE6928+AE6935</f>
        <v>0</v>
      </c>
      <c r="AF6927" s="189">
        <f t="shared" si="4952"/>
        <v>0</v>
      </c>
      <c r="AG6927" s="189">
        <f t="shared" si="4952"/>
        <v>0</v>
      </c>
      <c r="AH6927" s="189">
        <f t="shared" si="4952"/>
        <v>0</v>
      </c>
      <c r="AI6927" s="161">
        <f t="shared" ref="AI6927" si="4953">SUM(AE6927:AH6927)</f>
        <v>0</v>
      </c>
      <c r="AK6927" s="169">
        <v>5</v>
      </c>
      <c r="AO6927" s="19" t="s">
        <v>63</v>
      </c>
    </row>
    <row r="6928" spans="1:41" s="103" customFormat="1" ht="19.899999999999999" customHeight="1" x14ac:dyDescent="0.25">
      <c r="A6928" s="51"/>
      <c r="B6928" s="52"/>
      <c r="C6928" s="165"/>
      <c r="D6928" s="52"/>
      <c r="E6928" s="115"/>
      <c r="F6928" s="58"/>
      <c r="G6928" s="58"/>
      <c r="H6928" s="58"/>
      <c r="I6928" s="55"/>
      <c r="J6928" s="113">
        <f>J6927</f>
        <v>1</v>
      </c>
      <c r="K6928" s="212">
        <f>K6927</f>
        <v>1</v>
      </c>
      <c r="L6928" s="58"/>
      <c r="M6928" s="58">
        <f>K6928-L6928</f>
        <v>1</v>
      </c>
      <c r="N6928" s="166"/>
      <c r="O6928" s="58"/>
      <c r="P6928" s="58"/>
      <c r="Q6928" s="58"/>
      <c r="R6928" s="58"/>
      <c r="S6928" s="58"/>
      <c r="T6928" s="220"/>
      <c r="U6928" s="88"/>
      <c r="V6928" s="56"/>
      <c r="W6928" s="57" t="s">
        <v>1630</v>
      </c>
      <c r="X6928" s="53"/>
      <c r="Y6928" s="91" t="s">
        <v>66</v>
      </c>
      <c r="Z6928" s="136">
        <f>AD6928/AC6928</f>
        <v>13.047152941176472</v>
      </c>
      <c r="AA6928" s="58"/>
      <c r="AB6928" s="53">
        <f>AD6928/AC6928</f>
        <v>13.047152941176472</v>
      </c>
      <c r="AC6928" s="53">
        <f>M6928+$AE$10</f>
        <v>1</v>
      </c>
      <c r="AD6928" s="54">
        <f>SUM(AD6929:AD6934)</f>
        <v>13.047152941176472</v>
      </c>
      <c r="AE6928" s="184">
        <f>SUMIFS($AD$37:$AD$12971,$V$37:$V$12971,$V6928,$X$37:$X$12971,AE$13)</f>
        <v>0</v>
      </c>
      <c r="AF6928" s="185">
        <f>SUMIFS($AD$37:$AD$12971,$V$37:$V$12971,$V6928,$X$37:$X$12971,AF$13)</f>
        <v>0</v>
      </c>
      <c r="AG6928" s="185">
        <f>SUMIFS($AD$37:$AD$12971,$V$37:$V$12971,$V6928,$X$37:$X$12971,AG$13)</f>
        <v>0</v>
      </c>
      <c r="AH6928" s="187">
        <f>SUMIFS($AD$37:$AD$12971,$V$37:$V$12971,$V6928,$X$37:$X$12971,AH$13)</f>
        <v>0</v>
      </c>
      <c r="AI6928" s="161">
        <f t="shared" ref="AI6928" si="4954">SUM(AE6928:AH6928)</f>
        <v>0</v>
      </c>
      <c r="AK6928" s="172"/>
    </row>
    <row r="6929" spans="1:37" s="102" customFormat="1" ht="19.899999999999999" customHeight="1" x14ac:dyDescent="0.25">
      <c r="A6929" s="45"/>
      <c r="B6929" s="59"/>
      <c r="C6929" s="137"/>
      <c r="D6929" s="59"/>
      <c r="E6929" s="116"/>
      <c r="F6929" s="120"/>
      <c r="G6929" s="120"/>
      <c r="H6929" s="120"/>
      <c r="I6929" s="60"/>
      <c r="J6929" s="116"/>
      <c r="K6929" s="213"/>
      <c r="L6929" s="120"/>
      <c r="M6929" s="120"/>
      <c r="N6929" s="167"/>
      <c r="O6929" s="120"/>
      <c r="P6929" s="120"/>
      <c r="Q6929" s="120"/>
      <c r="R6929" s="120"/>
      <c r="S6929" s="120"/>
      <c r="T6929" s="221"/>
      <c r="U6929" s="89"/>
      <c r="V6929" s="61"/>
      <c r="W6929" s="92" t="s">
        <v>110</v>
      </c>
      <c r="X6929" s="93" t="s">
        <v>29</v>
      </c>
      <c r="Y6929" s="93" t="s">
        <v>93</v>
      </c>
      <c r="Z6929" s="134">
        <f>VLOOKUP(W6929,Sheet2!$B:$D,3,FALSE)</f>
        <v>150.4</v>
      </c>
      <c r="AA6929" s="93">
        <v>25</v>
      </c>
      <c r="AB6929" s="93">
        <f>AD6929/AC6928</f>
        <v>6.016</v>
      </c>
      <c r="AC6929" s="93">
        <f>AC6928/AA6929</f>
        <v>0.04</v>
      </c>
      <c r="AD6929" s="94">
        <f t="shared" ref="AD6929:AD6932" si="4955">AC6929*Z6929</f>
        <v>6.016</v>
      </c>
      <c r="AE6929" s="190"/>
      <c r="AF6929" s="191"/>
      <c r="AG6929" s="191"/>
      <c r="AH6929" s="191"/>
      <c r="AI6929" s="186"/>
      <c r="AK6929" s="171"/>
    </row>
    <row r="6930" spans="1:37" s="102" customFormat="1" ht="19.899999999999999" customHeight="1" x14ac:dyDescent="0.25">
      <c r="A6930" s="45"/>
      <c r="B6930" s="59"/>
      <c r="C6930" s="137"/>
      <c r="D6930" s="59"/>
      <c r="E6930" s="116"/>
      <c r="F6930" s="120"/>
      <c r="G6930" s="120"/>
      <c r="H6930" s="120"/>
      <c r="I6930" s="60"/>
      <c r="J6930" s="116"/>
      <c r="K6930" s="213"/>
      <c r="L6930" s="120"/>
      <c r="M6930" s="120"/>
      <c r="N6930" s="167"/>
      <c r="O6930" s="120"/>
      <c r="P6930" s="120"/>
      <c r="Q6930" s="120"/>
      <c r="R6930" s="120"/>
      <c r="S6930" s="120"/>
      <c r="T6930" s="221"/>
      <c r="U6930" s="89"/>
      <c r="V6930" s="61"/>
      <c r="W6930" s="92" t="s">
        <v>65</v>
      </c>
      <c r="X6930" s="93" t="s">
        <v>30</v>
      </c>
      <c r="Y6930" s="93" t="s">
        <v>1011</v>
      </c>
      <c r="Z6930" s="134">
        <f>VLOOKUP(W6930,Sheet2!$B:$D,3,FALSE)</f>
        <v>1.76</v>
      </c>
      <c r="AA6930" s="93">
        <f>AA6929/32</f>
        <v>0.78125</v>
      </c>
      <c r="AB6930" s="93">
        <f>AD6930/AC6928</f>
        <v>2.2528000000000001</v>
      </c>
      <c r="AC6930" s="93">
        <f>AC6928/AA6930</f>
        <v>1.28</v>
      </c>
      <c r="AD6930" s="94">
        <f t="shared" si="4955"/>
        <v>2.2528000000000001</v>
      </c>
      <c r="AE6930" s="190"/>
      <c r="AF6930" s="191"/>
      <c r="AG6930" s="191"/>
      <c r="AH6930" s="191"/>
      <c r="AI6930" s="186"/>
      <c r="AK6930" s="171"/>
    </row>
    <row r="6931" spans="1:37" s="102" customFormat="1" ht="19.899999999999999" customHeight="1" x14ac:dyDescent="0.25">
      <c r="A6931" s="45"/>
      <c r="B6931" s="59"/>
      <c r="C6931" s="137"/>
      <c r="D6931" s="59"/>
      <c r="E6931" s="116"/>
      <c r="F6931" s="120"/>
      <c r="G6931" s="120"/>
      <c r="H6931" s="120"/>
      <c r="I6931" s="60"/>
      <c r="J6931" s="116"/>
      <c r="K6931" s="213"/>
      <c r="L6931" s="120"/>
      <c r="M6931" s="120"/>
      <c r="N6931" s="167"/>
      <c r="O6931" s="120"/>
      <c r="P6931" s="120"/>
      <c r="Q6931" s="120"/>
      <c r="R6931" s="120"/>
      <c r="S6931" s="120"/>
      <c r="T6931" s="221"/>
      <c r="U6931" s="89"/>
      <c r="V6931" s="61"/>
      <c r="W6931" s="92" t="s">
        <v>131</v>
      </c>
      <c r="X6931" s="93" t="s">
        <v>29</v>
      </c>
      <c r="Y6931" s="93" t="s">
        <v>93</v>
      </c>
      <c r="Z6931" s="134">
        <f>VLOOKUP(W6931,Sheet2!$B:$D,3,FALSE)</f>
        <v>131.19999999999999</v>
      </c>
      <c r="AA6931" s="93">
        <v>120</v>
      </c>
      <c r="AB6931" s="93">
        <f t="shared" ref="AB6931" si="4956">AD6931/AC6928</f>
        <v>1.0933333333333333</v>
      </c>
      <c r="AC6931" s="93">
        <f>AC6928/AA6931</f>
        <v>8.3333333333333332E-3</v>
      </c>
      <c r="AD6931" s="94">
        <f t="shared" si="4955"/>
        <v>1.0933333333333333</v>
      </c>
      <c r="AE6931" s="190"/>
      <c r="AF6931" s="191"/>
      <c r="AG6931" s="191"/>
      <c r="AH6931" s="191"/>
      <c r="AI6931" s="186"/>
      <c r="AK6931" s="171"/>
    </row>
    <row r="6932" spans="1:37" s="102" customFormat="1" ht="19.899999999999999" customHeight="1" x14ac:dyDescent="0.25">
      <c r="A6932" s="45"/>
      <c r="B6932" s="59"/>
      <c r="C6932" s="137"/>
      <c r="D6932" s="59"/>
      <c r="E6932" s="116"/>
      <c r="F6932" s="120"/>
      <c r="G6932" s="120"/>
      <c r="H6932" s="120"/>
      <c r="I6932" s="60"/>
      <c r="J6932" s="116"/>
      <c r="K6932" s="213"/>
      <c r="L6932" s="120"/>
      <c r="M6932" s="120"/>
      <c r="N6932" s="167"/>
      <c r="O6932" s="120"/>
      <c r="P6932" s="120"/>
      <c r="Q6932" s="120"/>
      <c r="R6932" s="120"/>
      <c r="S6932" s="120"/>
      <c r="T6932" s="221"/>
      <c r="U6932" s="89"/>
      <c r="V6932" s="61"/>
      <c r="W6932" s="92" t="s">
        <v>65</v>
      </c>
      <c r="X6932" s="93" t="s">
        <v>30</v>
      </c>
      <c r="Y6932" s="93" t="s">
        <v>1011</v>
      </c>
      <c r="Z6932" s="134">
        <f>VLOOKUP(W6932,Sheet2!$B:$D,3,FALSE)</f>
        <v>1.76</v>
      </c>
      <c r="AA6932" s="93">
        <f>AA6931/32</f>
        <v>3.75</v>
      </c>
      <c r="AB6932" s="93">
        <f>AD6932/AC6928</f>
        <v>0.46933333333333332</v>
      </c>
      <c r="AC6932" s="93">
        <f>AC6928/AA6932</f>
        <v>0.26666666666666666</v>
      </c>
      <c r="AD6932" s="94">
        <f t="shared" si="4955"/>
        <v>0.46933333333333332</v>
      </c>
      <c r="AE6932" s="190"/>
      <c r="AF6932" s="191"/>
      <c r="AG6932" s="191"/>
      <c r="AH6932" s="191"/>
      <c r="AI6932" s="186"/>
      <c r="AK6932" s="171"/>
    </row>
    <row r="6933" spans="1:37" s="102" customFormat="1" ht="19.899999999999999" customHeight="1" x14ac:dyDescent="0.25">
      <c r="A6933" s="45"/>
      <c r="B6933" s="59"/>
      <c r="C6933" s="137"/>
      <c r="D6933" s="59"/>
      <c r="E6933" s="116"/>
      <c r="F6933" s="120"/>
      <c r="G6933" s="120"/>
      <c r="H6933" s="120"/>
      <c r="I6933" s="60"/>
      <c r="J6933" s="116"/>
      <c r="K6933" s="213"/>
      <c r="L6933" s="120"/>
      <c r="M6933" s="120"/>
      <c r="N6933" s="167"/>
      <c r="O6933" s="120"/>
      <c r="P6933" s="120"/>
      <c r="Q6933" s="120"/>
      <c r="R6933" s="120"/>
      <c r="S6933" s="120"/>
      <c r="T6933" s="221"/>
      <c r="U6933" s="89"/>
      <c r="V6933" s="61"/>
      <c r="W6933" s="92" t="s">
        <v>161</v>
      </c>
      <c r="X6933" s="93" t="s">
        <v>29</v>
      </c>
      <c r="Y6933" s="93" t="s">
        <v>93</v>
      </c>
      <c r="Z6933" s="134">
        <f>VLOOKUP(W6933,Sheet2!$B:$D,3,FALSE)</f>
        <v>48</v>
      </c>
      <c r="AA6933" s="93">
        <f>(16*0.85*1.5)</f>
        <v>20.399999999999999</v>
      </c>
      <c r="AB6933" s="93">
        <f>AD6933/AC6928</f>
        <v>2.3529411764705888</v>
      </c>
      <c r="AC6933" s="93">
        <f>AC6928/AA6933</f>
        <v>4.9019607843137261E-2</v>
      </c>
      <c r="AD6933" s="94">
        <f>AC6933*Z6933</f>
        <v>2.3529411764705888</v>
      </c>
      <c r="AE6933" s="190"/>
      <c r="AF6933" s="191"/>
      <c r="AG6933" s="191"/>
      <c r="AH6933" s="191"/>
      <c r="AI6933" s="186"/>
      <c r="AK6933" s="171"/>
    </row>
    <row r="6934" spans="1:37" s="102" customFormat="1" ht="19.899999999999999" customHeight="1" x14ac:dyDescent="0.25">
      <c r="A6934" s="45"/>
      <c r="B6934" s="59"/>
      <c r="C6934" s="137"/>
      <c r="D6934" s="59"/>
      <c r="E6934" s="116"/>
      <c r="F6934" s="120"/>
      <c r="G6934" s="120"/>
      <c r="H6934" s="120"/>
      <c r="I6934" s="60"/>
      <c r="J6934" s="116"/>
      <c r="K6934" s="213"/>
      <c r="L6934" s="120"/>
      <c r="M6934" s="120"/>
      <c r="N6934" s="167"/>
      <c r="O6934" s="120"/>
      <c r="P6934" s="120"/>
      <c r="Q6934" s="120"/>
      <c r="R6934" s="120"/>
      <c r="S6934" s="120"/>
      <c r="T6934" s="221"/>
      <c r="U6934" s="89"/>
      <c r="V6934" s="61"/>
      <c r="W6934" s="92" t="s">
        <v>65</v>
      </c>
      <c r="X6934" s="93" t="s">
        <v>30</v>
      </c>
      <c r="Y6934" s="93" t="s">
        <v>1011</v>
      </c>
      <c r="Z6934" s="134">
        <f>VLOOKUP(W6934,Sheet2!$B:$D,3,FALSE)</f>
        <v>1.76</v>
      </c>
      <c r="AA6934" s="93">
        <f>AA6933/10</f>
        <v>2.04</v>
      </c>
      <c r="AB6934" s="93">
        <f>AD6934/AC6928</f>
        <v>0.86274509803921562</v>
      </c>
      <c r="AC6934" s="93">
        <f>AC6928/AA6934</f>
        <v>0.49019607843137253</v>
      </c>
      <c r="AD6934" s="94">
        <f>AC6934*Z6934</f>
        <v>0.86274509803921562</v>
      </c>
      <c r="AE6934" s="190"/>
      <c r="AF6934" s="191"/>
      <c r="AG6934" s="191"/>
      <c r="AH6934" s="191"/>
      <c r="AI6934" s="186"/>
      <c r="AK6934" s="171"/>
    </row>
    <row r="6935" spans="1:37" s="103" customFormat="1" ht="19.899999999999999" customHeight="1" x14ac:dyDescent="0.25">
      <c r="A6935" s="51"/>
      <c r="B6935" s="52"/>
      <c r="C6935" s="165"/>
      <c r="D6935" s="52"/>
      <c r="E6935" s="115"/>
      <c r="F6935" s="58"/>
      <c r="G6935" s="58"/>
      <c r="H6935" s="58"/>
      <c r="I6935" s="55"/>
      <c r="J6935" s="113">
        <f>J6927</f>
        <v>1</v>
      </c>
      <c r="K6935" s="212">
        <f>K6927</f>
        <v>1</v>
      </c>
      <c r="L6935" s="58"/>
      <c r="M6935" s="58">
        <f>K6935-L6935</f>
        <v>1</v>
      </c>
      <c r="N6935" s="166"/>
      <c r="O6935" s="58"/>
      <c r="P6935" s="58"/>
      <c r="Q6935" s="58"/>
      <c r="R6935" s="58"/>
      <c r="S6935" s="58"/>
      <c r="T6935" s="220"/>
      <c r="U6935" s="88"/>
      <c r="V6935" s="56"/>
      <c r="W6935" s="57" t="s">
        <v>1380</v>
      </c>
      <c r="X6935" s="53"/>
      <c r="Y6935" s="91" t="s">
        <v>66</v>
      </c>
      <c r="Z6935" s="136">
        <f>AD6935/AC6935</f>
        <v>6.6948862745098028</v>
      </c>
      <c r="AA6935" s="58"/>
      <c r="AB6935" s="53">
        <f>AD6935/AC6935</f>
        <v>6.6948862745098028</v>
      </c>
      <c r="AC6935" s="53">
        <f>M6935+$AE$10</f>
        <v>1</v>
      </c>
      <c r="AD6935" s="54">
        <f>SUM(AD6936:AD6945)</f>
        <v>6.6948862745098028</v>
      </c>
      <c r="AE6935" s="184">
        <f>SUMIFS($AD$37:$AD$12971,$V$37:$V$12971,$V6935,$X$37:$X$12971,AE$13)</f>
        <v>0</v>
      </c>
      <c r="AF6935" s="185">
        <f>SUMIFS($AD$37:$AD$12971,$V$37:$V$12971,$V6935,$X$37:$X$12971,AF$13)</f>
        <v>0</v>
      </c>
      <c r="AG6935" s="185">
        <f>SUMIFS($AD$37:$AD$12971,$V$37:$V$12971,$V6935,$X$37:$X$12971,AG$13)</f>
        <v>0</v>
      </c>
      <c r="AH6935" s="187">
        <f>SUMIFS($AD$37:$AD$12971,$V$37:$V$12971,$V6935,$X$37:$X$12971,AH$13)</f>
        <v>0</v>
      </c>
      <c r="AI6935" s="161">
        <f t="shared" ref="AI6935" si="4957">SUM(AE6935:AH6935)</f>
        <v>0</v>
      </c>
      <c r="AK6935" s="172"/>
    </row>
    <row r="6936" spans="1:37" s="102" customFormat="1" ht="19.899999999999999" customHeight="1" x14ac:dyDescent="0.25">
      <c r="A6936" s="45"/>
      <c r="B6936" s="59"/>
      <c r="C6936" s="137"/>
      <c r="D6936" s="59"/>
      <c r="E6936" s="116"/>
      <c r="F6936" s="120"/>
      <c r="G6936" s="120"/>
      <c r="H6936" s="120"/>
      <c r="I6936" s="60"/>
      <c r="J6936" s="116"/>
      <c r="K6936" s="213"/>
      <c r="L6936" s="120"/>
      <c r="M6936" s="120"/>
      <c r="N6936" s="167"/>
      <c r="O6936" s="120"/>
      <c r="P6936" s="120"/>
      <c r="Q6936" s="120"/>
      <c r="R6936" s="120"/>
      <c r="S6936" s="120"/>
      <c r="T6936" s="221"/>
      <c r="U6936" s="89"/>
      <c r="V6936" s="61"/>
      <c r="W6936" s="92" t="s">
        <v>134</v>
      </c>
      <c r="X6936" s="93" t="s">
        <v>29</v>
      </c>
      <c r="Y6936" s="93" t="s">
        <v>93</v>
      </c>
      <c r="Z6936" s="134">
        <f>VLOOKUP(W6936,Sheet2!$B:$D,3,FALSE)</f>
        <v>65.599999999999994</v>
      </c>
      <c r="AA6936" s="93">
        <f>100</f>
        <v>100</v>
      </c>
      <c r="AB6936" s="93">
        <f>AD6936/AC6935</f>
        <v>0.65599999999999992</v>
      </c>
      <c r="AC6936" s="93">
        <f>AC6935/AA6936</f>
        <v>0.01</v>
      </c>
      <c r="AD6936" s="94">
        <f t="shared" ref="AD6936:AD6937" si="4958">AC6936*Z6936</f>
        <v>0.65599999999999992</v>
      </c>
      <c r="AE6936" s="190"/>
      <c r="AF6936" s="191"/>
      <c r="AG6936" s="191"/>
      <c r="AH6936" s="191"/>
      <c r="AI6936" s="186"/>
      <c r="AK6936" s="171"/>
    </row>
    <row r="6937" spans="1:37" s="102" customFormat="1" ht="19.899999999999999" customHeight="1" x14ac:dyDescent="0.25">
      <c r="A6937" s="45"/>
      <c r="B6937" s="59"/>
      <c r="C6937" s="137"/>
      <c r="D6937" s="59"/>
      <c r="E6937" s="116"/>
      <c r="F6937" s="120"/>
      <c r="G6937" s="120"/>
      <c r="H6937" s="120"/>
      <c r="I6937" s="60"/>
      <c r="J6937" s="116"/>
      <c r="K6937" s="213"/>
      <c r="L6937" s="120"/>
      <c r="M6937" s="120"/>
      <c r="N6937" s="167"/>
      <c r="O6937" s="120"/>
      <c r="P6937" s="120"/>
      <c r="Q6937" s="120"/>
      <c r="R6937" s="120"/>
      <c r="S6937" s="120"/>
      <c r="T6937" s="221"/>
      <c r="U6937" s="89"/>
      <c r="V6937" s="61"/>
      <c r="W6937" s="92" t="s">
        <v>65</v>
      </c>
      <c r="X6937" s="93" t="s">
        <v>30</v>
      </c>
      <c r="Y6937" s="93" t="s">
        <v>1011</v>
      </c>
      <c r="Z6937" s="134">
        <f>VLOOKUP(W6937,Sheet2!$B:$D,3,FALSE)</f>
        <v>1.76</v>
      </c>
      <c r="AA6937" s="93">
        <f>AA6936/9</f>
        <v>11.111111111111111</v>
      </c>
      <c r="AB6937" s="93">
        <f>AD6937/AC6935</f>
        <v>0.15839999999999999</v>
      </c>
      <c r="AC6937" s="93">
        <f>AC6935/AA6937</f>
        <v>0.09</v>
      </c>
      <c r="AD6937" s="94">
        <f t="shared" si="4958"/>
        <v>0.15839999999999999</v>
      </c>
      <c r="AE6937" s="190"/>
      <c r="AF6937" s="191"/>
      <c r="AG6937" s="191"/>
      <c r="AH6937" s="191"/>
      <c r="AI6937" s="186"/>
      <c r="AK6937" s="171"/>
    </row>
    <row r="6938" spans="1:37" s="102" customFormat="1" ht="19.899999999999999" customHeight="1" x14ac:dyDescent="0.25">
      <c r="A6938" s="45"/>
      <c r="B6938" s="59"/>
      <c r="C6938" s="137"/>
      <c r="D6938" s="59"/>
      <c r="E6938" s="116"/>
      <c r="F6938" s="120"/>
      <c r="G6938" s="120"/>
      <c r="H6938" s="120"/>
      <c r="I6938" s="60"/>
      <c r="J6938" s="116"/>
      <c r="K6938" s="213"/>
      <c r="L6938" s="120"/>
      <c r="M6938" s="120"/>
      <c r="N6938" s="167"/>
      <c r="O6938" s="120"/>
      <c r="P6938" s="120"/>
      <c r="Q6938" s="120"/>
      <c r="R6938" s="120"/>
      <c r="S6938" s="120"/>
      <c r="T6938" s="221"/>
      <c r="U6938" s="89"/>
      <c r="V6938" s="61"/>
      <c r="W6938" s="92" t="s">
        <v>161</v>
      </c>
      <c r="X6938" s="93" t="s">
        <v>29</v>
      </c>
      <c r="Y6938" s="93" t="s">
        <v>93</v>
      </c>
      <c r="Z6938" s="134">
        <f>VLOOKUP(W6938,Sheet2!$B:$D,3,FALSE)</f>
        <v>48</v>
      </c>
      <c r="AA6938" s="93">
        <f>(16*0.85*1.5)</f>
        <v>20.399999999999999</v>
      </c>
      <c r="AB6938" s="93">
        <f>AD6938/AC6935</f>
        <v>2.3529411764705888</v>
      </c>
      <c r="AC6938" s="93">
        <f>AC6935/AA6938</f>
        <v>4.9019607843137261E-2</v>
      </c>
      <c r="AD6938" s="94">
        <f>AC6938*Z6938</f>
        <v>2.3529411764705888</v>
      </c>
      <c r="AE6938" s="190"/>
      <c r="AF6938" s="191"/>
      <c r="AG6938" s="191"/>
      <c r="AH6938" s="191"/>
      <c r="AI6938" s="186"/>
      <c r="AK6938" s="171"/>
    </row>
    <row r="6939" spans="1:37" s="102" customFormat="1" ht="19.899999999999999" customHeight="1" x14ac:dyDescent="0.25">
      <c r="A6939" s="45"/>
      <c r="B6939" s="59"/>
      <c r="C6939" s="137"/>
      <c r="D6939" s="59"/>
      <c r="E6939" s="116"/>
      <c r="F6939" s="120"/>
      <c r="G6939" s="120"/>
      <c r="H6939" s="120"/>
      <c r="I6939" s="60"/>
      <c r="J6939" s="116"/>
      <c r="K6939" s="213"/>
      <c r="L6939" s="120"/>
      <c r="M6939" s="120"/>
      <c r="N6939" s="167"/>
      <c r="O6939" s="120"/>
      <c r="P6939" s="120"/>
      <c r="Q6939" s="120"/>
      <c r="R6939" s="120"/>
      <c r="S6939" s="120"/>
      <c r="T6939" s="221"/>
      <c r="U6939" s="89"/>
      <c r="V6939" s="61"/>
      <c r="W6939" s="92" t="s">
        <v>65</v>
      </c>
      <c r="X6939" s="93" t="s">
        <v>30</v>
      </c>
      <c r="Y6939" s="93" t="s">
        <v>1011</v>
      </c>
      <c r="Z6939" s="134">
        <f>VLOOKUP(W6939,Sheet2!$B:$D,3,FALSE)</f>
        <v>1.76</v>
      </c>
      <c r="AA6939" s="93">
        <f>AA6938/10</f>
        <v>2.04</v>
      </c>
      <c r="AB6939" s="93">
        <f>AD6939/AC6935</f>
        <v>0.86274509803921562</v>
      </c>
      <c r="AC6939" s="93">
        <f>AC6935/AA6939</f>
        <v>0.49019607843137253</v>
      </c>
      <c r="AD6939" s="94">
        <f>AC6939*Z6939</f>
        <v>0.86274509803921562</v>
      </c>
      <c r="AE6939" s="190"/>
      <c r="AF6939" s="191"/>
      <c r="AG6939" s="191"/>
      <c r="AH6939" s="191"/>
      <c r="AI6939" s="186"/>
      <c r="AK6939" s="171"/>
    </row>
    <row r="6940" spans="1:37" s="102" customFormat="1" ht="19.899999999999999" customHeight="1" x14ac:dyDescent="0.25">
      <c r="A6940" s="45"/>
      <c r="B6940" s="59"/>
      <c r="C6940" s="137"/>
      <c r="D6940" s="59"/>
      <c r="E6940" s="116"/>
      <c r="F6940" s="120"/>
      <c r="G6940" s="120"/>
      <c r="H6940" s="120"/>
      <c r="I6940" s="60"/>
      <c r="J6940" s="116"/>
      <c r="K6940" s="213"/>
      <c r="L6940" s="120"/>
      <c r="M6940" s="120"/>
      <c r="N6940" s="167"/>
      <c r="O6940" s="120"/>
      <c r="P6940" s="120"/>
      <c r="Q6940" s="120"/>
      <c r="R6940" s="120"/>
      <c r="S6940" s="120"/>
      <c r="T6940" s="221"/>
      <c r="U6940" s="89"/>
      <c r="V6940" s="61"/>
      <c r="W6940" s="92" t="s">
        <v>173</v>
      </c>
      <c r="X6940" s="93" t="s">
        <v>29</v>
      </c>
      <c r="Y6940" s="93" t="s">
        <v>93</v>
      </c>
      <c r="Z6940" s="134">
        <f>VLOOKUP(W6940,Sheet2!$B:$D,3,FALSE)</f>
        <v>36</v>
      </c>
      <c r="AA6940" s="93">
        <f>50</f>
        <v>50</v>
      </c>
      <c r="AB6940" s="93">
        <f>AD6940/AC6935</f>
        <v>0.72</v>
      </c>
      <c r="AC6940" s="93">
        <f>AC6935/AA6940</f>
        <v>0.02</v>
      </c>
      <c r="AD6940" s="94">
        <f>AC6940*Z6940</f>
        <v>0.72</v>
      </c>
      <c r="AE6940" s="190"/>
      <c r="AF6940" s="191"/>
      <c r="AG6940" s="191"/>
      <c r="AH6940" s="191"/>
      <c r="AI6940" s="186"/>
      <c r="AK6940" s="171"/>
    </row>
    <row r="6941" spans="1:37" s="102" customFormat="1" ht="19.899999999999999" customHeight="1" x14ac:dyDescent="0.25">
      <c r="A6941" s="45"/>
      <c r="B6941" s="59"/>
      <c r="C6941" s="137"/>
      <c r="D6941" s="59"/>
      <c r="E6941" s="116"/>
      <c r="F6941" s="120"/>
      <c r="G6941" s="120"/>
      <c r="H6941" s="120"/>
      <c r="I6941" s="60"/>
      <c r="J6941" s="116"/>
      <c r="K6941" s="213"/>
      <c r="L6941" s="120"/>
      <c r="M6941" s="120"/>
      <c r="N6941" s="167"/>
      <c r="O6941" s="120"/>
      <c r="P6941" s="120"/>
      <c r="Q6941" s="120"/>
      <c r="R6941" s="120"/>
      <c r="S6941" s="120"/>
      <c r="T6941" s="221"/>
      <c r="U6941" s="89"/>
      <c r="V6941" s="61"/>
      <c r="W6941" s="92" t="s">
        <v>65</v>
      </c>
      <c r="X6941" s="93" t="s">
        <v>30</v>
      </c>
      <c r="Y6941" s="93" t="s">
        <v>1011</v>
      </c>
      <c r="Z6941" s="134">
        <f>VLOOKUP(W6941,Sheet2!$B:$D,3,FALSE)</f>
        <v>1.76</v>
      </c>
      <c r="AA6941" s="93">
        <f>AA6940/9</f>
        <v>5.5555555555555554</v>
      </c>
      <c r="AB6941" s="93">
        <f>AD6941/AC6935</f>
        <v>0.31679999999999997</v>
      </c>
      <c r="AC6941" s="93">
        <f>AC6935/AA6941</f>
        <v>0.18</v>
      </c>
      <c r="AD6941" s="94">
        <f>AC6941*Z6941</f>
        <v>0.31679999999999997</v>
      </c>
      <c r="AE6941" s="190"/>
      <c r="AF6941" s="191"/>
      <c r="AG6941" s="191"/>
      <c r="AH6941" s="191"/>
      <c r="AI6941" s="186"/>
      <c r="AK6941" s="171"/>
    </row>
    <row r="6942" spans="1:37" s="102" customFormat="1" ht="19.899999999999999" customHeight="1" x14ac:dyDescent="0.25">
      <c r="A6942" s="45"/>
      <c r="B6942" s="59"/>
      <c r="C6942" s="137"/>
      <c r="D6942" s="59"/>
      <c r="E6942" s="116"/>
      <c r="F6942" s="120"/>
      <c r="G6942" s="120"/>
      <c r="H6942" s="120"/>
      <c r="I6942" s="60"/>
      <c r="J6942" s="116"/>
      <c r="K6942" s="213"/>
      <c r="L6942" s="120"/>
      <c r="M6942" s="120"/>
      <c r="N6942" s="167"/>
      <c r="O6942" s="120"/>
      <c r="P6942" s="120"/>
      <c r="Q6942" s="120"/>
      <c r="R6942" s="120"/>
      <c r="S6942" s="120"/>
      <c r="T6942" s="221"/>
      <c r="U6942" s="89"/>
      <c r="V6942" s="61"/>
      <c r="W6942" s="92" t="s">
        <v>148</v>
      </c>
      <c r="X6942" s="93" t="s">
        <v>29</v>
      </c>
      <c r="Y6942" s="93" t="s">
        <v>93</v>
      </c>
      <c r="Z6942" s="134">
        <f>VLOOKUP(W6942,Sheet2!$B:$D,3,FALSE)</f>
        <v>48</v>
      </c>
      <c r="AA6942" s="93">
        <v>80</v>
      </c>
      <c r="AB6942" s="93">
        <f>AD6942/AC6935</f>
        <v>0.60000000000000009</v>
      </c>
      <c r="AC6942" s="93">
        <f>AC6935/AA6942</f>
        <v>1.2500000000000001E-2</v>
      </c>
      <c r="AD6942" s="94">
        <f t="shared" ref="AD6942:AD6945" si="4959">AC6942*Z6942</f>
        <v>0.60000000000000009</v>
      </c>
      <c r="AE6942" s="190"/>
      <c r="AF6942" s="191"/>
      <c r="AG6942" s="191"/>
      <c r="AH6942" s="191"/>
      <c r="AI6942" s="186"/>
      <c r="AK6942" s="171"/>
    </row>
    <row r="6943" spans="1:37" s="102" customFormat="1" ht="19.899999999999999" customHeight="1" x14ac:dyDescent="0.25">
      <c r="A6943" s="45"/>
      <c r="B6943" s="59"/>
      <c r="C6943" s="137"/>
      <c r="D6943" s="59"/>
      <c r="E6943" s="116"/>
      <c r="F6943" s="120"/>
      <c r="G6943" s="120"/>
      <c r="H6943" s="120"/>
      <c r="I6943" s="60"/>
      <c r="J6943" s="116"/>
      <c r="K6943" s="213"/>
      <c r="L6943" s="120"/>
      <c r="M6943" s="120"/>
      <c r="N6943" s="167"/>
      <c r="O6943" s="120"/>
      <c r="P6943" s="120"/>
      <c r="Q6943" s="120"/>
      <c r="R6943" s="120"/>
      <c r="S6943" s="120"/>
      <c r="T6943" s="221"/>
      <c r="U6943" s="89"/>
      <c r="V6943" s="61"/>
      <c r="W6943" s="92" t="s">
        <v>65</v>
      </c>
      <c r="X6943" s="93" t="s">
        <v>30</v>
      </c>
      <c r="Y6943" s="93" t="s">
        <v>1011</v>
      </c>
      <c r="Z6943" s="134">
        <f>VLOOKUP(W6943,Sheet2!$B:$D,3,FALSE)</f>
        <v>1.76</v>
      </c>
      <c r="AA6943" s="93">
        <f>AA6942/10</f>
        <v>8</v>
      </c>
      <c r="AB6943" s="93">
        <f>AD6943/AC6935</f>
        <v>0.22</v>
      </c>
      <c r="AC6943" s="93">
        <f>AC6935/AA6943</f>
        <v>0.125</v>
      </c>
      <c r="AD6943" s="94">
        <f t="shared" si="4959"/>
        <v>0.22</v>
      </c>
      <c r="AE6943" s="190"/>
      <c r="AF6943" s="191"/>
      <c r="AG6943" s="191"/>
      <c r="AH6943" s="191"/>
      <c r="AI6943" s="186"/>
      <c r="AK6943" s="171"/>
    </row>
    <row r="6944" spans="1:37" s="102" customFormat="1" ht="19.899999999999999" customHeight="1" x14ac:dyDescent="0.25">
      <c r="A6944" s="45"/>
      <c r="B6944" s="59"/>
      <c r="C6944" s="137"/>
      <c r="D6944" s="59"/>
      <c r="E6944" s="116"/>
      <c r="F6944" s="120"/>
      <c r="G6944" s="120"/>
      <c r="H6944" s="120"/>
      <c r="I6944" s="60"/>
      <c r="J6944" s="116"/>
      <c r="K6944" s="213"/>
      <c r="L6944" s="120"/>
      <c r="M6944" s="120"/>
      <c r="N6944" s="167"/>
      <c r="O6944" s="120"/>
      <c r="P6944" s="120"/>
      <c r="Q6944" s="120"/>
      <c r="R6944" s="120"/>
      <c r="S6944" s="120"/>
      <c r="T6944" s="221"/>
      <c r="U6944" s="89"/>
      <c r="V6944" s="61"/>
      <c r="W6944" s="92" t="s">
        <v>145</v>
      </c>
      <c r="X6944" s="93" t="s">
        <v>29</v>
      </c>
      <c r="Y6944" s="93" t="s">
        <v>93</v>
      </c>
      <c r="Z6944" s="134">
        <f>VLOOKUP(W6944,Sheet2!$B:$D,3,FALSE)</f>
        <v>40</v>
      </c>
      <c r="AA6944" s="93">
        <v>80</v>
      </c>
      <c r="AB6944" s="93">
        <f>AD6944/AC6935</f>
        <v>0.5</v>
      </c>
      <c r="AC6944" s="93">
        <f>AC6935/AA6944</f>
        <v>1.2500000000000001E-2</v>
      </c>
      <c r="AD6944" s="94">
        <f t="shared" si="4959"/>
        <v>0.5</v>
      </c>
      <c r="AE6944" s="190"/>
      <c r="AF6944" s="191"/>
      <c r="AG6944" s="191"/>
      <c r="AH6944" s="191"/>
      <c r="AI6944" s="186"/>
      <c r="AK6944" s="171"/>
    </row>
    <row r="6945" spans="1:41" s="102" customFormat="1" ht="19.899999999999999" customHeight="1" x14ac:dyDescent="0.25">
      <c r="A6945" s="45"/>
      <c r="B6945" s="59"/>
      <c r="C6945" s="137"/>
      <c r="D6945" s="59"/>
      <c r="E6945" s="116"/>
      <c r="F6945" s="120"/>
      <c r="G6945" s="120"/>
      <c r="H6945" s="120"/>
      <c r="I6945" s="60"/>
      <c r="J6945" s="116"/>
      <c r="K6945" s="213"/>
      <c r="L6945" s="120"/>
      <c r="M6945" s="120"/>
      <c r="N6945" s="167"/>
      <c r="O6945" s="120"/>
      <c r="P6945" s="120"/>
      <c r="Q6945" s="120"/>
      <c r="R6945" s="120"/>
      <c r="S6945" s="120"/>
      <c r="T6945" s="221"/>
      <c r="U6945" s="89"/>
      <c r="V6945" s="61"/>
      <c r="W6945" s="92" t="s">
        <v>65</v>
      </c>
      <c r="X6945" s="93" t="s">
        <v>30</v>
      </c>
      <c r="Y6945" s="93" t="s">
        <v>1011</v>
      </c>
      <c r="Z6945" s="134">
        <f>VLOOKUP(W6945,Sheet2!$B:$D,3,FALSE)</f>
        <v>1.76</v>
      </c>
      <c r="AA6945" s="93">
        <f>AA6944/14</f>
        <v>5.7142857142857144</v>
      </c>
      <c r="AB6945" s="93">
        <f>AD6945/AC6935</f>
        <v>0.308</v>
      </c>
      <c r="AC6945" s="93">
        <f>AC6935/AA6945</f>
        <v>0.17499999999999999</v>
      </c>
      <c r="AD6945" s="94">
        <f t="shared" si="4959"/>
        <v>0.308</v>
      </c>
      <c r="AE6945" s="190"/>
      <c r="AF6945" s="191"/>
      <c r="AG6945" s="191"/>
      <c r="AH6945" s="191"/>
      <c r="AI6945" s="186"/>
      <c r="AK6945" s="171"/>
    </row>
    <row r="6946" spans="1:41" s="102" customFormat="1" ht="24.95" customHeight="1" x14ac:dyDescent="0.25">
      <c r="A6946" s="45"/>
      <c r="B6946" s="276"/>
      <c r="C6946" s="252" t="s">
        <v>1033</v>
      </c>
      <c r="D6946" s="59"/>
      <c r="E6946" s="116"/>
      <c r="F6946" s="120"/>
      <c r="G6946" s="120"/>
      <c r="H6946" s="120"/>
      <c r="I6946" s="60"/>
      <c r="J6946" s="116"/>
      <c r="K6946" s="213"/>
      <c r="L6946" s="120"/>
      <c r="M6946" s="120"/>
      <c r="N6946" s="167"/>
      <c r="O6946" s="120"/>
      <c r="P6946" s="120"/>
      <c r="Q6946" s="120"/>
      <c r="R6946" s="120"/>
      <c r="S6946" s="120"/>
      <c r="T6946" s="221"/>
      <c r="U6946" s="89"/>
      <c r="V6946" s="61"/>
      <c r="W6946" s="92"/>
      <c r="X6946" s="38"/>
      <c r="Y6946" s="93"/>
      <c r="Z6946" s="134"/>
      <c r="AA6946" s="93"/>
      <c r="AB6946" s="93"/>
      <c r="AC6946" s="93"/>
      <c r="AD6946" s="94"/>
      <c r="AE6946" s="190"/>
      <c r="AF6946" s="191"/>
      <c r="AG6946" s="191"/>
      <c r="AH6946" s="191"/>
      <c r="AI6946" s="186"/>
      <c r="AK6946" s="171"/>
    </row>
    <row r="6947" spans="1:41" s="102" customFormat="1" ht="20.100000000000001" customHeight="1" x14ac:dyDescent="0.25">
      <c r="A6947" s="45"/>
      <c r="B6947" s="276"/>
      <c r="C6947" s="285" t="s">
        <v>704</v>
      </c>
      <c r="D6947" s="59"/>
      <c r="E6947" s="116"/>
      <c r="F6947" s="120"/>
      <c r="G6947" s="120"/>
      <c r="H6947" s="120"/>
      <c r="I6947" s="60"/>
      <c r="J6947" s="116"/>
      <c r="K6947" s="213"/>
      <c r="L6947" s="120"/>
      <c r="M6947" s="120"/>
      <c r="N6947" s="167"/>
      <c r="O6947" s="120"/>
      <c r="P6947" s="120"/>
      <c r="Q6947" s="120"/>
      <c r="R6947" s="120"/>
      <c r="S6947" s="120"/>
      <c r="T6947" s="221"/>
      <c r="U6947" s="89"/>
      <c r="V6947" s="61"/>
      <c r="W6947" s="92"/>
      <c r="X6947" s="38"/>
      <c r="Y6947" s="93"/>
      <c r="Z6947" s="134"/>
      <c r="AA6947" s="93"/>
      <c r="AB6947" s="93"/>
      <c r="AC6947" s="93"/>
      <c r="AD6947" s="94"/>
      <c r="AE6947" s="190"/>
      <c r="AF6947" s="191"/>
      <c r="AG6947" s="191"/>
      <c r="AH6947" s="191"/>
      <c r="AI6947" s="186"/>
      <c r="AK6947" s="171"/>
    </row>
    <row r="6948" spans="1:41" s="102" customFormat="1" ht="110.25" x14ac:dyDescent="0.25">
      <c r="A6948" s="45"/>
      <c r="B6948" s="276"/>
      <c r="C6948" s="285" t="s">
        <v>705</v>
      </c>
      <c r="D6948" s="59"/>
      <c r="E6948" s="116"/>
      <c r="F6948" s="120"/>
      <c r="G6948" s="120"/>
      <c r="H6948" s="120"/>
      <c r="I6948" s="60"/>
      <c r="J6948" s="116"/>
      <c r="K6948" s="213"/>
      <c r="L6948" s="120"/>
      <c r="M6948" s="120"/>
      <c r="N6948" s="167"/>
      <c r="O6948" s="120"/>
      <c r="P6948" s="120"/>
      <c r="Q6948" s="120"/>
      <c r="R6948" s="120"/>
      <c r="S6948" s="120"/>
      <c r="T6948" s="221"/>
      <c r="U6948" s="89"/>
      <c r="V6948" s="61"/>
      <c r="W6948" s="92"/>
      <c r="X6948" s="38"/>
      <c r="Y6948" s="93"/>
      <c r="Z6948" s="134"/>
      <c r="AA6948" s="93"/>
      <c r="AB6948" s="93"/>
      <c r="AC6948" s="93"/>
      <c r="AD6948" s="94"/>
      <c r="AE6948" s="190"/>
      <c r="AF6948" s="191"/>
      <c r="AG6948" s="191"/>
      <c r="AH6948" s="191"/>
      <c r="AI6948" s="186"/>
      <c r="AK6948" s="171"/>
    </row>
    <row r="6949" spans="1:41" ht="20.100000000000001" customHeight="1" x14ac:dyDescent="0.25">
      <c r="A6949" s="277" t="s">
        <v>703</v>
      </c>
      <c r="B6949" s="278"/>
      <c r="C6949" s="64" t="s">
        <v>706</v>
      </c>
      <c r="D6949" s="46" t="s">
        <v>97</v>
      </c>
      <c r="E6949" s="114">
        <v>7.515500000000003</v>
      </c>
      <c r="F6949" s="44">
        <v>268</v>
      </c>
      <c r="G6949" s="44">
        <f t="shared" si="4575"/>
        <v>2014.1540000000009</v>
      </c>
      <c r="H6949" s="44">
        <f t="shared" si="4576"/>
        <v>115.16606274509805</v>
      </c>
      <c r="I6949" s="43">
        <f t="shared" si="4577"/>
        <v>865.53054456078473</v>
      </c>
      <c r="J6949" s="112">
        <f t="shared" si="4578"/>
        <v>7.515500000000003</v>
      </c>
      <c r="K6949" s="211">
        <f t="shared" si="4579"/>
        <v>7.515500000000003</v>
      </c>
      <c r="L6949" s="44"/>
      <c r="M6949" s="44">
        <f t="shared" si="4580"/>
        <v>7.515500000000003</v>
      </c>
      <c r="N6949" s="173">
        <f t="shared" si="4581"/>
        <v>1</v>
      </c>
      <c r="O6949" s="44">
        <f t="shared" si="4582"/>
        <v>268</v>
      </c>
      <c r="P6949" s="44">
        <f t="shared" si="4583"/>
        <v>2014.1540000000009</v>
      </c>
      <c r="Q6949" s="44">
        <f t="shared" si="4584"/>
        <v>115.16606274509805</v>
      </c>
      <c r="R6949" s="44">
        <f t="shared" si="4585"/>
        <v>865.53054456078473</v>
      </c>
      <c r="S6949" s="123"/>
      <c r="T6949" s="219">
        <f t="shared" si="4586"/>
        <v>865.53054456078473</v>
      </c>
      <c r="U6949" s="87"/>
      <c r="V6949" s="47"/>
      <c r="W6949" s="48"/>
      <c r="X6949" s="48"/>
      <c r="Y6949" s="48"/>
      <c r="Z6949" s="135"/>
      <c r="AA6949" s="49"/>
      <c r="AB6949" s="50">
        <f t="shared" si="4587"/>
        <v>115.16606274509805</v>
      </c>
      <c r="AC6949" s="42">
        <f t="shared" si="4588"/>
        <v>7.515500000000003</v>
      </c>
      <c r="AD6949" s="90">
        <f>AD6950+AD6959+AD6967</f>
        <v>865.53054456078473</v>
      </c>
      <c r="AE6949" s="188">
        <f t="shared" ref="AE6949:AH6949" si="4960">AE6950+AE6959+AE6967</f>
        <v>0</v>
      </c>
      <c r="AF6949" s="189">
        <f t="shared" si="4960"/>
        <v>0</v>
      </c>
      <c r="AG6949" s="189">
        <f t="shared" si="4960"/>
        <v>0</v>
      </c>
      <c r="AH6949" s="189">
        <f t="shared" si="4960"/>
        <v>0</v>
      </c>
      <c r="AI6949" s="161">
        <f t="shared" ref="AI6949" si="4961">SUM(AE6949:AH6949)</f>
        <v>0</v>
      </c>
      <c r="AK6949" s="169">
        <v>5</v>
      </c>
      <c r="AO6949" s="19" t="s">
        <v>63</v>
      </c>
    </row>
    <row r="6950" spans="1:41" s="103" customFormat="1" ht="19.899999999999999" customHeight="1" x14ac:dyDescent="0.25">
      <c r="A6950" s="51"/>
      <c r="B6950" s="52"/>
      <c r="C6950" s="165"/>
      <c r="D6950" s="52"/>
      <c r="E6950" s="115"/>
      <c r="F6950" s="58"/>
      <c r="G6950" s="58"/>
      <c r="H6950" s="58"/>
      <c r="I6950" s="55"/>
      <c r="J6950" s="113">
        <f>J6949</f>
        <v>7.515500000000003</v>
      </c>
      <c r="K6950" s="212">
        <f>K6949</f>
        <v>7.515500000000003</v>
      </c>
      <c r="L6950" s="58"/>
      <c r="M6950" s="58">
        <f>K6950-L6950</f>
        <v>7.515500000000003</v>
      </c>
      <c r="N6950" s="166"/>
      <c r="O6950" s="58"/>
      <c r="P6950" s="58"/>
      <c r="Q6950" s="58"/>
      <c r="R6950" s="58"/>
      <c r="S6950" s="58"/>
      <c r="T6950" s="220"/>
      <c r="U6950" s="88"/>
      <c r="V6950" s="56"/>
      <c r="W6950" s="57" t="s">
        <v>1034</v>
      </c>
      <c r="X6950" s="53"/>
      <c r="Y6950" s="91" t="s">
        <v>68</v>
      </c>
      <c r="Z6950" s="136">
        <f>AD6950/AC6950</f>
        <v>7.5827294117647073</v>
      </c>
      <c r="AA6950" s="58"/>
      <c r="AB6950" s="53">
        <f>AD6950/AC6950</f>
        <v>7.5827294117647073</v>
      </c>
      <c r="AC6950" s="53">
        <f>M6950+$AE$10</f>
        <v>7.515500000000003</v>
      </c>
      <c r="AD6950" s="54">
        <f>SUM(AD6951:AD6958)</f>
        <v>56.988002894117677</v>
      </c>
      <c r="AE6950" s="184">
        <f>SUMIFS($AD$37:$AD$12971,$V$37:$V$12971,$V6950,$X$37:$X$12971,AE$13)</f>
        <v>0</v>
      </c>
      <c r="AF6950" s="185">
        <f>SUMIFS($AD$37:$AD$12971,$V$37:$V$12971,$V6950,$X$37:$X$12971,AF$13)</f>
        <v>0</v>
      </c>
      <c r="AG6950" s="185">
        <f>SUMIFS($AD$37:$AD$12971,$V$37:$V$12971,$V6950,$X$37:$X$12971,AG$13)</f>
        <v>0</v>
      </c>
      <c r="AH6950" s="187">
        <f>SUMIFS($AD$37:$AD$12971,$V$37:$V$12971,$V6950,$X$37:$X$12971,AH$13)</f>
        <v>0</v>
      </c>
      <c r="AI6950" s="161">
        <f t="shared" ref="AI6950" si="4962">SUM(AE6950:AH6950)</f>
        <v>0</v>
      </c>
      <c r="AK6950" s="172"/>
    </row>
    <row r="6951" spans="1:41" s="102" customFormat="1" ht="19.899999999999999" customHeight="1" x14ac:dyDescent="0.25">
      <c r="A6951" s="45"/>
      <c r="B6951" s="59"/>
      <c r="C6951" s="137"/>
      <c r="D6951" s="59"/>
      <c r="E6951" s="116"/>
      <c r="F6951" s="120"/>
      <c r="G6951" s="120"/>
      <c r="H6951" s="120"/>
      <c r="I6951" s="60"/>
      <c r="J6951" s="116"/>
      <c r="K6951" s="213"/>
      <c r="L6951" s="120"/>
      <c r="M6951" s="120"/>
      <c r="N6951" s="167"/>
      <c r="O6951" s="120"/>
      <c r="P6951" s="120"/>
      <c r="Q6951" s="120"/>
      <c r="R6951" s="120"/>
      <c r="S6951" s="120"/>
      <c r="T6951" s="221"/>
      <c r="U6951" s="89"/>
      <c r="V6951" s="61"/>
      <c r="W6951" s="92" t="s">
        <v>129</v>
      </c>
      <c r="X6951" s="93" t="s">
        <v>29</v>
      </c>
      <c r="Y6951" s="93" t="s">
        <v>93</v>
      </c>
      <c r="Z6951" s="134">
        <f>VLOOKUP(W6951,Sheet2!$B:$D,3,FALSE)</f>
        <v>56</v>
      </c>
      <c r="AA6951" s="93">
        <f>100/(1*1.5)</f>
        <v>66.666666666666671</v>
      </c>
      <c r="AB6951" s="93">
        <f t="shared" ref="AB6951" si="4963">AD6951/AC6950</f>
        <v>0.84</v>
      </c>
      <c r="AC6951" s="93">
        <f>AC6950/AA6951</f>
        <v>0.11273250000000004</v>
      </c>
      <c r="AD6951" s="94">
        <f t="shared" ref="AD6951:AD6952" si="4964">AC6951*Z6951</f>
        <v>6.3130200000000025</v>
      </c>
      <c r="AE6951" s="190"/>
      <c r="AF6951" s="191"/>
      <c r="AG6951" s="191"/>
      <c r="AH6951" s="191"/>
      <c r="AI6951" s="186"/>
      <c r="AK6951" s="171"/>
    </row>
    <row r="6952" spans="1:41" s="102" customFormat="1" ht="19.899999999999999" customHeight="1" x14ac:dyDescent="0.25">
      <c r="A6952" s="45"/>
      <c r="B6952" s="59"/>
      <c r="C6952" s="137"/>
      <c r="D6952" s="59"/>
      <c r="E6952" s="116"/>
      <c r="F6952" s="120"/>
      <c r="G6952" s="120"/>
      <c r="H6952" s="120"/>
      <c r="I6952" s="60"/>
      <c r="J6952" s="116"/>
      <c r="K6952" s="213"/>
      <c r="L6952" s="120"/>
      <c r="M6952" s="120"/>
      <c r="N6952" s="167"/>
      <c r="O6952" s="120"/>
      <c r="P6952" s="120"/>
      <c r="Q6952" s="120"/>
      <c r="R6952" s="120"/>
      <c r="S6952" s="120"/>
      <c r="T6952" s="221"/>
      <c r="U6952" s="89"/>
      <c r="V6952" s="61"/>
      <c r="W6952" s="92" t="s">
        <v>65</v>
      </c>
      <c r="X6952" s="93" t="s">
        <v>30</v>
      </c>
      <c r="Y6952" s="93" t="s">
        <v>1011</v>
      </c>
      <c r="Z6952" s="134">
        <f>VLOOKUP(W6952,Sheet2!$B:$D,3,FALSE)</f>
        <v>1.76</v>
      </c>
      <c r="AA6952" s="93">
        <f>AA6951/14</f>
        <v>4.7619047619047619</v>
      </c>
      <c r="AB6952" s="93">
        <f>AD6952/AC6950</f>
        <v>0.36959999999999998</v>
      </c>
      <c r="AC6952" s="93">
        <f>AC6950/AA6952</f>
        <v>1.5782550000000006</v>
      </c>
      <c r="AD6952" s="94">
        <f t="shared" si="4964"/>
        <v>2.7777288000000011</v>
      </c>
      <c r="AE6952" s="190"/>
      <c r="AF6952" s="191"/>
      <c r="AG6952" s="191"/>
      <c r="AH6952" s="191"/>
      <c r="AI6952" s="186"/>
      <c r="AK6952" s="171"/>
    </row>
    <row r="6953" spans="1:41" s="102" customFormat="1" ht="19.899999999999999" customHeight="1" x14ac:dyDescent="0.25">
      <c r="A6953" s="45"/>
      <c r="B6953" s="59"/>
      <c r="C6953" s="137"/>
      <c r="D6953" s="59"/>
      <c r="E6953" s="116"/>
      <c r="F6953" s="120"/>
      <c r="G6953" s="120"/>
      <c r="H6953" s="120"/>
      <c r="I6953" s="60"/>
      <c r="J6953" s="116"/>
      <c r="K6953" s="213"/>
      <c r="L6953" s="120"/>
      <c r="M6953" s="120"/>
      <c r="N6953" s="167"/>
      <c r="O6953" s="120"/>
      <c r="P6953" s="120"/>
      <c r="Q6953" s="120"/>
      <c r="R6953" s="120"/>
      <c r="S6953" s="120"/>
      <c r="T6953" s="221"/>
      <c r="U6953" s="89"/>
      <c r="V6953" s="61"/>
      <c r="W6953" s="92" t="s">
        <v>161</v>
      </c>
      <c r="X6953" s="93" t="s">
        <v>29</v>
      </c>
      <c r="Y6953" s="93" t="s">
        <v>93</v>
      </c>
      <c r="Z6953" s="134">
        <f>VLOOKUP(W6953,Sheet2!$B:$D,3,FALSE)</f>
        <v>48</v>
      </c>
      <c r="AA6953" s="93">
        <f>(16*0.85*1.5)/(1*1.5)</f>
        <v>13.6</v>
      </c>
      <c r="AB6953" s="93">
        <f>AD6953/AC6950</f>
        <v>3.5294117647058827</v>
      </c>
      <c r="AC6953" s="93">
        <f>AC6950/AA6953</f>
        <v>0.55261029411764728</v>
      </c>
      <c r="AD6953" s="94">
        <f>AC6953*Z6953</f>
        <v>26.525294117647071</v>
      </c>
      <c r="AE6953" s="190"/>
      <c r="AF6953" s="191"/>
      <c r="AG6953" s="191"/>
      <c r="AH6953" s="191"/>
      <c r="AI6953" s="186"/>
      <c r="AK6953" s="171"/>
    </row>
    <row r="6954" spans="1:41" s="102" customFormat="1" ht="19.899999999999999" customHeight="1" x14ac:dyDescent="0.25">
      <c r="A6954" s="45"/>
      <c r="B6954" s="59"/>
      <c r="C6954" s="137"/>
      <c r="D6954" s="59"/>
      <c r="E6954" s="116"/>
      <c r="F6954" s="120"/>
      <c r="G6954" s="120"/>
      <c r="H6954" s="120"/>
      <c r="I6954" s="60"/>
      <c r="J6954" s="116"/>
      <c r="K6954" s="213"/>
      <c r="L6954" s="120"/>
      <c r="M6954" s="120"/>
      <c r="N6954" s="167"/>
      <c r="O6954" s="120"/>
      <c r="P6954" s="120"/>
      <c r="Q6954" s="120"/>
      <c r="R6954" s="120"/>
      <c r="S6954" s="120"/>
      <c r="T6954" s="221"/>
      <c r="U6954" s="89"/>
      <c r="V6954" s="61"/>
      <c r="W6954" s="92" t="s">
        <v>65</v>
      </c>
      <c r="X6954" s="93" t="s">
        <v>30</v>
      </c>
      <c r="Y6954" s="93" t="s">
        <v>1011</v>
      </c>
      <c r="Z6954" s="134">
        <f>VLOOKUP(W6954,Sheet2!$B:$D,3,FALSE)</f>
        <v>1.76</v>
      </c>
      <c r="AA6954" s="93">
        <f>AA6953/10</f>
        <v>1.3599999999999999</v>
      </c>
      <c r="AB6954" s="93">
        <f>AD6954/AC6950</f>
        <v>1.2941176470588238</v>
      </c>
      <c r="AC6954" s="93">
        <f>AC6950/AA6954</f>
        <v>5.5261029411764735</v>
      </c>
      <c r="AD6954" s="94">
        <f>AC6954*Z6954</f>
        <v>9.7259411764705934</v>
      </c>
      <c r="AE6954" s="190"/>
      <c r="AF6954" s="191"/>
      <c r="AG6954" s="191"/>
      <c r="AH6954" s="191"/>
      <c r="AI6954" s="186"/>
      <c r="AK6954" s="171"/>
    </row>
    <row r="6955" spans="1:41" s="102" customFormat="1" ht="19.899999999999999" customHeight="1" x14ac:dyDescent="0.25">
      <c r="A6955" s="45"/>
      <c r="B6955" s="59"/>
      <c r="C6955" s="137"/>
      <c r="D6955" s="59"/>
      <c r="E6955" s="116"/>
      <c r="F6955" s="120"/>
      <c r="G6955" s="120"/>
      <c r="H6955" s="120"/>
      <c r="I6955" s="60"/>
      <c r="J6955" s="116"/>
      <c r="K6955" s="213"/>
      <c r="L6955" s="120"/>
      <c r="M6955" s="120"/>
      <c r="N6955" s="167"/>
      <c r="O6955" s="120"/>
      <c r="P6955" s="120"/>
      <c r="Q6955" s="120"/>
      <c r="R6955" s="120"/>
      <c r="S6955" s="120"/>
      <c r="T6955" s="221"/>
      <c r="U6955" s="89"/>
      <c r="V6955" s="61"/>
      <c r="W6955" s="92" t="s">
        <v>1030</v>
      </c>
      <c r="X6955" s="93" t="s">
        <v>29</v>
      </c>
      <c r="Y6955" s="93" t="s">
        <v>93</v>
      </c>
      <c r="Z6955" s="134">
        <f>VLOOKUP(W6955,Sheet2!$B:$D,3,FALSE)</f>
        <v>23</v>
      </c>
      <c r="AA6955" s="93">
        <v>50</v>
      </c>
      <c r="AB6955" s="93">
        <f>AD6955/AC6950</f>
        <v>0.45999999999999996</v>
      </c>
      <c r="AC6955" s="93">
        <f>AC6950/AA6955</f>
        <v>0.15031000000000005</v>
      </c>
      <c r="AD6955" s="94">
        <f t="shared" ref="AD6955:AD6958" si="4965">AC6955*Z6955</f>
        <v>3.4571300000000011</v>
      </c>
      <c r="AE6955" s="190"/>
      <c r="AF6955" s="191"/>
      <c r="AG6955" s="191"/>
      <c r="AH6955" s="191"/>
      <c r="AI6955" s="186"/>
      <c r="AK6955" s="171"/>
    </row>
    <row r="6956" spans="1:41" s="102" customFormat="1" ht="19.899999999999999" customHeight="1" x14ac:dyDescent="0.25">
      <c r="A6956" s="45"/>
      <c r="B6956" s="59"/>
      <c r="C6956" s="137"/>
      <c r="D6956" s="59"/>
      <c r="E6956" s="116"/>
      <c r="F6956" s="120"/>
      <c r="G6956" s="120"/>
      <c r="H6956" s="120"/>
      <c r="I6956" s="60"/>
      <c r="J6956" s="116"/>
      <c r="K6956" s="213"/>
      <c r="L6956" s="120"/>
      <c r="M6956" s="120"/>
      <c r="N6956" s="167"/>
      <c r="O6956" s="120"/>
      <c r="P6956" s="120"/>
      <c r="Q6956" s="120"/>
      <c r="R6956" s="120"/>
      <c r="S6956" s="120"/>
      <c r="T6956" s="221"/>
      <c r="U6956" s="89"/>
      <c r="V6956" s="61"/>
      <c r="W6956" s="92" t="s">
        <v>65</v>
      </c>
      <c r="X6956" s="93" t="s">
        <v>30</v>
      </c>
      <c r="Y6956" s="93" t="s">
        <v>1011</v>
      </c>
      <c r="Z6956" s="134">
        <f>VLOOKUP(W6956,Sheet2!$B:$D,3,FALSE)</f>
        <v>1.76</v>
      </c>
      <c r="AA6956" s="93">
        <f>AA6955/3</f>
        <v>16.666666666666668</v>
      </c>
      <c r="AB6956" s="93">
        <f>AD6956/AC6950</f>
        <v>0.10559999999999999</v>
      </c>
      <c r="AC6956" s="93">
        <f>AC6950/AA6956</f>
        <v>0.45093000000000016</v>
      </c>
      <c r="AD6956" s="94">
        <f t="shared" si="4965"/>
        <v>0.79363680000000025</v>
      </c>
      <c r="AE6956" s="190"/>
      <c r="AF6956" s="191"/>
      <c r="AG6956" s="191"/>
      <c r="AH6956" s="191"/>
      <c r="AI6956" s="186"/>
      <c r="AK6956" s="171"/>
    </row>
    <row r="6957" spans="1:41" s="102" customFormat="1" ht="19.899999999999999" customHeight="1" x14ac:dyDescent="0.25">
      <c r="A6957" s="45"/>
      <c r="B6957" s="59"/>
      <c r="C6957" s="137"/>
      <c r="D6957" s="59"/>
      <c r="E6957" s="116"/>
      <c r="F6957" s="120"/>
      <c r="G6957" s="120"/>
      <c r="H6957" s="120"/>
      <c r="I6957" s="60"/>
      <c r="J6957" s="116"/>
      <c r="K6957" s="213"/>
      <c r="L6957" s="120"/>
      <c r="M6957" s="120"/>
      <c r="N6957" s="167"/>
      <c r="O6957" s="120"/>
      <c r="P6957" s="120"/>
      <c r="Q6957" s="120"/>
      <c r="R6957" s="120"/>
      <c r="S6957" s="120"/>
      <c r="T6957" s="221"/>
      <c r="U6957" s="89"/>
      <c r="V6957" s="61"/>
      <c r="W6957" s="92" t="s">
        <v>148</v>
      </c>
      <c r="X6957" s="93" t="s">
        <v>29</v>
      </c>
      <c r="Y6957" s="93" t="s">
        <v>93</v>
      </c>
      <c r="Z6957" s="134">
        <f>VLOOKUP(W6957,Sheet2!$B:$D,3,FALSE)</f>
        <v>48</v>
      </c>
      <c r="AA6957" s="93">
        <f>AA6951</f>
        <v>66.666666666666671</v>
      </c>
      <c r="AB6957" s="93">
        <f>AD6957/AC6950</f>
        <v>0.72000000000000008</v>
      </c>
      <c r="AC6957" s="93">
        <f>AC6950/AA6957</f>
        <v>0.11273250000000004</v>
      </c>
      <c r="AD6957" s="94">
        <f t="shared" si="4965"/>
        <v>5.4111600000000024</v>
      </c>
      <c r="AE6957" s="190"/>
      <c r="AF6957" s="191"/>
      <c r="AG6957" s="191"/>
      <c r="AH6957" s="191"/>
      <c r="AI6957" s="186"/>
      <c r="AK6957" s="171"/>
    </row>
    <row r="6958" spans="1:41" s="102" customFormat="1" ht="19.899999999999999" customHeight="1" x14ac:dyDescent="0.25">
      <c r="A6958" s="45"/>
      <c r="B6958" s="59"/>
      <c r="C6958" s="137"/>
      <c r="D6958" s="59"/>
      <c r="E6958" s="116"/>
      <c r="F6958" s="120"/>
      <c r="G6958" s="120"/>
      <c r="H6958" s="120"/>
      <c r="I6958" s="60"/>
      <c r="J6958" s="116"/>
      <c r="K6958" s="213"/>
      <c r="L6958" s="120"/>
      <c r="M6958" s="120"/>
      <c r="N6958" s="167"/>
      <c r="O6958" s="120"/>
      <c r="P6958" s="120"/>
      <c r="Q6958" s="120"/>
      <c r="R6958" s="120"/>
      <c r="S6958" s="120"/>
      <c r="T6958" s="221"/>
      <c r="U6958" s="89"/>
      <c r="V6958" s="61"/>
      <c r="W6958" s="92" t="s">
        <v>65</v>
      </c>
      <c r="X6958" s="93" t="s">
        <v>30</v>
      </c>
      <c r="Y6958" s="93" t="s">
        <v>1011</v>
      </c>
      <c r="Z6958" s="134">
        <f>VLOOKUP(W6958,Sheet2!$B:$D,3,FALSE)</f>
        <v>1.76</v>
      </c>
      <c r="AA6958" s="93">
        <f>AA6957/10</f>
        <v>6.666666666666667</v>
      </c>
      <c r="AB6958" s="93">
        <f>AD6958/AC6950</f>
        <v>0.26399999999999996</v>
      </c>
      <c r="AC6958" s="93">
        <f>AC6950/AA6958</f>
        <v>1.1273250000000004</v>
      </c>
      <c r="AD6958" s="94">
        <f t="shared" si="4965"/>
        <v>1.9840920000000006</v>
      </c>
      <c r="AE6958" s="190"/>
      <c r="AF6958" s="191"/>
      <c r="AG6958" s="191"/>
      <c r="AH6958" s="191"/>
      <c r="AI6958" s="186"/>
      <c r="AK6958" s="171"/>
    </row>
    <row r="6959" spans="1:41" s="103" customFormat="1" ht="19.899999999999999" customHeight="1" x14ac:dyDescent="0.25">
      <c r="A6959" s="51"/>
      <c r="B6959" s="52"/>
      <c r="C6959" s="165"/>
      <c r="D6959" s="52"/>
      <c r="E6959" s="115"/>
      <c r="F6959" s="58"/>
      <c r="G6959" s="58"/>
      <c r="H6959" s="58"/>
      <c r="I6959" s="55"/>
      <c r="J6959" s="113">
        <f>J6949</f>
        <v>7.515500000000003</v>
      </c>
      <c r="K6959" s="212">
        <f>K6949</f>
        <v>7.515500000000003</v>
      </c>
      <c r="L6959" s="58"/>
      <c r="M6959" s="58">
        <f>K6959-L6959</f>
        <v>7.515500000000003</v>
      </c>
      <c r="N6959" s="166"/>
      <c r="O6959" s="58"/>
      <c r="P6959" s="58"/>
      <c r="Q6959" s="58"/>
      <c r="R6959" s="58"/>
      <c r="S6959" s="58"/>
      <c r="T6959" s="220"/>
      <c r="U6959" s="88"/>
      <c r="V6959" s="56"/>
      <c r="W6959" s="57" t="s">
        <v>1036</v>
      </c>
      <c r="X6959" s="53"/>
      <c r="Y6959" s="91" t="s">
        <v>68</v>
      </c>
      <c r="Z6959" s="136">
        <f>AD6959/AC6959</f>
        <v>102.58333333333334</v>
      </c>
      <c r="AA6959" s="58"/>
      <c r="AB6959" s="53">
        <f>AD6959/AC6959</f>
        <v>102.58333333333334</v>
      </c>
      <c r="AC6959" s="53">
        <f>M6959+$AE$10</f>
        <v>7.515500000000003</v>
      </c>
      <c r="AD6959" s="54">
        <f>SUM(AD6960:AD6966)</f>
        <v>770.96504166666705</v>
      </c>
      <c r="AE6959" s="184">
        <f>SUMIFS($AD$37:$AD$12971,$V$37:$V$12971,$V6959,$X$37:$X$12971,AE$13)</f>
        <v>0</v>
      </c>
      <c r="AF6959" s="185">
        <f>SUMIFS($AD$37:$AD$12971,$V$37:$V$12971,$V6959,$X$37:$X$12971,AF$13)</f>
        <v>0</v>
      </c>
      <c r="AG6959" s="185">
        <f>SUMIFS($AD$37:$AD$12971,$V$37:$V$12971,$V6959,$X$37:$X$12971,AG$13)</f>
        <v>0</v>
      </c>
      <c r="AH6959" s="187">
        <f>SUMIFS($AD$37:$AD$12971,$V$37:$V$12971,$V6959,$X$37:$X$12971,AH$13)</f>
        <v>0</v>
      </c>
      <c r="AI6959" s="161">
        <f t="shared" ref="AI6959" si="4966">SUM(AE6959:AH6959)</f>
        <v>0</v>
      </c>
      <c r="AK6959" s="172"/>
    </row>
    <row r="6960" spans="1:41" s="102" customFormat="1" ht="19.899999999999999" customHeight="1" x14ac:dyDescent="0.25">
      <c r="A6960" s="45"/>
      <c r="B6960" s="59"/>
      <c r="C6960" s="137"/>
      <c r="D6960" s="59"/>
      <c r="E6960" s="116"/>
      <c r="F6960" s="120"/>
      <c r="G6960" s="120"/>
      <c r="H6960" s="120"/>
      <c r="I6960" s="60"/>
      <c r="J6960" s="116"/>
      <c r="K6960" s="213"/>
      <c r="L6960" s="120"/>
      <c r="M6960" s="120"/>
      <c r="N6960" s="167"/>
      <c r="O6960" s="120"/>
      <c r="P6960" s="120"/>
      <c r="Q6960" s="120"/>
      <c r="R6960" s="120"/>
      <c r="S6960" s="120"/>
      <c r="T6960" s="221"/>
      <c r="U6960" s="89"/>
      <c r="V6960" s="61"/>
      <c r="W6960" s="92" t="s">
        <v>1045</v>
      </c>
      <c r="X6960" s="93" t="s">
        <v>30</v>
      </c>
      <c r="Y6960" s="93" t="s">
        <v>68</v>
      </c>
      <c r="Z6960" s="134">
        <f>VLOOKUP(W6960,Sheet2!$B:$D,3,FALSE)</f>
        <v>52</v>
      </c>
      <c r="AA6960" s="93">
        <v>1</v>
      </c>
      <c r="AB6960" s="93">
        <f>AD6960/AC6959</f>
        <v>52</v>
      </c>
      <c r="AC6960" s="93">
        <f>AC6959/AA6960</f>
        <v>7.515500000000003</v>
      </c>
      <c r="AD6960" s="94">
        <f t="shared" ref="AD6960" si="4967">AC6960*Z6960</f>
        <v>390.80600000000015</v>
      </c>
      <c r="AE6960" s="190"/>
      <c r="AF6960" s="191"/>
      <c r="AG6960" s="191"/>
      <c r="AH6960" s="191"/>
      <c r="AI6960" s="186"/>
      <c r="AK6960" s="171"/>
    </row>
    <row r="6961" spans="1:41" s="102" customFormat="1" ht="19.899999999999999" customHeight="1" x14ac:dyDescent="0.25">
      <c r="A6961" s="45"/>
      <c r="B6961" s="59"/>
      <c r="C6961" s="137"/>
      <c r="D6961" s="59"/>
      <c r="E6961" s="116"/>
      <c r="F6961" s="120"/>
      <c r="G6961" s="120"/>
      <c r="H6961" s="120"/>
      <c r="I6961" s="60"/>
      <c r="J6961" s="116"/>
      <c r="K6961" s="213"/>
      <c r="L6961" s="120"/>
      <c r="M6961" s="120"/>
      <c r="N6961" s="167"/>
      <c r="O6961" s="120"/>
      <c r="P6961" s="120"/>
      <c r="Q6961" s="120"/>
      <c r="R6961" s="120"/>
      <c r="S6961" s="120"/>
      <c r="T6961" s="221"/>
      <c r="U6961" s="89"/>
      <c r="V6961" s="61"/>
      <c r="W6961" s="92" t="s">
        <v>1043</v>
      </c>
      <c r="X6961" s="93" t="s">
        <v>30</v>
      </c>
      <c r="Y6961" s="93" t="s">
        <v>68</v>
      </c>
      <c r="Z6961" s="134">
        <f>VLOOKUP(W6961,Sheet2!$B:$D,3,FALSE)</f>
        <v>5</v>
      </c>
      <c r="AA6961" s="93">
        <v>1</v>
      </c>
      <c r="AB6961" s="93">
        <f>AD6961/AC6959</f>
        <v>5</v>
      </c>
      <c r="AC6961" s="93">
        <f>AC6959/AA6961</f>
        <v>7.515500000000003</v>
      </c>
      <c r="AD6961" s="94">
        <f>AC6961*Z6961</f>
        <v>37.577500000000015</v>
      </c>
      <c r="AE6961" s="190"/>
      <c r="AF6961" s="191"/>
      <c r="AG6961" s="191"/>
      <c r="AH6961" s="191"/>
      <c r="AI6961" s="186"/>
      <c r="AK6961" s="171"/>
    </row>
    <row r="6962" spans="1:41" s="102" customFormat="1" ht="19.899999999999999" customHeight="1" x14ac:dyDescent="0.25">
      <c r="A6962" s="45"/>
      <c r="B6962" s="59"/>
      <c r="C6962" s="137"/>
      <c r="D6962" s="59"/>
      <c r="E6962" s="116"/>
      <c r="F6962" s="120"/>
      <c r="G6962" s="120"/>
      <c r="H6962" s="120"/>
      <c r="I6962" s="60"/>
      <c r="J6962" s="116"/>
      <c r="K6962" s="213"/>
      <c r="L6962" s="120"/>
      <c r="M6962" s="120"/>
      <c r="N6962" s="167"/>
      <c r="O6962" s="120"/>
      <c r="P6962" s="120"/>
      <c r="Q6962" s="120"/>
      <c r="R6962" s="120"/>
      <c r="S6962" s="120"/>
      <c r="T6962" s="221"/>
      <c r="U6962" s="89"/>
      <c r="V6962" s="61"/>
      <c r="W6962" s="92" t="s">
        <v>107</v>
      </c>
      <c r="X6962" s="93" t="s">
        <v>31</v>
      </c>
      <c r="Y6962" s="93" t="s">
        <v>93</v>
      </c>
      <c r="Z6962" s="134">
        <f>VLOOKUP(W6962,Sheet2!$B:$D,3,FALSE)</f>
        <v>17</v>
      </c>
      <c r="AA6962" s="93">
        <v>6</v>
      </c>
      <c r="AB6962" s="93">
        <f>AD6962/AC6959</f>
        <v>2.8333333333333335</v>
      </c>
      <c r="AC6962" s="93">
        <f>AC6959/AA6962</f>
        <v>1.2525833333333338</v>
      </c>
      <c r="AD6962" s="94">
        <f>AC6962*Z6962</f>
        <v>21.293916666666675</v>
      </c>
      <c r="AE6962" s="190"/>
      <c r="AF6962" s="191"/>
      <c r="AG6962" s="191"/>
      <c r="AH6962" s="191"/>
      <c r="AI6962" s="186"/>
      <c r="AK6962" s="171"/>
    </row>
    <row r="6963" spans="1:41" s="102" customFormat="1" ht="19.899999999999999" customHeight="1" x14ac:dyDescent="0.25">
      <c r="A6963" s="45"/>
      <c r="B6963" s="59"/>
      <c r="C6963" s="137"/>
      <c r="D6963" s="59"/>
      <c r="E6963" s="116"/>
      <c r="F6963" s="120"/>
      <c r="G6963" s="120"/>
      <c r="H6963" s="120"/>
      <c r="I6963" s="60"/>
      <c r="J6963" s="116"/>
      <c r="K6963" s="213"/>
      <c r="L6963" s="120"/>
      <c r="M6963" s="120"/>
      <c r="N6963" s="167"/>
      <c r="O6963" s="120"/>
      <c r="P6963" s="120"/>
      <c r="Q6963" s="120"/>
      <c r="R6963" s="120"/>
      <c r="S6963" s="120"/>
      <c r="T6963" s="221"/>
      <c r="U6963" s="89"/>
      <c r="V6963" s="61"/>
      <c r="W6963" s="92" t="s">
        <v>112</v>
      </c>
      <c r="X6963" s="93" t="s">
        <v>31</v>
      </c>
      <c r="Y6963" s="93" t="s">
        <v>93</v>
      </c>
      <c r="Z6963" s="134">
        <f>VLOOKUP(W6963,Sheet2!$B:$D,3,FALSE)</f>
        <v>13</v>
      </c>
      <c r="AA6963" s="93">
        <v>6</v>
      </c>
      <c r="AB6963" s="93">
        <f>AD6963/AC6959</f>
        <v>2.1666666666666665</v>
      </c>
      <c r="AC6963" s="93">
        <f>AC6959/AA6963</f>
        <v>1.2525833333333338</v>
      </c>
      <c r="AD6963" s="94">
        <f>AC6963*Z6963</f>
        <v>16.28358333333334</v>
      </c>
      <c r="AE6963" s="190"/>
      <c r="AF6963" s="191"/>
      <c r="AG6963" s="191"/>
      <c r="AH6963" s="191"/>
      <c r="AI6963" s="186"/>
      <c r="AK6963" s="171"/>
    </row>
    <row r="6964" spans="1:41" s="102" customFormat="1" ht="19.899999999999999" customHeight="1" x14ac:dyDescent="0.25">
      <c r="A6964" s="45"/>
      <c r="B6964" s="59"/>
      <c r="C6964" s="137"/>
      <c r="D6964" s="59"/>
      <c r="E6964" s="116"/>
      <c r="F6964" s="120"/>
      <c r="G6964" s="120"/>
      <c r="H6964" s="120"/>
      <c r="I6964" s="60"/>
      <c r="J6964" s="116"/>
      <c r="K6964" s="213"/>
      <c r="L6964" s="120"/>
      <c r="M6964" s="120"/>
      <c r="N6964" s="167"/>
      <c r="O6964" s="120"/>
      <c r="P6964" s="120"/>
      <c r="Q6964" s="120"/>
      <c r="R6964" s="120"/>
      <c r="S6964" s="120"/>
      <c r="T6964" s="221"/>
      <c r="U6964" s="89"/>
      <c r="V6964" s="61"/>
      <c r="W6964" s="92" t="s">
        <v>1032</v>
      </c>
      <c r="X6964" s="93" t="s">
        <v>30</v>
      </c>
      <c r="Y6964" s="93" t="s">
        <v>66</v>
      </c>
      <c r="Z6964" s="134">
        <f>VLOOKUP(W6964,Sheet2!$B:$D,3,FALSE)</f>
        <v>250</v>
      </c>
      <c r="AA6964" s="93">
        <f>1/(1*1*0.1)</f>
        <v>10</v>
      </c>
      <c r="AB6964" s="93">
        <f>AD6964/AC6959</f>
        <v>25</v>
      </c>
      <c r="AC6964" s="93">
        <f>AC6959/AA6964</f>
        <v>0.75155000000000027</v>
      </c>
      <c r="AD6964" s="94">
        <f>AC6964*Z6964</f>
        <v>187.88750000000007</v>
      </c>
      <c r="AE6964" s="190"/>
      <c r="AF6964" s="191"/>
      <c r="AG6964" s="191"/>
      <c r="AH6964" s="191"/>
      <c r="AI6964" s="186"/>
      <c r="AK6964" s="171"/>
    </row>
    <row r="6965" spans="1:41" s="102" customFormat="1" ht="19.899999999999999" customHeight="1" x14ac:dyDescent="0.25">
      <c r="A6965" s="45"/>
      <c r="B6965" s="59"/>
      <c r="C6965" s="137"/>
      <c r="D6965" s="59"/>
      <c r="E6965" s="116"/>
      <c r="F6965" s="120"/>
      <c r="G6965" s="120"/>
      <c r="H6965" s="120"/>
      <c r="I6965" s="60"/>
      <c r="J6965" s="116"/>
      <c r="K6965" s="213"/>
      <c r="L6965" s="120"/>
      <c r="M6965" s="120"/>
      <c r="N6965" s="167"/>
      <c r="O6965" s="120"/>
      <c r="P6965" s="120"/>
      <c r="Q6965" s="120"/>
      <c r="R6965" s="120"/>
      <c r="S6965" s="120"/>
      <c r="T6965" s="221"/>
      <c r="U6965" s="89"/>
      <c r="V6965" s="61"/>
      <c r="W6965" s="92" t="s">
        <v>1035</v>
      </c>
      <c r="X6965" s="93" t="s">
        <v>32</v>
      </c>
      <c r="Y6965" s="93" t="s">
        <v>66</v>
      </c>
      <c r="Z6965" s="134">
        <f>VLOOKUP(W6965,Sheet2!$B:$D,3,FALSE)</f>
        <v>150</v>
      </c>
      <c r="AA6965" s="93">
        <f>AA6964</f>
        <v>10</v>
      </c>
      <c r="AB6965" s="93">
        <f>AD6965/AC6959</f>
        <v>15</v>
      </c>
      <c r="AC6965" s="93">
        <f>AC6959/AA6965</f>
        <v>0.75155000000000027</v>
      </c>
      <c r="AD6965" s="94">
        <f t="shared" ref="AD6965" si="4968">AC6965*Z6965</f>
        <v>112.73250000000004</v>
      </c>
      <c r="AE6965" s="190"/>
      <c r="AF6965" s="191"/>
      <c r="AG6965" s="191"/>
      <c r="AH6965" s="191"/>
      <c r="AI6965" s="186"/>
      <c r="AK6965" s="171"/>
    </row>
    <row r="6966" spans="1:41" s="102" customFormat="1" ht="19.899999999999999" customHeight="1" x14ac:dyDescent="0.25">
      <c r="A6966" s="45"/>
      <c r="B6966" s="59"/>
      <c r="C6966" s="137"/>
      <c r="D6966" s="59"/>
      <c r="E6966" s="116"/>
      <c r="F6966" s="120"/>
      <c r="G6966" s="120"/>
      <c r="H6966" s="120"/>
      <c r="I6966" s="60"/>
      <c r="J6966" s="116"/>
      <c r="K6966" s="213"/>
      <c r="L6966" s="120"/>
      <c r="M6966" s="120"/>
      <c r="N6966" s="167"/>
      <c r="O6966" s="120"/>
      <c r="P6966" s="120"/>
      <c r="Q6966" s="120"/>
      <c r="R6966" s="120"/>
      <c r="S6966" s="120"/>
      <c r="T6966" s="221"/>
      <c r="U6966" s="89"/>
      <c r="V6966" s="61"/>
      <c r="W6966" s="92" t="s">
        <v>1037</v>
      </c>
      <c r="X6966" s="93" t="s">
        <v>30</v>
      </c>
      <c r="Y6966" s="93" t="s">
        <v>1038</v>
      </c>
      <c r="Z6966" s="134">
        <f>VLOOKUP(W6966,Sheet2!$B:$D,3,FALSE)</f>
        <v>175</v>
      </c>
      <c r="AA6966" s="93">
        <v>300</v>
      </c>
      <c r="AB6966" s="93">
        <f>AD6966/AC6959</f>
        <v>0.58333333333333337</v>
      </c>
      <c r="AC6966" s="93">
        <f>AC6959/AA6966</f>
        <v>2.5051666666666677E-2</v>
      </c>
      <c r="AD6966" s="94">
        <f t="shared" ref="AD6966" si="4969">AC6966*Z6966</f>
        <v>4.3840416666666684</v>
      </c>
      <c r="AE6966" s="190"/>
      <c r="AF6966" s="191"/>
      <c r="AG6966" s="191"/>
      <c r="AH6966" s="191"/>
      <c r="AI6966" s="186"/>
      <c r="AK6966" s="171"/>
    </row>
    <row r="6967" spans="1:41" s="103" customFormat="1" ht="19.899999999999999" customHeight="1" x14ac:dyDescent="0.25">
      <c r="A6967" s="51"/>
      <c r="B6967" s="52"/>
      <c r="C6967" s="165"/>
      <c r="D6967" s="52"/>
      <c r="E6967" s="115"/>
      <c r="F6967" s="58"/>
      <c r="G6967" s="58"/>
      <c r="H6967" s="58"/>
      <c r="I6967" s="55"/>
      <c r="J6967" s="113">
        <f>J6949</f>
        <v>7.515500000000003</v>
      </c>
      <c r="K6967" s="212">
        <f>K6949</f>
        <v>7.515500000000003</v>
      </c>
      <c r="L6967" s="58"/>
      <c r="M6967" s="58">
        <f>K6967-L6967</f>
        <v>7.515500000000003</v>
      </c>
      <c r="N6967" s="166"/>
      <c r="O6967" s="58"/>
      <c r="P6967" s="58"/>
      <c r="Q6967" s="58"/>
      <c r="R6967" s="58"/>
      <c r="S6967" s="58"/>
      <c r="T6967" s="220"/>
      <c r="U6967" s="88"/>
      <c r="V6967" s="56"/>
      <c r="W6967" s="57" t="s">
        <v>1040</v>
      </c>
      <c r="X6967" s="53"/>
      <c r="Y6967" s="91" t="s">
        <v>68</v>
      </c>
      <c r="Z6967" s="136">
        <f>AD6967/AC6967</f>
        <v>5</v>
      </c>
      <c r="AA6967" s="58"/>
      <c r="AB6967" s="53">
        <f>AD6967/AC6967</f>
        <v>5</v>
      </c>
      <c r="AC6967" s="53">
        <f>M6967+$AE$10</f>
        <v>7.515500000000003</v>
      </c>
      <c r="AD6967" s="54">
        <f>SUM(AD6968)</f>
        <v>37.577500000000015</v>
      </c>
      <c r="AE6967" s="184">
        <f>SUMIFS($AD$37:$AD$12971,$V$37:$V$12971,$V6967,$X$37:$X$12971,AE$13)</f>
        <v>0</v>
      </c>
      <c r="AF6967" s="185">
        <f>SUMIFS($AD$37:$AD$12971,$V$37:$V$12971,$V6967,$X$37:$X$12971,AF$13)</f>
        <v>0</v>
      </c>
      <c r="AG6967" s="185">
        <f>SUMIFS($AD$37:$AD$12971,$V$37:$V$12971,$V6967,$X$37:$X$12971,AG$13)</f>
        <v>0</v>
      </c>
      <c r="AH6967" s="187">
        <f>SUMIFS($AD$37:$AD$12971,$V$37:$V$12971,$V6967,$X$37:$X$12971,AH$13)</f>
        <v>0</v>
      </c>
      <c r="AI6967" s="161">
        <f t="shared" ref="AI6967" si="4970">SUM(AE6967:AH6967)</f>
        <v>0</v>
      </c>
      <c r="AK6967" s="172"/>
    </row>
    <row r="6968" spans="1:41" s="102" customFormat="1" ht="19.899999999999999" customHeight="1" x14ac:dyDescent="0.25">
      <c r="A6968" s="45"/>
      <c r="B6968" s="59"/>
      <c r="C6968" s="137"/>
      <c r="D6968" s="59"/>
      <c r="E6968" s="116"/>
      <c r="F6968" s="120"/>
      <c r="G6968" s="120"/>
      <c r="H6968" s="120"/>
      <c r="I6968" s="60"/>
      <c r="J6968" s="116"/>
      <c r="K6968" s="213"/>
      <c r="L6968" s="120"/>
      <c r="M6968" s="120"/>
      <c r="N6968" s="167"/>
      <c r="O6968" s="120"/>
      <c r="P6968" s="120"/>
      <c r="Q6968" s="120"/>
      <c r="R6968" s="120"/>
      <c r="S6968" s="120"/>
      <c r="T6968" s="221"/>
      <c r="U6968" s="89"/>
      <c r="V6968" s="61"/>
      <c r="W6968" s="92" t="s">
        <v>1039</v>
      </c>
      <c r="X6968" s="93" t="s">
        <v>32</v>
      </c>
      <c r="Y6968" s="93" t="s">
        <v>68</v>
      </c>
      <c r="Z6968" s="134">
        <f>VLOOKUP(W6968,Sheet2!$B:$D,3,FALSE)</f>
        <v>5</v>
      </c>
      <c r="AA6968" s="93">
        <v>1</v>
      </c>
      <c r="AB6968" s="93">
        <f>AD6968/AC6967</f>
        <v>5</v>
      </c>
      <c r="AC6968" s="93">
        <f>AC6967/AA6968</f>
        <v>7.515500000000003</v>
      </c>
      <c r="AD6968" s="94">
        <f t="shared" ref="AD6968" si="4971">AC6968*Z6968</f>
        <v>37.577500000000015</v>
      </c>
      <c r="AE6968" s="190"/>
      <c r="AF6968" s="191"/>
      <c r="AG6968" s="191"/>
      <c r="AH6968" s="191"/>
      <c r="AI6968" s="186"/>
      <c r="AK6968" s="171"/>
    </row>
    <row r="6969" spans="1:41" ht="20.100000000000001" customHeight="1" x14ac:dyDescent="0.25">
      <c r="A6969" s="277" t="s">
        <v>703</v>
      </c>
      <c r="B6969" s="278"/>
      <c r="C6969" s="64" t="s">
        <v>707</v>
      </c>
      <c r="D6969" s="46" t="s">
        <v>97</v>
      </c>
      <c r="E6969" s="114">
        <v>9.3064999999999998</v>
      </c>
      <c r="F6969" s="44">
        <v>291</v>
      </c>
      <c r="G6969" s="44">
        <f t="shared" si="4575"/>
        <v>2708.1914999999999</v>
      </c>
      <c r="H6969" s="44">
        <f t="shared" si="4576"/>
        <v>117.50510588235295</v>
      </c>
      <c r="I6969" s="43">
        <f t="shared" si="4577"/>
        <v>1093.5612678941177</v>
      </c>
      <c r="J6969" s="112">
        <f t="shared" si="4578"/>
        <v>9.3064999999999998</v>
      </c>
      <c r="K6969" s="211">
        <f t="shared" si="4579"/>
        <v>9.3064999999999998</v>
      </c>
      <c r="L6969" s="44"/>
      <c r="M6969" s="44">
        <f t="shared" si="4580"/>
        <v>9.3064999999999998</v>
      </c>
      <c r="N6969" s="173">
        <f t="shared" si="4581"/>
        <v>1</v>
      </c>
      <c r="O6969" s="44">
        <f t="shared" si="4582"/>
        <v>291</v>
      </c>
      <c r="P6969" s="44">
        <f t="shared" si="4583"/>
        <v>2708.1914999999999</v>
      </c>
      <c r="Q6969" s="44">
        <f t="shared" si="4584"/>
        <v>117.50510588235295</v>
      </c>
      <c r="R6969" s="44">
        <f t="shared" si="4585"/>
        <v>1093.5612678941177</v>
      </c>
      <c r="S6969" s="123"/>
      <c r="T6969" s="219">
        <f t="shared" si="4586"/>
        <v>1093.5612678941177</v>
      </c>
      <c r="U6969" s="87"/>
      <c r="V6969" s="47"/>
      <c r="W6969" s="48"/>
      <c r="X6969" s="48"/>
      <c r="Y6969" s="48"/>
      <c r="Z6969" s="135"/>
      <c r="AA6969" s="49"/>
      <c r="AB6969" s="50">
        <f t="shared" si="4587"/>
        <v>117.50510588235295</v>
      </c>
      <c r="AC6969" s="42">
        <f t="shared" si="4588"/>
        <v>9.3064999999999998</v>
      </c>
      <c r="AD6969" s="90">
        <f>AD6970+AD6979+AD6987</f>
        <v>1093.5612678941177</v>
      </c>
      <c r="AE6969" s="188">
        <f t="shared" ref="AE6969" si="4972">AE6970+AE6979+AE6987</f>
        <v>0</v>
      </c>
      <c r="AF6969" s="189">
        <f t="shared" ref="AF6969" si="4973">AF6970+AF6979+AF6987</f>
        <v>0</v>
      </c>
      <c r="AG6969" s="189">
        <f t="shared" ref="AG6969" si="4974">AG6970+AG6979+AG6987</f>
        <v>0</v>
      </c>
      <c r="AH6969" s="189">
        <f t="shared" ref="AH6969" si="4975">AH6970+AH6979+AH6987</f>
        <v>0</v>
      </c>
      <c r="AI6969" s="161">
        <f t="shared" ref="AI6969" si="4976">SUM(AE6969:AH6969)</f>
        <v>0</v>
      </c>
      <c r="AK6969" s="169">
        <v>5</v>
      </c>
      <c r="AO6969" s="19" t="s">
        <v>63</v>
      </c>
    </row>
    <row r="6970" spans="1:41" s="103" customFormat="1" ht="19.899999999999999" customHeight="1" x14ac:dyDescent="0.25">
      <c r="A6970" s="51"/>
      <c r="B6970" s="52"/>
      <c r="C6970" s="165"/>
      <c r="D6970" s="52"/>
      <c r="E6970" s="115"/>
      <c r="F6970" s="58"/>
      <c r="G6970" s="58"/>
      <c r="H6970" s="58"/>
      <c r="I6970" s="55"/>
      <c r="J6970" s="113">
        <f>J6969</f>
        <v>9.3064999999999998</v>
      </c>
      <c r="K6970" s="212">
        <f>K6969</f>
        <v>9.3064999999999998</v>
      </c>
      <c r="L6970" s="58"/>
      <c r="M6970" s="58">
        <f>K6970-L6970</f>
        <v>9.3064999999999998</v>
      </c>
      <c r="N6970" s="166"/>
      <c r="O6970" s="58"/>
      <c r="P6970" s="58"/>
      <c r="Q6970" s="58"/>
      <c r="R6970" s="58"/>
      <c r="S6970" s="58"/>
      <c r="T6970" s="220"/>
      <c r="U6970" s="88"/>
      <c r="V6970" s="56"/>
      <c r="W6970" s="57" t="s">
        <v>1041</v>
      </c>
      <c r="X6970" s="53"/>
      <c r="Y6970" s="91" t="s">
        <v>68</v>
      </c>
      <c r="Z6970" s="136">
        <f>AD6970/AC6970</f>
        <v>9.9217725490196091</v>
      </c>
      <c r="AA6970" s="58"/>
      <c r="AB6970" s="53">
        <f>AD6970/AC6970</f>
        <v>9.9217725490196091</v>
      </c>
      <c r="AC6970" s="53">
        <f>M6970+$AE$10</f>
        <v>9.3064999999999998</v>
      </c>
      <c r="AD6970" s="54">
        <f>SUM(AD6971:AD6978)</f>
        <v>92.33697622745099</v>
      </c>
      <c r="AE6970" s="184">
        <f>SUMIFS($AD$37:$AD$12971,$V$37:$V$12971,$V6970,$X$37:$X$12971,AE$13)</f>
        <v>0</v>
      </c>
      <c r="AF6970" s="185">
        <f>SUMIFS($AD$37:$AD$12971,$V$37:$V$12971,$V6970,$X$37:$X$12971,AF$13)</f>
        <v>0</v>
      </c>
      <c r="AG6970" s="185">
        <f>SUMIFS($AD$37:$AD$12971,$V$37:$V$12971,$V6970,$X$37:$X$12971,AG$13)</f>
        <v>0</v>
      </c>
      <c r="AH6970" s="187">
        <f>SUMIFS($AD$37:$AD$12971,$V$37:$V$12971,$V6970,$X$37:$X$12971,AH$13)</f>
        <v>0</v>
      </c>
      <c r="AI6970" s="161">
        <f t="shared" ref="AI6970" si="4977">SUM(AE6970:AH6970)</f>
        <v>0</v>
      </c>
      <c r="AK6970" s="172"/>
    </row>
    <row r="6971" spans="1:41" s="102" customFormat="1" ht="19.899999999999999" customHeight="1" x14ac:dyDescent="0.25">
      <c r="A6971" s="45"/>
      <c r="B6971" s="59"/>
      <c r="C6971" s="137"/>
      <c r="D6971" s="59"/>
      <c r="E6971" s="116"/>
      <c r="F6971" s="120"/>
      <c r="G6971" s="120"/>
      <c r="H6971" s="120"/>
      <c r="I6971" s="60"/>
      <c r="J6971" s="116"/>
      <c r="K6971" s="213"/>
      <c r="L6971" s="120"/>
      <c r="M6971" s="120"/>
      <c r="N6971" s="167"/>
      <c r="O6971" s="120"/>
      <c r="P6971" s="120"/>
      <c r="Q6971" s="120"/>
      <c r="R6971" s="120"/>
      <c r="S6971" s="120"/>
      <c r="T6971" s="221"/>
      <c r="U6971" s="89"/>
      <c r="V6971" s="61"/>
      <c r="W6971" s="92" t="s">
        <v>129</v>
      </c>
      <c r="X6971" s="93" t="s">
        <v>29</v>
      </c>
      <c r="Y6971" s="93" t="s">
        <v>93</v>
      </c>
      <c r="Z6971" s="134">
        <f>VLOOKUP(W6971,Sheet2!$B:$D,3,FALSE)</f>
        <v>56</v>
      </c>
      <c r="AA6971" s="93">
        <f>100/(1*2)</f>
        <v>50</v>
      </c>
      <c r="AB6971" s="93">
        <f t="shared" ref="AB6971" si="4978">AD6971/AC6970</f>
        <v>1.1200000000000001</v>
      </c>
      <c r="AC6971" s="93">
        <f>AC6970/AA6971</f>
        <v>0.18612999999999999</v>
      </c>
      <c r="AD6971" s="94">
        <f t="shared" ref="AD6971:AD6972" si="4979">AC6971*Z6971</f>
        <v>10.42328</v>
      </c>
      <c r="AE6971" s="190"/>
      <c r="AF6971" s="191"/>
      <c r="AG6971" s="191"/>
      <c r="AH6971" s="191"/>
      <c r="AI6971" s="186"/>
      <c r="AK6971" s="171"/>
    </row>
    <row r="6972" spans="1:41" s="102" customFormat="1" ht="19.899999999999999" customHeight="1" x14ac:dyDescent="0.25">
      <c r="A6972" s="45"/>
      <c r="B6972" s="59"/>
      <c r="C6972" s="137"/>
      <c r="D6972" s="59"/>
      <c r="E6972" s="116"/>
      <c r="F6972" s="120"/>
      <c r="G6972" s="120"/>
      <c r="H6972" s="120"/>
      <c r="I6972" s="60"/>
      <c r="J6972" s="116"/>
      <c r="K6972" s="213"/>
      <c r="L6972" s="120"/>
      <c r="M6972" s="120"/>
      <c r="N6972" s="167"/>
      <c r="O6972" s="120"/>
      <c r="P6972" s="120"/>
      <c r="Q6972" s="120"/>
      <c r="R6972" s="120"/>
      <c r="S6972" s="120"/>
      <c r="T6972" s="221"/>
      <c r="U6972" s="89"/>
      <c r="V6972" s="61"/>
      <c r="W6972" s="92" t="s">
        <v>65</v>
      </c>
      <c r="X6972" s="93" t="s">
        <v>30</v>
      </c>
      <c r="Y6972" s="93" t="s">
        <v>1011</v>
      </c>
      <c r="Z6972" s="134">
        <f>VLOOKUP(W6972,Sheet2!$B:$D,3,FALSE)</f>
        <v>1.76</v>
      </c>
      <c r="AA6972" s="93">
        <f>AA6971/14</f>
        <v>3.5714285714285716</v>
      </c>
      <c r="AB6972" s="93">
        <f>AD6972/AC6970</f>
        <v>0.49279999999999996</v>
      </c>
      <c r="AC6972" s="93">
        <f>AC6970/AA6972</f>
        <v>2.6058199999999996</v>
      </c>
      <c r="AD6972" s="94">
        <f t="shared" si="4979"/>
        <v>4.5862431999999993</v>
      </c>
      <c r="AE6972" s="190"/>
      <c r="AF6972" s="191"/>
      <c r="AG6972" s="191"/>
      <c r="AH6972" s="191"/>
      <c r="AI6972" s="186"/>
      <c r="AK6972" s="171"/>
    </row>
    <row r="6973" spans="1:41" s="102" customFormat="1" ht="19.899999999999999" customHeight="1" x14ac:dyDescent="0.25">
      <c r="A6973" s="45"/>
      <c r="B6973" s="59"/>
      <c r="C6973" s="137"/>
      <c r="D6973" s="59"/>
      <c r="E6973" s="116"/>
      <c r="F6973" s="120"/>
      <c r="G6973" s="120"/>
      <c r="H6973" s="120"/>
      <c r="I6973" s="60"/>
      <c r="J6973" s="116"/>
      <c r="K6973" s="213"/>
      <c r="L6973" s="120"/>
      <c r="M6973" s="120"/>
      <c r="N6973" s="167"/>
      <c r="O6973" s="120"/>
      <c r="P6973" s="120"/>
      <c r="Q6973" s="120"/>
      <c r="R6973" s="120"/>
      <c r="S6973" s="120"/>
      <c r="T6973" s="221"/>
      <c r="U6973" s="89"/>
      <c r="V6973" s="61"/>
      <c r="W6973" s="92" t="s">
        <v>161</v>
      </c>
      <c r="X6973" s="93" t="s">
        <v>29</v>
      </c>
      <c r="Y6973" s="93" t="s">
        <v>93</v>
      </c>
      <c r="Z6973" s="134">
        <f>VLOOKUP(W6973,Sheet2!$B:$D,3,FALSE)</f>
        <v>48</v>
      </c>
      <c r="AA6973" s="93">
        <f>(16*0.85*1.5)/(1*2)</f>
        <v>10.199999999999999</v>
      </c>
      <c r="AB6973" s="93">
        <f>AD6973/AC6970</f>
        <v>4.7058823529411766</v>
      </c>
      <c r="AC6973" s="93">
        <f>AC6970/AA6973</f>
        <v>0.91240196078431379</v>
      </c>
      <c r="AD6973" s="94">
        <f>AC6973*Z6973</f>
        <v>43.79529411764706</v>
      </c>
      <c r="AE6973" s="190"/>
      <c r="AF6973" s="191"/>
      <c r="AG6973" s="191"/>
      <c r="AH6973" s="191"/>
      <c r="AI6973" s="186"/>
      <c r="AK6973" s="171"/>
    </row>
    <row r="6974" spans="1:41" s="102" customFormat="1" ht="19.899999999999999" customHeight="1" x14ac:dyDescent="0.25">
      <c r="A6974" s="45"/>
      <c r="B6974" s="59"/>
      <c r="C6974" s="137"/>
      <c r="D6974" s="59"/>
      <c r="E6974" s="116"/>
      <c r="F6974" s="120"/>
      <c r="G6974" s="120"/>
      <c r="H6974" s="120"/>
      <c r="I6974" s="60"/>
      <c r="J6974" s="116"/>
      <c r="K6974" s="213"/>
      <c r="L6974" s="120"/>
      <c r="M6974" s="120"/>
      <c r="N6974" s="167"/>
      <c r="O6974" s="120"/>
      <c r="P6974" s="120"/>
      <c r="Q6974" s="120"/>
      <c r="R6974" s="120"/>
      <c r="S6974" s="120"/>
      <c r="T6974" s="221"/>
      <c r="U6974" s="89"/>
      <c r="V6974" s="61"/>
      <c r="W6974" s="92" t="s">
        <v>65</v>
      </c>
      <c r="X6974" s="93" t="s">
        <v>30</v>
      </c>
      <c r="Y6974" s="93" t="s">
        <v>1011</v>
      </c>
      <c r="Z6974" s="134">
        <f>VLOOKUP(W6974,Sheet2!$B:$D,3,FALSE)</f>
        <v>1.76</v>
      </c>
      <c r="AA6974" s="93">
        <f>AA6973/10</f>
        <v>1.02</v>
      </c>
      <c r="AB6974" s="93">
        <f>AD6974/AC6970</f>
        <v>1.7254901960784312</v>
      </c>
      <c r="AC6974" s="93">
        <f>AC6970/AA6974</f>
        <v>9.1240196078431364</v>
      </c>
      <c r="AD6974" s="94">
        <f>AC6974*Z6974</f>
        <v>16.058274509803919</v>
      </c>
      <c r="AE6974" s="190"/>
      <c r="AF6974" s="191"/>
      <c r="AG6974" s="191"/>
      <c r="AH6974" s="191"/>
      <c r="AI6974" s="186"/>
      <c r="AK6974" s="171"/>
    </row>
    <row r="6975" spans="1:41" s="102" customFormat="1" ht="19.899999999999999" customHeight="1" x14ac:dyDescent="0.25">
      <c r="A6975" s="45"/>
      <c r="B6975" s="59"/>
      <c r="C6975" s="137"/>
      <c r="D6975" s="59"/>
      <c r="E6975" s="116"/>
      <c r="F6975" s="120"/>
      <c r="G6975" s="120"/>
      <c r="H6975" s="120"/>
      <c r="I6975" s="60"/>
      <c r="J6975" s="116"/>
      <c r="K6975" s="213"/>
      <c r="L6975" s="120"/>
      <c r="M6975" s="120"/>
      <c r="N6975" s="167"/>
      <c r="O6975" s="120"/>
      <c r="P6975" s="120"/>
      <c r="Q6975" s="120"/>
      <c r="R6975" s="120"/>
      <c r="S6975" s="120"/>
      <c r="T6975" s="221"/>
      <c r="U6975" s="89"/>
      <c r="V6975" s="61"/>
      <c r="W6975" s="92" t="s">
        <v>1030</v>
      </c>
      <c r="X6975" s="93" t="s">
        <v>29</v>
      </c>
      <c r="Y6975" s="93" t="s">
        <v>93</v>
      </c>
      <c r="Z6975" s="134">
        <f>VLOOKUP(W6975,Sheet2!$B:$D,3,FALSE)</f>
        <v>23</v>
      </c>
      <c r="AA6975" s="93">
        <v>50</v>
      </c>
      <c r="AB6975" s="93">
        <f>AD6975/AC6970</f>
        <v>0.46</v>
      </c>
      <c r="AC6975" s="93">
        <f>AC6970/AA6975</f>
        <v>0.18612999999999999</v>
      </c>
      <c r="AD6975" s="94">
        <f t="shared" ref="AD6975:AD6978" si="4980">AC6975*Z6975</f>
        <v>4.2809900000000001</v>
      </c>
      <c r="AE6975" s="190"/>
      <c r="AF6975" s="191"/>
      <c r="AG6975" s="191"/>
      <c r="AH6975" s="191"/>
      <c r="AI6975" s="186"/>
      <c r="AK6975" s="171"/>
    </row>
    <row r="6976" spans="1:41" s="102" customFormat="1" ht="19.899999999999999" customHeight="1" x14ac:dyDescent="0.25">
      <c r="A6976" s="45"/>
      <c r="B6976" s="59"/>
      <c r="C6976" s="137"/>
      <c r="D6976" s="59"/>
      <c r="E6976" s="116"/>
      <c r="F6976" s="120"/>
      <c r="G6976" s="120"/>
      <c r="H6976" s="120"/>
      <c r="I6976" s="60"/>
      <c r="J6976" s="116"/>
      <c r="K6976" s="213"/>
      <c r="L6976" s="120"/>
      <c r="M6976" s="120"/>
      <c r="N6976" s="167"/>
      <c r="O6976" s="120"/>
      <c r="P6976" s="120"/>
      <c r="Q6976" s="120"/>
      <c r="R6976" s="120"/>
      <c r="S6976" s="120"/>
      <c r="T6976" s="221"/>
      <c r="U6976" s="89"/>
      <c r="V6976" s="61"/>
      <c r="W6976" s="92" t="s">
        <v>65</v>
      </c>
      <c r="X6976" s="93" t="s">
        <v>30</v>
      </c>
      <c r="Y6976" s="93" t="s">
        <v>1011</v>
      </c>
      <c r="Z6976" s="134">
        <f>VLOOKUP(W6976,Sheet2!$B:$D,3,FALSE)</f>
        <v>1.76</v>
      </c>
      <c r="AA6976" s="93">
        <f>AA6975/3</f>
        <v>16.666666666666668</v>
      </c>
      <c r="AB6976" s="93">
        <f>AD6976/AC6970</f>
        <v>0.1056</v>
      </c>
      <c r="AC6976" s="93">
        <f>AC6970/AA6976</f>
        <v>0.55838999999999994</v>
      </c>
      <c r="AD6976" s="94">
        <f t="shared" si="4980"/>
        <v>0.98276639999999993</v>
      </c>
      <c r="AE6976" s="190"/>
      <c r="AF6976" s="191"/>
      <c r="AG6976" s="191"/>
      <c r="AH6976" s="191"/>
      <c r="AI6976" s="186"/>
      <c r="AK6976" s="171"/>
    </row>
    <row r="6977" spans="1:41" s="102" customFormat="1" ht="19.899999999999999" customHeight="1" x14ac:dyDescent="0.25">
      <c r="A6977" s="45"/>
      <c r="B6977" s="59"/>
      <c r="C6977" s="137"/>
      <c r="D6977" s="59"/>
      <c r="E6977" s="116"/>
      <c r="F6977" s="120"/>
      <c r="G6977" s="120"/>
      <c r="H6977" s="120"/>
      <c r="I6977" s="60"/>
      <c r="J6977" s="116"/>
      <c r="K6977" s="213"/>
      <c r="L6977" s="120"/>
      <c r="M6977" s="120"/>
      <c r="N6977" s="167"/>
      <c r="O6977" s="120"/>
      <c r="P6977" s="120"/>
      <c r="Q6977" s="120"/>
      <c r="R6977" s="120"/>
      <c r="S6977" s="120"/>
      <c r="T6977" s="221"/>
      <c r="U6977" s="89"/>
      <c r="V6977" s="61"/>
      <c r="W6977" s="92" t="s">
        <v>148</v>
      </c>
      <c r="X6977" s="93" t="s">
        <v>29</v>
      </c>
      <c r="Y6977" s="93" t="s">
        <v>93</v>
      </c>
      <c r="Z6977" s="134">
        <f>VLOOKUP(W6977,Sheet2!$B:$D,3,FALSE)</f>
        <v>48</v>
      </c>
      <c r="AA6977" s="93">
        <f>AA6971</f>
        <v>50</v>
      </c>
      <c r="AB6977" s="93">
        <f>AD6977/AC6970</f>
        <v>0.96</v>
      </c>
      <c r="AC6977" s="93">
        <f>AC6970/AA6977</f>
        <v>0.18612999999999999</v>
      </c>
      <c r="AD6977" s="94">
        <f t="shared" si="4980"/>
        <v>8.9342399999999991</v>
      </c>
      <c r="AE6977" s="190"/>
      <c r="AF6977" s="191"/>
      <c r="AG6977" s="191"/>
      <c r="AH6977" s="191"/>
      <c r="AI6977" s="186"/>
      <c r="AK6977" s="171"/>
    </row>
    <row r="6978" spans="1:41" s="102" customFormat="1" ht="19.899999999999999" customHeight="1" x14ac:dyDescent="0.25">
      <c r="A6978" s="45"/>
      <c r="B6978" s="59"/>
      <c r="C6978" s="137"/>
      <c r="D6978" s="59"/>
      <c r="E6978" s="116"/>
      <c r="F6978" s="120"/>
      <c r="G6978" s="120"/>
      <c r="H6978" s="120"/>
      <c r="I6978" s="60"/>
      <c r="J6978" s="116"/>
      <c r="K6978" s="213"/>
      <c r="L6978" s="120"/>
      <c r="M6978" s="120"/>
      <c r="N6978" s="167"/>
      <c r="O6978" s="120"/>
      <c r="P6978" s="120"/>
      <c r="Q6978" s="120"/>
      <c r="R6978" s="120"/>
      <c r="S6978" s="120"/>
      <c r="T6978" s="221"/>
      <c r="U6978" s="89"/>
      <c r="V6978" s="61"/>
      <c r="W6978" s="92" t="s">
        <v>65</v>
      </c>
      <c r="X6978" s="93" t="s">
        <v>30</v>
      </c>
      <c r="Y6978" s="93" t="s">
        <v>1011</v>
      </c>
      <c r="Z6978" s="134">
        <f>VLOOKUP(W6978,Sheet2!$B:$D,3,FALSE)</f>
        <v>1.76</v>
      </c>
      <c r="AA6978" s="93">
        <f>AA6977/10</f>
        <v>5</v>
      </c>
      <c r="AB6978" s="93">
        <f>AD6978/AC6970</f>
        <v>0.35200000000000004</v>
      </c>
      <c r="AC6978" s="93">
        <f>AC6970/AA6978</f>
        <v>1.8613</v>
      </c>
      <c r="AD6978" s="94">
        <f t="shared" si="4980"/>
        <v>3.2758880000000001</v>
      </c>
      <c r="AE6978" s="190"/>
      <c r="AF6978" s="191"/>
      <c r="AG6978" s="191"/>
      <c r="AH6978" s="191"/>
      <c r="AI6978" s="186"/>
      <c r="AK6978" s="171"/>
    </row>
    <row r="6979" spans="1:41" s="103" customFormat="1" ht="19.899999999999999" customHeight="1" x14ac:dyDescent="0.25">
      <c r="A6979" s="51"/>
      <c r="B6979" s="52"/>
      <c r="C6979" s="165"/>
      <c r="D6979" s="52"/>
      <c r="E6979" s="115"/>
      <c r="F6979" s="58"/>
      <c r="G6979" s="58"/>
      <c r="H6979" s="58"/>
      <c r="I6979" s="55"/>
      <c r="J6979" s="113">
        <f>J6969</f>
        <v>9.3064999999999998</v>
      </c>
      <c r="K6979" s="212">
        <f>K6969</f>
        <v>9.3064999999999998</v>
      </c>
      <c r="L6979" s="58"/>
      <c r="M6979" s="58">
        <f>K6979-L6979</f>
        <v>9.3064999999999998</v>
      </c>
      <c r="N6979" s="166"/>
      <c r="O6979" s="58"/>
      <c r="P6979" s="58"/>
      <c r="Q6979" s="58"/>
      <c r="R6979" s="58"/>
      <c r="S6979" s="58"/>
      <c r="T6979" s="220"/>
      <c r="U6979" s="88"/>
      <c r="V6979" s="56"/>
      <c r="W6979" s="57" t="s">
        <v>1036</v>
      </c>
      <c r="X6979" s="53"/>
      <c r="Y6979" s="91" t="s">
        <v>68</v>
      </c>
      <c r="Z6979" s="136">
        <f>AD6979/AC6979</f>
        <v>102.58333333333334</v>
      </c>
      <c r="AA6979" s="58"/>
      <c r="AB6979" s="53">
        <f>AD6979/AC6979</f>
        <v>102.58333333333334</v>
      </c>
      <c r="AC6979" s="53">
        <f>M6979+$AE$10</f>
        <v>9.3064999999999998</v>
      </c>
      <c r="AD6979" s="54">
        <f>SUM(AD6980:AD6986)</f>
        <v>954.69179166666675</v>
      </c>
      <c r="AE6979" s="184">
        <f>SUMIFS($AD$37:$AD$12971,$V$37:$V$12971,$V6979,$X$37:$X$12971,AE$13)</f>
        <v>0</v>
      </c>
      <c r="AF6979" s="185">
        <f>SUMIFS($AD$37:$AD$12971,$V$37:$V$12971,$V6979,$X$37:$X$12971,AF$13)</f>
        <v>0</v>
      </c>
      <c r="AG6979" s="185">
        <f>SUMIFS($AD$37:$AD$12971,$V$37:$V$12971,$V6979,$X$37:$X$12971,AG$13)</f>
        <v>0</v>
      </c>
      <c r="AH6979" s="187">
        <f>SUMIFS($AD$37:$AD$12971,$V$37:$V$12971,$V6979,$X$37:$X$12971,AH$13)</f>
        <v>0</v>
      </c>
      <c r="AI6979" s="161">
        <f t="shared" ref="AI6979" si="4981">SUM(AE6979:AH6979)</f>
        <v>0</v>
      </c>
      <c r="AK6979" s="172"/>
    </row>
    <row r="6980" spans="1:41" s="102" customFormat="1" ht="19.899999999999999" customHeight="1" x14ac:dyDescent="0.25">
      <c r="A6980" s="45"/>
      <c r="B6980" s="59"/>
      <c r="C6980" s="137"/>
      <c r="D6980" s="59"/>
      <c r="E6980" s="116"/>
      <c r="F6980" s="120"/>
      <c r="G6980" s="120"/>
      <c r="H6980" s="120"/>
      <c r="I6980" s="60"/>
      <c r="J6980" s="116"/>
      <c r="K6980" s="213"/>
      <c r="L6980" s="120"/>
      <c r="M6980" s="120"/>
      <c r="N6980" s="167"/>
      <c r="O6980" s="120"/>
      <c r="P6980" s="120"/>
      <c r="Q6980" s="120"/>
      <c r="R6980" s="120"/>
      <c r="S6980" s="120"/>
      <c r="T6980" s="221"/>
      <c r="U6980" s="89"/>
      <c r="V6980" s="61"/>
      <c r="W6980" s="92" t="s">
        <v>1045</v>
      </c>
      <c r="X6980" s="93" t="s">
        <v>30</v>
      </c>
      <c r="Y6980" s="93" t="s">
        <v>68</v>
      </c>
      <c r="Z6980" s="134">
        <f>VLOOKUP(W6980,Sheet2!$B:$D,3,FALSE)</f>
        <v>52</v>
      </c>
      <c r="AA6980" s="93">
        <v>1</v>
      </c>
      <c r="AB6980" s="93">
        <f>AD6980/AC6979</f>
        <v>52</v>
      </c>
      <c r="AC6980" s="93">
        <f>AC6979/AA6980</f>
        <v>9.3064999999999998</v>
      </c>
      <c r="AD6980" s="94">
        <f t="shared" ref="AD6980" si="4982">AC6980*Z6980</f>
        <v>483.93799999999999</v>
      </c>
      <c r="AE6980" s="190"/>
      <c r="AF6980" s="191"/>
      <c r="AG6980" s="191"/>
      <c r="AH6980" s="191"/>
      <c r="AI6980" s="186"/>
      <c r="AK6980" s="171"/>
    </row>
    <row r="6981" spans="1:41" s="102" customFormat="1" ht="19.899999999999999" customHeight="1" x14ac:dyDescent="0.25">
      <c r="A6981" s="45"/>
      <c r="B6981" s="59"/>
      <c r="C6981" s="137"/>
      <c r="D6981" s="59"/>
      <c r="E6981" s="116"/>
      <c r="F6981" s="120"/>
      <c r="G6981" s="120"/>
      <c r="H6981" s="120"/>
      <c r="I6981" s="60"/>
      <c r="J6981" s="116"/>
      <c r="K6981" s="213"/>
      <c r="L6981" s="120"/>
      <c r="M6981" s="120"/>
      <c r="N6981" s="167"/>
      <c r="O6981" s="120"/>
      <c r="P6981" s="120"/>
      <c r="Q6981" s="120"/>
      <c r="R6981" s="120"/>
      <c r="S6981" s="120"/>
      <c r="T6981" s="221"/>
      <c r="U6981" s="89"/>
      <c r="V6981" s="61"/>
      <c r="W6981" s="92" t="s">
        <v>1043</v>
      </c>
      <c r="X6981" s="93" t="s">
        <v>30</v>
      </c>
      <c r="Y6981" s="93" t="s">
        <v>68</v>
      </c>
      <c r="Z6981" s="134">
        <f>VLOOKUP(W6981,Sheet2!$B:$D,3,FALSE)</f>
        <v>5</v>
      </c>
      <c r="AA6981" s="93">
        <v>1</v>
      </c>
      <c r="AB6981" s="93">
        <f>AD6981/AC6979</f>
        <v>5</v>
      </c>
      <c r="AC6981" s="93">
        <f>AC6979/AA6981</f>
        <v>9.3064999999999998</v>
      </c>
      <c r="AD6981" s="94">
        <f>AC6981*Z6981</f>
        <v>46.532499999999999</v>
      </c>
      <c r="AE6981" s="190"/>
      <c r="AF6981" s="191"/>
      <c r="AG6981" s="191"/>
      <c r="AH6981" s="191"/>
      <c r="AI6981" s="186"/>
      <c r="AK6981" s="171"/>
    </row>
    <row r="6982" spans="1:41" s="102" customFormat="1" ht="19.899999999999999" customHeight="1" x14ac:dyDescent="0.25">
      <c r="A6982" s="45"/>
      <c r="B6982" s="59"/>
      <c r="C6982" s="137"/>
      <c r="D6982" s="59"/>
      <c r="E6982" s="116"/>
      <c r="F6982" s="120"/>
      <c r="G6982" s="120"/>
      <c r="H6982" s="120"/>
      <c r="I6982" s="60"/>
      <c r="J6982" s="116"/>
      <c r="K6982" s="213"/>
      <c r="L6982" s="120"/>
      <c r="M6982" s="120"/>
      <c r="N6982" s="167"/>
      <c r="O6982" s="120"/>
      <c r="P6982" s="120"/>
      <c r="Q6982" s="120"/>
      <c r="R6982" s="120"/>
      <c r="S6982" s="120"/>
      <c r="T6982" s="221"/>
      <c r="U6982" s="89"/>
      <c r="V6982" s="61"/>
      <c r="W6982" s="92" t="s">
        <v>107</v>
      </c>
      <c r="X6982" s="93" t="s">
        <v>31</v>
      </c>
      <c r="Y6982" s="93" t="s">
        <v>93</v>
      </c>
      <c r="Z6982" s="134">
        <f>VLOOKUP(W6982,Sheet2!$B:$D,3,FALSE)</f>
        <v>17</v>
      </c>
      <c r="AA6982" s="93">
        <v>6</v>
      </c>
      <c r="AB6982" s="93">
        <f>AD6982/AC6979</f>
        <v>2.8333333333333335</v>
      </c>
      <c r="AC6982" s="93">
        <f>AC6979/AA6982</f>
        <v>1.5510833333333334</v>
      </c>
      <c r="AD6982" s="94">
        <f>AC6982*Z6982</f>
        <v>26.368416666666668</v>
      </c>
      <c r="AE6982" s="190"/>
      <c r="AF6982" s="191"/>
      <c r="AG6982" s="191"/>
      <c r="AH6982" s="191"/>
      <c r="AI6982" s="186"/>
      <c r="AK6982" s="171"/>
    </row>
    <row r="6983" spans="1:41" s="102" customFormat="1" ht="19.899999999999999" customHeight="1" x14ac:dyDescent="0.25">
      <c r="A6983" s="45"/>
      <c r="B6983" s="59"/>
      <c r="C6983" s="137"/>
      <c r="D6983" s="59"/>
      <c r="E6983" s="116"/>
      <c r="F6983" s="120"/>
      <c r="G6983" s="120"/>
      <c r="H6983" s="120"/>
      <c r="I6983" s="60"/>
      <c r="J6983" s="116"/>
      <c r="K6983" s="213"/>
      <c r="L6983" s="120"/>
      <c r="M6983" s="120"/>
      <c r="N6983" s="167"/>
      <c r="O6983" s="120"/>
      <c r="P6983" s="120"/>
      <c r="Q6983" s="120"/>
      <c r="R6983" s="120"/>
      <c r="S6983" s="120"/>
      <c r="T6983" s="221"/>
      <c r="U6983" s="89"/>
      <c r="V6983" s="61"/>
      <c r="W6983" s="92" t="s">
        <v>112</v>
      </c>
      <c r="X6983" s="93" t="s">
        <v>31</v>
      </c>
      <c r="Y6983" s="93" t="s">
        <v>93</v>
      </c>
      <c r="Z6983" s="134">
        <f>VLOOKUP(W6983,Sheet2!$B:$D,3,FALSE)</f>
        <v>13</v>
      </c>
      <c r="AA6983" s="93">
        <v>6</v>
      </c>
      <c r="AB6983" s="93">
        <f>AD6983/AC6979</f>
        <v>2.166666666666667</v>
      </c>
      <c r="AC6983" s="93">
        <f>AC6979/AA6983</f>
        <v>1.5510833333333334</v>
      </c>
      <c r="AD6983" s="94">
        <f>AC6983*Z6983</f>
        <v>20.164083333333334</v>
      </c>
      <c r="AE6983" s="190"/>
      <c r="AF6983" s="191"/>
      <c r="AG6983" s="191"/>
      <c r="AH6983" s="191"/>
      <c r="AI6983" s="186"/>
      <c r="AK6983" s="171"/>
    </row>
    <row r="6984" spans="1:41" s="102" customFormat="1" ht="19.899999999999999" customHeight="1" x14ac:dyDescent="0.25">
      <c r="A6984" s="45"/>
      <c r="B6984" s="59"/>
      <c r="C6984" s="137"/>
      <c r="D6984" s="59"/>
      <c r="E6984" s="116"/>
      <c r="F6984" s="120"/>
      <c r="G6984" s="120"/>
      <c r="H6984" s="120"/>
      <c r="I6984" s="60"/>
      <c r="J6984" s="116"/>
      <c r="K6984" s="213"/>
      <c r="L6984" s="120"/>
      <c r="M6984" s="120"/>
      <c r="N6984" s="167"/>
      <c r="O6984" s="120"/>
      <c r="P6984" s="120"/>
      <c r="Q6984" s="120"/>
      <c r="R6984" s="120"/>
      <c r="S6984" s="120"/>
      <c r="T6984" s="221"/>
      <c r="U6984" s="89"/>
      <c r="V6984" s="61"/>
      <c r="W6984" s="92" t="s">
        <v>1032</v>
      </c>
      <c r="X6984" s="93" t="s">
        <v>30</v>
      </c>
      <c r="Y6984" s="93" t="s">
        <v>66</v>
      </c>
      <c r="Z6984" s="134">
        <f>VLOOKUP(W6984,Sheet2!$B:$D,3,FALSE)</f>
        <v>250</v>
      </c>
      <c r="AA6984" s="93">
        <f>1/(1*1*0.1)</f>
        <v>10</v>
      </c>
      <c r="AB6984" s="93">
        <f>AD6984/AC6979</f>
        <v>25</v>
      </c>
      <c r="AC6984" s="93">
        <f>AC6979/AA6984</f>
        <v>0.93064999999999998</v>
      </c>
      <c r="AD6984" s="94">
        <f>AC6984*Z6984</f>
        <v>232.66249999999999</v>
      </c>
      <c r="AE6984" s="190"/>
      <c r="AF6984" s="191"/>
      <c r="AG6984" s="191"/>
      <c r="AH6984" s="191"/>
      <c r="AI6984" s="186"/>
      <c r="AK6984" s="171"/>
    </row>
    <row r="6985" spans="1:41" s="102" customFormat="1" ht="19.899999999999999" customHeight="1" x14ac:dyDescent="0.25">
      <c r="A6985" s="45"/>
      <c r="B6985" s="59"/>
      <c r="C6985" s="137"/>
      <c r="D6985" s="59"/>
      <c r="E6985" s="116"/>
      <c r="F6985" s="120"/>
      <c r="G6985" s="120"/>
      <c r="H6985" s="120"/>
      <c r="I6985" s="60"/>
      <c r="J6985" s="116"/>
      <c r="K6985" s="213"/>
      <c r="L6985" s="120"/>
      <c r="M6985" s="120"/>
      <c r="N6985" s="167"/>
      <c r="O6985" s="120"/>
      <c r="P6985" s="120"/>
      <c r="Q6985" s="120"/>
      <c r="R6985" s="120"/>
      <c r="S6985" s="120"/>
      <c r="T6985" s="221"/>
      <c r="U6985" s="89"/>
      <c r="V6985" s="61"/>
      <c r="W6985" s="92" t="s">
        <v>1035</v>
      </c>
      <c r="X6985" s="93" t="s">
        <v>32</v>
      </c>
      <c r="Y6985" s="93" t="s">
        <v>66</v>
      </c>
      <c r="Z6985" s="134">
        <f>VLOOKUP(W6985,Sheet2!$B:$D,3,FALSE)</f>
        <v>150</v>
      </c>
      <c r="AA6985" s="93">
        <f>AA6984</f>
        <v>10</v>
      </c>
      <c r="AB6985" s="93">
        <f>AD6985/AC6979</f>
        <v>15</v>
      </c>
      <c r="AC6985" s="93">
        <f>AC6979/AA6985</f>
        <v>0.93064999999999998</v>
      </c>
      <c r="AD6985" s="94">
        <f t="shared" ref="AD6985:AD6986" si="4983">AC6985*Z6985</f>
        <v>139.5975</v>
      </c>
      <c r="AE6985" s="190"/>
      <c r="AF6985" s="191"/>
      <c r="AG6985" s="191"/>
      <c r="AH6985" s="191"/>
      <c r="AI6985" s="186"/>
      <c r="AK6985" s="171"/>
    </row>
    <row r="6986" spans="1:41" s="102" customFormat="1" ht="19.899999999999999" customHeight="1" x14ac:dyDescent="0.25">
      <c r="A6986" s="45"/>
      <c r="B6986" s="59"/>
      <c r="C6986" s="137"/>
      <c r="D6986" s="59"/>
      <c r="E6986" s="116"/>
      <c r="F6986" s="120"/>
      <c r="G6986" s="120"/>
      <c r="H6986" s="120"/>
      <c r="I6986" s="60"/>
      <c r="J6986" s="116"/>
      <c r="K6986" s="213"/>
      <c r="L6986" s="120"/>
      <c r="M6986" s="120"/>
      <c r="N6986" s="167"/>
      <c r="O6986" s="120"/>
      <c r="P6986" s="120"/>
      <c r="Q6986" s="120"/>
      <c r="R6986" s="120"/>
      <c r="S6986" s="120"/>
      <c r="T6986" s="221"/>
      <c r="U6986" s="89"/>
      <c r="V6986" s="61"/>
      <c r="W6986" s="92" t="s">
        <v>1037</v>
      </c>
      <c r="X6986" s="93" t="s">
        <v>30</v>
      </c>
      <c r="Y6986" s="93" t="s">
        <v>1038</v>
      </c>
      <c r="Z6986" s="134">
        <f>VLOOKUP(W6986,Sheet2!$B:$D,3,FALSE)</f>
        <v>175</v>
      </c>
      <c r="AA6986" s="93">
        <v>300</v>
      </c>
      <c r="AB6986" s="93">
        <f>AD6986/AC6979</f>
        <v>0.58333333333333326</v>
      </c>
      <c r="AC6986" s="93">
        <f>AC6979/AA6986</f>
        <v>3.1021666666666666E-2</v>
      </c>
      <c r="AD6986" s="94">
        <f t="shared" si="4983"/>
        <v>5.4287916666666662</v>
      </c>
      <c r="AE6986" s="190"/>
      <c r="AF6986" s="191"/>
      <c r="AG6986" s="191"/>
      <c r="AH6986" s="191"/>
      <c r="AI6986" s="186"/>
      <c r="AK6986" s="171"/>
    </row>
    <row r="6987" spans="1:41" s="103" customFormat="1" ht="19.899999999999999" customHeight="1" x14ac:dyDescent="0.25">
      <c r="A6987" s="51"/>
      <c r="B6987" s="52"/>
      <c r="C6987" s="165"/>
      <c r="D6987" s="52"/>
      <c r="E6987" s="115"/>
      <c r="F6987" s="58"/>
      <c r="G6987" s="58"/>
      <c r="H6987" s="58"/>
      <c r="I6987" s="55"/>
      <c r="J6987" s="113">
        <f>J6969</f>
        <v>9.3064999999999998</v>
      </c>
      <c r="K6987" s="212">
        <f>K6969</f>
        <v>9.3064999999999998</v>
      </c>
      <c r="L6987" s="58"/>
      <c r="M6987" s="58">
        <f>K6987-L6987</f>
        <v>9.3064999999999998</v>
      </c>
      <c r="N6987" s="166"/>
      <c r="O6987" s="58"/>
      <c r="P6987" s="58"/>
      <c r="Q6987" s="58"/>
      <c r="R6987" s="58"/>
      <c r="S6987" s="58"/>
      <c r="T6987" s="220"/>
      <c r="U6987" s="88"/>
      <c r="V6987" s="56"/>
      <c r="W6987" s="57" t="s">
        <v>1040</v>
      </c>
      <c r="X6987" s="53"/>
      <c r="Y6987" s="91" t="s">
        <v>68</v>
      </c>
      <c r="Z6987" s="136">
        <f>AD6987/AC6987</f>
        <v>5</v>
      </c>
      <c r="AA6987" s="58"/>
      <c r="AB6987" s="53">
        <f>AD6987/AC6987</f>
        <v>5</v>
      </c>
      <c r="AC6987" s="53">
        <f>M6987+$AE$10</f>
        <v>9.3064999999999998</v>
      </c>
      <c r="AD6987" s="54">
        <f>SUM(AD6988)</f>
        <v>46.532499999999999</v>
      </c>
      <c r="AE6987" s="184">
        <f>SUMIFS($AD$37:$AD$12971,$V$37:$V$12971,$V6987,$X$37:$X$12971,AE$13)</f>
        <v>0</v>
      </c>
      <c r="AF6987" s="185">
        <f>SUMIFS($AD$37:$AD$12971,$V$37:$V$12971,$V6987,$X$37:$X$12971,AF$13)</f>
        <v>0</v>
      </c>
      <c r="AG6987" s="185">
        <f>SUMIFS($AD$37:$AD$12971,$V$37:$V$12971,$V6987,$X$37:$X$12971,AG$13)</f>
        <v>0</v>
      </c>
      <c r="AH6987" s="187">
        <f>SUMIFS($AD$37:$AD$12971,$V$37:$V$12971,$V6987,$X$37:$X$12971,AH$13)</f>
        <v>0</v>
      </c>
      <c r="AI6987" s="161">
        <f t="shared" ref="AI6987" si="4984">SUM(AE6987:AH6987)</f>
        <v>0</v>
      </c>
      <c r="AK6987" s="172"/>
    </row>
    <row r="6988" spans="1:41" s="102" customFormat="1" ht="19.899999999999999" customHeight="1" x14ac:dyDescent="0.25">
      <c r="A6988" s="45"/>
      <c r="B6988" s="59"/>
      <c r="C6988" s="137"/>
      <c r="D6988" s="59"/>
      <c r="E6988" s="116"/>
      <c r="F6988" s="120"/>
      <c r="G6988" s="120"/>
      <c r="H6988" s="120"/>
      <c r="I6988" s="60"/>
      <c r="J6988" s="116"/>
      <c r="K6988" s="213"/>
      <c r="L6988" s="120"/>
      <c r="M6988" s="120"/>
      <c r="N6988" s="167"/>
      <c r="O6988" s="120"/>
      <c r="P6988" s="120"/>
      <c r="Q6988" s="120"/>
      <c r="R6988" s="120"/>
      <c r="S6988" s="120"/>
      <c r="T6988" s="221"/>
      <c r="U6988" s="89"/>
      <c r="V6988" s="61"/>
      <c r="W6988" s="92" t="s">
        <v>1039</v>
      </c>
      <c r="X6988" s="93" t="s">
        <v>32</v>
      </c>
      <c r="Y6988" s="93" t="s">
        <v>68</v>
      </c>
      <c r="Z6988" s="134">
        <f>VLOOKUP(W6988,Sheet2!$B:$D,3,FALSE)</f>
        <v>5</v>
      </c>
      <c r="AA6988" s="93">
        <v>1</v>
      </c>
      <c r="AB6988" s="93">
        <f>AD6988/AC6987</f>
        <v>5</v>
      </c>
      <c r="AC6988" s="93">
        <f>AC6987/AA6988</f>
        <v>9.3064999999999998</v>
      </c>
      <c r="AD6988" s="94">
        <f t="shared" ref="AD6988" si="4985">AC6988*Z6988</f>
        <v>46.532499999999999</v>
      </c>
      <c r="AE6988" s="190"/>
      <c r="AF6988" s="191"/>
      <c r="AG6988" s="191"/>
      <c r="AH6988" s="191"/>
      <c r="AI6988" s="186"/>
      <c r="AK6988" s="171"/>
    </row>
    <row r="6989" spans="1:41" ht="20.100000000000001" customHeight="1" x14ac:dyDescent="0.25">
      <c r="A6989" s="277" t="s">
        <v>703</v>
      </c>
      <c r="B6989" s="278"/>
      <c r="C6989" s="64" t="s">
        <v>708</v>
      </c>
      <c r="D6989" s="46" t="s">
        <v>97</v>
      </c>
      <c r="E6989" s="114"/>
      <c r="F6989" s="44">
        <v>0</v>
      </c>
      <c r="G6989" s="44">
        <f t="shared" si="4575"/>
        <v>0</v>
      </c>
      <c r="H6989" s="44">
        <f t="shared" si="4576"/>
        <v>0</v>
      </c>
      <c r="I6989" s="43">
        <f t="shared" si="4577"/>
        <v>0</v>
      </c>
      <c r="J6989" s="112">
        <f t="shared" si="4578"/>
        <v>0</v>
      </c>
      <c r="K6989" s="211">
        <f t="shared" si="4579"/>
        <v>0</v>
      </c>
      <c r="L6989" s="44"/>
      <c r="M6989" s="44">
        <f t="shared" si="4580"/>
        <v>0</v>
      </c>
      <c r="N6989" s="173">
        <f t="shared" si="4581"/>
        <v>0</v>
      </c>
      <c r="O6989" s="44">
        <f t="shared" si="4582"/>
        <v>0</v>
      </c>
      <c r="P6989" s="44">
        <f t="shared" si="4583"/>
        <v>0</v>
      </c>
      <c r="Q6989" s="44">
        <f t="shared" si="4584"/>
        <v>0</v>
      </c>
      <c r="R6989" s="44">
        <f t="shared" si="4585"/>
        <v>0</v>
      </c>
      <c r="S6989" s="123"/>
      <c r="T6989" s="219">
        <f t="shared" si="4586"/>
        <v>0</v>
      </c>
      <c r="U6989" s="87"/>
      <c r="V6989" s="47"/>
      <c r="W6989" s="48"/>
      <c r="X6989" s="48"/>
      <c r="Y6989" s="48"/>
      <c r="Z6989" s="135"/>
      <c r="AA6989" s="49"/>
      <c r="AB6989" s="50">
        <f t="shared" si="4587"/>
        <v>0</v>
      </c>
      <c r="AC6989" s="42">
        <f t="shared" si="4588"/>
        <v>9.9999999999999998E-20</v>
      </c>
      <c r="AD6989" s="90"/>
      <c r="AE6989" s="188"/>
      <c r="AF6989" s="189"/>
      <c r="AG6989" s="189"/>
      <c r="AH6989" s="189"/>
      <c r="AI6989" s="161"/>
    </row>
    <row r="6990" spans="1:41" ht="20.100000000000001" customHeight="1" x14ac:dyDescent="0.25">
      <c r="A6990" s="277" t="s">
        <v>703</v>
      </c>
      <c r="B6990" s="278"/>
      <c r="C6990" s="64" t="s">
        <v>709</v>
      </c>
      <c r="D6990" s="46" t="s">
        <v>97</v>
      </c>
      <c r="E6990" s="114"/>
      <c r="F6990" s="44">
        <v>0</v>
      </c>
      <c r="G6990" s="44">
        <f t="shared" si="4575"/>
        <v>0</v>
      </c>
      <c r="H6990" s="44">
        <f t="shared" si="4576"/>
        <v>0</v>
      </c>
      <c r="I6990" s="43">
        <f t="shared" si="4577"/>
        <v>0</v>
      </c>
      <c r="J6990" s="112">
        <f t="shared" si="4578"/>
        <v>0</v>
      </c>
      <c r="K6990" s="211">
        <f t="shared" si="4579"/>
        <v>0</v>
      </c>
      <c r="L6990" s="44"/>
      <c r="M6990" s="44">
        <f t="shared" si="4580"/>
        <v>0</v>
      </c>
      <c r="N6990" s="173">
        <f t="shared" si="4581"/>
        <v>0</v>
      </c>
      <c r="O6990" s="44">
        <f t="shared" si="4582"/>
        <v>0</v>
      </c>
      <c r="P6990" s="44">
        <f t="shared" si="4583"/>
        <v>0</v>
      </c>
      <c r="Q6990" s="44">
        <f t="shared" si="4584"/>
        <v>0</v>
      </c>
      <c r="R6990" s="44">
        <f t="shared" si="4585"/>
        <v>0</v>
      </c>
      <c r="S6990" s="123"/>
      <c r="T6990" s="219">
        <f t="shared" si="4586"/>
        <v>0</v>
      </c>
      <c r="U6990" s="87"/>
      <c r="V6990" s="47"/>
      <c r="W6990" s="48"/>
      <c r="X6990" s="48"/>
      <c r="Y6990" s="48"/>
      <c r="Z6990" s="135"/>
      <c r="AA6990" s="49"/>
      <c r="AB6990" s="50">
        <f t="shared" si="4587"/>
        <v>0</v>
      </c>
      <c r="AC6990" s="42">
        <f t="shared" si="4588"/>
        <v>9.9999999999999998E-20</v>
      </c>
      <c r="AD6990" s="90"/>
      <c r="AE6990" s="188"/>
      <c r="AF6990" s="189"/>
      <c r="AG6990" s="189"/>
      <c r="AH6990" s="189"/>
      <c r="AI6990" s="161"/>
    </row>
    <row r="6991" spans="1:41" ht="20.100000000000001" customHeight="1" x14ac:dyDescent="0.25">
      <c r="A6991" s="277" t="s">
        <v>703</v>
      </c>
      <c r="B6991" s="278"/>
      <c r="C6991" s="64" t="s">
        <v>710</v>
      </c>
      <c r="D6991" s="46" t="s">
        <v>97</v>
      </c>
      <c r="E6991" s="114"/>
      <c r="F6991" s="44">
        <v>0</v>
      </c>
      <c r="G6991" s="44">
        <f t="shared" si="4575"/>
        <v>0</v>
      </c>
      <c r="H6991" s="44">
        <f t="shared" si="4576"/>
        <v>0</v>
      </c>
      <c r="I6991" s="43">
        <f t="shared" si="4577"/>
        <v>0</v>
      </c>
      <c r="J6991" s="112">
        <f t="shared" si="4578"/>
        <v>0</v>
      </c>
      <c r="K6991" s="211">
        <f t="shared" si="4579"/>
        <v>0</v>
      </c>
      <c r="L6991" s="44"/>
      <c r="M6991" s="44">
        <f t="shared" si="4580"/>
        <v>0</v>
      </c>
      <c r="N6991" s="173">
        <f t="shared" si="4581"/>
        <v>0</v>
      </c>
      <c r="O6991" s="44">
        <f t="shared" si="4582"/>
        <v>0</v>
      </c>
      <c r="P6991" s="44">
        <f t="shared" si="4583"/>
        <v>0</v>
      </c>
      <c r="Q6991" s="44">
        <f t="shared" si="4584"/>
        <v>0</v>
      </c>
      <c r="R6991" s="44">
        <f t="shared" si="4585"/>
        <v>0</v>
      </c>
      <c r="S6991" s="123"/>
      <c r="T6991" s="219">
        <f t="shared" si="4586"/>
        <v>0</v>
      </c>
      <c r="U6991" s="87"/>
      <c r="V6991" s="47"/>
      <c r="W6991" s="48"/>
      <c r="X6991" s="48"/>
      <c r="Y6991" s="48"/>
      <c r="Z6991" s="135"/>
      <c r="AA6991" s="49"/>
      <c r="AB6991" s="50">
        <f t="shared" si="4587"/>
        <v>0</v>
      </c>
      <c r="AC6991" s="42">
        <f t="shared" si="4588"/>
        <v>9.9999999999999998E-20</v>
      </c>
      <c r="AD6991" s="90"/>
      <c r="AE6991" s="188"/>
      <c r="AF6991" s="189"/>
      <c r="AG6991" s="189"/>
      <c r="AH6991" s="189"/>
      <c r="AI6991" s="161"/>
    </row>
    <row r="6992" spans="1:41" ht="20.100000000000001" customHeight="1" x14ac:dyDescent="0.25">
      <c r="A6992" s="277" t="s">
        <v>703</v>
      </c>
      <c r="B6992" s="278"/>
      <c r="C6992" s="64" t="s">
        <v>711</v>
      </c>
      <c r="D6992" s="46" t="s">
        <v>97</v>
      </c>
      <c r="E6992" s="114">
        <v>6429.0564999999988</v>
      </c>
      <c r="F6992" s="44">
        <v>386</v>
      </c>
      <c r="G6992" s="44">
        <f t="shared" si="4575"/>
        <v>2481615.8089999994</v>
      </c>
      <c r="H6992" s="44">
        <f t="shared" si="4576"/>
        <v>146.16606274509806</v>
      </c>
      <c r="I6992" s="43">
        <f t="shared" si="4577"/>
        <v>939709.87577078037</v>
      </c>
      <c r="J6992" s="112">
        <f t="shared" si="4578"/>
        <v>6429.0564999999988</v>
      </c>
      <c r="K6992" s="211">
        <f t="shared" si="4579"/>
        <v>6429.0564999999988</v>
      </c>
      <c r="L6992" s="44"/>
      <c r="M6992" s="44">
        <f t="shared" si="4580"/>
        <v>6429.0564999999988</v>
      </c>
      <c r="N6992" s="173">
        <f t="shared" si="4581"/>
        <v>1</v>
      </c>
      <c r="O6992" s="44">
        <f t="shared" si="4582"/>
        <v>386</v>
      </c>
      <c r="P6992" s="44">
        <f t="shared" si="4583"/>
        <v>2481615.8089999994</v>
      </c>
      <c r="Q6992" s="44">
        <f t="shared" si="4584"/>
        <v>146.16606274509806</v>
      </c>
      <c r="R6992" s="44">
        <f t="shared" si="4585"/>
        <v>939709.87577078037</v>
      </c>
      <c r="S6992" s="123"/>
      <c r="T6992" s="219">
        <f t="shared" si="4586"/>
        <v>939709.87577078037</v>
      </c>
      <c r="U6992" s="87"/>
      <c r="V6992" s="47"/>
      <c r="W6992" s="48"/>
      <c r="X6992" s="48"/>
      <c r="Y6992" s="48"/>
      <c r="Z6992" s="135"/>
      <c r="AA6992" s="49"/>
      <c r="AB6992" s="50">
        <f t="shared" si="4587"/>
        <v>146.16606274509806</v>
      </c>
      <c r="AC6992" s="42">
        <f t="shared" si="4588"/>
        <v>6429.0564999999988</v>
      </c>
      <c r="AD6992" s="90">
        <f>AD6993+AD7002+AD7010</f>
        <v>939709.87577078037</v>
      </c>
      <c r="AE6992" s="188">
        <f t="shared" ref="AE6992:AH6992" si="4986">AE6993+AE7002+AE7010</f>
        <v>0</v>
      </c>
      <c r="AF6992" s="189">
        <f t="shared" si="4986"/>
        <v>0</v>
      </c>
      <c r="AG6992" s="189">
        <f t="shared" si="4986"/>
        <v>0</v>
      </c>
      <c r="AH6992" s="189">
        <f t="shared" si="4986"/>
        <v>0</v>
      </c>
      <c r="AI6992" s="161">
        <f t="shared" ref="AI6992:AI6993" si="4987">SUM(AE6992:AH6992)</f>
        <v>0</v>
      </c>
      <c r="AK6992" s="169">
        <v>5</v>
      </c>
      <c r="AO6992" s="19" t="s">
        <v>63</v>
      </c>
    </row>
    <row r="6993" spans="1:37" s="103" customFormat="1" ht="19.899999999999999" customHeight="1" x14ac:dyDescent="0.25">
      <c r="A6993" s="51"/>
      <c r="B6993" s="52"/>
      <c r="C6993" s="165"/>
      <c r="D6993" s="52"/>
      <c r="E6993" s="115"/>
      <c r="F6993" s="58"/>
      <c r="G6993" s="58"/>
      <c r="H6993" s="58"/>
      <c r="I6993" s="55"/>
      <c r="J6993" s="113">
        <f>J6992</f>
        <v>6429.0564999999988</v>
      </c>
      <c r="K6993" s="212">
        <f>K6992</f>
        <v>6429.0564999999988</v>
      </c>
      <c r="L6993" s="58"/>
      <c r="M6993" s="58">
        <f>K6993-L6993</f>
        <v>6429.0564999999988</v>
      </c>
      <c r="N6993" s="166"/>
      <c r="O6993" s="58"/>
      <c r="P6993" s="58"/>
      <c r="Q6993" s="58"/>
      <c r="R6993" s="58"/>
      <c r="S6993" s="58"/>
      <c r="T6993" s="220"/>
      <c r="U6993" s="88"/>
      <c r="V6993" s="56"/>
      <c r="W6993" s="57" t="s">
        <v>1042</v>
      </c>
      <c r="X6993" s="53"/>
      <c r="Y6993" s="91" t="s">
        <v>68</v>
      </c>
      <c r="Z6993" s="136">
        <f>AD6993/AC6993</f>
        <v>7.5827294117647064</v>
      </c>
      <c r="AA6993" s="58"/>
      <c r="AB6993" s="53">
        <f>AD6993/AC6993</f>
        <v>7.5827294117647064</v>
      </c>
      <c r="AC6993" s="53">
        <f>M6993+$AE$10</f>
        <v>6429.0564999999988</v>
      </c>
      <c r="AD6993" s="54">
        <f>SUM(AD6994:AD7001)</f>
        <v>48749.795812447053</v>
      </c>
      <c r="AE6993" s="184">
        <f>SUMIFS($AD$37:$AD$12971,$V$37:$V$12971,$V6993,$X$37:$X$12971,AE$13)</f>
        <v>0</v>
      </c>
      <c r="AF6993" s="185">
        <f>SUMIFS($AD$37:$AD$12971,$V$37:$V$12971,$V6993,$X$37:$X$12971,AF$13)</f>
        <v>0</v>
      </c>
      <c r="AG6993" s="185">
        <f>SUMIFS($AD$37:$AD$12971,$V$37:$V$12971,$V6993,$X$37:$X$12971,AG$13)</f>
        <v>0</v>
      </c>
      <c r="AH6993" s="187">
        <f>SUMIFS($AD$37:$AD$12971,$V$37:$V$12971,$V6993,$X$37:$X$12971,AH$13)</f>
        <v>0</v>
      </c>
      <c r="AI6993" s="161">
        <f t="shared" si="4987"/>
        <v>0</v>
      </c>
      <c r="AK6993" s="172"/>
    </row>
    <row r="6994" spans="1:37" s="102" customFormat="1" ht="19.899999999999999" customHeight="1" x14ac:dyDescent="0.25">
      <c r="A6994" s="45"/>
      <c r="B6994" s="59"/>
      <c r="C6994" s="137"/>
      <c r="D6994" s="59"/>
      <c r="E6994" s="116"/>
      <c r="F6994" s="120"/>
      <c r="G6994" s="120"/>
      <c r="H6994" s="120"/>
      <c r="I6994" s="60"/>
      <c r="J6994" s="116"/>
      <c r="K6994" s="213"/>
      <c r="L6994" s="120"/>
      <c r="M6994" s="120"/>
      <c r="N6994" s="167"/>
      <c r="O6994" s="120"/>
      <c r="P6994" s="120"/>
      <c r="Q6994" s="120"/>
      <c r="R6994" s="120"/>
      <c r="S6994" s="120"/>
      <c r="T6994" s="221"/>
      <c r="U6994" s="89"/>
      <c r="V6994" s="61"/>
      <c r="W6994" s="92" t="s">
        <v>129</v>
      </c>
      <c r="X6994" s="93" t="s">
        <v>29</v>
      </c>
      <c r="Y6994" s="93" t="s">
        <v>93</v>
      </c>
      <c r="Z6994" s="134">
        <f>VLOOKUP(W6994,Sheet2!$B:$D,3,FALSE)</f>
        <v>56</v>
      </c>
      <c r="AA6994" s="93">
        <f>100/(1*1.5)</f>
        <v>66.666666666666671</v>
      </c>
      <c r="AB6994" s="93">
        <f t="shared" ref="AB6994" si="4988">AD6994/AC6993</f>
        <v>0.84</v>
      </c>
      <c r="AC6994" s="93">
        <f>AC6993/AA6994</f>
        <v>96.43584749999998</v>
      </c>
      <c r="AD6994" s="94">
        <f t="shared" ref="AD6994:AD6995" si="4989">AC6994*Z6994</f>
        <v>5400.4074599999985</v>
      </c>
      <c r="AE6994" s="190"/>
      <c r="AF6994" s="191"/>
      <c r="AG6994" s="191"/>
      <c r="AH6994" s="191"/>
      <c r="AI6994" s="186"/>
      <c r="AK6994" s="171"/>
    </row>
    <row r="6995" spans="1:37" s="102" customFormat="1" ht="19.899999999999999" customHeight="1" x14ac:dyDescent="0.25">
      <c r="A6995" s="45"/>
      <c r="B6995" s="59"/>
      <c r="C6995" s="137"/>
      <c r="D6995" s="59"/>
      <c r="E6995" s="116"/>
      <c r="F6995" s="120"/>
      <c r="G6995" s="120"/>
      <c r="H6995" s="120"/>
      <c r="I6995" s="60"/>
      <c r="J6995" s="116"/>
      <c r="K6995" s="213"/>
      <c r="L6995" s="120"/>
      <c r="M6995" s="120"/>
      <c r="N6995" s="167"/>
      <c r="O6995" s="120"/>
      <c r="P6995" s="120"/>
      <c r="Q6995" s="120"/>
      <c r="R6995" s="120"/>
      <c r="S6995" s="120"/>
      <c r="T6995" s="221"/>
      <c r="U6995" s="89"/>
      <c r="V6995" s="61"/>
      <c r="W6995" s="92" t="s">
        <v>65</v>
      </c>
      <c r="X6995" s="93" t="s">
        <v>30</v>
      </c>
      <c r="Y6995" s="93" t="s">
        <v>1011</v>
      </c>
      <c r="Z6995" s="134">
        <f>VLOOKUP(W6995,Sheet2!$B:$D,3,FALSE)</f>
        <v>1.76</v>
      </c>
      <c r="AA6995" s="93">
        <f>AA6994/14</f>
        <v>4.7619047619047619</v>
      </c>
      <c r="AB6995" s="93">
        <f>AD6995/AC6993</f>
        <v>0.36960000000000004</v>
      </c>
      <c r="AC6995" s="93">
        <f>AC6993/AA6995</f>
        <v>1350.1018649999999</v>
      </c>
      <c r="AD6995" s="94">
        <f t="shared" si="4989"/>
        <v>2376.1792823999999</v>
      </c>
      <c r="AE6995" s="190"/>
      <c r="AF6995" s="191"/>
      <c r="AG6995" s="191"/>
      <c r="AH6995" s="191"/>
      <c r="AI6995" s="186"/>
      <c r="AK6995" s="171"/>
    </row>
    <row r="6996" spans="1:37" s="102" customFormat="1" ht="19.899999999999999" customHeight="1" x14ac:dyDescent="0.25">
      <c r="A6996" s="45"/>
      <c r="B6996" s="59"/>
      <c r="C6996" s="137"/>
      <c r="D6996" s="59"/>
      <c r="E6996" s="116"/>
      <c r="F6996" s="120"/>
      <c r="G6996" s="120"/>
      <c r="H6996" s="120"/>
      <c r="I6996" s="60"/>
      <c r="J6996" s="116"/>
      <c r="K6996" s="213"/>
      <c r="L6996" s="120"/>
      <c r="M6996" s="120"/>
      <c r="N6996" s="167"/>
      <c r="O6996" s="120"/>
      <c r="P6996" s="120"/>
      <c r="Q6996" s="120"/>
      <c r="R6996" s="120"/>
      <c r="S6996" s="120"/>
      <c r="T6996" s="221"/>
      <c r="U6996" s="89"/>
      <c r="V6996" s="61"/>
      <c r="W6996" s="92" t="s">
        <v>161</v>
      </c>
      <c r="X6996" s="93" t="s">
        <v>29</v>
      </c>
      <c r="Y6996" s="93" t="s">
        <v>93</v>
      </c>
      <c r="Z6996" s="134">
        <f>VLOOKUP(W6996,Sheet2!$B:$D,3,FALSE)</f>
        <v>48</v>
      </c>
      <c r="AA6996" s="93">
        <f>(16*0.85*1.5)/(1*1.5)</f>
        <v>13.6</v>
      </c>
      <c r="AB6996" s="93">
        <f>AD6996/AC6993</f>
        <v>3.5294117647058822</v>
      </c>
      <c r="AC6996" s="93">
        <f>AC6993/AA6996</f>
        <v>472.72474264705875</v>
      </c>
      <c r="AD6996" s="94">
        <f>AC6996*Z6996</f>
        <v>22690.78764705882</v>
      </c>
      <c r="AE6996" s="190"/>
      <c r="AF6996" s="191"/>
      <c r="AG6996" s="191"/>
      <c r="AH6996" s="191"/>
      <c r="AI6996" s="186"/>
      <c r="AK6996" s="171"/>
    </row>
    <row r="6997" spans="1:37" s="102" customFormat="1" ht="19.899999999999999" customHeight="1" x14ac:dyDescent="0.25">
      <c r="A6997" s="45"/>
      <c r="B6997" s="59"/>
      <c r="C6997" s="137"/>
      <c r="D6997" s="59"/>
      <c r="E6997" s="116"/>
      <c r="F6997" s="120"/>
      <c r="G6997" s="120"/>
      <c r="H6997" s="120"/>
      <c r="I6997" s="60"/>
      <c r="J6997" s="116"/>
      <c r="K6997" s="213"/>
      <c r="L6997" s="120"/>
      <c r="M6997" s="120"/>
      <c r="N6997" s="167"/>
      <c r="O6997" s="120"/>
      <c r="P6997" s="120"/>
      <c r="Q6997" s="120"/>
      <c r="R6997" s="120"/>
      <c r="S6997" s="120"/>
      <c r="T6997" s="221"/>
      <c r="U6997" s="89"/>
      <c r="V6997" s="61"/>
      <c r="W6997" s="92" t="s">
        <v>65</v>
      </c>
      <c r="X6997" s="93" t="s">
        <v>30</v>
      </c>
      <c r="Y6997" s="93" t="s">
        <v>1011</v>
      </c>
      <c r="Z6997" s="134">
        <f>VLOOKUP(W6997,Sheet2!$B:$D,3,FALSE)</f>
        <v>1.76</v>
      </c>
      <c r="AA6997" s="93">
        <f>AA6996/10</f>
        <v>1.3599999999999999</v>
      </c>
      <c r="AB6997" s="93">
        <f>AD6997/AC6993</f>
        <v>1.2941176470588236</v>
      </c>
      <c r="AC6997" s="93">
        <f>AC6993/AA6997</f>
        <v>4727.2474264705879</v>
      </c>
      <c r="AD6997" s="94">
        <f>AC6997*Z6997</f>
        <v>8319.9554705882347</v>
      </c>
      <c r="AE6997" s="190"/>
      <c r="AF6997" s="191"/>
      <c r="AG6997" s="191"/>
      <c r="AH6997" s="191"/>
      <c r="AI6997" s="186"/>
      <c r="AK6997" s="171"/>
    </row>
    <row r="6998" spans="1:37" s="102" customFormat="1" ht="19.899999999999999" customHeight="1" x14ac:dyDescent="0.25">
      <c r="A6998" s="45"/>
      <c r="B6998" s="59"/>
      <c r="C6998" s="137"/>
      <c r="D6998" s="59"/>
      <c r="E6998" s="116"/>
      <c r="F6998" s="120"/>
      <c r="G6998" s="120"/>
      <c r="H6998" s="120"/>
      <c r="I6998" s="60"/>
      <c r="J6998" s="116"/>
      <c r="K6998" s="213"/>
      <c r="L6998" s="120"/>
      <c r="M6998" s="120"/>
      <c r="N6998" s="167"/>
      <c r="O6998" s="120"/>
      <c r="P6998" s="120"/>
      <c r="Q6998" s="120"/>
      <c r="R6998" s="120"/>
      <c r="S6998" s="120"/>
      <c r="T6998" s="221"/>
      <c r="U6998" s="89"/>
      <c r="V6998" s="61"/>
      <c r="W6998" s="92" t="s">
        <v>1030</v>
      </c>
      <c r="X6998" s="93" t="s">
        <v>29</v>
      </c>
      <c r="Y6998" s="93" t="s">
        <v>93</v>
      </c>
      <c r="Z6998" s="134">
        <f>VLOOKUP(W6998,Sheet2!$B:$D,3,FALSE)</f>
        <v>23</v>
      </c>
      <c r="AA6998" s="93">
        <v>50</v>
      </c>
      <c r="AB6998" s="93">
        <f>AD6998/AC6993</f>
        <v>0.45999999999999996</v>
      </c>
      <c r="AC6998" s="93">
        <f>AC6993/AA6998</f>
        <v>128.58112999999997</v>
      </c>
      <c r="AD6998" s="94">
        <f t="shared" ref="AD6998:AD7001" si="4990">AC6998*Z6998</f>
        <v>2957.3659899999993</v>
      </c>
      <c r="AE6998" s="190"/>
      <c r="AF6998" s="191"/>
      <c r="AG6998" s="191"/>
      <c r="AH6998" s="191"/>
      <c r="AI6998" s="186"/>
      <c r="AK6998" s="171"/>
    </row>
    <row r="6999" spans="1:37" s="102" customFormat="1" ht="19.899999999999999" customHeight="1" x14ac:dyDescent="0.25">
      <c r="A6999" s="45"/>
      <c r="B6999" s="59"/>
      <c r="C6999" s="137"/>
      <c r="D6999" s="59"/>
      <c r="E6999" s="116"/>
      <c r="F6999" s="120"/>
      <c r="G6999" s="120"/>
      <c r="H6999" s="120"/>
      <c r="I6999" s="60"/>
      <c r="J6999" s="116"/>
      <c r="K6999" s="213"/>
      <c r="L6999" s="120"/>
      <c r="M6999" s="120"/>
      <c r="N6999" s="167"/>
      <c r="O6999" s="120"/>
      <c r="P6999" s="120"/>
      <c r="Q6999" s="120"/>
      <c r="R6999" s="120"/>
      <c r="S6999" s="120"/>
      <c r="T6999" s="221"/>
      <c r="U6999" s="89"/>
      <c r="V6999" s="61"/>
      <c r="W6999" s="92" t="s">
        <v>65</v>
      </c>
      <c r="X6999" s="93" t="s">
        <v>30</v>
      </c>
      <c r="Y6999" s="93" t="s">
        <v>1011</v>
      </c>
      <c r="Z6999" s="134">
        <f>VLOOKUP(W6999,Sheet2!$B:$D,3,FALSE)</f>
        <v>1.76</v>
      </c>
      <c r="AA6999" s="93">
        <f>AA6998/3</f>
        <v>16.666666666666668</v>
      </c>
      <c r="AB6999" s="93">
        <f>AD6999/AC6993</f>
        <v>0.1056</v>
      </c>
      <c r="AC6999" s="93">
        <f>AC6993/AA6999</f>
        <v>385.74338999999992</v>
      </c>
      <c r="AD6999" s="94">
        <f t="shared" si="4990"/>
        <v>678.90836639999986</v>
      </c>
      <c r="AE6999" s="190"/>
      <c r="AF6999" s="191"/>
      <c r="AG6999" s="191"/>
      <c r="AH6999" s="191"/>
      <c r="AI6999" s="186"/>
      <c r="AK6999" s="171"/>
    </row>
    <row r="7000" spans="1:37" s="102" customFormat="1" ht="19.899999999999999" customHeight="1" x14ac:dyDescent="0.25">
      <c r="A7000" s="45"/>
      <c r="B7000" s="59"/>
      <c r="C7000" s="137"/>
      <c r="D7000" s="59"/>
      <c r="E7000" s="116"/>
      <c r="F7000" s="120"/>
      <c r="G7000" s="120"/>
      <c r="H7000" s="120"/>
      <c r="I7000" s="60"/>
      <c r="J7000" s="116"/>
      <c r="K7000" s="213"/>
      <c r="L7000" s="120"/>
      <c r="M7000" s="120"/>
      <c r="N7000" s="167"/>
      <c r="O7000" s="120"/>
      <c r="P7000" s="120"/>
      <c r="Q7000" s="120"/>
      <c r="R7000" s="120"/>
      <c r="S7000" s="120"/>
      <c r="T7000" s="221"/>
      <c r="U7000" s="89"/>
      <c r="V7000" s="61"/>
      <c r="W7000" s="92" t="s">
        <v>148</v>
      </c>
      <c r="X7000" s="93" t="s">
        <v>29</v>
      </c>
      <c r="Y7000" s="93" t="s">
        <v>93</v>
      </c>
      <c r="Z7000" s="134">
        <f>VLOOKUP(W7000,Sheet2!$B:$D,3,FALSE)</f>
        <v>48</v>
      </c>
      <c r="AA7000" s="93">
        <f>AA6994</f>
        <v>66.666666666666671</v>
      </c>
      <c r="AB7000" s="93">
        <f>AD7000/AC6993</f>
        <v>0.72</v>
      </c>
      <c r="AC7000" s="93">
        <f>AC6993/AA7000</f>
        <v>96.43584749999998</v>
      </c>
      <c r="AD7000" s="94">
        <f t="shared" si="4990"/>
        <v>4628.9206799999993</v>
      </c>
      <c r="AE7000" s="190"/>
      <c r="AF7000" s="191"/>
      <c r="AG7000" s="191"/>
      <c r="AH7000" s="191"/>
      <c r="AI7000" s="186"/>
      <c r="AK7000" s="171"/>
    </row>
    <row r="7001" spans="1:37" s="102" customFormat="1" ht="19.899999999999999" customHeight="1" x14ac:dyDescent="0.25">
      <c r="A7001" s="45"/>
      <c r="B7001" s="59"/>
      <c r="C7001" s="137"/>
      <c r="D7001" s="59"/>
      <c r="E7001" s="116"/>
      <c r="F7001" s="120"/>
      <c r="G7001" s="120"/>
      <c r="H7001" s="120"/>
      <c r="I7001" s="60"/>
      <c r="J7001" s="116"/>
      <c r="K7001" s="213"/>
      <c r="L7001" s="120"/>
      <c r="M7001" s="120"/>
      <c r="N7001" s="167"/>
      <c r="O7001" s="120"/>
      <c r="P7001" s="120"/>
      <c r="Q7001" s="120"/>
      <c r="R7001" s="120"/>
      <c r="S7001" s="120"/>
      <c r="T7001" s="221"/>
      <c r="U7001" s="89"/>
      <c r="V7001" s="61"/>
      <c r="W7001" s="92" t="s">
        <v>65</v>
      </c>
      <c r="X7001" s="93" t="s">
        <v>30</v>
      </c>
      <c r="Y7001" s="93" t="s">
        <v>1011</v>
      </c>
      <c r="Z7001" s="134">
        <f>VLOOKUP(W7001,Sheet2!$B:$D,3,FALSE)</f>
        <v>1.76</v>
      </c>
      <c r="AA7001" s="93">
        <f>AA7000/10</f>
        <v>6.666666666666667</v>
      </c>
      <c r="AB7001" s="93">
        <f>AD7001/AC6993</f>
        <v>0.26400000000000001</v>
      </c>
      <c r="AC7001" s="93">
        <f>AC6993/AA7001</f>
        <v>964.35847499999977</v>
      </c>
      <c r="AD7001" s="94">
        <f t="shared" si="4990"/>
        <v>1697.2709159999997</v>
      </c>
      <c r="AE7001" s="190"/>
      <c r="AF7001" s="191"/>
      <c r="AG7001" s="191"/>
      <c r="AH7001" s="191"/>
      <c r="AI7001" s="186"/>
      <c r="AK7001" s="171"/>
    </row>
    <row r="7002" spans="1:37" s="103" customFormat="1" ht="19.899999999999999" customHeight="1" x14ac:dyDescent="0.25">
      <c r="A7002" s="51"/>
      <c r="B7002" s="52"/>
      <c r="C7002" s="165"/>
      <c r="D7002" s="52"/>
      <c r="E7002" s="115"/>
      <c r="F7002" s="58"/>
      <c r="G7002" s="58"/>
      <c r="H7002" s="58"/>
      <c r="I7002" s="55"/>
      <c r="J7002" s="113">
        <f>J6992</f>
        <v>6429.0564999999988</v>
      </c>
      <c r="K7002" s="212">
        <f>K6992</f>
        <v>6429.0564999999988</v>
      </c>
      <c r="L7002" s="58"/>
      <c r="M7002" s="58">
        <f>K7002-L7002</f>
        <v>6429.0564999999988</v>
      </c>
      <c r="N7002" s="166"/>
      <c r="O7002" s="58"/>
      <c r="P7002" s="58"/>
      <c r="Q7002" s="58"/>
      <c r="R7002" s="58"/>
      <c r="S7002" s="58"/>
      <c r="T7002" s="220"/>
      <c r="U7002" s="88"/>
      <c r="V7002" s="56"/>
      <c r="W7002" s="57" t="s">
        <v>1036</v>
      </c>
      <c r="X7002" s="53"/>
      <c r="Y7002" s="91" t="s">
        <v>68</v>
      </c>
      <c r="Z7002" s="136">
        <f>AD7002/AC7002</f>
        <v>133.58333333333334</v>
      </c>
      <c r="AA7002" s="58"/>
      <c r="AB7002" s="53">
        <f>AD7002/AC7002</f>
        <v>133.58333333333334</v>
      </c>
      <c r="AC7002" s="53">
        <f>M7002+$AE$10</f>
        <v>6429.0564999999988</v>
      </c>
      <c r="AD7002" s="54">
        <f>SUM(AD7003:AD7009)</f>
        <v>858814.79745833331</v>
      </c>
      <c r="AE7002" s="184">
        <f>SUMIFS($AD$37:$AD$12971,$V$37:$V$12971,$V7002,$X$37:$X$12971,AE$13)</f>
        <v>0</v>
      </c>
      <c r="AF7002" s="185">
        <f>SUMIFS($AD$37:$AD$12971,$V$37:$V$12971,$V7002,$X$37:$X$12971,AF$13)</f>
        <v>0</v>
      </c>
      <c r="AG7002" s="185">
        <f>SUMIFS($AD$37:$AD$12971,$V$37:$V$12971,$V7002,$X$37:$X$12971,AG$13)</f>
        <v>0</v>
      </c>
      <c r="AH7002" s="187">
        <f>SUMIFS($AD$37:$AD$12971,$V$37:$V$12971,$V7002,$X$37:$X$12971,AH$13)</f>
        <v>0</v>
      </c>
      <c r="AI7002" s="161">
        <f t="shared" ref="AI7002" si="4991">SUM(AE7002:AH7002)</f>
        <v>0</v>
      </c>
      <c r="AK7002" s="172"/>
    </row>
    <row r="7003" spans="1:37" s="102" customFormat="1" ht="19.899999999999999" customHeight="1" x14ac:dyDescent="0.25">
      <c r="A7003" s="45"/>
      <c r="B7003" s="59"/>
      <c r="C7003" s="137"/>
      <c r="D7003" s="59"/>
      <c r="E7003" s="116"/>
      <c r="F7003" s="120"/>
      <c r="G7003" s="120"/>
      <c r="H7003" s="120"/>
      <c r="I7003" s="60"/>
      <c r="J7003" s="116"/>
      <c r="K7003" s="213"/>
      <c r="L7003" s="120"/>
      <c r="M7003" s="120"/>
      <c r="N7003" s="167"/>
      <c r="O7003" s="120"/>
      <c r="P7003" s="120"/>
      <c r="Q7003" s="120"/>
      <c r="R7003" s="120"/>
      <c r="S7003" s="120"/>
      <c r="T7003" s="221"/>
      <c r="U7003" s="89"/>
      <c r="V7003" s="61"/>
      <c r="W7003" s="92" t="s">
        <v>1044</v>
      </c>
      <c r="X7003" s="93" t="s">
        <v>30</v>
      </c>
      <c r="Y7003" s="93" t="s">
        <v>68</v>
      </c>
      <c r="Z7003" s="134">
        <f>VLOOKUP(W7003,Sheet2!$B:$D,3,FALSE)</f>
        <v>80</v>
      </c>
      <c r="AA7003" s="93">
        <v>1</v>
      </c>
      <c r="AB7003" s="93">
        <f>AD7003/AC7002</f>
        <v>80</v>
      </c>
      <c r="AC7003" s="93">
        <f>AC7002/AA7003</f>
        <v>6429.0564999999988</v>
      </c>
      <c r="AD7003" s="94">
        <f t="shared" ref="AD7003" si="4992">AC7003*Z7003</f>
        <v>514324.5199999999</v>
      </c>
      <c r="AE7003" s="190"/>
      <c r="AF7003" s="191"/>
      <c r="AG7003" s="191"/>
      <c r="AH7003" s="191"/>
      <c r="AI7003" s="186"/>
      <c r="AK7003" s="171"/>
    </row>
    <row r="7004" spans="1:37" s="102" customFormat="1" ht="19.899999999999999" customHeight="1" x14ac:dyDescent="0.25">
      <c r="A7004" s="45"/>
      <c r="B7004" s="59"/>
      <c r="C7004" s="137"/>
      <c r="D7004" s="59"/>
      <c r="E7004" s="116"/>
      <c r="F7004" s="120"/>
      <c r="G7004" s="120"/>
      <c r="H7004" s="120"/>
      <c r="I7004" s="60"/>
      <c r="J7004" s="116"/>
      <c r="K7004" s="213"/>
      <c r="L7004" s="120"/>
      <c r="M7004" s="120"/>
      <c r="N7004" s="167"/>
      <c r="O7004" s="120"/>
      <c r="P7004" s="120"/>
      <c r="Q7004" s="120"/>
      <c r="R7004" s="120"/>
      <c r="S7004" s="120"/>
      <c r="T7004" s="221"/>
      <c r="U7004" s="89"/>
      <c r="V7004" s="61"/>
      <c r="W7004" s="92" t="s">
        <v>1046</v>
      </c>
      <c r="X7004" s="93" t="s">
        <v>30</v>
      </c>
      <c r="Y7004" s="93" t="s">
        <v>68</v>
      </c>
      <c r="Z7004" s="134">
        <f>VLOOKUP(W7004,Sheet2!$B:$D,3,FALSE)</f>
        <v>8</v>
      </c>
      <c r="AA7004" s="93">
        <v>1</v>
      </c>
      <c r="AB7004" s="93">
        <f>AD7004/AC7002</f>
        <v>8</v>
      </c>
      <c r="AC7004" s="93">
        <f>AC7002/AA7004</f>
        <v>6429.0564999999988</v>
      </c>
      <c r="AD7004" s="94">
        <f>AC7004*Z7004</f>
        <v>51432.45199999999</v>
      </c>
      <c r="AE7004" s="190"/>
      <c r="AF7004" s="191"/>
      <c r="AG7004" s="191"/>
      <c r="AH7004" s="191"/>
      <c r="AI7004" s="186"/>
      <c r="AK7004" s="171"/>
    </row>
    <row r="7005" spans="1:37" s="102" customFormat="1" ht="19.899999999999999" customHeight="1" x14ac:dyDescent="0.25">
      <c r="A7005" s="45"/>
      <c r="B7005" s="59"/>
      <c r="C7005" s="137"/>
      <c r="D7005" s="59"/>
      <c r="E7005" s="116"/>
      <c r="F7005" s="120"/>
      <c r="G7005" s="120"/>
      <c r="H7005" s="120"/>
      <c r="I7005" s="60"/>
      <c r="J7005" s="116"/>
      <c r="K7005" s="213"/>
      <c r="L7005" s="120"/>
      <c r="M7005" s="120"/>
      <c r="N7005" s="167"/>
      <c r="O7005" s="120"/>
      <c r="P7005" s="120"/>
      <c r="Q7005" s="120"/>
      <c r="R7005" s="120"/>
      <c r="S7005" s="120"/>
      <c r="T7005" s="221"/>
      <c r="U7005" s="89"/>
      <c r="V7005" s="61"/>
      <c r="W7005" s="92" t="s">
        <v>107</v>
      </c>
      <c r="X7005" s="93" t="s">
        <v>31</v>
      </c>
      <c r="Y7005" s="93" t="s">
        <v>93</v>
      </c>
      <c r="Z7005" s="134">
        <f>VLOOKUP(W7005,Sheet2!$B:$D,3,FALSE)</f>
        <v>17</v>
      </c>
      <c r="AA7005" s="93">
        <v>6</v>
      </c>
      <c r="AB7005" s="93">
        <f>AD7005/AC7002</f>
        <v>2.8333333333333339</v>
      </c>
      <c r="AC7005" s="93">
        <f>AC7002/AA7005</f>
        <v>1071.5094166666665</v>
      </c>
      <c r="AD7005" s="94">
        <f>AC7005*Z7005</f>
        <v>18215.660083333332</v>
      </c>
      <c r="AE7005" s="190"/>
      <c r="AF7005" s="191"/>
      <c r="AG7005" s="191"/>
      <c r="AH7005" s="191"/>
      <c r="AI7005" s="186"/>
      <c r="AK7005" s="171"/>
    </row>
    <row r="7006" spans="1:37" s="102" customFormat="1" ht="19.899999999999999" customHeight="1" x14ac:dyDescent="0.25">
      <c r="A7006" s="45"/>
      <c r="B7006" s="59"/>
      <c r="C7006" s="137"/>
      <c r="D7006" s="59"/>
      <c r="E7006" s="116"/>
      <c r="F7006" s="120"/>
      <c r="G7006" s="120"/>
      <c r="H7006" s="120"/>
      <c r="I7006" s="60"/>
      <c r="J7006" s="116"/>
      <c r="K7006" s="213"/>
      <c r="L7006" s="120"/>
      <c r="M7006" s="120"/>
      <c r="N7006" s="167"/>
      <c r="O7006" s="120"/>
      <c r="P7006" s="120"/>
      <c r="Q7006" s="120"/>
      <c r="R7006" s="120"/>
      <c r="S7006" s="120"/>
      <c r="T7006" s="221"/>
      <c r="U7006" s="89"/>
      <c r="V7006" s="61"/>
      <c r="W7006" s="92" t="s">
        <v>112</v>
      </c>
      <c r="X7006" s="93" t="s">
        <v>31</v>
      </c>
      <c r="Y7006" s="93" t="s">
        <v>93</v>
      </c>
      <c r="Z7006" s="134">
        <f>VLOOKUP(W7006,Sheet2!$B:$D,3,FALSE)</f>
        <v>13</v>
      </c>
      <c r="AA7006" s="93">
        <v>6</v>
      </c>
      <c r="AB7006" s="93">
        <f>AD7006/AC7002</f>
        <v>2.166666666666667</v>
      </c>
      <c r="AC7006" s="93">
        <f>AC7002/AA7006</f>
        <v>1071.5094166666665</v>
      </c>
      <c r="AD7006" s="94">
        <f>AC7006*Z7006</f>
        <v>13929.622416666665</v>
      </c>
      <c r="AE7006" s="190"/>
      <c r="AF7006" s="191"/>
      <c r="AG7006" s="191"/>
      <c r="AH7006" s="191"/>
      <c r="AI7006" s="186"/>
      <c r="AK7006" s="171"/>
    </row>
    <row r="7007" spans="1:37" s="102" customFormat="1" ht="19.899999999999999" customHeight="1" x14ac:dyDescent="0.25">
      <c r="A7007" s="45"/>
      <c r="B7007" s="59"/>
      <c r="C7007" s="137"/>
      <c r="D7007" s="59"/>
      <c r="E7007" s="116"/>
      <c r="F7007" s="120"/>
      <c r="G7007" s="120"/>
      <c r="H7007" s="120"/>
      <c r="I7007" s="60"/>
      <c r="J7007" s="116"/>
      <c r="K7007" s="213"/>
      <c r="L7007" s="120"/>
      <c r="M7007" s="120"/>
      <c r="N7007" s="167"/>
      <c r="O7007" s="120"/>
      <c r="P7007" s="120"/>
      <c r="Q7007" s="120"/>
      <c r="R7007" s="120"/>
      <c r="S7007" s="120"/>
      <c r="T7007" s="221"/>
      <c r="U7007" s="89"/>
      <c r="V7007" s="61"/>
      <c r="W7007" s="92" t="s">
        <v>1032</v>
      </c>
      <c r="X7007" s="93" t="s">
        <v>30</v>
      </c>
      <c r="Y7007" s="93" t="s">
        <v>66</v>
      </c>
      <c r="Z7007" s="134">
        <f>VLOOKUP(W7007,Sheet2!$B:$D,3,FALSE)</f>
        <v>250</v>
      </c>
      <c r="AA7007" s="93">
        <f>1/(1*1*0.1)</f>
        <v>10</v>
      </c>
      <c r="AB7007" s="93">
        <f>AD7007/AC7002</f>
        <v>25</v>
      </c>
      <c r="AC7007" s="93">
        <f>AC7002/AA7007</f>
        <v>642.90564999999992</v>
      </c>
      <c r="AD7007" s="94">
        <f>AC7007*Z7007</f>
        <v>160726.41249999998</v>
      </c>
      <c r="AE7007" s="190"/>
      <c r="AF7007" s="191"/>
      <c r="AG7007" s="191"/>
      <c r="AH7007" s="191"/>
      <c r="AI7007" s="186"/>
      <c r="AK7007" s="171"/>
    </row>
    <row r="7008" spans="1:37" s="102" customFormat="1" ht="19.899999999999999" customHeight="1" x14ac:dyDescent="0.25">
      <c r="A7008" s="45"/>
      <c r="B7008" s="59"/>
      <c r="C7008" s="137"/>
      <c r="D7008" s="59"/>
      <c r="E7008" s="116"/>
      <c r="F7008" s="120"/>
      <c r="G7008" s="120"/>
      <c r="H7008" s="120"/>
      <c r="I7008" s="60"/>
      <c r="J7008" s="116"/>
      <c r="K7008" s="213"/>
      <c r="L7008" s="120"/>
      <c r="M7008" s="120"/>
      <c r="N7008" s="167"/>
      <c r="O7008" s="120"/>
      <c r="P7008" s="120"/>
      <c r="Q7008" s="120"/>
      <c r="R7008" s="120"/>
      <c r="S7008" s="120"/>
      <c r="T7008" s="221"/>
      <c r="U7008" s="89"/>
      <c r="V7008" s="61"/>
      <c r="W7008" s="92" t="s">
        <v>1035</v>
      </c>
      <c r="X7008" s="93" t="s">
        <v>32</v>
      </c>
      <c r="Y7008" s="93" t="s">
        <v>66</v>
      </c>
      <c r="Z7008" s="134">
        <f>VLOOKUP(W7008,Sheet2!$B:$D,3,FALSE)</f>
        <v>150</v>
      </c>
      <c r="AA7008" s="93">
        <f>AA7007</f>
        <v>10</v>
      </c>
      <c r="AB7008" s="93">
        <f>AD7008/AC7002</f>
        <v>15.000000000000002</v>
      </c>
      <c r="AC7008" s="93">
        <f>AC7002/AA7008</f>
        <v>642.90564999999992</v>
      </c>
      <c r="AD7008" s="94">
        <f t="shared" ref="AD7008:AD7009" si="4993">AC7008*Z7008</f>
        <v>96435.847499999989</v>
      </c>
      <c r="AE7008" s="190"/>
      <c r="AF7008" s="191"/>
      <c r="AG7008" s="191"/>
      <c r="AH7008" s="191"/>
      <c r="AI7008" s="186"/>
      <c r="AK7008" s="171"/>
    </row>
    <row r="7009" spans="1:41" s="102" customFormat="1" ht="19.899999999999999" customHeight="1" x14ac:dyDescent="0.25">
      <c r="A7009" s="45"/>
      <c r="B7009" s="59"/>
      <c r="C7009" s="137"/>
      <c r="D7009" s="59"/>
      <c r="E7009" s="116"/>
      <c r="F7009" s="120"/>
      <c r="G7009" s="120"/>
      <c r="H7009" s="120"/>
      <c r="I7009" s="60"/>
      <c r="J7009" s="116"/>
      <c r="K7009" s="213"/>
      <c r="L7009" s="120"/>
      <c r="M7009" s="120"/>
      <c r="N7009" s="167"/>
      <c r="O7009" s="120"/>
      <c r="P7009" s="120"/>
      <c r="Q7009" s="120"/>
      <c r="R7009" s="120"/>
      <c r="S7009" s="120"/>
      <c r="T7009" s="221"/>
      <c r="U7009" s="89"/>
      <c r="V7009" s="61"/>
      <c r="W7009" s="92" t="s">
        <v>1037</v>
      </c>
      <c r="X7009" s="93" t="s">
        <v>30</v>
      </c>
      <c r="Y7009" s="93" t="s">
        <v>1038</v>
      </c>
      <c r="Z7009" s="134">
        <f>VLOOKUP(W7009,Sheet2!$B:$D,3,FALSE)</f>
        <v>175</v>
      </c>
      <c r="AA7009" s="93">
        <v>300</v>
      </c>
      <c r="AB7009" s="93">
        <f>AD7009/AC7002</f>
        <v>0.58333333333333337</v>
      </c>
      <c r="AC7009" s="93">
        <f>AC7002/AA7009</f>
        <v>21.43018833333333</v>
      </c>
      <c r="AD7009" s="94">
        <f t="shared" si="4993"/>
        <v>3750.2829583333328</v>
      </c>
      <c r="AE7009" s="190"/>
      <c r="AF7009" s="191"/>
      <c r="AG7009" s="191"/>
      <c r="AH7009" s="191"/>
      <c r="AI7009" s="186"/>
      <c r="AK7009" s="171"/>
    </row>
    <row r="7010" spans="1:41" s="103" customFormat="1" ht="19.899999999999999" customHeight="1" x14ac:dyDescent="0.25">
      <c r="A7010" s="51"/>
      <c r="B7010" s="52"/>
      <c r="C7010" s="165"/>
      <c r="D7010" s="52"/>
      <c r="E7010" s="115"/>
      <c r="F7010" s="58"/>
      <c r="G7010" s="58"/>
      <c r="H7010" s="58"/>
      <c r="I7010" s="55"/>
      <c r="J7010" s="113">
        <f>J6992</f>
        <v>6429.0564999999988</v>
      </c>
      <c r="K7010" s="212">
        <f>K6992</f>
        <v>6429.0564999999988</v>
      </c>
      <c r="L7010" s="58"/>
      <c r="M7010" s="58">
        <f>K7010-L7010</f>
        <v>6429.0564999999988</v>
      </c>
      <c r="N7010" s="166"/>
      <c r="O7010" s="58"/>
      <c r="P7010" s="58"/>
      <c r="Q7010" s="58"/>
      <c r="R7010" s="58"/>
      <c r="S7010" s="58"/>
      <c r="T7010" s="220"/>
      <c r="U7010" s="88"/>
      <c r="V7010" s="56"/>
      <c r="W7010" s="57" t="s">
        <v>1040</v>
      </c>
      <c r="X7010" s="53"/>
      <c r="Y7010" s="91" t="s">
        <v>68</v>
      </c>
      <c r="Z7010" s="136">
        <f>AD7010/AC7010</f>
        <v>5</v>
      </c>
      <c r="AA7010" s="58"/>
      <c r="AB7010" s="53">
        <f>AD7010/AC7010</f>
        <v>5</v>
      </c>
      <c r="AC7010" s="53">
        <f>M7010+$AE$10</f>
        <v>6429.0564999999988</v>
      </c>
      <c r="AD7010" s="54">
        <f>SUM(AD7011)</f>
        <v>32145.282499999994</v>
      </c>
      <c r="AE7010" s="184">
        <f>SUMIFS($AD$37:$AD$12971,$V$37:$V$12971,$V7010,$X$37:$X$12971,AE$13)</f>
        <v>0</v>
      </c>
      <c r="AF7010" s="185">
        <f>SUMIFS($AD$37:$AD$12971,$V$37:$V$12971,$V7010,$X$37:$X$12971,AF$13)</f>
        <v>0</v>
      </c>
      <c r="AG7010" s="185">
        <f>SUMIFS($AD$37:$AD$12971,$V$37:$V$12971,$V7010,$X$37:$X$12971,AG$13)</f>
        <v>0</v>
      </c>
      <c r="AH7010" s="187">
        <f>SUMIFS($AD$37:$AD$12971,$V$37:$V$12971,$V7010,$X$37:$X$12971,AH$13)</f>
        <v>0</v>
      </c>
      <c r="AI7010" s="161">
        <f t="shared" ref="AI7010" si="4994">SUM(AE7010:AH7010)</f>
        <v>0</v>
      </c>
      <c r="AK7010" s="172"/>
    </row>
    <row r="7011" spans="1:41" s="102" customFormat="1" ht="19.899999999999999" customHeight="1" x14ac:dyDescent="0.25">
      <c r="A7011" s="45"/>
      <c r="B7011" s="59"/>
      <c r="C7011" s="137"/>
      <c r="D7011" s="59"/>
      <c r="E7011" s="116"/>
      <c r="F7011" s="120"/>
      <c r="G7011" s="120"/>
      <c r="H7011" s="120"/>
      <c r="I7011" s="60"/>
      <c r="J7011" s="116"/>
      <c r="K7011" s="213"/>
      <c r="L7011" s="120"/>
      <c r="M7011" s="120"/>
      <c r="N7011" s="167"/>
      <c r="O7011" s="120"/>
      <c r="P7011" s="120"/>
      <c r="Q7011" s="120"/>
      <c r="R7011" s="120"/>
      <c r="S7011" s="120"/>
      <c r="T7011" s="221"/>
      <c r="U7011" s="89"/>
      <c r="V7011" s="61"/>
      <c r="W7011" s="92" t="s">
        <v>1039</v>
      </c>
      <c r="X7011" s="93" t="s">
        <v>32</v>
      </c>
      <c r="Y7011" s="93" t="s">
        <v>68</v>
      </c>
      <c r="Z7011" s="134">
        <f>VLOOKUP(W7011,Sheet2!$B:$D,3,FALSE)</f>
        <v>5</v>
      </c>
      <c r="AA7011" s="93">
        <v>1</v>
      </c>
      <c r="AB7011" s="93">
        <f>AD7011/AC7010</f>
        <v>5</v>
      </c>
      <c r="AC7011" s="93">
        <f>AC7010/AA7011</f>
        <v>6429.0564999999988</v>
      </c>
      <c r="AD7011" s="94">
        <f t="shared" ref="AD7011" si="4995">AC7011*Z7011</f>
        <v>32145.282499999994</v>
      </c>
      <c r="AE7011" s="190"/>
      <c r="AF7011" s="191"/>
      <c r="AG7011" s="191"/>
      <c r="AH7011" s="191"/>
      <c r="AI7011" s="186"/>
      <c r="AK7011" s="171"/>
    </row>
    <row r="7012" spans="1:41" ht="20.100000000000001" customHeight="1" x14ac:dyDescent="0.25">
      <c r="A7012" s="277" t="s">
        <v>703</v>
      </c>
      <c r="B7012" s="278"/>
      <c r="C7012" s="64" t="s">
        <v>712</v>
      </c>
      <c r="D7012" s="46" t="s">
        <v>97</v>
      </c>
      <c r="E7012" s="114">
        <v>1056.1224000000004</v>
      </c>
      <c r="F7012" s="44">
        <v>399</v>
      </c>
      <c r="G7012" s="44">
        <f t="shared" si="4575"/>
        <v>421392.83760000014</v>
      </c>
      <c r="H7012" s="44">
        <f t="shared" si="4576"/>
        <v>148.50510588235292</v>
      </c>
      <c r="I7012" s="43">
        <f t="shared" si="4577"/>
        <v>156839.56883672473</v>
      </c>
      <c r="J7012" s="112">
        <f t="shared" si="4578"/>
        <v>1056.1224000000004</v>
      </c>
      <c r="K7012" s="211">
        <f t="shared" si="4579"/>
        <v>1056.1224000000004</v>
      </c>
      <c r="L7012" s="44"/>
      <c r="M7012" s="44">
        <f t="shared" si="4580"/>
        <v>1056.1224000000004</v>
      </c>
      <c r="N7012" s="173">
        <f t="shared" si="4581"/>
        <v>1</v>
      </c>
      <c r="O7012" s="44">
        <f t="shared" si="4582"/>
        <v>399</v>
      </c>
      <c r="P7012" s="44">
        <f t="shared" si="4583"/>
        <v>421392.83760000014</v>
      </c>
      <c r="Q7012" s="44">
        <f t="shared" si="4584"/>
        <v>148.50510588235292</v>
      </c>
      <c r="R7012" s="44">
        <f t="shared" si="4585"/>
        <v>156839.56883672473</v>
      </c>
      <c r="S7012" s="123"/>
      <c r="T7012" s="219">
        <f t="shared" si="4586"/>
        <v>156839.56883672473</v>
      </c>
      <c r="U7012" s="87"/>
      <c r="V7012" s="47"/>
      <c r="W7012" s="48"/>
      <c r="X7012" s="48"/>
      <c r="Y7012" s="48"/>
      <c r="Z7012" s="135"/>
      <c r="AA7012" s="49"/>
      <c r="AB7012" s="50">
        <f t="shared" si="4587"/>
        <v>148.50510588235292</v>
      </c>
      <c r="AC7012" s="42">
        <f t="shared" si="4588"/>
        <v>1056.1224000000004</v>
      </c>
      <c r="AD7012" s="90">
        <f>AD7013+AD7022+AD7030</f>
        <v>156839.56883672473</v>
      </c>
      <c r="AE7012" s="188">
        <f t="shared" ref="AE7012:AH7012" si="4996">AE7013+AE7022+AE7030</f>
        <v>0</v>
      </c>
      <c r="AF7012" s="189">
        <f t="shared" si="4996"/>
        <v>0</v>
      </c>
      <c r="AG7012" s="189">
        <f t="shared" si="4996"/>
        <v>0</v>
      </c>
      <c r="AH7012" s="189">
        <f t="shared" si="4996"/>
        <v>0</v>
      </c>
      <c r="AI7012" s="161">
        <f t="shared" ref="AI7012:AI7013" si="4997">SUM(AE7012:AH7012)</f>
        <v>0</v>
      </c>
      <c r="AK7012" s="169">
        <v>5</v>
      </c>
      <c r="AO7012" s="19" t="s">
        <v>63</v>
      </c>
    </row>
    <row r="7013" spans="1:41" s="103" customFormat="1" ht="19.899999999999999" customHeight="1" x14ac:dyDescent="0.25">
      <c r="A7013" s="51"/>
      <c r="B7013" s="52"/>
      <c r="C7013" s="165"/>
      <c r="D7013" s="52"/>
      <c r="E7013" s="115"/>
      <c r="F7013" s="58"/>
      <c r="G7013" s="58"/>
      <c r="H7013" s="58"/>
      <c r="I7013" s="55"/>
      <c r="J7013" s="113">
        <f>J7012</f>
        <v>1056.1224000000004</v>
      </c>
      <c r="K7013" s="212">
        <f>K7012</f>
        <v>1056.1224000000004</v>
      </c>
      <c r="L7013" s="58"/>
      <c r="M7013" s="58">
        <f>K7013-L7013</f>
        <v>1056.1224000000004</v>
      </c>
      <c r="N7013" s="166"/>
      <c r="O7013" s="58"/>
      <c r="P7013" s="58"/>
      <c r="Q7013" s="58"/>
      <c r="R7013" s="58"/>
      <c r="S7013" s="58"/>
      <c r="T7013" s="220"/>
      <c r="U7013" s="88"/>
      <c r="V7013" s="56"/>
      <c r="W7013" s="57" t="s">
        <v>1047</v>
      </c>
      <c r="X7013" s="53"/>
      <c r="Y7013" s="91" t="s">
        <v>68</v>
      </c>
      <c r="Z7013" s="136">
        <f>AD7013/AC7013</f>
        <v>9.9217725490196074</v>
      </c>
      <c r="AA7013" s="58"/>
      <c r="AB7013" s="53">
        <f>AD7013/AC7013</f>
        <v>9.9217725490196074</v>
      </c>
      <c r="AC7013" s="53">
        <f>M7013+$AE$10</f>
        <v>1056.1224000000004</v>
      </c>
      <c r="AD7013" s="54">
        <f>SUM(AD7014:AD7021)</f>
        <v>10478.60623672471</v>
      </c>
      <c r="AE7013" s="184">
        <f>SUMIFS($AD$37:$AD$12971,$V$37:$V$12971,$V7013,$X$37:$X$12971,AE$13)</f>
        <v>0</v>
      </c>
      <c r="AF7013" s="185">
        <f>SUMIFS($AD$37:$AD$12971,$V$37:$V$12971,$V7013,$X$37:$X$12971,AF$13)</f>
        <v>0</v>
      </c>
      <c r="AG7013" s="185">
        <f>SUMIFS($AD$37:$AD$12971,$V$37:$V$12971,$V7013,$X$37:$X$12971,AG$13)</f>
        <v>0</v>
      </c>
      <c r="AH7013" s="187">
        <f>SUMIFS($AD$37:$AD$12971,$V$37:$V$12971,$V7013,$X$37:$X$12971,AH$13)</f>
        <v>0</v>
      </c>
      <c r="AI7013" s="161">
        <f t="shared" si="4997"/>
        <v>0</v>
      </c>
      <c r="AK7013" s="172"/>
    </row>
    <row r="7014" spans="1:41" s="102" customFormat="1" ht="19.899999999999999" customHeight="1" x14ac:dyDescent="0.25">
      <c r="A7014" s="45"/>
      <c r="B7014" s="59"/>
      <c r="C7014" s="137"/>
      <c r="D7014" s="59"/>
      <c r="E7014" s="116"/>
      <c r="F7014" s="120"/>
      <c r="G7014" s="120"/>
      <c r="H7014" s="120"/>
      <c r="I7014" s="60"/>
      <c r="J7014" s="116"/>
      <c r="K7014" s="213"/>
      <c r="L7014" s="120"/>
      <c r="M7014" s="120"/>
      <c r="N7014" s="167"/>
      <c r="O7014" s="120"/>
      <c r="P7014" s="120"/>
      <c r="Q7014" s="120"/>
      <c r="R7014" s="120"/>
      <c r="S7014" s="120"/>
      <c r="T7014" s="221"/>
      <c r="U7014" s="89"/>
      <c r="V7014" s="61"/>
      <c r="W7014" s="92" t="s">
        <v>129</v>
      </c>
      <c r="X7014" s="93" t="s">
        <v>29</v>
      </c>
      <c r="Y7014" s="93" t="s">
        <v>93</v>
      </c>
      <c r="Z7014" s="134">
        <f>VLOOKUP(W7014,Sheet2!$B:$D,3,FALSE)</f>
        <v>56</v>
      </c>
      <c r="AA7014" s="93">
        <f>100/(1*2)</f>
        <v>50</v>
      </c>
      <c r="AB7014" s="93">
        <f t="shared" ref="AB7014" si="4998">AD7014/AC7013</f>
        <v>1.1199999999999999</v>
      </c>
      <c r="AC7014" s="93">
        <f>AC7013/AA7014</f>
        <v>21.122448000000009</v>
      </c>
      <c r="AD7014" s="94">
        <f t="shared" ref="AD7014:AD7015" si="4999">AC7014*Z7014</f>
        <v>1182.8570880000004</v>
      </c>
      <c r="AE7014" s="190"/>
      <c r="AF7014" s="191"/>
      <c r="AG7014" s="191"/>
      <c r="AH7014" s="191"/>
      <c r="AI7014" s="186"/>
      <c r="AK7014" s="171"/>
    </row>
    <row r="7015" spans="1:41" s="102" customFormat="1" ht="19.899999999999999" customHeight="1" x14ac:dyDescent="0.25">
      <c r="A7015" s="45"/>
      <c r="B7015" s="59"/>
      <c r="C7015" s="137"/>
      <c r="D7015" s="59"/>
      <c r="E7015" s="116"/>
      <c r="F7015" s="120"/>
      <c r="G7015" s="120"/>
      <c r="H7015" s="120"/>
      <c r="I7015" s="60"/>
      <c r="J7015" s="116"/>
      <c r="K7015" s="213"/>
      <c r="L7015" s="120"/>
      <c r="M7015" s="120"/>
      <c r="N7015" s="167"/>
      <c r="O7015" s="120"/>
      <c r="P7015" s="120"/>
      <c r="Q7015" s="120"/>
      <c r="R7015" s="120"/>
      <c r="S7015" s="120"/>
      <c r="T7015" s="221"/>
      <c r="U7015" s="89"/>
      <c r="V7015" s="61"/>
      <c r="W7015" s="92" t="s">
        <v>65</v>
      </c>
      <c r="X7015" s="93" t="s">
        <v>30</v>
      </c>
      <c r="Y7015" s="93" t="s">
        <v>1011</v>
      </c>
      <c r="Z7015" s="134">
        <f>VLOOKUP(W7015,Sheet2!$B:$D,3,FALSE)</f>
        <v>1.76</v>
      </c>
      <c r="AA7015" s="93">
        <f>AA7014/14</f>
        <v>3.5714285714285716</v>
      </c>
      <c r="AB7015" s="93">
        <f>AD7015/AC7013</f>
        <v>0.49279999999999996</v>
      </c>
      <c r="AC7015" s="93">
        <f>AC7013/AA7015</f>
        <v>295.71427200000011</v>
      </c>
      <c r="AD7015" s="94">
        <f t="shared" si="4999"/>
        <v>520.45711872000015</v>
      </c>
      <c r="AE7015" s="190"/>
      <c r="AF7015" s="191"/>
      <c r="AG7015" s="191"/>
      <c r="AH7015" s="191"/>
      <c r="AI7015" s="186"/>
      <c r="AK7015" s="171"/>
    </row>
    <row r="7016" spans="1:41" s="102" customFormat="1" ht="19.899999999999999" customHeight="1" x14ac:dyDescent="0.25">
      <c r="A7016" s="45"/>
      <c r="B7016" s="59"/>
      <c r="C7016" s="137"/>
      <c r="D7016" s="59"/>
      <c r="E7016" s="116"/>
      <c r="F7016" s="120"/>
      <c r="G7016" s="120"/>
      <c r="H7016" s="120"/>
      <c r="I7016" s="60"/>
      <c r="J7016" s="116"/>
      <c r="K7016" s="213"/>
      <c r="L7016" s="120"/>
      <c r="M7016" s="120"/>
      <c r="N7016" s="167"/>
      <c r="O7016" s="120"/>
      <c r="P7016" s="120"/>
      <c r="Q7016" s="120"/>
      <c r="R7016" s="120"/>
      <c r="S7016" s="120"/>
      <c r="T7016" s="221"/>
      <c r="U7016" s="89"/>
      <c r="V7016" s="61"/>
      <c r="W7016" s="92" t="s">
        <v>161</v>
      </c>
      <c r="X7016" s="93" t="s">
        <v>29</v>
      </c>
      <c r="Y7016" s="93" t="s">
        <v>93</v>
      </c>
      <c r="Z7016" s="134">
        <f>VLOOKUP(W7016,Sheet2!$B:$D,3,FALSE)</f>
        <v>48</v>
      </c>
      <c r="AA7016" s="93">
        <f>(16*0.85*1.5)/(1*2)</f>
        <v>10.199999999999999</v>
      </c>
      <c r="AB7016" s="93">
        <f>AD7016/AC7013</f>
        <v>4.7058823529411766</v>
      </c>
      <c r="AC7016" s="93">
        <f>AC7013/AA7016</f>
        <v>103.54141176470593</v>
      </c>
      <c r="AD7016" s="94">
        <f>AC7016*Z7016</f>
        <v>4969.9877647058847</v>
      </c>
      <c r="AE7016" s="190"/>
      <c r="AF7016" s="191"/>
      <c r="AG7016" s="191"/>
      <c r="AH7016" s="191"/>
      <c r="AI7016" s="186"/>
      <c r="AK7016" s="171"/>
    </row>
    <row r="7017" spans="1:41" s="102" customFormat="1" ht="19.899999999999999" customHeight="1" x14ac:dyDescent="0.25">
      <c r="A7017" s="45"/>
      <c r="B7017" s="59"/>
      <c r="C7017" s="137"/>
      <c r="D7017" s="59"/>
      <c r="E7017" s="116"/>
      <c r="F7017" s="120"/>
      <c r="G7017" s="120"/>
      <c r="H7017" s="120"/>
      <c r="I7017" s="60"/>
      <c r="J7017" s="116"/>
      <c r="K7017" s="213"/>
      <c r="L7017" s="120"/>
      <c r="M7017" s="120"/>
      <c r="N7017" s="167"/>
      <c r="O7017" s="120"/>
      <c r="P7017" s="120"/>
      <c r="Q7017" s="120"/>
      <c r="R7017" s="120"/>
      <c r="S7017" s="120"/>
      <c r="T7017" s="221"/>
      <c r="U7017" s="89"/>
      <c r="V7017" s="61"/>
      <c r="W7017" s="92" t="s">
        <v>65</v>
      </c>
      <c r="X7017" s="93" t="s">
        <v>30</v>
      </c>
      <c r="Y7017" s="93" t="s">
        <v>1011</v>
      </c>
      <c r="Z7017" s="134">
        <f>VLOOKUP(W7017,Sheet2!$B:$D,3,FALSE)</f>
        <v>1.76</v>
      </c>
      <c r="AA7017" s="93">
        <f>AA7016/10</f>
        <v>1.02</v>
      </c>
      <c r="AB7017" s="93">
        <f>AD7017/AC7013</f>
        <v>1.7254901960784312</v>
      </c>
      <c r="AC7017" s="93">
        <f>AC7013/AA7017</f>
        <v>1035.4141176470591</v>
      </c>
      <c r="AD7017" s="94">
        <f>AC7017*Z7017</f>
        <v>1822.3288470588241</v>
      </c>
      <c r="AE7017" s="190"/>
      <c r="AF7017" s="191"/>
      <c r="AG7017" s="191"/>
      <c r="AH7017" s="191"/>
      <c r="AI7017" s="186"/>
      <c r="AK7017" s="171"/>
    </row>
    <row r="7018" spans="1:41" s="102" customFormat="1" ht="19.899999999999999" customHeight="1" x14ac:dyDescent="0.25">
      <c r="A7018" s="45"/>
      <c r="B7018" s="59"/>
      <c r="C7018" s="137"/>
      <c r="D7018" s="59"/>
      <c r="E7018" s="116"/>
      <c r="F7018" s="120"/>
      <c r="G7018" s="120"/>
      <c r="H7018" s="120"/>
      <c r="I7018" s="60"/>
      <c r="J7018" s="116"/>
      <c r="K7018" s="213"/>
      <c r="L7018" s="120"/>
      <c r="M7018" s="120"/>
      <c r="N7018" s="167"/>
      <c r="O7018" s="120"/>
      <c r="P7018" s="120"/>
      <c r="Q7018" s="120"/>
      <c r="R7018" s="120"/>
      <c r="S7018" s="120"/>
      <c r="T7018" s="221"/>
      <c r="U7018" s="89"/>
      <c r="V7018" s="61"/>
      <c r="W7018" s="92" t="s">
        <v>1030</v>
      </c>
      <c r="X7018" s="93" t="s">
        <v>29</v>
      </c>
      <c r="Y7018" s="93" t="s">
        <v>93</v>
      </c>
      <c r="Z7018" s="134">
        <f>VLOOKUP(W7018,Sheet2!$B:$D,3,FALSE)</f>
        <v>23</v>
      </c>
      <c r="AA7018" s="93">
        <v>50</v>
      </c>
      <c r="AB7018" s="93">
        <f>AD7018/AC7013</f>
        <v>0.46</v>
      </c>
      <c r="AC7018" s="93">
        <f>AC7013/AA7018</f>
        <v>21.122448000000009</v>
      </c>
      <c r="AD7018" s="94">
        <f t="shared" ref="AD7018:AD7021" si="5000">AC7018*Z7018</f>
        <v>485.81630400000023</v>
      </c>
      <c r="AE7018" s="190"/>
      <c r="AF7018" s="191"/>
      <c r="AG7018" s="191"/>
      <c r="AH7018" s="191"/>
      <c r="AI7018" s="186"/>
      <c r="AK7018" s="171"/>
    </row>
    <row r="7019" spans="1:41" s="102" customFormat="1" ht="19.899999999999999" customHeight="1" x14ac:dyDescent="0.25">
      <c r="A7019" s="45"/>
      <c r="B7019" s="59"/>
      <c r="C7019" s="137"/>
      <c r="D7019" s="59"/>
      <c r="E7019" s="116"/>
      <c r="F7019" s="120"/>
      <c r="G7019" s="120"/>
      <c r="H7019" s="120"/>
      <c r="I7019" s="60"/>
      <c r="J7019" s="116"/>
      <c r="K7019" s="213"/>
      <c r="L7019" s="120"/>
      <c r="M7019" s="120"/>
      <c r="N7019" s="167"/>
      <c r="O7019" s="120"/>
      <c r="P7019" s="120"/>
      <c r="Q7019" s="120"/>
      <c r="R7019" s="120"/>
      <c r="S7019" s="120"/>
      <c r="T7019" s="221"/>
      <c r="U7019" s="89"/>
      <c r="V7019" s="61"/>
      <c r="W7019" s="92" t="s">
        <v>65</v>
      </c>
      <c r="X7019" s="93" t="s">
        <v>30</v>
      </c>
      <c r="Y7019" s="93" t="s">
        <v>1011</v>
      </c>
      <c r="Z7019" s="134">
        <f>VLOOKUP(W7019,Sheet2!$B:$D,3,FALSE)</f>
        <v>1.76</v>
      </c>
      <c r="AA7019" s="93">
        <f>AA7018/3</f>
        <v>16.666666666666668</v>
      </c>
      <c r="AB7019" s="93">
        <f>AD7019/AC7013</f>
        <v>0.1056</v>
      </c>
      <c r="AC7019" s="93">
        <f>AC7013/AA7019</f>
        <v>63.367344000000024</v>
      </c>
      <c r="AD7019" s="94">
        <f t="shared" si="5000"/>
        <v>111.52652544000004</v>
      </c>
      <c r="AE7019" s="190"/>
      <c r="AF7019" s="191"/>
      <c r="AG7019" s="191"/>
      <c r="AH7019" s="191"/>
      <c r="AI7019" s="186"/>
      <c r="AK7019" s="171"/>
    </row>
    <row r="7020" spans="1:41" s="102" customFormat="1" ht="19.899999999999999" customHeight="1" x14ac:dyDescent="0.25">
      <c r="A7020" s="45"/>
      <c r="B7020" s="59"/>
      <c r="C7020" s="137"/>
      <c r="D7020" s="59"/>
      <c r="E7020" s="116"/>
      <c r="F7020" s="120"/>
      <c r="G7020" s="120"/>
      <c r="H7020" s="120"/>
      <c r="I7020" s="60"/>
      <c r="J7020" s="116"/>
      <c r="K7020" s="213"/>
      <c r="L7020" s="120"/>
      <c r="M7020" s="120"/>
      <c r="N7020" s="167"/>
      <c r="O7020" s="120"/>
      <c r="P7020" s="120"/>
      <c r="Q7020" s="120"/>
      <c r="R7020" s="120"/>
      <c r="S7020" s="120"/>
      <c r="T7020" s="221"/>
      <c r="U7020" s="89"/>
      <c r="V7020" s="61"/>
      <c r="W7020" s="92" t="s">
        <v>148</v>
      </c>
      <c r="X7020" s="93" t="s">
        <v>29</v>
      </c>
      <c r="Y7020" s="93" t="s">
        <v>93</v>
      </c>
      <c r="Z7020" s="134">
        <f>VLOOKUP(W7020,Sheet2!$B:$D,3,FALSE)</f>
        <v>48</v>
      </c>
      <c r="AA7020" s="93">
        <f>AA7014</f>
        <v>50</v>
      </c>
      <c r="AB7020" s="93">
        <f>AD7020/AC7013</f>
        <v>0.96000000000000008</v>
      </c>
      <c r="AC7020" s="93">
        <f>AC7013/AA7020</f>
        <v>21.122448000000009</v>
      </c>
      <c r="AD7020" s="94">
        <f t="shared" si="5000"/>
        <v>1013.8775040000005</v>
      </c>
      <c r="AE7020" s="190"/>
      <c r="AF7020" s="191"/>
      <c r="AG7020" s="191"/>
      <c r="AH7020" s="191"/>
      <c r="AI7020" s="186"/>
      <c r="AK7020" s="171"/>
    </row>
    <row r="7021" spans="1:41" s="102" customFormat="1" ht="19.899999999999999" customHeight="1" x14ac:dyDescent="0.25">
      <c r="A7021" s="45"/>
      <c r="B7021" s="59"/>
      <c r="C7021" s="137"/>
      <c r="D7021" s="59"/>
      <c r="E7021" s="116"/>
      <c r="F7021" s="120"/>
      <c r="G7021" s="120"/>
      <c r="H7021" s="120"/>
      <c r="I7021" s="60"/>
      <c r="J7021" s="116"/>
      <c r="K7021" s="213"/>
      <c r="L7021" s="120"/>
      <c r="M7021" s="120"/>
      <c r="N7021" s="167"/>
      <c r="O7021" s="120"/>
      <c r="P7021" s="120"/>
      <c r="Q7021" s="120"/>
      <c r="R7021" s="120"/>
      <c r="S7021" s="120"/>
      <c r="T7021" s="221"/>
      <c r="U7021" s="89"/>
      <c r="V7021" s="61"/>
      <c r="W7021" s="92" t="s">
        <v>65</v>
      </c>
      <c r="X7021" s="93" t="s">
        <v>30</v>
      </c>
      <c r="Y7021" s="93" t="s">
        <v>1011</v>
      </c>
      <c r="Z7021" s="134">
        <f>VLOOKUP(W7021,Sheet2!$B:$D,3,FALSE)</f>
        <v>1.76</v>
      </c>
      <c r="AA7021" s="93">
        <f>AA7020/10</f>
        <v>5</v>
      </c>
      <c r="AB7021" s="93">
        <f>AD7021/AC7013</f>
        <v>0.35199999999999998</v>
      </c>
      <c r="AC7021" s="93">
        <f>AC7013/AA7021</f>
        <v>211.22448000000009</v>
      </c>
      <c r="AD7021" s="94">
        <f t="shared" si="5000"/>
        <v>371.75508480000013</v>
      </c>
      <c r="AE7021" s="190"/>
      <c r="AF7021" s="191"/>
      <c r="AG7021" s="191"/>
      <c r="AH7021" s="191"/>
      <c r="AI7021" s="186"/>
      <c r="AK7021" s="171"/>
    </row>
    <row r="7022" spans="1:41" s="103" customFormat="1" ht="19.899999999999999" customHeight="1" x14ac:dyDescent="0.25">
      <c r="A7022" s="51"/>
      <c r="B7022" s="52"/>
      <c r="C7022" s="165"/>
      <c r="D7022" s="52"/>
      <c r="E7022" s="115"/>
      <c r="F7022" s="58"/>
      <c r="G7022" s="58"/>
      <c r="H7022" s="58"/>
      <c r="I7022" s="55"/>
      <c r="J7022" s="113">
        <f>J7012</f>
        <v>1056.1224000000004</v>
      </c>
      <c r="K7022" s="212">
        <f>K7012</f>
        <v>1056.1224000000004</v>
      </c>
      <c r="L7022" s="58"/>
      <c r="M7022" s="58">
        <f>K7022-L7022</f>
        <v>1056.1224000000004</v>
      </c>
      <c r="N7022" s="166"/>
      <c r="O7022" s="58"/>
      <c r="P7022" s="58"/>
      <c r="Q7022" s="58"/>
      <c r="R7022" s="58"/>
      <c r="S7022" s="58"/>
      <c r="T7022" s="220"/>
      <c r="U7022" s="88"/>
      <c r="V7022" s="56"/>
      <c r="W7022" s="57" t="s">
        <v>1036</v>
      </c>
      <c r="X7022" s="53"/>
      <c r="Y7022" s="91" t="s">
        <v>68</v>
      </c>
      <c r="Z7022" s="136">
        <f>AD7022/AC7022</f>
        <v>133.58333333333331</v>
      </c>
      <c r="AA7022" s="58"/>
      <c r="AB7022" s="53">
        <f>AD7022/AC7022</f>
        <v>133.58333333333331</v>
      </c>
      <c r="AC7022" s="53">
        <f>M7022+$AE$10</f>
        <v>1056.1224000000004</v>
      </c>
      <c r="AD7022" s="54">
        <f>SUM(AD7023:AD7029)</f>
        <v>141080.35060000003</v>
      </c>
      <c r="AE7022" s="184">
        <f>SUMIFS($AD$37:$AD$12971,$V$37:$V$12971,$V7022,$X$37:$X$12971,AE$13)</f>
        <v>0</v>
      </c>
      <c r="AF7022" s="185">
        <f>SUMIFS($AD$37:$AD$12971,$V$37:$V$12971,$V7022,$X$37:$X$12971,AF$13)</f>
        <v>0</v>
      </c>
      <c r="AG7022" s="185">
        <f>SUMIFS($AD$37:$AD$12971,$V$37:$V$12971,$V7022,$X$37:$X$12971,AG$13)</f>
        <v>0</v>
      </c>
      <c r="AH7022" s="187">
        <f>SUMIFS($AD$37:$AD$12971,$V$37:$V$12971,$V7022,$X$37:$X$12971,AH$13)</f>
        <v>0</v>
      </c>
      <c r="AI7022" s="161">
        <f t="shared" ref="AI7022" si="5001">SUM(AE7022:AH7022)</f>
        <v>0</v>
      </c>
      <c r="AK7022" s="172"/>
    </row>
    <row r="7023" spans="1:41" s="102" customFormat="1" ht="19.899999999999999" customHeight="1" x14ac:dyDescent="0.25">
      <c r="A7023" s="45"/>
      <c r="B7023" s="59"/>
      <c r="C7023" s="137"/>
      <c r="D7023" s="59"/>
      <c r="E7023" s="116"/>
      <c r="F7023" s="120"/>
      <c r="G7023" s="120"/>
      <c r="H7023" s="120"/>
      <c r="I7023" s="60"/>
      <c r="J7023" s="116"/>
      <c r="K7023" s="213"/>
      <c r="L7023" s="120"/>
      <c r="M7023" s="120"/>
      <c r="N7023" s="167"/>
      <c r="O7023" s="120"/>
      <c r="P7023" s="120"/>
      <c r="Q7023" s="120"/>
      <c r="R7023" s="120"/>
      <c r="S7023" s="120"/>
      <c r="T7023" s="221"/>
      <c r="U7023" s="89"/>
      <c r="V7023" s="61"/>
      <c r="W7023" s="92" t="s">
        <v>1044</v>
      </c>
      <c r="X7023" s="93" t="s">
        <v>30</v>
      </c>
      <c r="Y7023" s="93" t="s">
        <v>68</v>
      </c>
      <c r="Z7023" s="134">
        <f>VLOOKUP(W7023,Sheet2!$B:$D,3,FALSE)</f>
        <v>80</v>
      </c>
      <c r="AA7023" s="93">
        <v>1</v>
      </c>
      <c r="AB7023" s="93">
        <f>AD7023/AC7022</f>
        <v>80</v>
      </c>
      <c r="AC7023" s="93">
        <f>AC7022/AA7023</f>
        <v>1056.1224000000004</v>
      </c>
      <c r="AD7023" s="94">
        <f t="shared" ref="AD7023" si="5002">AC7023*Z7023</f>
        <v>84489.79200000003</v>
      </c>
      <c r="AE7023" s="190"/>
      <c r="AF7023" s="191"/>
      <c r="AG7023" s="191"/>
      <c r="AH7023" s="191"/>
      <c r="AI7023" s="186"/>
      <c r="AK7023" s="171"/>
    </row>
    <row r="7024" spans="1:41" s="102" customFormat="1" ht="19.899999999999999" customHeight="1" x14ac:dyDescent="0.25">
      <c r="A7024" s="45"/>
      <c r="B7024" s="59"/>
      <c r="C7024" s="137"/>
      <c r="D7024" s="59"/>
      <c r="E7024" s="116"/>
      <c r="F7024" s="120"/>
      <c r="G7024" s="120"/>
      <c r="H7024" s="120"/>
      <c r="I7024" s="60"/>
      <c r="J7024" s="116"/>
      <c r="K7024" s="213"/>
      <c r="L7024" s="120"/>
      <c r="M7024" s="120"/>
      <c r="N7024" s="167"/>
      <c r="O7024" s="120"/>
      <c r="P7024" s="120"/>
      <c r="Q7024" s="120"/>
      <c r="R7024" s="120"/>
      <c r="S7024" s="120"/>
      <c r="T7024" s="221"/>
      <c r="U7024" s="89"/>
      <c r="V7024" s="61"/>
      <c r="W7024" s="92" t="s">
        <v>1046</v>
      </c>
      <c r="X7024" s="93" t="s">
        <v>30</v>
      </c>
      <c r="Y7024" s="93" t="s">
        <v>68</v>
      </c>
      <c r="Z7024" s="134">
        <f>VLOOKUP(W7024,Sheet2!$B:$D,3,FALSE)</f>
        <v>8</v>
      </c>
      <c r="AA7024" s="93">
        <v>1</v>
      </c>
      <c r="AB7024" s="93">
        <f>AD7024/AC7022</f>
        <v>8</v>
      </c>
      <c r="AC7024" s="93">
        <f>AC7022/AA7024</f>
        <v>1056.1224000000004</v>
      </c>
      <c r="AD7024" s="94">
        <f>AC7024*Z7024</f>
        <v>8448.9792000000034</v>
      </c>
      <c r="AE7024" s="190"/>
      <c r="AF7024" s="191"/>
      <c r="AG7024" s="191"/>
      <c r="AH7024" s="191"/>
      <c r="AI7024" s="186"/>
      <c r="AK7024" s="171"/>
    </row>
    <row r="7025" spans="1:41" s="102" customFormat="1" ht="19.899999999999999" customHeight="1" x14ac:dyDescent="0.25">
      <c r="A7025" s="45"/>
      <c r="B7025" s="59"/>
      <c r="C7025" s="137"/>
      <c r="D7025" s="59"/>
      <c r="E7025" s="116"/>
      <c r="F7025" s="120"/>
      <c r="G7025" s="120"/>
      <c r="H7025" s="120"/>
      <c r="I7025" s="60"/>
      <c r="J7025" s="116"/>
      <c r="K7025" s="213"/>
      <c r="L7025" s="120"/>
      <c r="M7025" s="120"/>
      <c r="N7025" s="167"/>
      <c r="O7025" s="120"/>
      <c r="P7025" s="120"/>
      <c r="Q7025" s="120"/>
      <c r="R7025" s="120"/>
      <c r="S7025" s="120"/>
      <c r="T7025" s="221"/>
      <c r="U7025" s="89"/>
      <c r="V7025" s="61"/>
      <c r="W7025" s="92" t="s">
        <v>107</v>
      </c>
      <c r="X7025" s="93" t="s">
        <v>31</v>
      </c>
      <c r="Y7025" s="93" t="s">
        <v>93</v>
      </c>
      <c r="Z7025" s="134">
        <f>VLOOKUP(W7025,Sheet2!$B:$D,3,FALSE)</f>
        <v>17</v>
      </c>
      <c r="AA7025" s="93">
        <v>6</v>
      </c>
      <c r="AB7025" s="93">
        <f>AD7025/AC7022</f>
        <v>2.8333333333333335</v>
      </c>
      <c r="AC7025" s="93">
        <f>AC7022/AA7025</f>
        <v>176.02040000000008</v>
      </c>
      <c r="AD7025" s="94">
        <f>AC7025*Z7025</f>
        <v>2992.3468000000012</v>
      </c>
      <c r="AE7025" s="190"/>
      <c r="AF7025" s="191"/>
      <c r="AG7025" s="191"/>
      <c r="AH7025" s="191"/>
      <c r="AI7025" s="186"/>
      <c r="AK7025" s="171"/>
    </row>
    <row r="7026" spans="1:41" s="102" customFormat="1" ht="19.899999999999999" customHeight="1" x14ac:dyDescent="0.25">
      <c r="A7026" s="45"/>
      <c r="B7026" s="59"/>
      <c r="C7026" s="137"/>
      <c r="D7026" s="59"/>
      <c r="E7026" s="116"/>
      <c r="F7026" s="120"/>
      <c r="G7026" s="120"/>
      <c r="H7026" s="120"/>
      <c r="I7026" s="60"/>
      <c r="J7026" s="116"/>
      <c r="K7026" s="213"/>
      <c r="L7026" s="120"/>
      <c r="M7026" s="120"/>
      <c r="N7026" s="167"/>
      <c r="O7026" s="120"/>
      <c r="P7026" s="120"/>
      <c r="Q7026" s="120"/>
      <c r="R7026" s="120"/>
      <c r="S7026" s="120"/>
      <c r="T7026" s="221"/>
      <c r="U7026" s="89"/>
      <c r="V7026" s="61"/>
      <c r="W7026" s="92" t="s">
        <v>112</v>
      </c>
      <c r="X7026" s="93" t="s">
        <v>31</v>
      </c>
      <c r="Y7026" s="93" t="s">
        <v>93</v>
      </c>
      <c r="Z7026" s="134">
        <f>VLOOKUP(W7026,Sheet2!$B:$D,3,FALSE)</f>
        <v>13</v>
      </c>
      <c r="AA7026" s="93">
        <v>6</v>
      </c>
      <c r="AB7026" s="93">
        <f>AD7026/AC7022</f>
        <v>2.166666666666667</v>
      </c>
      <c r="AC7026" s="93">
        <f>AC7022/AA7026</f>
        <v>176.02040000000008</v>
      </c>
      <c r="AD7026" s="94">
        <f>AC7026*Z7026</f>
        <v>2288.2652000000012</v>
      </c>
      <c r="AE7026" s="190"/>
      <c r="AF7026" s="191"/>
      <c r="AG7026" s="191"/>
      <c r="AH7026" s="191"/>
      <c r="AI7026" s="186"/>
      <c r="AK7026" s="171"/>
    </row>
    <row r="7027" spans="1:41" s="102" customFormat="1" ht="19.899999999999999" customHeight="1" x14ac:dyDescent="0.25">
      <c r="A7027" s="45"/>
      <c r="B7027" s="59"/>
      <c r="C7027" s="137"/>
      <c r="D7027" s="59"/>
      <c r="E7027" s="116"/>
      <c r="F7027" s="120"/>
      <c r="G7027" s="120"/>
      <c r="H7027" s="120"/>
      <c r="I7027" s="60"/>
      <c r="J7027" s="116"/>
      <c r="K7027" s="213"/>
      <c r="L7027" s="120"/>
      <c r="M7027" s="120"/>
      <c r="N7027" s="167"/>
      <c r="O7027" s="120"/>
      <c r="P7027" s="120"/>
      <c r="Q7027" s="120"/>
      <c r="R7027" s="120"/>
      <c r="S7027" s="120"/>
      <c r="T7027" s="221"/>
      <c r="U7027" s="89"/>
      <c r="V7027" s="61"/>
      <c r="W7027" s="92" t="s">
        <v>1032</v>
      </c>
      <c r="X7027" s="93" t="s">
        <v>30</v>
      </c>
      <c r="Y7027" s="93" t="s">
        <v>66</v>
      </c>
      <c r="Z7027" s="134">
        <f>VLOOKUP(W7027,Sheet2!$B:$D,3,FALSE)</f>
        <v>250</v>
      </c>
      <c r="AA7027" s="93">
        <f>1/(1*1*0.1)</f>
        <v>10</v>
      </c>
      <c r="AB7027" s="93">
        <f>AD7027/AC7022</f>
        <v>25</v>
      </c>
      <c r="AC7027" s="93">
        <f>AC7022/AA7027</f>
        <v>105.61224000000004</v>
      </c>
      <c r="AD7027" s="94">
        <f>AC7027*Z7027</f>
        <v>26403.060000000012</v>
      </c>
      <c r="AE7027" s="190"/>
      <c r="AF7027" s="191"/>
      <c r="AG7027" s="191"/>
      <c r="AH7027" s="191"/>
      <c r="AI7027" s="186"/>
      <c r="AK7027" s="171"/>
    </row>
    <row r="7028" spans="1:41" s="102" customFormat="1" ht="19.899999999999999" customHeight="1" x14ac:dyDescent="0.25">
      <c r="A7028" s="45"/>
      <c r="B7028" s="59"/>
      <c r="C7028" s="137"/>
      <c r="D7028" s="59"/>
      <c r="E7028" s="116"/>
      <c r="F7028" s="120"/>
      <c r="G7028" s="120"/>
      <c r="H7028" s="120"/>
      <c r="I7028" s="60"/>
      <c r="J7028" s="116"/>
      <c r="K7028" s="213"/>
      <c r="L7028" s="120"/>
      <c r="M7028" s="120"/>
      <c r="N7028" s="167"/>
      <c r="O7028" s="120"/>
      <c r="P7028" s="120"/>
      <c r="Q7028" s="120"/>
      <c r="R7028" s="120"/>
      <c r="S7028" s="120"/>
      <c r="T7028" s="221"/>
      <c r="U7028" s="89"/>
      <c r="V7028" s="61"/>
      <c r="W7028" s="92" t="s">
        <v>1035</v>
      </c>
      <c r="X7028" s="93" t="s">
        <v>32</v>
      </c>
      <c r="Y7028" s="93" t="s">
        <v>66</v>
      </c>
      <c r="Z7028" s="134">
        <f>VLOOKUP(W7028,Sheet2!$B:$D,3,FALSE)</f>
        <v>150</v>
      </c>
      <c r="AA7028" s="93">
        <f>AA7027</f>
        <v>10</v>
      </c>
      <c r="AB7028" s="93">
        <f>AD7028/AC7022</f>
        <v>15</v>
      </c>
      <c r="AC7028" s="93">
        <f>AC7022/AA7028</f>
        <v>105.61224000000004</v>
      </c>
      <c r="AD7028" s="94">
        <f t="shared" ref="AD7028:AD7029" si="5003">AC7028*Z7028</f>
        <v>15841.836000000007</v>
      </c>
      <c r="AE7028" s="190"/>
      <c r="AF7028" s="191"/>
      <c r="AG7028" s="191"/>
      <c r="AH7028" s="191"/>
      <c r="AI7028" s="186"/>
      <c r="AK7028" s="171"/>
    </row>
    <row r="7029" spans="1:41" s="102" customFormat="1" ht="19.899999999999999" customHeight="1" x14ac:dyDescent="0.25">
      <c r="A7029" s="45"/>
      <c r="B7029" s="59"/>
      <c r="C7029" s="137"/>
      <c r="D7029" s="59"/>
      <c r="E7029" s="116"/>
      <c r="F7029" s="120"/>
      <c r="G7029" s="120"/>
      <c r="H7029" s="120"/>
      <c r="I7029" s="60"/>
      <c r="J7029" s="116"/>
      <c r="K7029" s="213"/>
      <c r="L7029" s="120"/>
      <c r="M7029" s="120"/>
      <c r="N7029" s="167"/>
      <c r="O7029" s="120"/>
      <c r="P7029" s="120"/>
      <c r="Q7029" s="120"/>
      <c r="R7029" s="120"/>
      <c r="S7029" s="120"/>
      <c r="T7029" s="221"/>
      <c r="U7029" s="89"/>
      <c r="V7029" s="61"/>
      <c r="W7029" s="92" t="s">
        <v>1037</v>
      </c>
      <c r="X7029" s="93" t="s">
        <v>30</v>
      </c>
      <c r="Y7029" s="93" t="s">
        <v>1038</v>
      </c>
      <c r="Z7029" s="134">
        <f>VLOOKUP(W7029,Sheet2!$B:$D,3,FALSE)</f>
        <v>175</v>
      </c>
      <c r="AA7029" s="93">
        <v>300</v>
      </c>
      <c r="AB7029" s="93">
        <f>AD7029/AC7022</f>
        <v>0.58333333333333337</v>
      </c>
      <c r="AC7029" s="93">
        <f>AC7022/AA7029</f>
        <v>3.5204080000000015</v>
      </c>
      <c r="AD7029" s="94">
        <f t="shared" si="5003"/>
        <v>616.07140000000027</v>
      </c>
      <c r="AE7029" s="190"/>
      <c r="AF7029" s="191"/>
      <c r="AG7029" s="191"/>
      <c r="AH7029" s="191"/>
      <c r="AI7029" s="186"/>
      <c r="AK7029" s="171"/>
    </row>
    <row r="7030" spans="1:41" s="103" customFormat="1" ht="19.899999999999999" customHeight="1" x14ac:dyDescent="0.25">
      <c r="A7030" s="51"/>
      <c r="B7030" s="52"/>
      <c r="C7030" s="165"/>
      <c r="D7030" s="52"/>
      <c r="E7030" s="115"/>
      <c r="F7030" s="58"/>
      <c r="G7030" s="58"/>
      <c r="H7030" s="58"/>
      <c r="I7030" s="55"/>
      <c r="J7030" s="113">
        <f>J7012</f>
        <v>1056.1224000000004</v>
      </c>
      <c r="K7030" s="212">
        <f>K7012</f>
        <v>1056.1224000000004</v>
      </c>
      <c r="L7030" s="58"/>
      <c r="M7030" s="58">
        <f>K7030-L7030</f>
        <v>1056.1224000000004</v>
      </c>
      <c r="N7030" s="166"/>
      <c r="O7030" s="58"/>
      <c r="P7030" s="58"/>
      <c r="Q7030" s="58"/>
      <c r="R7030" s="58"/>
      <c r="S7030" s="58"/>
      <c r="T7030" s="220"/>
      <c r="U7030" s="88"/>
      <c r="V7030" s="56"/>
      <c r="W7030" s="57" t="s">
        <v>1040</v>
      </c>
      <c r="X7030" s="53"/>
      <c r="Y7030" s="91" t="s">
        <v>68</v>
      </c>
      <c r="Z7030" s="136">
        <f>AD7030/AC7030</f>
        <v>5</v>
      </c>
      <c r="AA7030" s="58"/>
      <c r="AB7030" s="53">
        <f>AD7030/AC7030</f>
        <v>5</v>
      </c>
      <c r="AC7030" s="53">
        <f>M7030+$AE$10</f>
        <v>1056.1224000000004</v>
      </c>
      <c r="AD7030" s="54">
        <f>SUM(AD7031)</f>
        <v>5280.6120000000019</v>
      </c>
      <c r="AE7030" s="184">
        <f>SUMIFS($AD$37:$AD$12971,$V$37:$V$12971,$V7030,$X$37:$X$12971,AE$13)</f>
        <v>0</v>
      </c>
      <c r="AF7030" s="185">
        <f>SUMIFS($AD$37:$AD$12971,$V$37:$V$12971,$V7030,$X$37:$X$12971,AF$13)</f>
        <v>0</v>
      </c>
      <c r="AG7030" s="185">
        <f>SUMIFS($AD$37:$AD$12971,$V$37:$V$12971,$V7030,$X$37:$X$12971,AG$13)</f>
        <v>0</v>
      </c>
      <c r="AH7030" s="187">
        <f>SUMIFS($AD$37:$AD$12971,$V$37:$V$12971,$V7030,$X$37:$X$12971,AH$13)</f>
        <v>0</v>
      </c>
      <c r="AI7030" s="161">
        <f t="shared" ref="AI7030" si="5004">SUM(AE7030:AH7030)</f>
        <v>0</v>
      </c>
      <c r="AK7030" s="172"/>
    </row>
    <row r="7031" spans="1:41" s="102" customFormat="1" ht="19.899999999999999" customHeight="1" x14ac:dyDescent="0.25">
      <c r="A7031" s="45"/>
      <c r="B7031" s="59"/>
      <c r="C7031" s="137"/>
      <c r="D7031" s="59"/>
      <c r="E7031" s="116"/>
      <c r="F7031" s="120"/>
      <c r="G7031" s="120"/>
      <c r="H7031" s="120"/>
      <c r="I7031" s="60"/>
      <c r="J7031" s="116"/>
      <c r="K7031" s="213"/>
      <c r="L7031" s="120"/>
      <c r="M7031" s="120"/>
      <c r="N7031" s="167"/>
      <c r="O7031" s="120"/>
      <c r="P7031" s="120"/>
      <c r="Q7031" s="120"/>
      <c r="R7031" s="120"/>
      <c r="S7031" s="120"/>
      <c r="T7031" s="221"/>
      <c r="U7031" s="89"/>
      <c r="V7031" s="61"/>
      <c r="W7031" s="92" t="s">
        <v>1039</v>
      </c>
      <c r="X7031" s="93" t="s">
        <v>32</v>
      </c>
      <c r="Y7031" s="93" t="s">
        <v>68</v>
      </c>
      <c r="Z7031" s="134">
        <f>VLOOKUP(W7031,Sheet2!$B:$D,3,FALSE)</f>
        <v>5</v>
      </c>
      <c r="AA7031" s="93">
        <v>1</v>
      </c>
      <c r="AB7031" s="93">
        <f>AD7031/AC7030</f>
        <v>5</v>
      </c>
      <c r="AC7031" s="93">
        <f>AC7030/AA7031</f>
        <v>1056.1224000000004</v>
      </c>
      <c r="AD7031" s="94">
        <f t="shared" ref="AD7031" si="5005">AC7031*Z7031</f>
        <v>5280.6120000000019</v>
      </c>
      <c r="AE7031" s="190"/>
      <c r="AF7031" s="191"/>
      <c r="AG7031" s="191"/>
      <c r="AH7031" s="191"/>
      <c r="AI7031" s="186"/>
      <c r="AK7031" s="171"/>
    </row>
    <row r="7032" spans="1:41" ht="20.100000000000001" customHeight="1" x14ac:dyDescent="0.25">
      <c r="A7032" s="277" t="s">
        <v>703</v>
      </c>
      <c r="B7032" s="278"/>
      <c r="C7032" s="64" t="s">
        <v>713</v>
      </c>
      <c r="D7032" s="46" t="s">
        <v>97</v>
      </c>
      <c r="E7032" s="114">
        <v>194.89480000000003</v>
      </c>
      <c r="F7032" s="44">
        <v>417</v>
      </c>
      <c r="G7032" s="44">
        <f t="shared" si="4575"/>
        <v>81271.131600000008</v>
      </c>
      <c r="H7032" s="44">
        <f t="shared" si="4576"/>
        <v>185.84414901960784</v>
      </c>
      <c r="I7032" s="43">
        <f t="shared" si="4577"/>
        <v>36220.058254346673</v>
      </c>
      <c r="J7032" s="112">
        <f t="shared" si="4578"/>
        <v>194.89480000000003</v>
      </c>
      <c r="K7032" s="211">
        <f t="shared" si="4579"/>
        <v>194.89480000000003</v>
      </c>
      <c r="L7032" s="44"/>
      <c r="M7032" s="44">
        <f t="shared" si="4580"/>
        <v>194.89480000000003</v>
      </c>
      <c r="N7032" s="173">
        <f t="shared" si="4581"/>
        <v>1</v>
      </c>
      <c r="O7032" s="44">
        <f t="shared" si="4582"/>
        <v>417</v>
      </c>
      <c r="P7032" s="44">
        <f t="shared" si="4583"/>
        <v>81271.131600000008</v>
      </c>
      <c r="Q7032" s="44">
        <f t="shared" si="4584"/>
        <v>185.84414901960784</v>
      </c>
      <c r="R7032" s="44">
        <f t="shared" si="4585"/>
        <v>36220.058254346673</v>
      </c>
      <c r="S7032" s="123"/>
      <c r="T7032" s="219">
        <f t="shared" si="4586"/>
        <v>36220.058254346673</v>
      </c>
      <c r="U7032" s="87"/>
      <c r="V7032" s="47"/>
      <c r="W7032" s="48"/>
      <c r="X7032" s="48"/>
      <c r="Y7032" s="48"/>
      <c r="Z7032" s="135"/>
      <c r="AA7032" s="49"/>
      <c r="AB7032" s="50">
        <f t="shared" si="4587"/>
        <v>185.84414901960784</v>
      </c>
      <c r="AC7032" s="42">
        <f t="shared" si="4588"/>
        <v>194.89480000000003</v>
      </c>
      <c r="AD7032" s="90">
        <f>AD7033+AD7043+AD7051</f>
        <v>36220.058254346673</v>
      </c>
      <c r="AE7032" s="188">
        <f t="shared" ref="AE7032:AH7032" si="5006">AE7033+AE7043+AE7051</f>
        <v>0</v>
      </c>
      <c r="AF7032" s="189">
        <f t="shared" si="5006"/>
        <v>0</v>
      </c>
      <c r="AG7032" s="189">
        <f t="shared" si="5006"/>
        <v>0</v>
      </c>
      <c r="AH7032" s="189">
        <f t="shared" si="5006"/>
        <v>0</v>
      </c>
      <c r="AI7032" s="161">
        <f t="shared" ref="AI7032:AI7033" si="5007">SUM(AE7032:AH7032)</f>
        <v>0</v>
      </c>
      <c r="AK7032" s="169">
        <v>5</v>
      </c>
      <c r="AO7032" s="19" t="s">
        <v>63</v>
      </c>
    </row>
    <row r="7033" spans="1:41" s="103" customFormat="1" ht="19.899999999999999" customHeight="1" x14ac:dyDescent="0.25">
      <c r="A7033" s="51"/>
      <c r="B7033" s="52"/>
      <c r="C7033" s="165"/>
      <c r="D7033" s="52"/>
      <c r="E7033" s="115"/>
      <c r="F7033" s="58"/>
      <c r="G7033" s="58"/>
      <c r="H7033" s="58"/>
      <c r="I7033" s="55"/>
      <c r="J7033" s="113">
        <f>J7032</f>
        <v>194.89480000000003</v>
      </c>
      <c r="K7033" s="212">
        <f>K7032</f>
        <v>194.89480000000003</v>
      </c>
      <c r="L7033" s="58"/>
      <c r="M7033" s="58">
        <f>K7033-L7033</f>
        <v>194.89480000000003</v>
      </c>
      <c r="N7033" s="166"/>
      <c r="O7033" s="58"/>
      <c r="P7033" s="58"/>
      <c r="Q7033" s="58"/>
      <c r="R7033" s="58"/>
      <c r="S7033" s="58"/>
      <c r="T7033" s="220"/>
      <c r="U7033" s="88"/>
      <c r="V7033" s="56"/>
      <c r="W7033" s="57" t="s">
        <v>1050</v>
      </c>
      <c r="X7033" s="53"/>
      <c r="Y7033" s="91" t="s">
        <v>68</v>
      </c>
      <c r="Z7033" s="136">
        <f>AD7033/AC7033</f>
        <v>47.260815686274505</v>
      </c>
      <c r="AA7033" s="58"/>
      <c r="AB7033" s="53">
        <f>AD7033/AC7033</f>
        <v>47.260815686274505</v>
      </c>
      <c r="AC7033" s="53">
        <f>M7033+$AE$10</f>
        <v>194.89480000000003</v>
      </c>
      <c r="AD7033" s="54">
        <f>SUM(AD7034:AD7042)</f>
        <v>9210.8872210133341</v>
      </c>
      <c r="AE7033" s="184">
        <f>SUMIFS($AD$37:$AD$12971,$V$37:$V$12971,$V7033,$X$37:$X$12971,AE$13)</f>
        <v>0</v>
      </c>
      <c r="AF7033" s="185">
        <f>SUMIFS($AD$37:$AD$12971,$V$37:$V$12971,$V7033,$X$37:$X$12971,AF$13)</f>
        <v>0</v>
      </c>
      <c r="AG7033" s="185">
        <f>SUMIFS($AD$37:$AD$12971,$V$37:$V$12971,$V7033,$X$37:$X$12971,AG$13)</f>
        <v>0</v>
      </c>
      <c r="AH7033" s="187">
        <f>SUMIFS($AD$37:$AD$12971,$V$37:$V$12971,$V7033,$X$37:$X$12971,AH$13)</f>
        <v>0</v>
      </c>
      <c r="AI7033" s="161">
        <f t="shared" si="5007"/>
        <v>0</v>
      </c>
      <c r="AK7033" s="172"/>
    </row>
    <row r="7034" spans="1:41" s="102" customFormat="1" ht="19.899999999999999" customHeight="1" x14ac:dyDescent="0.25">
      <c r="A7034" s="45"/>
      <c r="B7034" s="59"/>
      <c r="C7034" s="137"/>
      <c r="D7034" s="59"/>
      <c r="E7034" s="116"/>
      <c r="F7034" s="120"/>
      <c r="G7034" s="120"/>
      <c r="H7034" s="120"/>
      <c r="I7034" s="60"/>
      <c r="J7034" s="116"/>
      <c r="K7034" s="213"/>
      <c r="L7034" s="120"/>
      <c r="M7034" s="120"/>
      <c r="N7034" s="167"/>
      <c r="O7034" s="120"/>
      <c r="P7034" s="120"/>
      <c r="Q7034" s="120"/>
      <c r="R7034" s="120"/>
      <c r="S7034" s="120"/>
      <c r="T7034" s="221"/>
      <c r="U7034" s="89"/>
      <c r="V7034" s="61"/>
      <c r="W7034" s="92" t="s">
        <v>129</v>
      </c>
      <c r="X7034" s="93" t="s">
        <v>29</v>
      </c>
      <c r="Y7034" s="93" t="s">
        <v>93</v>
      </c>
      <c r="Z7034" s="134">
        <f>VLOOKUP(W7034,Sheet2!$B:$D,3,FALSE)</f>
        <v>56</v>
      </c>
      <c r="AA7034" s="93">
        <f>100/(1*2.5)</f>
        <v>40</v>
      </c>
      <c r="AB7034" s="93">
        <f t="shared" ref="AB7034" si="5008">AD7034/AC7033</f>
        <v>1.4</v>
      </c>
      <c r="AC7034" s="93">
        <f>AC7033/AA7034</f>
        <v>4.872370000000001</v>
      </c>
      <c r="AD7034" s="94">
        <f t="shared" ref="AD7034:AD7035" si="5009">AC7034*Z7034</f>
        <v>272.85272000000003</v>
      </c>
      <c r="AE7034" s="190"/>
      <c r="AF7034" s="191"/>
      <c r="AG7034" s="191"/>
      <c r="AH7034" s="191"/>
      <c r="AI7034" s="186"/>
      <c r="AK7034" s="171"/>
    </row>
    <row r="7035" spans="1:41" s="102" customFormat="1" ht="19.899999999999999" customHeight="1" x14ac:dyDescent="0.25">
      <c r="A7035" s="45"/>
      <c r="B7035" s="59"/>
      <c r="C7035" s="137"/>
      <c r="D7035" s="59"/>
      <c r="E7035" s="116"/>
      <c r="F7035" s="120"/>
      <c r="G7035" s="120"/>
      <c r="H7035" s="120"/>
      <c r="I7035" s="60"/>
      <c r="J7035" s="116"/>
      <c r="K7035" s="213"/>
      <c r="L7035" s="120"/>
      <c r="M7035" s="120"/>
      <c r="N7035" s="167"/>
      <c r="O7035" s="120"/>
      <c r="P7035" s="120"/>
      <c r="Q7035" s="120"/>
      <c r="R7035" s="120"/>
      <c r="S7035" s="120"/>
      <c r="T7035" s="221"/>
      <c r="U7035" s="89"/>
      <c r="V7035" s="61"/>
      <c r="W7035" s="92" t="s">
        <v>65</v>
      </c>
      <c r="X7035" s="93" t="s">
        <v>30</v>
      </c>
      <c r="Y7035" s="93" t="s">
        <v>1011</v>
      </c>
      <c r="Z7035" s="134">
        <f>VLOOKUP(W7035,Sheet2!$B:$D,3,FALSE)</f>
        <v>1.76</v>
      </c>
      <c r="AA7035" s="93">
        <f>AA7034/14</f>
        <v>2.8571428571428572</v>
      </c>
      <c r="AB7035" s="93">
        <f>AD7035/AC7033</f>
        <v>0.61599999999999999</v>
      </c>
      <c r="AC7035" s="93">
        <f>AC7033/AA7035</f>
        <v>68.213180000000008</v>
      </c>
      <c r="AD7035" s="94">
        <f t="shared" si="5009"/>
        <v>120.05519680000002</v>
      </c>
      <c r="AE7035" s="190"/>
      <c r="AF7035" s="191"/>
      <c r="AG7035" s="191"/>
      <c r="AH7035" s="191"/>
      <c r="AI7035" s="186"/>
      <c r="AK7035" s="171"/>
    </row>
    <row r="7036" spans="1:41" s="102" customFormat="1" ht="19.899999999999999" customHeight="1" x14ac:dyDescent="0.25">
      <c r="A7036" s="45"/>
      <c r="B7036" s="59"/>
      <c r="C7036" s="137"/>
      <c r="D7036" s="59"/>
      <c r="E7036" s="116"/>
      <c r="F7036" s="120"/>
      <c r="G7036" s="120"/>
      <c r="H7036" s="120"/>
      <c r="I7036" s="60"/>
      <c r="J7036" s="116"/>
      <c r="K7036" s="213"/>
      <c r="L7036" s="120"/>
      <c r="M7036" s="120"/>
      <c r="N7036" s="167"/>
      <c r="O7036" s="120"/>
      <c r="P7036" s="120"/>
      <c r="Q7036" s="120"/>
      <c r="R7036" s="120"/>
      <c r="S7036" s="120"/>
      <c r="T7036" s="221"/>
      <c r="U7036" s="89"/>
      <c r="V7036" s="61"/>
      <c r="W7036" s="92" t="s">
        <v>161</v>
      </c>
      <c r="X7036" s="93" t="s">
        <v>29</v>
      </c>
      <c r="Y7036" s="93" t="s">
        <v>93</v>
      </c>
      <c r="Z7036" s="134">
        <f>VLOOKUP(W7036,Sheet2!$B:$D,3,FALSE)</f>
        <v>48</v>
      </c>
      <c r="AA7036" s="93">
        <f>(16*0.85*1.5)/(1*2.5)</f>
        <v>8.16</v>
      </c>
      <c r="AB7036" s="93">
        <f>AD7036/AC7033</f>
        <v>5.8823529411764701</v>
      </c>
      <c r="AC7036" s="93">
        <f>AC7033/AA7036</f>
        <v>23.884166666666669</v>
      </c>
      <c r="AD7036" s="94">
        <f>AC7036*Z7036</f>
        <v>1146.44</v>
      </c>
      <c r="AE7036" s="190"/>
      <c r="AF7036" s="191"/>
      <c r="AG7036" s="191"/>
      <c r="AH7036" s="191"/>
      <c r="AI7036" s="186"/>
      <c r="AK7036" s="171"/>
    </row>
    <row r="7037" spans="1:41" s="102" customFormat="1" ht="19.899999999999999" customHeight="1" x14ac:dyDescent="0.25">
      <c r="A7037" s="45"/>
      <c r="B7037" s="59"/>
      <c r="C7037" s="137"/>
      <c r="D7037" s="59"/>
      <c r="E7037" s="116"/>
      <c r="F7037" s="120"/>
      <c r="G7037" s="120"/>
      <c r="H7037" s="120"/>
      <c r="I7037" s="60"/>
      <c r="J7037" s="116"/>
      <c r="K7037" s="213"/>
      <c r="L7037" s="120"/>
      <c r="M7037" s="120"/>
      <c r="N7037" s="167"/>
      <c r="O7037" s="120"/>
      <c r="P7037" s="120"/>
      <c r="Q7037" s="120"/>
      <c r="R7037" s="120"/>
      <c r="S7037" s="120"/>
      <c r="T7037" s="221"/>
      <c r="U7037" s="89"/>
      <c r="V7037" s="61"/>
      <c r="W7037" s="92" t="s">
        <v>65</v>
      </c>
      <c r="X7037" s="93" t="s">
        <v>30</v>
      </c>
      <c r="Y7037" s="93" t="s">
        <v>1011</v>
      </c>
      <c r="Z7037" s="134">
        <f>VLOOKUP(W7037,Sheet2!$B:$D,3,FALSE)</f>
        <v>1.76</v>
      </c>
      <c r="AA7037" s="93">
        <f>AA7036/10</f>
        <v>0.81600000000000006</v>
      </c>
      <c r="AB7037" s="93">
        <f>AD7037/AC7033</f>
        <v>2.1568627450980391</v>
      </c>
      <c r="AC7037" s="93">
        <f>AC7033/AA7037</f>
        <v>238.8416666666667</v>
      </c>
      <c r="AD7037" s="94">
        <f>AC7037*Z7037</f>
        <v>420.36133333333339</v>
      </c>
      <c r="AE7037" s="190"/>
      <c r="AF7037" s="191"/>
      <c r="AG7037" s="191"/>
      <c r="AH7037" s="191"/>
      <c r="AI7037" s="186"/>
      <c r="AK7037" s="171"/>
    </row>
    <row r="7038" spans="1:41" s="102" customFormat="1" ht="19.899999999999999" customHeight="1" x14ac:dyDescent="0.25">
      <c r="A7038" s="45"/>
      <c r="B7038" s="59"/>
      <c r="C7038" s="137"/>
      <c r="D7038" s="59"/>
      <c r="E7038" s="116"/>
      <c r="F7038" s="120"/>
      <c r="G7038" s="120"/>
      <c r="H7038" s="120"/>
      <c r="I7038" s="60"/>
      <c r="J7038" s="116"/>
      <c r="K7038" s="213"/>
      <c r="L7038" s="120"/>
      <c r="M7038" s="120"/>
      <c r="N7038" s="167"/>
      <c r="O7038" s="120"/>
      <c r="P7038" s="120"/>
      <c r="Q7038" s="120"/>
      <c r="R7038" s="120"/>
      <c r="S7038" s="120"/>
      <c r="T7038" s="221"/>
      <c r="U7038" s="89"/>
      <c r="V7038" s="61"/>
      <c r="W7038" s="92" t="s">
        <v>1030</v>
      </c>
      <c r="X7038" s="93" t="s">
        <v>29</v>
      </c>
      <c r="Y7038" s="93" t="s">
        <v>93</v>
      </c>
      <c r="Z7038" s="134">
        <f>VLOOKUP(W7038,Sheet2!$B:$D,3,FALSE)</f>
        <v>23</v>
      </c>
      <c r="AA7038" s="93">
        <v>50</v>
      </c>
      <c r="AB7038" s="93">
        <f>AD7038/AC7033</f>
        <v>0.45999999999999996</v>
      </c>
      <c r="AC7038" s="93">
        <f>AC7033/AA7038</f>
        <v>3.8978960000000007</v>
      </c>
      <c r="AD7038" s="94">
        <f t="shared" ref="AD7038:AD7041" si="5010">AC7038*Z7038</f>
        <v>89.65160800000001</v>
      </c>
      <c r="AE7038" s="190"/>
      <c r="AF7038" s="191"/>
      <c r="AG7038" s="191"/>
      <c r="AH7038" s="191"/>
      <c r="AI7038" s="186"/>
      <c r="AK7038" s="171"/>
    </row>
    <row r="7039" spans="1:41" s="102" customFormat="1" ht="19.899999999999999" customHeight="1" x14ac:dyDescent="0.25">
      <c r="A7039" s="45"/>
      <c r="B7039" s="59"/>
      <c r="C7039" s="137"/>
      <c r="D7039" s="59"/>
      <c r="E7039" s="116"/>
      <c r="F7039" s="120"/>
      <c r="G7039" s="120"/>
      <c r="H7039" s="120"/>
      <c r="I7039" s="60"/>
      <c r="J7039" s="116"/>
      <c r="K7039" s="213"/>
      <c r="L7039" s="120"/>
      <c r="M7039" s="120"/>
      <c r="N7039" s="167"/>
      <c r="O7039" s="120"/>
      <c r="P7039" s="120"/>
      <c r="Q7039" s="120"/>
      <c r="R7039" s="120"/>
      <c r="S7039" s="120"/>
      <c r="T7039" s="221"/>
      <c r="U7039" s="89"/>
      <c r="V7039" s="61"/>
      <c r="W7039" s="92" t="s">
        <v>65</v>
      </c>
      <c r="X7039" s="93" t="s">
        <v>30</v>
      </c>
      <c r="Y7039" s="93" t="s">
        <v>1011</v>
      </c>
      <c r="Z7039" s="134">
        <f>VLOOKUP(W7039,Sheet2!$B:$D,3,FALSE)</f>
        <v>1.76</v>
      </c>
      <c r="AA7039" s="93">
        <f>AA7038/3</f>
        <v>16.666666666666668</v>
      </c>
      <c r="AB7039" s="93">
        <f>AD7039/AC7033</f>
        <v>0.10559999999999999</v>
      </c>
      <c r="AC7039" s="93">
        <f>AC7033/AA7039</f>
        <v>11.693688000000002</v>
      </c>
      <c r="AD7039" s="94">
        <f t="shared" si="5010"/>
        <v>20.580890880000002</v>
      </c>
      <c r="AE7039" s="190"/>
      <c r="AF7039" s="191"/>
      <c r="AG7039" s="191"/>
      <c r="AH7039" s="191"/>
      <c r="AI7039" s="186"/>
      <c r="AK7039" s="171"/>
    </row>
    <row r="7040" spans="1:41" s="102" customFormat="1" ht="19.899999999999999" customHeight="1" x14ac:dyDescent="0.25">
      <c r="A7040" s="45"/>
      <c r="B7040" s="59"/>
      <c r="C7040" s="137"/>
      <c r="D7040" s="59"/>
      <c r="E7040" s="116"/>
      <c r="F7040" s="120"/>
      <c r="G7040" s="120"/>
      <c r="H7040" s="120"/>
      <c r="I7040" s="60"/>
      <c r="J7040" s="116"/>
      <c r="K7040" s="213"/>
      <c r="L7040" s="120"/>
      <c r="M7040" s="120"/>
      <c r="N7040" s="167"/>
      <c r="O7040" s="120"/>
      <c r="P7040" s="120"/>
      <c r="Q7040" s="120"/>
      <c r="R7040" s="120"/>
      <c r="S7040" s="120"/>
      <c r="T7040" s="221"/>
      <c r="U7040" s="89"/>
      <c r="V7040" s="61"/>
      <c r="W7040" s="92" t="s">
        <v>148</v>
      </c>
      <c r="X7040" s="93" t="s">
        <v>29</v>
      </c>
      <c r="Y7040" s="93" t="s">
        <v>93</v>
      </c>
      <c r="Z7040" s="134">
        <f>VLOOKUP(W7040,Sheet2!$B:$D,3,FALSE)</f>
        <v>48</v>
      </c>
      <c r="AA7040" s="93">
        <f>AA7034</f>
        <v>40</v>
      </c>
      <c r="AB7040" s="93">
        <f>AD7040/AC7033</f>
        <v>1.2000000000000002</v>
      </c>
      <c r="AC7040" s="93">
        <f>AC7033/AA7040</f>
        <v>4.872370000000001</v>
      </c>
      <c r="AD7040" s="94">
        <f t="shared" si="5010"/>
        <v>233.87376000000006</v>
      </c>
      <c r="AE7040" s="190"/>
      <c r="AF7040" s="191"/>
      <c r="AG7040" s="191"/>
      <c r="AH7040" s="191"/>
      <c r="AI7040" s="186"/>
      <c r="AK7040" s="171"/>
    </row>
    <row r="7041" spans="1:41" s="102" customFormat="1" ht="19.899999999999999" customHeight="1" x14ac:dyDescent="0.25">
      <c r="A7041" s="45"/>
      <c r="B7041" s="59"/>
      <c r="C7041" s="137"/>
      <c r="D7041" s="59"/>
      <c r="E7041" s="116"/>
      <c r="F7041" s="120"/>
      <c r="G7041" s="120"/>
      <c r="H7041" s="120"/>
      <c r="I7041" s="60"/>
      <c r="J7041" s="116"/>
      <c r="K7041" s="213"/>
      <c r="L7041" s="120"/>
      <c r="M7041" s="120"/>
      <c r="N7041" s="167"/>
      <c r="O7041" s="120"/>
      <c r="P7041" s="120"/>
      <c r="Q7041" s="120"/>
      <c r="R7041" s="120"/>
      <c r="S7041" s="120"/>
      <c r="T7041" s="221"/>
      <c r="U7041" s="89"/>
      <c r="V7041" s="61"/>
      <c r="W7041" s="92" t="s">
        <v>65</v>
      </c>
      <c r="X7041" s="93" t="s">
        <v>30</v>
      </c>
      <c r="Y7041" s="93" t="s">
        <v>1011</v>
      </c>
      <c r="Z7041" s="134">
        <f>VLOOKUP(W7041,Sheet2!$B:$D,3,FALSE)</f>
        <v>1.76</v>
      </c>
      <c r="AA7041" s="93">
        <f>AA7040/10</f>
        <v>4</v>
      </c>
      <c r="AB7041" s="93">
        <f>AD7041/AC7033</f>
        <v>0.44000000000000006</v>
      </c>
      <c r="AC7041" s="93">
        <f>AC7033/AA7041</f>
        <v>48.723700000000008</v>
      </c>
      <c r="AD7041" s="94">
        <f t="shared" si="5010"/>
        <v>85.753712000000021</v>
      </c>
      <c r="AE7041" s="190"/>
      <c r="AF7041" s="191"/>
      <c r="AG7041" s="191"/>
      <c r="AH7041" s="191"/>
      <c r="AI7041" s="186"/>
      <c r="AK7041" s="171"/>
    </row>
    <row r="7042" spans="1:41" s="102" customFormat="1" ht="19.899999999999999" customHeight="1" x14ac:dyDescent="0.25">
      <c r="A7042" s="45"/>
      <c r="B7042" s="59"/>
      <c r="C7042" s="137"/>
      <c r="D7042" s="59"/>
      <c r="E7042" s="116"/>
      <c r="F7042" s="120"/>
      <c r="G7042" s="120"/>
      <c r="H7042" s="120"/>
      <c r="I7042" s="60"/>
      <c r="J7042" s="116"/>
      <c r="K7042" s="213"/>
      <c r="L7042" s="120"/>
      <c r="M7042" s="120"/>
      <c r="N7042" s="167"/>
      <c r="O7042" s="120"/>
      <c r="P7042" s="120"/>
      <c r="Q7042" s="120"/>
      <c r="R7042" s="120"/>
      <c r="S7042" s="120"/>
      <c r="T7042" s="221"/>
      <c r="U7042" s="89"/>
      <c r="V7042" s="61"/>
      <c r="W7042" s="92" t="s">
        <v>1048</v>
      </c>
      <c r="X7042" s="93" t="s">
        <v>30</v>
      </c>
      <c r="Y7042" s="93" t="s">
        <v>68</v>
      </c>
      <c r="Z7042" s="134">
        <f>VLOOKUP(W7042,Sheet2!$B:$D,3,FALSE)</f>
        <v>35</v>
      </c>
      <c r="AA7042" s="93">
        <v>1</v>
      </c>
      <c r="AB7042" s="93">
        <f>AD7042/AC7033</f>
        <v>35</v>
      </c>
      <c r="AC7042" s="93">
        <f>AC7033/AA7042</f>
        <v>194.89480000000003</v>
      </c>
      <c r="AD7042" s="94">
        <f t="shared" ref="AD7042" si="5011">AC7042*Z7042</f>
        <v>6821.3180000000011</v>
      </c>
      <c r="AE7042" s="190"/>
      <c r="AF7042" s="191"/>
      <c r="AG7042" s="191"/>
      <c r="AH7042" s="191"/>
      <c r="AI7042" s="186"/>
      <c r="AK7042" s="171"/>
    </row>
    <row r="7043" spans="1:41" s="103" customFormat="1" ht="19.899999999999999" customHeight="1" x14ac:dyDescent="0.25">
      <c r="A7043" s="51"/>
      <c r="B7043" s="52"/>
      <c r="C7043" s="165"/>
      <c r="D7043" s="52"/>
      <c r="E7043" s="115"/>
      <c r="F7043" s="58"/>
      <c r="G7043" s="58"/>
      <c r="H7043" s="58"/>
      <c r="I7043" s="55"/>
      <c r="J7043" s="113">
        <f>J7032</f>
        <v>194.89480000000003</v>
      </c>
      <c r="K7043" s="212">
        <f>K7032</f>
        <v>194.89480000000003</v>
      </c>
      <c r="L7043" s="58"/>
      <c r="M7043" s="58">
        <f>K7043-L7043</f>
        <v>194.89480000000003</v>
      </c>
      <c r="N7043" s="166"/>
      <c r="O7043" s="58"/>
      <c r="P7043" s="58"/>
      <c r="Q7043" s="58"/>
      <c r="R7043" s="58"/>
      <c r="S7043" s="58"/>
      <c r="T7043" s="220"/>
      <c r="U7043" s="88"/>
      <c r="V7043" s="56"/>
      <c r="W7043" s="57" t="s">
        <v>1036</v>
      </c>
      <c r="X7043" s="53"/>
      <c r="Y7043" s="91" t="s">
        <v>68</v>
      </c>
      <c r="Z7043" s="136">
        <f>AD7043/AC7043</f>
        <v>133.58333333333334</v>
      </c>
      <c r="AA7043" s="58"/>
      <c r="AB7043" s="53">
        <f>AD7043/AC7043</f>
        <v>133.58333333333334</v>
      </c>
      <c r="AC7043" s="53">
        <f>M7043+$AE$10</f>
        <v>194.89480000000003</v>
      </c>
      <c r="AD7043" s="54">
        <f>SUM(AD7044:AD7050)</f>
        <v>26034.697033333341</v>
      </c>
      <c r="AE7043" s="184">
        <f>SUMIFS($AD$37:$AD$12971,$V$37:$V$12971,$V7043,$X$37:$X$12971,AE$13)</f>
        <v>0</v>
      </c>
      <c r="AF7043" s="185">
        <f>SUMIFS($AD$37:$AD$12971,$V$37:$V$12971,$V7043,$X$37:$X$12971,AF$13)</f>
        <v>0</v>
      </c>
      <c r="AG7043" s="185">
        <f>SUMIFS($AD$37:$AD$12971,$V$37:$V$12971,$V7043,$X$37:$X$12971,AG$13)</f>
        <v>0</v>
      </c>
      <c r="AH7043" s="187">
        <f>SUMIFS($AD$37:$AD$12971,$V$37:$V$12971,$V7043,$X$37:$X$12971,AH$13)</f>
        <v>0</v>
      </c>
      <c r="AI7043" s="161">
        <f t="shared" ref="AI7043" si="5012">SUM(AE7043:AH7043)</f>
        <v>0</v>
      </c>
      <c r="AK7043" s="172"/>
    </row>
    <row r="7044" spans="1:41" s="102" customFormat="1" ht="19.899999999999999" customHeight="1" x14ac:dyDescent="0.25">
      <c r="A7044" s="45"/>
      <c r="B7044" s="59"/>
      <c r="C7044" s="137"/>
      <c r="D7044" s="59"/>
      <c r="E7044" s="116"/>
      <c r="F7044" s="120"/>
      <c r="G7044" s="120"/>
      <c r="H7044" s="120"/>
      <c r="I7044" s="60"/>
      <c r="J7044" s="116"/>
      <c r="K7044" s="213"/>
      <c r="L7044" s="120"/>
      <c r="M7044" s="120"/>
      <c r="N7044" s="167"/>
      <c r="O7044" s="120"/>
      <c r="P7044" s="120"/>
      <c r="Q7044" s="120"/>
      <c r="R7044" s="120"/>
      <c r="S7044" s="120"/>
      <c r="T7044" s="221"/>
      <c r="U7044" s="89"/>
      <c r="V7044" s="61"/>
      <c r="W7044" s="92" t="s">
        <v>1044</v>
      </c>
      <c r="X7044" s="93" t="s">
        <v>30</v>
      </c>
      <c r="Y7044" s="93" t="s">
        <v>68</v>
      </c>
      <c r="Z7044" s="134">
        <f>VLOOKUP(W7044,Sheet2!$B:$D,3,FALSE)</f>
        <v>80</v>
      </c>
      <c r="AA7044" s="93">
        <v>1</v>
      </c>
      <c r="AB7044" s="93">
        <f>AD7044/AC7043</f>
        <v>80</v>
      </c>
      <c r="AC7044" s="93">
        <f>AC7043/AA7044</f>
        <v>194.89480000000003</v>
      </c>
      <c r="AD7044" s="94">
        <f t="shared" ref="AD7044" si="5013">AC7044*Z7044</f>
        <v>15591.584000000003</v>
      </c>
      <c r="AE7044" s="190"/>
      <c r="AF7044" s="191"/>
      <c r="AG7044" s="191"/>
      <c r="AH7044" s="191"/>
      <c r="AI7044" s="186"/>
      <c r="AK7044" s="171"/>
    </row>
    <row r="7045" spans="1:41" s="102" customFormat="1" ht="19.899999999999999" customHeight="1" x14ac:dyDescent="0.25">
      <c r="A7045" s="45"/>
      <c r="B7045" s="59"/>
      <c r="C7045" s="137"/>
      <c r="D7045" s="59"/>
      <c r="E7045" s="116"/>
      <c r="F7045" s="120"/>
      <c r="G7045" s="120"/>
      <c r="H7045" s="120"/>
      <c r="I7045" s="60"/>
      <c r="J7045" s="116"/>
      <c r="K7045" s="213"/>
      <c r="L7045" s="120"/>
      <c r="M7045" s="120"/>
      <c r="N7045" s="167"/>
      <c r="O7045" s="120"/>
      <c r="P7045" s="120"/>
      <c r="Q7045" s="120"/>
      <c r="R7045" s="120"/>
      <c r="S7045" s="120"/>
      <c r="T7045" s="221"/>
      <c r="U7045" s="89"/>
      <c r="V7045" s="61"/>
      <c r="W7045" s="92" t="s">
        <v>1046</v>
      </c>
      <c r="X7045" s="93" t="s">
        <v>30</v>
      </c>
      <c r="Y7045" s="93" t="s">
        <v>68</v>
      </c>
      <c r="Z7045" s="134">
        <f>VLOOKUP(W7045,Sheet2!$B:$D,3,FALSE)</f>
        <v>8</v>
      </c>
      <c r="AA7045" s="93">
        <v>1</v>
      </c>
      <c r="AB7045" s="93">
        <f>AD7045/AC7043</f>
        <v>8</v>
      </c>
      <c r="AC7045" s="93">
        <f>AC7043/AA7045</f>
        <v>194.89480000000003</v>
      </c>
      <c r="AD7045" s="94">
        <f>AC7045*Z7045</f>
        <v>1559.1584000000003</v>
      </c>
      <c r="AE7045" s="190"/>
      <c r="AF7045" s="191"/>
      <c r="AG7045" s="191"/>
      <c r="AH7045" s="191"/>
      <c r="AI7045" s="186"/>
      <c r="AK7045" s="171"/>
    </row>
    <row r="7046" spans="1:41" s="102" customFormat="1" ht="19.899999999999999" customHeight="1" x14ac:dyDescent="0.25">
      <c r="A7046" s="45"/>
      <c r="B7046" s="59"/>
      <c r="C7046" s="137"/>
      <c r="D7046" s="59"/>
      <c r="E7046" s="116"/>
      <c r="F7046" s="120"/>
      <c r="G7046" s="120"/>
      <c r="H7046" s="120"/>
      <c r="I7046" s="60"/>
      <c r="J7046" s="116"/>
      <c r="K7046" s="213"/>
      <c r="L7046" s="120"/>
      <c r="M7046" s="120"/>
      <c r="N7046" s="167"/>
      <c r="O7046" s="120"/>
      <c r="P7046" s="120"/>
      <c r="Q7046" s="120"/>
      <c r="R7046" s="120"/>
      <c r="S7046" s="120"/>
      <c r="T7046" s="221"/>
      <c r="U7046" s="89"/>
      <c r="V7046" s="61"/>
      <c r="W7046" s="92" t="s">
        <v>107</v>
      </c>
      <c r="X7046" s="93" t="s">
        <v>31</v>
      </c>
      <c r="Y7046" s="93" t="s">
        <v>93</v>
      </c>
      <c r="Z7046" s="134">
        <f>VLOOKUP(W7046,Sheet2!$B:$D,3,FALSE)</f>
        <v>17</v>
      </c>
      <c r="AA7046" s="93">
        <v>6</v>
      </c>
      <c r="AB7046" s="93">
        <f>AD7046/AC7043</f>
        <v>2.8333333333333339</v>
      </c>
      <c r="AC7046" s="93">
        <f>AC7043/AA7046</f>
        <v>32.482466666666674</v>
      </c>
      <c r="AD7046" s="94">
        <f>AC7046*Z7046</f>
        <v>552.2019333333335</v>
      </c>
      <c r="AE7046" s="190"/>
      <c r="AF7046" s="191"/>
      <c r="AG7046" s="191"/>
      <c r="AH7046" s="191"/>
      <c r="AI7046" s="186"/>
      <c r="AK7046" s="171"/>
    </row>
    <row r="7047" spans="1:41" s="102" customFormat="1" ht="19.899999999999999" customHeight="1" x14ac:dyDescent="0.25">
      <c r="A7047" s="45"/>
      <c r="B7047" s="59"/>
      <c r="C7047" s="137"/>
      <c r="D7047" s="59"/>
      <c r="E7047" s="116"/>
      <c r="F7047" s="120"/>
      <c r="G7047" s="120"/>
      <c r="H7047" s="120"/>
      <c r="I7047" s="60"/>
      <c r="J7047" s="116"/>
      <c r="K7047" s="213"/>
      <c r="L7047" s="120"/>
      <c r="M7047" s="120"/>
      <c r="N7047" s="167"/>
      <c r="O7047" s="120"/>
      <c r="P7047" s="120"/>
      <c r="Q7047" s="120"/>
      <c r="R7047" s="120"/>
      <c r="S7047" s="120"/>
      <c r="T7047" s="221"/>
      <c r="U7047" s="89"/>
      <c r="V7047" s="61"/>
      <c r="W7047" s="92" t="s">
        <v>112</v>
      </c>
      <c r="X7047" s="93" t="s">
        <v>31</v>
      </c>
      <c r="Y7047" s="93" t="s">
        <v>93</v>
      </c>
      <c r="Z7047" s="134">
        <f>VLOOKUP(W7047,Sheet2!$B:$D,3,FALSE)</f>
        <v>13</v>
      </c>
      <c r="AA7047" s="93">
        <v>6</v>
      </c>
      <c r="AB7047" s="93">
        <f>AD7047/AC7043</f>
        <v>2.166666666666667</v>
      </c>
      <c r="AC7047" s="93">
        <f>AC7043/AA7047</f>
        <v>32.482466666666674</v>
      </c>
      <c r="AD7047" s="94">
        <f>AC7047*Z7047</f>
        <v>422.27206666666677</v>
      </c>
      <c r="AE7047" s="190"/>
      <c r="AF7047" s="191"/>
      <c r="AG7047" s="191"/>
      <c r="AH7047" s="191"/>
      <c r="AI7047" s="186"/>
      <c r="AK7047" s="171"/>
    </row>
    <row r="7048" spans="1:41" s="102" customFormat="1" ht="19.899999999999999" customHeight="1" x14ac:dyDescent="0.25">
      <c r="A7048" s="45"/>
      <c r="B7048" s="59"/>
      <c r="C7048" s="137"/>
      <c r="D7048" s="59"/>
      <c r="E7048" s="116"/>
      <c r="F7048" s="120"/>
      <c r="G7048" s="120"/>
      <c r="H7048" s="120"/>
      <c r="I7048" s="60"/>
      <c r="J7048" s="116"/>
      <c r="K7048" s="213"/>
      <c r="L7048" s="120"/>
      <c r="M7048" s="120"/>
      <c r="N7048" s="167"/>
      <c r="O7048" s="120"/>
      <c r="P7048" s="120"/>
      <c r="Q7048" s="120"/>
      <c r="R7048" s="120"/>
      <c r="S7048" s="120"/>
      <c r="T7048" s="221"/>
      <c r="U7048" s="89"/>
      <c r="V7048" s="61"/>
      <c r="W7048" s="92" t="s">
        <v>1032</v>
      </c>
      <c r="X7048" s="93" t="s">
        <v>30</v>
      </c>
      <c r="Y7048" s="93" t="s">
        <v>66</v>
      </c>
      <c r="Z7048" s="134">
        <f>VLOOKUP(W7048,Sheet2!$B:$D,3,FALSE)</f>
        <v>250</v>
      </c>
      <c r="AA7048" s="93">
        <f>1/(1*1*0.1)</f>
        <v>10</v>
      </c>
      <c r="AB7048" s="93">
        <f>AD7048/AC7043</f>
        <v>25</v>
      </c>
      <c r="AC7048" s="93">
        <f>AC7043/AA7048</f>
        <v>19.489480000000004</v>
      </c>
      <c r="AD7048" s="94">
        <f>AC7048*Z7048</f>
        <v>4872.3700000000008</v>
      </c>
      <c r="AE7048" s="190"/>
      <c r="AF7048" s="191"/>
      <c r="AG7048" s="191"/>
      <c r="AH7048" s="191"/>
      <c r="AI7048" s="186"/>
      <c r="AK7048" s="171"/>
    </row>
    <row r="7049" spans="1:41" s="102" customFormat="1" ht="19.899999999999999" customHeight="1" x14ac:dyDescent="0.25">
      <c r="A7049" s="45"/>
      <c r="B7049" s="59"/>
      <c r="C7049" s="137"/>
      <c r="D7049" s="59"/>
      <c r="E7049" s="116"/>
      <c r="F7049" s="120"/>
      <c r="G7049" s="120"/>
      <c r="H7049" s="120"/>
      <c r="I7049" s="60"/>
      <c r="J7049" s="116"/>
      <c r="K7049" s="213"/>
      <c r="L7049" s="120"/>
      <c r="M7049" s="120"/>
      <c r="N7049" s="167"/>
      <c r="O7049" s="120"/>
      <c r="P7049" s="120"/>
      <c r="Q7049" s="120"/>
      <c r="R7049" s="120"/>
      <c r="S7049" s="120"/>
      <c r="T7049" s="221"/>
      <c r="U7049" s="89"/>
      <c r="V7049" s="61"/>
      <c r="W7049" s="92" t="s">
        <v>1035</v>
      </c>
      <c r="X7049" s="93" t="s">
        <v>32</v>
      </c>
      <c r="Y7049" s="93" t="s">
        <v>66</v>
      </c>
      <c r="Z7049" s="134">
        <f>VLOOKUP(W7049,Sheet2!$B:$D,3,FALSE)</f>
        <v>150</v>
      </c>
      <c r="AA7049" s="93">
        <f>AA7048</f>
        <v>10</v>
      </c>
      <c r="AB7049" s="93">
        <f>AD7049/AC7043</f>
        <v>15</v>
      </c>
      <c r="AC7049" s="93">
        <f>AC7043/AA7049</f>
        <v>19.489480000000004</v>
      </c>
      <c r="AD7049" s="94">
        <f t="shared" ref="AD7049:AD7050" si="5014">AC7049*Z7049</f>
        <v>2923.4220000000005</v>
      </c>
      <c r="AE7049" s="190"/>
      <c r="AF7049" s="191"/>
      <c r="AG7049" s="191"/>
      <c r="AH7049" s="191"/>
      <c r="AI7049" s="186"/>
      <c r="AK7049" s="171"/>
    </row>
    <row r="7050" spans="1:41" s="102" customFormat="1" ht="19.899999999999999" customHeight="1" x14ac:dyDescent="0.25">
      <c r="A7050" s="45"/>
      <c r="B7050" s="59"/>
      <c r="C7050" s="137"/>
      <c r="D7050" s="59"/>
      <c r="E7050" s="116"/>
      <c r="F7050" s="120"/>
      <c r="G7050" s="120"/>
      <c r="H7050" s="120"/>
      <c r="I7050" s="60"/>
      <c r="J7050" s="116"/>
      <c r="K7050" s="213"/>
      <c r="L7050" s="120"/>
      <c r="M7050" s="120"/>
      <c r="N7050" s="167"/>
      <c r="O7050" s="120"/>
      <c r="P7050" s="120"/>
      <c r="Q7050" s="120"/>
      <c r="R7050" s="120"/>
      <c r="S7050" s="120"/>
      <c r="T7050" s="221"/>
      <c r="U7050" s="89"/>
      <c r="V7050" s="61"/>
      <c r="W7050" s="92" t="s">
        <v>1037</v>
      </c>
      <c r="X7050" s="93" t="s">
        <v>30</v>
      </c>
      <c r="Y7050" s="93" t="s">
        <v>1038</v>
      </c>
      <c r="Z7050" s="134">
        <f>VLOOKUP(W7050,Sheet2!$B:$D,3,FALSE)</f>
        <v>175</v>
      </c>
      <c r="AA7050" s="93">
        <v>300</v>
      </c>
      <c r="AB7050" s="93">
        <f>AD7050/AC7043</f>
        <v>0.58333333333333326</v>
      </c>
      <c r="AC7050" s="93">
        <f>AC7043/AA7050</f>
        <v>0.64964933333333341</v>
      </c>
      <c r="AD7050" s="94">
        <f t="shared" si="5014"/>
        <v>113.68863333333334</v>
      </c>
      <c r="AE7050" s="190"/>
      <c r="AF7050" s="191"/>
      <c r="AG7050" s="191"/>
      <c r="AH7050" s="191"/>
      <c r="AI7050" s="186"/>
      <c r="AK7050" s="171"/>
    </row>
    <row r="7051" spans="1:41" s="103" customFormat="1" ht="19.899999999999999" customHeight="1" x14ac:dyDescent="0.25">
      <c r="A7051" s="51"/>
      <c r="B7051" s="52"/>
      <c r="C7051" s="165"/>
      <c r="D7051" s="52"/>
      <c r="E7051" s="115"/>
      <c r="F7051" s="58"/>
      <c r="G7051" s="58"/>
      <c r="H7051" s="58"/>
      <c r="I7051" s="55"/>
      <c r="J7051" s="113">
        <f>J7032</f>
        <v>194.89480000000003</v>
      </c>
      <c r="K7051" s="212">
        <f>K7032</f>
        <v>194.89480000000003</v>
      </c>
      <c r="L7051" s="58"/>
      <c r="M7051" s="58">
        <f>K7051-L7051</f>
        <v>194.89480000000003</v>
      </c>
      <c r="N7051" s="166"/>
      <c r="O7051" s="58"/>
      <c r="P7051" s="58"/>
      <c r="Q7051" s="58"/>
      <c r="R7051" s="58"/>
      <c r="S7051" s="58"/>
      <c r="T7051" s="220"/>
      <c r="U7051" s="88"/>
      <c r="V7051" s="56"/>
      <c r="W7051" s="57" t="s">
        <v>1040</v>
      </c>
      <c r="X7051" s="53"/>
      <c r="Y7051" s="91" t="s">
        <v>68</v>
      </c>
      <c r="Z7051" s="136">
        <f>AD7051/AC7051</f>
        <v>5</v>
      </c>
      <c r="AA7051" s="58"/>
      <c r="AB7051" s="53">
        <f>AD7051/AC7051</f>
        <v>5</v>
      </c>
      <c r="AC7051" s="53">
        <f>M7051+$AE$10</f>
        <v>194.89480000000003</v>
      </c>
      <c r="AD7051" s="54">
        <f>SUM(AD7052)</f>
        <v>974.47400000000016</v>
      </c>
      <c r="AE7051" s="184">
        <f>SUMIFS($AD$37:$AD$12971,$V$37:$V$12971,$V7051,$X$37:$X$12971,AE$13)</f>
        <v>0</v>
      </c>
      <c r="AF7051" s="185">
        <f>SUMIFS($AD$37:$AD$12971,$V$37:$V$12971,$V7051,$X$37:$X$12971,AF$13)</f>
        <v>0</v>
      </c>
      <c r="AG7051" s="185">
        <f>SUMIFS($AD$37:$AD$12971,$V$37:$V$12971,$V7051,$X$37:$X$12971,AG$13)</f>
        <v>0</v>
      </c>
      <c r="AH7051" s="187">
        <f>SUMIFS($AD$37:$AD$12971,$V$37:$V$12971,$V7051,$X$37:$X$12971,AH$13)</f>
        <v>0</v>
      </c>
      <c r="AI7051" s="161">
        <f t="shared" ref="AI7051" si="5015">SUM(AE7051:AH7051)</f>
        <v>0</v>
      </c>
      <c r="AK7051" s="172"/>
    </row>
    <row r="7052" spans="1:41" s="102" customFormat="1" ht="19.899999999999999" customHeight="1" x14ac:dyDescent="0.25">
      <c r="A7052" s="45"/>
      <c r="B7052" s="59"/>
      <c r="C7052" s="137"/>
      <c r="D7052" s="59"/>
      <c r="E7052" s="116"/>
      <c r="F7052" s="120"/>
      <c r="G7052" s="120"/>
      <c r="H7052" s="120"/>
      <c r="I7052" s="60"/>
      <c r="J7052" s="116"/>
      <c r="K7052" s="213"/>
      <c r="L7052" s="120"/>
      <c r="M7052" s="120"/>
      <c r="N7052" s="167"/>
      <c r="O7052" s="120"/>
      <c r="P7052" s="120"/>
      <c r="Q7052" s="120"/>
      <c r="R7052" s="120"/>
      <c r="S7052" s="120"/>
      <c r="T7052" s="221"/>
      <c r="U7052" s="89"/>
      <c r="V7052" s="61"/>
      <c r="W7052" s="92" t="s">
        <v>1039</v>
      </c>
      <c r="X7052" s="93" t="s">
        <v>32</v>
      </c>
      <c r="Y7052" s="93" t="s">
        <v>68</v>
      </c>
      <c r="Z7052" s="134">
        <f>VLOOKUP(W7052,Sheet2!$B:$D,3,FALSE)</f>
        <v>5</v>
      </c>
      <c r="AA7052" s="93">
        <v>1</v>
      </c>
      <c r="AB7052" s="93">
        <f>AD7052/AC7051</f>
        <v>5</v>
      </c>
      <c r="AC7052" s="93">
        <f>AC7051/AA7052</f>
        <v>194.89480000000003</v>
      </c>
      <c r="AD7052" s="94">
        <f t="shared" ref="AD7052" si="5016">AC7052*Z7052</f>
        <v>974.47400000000016</v>
      </c>
      <c r="AE7052" s="190"/>
      <c r="AF7052" s="191"/>
      <c r="AG7052" s="191"/>
      <c r="AH7052" s="191"/>
      <c r="AI7052" s="186"/>
      <c r="AK7052" s="171"/>
    </row>
    <row r="7053" spans="1:41" ht="20.100000000000001" customHeight="1" x14ac:dyDescent="0.25">
      <c r="A7053" s="277" t="s">
        <v>703</v>
      </c>
      <c r="B7053" s="278"/>
      <c r="C7053" s="64" t="s">
        <v>714</v>
      </c>
      <c r="D7053" s="46" t="s">
        <v>97</v>
      </c>
      <c r="E7053" s="114">
        <v>168.27580000000006</v>
      </c>
      <c r="F7053" s="44">
        <v>543</v>
      </c>
      <c r="G7053" s="44">
        <f t="shared" si="4575"/>
        <v>91373.759400000039</v>
      </c>
      <c r="H7053" s="44">
        <f t="shared" si="4576"/>
        <v>213.18319215686276</v>
      </c>
      <c r="I7053" s="43">
        <f t="shared" si="4577"/>
        <v>35873.572206749821</v>
      </c>
      <c r="J7053" s="112">
        <f t="shared" si="4578"/>
        <v>168.27580000000006</v>
      </c>
      <c r="K7053" s="211">
        <f t="shared" si="4579"/>
        <v>168.27580000000006</v>
      </c>
      <c r="L7053" s="44"/>
      <c r="M7053" s="44">
        <f t="shared" si="4580"/>
        <v>168.27580000000006</v>
      </c>
      <c r="N7053" s="173">
        <f t="shared" si="4581"/>
        <v>1</v>
      </c>
      <c r="O7053" s="44">
        <f t="shared" si="4582"/>
        <v>543</v>
      </c>
      <c r="P7053" s="44">
        <f t="shared" si="4583"/>
        <v>91373.759400000039</v>
      </c>
      <c r="Q7053" s="44">
        <f t="shared" si="4584"/>
        <v>213.18319215686276</v>
      </c>
      <c r="R7053" s="44">
        <f t="shared" si="4585"/>
        <v>35873.572206749821</v>
      </c>
      <c r="S7053" s="123"/>
      <c r="T7053" s="219">
        <f t="shared" si="4586"/>
        <v>35873.572206749821</v>
      </c>
      <c r="U7053" s="87"/>
      <c r="V7053" s="47"/>
      <c r="W7053" s="48"/>
      <c r="X7053" s="48"/>
      <c r="Y7053" s="48"/>
      <c r="Z7053" s="135"/>
      <c r="AA7053" s="49"/>
      <c r="AB7053" s="50">
        <f t="shared" si="4587"/>
        <v>213.18319215686276</v>
      </c>
      <c r="AC7053" s="42">
        <f t="shared" si="4588"/>
        <v>168.27580000000006</v>
      </c>
      <c r="AD7053" s="90">
        <f>AD7054+AD7064+AD7072</f>
        <v>35873.572206749821</v>
      </c>
      <c r="AE7053" s="188">
        <f t="shared" ref="AE7053" si="5017">AE7054+AE7064+AE7072</f>
        <v>0</v>
      </c>
      <c r="AF7053" s="189">
        <f t="shared" ref="AF7053" si="5018">AF7054+AF7064+AF7072</f>
        <v>0</v>
      </c>
      <c r="AG7053" s="189">
        <f t="shared" ref="AG7053" si="5019">AG7054+AG7064+AG7072</f>
        <v>0</v>
      </c>
      <c r="AH7053" s="189">
        <f t="shared" ref="AH7053" si="5020">AH7054+AH7064+AH7072</f>
        <v>0</v>
      </c>
      <c r="AI7053" s="161">
        <f t="shared" ref="AI7053:AI7054" si="5021">SUM(AE7053:AH7053)</f>
        <v>0</v>
      </c>
      <c r="AK7053" s="169">
        <v>5</v>
      </c>
      <c r="AO7053" s="19" t="s">
        <v>63</v>
      </c>
    </row>
    <row r="7054" spans="1:41" s="103" customFormat="1" ht="19.899999999999999" customHeight="1" x14ac:dyDescent="0.25">
      <c r="A7054" s="51"/>
      <c r="B7054" s="52"/>
      <c r="C7054" s="165"/>
      <c r="D7054" s="52"/>
      <c r="E7054" s="115"/>
      <c r="F7054" s="58"/>
      <c r="G7054" s="58"/>
      <c r="H7054" s="58"/>
      <c r="I7054" s="55"/>
      <c r="J7054" s="113">
        <f>J7053</f>
        <v>168.27580000000006</v>
      </c>
      <c r="K7054" s="212">
        <f>K7053</f>
        <v>168.27580000000006</v>
      </c>
      <c r="L7054" s="58"/>
      <c r="M7054" s="58">
        <f>K7054-L7054</f>
        <v>168.27580000000006</v>
      </c>
      <c r="N7054" s="166"/>
      <c r="O7054" s="58"/>
      <c r="P7054" s="58"/>
      <c r="Q7054" s="58"/>
      <c r="R7054" s="58"/>
      <c r="S7054" s="58"/>
      <c r="T7054" s="220"/>
      <c r="U7054" s="88"/>
      <c r="V7054" s="56"/>
      <c r="W7054" s="57" t="s">
        <v>1051</v>
      </c>
      <c r="X7054" s="53"/>
      <c r="Y7054" s="91" t="s">
        <v>68</v>
      </c>
      <c r="Z7054" s="136">
        <f>AD7054/AC7054</f>
        <v>74.599858823529416</v>
      </c>
      <c r="AA7054" s="58"/>
      <c r="AB7054" s="53">
        <f>AD7054/AC7054</f>
        <v>74.599858823529416</v>
      </c>
      <c r="AC7054" s="53">
        <f>M7054+$AE$10</f>
        <v>168.27580000000006</v>
      </c>
      <c r="AD7054" s="54">
        <f>SUM(AD7055:AD7063)</f>
        <v>12553.350923416476</v>
      </c>
      <c r="AE7054" s="184">
        <f>SUMIFS($AD$37:$AD$12971,$V$37:$V$12971,$V7054,$X$37:$X$12971,AE$13)</f>
        <v>0</v>
      </c>
      <c r="AF7054" s="185">
        <f>SUMIFS($AD$37:$AD$12971,$V$37:$V$12971,$V7054,$X$37:$X$12971,AF$13)</f>
        <v>0</v>
      </c>
      <c r="AG7054" s="185">
        <f>SUMIFS($AD$37:$AD$12971,$V$37:$V$12971,$V7054,$X$37:$X$12971,AG$13)</f>
        <v>0</v>
      </c>
      <c r="AH7054" s="187">
        <f>SUMIFS($AD$37:$AD$12971,$V$37:$V$12971,$V7054,$X$37:$X$12971,AH$13)</f>
        <v>0</v>
      </c>
      <c r="AI7054" s="161">
        <f t="shared" si="5021"/>
        <v>0</v>
      </c>
      <c r="AK7054" s="172"/>
    </row>
    <row r="7055" spans="1:41" s="102" customFormat="1" ht="19.899999999999999" customHeight="1" x14ac:dyDescent="0.25">
      <c r="A7055" s="45"/>
      <c r="B7055" s="59"/>
      <c r="C7055" s="137"/>
      <c r="D7055" s="59"/>
      <c r="E7055" s="116"/>
      <c r="F7055" s="120"/>
      <c r="G7055" s="120"/>
      <c r="H7055" s="120"/>
      <c r="I7055" s="60"/>
      <c r="J7055" s="116"/>
      <c r="K7055" s="213"/>
      <c r="L7055" s="120"/>
      <c r="M7055" s="120"/>
      <c r="N7055" s="167"/>
      <c r="O7055" s="120"/>
      <c r="P7055" s="120"/>
      <c r="Q7055" s="120"/>
      <c r="R7055" s="120"/>
      <c r="S7055" s="120"/>
      <c r="T7055" s="221"/>
      <c r="U7055" s="89"/>
      <c r="V7055" s="61"/>
      <c r="W7055" s="92" t="s">
        <v>129</v>
      </c>
      <c r="X7055" s="93" t="s">
        <v>29</v>
      </c>
      <c r="Y7055" s="93" t="s">
        <v>93</v>
      </c>
      <c r="Z7055" s="134">
        <f>VLOOKUP(W7055,Sheet2!$B:$D,3,FALSE)</f>
        <v>56</v>
      </c>
      <c r="AA7055" s="93">
        <f>100/(1*3)</f>
        <v>33.333333333333336</v>
      </c>
      <c r="AB7055" s="93">
        <f t="shared" ref="AB7055" si="5022">AD7055/AC7054</f>
        <v>1.6799999999999997</v>
      </c>
      <c r="AC7055" s="93">
        <f>AC7054/AA7055</f>
        <v>5.048274000000001</v>
      </c>
      <c r="AD7055" s="94">
        <f t="shared" ref="AD7055:AD7056" si="5023">AC7055*Z7055</f>
        <v>282.70334400000007</v>
      </c>
      <c r="AE7055" s="190"/>
      <c r="AF7055" s="191"/>
      <c r="AG7055" s="191"/>
      <c r="AH7055" s="191"/>
      <c r="AI7055" s="186"/>
      <c r="AK7055" s="171"/>
    </row>
    <row r="7056" spans="1:41" s="102" customFormat="1" ht="19.899999999999999" customHeight="1" x14ac:dyDescent="0.25">
      <c r="A7056" s="45"/>
      <c r="B7056" s="59"/>
      <c r="C7056" s="137"/>
      <c r="D7056" s="59"/>
      <c r="E7056" s="116"/>
      <c r="F7056" s="120"/>
      <c r="G7056" s="120"/>
      <c r="H7056" s="120"/>
      <c r="I7056" s="60"/>
      <c r="J7056" s="116"/>
      <c r="K7056" s="213"/>
      <c r="L7056" s="120"/>
      <c r="M7056" s="120"/>
      <c r="N7056" s="167"/>
      <c r="O7056" s="120"/>
      <c r="P7056" s="120"/>
      <c r="Q7056" s="120"/>
      <c r="R7056" s="120"/>
      <c r="S7056" s="120"/>
      <c r="T7056" s="221"/>
      <c r="U7056" s="89"/>
      <c r="V7056" s="61"/>
      <c r="W7056" s="92" t="s">
        <v>65</v>
      </c>
      <c r="X7056" s="93" t="s">
        <v>30</v>
      </c>
      <c r="Y7056" s="93" t="s">
        <v>1011</v>
      </c>
      <c r="Z7056" s="134">
        <f>VLOOKUP(W7056,Sheet2!$B:$D,3,FALSE)</f>
        <v>1.76</v>
      </c>
      <c r="AA7056" s="93">
        <f>AA7055/14</f>
        <v>2.3809523809523809</v>
      </c>
      <c r="AB7056" s="93">
        <f>AD7056/AC7054</f>
        <v>0.73920000000000008</v>
      </c>
      <c r="AC7056" s="93">
        <f>AC7054/AA7056</f>
        <v>70.675836000000032</v>
      </c>
      <c r="AD7056" s="94">
        <f t="shared" si="5023"/>
        <v>124.38947136000006</v>
      </c>
      <c r="AE7056" s="190"/>
      <c r="AF7056" s="191"/>
      <c r="AG7056" s="191"/>
      <c r="AH7056" s="191"/>
      <c r="AI7056" s="186"/>
      <c r="AK7056" s="171"/>
    </row>
    <row r="7057" spans="1:37" s="102" customFormat="1" ht="19.899999999999999" customHeight="1" x14ac:dyDescent="0.25">
      <c r="A7057" s="45"/>
      <c r="B7057" s="59"/>
      <c r="C7057" s="137"/>
      <c r="D7057" s="59"/>
      <c r="E7057" s="116"/>
      <c r="F7057" s="120"/>
      <c r="G7057" s="120"/>
      <c r="H7057" s="120"/>
      <c r="I7057" s="60"/>
      <c r="J7057" s="116"/>
      <c r="K7057" s="213"/>
      <c r="L7057" s="120"/>
      <c r="M7057" s="120"/>
      <c r="N7057" s="167"/>
      <c r="O7057" s="120"/>
      <c r="P7057" s="120"/>
      <c r="Q7057" s="120"/>
      <c r="R7057" s="120"/>
      <c r="S7057" s="120"/>
      <c r="T7057" s="221"/>
      <c r="U7057" s="89"/>
      <c r="V7057" s="61"/>
      <c r="W7057" s="92" t="s">
        <v>161</v>
      </c>
      <c r="X7057" s="93" t="s">
        <v>29</v>
      </c>
      <c r="Y7057" s="93" t="s">
        <v>93</v>
      </c>
      <c r="Z7057" s="134">
        <f>VLOOKUP(W7057,Sheet2!$B:$D,3,FALSE)</f>
        <v>48</v>
      </c>
      <c r="AA7057" s="93">
        <f>(16*0.85*1.5)/(1*3)</f>
        <v>6.8</v>
      </c>
      <c r="AB7057" s="93">
        <f>AD7057/AC7054</f>
        <v>7.0588235294117645</v>
      </c>
      <c r="AC7057" s="93">
        <f>AC7054/AA7057</f>
        <v>24.746441176470597</v>
      </c>
      <c r="AD7057" s="94">
        <f>AC7057*Z7057</f>
        <v>1187.8291764705887</v>
      </c>
      <c r="AE7057" s="190"/>
      <c r="AF7057" s="191"/>
      <c r="AG7057" s="191"/>
      <c r="AH7057" s="191"/>
      <c r="AI7057" s="186"/>
      <c r="AK7057" s="171"/>
    </row>
    <row r="7058" spans="1:37" s="102" customFormat="1" ht="19.899999999999999" customHeight="1" x14ac:dyDescent="0.25">
      <c r="A7058" s="45"/>
      <c r="B7058" s="59"/>
      <c r="C7058" s="137"/>
      <c r="D7058" s="59"/>
      <c r="E7058" s="116"/>
      <c r="F7058" s="120"/>
      <c r="G7058" s="120"/>
      <c r="H7058" s="120"/>
      <c r="I7058" s="60"/>
      <c r="J7058" s="116"/>
      <c r="K7058" s="213"/>
      <c r="L7058" s="120"/>
      <c r="M7058" s="120"/>
      <c r="N7058" s="167"/>
      <c r="O7058" s="120"/>
      <c r="P7058" s="120"/>
      <c r="Q7058" s="120"/>
      <c r="R7058" s="120"/>
      <c r="S7058" s="120"/>
      <c r="T7058" s="221"/>
      <c r="U7058" s="89"/>
      <c r="V7058" s="61"/>
      <c r="W7058" s="92" t="s">
        <v>65</v>
      </c>
      <c r="X7058" s="93" t="s">
        <v>30</v>
      </c>
      <c r="Y7058" s="93" t="s">
        <v>1011</v>
      </c>
      <c r="Z7058" s="134">
        <f>VLOOKUP(W7058,Sheet2!$B:$D,3,FALSE)</f>
        <v>1.76</v>
      </c>
      <c r="AA7058" s="93">
        <f>AA7057/10</f>
        <v>0.67999999999999994</v>
      </c>
      <c r="AB7058" s="93">
        <f>AD7058/AC7054</f>
        <v>2.5882352941176472</v>
      </c>
      <c r="AC7058" s="93">
        <f>AC7054/AA7058</f>
        <v>247.464411764706</v>
      </c>
      <c r="AD7058" s="94">
        <f>AC7058*Z7058</f>
        <v>435.53736470588257</v>
      </c>
      <c r="AE7058" s="190"/>
      <c r="AF7058" s="191"/>
      <c r="AG7058" s="191"/>
      <c r="AH7058" s="191"/>
      <c r="AI7058" s="186"/>
      <c r="AK7058" s="171"/>
    </row>
    <row r="7059" spans="1:37" s="102" customFormat="1" ht="19.899999999999999" customHeight="1" x14ac:dyDescent="0.25">
      <c r="A7059" s="45"/>
      <c r="B7059" s="59"/>
      <c r="C7059" s="137"/>
      <c r="D7059" s="59"/>
      <c r="E7059" s="116"/>
      <c r="F7059" s="120"/>
      <c r="G7059" s="120"/>
      <c r="H7059" s="120"/>
      <c r="I7059" s="60"/>
      <c r="J7059" s="116"/>
      <c r="K7059" s="213"/>
      <c r="L7059" s="120"/>
      <c r="M7059" s="120"/>
      <c r="N7059" s="167"/>
      <c r="O7059" s="120"/>
      <c r="P7059" s="120"/>
      <c r="Q7059" s="120"/>
      <c r="R7059" s="120"/>
      <c r="S7059" s="120"/>
      <c r="T7059" s="221"/>
      <c r="U7059" s="89"/>
      <c r="V7059" s="61"/>
      <c r="W7059" s="92" t="s">
        <v>1030</v>
      </c>
      <c r="X7059" s="93" t="s">
        <v>29</v>
      </c>
      <c r="Y7059" s="93" t="s">
        <v>93</v>
      </c>
      <c r="Z7059" s="134">
        <f>VLOOKUP(W7059,Sheet2!$B:$D,3,FALSE)</f>
        <v>23</v>
      </c>
      <c r="AA7059" s="93">
        <v>50</v>
      </c>
      <c r="AB7059" s="93">
        <f>AD7059/AC7054</f>
        <v>0.46</v>
      </c>
      <c r="AC7059" s="93">
        <f>AC7054/AA7059</f>
        <v>3.3655160000000013</v>
      </c>
      <c r="AD7059" s="94">
        <f t="shared" ref="AD7059:AD7063" si="5024">AC7059*Z7059</f>
        <v>77.406868000000031</v>
      </c>
      <c r="AE7059" s="190"/>
      <c r="AF7059" s="191"/>
      <c r="AG7059" s="191"/>
      <c r="AH7059" s="191"/>
      <c r="AI7059" s="186"/>
      <c r="AK7059" s="171"/>
    </row>
    <row r="7060" spans="1:37" s="102" customFormat="1" ht="19.899999999999999" customHeight="1" x14ac:dyDescent="0.25">
      <c r="A7060" s="45"/>
      <c r="B7060" s="59"/>
      <c r="C7060" s="137"/>
      <c r="D7060" s="59"/>
      <c r="E7060" s="116"/>
      <c r="F7060" s="120"/>
      <c r="G7060" s="120"/>
      <c r="H7060" s="120"/>
      <c r="I7060" s="60"/>
      <c r="J7060" s="116"/>
      <c r="K7060" s="213"/>
      <c r="L7060" s="120"/>
      <c r="M7060" s="120"/>
      <c r="N7060" s="167"/>
      <c r="O7060" s="120"/>
      <c r="P7060" s="120"/>
      <c r="Q7060" s="120"/>
      <c r="R7060" s="120"/>
      <c r="S7060" s="120"/>
      <c r="T7060" s="221"/>
      <c r="U7060" s="89"/>
      <c r="V7060" s="61"/>
      <c r="W7060" s="92" t="s">
        <v>65</v>
      </c>
      <c r="X7060" s="93" t="s">
        <v>30</v>
      </c>
      <c r="Y7060" s="93" t="s">
        <v>1011</v>
      </c>
      <c r="Z7060" s="134">
        <f>VLOOKUP(W7060,Sheet2!$B:$D,3,FALSE)</f>
        <v>1.76</v>
      </c>
      <c r="AA7060" s="93">
        <f>AA7059/3</f>
        <v>16.666666666666668</v>
      </c>
      <c r="AB7060" s="93">
        <f>AD7060/AC7054</f>
        <v>0.10559999999999999</v>
      </c>
      <c r="AC7060" s="93">
        <f>AC7054/AA7060</f>
        <v>10.096548000000002</v>
      </c>
      <c r="AD7060" s="94">
        <f t="shared" si="5024"/>
        <v>17.769924480000004</v>
      </c>
      <c r="AE7060" s="190"/>
      <c r="AF7060" s="191"/>
      <c r="AG7060" s="191"/>
      <c r="AH7060" s="191"/>
      <c r="AI7060" s="186"/>
      <c r="AK7060" s="171"/>
    </row>
    <row r="7061" spans="1:37" s="102" customFormat="1" ht="19.899999999999999" customHeight="1" x14ac:dyDescent="0.25">
      <c r="A7061" s="45"/>
      <c r="B7061" s="59"/>
      <c r="C7061" s="137"/>
      <c r="D7061" s="59"/>
      <c r="E7061" s="116"/>
      <c r="F7061" s="120"/>
      <c r="G7061" s="120"/>
      <c r="H7061" s="120"/>
      <c r="I7061" s="60"/>
      <c r="J7061" s="116"/>
      <c r="K7061" s="213"/>
      <c r="L7061" s="120"/>
      <c r="M7061" s="120"/>
      <c r="N7061" s="167"/>
      <c r="O7061" s="120"/>
      <c r="P7061" s="120"/>
      <c r="Q7061" s="120"/>
      <c r="R7061" s="120"/>
      <c r="S7061" s="120"/>
      <c r="T7061" s="221"/>
      <c r="U7061" s="89"/>
      <c r="V7061" s="61"/>
      <c r="W7061" s="92" t="s">
        <v>148</v>
      </c>
      <c r="X7061" s="93" t="s">
        <v>29</v>
      </c>
      <c r="Y7061" s="93" t="s">
        <v>93</v>
      </c>
      <c r="Z7061" s="134">
        <f>VLOOKUP(W7061,Sheet2!$B:$D,3,FALSE)</f>
        <v>48</v>
      </c>
      <c r="AA7061" s="93">
        <f>AA7055</f>
        <v>33.333333333333336</v>
      </c>
      <c r="AB7061" s="93">
        <f>AD7061/AC7054</f>
        <v>1.4399999999999997</v>
      </c>
      <c r="AC7061" s="93">
        <f>AC7054/AA7061</f>
        <v>5.048274000000001</v>
      </c>
      <c r="AD7061" s="94">
        <f t="shared" si="5024"/>
        <v>242.31715200000005</v>
      </c>
      <c r="AE7061" s="190"/>
      <c r="AF7061" s="191"/>
      <c r="AG7061" s="191"/>
      <c r="AH7061" s="191"/>
      <c r="AI7061" s="186"/>
      <c r="AK7061" s="171"/>
    </row>
    <row r="7062" spans="1:37" s="102" customFormat="1" ht="19.899999999999999" customHeight="1" x14ac:dyDescent="0.25">
      <c r="A7062" s="45"/>
      <c r="B7062" s="59"/>
      <c r="C7062" s="137"/>
      <c r="D7062" s="59"/>
      <c r="E7062" s="116"/>
      <c r="F7062" s="120"/>
      <c r="G7062" s="120"/>
      <c r="H7062" s="120"/>
      <c r="I7062" s="60"/>
      <c r="J7062" s="116"/>
      <c r="K7062" s="213"/>
      <c r="L7062" s="120"/>
      <c r="M7062" s="120"/>
      <c r="N7062" s="167"/>
      <c r="O7062" s="120"/>
      <c r="P7062" s="120"/>
      <c r="Q7062" s="120"/>
      <c r="R7062" s="120"/>
      <c r="S7062" s="120"/>
      <c r="T7062" s="221"/>
      <c r="U7062" s="89"/>
      <c r="V7062" s="61"/>
      <c r="W7062" s="92" t="s">
        <v>65</v>
      </c>
      <c r="X7062" s="93" t="s">
        <v>30</v>
      </c>
      <c r="Y7062" s="93" t="s">
        <v>1011</v>
      </c>
      <c r="Z7062" s="134">
        <f>VLOOKUP(W7062,Sheet2!$B:$D,3,FALSE)</f>
        <v>1.76</v>
      </c>
      <c r="AA7062" s="93">
        <f>AA7061/10</f>
        <v>3.3333333333333335</v>
      </c>
      <c r="AB7062" s="93">
        <f>AD7062/AC7054</f>
        <v>0.52800000000000002</v>
      </c>
      <c r="AC7062" s="93">
        <f>AC7054/AA7062</f>
        <v>50.482740000000014</v>
      </c>
      <c r="AD7062" s="94">
        <f t="shared" si="5024"/>
        <v>88.84962240000003</v>
      </c>
      <c r="AE7062" s="190"/>
      <c r="AF7062" s="191"/>
      <c r="AG7062" s="191"/>
      <c r="AH7062" s="191"/>
      <c r="AI7062" s="186"/>
      <c r="AK7062" s="171"/>
    </row>
    <row r="7063" spans="1:37" s="102" customFormat="1" ht="19.899999999999999" customHeight="1" x14ac:dyDescent="0.25">
      <c r="A7063" s="45"/>
      <c r="B7063" s="59"/>
      <c r="C7063" s="137"/>
      <c r="D7063" s="59"/>
      <c r="E7063" s="116"/>
      <c r="F7063" s="120"/>
      <c r="G7063" s="120"/>
      <c r="H7063" s="120"/>
      <c r="I7063" s="60"/>
      <c r="J7063" s="116"/>
      <c r="K7063" s="213"/>
      <c r="L7063" s="120"/>
      <c r="M7063" s="120"/>
      <c r="N7063" s="167"/>
      <c r="O7063" s="120"/>
      <c r="P7063" s="120"/>
      <c r="Q7063" s="120"/>
      <c r="R7063" s="120"/>
      <c r="S7063" s="120"/>
      <c r="T7063" s="221"/>
      <c r="U7063" s="89"/>
      <c r="V7063" s="61"/>
      <c r="W7063" s="92" t="s">
        <v>1049</v>
      </c>
      <c r="X7063" s="93" t="s">
        <v>30</v>
      </c>
      <c r="Y7063" s="93" t="s">
        <v>68</v>
      </c>
      <c r="Z7063" s="134">
        <f>VLOOKUP(W7063,Sheet2!$B:$D,3,FALSE)</f>
        <v>60</v>
      </c>
      <c r="AA7063" s="93">
        <v>1</v>
      </c>
      <c r="AB7063" s="93">
        <f>AD7063/AC7054</f>
        <v>60.000000000000007</v>
      </c>
      <c r="AC7063" s="93">
        <f>AC7054/AA7063</f>
        <v>168.27580000000006</v>
      </c>
      <c r="AD7063" s="94">
        <f t="shared" si="5024"/>
        <v>10096.548000000004</v>
      </c>
      <c r="AE7063" s="190"/>
      <c r="AF7063" s="191"/>
      <c r="AG7063" s="191"/>
      <c r="AH7063" s="191"/>
      <c r="AI7063" s="186"/>
      <c r="AK7063" s="171"/>
    </row>
    <row r="7064" spans="1:37" s="103" customFormat="1" ht="19.899999999999999" customHeight="1" x14ac:dyDescent="0.25">
      <c r="A7064" s="51"/>
      <c r="B7064" s="52"/>
      <c r="C7064" s="165"/>
      <c r="D7064" s="52"/>
      <c r="E7064" s="115"/>
      <c r="F7064" s="58"/>
      <c r="G7064" s="58"/>
      <c r="H7064" s="58"/>
      <c r="I7064" s="55"/>
      <c r="J7064" s="113">
        <f>J7053</f>
        <v>168.27580000000006</v>
      </c>
      <c r="K7064" s="212">
        <f>K7053</f>
        <v>168.27580000000006</v>
      </c>
      <c r="L7064" s="58"/>
      <c r="M7064" s="58">
        <f>K7064-L7064</f>
        <v>168.27580000000006</v>
      </c>
      <c r="N7064" s="166"/>
      <c r="O7064" s="58"/>
      <c r="P7064" s="58"/>
      <c r="Q7064" s="58"/>
      <c r="R7064" s="58"/>
      <c r="S7064" s="58"/>
      <c r="T7064" s="220"/>
      <c r="U7064" s="88"/>
      <c r="V7064" s="56"/>
      <c r="W7064" s="57" t="s">
        <v>1036</v>
      </c>
      <c r="X7064" s="53"/>
      <c r="Y7064" s="91" t="s">
        <v>68</v>
      </c>
      <c r="Z7064" s="136">
        <f>AD7064/AC7064</f>
        <v>133.58333333333334</v>
      </c>
      <c r="AA7064" s="58"/>
      <c r="AB7064" s="53">
        <f>AD7064/AC7064</f>
        <v>133.58333333333334</v>
      </c>
      <c r="AC7064" s="53">
        <f>M7064+$AE$10</f>
        <v>168.27580000000006</v>
      </c>
      <c r="AD7064" s="54">
        <f>SUM(AD7065:AD7071)</f>
        <v>22478.842283333342</v>
      </c>
      <c r="AE7064" s="184">
        <f>SUMIFS($AD$37:$AD$12971,$V$37:$V$12971,$V7064,$X$37:$X$12971,AE$13)</f>
        <v>0</v>
      </c>
      <c r="AF7064" s="185">
        <f>SUMIFS($AD$37:$AD$12971,$V$37:$V$12971,$V7064,$X$37:$X$12971,AF$13)</f>
        <v>0</v>
      </c>
      <c r="AG7064" s="185">
        <f>SUMIFS($AD$37:$AD$12971,$V$37:$V$12971,$V7064,$X$37:$X$12971,AG$13)</f>
        <v>0</v>
      </c>
      <c r="AH7064" s="187">
        <f>SUMIFS($AD$37:$AD$12971,$V$37:$V$12971,$V7064,$X$37:$X$12971,AH$13)</f>
        <v>0</v>
      </c>
      <c r="AI7064" s="161">
        <f t="shared" ref="AI7064" si="5025">SUM(AE7064:AH7064)</f>
        <v>0</v>
      </c>
      <c r="AK7064" s="172"/>
    </row>
    <row r="7065" spans="1:37" s="102" customFormat="1" ht="19.899999999999999" customHeight="1" x14ac:dyDescent="0.25">
      <c r="A7065" s="45"/>
      <c r="B7065" s="59"/>
      <c r="C7065" s="137"/>
      <c r="D7065" s="59"/>
      <c r="E7065" s="116"/>
      <c r="F7065" s="120"/>
      <c r="G7065" s="120"/>
      <c r="H7065" s="120"/>
      <c r="I7065" s="60"/>
      <c r="J7065" s="116"/>
      <c r="K7065" s="213"/>
      <c r="L7065" s="120"/>
      <c r="M7065" s="120"/>
      <c r="N7065" s="167"/>
      <c r="O7065" s="120"/>
      <c r="P7065" s="120"/>
      <c r="Q7065" s="120"/>
      <c r="R7065" s="120"/>
      <c r="S7065" s="120"/>
      <c r="T7065" s="221"/>
      <c r="U7065" s="89"/>
      <c r="V7065" s="61"/>
      <c r="W7065" s="92" t="s">
        <v>1044</v>
      </c>
      <c r="X7065" s="93" t="s">
        <v>30</v>
      </c>
      <c r="Y7065" s="93" t="s">
        <v>68</v>
      </c>
      <c r="Z7065" s="134">
        <f>VLOOKUP(W7065,Sheet2!$B:$D,3,FALSE)</f>
        <v>80</v>
      </c>
      <c r="AA7065" s="93">
        <v>1</v>
      </c>
      <c r="AB7065" s="93">
        <f>AD7065/AC7064</f>
        <v>80</v>
      </c>
      <c r="AC7065" s="93">
        <f>AC7064/AA7065</f>
        <v>168.27580000000006</v>
      </c>
      <c r="AD7065" s="94">
        <f t="shared" ref="AD7065" si="5026">AC7065*Z7065</f>
        <v>13462.064000000006</v>
      </c>
      <c r="AE7065" s="190"/>
      <c r="AF7065" s="191"/>
      <c r="AG7065" s="191"/>
      <c r="AH7065" s="191"/>
      <c r="AI7065" s="186"/>
      <c r="AK7065" s="171"/>
    </row>
    <row r="7066" spans="1:37" s="102" customFormat="1" ht="19.899999999999999" customHeight="1" x14ac:dyDescent="0.25">
      <c r="A7066" s="45"/>
      <c r="B7066" s="59"/>
      <c r="C7066" s="137"/>
      <c r="D7066" s="59"/>
      <c r="E7066" s="116"/>
      <c r="F7066" s="120"/>
      <c r="G7066" s="120"/>
      <c r="H7066" s="120"/>
      <c r="I7066" s="60"/>
      <c r="J7066" s="116"/>
      <c r="K7066" s="213"/>
      <c r="L7066" s="120"/>
      <c r="M7066" s="120"/>
      <c r="N7066" s="167"/>
      <c r="O7066" s="120"/>
      <c r="P7066" s="120"/>
      <c r="Q7066" s="120"/>
      <c r="R7066" s="120"/>
      <c r="S7066" s="120"/>
      <c r="T7066" s="221"/>
      <c r="U7066" s="89"/>
      <c r="V7066" s="61"/>
      <c r="W7066" s="92" t="s">
        <v>1046</v>
      </c>
      <c r="X7066" s="93" t="s">
        <v>30</v>
      </c>
      <c r="Y7066" s="93" t="s">
        <v>68</v>
      </c>
      <c r="Z7066" s="134">
        <f>VLOOKUP(W7066,Sheet2!$B:$D,3,FALSE)</f>
        <v>8</v>
      </c>
      <c r="AA7066" s="93">
        <v>1</v>
      </c>
      <c r="AB7066" s="93">
        <f>AD7066/AC7064</f>
        <v>8</v>
      </c>
      <c r="AC7066" s="93">
        <f>AC7064/AA7066</f>
        <v>168.27580000000006</v>
      </c>
      <c r="AD7066" s="94">
        <f>AC7066*Z7066</f>
        <v>1346.2064000000005</v>
      </c>
      <c r="AE7066" s="190"/>
      <c r="AF7066" s="191"/>
      <c r="AG7066" s="191"/>
      <c r="AH7066" s="191"/>
      <c r="AI7066" s="186"/>
      <c r="AK7066" s="171"/>
    </row>
    <row r="7067" spans="1:37" s="102" customFormat="1" ht="19.899999999999999" customHeight="1" x14ac:dyDescent="0.25">
      <c r="A7067" s="45"/>
      <c r="B7067" s="59"/>
      <c r="C7067" s="137"/>
      <c r="D7067" s="59"/>
      <c r="E7067" s="116"/>
      <c r="F7067" s="120"/>
      <c r="G7067" s="120"/>
      <c r="H7067" s="120"/>
      <c r="I7067" s="60"/>
      <c r="J7067" s="116"/>
      <c r="K7067" s="213"/>
      <c r="L7067" s="120"/>
      <c r="M7067" s="120"/>
      <c r="N7067" s="167"/>
      <c r="O7067" s="120"/>
      <c r="P7067" s="120"/>
      <c r="Q7067" s="120"/>
      <c r="R7067" s="120"/>
      <c r="S7067" s="120"/>
      <c r="T7067" s="221"/>
      <c r="U7067" s="89"/>
      <c r="V7067" s="61"/>
      <c r="W7067" s="92" t="s">
        <v>107</v>
      </c>
      <c r="X7067" s="93" t="s">
        <v>31</v>
      </c>
      <c r="Y7067" s="93" t="s">
        <v>93</v>
      </c>
      <c r="Z7067" s="134">
        <f>VLOOKUP(W7067,Sheet2!$B:$D,3,FALSE)</f>
        <v>17</v>
      </c>
      <c r="AA7067" s="93">
        <v>6</v>
      </c>
      <c r="AB7067" s="93">
        <f>AD7067/AC7064</f>
        <v>2.8333333333333335</v>
      </c>
      <c r="AC7067" s="93">
        <f>AC7064/AA7067</f>
        <v>28.045966666666676</v>
      </c>
      <c r="AD7067" s="94">
        <f>AC7067*Z7067</f>
        <v>476.7814333333335</v>
      </c>
      <c r="AE7067" s="190"/>
      <c r="AF7067" s="191"/>
      <c r="AG7067" s="191"/>
      <c r="AH7067" s="191"/>
      <c r="AI7067" s="186"/>
      <c r="AK7067" s="171"/>
    </row>
    <row r="7068" spans="1:37" s="102" customFormat="1" ht="19.899999999999999" customHeight="1" x14ac:dyDescent="0.25">
      <c r="A7068" s="45"/>
      <c r="B7068" s="59"/>
      <c r="C7068" s="137"/>
      <c r="D7068" s="59"/>
      <c r="E7068" s="116"/>
      <c r="F7068" s="120"/>
      <c r="G7068" s="120"/>
      <c r="H7068" s="120"/>
      <c r="I7068" s="60"/>
      <c r="J7068" s="116"/>
      <c r="K7068" s="213"/>
      <c r="L7068" s="120"/>
      <c r="M7068" s="120"/>
      <c r="N7068" s="167"/>
      <c r="O7068" s="120"/>
      <c r="P7068" s="120"/>
      <c r="Q7068" s="120"/>
      <c r="R7068" s="120"/>
      <c r="S7068" s="120"/>
      <c r="T7068" s="221"/>
      <c r="U7068" s="89"/>
      <c r="V7068" s="61"/>
      <c r="W7068" s="92" t="s">
        <v>112</v>
      </c>
      <c r="X7068" s="93" t="s">
        <v>31</v>
      </c>
      <c r="Y7068" s="93" t="s">
        <v>93</v>
      </c>
      <c r="Z7068" s="134">
        <f>VLOOKUP(W7068,Sheet2!$B:$D,3,FALSE)</f>
        <v>13</v>
      </c>
      <c r="AA7068" s="93">
        <v>6</v>
      </c>
      <c r="AB7068" s="93">
        <f>AD7068/AC7064</f>
        <v>2.1666666666666665</v>
      </c>
      <c r="AC7068" s="93">
        <f>AC7064/AA7068</f>
        <v>28.045966666666676</v>
      </c>
      <c r="AD7068" s="94">
        <f>AC7068*Z7068</f>
        <v>364.59756666666681</v>
      </c>
      <c r="AE7068" s="190"/>
      <c r="AF7068" s="191"/>
      <c r="AG7068" s="191"/>
      <c r="AH7068" s="191"/>
      <c r="AI7068" s="186"/>
      <c r="AK7068" s="171"/>
    </row>
    <row r="7069" spans="1:37" s="102" customFormat="1" ht="19.899999999999999" customHeight="1" x14ac:dyDescent="0.25">
      <c r="A7069" s="45"/>
      <c r="B7069" s="59"/>
      <c r="C7069" s="137"/>
      <c r="D7069" s="59"/>
      <c r="E7069" s="116"/>
      <c r="F7069" s="120"/>
      <c r="G7069" s="120"/>
      <c r="H7069" s="120"/>
      <c r="I7069" s="60"/>
      <c r="J7069" s="116"/>
      <c r="K7069" s="213"/>
      <c r="L7069" s="120"/>
      <c r="M7069" s="120"/>
      <c r="N7069" s="167"/>
      <c r="O7069" s="120"/>
      <c r="P7069" s="120"/>
      <c r="Q7069" s="120"/>
      <c r="R7069" s="120"/>
      <c r="S7069" s="120"/>
      <c r="T7069" s="221"/>
      <c r="U7069" s="89"/>
      <c r="V7069" s="61"/>
      <c r="W7069" s="92" t="s">
        <v>1032</v>
      </c>
      <c r="X7069" s="93" t="s">
        <v>30</v>
      </c>
      <c r="Y7069" s="93" t="s">
        <v>66</v>
      </c>
      <c r="Z7069" s="134">
        <f>VLOOKUP(W7069,Sheet2!$B:$D,3,FALSE)</f>
        <v>250</v>
      </c>
      <c r="AA7069" s="93">
        <f>1/(1*1*0.1)</f>
        <v>10</v>
      </c>
      <c r="AB7069" s="93">
        <f>AD7069/AC7064</f>
        <v>25</v>
      </c>
      <c r="AC7069" s="93">
        <f>AC7064/AA7069</f>
        <v>16.827580000000005</v>
      </c>
      <c r="AD7069" s="94">
        <f>AC7069*Z7069</f>
        <v>4206.8950000000013</v>
      </c>
      <c r="AE7069" s="190"/>
      <c r="AF7069" s="191"/>
      <c r="AG7069" s="191"/>
      <c r="AH7069" s="191"/>
      <c r="AI7069" s="186"/>
      <c r="AK7069" s="171"/>
    </row>
    <row r="7070" spans="1:37" s="102" customFormat="1" ht="19.899999999999999" customHeight="1" x14ac:dyDescent="0.25">
      <c r="A7070" s="45"/>
      <c r="B7070" s="59"/>
      <c r="C7070" s="137"/>
      <c r="D7070" s="59"/>
      <c r="E7070" s="116"/>
      <c r="F7070" s="120"/>
      <c r="G7070" s="120"/>
      <c r="H7070" s="120"/>
      <c r="I7070" s="60"/>
      <c r="J7070" s="116"/>
      <c r="K7070" s="213"/>
      <c r="L7070" s="120"/>
      <c r="M7070" s="120"/>
      <c r="N7070" s="167"/>
      <c r="O7070" s="120"/>
      <c r="P7070" s="120"/>
      <c r="Q7070" s="120"/>
      <c r="R7070" s="120"/>
      <c r="S7070" s="120"/>
      <c r="T7070" s="221"/>
      <c r="U7070" s="89"/>
      <c r="V7070" s="61"/>
      <c r="W7070" s="92" t="s">
        <v>1035</v>
      </c>
      <c r="X7070" s="93" t="s">
        <v>32</v>
      </c>
      <c r="Y7070" s="93" t="s">
        <v>66</v>
      </c>
      <c r="Z7070" s="134">
        <f>VLOOKUP(W7070,Sheet2!$B:$D,3,FALSE)</f>
        <v>150</v>
      </c>
      <c r="AA7070" s="93">
        <f>AA7069</f>
        <v>10</v>
      </c>
      <c r="AB7070" s="93">
        <f>AD7070/AC7064</f>
        <v>14.999999999999998</v>
      </c>
      <c r="AC7070" s="93">
        <f>AC7064/AA7070</f>
        <v>16.827580000000005</v>
      </c>
      <c r="AD7070" s="94">
        <f t="shared" ref="AD7070:AD7071" si="5027">AC7070*Z7070</f>
        <v>2524.1370000000006</v>
      </c>
      <c r="AE7070" s="190"/>
      <c r="AF7070" s="191"/>
      <c r="AG7070" s="191"/>
      <c r="AH7070" s="191"/>
      <c r="AI7070" s="186"/>
      <c r="AK7070" s="171"/>
    </row>
    <row r="7071" spans="1:37" s="102" customFormat="1" ht="19.899999999999999" customHeight="1" x14ac:dyDescent="0.25">
      <c r="A7071" s="45"/>
      <c r="B7071" s="59"/>
      <c r="C7071" s="137"/>
      <c r="D7071" s="59"/>
      <c r="E7071" s="116"/>
      <c r="F7071" s="120"/>
      <c r="G7071" s="120"/>
      <c r="H7071" s="120"/>
      <c r="I7071" s="60"/>
      <c r="J7071" s="116"/>
      <c r="K7071" s="213"/>
      <c r="L7071" s="120"/>
      <c r="M7071" s="120"/>
      <c r="N7071" s="167"/>
      <c r="O7071" s="120"/>
      <c r="P7071" s="120"/>
      <c r="Q7071" s="120"/>
      <c r="R7071" s="120"/>
      <c r="S7071" s="120"/>
      <c r="T7071" s="221"/>
      <c r="U7071" s="89"/>
      <c r="V7071" s="61"/>
      <c r="W7071" s="92" t="s">
        <v>1037</v>
      </c>
      <c r="X7071" s="93" t="s">
        <v>30</v>
      </c>
      <c r="Y7071" s="93" t="s">
        <v>1038</v>
      </c>
      <c r="Z7071" s="134">
        <f>VLOOKUP(W7071,Sheet2!$B:$D,3,FALSE)</f>
        <v>175</v>
      </c>
      <c r="AA7071" s="93">
        <v>300</v>
      </c>
      <c r="AB7071" s="93">
        <f>AD7071/AC7064</f>
        <v>0.58333333333333337</v>
      </c>
      <c r="AC7071" s="93">
        <f>AC7064/AA7071</f>
        <v>0.56091933333333355</v>
      </c>
      <c r="AD7071" s="94">
        <f t="shared" si="5027"/>
        <v>98.160883333333373</v>
      </c>
      <c r="AE7071" s="190"/>
      <c r="AF7071" s="191"/>
      <c r="AG7071" s="191"/>
      <c r="AH7071" s="191"/>
      <c r="AI7071" s="186"/>
      <c r="AK7071" s="171"/>
    </row>
    <row r="7072" spans="1:37" s="103" customFormat="1" ht="19.899999999999999" customHeight="1" x14ac:dyDescent="0.25">
      <c r="A7072" s="51"/>
      <c r="B7072" s="52"/>
      <c r="C7072" s="165"/>
      <c r="D7072" s="52"/>
      <c r="E7072" s="115"/>
      <c r="F7072" s="58"/>
      <c r="G7072" s="58"/>
      <c r="H7072" s="58"/>
      <c r="I7072" s="55"/>
      <c r="J7072" s="113">
        <f>J7053</f>
        <v>168.27580000000006</v>
      </c>
      <c r="K7072" s="212">
        <f>K7053</f>
        <v>168.27580000000006</v>
      </c>
      <c r="L7072" s="58"/>
      <c r="M7072" s="58">
        <f>K7072-L7072</f>
        <v>168.27580000000006</v>
      </c>
      <c r="N7072" s="166"/>
      <c r="O7072" s="58"/>
      <c r="P7072" s="58"/>
      <c r="Q7072" s="58"/>
      <c r="R7072" s="58"/>
      <c r="S7072" s="58"/>
      <c r="T7072" s="220"/>
      <c r="U7072" s="88"/>
      <c r="V7072" s="56"/>
      <c r="W7072" s="57" t="s">
        <v>1040</v>
      </c>
      <c r="X7072" s="53"/>
      <c r="Y7072" s="91" t="s">
        <v>68</v>
      </c>
      <c r="Z7072" s="136">
        <f>AD7072/AC7072</f>
        <v>5</v>
      </c>
      <c r="AA7072" s="58"/>
      <c r="AB7072" s="53">
        <f>AD7072/AC7072</f>
        <v>5</v>
      </c>
      <c r="AC7072" s="53">
        <f>M7072+$AE$10</f>
        <v>168.27580000000006</v>
      </c>
      <c r="AD7072" s="54">
        <f>SUM(AD7073)</f>
        <v>841.37900000000036</v>
      </c>
      <c r="AE7072" s="184">
        <f>SUMIFS($AD$37:$AD$12971,$V$37:$V$12971,$V7072,$X$37:$X$12971,AE$13)</f>
        <v>0</v>
      </c>
      <c r="AF7072" s="185">
        <f>SUMIFS($AD$37:$AD$12971,$V$37:$V$12971,$V7072,$X$37:$X$12971,AF$13)</f>
        <v>0</v>
      </c>
      <c r="AG7072" s="185">
        <f>SUMIFS($AD$37:$AD$12971,$V$37:$V$12971,$V7072,$X$37:$X$12971,AG$13)</f>
        <v>0</v>
      </c>
      <c r="AH7072" s="187">
        <f>SUMIFS($AD$37:$AD$12971,$V$37:$V$12971,$V7072,$X$37:$X$12971,AH$13)</f>
        <v>0</v>
      </c>
      <c r="AI7072" s="161">
        <f t="shared" ref="AI7072" si="5028">SUM(AE7072:AH7072)</f>
        <v>0</v>
      </c>
      <c r="AK7072" s="172"/>
    </row>
    <row r="7073" spans="1:41" s="102" customFormat="1" ht="19.899999999999999" customHeight="1" x14ac:dyDescent="0.25">
      <c r="A7073" s="45"/>
      <c r="B7073" s="59"/>
      <c r="C7073" s="137"/>
      <c r="D7073" s="59"/>
      <c r="E7073" s="116"/>
      <c r="F7073" s="120"/>
      <c r="G7073" s="120"/>
      <c r="H7073" s="120"/>
      <c r="I7073" s="60"/>
      <c r="J7073" s="116"/>
      <c r="K7073" s="213"/>
      <c r="L7073" s="120"/>
      <c r="M7073" s="120"/>
      <c r="N7073" s="167"/>
      <c r="O7073" s="120"/>
      <c r="P7073" s="120"/>
      <c r="Q7073" s="120"/>
      <c r="R7073" s="120"/>
      <c r="S7073" s="120"/>
      <c r="T7073" s="221"/>
      <c r="U7073" s="89"/>
      <c r="V7073" s="61"/>
      <c r="W7073" s="92" t="s">
        <v>1039</v>
      </c>
      <c r="X7073" s="93" t="s">
        <v>32</v>
      </c>
      <c r="Y7073" s="93" t="s">
        <v>68</v>
      </c>
      <c r="Z7073" s="134">
        <f>VLOOKUP(W7073,Sheet2!$B:$D,3,FALSE)</f>
        <v>5</v>
      </c>
      <c r="AA7073" s="93">
        <v>1</v>
      </c>
      <c r="AB7073" s="93">
        <f>AD7073/AC7072</f>
        <v>5</v>
      </c>
      <c r="AC7073" s="93">
        <f>AC7072/AA7073</f>
        <v>168.27580000000006</v>
      </c>
      <c r="AD7073" s="94">
        <f t="shared" ref="AD7073" si="5029">AC7073*Z7073</f>
        <v>841.37900000000036</v>
      </c>
      <c r="AE7073" s="190"/>
      <c r="AF7073" s="191"/>
      <c r="AG7073" s="191"/>
      <c r="AH7073" s="191"/>
      <c r="AI7073" s="186"/>
      <c r="AK7073" s="171"/>
    </row>
    <row r="7074" spans="1:41" ht="20.100000000000001" customHeight="1" x14ac:dyDescent="0.25">
      <c r="A7074" s="277" t="s">
        <v>703</v>
      </c>
      <c r="B7074" s="278"/>
      <c r="C7074" s="64" t="s">
        <v>715</v>
      </c>
      <c r="D7074" s="46" t="s">
        <v>97</v>
      </c>
      <c r="E7074" s="114">
        <v>6.8799999999999955</v>
      </c>
      <c r="F7074" s="44">
        <v>568</v>
      </c>
      <c r="G7074" s="44">
        <f t="shared" si="4575"/>
        <v>3907.8399999999974</v>
      </c>
      <c r="H7074" s="44">
        <f t="shared" si="4576"/>
        <v>215.52223529411762</v>
      </c>
      <c r="I7074" s="43">
        <f t="shared" si="4577"/>
        <v>1482.7929788235283</v>
      </c>
      <c r="J7074" s="112">
        <f t="shared" si="4578"/>
        <v>6.8799999999999955</v>
      </c>
      <c r="K7074" s="211">
        <f t="shared" si="4579"/>
        <v>6.8799999999999955</v>
      </c>
      <c r="L7074" s="44"/>
      <c r="M7074" s="44">
        <f t="shared" si="4580"/>
        <v>6.8799999999999955</v>
      </c>
      <c r="N7074" s="173">
        <f t="shared" si="4581"/>
        <v>1</v>
      </c>
      <c r="O7074" s="44">
        <f t="shared" si="4582"/>
        <v>568</v>
      </c>
      <c r="P7074" s="44">
        <f t="shared" si="4583"/>
        <v>3907.8399999999974</v>
      </c>
      <c r="Q7074" s="44">
        <f t="shared" si="4584"/>
        <v>215.52223529411762</v>
      </c>
      <c r="R7074" s="44">
        <f t="shared" si="4585"/>
        <v>1482.7929788235283</v>
      </c>
      <c r="S7074" s="123"/>
      <c r="T7074" s="219">
        <f t="shared" si="4586"/>
        <v>1482.7929788235283</v>
      </c>
      <c r="U7074" s="87"/>
      <c r="V7074" s="47"/>
      <c r="W7074" s="48"/>
      <c r="X7074" s="48"/>
      <c r="Y7074" s="48"/>
      <c r="Z7074" s="135"/>
      <c r="AA7074" s="49"/>
      <c r="AB7074" s="50">
        <f t="shared" si="4587"/>
        <v>215.52223529411762</v>
      </c>
      <c r="AC7074" s="42">
        <f t="shared" si="4588"/>
        <v>6.8799999999999955</v>
      </c>
      <c r="AD7074" s="90">
        <f>AD7075+AD7085+AD7093</f>
        <v>1482.7929788235283</v>
      </c>
      <c r="AE7074" s="188">
        <f t="shared" ref="AE7074" si="5030">AE7075+AE7085+AE7093</f>
        <v>0</v>
      </c>
      <c r="AF7074" s="189">
        <f t="shared" ref="AF7074" si="5031">AF7075+AF7085+AF7093</f>
        <v>0</v>
      </c>
      <c r="AG7074" s="189">
        <f t="shared" ref="AG7074" si="5032">AG7075+AG7085+AG7093</f>
        <v>0</v>
      </c>
      <c r="AH7074" s="189">
        <f t="shared" ref="AH7074" si="5033">AH7075+AH7085+AH7093</f>
        <v>0</v>
      </c>
      <c r="AI7074" s="161">
        <f t="shared" ref="AI7074:AI7075" si="5034">SUM(AE7074:AH7074)</f>
        <v>0</v>
      </c>
      <c r="AK7074" s="169">
        <v>5</v>
      </c>
      <c r="AO7074" s="19" t="s">
        <v>63</v>
      </c>
    </row>
    <row r="7075" spans="1:41" s="103" customFormat="1" ht="19.899999999999999" customHeight="1" x14ac:dyDescent="0.25">
      <c r="A7075" s="51"/>
      <c r="B7075" s="52"/>
      <c r="C7075" s="165"/>
      <c r="D7075" s="52"/>
      <c r="E7075" s="115"/>
      <c r="F7075" s="58"/>
      <c r="G7075" s="58"/>
      <c r="H7075" s="58"/>
      <c r="I7075" s="55"/>
      <c r="J7075" s="113">
        <f>J7074</f>
        <v>6.8799999999999955</v>
      </c>
      <c r="K7075" s="212">
        <f>K7074</f>
        <v>6.8799999999999955</v>
      </c>
      <c r="L7075" s="58"/>
      <c r="M7075" s="58">
        <f>K7075-L7075</f>
        <v>6.8799999999999955</v>
      </c>
      <c r="N7075" s="166"/>
      <c r="O7075" s="58"/>
      <c r="P7075" s="58"/>
      <c r="Q7075" s="58"/>
      <c r="R7075" s="58"/>
      <c r="S7075" s="58"/>
      <c r="T7075" s="220"/>
      <c r="U7075" s="88"/>
      <c r="V7075" s="56"/>
      <c r="W7075" s="57" t="s">
        <v>1052</v>
      </c>
      <c r="X7075" s="53"/>
      <c r="Y7075" s="91" t="s">
        <v>68</v>
      </c>
      <c r="Z7075" s="136">
        <f>AD7075/AC7075</f>
        <v>76.938901960784307</v>
      </c>
      <c r="AA7075" s="58"/>
      <c r="AB7075" s="53">
        <f>AD7075/AC7075</f>
        <v>76.938901960784307</v>
      </c>
      <c r="AC7075" s="53">
        <f>M7075+$AE$10</f>
        <v>6.8799999999999955</v>
      </c>
      <c r="AD7075" s="54">
        <f>SUM(AD7076:AD7084)</f>
        <v>529.33964549019572</v>
      </c>
      <c r="AE7075" s="184">
        <f>SUMIFS($AD$37:$AD$12971,$V$37:$V$12971,$V7075,$X$37:$X$12971,AE$13)</f>
        <v>0</v>
      </c>
      <c r="AF7075" s="185">
        <f>SUMIFS($AD$37:$AD$12971,$V$37:$V$12971,$V7075,$X$37:$X$12971,AF$13)</f>
        <v>0</v>
      </c>
      <c r="AG7075" s="185">
        <f>SUMIFS($AD$37:$AD$12971,$V$37:$V$12971,$V7075,$X$37:$X$12971,AG$13)</f>
        <v>0</v>
      </c>
      <c r="AH7075" s="187">
        <f>SUMIFS($AD$37:$AD$12971,$V$37:$V$12971,$V7075,$X$37:$X$12971,AH$13)</f>
        <v>0</v>
      </c>
      <c r="AI7075" s="161">
        <f t="shared" si="5034"/>
        <v>0</v>
      </c>
      <c r="AK7075" s="172"/>
    </row>
    <row r="7076" spans="1:41" s="102" customFormat="1" ht="19.899999999999999" customHeight="1" x14ac:dyDescent="0.25">
      <c r="A7076" s="45"/>
      <c r="B7076" s="59"/>
      <c r="C7076" s="137"/>
      <c r="D7076" s="59"/>
      <c r="E7076" s="116"/>
      <c r="F7076" s="120"/>
      <c r="G7076" s="120"/>
      <c r="H7076" s="120"/>
      <c r="I7076" s="60"/>
      <c r="J7076" s="116"/>
      <c r="K7076" s="213"/>
      <c r="L7076" s="120"/>
      <c r="M7076" s="120"/>
      <c r="N7076" s="167"/>
      <c r="O7076" s="120"/>
      <c r="P7076" s="120"/>
      <c r="Q7076" s="120"/>
      <c r="R7076" s="120"/>
      <c r="S7076" s="120"/>
      <c r="T7076" s="221"/>
      <c r="U7076" s="89"/>
      <c r="V7076" s="61"/>
      <c r="W7076" s="92" t="s">
        <v>129</v>
      </c>
      <c r="X7076" s="93" t="s">
        <v>29</v>
      </c>
      <c r="Y7076" s="93" t="s">
        <v>93</v>
      </c>
      <c r="Z7076" s="134">
        <f>VLOOKUP(W7076,Sheet2!$B:$D,3,FALSE)</f>
        <v>56</v>
      </c>
      <c r="AA7076" s="93">
        <f>100/(1*3.5)</f>
        <v>28.571428571428573</v>
      </c>
      <c r="AB7076" s="93">
        <f t="shared" ref="AB7076" si="5035">AD7076/AC7075</f>
        <v>1.9599999999999997</v>
      </c>
      <c r="AC7076" s="93">
        <f>AC7075/AA7076</f>
        <v>0.24079999999999982</v>
      </c>
      <c r="AD7076" s="94">
        <f t="shared" ref="AD7076:AD7077" si="5036">AC7076*Z7076</f>
        <v>13.484799999999989</v>
      </c>
      <c r="AE7076" s="190"/>
      <c r="AF7076" s="191"/>
      <c r="AG7076" s="191"/>
      <c r="AH7076" s="191"/>
      <c r="AI7076" s="186"/>
      <c r="AK7076" s="171"/>
    </row>
    <row r="7077" spans="1:41" s="102" customFormat="1" ht="19.899999999999999" customHeight="1" x14ac:dyDescent="0.25">
      <c r="A7077" s="45"/>
      <c r="B7077" s="59"/>
      <c r="C7077" s="137"/>
      <c r="D7077" s="59"/>
      <c r="E7077" s="116"/>
      <c r="F7077" s="120"/>
      <c r="G7077" s="120"/>
      <c r="H7077" s="120"/>
      <c r="I7077" s="60"/>
      <c r="J7077" s="116"/>
      <c r="K7077" s="213"/>
      <c r="L7077" s="120"/>
      <c r="M7077" s="120"/>
      <c r="N7077" s="167"/>
      <c r="O7077" s="120"/>
      <c r="P7077" s="120"/>
      <c r="Q7077" s="120"/>
      <c r="R7077" s="120"/>
      <c r="S7077" s="120"/>
      <c r="T7077" s="221"/>
      <c r="U7077" s="89"/>
      <c r="V7077" s="61"/>
      <c r="W7077" s="92" t="s">
        <v>65</v>
      </c>
      <c r="X7077" s="93" t="s">
        <v>30</v>
      </c>
      <c r="Y7077" s="93" t="s">
        <v>1011</v>
      </c>
      <c r="Z7077" s="134">
        <f>VLOOKUP(W7077,Sheet2!$B:$D,3,FALSE)</f>
        <v>1.76</v>
      </c>
      <c r="AA7077" s="93">
        <f>AA7076/14</f>
        <v>2.0408163265306123</v>
      </c>
      <c r="AB7077" s="93">
        <f>AD7077/AC7075</f>
        <v>0.86240000000000006</v>
      </c>
      <c r="AC7077" s="93">
        <f>AC7075/AA7077</f>
        <v>3.3711999999999978</v>
      </c>
      <c r="AD7077" s="94">
        <f t="shared" si="5036"/>
        <v>5.9333119999999964</v>
      </c>
      <c r="AE7077" s="190"/>
      <c r="AF7077" s="191"/>
      <c r="AG7077" s="191"/>
      <c r="AH7077" s="191"/>
      <c r="AI7077" s="186"/>
      <c r="AK7077" s="171"/>
    </row>
    <row r="7078" spans="1:41" s="102" customFormat="1" ht="19.899999999999999" customHeight="1" x14ac:dyDescent="0.25">
      <c r="A7078" s="45"/>
      <c r="B7078" s="59"/>
      <c r="C7078" s="137"/>
      <c r="D7078" s="59"/>
      <c r="E7078" s="116"/>
      <c r="F7078" s="120"/>
      <c r="G7078" s="120"/>
      <c r="H7078" s="120"/>
      <c r="I7078" s="60"/>
      <c r="J7078" s="116"/>
      <c r="K7078" s="213"/>
      <c r="L7078" s="120"/>
      <c r="M7078" s="120"/>
      <c r="N7078" s="167"/>
      <c r="O7078" s="120"/>
      <c r="P7078" s="120"/>
      <c r="Q7078" s="120"/>
      <c r="R7078" s="120"/>
      <c r="S7078" s="120"/>
      <c r="T7078" s="221"/>
      <c r="U7078" s="89"/>
      <c r="V7078" s="61"/>
      <c r="W7078" s="92" t="s">
        <v>161</v>
      </c>
      <c r="X7078" s="93" t="s">
        <v>29</v>
      </c>
      <c r="Y7078" s="93" t="s">
        <v>93</v>
      </c>
      <c r="Z7078" s="134">
        <f>VLOOKUP(W7078,Sheet2!$B:$D,3,FALSE)</f>
        <v>48</v>
      </c>
      <c r="AA7078" s="93">
        <f>(16*0.85*1.5)/(1*3.5)</f>
        <v>5.8285714285714283</v>
      </c>
      <c r="AB7078" s="93">
        <f>AD7078/AC7075</f>
        <v>8.2352941176470598</v>
      </c>
      <c r="AC7078" s="93">
        <f>AC7075/AA7078</f>
        <v>1.1803921568627445</v>
      </c>
      <c r="AD7078" s="94">
        <f>AC7078*Z7078</f>
        <v>56.658823529411734</v>
      </c>
      <c r="AE7078" s="190"/>
      <c r="AF7078" s="191"/>
      <c r="AG7078" s="191"/>
      <c r="AH7078" s="191"/>
      <c r="AI7078" s="186"/>
      <c r="AK7078" s="171"/>
    </row>
    <row r="7079" spans="1:41" s="102" customFormat="1" ht="19.899999999999999" customHeight="1" x14ac:dyDescent="0.25">
      <c r="A7079" s="45"/>
      <c r="B7079" s="59"/>
      <c r="C7079" s="137"/>
      <c r="D7079" s="59"/>
      <c r="E7079" s="116"/>
      <c r="F7079" s="120"/>
      <c r="G7079" s="120"/>
      <c r="H7079" s="120"/>
      <c r="I7079" s="60"/>
      <c r="J7079" s="116"/>
      <c r="K7079" s="213"/>
      <c r="L7079" s="120"/>
      <c r="M7079" s="120"/>
      <c r="N7079" s="167"/>
      <c r="O7079" s="120"/>
      <c r="P7079" s="120"/>
      <c r="Q7079" s="120"/>
      <c r="R7079" s="120"/>
      <c r="S7079" s="120"/>
      <c r="T7079" s="221"/>
      <c r="U7079" s="89"/>
      <c r="V7079" s="61"/>
      <c r="W7079" s="92" t="s">
        <v>65</v>
      </c>
      <c r="X7079" s="93" t="s">
        <v>30</v>
      </c>
      <c r="Y7079" s="93" t="s">
        <v>1011</v>
      </c>
      <c r="Z7079" s="134">
        <f>VLOOKUP(W7079,Sheet2!$B:$D,3,FALSE)</f>
        <v>1.76</v>
      </c>
      <c r="AA7079" s="93">
        <f>AA7078/10</f>
        <v>0.58285714285714285</v>
      </c>
      <c r="AB7079" s="93">
        <f>AD7079/AC7075</f>
        <v>3.0196078431372548</v>
      </c>
      <c r="AC7079" s="93">
        <f>AC7075/AA7079</f>
        <v>11.803921568627443</v>
      </c>
      <c r="AD7079" s="94">
        <f>AC7079*Z7079</f>
        <v>20.774901960784298</v>
      </c>
      <c r="AE7079" s="190"/>
      <c r="AF7079" s="191"/>
      <c r="AG7079" s="191"/>
      <c r="AH7079" s="191"/>
      <c r="AI7079" s="186"/>
      <c r="AK7079" s="171"/>
    </row>
    <row r="7080" spans="1:41" s="102" customFormat="1" ht="19.899999999999999" customHeight="1" x14ac:dyDescent="0.25">
      <c r="A7080" s="45"/>
      <c r="B7080" s="59"/>
      <c r="C7080" s="137"/>
      <c r="D7080" s="59"/>
      <c r="E7080" s="116"/>
      <c r="F7080" s="120"/>
      <c r="G7080" s="120"/>
      <c r="H7080" s="120"/>
      <c r="I7080" s="60"/>
      <c r="J7080" s="116"/>
      <c r="K7080" s="213"/>
      <c r="L7080" s="120"/>
      <c r="M7080" s="120"/>
      <c r="N7080" s="167"/>
      <c r="O7080" s="120"/>
      <c r="P7080" s="120"/>
      <c r="Q7080" s="120"/>
      <c r="R7080" s="120"/>
      <c r="S7080" s="120"/>
      <c r="T7080" s="221"/>
      <c r="U7080" s="89"/>
      <c r="V7080" s="61"/>
      <c r="W7080" s="92" t="s">
        <v>1030</v>
      </c>
      <c r="X7080" s="93" t="s">
        <v>29</v>
      </c>
      <c r="Y7080" s="93" t="s">
        <v>93</v>
      </c>
      <c r="Z7080" s="134">
        <f>VLOOKUP(W7080,Sheet2!$B:$D,3,FALSE)</f>
        <v>23</v>
      </c>
      <c r="AA7080" s="93">
        <v>50</v>
      </c>
      <c r="AB7080" s="93">
        <f>AD7080/AC7075</f>
        <v>0.46000000000000008</v>
      </c>
      <c r="AC7080" s="93">
        <f>AC7075/AA7080</f>
        <v>0.13759999999999992</v>
      </c>
      <c r="AD7080" s="94">
        <f t="shared" ref="AD7080:AD7084" si="5037">AC7080*Z7080</f>
        <v>3.1647999999999983</v>
      </c>
      <c r="AE7080" s="190"/>
      <c r="AF7080" s="191"/>
      <c r="AG7080" s="191"/>
      <c r="AH7080" s="191"/>
      <c r="AI7080" s="186"/>
      <c r="AK7080" s="171"/>
    </row>
    <row r="7081" spans="1:41" s="102" customFormat="1" ht="19.899999999999999" customHeight="1" x14ac:dyDescent="0.25">
      <c r="A7081" s="45"/>
      <c r="B7081" s="59"/>
      <c r="C7081" s="137"/>
      <c r="D7081" s="59"/>
      <c r="E7081" s="116"/>
      <c r="F7081" s="120"/>
      <c r="G7081" s="120"/>
      <c r="H7081" s="120"/>
      <c r="I7081" s="60"/>
      <c r="J7081" s="116"/>
      <c r="K7081" s="213"/>
      <c r="L7081" s="120"/>
      <c r="M7081" s="120"/>
      <c r="N7081" s="167"/>
      <c r="O7081" s="120"/>
      <c r="P7081" s="120"/>
      <c r="Q7081" s="120"/>
      <c r="R7081" s="120"/>
      <c r="S7081" s="120"/>
      <c r="T7081" s="221"/>
      <c r="U7081" s="89"/>
      <c r="V7081" s="61"/>
      <c r="W7081" s="92" t="s">
        <v>65</v>
      </c>
      <c r="X7081" s="93" t="s">
        <v>30</v>
      </c>
      <c r="Y7081" s="93" t="s">
        <v>1011</v>
      </c>
      <c r="Z7081" s="134">
        <f>VLOOKUP(W7081,Sheet2!$B:$D,3,FALSE)</f>
        <v>1.76</v>
      </c>
      <c r="AA7081" s="93">
        <f>AA7080/3</f>
        <v>16.666666666666668</v>
      </c>
      <c r="AB7081" s="93">
        <f>AD7081/AC7075</f>
        <v>0.1056</v>
      </c>
      <c r="AC7081" s="93">
        <f>AC7075/AA7081</f>
        <v>0.41279999999999972</v>
      </c>
      <c r="AD7081" s="94">
        <f t="shared" si="5037"/>
        <v>0.72652799999999951</v>
      </c>
      <c r="AE7081" s="190"/>
      <c r="AF7081" s="191"/>
      <c r="AG7081" s="191"/>
      <c r="AH7081" s="191"/>
      <c r="AI7081" s="186"/>
      <c r="AK7081" s="171"/>
    </row>
    <row r="7082" spans="1:41" s="102" customFormat="1" ht="19.899999999999999" customHeight="1" x14ac:dyDescent="0.25">
      <c r="A7082" s="45"/>
      <c r="B7082" s="59"/>
      <c r="C7082" s="137"/>
      <c r="D7082" s="59"/>
      <c r="E7082" s="116"/>
      <c r="F7082" s="120"/>
      <c r="G7082" s="120"/>
      <c r="H7082" s="120"/>
      <c r="I7082" s="60"/>
      <c r="J7082" s="116"/>
      <c r="K7082" s="213"/>
      <c r="L7082" s="120"/>
      <c r="M7082" s="120"/>
      <c r="N7082" s="167"/>
      <c r="O7082" s="120"/>
      <c r="P7082" s="120"/>
      <c r="Q7082" s="120"/>
      <c r="R7082" s="120"/>
      <c r="S7082" s="120"/>
      <c r="T7082" s="221"/>
      <c r="U7082" s="89"/>
      <c r="V7082" s="61"/>
      <c r="W7082" s="92" t="s">
        <v>148</v>
      </c>
      <c r="X7082" s="93" t="s">
        <v>29</v>
      </c>
      <c r="Y7082" s="93" t="s">
        <v>93</v>
      </c>
      <c r="Z7082" s="134">
        <f>VLOOKUP(W7082,Sheet2!$B:$D,3,FALSE)</f>
        <v>48</v>
      </c>
      <c r="AA7082" s="93">
        <f>AA7076</f>
        <v>28.571428571428573</v>
      </c>
      <c r="AB7082" s="93">
        <f>AD7082/AC7075</f>
        <v>1.68</v>
      </c>
      <c r="AC7082" s="93">
        <f>AC7075/AA7082</f>
        <v>0.24079999999999982</v>
      </c>
      <c r="AD7082" s="94">
        <f t="shared" si="5037"/>
        <v>11.558399999999992</v>
      </c>
      <c r="AE7082" s="190"/>
      <c r="AF7082" s="191"/>
      <c r="AG7082" s="191"/>
      <c r="AH7082" s="191"/>
      <c r="AI7082" s="186"/>
      <c r="AK7082" s="171"/>
    </row>
    <row r="7083" spans="1:41" s="102" customFormat="1" ht="19.899999999999999" customHeight="1" x14ac:dyDescent="0.25">
      <c r="A7083" s="45"/>
      <c r="B7083" s="59"/>
      <c r="C7083" s="137"/>
      <c r="D7083" s="59"/>
      <c r="E7083" s="116"/>
      <c r="F7083" s="120"/>
      <c r="G7083" s="120"/>
      <c r="H7083" s="120"/>
      <c r="I7083" s="60"/>
      <c r="J7083" s="116"/>
      <c r="K7083" s="213"/>
      <c r="L7083" s="120"/>
      <c r="M7083" s="120"/>
      <c r="N7083" s="167"/>
      <c r="O7083" s="120"/>
      <c r="P7083" s="120"/>
      <c r="Q7083" s="120"/>
      <c r="R7083" s="120"/>
      <c r="S7083" s="120"/>
      <c r="T7083" s="221"/>
      <c r="U7083" s="89"/>
      <c r="V7083" s="61"/>
      <c r="W7083" s="92" t="s">
        <v>65</v>
      </c>
      <c r="X7083" s="93" t="s">
        <v>30</v>
      </c>
      <c r="Y7083" s="93" t="s">
        <v>1011</v>
      </c>
      <c r="Z7083" s="134">
        <f>VLOOKUP(W7083,Sheet2!$B:$D,3,FALSE)</f>
        <v>1.76</v>
      </c>
      <c r="AA7083" s="93">
        <f>AA7082/10</f>
        <v>2.8571428571428572</v>
      </c>
      <c r="AB7083" s="93">
        <f>AD7083/AC7075</f>
        <v>0.61599999999999988</v>
      </c>
      <c r="AC7083" s="93">
        <f>AC7075/AA7083</f>
        <v>2.4079999999999981</v>
      </c>
      <c r="AD7083" s="94">
        <f t="shared" si="5037"/>
        <v>4.2380799999999965</v>
      </c>
      <c r="AE7083" s="190"/>
      <c r="AF7083" s="191"/>
      <c r="AG7083" s="191"/>
      <c r="AH7083" s="191"/>
      <c r="AI7083" s="186"/>
      <c r="AK7083" s="171"/>
    </row>
    <row r="7084" spans="1:41" s="102" customFormat="1" ht="19.899999999999999" customHeight="1" x14ac:dyDescent="0.25">
      <c r="A7084" s="45"/>
      <c r="B7084" s="59"/>
      <c r="C7084" s="137"/>
      <c r="D7084" s="59"/>
      <c r="E7084" s="116"/>
      <c r="F7084" s="120"/>
      <c r="G7084" s="120"/>
      <c r="H7084" s="120"/>
      <c r="I7084" s="60"/>
      <c r="J7084" s="116"/>
      <c r="K7084" s="213"/>
      <c r="L7084" s="120"/>
      <c r="M7084" s="120"/>
      <c r="N7084" s="167"/>
      <c r="O7084" s="120"/>
      <c r="P7084" s="120"/>
      <c r="Q7084" s="120"/>
      <c r="R7084" s="120"/>
      <c r="S7084" s="120"/>
      <c r="T7084" s="221"/>
      <c r="U7084" s="89"/>
      <c r="V7084" s="61"/>
      <c r="W7084" s="92" t="s">
        <v>1049</v>
      </c>
      <c r="X7084" s="93" t="s">
        <v>30</v>
      </c>
      <c r="Y7084" s="93" t="s">
        <v>68</v>
      </c>
      <c r="Z7084" s="134">
        <f>VLOOKUP(W7084,Sheet2!$B:$D,3,FALSE)</f>
        <v>60</v>
      </c>
      <c r="AA7084" s="93">
        <v>1</v>
      </c>
      <c r="AB7084" s="93">
        <f>AD7084/AC7075</f>
        <v>60</v>
      </c>
      <c r="AC7084" s="93">
        <f>AC7075/AA7084</f>
        <v>6.8799999999999955</v>
      </c>
      <c r="AD7084" s="94">
        <f t="shared" si="5037"/>
        <v>412.79999999999973</v>
      </c>
      <c r="AE7084" s="190"/>
      <c r="AF7084" s="191"/>
      <c r="AG7084" s="191"/>
      <c r="AH7084" s="191"/>
      <c r="AI7084" s="186"/>
      <c r="AK7084" s="171"/>
    </row>
    <row r="7085" spans="1:41" s="103" customFormat="1" ht="19.899999999999999" customHeight="1" x14ac:dyDescent="0.25">
      <c r="A7085" s="51"/>
      <c r="B7085" s="52"/>
      <c r="C7085" s="165"/>
      <c r="D7085" s="52"/>
      <c r="E7085" s="115"/>
      <c r="F7085" s="58"/>
      <c r="G7085" s="58"/>
      <c r="H7085" s="58"/>
      <c r="I7085" s="55"/>
      <c r="J7085" s="113">
        <f>J7074</f>
        <v>6.8799999999999955</v>
      </c>
      <c r="K7085" s="212">
        <f>K7074</f>
        <v>6.8799999999999955</v>
      </c>
      <c r="L7085" s="58"/>
      <c r="M7085" s="58">
        <f>K7085-L7085</f>
        <v>6.8799999999999955</v>
      </c>
      <c r="N7085" s="166"/>
      <c r="O7085" s="58"/>
      <c r="P7085" s="58"/>
      <c r="Q7085" s="58"/>
      <c r="R7085" s="58"/>
      <c r="S7085" s="58"/>
      <c r="T7085" s="220"/>
      <c r="U7085" s="88"/>
      <c r="V7085" s="56"/>
      <c r="W7085" s="57" t="s">
        <v>1036</v>
      </c>
      <c r="X7085" s="53"/>
      <c r="Y7085" s="91" t="s">
        <v>68</v>
      </c>
      <c r="Z7085" s="136">
        <f>AD7085/AC7085</f>
        <v>133.58333333333334</v>
      </c>
      <c r="AA7085" s="58"/>
      <c r="AB7085" s="53">
        <f>AD7085/AC7085</f>
        <v>133.58333333333334</v>
      </c>
      <c r="AC7085" s="53">
        <f>M7085+$AE$10</f>
        <v>6.8799999999999955</v>
      </c>
      <c r="AD7085" s="54">
        <f>SUM(AD7086:AD7092)</f>
        <v>919.05333333333272</v>
      </c>
      <c r="AE7085" s="184">
        <f>SUMIFS($AD$37:$AD$12971,$V$37:$V$12971,$V7085,$X$37:$X$12971,AE$13)</f>
        <v>0</v>
      </c>
      <c r="AF7085" s="185">
        <f>SUMIFS($AD$37:$AD$12971,$V$37:$V$12971,$V7085,$X$37:$X$12971,AF$13)</f>
        <v>0</v>
      </c>
      <c r="AG7085" s="185">
        <f>SUMIFS($AD$37:$AD$12971,$V$37:$V$12971,$V7085,$X$37:$X$12971,AG$13)</f>
        <v>0</v>
      </c>
      <c r="AH7085" s="187">
        <f>SUMIFS($AD$37:$AD$12971,$V$37:$V$12971,$V7085,$X$37:$X$12971,AH$13)</f>
        <v>0</v>
      </c>
      <c r="AI7085" s="161">
        <f t="shared" ref="AI7085" si="5038">SUM(AE7085:AH7085)</f>
        <v>0</v>
      </c>
      <c r="AK7085" s="172"/>
    </row>
    <row r="7086" spans="1:41" s="102" customFormat="1" ht="19.899999999999999" customHeight="1" x14ac:dyDescent="0.25">
      <c r="A7086" s="45"/>
      <c r="B7086" s="59"/>
      <c r="C7086" s="137"/>
      <c r="D7086" s="59"/>
      <c r="E7086" s="116"/>
      <c r="F7086" s="120"/>
      <c r="G7086" s="120"/>
      <c r="H7086" s="120"/>
      <c r="I7086" s="60"/>
      <c r="J7086" s="116"/>
      <c r="K7086" s="213"/>
      <c r="L7086" s="120"/>
      <c r="M7086" s="120"/>
      <c r="N7086" s="167"/>
      <c r="O7086" s="120"/>
      <c r="P7086" s="120"/>
      <c r="Q7086" s="120"/>
      <c r="R7086" s="120"/>
      <c r="S7086" s="120"/>
      <c r="T7086" s="221"/>
      <c r="U7086" s="89"/>
      <c r="V7086" s="61"/>
      <c r="W7086" s="92" t="s">
        <v>1044</v>
      </c>
      <c r="X7086" s="93" t="s">
        <v>30</v>
      </c>
      <c r="Y7086" s="93" t="s">
        <v>68</v>
      </c>
      <c r="Z7086" s="134">
        <f>VLOOKUP(W7086,Sheet2!$B:$D,3,FALSE)</f>
        <v>80</v>
      </c>
      <c r="AA7086" s="93">
        <v>1</v>
      </c>
      <c r="AB7086" s="93">
        <f>AD7086/AC7085</f>
        <v>80</v>
      </c>
      <c r="AC7086" s="93">
        <f>AC7085/AA7086</f>
        <v>6.8799999999999955</v>
      </c>
      <c r="AD7086" s="94">
        <f t="shared" ref="AD7086" si="5039">AC7086*Z7086</f>
        <v>550.39999999999964</v>
      </c>
      <c r="AE7086" s="190"/>
      <c r="AF7086" s="191"/>
      <c r="AG7086" s="191"/>
      <c r="AH7086" s="191"/>
      <c r="AI7086" s="186"/>
      <c r="AK7086" s="171"/>
    </row>
    <row r="7087" spans="1:41" s="102" customFormat="1" ht="19.899999999999999" customHeight="1" x14ac:dyDescent="0.25">
      <c r="A7087" s="45"/>
      <c r="B7087" s="59"/>
      <c r="C7087" s="137"/>
      <c r="D7087" s="59"/>
      <c r="E7087" s="116"/>
      <c r="F7087" s="120"/>
      <c r="G7087" s="120"/>
      <c r="H7087" s="120"/>
      <c r="I7087" s="60"/>
      <c r="J7087" s="116"/>
      <c r="K7087" s="213"/>
      <c r="L7087" s="120"/>
      <c r="M7087" s="120"/>
      <c r="N7087" s="167"/>
      <c r="O7087" s="120"/>
      <c r="P7087" s="120"/>
      <c r="Q7087" s="120"/>
      <c r="R7087" s="120"/>
      <c r="S7087" s="120"/>
      <c r="T7087" s="221"/>
      <c r="U7087" s="89"/>
      <c r="V7087" s="61"/>
      <c r="W7087" s="92" t="s">
        <v>1046</v>
      </c>
      <c r="X7087" s="93" t="s">
        <v>30</v>
      </c>
      <c r="Y7087" s="93" t="s">
        <v>68</v>
      </c>
      <c r="Z7087" s="134">
        <f>VLOOKUP(W7087,Sheet2!$B:$D,3,FALSE)</f>
        <v>8</v>
      </c>
      <c r="AA7087" s="93">
        <v>1</v>
      </c>
      <c r="AB7087" s="93">
        <f>AD7087/AC7085</f>
        <v>8</v>
      </c>
      <c r="AC7087" s="93">
        <f>AC7085/AA7087</f>
        <v>6.8799999999999955</v>
      </c>
      <c r="AD7087" s="94">
        <f>AC7087*Z7087</f>
        <v>55.039999999999964</v>
      </c>
      <c r="AE7087" s="190"/>
      <c r="AF7087" s="191"/>
      <c r="AG7087" s="191"/>
      <c r="AH7087" s="191"/>
      <c r="AI7087" s="186"/>
      <c r="AK7087" s="171"/>
    </row>
    <row r="7088" spans="1:41" s="102" customFormat="1" ht="19.899999999999999" customHeight="1" x14ac:dyDescent="0.25">
      <c r="A7088" s="45"/>
      <c r="B7088" s="59"/>
      <c r="C7088" s="137"/>
      <c r="D7088" s="59"/>
      <c r="E7088" s="116"/>
      <c r="F7088" s="120"/>
      <c r="G7088" s="120"/>
      <c r="H7088" s="120"/>
      <c r="I7088" s="60"/>
      <c r="J7088" s="116"/>
      <c r="K7088" s="213"/>
      <c r="L7088" s="120"/>
      <c r="M7088" s="120"/>
      <c r="N7088" s="167"/>
      <c r="O7088" s="120"/>
      <c r="P7088" s="120"/>
      <c r="Q7088" s="120"/>
      <c r="R7088" s="120"/>
      <c r="S7088" s="120"/>
      <c r="T7088" s="221"/>
      <c r="U7088" s="89"/>
      <c r="V7088" s="61"/>
      <c r="W7088" s="92" t="s">
        <v>107</v>
      </c>
      <c r="X7088" s="93" t="s">
        <v>31</v>
      </c>
      <c r="Y7088" s="93" t="s">
        <v>93</v>
      </c>
      <c r="Z7088" s="134">
        <f>VLOOKUP(W7088,Sheet2!$B:$D,3,FALSE)</f>
        <v>17</v>
      </c>
      <c r="AA7088" s="93">
        <v>6</v>
      </c>
      <c r="AB7088" s="93">
        <f>AD7088/AC7085</f>
        <v>2.833333333333333</v>
      </c>
      <c r="AC7088" s="93">
        <f>AC7085/AA7088</f>
        <v>1.1466666666666658</v>
      </c>
      <c r="AD7088" s="94">
        <f>AC7088*Z7088</f>
        <v>19.493333333333318</v>
      </c>
      <c r="AE7088" s="190"/>
      <c r="AF7088" s="191"/>
      <c r="AG7088" s="191"/>
      <c r="AH7088" s="191"/>
      <c r="AI7088" s="186"/>
      <c r="AK7088" s="171"/>
    </row>
    <row r="7089" spans="1:41" s="102" customFormat="1" ht="19.899999999999999" customHeight="1" x14ac:dyDescent="0.25">
      <c r="A7089" s="45"/>
      <c r="B7089" s="59"/>
      <c r="C7089" s="137"/>
      <c r="D7089" s="59"/>
      <c r="E7089" s="116"/>
      <c r="F7089" s="120"/>
      <c r="G7089" s="120"/>
      <c r="H7089" s="120"/>
      <c r="I7089" s="60"/>
      <c r="J7089" s="116"/>
      <c r="K7089" s="213"/>
      <c r="L7089" s="120"/>
      <c r="M7089" s="120"/>
      <c r="N7089" s="167"/>
      <c r="O7089" s="120"/>
      <c r="P7089" s="120"/>
      <c r="Q7089" s="120"/>
      <c r="R7089" s="120"/>
      <c r="S7089" s="120"/>
      <c r="T7089" s="221"/>
      <c r="U7089" s="89"/>
      <c r="V7089" s="61"/>
      <c r="W7089" s="92" t="s">
        <v>112</v>
      </c>
      <c r="X7089" s="93" t="s">
        <v>31</v>
      </c>
      <c r="Y7089" s="93" t="s">
        <v>93</v>
      </c>
      <c r="Z7089" s="134">
        <f>VLOOKUP(W7089,Sheet2!$B:$D,3,FALSE)</f>
        <v>13</v>
      </c>
      <c r="AA7089" s="93">
        <v>6</v>
      </c>
      <c r="AB7089" s="93">
        <f>AD7089/AC7085</f>
        <v>2.1666666666666665</v>
      </c>
      <c r="AC7089" s="93">
        <f>AC7085/AA7089</f>
        <v>1.1466666666666658</v>
      </c>
      <c r="AD7089" s="94">
        <f>AC7089*Z7089</f>
        <v>14.906666666666656</v>
      </c>
      <c r="AE7089" s="190"/>
      <c r="AF7089" s="191"/>
      <c r="AG7089" s="191"/>
      <c r="AH7089" s="191"/>
      <c r="AI7089" s="186"/>
      <c r="AK7089" s="171"/>
    </row>
    <row r="7090" spans="1:41" s="102" customFormat="1" ht="19.899999999999999" customHeight="1" x14ac:dyDescent="0.25">
      <c r="A7090" s="45"/>
      <c r="B7090" s="59"/>
      <c r="C7090" s="137"/>
      <c r="D7090" s="59"/>
      <c r="E7090" s="116"/>
      <c r="F7090" s="120"/>
      <c r="G7090" s="120"/>
      <c r="H7090" s="120"/>
      <c r="I7090" s="60"/>
      <c r="J7090" s="116"/>
      <c r="K7090" s="213"/>
      <c r="L7090" s="120"/>
      <c r="M7090" s="120"/>
      <c r="N7090" s="167"/>
      <c r="O7090" s="120"/>
      <c r="P7090" s="120"/>
      <c r="Q7090" s="120"/>
      <c r="R7090" s="120"/>
      <c r="S7090" s="120"/>
      <c r="T7090" s="221"/>
      <c r="U7090" s="89"/>
      <c r="V7090" s="61"/>
      <c r="W7090" s="92" t="s">
        <v>1032</v>
      </c>
      <c r="X7090" s="93" t="s">
        <v>30</v>
      </c>
      <c r="Y7090" s="93" t="s">
        <v>66</v>
      </c>
      <c r="Z7090" s="134">
        <f>VLOOKUP(W7090,Sheet2!$B:$D,3,FALSE)</f>
        <v>250</v>
      </c>
      <c r="AA7090" s="93">
        <f>1/(1*1*0.1)</f>
        <v>10</v>
      </c>
      <c r="AB7090" s="93">
        <f>AD7090/AC7085</f>
        <v>25</v>
      </c>
      <c r="AC7090" s="93">
        <f>AC7085/AA7090</f>
        <v>0.6879999999999995</v>
      </c>
      <c r="AD7090" s="94">
        <f>AC7090*Z7090</f>
        <v>171.99999999999989</v>
      </c>
      <c r="AE7090" s="190"/>
      <c r="AF7090" s="191"/>
      <c r="AG7090" s="191"/>
      <c r="AH7090" s="191"/>
      <c r="AI7090" s="186"/>
      <c r="AK7090" s="171"/>
    </row>
    <row r="7091" spans="1:41" s="102" customFormat="1" ht="19.899999999999999" customHeight="1" x14ac:dyDescent="0.25">
      <c r="A7091" s="45"/>
      <c r="B7091" s="59"/>
      <c r="C7091" s="137"/>
      <c r="D7091" s="59"/>
      <c r="E7091" s="116"/>
      <c r="F7091" s="120"/>
      <c r="G7091" s="120"/>
      <c r="H7091" s="120"/>
      <c r="I7091" s="60"/>
      <c r="J7091" s="116"/>
      <c r="K7091" s="213"/>
      <c r="L7091" s="120"/>
      <c r="M7091" s="120"/>
      <c r="N7091" s="167"/>
      <c r="O7091" s="120"/>
      <c r="P7091" s="120"/>
      <c r="Q7091" s="120"/>
      <c r="R7091" s="120"/>
      <c r="S7091" s="120"/>
      <c r="T7091" s="221"/>
      <c r="U7091" s="89"/>
      <c r="V7091" s="61"/>
      <c r="W7091" s="92" t="s">
        <v>1035</v>
      </c>
      <c r="X7091" s="93" t="s">
        <v>32</v>
      </c>
      <c r="Y7091" s="93" t="s">
        <v>66</v>
      </c>
      <c r="Z7091" s="134">
        <f>VLOOKUP(W7091,Sheet2!$B:$D,3,FALSE)</f>
        <v>150</v>
      </c>
      <c r="AA7091" s="93">
        <f>AA7090</f>
        <v>10</v>
      </c>
      <c r="AB7091" s="93">
        <f>AD7091/AC7085</f>
        <v>15</v>
      </c>
      <c r="AC7091" s="93">
        <f>AC7085/AA7091</f>
        <v>0.6879999999999995</v>
      </c>
      <c r="AD7091" s="94">
        <f t="shared" ref="AD7091:AD7092" si="5040">AC7091*Z7091</f>
        <v>103.19999999999993</v>
      </c>
      <c r="AE7091" s="190"/>
      <c r="AF7091" s="191"/>
      <c r="AG7091" s="191"/>
      <c r="AH7091" s="191"/>
      <c r="AI7091" s="186"/>
      <c r="AK7091" s="171"/>
    </row>
    <row r="7092" spans="1:41" s="102" customFormat="1" ht="19.899999999999999" customHeight="1" x14ac:dyDescent="0.25">
      <c r="A7092" s="45"/>
      <c r="B7092" s="59"/>
      <c r="C7092" s="137"/>
      <c r="D7092" s="59"/>
      <c r="E7092" s="116"/>
      <c r="F7092" s="120"/>
      <c r="G7092" s="120"/>
      <c r="H7092" s="120"/>
      <c r="I7092" s="60"/>
      <c r="J7092" s="116"/>
      <c r="K7092" s="213"/>
      <c r="L7092" s="120"/>
      <c r="M7092" s="120"/>
      <c r="N7092" s="167"/>
      <c r="O7092" s="120"/>
      <c r="P7092" s="120"/>
      <c r="Q7092" s="120"/>
      <c r="R7092" s="120"/>
      <c r="S7092" s="120"/>
      <c r="T7092" s="221"/>
      <c r="U7092" s="89"/>
      <c r="V7092" s="61"/>
      <c r="W7092" s="92" t="s">
        <v>1037</v>
      </c>
      <c r="X7092" s="93" t="s">
        <v>30</v>
      </c>
      <c r="Y7092" s="93" t="s">
        <v>1038</v>
      </c>
      <c r="Z7092" s="134">
        <f>VLOOKUP(W7092,Sheet2!$B:$D,3,FALSE)</f>
        <v>175</v>
      </c>
      <c r="AA7092" s="93">
        <v>300</v>
      </c>
      <c r="AB7092" s="93">
        <f>AD7092/AC7085</f>
        <v>0.58333333333333337</v>
      </c>
      <c r="AC7092" s="93">
        <f>AC7085/AA7092</f>
        <v>2.2933333333333319E-2</v>
      </c>
      <c r="AD7092" s="94">
        <f t="shared" si="5040"/>
        <v>4.013333333333331</v>
      </c>
      <c r="AE7092" s="190"/>
      <c r="AF7092" s="191"/>
      <c r="AG7092" s="191"/>
      <c r="AH7092" s="191"/>
      <c r="AI7092" s="186"/>
      <c r="AK7092" s="171"/>
    </row>
    <row r="7093" spans="1:41" s="103" customFormat="1" ht="19.899999999999999" customHeight="1" x14ac:dyDescent="0.25">
      <c r="A7093" s="51"/>
      <c r="B7093" s="52"/>
      <c r="C7093" s="165"/>
      <c r="D7093" s="52"/>
      <c r="E7093" s="115"/>
      <c r="F7093" s="58"/>
      <c r="G7093" s="58"/>
      <c r="H7093" s="58"/>
      <c r="I7093" s="55"/>
      <c r="J7093" s="113">
        <f>J7074</f>
        <v>6.8799999999999955</v>
      </c>
      <c r="K7093" s="212">
        <f>K7074</f>
        <v>6.8799999999999955</v>
      </c>
      <c r="L7093" s="58"/>
      <c r="M7093" s="58">
        <f>K7093-L7093</f>
        <v>6.8799999999999955</v>
      </c>
      <c r="N7093" s="166"/>
      <c r="O7093" s="58"/>
      <c r="P7093" s="58"/>
      <c r="Q7093" s="58"/>
      <c r="R7093" s="58"/>
      <c r="S7093" s="58"/>
      <c r="T7093" s="220"/>
      <c r="U7093" s="88"/>
      <c r="V7093" s="56"/>
      <c r="W7093" s="57" t="s">
        <v>1040</v>
      </c>
      <c r="X7093" s="53"/>
      <c r="Y7093" s="91" t="s">
        <v>68</v>
      </c>
      <c r="Z7093" s="136">
        <f>AD7093/AC7093</f>
        <v>5</v>
      </c>
      <c r="AA7093" s="58"/>
      <c r="AB7093" s="53">
        <f>AD7093/AC7093</f>
        <v>5</v>
      </c>
      <c r="AC7093" s="53">
        <f>M7093+$AE$10</f>
        <v>6.8799999999999955</v>
      </c>
      <c r="AD7093" s="54">
        <f>SUM(AD7094)</f>
        <v>34.399999999999977</v>
      </c>
      <c r="AE7093" s="184">
        <f>SUMIFS($AD$37:$AD$12971,$V$37:$V$12971,$V7093,$X$37:$X$12971,AE$13)</f>
        <v>0</v>
      </c>
      <c r="AF7093" s="185">
        <f>SUMIFS($AD$37:$AD$12971,$V$37:$V$12971,$V7093,$X$37:$X$12971,AF$13)</f>
        <v>0</v>
      </c>
      <c r="AG7093" s="185">
        <f>SUMIFS($AD$37:$AD$12971,$V$37:$V$12971,$V7093,$X$37:$X$12971,AG$13)</f>
        <v>0</v>
      </c>
      <c r="AH7093" s="187">
        <f>SUMIFS($AD$37:$AD$12971,$V$37:$V$12971,$V7093,$X$37:$X$12971,AH$13)</f>
        <v>0</v>
      </c>
      <c r="AI7093" s="161">
        <f t="shared" ref="AI7093" si="5041">SUM(AE7093:AH7093)</f>
        <v>0</v>
      </c>
      <c r="AK7093" s="172"/>
    </row>
    <row r="7094" spans="1:41" s="102" customFormat="1" ht="19.899999999999999" customHeight="1" x14ac:dyDescent="0.25">
      <c r="A7094" s="45"/>
      <c r="B7094" s="59"/>
      <c r="C7094" s="137"/>
      <c r="D7094" s="59"/>
      <c r="E7094" s="116"/>
      <c r="F7094" s="120"/>
      <c r="G7094" s="120"/>
      <c r="H7094" s="120"/>
      <c r="I7094" s="60"/>
      <c r="J7094" s="116"/>
      <c r="K7094" s="213"/>
      <c r="L7094" s="120"/>
      <c r="M7094" s="120"/>
      <c r="N7094" s="167"/>
      <c r="O7094" s="120"/>
      <c r="P7094" s="120"/>
      <c r="Q7094" s="120"/>
      <c r="R7094" s="120"/>
      <c r="S7094" s="120"/>
      <c r="T7094" s="221"/>
      <c r="U7094" s="89"/>
      <c r="V7094" s="61"/>
      <c r="W7094" s="92" t="s">
        <v>1039</v>
      </c>
      <c r="X7094" s="93" t="s">
        <v>32</v>
      </c>
      <c r="Y7094" s="93" t="s">
        <v>68</v>
      </c>
      <c r="Z7094" s="134">
        <f>VLOOKUP(W7094,Sheet2!$B:$D,3,FALSE)</f>
        <v>5</v>
      </c>
      <c r="AA7094" s="93">
        <v>1</v>
      </c>
      <c r="AB7094" s="93">
        <f>AD7094/AC7093</f>
        <v>5</v>
      </c>
      <c r="AC7094" s="93">
        <f>AC7093/AA7094</f>
        <v>6.8799999999999955</v>
      </c>
      <c r="AD7094" s="94">
        <f t="shared" ref="AD7094" si="5042">AC7094*Z7094</f>
        <v>34.399999999999977</v>
      </c>
      <c r="AE7094" s="190"/>
      <c r="AF7094" s="191"/>
      <c r="AG7094" s="191"/>
      <c r="AH7094" s="191"/>
      <c r="AI7094" s="186"/>
      <c r="AK7094" s="171"/>
    </row>
    <row r="7095" spans="1:41" ht="20.100000000000001" customHeight="1" x14ac:dyDescent="0.25">
      <c r="A7095" s="277" t="s">
        <v>703</v>
      </c>
      <c r="B7095" s="278"/>
      <c r="C7095" s="64" t="s">
        <v>716</v>
      </c>
      <c r="D7095" s="46" t="s">
        <v>97</v>
      </c>
      <c r="E7095" s="114">
        <v>6.3800000000000097</v>
      </c>
      <c r="F7095" s="44">
        <v>716</v>
      </c>
      <c r="G7095" s="44">
        <f t="shared" si="4575"/>
        <v>4568.0800000000072</v>
      </c>
      <c r="H7095" s="44">
        <f t="shared" si="4576"/>
        <v>217.86127843137257</v>
      </c>
      <c r="I7095" s="43">
        <f t="shared" si="4577"/>
        <v>1389.9549563921591</v>
      </c>
      <c r="J7095" s="112">
        <f t="shared" si="4578"/>
        <v>6.3800000000000097</v>
      </c>
      <c r="K7095" s="211">
        <f t="shared" si="4579"/>
        <v>6.3800000000000097</v>
      </c>
      <c r="L7095" s="44"/>
      <c r="M7095" s="44">
        <f t="shared" si="4580"/>
        <v>6.3800000000000097</v>
      </c>
      <c r="N7095" s="173">
        <f t="shared" si="4581"/>
        <v>1</v>
      </c>
      <c r="O7095" s="44">
        <f t="shared" si="4582"/>
        <v>716</v>
      </c>
      <c r="P7095" s="44">
        <f t="shared" si="4583"/>
        <v>4568.0800000000072</v>
      </c>
      <c r="Q7095" s="44">
        <f t="shared" si="4584"/>
        <v>217.86127843137257</v>
      </c>
      <c r="R7095" s="44">
        <f t="shared" si="4585"/>
        <v>1389.9549563921591</v>
      </c>
      <c r="S7095" s="123"/>
      <c r="T7095" s="219">
        <f t="shared" si="4586"/>
        <v>1389.9549563921591</v>
      </c>
      <c r="U7095" s="87"/>
      <c r="V7095" s="47"/>
      <c r="W7095" s="48"/>
      <c r="X7095" s="48"/>
      <c r="Y7095" s="48"/>
      <c r="Z7095" s="135"/>
      <c r="AA7095" s="49"/>
      <c r="AB7095" s="50">
        <f t="shared" si="4587"/>
        <v>217.86127843137257</v>
      </c>
      <c r="AC7095" s="42">
        <f t="shared" si="4588"/>
        <v>6.3800000000000097</v>
      </c>
      <c r="AD7095" s="90">
        <f>AD7096+AD7106+AD7114</f>
        <v>1389.9549563921591</v>
      </c>
      <c r="AE7095" s="188">
        <f t="shared" ref="AE7095" si="5043">AE7096+AE7106+AE7114</f>
        <v>0</v>
      </c>
      <c r="AF7095" s="189">
        <f t="shared" ref="AF7095" si="5044">AF7096+AF7106+AF7114</f>
        <v>0</v>
      </c>
      <c r="AG7095" s="189">
        <f t="shared" ref="AG7095" si="5045">AG7096+AG7106+AG7114</f>
        <v>0</v>
      </c>
      <c r="AH7095" s="189">
        <f t="shared" ref="AH7095" si="5046">AH7096+AH7106+AH7114</f>
        <v>0</v>
      </c>
      <c r="AI7095" s="161">
        <f t="shared" ref="AI7095:AI7096" si="5047">SUM(AE7095:AH7095)</f>
        <v>0</v>
      </c>
      <c r="AK7095" s="169">
        <v>5</v>
      </c>
      <c r="AO7095" s="19" t="s">
        <v>63</v>
      </c>
    </row>
    <row r="7096" spans="1:41" s="103" customFormat="1" ht="19.899999999999999" customHeight="1" x14ac:dyDescent="0.25">
      <c r="A7096" s="51"/>
      <c r="B7096" s="52"/>
      <c r="C7096" s="165"/>
      <c r="D7096" s="52"/>
      <c r="E7096" s="115"/>
      <c r="F7096" s="58"/>
      <c r="G7096" s="58"/>
      <c r="H7096" s="58"/>
      <c r="I7096" s="55"/>
      <c r="J7096" s="113">
        <f>J7095</f>
        <v>6.3800000000000097</v>
      </c>
      <c r="K7096" s="212">
        <f>K7095</f>
        <v>6.3800000000000097</v>
      </c>
      <c r="L7096" s="58"/>
      <c r="M7096" s="58">
        <f>K7096-L7096</f>
        <v>6.3800000000000097</v>
      </c>
      <c r="N7096" s="166"/>
      <c r="O7096" s="58"/>
      <c r="P7096" s="58"/>
      <c r="Q7096" s="58"/>
      <c r="R7096" s="58"/>
      <c r="S7096" s="58"/>
      <c r="T7096" s="220"/>
      <c r="U7096" s="88"/>
      <c r="V7096" s="56"/>
      <c r="W7096" s="57" t="s">
        <v>1053</v>
      </c>
      <c r="X7096" s="53"/>
      <c r="Y7096" s="91" t="s">
        <v>68</v>
      </c>
      <c r="Z7096" s="136">
        <f>AD7096/AC7096</f>
        <v>79.277945098039211</v>
      </c>
      <c r="AA7096" s="58"/>
      <c r="AB7096" s="53">
        <f>AD7096/AC7096</f>
        <v>79.277945098039211</v>
      </c>
      <c r="AC7096" s="53">
        <f>M7096+$AE$10</f>
        <v>6.3800000000000097</v>
      </c>
      <c r="AD7096" s="54">
        <f>SUM(AD7097:AD7105)</f>
        <v>505.79328972549098</v>
      </c>
      <c r="AE7096" s="184">
        <f>SUMIFS($AD$37:$AD$12971,$V$37:$V$12971,$V7096,$X$37:$X$12971,AE$13)</f>
        <v>0</v>
      </c>
      <c r="AF7096" s="185">
        <f>SUMIFS($AD$37:$AD$12971,$V$37:$V$12971,$V7096,$X$37:$X$12971,AF$13)</f>
        <v>0</v>
      </c>
      <c r="AG7096" s="185">
        <f>SUMIFS($AD$37:$AD$12971,$V$37:$V$12971,$V7096,$X$37:$X$12971,AG$13)</f>
        <v>0</v>
      </c>
      <c r="AH7096" s="187">
        <f>SUMIFS($AD$37:$AD$12971,$V$37:$V$12971,$V7096,$X$37:$X$12971,AH$13)</f>
        <v>0</v>
      </c>
      <c r="AI7096" s="161">
        <f t="shared" si="5047"/>
        <v>0</v>
      </c>
      <c r="AK7096" s="172"/>
    </row>
    <row r="7097" spans="1:41" s="102" customFormat="1" ht="19.899999999999999" customHeight="1" x14ac:dyDescent="0.25">
      <c r="A7097" s="45"/>
      <c r="B7097" s="59"/>
      <c r="C7097" s="137"/>
      <c r="D7097" s="59"/>
      <c r="E7097" s="116"/>
      <c r="F7097" s="120"/>
      <c r="G7097" s="120"/>
      <c r="H7097" s="120"/>
      <c r="I7097" s="60"/>
      <c r="J7097" s="116"/>
      <c r="K7097" s="213"/>
      <c r="L7097" s="120"/>
      <c r="M7097" s="120"/>
      <c r="N7097" s="167"/>
      <c r="O7097" s="120"/>
      <c r="P7097" s="120"/>
      <c r="Q7097" s="120"/>
      <c r="R7097" s="120"/>
      <c r="S7097" s="120"/>
      <c r="T7097" s="221"/>
      <c r="U7097" s="89"/>
      <c r="V7097" s="61"/>
      <c r="W7097" s="92" t="s">
        <v>129</v>
      </c>
      <c r="X7097" s="93" t="s">
        <v>29</v>
      </c>
      <c r="Y7097" s="93" t="s">
        <v>93</v>
      </c>
      <c r="Z7097" s="134">
        <f>VLOOKUP(W7097,Sheet2!$B:$D,3,FALSE)</f>
        <v>56</v>
      </c>
      <c r="AA7097" s="93">
        <f>100/(1*4)</f>
        <v>25</v>
      </c>
      <c r="AB7097" s="93">
        <f t="shared" ref="AB7097" si="5048">AD7097/AC7096</f>
        <v>2.2399999999999998</v>
      </c>
      <c r="AC7097" s="93">
        <f>AC7096/AA7097</f>
        <v>0.25520000000000037</v>
      </c>
      <c r="AD7097" s="94">
        <f t="shared" ref="AD7097:AD7098" si="5049">AC7097*Z7097</f>
        <v>14.291200000000021</v>
      </c>
      <c r="AE7097" s="190"/>
      <c r="AF7097" s="191"/>
      <c r="AG7097" s="191"/>
      <c r="AH7097" s="191"/>
      <c r="AI7097" s="186"/>
      <c r="AK7097" s="171"/>
    </row>
    <row r="7098" spans="1:41" s="102" customFormat="1" ht="19.899999999999999" customHeight="1" x14ac:dyDescent="0.25">
      <c r="A7098" s="45"/>
      <c r="B7098" s="59"/>
      <c r="C7098" s="137"/>
      <c r="D7098" s="59"/>
      <c r="E7098" s="116"/>
      <c r="F7098" s="120"/>
      <c r="G7098" s="120"/>
      <c r="H7098" s="120"/>
      <c r="I7098" s="60"/>
      <c r="J7098" s="116"/>
      <c r="K7098" s="213"/>
      <c r="L7098" s="120"/>
      <c r="M7098" s="120"/>
      <c r="N7098" s="167"/>
      <c r="O7098" s="120"/>
      <c r="P7098" s="120"/>
      <c r="Q7098" s="120"/>
      <c r="R7098" s="120"/>
      <c r="S7098" s="120"/>
      <c r="T7098" s="221"/>
      <c r="U7098" s="89"/>
      <c r="V7098" s="61"/>
      <c r="W7098" s="92" t="s">
        <v>65</v>
      </c>
      <c r="X7098" s="93" t="s">
        <v>30</v>
      </c>
      <c r="Y7098" s="93" t="s">
        <v>1011</v>
      </c>
      <c r="Z7098" s="134">
        <f>VLOOKUP(W7098,Sheet2!$B:$D,3,FALSE)</f>
        <v>1.76</v>
      </c>
      <c r="AA7098" s="93">
        <f>AA7097/14</f>
        <v>1.7857142857142858</v>
      </c>
      <c r="AB7098" s="93">
        <f>AD7098/AC7096</f>
        <v>0.98559999999999992</v>
      </c>
      <c r="AC7098" s="93">
        <f>AC7096/AA7098</f>
        <v>3.5728000000000053</v>
      </c>
      <c r="AD7098" s="94">
        <f t="shared" si="5049"/>
        <v>6.2881280000000093</v>
      </c>
      <c r="AE7098" s="190"/>
      <c r="AF7098" s="191"/>
      <c r="AG7098" s="191"/>
      <c r="AH7098" s="191"/>
      <c r="AI7098" s="186"/>
      <c r="AK7098" s="171"/>
    </row>
    <row r="7099" spans="1:41" s="102" customFormat="1" ht="19.899999999999999" customHeight="1" x14ac:dyDescent="0.25">
      <c r="A7099" s="45"/>
      <c r="B7099" s="59"/>
      <c r="C7099" s="137"/>
      <c r="D7099" s="59"/>
      <c r="E7099" s="116"/>
      <c r="F7099" s="120"/>
      <c r="G7099" s="120"/>
      <c r="H7099" s="120"/>
      <c r="I7099" s="60"/>
      <c r="J7099" s="116"/>
      <c r="K7099" s="213"/>
      <c r="L7099" s="120"/>
      <c r="M7099" s="120"/>
      <c r="N7099" s="167"/>
      <c r="O7099" s="120"/>
      <c r="P7099" s="120"/>
      <c r="Q7099" s="120"/>
      <c r="R7099" s="120"/>
      <c r="S7099" s="120"/>
      <c r="T7099" s="221"/>
      <c r="U7099" s="89"/>
      <c r="V7099" s="61"/>
      <c r="W7099" s="92" t="s">
        <v>161</v>
      </c>
      <c r="X7099" s="93" t="s">
        <v>29</v>
      </c>
      <c r="Y7099" s="93" t="s">
        <v>93</v>
      </c>
      <c r="Z7099" s="134">
        <f>VLOOKUP(W7099,Sheet2!$B:$D,3,FALSE)</f>
        <v>48</v>
      </c>
      <c r="AA7099" s="93">
        <f>(16*0.85*1.5)/(1*4)</f>
        <v>5.0999999999999996</v>
      </c>
      <c r="AB7099" s="93">
        <f>AD7099/AC7096</f>
        <v>9.411764705882355</v>
      </c>
      <c r="AC7099" s="93">
        <f>AC7096/AA7099</f>
        <v>1.2509803921568647</v>
      </c>
      <c r="AD7099" s="94">
        <f>AC7099*Z7099</f>
        <v>60.047058823529511</v>
      </c>
      <c r="AE7099" s="190"/>
      <c r="AF7099" s="191"/>
      <c r="AG7099" s="191"/>
      <c r="AH7099" s="191"/>
      <c r="AI7099" s="186"/>
      <c r="AK7099" s="171"/>
    </row>
    <row r="7100" spans="1:41" s="102" customFormat="1" ht="19.899999999999999" customHeight="1" x14ac:dyDescent="0.25">
      <c r="A7100" s="45"/>
      <c r="B7100" s="59"/>
      <c r="C7100" s="137"/>
      <c r="D7100" s="59"/>
      <c r="E7100" s="116"/>
      <c r="F7100" s="120"/>
      <c r="G7100" s="120"/>
      <c r="H7100" s="120"/>
      <c r="I7100" s="60"/>
      <c r="J7100" s="116"/>
      <c r="K7100" s="213"/>
      <c r="L7100" s="120"/>
      <c r="M7100" s="120"/>
      <c r="N7100" s="167"/>
      <c r="O7100" s="120"/>
      <c r="P7100" s="120"/>
      <c r="Q7100" s="120"/>
      <c r="R7100" s="120"/>
      <c r="S7100" s="120"/>
      <c r="T7100" s="221"/>
      <c r="U7100" s="89"/>
      <c r="V7100" s="61"/>
      <c r="W7100" s="92" t="s">
        <v>65</v>
      </c>
      <c r="X7100" s="93" t="s">
        <v>30</v>
      </c>
      <c r="Y7100" s="93" t="s">
        <v>1011</v>
      </c>
      <c r="Z7100" s="134">
        <f>VLOOKUP(W7100,Sheet2!$B:$D,3,FALSE)</f>
        <v>1.76</v>
      </c>
      <c r="AA7100" s="93">
        <f>AA7099/10</f>
        <v>0.51</v>
      </c>
      <c r="AB7100" s="93">
        <f>AD7100/AC7096</f>
        <v>3.4509803921568629</v>
      </c>
      <c r="AC7100" s="93">
        <f>AC7096/AA7100</f>
        <v>12.509803921568647</v>
      </c>
      <c r="AD7100" s="94">
        <f>AC7100*Z7100</f>
        <v>22.017254901960818</v>
      </c>
      <c r="AE7100" s="190"/>
      <c r="AF7100" s="191"/>
      <c r="AG7100" s="191"/>
      <c r="AH7100" s="191"/>
      <c r="AI7100" s="186"/>
      <c r="AK7100" s="171"/>
    </row>
    <row r="7101" spans="1:41" s="102" customFormat="1" ht="19.899999999999999" customHeight="1" x14ac:dyDescent="0.25">
      <c r="A7101" s="45"/>
      <c r="B7101" s="59"/>
      <c r="C7101" s="137"/>
      <c r="D7101" s="59"/>
      <c r="E7101" s="116"/>
      <c r="F7101" s="120"/>
      <c r="G7101" s="120"/>
      <c r="H7101" s="120"/>
      <c r="I7101" s="60"/>
      <c r="J7101" s="116"/>
      <c r="K7101" s="213"/>
      <c r="L7101" s="120"/>
      <c r="M7101" s="120"/>
      <c r="N7101" s="167"/>
      <c r="O7101" s="120"/>
      <c r="P7101" s="120"/>
      <c r="Q7101" s="120"/>
      <c r="R7101" s="120"/>
      <c r="S7101" s="120"/>
      <c r="T7101" s="221"/>
      <c r="U7101" s="89"/>
      <c r="V7101" s="61"/>
      <c r="W7101" s="92" t="s">
        <v>1030</v>
      </c>
      <c r="X7101" s="93" t="s">
        <v>29</v>
      </c>
      <c r="Y7101" s="93" t="s">
        <v>93</v>
      </c>
      <c r="Z7101" s="134">
        <f>VLOOKUP(W7101,Sheet2!$B:$D,3,FALSE)</f>
        <v>23</v>
      </c>
      <c r="AA7101" s="93">
        <v>50</v>
      </c>
      <c r="AB7101" s="93">
        <f>AD7101/AC7096</f>
        <v>0.45999999999999996</v>
      </c>
      <c r="AC7101" s="93">
        <f>AC7096/AA7101</f>
        <v>0.12760000000000019</v>
      </c>
      <c r="AD7101" s="94">
        <f t="shared" ref="AD7101:AD7105" si="5050">AC7101*Z7101</f>
        <v>2.9348000000000041</v>
      </c>
      <c r="AE7101" s="190"/>
      <c r="AF7101" s="191"/>
      <c r="AG7101" s="191"/>
      <c r="AH7101" s="191"/>
      <c r="AI7101" s="186"/>
      <c r="AK7101" s="171"/>
    </row>
    <row r="7102" spans="1:41" s="102" customFormat="1" ht="19.899999999999999" customHeight="1" x14ac:dyDescent="0.25">
      <c r="A7102" s="45"/>
      <c r="B7102" s="59"/>
      <c r="C7102" s="137"/>
      <c r="D7102" s="59"/>
      <c r="E7102" s="116"/>
      <c r="F7102" s="120"/>
      <c r="G7102" s="120"/>
      <c r="H7102" s="120"/>
      <c r="I7102" s="60"/>
      <c r="J7102" s="116"/>
      <c r="K7102" s="213"/>
      <c r="L7102" s="120"/>
      <c r="M7102" s="120"/>
      <c r="N7102" s="167"/>
      <c r="O7102" s="120"/>
      <c r="P7102" s="120"/>
      <c r="Q7102" s="120"/>
      <c r="R7102" s="120"/>
      <c r="S7102" s="120"/>
      <c r="T7102" s="221"/>
      <c r="U7102" s="89"/>
      <c r="V7102" s="61"/>
      <c r="W7102" s="92" t="s">
        <v>65</v>
      </c>
      <c r="X7102" s="93" t="s">
        <v>30</v>
      </c>
      <c r="Y7102" s="93" t="s">
        <v>1011</v>
      </c>
      <c r="Z7102" s="134">
        <f>VLOOKUP(W7102,Sheet2!$B:$D,3,FALSE)</f>
        <v>1.76</v>
      </c>
      <c r="AA7102" s="93">
        <f>AA7101/3</f>
        <v>16.666666666666668</v>
      </c>
      <c r="AB7102" s="93">
        <f>AD7102/AC7096</f>
        <v>0.10559999999999997</v>
      </c>
      <c r="AC7102" s="93">
        <f>AC7096/AA7102</f>
        <v>0.38280000000000053</v>
      </c>
      <c r="AD7102" s="94">
        <f t="shared" si="5050"/>
        <v>0.67372800000000088</v>
      </c>
      <c r="AE7102" s="190"/>
      <c r="AF7102" s="191"/>
      <c r="AG7102" s="191"/>
      <c r="AH7102" s="191"/>
      <c r="AI7102" s="186"/>
      <c r="AK7102" s="171"/>
    </row>
    <row r="7103" spans="1:41" s="102" customFormat="1" ht="19.899999999999999" customHeight="1" x14ac:dyDescent="0.25">
      <c r="A7103" s="45"/>
      <c r="B7103" s="59"/>
      <c r="C7103" s="137"/>
      <c r="D7103" s="59"/>
      <c r="E7103" s="116"/>
      <c r="F7103" s="120"/>
      <c r="G7103" s="120"/>
      <c r="H7103" s="120"/>
      <c r="I7103" s="60"/>
      <c r="J7103" s="116"/>
      <c r="K7103" s="213"/>
      <c r="L7103" s="120"/>
      <c r="M7103" s="120"/>
      <c r="N7103" s="167"/>
      <c r="O7103" s="120"/>
      <c r="P7103" s="120"/>
      <c r="Q7103" s="120"/>
      <c r="R7103" s="120"/>
      <c r="S7103" s="120"/>
      <c r="T7103" s="221"/>
      <c r="U7103" s="89"/>
      <c r="V7103" s="61"/>
      <c r="W7103" s="92" t="s">
        <v>148</v>
      </c>
      <c r="X7103" s="93" t="s">
        <v>29</v>
      </c>
      <c r="Y7103" s="93" t="s">
        <v>93</v>
      </c>
      <c r="Z7103" s="134">
        <f>VLOOKUP(W7103,Sheet2!$B:$D,3,FALSE)</f>
        <v>48</v>
      </c>
      <c r="AA7103" s="93">
        <f>AA7097</f>
        <v>25</v>
      </c>
      <c r="AB7103" s="93">
        <f>AD7103/AC7096</f>
        <v>1.92</v>
      </c>
      <c r="AC7103" s="93">
        <f>AC7096/AA7103</f>
        <v>0.25520000000000037</v>
      </c>
      <c r="AD7103" s="94">
        <f t="shared" si="5050"/>
        <v>12.249600000000019</v>
      </c>
      <c r="AE7103" s="190"/>
      <c r="AF7103" s="191"/>
      <c r="AG7103" s="191"/>
      <c r="AH7103" s="191"/>
      <c r="AI7103" s="186"/>
      <c r="AK7103" s="171"/>
    </row>
    <row r="7104" spans="1:41" s="102" customFormat="1" ht="19.899999999999999" customHeight="1" x14ac:dyDescent="0.25">
      <c r="A7104" s="45"/>
      <c r="B7104" s="59"/>
      <c r="C7104" s="137"/>
      <c r="D7104" s="59"/>
      <c r="E7104" s="116"/>
      <c r="F7104" s="120"/>
      <c r="G7104" s="120"/>
      <c r="H7104" s="120"/>
      <c r="I7104" s="60"/>
      <c r="J7104" s="116"/>
      <c r="K7104" s="213"/>
      <c r="L7104" s="120"/>
      <c r="M7104" s="120"/>
      <c r="N7104" s="167"/>
      <c r="O7104" s="120"/>
      <c r="P7104" s="120"/>
      <c r="Q7104" s="120"/>
      <c r="R7104" s="120"/>
      <c r="S7104" s="120"/>
      <c r="T7104" s="221"/>
      <c r="U7104" s="89"/>
      <c r="V7104" s="61"/>
      <c r="W7104" s="92" t="s">
        <v>65</v>
      </c>
      <c r="X7104" s="93" t="s">
        <v>30</v>
      </c>
      <c r="Y7104" s="93" t="s">
        <v>1011</v>
      </c>
      <c r="Z7104" s="134">
        <f>VLOOKUP(W7104,Sheet2!$B:$D,3,FALSE)</f>
        <v>1.76</v>
      </c>
      <c r="AA7104" s="93">
        <f>AA7103/10</f>
        <v>2.5</v>
      </c>
      <c r="AB7104" s="93">
        <f>AD7104/AC7096</f>
        <v>0.70400000000000007</v>
      </c>
      <c r="AC7104" s="93">
        <f>AC7096/AA7104</f>
        <v>2.552000000000004</v>
      </c>
      <c r="AD7104" s="94">
        <f t="shared" si="5050"/>
        <v>4.4915200000000075</v>
      </c>
      <c r="AE7104" s="190"/>
      <c r="AF7104" s="191"/>
      <c r="AG7104" s="191"/>
      <c r="AH7104" s="191"/>
      <c r="AI7104" s="186"/>
      <c r="AK7104" s="171"/>
    </row>
    <row r="7105" spans="1:41" s="102" customFormat="1" ht="19.899999999999999" customHeight="1" x14ac:dyDescent="0.25">
      <c r="A7105" s="45"/>
      <c r="B7105" s="59"/>
      <c r="C7105" s="137"/>
      <c r="D7105" s="59"/>
      <c r="E7105" s="116"/>
      <c r="F7105" s="120"/>
      <c r="G7105" s="120"/>
      <c r="H7105" s="120"/>
      <c r="I7105" s="60"/>
      <c r="J7105" s="116"/>
      <c r="K7105" s="213"/>
      <c r="L7105" s="120"/>
      <c r="M7105" s="120"/>
      <c r="N7105" s="167"/>
      <c r="O7105" s="120"/>
      <c r="P7105" s="120"/>
      <c r="Q7105" s="120"/>
      <c r="R7105" s="120"/>
      <c r="S7105" s="120"/>
      <c r="T7105" s="221"/>
      <c r="U7105" s="89"/>
      <c r="V7105" s="61"/>
      <c r="W7105" s="92" t="s">
        <v>1049</v>
      </c>
      <c r="X7105" s="93" t="s">
        <v>30</v>
      </c>
      <c r="Y7105" s="93" t="s">
        <v>68</v>
      </c>
      <c r="Z7105" s="134">
        <f>VLOOKUP(W7105,Sheet2!$B:$D,3,FALSE)</f>
        <v>60</v>
      </c>
      <c r="AA7105" s="93">
        <v>1</v>
      </c>
      <c r="AB7105" s="93">
        <f>AD7105/AC7096</f>
        <v>60</v>
      </c>
      <c r="AC7105" s="93">
        <f>AC7096/AA7105</f>
        <v>6.3800000000000097</v>
      </c>
      <c r="AD7105" s="94">
        <f t="shared" si="5050"/>
        <v>382.80000000000058</v>
      </c>
      <c r="AE7105" s="190"/>
      <c r="AF7105" s="191"/>
      <c r="AG7105" s="191"/>
      <c r="AH7105" s="191"/>
      <c r="AI7105" s="186"/>
      <c r="AK7105" s="171"/>
    </row>
    <row r="7106" spans="1:41" s="103" customFormat="1" ht="19.899999999999999" customHeight="1" x14ac:dyDescent="0.25">
      <c r="A7106" s="51"/>
      <c r="B7106" s="52"/>
      <c r="C7106" s="165"/>
      <c r="D7106" s="52"/>
      <c r="E7106" s="115"/>
      <c r="F7106" s="58"/>
      <c r="G7106" s="58"/>
      <c r="H7106" s="58"/>
      <c r="I7106" s="55"/>
      <c r="J7106" s="113">
        <f>J7095</f>
        <v>6.3800000000000097</v>
      </c>
      <c r="K7106" s="212">
        <f>K7095</f>
        <v>6.3800000000000097</v>
      </c>
      <c r="L7106" s="58"/>
      <c r="M7106" s="58">
        <f>K7106-L7106</f>
        <v>6.3800000000000097</v>
      </c>
      <c r="N7106" s="166"/>
      <c r="O7106" s="58"/>
      <c r="P7106" s="58"/>
      <c r="Q7106" s="58"/>
      <c r="R7106" s="58"/>
      <c r="S7106" s="58"/>
      <c r="T7106" s="220"/>
      <c r="U7106" s="88"/>
      <c r="V7106" s="56"/>
      <c r="W7106" s="57" t="s">
        <v>1036</v>
      </c>
      <c r="X7106" s="53"/>
      <c r="Y7106" s="91" t="s">
        <v>68</v>
      </c>
      <c r="Z7106" s="136">
        <f>AD7106/AC7106</f>
        <v>133.58333333333334</v>
      </c>
      <c r="AA7106" s="58"/>
      <c r="AB7106" s="53">
        <f>AD7106/AC7106</f>
        <v>133.58333333333334</v>
      </c>
      <c r="AC7106" s="53">
        <f>M7106+$AE$10</f>
        <v>6.3800000000000097</v>
      </c>
      <c r="AD7106" s="54">
        <f>SUM(AD7107:AD7113)</f>
        <v>852.26166666666802</v>
      </c>
      <c r="AE7106" s="184">
        <f>SUMIFS($AD$37:$AD$12971,$V$37:$V$12971,$V7106,$X$37:$X$12971,AE$13)</f>
        <v>0</v>
      </c>
      <c r="AF7106" s="185">
        <f>SUMIFS($AD$37:$AD$12971,$V$37:$V$12971,$V7106,$X$37:$X$12971,AF$13)</f>
        <v>0</v>
      </c>
      <c r="AG7106" s="185">
        <f>SUMIFS($AD$37:$AD$12971,$V$37:$V$12971,$V7106,$X$37:$X$12971,AG$13)</f>
        <v>0</v>
      </c>
      <c r="AH7106" s="187">
        <f>SUMIFS($AD$37:$AD$12971,$V$37:$V$12971,$V7106,$X$37:$X$12971,AH$13)</f>
        <v>0</v>
      </c>
      <c r="AI7106" s="161">
        <f t="shared" ref="AI7106" si="5051">SUM(AE7106:AH7106)</f>
        <v>0</v>
      </c>
      <c r="AK7106" s="172"/>
    </row>
    <row r="7107" spans="1:41" s="102" customFormat="1" ht="19.899999999999999" customHeight="1" x14ac:dyDescent="0.25">
      <c r="A7107" s="45"/>
      <c r="B7107" s="59"/>
      <c r="C7107" s="137"/>
      <c r="D7107" s="59"/>
      <c r="E7107" s="116"/>
      <c r="F7107" s="120"/>
      <c r="G7107" s="120"/>
      <c r="H7107" s="120"/>
      <c r="I7107" s="60"/>
      <c r="J7107" s="116"/>
      <c r="K7107" s="213"/>
      <c r="L7107" s="120"/>
      <c r="M7107" s="120"/>
      <c r="N7107" s="167"/>
      <c r="O7107" s="120"/>
      <c r="P7107" s="120"/>
      <c r="Q7107" s="120"/>
      <c r="R7107" s="120"/>
      <c r="S7107" s="120"/>
      <c r="T7107" s="221"/>
      <c r="U7107" s="89"/>
      <c r="V7107" s="61"/>
      <c r="W7107" s="92" t="s">
        <v>1044</v>
      </c>
      <c r="X7107" s="93" t="s">
        <v>30</v>
      </c>
      <c r="Y7107" s="93" t="s">
        <v>68</v>
      </c>
      <c r="Z7107" s="134">
        <f>VLOOKUP(W7107,Sheet2!$B:$D,3,FALSE)</f>
        <v>80</v>
      </c>
      <c r="AA7107" s="93">
        <v>1</v>
      </c>
      <c r="AB7107" s="93">
        <f>AD7107/AC7106</f>
        <v>80</v>
      </c>
      <c r="AC7107" s="93">
        <f>AC7106/AA7107</f>
        <v>6.3800000000000097</v>
      </c>
      <c r="AD7107" s="94">
        <f t="shared" ref="AD7107" si="5052">AC7107*Z7107</f>
        <v>510.40000000000077</v>
      </c>
      <c r="AE7107" s="190"/>
      <c r="AF7107" s="191"/>
      <c r="AG7107" s="191"/>
      <c r="AH7107" s="191"/>
      <c r="AI7107" s="186"/>
      <c r="AK7107" s="171"/>
    </row>
    <row r="7108" spans="1:41" s="102" customFormat="1" ht="19.899999999999999" customHeight="1" x14ac:dyDescent="0.25">
      <c r="A7108" s="45"/>
      <c r="B7108" s="59"/>
      <c r="C7108" s="137"/>
      <c r="D7108" s="59"/>
      <c r="E7108" s="116"/>
      <c r="F7108" s="120"/>
      <c r="G7108" s="120"/>
      <c r="H7108" s="120"/>
      <c r="I7108" s="60"/>
      <c r="J7108" s="116"/>
      <c r="K7108" s="213"/>
      <c r="L7108" s="120"/>
      <c r="M7108" s="120"/>
      <c r="N7108" s="167"/>
      <c r="O7108" s="120"/>
      <c r="P7108" s="120"/>
      <c r="Q7108" s="120"/>
      <c r="R7108" s="120"/>
      <c r="S7108" s="120"/>
      <c r="T7108" s="221"/>
      <c r="U7108" s="89"/>
      <c r="V7108" s="61"/>
      <c r="W7108" s="92" t="s">
        <v>1046</v>
      </c>
      <c r="X7108" s="93" t="s">
        <v>30</v>
      </c>
      <c r="Y7108" s="93" t="s">
        <v>68</v>
      </c>
      <c r="Z7108" s="134">
        <f>VLOOKUP(W7108,Sheet2!$B:$D,3,FALSE)</f>
        <v>8</v>
      </c>
      <c r="AA7108" s="93">
        <v>1</v>
      </c>
      <c r="AB7108" s="93">
        <f>AD7108/AC7106</f>
        <v>8</v>
      </c>
      <c r="AC7108" s="93">
        <f>AC7106/AA7108</f>
        <v>6.3800000000000097</v>
      </c>
      <c r="AD7108" s="94">
        <f>AC7108*Z7108</f>
        <v>51.040000000000077</v>
      </c>
      <c r="AE7108" s="190"/>
      <c r="AF7108" s="191"/>
      <c r="AG7108" s="191"/>
      <c r="AH7108" s="191"/>
      <c r="AI7108" s="186"/>
      <c r="AK7108" s="171"/>
    </row>
    <row r="7109" spans="1:41" s="102" customFormat="1" ht="19.899999999999999" customHeight="1" x14ac:dyDescent="0.25">
      <c r="A7109" s="45"/>
      <c r="B7109" s="59"/>
      <c r="C7109" s="137"/>
      <c r="D7109" s="59"/>
      <c r="E7109" s="116"/>
      <c r="F7109" s="120"/>
      <c r="G7109" s="120"/>
      <c r="H7109" s="120"/>
      <c r="I7109" s="60"/>
      <c r="J7109" s="116"/>
      <c r="K7109" s="213"/>
      <c r="L7109" s="120"/>
      <c r="M7109" s="120"/>
      <c r="N7109" s="167"/>
      <c r="O7109" s="120"/>
      <c r="P7109" s="120"/>
      <c r="Q7109" s="120"/>
      <c r="R7109" s="120"/>
      <c r="S7109" s="120"/>
      <c r="T7109" s="221"/>
      <c r="U7109" s="89"/>
      <c r="V7109" s="61"/>
      <c r="W7109" s="92" t="s">
        <v>107</v>
      </c>
      <c r="X7109" s="93" t="s">
        <v>31</v>
      </c>
      <c r="Y7109" s="93" t="s">
        <v>93</v>
      </c>
      <c r="Z7109" s="134">
        <f>VLOOKUP(W7109,Sheet2!$B:$D,3,FALSE)</f>
        <v>17</v>
      </c>
      <c r="AA7109" s="93">
        <v>6</v>
      </c>
      <c r="AB7109" s="93">
        <f>AD7109/AC7106</f>
        <v>2.8333333333333339</v>
      </c>
      <c r="AC7109" s="93">
        <f>AC7106/AA7109</f>
        <v>1.063333333333335</v>
      </c>
      <c r="AD7109" s="94">
        <f>AC7109*Z7109</f>
        <v>18.076666666666696</v>
      </c>
      <c r="AE7109" s="190"/>
      <c r="AF7109" s="191"/>
      <c r="AG7109" s="191"/>
      <c r="AH7109" s="191"/>
      <c r="AI7109" s="186"/>
      <c r="AK7109" s="171"/>
    </row>
    <row r="7110" spans="1:41" s="102" customFormat="1" ht="19.899999999999999" customHeight="1" x14ac:dyDescent="0.25">
      <c r="A7110" s="45"/>
      <c r="B7110" s="59"/>
      <c r="C7110" s="137"/>
      <c r="D7110" s="59"/>
      <c r="E7110" s="116"/>
      <c r="F7110" s="120"/>
      <c r="G7110" s="120"/>
      <c r="H7110" s="120"/>
      <c r="I7110" s="60"/>
      <c r="J7110" s="116"/>
      <c r="K7110" s="213"/>
      <c r="L7110" s="120"/>
      <c r="M7110" s="120"/>
      <c r="N7110" s="167"/>
      <c r="O7110" s="120"/>
      <c r="P7110" s="120"/>
      <c r="Q7110" s="120"/>
      <c r="R7110" s="120"/>
      <c r="S7110" s="120"/>
      <c r="T7110" s="221"/>
      <c r="U7110" s="89"/>
      <c r="V7110" s="61"/>
      <c r="W7110" s="92" t="s">
        <v>112</v>
      </c>
      <c r="X7110" s="93" t="s">
        <v>31</v>
      </c>
      <c r="Y7110" s="93" t="s">
        <v>93</v>
      </c>
      <c r="Z7110" s="134">
        <f>VLOOKUP(W7110,Sheet2!$B:$D,3,FALSE)</f>
        <v>13</v>
      </c>
      <c r="AA7110" s="93">
        <v>6</v>
      </c>
      <c r="AB7110" s="93">
        <f>AD7110/AC7106</f>
        <v>2.166666666666667</v>
      </c>
      <c r="AC7110" s="93">
        <f>AC7106/AA7110</f>
        <v>1.063333333333335</v>
      </c>
      <c r="AD7110" s="94">
        <f>AC7110*Z7110</f>
        <v>13.823333333333355</v>
      </c>
      <c r="AE7110" s="190"/>
      <c r="AF7110" s="191"/>
      <c r="AG7110" s="191"/>
      <c r="AH7110" s="191"/>
      <c r="AI7110" s="186"/>
      <c r="AK7110" s="171"/>
    </row>
    <row r="7111" spans="1:41" s="102" customFormat="1" ht="19.899999999999999" customHeight="1" x14ac:dyDescent="0.25">
      <c r="A7111" s="45"/>
      <c r="B7111" s="59"/>
      <c r="C7111" s="137"/>
      <c r="D7111" s="59"/>
      <c r="E7111" s="116"/>
      <c r="F7111" s="120"/>
      <c r="G7111" s="120"/>
      <c r="H7111" s="120"/>
      <c r="I7111" s="60"/>
      <c r="J7111" s="116"/>
      <c r="K7111" s="213"/>
      <c r="L7111" s="120"/>
      <c r="M7111" s="120"/>
      <c r="N7111" s="167"/>
      <c r="O7111" s="120"/>
      <c r="P7111" s="120"/>
      <c r="Q7111" s="120"/>
      <c r="R7111" s="120"/>
      <c r="S7111" s="120"/>
      <c r="T7111" s="221"/>
      <c r="U7111" s="89"/>
      <c r="V7111" s="61"/>
      <c r="W7111" s="92" t="s">
        <v>1032</v>
      </c>
      <c r="X7111" s="93" t="s">
        <v>30</v>
      </c>
      <c r="Y7111" s="93" t="s">
        <v>66</v>
      </c>
      <c r="Z7111" s="134">
        <f>VLOOKUP(W7111,Sheet2!$B:$D,3,FALSE)</f>
        <v>250</v>
      </c>
      <c r="AA7111" s="93">
        <f>1/(1*1*0.1)</f>
        <v>10</v>
      </c>
      <c r="AB7111" s="93">
        <f>AD7111/AC7106</f>
        <v>25.000000000000004</v>
      </c>
      <c r="AC7111" s="93">
        <f>AC7106/AA7111</f>
        <v>0.63800000000000101</v>
      </c>
      <c r="AD7111" s="94">
        <f>AC7111*Z7111</f>
        <v>159.50000000000026</v>
      </c>
      <c r="AE7111" s="190"/>
      <c r="AF7111" s="191"/>
      <c r="AG7111" s="191"/>
      <c r="AH7111" s="191"/>
      <c r="AI7111" s="186"/>
      <c r="AK7111" s="171"/>
    </row>
    <row r="7112" spans="1:41" s="102" customFormat="1" ht="19.899999999999999" customHeight="1" x14ac:dyDescent="0.25">
      <c r="A7112" s="45"/>
      <c r="B7112" s="59"/>
      <c r="C7112" s="137"/>
      <c r="D7112" s="59"/>
      <c r="E7112" s="116"/>
      <c r="F7112" s="120"/>
      <c r="G7112" s="120"/>
      <c r="H7112" s="120"/>
      <c r="I7112" s="60"/>
      <c r="J7112" s="116"/>
      <c r="K7112" s="213"/>
      <c r="L7112" s="120"/>
      <c r="M7112" s="120"/>
      <c r="N7112" s="167"/>
      <c r="O7112" s="120"/>
      <c r="P7112" s="120"/>
      <c r="Q7112" s="120"/>
      <c r="R7112" s="120"/>
      <c r="S7112" s="120"/>
      <c r="T7112" s="221"/>
      <c r="U7112" s="89"/>
      <c r="V7112" s="61"/>
      <c r="W7112" s="92" t="s">
        <v>1035</v>
      </c>
      <c r="X7112" s="93" t="s">
        <v>32</v>
      </c>
      <c r="Y7112" s="93" t="s">
        <v>66</v>
      </c>
      <c r="Z7112" s="134">
        <f>VLOOKUP(W7112,Sheet2!$B:$D,3,FALSE)</f>
        <v>150</v>
      </c>
      <c r="AA7112" s="93">
        <f>AA7111</f>
        <v>10</v>
      </c>
      <c r="AB7112" s="93">
        <f>AD7112/AC7106</f>
        <v>15</v>
      </c>
      <c r="AC7112" s="93">
        <f>AC7106/AA7112</f>
        <v>0.63800000000000101</v>
      </c>
      <c r="AD7112" s="94">
        <f t="shared" ref="AD7112:AD7113" si="5053">AC7112*Z7112</f>
        <v>95.700000000000145</v>
      </c>
      <c r="AE7112" s="190"/>
      <c r="AF7112" s="191"/>
      <c r="AG7112" s="191"/>
      <c r="AH7112" s="191"/>
      <c r="AI7112" s="186"/>
      <c r="AK7112" s="171"/>
    </row>
    <row r="7113" spans="1:41" s="102" customFormat="1" ht="19.899999999999999" customHeight="1" x14ac:dyDescent="0.25">
      <c r="A7113" s="45"/>
      <c r="B7113" s="59"/>
      <c r="C7113" s="137"/>
      <c r="D7113" s="59"/>
      <c r="E7113" s="116"/>
      <c r="F7113" s="120"/>
      <c r="G7113" s="120"/>
      <c r="H7113" s="120"/>
      <c r="I7113" s="60"/>
      <c r="J7113" s="116"/>
      <c r="K7113" s="213"/>
      <c r="L7113" s="120"/>
      <c r="M7113" s="120"/>
      <c r="N7113" s="167"/>
      <c r="O7113" s="120"/>
      <c r="P7113" s="120"/>
      <c r="Q7113" s="120"/>
      <c r="R7113" s="120"/>
      <c r="S7113" s="120"/>
      <c r="T7113" s="221"/>
      <c r="U7113" s="89"/>
      <c r="V7113" s="61"/>
      <c r="W7113" s="92" t="s">
        <v>1037</v>
      </c>
      <c r="X7113" s="93" t="s">
        <v>30</v>
      </c>
      <c r="Y7113" s="93" t="s">
        <v>1038</v>
      </c>
      <c r="Z7113" s="134">
        <f>VLOOKUP(W7113,Sheet2!$B:$D,3,FALSE)</f>
        <v>175</v>
      </c>
      <c r="AA7113" s="93">
        <v>300</v>
      </c>
      <c r="AB7113" s="93">
        <f>AD7113/AC7106</f>
        <v>0.58333333333333326</v>
      </c>
      <c r="AC7113" s="93">
        <f>AC7106/AA7113</f>
        <v>2.1266666666666698E-2</v>
      </c>
      <c r="AD7113" s="94">
        <f t="shared" si="5053"/>
        <v>3.721666666666672</v>
      </c>
      <c r="AE7113" s="190"/>
      <c r="AF7113" s="191"/>
      <c r="AG7113" s="191"/>
      <c r="AH7113" s="191"/>
      <c r="AI7113" s="186"/>
      <c r="AK7113" s="171"/>
    </row>
    <row r="7114" spans="1:41" s="103" customFormat="1" ht="19.899999999999999" customHeight="1" x14ac:dyDescent="0.25">
      <c r="A7114" s="51"/>
      <c r="B7114" s="52"/>
      <c r="C7114" s="165"/>
      <c r="D7114" s="52"/>
      <c r="E7114" s="115"/>
      <c r="F7114" s="58"/>
      <c r="G7114" s="58"/>
      <c r="H7114" s="58"/>
      <c r="I7114" s="55"/>
      <c r="J7114" s="113">
        <f>J7095</f>
        <v>6.3800000000000097</v>
      </c>
      <c r="K7114" s="212">
        <f>K7095</f>
        <v>6.3800000000000097</v>
      </c>
      <c r="L7114" s="58"/>
      <c r="M7114" s="58">
        <f>K7114-L7114</f>
        <v>6.3800000000000097</v>
      </c>
      <c r="N7114" s="166"/>
      <c r="O7114" s="58"/>
      <c r="P7114" s="58"/>
      <c r="Q7114" s="58"/>
      <c r="R7114" s="58"/>
      <c r="S7114" s="58"/>
      <c r="T7114" s="220"/>
      <c r="U7114" s="88"/>
      <c r="V7114" s="56"/>
      <c r="W7114" s="57" t="s">
        <v>1040</v>
      </c>
      <c r="X7114" s="53"/>
      <c r="Y7114" s="91" t="s">
        <v>68</v>
      </c>
      <c r="Z7114" s="136">
        <f>AD7114/AC7114</f>
        <v>5</v>
      </c>
      <c r="AA7114" s="58"/>
      <c r="AB7114" s="53">
        <f>AD7114/AC7114</f>
        <v>5</v>
      </c>
      <c r="AC7114" s="53">
        <f>M7114+$AE$10</f>
        <v>6.3800000000000097</v>
      </c>
      <c r="AD7114" s="54">
        <f>SUM(AD7115)</f>
        <v>31.900000000000048</v>
      </c>
      <c r="AE7114" s="184">
        <f>SUMIFS($AD$37:$AD$12971,$V$37:$V$12971,$V7114,$X$37:$X$12971,AE$13)</f>
        <v>0</v>
      </c>
      <c r="AF7114" s="185">
        <f>SUMIFS($AD$37:$AD$12971,$V$37:$V$12971,$V7114,$X$37:$X$12971,AF$13)</f>
        <v>0</v>
      </c>
      <c r="AG7114" s="185">
        <f>SUMIFS($AD$37:$AD$12971,$V$37:$V$12971,$V7114,$X$37:$X$12971,AG$13)</f>
        <v>0</v>
      </c>
      <c r="AH7114" s="187">
        <f>SUMIFS($AD$37:$AD$12971,$V$37:$V$12971,$V7114,$X$37:$X$12971,AH$13)</f>
        <v>0</v>
      </c>
      <c r="AI7114" s="161">
        <f t="shared" ref="AI7114" si="5054">SUM(AE7114:AH7114)</f>
        <v>0</v>
      </c>
      <c r="AK7114" s="172"/>
    </row>
    <row r="7115" spans="1:41" s="102" customFormat="1" ht="19.899999999999999" customHeight="1" x14ac:dyDescent="0.25">
      <c r="A7115" s="45"/>
      <c r="B7115" s="59"/>
      <c r="C7115" s="137"/>
      <c r="D7115" s="59"/>
      <c r="E7115" s="116"/>
      <c r="F7115" s="120"/>
      <c r="G7115" s="120"/>
      <c r="H7115" s="120"/>
      <c r="I7115" s="60"/>
      <c r="J7115" s="116"/>
      <c r="K7115" s="213"/>
      <c r="L7115" s="120"/>
      <c r="M7115" s="120"/>
      <c r="N7115" s="167"/>
      <c r="O7115" s="120"/>
      <c r="P7115" s="120"/>
      <c r="Q7115" s="120"/>
      <c r="R7115" s="120"/>
      <c r="S7115" s="120"/>
      <c r="T7115" s="221"/>
      <c r="U7115" s="89"/>
      <c r="V7115" s="61"/>
      <c r="W7115" s="92" t="s">
        <v>1039</v>
      </c>
      <c r="X7115" s="93" t="s">
        <v>32</v>
      </c>
      <c r="Y7115" s="93" t="s">
        <v>68</v>
      </c>
      <c r="Z7115" s="134">
        <f>VLOOKUP(W7115,Sheet2!$B:$D,3,FALSE)</f>
        <v>5</v>
      </c>
      <c r="AA7115" s="93">
        <v>1</v>
      </c>
      <c r="AB7115" s="93">
        <f>AD7115/AC7114</f>
        <v>5</v>
      </c>
      <c r="AC7115" s="93">
        <f>AC7114/AA7115</f>
        <v>6.3800000000000097</v>
      </c>
      <c r="AD7115" s="94">
        <f t="shared" ref="AD7115" si="5055">AC7115*Z7115</f>
        <v>31.900000000000048</v>
      </c>
      <c r="AE7115" s="190"/>
      <c r="AF7115" s="191"/>
      <c r="AG7115" s="191"/>
      <c r="AH7115" s="191"/>
      <c r="AI7115" s="186"/>
      <c r="AK7115" s="171"/>
    </row>
    <row r="7116" spans="1:41" s="102" customFormat="1" ht="20.100000000000001" customHeight="1" x14ac:dyDescent="0.25">
      <c r="A7116" s="45"/>
      <c r="B7116" s="276"/>
      <c r="C7116" s="285" t="s">
        <v>704</v>
      </c>
      <c r="D7116" s="59"/>
      <c r="E7116" s="116"/>
      <c r="F7116" s="120"/>
      <c r="G7116" s="120"/>
      <c r="H7116" s="120"/>
      <c r="I7116" s="60"/>
      <c r="J7116" s="116"/>
      <c r="K7116" s="213"/>
      <c r="L7116" s="120"/>
      <c r="M7116" s="120"/>
      <c r="N7116" s="167"/>
      <c r="O7116" s="120"/>
      <c r="P7116" s="120"/>
      <c r="Q7116" s="120"/>
      <c r="R7116" s="120"/>
      <c r="S7116" s="120"/>
      <c r="T7116" s="221"/>
      <c r="U7116" s="89"/>
      <c r="V7116" s="61"/>
      <c r="W7116" s="92"/>
      <c r="X7116" s="38"/>
      <c r="Y7116" s="93"/>
      <c r="Z7116" s="134"/>
      <c r="AA7116" s="93"/>
      <c r="AB7116" s="93"/>
      <c r="AC7116" s="93"/>
      <c r="AD7116" s="94"/>
      <c r="AE7116" s="190"/>
      <c r="AF7116" s="191"/>
      <c r="AG7116" s="191"/>
      <c r="AH7116" s="191"/>
      <c r="AI7116" s="186"/>
      <c r="AK7116" s="171"/>
    </row>
    <row r="7117" spans="1:41" s="102" customFormat="1" ht="110.25" x14ac:dyDescent="0.25">
      <c r="A7117" s="45"/>
      <c r="B7117" s="276"/>
      <c r="C7117" s="285" t="s">
        <v>717</v>
      </c>
      <c r="D7117" s="59"/>
      <c r="E7117" s="116"/>
      <c r="F7117" s="120"/>
      <c r="G7117" s="120"/>
      <c r="H7117" s="120"/>
      <c r="I7117" s="60"/>
      <c r="J7117" s="116"/>
      <c r="K7117" s="213"/>
      <c r="L7117" s="120"/>
      <c r="M7117" s="120"/>
      <c r="N7117" s="167"/>
      <c r="O7117" s="120"/>
      <c r="P7117" s="120"/>
      <c r="Q7117" s="120"/>
      <c r="R7117" s="120"/>
      <c r="S7117" s="120"/>
      <c r="T7117" s="221"/>
      <c r="U7117" s="89"/>
      <c r="V7117" s="61"/>
      <c r="W7117" s="92"/>
      <c r="X7117" s="38"/>
      <c r="Y7117" s="93"/>
      <c r="Z7117" s="134"/>
      <c r="AA7117" s="93"/>
      <c r="AB7117" s="93"/>
      <c r="AC7117" s="93"/>
      <c r="AD7117" s="94"/>
      <c r="AE7117" s="190"/>
      <c r="AF7117" s="191"/>
      <c r="AG7117" s="191"/>
      <c r="AH7117" s="191"/>
      <c r="AI7117" s="186"/>
      <c r="AK7117" s="171"/>
    </row>
    <row r="7118" spans="1:41" ht="20.100000000000001" customHeight="1" x14ac:dyDescent="0.25">
      <c r="A7118" s="277" t="s">
        <v>703</v>
      </c>
      <c r="B7118" s="278"/>
      <c r="C7118" s="64" t="s">
        <v>718</v>
      </c>
      <c r="D7118" s="46" t="s">
        <v>97</v>
      </c>
      <c r="E7118" s="114">
        <v>22.499999999999986</v>
      </c>
      <c r="F7118" s="44">
        <v>386</v>
      </c>
      <c r="G7118" s="44">
        <f t="shared" si="4575"/>
        <v>8684.9999999999945</v>
      </c>
      <c r="H7118" s="44">
        <f t="shared" si="4576"/>
        <v>208.16606274509803</v>
      </c>
      <c r="I7118" s="43">
        <f t="shared" si="4577"/>
        <v>4683.736411764703</v>
      </c>
      <c r="J7118" s="112">
        <f t="shared" si="4578"/>
        <v>22.499999999999986</v>
      </c>
      <c r="K7118" s="211">
        <f t="shared" si="4579"/>
        <v>22.499999999999986</v>
      </c>
      <c r="L7118" s="44"/>
      <c r="M7118" s="44">
        <f t="shared" si="4580"/>
        <v>22.499999999999986</v>
      </c>
      <c r="N7118" s="173">
        <f t="shared" si="4581"/>
        <v>1</v>
      </c>
      <c r="O7118" s="44">
        <f t="shared" si="4582"/>
        <v>386</v>
      </c>
      <c r="P7118" s="44">
        <f t="shared" si="4583"/>
        <v>8684.9999999999945</v>
      </c>
      <c r="Q7118" s="44">
        <f t="shared" si="4584"/>
        <v>208.16606274509803</v>
      </c>
      <c r="R7118" s="44">
        <f t="shared" si="4585"/>
        <v>4683.736411764703</v>
      </c>
      <c r="S7118" s="123"/>
      <c r="T7118" s="219">
        <f t="shared" si="4586"/>
        <v>4683.736411764703</v>
      </c>
      <c r="U7118" s="87"/>
      <c r="V7118" s="47"/>
      <c r="W7118" s="48"/>
      <c r="X7118" s="48"/>
      <c r="Y7118" s="48"/>
      <c r="Z7118" s="135"/>
      <c r="AA7118" s="49"/>
      <c r="AB7118" s="50">
        <f t="shared" si="4587"/>
        <v>208.16606274509803</v>
      </c>
      <c r="AC7118" s="42">
        <f t="shared" si="4588"/>
        <v>22.499999999999986</v>
      </c>
      <c r="AD7118" s="90">
        <f>AD7119+AD7128+AD7135</f>
        <v>4683.736411764703</v>
      </c>
      <c r="AE7118" s="188">
        <f>AE7119+AE7128+AE7135</f>
        <v>0</v>
      </c>
      <c r="AF7118" s="189">
        <f>AF7119+AF7128+AF7135</f>
        <v>0</v>
      </c>
      <c r="AG7118" s="189">
        <f>AG7119+AG7128+AG7135</f>
        <v>0</v>
      </c>
      <c r="AH7118" s="189">
        <f>AH7119+AH7128+AH7135</f>
        <v>0</v>
      </c>
      <c r="AI7118" s="161">
        <f t="shared" ref="AI7118" si="5056">SUM(AE7118:AH7118)</f>
        <v>0</v>
      </c>
      <c r="AK7118" s="169">
        <v>5</v>
      </c>
      <c r="AO7118" s="19" t="s">
        <v>63</v>
      </c>
    </row>
    <row r="7119" spans="1:41" s="103" customFormat="1" ht="19.899999999999999" customHeight="1" x14ac:dyDescent="0.25">
      <c r="A7119" s="51"/>
      <c r="B7119" s="52"/>
      <c r="C7119" s="165"/>
      <c r="D7119" s="52"/>
      <c r="E7119" s="115"/>
      <c r="F7119" s="58"/>
      <c r="G7119" s="58"/>
      <c r="H7119" s="58"/>
      <c r="I7119" s="55"/>
      <c r="J7119" s="113">
        <f>J7118</f>
        <v>22.499999999999986</v>
      </c>
      <c r="K7119" s="212">
        <f>K7118</f>
        <v>22.499999999999986</v>
      </c>
      <c r="L7119" s="58"/>
      <c r="M7119" s="58">
        <f>K7119-L7119</f>
        <v>22.499999999999986</v>
      </c>
      <c r="N7119" s="166"/>
      <c r="O7119" s="58"/>
      <c r="P7119" s="58"/>
      <c r="Q7119" s="58"/>
      <c r="R7119" s="58"/>
      <c r="S7119" s="58"/>
      <c r="T7119" s="220"/>
      <c r="U7119" s="88"/>
      <c r="V7119" s="56"/>
      <c r="W7119" s="57" t="s">
        <v>1042</v>
      </c>
      <c r="X7119" s="53"/>
      <c r="Y7119" s="91" t="s">
        <v>68</v>
      </c>
      <c r="Z7119" s="136">
        <f>AD7119/AC7119</f>
        <v>7.5827294117647064</v>
      </c>
      <c r="AA7119" s="58"/>
      <c r="AB7119" s="53">
        <f>AD7119/AC7119</f>
        <v>7.5827294117647064</v>
      </c>
      <c r="AC7119" s="53">
        <f>M7119+$AE$10</f>
        <v>22.499999999999986</v>
      </c>
      <c r="AD7119" s="54">
        <f>SUM(AD7120:AD7127)</f>
        <v>170.61141176470579</v>
      </c>
      <c r="AE7119" s="184">
        <f>SUMIFS($AD$37:$AD$12971,$V$37:$V$12971,$V7119,$X$37:$X$12971,AE$13)</f>
        <v>0</v>
      </c>
      <c r="AF7119" s="185">
        <f>SUMIFS($AD$37:$AD$12971,$V$37:$V$12971,$V7119,$X$37:$X$12971,AF$13)</f>
        <v>0</v>
      </c>
      <c r="AG7119" s="185">
        <f>SUMIFS($AD$37:$AD$12971,$V$37:$V$12971,$V7119,$X$37:$X$12971,AG$13)</f>
        <v>0</v>
      </c>
      <c r="AH7119" s="187">
        <f>SUMIFS($AD$37:$AD$12971,$V$37:$V$12971,$V7119,$X$37:$X$12971,AH$13)</f>
        <v>0</v>
      </c>
      <c r="AI7119" s="161">
        <f t="shared" ref="AI7119" si="5057">SUM(AE7119:AH7119)</f>
        <v>0</v>
      </c>
      <c r="AK7119" s="172"/>
    </row>
    <row r="7120" spans="1:41" s="102" customFormat="1" ht="19.899999999999999" customHeight="1" x14ac:dyDescent="0.25">
      <c r="A7120" s="45"/>
      <c r="B7120" s="59"/>
      <c r="C7120" s="137"/>
      <c r="D7120" s="59"/>
      <c r="E7120" s="116"/>
      <c r="F7120" s="120"/>
      <c r="G7120" s="120"/>
      <c r="H7120" s="120"/>
      <c r="I7120" s="60"/>
      <c r="J7120" s="116"/>
      <c r="K7120" s="213"/>
      <c r="L7120" s="120"/>
      <c r="M7120" s="120"/>
      <c r="N7120" s="167"/>
      <c r="O7120" s="120"/>
      <c r="P7120" s="120"/>
      <c r="Q7120" s="120"/>
      <c r="R7120" s="120"/>
      <c r="S7120" s="120"/>
      <c r="T7120" s="221"/>
      <c r="U7120" s="89"/>
      <c r="V7120" s="61"/>
      <c r="W7120" s="92" t="s">
        <v>129</v>
      </c>
      <c r="X7120" s="93" t="s">
        <v>29</v>
      </c>
      <c r="Y7120" s="93" t="s">
        <v>93</v>
      </c>
      <c r="Z7120" s="134">
        <f>VLOOKUP(W7120,Sheet2!$B:$D,3,FALSE)</f>
        <v>56</v>
      </c>
      <c r="AA7120" s="93">
        <f>100/(1*1.5)</f>
        <v>66.666666666666671</v>
      </c>
      <c r="AB7120" s="93">
        <f t="shared" ref="AB7120" si="5058">AD7120/AC7119</f>
        <v>0.83999999999999986</v>
      </c>
      <c r="AC7120" s="93">
        <f>AC7119/AA7120</f>
        <v>0.33749999999999974</v>
      </c>
      <c r="AD7120" s="94">
        <f t="shared" ref="AD7120:AD7121" si="5059">AC7120*Z7120</f>
        <v>18.899999999999984</v>
      </c>
      <c r="AE7120" s="190"/>
      <c r="AF7120" s="191"/>
      <c r="AG7120" s="191"/>
      <c r="AH7120" s="191"/>
      <c r="AI7120" s="186"/>
      <c r="AK7120" s="171"/>
    </row>
    <row r="7121" spans="1:37" s="102" customFormat="1" ht="19.899999999999999" customHeight="1" x14ac:dyDescent="0.25">
      <c r="A7121" s="45"/>
      <c r="B7121" s="59"/>
      <c r="C7121" s="137"/>
      <c r="D7121" s="59"/>
      <c r="E7121" s="116"/>
      <c r="F7121" s="120"/>
      <c r="G7121" s="120"/>
      <c r="H7121" s="120"/>
      <c r="I7121" s="60"/>
      <c r="J7121" s="116"/>
      <c r="K7121" s="213"/>
      <c r="L7121" s="120"/>
      <c r="M7121" s="120"/>
      <c r="N7121" s="167"/>
      <c r="O7121" s="120"/>
      <c r="P7121" s="120"/>
      <c r="Q7121" s="120"/>
      <c r="R7121" s="120"/>
      <c r="S7121" s="120"/>
      <c r="T7121" s="221"/>
      <c r="U7121" s="89"/>
      <c r="V7121" s="61"/>
      <c r="W7121" s="92" t="s">
        <v>65</v>
      </c>
      <c r="X7121" s="93" t="s">
        <v>30</v>
      </c>
      <c r="Y7121" s="93" t="s">
        <v>1011</v>
      </c>
      <c r="Z7121" s="134">
        <f>VLOOKUP(W7121,Sheet2!$B:$D,3,FALSE)</f>
        <v>1.76</v>
      </c>
      <c r="AA7121" s="93">
        <f>AA7120/14</f>
        <v>4.7619047619047619</v>
      </c>
      <c r="AB7121" s="93">
        <f>AD7121/AC7119</f>
        <v>0.36960000000000004</v>
      </c>
      <c r="AC7121" s="93">
        <f>AC7119/AA7121</f>
        <v>4.724999999999997</v>
      </c>
      <c r="AD7121" s="94">
        <f t="shared" si="5059"/>
        <v>8.3159999999999954</v>
      </c>
      <c r="AE7121" s="190"/>
      <c r="AF7121" s="191"/>
      <c r="AG7121" s="191"/>
      <c r="AH7121" s="191"/>
      <c r="AI7121" s="186"/>
      <c r="AK7121" s="171"/>
    </row>
    <row r="7122" spans="1:37" s="102" customFormat="1" ht="19.899999999999999" customHeight="1" x14ac:dyDescent="0.25">
      <c r="A7122" s="45"/>
      <c r="B7122" s="59"/>
      <c r="C7122" s="137"/>
      <c r="D7122" s="59"/>
      <c r="E7122" s="116"/>
      <c r="F7122" s="120"/>
      <c r="G7122" s="120"/>
      <c r="H7122" s="120"/>
      <c r="I7122" s="60"/>
      <c r="J7122" s="116"/>
      <c r="K7122" s="213"/>
      <c r="L7122" s="120"/>
      <c r="M7122" s="120"/>
      <c r="N7122" s="167"/>
      <c r="O7122" s="120"/>
      <c r="P7122" s="120"/>
      <c r="Q7122" s="120"/>
      <c r="R7122" s="120"/>
      <c r="S7122" s="120"/>
      <c r="T7122" s="221"/>
      <c r="U7122" s="89"/>
      <c r="V7122" s="61"/>
      <c r="W7122" s="92" t="s">
        <v>161</v>
      </c>
      <c r="X7122" s="93" t="s">
        <v>29</v>
      </c>
      <c r="Y7122" s="93" t="s">
        <v>93</v>
      </c>
      <c r="Z7122" s="134">
        <f>VLOOKUP(W7122,Sheet2!$B:$D,3,FALSE)</f>
        <v>48</v>
      </c>
      <c r="AA7122" s="93">
        <f>(16*0.85*1.5)/(1*1.5)</f>
        <v>13.6</v>
      </c>
      <c r="AB7122" s="93">
        <f>AD7122/AC7119</f>
        <v>3.5294117647058822</v>
      </c>
      <c r="AC7122" s="93">
        <f>AC7119/AA7122</f>
        <v>1.6544117647058814</v>
      </c>
      <c r="AD7122" s="94">
        <f>AC7122*Z7122</f>
        <v>79.411764705882305</v>
      </c>
      <c r="AE7122" s="190"/>
      <c r="AF7122" s="191"/>
      <c r="AG7122" s="191"/>
      <c r="AH7122" s="191"/>
      <c r="AI7122" s="186"/>
      <c r="AK7122" s="171"/>
    </row>
    <row r="7123" spans="1:37" s="102" customFormat="1" ht="19.899999999999999" customHeight="1" x14ac:dyDescent="0.25">
      <c r="A7123" s="45"/>
      <c r="B7123" s="59"/>
      <c r="C7123" s="137"/>
      <c r="D7123" s="59"/>
      <c r="E7123" s="116"/>
      <c r="F7123" s="120"/>
      <c r="G7123" s="120"/>
      <c r="H7123" s="120"/>
      <c r="I7123" s="60"/>
      <c r="J7123" s="116"/>
      <c r="K7123" s="213"/>
      <c r="L7123" s="120"/>
      <c r="M7123" s="120"/>
      <c r="N7123" s="167"/>
      <c r="O7123" s="120"/>
      <c r="P7123" s="120"/>
      <c r="Q7123" s="120"/>
      <c r="R7123" s="120"/>
      <c r="S7123" s="120"/>
      <c r="T7123" s="221"/>
      <c r="U7123" s="89"/>
      <c r="V7123" s="61"/>
      <c r="W7123" s="92" t="s">
        <v>65</v>
      </c>
      <c r="X7123" s="93" t="s">
        <v>30</v>
      </c>
      <c r="Y7123" s="93" t="s">
        <v>1011</v>
      </c>
      <c r="Z7123" s="134">
        <f>VLOOKUP(W7123,Sheet2!$B:$D,3,FALSE)</f>
        <v>1.76</v>
      </c>
      <c r="AA7123" s="93">
        <f>AA7122/10</f>
        <v>1.3599999999999999</v>
      </c>
      <c r="AB7123" s="93">
        <f>AD7123/AC7119</f>
        <v>1.2941176470588236</v>
      </c>
      <c r="AC7123" s="93">
        <f>AC7119/AA7123</f>
        <v>16.544117647058815</v>
      </c>
      <c r="AD7123" s="94">
        <f>AC7123*Z7123</f>
        <v>29.117647058823515</v>
      </c>
      <c r="AE7123" s="190"/>
      <c r="AF7123" s="191"/>
      <c r="AG7123" s="191"/>
      <c r="AH7123" s="191"/>
      <c r="AI7123" s="186"/>
      <c r="AK7123" s="171"/>
    </row>
    <row r="7124" spans="1:37" s="102" customFormat="1" ht="19.899999999999999" customHeight="1" x14ac:dyDescent="0.25">
      <c r="A7124" s="45"/>
      <c r="B7124" s="59"/>
      <c r="C7124" s="137"/>
      <c r="D7124" s="59"/>
      <c r="E7124" s="116"/>
      <c r="F7124" s="120"/>
      <c r="G7124" s="120"/>
      <c r="H7124" s="120"/>
      <c r="I7124" s="60"/>
      <c r="J7124" s="116"/>
      <c r="K7124" s="213"/>
      <c r="L7124" s="120"/>
      <c r="M7124" s="120"/>
      <c r="N7124" s="167"/>
      <c r="O7124" s="120"/>
      <c r="P7124" s="120"/>
      <c r="Q7124" s="120"/>
      <c r="R7124" s="120"/>
      <c r="S7124" s="120"/>
      <c r="T7124" s="221"/>
      <c r="U7124" s="89"/>
      <c r="V7124" s="61"/>
      <c r="W7124" s="92" t="s">
        <v>1030</v>
      </c>
      <c r="X7124" s="93" t="s">
        <v>29</v>
      </c>
      <c r="Y7124" s="93" t="s">
        <v>93</v>
      </c>
      <c r="Z7124" s="134">
        <f>VLOOKUP(W7124,Sheet2!$B:$D,3,FALSE)</f>
        <v>23</v>
      </c>
      <c r="AA7124" s="93">
        <v>50</v>
      </c>
      <c r="AB7124" s="93">
        <f>AD7124/AC7119</f>
        <v>0.46</v>
      </c>
      <c r="AC7124" s="93">
        <f>AC7119/AA7124</f>
        <v>0.44999999999999973</v>
      </c>
      <c r="AD7124" s="94">
        <f t="shared" ref="AD7124:AD7127" si="5060">AC7124*Z7124</f>
        <v>10.349999999999994</v>
      </c>
      <c r="AE7124" s="190"/>
      <c r="AF7124" s="191"/>
      <c r="AG7124" s="191"/>
      <c r="AH7124" s="191"/>
      <c r="AI7124" s="186"/>
      <c r="AK7124" s="171"/>
    </row>
    <row r="7125" spans="1:37" s="102" customFormat="1" ht="19.899999999999999" customHeight="1" x14ac:dyDescent="0.25">
      <c r="A7125" s="45"/>
      <c r="B7125" s="59"/>
      <c r="C7125" s="137"/>
      <c r="D7125" s="59"/>
      <c r="E7125" s="116"/>
      <c r="F7125" s="120"/>
      <c r="G7125" s="120"/>
      <c r="H7125" s="120"/>
      <c r="I7125" s="60"/>
      <c r="J7125" s="116"/>
      <c r="K7125" s="213"/>
      <c r="L7125" s="120"/>
      <c r="M7125" s="120"/>
      <c r="N7125" s="167"/>
      <c r="O7125" s="120"/>
      <c r="P7125" s="120"/>
      <c r="Q7125" s="120"/>
      <c r="R7125" s="120"/>
      <c r="S7125" s="120"/>
      <c r="T7125" s="221"/>
      <c r="U7125" s="89"/>
      <c r="V7125" s="61"/>
      <c r="W7125" s="92" t="s">
        <v>65</v>
      </c>
      <c r="X7125" s="93" t="s">
        <v>30</v>
      </c>
      <c r="Y7125" s="93" t="s">
        <v>1011</v>
      </c>
      <c r="Z7125" s="134">
        <f>VLOOKUP(W7125,Sheet2!$B:$D,3,FALSE)</f>
        <v>1.76</v>
      </c>
      <c r="AA7125" s="93">
        <f>AA7124/3</f>
        <v>16.666666666666668</v>
      </c>
      <c r="AB7125" s="93">
        <f>AD7125/AC7119</f>
        <v>0.10559999999999999</v>
      </c>
      <c r="AC7125" s="93">
        <f>AC7119/AA7125</f>
        <v>1.349999999999999</v>
      </c>
      <c r="AD7125" s="94">
        <f t="shared" si="5060"/>
        <v>2.3759999999999981</v>
      </c>
      <c r="AE7125" s="190"/>
      <c r="AF7125" s="191"/>
      <c r="AG7125" s="191"/>
      <c r="AH7125" s="191"/>
      <c r="AI7125" s="186"/>
      <c r="AK7125" s="171"/>
    </row>
    <row r="7126" spans="1:37" s="102" customFormat="1" ht="19.899999999999999" customHeight="1" x14ac:dyDescent="0.25">
      <c r="A7126" s="45"/>
      <c r="B7126" s="59"/>
      <c r="C7126" s="137"/>
      <c r="D7126" s="59"/>
      <c r="E7126" s="116"/>
      <c r="F7126" s="120"/>
      <c r="G7126" s="120"/>
      <c r="H7126" s="120"/>
      <c r="I7126" s="60"/>
      <c r="J7126" s="116"/>
      <c r="K7126" s="213"/>
      <c r="L7126" s="120"/>
      <c r="M7126" s="120"/>
      <c r="N7126" s="167"/>
      <c r="O7126" s="120"/>
      <c r="P7126" s="120"/>
      <c r="Q7126" s="120"/>
      <c r="R7126" s="120"/>
      <c r="S7126" s="120"/>
      <c r="T7126" s="221"/>
      <c r="U7126" s="89"/>
      <c r="V7126" s="61"/>
      <c r="W7126" s="92" t="s">
        <v>148</v>
      </c>
      <c r="X7126" s="93" t="s">
        <v>29</v>
      </c>
      <c r="Y7126" s="93" t="s">
        <v>93</v>
      </c>
      <c r="Z7126" s="134">
        <f>VLOOKUP(W7126,Sheet2!$B:$D,3,FALSE)</f>
        <v>48</v>
      </c>
      <c r="AA7126" s="93">
        <f>AA7120</f>
        <v>66.666666666666671</v>
      </c>
      <c r="AB7126" s="93">
        <f>AD7126/AC7119</f>
        <v>0.72</v>
      </c>
      <c r="AC7126" s="93">
        <f>AC7119/AA7126</f>
        <v>0.33749999999999974</v>
      </c>
      <c r="AD7126" s="94">
        <f t="shared" si="5060"/>
        <v>16.199999999999989</v>
      </c>
      <c r="AE7126" s="190"/>
      <c r="AF7126" s="191"/>
      <c r="AG7126" s="191"/>
      <c r="AH7126" s="191"/>
      <c r="AI7126" s="186"/>
      <c r="AK7126" s="171"/>
    </row>
    <row r="7127" spans="1:37" s="102" customFormat="1" ht="19.899999999999999" customHeight="1" x14ac:dyDescent="0.25">
      <c r="A7127" s="45"/>
      <c r="B7127" s="59"/>
      <c r="C7127" s="137"/>
      <c r="D7127" s="59"/>
      <c r="E7127" s="116"/>
      <c r="F7127" s="120"/>
      <c r="G7127" s="120"/>
      <c r="H7127" s="120"/>
      <c r="I7127" s="60"/>
      <c r="J7127" s="116"/>
      <c r="K7127" s="213"/>
      <c r="L7127" s="120"/>
      <c r="M7127" s="120"/>
      <c r="N7127" s="167"/>
      <c r="O7127" s="120"/>
      <c r="P7127" s="120"/>
      <c r="Q7127" s="120"/>
      <c r="R7127" s="120"/>
      <c r="S7127" s="120"/>
      <c r="T7127" s="221"/>
      <c r="U7127" s="89"/>
      <c r="V7127" s="61"/>
      <c r="W7127" s="92" t="s">
        <v>65</v>
      </c>
      <c r="X7127" s="93" t="s">
        <v>30</v>
      </c>
      <c r="Y7127" s="93" t="s">
        <v>1011</v>
      </c>
      <c r="Z7127" s="134">
        <f>VLOOKUP(W7127,Sheet2!$B:$D,3,FALSE)</f>
        <v>1.76</v>
      </c>
      <c r="AA7127" s="93">
        <f>AA7126/10</f>
        <v>6.666666666666667</v>
      </c>
      <c r="AB7127" s="93">
        <f>AD7127/AC7119</f>
        <v>0.26400000000000001</v>
      </c>
      <c r="AC7127" s="93">
        <f>AC7119/AA7127</f>
        <v>3.3749999999999978</v>
      </c>
      <c r="AD7127" s="94">
        <f t="shared" si="5060"/>
        <v>5.9399999999999959</v>
      </c>
      <c r="AE7127" s="190"/>
      <c r="AF7127" s="191"/>
      <c r="AG7127" s="191"/>
      <c r="AH7127" s="191"/>
      <c r="AI7127" s="186"/>
      <c r="AK7127" s="171"/>
    </row>
    <row r="7128" spans="1:37" s="103" customFormat="1" ht="19.899999999999999" customHeight="1" x14ac:dyDescent="0.25">
      <c r="A7128" s="51"/>
      <c r="B7128" s="52"/>
      <c r="C7128" s="165"/>
      <c r="D7128" s="52"/>
      <c r="E7128" s="115"/>
      <c r="F7128" s="58"/>
      <c r="G7128" s="58"/>
      <c r="H7128" s="58"/>
      <c r="I7128" s="55"/>
      <c r="J7128" s="113">
        <f>J7118</f>
        <v>22.499999999999986</v>
      </c>
      <c r="K7128" s="212">
        <f>K7118</f>
        <v>22.499999999999986</v>
      </c>
      <c r="L7128" s="58"/>
      <c r="M7128" s="58">
        <f>K7128-L7128</f>
        <v>22.499999999999986</v>
      </c>
      <c r="N7128" s="166"/>
      <c r="O7128" s="58"/>
      <c r="P7128" s="58"/>
      <c r="Q7128" s="58"/>
      <c r="R7128" s="58"/>
      <c r="S7128" s="58"/>
      <c r="T7128" s="220"/>
      <c r="U7128" s="88"/>
      <c r="V7128" s="56"/>
      <c r="W7128" s="57" t="s">
        <v>1036</v>
      </c>
      <c r="X7128" s="53"/>
      <c r="Y7128" s="91" t="s">
        <v>68</v>
      </c>
      <c r="Z7128" s="136">
        <f>AD7128/AC7128</f>
        <v>195.58333333333334</v>
      </c>
      <c r="AA7128" s="58"/>
      <c r="AB7128" s="53">
        <f>AD7128/AC7128</f>
        <v>195.58333333333334</v>
      </c>
      <c r="AC7128" s="53">
        <f>M7128+$AE$10</f>
        <v>22.499999999999986</v>
      </c>
      <c r="AD7128" s="54">
        <f>SUM(AD7129:AD7134)</f>
        <v>4400.6249999999973</v>
      </c>
      <c r="AE7128" s="184">
        <f>SUMIFS($AD$37:$AD$12971,$V$37:$V$12971,$V7128,$X$37:$X$12971,AE$13)</f>
        <v>0</v>
      </c>
      <c r="AF7128" s="185">
        <f>SUMIFS($AD$37:$AD$12971,$V$37:$V$12971,$V7128,$X$37:$X$12971,AF$13)</f>
        <v>0</v>
      </c>
      <c r="AG7128" s="185">
        <f>SUMIFS($AD$37:$AD$12971,$V$37:$V$12971,$V7128,$X$37:$X$12971,AG$13)</f>
        <v>0</v>
      </c>
      <c r="AH7128" s="187">
        <f>SUMIFS($AD$37:$AD$12971,$V$37:$V$12971,$V7128,$X$37:$X$12971,AH$13)</f>
        <v>0</v>
      </c>
      <c r="AI7128" s="161">
        <f t="shared" ref="AI7128" si="5061">SUM(AE7128:AH7128)</f>
        <v>0</v>
      </c>
      <c r="AK7128" s="172"/>
    </row>
    <row r="7129" spans="1:37" s="102" customFormat="1" ht="19.899999999999999" customHeight="1" x14ac:dyDescent="0.25">
      <c r="A7129" s="45"/>
      <c r="B7129" s="59"/>
      <c r="C7129" s="137"/>
      <c r="D7129" s="59"/>
      <c r="E7129" s="116"/>
      <c r="F7129" s="120"/>
      <c r="G7129" s="120"/>
      <c r="H7129" s="120"/>
      <c r="I7129" s="60"/>
      <c r="J7129" s="116"/>
      <c r="K7129" s="213"/>
      <c r="L7129" s="120"/>
      <c r="M7129" s="120"/>
      <c r="N7129" s="167"/>
      <c r="O7129" s="120"/>
      <c r="P7129" s="120"/>
      <c r="Q7129" s="120"/>
      <c r="R7129" s="120"/>
      <c r="S7129" s="120"/>
      <c r="T7129" s="221"/>
      <c r="U7129" s="89"/>
      <c r="V7129" s="61"/>
      <c r="W7129" s="92" t="s">
        <v>1054</v>
      </c>
      <c r="X7129" s="93" t="s">
        <v>30</v>
      </c>
      <c r="Y7129" s="93" t="s">
        <v>68</v>
      </c>
      <c r="Z7129" s="134">
        <f>VLOOKUP(W7129,Sheet2!$B:$D,3,FALSE)</f>
        <v>105</v>
      </c>
      <c r="AA7129" s="93">
        <v>1</v>
      </c>
      <c r="AB7129" s="93">
        <f>AD7129/AC7128</f>
        <v>105</v>
      </c>
      <c r="AC7129" s="93">
        <f>AC7128/AA7129</f>
        <v>22.499999999999986</v>
      </c>
      <c r="AD7129" s="94">
        <f t="shared" ref="AD7129" si="5062">AC7129*Z7129</f>
        <v>2362.4999999999986</v>
      </c>
      <c r="AE7129" s="190"/>
      <c r="AF7129" s="191"/>
      <c r="AG7129" s="191"/>
      <c r="AH7129" s="191"/>
      <c r="AI7129" s="186"/>
      <c r="AK7129" s="171"/>
    </row>
    <row r="7130" spans="1:37" s="102" customFormat="1" ht="19.899999999999999" customHeight="1" x14ac:dyDescent="0.25">
      <c r="A7130" s="45"/>
      <c r="B7130" s="59"/>
      <c r="C7130" s="137"/>
      <c r="D7130" s="59"/>
      <c r="E7130" s="116"/>
      <c r="F7130" s="120"/>
      <c r="G7130" s="120"/>
      <c r="H7130" s="120"/>
      <c r="I7130" s="60"/>
      <c r="J7130" s="116"/>
      <c r="K7130" s="213"/>
      <c r="L7130" s="120"/>
      <c r="M7130" s="120"/>
      <c r="N7130" s="167"/>
      <c r="O7130" s="120"/>
      <c r="P7130" s="120"/>
      <c r="Q7130" s="120"/>
      <c r="R7130" s="120"/>
      <c r="S7130" s="120"/>
      <c r="T7130" s="221"/>
      <c r="U7130" s="89"/>
      <c r="V7130" s="61"/>
      <c r="W7130" s="92" t="s">
        <v>1061</v>
      </c>
      <c r="X7130" s="93" t="s">
        <v>30</v>
      </c>
      <c r="Y7130" s="93" t="s">
        <v>68</v>
      </c>
      <c r="Z7130" s="134">
        <f>VLOOKUP(W7130,Sheet2!$B:$D,3,FALSE)</f>
        <v>10</v>
      </c>
      <c r="AA7130" s="93">
        <v>1</v>
      </c>
      <c r="AB7130" s="93">
        <f>AD7130/AC7128</f>
        <v>10</v>
      </c>
      <c r="AC7130" s="93">
        <f>AC7128/AA7130</f>
        <v>22.499999999999986</v>
      </c>
      <c r="AD7130" s="94">
        <f>AC7130*Z7130</f>
        <v>224.99999999999986</v>
      </c>
      <c r="AE7130" s="190"/>
      <c r="AF7130" s="191"/>
      <c r="AG7130" s="191"/>
      <c r="AH7130" s="191"/>
      <c r="AI7130" s="186"/>
      <c r="AK7130" s="171"/>
    </row>
    <row r="7131" spans="1:37" s="102" customFormat="1" ht="19.899999999999999" customHeight="1" x14ac:dyDescent="0.25">
      <c r="A7131" s="45"/>
      <c r="B7131" s="59"/>
      <c r="C7131" s="137"/>
      <c r="D7131" s="59"/>
      <c r="E7131" s="116"/>
      <c r="F7131" s="120"/>
      <c r="G7131" s="120"/>
      <c r="H7131" s="120"/>
      <c r="I7131" s="60"/>
      <c r="J7131" s="116"/>
      <c r="K7131" s="213"/>
      <c r="L7131" s="120"/>
      <c r="M7131" s="120"/>
      <c r="N7131" s="167"/>
      <c r="O7131" s="120"/>
      <c r="P7131" s="120"/>
      <c r="Q7131" s="120"/>
      <c r="R7131" s="120"/>
      <c r="S7131" s="120"/>
      <c r="T7131" s="221"/>
      <c r="U7131" s="89"/>
      <c r="V7131" s="61"/>
      <c r="W7131" s="92" t="s">
        <v>1069</v>
      </c>
      <c r="X7131" s="93" t="s">
        <v>32</v>
      </c>
      <c r="Y7131" s="93" t="s">
        <v>68</v>
      </c>
      <c r="Z7131" s="134">
        <f>VLOOKUP(W7131,Sheet2!$B:$D,3,FALSE)</f>
        <v>40</v>
      </c>
      <c r="AA7131" s="93">
        <v>1</v>
      </c>
      <c r="AB7131" s="93">
        <f>AD7131/AC7128</f>
        <v>40</v>
      </c>
      <c r="AC7131" s="93">
        <f>AC7128/AA7131</f>
        <v>22.499999999999986</v>
      </c>
      <c r="AD7131" s="94">
        <f>AC7131*Z7131</f>
        <v>899.99999999999943</v>
      </c>
      <c r="AE7131" s="190"/>
      <c r="AF7131" s="191"/>
      <c r="AG7131" s="191"/>
      <c r="AH7131" s="191"/>
      <c r="AI7131" s="186"/>
      <c r="AK7131" s="171"/>
    </row>
    <row r="7132" spans="1:37" s="102" customFormat="1" ht="19.899999999999999" customHeight="1" x14ac:dyDescent="0.25">
      <c r="A7132" s="45"/>
      <c r="B7132" s="59"/>
      <c r="C7132" s="137"/>
      <c r="D7132" s="59"/>
      <c r="E7132" s="116"/>
      <c r="F7132" s="120"/>
      <c r="G7132" s="120"/>
      <c r="H7132" s="120"/>
      <c r="I7132" s="60"/>
      <c r="J7132" s="116"/>
      <c r="K7132" s="213"/>
      <c r="L7132" s="120"/>
      <c r="M7132" s="120"/>
      <c r="N7132" s="167"/>
      <c r="O7132" s="120"/>
      <c r="P7132" s="120"/>
      <c r="Q7132" s="120"/>
      <c r="R7132" s="120"/>
      <c r="S7132" s="120"/>
      <c r="T7132" s="221"/>
      <c r="U7132" s="89"/>
      <c r="V7132" s="61"/>
      <c r="W7132" s="92" t="s">
        <v>1032</v>
      </c>
      <c r="X7132" s="93" t="s">
        <v>30</v>
      </c>
      <c r="Y7132" s="93" t="s">
        <v>66</v>
      </c>
      <c r="Z7132" s="134">
        <f>VLOOKUP(W7132,Sheet2!$B:$D,3,FALSE)</f>
        <v>250</v>
      </c>
      <c r="AA7132" s="93">
        <f>1/(1*1*0.1)</f>
        <v>10</v>
      </c>
      <c r="AB7132" s="93">
        <f>AD7132/AC7128</f>
        <v>25</v>
      </c>
      <c r="AC7132" s="93">
        <f>AC7128/AA7132</f>
        <v>2.2499999999999987</v>
      </c>
      <c r="AD7132" s="94">
        <f>AC7132*Z7132</f>
        <v>562.49999999999966</v>
      </c>
      <c r="AE7132" s="190"/>
      <c r="AF7132" s="191"/>
      <c r="AG7132" s="191"/>
      <c r="AH7132" s="191"/>
      <c r="AI7132" s="186"/>
      <c r="AK7132" s="171"/>
    </row>
    <row r="7133" spans="1:37" s="102" customFormat="1" ht="19.899999999999999" customHeight="1" x14ac:dyDescent="0.25">
      <c r="A7133" s="45"/>
      <c r="B7133" s="59"/>
      <c r="C7133" s="137"/>
      <c r="D7133" s="59"/>
      <c r="E7133" s="116"/>
      <c r="F7133" s="120"/>
      <c r="G7133" s="120"/>
      <c r="H7133" s="120"/>
      <c r="I7133" s="60"/>
      <c r="J7133" s="116"/>
      <c r="K7133" s="213"/>
      <c r="L7133" s="120"/>
      <c r="M7133" s="120"/>
      <c r="N7133" s="167"/>
      <c r="O7133" s="120"/>
      <c r="P7133" s="120"/>
      <c r="Q7133" s="120"/>
      <c r="R7133" s="120"/>
      <c r="S7133" s="120"/>
      <c r="T7133" s="221"/>
      <c r="U7133" s="89"/>
      <c r="V7133" s="61"/>
      <c r="W7133" s="92" t="s">
        <v>1035</v>
      </c>
      <c r="X7133" s="93" t="s">
        <v>32</v>
      </c>
      <c r="Y7133" s="93" t="s">
        <v>66</v>
      </c>
      <c r="Z7133" s="134">
        <f>VLOOKUP(W7133,Sheet2!$B:$D,3,FALSE)</f>
        <v>150</v>
      </c>
      <c r="AA7133" s="93">
        <f>AA7132</f>
        <v>10</v>
      </c>
      <c r="AB7133" s="93">
        <f>AD7133/AC7128</f>
        <v>15</v>
      </c>
      <c r="AC7133" s="93">
        <f>AC7128/AA7133</f>
        <v>2.2499999999999987</v>
      </c>
      <c r="AD7133" s="94">
        <f t="shared" ref="AD7133:AD7134" si="5063">AC7133*Z7133</f>
        <v>337.49999999999977</v>
      </c>
      <c r="AE7133" s="190"/>
      <c r="AF7133" s="191"/>
      <c r="AG7133" s="191"/>
      <c r="AH7133" s="191"/>
      <c r="AI7133" s="186"/>
      <c r="AK7133" s="171"/>
    </row>
    <row r="7134" spans="1:37" s="102" customFormat="1" ht="19.899999999999999" customHeight="1" x14ac:dyDescent="0.25">
      <c r="A7134" s="45"/>
      <c r="B7134" s="59"/>
      <c r="C7134" s="137"/>
      <c r="D7134" s="59"/>
      <c r="E7134" s="116"/>
      <c r="F7134" s="120"/>
      <c r="G7134" s="120"/>
      <c r="H7134" s="120"/>
      <c r="I7134" s="60"/>
      <c r="J7134" s="116"/>
      <c r="K7134" s="213"/>
      <c r="L7134" s="120"/>
      <c r="M7134" s="120"/>
      <c r="N7134" s="167"/>
      <c r="O7134" s="120"/>
      <c r="P7134" s="120"/>
      <c r="Q7134" s="120"/>
      <c r="R7134" s="120"/>
      <c r="S7134" s="120"/>
      <c r="T7134" s="221"/>
      <c r="U7134" s="89"/>
      <c r="V7134" s="61"/>
      <c r="W7134" s="92" t="s">
        <v>1037</v>
      </c>
      <c r="X7134" s="93" t="s">
        <v>30</v>
      </c>
      <c r="Y7134" s="93" t="s">
        <v>1038</v>
      </c>
      <c r="Z7134" s="134">
        <f>VLOOKUP(W7134,Sheet2!$B:$D,3,FALSE)</f>
        <v>175</v>
      </c>
      <c r="AA7134" s="93">
        <v>300</v>
      </c>
      <c r="AB7134" s="93">
        <f>AD7134/AC7128</f>
        <v>0.58333333333333337</v>
      </c>
      <c r="AC7134" s="93">
        <f>AC7128/AA7134</f>
        <v>7.4999999999999956E-2</v>
      </c>
      <c r="AD7134" s="94">
        <f t="shared" si="5063"/>
        <v>13.124999999999993</v>
      </c>
      <c r="AE7134" s="190"/>
      <c r="AF7134" s="191"/>
      <c r="AG7134" s="191"/>
      <c r="AH7134" s="191"/>
      <c r="AI7134" s="186"/>
      <c r="AK7134" s="171"/>
    </row>
    <row r="7135" spans="1:37" s="103" customFormat="1" ht="19.899999999999999" customHeight="1" x14ac:dyDescent="0.25">
      <c r="A7135" s="51"/>
      <c r="B7135" s="52"/>
      <c r="C7135" s="165"/>
      <c r="D7135" s="52"/>
      <c r="E7135" s="115"/>
      <c r="F7135" s="58"/>
      <c r="G7135" s="58"/>
      <c r="H7135" s="58"/>
      <c r="I7135" s="55"/>
      <c r="J7135" s="113">
        <f>J7118</f>
        <v>22.499999999999986</v>
      </c>
      <c r="K7135" s="212">
        <f>K7118</f>
        <v>22.499999999999986</v>
      </c>
      <c r="L7135" s="58"/>
      <c r="M7135" s="58">
        <f>K7135-L7135</f>
        <v>22.499999999999986</v>
      </c>
      <c r="N7135" s="166"/>
      <c r="O7135" s="58"/>
      <c r="P7135" s="58"/>
      <c r="Q7135" s="58"/>
      <c r="R7135" s="58"/>
      <c r="S7135" s="58"/>
      <c r="T7135" s="220"/>
      <c r="U7135" s="88"/>
      <c r="V7135" s="56"/>
      <c r="W7135" s="57" t="s">
        <v>1040</v>
      </c>
      <c r="X7135" s="53"/>
      <c r="Y7135" s="91" t="s">
        <v>68</v>
      </c>
      <c r="Z7135" s="136">
        <f>AD7135/AC7135</f>
        <v>5</v>
      </c>
      <c r="AA7135" s="58"/>
      <c r="AB7135" s="53">
        <f>AD7135/AC7135</f>
        <v>5</v>
      </c>
      <c r="AC7135" s="53">
        <f>M7135+$AE$10</f>
        <v>22.499999999999986</v>
      </c>
      <c r="AD7135" s="54">
        <f>SUM(AD7136)</f>
        <v>112.49999999999993</v>
      </c>
      <c r="AE7135" s="184">
        <f>SUMIFS($AD$37:$AD$12971,$V$37:$V$12971,$V7135,$X$37:$X$12971,AE$13)</f>
        <v>0</v>
      </c>
      <c r="AF7135" s="185">
        <f>SUMIFS($AD$37:$AD$12971,$V$37:$V$12971,$V7135,$X$37:$X$12971,AF$13)</f>
        <v>0</v>
      </c>
      <c r="AG7135" s="185">
        <f>SUMIFS($AD$37:$AD$12971,$V$37:$V$12971,$V7135,$X$37:$X$12971,AG$13)</f>
        <v>0</v>
      </c>
      <c r="AH7135" s="187">
        <f>SUMIFS($AD$37:$AD$12971,$V$37:$V$12971,$V7135,$X$37:$X$12971,AH$13)</f>
        <v>0</v>
      </c>
      <c r="AI7135" s="161">
        <f t="shared" ref="AI7135" si="5064">SUM(AE7135:AH7135)</f>
        <v>0</v>
      </c>
      <c r="AK7135" s="172"/>
    </row>
    <row r="7136" spans="1:37" s="102" customFormat="1" ht="19.899999999999999" customHeight="1" x14ac:dyDescent="0.25">
      <c r="A7136" s="45"/>
      <c r="B7136" s="59"/>
      <c r="C7136" s="137"/>
      <c r="D7136" s="59"/>
      <c r="E7136" s="116"/>
      <c r="F7136" s="120"/>
      <c r="G7136" s="120"/>
      <c r="H7136" s="120"/>
      <c r="I7136" s="60"/>
      <c r="J7136" s="116"/>
      <c r="K7136" s="213"/>
      <c r="L7136" s="120"/>
      <c r="M7136" s="120"/>
      <c r="N7136" s="167"/>
      <c r="O7136" s="120"/>
      <c r="P7136" s="120"/>
      <c r="Q7136" s="120"/>
      <c r="R7136" s="120"/>
      <c r="S7136" s="120"/>
      <c r="T7136" s="221"/>
      <c r="U7136" s="89"/>
      <c r="V7136" s="61"/>
      <c r="W7136" s="92" t="s">
        <v>1039</v>
      </c>
      <c r="X7136" s="93" t="s">
        <v>32</v>
      </c>
      <c r="Y7136" s="93" t="s">
        <v>68</v>
      </c>
      <c r="Z7136" s="134">
        <f>VLOOKUP(W7136,Sheet2!$B:$D,3,FALSE)</f>
        <v>5</v>
      </c>
      <c r="AA7136" s="93">
        <v>1</v>
      </c>
      <c r="AB7136" s="93">
        <f>AD7136/AC7135</f>
        <v>5</v>
      </c>
      <c r="AC7136" s="93">
        <f>AC7135/AA7136</f>
        <v>22.499999999999986</v>
      </c>
      <c r="AD7136" s="94">
        <f t="shared" ref="AD7136" si="5065">AC7136*Z7136</f>
        <v>112.49999999999993</v>
      </c>
      <c r="AE7136" s="190"/>
      <c r="AF7136" s="191"/>
      <c r="AG7136" s="191"/>
      <c r="AH7136" s="191"/>
      <c r="AI7136" s="186"/>
      <c r="AK7136" s="171"/>
    </row>
    <row r="7137" spans="1:41" ht="20.100000000000001" customHeight="1" x14ac:dyDescent="0.25">
      <c r="A7137" s="277" t="s">
        <v>703</v>
      </c>
      <c r="B7137" s="278"/>
      <c r="C7137" s="64" t="s">
        <v>719</v>
      </c>
      <c r="D7137" s="46" t="s">
        <v>97</v>
      </c>
      <c r="E7137" s="114">
        <v>47.305049999999937</v>
      </c>
      <c r="F7137" s="44">
        <v>403</v>
      </c>
      <c r="G7137" s="44">
        <f t="shared" si="4575"/>
        <v>19063.935149999976</v>
      </c>
      <c r="H7137" s="44">
        <f t="shared" si="4576"/>
        <v>210.50510588235298</v>
      </c>
      <c r="I7137" s="43">
        <f t="shared" si="4577"/>
        <v>9957.9545590199887</v>
      </c>
      <c r="J7137" s="112">
        <f t="shared" si="4578"/>
        <v>47.305049999999937</v>
      </c>
      <c r="K7137" s="211">
        <f t="shared" si="4579"/>
        <v>47.305049999999937</v>
      </c>
      <c r="L7137" s="44"/>
      <c r="M7137" s="44">
        <f t="shared" si="4580"/>
        <v>47.305049999999937</v>
      </c>
      <c r="N7137" s="173">
        <f t="shared" si="4581"/>
        <v>1</v>
      </c>
      <c r="O7137" s="44">
        <f t="shared" si="4582"/>
        <v>403</v>
      </c>
      <c r="P7137" s="44">
        <f t="shared" si="4583"/>
        <v>19063.935149999976</v>
      </c>
      <c r="Q7137" s="44">
        <f t="shared" si="4584"/>
        <v>210.50510588235298</v>
      </c>
      <c r="R7137" s="44">
        <f t="shared" si="4585"/>
        <v>9957.9545590199887</v>
      </c>
      <c r="S7137" s="123"/>
      <c r="T7137" s="219">
        <f t="shared" si="4586"/>
        <v>9957.9545590199887</v>
      </c>
      <c r="U7137" s="87"/>
      <c r="V7137" s="47"/>
      <c r="W7137" s="48"/>
      <c r="X7137" s="48"/>
      <c r="Y7137" s="48"/>
      <c r="Z7137" s="135"/>
      <c r="AA7137" s="49"/>
      <c r="AB7137" s="50">
        <f t="shared" si="4587"/>
        <v>210.50510588235298</v>
      </c>
      <c r="AC7137" s="42">
        <f t="shared" si="4588"/>
        <v>47.305049999999937</v>
      </c>
      <c r="AD7137" s="90">
        <f>AD7138+AD7147+AD7154</f>
        <v>9957.9545590199887</v>
      </c>
      <c r="AE7137" s="188">
        <f>AE7138+AE7147+AE7154</f>
        <v>0</v>
      </c>
      <c r="AF7137" s="189">
        <f>AF7138+AF7147+AF7154</f>
        <v>0</v>
      </c>
      <c r="AG7137" s="189">
        <f>AG7138+AG7147+AG7154</f>
        <v>0</v>
      </c>
      <c r="AH7137" s="189">
        <f>AH7138+AH7147+AH7154</f>
        <v>0</v>
      </c>
      <c r="AI7137" s="161">
        <f t="shared" ref="AI7137" si="5066">SUM(AE7137:AH7137)</f>
        <v>0</v>
      </c>
      <c r="AK7137" s="169">
        <v>5</v>
      </c>
      <c r="AO7137" s="19" t="s">
        <v>63</v>
      </c>
    </row>
    <row r="7138" spans="1:41" s="103" customFormat="1" ht="19.899999999999999" customHeight="1" x14ac:dyDescent="0.25">
      <c r="A7138" s="51"/>
      <c r="B7138" s="52"/>
      <c r="C7138" s="165"/>
      <c r="D7138" s="52"/>
      <c r="E7138" s="115"/>
      <c r="F7138" s="58"/>
      <c r="G7138" s="58"/>
      <c r="H7138" s="58"/>
      <c r="I7138" s="55"/>
      <c r="J7138" s="113">
        <f>J7137</f>
        <v>47.305049999999937</v>
      </c>
      <c r="K7138" s="212">
        <f>K7137</f>
        <v>47.305049999999937</v>
      </c>
      <c r="L7138" s="58"/>
      <c r="M7138" s="58">
        <f>K7138-L7138</f>
        <v>47.305049999999937</v>
      </c>
      <c r="N7138" s="166"/>
      <c r="O7138" s="58"/>
      <c r="P7138" s="58"/>
      <c r="Q7138" s="58"/>
      <c r="R7138" s="58"/>
      <c r="S7138" s="58"/>
      <c r="T7138" s="220"/>
      <c r="U7138" s="88"/>
      <c r="V7138" s="56"/>
      <c r="W7138" s="57" t="s">
        <v>1047</v>
      </c>
      <c r="X7138" s="53"/>
      <c r="Y7138" s="91" t="s">
        <v>68</v>
      </c>
      <c r="Z7138" s="136">
        <f>AD7138/AC7138</f>
        <v>9.9217725490196074</v>
      </c>
      <c r="AA7138" s="58"/>
      <c r="AB7138" s="53">
        <f>AD7138/AC7138</f>
        <v>9.9217725490196074</v>
      </c>
      <c r="AC7138" s="53">
        <f>M7138+$AE$10</f>
        <v>47.305049999999937</v>
      </c>
      <c r="AD7138" s="54">
        <f>SUM(AD7139:AD7146)</f>
        <v>469.34994651999938</v>
      </c>
      <c r="AE7138" s="184">
        <f>SUMIFS($AD$37:$AD$12971,$V$37:$V$12971,$V7138,$X$37:$X$12971,AE$13)</f>
        <v>0</v>
      </c>
      <c r="AF7138" s="185">
        <f>SUMIFS($AD$37:$AD$12971,$V$37:$V$12971,$V7138,$X$37:$X$12971,AF$13)</f>
        <v>0</v>
      </c>
      <c r="AG7138" s="185">
        <f>SUMIFS($AD$37:$AD$12971,$V$37:$V$12971,$V7138,$X$37:$X$12971,AG$13)</f>
        <v>0</v>
      </c>
      <c r="AH7138" s="187">
        <f>SUMIFS($AD$37:$AD$12971,$V$37:$V$12971,$V7138,$X$37:$X$12971,AH$13)</f>
        <v>0</v>
      </c>
      <c r="AI7138" s="161">
        <f t="shared" ref="AI7138" si="5067">SUM(AE7138:AH7138)</f>
        <v>0</v>
      </c>
      <c r="AK7138" s="172"/>
    </row>
    <row r="7139" spans="1:41" s="102" customFormat="1" ht="19.899999999999999" customHeight="1" x14ac:dyDescent="0.25">
      <c r="A7139" s="45"/>
      <c r="B7139" s="59"/>
      <c r="C7139" s="137"/>
      <c r="D7139" s="59"/>
      <c r="E7139" s="116"/>
      <c r="F7139" s="120"/>
      <c r="G7139" s="120"/>
      <c r="H7139" s="120"/>
      <c r="I7139" s="60"/>
      <c r="J7139" s="116"/>
      <c r="K7139" s="213"/>
      <c r="L7139" s="120"/>
      <c r="M7139" s="120"/>
      <c r="N7139" s="167"/>
      <c r="O7139" s="120"/>
      <c r="P7139" s="120"/>
      <c r="Q7139" s="120"/>
      <c r="R7139" s="120"/>
      <c r="S7139" s="120"/>
      <c r="T7139" s="221"/>
      <c r="U7139" s="89"/>
      <c r="V7139" s="61"/>
      <c r="W7139" s="92" t="s">
        <v>129</v>
      </c>
      <c r="X7139" s="93" t="s">
        <v>29</v>
      </c>
      <c r="Y7139" s="93" t="s">
        <v>93</v>
      </c>
      <c r="Z7139" s="134">
        <f>VLOOKUP(W7139,Sheet2!$B:$D,3,FALSE)</f>
        <v>56</v>
      </c>
      <c r="AA7139" s="93">
        <f>100/(1*2)</f>
        <v>50</v>
      </c>
      <c r="AB7139" s="93">
        <f t="shared" ref="AB7139" si="5068">AD7139/AC7138</f>
        <v>1.1200000000000001</v>
      </c>
      <c r="AC7139" s="93">
        <f>AC7138/AA7139</f>
        <v>0.94610099999999875</v>
      </c>
      <c r="AD7139" s="94">
        <f t="shared" ref="AD7139:AD7140" si="5069">AC7139*Z7139</f>
        <v>52.98165599999993</v>
      </c>
      <c r="AE7139" s="190"/>
      <c r="AF7139" s="191"/>
      <c r="AG7139" s="191"/>
      <c r="AH7139" s="191"/>
      <c r="AI7139" s="186"/>
      <c r="AK7139" s="171"/>
    </row>
    <row r="7140" spans="1:41" s="102" customFormat="1" ht="19.899999999999999" customHeight="1" x14ac:dyDescent="0.25">
      <c r="A7140" s="45"/>
      <c r="B7140" s="59"/>
      <c r="C7140" s="137"/>
      <c r="D7140" s="59"/>
      <c r="E7140" s="116"/>
      <c r="F7140" s="120"/>
      <c r="G7140" s="120"/>
      <c r="H7140" s="120"/>
      <c r="I7140" s="60"/>
      <c r="J7140" s="116"/>
      <c r="K7140" s="213"/>
      <c r="L7140" s="120"/>
      <c r="M7140" s="120"/>
      <c r="N7140" s="167"/>
      <c r="O7140" s="120"/>
      <c r="P7140" s="120"/>
      <c r="Q7140" s="120"/>
      <c r="R7140" s="120"/>
      <c r="S7140" s="120"/>
      <c r="T7140" s="221"/>
      <c r="U7140" s="89"/>
      <c r="V7140" s="61"/>
      <c r="W7140" s="92" t="s">
        <v>65</v>
      </c>
      <c r="X7140" s="93" t="s">
        <v>30</v>
      </c>
      <c r="Y7140" s="93" t="s">
        <v>1011</v>
      </c>
      <c r="Z7140" s="134">
        <f>VLOOKUP(W7140,Sheet2!$B:$D,3,FALSE)</f>
        <v>1.76</v>
      </c>
      <c r="AA7140" s="93">
        <f>AA7139/14</f>
        <v>3.5714285714285716</v>
      </c>
      <c r="AB7140" s="93">
        <f>AD7140/AC7138</f>
        <v>0.49280000000000002</v>
      </c>
      <c r="AC7140" s="93">
        <f>AC7138/AA7140</f>
        <v>13.245413999999982</v>
      </c>
      <c r="AD7140" s="94">
        <f t="shared" si="5069"/>
        <v>23.311928639999969</v>
      </c>
      <c r="AE7140" s="190"/>
      <c r="AF7140" s="191"/>
      <c r="AG7140" s="191"/>
      <c r="AH7140" s="191"/>
      <c r="AI7140" s="186"/>
      <c r="AK7140" s="171"/>
    </row>
    <row r="7141" spans="1:41" s="102" customFormat="1" ht="19.899999999999999" customHeight="1" x14ac:dyDescent="0.25">
      <c r="A7141" s="45"/>
      <c r="B7141" s="59"/>
      <c r="C7141" s="137"/>
      <c r="D7141" s="59"/>
      <c r="E7141" s="116"/>
      <c r="F7141" s="120"/>
      <c r="G7141" s="120"/>
      <c r="H7141" s="120"/>
      <c r="I7141" s="60"/>
      <c r="J7141" s="116"/>
      <c r="K7141" s="213"/>
      <c r="L7141" s="120"/>
      <c r="M7141" s="120"/>
      <c r="N7141" s="167"/>
      <c r="O7141" s="120"/>
      <c r="P7141" s="120"/>
      <c r="Q7141" s="120"/>
      <c r="R7141" s="120"/>
      <c r="S7141" s="120"/>
      <c r="T7141" s="221"/>
      <c r="U7141" s="89"/>
      <c r="V7141" s="61"/>
      <c r="W7141" s="92" t="s">
        <v>161</v>
      </c>
      <c r="X7141" s="93" t="s">
        <v>29</v>
      </c>
      <c r="Y7141" s="93" t="s">
        <v>93</v>
      </c>
      <c r="Z7141" s="134">
        <f>VLOOKUP(W7141,Sheet2!$B:$D,3,FALSE)</f>
        <v>48</v>
      </c>
      <c r="AA7141" s="93">
        <f>(16*0.85*1.5)/(1*2)</f>
        <v>10.199999999999999</v>
      </c>
      <c r="AB7141" s="93">
        <f>AD7141/AC7138</f>
        <v>4.7058823529411775</v>
      </c>
      <c r="AC7141" s="93">
        <f>AC7138/AA7141</f>
        <v>4.6377499999999943</v>
      </c>
      <c r="AD7141" s="94">
        <f>AC7141*Z7141</f>
        <v>222.61199999999974</v>
      </c>
      <c r="AE7141" s="190"/>
      <c r="AF7141" s="191"/>
      <c r="AG7141" s="191"/>
      <c r="AH7141" s="191"/>
      <c r="AI7141" s="186"/>
      <c r="AK7141" s="171"/>
    </row>
    <row r="7142" spans="1:41" s="102" customFormat="1" ht="19.899999999999999" customHeight="1" x14ac:dyDescent="0.25">
      <c r="A7142" s="45"/>
      <c r="B7142" s="59"/>
      <c r="C7142" s="137"/>
      <c r="D7142" s="59"/>
      <c r="E7142" s="116"/>
      <c r="F7142" s="120"/>
      <c r="G7142" s="120"/>
      <c r="H7142" s="120"/>
      <c r="I7142" s="60"/>
      <c r="J7142" s="116"/>
      <c r="K7142" s="213"/>
      <c r="L7142" s="120"/>
      <c r="M7142" s="120"/>
      <c r="N7142" s="167"/>
      <c r="O7142" s="120"/>
      <c r="P7142" s="120"/>
      <c r="Q7142" s="120"/>
      <c r="R7142" s="120"/>
      <c r="S7142" s="120"/>
      <c r="T7142" s="221"/>
      <c r="U7142" s="89"/>
      <c r="V7142" s="61"/>
      <c r="W7142" s="92" t="s">
        <v>65</v>
      </c>
      <c r="X7142" s="93" t="s">
        <v>30</v>
      </c>
      <c r="Y7142" s="93" t="s">
        <v>1011</v>
      </c>
      <c r="Z7142" s="134">
        <f>VLOOKUP(W7142,Sheet2!$B:$D,3,FALSE)</f>
        <v>1.76</v>
      </c>
      <c r="AA7142" s="93">
        <f>AA7141/10</f>
        <v>1.02</v>
      </c>
      <c r="AB7142" s="93">
        <f>AD7142/AC7138</f>
        <v>1.7254901960784315</v>
      </c>
      <c r="AC7142" s="93">
        <f>AC7138/AA7142</f>
        <v>46.377499999999941</v>
      </c>
      <c r="AD7142" s="94">
        <f>AC7142*Z7142</f>
        <v>81.624399999999895</v>
      </c>
      <c r="AE7142" s="190"/>
      <c r="AF7142" s="191"/>
      <c r="AG7142" s="191"/>
      <c r="AH7142" s="191"/>
      <c r="AI7142" s="186"/>
      <c r="AK7142" s="171"/>
    </row>
    <row r="7143" spans="1:41" s="102" customFormat="1" ht="19.899999999999999" customHeight="1" x14ac:dyDescent="0.25">
      <c r="A7143" s="45"/>
      <c r="B7143" s="59"/>
      <c r="C7143" s="137"/>
      <c r="D7143" s="59"/>
      <c r="E7143" s="116"/>
      <c r="F7143" s="120"/>
      <c r="G7143" s="120"/>
      <c r="H7143" s="120"/>
      <c r="I7143" s="60"/>
      <c r="J7143" s="116"/>
      <c r="K7143" s="213"/>
      <c r="L7143" s="120"/>
      <c r="M7143" s="120"/>
      <c r="N7143" s="167"/>
      <c r="O7143" s="120"/>
      <c r="P7143" s="120"/>
      <c r="Q7143" s="120"/>
      <c r="R7143" s="120"/>
      <c r="S7143" s="120"/>
      <c r="T7143" s="221"/>
      <c r="U7143" s="89"/>
      <c r="V7143" s="61"/>
      <c r="W7143" s="92" t="s">
        <v>1030</v>
      </c>
      <c r="X7143" s="93" t="s">
        <v>29</v>
      </c>
      <c r="Y7143" s="93" t="s">
        <v>93</v>
      </c>
      <c r="Z7143" s="134">
        <f>VLOOKUP(W7143,Sheet2!$B:$D,3,FALSE)</f>
        <v>23</v>
      </c>
      <c r="AA7143" s="93">
        <v>50</v>
      </c>
      <c r="AB7143" s="93">
        <f>AD7143/AC7138</f>
        <v>0.46</v>
      </c>
      <c r="AC7143" s="93">
        <f>AC7138/AA7143</f>
        <v>0.94610099999999875</v>
      </c>
      <c r="AD7143" s="94">
        <f t="shared" ref="AD7143:AD7146" si="5070">AC7143*Z7143</f>
        <v>21.760322999999971</v>
      </c>
      <c r="AE7143" s="190"/>
      <c r="AF7143" s="191"/>
      <c r="AG7143" s="191"/>
      <c r="AH7143" s="191"/>
      <c r="AI7143" s="186"/>
      <c r="AK7143" s="171"/>
    </row>
    <row r="7144" spans="1:41" s="102" customFormat="1" ht="19.899999999999999" customHeight="1" x14ac:dyDescent="0.25">
      <c r="A7144" s="45"/>
      <c r="B7144" s="59"/>
      <c r="C7144" s="137"/>
      <c r="D7144" s="59"/>
      <c r="E7144" s="116"/>
      <c r="F7144" s="120"/>
      <c r="G7144" s="120"/>
      <c r="H7144" s="120"/>
      <c r="I7144" s="60"/>
      <c r="J7144" s="116"/>
      <c r="K7144" s="213"/>
      <c r="L7144" s="120"/>
      <c r="M7144" s="120"/>
      <c r="N7144" s="167"/>
      <c r="O7144" s="120"/>
      <c r="P7144" s="120"/>
      <c r="Q7144" s="120"/>
      <c r="R7144" s="120"/>
      <c r="S7144" s="120"/>
      <c r="T7144" s="221"/>
      <c r="U7144" s="89"/>
      <c r="V7144" s="61"/>
      <c r="W7144" s="92" t="s">
        <v>65</v>
      </c>
      <c r="X7144" s="93" t="s">
        <v>30</v>
      </c>
      <c r="Y7144" s="93" t="s">
        <v>1011</v>
      </c>
      <c r="Z7144" s="134">
        <f>VLOOKUP(W7144,Sheet2!$B:$D,3,FALSE)</f>
        <v>1.76</v>
      </c>
      <c r="AA7144" s="93">
        <f>AA7143/3</f>
        <v>16.666666666666668</v>
      </c>
      <c r="AB7144" s="93">
        <f>AD7144/AC7138</f>
        <v>0.1056</v>
      </c>
      <c r="AC7144" s="93">
        <f>AC7138/AA7144</f>
        <v>2.8383029999999962</v>
      </c>
      <c r="AD7144" s="94">
        <f t="shared" si="5070"/>
        <v>4.9954132799999931</v>
      </c>
      <c r="AE7144" s="190"/>
      <c r="AF7144" s="191"/>
      <c r="AG7144" s="191"/>
      <c r="AH7144" s="191"/>
      <c r="AI7144" s="186"/>
      <c r="AK7144" s="171"/>
    </row>
    <row r="7145" spans="1:41" s="102" customFormat="1" ht="19.899999999999999" customHeight="1" x14ac:dyDescent="0.25">
      <c r="A7145" s="45"/>
      <c r="B7145" s="59"/>
      <c r="C7145" s="137"/>
      <c r="D7145" s="59"/>
      <c r="E7145" s="116"/>
      <c r="F7145" s="120"/>
      <c r="G7145" s="120"/>
      <c r="H7145" s="120"/>
      <c r="I7145" s="60"/>
      <c r="J7145" s="116"/>
      <c r="K7145" s="213"/>
      <c r="L7145" s="120"/>
      <c r="M7145" s="120"/>
      <c r="N7145" s="167"/>
      <c r="O7145" s="120"/>
      <c r="P7145" s="120"/>
      <c r="Q7145" s="120"/>
      <c r="R7145" s="120"/>
      <c r="S7145" s="120"/>
      <c r="T7145" s="221"/>
      <c r="U7145" s="89"/>
      <c r="V7145" s="61"/>
      <c r="W7145" s="92" t="s">
        <v>148</v>
      </c>
      <c r="X7145" s="93" t="s">
        <v>29</v>
      </c>
      <c r="Y7145" s="93" t="s">
        <v>93</v>
      </c>
      <c r="Z7145" s="134">
        <f>VLOOKUP(W7145,Sheet2!$B:$D,3,FALSE)</f>
        <v>48</v>
      </c>
      <c r="AA7145" s="93">
        <f>AA7139</f>
        <v>50</v>
      </c>
      <c r="AB7145" s="93">
        <f>AD7145/AC7138</f>
        <v>0.96</v>
      </c>
      <c r="AC7145" s="93">
        <f>AC7138/AA7145</f>
        <v>0.94610099999999875</v>
      </c>
      <c r="AD7145" s="94">
        <f t="shared" si="5070"/>
        <v>45.41284799999994</v>
      </c>
      <c r="AE7145" s="190"/>
      <c r="AF7145" s="191"/>
      <c r="AG7145" s="191"/>
      <c r="AH7145" s="191"/>
      <c r="AI7145" s="186"/>
      <c r="AK7145" s="171"/>
    </row>
    <row r="7146" spans="1:41" s="102" customFormat="1" ht="19.899999999999999" customHeight="1" x14ac:dyDescent="0.25">
      <c r="A7146" s="45"/>
      <c r="B7146" s="59"/>
      <c r="C7146" s="137"/>
      <c r="D7146" s="59"/>
      <c r="E7146" s="116"/>
      <c r="F7146" s="120"/>
      <c r="G7146" s="120"/>
      <c r="H7146" s="120"/>
      <c r="I7146" s="60"/>
      <c r="J7146" s="116"/>
      <c r="K7146" s="213"/>
      <c r="L7146" s="120"/>
      <c r="M7146" s="120"/>
      <c r="N7146" s="167"/>
      <c r="O7146" s="120"/>
      <c r="P7146" s="120"/>
      <c r="Q7146" s="120"/>
      <c r="R7146" s="120"/>
      <c r="S7146" s="120"/>
      <c r="T7146" s="221"/>
      <c r="U7146" s="89"/>
      <c r="V7146" s="61"/>
      <c r="W7146" s="92" t="s">
        <v>65</v>
      </c>
      <c r="X7146" s="93" t="s">
        <v>30</v>
      </c>
      <c r="Y7146" s="93" t="s">
        <v>1011</v>
      </c>
      <c r="Z7146" s="134">
        <f>VLOOKUP(W7146,Sheet2!$B:$D,3,FALSE)</f>
        <v>1.76</v>
      </c>
      <c r="AA7146" s="93">
        <f>AA7145/10</f>
        <v>5</v>
      </c>
      <c r="AB7146" s="93">
        <f>AD7146/AC7138</f>
        <v>0.35200000000000004</v>
      </c>
      <c r="AC7146" s="93">
        <f>AC7138/AA7146</f>
        <v>9.4610099999999875</v>
      </c>
      <c r="AD7146" s="94">
        <f t="shared" si="5070"/>
        <v>16.651377599999979</v>
      </c>
      <c r="AE7146" s="190"/>
      <c r="AF7146" s="191"/>
      <c r="AG7146" s="191"/>
      <c r="AH7146" s="191"/>
      <c r="AI7146" s="186"/>
      <c r="AK7146" s="171"/>
    </row>
    <row r="7147" spans="1:41" s="103" customFormat="1" ht="19.899999999999999" customHeight="1" x14ac:dyDescent="0.25">
      <c r="A7147" s="51"/>
      <c r="B7147" s="52"/>
      <c r="C7147" s="165"/>
      <c r="D7147" s="52"/>
      <c r="E7147" s="115"/>
      <c r="F7147" s="58"/>
      <c r="G7147" s="58"/>
      <c r="H7147" s="58"/>
      <c r="I7147" s="55"/>
      <c r="J7147" s="113">
        <f>J7137</f>
        <v>47.305049999999937</v>
      </c>
      <c r="K7147" s="212">
        <f>K7137</f>
        <v>47.305049999999937</v>
      </c>
      <c r="L7147" s="58"/>
      <c r="M7147" s="58">
        <f>K7147-L7147</f>
        <v>47.305049999999937</v>
      </c>
      <c r="N7147" s="166"/>
      <c r="O7147" s="58"/>
      <c r="P7147" s="58"/>
      <c r="Q7147" s="58"/>
      <c r="R7147" s="58"/>
      <c r="S7147" s="58"/>
      <c r="T7147" s="220"/>
      <c r="U7147" s="88"/>
      <c r="V7147" s="56"/>
      <c r="W7147" s="57" t="s">
        <v>1036</v>
      </c>
      <c r="X7147" s="53"/>
      <c r="Y7147" s="91" t="s">
        <v>68</v>
      </c>
      <c r="Z7147" s="136">
        <f>AD7147/AC7147</f>
        <v>195.58333333333334</v>
      </c>
      <c r="AA7147" s="58"/>
      <c r="AB7147" s="53">
        <f>AD7147/AC7147</f>
        <v>195.58333333333334</v>
      </c>
      <c r="AC7147" s="53">
        <f>M7147+$AE$10</f>
        <v>47.305049999999937</v>
      </c>
      <c r="AD7147" s="54">
        <f>SUM(AD7148:AD7153)</f>
        <v>9252.0793624999878</v>
      </c>
      <c r="AE7147" s="184">
        <f>SUMIFS($AD$37:$AD$12971,$V$37:$V$12971,$V7147,$X$37:$X$12971,AE$13)</f>
        <v>0</v>
      </c>
      <c r="AF7147" s="185">
        <f>SUMIFS($AD$37:$AD$12971,$V$37:$V$12971,$V7147,$X$37:$X$12971,AF$13)</f>
        <v>0</v>
      </c>
      <c r="AG7147" s="185">
        <f>SUMIFS($AD$37:$AD$12971,$V$37:$V$12971,$V7147,$X$37:$X$12971,AG$13)</f>
        <v>0</v>
      </c>
      <c r="AH7147" s="187">
        <f>SUMIFS($AD$37:$AD$12971,$V$37:$V$12971,$V7147,$X$37:$X$12971,AH$13)</f>
        <v>0</v>
      </c>
      <c r="AI7147" s="161">
        <f t="shared" ref="AI7147" si="5071">SUM(AE7147:AH7147)</f>
        <v>0</v>
      </c>
      <c r="AK7147" s="172"/>
    </row>
    <row r="7148" spans="1:41" s="102" customFormat="1" ht="19.899999999999999" customHeight="1" x14ac:dyDescent="0.25">
      <c r="A7148" s="45"/>
      <c r="B7148" s="59"/>
      <c r="C7148" s="137"/>
      <c r="D7148" s="59"/>
      <c r="E7148" s="116"/>
      <c r="F7148" s="120"/>
      <c r="G7148" s="120"/>
      <c r="H7148" s="120"/>
      <c r="I7148" s="60"/>
      <c r="J7148" s="116"/>
      <c r="K7148" s="213"/>
      <c r="L7148" s="120"/>
      <c r="M7148" s="120"/>
      <c r="N7148" s="167"/>
      <c r="O7148" s="120"/>
      <c r="P7148" s="120"/>
      <c r="Q7148" s="120"/>
      <c r="R7148" s="120"/>
      <c r="S7148" s="120"/>
      <c r="T7148" s="221"/>
      <c r="U7148" s="89"/>
      <c r="V7148" s="61"/>
      <c r="W7148" s="92" t="s">
        <v>1054</v>
      </c>
      <c r="X7148" s="93" t="s">
        <v>30</v>
      </c>
      <c r="Y7148" s="93" t="s">
        <v>68</v>
      </c>
      <c r="Z7148" s="134">
        <f>VLOOKUP(W7148,Sheet2!$B:$D,3,FALSE)</f>
        <v>105</v>
      </c>
      <c r="AA7148" s="93">
        <v>1</v>
      </c>
      <c r="AB7148" s="93">
        <f>AD7148/AC7147</f>
        <v>105</v>
      </c>
      <c r="AC7148" s="93">
        <f>AC7147/AA7148</f>
        <v>47.305049999999937</v>
      </c>
      <c r="AD7148" s="94">
        <f t="shared" ref="AD7148" si="5072">AC7148*Z7148</f>
        <v>4967.0302499999934</v>
      </c>
      <c r="AE7148" s="190"/>
      <c r="AF7148" s="191"/>
      <c r="AG7148" s="191"/>
      <c r="AH7148" s="191"/>
      <c r="AI7148" s="186"/>
      <c r="AK7148" s="171"/>
    </row>
    <row r="7149" spans="1:41" s="102" customFormat="1" ht="19.899999999999999" customHeight="1" x14ac:dyDescent="0.25">
      <c r="A7149" s="45"/>
      <c r="B7149" s="59"/>
      <c r="C7149" s="137"/>
      <c r="D7149" s="59"/>
      <c r="E7149" s="116"/>
      <c r="F7149" s="120"/>
      <c r="G7149" s="120"/>
      <c r="H7149" s="120"/>
      <c r="I7149" s="60"/>
      <c r="J7149" s="116"/>
      <c r="K7149" s="213"/>
      <c r="L7149" s="120"/>
      <c r="M7149" s="120"/>
      <c r="N7149" s="167"/>
      <c r="O7149" s="120"/>
      <c r="P7149" s="120"/>
      <c r="Q7149" s="120"/>
      <c r="R7149" s="120"/>
      <c r="S7149" s="120"/>
      <c r="T7149" s="221"/>
      <c r="U7149" s="89"/>
      <c r="V7149" s="61"/>
      <c r="W7149" s="92" t="s">
        <v>1061</v>
      </c>
      <c r="X7149" s="93" t="s">
        <v>30</v>
      </c>
      <c r="Y7149" s="93" t="s">
        <v>68</v>
      </c>
      <c r="Z7149" s="134">
        <f>VLOOKUP(W7149,Sheet2!$B:$D,3,FALSE)</f>
        <v>10</v>
      </c>
      <c r="AA7149" s="93">
        <v>1</v>
      </c>
      <c r="AB7149" s="93">
        <f>AD7149/AC7147</f>
        <v>10</v>
      </c>
      <c r="AC7149" s="93">
        <f>AC7147/AA7149</f>
        <v>47.305049999999937</v>
      </c>
      <c r="AD7149" s="94">
        <f>AC7149*Z7149</f>
        <v>473.05049999999937</v>
      </c>
      <c r="AE7149" s="190"/>
      <c r="AF7149" s="191"/>
      <c r="AG7149" s="191"/>
      <c r="AH7149" s="191"/>
      <c r="AI7149" s="186"/>
      <c r="AK7149" s="171"/>
    </row>
    <row r="7150" spans="1:41" s="102" customFormat="1" ht="19.899999999999999" customHeight="1" x14ac:dyDescent="0.25">
      <c r="A7150" s="45"/>
      <c r="B7150" s="59"/>
      <c r="C7150" s="137"/>
      <c r="D7150" s="59"/>
      <c r="E7150" s="116"/>
      <c r="F7150" s="120"/>
      <c r="G7150" s="120"/>
      <c r="H7150" s="120"/>
      <c r="I7150" s="60"/>
      <c r="J7150" s="116"/>
      <c r="K7150" s="213"/>
      <c r="L7150" s="120"/>
      <c r="M7150" s="120"/>
      <c r="N7150" s="167"/>
      <c r="O7150" s="120"/>
      <c r="P7150" s="120"/>
      <c r="Q7150" s="120"/>
      <c r="R7150" s="120"/>
      <c r="S7150" s="120"/>
      <c r="T7150" s="221"/>
      <c r="U7150" s="89"/>
      <c r="V7150" s="61"/>
      <c r="W7150" s="92" t="s">
        <v>1069</v>
      </c>
      <c r="X7150" s="93" t="s">
        <v>32</v>
      </c>
      <c r="Y7150" s="93" t="s">
        <v>68</v>
      </c>
      <c r="Z7150" s="134">
        <f>VLOOKUP(W7150,Sheet2!$B:$D,3,FALSE)</f>
        <v>40</v>
      </c>
      <c r="AA7150" s="93">
        <v>1</v>
      </c>
      <c r="AB7150" s="93">
        <f>AD7150/AC7147</f>
        <v>40</v>
      </c>
      <c r="AC7150" s="93">
        <f>AC7147/AA7150</f>
        <v>47.305049999999937</v>
      </c>
      <c r="AD7150" s="94">
        <f>AC7150*Z7150</f>
        <v>1892.2019999999975</v>
      </c>
      <c r="AE7150" s="190"/>
      <c r="AF7150" s="191"/>
      <c r="AG7150" s="191"/>
      <c r="AH7150" s="191"/>
      <c r="AI7150" s="186"/>
      <c r="AK7150" s="171"/>
    </row>
    <row r="7151" spans="1:41" s="102" customFormat="1" ht="19.899999999999999" customHeight="1" x14ac:dyDescent="0.25">
      <c r="A7151" s="45"/>
      <c r="B7151" s="59"/>
      <c r="C7151" s="137"/>
      <c r="D7151" s="59"/>
      <c r="E7151" s="116"/>
      <c r="F7151" s="120"/>
      <c r="G7151" s="120"/>
      <c r="H7151" s="120"/>
      <c r="I7151" s="60"/>
      <c r="J7151" s="116"/>
      <c r="K7151" s="213"/>
      <c r="L7151" s="120"/>
      <c r="M7151" s="120"/>
      <c r="N7151" s="167"/>
      <c r="O7151" s="120"/>
      <c r="P7151" s="120"/>
      <c r="Q7151" s="120"/>
      <c r="R7151" s="120"/>
      <c r="S7151" s="120"/>
      <c r="T7151" s="221"/>
      <c r="U7151" s="89"/>
      <c r="V7151" s="61"/>
      <c r="W7151" s="92" t="s">
        <v>1032</v>
      </c>
      <c r="X7151" s="93" t="s">
        <v>30</v>
      </c>
      <c r="Y7151" s="93" t="s">
        <v>66</v>
      </c>
      <c r="Z7151" s="134">
        <f>VLOOKUP(W7151,Sheet2!$B:$D,3,FALSE)</f>
        <v>250</v>
      </c>
      <c r="AA7151" s="93">
        <f>1/(1*1*0.1)</f>
        <v>10</v>
      </c>
      <c r="AB7151" s="93">
        <f>AD7151/AC7147</f>
        <v>25</v>
      </c>
      <c r="AC7151" s="93">
        <f>AC7147/AA7151</f>
        <v>4.7305049999999937</v>
      </c>
      <c r="AD7151" s="94">
        <f>AC7151*Z7151</f>
        <v>1182.6262499999984</v>
      </c>
      <c r="AE7151" s="190"/>
      <c r="AF7151" s="191"/>
      <c r="AG7151" s="191"/>
      <c r="AH7151" s="191"/>
      <c r="AI7151" s="186"/>
      <c r="AK7151" s="171"/>
    </row>
    <row r="7152" spans="1:41" s="102" customFormat="1" ht="19.899999999999999" customHeight="1" x14ac:dyDescent="0.25">
      <c r="A7152" s="45"/>
      <c r="B7152" s="59"/>
      <c r="C7152" s="137"/>
      <c r="D7152" s="59"/>
      <c r="E7152" s="116"/>
      <c r="F7152" s="120"/>
      <c r="G7152" s="120"/>
      <c r="H7152" s="120"/>
      <c r="I7152" s="60"/>
      <c r="J7152" s="116"/>
      <c r="K7152" s="213"/>
      <c r="L7152" s="120"/>
      <c r="M7152" s="120"/>
      <c r="N7152" s="167"/>
      <c r="O7152" s="120"/>
      <c r="P7152" s="120"/>
      <c r="Q7152" s="120"/>
      <c r="R7152" s="120"/>
      <c r="S7152" s="120"/>
      <c r="T7152" s="221"/>
      <c r="U7152" s="89"/>
      <c r="V7152" s="61"/>
      <c r="W7152" s="92" t="s">
        <v>1035</v>
      </c>
      <c r="X7152" s="93" t="s">
        <v>32</v>
      </c>
      <c r="Y7152" s="93" t="s">
        <v>66</v>
      </c>
      <c r="Z7152" s="134">
        <f>VLOOKUP(W7152,Sheet2!$B:$D,3,FALSE)</f>
        <v>150</v>
      </c>
      <c r="AA7152" s="93">
        <f>AA7151</f>
        <v>10</v>
      </c>
      <c r="AB7152" s="93">
        <f>AD7152/AC7147</f>
        <v>15</v>
      </c>
      <c r="AC7152" s="93">
        <f>AC7147/AA7152</f>
        <v>4.7305049999999937</v>
      </c>
      <c r="AD7152" s="94">
        <f t="shared" ref="AD7152:AD7153" si="5073">AC7152*Z7152</f>
        <v>709.57574999999906</v>
      </c>
      <c r="AE7152" s="190"/>
      <c r="AF7152" s="191"/>
      <c r="AG7152" s="191"/>
      <c r="AH7152" s="191"/>
      <c r="AI7152" s="186"/>
      <c r="AK7152" s="171"/>
    </row>
    <row r="7153" spans="1:41" s="102" customFormat="1" ht="19.899999999999999" customHeight="1" x14ac:dyDescent="0.25">
      <c r="A7153" s="45"/>
      <c r="B7153" s="59"/>
      <c r="C7153" s="137"/>
      <c r="D7153" s="59"/>
      <c r="E7153" s="116"/>
      <c r="F7153" s="120"/>
      <c r="G7153" s="120"/>
      <c r="H7153" s="120"/>
      <c r="I7153" s="60"/>
      <c r="J7153" s="116"/>
      <c r="K7153" s="213"/>
      <c r="L7153" s="120"/>
      <c r="M7153" s="120"/>
      <c r="N7153" s="167"/>
      <c r="O7153" s="120"/>
      <c r="P7153" s="120"/>
      <c r="Q7153" s="120"/>
      <c r="R7153" s="120"/>
      <c r="S7153" s="120"/>
      <c r="T7153" s="221"/>
      <c r="U7153" s="89"/>
      <c r="V7153" s="61"/>
      <c r="W7153" s="92" t="s">
        <v>1037</v>
      </c>
      <c r="X7153" s="93" t="s">
        <v>30</v>
      </c>
      <c r="Y7153" s="93" t="s">
        <v>1038</v>
      </c>
      <c r="Z7153" s="134">
        <f>VLOOKUP(W7153,Sheet2!$B:$D,3,FALSE)</f>
        <v>175</v>
      </c>
      <c r="AA7153" s="93">
        <v>300</v>
      </c>
      <c r="AB7153" s="93">
        <f>AD7153/AC7147</f>
        <v>0.58333333333333326</v>
      </c>
      <c r="AC7153" s="93">
        <f>AC7147/AA7153</f>
        <v>0.15768349999999978</v>
      </c>
      <c r="AD7153" s="94">
        <f t="shared" si="5073"/>
        <v>27.594612499999961</v>
      </c>
      <c r="AE7153" s="190"/>
      <c r="AF7153" s="191"/>
      <c r="AG7153" s="191"/>
      <c r="AH7153" s="191"/>
      <c r="AI7153" s="186"/>
      <c r="AK7153" s="171"/>
    </row>
    <row r="7154" spans="1:41" s="103" customFormat="1" ht="19.899999999999999" customHeight="1" x14ac:dyDescent="0.25">
      <c r="A7154" s="51"/>
      <c r="B7154" s="52"/>
      <c r="C7154" s="165"/>
      <c r="D7154" s="52"/>
      <c r="E7154" s="115"/>
      <c r="F7154" s="58"/>
      <c r="G7154" s="58"/>
      <c r="H7154" s="58"/>
      <c r="I7154" s="55"/>
      <c r="J7154" s="113">
        <f>J7137</f>
        <v>47.305049999999937</v>
      </c>
      <c r="K7154" s="212">
        <f>K7137</f>
        <v>47.305049999999937</v>
      </c>
      <c r="L7154" s="58"/>
      <c r="M7154" s="58">
        <f>K7154-L7154</f>
        <v>47.305049999999937</v>
      </c>
      <c r="N7154" s="166"/>
      <c r="O7154" s="58"/>
      <c r="P7154" s="58"/>
      <c r="Q7154" s="58"/>
      <c r="R7154" s="58"/>
      <c r="S7154" s="58"/>
      <c r="T7154" s="220"/>
      <c r="U7154" s="88"/>
      <c r="V7154" s="56"/>
      <c r="W7154" s="57" t="s">
        <v>1040</v>
      </c>
      <c r="X7154" s="53"/>
      <c r="Y7154" s="91" t="s">
        <v>68</v>
      </c>
      <c r="Z7154" s="136">
        <f>AD7154/AC7154</f>
        <v>5</v>
      </c>
      <c r="AA7154" s="58"/>
      <c r="AB7154" s="53">
        <f>AD7154/AC7154</f>
        <v>5</v>
      </c>
      <c r="AC7154" s="53">
        <f>M7154+$AE$10</f>
        <v>47.305049999999937</v>
      </c>
      <c r="AD7154" s="54">
        <f>SUM(AD7155)</f>
        <v>236.52524999999969</v>
      </c>
      <c r="AE7154" s="184">
        <f>SUMIFS($AD$37:$AD$12971,$V$37:$V$12971,$V7154,$X$37:$X$12971,AE$13)</f>
        <v>0</v>
      </c>
      <c r="AF7154" s="185">
        <f>SUMIFS($AD$37:$AD$12971,$V$37:$V$12971,$V7154,$X$37:$X$12971,AF$13)</f>
        <v>0</v>
      </c>
      <c r="AG7154" s="185">
        <f>SUMIFS($AD$37:$AD$12971,$V$37:$V$12971,$V7154,$X$37:$X$12971,AG$13)</f>
        <v>0</v>
      </c>
      <c r="AH7154" s="187">
        <f>SUMIFS($AD$37:$AD$12971,$V$37:$V$12971,$V7154,$X$37:$X$12971,AH$13)</f>
        <v>0</v>
      </c>
      <c r="AI7154" s="161">
        <f t="shared" ref="AI7154" si="5074">SUM(AE7154:AH7154)</f>
        <v>0</v>
      </c>
      <c r="AK7154" s="172"/>
    </row>
    <row r="7155" spans="1:41" s="102" customFormat="1" ht="19.899999999999999" customHeight="1" x14ac:dyDescent="0.25">
      <c r="A7155" s="45"/>
      <c r="B7155" s="59"/>
      <c r="C7155" s="137"/>
      <c r="D7155" s="59"/>
      <c r="E7155" s="116"/>
      <c r="F7155" s="120"/>
      <c r="G7155" s="120"/>
      <c r="H7155" s="120"/>
      <c r="I7155" s="60"/>
      <c r="J7155" s="116"/>
      <c r="K7155" s="213"/>
      <c r="L7155" s="120"/>
      <c r="M7155" s="120"/>
      <c r="N7155" s="167"/>
      <c r="O7155" s="120"/>
      <c r="P7155" s="120"/>
      <c r="Q7155" s="120"/>
      <c r="R7155" s="120"/>
      <c r="S7155" s="120"/>
      <c r="T7155" s="221"/>
      <c r="U7155" s="89"/>
      <c r="V7155" s="61"/>
      <c r="W7155" s="92" t="s">
        <v>1039</v>
      </c>
      <c r="X7155" s="93" t="s">
        <v>32</v>
      </c>
      <c r="Y7155" s="93" t="s">
        <v>68</v>
      </c>
      <c r="Z7155" s="134">
        <f>VLOOKUP(W7155,Sheet2!$B:$D,3,FALSE)</f>
        <v>5</v>
      </c>
      <c r="AA7155" s="93">
        <v>1</v>
      </c>
      <c r="AB7155" s="93">
        <f>AD7155/AC7154</f>
        <v>5</v>
      </c>
      <c r="AC7155" s="93">
        <f>AC7154/AA7155</f>
        <v>47.305049999999937</v>
      </c>
      <c r="AD7155" s="94">
        <f t="shared" ref="AD7155" si="5075">AC7155*Z7155</f>
        <v>236.52524999999969</v>
      </c>
      <c r="AE7155" s="190"/>
      <c r="AF7155" s="191"/>
      <c r="AG7155" s="191"/>
      <c r="AH7155" s="191"/>
      <c r="AI7155" s="186"/>
      <c r="AK7155" s="171"/>
    </row>
    <row r="7156" spans="1:41" ht="20.100000000000001" customHeight="1" x14ac:dyDescent="0.25">
      <c r="A7156" s="277" t="s">
        <v>703</v>
      </c>
      <c r="B7156" s="278"/>
      <c r="C7156" s="64" t="s">
        <v>720</v>
      </c>
      <c r="D7156" s="46" t="s">
        <v>97</v>
      </c>
      <c r="E7156" s="114">
        <v>17.706950000000006</v>
      </c>
      <c r="F7156" s="44">
        <v>418</v>
      </c>
      <c r="G7156" s="44">
        <f t="shared" si="4575"/>
        <v>7401.5051000000021</v>
      </c>
      <c r="H7156" s="44">
        <f t="shared" si="4576"/>
        <v>247.84414901960784</v>
      </c>
      <c r="I7156" s="43">
        <f t="shared" si="4577"/>
        <v>4388.5639544827463</v>
      </c>
      <c r="J7156" s="112">
        <f t="shared" si="4578"/>
        <v>17.706950000000006</v>
      </c>
      <c r="K7156" s="211">
        <f t="shared" si="4579"/>
        <v>17.706950000000006</v>
      </c>
      <c r="L7156" s="44"/>
      <c r="M7156" s="44">
        <f t="shared" si="4580"/>
        <v>17.706950000000006</v>
      </c>
      <c r="N7156" s="173">
        <f t="shared" si="4581"/>
        <v>1</v>
      </c>
      <c r="O7156" s="44">
        <f t="shared" si="4582"/>
        <v>418</v>
      </c>
      <c r="P7156" s="44">
        <f t="shared" si="4583"/>
        <v>7401.5051000000021</v>
      </c>
      <c r="Q7156" s="44">
        <f t="shared" si="4584"/>
        <v>247.84414901960784</v>
      </c>
      <c r="R7156" s="44">
        <f t="shared" si="4585"/>
        <v>4388.5639544827463</v>
      </c>
      <c r="S7156" s="123"/>
      <c r="T7156" s="219">
        <f t="shared" si="4586"/>
        <v>4388.5639544827463</v>
      </c>
      <c r="U7156" s="87"/>
      <c r="V7156" s="47"/>
      <c r="W7156" s="48"/>
      <c r="X7156" s="48"/>
      <c r="Y7156" s="48"/>
      <c r="Z7156" s="135"/>
      <c r="AA7156" s="49"/>
      <c r="AB7156" s="50">
        <f t="shared" si="4587"/>
        <v>247.84414901960784</v>
      </c>
      <c r="AC7156" s="42">
        <f t="shared" si="4588"/>
        <v>17.706950000000006</v>
      </c>
      <c r="AD7156" s="90">
        <f>AD7157+AD7167+AD7174</f>
        <v>4388.5639544827463</v>
      </c>
      <c r="AE7156" s="188">
        <f t="shared" ref="AE7156" si="5076">AE7157+AE7167+AE7174</f>
        <v>0</v>
      </c>
      <c r="AF7156" s="189">
        <f t="shared" ref="AF7156" si="5077">AF7157+AF7167+AF7174</f>
        <v>0</v>
      </c>
      <c r="AG7156" s="189">
        <f t="shared" ref="AG7156" si="5078">AG7157+AG7167+AG7174</f>
        <v>0</v>
      </c>
      <c r="AH7156" s="189">
        <f t="shared" ref="AH7156" si="5079">AH7157+AH7167+AH7174</f>
        <v>0</v>
      </c>
      <c r="AI7156" s="161">
        <f t="shared" ref="AI7156" si="5080">SUM(AE7156:AH7156)</f>
        <v>0</v>
      </c>
      <c r="AK7156" s="169">
        <v>5</v>
      </c>
      <c r="AO7156" s="19" t="s">
        <v>63</v>
      </c>
    </row>
    <row r="7157" spans="1:41" s="103" customFormat="1" ht="19.899999999999999" customHeight="1" x14ac:dyDescent="0.25">
      <c r="A7157" s="51"/>
      <c r="B7157" s="52"/>
      <c r="C7157" s="165"/>
      <c r="D7157" s="52"/>
      <c r="E7157" s="115"/>
      <c r="F7157" s="58"/>
      <c r="G7157" s="58"/>
      <c r="H7157" s="58"/>
      <c r="I7157" s="55"/>
      <c r="J7157" s="113">
        <f>J7156</f>
        <v>17.706950000000006</v>
      </c>
      <c r="K7157" s="212">
        <f>K7156</f>
        <v>17.706950000000006</v>
      </c>
      <c r="L7157" s="58"/>
      <c r="M7157" s="58">
        <f>K7157-L7157</f>
        <v>17.706950000000006</v>
      </c>
      <c r="N7157" s="166"/>
      <c r="O7157" s="58"/>
      <c r="P7157" s="58"/>
      <c r="Q7157" s="58"/>
      <c r="R7157" s="58"/>
      <c r="S7157" s="58"/>
      <c r="T7157" s="220"/>
      <c r="U7157" s="88"/>
      <c r="V7157" s="56"/>
      <c r="W7157" s="57" t="s">
        <v>1050</v>
      </c>
      <c r="X7157" s="53"/>
      <c r="Y7157" s="91" t="s">
        <v>68</v>
      </c>
      <c r="Z7157" s="136">
        <f>AD7157/AC7157</f>
        <v>47.260815686274505</v>
      </c>
      <c r="AA7157" s="58"/>
      <c r="AB7157" s="53">
        <f>AD7157/AC7157</f>
        <v>47.260815686274505</v>
      </c>
      <c r="AC7157" s="53">
        <f>M7157+$AE$10</f>
        <v>17.706950000000006</v>
      </c>
      <c r="AD7157" s="54">
        <f>SUM(AD7158:AD7166)</f>
        <v>836.84490031607868</v>
      </c>
      <c r="AE7157" s="184">
        <f>SUMIFS($AD$37:$AD$12971,$V$37:$V$12971,$V7157,$X$37:$X$12971,AE$13)</f>
        <v>0</v>
      </c>
      <c r="AF7157" s="185">
        <f>SUMIFS($AD$37:$AD$12971,$V$37:$V$12971,$V7157,$X$37:$X$12971,AF$13)</f>
        <v>0</v>
      </c>
      <c r="AG7157" s="185">
        <f>SUMIFS($AD$37:$AD$12971,$V$37:$V$12971,$V7157,$X$37:$X$12971,AG$13)</f>
        <v>0</v>
      </c>
      <c r="AH7157" s="187">
        <f>SUMIFS($AD$37:$AD$12971,$V$37:$V$12971,$V7157,$X$37:$X$12971,AH$13)</f>
        <v>0</v>
      </c>
      <c r="AI7157" s="161">
        <f t="shared" ref="AI7157" si="5081">SUM(AE7157:AH7157)</f>
        <v>0</v>
      </c>
      <c r="AK7157" s="172"/>
    </row>
    <row r="7158" spans="1:41" s="102" customFormat="1" ht="19.899999999999999" customHeight="1" x14ac:dyDescent="0.25">
      <c r="A7158" s="45"/>
      <c r="B7158" s="59"/>
      <c r="C7158" s="137"/>
      <c r="D7158" s="59"/>
      <c r="E7158" s="116"/>
      <c r="F7158" s="120"/>
      <c r="G7158" s="120"/>
      <c r="H7158" s="120"/>
      <c r="I7158" s="60"/>
      <c r="J7158" s="116"/>
      <c r="K7158" s="213"/>
      <c r="L7158" s="120"/>
      <c r="M7158" s="120"/>
      <c r="N7158" s="167"/>
      <c r="O7158" s="120"/>
      <c r="P7158" s="120"/>
      <c r="Q7158" s="120"/>
      <c r="R7158" s="120"/>
      <c r="S7158" s="120"/>
      <c r="T7158" s="221"/>
      <c r="U7158" s="89"/>
      <c r="V7158" s="61"/>
      <c r="W7158" s="92" t="s">
        <v>129</v>
      </c>
      <c r="X7158" s="93" t="s">
        <v>29</v>
      </c>
      <c r="Y7158" s="93" t="s">
        <v>93</v>
      </c>
      <c r="Z7158" s="134">
        <f>VLOOKUP(W7158,Sheet2!$B:$D,3,FALSE)</f>
        <v>56</v>
      </c>
      <c r="AA7158" s="93">
        <f>100/(1*2.5)</f>
        <v>40</v>
      </c>
      <c r="AB7158" s="93">
        <f t="shared" ref="AB7158" si="5082">AD7158/AC7157</f>
        <v>1.4000000000000001</v>
      </c>
      <c r="AC7158" s="93">
        <f>AC7157/AA7158</f>
        <v>0.44267375000000014</v>
      </c>
      <c r="AD7158" s="94">
        <f t="shared" ref="AD7158:AD7159" si="5083">AC7158*Z7158</f>
        <v>24.789730000000009</v>
      </c>
      <c r="AE7158" s="190"/>
      <c r="AF7158" s="191"/>
      <c r="AG7158" s="191"/>
      <c r="AH7158" s="191"/>
      <c r="AI7158" s="186"/>
      <c r="AK7158" s="171"/>
    </row>
    <row r="7159" spans="1:41" s="102" customFormat="1" ht="19.899999999999999" customHeight="1" x14ac:dyDescent="0.25">
      <c r="A7159" s="45"/>
      <c r="B7159" s="59"/>
      <c r="C7159" s="137"/>
      <c r="D7159" s="59"/>
      <c r="E7159" s="116"/>
      <c r="F7159" s="120"/>
      <c r="G7159" s="120"/>
      <c r="H7159" s="120"/>
      <c r="I7159" s="60"/>
      <c r="J7159" s="116"/>
      <c r="K7159" s="213"/>
      <c r="L7159" s="120"/>
      <c r="M7159" s="120"/>
      <c r="N7159" s="167"/>
      <c r="O7159" s="120"/>
      <c r="P7159" s="120"/>
      <c r="Q7159" s="120"/>
      <c r="R7159" s="120"/>
      <c r="S7159" s="120"/>
      <c r="T7159" s="221"/>
      <c r="U7159" s="89"/>
      <c r="V7159" s="61"/>
      <c r="W7159" s="92" t="s">
        <v>65</v>
      </c>
      <c r="X7159" s="93" t="s">
        <v>30</v>
      </c>
      <c r="Y7159" s="93" t="s">
        <v>1011</v>
      </c>
      <c r="Z7159" s="134">
        <f>VLOOKUP(W7159,Sheet2!$B:$D,3,FALSE)</f>
        <v>1.76</v>
      </c>
      <c r="AA7159" s="93">
        <f>AA7158/14</f>
        <v>2.8571428571428572</v>
      </c>
      <c r="AB7159" s="93">
        <f>AD7159/AC7157</f>
        <v>0.6160000000000001</v>
      </c>
      <c r="AC7159" s="93">
        <f>AC7157/AA7159</f>
        <v>6.1974325000000023</v>
      </c>
      <c r="AD7159" s="94">
        <f t="shared" si="5083"/>
        <v>10.907481200000005</v>
      </c>
      <c r="AE7159" s="190"/>
      <c r="AF7159" s="191"/>
      <c r="AG7159" s="191"/>
      <c r="AH7159" s="191"/>
      <c r="AI7159" s="186"/>
      <c r="AK7159" s="171"/>
    </row>
    <row r="7160" spans="1:41" s="102" customFormat="1" ht="19.899999999999999" customHeight="1" x14ac:dyDescent="0.25">
      <c r="A7160" s="45"/>
      <c r="B7160" s="59"/>
      <c r="C7160" s="137"/>
      <c r="D7160" s="59"/>
      <c r="E7160" s="116"/>
      <c r="F7160" s="120"/>
      <c r="G7160" s="120"/>
      <c r="H7160" s="120"/>
      <c r="I7160" s="60"/>
      <c r="J7160" s="116"/>
      <c r="K7160" s="213"/>
      <c r="L7160" s="120"/>
      <c r="M7160" s="120"/>
      <c r="N7160" s="167"/>
      <c r="O7160" s="120"/>
      <c r="P7160" s="120"/>
      <c r="Q7160" s="120"/>
      <c r="R7160" s="120"/>
      <c r="S7160" s="120"/>
      <c r="T7160" s="221"/>
      <c r="U7160" s="89"/>
      <c r="V7160" s="61"/>
      <c r="W7160" s="92" t="s">
        <v>161</v>
      </c>
      <c r="X7160" s="93" t="s">
        <v>29</v>
      </c>
      <c r="Y7160" s="93" t="s">
        <v>93</v>
      </c>
      <c r="Z7160" s="134">
        <f>VLOOKUP(W7160,Sheet2!$B:$D,3,FALSE)</f>
        <v>48</v>
      </c>
      <c r="AA7160" s="93">
        <f>(16*0.85*1.5)/(1*2.5)</f>
        <v>8.16</v>
      </c>
      <c r="AB7160" s="93">
        <f>AD7160/AC7157</f>
        <v>5.882352941176471</v>
      </c>
      <c r="AC7160" s="93">
        <f>AC7157/AA7160</f>
        <v>2.1699693627450989</v>
      </c>
      <c r="AD7160" s="94">
        <f>AC7160*Z7160</f>
        <v>104.15852941176475</v>
      </c>
      <c r="AE7160" s="190"/>
      <c r="AF7160" s="191"/>
      <c r="AG7160" s="191"/>
      <c r="AH7160" s="191"/>
      <c r="AI7160" s="186"/>
      <c r="AK7160" s="171"/>
    </row>
    <row r="7161" spans="1:41" s="102" customFormat="1" ht="19.899999999999999" customHeight="1" x14ac:dyDescent="0.25">
      <c r="A7161" s="45"/>
      <c r="B7161" s="59"/>
      <c r="C7161" s="137"/>
      <c r="D7161" s="59"/>
      <c r="E7161" s="116"/>
      <c r="F7161" s="120"/>
      <c r="G7161" s="120"/>
      <c r="H7161" s="120"/>
      <c r="I7161" s="60"/>
      <c r="J7161" s="116"/>
      <c r="K7161" s="213"/>
      <c r="L7161" s="120"/>
      <c r="M7161" s="120"/>
      <c r="N7161" s="167"/>
      <c r="O7161" s="120"/>
      <c r="P7161" s="120"/>
      <c r="Q7161" s="120"/>
      <c r="R7161" s="120"/>
      <c r="S7161" s="120"/>
      <c r="T7161" s="221"/>
      <c r="U7161" s="89"/>
      <c r="V7161" s="61"/>
      <c r="W7161" s="92" t="s">
        <v>65</v>
      </c>
      <c r="X7161" s="93" t="s">
        <v>30</v>
      </c>
      <c r="Y7161" s="93" t="s">
        <v>1011</v>
      </c>
      <c r="Z7161" s="134">
        <f>VLOOKUP(W7161,Sheet2!$B:$D,3,FALSE)</f>
        <v>1.76</v>
      </c>
      <c r="AA7161" s="93">
        <f>AA7160/10</f>
        <v>0.81600000000000006</v>
      </c>
      <c r="AB7161" s="93">
        <f>AD7161/AC7157</f>
        <v>2.1568627450980391</v>
      </c>
      <c r="AC7161" s="93">
        <f>AC7157/AA7161</f>
        <v>21.699693627450987</v>
      </c>
      <c r="AD7161" s="94">
        <f>AC7161*Z7161</f>
        <v>38.19146078431374</v>
      </c>
      <c r="AE7161" s="190"/>
      <c r="AF7161" s="191"/>
      <c r="AG7161" s="191"/>
      <c r="AH7161" s="191"/>
      <c r="AI7161" s="186"/>
      <c r="AK7161" s="171"/>
    </row>
    <row r="7162" spans="1:41" s="102" customFormat="1" ht="19.899999999999999" customHeight="1" x14ac:dyDescent="0.25">
      <c r="A7162" s="45"/>
      <c r="B7162" s="59"/>
      <c r="C7162" s="137"/>
      <c r="D7162" s="59"/>
      <c r="E7162" s="116"/>
      <c r="F7162" s="120"/>
      <c r="G7162" s="120"/>
      <c r="H7162" s="120"/>
      <c r="I7162" s="60"/>
      <c r="J7162" s="116"/>
      <c r="K7162" s="213"/>
      <c r="L7162" s="120"/>
      <c r="M7162" s="120"/>
      <c r="N7162" s="167"/>
      <c r="O7162" s="120"/>
      <c r="P7162" s="120"/>
      <c r="Q7162" s="120"/>
      <c r="R7162" s="120"/>
      <c r="S7162" s="120"/>
      <c r="T7162" s="221"/>
      <c r="U7162" s="89"/>
      <c r="V7162" s="61"/>
      <c r="W7162" s="92" t="s">
        <v>1030</v>
      </c>
      <c r="X7162" s="93" t="s">
        <v>29</v>
      </c>
      <c r="Y7162" s="93" t="s">
        <v>93</v>
      </c>
      <c r="Z7162" s="134">
        <f>VLOOKUP(W7162,Sheet2!$B:$D,3,FALSE)</f>
        <v>23</v>
      </c>
      <c r="AA7162" s="93">
        <v>50</v>
      </c>
      <c r="AB7162" s="93">
        <f>AD7162/AC7157</f>
        <v>0.46</v>
      </c>
      <c r="AC7162" s="93">
        <f>AC7157/AA7162</f>
        <v>0.35413900000000015</v>
      </c>
      <c r="AD7162" s="94">
        <f t="shared" ref="AD7162:AD7166" si="5084">AC7162*Z7162</f>
        <v>8.1451970000000031</v>
      </c>
      <c r="AE7162" s="190"/>
      <c r="AF7162" s="191"/>
      <c r="AG7162" s="191"/>
      <c r="AH7162" s="191"/>
      <c r="AI7162" s="186"/>
      <c r="AK7162" s="171"/>
    </row>
    <row r="7163" spans="1:41" s="102" customFormat="1" ht="19.899999999999999" customHeight="1" x14ac:dyDescent="0.25">
      <c r="A7163" s="45"/>
      <c r="B7163" s="59"/>
      <c r="C7163" s="137"/>
      <c r="D7163" s="59"/>
      <c r="E7163" s="116"/>
      <c r="F7163" s="120"/>
      <c r="G7163" s="120"/>
      <c r="H7163" s="120"/>
      <c r="I7163" s="60"/>
      <c r="J7163" s="116"/>
      <c r="K7163" s="213"/>
      <c r="L7163" s="120"/>
      <c r="M7163" s="120"/>
      <c r="N7163" s="167"/>
      <c r="O7163" s="120"/>
      <c r="P7163" s="120"/>
      <c r="Q7163" s="120"/>
      <c r="R7163" s="120"/>
      <c r="S7163" s="120"/>
      <c r="T7163" s="221"/>
      <c r="U7163" s="89"/>
      <c r="V7163" s="61"/>
      <c r="W7163" s="92" t="s">
        <v>65</v>
      </c>
      <c r="X7163" s="93" t="s">
        <v>30</v>
      </c>
      <c r="Y7163" s="93" t="s">
        <v>1011</v>
      </c>
      <c r="Z7163" s="134">
        <f>VLOOKUP(W7163,Sheet2!$B:$D,3,FALSE)</f>
        <v>1.76</v>
      </c>
      <c r="AA7163" s="93">
        <f>AA7162/3</f>
        <v>16.666666666666668</v>
      </c>
      <c r="AB7163" s="93">
        <f>AD7163/AC7157</f>
        <v>0.1056</v>
      </c>
      <c r="AC7163" s="93">
        <f>AC7157/AA7163</f>
        <v>1.0624170000000004</v>
      </c>
      <c r="AD7163" s="94">
        <f t="shared" si="5084"/>
        <v>1.8698539200000006</v>
      </c>
      <c r="AE7163" s="190"/>
      <c r="AF7163" s="191"/>
      <c r="AG7163" s="191"/>
      <c r="AH7163" s="191"/>
      <c r="AI7163" s="186"/>
      <c r="AK7163" s="171"/>
    </row>
    <row r="7164" spans="1:41" s="102" customFormat="1" ht="19.899999999999999" customHeight="1" x14ac:dyDescent="0.25">
      <c r="A7164" s="45"/>
      <c r="B7164" s="59"/>
      <c r="C7164" s="137"/>
      <c r="D7164" s="59"/>
      <c r="E7164" s="116"/>
      <c r="F7164" s="120"/>
      <c r="G7164" s="120"/>
      <c r="H7164" s="120"/>
      <c r="I7164" s="60"/>
      <c r="J7164" s="116"/>
      <c r="K7164" s="213"/>
      <c r="L7164" s="120"/>
      <c r="M7164" s="120"/>
      <c r="N7164" s="167"/>
      <c r="O7164" s="120"/>
      <c r="P7164" s="120"/>
      <c r="Q7164" s="120"/>
      <c r="R7164" s="120"/>
      <c r="S7164" s="120"/>
      <c r="T7164" s="221"/>
      <c r="U7164" s="89"/>
      <c r="V7164" s="61"/>
      <c r="W7164" s="92" t="s">
        <v>148</v>
      </c>
      <c r="X7164" s="93" t="s">
        <v>29</v>
      </c>
      <c r="Y7164" s="93" t="s">
        <v>93</v>
      </c>
      <c r="Z7164" s="134">
        <f>VLOOKUP(W7164,Sheet2!$B:$D,3,FALSE)</f>
        <v>48</v>
      </c>
      <c r="AA7164" s="93">
        <f>AA7158</f>
        <v>40</v>
      </c>
      <c r="AB7164" s="93">
        <f>AD7164/AC7157</f>
        <v>1.2</v>
      </c>
      <c r="AC7164" s="93">
        <f>AC7157/AA7164</f>
        <v>0.44267375000000014</v>
      </c>
      <c r="AD7164" s="94">
        <f t="shared" si="5084"/>
        <v>21.248340000000006</v>
      </c>
      <c r="AE7164" s="190"/>
      <c r="AF7164" s="191"/>
      <c r="AG7164" s="191"/>
      <c r="AH7164" s="191"/>
      <c r="AI7164" s="186"/>
      <c r="AK7164" s="171"/>
    </row>
    <row r="7165" spans="1:41" s="102" customFormat="1" ht="19.899999999999999" customHeight="1" x14ac:dyDescent="0.25">
      <c r="A7165" s="45"/>
      <c r="B7165" s="59"/>
      <c r="C7165" s="137"/>
      <c r="D7165" s="59"/>
      <c r="E7165" s="116"/>
      <c r="F7165" s="120"/>
      <c r="G7165" s="120"/>
      <c r="H7165" s="120"/>
      <c r="I7165" s="60"/>
      <c r="J7165" s="116"/>
      <c r="K7165" s="213"/>
      <c r="L7165" s="120"/>
      <c r="M7165" s="120"/>
      <c r="N7165" s="167"/>
      <c r="O7165" s="120"/>
      <c r="P7165" s="120"/>
      <c r="Q7165" s="120"/>
      <c r="R7165" s="120"/>
      <c r="S7165" s="120"/>
      <c r="T7165" s="221"/>
      <c r="U7165" s="89"/>
      <c r="V7165" s="61"/>
      <c r="W7165" s="92" t="s">
        <v>65</v>
      </c>
      <c r="X7165" s="93" t="s">
        <v>30</v>
      </c>
      <c r="Y7165" s="93" t="s">
        <v>1011</v>
      </c>
      <c r="Z7165" s="134">
        <f>VLOOKUP(W7165,Sheet2!$B:$D,3,FALSE)</f>
        <v>1.76</v>
      </c>
      <c r="AA7165" s="93">
        <f>AA7164/10</f>
        <v>4</v>
      </c>
      <c r="AB7165" s="93">
        <f>AD7165/AC7157</f>
        <v>0.44</v>
      </c>
      <c r="AC7165" s="93">
        <f>AC7157/AA7165</f>
        <v>4.4267375000000015</v>
      </c>
      <c r="AD7165" s="94">
        <f t="shared" si="5084"/>
        <v>7.7910580000000031</v>
      </c>
      <c r="AE7165" s="190"/>
      <c r="AF7165" s="191"/>
      <c r="AG7165" s="191"/>
      <c r="AH7165" s="191"/>
      <c r="AI7165" s="186"/>
      <c r="AK7165" s="171"/>
    </row>
    <row r="7166" spans="1:41" s="102" customFormat="1" ht="19.899999999999999" customHeight="1" x14ac:dyDescent="0.25">
      <c r="A7166" s="45"/>
      <c r="B7166" s="59"/>
      <c r="C7166" s="137"/>
      <c r="D7166" s="59"/>
      <c r="E7166" s="116"/>
      <c r="F7166" s="120"/>
      <c r="G7166" s="120"/>
      <c r="H7166" s="120"/>
      <c r="I7166" s="60"/>
      <c r="J7166" s="116"/>
      <c r="K7166" s="213"/>
      <c r="L7166" s="120"/>
      <c r="M7166" s="120"/>
      <c r="N7166" s="167"/>
      <c r="O7166" s="120"/>
      <c r="P7166" s="120"/>
      <c r="Q7166" s="120"/>
      <c r="R7166" s="120"/>
      <c r="S7166" s="120"/>
      <c r="T7166" s="221"/>
      <c r="U7166" s="89"/>
      <c r="V7166" s="61"/>
      <c r="W7166" s="92" t="s">
        <v>1048</v>
      </c>
      <c r="X7166" s="93" t="s">
        <v>30</v>
      </c>
      <c r="Y7166" s="93" t="s">
        <v>68</v>
      </c>
      <c r="Z7166" s="134">
        <f>VLOOKUP(W7166,Sheet2!$B:$D,3,FALSE)</f>
        <v>35</v>
      </c>
      <c r="AA7166" s="93">
        <v>1</v>
      </c>
      <c r="AB7166" s="93">
        <f>AD7166/AC7157</f>
        <v>35</v>
      </c>
      <c r="AC7166" s="93">
        <f>AC7157/AA7166</f>
        <v>17.706950000000006</v>
      </c>
      <c r="AD7166" s="94">
        <f t="shared" si="5084"/>
        <v>619.74325000000022</v>
      </c>
      <c r="AE7166" s="190"/>
      <c r="AF7166" s="191"/>
      <c r="AG7166" s="191"/>
      <c r="AH7166" s="191"/>
      <c r="AI7166" s="186"/>
      <c r="AK7166" s="171"/>
    </row>
    <row r="7167" spans="1:41" s="103" customFormat="1" ht="19.899999999999999" customHeight="1" x14ac:dyDescent="0.25">
      <c r="A7167" s="51"/>
      <c r="B7167" s="52"/>
      <c r="C7167" s="165"/>
      <c r="D7167" s="52"/>
      <c r="E7167" s="115"/>
      <c r="F7167" s="58"/>
      <c r="G7167" s="58"/>
      <c r="H7167" s="58"/>
      <c r="I7167" s="55"/>
      <c r="J7167" s="113">
        <f>J7156</f>
        <v>17.706950000000006</v>
      </c>
      <c r="K7167" s="212">
        <f>K7156</f>
        <v>17.706950000000006</v>
      </c>
      <c r="L7167" s="58"/>
      <c r="M7167" s="58">
        <f>K7167-L7167</f>
        <v>17.706950000000006</v>
      </c>
      <c r="N7167" s="166"/>
      <c r="O7167" s="58"/>
      <c r="P7167" s="58"/>
      <c r="Q7167" s="58"/>
      <c r="R7167" s="58"/>
      <c r="S7167" s="58"/>
      <c r="T7167" s="220"/>
      <c r="U7167" s="88"/>
      <c r="V7167" s="56"/>
      <c r="W7167" s="57" t="s">
        <v>1036</v>
      </c>
      <c r="X7167" s="53"/>
      <c r="Y7167" s="91" t="s">
        <v>68</v>
      </c>
      <c r="Z7167" s="136">
        <f>AD7167/AC7167</f>
        <v>195.58333333333334</v>
      </c>
      <c r="AA7167" s="58"/>
      <c r="AB7167" s="53">
        <f>AD7167/AC7167</f>
        <v>195.58333333333334</v>
      </c>
      <c r="AC7167" s="53">
        <f>M7167+$AE$10</f>
        <v>17.706950000000006</v>
      </c>
      <c r="AD7167" s="54">
        <f>SUM(AD7168:AD7173)</f>
        <v>3463.184304166668</v>
      </c>
      <c r="AE7167" s="184">
        <f>SUMIFS($AD$37:$AD$12971,$V$37:$V$12971,$V7167,$X$37:$X$12971,AE$13)</f>
        <v>0</v>
      </c>
      <c r="AF7167" s="185">
        <f>SUMIFS($AD$37:$AD$12971,$V$37:$V$12971,$V7167,$X$37:$X$12971,AF$13)</f>
        <v>0</v>
      </c>
      <c r="AG7167" s="185">
        <f>SUMIFS($AD$37:$AD$12971,$V$37:$V$12971,$V7167,$X$37:$X$12971,AG$13)</f>
        <v>0</v>
      </c>
      <c r="AH7167" s="187">
        <f>SUMIFS($AD$37:$AD$12971,$V$37:$V$12971,$V7167,$X$37:$X$12971,AH$13)</f>
        <v>0</v>
      </c>
      <c r="AI7167" s="161">
        <f t="shared" ref="AI7167" si="5085">SUM(AE7167:AH7167)</f>
        <v>0</v>
      </c>
      <c r="AK7167" s="172"/>
    </row>
    <row r="7168" spans="1:41" s="102" customFormat="1" ht="19.899999999999999" customHeight="1" x14ac:dyDescent="0.25">
      <c r="A7168" s="45"/>
      <c r="B7168" s="59"/>
      <c r="C7168" s="137"/>
      <c r="D7168" s="59"/>
      <c r="E7168" s="116"/>
      <c r="F7168" s="120"/>
      <c r="G7168" s="120"/>
      <c r="H7168" s="120"/>
      <c r="I7168" s="60"/>
      <c r="J7168" s="116"/>
      <c r="K7168" s="213"/>
      <c r="L7168" s="120"/>
      <c r="M7168" s="120"/>
      <c r="N7168" s="167"/>
      <c r="O7168" s="120"/>
      <c r="P7168" s="120"/>
      <c r="Q7168" s="120"/>
      <c r="R7168" s="120"/>
      <c r="S7168" s="120"/>
      <c r="T7168" s="221"/>
      <c r="U7168" s="89"/>
      <c r="V7168" s="61"/>
      <c r="W7168" s="92" t="s">
        <v>1054</v>
      </c>
      <c r="X7168" s="93" t="s">
        <v>30</v>
      </c>
      <c r="Y7168" s="93" t="s">
        <v>68</v>
      </c>
      <c r="Z7168" s="134">
        <f>VLOOKUP(W7168,Sheet2!$B:$D,3,FALSE)</f>
        <v>105</v>
      </c>
      <c r="AA7168" s="93">
        <v>1</v>
      </c>
      <c r="AB7168" s="93">
        <f>AD7168/AC7167</f>
        <v>105</v>
      </c>
      <c r="AC7168" s="93">
        <f>AC7167/AA7168</f>
        <v>17.706950000000006</v>
      </c>
      <c r="AD7168" s="94">
        <f t="shared" ref="AD7168" si="5086">AC7168*Z7168</f>
        <v>1859.2297500000006</v>
      </c>
      <c r="AE7168" s="190"/>
      <c r="AF7168" s="191"/>
      <c r="AG7168" s="191"/>
      <c r="AH7168" s="191"/>
      <c r="AI7168" s="186"/>
      <c r="AK7168" s="171"/>
    </row>
    <row r="7169" spans="1:41" s="102" customFormat="1" ht="19.899999999999999" customHeight="1" x14ac:dyDescent="0.25">
      <c r="A7169" s="45"/>
      <c r="B7169" s="59"/>
      <c r="C7169" s="137"/>
      <c r="D7169" s="59"/>
      <c r="E7169" s="116"/>
      <c r="F7169" s="120"/>
      <c r="G7169" s="120"/>
      <c r="H7169" s="120"/>
      <c r="I7169" s="60"/>
      <c r="J7169" s="116"/>
      <c r="K7169" s="213"/>
      <c r="L7169" s="120"/>
      <c r="M7169" s="120"/>
      <c r="N7169" s="167"/>
      <c r="O7169" s="120"/>
      <c r="P7169" s="120"/>
      <c r="Q7169" s="120"/>
      <c r="R7169" s="120"/>
      <c r="S7169" s="120"/>
      <c r="T7169" s="221"/>
      <c r="U7169" s="89"/>
      <c r="V7169" s="61"/>
      <c r="W7169" s="92" t="s">
        <v>1061</v>
      </c>
      <c r="X7169" s="93" t="s">
        <v>30</v>
      </c>
      <c r="Y7169" s="93" t="s">
        <v>68</v>
      </c>
      <c r="Z7169" s="134">
        <f>VLOOKUP(W7169,Sheet2!$B:$D,3,FALSE)</f>
        <v>10</v>
      </c>
      <c r="AA7169" s="93">
        <v>1</v>
      </c>
      <c r="AB7169" s="93">
        <f>AD7169/AC7167</f>
        <v>10</v>
      </c>
      <c r="AC7169" s="93">
        <f>AC7167/AA7169</f>
        <v>17.706950000000006</v>
      </c>
      <c r="AD7169" s="94">
        <f>AC7169*Z7169</f>
        <v>177.06950000000006</v>
      </c>
      <c r="AE7169" s="190"/>
      <c r="AF7169" s="191"/>
      <c r="AG7169" s="191"/>
      <c r="AH7169" s="191"/>
      <c r="AI7169" s="186"/>
      <c r="AK7169" s="171"/>
    </row>
    <row r="7170" spans="1:41" s="102" customFormat="1" ht="19.899999999999999" customHeight="1" x14ac:dyDescent="0.25">
      <c r="A7170" s="45"/>
      <c r="B7170" s="59"/>
      <c r="C7170" s="137"/>
      <c r="D7170" s="59"/>
      <c r="E7170" s="116"/>
      <c r="F7170" s="120"/>
      <c r="G7170" s="120"/>
      <c r="H7170" s="120"/>
      <c r="I7170" s="60"/>
      <c r="J7170" s="116"/>
      <c r="K7170" s="213"/>
      <c r="L7170" s="120"/>
      <c r="M7170" s="120"/>
      <c r="N7170" s="167"/>
      <c r="O7170" s="120"/>
      <c r="P7170" s="120"/>
      <c r="Q7170" s="120"/>
      <c r="R7170" s="120"/>
      <c r="S7170" s="120"/>
      <c r="T7170" s="221"/>
      <c r="U7170" s="89"/>
      <c r="V7170" s="61"/>
      <c r="W7170" s="92" t="s">
        <v>1069</v>
      </c>
      <c r="X7170" s="93" t="s">
        <v>32</v>
      </c>
      <c r="Y7170" s="93" t="s">
        <v>68</v>
      </c>
      <c r="Z7170" s="134">
        <f>VLOOKUP(W7170,Sheet2!$B:$D,3,FALSE)</f>
        <v>40</v>
      </c>
      <c r="AA7170" s="93">
        <v>1</v>
      </c>
      <c r="AB7170" s="93">
        <f>AD7170/AC7167</f>
        <v>40</v>
      </c>
      <c r="AC7170" s="93">
        <f>AC7167/AA7170</f>
        <v>17.706950000000006</v>
      </c>
      <c r="AD7170" s="94">
        <f>AC7170*Z7170</f>
        <v>708.27800000000025</v>
      </c>
      <c r="AE7170" s="190"/>
      <c r="AF7170" s="191"/>
      <c r="AG7170" s="191"/>
      <c r="AH7170" s="191"/>
      <c r="AI7170" s="186"/>
      <c r="AK7170" s="171"/>
    </row>
    <row r="7171" spans="1:41" s="102" customFormat="1" ht="19.899999999999999" customHeight="1" x14ac:dyDescent="0.25">
      <c r="A7171" s="45"/>
      <c r="B7171" s="59"/>
      <c r="C7171" s="137"/>
      <c r="D7171" s="59"/>
      <c r="E7171" s="116"/>
      <c r="F7171" s="120"/>
      <c r="G7171" s="120"/>
      <c r="H7171" s="120"/>
      <c r="I7171" s="60"/>
      <c r="J7171" s="116"/>
      <c r="K7171" s="213"/>
      <c r="L7171" s="120"/>
      <c r="M7171" s="120"/>
      <c r="N7171" s="167"/>
      <c r="O7171" s="120"/>
      <c r="P7171" s="120"/>
      <c r="Q7171" s="120"/>
      <c r="R7171" s="120"/>
      <c r="S7171" s="120"/>
      <c r="T7171" s="221"/>
      <c r="U7171" s="89"/>
      <c r="V7171" s="61"/>
      <c r="W7171" s="92" t="s">
        <v>1032</v>
      </c>
      <c r="X7171" s="93" t="s">
        <v>30</v>
      </c>
      <c r="Y7171" s="93" t="s">
        <v>66</v>
      </c>
      <c r="Z7171" s="134">
        <f>VLOOKUP(W7171,Sheet2!$B:$D,3,FALSE)</f>
        <v>250</v>
      </c>
      <c r="AA7171" s="93">
        <f>1/(1*1*0.1)</f>
        <v>10</v>
      </c>
      <c r="AB7171" s="93">
        <f>AD7171/AC7167</f>
        <v>25</v>
      </c>
      <c r="AC7171" s="93">
        <f>AC7167/AA7171</f>
        <v>1.7706950000000006</v>
      </c>
      <c r="AD7171" s="94">
        <f>AC7171*Z7171</f>
        <v>442.67375000000015</v>
      </c>
      <c r="AE7171" s="190"/>
      <c r="AF7171" s="191"/>
      <c r="AG7171" s="191"/>
      <c r="AH7171" s="191"/>
      <c r="AI7171" s="186"/>
      <c r="AK7171" s="171"/>
    </row>
    <row r="7172" spans="1:41" s="102" customFormat="1" ht="19.899999999999999" customHeight="1" x14ac:dyDescent="0.25">
      <c r="A7172" s="45"/>
      <c r="B7172" s="59"/>
      <c r="C7172" s="137"/>
      <c r="D7172" s="59"/>
      <c r="E7172" s="116"/>
      <c r="F7172" s="120"/>
      <c r="G7172" s="120"/>
      <c r="H7172" s="120"/>
      <c r="I7172" s="60"/>
      <c r="J7172" s="116"/>
      <c r="K7172" s="213"/>
      <c r="L7172" s="120"/>
      <c r="M7172" s="120"/>
      <c r="N7172" s="167"/>
      <c r="O7172" s="120"/>
      <c r="P7172" s="120"/>
      <c r="Q7172" s="120"/>
      <c r="R7172" s="120"/>
      <c r="S7172" s="120"/>
      <c r="T7172" s="221"/>
      <c r="U7172" s="89"/>
      <c r="V7172" s="61"/>
      <c r="W7172" s="92" t="s">
        <v>1035</v>
      </c>
      <c r="X7172" s="93" t="s">
        <v>32</v>
      </c>
      <c r="Y7172" s="93" t="s">
        <v>66</v>
      </c>
      <c r="Z7172" s="134">
        <f>VLOOKUP(W7172,Sheet2!$B:$D,3,FALSE)</f>
        <v>150</v>
      </c>
      <c r="AA7172" s="93">
        <f>AA7171</f>
        <v>10</v>
      </c>
      <c r="AB7172" s="93">
        <f>AD7172/AC7167</f>
        <v>15</v>
      </c>
      <c r="AC7172" s="93">
        <f>AC7167/AA7172</f>
        <v>1.7706950000000006</v>
      </c>
      <c r="AD7172" s="94">
        <f t="shared" ref="AD7172:AD7173" si="5087">AC7172*Z7172</f>
        <v>265.60425000000009</v>
      </c>
      <c r="AE7172" s="190"/>
      <c r="AF7172" s="191"/>
      <c r="AG7172" s="191"/>
      <c r="AH7172" s="191"/>
      <c r="AI7172" s="186"/>
      <c r="AK7172" s="171"/>
    </row>
    <row r="7173" spans="1:41" s="102" customFormat="1" ht="19.899999999999999" customHeight="1" x14ac:dyDescent="0.25">
      <c r="A7173" s="45"/>
      <c r="B7173" s="59"/>
      <c r="C7173" s="137"/>
      <c r="D7173" s="59"/>
      <c r="E7173" s="116"/>
      <c r="F7173" s="120"/>
      <c r="G7173" s="120"/>
      <c r="H7173" s="120"/>
      <c r="I7173" s="60"/>
      <c r="J7173" s="116"/>
      <c r="K7173" s="213"/>
      <c r="L7173" s="120"/>
      <c r="M7173" s="120"/>
      <c r="N7173" s="167"/>
      <c r="O7173" s="120"/>
      <c r="P7173" s="120"/>
      <c r="Q7173" s="120"/>
      <c r="R7173" s="120"/>
      <c r="S7173" s="120"/>
      <c r="T7173" s="221"/>
      <c r="U7173" s="89"/>
      <c r="V7173" s="61"/>
      <c r="W7173" s="92" t="s">
        <v>1037</v>
      </c>
      <c r="X7173" s="93" t="s">
        <v>30</v>
      </c>
      <c r="Y7173" s="93" t="s">
        <v>1038</v>
      </c>
      <c r="Z7173" s="134">
        <f>VLOOKUP(W7173,Sheet2!$B:$D,3,FALSE)</f>
        <v>175</v>
      </c>
      <c r="AA7173" s="93">
        <v>300</v>
      </c>
      <c r="AB7173" s="93">
        <f>AD7173/AC7167</f>
        <v>0.58333333333333337</v>
      </c>
      <c r="AC7173" s="93">
        <f>AC7167/AA7173</f>
        <v>5.9023166666666689E-2</v>
      </c>
      <c r="AD7173" s="94">
        <f t="shared" si="5087"/>
        <v>10.329054166666671</v>
      </c>
      <c r="AE7173" s="190"/>
      <c r="AF7173" s="191"/>
      <c r="AG7173" s="191"/>
      <c r="AH7173" s="191"/>
      <c r="AI7173" s="186"/>
      <c r="AK7173" s="171"/>
    </row>
    <row r="7174" spans="1:41" s="103" customFormat="1" ht="19.899999999999999" customHeight="1" x14ac:dyDescent="0.25">
      <c r="A7174" s="51"/>
      <c r="B7174" s="52"/>
      <c r="C7174" s="165"/>
      <c r="D7174" s="52"/>
      <c r="E7174" s="115"/>
      <c r="F7174" s="58"/>
      <c r="G7174" s="58"/>
      <c r="H7174" s="58"/>
      <c r="I7174" s="55"/>
      <c r="J7174" s="113">
        <f>J7156</f>
        <v>17.706950000000006</v>
      </c>
      <c r="K7174" s="212">
        <f>K7156</f>
        <v>17.706950000000006</v>
      </c>
      <c r="L7174" s="58"/>
      <c r="M7174" s="58">
        <f>K7174-L7174</f>
        <v>17.706950000000006</v>
      </c>
      <c r="N7174" s="166"/>
      <c r="O7174" s="58"/>
      <c r="P7174" s="58"/>
      <c r="Q7174" s="58"/>
      <c r="R7174" s="58"/>
      <c r="S7174" s="58"/>
      <c r="T7174" s="220"/>
      <c r="U7174" s="88"/>
      <c r="V7174" s="56"/>
      <c r="W7174" s="57" t="s">
        <v>1040</v>
      </c>
      <c r="X7174" s="53"/>
      <c r="Y7174" s="91" t="s">
        <v>68</v>
      </c>
      <c r="Z7174" s="136">
        <f>AD7174/AC7174</f>
        <v>5</v>
      </c>
      <c r="AA7174" s="58"/>
      <c r="AB7174" s="53">
        <f>AD7174/AC7174</f>
        <v>5</v>
      </c>
      <c r="AC7174" s="53">
        <f>M7174+$AE$10</f>
        <v>17.706950000000006</v>
      </c>
      <c r="AD7174" s="54">
        <f>SUM(AD7175)</f>
        <v>88.534750000000031</v>
      </c>
      <c r="AE7174" s="184">
        <f>SUMIFS($AD$37:$AD$12971,$V$37:$V$12971,$V7174,$X$37:$X$12971,AE$13)</f>
        <v>0</v>
      </c>
      <c r="AF7174" s="185">
        <f>SUMIFS($AD$37:$AD$12971,$V$37:$V$12971,$V7174,$X$37:$X$12971,AF$13)</f>
        <v>0</v>
      </c>
      <c r="AG7174" s="185">
        <f>SUMIFS($AD$37:$AD$12971,$V$37:$V$12971,$V7174,$X$37:$X$12971,AG$13)</f>
        <v>0</v>
      </c>
      <c r="AH7174" s="187">
        <f>SUMIFS($AD$37:$AD$12971,$V$37:$V$12971,$V7174,$X$37:$X$12971,AH$13)</f>
        <v>0</v>
      </c>
      <c r="AI7174" s="161">
        <f t="shared" ref="AI7174" si="5088">SUM(AE7174:AH7174)</f>
        <v>0</v>
      </c>
      <c r="AK7174" s="172"/>
    </row>
    <row r="7175" spans="1:41" s="102" customFormat="1" ht="19.899999999999999" customHeight="1" x14ac:dyDescent="0.25">
      <c r="A7175" s="45"/>
      <c r="B7175" s="59"/>
      <c r="C7175" s="137"/>
      <c r="D7175" s="59"/>
      <c r="E7175" s="116"/>
      <c r="F7175" s="120"/>
      <c r="G7175" s="120"/>
      <c r="H7175" s="120"/>
      <c r="I7175" s="60"/>
      <c r="J7175" s="116"/>
      <c r="K7175" s="213"/>
      <c r="L7175" s="120"/>
      <c r="M7175" s="120"/>
      <c r="N7175" s="167"/>
      <c r="O7175" s="120"/>
      <c r="P7175" s="120"/>
      <c r="Q7175" s="120"/>
      <c r="R7175" s="120"/>
      <c r="S7175" s="120"/>
      <c r="T7175" s="221"/>
      <c r="U7175" s="89"/>
      <c r="V7175" s="61"/>
      <c r="W7175" s="92" t="s">
        <v>1039</v>
      </c>
      <c r="X7175" s="93" t="s">
        <v>32</v>
      </c>
      <c r="Y7175" s="93" t="s">
        <v>68</v>
      </c>
      <c r="Z7175" s="134">
        <f>VLOOKUP(W7175,Sheet2!$B:$D,3,FALSE)</f>
        <v>5</v>
      </c>
      <c r="AA7175" s="93">
        <v>1</v>
      </c>
      <c r="AB7175" s="93">
        <f>AD7175/AC7174</f>
        <v>5</v>
      </c>
      <c r="AC7175" s="93">
        <f>AC7174/AA7175</f>
        <v>17.706950000000006</v>
      </c>
      <c r="AD7175" s="94">
        <f t="shared" ref="AD7175" si="5089">AC7175*Z7175</f>
        <v>88.534750000000031</v>
      </c>
      <c r="AE7175" s="190"/>
      <c r="AF7175" s="191"/>
      <c r="AG7175" s="191"/>
      <c r="AH7175" s="191"/>
      <c r="AI7175" s="186"/>
      <c r="AK7175" s="171"/>
    </row>
    <row r="7176" spans="1:41" ht="20.100000000000001" customHeight="1" x14ac:dyDescent="0.25">
      <c r="A7176" s="277" t="s">
        <v>703</v>
      </c>
      <c r="B7176" s="278"/>
      <c r="C7176" s="64" t="s">
        <v>721</v>
      </c>
      <c r="D7176" s="46" t="s">
        <v>97</v>
      </c>
      <c r="E7176" s="114">
        <v>35.749999999999886</v>
      </c>
      <c r="F7176" s="44">
        <v>545</v>
      </c>
      <c r="G7176" s="44">
        <f t="shared" si="4575"/>
        <v>19483.749999999938</v>
      </c>
      <c r="H7176" s="44">
        <f t="shared" si="4576"/>
        <v>275.18319215686279</v>
      </c>
      <c r="I7176" s="43">
        <f t="shared" si="4577"/>
        <v>9837.7991196078128</v>
      </c>
      <c r="J7176" s="112">
        <f t="shared" si="4578"/>
        <v>35.749999999999886</v>
      </c>
      <c r="K7176" s="211">
        <f t="shared" si="4579"/>
        <v>35.749999999999886</v>
      </c>
      <c r="L7176" s="44"/>
      <c r="M7176" s="44">
        <f t="shared" si="4580"/>
        <v>35.749999999999886</v>
      </c>
      <c r="N7176" s="173">
        <f t="shared" si="4581"/>
        <v>1</v>
      </c>
      <c r="O7176" s="44">
        <f t="shared" si="4582"/>
        <v>545</v>
      </c>
      <c r="P7176" s="44">
        <f t="shared" si="4583"/>
        <v>19483.749999999938</v>
      </c>
      <c r="Q7176" s="44">
        <f t="shared" si="4584"/>
        <v>275.18319215686279</v>
      </c>
      <c r="R7176" s="44">
        <f t="shared" si="4585"/>
        <v>9837.7991196078128</v>
      </c>
      <c r="S7176" s="123"/>
      <c r="T7176" s="219">
        <f t="shared" si="4586"/>
        <v>9837.7991196078128</v>
      </c>
      <c r="U7176" s="87"/>
      <c r="V7176" s="47"/>
      <c r="W7176" s="48"/>
      <c r="X7176" s="48"/>
      <c r="Y7176" s="48"/>
      <c r="Z7176" s="135"/>
      <c r="AA7176" s="49"/>
      <c r="AB7176" s="50">
        <f t="shared" si="4587"/>
        <v>275.18319215686279</v>
      </c>
      <c r="AC7176" s="42">
        <f t="shared" si="4588"/>
        <v>35.749999999999886</v>
      </c>
      <c r="AD7176" s="90">
        <f>AD7177+AD7187+AD7194</f>
        <v>9837.7991196078128</v>
      </c>
      <c r="AE7176" s="188">
        <f t="shared" ref="AE7176" si="5090">AE7177+AE7187+AE7194</f>
        <v>0</v>
      </c>
      <c r="AF7176" s="189">
        <f t="shared" ref="AF7176" si="5091">AF7177+AF7187+AF7194</f>
        <v>0</v>
      </c>
      <c r="AG7176" s="189">
        <f t="shared" ref="AG7176" si="5092">AG7177+AG7187+AG7194</f>
        <v>0</v>
      </c>
      <c r="AH7176" s="189">
        <f t="shared" ref="AH7176" si="5093">AH7177+AH7187+AH7194</f>
        <v>0</v>
      </c>
      <c r="AI7176" s="161">
        <f t="shared" ref="AI7176:AI7196" si="5094">SUM(AE7176:AH7176)</f>
        <v>0</v>
      </c>
      <c r="AK7176" s="169">
        <v>5</v>
      </c>
      <c r="AO7176" s="19" t="s">
        <v>63</v>
      </c>
    </row>
    <row r="7177" spans="1:41" s="103" customFormat="1" ht="19.899999999999999" customHeight="1" x14ac:dyDescent="0.25">
      <c r="A7177" s="51"/>
      <c r="B7177" s="52"/>
      <c r="C7177" s="165"/>
      <c r="D7177" s="52"/>
      <c r="E7177" s="115"/>
      <c r="F7177" s="58"/>
      <c r="G7177" s="58"/>
      <c r="H7177" s="58"/>
      <c r="I7177" s="55"/>
      <c r="J7177" s="113">
        <f>J7176</f>
        <v>35.749999999999886</v>
      </c>
      <c r="K7177" s="212">
        <f>K7176</f>
        <v>35.749999999999886</v>
      </c>
      <c r="L7177" s="58"/>
      <c r="M7177" s="58">
        <f>K7177-L7177</f>
        <v>35.749999999999886</v>
      </c>
      <c r="N7177" s="166"/>
      <c r="O7177" s="58"/>
      <c r="P7177" s="58"/>
      <c r="Q7177" s="58"/>
      <c r="R7177" s="58"/>
      <c r="S7177" s="58"/>
      <c r="T7177" s="220"/>
      <c r="U7177" s="88"/>
      <c r="V7177" s="56"/>
      <c r="W7177" s="57" t="s">
        <v>1051</v>
      </c>
      <c r="X7177" s="53"/>
      <c r="Y7177" s="91" t="s">
        <v>68</v>
      </c>
      <c r="Z7177" s="136">
        <f>AD7177/AC7177</f>
        <v>74.599858823529416</v>
      </c>
      <c r="AA7177" s="58"/>
      <c r="AB7177" s="53">
        <f>AD7177/AC7177</f>
        <v>74.599858823529416</v>
      </c>
      <c r="AC7177" s="53">
        <f>M7177+$AE$10</f>
        <v>35.749999999999886</v>
      </c>
      <c r="AD7177" s="54">
        <f>SUM(AD7178:AD7186)</f>
        <v>2666.9449529411681</v>
      </c>
      <c r="AE7177" s="184">
        <f>SUMIFS($AD$37:$AD$12971,$V$37:$V$12971,$V7177,$X$37:$X$12971,AE$13)</f>
        <v>0</v>
      </c>
      <c r="AF7177" s="185">
        <f>SUMIFS($AD$37:$AD$12971,$V$37:$V$12971,$V7177,$X$37:$X$12971,AF$13)</f>
        <v>0</v>
      </c>
      <c r="AG7177" s="185">
        <f>SUMIFS($AD$37:$AD$12971,$V$37:$V$12971,$V7177,$X$37:$X$12971,AG$13)</f>
        <v>0</v>
      </c>
      <c r="AH7177" s="187">
        <f>SUMIFS($AD$37:$AD$12971,$V$37:$V$12971,$V7177,$X$37:$X$12971,AH$13)</f>
        <v>0</v>
      </c>
      <c r="AI7177" s="161">
        <f t="shared" ref="AI7177" si="5095">SUM(AE7177:AH7177)</f>
        <v>0</v>
      </c>
      <c r="AK7177" s="172"/>
    </row>
    <row r="7178" spans="1:41" s="102" customFormat="1" ht="19.899999999999999" customHeight="1" x14ac:dyDescent="0.25">
      <c r="A7178" s="45"/>
      <c r="B7178" s="59"/>
      <c r="C7178" s="137"/>
      <c r="D7178" s="59"/>
      <c r="E7178" s="116"/>
      <c r="F7178" s="120"/>
      <c r="G7178" s="120"/>
      <c r="H7178" s="120"/>
      <c r="I7178" s="60"/>
      <c r="J7178" s="116"/>
      <c r="K7178" s="213"/>
      <c r="L7178" s="120"/>
      <c r="M7178" s="120"/>
      <c r="N7178" s="167"/>
      <c r="O7178" s="120"/>
      <c r="P7178" s="120"/>
      <c r="Q7178" s="120"/>
      <c r="R7178" s="120"/>
      <c r="S7178" s="120"/>
      <c r="T7178" s="221"/>
      <c r="U7178" s="89"/>
      <c r="V7178" s="61"/>
      <c r="W7178" s="92" t="s">
        <v>129</v>
      </c>
      <c r="X7178" s="93" t="s">
        <v>29</v>
      </c>
      <c r="Y7178" s="93" t="s">
        <v>93</v>
      </c>
      <c r="Z7178" s="134">
        <f>VLOOKUP(W7178,Sheet2!$B:$D,3,FALSE)</f>
        <v>56</v>
      </c>
      <c r="AA7178" s="93">
        <f>100/(1*3)</f>
        <v>33.333333333333336</v>
      </c>
      <c r="AB7178" s="93">
        <f t="shared" ref="AB7178" si="5096">AD7178/AC7177</f>
        <v>1.68</v>
      </c>
      <c r="AC7178" s="93">
        <f>AC7177/AA7178</f>
        <v>1.0724999999999965</v>
      </c>
      <c r="AD7178" s="94">
        <f t="shared" ref="AD7178:AD7179" si="5097">AC7178*Z7178</f>
        <v>60.059999999999803</v>
      </c>
      <c r="AE7178" s="190"/>
      <c r="AF7178" s="191"/>
      <c r="AG7178" s="191"/>
      <c r="AH7178" s="191"/>
      <c r="AI7178" s="186"/>
      <c r="AK7178" s="171"/>
    </row>
    <row r="7179" spans="1:41" s="102" customFormat="1" ht="19.899999999999999" customHeight="1" x14ac:dyDescent="0.25">
      <c r="A7179" s="45"/>
      <c r="B7179" s="59"/>
      <c r="C7179" s="137"/>
      <c r="D7179" s="59"/>
      <c r="E7179" s="116"/>
      <c r="F7179" s="120"/>
      <c r="G7179" s="120"/>
      <c r="H7179" s="120"/>
      <c r="I7179" s="60"/>
      <c r="J7179" s="116"/>
      <c r="K7179" s="213"/>
      <c r="L7179" s="120"/>
      <c r="M7179" s="120"/>
      <c r="N7179" s="167"/>
      <c r="O7179" s="120"/>
      <c r="P7179" s="120"/>
      <c r="Q7179" s="120"/>
      <c r="R7179" s="120"/>
      <c r="S7179" s="120"/>
      <c r="T7179" s="221"/>
      <c r="U7179" s="89"/>
      <c r="V7179" s="61"/>
      <c r="W7179" s="92" t="s">
        <v>65</v>
      </c>
      <c r="X7179" s="93" t="s">
        <v>30</v>
      </c>
      <c r="Y7179" s="93" t="s">
        <v>1011</v>
      </c>
      <c r="Z7179" s="134">
        <f>VLOOKUP(W7179,Sheet2!$B:$D,3,FALSE)</f>
        <v>1.76</v>
      </c>
      <c r="AA7179" s="93">
        <f>AA7178/14</f>
        <v>2.3809523809523809</v>
      </c>
      <c r="AB7179" s="93">
        <f>AD7179/AC7177</f>
        <v>0.73919999999999997</v>
      </c>
      <c r="AC7179" s="93">
        <f>AC7177/AA7179</f>
        <v>15.014999999999953</v>
      </c>
      <c r="AD7179" s="94">
        <f t="shared" si="5097"/>
        <v>26.426399999999916</v>
      </c>
      <c r="AE7179" s="190"/>
      <c r="AF7179" s="191"/>
      <c r="AG7179" s="191"/>
      <c r="AH7179" s="191"/>
      <c r="AI7179" s="186"/>
      <c r="AK7179" s="171"/>
    </row>
    <row r="7180" spans="1:41" s="102" customFormat="1" ht="19.899999999999999" customHeight="1" x14ac:dyDescent="0.25">
      <c r="A7180" s="45"/>
      <c r="B7180" s="59"/>
      <c r="C7180" s="137"/>
      <c r="D7180" s="59"/>
      <c r="E7180" s="116"/>
      <c r="F7180" s="120"/>
      <c r="G7180" s="120"/>
      <c r="H7180" s="120"/>
      <c r="I7180" s="60"/>
      <c r="J7180" s="116"/>
      <c r="K7180" s="213"/>
      <c r="L7180" s="120"/>
      <c r="M7180" s="120"/>
      <c r="N7180" s="167"/>
      <c r="O7180" s="120"/>
      <c r="P7180" s="120"/>
      <c r="Q7180" s="120"/>
      <c r="R7180" s="120"/>
      <c r="S7180" s="120"/>
      <c r="T7180" s="221"/>
      <c r="U7180" s="89"/>
      <c r="V7180" s="61"/>
      <c r="W7180" s="92" t="s">
        <v>161</v>
      </c>
      <c r="X7180" s="93" t="s">
        <v>29</v>
      </c>
      <c r="Y7180" s="93" t="s">
        <v>93</v>
      </c>
      <c r="Z7180" s="134">
        <f>VLOOKUP(W7180,Sheet2!$B:$D,3,FALSE)</f>
        <v>48</v>
      </c>
      <c r="AA7180" s="93">
        <f>(16*0.85*1.5)/(1*3)</f>
        <v>6.8</v>
      </c>
      <c r="AB7180" s="93">
        <f>AD7180/AC7177</f>
        <v>7.0588235294117654</v>
      </c>
      <c r="AC7180" s="93">
        <f>AC7177/AA7180</f>
        <v>5.2573529411764541</v>
      </c>
      <c r="AD7180" s="94">
        <f>AC7180*Z7180</f>
        <v>252.35294117646981</v>
      </c>
      <c r="AE7180" s="190"/>
      <c r="AF7180" s="191"/>
      <c r="AG7180" s="191"/>
      <c r="AH7180" s="191"/>
      <c r="AI7180" s="186"/>
      <c r="AK7180" s="171"/>
    </row>
    <row r="7181" spans="1:41" s="102" customFormat="1" ht="19.899999999999999" customHeight="1" x14ac:dyDescent="0.25">
      <c r="A7181" s="45"/>
      <c r="B7181" s="59"/>
      <c r="C7181" s="137"/>
      <c r="D7181" s="59"/>
      <c r="E7181" s="116"/>
      <c r="F7181" s="120"/>
      <c r="G7181" s="120"/>
      <c r="H7181" s="120"/>
      <c r="I7181" s="60"/>
      <c r="J7181" s="116"/>
      <c r="K7181" s="213"/>
      <c r="L7181" s="120"/>
      <c r="M7181" s="120"/>
      <c r="N7181" s="167"/>
      <c r="O7181" s="120"/>
      <c r="P7181" s="120"/>
      <c r="Q7181" s="120"/>
      <c r="R7181" s="120"/>
      <c r="S7181" s="120"/>
      <c r="T7181" s="221"/>
      <c r="U7181" s="89"/>
      <c r="V7181" s="61"/>
      <c r="W7181" s="92" t="s">
        <v>65</v>
      </c>
      <c r="X7181" s="93" t="s">
        <v>30</v>
      </c>
      <c r="Y7181" s="93" t="s">
        <v>1011</v>
      </c>
      <c r="Z7181" s="134">
        <f>VLOOKUP(W7181,Sheet2!$B:$D,3,FALSE)</f>
        <v>1.76</v>
      </c>
      <c r="AA7181" s="93">
        <f>AA7180/10</f>
        <v>0.67999999999999994</v>
      </c>
      <c r="AB7181" s="93">
        <f>AD7181/AC7177</f>
        <v>2.5882352941176472</v>
      </c>
      <c r="AC7181" s="93">
        <f>AC7177/AA7181</f>
        <v>52.573529411764547</v>
      </c>
      <c r="AD7181" s="94">
        <f>AC7181*Z7181</f>
        <v>92.5294117647056</v>
      </c>
      <c r="AE7181" s="190"/>
      <c r="AF7181" s="191"/>
      <c r="AG7181" s="191"/>
      <c r="AH7181" s="191"/>
      <c r="AI7181" s="186"/>
      <c r="AK7181" s="171"/>
    </row>
    <row r="7182" spans="1:41" s="102" customFormat="1" ht="19.899999999999999" customHeight="1" x14ac:dyDescent="0.25">
      <c r="A7182" s="45"/>
      <c r="B7182" s="59"/>
      <c r="C7182" s="137"/>
      <c r="D7182" s="59"/>
      <c r="E7182" s="116"/>
      <c r="F7182" s="120"/>
      <c r="G7182" s="120"/>
      <c r="H7182" s="120"/>
      <c r="I7182" s="60"/>
      <c r="J7182" s="116"/>
      <c r="K7182" s="213"/>
      <c r="L7182" s="120"/>
      <c r="M7182" s="120"/>
      <c r="N7182" s="167"/>
      <c r="O7182" s="120"/>
      <c r="P7182" s="120"/>
      <c r="Q7182" s="120"/>
      <c r="R7182" s="120"/>
      <c r="S7182" s="120"/>
      <c r="T7182" s="221"/>
      <c r="U7182" s="89"/>
      <c r="V7182" s="61"/>
      <c r="W7182" s="92" t="s">
        <v>1030</v>
      </c>
      <c r="X7182" s="93" t="s">
        <v>29</v>
      </c>
      <c r="Y7182" s="93" t="s">
        <v>93</v>
      </c>
      <c r="Z7182" s="134">
        <f>VLOOKUP(W7182,Sheet2!$B:$D,3,FALSE)</f>
        <v>23</v>
      </c>
      <c r="AA7182" s="93">
        <v>50</v>
      </c>
      <c r="AB7182" s="93">
        <f>AD7182/AC7177</f>
        <v>0.45999999999999996</v>
      </c>
      <c r="AC7182" s="93">
        <f>AC7177/AA7182</f>
        <v>0.71499999999999775</v>
      </c>
      <c r="AD7182" s="94">
        <f t="shared" ref="AD7182:AD7186" si="5098">AC7182*Z7182</f>
        <v>16.444999999999947</v>
      </c>
      <c r="AE7182" s="190"/>
      <c r="AF7182" s="191"/>
      <c r="AG7182" s="191"/>
      <c r="AH7182" s="191"/>
      <c r="AI7182" s="186"/>
      <c r="AK7182" s="171"/>
    </row>
    <row r="7183" spans="1:41" s="102" customFormat="1" ht="19.899999999999999" customHeight="1" x14ac:dyDescent="0.25">
      <c r="A7183" s="45"/>
      <c r="B7183" s="59"/>
      <c r="C7183" s="137"/>
      <c r="D7183" s="59"/>
      <c r="E7183" s="116"/>
      <c r="F7183" s="120"/>
      <c r="G7183" s="120"/>
      <c r="H7183" s="120"/>
      <c r="I7183" s="60"/>
      <c r="J7183" s="116"/>
      <c r="K7183" s="213"/>
      <c r="L7183" s="120"/>
      <c r="M7183" s="120"/>
      <c r="N7183" s="167"/>
      <c r="O7183" s="120"/>
      <c r="P7183" s="120"/>
      <c r="Q7183" s="120"/>
      <c r="R7183" s="120"/>
      <c r="S7183" s="120"/>
      <c r="T7183" s="221"/>
      <c r="U7183" s="89"/>
      <c r="V7183" s="61"/>
      <c r="W7183" s="92" t="s">
        <v>65</v>
      </c>
      <c r="X7183" s="93" t="s">
        <v>30</v>
      </c>
      <c r="Y7183" s="93" t="s">
        <v>1011</v>
      </c>
      <c r="Z7183" s="134">
        <f>VLOOKUP(W7183,Sheet2!$B:$D,3,FALSE)</f>
        <v>1.76</v>
      </c>
      <c r="AA7183" s="93">
        <f>AA7182/3</f>
        <v>16.666666666666668</v>
      </c>
      <c r="AB7183" s="93">
        <f>AD7183/AC7177</f>
        <v>0.10559999999999999</v>
      </c>
      <c r="AC7183" s="93">
        <f>AC7177/AA7183</f>
        <v>2.1449999999999929</v>
      </c>
      <c r="AD7183" s="94">
        <f t="shared" si="5098"/>
        <v>3.7751999999999875</v>
      </c>
      <c r="AE7183" s="190"/>
      <c r="AF7183" s="191"/>
      <c r="AG7183" s="191"/>
      <c r="AH7183" s="191"/>
      <c r="AI7183" s="186"/>
      <c r="AK7183" s="171"/>
    </row>
    <row r="7184" spans="1:41" s="102" customFormat="1" ht="19.899999999999999" customHeight="1" x14ac:dyDescent="0.25">
      <c r="A7184" s="45"/>
      <c r="B7184" s="59"/>
      <c r="C7184" s="137"/>
      <c r="D7184" s="59"/>
      <c r="E7184" s="116"/>
      <c r="F7184" s="120"/>
      <c r="G7184" s="120"/>
      <c r="H7184" s="120"/>
      <c r="I7184" s="60"/>
      <c r="J7184" s="116"/>
      <c r="K7184" s="213"/>
      <c r="L7184" s="120"/>
      <c r="M7184" s="120"/>
      <c r="N7184" s="167"/>
      <c r="O7184" s="120"/>
      <c r="P7184" s="120"/>
      <c r="Q7184" s="120"/>
      <c r="R7184" s="120"/>
      <c r="S7184" s="120"/>
      <c r="T7184" s="221"/>
      <c r="U7184" s="89"/>
      <c r="V7184" s="61"/>
      <c r="W7184" s="92" t="s">
        <v>148</v>
      </c>
      <c r="X7184" s="93" t="s">
        <v>29</v>
      </c>
      <c r="Y7184" s="93" t="s">
        <v>93</v>
      </c>
      <c r="Z7184" s="134">
        <f>VLOOKUP(W7184,Sheet2!$B:$D,3,FALSE)</f>
        <v>48</v>
      </c>
      <c r="AA7184" s="93">
        <f>AA7178</f>
        <v>33.333333333333336</v>
      </c>
      <c r="AB7184" s="93">
        <f>AD7184/AC7177</f>
        <v>1.44</v>
      </c>
      <c r="AC7184" s="93">
        <f>AC7177/AA7184</f>
        <v>1.0724999999999965</v>
      </c>
      <c r="AD7184" s="94">
        <f t="shared" si="5098"/>
        <v>51.479999999999833</v>
      </c>
      <c r="AE7184" s="190"/>
      <c r="AF7184" s="191"/>
      <c r="AG7184" s="191"/>
      <c r="AH7184" s="191"/>
      <c r="AI7184" s="186"/>
      <c r="AK7184" s="171"/>
    </row>
    <row r="7185" spans="1:41" s="102" customFormat="1" ht="19.899999999999999" customHeight="1" x14ac:dyDescent="0.25">
      <c r="A7185" s="45"/>
      <c r="B7185" s="59"/>
      <c r="C7185" s="137"/>
      <c r="D7185" s="59"/>
      <c r="E7185" s="116"/>
      <c r="F7185" s="120"/>
      <c r="G7185" s="120"/>
      <c r="H7185" s="120"/>
      <c r="I7185" s="60"/>
      <c r="J7185" s="116"/>
      <c r="K7185" s="213"/>
      <c r="L7185" s="120"/>
      <c r="M7185" s="120"/>
      <c r="N7185" s="167"/>
      <c r="O7185" s="120"/>
      <c r="P7185" s="120"/>
      <c r="Q7185" s="120"/>
      <c r="R7185" s="120"/>
      <c r="S7185" s="120"/>
      <c r="T7185" s="221"/>
      <c r="U7185" s="89"/>
      <c r="V7185" s="61"/>
      <c r="W7185" s="92" t="s">
        <v>65</v>
      </c>
      <c r="X7185" s="93" t="s">
        <v>30</v>
      </c>
      <c r="Y7185" s="93" t="s">
        <v>1011</v>
      </c>
      <c r="Z7185" s="134">
        <f>VLOOKUP(W7185,Sheet2!$B:$D,3,FALSE)</f>
        <v>1.76</v>
      </c>
      <c r="AA7185" s="93">
        <f>AA7184/10</f>
        <v>3.3333333333333335</v>
      </c>
      <c r="AB7185" s="93">
        <f>AD7185/AC7177</f>
        <v>0.52800000000000002</v>
      </c>
      <c r="AC7185" s="93">
        <f>AC7177/AA7185</f>
        <v>10.724999999999966</v>
      </c>
      <c r="AD7185" s="94">
        <f t="shared" si="5098"/>
        <v>18.875999999999941</v>
      </c>
      <c r="AE7185" s="190"/>
      <c r="AF7185" s="191"/>
      <c r="AG7185" s="191"/>
      <c r="AH7185" s="191"/>
      <c r="AI7185" s="186"/>
      <c r="AK7185" s="171"/>
    </row>
    <row r="7186" spans="1:41" s="102" customFormat="1" ht="19.899999999999999" customHeight="1" x14ac:dyDescent="0.25">
      <c r="A7186" s="45"/>
      <c r="B7186" s="59"/>
      <c r="C7186" s="137"/>
      <c r="D7186" s="59"/>
      <c r="E7186" s="116"/>
      <c r="F7186" s="120"/>
      <c r="G7186" s="120"/>
      <c r="H7186" s="120"/>
      <c r="I7186" s="60"/>
      <c r="J7186" s="116"/>
      <c r="K7186" s="213"/>
      <c r="L7186" s="120"/>
      <c r="M7186" s="120"/>
      <c r="N7186" s="167"/>
      <c r="O7186" s="120"/>
      <c r="P7186" s="120"/>
      <c r="Q7186" s="120"/>
      <c r="R7186" s="120"/>
      <c r="S7186" s="120"/>
      <c r="T7186" s="221"/>
      <c r="U7186" s="89"/>
      <c r="V7186" s="61"/>
      <c r="W7186" s="92" t="s">
        <v>1049</v>
      </c>
      <c r="X7186" s="93" t="s">
        <v>30</v>
      </c>
      <c r="Y7186" s="93" t="s">
        <v>68</v>
      </c>
      <c r="Z7186" s="134">
        <f>VLOOKUP(W7186,Sheet2!$B:$D,3,FALSE)</f>
        <v>60</v>
      </c>
      <c r="AA7186" s="93">
        <v>1</v>
      </c>
      <c r="AB7186" s="93">
        <f>AD7186/AC7177</f>
        <v>60</v>
      </c>
      <c r="AC7186" s="93">
        <f>AC7177/AA7186</f>
        <v>35.749999999999886</v>
      </c>
      <c r="AD7186" s="94">
        <f t="shared" si="5098"/>
        <v>2144.9999999999932</v>
      </c>
      <c r="AE7186" s="190"/>
      <c r="AF7186" s="191"/>
      <c r="AG7186" s="191"/>
      <c r="AH7186" s="191"/>
      <c r="AI7186" s="186"/>
      <c r="AK7186" s="171"/>
    </row>
    <row r="7187" spans="1:41" s="103" customFormat="1" ht="19.899999999999999" customHeight="1" x14ac:dyDescent="0.25">
      <c r="A7187" s="51"/>
      <c r="B7187" s="52"/>
      <c r="C7187" s="165"/>
      <c r="D7187" s="52"/>
      <c r="E7187" s="115"/>
      <c r="F7187" s="58"/>
      <c r="G7187" s="58"/>
      <c r="H7187" s="58"/>
      <c r="I7187" s="55"/>
      <c r="J7187" s="113">
        <f>J7176</f>
        <v>35.749999999999886</v>
      </c>
      <c r="K7187" s="212">
        <f>K7176</f>
        <v>35.749999999999886</v>
      </c>
      <c r="L7187" s="58"/>
      <c r="M7187" s="58">
        <f>K7187-L7187</f>
        <v>35.749999999999886</v>
      </c>
      <c r="N7187" s="166"/>
      <c r="O7187" s="58"/>
      <c r="P7187" s="58"/>
      <c r="Q7187" s="58"/>
      <c r="R7187" s="58"/>
      <c r="S7187" s="58"/>
      <c r="T7187" s="220"/>
      <c r="U7187" s="88"/>
      <c r="V7187" s="56"/>
      <c r="W7187" s="57" t="s">
        <v>1036</v>
      </c>
      <c r="X7187" s="53"/>
      <c r="Y7187" s="91" t="s">
        <v>68</v>
      </c>
      <c r="Z7187" s="136">
        <f>AD7187/AC7187</f>
        <v>195.58333333333334</v>
      </c>
      <c r="AA7187" s="58"/>
      <c r="AB7187" s="53">
        <f>AD7187/AC7187</f>
        <v>195.58333333333334</v>
      </c>
      <c r="AC7187" s="53">
        <f>M7187+$AE$10</f>
        <v>35.749999999999886</v>
      </c>
      <c r="AD7187" s="54">
        <f>SUM(AD7188:AD7193)</f>
        <v>6992.1041666666451</v>
      </c>
      <c r="AE7187" s="184">
        <f>SUMIFS($AD$37:$AD$12971,$V$37:$V$12971,$V7187,$X$37:$X$12971,AE$13)</f>
        <v>0</v>
      </c>
      <c r="AF7187" s="185">
        <f>SUMIFS($AD$37:$AD$12971,$V$37:$V$12971,$V7187,$X$37:$X$12971,AF$13)</f>
        <v>0</v>
      </c>
      <c r="AG7187" s="185">
        <f>SUMIFS($AD$37:$AD$12971,$V$37:$V$12971,$V7187,$X$37:$X$12971,AG$13)</f>
        <v>0</v>
      </c>
      <c r="AH7187" s="187">
        <f>SUMIFS($AD$37:$AD$12971,$V$37:$V$12971,$V7187,$X$37:$X$12971,AH$13)</f>
        <v>0</v>
      </c>
      <c r="AI7187" s="161">
        <f t="shared" ref="AI7187" si="5099">SUM(AE7187:AH7187)</f>
        <v>0</v>
      </c>
      <c r="AK7187" s="172"/>
    </row>
    <row r="7188" spans="1:41" s="102" customFormat="1" ht="19.899999999999999" customHeight="1" x14ac:dyDescent="0.25">
      <c r="A7188" s="45"/>
      <c r="B7188" s="59"/>
      <c r="C7188" s="137"/>
      <c r="D7188" s="59"/>
      <c r="E7188" s="116"/>
      <c r="F7188" s="120"/>
      <c r="G7188" s="120"/>
      <c r="H7188" s="120"/>
      <c r="I7188" s="60"/>
      <c r="J7188" s="116"/>
      <c r="K7188" s="213"/>
      <c r="L7188" s="120"/>
      <c r="M7188" s="120"/>
      <c r="N7188" s="167"/>
      <c r="O7188" s="120"/>
      <c r="P7188" s="120"/>
      <c r="Q7188" s="120"/>
      <c r="R7188" s="120"/>
      <c r="S7188" s="120"/>
      <c r="T7188" s="221"/>
      <c r="U7188" s="89"/>
      <c r="V7188" s="61"/>
      <c r="W7188" s="92" t="s">
        <v>1054</v>
      </c>
      <c r="X7188" s="93" t="s">
        <v>30</v>
      </c>
      <c r="Y7188" s="93" t="s">
        <v>68</v>
      </c>
      <c r="Z7188" s="134">
        <f>VLOOKUP(W7188,Sheet2!$B:$D,3,FALSE)</f>
        <v>105</v>
      </c>
      <c r="AA7188" s="93">
        <v>1</v>
      </c>
      <c r="AB7188" s="93">
        <f>AD7188/AC7187</f>
        <v>105</v>
      </c>
      <c r="AC7188" s="93">
        <f>AC7187/AA7188</f>
        <v>35.749999999999886</v>
      </c>
      <c r="AD7188" s="94">
        <f t="shared" ref="AD7188" si="5100">AC7188*Z7188</f>
        <v>3753.7499999999882</v>
      </c>
      <c r="AE7188" s="190"/>
      <c r="AF7188" s="191"/>
      <c r="AG7188" s="191"/>
      <c r="AH7188" s="191"/>
      <c r="AI7188" s="186"/>
      <c r="AK7188" s="171"/>
    </row>
    <row r="7189" spans="1:41" s="102" customFormat="1" ht="19.899999999999999" customHeight="1" x14ac:dyDescent="0.25">
      <c r="A7189" s="45"/>
      <c r="B7189" s="59"/>
      <c r="C7189" s="137"/>
      <c r="D7189" s="59"/>
      <c r="E7189" s="116"/>
      <c r="F7189" s="120"/>
      <c r="G7189" s="120"/>
      <c r="H7189" s="120"/>
      <c r="I7189" s="60"/>
      <c r="J7189" s="116"/>
      <c r="K7189" s="213"/>
      <c r="L7189" s="120"/>
      <c r="M7189" s="120"/>
      <c r="N7189" s="167"/>
      <c r="O7189" s="120"/>
      <c r="P7189" s="120"/>
      <c r="Q7189" s="120"/>
      <c r="R7189" s="120"/>
      <c r="S7189" s="120"/>
      <c r="T7189" s="221"/>
      <c r="U7189" s="89"/>
      <c r="V7189" s="61"/>
      <c r="W7189" s="92" t="s">
        <v>1061</v>
      </c>
      <c r="X7189" s="93" t="s">
        <v>30</v>
      </c>
      <c r="Y7189" s="93" t="s">
        <v>68</v>
      </c>
      <c r="Z7189" s="134">
        <f>VLOOKUP(W7189,Sheet2!$B:$D,3,FALSE)</f>
        <v>10</v>
      </c>
      <c r="AA7189" s="93">
        <v>1</v>
      </c>
      <c r="AB7189" s="93">
        <f>AD7189/AC7187</f>
        <v>10</v>
      </c>
      <c r="AC7189" s="93">
        <f>AC7187/AA7189</f>
        <v>35.749999999999886</v>
      </c>
      <c r="AD7189" s="94">
        <f>AC7189*Z7189</f>
        <v>357.49999999999886</v>
      </c>
      <c r="AE7189" s="190"/>
      <c r="AF7189" s="191"/>
      <c r="AG7189" s="191"/>
      <c r="AH7189" s="191"/>
      <c r="AI7189" s="186"/>
      <c r="AK7189" s="171"/>
    </row>
    <row r="7190" spans="1:41" s="102" customFormat="1" ht="19.899999999999999" customHeight="1" x14ac:dyDescent="0.25">
      <c r="A7190" s="45"/>
      <c r="B7190" s="59"/>
      <c r="C7190" s="137"/>
      <c r="D7190" s="59"/>
      <c r="E7190" s="116"/>
      <c r="F7190" s="120"/>
      <c r="G7190" s="120"/>
      <c r="H7190" s="120"/>
      <c r="I7190" s="60"/>
      <c r="J7190" s="116"/>
      <c r="K7190" s="213"/>
      <c r="L7190" s="120"/>
      <c r="M7190" s="120"/>
      <c r="N7190" s="167"/>
      <c r="O7190" s="120"/>
      <c r="P7190" s="120"/>
      <c r="Q7190" s="120"/>
      <c r="R7190" s="120"/>
      <c r="S7190" s="120"/>
      <c r="T7190" s="221"/>
      <c r="U7190" s="89"/>
      <c r="V7190" s="61"/>
      <c r="W7190" s="92" t="s">
        <v>1069</v>
      </c>
      <c r="X7190" s="93" t="s">
        <v>32</v>
      </c>
      <c r="Y7190" s="93" t="s">
        <v>68</v>
      </c>
      <c r="Z7190" s="134">
        <f>VLOOKUP(W7190,Sheet2!$B:$D,3,FALSE)</f>
        <v>40</v>
      </c>
      <c r="AA7190" s="93">
        <v>1</v>
      </c>
      <c r="AB7190" s="93">
        <f>AD7190/AC7187</f>
        <v>40</v>
      </c>
      <c r="AC7190" s="93">
        <f>AC7187/AA7190</f>
        <v>35.749999999999886</v>
      </c>
      <c r="AD7190" s="94">
        <f>AC7190*Z7190</f>
        <v>1429.9999999999955</v>
      </c>
      <c r="AE7190" s="190"/>
      <c r="AF7190" s="191"/>
      <c r="AG7190" s="191"/>
      <c r="AH7190" s="191"/>
      <c r="AI7190" s="186"/>
      <c r="AK7190" s="171"/>
    </row>
    <row r="7191" spans="1:41" s="102" customFormat="1" ht="19.899999999999999" customHeight="1" x14ac:dyDescent="0.25">
      <c r="A7191" s="45"/>
      <c r="B7191" s="59"/>
      <c r="C7191" s="137"/>
      <c r="D7191" s="59"/>
      <c r="E7191" s="116"/>
      <c r="F7191" s="120"/>
      <c r="G7191" s="120"/>
      <c r="H7191" s="120"/>
      <c r="I7191" s="60"/>
      <c r="J7191" s="116"/>
      <c r="K7191" s="213"/>
      <c r="L7191" s="120"/>
      <c r="M7191" s="120"/>
      <c r="N7191" s="167"/>
      <c r="O7191" s="120"/>
      <c r="P7191" s="120"/>
      <c r="Q7191" s="120"/>
      <c r="R7191" s="120"/>
      <c r="S7191" s="120"/>
      <c r="T7191" s="221"/>
      <c r="U7191" s="89"/>
      <c r="V7191" s="61"/>
      <c r="W7191" s="92" t="s">
        <v>1032</v>
      </c>
      <c r="X7191" s="93" t="s">
        <v>30</v>
      </c>
      <c r="Y7191" s="93" t="s">
        <v>66</v>
      </c>
      <c r="Z7191" s="134">
        <f>VLOOKUP(W7191,Sheet2!$B:$D,3,FALSE)</f>
        <v>250</v>
      </c>
      <c r="AA7191" s="93">
        <f>1/(1*1*0.1)</f>
        <v>10</v>
      </c>
      <c r="AB7191" s="93">
        <f>AD7191/AC7187</f>
        <v>25</v>
      </c>
      <c r="AC7191" s="93">
        <f>AC7187/AA7191</f>
        <v>3.5749999999999886</v>
      </c>
      <c r="AD7191" s="94">
        <f>AC7191*Z7191</f>
        <v>893.74999999999716</v>
      </c>
      <c r="AE7191" s="190"/>
      <c r="AF7191" s="191"/>
      <c r="AG7191" s="191"/>
      <c r="AH7191" s="191"/>
      <c r="AI7191" s="186"/>
      <c r="AK7191" s="171"/>
    </row>
    <row r="7192" spans="1:41" s="102" customFormat="1" ht="19.899999999999999" customHeight="1" x14ac:dyDescent="0.25">
      <c r="A7192" s="45"/>
      <c r="B7192" s="59"/>
      <c r="C7192" s="137"/>
      <c r="D7192" s="59"/>
      <c r="E7192" s="116"/>
      <c r="F7192" s="120"/>
      <c r="G7192" s="120"/>
      <c r="H7192" s="120"/>
      <c r="I7192" s="60"/>
      <c r="J7192" s="116"/>
      <c r="K7192" s="213"/>
      <c r="L7192" s="120"/>
      <c r="M7192" s="120"/>
      <c r="N7192" s="167"/>
      <c r="O7192" s="120"/>
      <c r="P7192" s="120"/>
      <c r="Q7192" s="120"/>
      <c r="R7192" s="120"/>
      <c r="S7192" s="120"/>
      <c r="T7192" s="221"/>
      <c r="U7192" s="89"/>
      <c r="V7192" s="61"/>
      <c r="W7192" s="92" t="s">
        <v>1035</v>
      </c>
      <c r="X7192" s="93" t="s">
        <v>32</v>
      </c>
      <c r="Y7192" s="93" t="s">
        <v>66</v>
      </c>
      <c r="Z7192" s="134">
        <f>VLOOKUP(W7192,Sheet2!$B:$D,3,FALSE)</f>
        <v>150</v>
      </c>
      <c r="AA7192" s="93">
        <f>AA7191</f>
        <v>10</v>
      </c>
      <c r="AB7192" s="93">
        <f>AD7192/AC7187</f>
        <v>15</v>
      </c>
      <c r="AC7192" s="93">
        <f>AC7187/AA7192</f>
        <v>3.5749999999999886</v>
      </c>
      <c r="AD7192" s="94">
        <f t="shared" ref="AD7192:AD7193" si="5101">AC7192*Z7192</f>
        <v>536.24999999999829</v>
      </c>
      <c r="AE7192" s="190"/>
      <c r="AF7192" s="191"/>
      <c r="AG7192" s="191"/>
      <c r="AH7192" s="191"/>
      <c r="AI7192" s="186"/>
      <c r="AK7192" s="171"/>
    </row>
    <row r="7193" spans="1:41" s="102" customFormat="1" ht="19.899999999999999" customHeight="1" x14ac:dyDescent="0.25">
      <c r="A7193" s="45"/>
      <c r="B7193" s="59"/>
      <c r="C7193" s="137"/>
      <c r="D7193" s="59"/>
      <c r="E7193" s="116"/>
      <c r="F7193" s="120"/>
      <c r="G7193" s="120"/>
      <c r="H7193" s="120"/>
      <c r="I7193" s="60"/>
      <c r="J7193" s="116"/>
      <c r="K7193" s="213"/>
      <c r="L7193" s="120"/>
      <c r="M7193" s="120"/>
      <c r="N7193" s="167"/>
      <c r="O7193" s="120"/>
      <c r="P7193" s="120"/>
      <c r="Q7193" s="120"/>
      <c r="R7193" s="120"/>
      <c r="S7193" s="120"/>
      <c r="T7193" s="221"/>
      <c r="U7193" s="89"/>
      <c r="V7193" s="61"/>
      <c r="W7193" s="92" t="s">
        <v>1037</v>
      </c>
      <c r="X7193" s="93" t="s">
        <v>30</v>
      </c>
      <c r="Y7193" s="93" t="s">
        <v>1038</v>
      </c>
      <c r="Z7193" s="134">
        <f>VLOOKUP(W7193,Sheet2!$B:$D,3,FALSE)</f>
        <v>175</v>
      </c>
      <c r="AA7193" s="93">
        <v>300</v>
      </c>
      <c r="AB7193" s="93">
        <f>AD7193/AC7187</f>
        <v>0.58333333333333337</v>
      </c>
      <c r="AC7193" s="93">
        <f>AC7187/AA7193</f>
        <v>0.11916666666666628</v>
      </c>
      <c r="AD7193" s="94">
        <f t="shared" si="5101"/>
        <v>20.8541666666666</v>
      </c>
      <c r="AE7193" s="190"/>
      <c r="AF7193" s="191"/>
      <c r="AG7193" s="191"/>
      <c r="AH7193" s="191"/>
      <c r="AI7193" s="186"/>
      <c r="AK7193" s="171"/>
    </row>
    <row r="7194" spans="1:41" s="103" customFormat="1" ht="19.899999999999999" customHeight="1" x14ac:dyDescent="0.25">
      <c r="A7194" s="51"/>
      <c r="B7194" s="52"/>
      <c r="C7194" s="165"/>
      <c r="D7194" s="52"/>
      <c r="E7194" s="115"/>
      <c r="F7194" s="58"/>
      <c r="G7194" s="58"/>
      <c r="H7194" s="58"/>
      <c r="I7194" s="55"/>
      <c r="J7194" s="113">
        <f>J7176</f>
        <v>35.749999999999886</v>
      </c>
      <c r="K7194" s="212">
        <f>K7176</f>
        <v>35.749999999999886</v>
      </c>
      <c r="L7194" s="58"/>
      <c r="M7194" s="58">
        <f>K7194-L7194</f>
        <v>35.749999999999886</v>
      </c>
      <c r="N7194" s="166"/>
      <c r="O7194" s="58"/>
      <c r="P7194" s="58"/>
      <c r="Q7194" s="58"/>
      <c r="R7194" s="58"/>
      <c r="S7194" s="58"/>
      <c r="T7194" s="220"/>
      <c r="U7194" s="88"/>
      <c r="V7194" s="56"/>
      <c r="W7194" s="57" t="s">
        <v>1040</v>
      </c>
      <c r="X7194" s="53"/>
      <c r="Y7194" s="91" t="s">
        <v>68</v>
      </c>
      <c r="Z7194" s="136">
        <f>AD7194/AC7194</f>
        <v>5</v>
      </c>
      <c r="AA7194" s="58"/>
      <c r="AB7194" s="53">
        <f>AD7194/AC7194</f>
        <v>5</v>
      </c>
      <c r="AC7194" s="53">
        <f>M7194+$AE$10</f>
        <v>35.749999999999886</v>
      </c>
      <c r="AD7194" s="54">
        <f>SUM(AD7195)</f>
        <v>178.74999999999943</v>
      </c>
      <c r="AE7194" s="184">
        <f>SUMIFS($AD$37:$AD$12971,$V$37:$V$12971,$V7194,$X$37:$X$12971,AE$13)</f>
        <v>0</v>
      </c>
      <c r="AF7194" s="185">
        <f>SUMIFS($AD$37:$AD$12971,$V$37:$V$12971,$V7194,$X$37:$X$12971,AF$13)</f>
        <v>0</v>
      </c>
      <c r="AG7194" s="185">
        <f>SUMIFS($AD$37:$AD$12971,$V$37:$V$12971,$V7194,$X$37:$X$12971,AG$13)</f>
        <v>0</v>
      </c>
      <c r="AH7194" s="187">
        <f>SUMIFS($AD$37:$AD$12971,$V$37:$V$12971,$V7194,$X$37:$X$12971,AH$13)</f>
        <v>0</v>
      </c>
      <c r="AI7194" s="161">
        <f t="shared" ref="AI7194" si="5102">SUM(AE7194:AH7194)</f>
        <v>0</v>
      </c>
      <c r="AK7194" s="172"/>
    </row>
    <row r="7195" spans="1:41" s="102" customFormat="1" ht="19.899999999999999" customHeight="1" x14ac:dyDescent="0.25">
      <c r="A7195" s="45"/>
      <c r="B7195" s="59"/>
      <c r="C7195" s="137"/>
      <c r="D7195" s="59"/>
      <c r="E7195" s="116"/>
      <c r="F7195" s="120"/>
      <c r="G7195" s="120"/>
      <c r="H7195" s="120"/>
      <c r="I7195" s="60"/>
      <c r="J7195" s="116"/>
      <c r="K7195" s="213"/>
      <c r="L7195" s="120"/>
      <c r="M7195" s="120"/>
      <c r="N7195" s="167"/>
      <c r="O7195" s="120"/>
      <c r="P7195" s="120"/>
      <c r="Q7195" s="120"/>
      <c r="R7195" s="120"/>
      <c r="S7195" s="120"/>
      <c r="T7195" s="221"/>
      <c r="U7195" s="89"/>
      <c r="V7195" s="61"/>
      <c r="W7195" s="92" t="s">
        <v>1039</v>
      </c>
      <c r="X7195" s="93" t="s">
        <v>32</v>
      </c>
      <c r="Y7195" s="93" t="s">
        <v>68</v>
      </c>
      <c r="Z7195" s="134">
        <f>VLOOKUP(W7195,Sheet2!$B:$D,3,FALSE)</f>
        <v>5</v>
      </c>
      <c r="AA7195" s="93">
        <v>1</v>
      </c>
      <c r="AB7195" s="93">
        <f>AD7195/AC7194</f>
        <v>5</v>
      </c>
      <c r="AC7195" s="93">
        <f>AC7194/AA7195</f>
        <v>35.749999999999886</v>
      </c>
      <c r="AD7195" s="94">
        <f t="shared" ref="AD7195" si="5103">AC7195*Z7195</f>
        <v>178.74999999999943</v>
      </c>
      <c r="AE7195" s="190"/>
      <c r="AF7195" s="191"/>
      <c r="AG7195" s="191"/>
      <c r="AH7195" s="191"/>
      <c r="AI7195" s="186"/>
      <c r="AK7195" s="171"/>
    </row>
    <row r="7196" spans="1:41" ht="20.100000000000001" customHeight="1" x14ac:dyDescent="0.25">
      <c r="A7196" s="277" t="s">
        <v>703</v>
      </c>
      <c r="B7196" s="278"/>
      <c r="C7196" s="64" t="s">
        <v>722</v>
      </c>
      <c r="D7196" s="46" t="s">
        <v>97</v>
      </c>
      <c r="E7196" s="114">
        <v>7.8499999999999943</v>
      </c>
      <c r="F7196" s="44">
        <v>569</v>
      </c>
      <c r="G7196" s="44">
        <f t="shared" si="4575"/>
        <v>4466.6499999999969</v>
      </c>
      <c r="H7196" s="44">
        <f t="shared" si="4576"/>
        <v>277.52223529411765</v>
      </c>
      <c r="I7196" s="43">
        <f t="shared" si="4577"/>
        <v>2178.5495470588221</v>
      </c>
      <c r="J7196" s="112">
        <f t="shared" si="4578"/>
        <v>7.8499999999999943</v>
      </c>
      <c r="K7196" s="211">
        <f t="shared" si="4579"/>
        <v>7.8499999999999943</v>
      </c>
      <c r="L7196" s="44"/>
      <c r="M7196" s="44">
        <f t="shared" si="4580"/>
        <v>7.8499999999999943</v>
      </c>
      <c r="N7196" s="173">
        <f t="shared" si="4581"/>
        <v>1</v>
      </c>
      <c r="O7196" s="44">
        <f t="shared" si="4582"/>
        <v>569</v>
      </c>
      <c r="P7196" s="44">
        <f t="shared" si="4583"/>
        <v>4466.6499999999969</v>
      </c>
      <c r="Q7196" s="44">
        <f t="shared" si="4584"/>
        <v>277.52223529411765</v>
      </c>
      <c r="R7196" s="44">
        <f t="shared" si="4585"/>
        <v>2178.5495470588221</v>
      </c>
      <c r="S7196" s="123"/>
      <c r="T7196" s="219">
        <f t="shared" si="4586"/>
        <v>2178.5495470588221</v>
      </c>
      <c r="U7196" s="87"/>
      <c r="V7196" s="47"/>
      <c r="W7196" s="48"/>
      <c r="X7196" s="48"/>
      <c r="Y7196" s="48"/>
      <c r="Z7196" s="135"/>
      <c r="AA7196" s="49"/>
      <c r="AB7196" s="50">
        <f t="shared" si="4587"/>
        <v>277.52223529411765</v>
      </c>
      <c r="AC7196" s="42">
        <f t="shared" si="4588"/>
        <v>7.8499999999999943</v>
      </c>
      <c r="AD7196" s="90">
        <f>AD7197+AD7207+AD7214</f>
        <v>2178.5495470588221</v>
      </c>
      <c r="AE7196" s="188">
        <f t="shared" ref="AE7196" si="5104">AE7197+AE7207+AE7214</f>
        <v>0</v>
      </c>
      <c r="AF7196" s="189">
        <f t="shared" ref="AF7196" si="5105">AF7197+AF7207+AF7214</f>
        <v>0</v>
      </c>
      <c r="AG7196" s="189">
        <f t="shared" ref="AG7196" si="5106">AG7197+AG7207+AG7214</f>
        <v>0</v>
      </c>
      <c r="AH7196" s="189">
        <f t="shared" ref="AH7196" si="5107">AH7197+AH7207+AH7214</f>
        <v>0</v>
      </c>
      <c r="AI7196" s="161">
        <f t="shared" si="5094"/>
        <v>0</v>
      </c>
      <c r="AK7196" s="169">
        <v>5</v>
      </c>
      <c r="AO7196" s="19" t="s">
        <v>63</v>
      </c>
    </row>
    <row r="7197" spans="1:41" s="103" customFormat="1" ht="19.899999999999999" customHeight="1" x14ac:dyDescent="0.25">
      <c r="A7197" s="51"/>
      <c r="B7197" s="52"/>
      <c r="C7197" s="165"/>
      <c r="D7197" s="52"/>
      <c r="E7197" s="115"/>
      <c r="F7197" s="58"/>
      <c r="G7197" s="58"/>
      <c r="H7197" s="58"/>
      <c r="I7197" s="55"/>
      <c r="J7197" s="113">
        <f>J7196</f>
        <v>7.8499999999999943</v>
      </c>
      <c r="K7197" s="212">
        <f>K7196</f>
        <v>7.8499999999999943</v>
      </c>
      <c r="L7197" s="58"/>
      <c r="M7197" s="58">
        <f>K7197-L7197</f>
        <v>7.8499999999999943</v>
      </c>
      <c r="N7197" s="166"/>
      <c r="O7197" s="58"/>
      <c r="P7197" s="58"/>
      <c r="Q7197" s="58"/>
      <c r="R7197" s="58"/>
      <c r="S7197" s="58"/>
      <c r="T7197" s="220"/>
      <c r="U7197" s="88"/>
      <c r="V7197" s="56"/>
      <c r="W7197" s="57" t="s">
        <v>1052</v>
      </c>
      <c r="X7197" s="53"/>
      <c r="Y7197" s="91" t="s">
        <v>68</v>
      </c>
      <c r="Z7197" s="136">
        <f>AD7197/AC7197</f>
        <v>76.938901960784307</v>
      </c>
      <c r="AA7197" s="58"/>
      <c r="AB7197" s="53">
        <f>AD7197/AC7197</f>
        <v>76.938901960784307</v>
      </c>
      <c r="AC7197" s="53">
        <f>M7197+$AE$10</f>
        <v>7.8499999999999943</v>
      </c>
      <c r="AD7197" s="54">
        <f>SUM(AD7198:AD7206)</f>
        <v>603.97038039215636</v>
      </c>
      <c r="AE7197" s="184">
        <f>SUMIFS($AD$37:$AD$12971,$V$37:$V$12971,$V7197,$X$37:$X$12971,AE$13)</f>
        <v>0</v>
      </c>
      <c r="AF7197" s="185">
        <f>SUMIFS($AD$37:$AD$12971,$V$37:$V$12971,$V7197,$X$37:$X$12971,AF$13)</f>
        <v>0</v>
      </c>
      <c r="AG7197" s="185">
        <f>SUMIFS($AD$37:$AD$12971,$V$37:$V$12971,$V7197,$X$37:$X$12971,AG$13)</f>
        <v>0</v>
      </c>
      <c r="AH7197" s="187">
        <f>SUMIFS($AD$37:$AD$12971,$V$37:$V$12971,$V7197,$X$37:$X$12971,AH$13)</f>
        <v>0</v>
      </c>
      <c r="AI7197" s="161">
        <f t="shared" ref="AI7197" si="5108">SUM(AE7197:AH7197)</f>
        <v>0</v>
      </c>
      <c r="AK7197" s="172"/>
    </row>
    <row r="7198" spans="1:41" s="102" customFormat="1" ht="19.899999999999999" customHeight="1" x14ac:dyDescent="0.25">
      <c r="A7198" s="45"/>
      <c r="B7198" s="59"/>
      <c r="C7198" s="137"/>
      <c r="D7198" s="59"/>
      <c r="E7198" s="116"/>
      <c r="F7198" s="120"/>
      <c r="G7198" s="120"/>
      <c r="H7198" s="120"/>
      <c r="I7198" s="60"/>
      <c r="J7198" s="116"/>
      <c r="K7198" s="213"/>
      <c r="L7198" s="120"/>
      <c r="M7198" s="120"/>
      <c r="N7198" s="167"/>
      <c r="O7198" s="120"/>
      <c r="P7198" s="120"/>
      <c r="Q7198" s="120"/>
      <c r="R7198" s="120"/>
      <c r="S7198" s="120"/>
      <c r="T7198" s="221"/>
      <c r="U7198" s="89"/>
      <c r="V7198" s="61"/>
      <c r="W7198" s="92" t="s">
        <v>129</v>
      </c>
      <c r="X7198" s="93" t="s">
        <v>29</v>
      </c>
      <c r="Y7198" s="93" t="s">
        <v>93</v>
      </c>
      <c r="Z7198" s="134">
        <f>VLOOKUP(W7198,Sheet2!$B:$D,3,FALSE)</f>
        <v>56</v>
      </c>
      <c r="AA7198" s="93">
        <f>100/(1*3.5)</f>
        <v>28.571428571428573</v>
      </c>
      <c r="AB7198" s="93">
        <f t="shared" ref="AB7198" si="5109">AD7198/AC7197</f>
        <v>1.9599999999999997</v>
      </c>
      <c r="AC7198" s="93">
        <f>AC7197/AA7198</f>
        <v>0.27474999999999977</v>
      </c>
      <c r="AD7198" s="94">
        <f t="shared" ref="AD7198:AD7199" si="5110">AC7198*Z7198</f>
        <v>15.385999999999987</v>
      </c>
      <c r="AE7198" s="190"/>
      <c r="AF7198" s="191"/>
      <c r="AG7198" s="191"/>
      <c r="AH7198" s="191"/>
      <c r="AI7198" s="186"/>
      <c r="AK7198" s="171"/>
    </row>
    <row r="7199" spans="1:41" s="102" customFormat="1" ht="19.899999999999999" customHeight="1" x14ac:dyDescent="0.25">
      <c r="A7199" s="45"/>
      <c r="B7199" s="59"/>
      <c r="C7199" s="137"/>
      <c r="D7199" s="59"/>
      <c r="E7199" s="116"/>
      <c r="F7199" s="120"/>
      <c r="G7199" s="120"/>
      <c r="H7199" s="120"/>
      <c r="I7199" s="60"/>
      <c r="J7199" s="116"/>
      <c r="K7199" s="213"/>
      <c r="L7199" s="120"/>
      <c r="M7199" s="120"/>
      <c r="N7199" s="167"/>
      <c r="O7199" s="120"/>
      <c r="P7199" s="120"/>
      <c r="Q7199" s="120"/>
      <c r="R7199" s="120"/>
      <c r="S7199" s="120"/>
      <c r="T7199" s="221"/>
      <c r="U7199" s="89"/>
      <c r="V7199" s="61"/>
      <c r="W7199" s="92" t="s">
        <v>65</v>
      </c>
      <c r="X7199" s="93" t="s">
        <v>30</v>
      </c>
      <c r="Y7199" s="93" t="s">
        <v>1011</v>
      </c>
      <c r="Z7199" s="134">
        <f>VLOOKUP(W7199,Sheet2!$B:$D,3,FALSE)</f>
        <v>1.76</v>
      </c>
      <c r="AA7199" s="93">
        <f>AA7198/14</f>
        <v>2.0408163265306123</v>
      </c>
      <c r="AB7199" s="93">
        <f>AD7199/AC7197</f>
        <v>0.86239999999999994</v>
      </c>
      <c r="AC7199" s="93">
        <f>AC7197/AA7199</f>
        <v>3.8464999999999971</v>
      </c>
      <c r="AD7199" s="94">
        <f t="shared" si="5110"/>
        <v>6.769839999999995</v>
      </c>
      <c r="AE7199" s="190"/>
      <c r="AF7199" s="191"/>
      <c r="AG7199" s="191"/>
      <c r="AH7199" s="191"/>
      <c r="AI7199" s="186"/>
      <c r="AK7199" s="171"/>
    </row>
    <row r="7200" spans="1:41" s="102" customFormat="1" ht="19.899999999999999" customHeight="1" x14ac:dyDescent="0.25">
      <c r="A7200" s="45"/>
      <c r="B7200" s="59"/>
      <c r="C7200" s="137"/>
      <c r="D7200" s="59"/>
      <c r="E7200" s="116"/>
      <c r="F7200" s="120"/>
      <c r="G7200" s="120"/>
      <c r="H7200" s="120"/>
      <c r="I7200" s="60"/>
      <c r="J7200" s="116"/>
      <c r="K7200" s="213"/>
      <c r="L7200" s="120"/>
      <c r="M7200" s="120"/>
      <c r="N7200" s="167"/>
      <c r="O7200" s="120"/>
      <c r="P7200" s="120"/>
      <c r="Q7200" s="120"/>
      <c r="R7200" s="120"/>
      <c r="S7200" s="120"/>
      <c r="T7200" s="221"/>
      <c r="U7200" s="89"/>
      <c r="V7200" s="61"/>
      <c r="W7200" s="92" t="s">
        <v>161</v>
      </c>
      <c r="X7200" s="93" t="s">
        <v>29</v>
      </c>
      <c r="Y7200" s="93" t="s">
        <v>93</v>
      </c>
      <c r="Z7200" s="134">
        <f>VLOOKUP(W7200,Sheet2!$B:$D,3,FALSE)</f>
        <v>48</v>
      </c>
      <c r="AA7200" s="93">
        <f>(16*0.85*1.5)/(1*3.5)</f>
        <v>5.8285714285714283</v>
      </c>
      <c r="AB7200" s="93">
        <f>AD7200/AC7197</f>
        <v>8.235294117647058</v>
      </c>
      <c r="AC7200" s="93">
        <f>AC7197/AA7200</f>
        <v>1.3468137254901951</v>
      </c>
      <c r="AD7200" s="94">
        <f>AC7200*Z7200</f>
        <v>64.647058823529363</v>
      </c>
      <c r="AE7200" s="190"/>
      <c r="AF7200" s="191"/>
      <c r="AG7200" s="191"/>
      <c r="AH7200" s="191"/>
      <c r="AI7200" s="186"/>
      <c r="AK7200" s="171"/>
    </row>
    <row r="7201" spans="1:41" s="102" customFormat="1" ht="19.899999999999999" customHeight="1" x14ac:dyDescent="0.25">
      <c r="A7201" s="45"/>
      <c r="B7201" s="59"/>
      <c r="C7201" s="137"/>
      <c r="D7201" s="59"/>
      <c r="E7201" s="116"/>
      <c r="F7201" s="120"/>
      <c r="G7201" s="120"/>
      <c r="H7201" s="120"/>
      <c r="I7201" s="60"/>
      <c r="J7201" s="116"/>
      <c r="K7201" s="213"/>
      <c r="L7201" s="120"/>
      <c r="M7201" s="120"/>
      <c r="N7201" s="167"/>
      <c r="O7201" s="120"/>
      <c r="P7201" s="120"/>
      <c r="Q7201" s="120"/>
      <c r="R7201" s="120"/>
      <c r="S7201" s="120"/>
      <c r="T7201" s="221"/>
      <c r="U7201" s="89"/>
      <c r="V7201" s="61"/>
      <c r="W7201" s="92" t="s">
        <v>65</v>
      </c>
      <c r="X7201" s="93" t="s">
        <v>30</v>
      </c>
      <c r="Y7201" s="93" t="s">
        <v>1011</v>
      </c>
      <c r="Z7201" s="134">
        <f>VLOOKUP(W7201,Sheet2!$B:$D,3,FALSE)</f>
        <v>1.76</v>
      </c>
      <c r="AA7201" s="93">
        <f>AA7200/10</f>
        <v>0.58285714285714285</v>
      </c>
      <c r="AB7201" s="93">
        <f>AD7201/AC7197</f>
        <v>3.0196078431372548</v>
      </c>
      <c r="AC7201" s="93">
        <f>AC7197/AA7201</f>
        <v>13.468137254901951</v>
      </c>
      <c r="AD7201" s="94">
        <f>AC7201*Z7201</f>
        <v>23.703921568627432</v>
      </c>
      <c r="AE7201" s="190"/>
      <c r="AF7201" s="191"/>
      <c r="AG7201" s="191"/>
      <c r="AH7201" s="191"/>
      <c r="AI7201" s="186"/>
      <c r="AK7201" s="171"/>
    </row>
    <row r="7202" spans="1:41" s="102" customFormat="1" ht="19.899999999999999" customHeight="1" x14ac:dyDescent="0.25">
      <c r="A7202" s="45"/>
      <c r="B7202" s="59"/>
      <c r="C7202" s="137"/>
      <c r="D7202" s="59"/>
      <c r="E7202" s="116"/>
      <c r="F7202" s="120"/>
      <c r="G7202" s="120"/>
      <c r="H7202" s="120"/>
      <c r="I7202" s="60"/>
      <c r="J7202" s="116"/>
      <c r="K7202" s="213"/>
      <c r="L7202" s="120"/>
      <c r="M7202" s="120"/>
      <c r="N7202" s="167"/>
      <c r="O7202" s="120"/>
      <c r="P7202" s="120"/>
      <c r="Q7202" s="120"/>
      <c r="R7202" s="120"/>
      <c r="S7202" s="120"/>
      <c r="T7202" s="221"/>
      <c r="U7202" s="89"/>
      <c r="V7202" s="61"/>
      <c r="W7202" s="92" t="s">
        <v>1030</v>
      </c>
      <c r="X7202" s="93" t="s">
        <v>29</v>
      </c>
      <c r="Y7202" s="93" t="s">
        <v>93</v>
      </c>
      <c r="Z7202" s="134">
        <f>VLOOKUP(W7202,Sheet2!$B:$D,3,FALSE)</f>
        <v>23</v>
      </c>
      <c r="AA7202" s="93">
        <v>50</v>
      </c>
      <c r="AB7202" s="93">
        <f>AD7202/AC7197</f>
        <v>0.46</v>
      </c>
      <c r="AC7202" s="93">
        <f>AC7197/AA7202</f>
        <v>0.15699999999999989</v>
      </c>
      <c r="AD7202" s="94">
        <f t="shared" ref="AD7202:AD7206" si="5111">AC7202*Z7202</f>
        <v>3.6109999999999975</v>
      </c>
      <c r="AE7202" s="190"/>
      <c r="AF7202" s="191"/>
      <c r="AG7202" s="191"/>
      <c r="AH7202" s="191"/>
      <c r="AI7202" s="186"/>
      <c r="AK7202" s="171"/>
    </row>
    <row r="7203" spans="1:41" s="102" customFormat="1" ht="19.899999999999999" customHeight="1" x14ac:dyDescent="0.25">
      <c r="A7203" s="45"/>
      <c r="B7203" s="59"/>
      <c r="C7203" s="137"/>
      <c r="D7203" s="59"/>
      <c r="E7203" s="116"/>
      <c r="F7203" s="120"/>
      <c r="G7203" s="120"/>
      <c r="H7203" s="120"/>
      <c r="I7203" s="60"/>
      <c r="J7203" s="116"/>
      <c r="K7203" s="213"/>
      <c r="L7203" s="120"/>
      <c r="M7203" s="120"/>
      <c r="N7203" s="167"/>
      <c r="O7203" s="120"/>
      <c r="P7203" s="120"/>
      <c r="Q7203" s="120"/>
      <c r="R7203" s="120"/>
      <c r="S7203" s="120"/>
      <c r="T7203" s="221"/>
      <c r="U7203" s="89"/>
      <c r="V7203" s="61"/>
      <c r="W7203" s="92" t="s">
        <v>65</v>
      </c>
      <c r="X7203" s="93" t="s">
        <v>30</v>
      </c>
      <c r="Y7203" s="93" t="s">
        <v>1011</v>
      </c>
      <c r="Z7203" s="134">
        <f>VLOOKUP(W7203,Sheet2!$B:$D,3,FALSE)</f>
        <v>1.76</v>
      </c>
      <c r="AA7203" s="93">
        <f>AA7202/3</f>
        <v>16.666666666666668</v>
      </c>
      <c r="AB7203" s="93">
        <f>AD7203/AC7197</f>
        <v>0.1056</v>
      </c>
      <c r="AC7203" s="93">
        <f>AC7197/AA7203</f>
        <v>0.47099999999999964</v>
      </c>
      <c r="AD7203" s="94">
        <f t="shared" si="5111"/>
        <v>0.82895999999999936</v>
      </c>
      <c r="AE7203" s="190"/>
      <c r="AF7203" s="191"/>
      <c r="AG7203" s="191"/>
      <c r="AH7203" s="191"/>
      <c r="AI7203" s="186"/>
      <c r="AK7203" s="171"/>
    </row>
    <row r="7204" spans="1:41" s="102" customFormat="1" ht="19.899999999999999" customHeight="1" x14ac:dyDescent="0.25">
      <c r="A7204" s="45"/>
      <c r="B7204" s="59"/>
      <c r="C7204" s="137"/>
      <c r="D7204" s="59"/>
      <c r="E7204" s="116"/>
      <c r="F7204" s="120"/>
      <c r="G7204" s="120"/>
      <c r="H7204" s="120"/>
      <c r="I7204" s="60"/>
      <c r="J7204" s="116"/>
      <c r="K7204" s="213"/>
      <c r="L7204" s="120"/>
      <c r="M7204" s="120"/>
      <c r="N7204" s="167"/>
      <c r="O7204" s="120"/>
      <c r="P7204" s="120"/>
      <c r="Q7204" s="120"/>
      <c r="R7204" s="120"/>
      <c r="S7204" s="120"/>
      <c r="T7204" s="221"/>
      <c r="U7204" s="89"/>
      <c r="V7204" s="61"/>
      <c r="W7204" s="92" t="s">
        <v>148</v>
      </c>
      <c r="X7204" s="93" t="s">
        <v>29</v>
      </c>
      <c r="Y7204" s="93" t="s">
        <v>93</v>
      </c>
      <c r="Z7204" s="134">
        <f>VLOOKUP(W7204,Sheet2!$B:$D,3,FALSE)</f>
        <v>48</v>
      </c>
      <c r="AA7204" s="93">
        <f>AA7198</f>
        <v>28.571428571428573</v>
      </c>
      <c r="AB7204" s="93">
        <f>AD7204/AC7197</f>
        <v>1.6799999999999997</v>
      </c>
      <c r="AC7204" s="93">
        <f>AC7197/AA7204</f>
        <v>0.27474999999999977</v>
      </c>
      <c r="AD7204" s="94">
        <f t="shared" si="5111"/>
        <v>13.187999999999988</v>
      </c>
      <c r="AE7204" s="190"/>
      <c r="AF7204" s="191"/>
      <c r="AG7204" s="191"/>
      <c r="AH7204" s="191"/>
      <c r="AI7204" s="186"/>
      <c r="AK7204" s="171"/>
    </row>
    <row r="7205" spans="1:41" s="102" customFormat="1" ht="19.899999999999999" customHeight="1" x14ac:dyDescent="0.25">
      <c r="A7205" s="45"/>
      <c r="B7205" s="59"/>
      <c r="C7205" s="137"/>
      <c r="D7205" s="59"/>
      <c r="E7205" s="116"/>
      <c r="F7205" s="120"/>
      <c r="G7205" s="120"/>
      <c r="H7205" s="120"/>
      <c r="I7205" s="60"/>
      <c r="J7205" s="116"/>
      <c r="K7205" s="213"/>
      <c r="L7205" s="120"/>
      <c r="M7205" s="120"/>
      <c r="N7205" s="167"/>
      <c r="O7205" s="120"/>
      <c r="P7205" s="120"/>
      <c r="Q7205" s="120"/>
      <c r="R7205" s="120"/>
      <c r="S7205" s="120"/>
      <c r="T7205" s="221"/>
      <c r="U7205" s="89"/>
      <c r="V7205" s="61"/>
      <c r="W7205" s="92" t="s">
        <v>65</v>
      </c>
      <c r="X7205" s="93" t="s">
        <v>30</v>
      </c>
      <c r="Y7205" s="93" t="s">
        <v>1011</v>
      </c>
      <c r="Z7205" s="134">
        <f>VLOOKUP(W7205,Sheet2!$B:$D,3,FALSE)</f>
        <v>1.76</v>
      </c>
      <c r="AA7205" s="93">
        <f>AA7204/10</f>
        <v>2.8571428571428572</v>
      </c>
      <c r="AB7205" s="93">
        <f>AD7205/AC7197</f>
        <v>0.61599999999999988</v>
      </c>
      <c r="AC7205" s="93">
        <f>AC7197/AA7205</f>
        <v>2.7474999999999978</v>
      </c>
      <c r="AD7205" s="94">
        <f t="shared" si="5111"/>
        <v>4.8355999999999959</v>
      </c>
      <c r="AE7205" s="190"/>
      <c r="AF7205" s="191"/>
      <c r="AG7205" s="191"/>
      <c r="AH7205" s="191"/>
      <c r="AI7205" s="186"/>
      <c r="AK7205" s="171"/>
    </row>
    <row r="7206" spans="1:41" s="102" customFormat="1" ht="19.899999999999999" customHeight="1" x14ac:dyDescent="0.25">
      <c r="A7206" s="45"/>
      <c r="B7206" s="59"/>
      <c r="C7206" s="137"/>
      <c r="D7206" s="59"/>
      <c r="E7206" s="116"/>
      <c r="F7206" s="120"/>
      <c r="G7206" s="120"/>
      <c r="H7206" s="120"/>
      <c r="I7206" s="60"/>
      <c r="J7206" s="116"/>
      <c r="K7206" s="213"/>
      <c r="L7206" s="120"/>
      <c r="M7206" s="120"/>
      <c r="N7206" s="167"/>
      <c r="O7206" s="120"/>
      <c r="P7206" s="120"/>
      <c r="Q7206" s="120"/>
      <c r="R7206" s="120"/>
      <c r="S7206" s="120"/>
      <c r="T7206" s="221"/>
      <c r="U7206" s="89"/>
      <c r="V7206" s="61"/>
      <c r="W7206" s="92" t="s">
        <v>1049</v>
      </c>
      <c r="X7206" s="93" t="s">
        <v>30</v>
      </c>
      <c r="Y7206" s="93" t="s">
        <v>68</v>
      </c>
      <c r="Z7206" s="134">
        <f>VLOOKUP(W7206,Sheet2!$B:$D,3,FALSE)</f>
        <v>60</v>
      </c>
      <c r="AA7206" s="93">
        <v>1</v>
      </c>
      <c r="AB7206" s="93">
        <f>AD7206/AC7197</f>
        <v>60</v>
      </c>
      <c r="AC7206" s="93">
        <f>AC7197/AA7206</f>
        <v>7.8499999999999943</v>
      </c>
      <c r="AD7206" s="94">
        <f t="shared" si="5111"/>
        <v>470.99999999999966</v>
      </c>
      <c r="AE7206" s="190"/>
      <c r="AF7206" s="191"/>
      <c r="AG7206" s="191"/>
      <c r="AH7206" s="191"/>
      <c r="AI7206" s="186"/>
      <c r="AK7206" s="171"/>
    </row>
    <row r="7207" spans="1:41" s="103" customFormat="1" ht="19.899999999999999" customHeight="1" x14ac:dyDescent="0.25">
      <c r="A7207" s="51"/>
      <c r="B7207" s="52"/>
      <c r="C7207" s="165"/>
      <c r="D7207" s="52"/>
      <c r="E7207" s="115"/>
      <c r="F7207" s="58"/>
      <c r="G7207" s="58"/>
      <c r="H7207" s="58"/>
      <c r="I7207" s="55"/>
      <c r="J7207" s="113">
        <f>J7196</f>
        <v>7.8499999999999943</v>
      </c>
      <c r="K7207" s="212">
        <f>K7196</f>
        <v>7.8499999999999943</v>
      </c>
      <c r="L7207" s="58"/>
      <c r="M7207" s="58">
        <f>K7207-L7207</f>
        <v>7.8499999999999943</v>
      </c>
      <c r="N7207" s="166"/>
      <c r="O7207" s="58"/>
      <c r="P7207" s="58"/>
      <c r="Q7207" s="58"/>
      <c r="R7207" s="58"/>
      <c r="S7207" s="58"/>
      <c r="T7207" s="220"/>
      <c r="U7207" s="88"/>
      <c r="V7207" s="56"/>
      <c r="W7207" s="57" t="s">
        <v>1036</v>
      </c>
      <c r="X7207" s="53"/>
      <c r="Y7207" s="91" t="s">
        <v>68</v>
      </c>
      <c r="Z7207" s="136">
        <f>AD7207/AC7207</f>
        <v>195.58333333333331</v>
      </c>
      <c r="AA7207" s="58"/>
      <c r="AB7207" s="53">
        <f>AD7207/AC7207</f>
        <v>195.58333333333331</v>
      </c>
      <c r="AC7207" s="53">
        <f>M7207+$AE$10</f>
        <v>7.8499999999999943</v>
      </c>
      <c r="AD7207" s="54">
        <f>SUM(AD7208:AD7213)</f>
        <v>1535.3291666666655</v>
      </c>
      <c r="AE7207" s="184">
        <f>SUMIFS($AD$37:$AD$12971,$V$37:$V$12971,$V7207,$X$37:$X$12971,AE$13)</f>
        <v>0</v>
      </c>
      <c r="AF7207" s="185">
        <f>SUMIFS($AD$37:$AD$12971,$V$37:$V$12971,$V7207,$X$37:$X$12971,AF$13)</f>
        <v>0</v>
      </c>
      <c r="AG7207" s="185">
        <f>SUMIFS($AD$37:$AD$12971,$V$37:$V$12971,$V7207,$X$37:$X$12971,AG$13)</f>
        <v>0</v>
      </c>
      <c r="AH7207" s="187">
        <f>SUMIFS($AD$37:$AD$12971,$V$37:$V$12971,$V7207,$X$37:$X$12971,AH$13)</f>
        <v>0</v>
      </c>
      <c r="AI7207" s="161">
        <f t="shared" ref="AI7207" si="5112">SUM(AE7207:AH7207)</f>
        <v>0</v>
      </c>
      <c r="AK7207" s="172"/>
    </row>
    <row r="7208" spans="1:41" s="102" customFormat="1" ht="19.899999999999999" customHeight="1" x14ac:dyDescent="0.25">
      <c r="A7208" s="45"/>
      <c r="B7208" s="59"/>
      <c r="C7208" s="137"/>
      <c r="D7208" s="59"/>
      <c r="E7208" s="116"/>
      <c r="F7208" s="120"/>
      <c r="G7208" s="120"/>
      <c r="H7208" s="120"/>
      <c r="I7208" s="60"/>
      <c r="J7208" s="116"/>
      <c r="K7208" s="213"/>
      <c r="L7208" s="120"/>
      <c r="M7208" s="120"/>
      <c r="N7208" s="167"/>
      <c r="O7208" s="120"/>
      <c r="P7208" s="120"/>
      <c r="Q7208" s="120"/>
      <c r="R7208" s="120"/>
      <c r="S7208" s="120"/>
      <c r="T7208" s="221"/>
      <c r="U7208" s="89"/>
      <c r="V7208" s="61"/>
      <c r="W7208" s="92" t="s">
        <v>1054</v>
      </c>
      <c r="X7208" s="93" t="s">
        <v>30</v>
      </c>
      <c r="Y7208" s="93" t="s">
        <v>68</v>
      </c>
      <c r="Z7208" s="134">
        <f>VLOOKUP(W7208,Sheet2!$B:$D,3,FALSE)</f>
        <v>105</v>
      </c>
      <c r="AA7208" s="93">
        <v>1</v>
      </c>
      <c r="AB7208" s="93">
        <f>AD7208/AC7207</f>
        <v>105</v>
      </c>
      <c r="AC7208" s="93">
        <f>AC7207/AA7208</f>
        <v>7.8499999999999943</v>
      </c>
      <c r="AD7208" s="94">
        <f t="shared" ref="AD7208" si="5113">AC7208*Z7208</f>
        <v>824.24999999999943</v>
      </c>
      <c r="AE7208" s="190"/>
      <c r="AF7208" s="191"/>
      <c r="AG7208" s="191"/>
      <c r="AH7208" s="191"/>
      <c r="AI7208" s="186"/>
      <c r="AK7208" s="171"/>
    </row>
    <row r="7209" spans="1:41" s="102" customFormat="1" ht="19.899999999999999" customHeight="1" x14ac:dyDescent="0.25">
      <c r="A7209" s="45"/>
      <c r="B7209" s="59"/>
      <c r="C7209" s="137"/>
      <c r="D7209" s="59"/>
      <c r="E7209" s="116"/>
      <c r="F7209" s="120"/>
      <c r="G7209" s="120"/>
      <c r="H7209" s="120"/>
      <c r="I7209" s="60"/>
      <c r="J7209" s="116"/>
      <c r="K7209" s="213"/>
      <c r="L7209" s="120"/>
      <c r="M7209" s="120"/>
      <c r="N7209" s="167"/>
      <c r="O7209" s="120"/>
      <c r="P7209" s="120"/>
      <c r="Q7209" s="120"/>
      <c r="R7209" s="120"/>
      <c r="S7209" s="120"/>
      <c r="T7209" s="221"/>
      <c r="U7209" s="89"/>
      <c r="V7209" s="61"/>
      <c r="W7209" s="92" t="s">
        <v>1061</v>
      </c>
      <c r="X7209" s="93" t="s">
        <v>30</v>
      </c>
      <c r="Y7209" s="93" t="s">
        <v>68</v>
      </c>
      <c r="Z7209" s="134">
        <f>VLOOKUP(W7209,Sheet2!$B:$D,3,FALSE)</f>
        <v>10</v>
      </c>
      <c r="AA7209" s="93">
        <v>1</v>
      </c>
      <c r="AB7209" s="93">
        <f>AD7209/AC7207</f>
        <v>10</v>
      </c>
      <c r="AC7209" s="93">
        <f>AC7207/AA7209</f>
        <v>7.8499999999999943</v>
      </c>
      <c r="AD7209" s="94">
        <f>AC7209*Z7209</f>
        <v>78.499999999999943</v>
      </c>
      <c r="AE7209" s="190"/>
      <c r="AF7209" s="191"/>
      <c r="AG7209" s="191"/>
      <c r="AH7209" s="191"/>
      <c r="AI7209" s="186"/>
      <c r="AK7209" s="171"/>
    </row>
    <row r="7210" spans="1:41" s="102" customFormat="1" ht="19.899999999999999" customHeight="1" x14ac:dyDescent="0.25">
      <c r="A7210" s="45"/>
      <c r="B7210" s="59"/>
      <c r="C7210" s="137"/>
      <c r="D7210" s="59"/>
      <c r="E7210" s="116"/>
      <c r="F7210" s="120"/>
      <c r="G7210" s="120"/>
      <c r="H7210" s="120"/>
      <c r="I7210" s="60"/>
      <c r="J7210" s="116"/>
      <c r="K7210" s="213"/>
      <c r="L7210" s="120"/>
      <c r="M7210" s="120"/>
      <c r="N7210" s="167"/>
      <c r="O7210" s="120"/>
      <c r="P7210" s="120"/>
      <c r="Q7210" s="120"/>
      <c r="R7210" s="120"/>
      <c r="S7210" s="120"/>
      <c r="T7210" s="221"/>
      <c r="U7210" s="89"/>
      <c r="V7210" s="61"/>
      <c r="W7210" s="92" t="s">
        <v>1069</v>
      </c>
      <c r="X7210" s="93" t="s">
        <v>32</v>
      </c>
      <c r="Y7210" s="93" t="s">
        <v>68</v>
      </c>
      <c r="Z7210" s="134">
        <f>VLOOKUP(W7210,Sheet2!$B:$D,3,FALSE)</f>
        <v>40</v>
      </c>
      <c r="AA7210" s="93">
        <v>1</v>
      </c>
      <c r="AB7210" s="93">
        <f>AD7210/AC7207</f>
        <v>40</v>
      </c>
      <c r="AC7210" s="93">
        <f>AC7207/AA7210</f>
        <v>7.8499999999999943</v>
      </c>
      <c r="AD7210" s="94">
        <f>AC7210*Z7210</f>
        <v>313.99999999999977</v>
      </c>
      <c r="AE7210" s="190"/>
      <c r="AF7210" s="191"/>
      <c r="AG7210" s="191"/>
      <c r="AH7210" s="191"/>
      <c r="AI7210" s="186"/>
      <c r="AK7210" s="171"/>
    </row>
    <row r="7211" spans="1:41" s="102" customFormat="1" ht="19.899999999999999" customHeight="1" x14ac:dyDescent="0.25">
      <c r="A7211" s="45"/>
      <c r="B7211" s="59"/>
      <c r="C7211" s="137"/>
      <c r="D7211" s="59"/>
      <c r="E7211" s="116"/>
      <c r="F7211" s="120"/>
      <c r="G7211" s="120"/>
      <c r="H7211" s="120"/>
      <c r="I7211" s="60"/>
      <c r="J7211" s="116"/>
      <c r="K7211" s="213"/>
      <c r="L7211" s="120"/>
      <c r="M7211" s="120"/>
      <c r="N7211" s="167"/>
      <c r="O7211" s="120"/>
      <c r="P7211" s="120"/>
      <c r="Q7211" s="120"/>
      <c r="R7211" s="120"/>
      <c r="S7211" s="120"/>
      <c r="T7211" s="221"/>
      <c r="U7211" s="89"/>
      <c r="V7211" s="61"/>
      <c r="W7211" s="92" t="s">
        <v>1032</v>
      </c>
      <c r="X7211" s="93" t="s">
        <v>30</v>
      </c>
      <c r="Y7211" s="93" t="s">
        <v>66</v>
      </c>
      <c r="Z7211" s="134">
        <f>VLOOKUP(W7211,Sheet2!$B:$D,3,FALSE)</f>
        <v>250</v>
      </c>
      <c r="AA7211" s="93">
        <f>1/(1*1*0.1)</f>
        <v>10</v>
      </c>
      <c r="AB7211" s="93">
        <f>AD7211/AC7207</f>
        <v>25</v>
      </c>
      <c r="AC7211" s="93">
        <f>AC7207/AA7211</f>
        <v>0.78499999999999948</v>
      </c>
      <c r="AD7211" s="94">
        <f>AC7211*Z7211</f>
        <v>196.24999999999986</v>
      </c>
      <c r="AE7211" s="190"/>
      <c r="AF7211" s="191"/>
      <c r="AG7211" s="191"/>
      <c r="AH7211" s="191"/>
      <c r="AI7211" s="186"/>
      <c r="AK7211" s="171"/>
    </row>
    <row r="7212" spans="1:41" s="102" customFormat="1" ht="19.899999999999999" customHeight="1" x14ac:dyDescent="0.25">
      <c r="A7212" s="45"/>
      <c r="B7212" s="59"/>
      <c r="C7212" s="137"/>
      <c r="D7212" s="59"/>
      <c r="E7212" s="116"/>
      <c r="F7212" s="120"/>
      <c r="G7212" s="120"/>
      <c r="H7212" s="120"/>
      <c r="I7212" s="60"/>
      <c r="J7212" s="116"/>
      <c r="K7212" s="213"/>
      <c r="L7212" s="120"/>
      <c r="M7212" s="120"/>
      <c r="N7212" s="167"/>
      <c r="O7212" s="120"/>
      <c r="P7212" s="120"/>
      <c r="Q7212" s="120"/>
      <c r="R7212" s="120"/>
      <c r="S7212" s="120"/>
      <c r="T7212" s="221"/>
      <c r="U7212" s="89"/>
      <c r="V7212" s="61"/>
      <c r="W7212" s="92" t="s">
        <v>1035</v>
      </c>
      <c r="X7212" s="93" t="s">
        <v>32</v>
      </c>
      <c r="Y7212" s="93" t="s">
        <v>66</v>
      </c>
      <c r="Z7212" s="134">
        <f>VLOOKUP(W7212,Sheet2!$B:$D,3,FALSE)</f>
        <v>150</v>
      </c>
      <c r="AA7212" s="93">
        <f>AA7211</f>
        <v>10</v>
      </c>
      <c r="AB7212" s="93">
        <f>AD7212/AC7207</f>
        <v>15</v>
      </c>
      <c r="AC7212" s="93">
        <f>AC7207/AA7212</f>
        <v>0.78499999999999948</v>
      </c>
      <c r="AD7212" s="94">
        <f t="shared" ref="AD7212:AD7213" si="5114">AC7212*Z7212</f>
        <v>117.74999999999991</v>
      </c>
      <c r="AE7212" s="190"/>
      <c r="AF7212" s="191"/>
      <c r="AG7212" s="191"/>
      <c r="AH7212" s="191"/>
      <c r="AI7212" s="186"/>
      <c r="AK7212" s="171"/>
    </row>
    <row r="7213" spans="1:41" s="102" customFormat="1" ht="19.899999999999999" customHeight="1" x14ac:dyDescent="0.25">
      <c r="A7213" s="45"/>
      <c r="B7213" s="59"/>
      <c r="C7213" s="137"/>
      <c r="D7213" s="59"/>
      <c r="E7213" s="116"/>
      <c r="F7213" s="120"/>
      <c r="G7213" s="120"/>
      <c r="H7213" s="120"/>
      <c r="I7213" s="60"/>
      <c r="J7213" s="116"/>
      <c r="K7213" s="213"/>
      <c r="L7213" s="120"/>
      <c r="M7213" s="120"/>
      <c r="N7213" s="167"/>
      <c r="O7213" s="120"/>
      <c r="P7213" s="120"/>
      <c r="Q7213" s="120"/>
      <c r="R7213" s="120"/>
      <c r="S7213" s="120"/>
      <c r="T7213" s="221"/>
      <c r="U7213" s="89"/>
      <c r="V7213" s="61"/>
      <c r="W7213" s="92" t="s">
        <v>1037</v>
      </c>
      <c r="X7213" s="93" t="s">
        <v>30</v>
      </c>
      <c r="Y7213" s="93" t="s">
        <v>1038</v>
      </c>
      <c r="Z7213" s="134">
        <f>VLOOKUP(W7213,Sheet2!$B:$D,3,FALSE)</f>
        <v>175</v>
      </c>
      <c r="AA7213" s="93">
        <v>300</v>
      </c>
      <c r="AB7213" s="93">
        <f>AD7213/AC7207</f>
        <v>0.58333333333333326</v>
      </c>
      <c r="AC7213" s="93">
        <f>AC7207/AA7213</f>
        <v>2.6166666666666647E-2</v>
      </c>
      <c r="AD7213" s="94">
        <f t="shared" si="5114"/>
        <v>4.5791666666666631</v>
      </c>
      <c r="AE7213" s="190"/>
      <c r="AF7213" s="191"/>
      <c r="AG7213" s="191"/>
      <c r="AH7213" s="191"/>
      <c r="AI7213" s="186"/>
      <c r="AK7213" s="171"/>
    </row>
    <row r="7214" spans="1:41" s="103" customFormat="1" ht="19.899999999999999" customHeight="1" x14ac:dyDescent="0.25">
      <c r="A7214" s="51"/>
      <c r="B7214" s="52"/>
      <c r="C7214" s="165"/>
      <c r="D7214" s="52"/>
      <c r="E7214" s="115"/>
      <c r="F7214" s="58"/>
      <c r="G7214" s="58"/>
      <c r="H7214" s="58"/>
      <c r="I7214" s="55"/>
      <c r="J7214" s="113">
        <f>J7196</f>
        <v>7.8499999999999943</v>
      </c>
      <c r="K7214" s="212">
        <f>K7196</f>
        <v>7.8499999999999943</v>
      </c>
      <c r="L7214" s="58"/>
      <c r="M7214" s="58">
        <f>K7214-L7214</f>
        <v>7.8499999999999943</v>
      </c>
      <c r="N7214" s="166"/>
      <c r="O7214" s="58"/>
      <c r="P7214" s="58"/>
      <c r="Q7214" s="58"/>
      <c r="R7214" s="58"/>
      <c r="S7214" s="58"/>
      <c r="T7214" s="220"/>
      <c r="U7214" s="88"/>
      <c r="V7214" s="56"/>
      <c r="W7214" s="57" t="s">
        <v>1040</v>
      </c>
      <c r="X7214" s="53"/>
      <c r="Y7214" s="91" t="s">
        <v>68</v>
      </c>
      <c r="Z7214" s="136">
        <f>AD7214/AC7214</f>
        <v>5</v>
      </c>
      <c r="AA7214" s="58"/>
      <c r="AB7214" s="53">
        <f>AD7214/AC7214</f>
        <v>5</v>
      </c>
      <c r="AC7214" s="53">
        <f>M7214+$AE$10</f>
        <v>7.8499999999999943</v>
      </c>
      <c r="AD7214" s="54">
        <f>SUM(AD7215)</f>
        <v>39.249999999999972</v>
      </c>
      <c r="AE7214" s="184">
        <f>SUMIFS($AD$37:$AD$12971,$V$37:$V$12971,$V7214,$X$37:$X$12971,AE$13)</f>
        <v>0</v>
      </c>
      <c r="AF7214" s="185">
        <f>SUMIFS($AD$37:$AD$12971,$V$37:$V$12971,$V7214,$X$37:$X$12971,AF$13)</f>
        <v>0</v>
      </c>
      <c r="AG7214" s="185">
        <f>SUMIFS($AD$37:$AD$12971,$V$37:$V$12971,$V7214,$X$37:$X$12971,AG$13)</f>
        <v>0</v>
      </c>
      <c r="AH7214" s="187">
        <f>SUMIFS($AD$37:$AD$12971,$V$37:$V$12971,$V7214,$X$37:$X$12971,AH$13)</f>
        <v>0</v>
      </c>
      <c r="AI7214" s="161">
        <f t="shared" ref="AI7214" si="5115">SUM(AE7214:AH7214)</f>
        <v>0</v>
      </c>
      <c r="AK7214" s="172"/>
    </row>
    <row r="7215" spans="1:41" s="102" customFormat="1" ht="19.899999999999999" customHeight="1" x14ac:dyDescent="0.25">
      <c r="A7215" s="45"/>
      <c r="B7215" s="59"/>
      <c r="C7215" s="137"/>
      <c r="D7215" s="59"/>
      <c r="E7215" s="116"/>
      <c r="F7215" s="120"/>
      <c r="G7215" s="120"/>
      <c r="H7215" s="120"/>
      <c r="I7215" s="60"/>
      <c r="J7215" s="116"/>
      <c r="K7215" s="213"/>
      <c r="L7215" s="120"/>
      <c r="M7215" s="120"/>
      <c r="N7215" s="167"/>
      <c r="O7215" s="120"/>
      <c r="P7215" s="120"/>
      <c r="Q7215" s="120"/>
      <c r="R7215" s="120"/>
      <c r="S7215" s="120"/>
      <c r="T7215" s="221"/>
      <c r="U7215" s="89"/>
      <c r="V7215" s="61"/>
      <c r="W7215" s="92" t="s">
        <v>1039</v>
      </c>
      <c r="X7215" s="93" t="s">
        <v>32</v>
      </c>
      <c r="Y7215" s="93" t="s">
        <v>68</v>
      </c>
      <c r="Z7215" s="134">
        <f>VLOOKUP(W7215,Sheet2!$B:$D,3,FALSE)</f>
        <v>5</v>
      </c>
      <c r="AA7215" s="93">
        <v>1</v>
      </c>
      <c r="AB7215" s="93">
        <f>AD7215/AC7214</f>
        <v>5</v>
      </c>
      <c r="AC7215" s="93">
        <f>AC7214/AA7215</f>
        <v>7.8499999999999943</v>
      </c>
      <c r="AD7215" s="94">
        <f t="shared" ref="AD7215" si="5116">AC7215*Z7215</f>
        <v>39.249999999999972</v>
      </c>
      <c r="AE7215" s="190"/>
      <c r="AF7215" s="191"/>
      <c r="AG7215" s="191"/>
      <c r="AH7215" s="191"/>
      <c r="AI7215" s="186"/>
      <c r="AK7215" s="171"/>
    </row>
    <row r="7216" spans="1:41" ht="20.100000000000001" customHeight="1" x14ac:dyDescent="0.25">
      <c r="A7216" s="277" t="s">
        <v>703</v>
      </c>
      <c r="B7216" s="278"/>
      <c r="C7216" s="64" t="s">
        <v>723</v>
      </c>
      <c r="D7216" s="46" t="s">
        <v>97</v>
      </c>
      <c r="E7216" s="114">
        <v>6.8459499999999593</v>
      </c>
      <c r="F7216" s="44">
        <v>720</v>
      </c>
      <c r="G7216" s="44">
        <f t="shared" si="4575"/>
        <v>4929.0839999999707</v>
      </c>
      <c r="H7216" s="44">
        <f t="shared" si="4576"/>
        <v>279.86127843137251</v>
      </c>
      <c r="I7216" s="43">
        <f t="shared" si="4577"/>
        <v>1915.9163190772433</v>
      </c>
      <c r="J7216" s="112">
        <f t="shared" si="4578"/>
        <v>6.8459499999999593</v>
      </c>
      <c r="K7216" s="211">
        <f t="shared" si="4579"/>
        <v>6.8459499999999593</v>
      </c>
      <c r="L7216" s="44"/>
      <c r="M7216" s="44">
        <f t="shared" si="4580"/>
        <v>6.8459499999999593</v>
      </c>
      <c r="N7216" s="173">
        <f t="shared" si="4581"/>
        <v>1</v>
      </c>
      <c r="O7216" s="44">
        <f t="shared" si="4582"/>
        <v>720</v>
      </c>
      <c r="P7216" s="44">
        <f t="shared" si="4583"/>
        <v>4929.0839999999707</v>
      </c>
      <c r="Q7216" s="44">
        <f t="shared" si="4584"/>
        <v>279.86127843137251</v>
      </c>
      <c r="R7216" s="44">
        <f t="shared" si="4585"/>
        <v>1915.9163190772433</v>
      </c>
      <c r="S7216" s="123"/>
      <c r="T7216" s="219">
        <f t="shared" si="4586"/>
        <v>1915.9163190772433</v>
      </c>
      <c r="U7216" s="87"/>
      <c r="V7216" s="47"/>
      <c r="W7216" s="48"/>
      <c r="X7216" s="48"/>
      <c r="Y7216" s="48"/>
      <c r="Z7216" s="135"/>
      <c r="AA7216" s="49"/>
      <c r="AB7216" s="50">
        <f t="shared" si="4587"/>
        <v>279.86127843137251</v>
      </c>
      <c r="AC7216" s="42">
        <f t="shared" si="4588"/>
        <v>6.8459499999999593</v>
      </c>
      <c r="AD7216" s="90">
        <f>AD7217+AD7227+AD7234</f>
        <v>1915.9163190772433</v>
      </c>
      <c r="AE7216" s="188">
        <f t="shared" ref="AE7216:AH7216" si="5117">AE7217+AE7227+AE7234</f>
        <v>0</v>
      </c>
      <c r="AF7216" s="189">
        <f t="shared" si="5117"/>
        <v>0</v>
      </c>
      <c r="AG7216" s="189">
        <f t="shared" si="5117"/>
        <v>0</v>
      </c>
      <c r="AH7216" s="189">
        <f t="shared" si="5117"/>
        <v>0</v>
      </c>
      <c r="AI7216" s="161">
        <f t="shared" ref="AI7216" si="5118">SUM(AE7216:AH7216)</f>
        <v>0</v>
      </c>
      <c r="AK7216" s="169">
        <v>5</v>
      </c>
      <c r="AO7216" s="19" t="s">
        <v>63</v>
      </c>
    </row>
    <row r="7217" spans="1:37" s="103" customFormat="1" ht="19.899999999999999" customHeight="1" x14ac:dyDescent="0.25">
      <c r="A7217" s="51"/>
      <c r="B7217" s="52"/>
      <c r="C7217" s="165"/>
      <c r="D7217" s="52"/>
      <c r="E7217" s="115"/>
      <c r="F7217" s="58"/>
      <c r="G7217" s="58"/>
      <c r="H7217" s="58"/>
      <c r="I7217" s="55"/>
      <c r="J7217" s="113">
        <f>J7216</f>
        <v>6.8459499999999593</v>
      </c>
      <c r="K7217" s="212">
        <f>K7216</f>
        <v>6.8459499999999593</v>
      </c>
      <c r="L7217" s="58"/>
      <c r="M7217" s="58">
        <f>K7217-L7217</f>
        <v>6.8459499999999593</v>
      </c>
      <c r="N7217" s="166"/>
      <c r="O7217" s="58"/>
      <c r="P7217" s="58"/>
      <c r="Q7217" s="58"/>
      <c r="R7217" s="58"/>
      <c r="S7217" s="58"/>
      <c r="T7217" s="220"/>
      <c r="U7217" s="88"/>
      <c r="V7217" s="56"/>
      <c r="W7217" s="57" t="s">
        <v>1053</v>
      </c>
      <c r="X7217" s="53"/>
      <c r="Y7217" s="91" t="s">
        <v>68</v>
      </c>
      <c r="Z7217" s="136">
        <f>AD7217/AC7217</f>
        <v>79.277945098039226</v>
      </c>
      <c r="AA7217" s="58"/>
      <c r="AB7217" s="53">
        <f>AD7217/AC7217</f>
        <v>79.277945098039226</v>
      </c>
      <c r="AC7217" s="53">
        <f>M7217+$AE$10</f>
        <v>6.8459499999999593</v>
      </c>
      <c r="AD7217" s="54">
        <f>SUM(AD7218:AD7226)</f>
        <v>542.7328482439184</v>
      </c>
      <c r="AE7217" s="184">
        <f>SUMIFS($AD$37:$AD$12971,$V$37:$V$12971,$V7217,$X$37:$X$12971,AE$13)</f>
        <v>0</v>
      </c>
      <c r="AF7217" s="185">
        <f>SUMIFS($AD$37:$AD$12971,$V$37:$V$12971,$V7217,$X$37:$X$12971,AF$13)</f>
        <v>0</v>
      </c>
      <c r="AG7217" s="185">
        <f>SUMIFS($AD$37:$AD$12971,$V$37:$V$12971,$V7217,$X$37:$X$12971,AG$13)</f>
        <v>0</v>
      </c>
      <c r="AH7217" s="187">
        <f>SUMIFS($AD$37:$AD$12971,$V$37:$V$12971,$V7217,$X$37:$X$12971,AH$13)</f>
        <v>0</v>
      </c>
      <c r="AI7217" s="161">
        <f t="shared" ref="AI7217" si="5119">SUM(AE7217:AH7217)</f>
        <v>0</v>
      </c>
      <c r="AK7217" s="172"/>
    </row>
    <row r="7218" spans="1:37" s="102" customFormat="1" ht="19.899999999999999" customHeight="1" x14ac:dyDescent="0.25">
      <c r="A7218" s="45"/>
      <c r="B7218" s="59"/>
      <c r="C7218" s="137"/>
      <c r="D7218" s="59"/>
      <c r="E7218" s="116"/>
      <c r="F7218" s="120"/>
      <c r="G7218" s="120"/>
      <c r="H7218" s="120"/>
      <c r="I7218" s="60"/>
      <c r="J7218" s="116"/>
      <c r="K7218" s="213"/>
      <c r="L7218" s="120"/>
      <c r="M7218" s="120"/>
      <c r="N7218" s="167"/>
      <c r="O7218" s="120"/>
      <c r="P7218" s="120"/>
      <c r="Q7218" s="120"/>
      <c r="R7218" s="120"/>
      <c r="S7218" s="120"/>
      <c r="T7218" s="221"/>
      <c r="U7218" s="89"/>
      <c r="V7218" s="61"/>
      <c r="W7218" s="92" t="s">
        <v>129</v>
      </c>
      <c r="X7218" s="93" t="s">
        <v>29</v>
      </c>
      <c r="Y7218" s="93" t="s">
        <v>93</v>
      </c>
      <c r="Z7218" s="134">
        <f>VLOOKUP(W7218,Sheet2!$B:$D,3,FALSE)</f>
        <v>56</v>
      </c>
      <c r="AA7218" s="93">
        <f>100/(1*4)</f>
        <v>25</v>
      </c>
      <c r="AB7218" s="93">
        <f t="shared" ref="AB7218" si="5120">AD7218/AC7217</f>
        <v>2.2400000000000002</v>
      </c>
      <c r="AC7218" s="93">
        <f>AC7217/AA7218</f>
        <v>0.27383799999999836</v>
      </c>
      <c r="AD7218" s="94">
        <f t="shared" ref="AD7218:AD7219" si="5121">AC7218*Z7218</f>
        <v>15.334927999999909</v>
      </c>
      <c r="AE7218" s="190"/>
      <c r="AF7218" s="191"/>
      <c r="AG7218" s="191"/>
      <c r="AH7218" s="191"/>
      <c r="AI7218" s="186"/>
      <c r="AK7218" s="171"/>
    </row>
    <row r="7219" spans="1:37" s="102" customFormat="1" ht="19.899999999999999" customHeight="1" x14ac:dyDescent="0.25">
      <c r="A7219" s="45"/>
      <c r="B7219" s="59"/>
      <c r="C7219" s="137"/>
      <c r="D7219" s="59"/>
      <c r="E7219" s="116"/>
      <c r="F7219" s="120"/>
      <c r="G7219" s="120"/>
      <c r="H7219" s="120"/>
      <c r="I7219" s="60"/>
      <c r="J7219" s="116"/>
      <c r="K7219" s="213"/>
      <c r="L7219" s="120"/>
      <c r="M7219" s="120"/>
      <c r="N7219" s="167"/>
      <c r="O7219" s="120"/>
      <c r="P7219" s="120"/>
      <c r="Q7219" s="120"/>
      <c r="R7219" s="120"/>
      <c r="S7219" s="120"/>
      <c r="T7219" s="221"/>
      <c r="U7219" s="89"/>
      <c r="V7219" s="61"/>
      <c r="W7219" s="92" t="s">
        <v>65</v>
      </c>
      <c r="X7219" s="93" t="s">
        <v>30</v>
      </c>
      <c r="Y7219" s="93" t="s">
        <v>1011</v>
      </c>
      <c r="Z7219" s="134">
        <f>VLOOKUP(W7219,Sheet2!$B:$D,3,FALSE)</f>
        <v>1.76</v>
      </c>
      <c r="AA7219" s="93">
        <f>AA7218/14</f>
        <v>1.7857142857142858</v>
      </c>
      <c r="AB7219" s="93">
        <f>AD7219/AC7217</f>
        <v>0.98559999999999992</v>
      </c>
      <c r="AC7219" s="93">
        <f>AC7217/AA7219</f>
        <v>3.8337319999999768</v>
      </c>
      <c r="AD7219" s="94">
        <f t="shared" si="5121"/>
        <v>6.7473683199999597</v>
      </c>
      <c r="AE7219" s="190"/>
      <c r="AF7219" s="191"/>
      <c r="AG7219" s="191"/>
      <c r="AH7219" s="191"/>
      <c r="AI7219" s="186"/>
      <c r="AK7219" s="171"/>
    </row>
    <row r="7220" spans="1:37" s="102" customFormat="1" ht="19.899999999999999" customHeight="1" x14ac:dyDescent="0.25">
      <c r="A7220" s="45"/>
      <c r="B7220" s="59"/>
      <c r="C7220" s="137"/>
      <c r="D7220" s="59"/>
      <c r="E7220" s="116"/>
      <c r="F7220" s="120"/>
      <c r="G7220" s="120"/>
      <c r="H7220" s="120"/>
      <c r="I7220" s="60"/>
      <c r="J7220" s="116"/>
      <c r="K7220" s="213"/>
      <c r="L7220" s="120"/>
      <c r="M7220" s="120"/>
      <c r="N7220" s="167"/>
      <c r="O7220" s="120"/>
      <c r="P7220" s="120"/>
      <c r="Q7220" s="120"/>
      <c r="R7220" s="120"/>
      <c r="S7220" s="120"/>
      <c r="T7220" s="221"/>
      <c r="U7220" s="89"/>
      <c r="V7220" s="61"/>
      <c r="W7220" s="92" t="s">
        <v>161</v>
      </c>
      <c r="X7220" s="93" t="s">
        <v>29</v>
      </c>
      <c r="Y7220" s="93" t="s">
        <v>93</v>
      </c>
      <c r="Z7220" s="134">
        <f>VLOOKUP(W7220,Sheet2!$B:$D,3,FALSE)</f>
        <v>48</v>
      </c>
      <c r="AA7220" s="93">
        <f>(16*0.85*1.5)/(1*4)</f>
        <v>5.0999999999999996</v>
      </c>
      <c r="AB7220" s="93">
        <f>AD7220/AC7217</f>
        <v>9.411764705882355</v>
      </c>
      <c r="AC7220" s="93">
        <f>AC7217/AA7220</f>
        <v>1.3423431372548942</v>
      </c>
      <c r="AD7220" s="94">
        <f>AC7220*Z7220</f>
        <v>64.432470588234921</v>
      </c>
      <c r="AE7220" s="190"/>
      <c r="AF7220" s="191"/>
      <c r="AG7220" s="191"/>
      <c r="AH7220" s="191"/>
      <c r="AI7220" s="186"/>
      <c r="AK7220" s="171"/>
    </row>
    <row r="7221" spans="1:37" s="102" customFormat="1" ht="19.899999999999999" customHeight="1" x14ac:dyDescent="0.25">
      <c r="A7221" s="45"/>
      <c r="B7221" s="59"/>
      <c r="C7221" s="137"/>
      <c r="D7221" s="59"/>
      <c r="E7221" s="116"/>
      <c r="F7221" s="120"/>
      <c r="G7221" s="120"/>
      <c r="H7221" s="120"/>
      <c r="I7221" s="60"/>
      <c r="J7221" s="116"/>
      <c r="K7221" s="213"/>
      <c r="L7221" s="120"/>
      <c r="M7221" s="120"/>
      <c r="N7221" s="167"/>
      <c r="O7221" s="120"/>
      <c r="P7221" s="120"/>
      <c r="Q7221" s="120"/>
      <c r="R7221" s="120"/>
      <c r="S7221" s="120"/>
      <c r="T7221" s="221"/>
      <c r="U7221" s="89"/>
      <c r="V7221" s="61"/>
      <c r="W7221" s="92" t="s">
        <v>65</v>
      </c>
      <c r="X7221" s="93" t="s">
        <v>30</v>
      </c>
      <c r="Y7221" s="93" t="s">
        <v>1011</v>
      </c>
      <c r="Z7221" s="134">
        <f>VLOOKUP(W7221,Sheet2!$B:$D,3,FALSE)</f>
        <v>1.76</v>
      </c>
      <c r="AA7221" s="93">
        <f>AA7220/10</f>
        <v>0.51</v>
      </c>
      <c r="AB7221" s="93">
        <f>AD7221/AC7217</f>
        <v>3.4509803921568629</v>
      </c>
      <c r="AC7221" s="93">
        <f>AC7217/AA7221</f>
        <v>13.42343137254894</v>
      </c>
      <c r="AD7221" s="94">
        <f>AC7221*Z7221</f>
        <v>23.625239215686136</v>
      </c>
      <c r="AE7221" s="190"/>
      <c r="AF7221" s="191"/>
      <c r="AG7221" s="191"/>
      <c r="AH7221" s="191"/>
      <c r="AI7221" s="186"/>
      <c r="AK7221" s="171"/>
    </row>
    <row r="7222" spans="1:37" s="102" customFormat="1" ht="19.899999999999999" customHeight="1" x14ac:dyDescent="0.25">
      <c r="A7222" s="45"/>
      <c r="B7222" s="59"/>
      <c r="C7222" s="137"/>
      <c r="D7222" s="59"/>
      <c r="E7222" s="116"/>
      <c r="F7222" s="120"/>
      <c r="G7222" s="120"/>
      <c r="H7222" s="120"/>
      <c r="I7222" s="60"/>
      <c r="J7222" s="116"/>
      <c r="K7222" s="213"/>
      <c r="L7222" s="120"/>
      <c r="M7222" s="120"/>
      <c r="N7222" s="167"/>
      <c r="O7222" s="120"/>
      <c r="P7222" s="120"/>
      <c r="Q7222" s="120"/>
      <c r="R7222" s="120"/>
      <c r="S7222" s="120"/>
      <c r="T7222" s="221"/>
      <c r="U7222" s="89"/>
      <c r="V7222" s="61"/>
      <c r="W7222" s="92" t="s">
        <v>1030</v>
      </c>
      <c r="X7222" s="93" t="s">
        <v>29</v>
      </c>
      <c r="Y7222" s="93" t="s">
        <v>93</v>
      </c>
      <c r="Z7222" s="134">
        <f>VLOOKUP(W7222,Sheet2!$B:$D,3,FALSE)</f>
        <v>23</v>
      </c>
      <c r="AA7222" s="93">
        <v>50</v>
      </c>
      <c r="AB7222" s="93">
        <f>AD7222/AC7217</f>
        <v>0.45999999999999996</v>
      </c>
      <c r="AC7222" s="93">
        <f>AC7217/AA7222</f>
        <v>0.13691899999999918</v>
      </c>
      <c r="AD7222" s="94">
        <f t="shared" ref="AD7222:AD7226" si="5122">AC7222*Z7222</f>
        <v>3.149136999999981</v>
      </c>
      <c r="AE7222" s="190"/>
      <c r="AF7222" s="191"/>
      <c r="AG7222" s="191"/>
      <c r="AH7222" s="191"/>
      <c r="AI7222" s="186"/>
      <c r="AK7222" s="171"/>
    </row>
    <row r="7223" spans="1:37" s="102" customFormat="1" ht="19.899999999999999" customHeight="1" x14ac:dyDescent="0.25">
      <c r="A7223" s="45"/>
      <c r="B7223" s="59"/>
      <c r="C7223" s="137"/>
      <c r="D7223" s="59"/>
      <c r="E7223" s="116"/>
      <c r="F7223" s="120"/>
      <c r="G7223" s="120"/>
      <c r="H7223" s="120"/>
      <c r="I7223" s="60"/>
      <c r="J7223" s="116"/>
      <c r="K7223" s="213"/>
      <c r="L7223" s="120"/>
      <c r="M7223" s="120"/>
      <c r="N7223" s="167"/>
      <c r="O7223" s="120"/>
      <c r="P7223" s="120"/>
      <c r="Q7223" s="120"/>
      <c r="R7223" s="120"/>
      <c r="S7223" s="120"/>
      <c r="T7223" s="221"/>
      <c r="U7223" s="89"/>
      <c r="V7223" s="61"/>
      <c r="W7223" s="92" t="s">
        <v>65</v>
      </c>
      <c r="X7223" s="93" t="s">
        <v>30</v>
      </c>
      <c r="Y7223" s="93" t="s">
        <v>1011</v>
      </c>
      <c r="Z7223" s="134">
        <f>VLOOKUP(W7223,Sheet2!$B:$D,3,FALSE)</f>
        <v>1.76</v>
      </c>
      <c r="AA7223" s="93">
        <f>AA7222/3</f>
        <v>16.666666666666668</v>
      </c>
      <c r="AB7223" s="93">
        <f>AD7223/AC7217</f>
        <v>0.10559999999999999</v>
      </c>
      <c r="AC7223" s="93">
        <f>AC7217/AA7223</f>
        <v>0.41075699999999754</v>
      </c>
      <c r="AD7223" s="94">
        <f t="shared" si="5122"/>
        <v>0.72293231999999563</v>
      </c>
      <c r="AE7223" s="190"/>
      <c r="AF7223" s="191"/>
      <c r="AG7223" s="191"/>
      <c r="AH7223" s="191"/>
      <c r="AI7223" s="186"/>
      <c r="AK7223" s="171"/>
    </row>
    <row r="7224" spans="1:37" s="102" customFormat="1" ht="19.899999999999999" customHeight="1" x14ac:dyDescent="0.25">
      <c r="A7224" s="45"/>
      <c r="B7224" s="59"/>
      <c r="C7224" s="137"/>
      <c r="D7224" s="59"/>
      <c r="E7224" s="116"/>
      <c r="F7224" s="120"/>
      <c r="G7224" s="120"/>
      <c r="H7224" s="120"/>
      <c r="I7224" s="60"/>
      <c r="J7224" s="116"/>
      <c r="K7224" s="213"/>
      <c r="L7224" s="120"/>
      <c r="M7224" s="120"/>
      <c r="N7224" s="167"/>
      <c r="O7224" s="120"/>
      <c r="P7224" s="120"/>
      <c r="Q7224" s="120"/>
      <c r="R7224" s="120"/>
      <c r="S7224" s="120"/>
      <c r="T7224" s="221"/>
      <c r="U7224" s="89"/>
      <c r="V7224" s="61"/>
      <c r="W7224" s="92" t="s">
        <v>148</v>
      </c>
      <c r="X7224" s="93" t="s">
        <v>29</v>
      </c>
      <c r="Y7224" s="93" t="s">
        <v>93</v>
      </c>
      <c r="Z7224" s="134">
        <f>VLOOKUP(W7224,Sheet2!$B:$D,3,FALSE)</f>
        <v>48</v>
      </c>
      <c r="AA7224" s="93">
        <f>AA7218</f>
        <v>25</v>
      </c>
      <c r="AB7224" s="93">
        <f>AD7224/AC7217</f>
        <v>1.92</v>
      </c>
      <c r="AC7224" s="93">
        <f>AC7217/AA7224</f>
        <v>0.27383799999999836</v>
      </c>
      <c r="AD7224" s="94">
        <f t="shared" si="5122"/>
        <v>13.144223999999921</v>
      </c>
      <c r="AE7224" s="190"/>
      <c r="AF7224" s="191"/>
      <c r="AG7224" s="191"/>
      <c r="AH7224" s="191"/>
      <c r="AI7224" s="186"/>
      <c r="AK7224" s="171"/>
    </row>
    <row r="7225" spans="1:37" s="102" customFormat="1" ht="19.899999999999999" customHeight="1" x14ac:dyDescent="0.25">
      <c r="A7225" s="45"/>
      <c r="B7225" s="59"/>
      <c r="C7225" s="137"/>
      <c r="D7225" s="59"/>
      <c r="E7225" s="116"/>
      <c r="F7225" s="120"/>
      <c r="G7225" s="120"/>
      <c r="H7225" s="120"/>
      <c r="I7225" s="60"/>
      <c r="J7225" s="116"/>
      <c r="K7225" s="213"/>
      <c r="L7225" s="120"/>
      <c r="M7225" s="120"/>
      <c r="N7225" s="167"/>
      <c r="O7225" s="120"/>
      <c r="P7225" s="120"/>
      <c r="Q7225" s="120"/>
      <c r="R7225" s="120"/>
      <c r="S7225" s="120"/>
      <c r="T7225" s="221"/>
      <c r="U7225" s="89"/>
      <c r="V7225" s="61"/>
      <c r="W7225" s="92" t="s">
        <v>65</v>
      </c>
      <c r="X7225" s="93" t="s">
        <v>30</v>
      </c>
      <c r="Y7225" s="93" t="s">
        <v>1011</v>
      </c>
      <c r="Z7225" s="134">
        <f>VLOOKUP(W7225,Sheet2!$B:$D,3,FALSE)</f>
        <v>1.76</v>
      </c>
      <c r="AA7225" s="93">
        <f>AA7224/10</f>
        <v>2.5</v>
      </c>
      <c r="AB7225" s="93">
        <f>AD7225/AC7217</f>
        <v>0.70399999999999996</v>
      </c>
      <c r="AC7225" s="93">
        <f>AC7217/AA7225</f>
        <v>2.7383799999999838</v>
      </c>
      <c r="AD7225" s="94">
        <f t="shared" si="5122"/>
        <v>4.8195487999999713</v>
      </c>
      <c r="AE7225" s="190"/>
      <c r="AF7225" s="191"/>
      <c r="AG7225" s="191"/>
      <c r="AH7225" s="191"/>
      <c r="AI7225" s="186"/>
      <c r="AK7225" s="171"/>
    </row>
    <row r="7226" spans="1:37" s="102" customFormat="1" ht="19.899999999999999" customHeight="1" x14ac:dyDescent="0.25">
      <c r="A7226" s="45"/>
      <c r="B7226" s="59"/>
      <c r="C7226" s="137"/>
      <c r="D7226" s="59"/>
      <c r="E7226" s="116"/>
      <c r="F7226" s="120"/>
      <c r="G7226" s="120"/>
      <c r="H7226" s="120"/>
      <c r="I7226" s="60"/>
      <c r="J7226" s="116"/>
      <c r="K7226" s="213"/>
      <c r="L7226" s="120"/>
      <c r="M7226" s="120"/>
      <c r="N7226" s="167"/>
      <c r="O7226" s="120"/>
      <c r="P7226" s="120"/>
      <c r="Q7226" s="120"/>
      <c r="R7226" s="120"/>
      <c r="S7226" s="120"/>
      <c r="T7226" s="221"/>
      <c r="U7226" s="89"/>
      <c r="V7226" s="61"/>
      <c r="W7226" s="92" t="s">
        <v>1049</v>
      </c>
      <c r="X7226" s="93" t="s">
        <v>30</v>
      </c>
      <c r="Y7226" s="93" t="s">
        <v>68</v>
      </c>
      <c r="Z7226" s="134">
        <f>VLOOKUP(W7226,Sheet2!$B:$D,3,FALSE)</f>
        <v>60</v>
      </c>
      <c r="AA7226" s="93">
        <v>1</v>
      </c>
      <c r="AB7226" s="93">
        <f>AD7226/AC7217</f>
        <v>60</v>
      </c>
      <c r="AC7226" s="93">
        <f>AC7217/AA7226</f>
        <v>6.8459499999999593</v>
      </c>
      <c r="AD7226" s="94">
        <f t="shared" si="5122"/>
        <v>410.75699999999756</v>
      </c>
      <c r="AE7226" s="190"/>
      <c r="AF7226" s="191"/>
      <c r="AG7226" s="191"/>
      <c r="AH7226" s="191"/>
      <c r="AI7226" s="186"/>
      <c r="AK7226" s="171"/>
    </row>
    <row r="7227" spans="1:37" s="103" customFormat="1" ht="19.899999999999999" customHeight="1" x14ac:dyDescent="0.25">
      <c r="A7227" s="51"/>
      <c r="B7227" s="52"/>
      <c r="C7227" s="165"/>
      <c r="D7227" s="52"/>
      <c r="E7227" s="115"/>
      <c r="F7227" s="58"/>
      <c r="G7227" s="58"/>
      <c r="H7227" s="58"/>
      <c r="I7227" s="55"/>
      <c r="J7227" s="113">
        <f>J7216</f>
        <v>6.8459499999999593</v>
      </c>
      <c r="K7227" s="212">
        <f>K7216</f>
        <v>6.8459499999999593</v>
      </c>
      <c r="L7227" s="58"/>
      <c r="M7227" s="58">
        <f>K7227-L7227</f>
        <v>6.8459499999999593</v>
      </c>
      <c r="N7227" s="166"/>
      <c r="O7227" s="58"/>
      <c r="P7227" s="58"/>
      <c r="Q7227" s="58"/>
      <c r="R7227" s="58"/>
      <c r="S7227" s="58"/>
      <c r="T7227" s="220"/>
      <c r="U7227" s="88"/>
      <c r="V7227" s="56"/>
      <c r="W7227" s="57" t="s">
        <v>1036</v>
      </c>
      <c r="X7227" s="53"/>
      <c r="Y7227" s="91" t="s">
        <v>68</v>
      </c>
      <c r="Z7227" s="136">
        <f>AD7227/AC7227</f>
        <v>195.58333333333331</v>
      </c>
      <c r="AA7227" s="58"/>
      <c r="AB7227" s="53">
        <f>AD7227/AC7227</f>
        <v>195.58333333333331</v>
      </c>
      <c r="AC7227" s="53">
        <f>M7227+$AE$10</f>
        <v>6.8459499999999593</v>
      </c>
      <c r="AD7227" s="54">
        <f>SUM(AD7228:AD7233)</f>
        <v>1338.9537208333252</v>
      </c>
      <c r="AE7227" s="184">
        <f>SUMIFS($AD$37:$AD$12971,$V$37:$V$12971,$V7227,$X$37:$X$12971,AE$13)</f>
        <v>0</v>
      </c>
      <c r="AF7227" s="185">
        <f>SUMIFS($AD$37:$AD$12971,$V$37:$V$12971,$V7227,$X$37:$X$12971,AF$13)</f>
        <v>0</v>
      </c>
      <c r="AG7227" s="185">
        <f>SUMIFS($AD$37:$AD$12971,$V$37:$V$12971,$V7227,$X$37:$X$12971,AG$13)</f>
        <v>0</v>
      </c>
      <c r="AH7227" s="187">
        <f>SUMIFS($AD$37:$AD$12971,$V$37:$V$12971,$V7227,$X$37:$X$12971,AH$13)</f>
        <v>0</v>
      </c>
      <c r="AI7227" s="161">
        <f t="shared" ref="AI7227" si="5123">SUM(AE7227:AH7227)</f>
        <v>0</v>
      </c>
      <c r="AK7227" s="172"/>
    </row>
    <row r="7228" spans="1:37" s="102" customFormat="1" ht="19.899999999999999" customHeight="1" x14ac:dyDescent="0.25">
      <c r="A7228" s="45"/>
      <c r="B7228" s="59"/>
      <c r="C7228" s="137"/>
      <c r="D7228" s="59"/>
      <c r="E7228" s="116"/>
      <c r="F7228" s="120"/>
      <c r="G7228" s="120"/>
      <c r="H7228" s="120"/>
      <c r="I7228" s="60"/>
      <c r="J7228" s="116"/>
      <c r="K7228" s="213"/>
      <c r="L7228" s="120"/>
      <c r="M7228" s="120"/>
      <c r="N7228" s="167"/>
      <c r="O7228" s="120"/>
      <c r="P7228" s="120"/>
      <c r="Q7228" s="120"/>
      <c r="R7228" s="120"/>
      <c r="S7228" s="120"/>
      <c r="T7228" s="221"/>
      <c r="U7228" s="89"/>
      <c r="V7228" s="61"/>
      <c r="W7228" s="92" t="s">
        <v>1054</v>
      </c>
      <c r="X7228" s="93" t="s">
        <v>30</v>
      </c>
      <c r="Y7228" s="93" t="s">
        <v>68</v>
      </c>
      <c r="Z7228" s="134">
        <f>VLOOKUP(W7228,Sheet2!$B:$D,3,FALSE)</f>
        <v>105</v>
      </c>
      <c r="AA7228" s="93">
        <v>1</v>
      </c>
      <c r="AB7228" s="93">
        <f>AD7228/AC7227</f>
        <v>104.99999999999999</v>
      </c>
      <c r="AC7228" s="93">
        <f>AC7227/AA7228</f>
        <v>6.8459499999999593</v>
      </c>
      <c r="AD7228" s="94">
        <f t="shared" ref="AD7228" si="5124">AC7228*Z7228</f>
        <v>718.82474999999567</v>
      </c>
      <c r="AE7228" s="190"/>
      <c r="AF7228" s="191"/>
      <c r="AG7228" s="191"/>
      <c r="AH7228" s="191"/>
      <c r="AI7228" s="186"/>
      <c r="AK7228" s="171"/>
    </row>
    <row r="7229" spans="1:37" s="102" customFormat="1" ht="19.899999999999999" customHeight="1" x14ac:dyDescent="0.25">
      <c r="A7229" s="45"/>
      <c r="B7229" s="59"/>
      <c r="C7229" s="137"/>
      <c r="D7229" s="59"/>
      <c r="E7229" s="116"/>
      <c r="F7229" s="120"/>
      <c r="G7229" s="120"/>
      <c r="H7229" s="120"/>
      <c r="I7229" s="60"/>
      <c r="J7229" s="116"/>
      <c r="K7229" s="213"/>
      <c r="L7229" s="120"/>
      <c r="M7229" s="120"/>
      <c r="N7229" s="167"/>
      <c r="O7229" s="120"/>
      <c r="P7229" s="120"/>
      <c r="Q7229" s="120"/>
      <c r="R7229" s="120"/>
      <c r="S7229" s="120"/>
      <c r="T7229" s="221"/>
      <c r="U7229" s="89"/>
      <c r="V7229" s="61"/>
      <c r="W7229" s="92" t="s">
        <v>1061</v>
      </c>
      <c r="X7229" s="93" t="s">
        <v>30</v>
      </c>
      <c r="Y7229" s="93" t="s">
        <v>68</v>
      </c>
      <c r="Z7229" s="134">
        <f>VLOOKUP(W7229,Sheet2!$B:$D,3,FALSE)</f>
        <v>10</v>
      </c>
      <c r="AA7229" s="93">
        <v>1</v>
      </c>
      <c r="AB7229" s="93">
        <f>AD7229/AC7227</f>
        <v>10</v>
      </c>
      <c r="AC7229" s="93">
        <f>AC7227/AA7229</f>
        <v>6.8459499999999593</v>
      </c>
      <c r="AD7229" s="94">
        <f>AC7229*Z7229</f>
        <v>68.459499999999593</v>
      </c>
      <c r="AE7229" s="190"/>
      <c r="AF7229" s="191"/>
      <c r="AG7229" s="191"/>
      <c r="AH7229" s="191"/>
      <c r="AI7229" s="186"/>
      <c r="AK7229" s="171"/>
    </row>
    <row r="7230" spans="1:37" s="102" customFormat="1" ht="19.899999999999999" customHeight="1" x14ac:dyDescent="0.25">
      <c r="A7230" s="45"/>
      <c r="B7230" s="59"/>
      <c r="C7230" s="137"/>
      <c r="D7230" s="59"/>
      <c r="E7230" s="116"/>
      <c r="F7230" s="120"/>
      <c r="G7230" s="120"/>
      <c r="H7230" s="120"/>
      <c r="I7230" s="60"/>
      <c r="J7230" s="116"/>
      <c r="K7230" s="213"/>
      <c r="L7230" s="120"/>
      <c r="M7230" s="120"/>
      <c r="N7230" s="167"/>
      <c r="O7230" s="120"/>
      <c r="P7230" s="120"/>
      <c r="Q7230" s="120"/>
      <c r="R7230" s="120"/>
      <c r="S7230" s="120"/>
      <c r="T7230" s="221"/>
      <c r="U7230" s="89"/>
      <c r="V7230" s="61"/>
      <c r="W7230" s="92" t="s">
        <v>1069</v>
      </c>
      <c r="X7230" s="93" t="s">
        <v>32</v>
      </c>
      <c r="Y7230" s="93" t="s">
        <v>68</v>
      </c>
      <c r="Z7230" s="134">
        <f>VLOOKUP(W7230,Sheet2!$B:$D,3,FALSE)</f>
        <v>40</v>
      </c>
      <c r="AA7230" s="93">
        <v>1</v>
      </c>
      <c r="AB7230" s="93">
        <f>AD7230/AC7227</f>
        <v>40</v>
      </c>
      <c r="AC7230" s="93">
        <f>AC7227/AA7230</f>
        <v>6.8459499999999593</v>
      </c>
      <c r="AD7230" s="94">
        <f>AC7230*Z7230</f>
        <v>273.83799999999837</v>
      </c>
      <c r="AE7230" s="190"/>
      <c r="AF7230" s="191"/>
      <c r="AG7230" s="191"/>
      <c r="AH7230" s="191"/>
      <c r="AI7230" s="186"/>
      <c r="AK7230" s="171"/>
    </row>
    <row r="7231" spans="1:37" s="102" customFormat="1" ht="19.899999999999999" customHeight="1" x14ac:dyDescent="0.25">
      <c r="A7231" s="45"/>
      <c r="B7231" s="59"/>
      <c r="C7231" s="137"/>
      <c r="D7231" s="59"/>
      <c r="E7231" s="116"/>
      <c r="F7231" s="120"/>
      <c r="G7231" s="120"/>
      <c r="H7231" s="120"/>
      <c r="I7231" s="60"/>
      <c r="J7231" s="116"/>
      <c r="K7231" s="213"/>
      <c r="L7231" s="120"/>
      <c r="M7231" s="120"/>
      <c r="N7231" s="167"/>
      <c r="O7231" s="120"/>
      <c r="P7231" s="120"/>
      <c r="Q7231" s="120"/>
      <c r="R7231" s="120"/>
      <c r="S7231" s="120"/>
      <c r="T7231" s="221"/>
      <c r="U7231" s="89"/>
      <c r="V7231" s="61"/>
      <c r="W7231" s="92" t="s">
        <v>1032</v>
      </c>
      <c r="X7231" s="93" t="s">
        <v>30</v>
      </c>
      <c r="Y7231" s="93" t="s">
        <v>66</v>
      </c>
      <c r="Z7231" s="134">
        <f>VLOOKUP(W7231,Sheet2!$B:$D,3,FALSE)</f>
        <v>250</v>
      </c>
      <c r="AA7231" s="93">
        <f>1/(1*1*0.1)</f>
        <v>10</v>
      </c>
      <c r="AB7231" s="93">
        <f>AD7231/AC7227</f>
        <v>25</v>
      </c>
      <c r="AC7231" s="93">
        <f>AC7227/AA7231</f>
        <v>0.68459499999999596</v>
      </c>
      <c r="AD7231" s="94">
        <f>AC7231*Z7231</f>
        <v>171.14874999999898</v>
      </c>
      <c r="AE7231" s="190"/>
      <c r="AF7231" s="191"/>
      <c r="AG7231" s="191"/>
      <c r="AH7231" s="191"/>
      <c r="AI7231" s="186"/>
      <c r="AK7231" s="171"/>
    </row>
    <row r="7232" spans="1:37" s="102" customFormat="1" ht="19.899999999999999" customHeight="1" x14ac:dyDescent="0.25">
      <c r="A7232" s="45"/>
      <c r="B7232" s="59"/>
      <c r="C7232" s="137"/>
      <c r="D7232" s="59"/>
      <c r="E7232" s="116"/>
      <c r="F7232" s="120"/>
      <c r="G7232" s="120"/>
      <c r="H7232" s="120"/>
      <c r="I7232" s="60"/>
      <c r="J7232" s="116"/>
      <c r="K7232" s="213"/>
      <c r="L7232" s="120"/>
      <c r="M7232" s="120"/>
      <c r="N7232" s="167"/>
      <c r="O7232" s="120"/>
      <c r="P7232" s="120"/>
      <c r="Q7232" s="120"/>
      <c r="R7232" s="120"/>
      <c r="S7232" s="120"/>
      <c r="T7232" s="221"/>
      <c r="U7232" s="89"/>
      <c r="V7232" s="61"/>
      <c r="W7232" s="92" t="s">
        <v>1035</v>
      </c>
      <c r="X7232" s="93" t="s">
        <v>32</v>
      </c>
      <c r="Y7232" s="93" t="s">
        <v>66</v>
      </c>
      <c r="Z7232" s="134">
        <f>VLOOKUP(W7232,Sheet2!$B:$D,3,FALSE)</f>
        <v>150</v>
      </c>
      <c r="AA7232" s="93">
        <f>AA7231</f>
        <v>10</v>
      </c>
      <c r="AB7232" s="93">
        <f>AD7232/AC7227</f>
        <v>15</v>
      </c>
      <c r="AC7232" s="93">
        <f>AC7227/AA7232</f>
        <v>0.68459499999999596</v>
      </c>
      <c r="AD7232" s="94">
        <f t="shared" ref="AD7232:AD7233" si="5125">AC7232*Z7232</f>
        <v>102.68924999999939</v>
      </c>
      <c r="AE7232" s="190"/>
      <c r="AF7232" s="191"/>
      <c r="AG7232" s="191"/>
      <c r="AH7232" s="191"/>
      <c r="AI7232" s="186"/>
      <c r="AK7232" s="171"/>
    </row>
    <row r="7233" spans="1:41" s="102" customFormat="1" ht="19.899999999999999" customHeight="1" x14ac:dyDescent="0.25">
      <c r="A7233" s="45"/>
      <c r="B7233" s="59"/>
      <c r="C7233" s="137"/>
      <c r="D7233" s="59"/>
      <c r="E7233" s="116"/>
      <c r="F7233" s="120"/>
      <c r="G7233" s="120"/>
      <c r="H7233" s="120"/>
      <c r="I7233" s="60"/>
      <c r="J7233" s="116"/>
      <c r="K7233" s="213"/>
      <c r="L7233" s="120"/>
      <c r="M7233" s="120"/>
      <c r="N7233" s="167"/>
      <c r="O7233" s="120"/>
      <c r="P7233" s="120"/>
      <c r="Q7233" s="120"/>
      <c r="R7233" s="120"/>
      <c r="S7233" s="120"/>
      <c r="T7233" s="221"/>
      <c r="U7233" s="89"/>
      <c r="V7233" s="61"/>
      <c r="W7233" s="92" t="s">
        <v>1037</v>
      </c>
      <c r="X7233" s="93" t="s">
        <v>30</v>
      </c>
      <c r="Y7233" s="93" t="s">
        <v>1038</v>
      </c>
      <c r="Z7233" s="134">
        <f>VLOOKUP(W7233,Sheet2!$B:$D,3,FALSE)</f>
        <v>175</v>
      </c>
      <c r="AA7233" s="93">
        <v>300</v>
      </c>
      <c r="AB7233" s="93">
        <f>AD7233/AC7227</f>
        <v>0.58333333333333337</v>
      </c>
      <c r="AC7233" s="93">
        <f>AC7227/AA7233</f>
        <v>2.2819833333333199E-2</v>
      </c>
      <c r="AD7233" s="94">
        <f t="shared" si="5125"/>
        <v>3.9934708333333098</v>
      </c>
      <c r="AE7233" s="190"/>
      <c r="AF7233" s="191"/>
      <c r="AG7233" s="191"/>
      <c r="AH7233" s="191"/>
      <c r="AI7233" s="186"/>
      <c r="AK7233" s="171"/>
    </row>
    <row r="7234" spans="1:41" s="103" customFormat="1" ht="19.899999999999999" customHeight="1" x14ac:dyDescent="0.25">
      <c r="A7234" s="51"/>
      <c r="B7234" s="52"/>
      <c r="C7234" s="165"/>
      <c r="D7234" s="52"/>
      <c r="E7234" s="115"/>
      <c r="F7234" s="58"/>
      <c r="G7234" s="58"/>
      <c r="H7234" s="58"/>
      <c r="I7234" s="55"/>
      <c r="J7234" s="113">
        <f>J7216</f>
        <v>6.8459499999999593</v>
      </c>
      <c r="K7234" s="212">
        <f>K7216</f>
        <v>6.8459499999999593</v>
      </c>
      <c r="L7234" s="58"/>
      <c r="M7234" s="58">
        <f>K7234-L7234</f>
        <v>6.8459499999999593</v>
      </c>
      <c r="N7234" s="166"/>
      <c r="O7234" s="58"/>
      <c r="P7234" s="58"/>
      <c r="Q7234" s="58"/>
      <c r="R7234" s="58"/>
      <c r="S7234" s="58"/>
      <c r="T7234" s="220"/>
      <c r="U7234" s="88"/>
      <c r="V7234" s="56"/>
      <c r="W7234" s="57" t="s">
        <v>1040</v>
      </c>
      <c r="X7234" s="53"/>
      <c r="Y7234" s="91" t="s">
        <v>68</v>
      </c>
      <c r="Z7234" s="136">
        <f>AD7234/AC7234</f>
        <v>5</v>
      </c>
      <c r="AA7234" s="58"/>
      <c r="AB7234" s="53">
        <f>AD7234/AC7234</f>
        <v>5</v>
      </c>
      <c r="AC7234" s="53">
        <f>M7234+$AE$10</f>
        <v>6.8459499999999593</v>
      </c>
      <c r="AD7234" s="54">
        <f>SUM(AD7235)</f>
        <v>34.229749999999797</v>
      </c>
      <c r="AE7234" s="184">
        <f>SUMIFS($AD$37:$AD$12971,$V$37:$V$12971,$V7234,$X$37:$X$12971,AE$13)</f>
        <v>0</v>
      </c>
      <c r="AF7234" s="185">
        <f>SUMIFS($AD$37:$AD$12971,$V$37:$V$12971,$V7234,$X$37:$X$12971,AF$13)</f>
        <v>0</v>
      </c>
      <c r="AG7234" s="185">
        <f>SUMIFS($AD$37:$AD$12971,$V$37:$V$12971,$V7234,$X$37:$X$12971,AG$13)</f>
        <v>0</v>
      </c>
      <c r="AH7234" s="187">
        <f>SUMIFS($AD$37:$AD$12971,$V$37:$V$12971,$V7234,$X$37:$X$12971,AH$13)</f>
        <v>0</v>
      </c>
      <c r="AI7234" s="161">
        <f t="shared" ref="AI7234" si="5126">SUM(AE7234:AH7234)</f>
        <v>0</v>
      </c>
      <c r="AK7234" s="172"/>
    </row>
    <row r="7235" spans="1:41" s="102" customFormat="1" ht="19.899999999999999" customHeight="1" x14ac:dyDescent="0.25">
      <c r="A7235" s="45"/>
      <c r="B7235" s="59"/>
      <c r="C7235" s="137"/>
      <c r="D7235" s="59"/>
      <c r="E7235" s="116"/>
      <c r="F7235" s="120"/>
      <c r="G7235" s="120"/>
      <c r="H7235" s="120"/>
      <c r="I7235" s="60"/>
      <c r="J7235" s="116"/>
      <c r="K7235" s="213"/>
      <c r="L7235" s="120"/>
      <c r="M7235" s="120"/>
      <c r="N7235" s="167"/>
      <c r="O7235" s="120"/>
      <c r="P7235" s="120"/>
      <c r="Q7235" s="120"/>
      <c r="R7235" s="120"/>
      <c r="S7235" s="120"/>
      <c r="T7235" s="221"/>
      <c r="U7235" s="89"/>
      <c r="V7235" s="61"/>
      <c r="W7235" s="92" t="s">
        <v>1039</v>
      </c>
      <c r="X7235" s="93" t="s">
        <v>32</v>
      </c>
      <c r="Y7235" s="93" t="s">
        <v>68</v>
      </c>
      <c r="Z7235" s="134">
        <f>VLOOKUP(W7235,Sheet2!$B:$D,3,FALSE)</f>
        <v>5</v>
      </c>
      <c r="AA7235" s="93">
        <v>1</v>
      </c>
      <c r="AB7235" s="93">
        <f>AD7235/AC7234</f>
        <v>5</v>
      </c>
      <c r="AC7235" s="93">
        <f>AC7234/AA7235</f>
        <v>6.8459499999999593</v>
      </c>
      <c r="AD7235" s="94">
        <f t="shared" ref="AD7235" si="5127">AC7235*Z7235</f>
        <v>34.229749999999797</v>
      </c>
      <c r="AE7235" s="190"/>
      <c r="AF7235" s="191"/>
      <c r="AG7235" s="191"/>
      <c r="AH7235" s="191"/>
      <c r="AI7235" s="186"/>
      <c r="AK7235" s="171"/>
    </row>
    <row r="7236" spans="1:41" ht="20.100000000000001" customHeight="1" x14ac:dyDescent="0.25">
      <c r="A7236" s="277" t="s">
        <v>703</v>
      </c>
      <c r="B7236" s="278"/>
      <c r="C7236" s="64" t="s">
        <v>724</v>
      </c>
      <c r="D7236" s="46" t="s">
        <v>97</v>
      </c>
      <c r="E7236" s="114"/>
      <c r="F7236" s="44">
        <v>0</v>
      </c>
      <c r="G7236" s="44">
        <f t="shared" si="4575"/>
        <v>0</v>
      </c>
      <c r="H7236" s="44">
        <f t="shared" si="4576"/>
        <v>0</v>
      </c>
      <c r="I7236" s="43">
        <f t="shared" si="4577"/>
        <v>0</v>
      </c>
      <c r="J7236" s="112">
        <f t="shared" si="4578"/>
        <v>0</v>
      </c>
      <c r="K7236" s="211">
        <f t="shared" si="4579"/>
        <v>0</v>
      </c>
      <c r="L7236" s="44"/>
      <c r="M7236" s="44">
        <f t="shared" si="4580"/>
        <v>0</v>
      </c>
      <c r="N7236" s="173">
        <f t="shared" si="4581"/>
        <v>0</v>
      </c>
      <c r="O7236" s="44">
        <f t="shared" si="4582"/>
        <v>0</v>
      </c>
      <c r="P7236" s="44">
        <f t="shared" si="4583"/>
        <v>0</v>
      </c>
      <c r="Q7236" s="44">
        <f t="shared" si="4584"/>
        <v>0</v>
      </c>
      <c r="R7236" s="44">
        <f t="shared" si="4585"/>
        <v>0</v>
      </c>
      <c r="S7236" s="123"/>
      <c r="T7236" s="219">
        <f t="shared" si="4586"/>
        <v>0</v>
      </c>
      <c r="U7236" s="87"/>
      <c r="V7236" s="47"/>
      <c r="W7236" s="48"/>
      <c r="X7236" s="48"/>
      <c r="Y7236" s="48"/>
      <c r="Z7236" s="135"/>
      <c r="AA7236" s="49"/>
      <c r="AB7236" s="50">
        <f t="shared" si="4587"/>
        <v>0</v>
      </c>
      <c r="AC7236" s="42">
        <f t="shared" si="4588"/>
        <v>9.9999999999999998E-20</v>
      </c>
      <c r="AD7236" s="90"/>
      <c r="AE7236" s="188"/>
      <c r="AF7236" s="189"/>
      <c r="AG7236" s="189"/>
      <c r="AH7236" s="189"/>
      <c r="AI7236" s="161"/>
    </row>
    <row r="7237" spans="1:41" ht="20.100000000000001" customHeight="1" x14ac:dyDescent="0.25">
      <c r="A7237" s="277" t="s">
        <v>703</v>
      </c>
      <c r="B7237" s="278"/>
      <c r="C7237" s="64" t="s">
        <v>725</v>
      </c>
      <c r="D7237" s="46" t="s">
        <v>97</v>
      </c>
      <c r="E7237" s="114">
        <v>97.273950000000013</v>
      </c>
      <c r="F7237" s="44">
        <v>535</v>
      </c>
      <c r="G7237" s="44">
        <f t="shared" si="4575"/>
        <v>52041.563250000007</v>
      </c>
      <c r="H7237" s="44">
        <f t="shared" si="4576"/>
        <v>274.37634039215692</v>
      </c>
      <c r="I7237" s="43">
        <f t="shared" si="4577"/>
        <v>26689.670416489655</v>
      </c>
      <c r="J7237" s="112">
        <f t="shared" si="4578"/>
        <v>97.273950000000013</v>
      </c>
      <c r="K7237" s="211">
        <f t="shared" si="4579"/>
        <v>97.273950000000013</v>
      </c>
      <c r="L7237" s="44"/>
      <c r="M7237" s="44">
        <f t="shared" si="4580"/>
        <v>97.273950000000013</v>
      </c>
      <c r="N7237" s="173">
        <f t="shared" si="4581"/>
        <v>1</v>
      </c>
      <c r="O7237" s="44">
        <f t="shared" si="4582"/>
        <v>535</v>
      </c>
      <c r="P7237" s="44">
        <f t="shared" si="4583"/>
        <v>52041.563250000007</v>
      </c>
      <c r="Q7237" s="44">
        <f t="shared" si="4584"/>
        <v>274.37634039215692</v>
      </c>
      <c r="R7237" s="44">
        <f t="shared" si="4585"/>
        <v>26689.670416489655</v>
      </c>
      <c r="S7237" s="123"/>
      <c r="T7237" s="219">
        <f t="shared" si="4586"/>
        <v>26689.670416489655</v>
      </c>
      <c r="U7237" s="87"/>
      <c r="V7237" s="47"/>
      <c r="W7237" s="48"/>
      <c r="X7237" s="48"/>
      <c r="Y7237" s="48"/>
      <c r="Z7237" s="135"/>
      <c r="AA7237" s="49"/>
      <c r="AB7237" s="50">
        <f t="shared" si="4587"/>
        <v>274.37634039215692</v>
      </c>
      <c r="AC7237" s="42">
        <f t="shared" si="4588"/>
        <v>97.273950000000013</v>
      </c>
      <c r="AD7237" s="90">
        <f>AD7238+AD7247+AD7254</f>
        <v>26689.670416489655</v>
      </c>
      <c r="AE7237" s="188">
        <f>AE7238+AE7247+AE7254</f>
        <v>0</v>
      </c>
      <c r="AF7237" s="189">
        <f>AF7238+AF7247+AF7254</f>
        <v>0</v>
      </c>
      <c r="AG7237" s="189">
        <f>AG7238+AG7247+AG7254</f>
        <v>0</v>
      </c>
      <c r="AH7237" s="189">
        <f>AH7238+AH7247+AH7254</f>
        <v>0</v>
      </c>
      <c r="AI7237" s="161">
        <f t="shared" ref="AI7237" si="5128">SUM(AE7237:AH7237)</f>
        <v>0</v>
      </c>
      <c r="AK7237" s="169">
        <v>5</v>
      </c>
      <c r="AO7237" s="19" t="s">
        <v>63</v>
      </c>
    </row>
    <row r="7238" spans="1:41" s="103" customFormat="1" ht="19.899999999999999" customHeight="1" x14ac:dyDescent="0.25">
      <c r="A7238" s="51"/>
      <c r="B7238" s="52"/>
      <c r="C7238" s="165"/>
      <c r="D7238" s="52"/>
      <c r="E7238" s="115"/>
      <c r="F7238" s="58"/>
      <c r="G7238" s="58"/>
      <c r="H7238" s="58"/>
      <c r="I7238" s="55"/>
      <c r="J7238" s="113">
        <f>J7237</f>
        <v>97.273950000000013</v>
      </c>
      <c r="K7238" s="212">
        <f>K7237</f>
        <v>97.273950000000013</v>
      </c>
      <c r="L7238" s="58"/>
      <c r="M7238" s="58">
        <f>K7238-L7238</f>
        <v>97.273950000000013</v>
      </c>
      <c r="N7238" s="166"/>
      <c r="O7238" s="58"/>
      <c r="P7238" s="58"/>
      <c r="Q7238" s="58"/>
      <c r="R7238" s="58"/>
      <c r="S7238" s="58"/>
      <c r="T7238" s="220"/>
      <c r="U7238" s="88"/>
      <c r="V7238" s="56"/>
      <c r="W7238" s="57" t="s">
        <v>1100</v>
      </c>
      <c r="X7238" s="53"/>
      <c r="Y7238" s="91" t="s">
        <v>68</v>
      </c>
      <c r="Z7238" s="136">
        <f>AD7238/AC7238</f>
        <v>11.79300705882353</v>
      </c>
      <c r="AA7238" s="58"/>
      <c r="AB7238" s="53">
        <f>AD7238/AC7238</f>
        <v>11.79300705882353</v>
      </c>
      <c r="AC7238" s="53">
        <f>M7238+$AE$10</f>
        <v>97.273950000000013</v>
      </c>
      <c r="AD7238" s="54">
        <f>SUM(AD7239:AD7246)</f>
        <v>1147.1523789896473</v>
      </c>
      <c r="AE7238" s="184">
        <f>SUMIFS($AD$37:$AD$12971,$V$37:$V$12971,$V7238,$X$37:$X$12971,AE$13)</f>
        <v>0</v>
      </c>
      <c r="AF7238" s="185">
        <f>SUMIFS($AD$37:$AD$12971,$V$37:$V$12971,$V7238,$X$37:$X$12971,AF$13)</f>
        <v>0</v>
      </c>
      <c r="AG7238" s="185">
        <f>SUMIFS($AD$37:$AD$12971,$V$37:$V$12971,$V7238,$X$37:$X$12971,AG$13)</f>
        <v>0</v>
      </c>
      <c r="AH7238" s="187">
        <f>SUMIFS($AD$37:$AD$12971,$V$37:$V$12971,$V7238,$X$37:$X$12971,AH$13)</f>
        <v>0</v>
      </c>
      <c r="AI7238" s="161">
        <f t="shared" ref="AI7238" si="5129">SUM(AE7238:AH7238)</f>
        <v>0</v>
      </c>
      <c r="AK7238" s="172"/>
    </row>
    <row r="7239" spans="1:41" s="102" customFormat="1" ht="19.899999999999999" customHeight="1" x14ac:dyDescent="0.25">
      <c r="A7239" s="45"/>
      <c r="B7239" s="59"/>
      <c r="C7239" s="137"/>
      <c r="D7239" s="59"/>
      <c r="E7239" s="116"/>
      <c r="F7239" s="120"/>
      <c r="G7239" s="120"/>
      <c r="H7239" s="120"/>
      <c r="I7239" s="60"/>
      <c r="J7239" s="116"/>
      <c r="K7239" s="213"/>
      <c r="L7239" s="120"/>
      <c r="M7239" s="120"/>
      <c r="N7239" s="167"/>
      <c r="O7239" s="120"/>
      <c r="P7239" s="120"/>
      <c r="Q7239" s="120"/>
      <c r="R7239" s="120"/>
      <c r="S7239" s="120"/>
      <c r="T7239" s="221"/>
      <c r="U7239" s="89"/>
      <c r="V7239" s="61"/>
      <c r="W7239" s="92" t="s">
        <v>129</v>
      </c>
      <c r="X7239" s="93" t="s">
        <v>29</v>
      </c>
      <c r="Y7239" s="93" t="s">
        <v>93</v>
      </c>
      <c r="Z7239" s="134">
        <f>VLOOKUP(W7239,Sheet2!$B:$D,3,FALSE)</f>
        <v>56</v>
      </c>
      <c r="AA7239" s="93">
        <f>100/(1.2*2)</f>
        <v>41.666666666666671</v>
      </c>
      <c r="AB7239" s="93">
        <f t="shared" ref="AB7239" si="5130">AD7239/AC7238</f>
        <v>1.3439999999999999</v>
      </c>
      <c r="AC7239" s="93">
        <f>AC7238/AA7239</f>
        <v>2.3345748</v>
      </c>
      <c r="AD7239" s="94">
        <f t="shared" ref="AD7239:AD7240" si="5131">AC7239*Z7239</f>
        <v>130.73618880000001</v>
      </c>
      <c r="AE7239" s="190"/>
      <c r="AF7239" s="191"/>
      <c r="AG7239" s="191"/>
      <c r="AH7239" s="191"/>
      <c r="AI7239" s="186"/>
      <c r="AK7239" s="171"/>
    </row>
    <row r="7240" spans="1:41" s="102" customFormat="1" ht="19.899999999999999" customHeight="1" x14ac:dyDescent="0.25">
      <c r="A7240" s="45"/>
      <c r="B7240" s="59"/>
      <c r="C7240" s="137"/>
      <c r="D7240" s="59"/>
      <c r="E7240" s="116"/>
      <c r="F7240" s="120"/>
      <c r="G7240" s="120"/>
      <c r="H7240" s="120"/>
      <c r="I7240" s="60"/>
      <c r="J7240" s="116"/>
      <c r="K7240" s="213"/>
      <c r="L7240" s="120"/>
      <c r="M7240" s="120"/>
      <c r="N7240" s="167"/>
      <c r="O7240" s="120"/>
      <c r="P7240" s="120"/>
      <c r="Q7240" s="120"/>
      <c r="R7240" s="120"/>
      <c r="S7240" s="120"/>
      <c r="T7240" s="221"/>
      <c r="U7240" s="89"/>
      <c r="V7240" s="61"/>
      <c r="W7240" s="92" t="s">
        <v>65</v>
      </c>
      <c r="X7240" s="93" t="s">
        <v>30</v>
      </c>
      <c r="Y7240" s="93" t="s">
        <v>1011</v>
      </c>
      <c r="Z7240" s="134">
        <f>VLOOKUP(W7240,Sheet2!$B:$D,3,FALSE)</f>
        <v>1.76</v>
      </c>
      <c r="AA7240" s="93">
        <f>AA7239/14</f>
        <v>2.9761904761904767</v>
      </c>
      <c r="AB7240" s="93">
        <f>AD7240/AC7238</f>
        <v>0.59136</v>
      </c>
      <c r="AC7240" s="93">
        <f>AC7238/AA7240</f>
        <v>32.684047200000002</v>
      </c>
      <c r="AD7240" s="94">
        <f t="shared" si="5131"/>
        <v>57.523923072000002</v>
      </c>
      <c r="AE7240" s="190"/>
      <c r="AF7240" s="191"/>
      <c r="AG7240" s="191"/>
      <c r="AH7240" s="191"/>
      <c r="AI7240" s="186"/>
      <c r="AK7240" s="171"/>
    </row>
    <row r="7241" spans="1:41" s="102" customFormat="1" ht="19.899999999999999" customHeight="1" x14ac:dyDescent="0.25">
      <c r="A7241" s="45"/>
      <c r="B7241" s="59"/>
      <c r="C7241" s="137"/>
      <c r="D7241" s="59"/>
      <c r="E7241" s="116"/>
      <c r="F7241" s="120"/>
      <c r="G7241" s="120"/>
      <c r="H7241" s="120"/>
      <c r="I7241" s="60"/>
      <c r="J7241" s="116"/>
      <c r="K7241" s="213"/>
      <c r="L7241" s="120"/>
      <c r="M7241" s="120"/>
      <c r="N7241" s="167"/>
      <c r="O7241" s="120"/>
      <c r="P7241" s="120"/>
      <c r="Q7241" s="120"/>
      <c r="R7241" s="120"/>
      <c r="S7241" s="120"/>
      <c r="T7241" s="221"/>
      <c r="U7241" s="89"/>
      <c r="V7241" s="61"/>
      <c r="W7241" s="92" t="s">
        <v>161</v>
      </c>
      <c r="X7241" s="93" t="s">
        <v>29</v>
      </c>
      <c r="Y7241" s="93" t="s">
        <v>93</v>
      </c>
      <c r="Z7241" s="134">
        <f>VLOOKUP(W7241,Sheet2!$B:$D,3,FALSE)</f>
        <v>48</v>
      </c>
      <c r="AA7241" s="93">
        <f>(16*0.85*1.5)/(1.2*2)</f>
        <v>8.5</v>
      </c>
      <c r="AB7241" s="93">
        <f>AD7241/AC7238</f>
        <v>5.6470588235294121</v>
      </c>
      <c r="AC7241" s="93">
        <f>AC7238/AA7241</f>
        <v>11.44399411764706</v>
      </c>
      <c r="AD7241" s="94">
        <f>AC7241*Z7241</f>
        <v>549.31171764705891</v>
      </c>
      <c r="AE7241" s="190"/>
      <c r="AF7241" s="191"/>
      <c r="AG7241" s="191"/>
      <c r="AH7241" s="191"/>
      <c r="AI7241" s="186"/>
      <c r="AK7241" s="171"/>
    </row>
    <row r="7242" spans="1:41" s="102" customFormat="1" ht="19.899999999999999" customHeight="1" x14ac:dyDescent="0.25">
      <c r="A7242" s="45"/>
      <c r="B7242" s="59"/>
      <c r="C7242" s="137"/>
      <c r="D7242" s="59"/>
      <c r="E7242" s="116"/>
      <c r="F7242" s="120"/>
      <c r="G7242" s="120"/>
      <c r="H7242" s="120"/>
      <c r="I7242" s="60"/>
      <c r="J7242" s="116"/>
      <c r="K7242" s="213"/>
      <c r="L7242" s="120"/>
      <c r="M7242" s="120"/>
      <c r="N7242" s="167"/>
      <c r="O7242" s="120"/>
      <c r="P7242" s="120"/>
      <c r="Q7242" s="120"/>
      <c r="R7242" s="120"/>
      <c r="S7242" s="120"/>
      <c r="T7242" s="221"/>
      <c r="U7242" s="89"/>
      <c r="V7242" s="61"/>
      <c r="W7242" s="92" t="s">
        <v>65</v>
      </c>
      <c r="X7242" s="93" t="s">
        <v>30</v>
      </c>
      <c r="Y7242" s="93" t="s">
        <v>1011</v>
      </c>
      <c r="Z7242" s="134">
        <f>VLOOKUP(W7242,Sheet2!$B:$D,3,FALSE)</f>
        <v>1.76</v>
      </c>
      <c r="AA7242" s="93">
        <f>AA7241/10</f>
        <v>0.85</v>
      </c>
      <c r="AB7242" s="93">
        <f>AD7242/AC7238</f>
        <v>2.0705882352941178</v>
      </c>
      <c r="AC7242" s="93">
        <f>AC7238/AA7242</f>
        <v>114.43994117647061</v>
      </c>
      <c r="AD7242" s="94">
        <f>AC7242*Z7242</f>
        <v>201.41429647058828</v>
      </c>
      <c r="AE7242" s="190"/>
      <c r="AF7242" s="191"/>
      <c r="AG7242" s="191"/>
      <c r="AH7242" s="191"/>
      <c r="AI7242" s="186"/>
      <c r="AK7242" s="171"/>
    </row>
    <row r="7243" spans="1:41" s="102" customFormat="1" ht="19.899999999999999" customHeight="1" x14ac:dyDescent="0.25">
      <c r="A7243" s="45"/>
      <c r="B7243" s="59"/>
      <c r="C7243" s="137"/>
      <c r="D7243" s="59"/>
      <c r="E7243" s="116"/>
      <c r="F7243" s="120"/>
      <c r="G7243" s="120"/>
      <c r="H7243" s="120"/>
      <c r="I7243" s="60"/>
      <c r="J7243" s="116"/>
      <c r="K7243" s="213"/>
      <c r="L7243" s="120"/>
      <c r="M7243" s="120"/>
      <c r="N7243" s="167"/>
      <c r="O7243" s="120"/>
      <c r="P7243" s="120"/>
      <c r="Q7243" s="120"/>
      <c r="R7243" s="120"/>
      <c r="S7243" s="120"/>
      <c r="T7243" s="221"/>
      <c r="U7243" s="89"/>
      <c r="V7243" s="61"/>
      <c r="W7243" s="92" t="s">
        <v>1030</v>
      </c>
      <c r="X7243" s="93" t="s">
        <v>29</v>
      </c>
      <c r="Y7243" s="93" t="s">
        <v>93</v>
      </c>
      <c r="Z7243" s="134">
        <f>VLOOKUP(W7243,Sheet2!$B:$D,3,FALSE)</f>
        <v>23</v>
      </c>
      <c r="AA7243" s="93">
        <v>50</v>
      </c>
      <c r="AB7243" s="93">
        <f>AD7243/AC7238</f>
        <v>0.45999999999999996</v>
      </c>
      <c r="AC7243" s="93">
        <f>AC7238/AA7243</f>
        <v>1.9454790000000002</v>
      </c>
      <c r="AD7243" s="94">
        <f t="shared" ref="AD7243:AD7246" si="5132">AC7243*Z7243</f>
        <v>44.746017000000002</v>
      </c>
      <c r="AE7243" s="190"/>
      <c r="AF7243" s="191"/>
      <c r="AG7243" s="191"/>
      <c r="AH7243" s="191"/>
      <c r="AI7243" s="186"/>
      <c r="AK7243" s="171"/>
    </row>
    <row r="7244" spans="1:41" s="102" customFormat="1" ht="19.899999999999999" customHeight="1" x14ac:dyDescent="0.25">
      <c r="A7244" s="45"/>
      <c r="B7244" s="59"/>
      <c r="C7244" s="137"/>
      <c r="D7244" s="59"/>
      <c r="E7244" s="116"/>
      <c r="F7244" s="120"/>
      <c r="G7244" s="120"/>
      <c r="H7244" s="120"/>
      <c r="I7244" s="60"/>
      <c r="J7244" s="116"/>
      <c r="K7244" s="213"/>
      <c r="L7244" s="120"/>
      <c r="M7244" s="120"/>
      <c r="N7244" s="167"/>
      <c r="O7244" s="120"/>
      <c r="P7244" s="120"/>
      <c r="Q7244" s="120"/>
      <c r="R7244" s="120"/>
      <c r="S7244" s="120"/>
      <c r="T7244" s="221"/>
      <c r="U7244" s="89"/>
      <c r="V7244" s="61"/>
      <c r="W7244" s="92" t="s">
        <v>65</v>
      </c>
      <c r="X7244" s="93" t="s">
        <v>30</v>
      </c>
      <c r="Y7244" s="93" t="s">
        <v>1011</v>
      </c>
      <c r="Z7244" s="134">
        <f>VLOOKUP(W7244,Sheet2!$B:$D,3,FALSE)</f>
        <v>1.76</v>
      </c>
      <c r="AA7244" s="93">
        <f>AA7243/3</f>
        <v>16.666666666666668</v>
      </c>
      <c r="AB7244" s="93">
        <f>AD7244/AC7238</f>
        <v>0.10559999999999999</v>
      </c>
      <c r="AC7244" s="93">
        <f>AC7238/AA7244</f>
        <v>5.8364370000000001</v>
      </c>
      <c r="AD7244" s="94">
        <f t="shared" si="5132"/>
        <v>10.272129120000001</v>
      </c>
      <c r="AE7244" s="190"/>
      <c r="AF7244" s="191"/>
      <c r="AG7244" s="191"/>
      <c r="AH7244" s="191"/>
      <c r="AI7244" s="186"/>
      <c r="AK7244" s="171"/>
    </row>
    <row r="7245" spans="1:41" s="102" customFormat="1" ht="19.899999999999999" customHeight="1" x14ac:dyDescent="0.25">
      <c r="A7245" s="45"/>
      <c r="B7245" s="59"/>
      <c r="C7245" s="137"/>
      <c r="D7245" s="59"/>
      <c r="E7245" s="116"/>
      <c r="F7245" s="120"/>
      <c r="G7245" s="120"/>
      <c r="H7245" s="120"/>
      <c r="I7245" s="60"/>
      <c r="J7245" s="116"/>
      <c r="K7245" s="213"/>
      <c r="L7245" s="120"/>
      <c r="M7245" s="120"/>
      <c r="N7245" s="167"/>
      <c r="O7245" s="120"/>
      <c r="P7245" s="120"/>
      <c r="Q7245" s="120"/>
      <c r="R7245" s="120"/>
      <c r="S7245" s="120"/>
      <c r="T7245" s="221"/>
      <c r="U7245" s="89"/>
      <c r="V7245" s="61"/>
      <c r="W7245" s="92" t="s">
        <v>148</v>
      </c>
      <c r="X7245" s="93" t="s">
        <v>29</v>
      </c>
      <c r="Y7245" s="93" t="s">
        <v>93</v>
      </c>
      <c r="Z7245" s="134">
        <f>VLOOKUP(W7245,Sheet2!$B:$D,3,FALSE)</f>
        <v>48</v>
      </c>
      <c r="AA7245" s="93">
        <f>AA7239</f>
        <v>41.666666666666671</v>
      </c>
      <c r="AB7245" s="93">
        <f>AD7245/AC7238</f>
        <v>1.1519999999999997</v>
      </c>
      <c r="AC7245" s="93">
        <f>AC7238/AA7245</f>
        <v>2.3345748</v>
      </c>
      <c r="AD7245" s="94">
        <f t="shared" si="5132"/>
        <v>112.05959039999999</v>
      </c>
      <c r="AE7245" s="190"/>
      <c r="AF7245" s="191"/>
      <c r="AG7245" s="191"/>
      <c r="AH7245" s="191"/>
      <c r="AI7245" s="186"/>
      <c r="AK7245" s="171"/>
    </row>
    <row r="7246" spans="1:41" s="102" customFormat="1" ht="19.899999999999999" customHeight="1" x14ac:dyDescent="0.25">
      <c r="A7246" s="45"/>
      <c r="B7246" s="59"/>
      <c r="C7246" s="137"/>
      <c r="D7246" s="59"/>
      <c r="E7246" s="116"/>
      <c r="F7246" s="120"/>
      <c r="G7246" s="120"/>
      <c r="H7246" s="120"/>
      <c r="I7246" s="60"/>
      <c r="J7246" s="116"/>
      <c r="K7246" s="213"/>
      <c r="L7246" s="120"/>
      <c r="M7246" s="120"/>
      <c r="N7246" s="167"/>
      <c r="O7246" s="120"/>
      <c r="P7246" s="120"/>
      <c r="Q7246" s="120"/>
      <c r="R7246" s="120"/>
      <c r="S7246" s="120"/>
      <c r="T7246" s="221"/>
      <c r="U7246" s="89"/>
      <c r="V7246" s="61"/>
      <c r="W7246" s="92" t="s">
        <v>65</v>
      </c>
      <c r="X7246" s="93" t="s">
        <v>30</v>
      </c>
      <c r="Y7246" s="93" t="s">
        <v>1011</v>
      </c>
      <c r="Z7246" s="134">
        <f>VLOOKUP(W7246,Sheet2!$B:$D,3,FALSE)</f>
        <v>1.76</v>
      </c>
      <c r="AA7246" s="93">
        <f>AA7245/10</f>
        <v>4.166666666666667</v>
      </c>
      <c r="AB7246" s="93">
        <f>AD7246/AC7238</f>
        <v>0.42239999999999994</v>
      </c>
      <c r="AC7246" s="93">
        <f>AC7238/AA7246</f>
        <v>23.345748</v>
      </c>
      <c r="AD7246" s="94">
        <f t="shared" si="5132"/>
        <v>41.088516480000003</v>
      </c>
      <c r="AE7246" s="190"/>
      <c r="AF7246" s="191"/>
      <c r="AG7246" s="191"/>
      <c r="AH7246" s="191"/>
      <c r="AI7246" s="186"/>
      <c r="AK7246" s="171"/>
    </row>
    <row r="7247" spans="1:41" s="103" customFormat="1" ht="19.899999999999999" customHeight="1" x14ac:dyDescent="0.25">
      <c r="A7247" s="51"/>
      <c r="B7247" s="52"/>
      <c r="C7247" s="165"/>
      <c r="D7247" s="52"/>
      <c r="E7247" s="115"/>
      <c r="F7247" s="58"/>
      <c r="G7247" s="58"/>
      <c r="H7247" s="58"/>
      <c r="I7247" s="55"/>
      <c r="J7247" s="113">
        <f>J7237</f>
        <v>97.273950000000013</v>
      </c>
      <c r="K7247" s="212">
        <f>K7237</f>
        <v>97.273950000000013</v>
      </c>
      <c r="L7247" s="58"/>
      <c r="M7247" s="58">
        <f>K7247-L7247</f>
        <v>97.273950000000013</v>
      </c>
      <c r="N7247" s="166"/>
      <c r="O7247" s="58"/>
      <c r="P7247" s="58"/>
      <c r="Q7247" s="58"/>
      <c r="R7247" s="58"/>
      <c r="S7247" s="58"/>
      <c r="T7247" s="220"/>
      <c r="U7247" s="88"/>
      <c r="V7247" s="56"/>
      <c r="W7247" s="57" t="s">
        <v>1036</v>
      </c>
      <c r="X7247" s="53"/>
      <c r="Y7247" s="91" t="s">
        <v>68</v>
      </c>
      <c r="Z7247" s="136">
        <f>AD7247/AC7247</f>
        <v>257.58333333333331</v>
      </c>
      <c r="AA7247" s="58"/>
      <c r="AB7247" s="53">
        <f>AD7247/AC7247</f>
        <v>257.58333333333331</v>
      </c>
      <c r="AC7247" s="53">
        <f>M7247+$AE$10</f>
        <v>97.273950000000013</v>
      </c>
      <c r="AD7247" s="54">
        <f>SUM(AD7248:AD7253)</f>
        <v>25056.148287500004</v>
      </c>
      <c r="AE7247" s="184">
        <f>SUMIFS($AD$37:$AD$12971,$V$37:$V$12971,$V7247,$X$37:$X$12971,AE$13)</f>
        <v>0</v>
      </c>
      <c r="AF7247" s="185">
        <f>SUMIFS($AD$37:$AD$12971,$V$37:$V$12971,$V7247,$X$37:$X$12971,AF$13)</f>
        <v>0</v>
      </c>
      <c r="AG7247" s="185">
        <f>SUMIFS($AD$37:$AD$12971,$V$37:$V$12971,$V7247,$X$37:$X$12971,AG$13)</f>
        <v>0</v>
      </c>
      <c r="AH7247" s="187">
        <f>SUMIFS($AD$37:$AD$12971,$V$37:$V$12971,$V7247,$X$37:$X$12971,AH$13)</f>
        <v>0</v>
      </c>
      <c r="AI7247" s="161">
        <f t="shared" ref="AI7247" si="5133">SUM(AE7247:AH7247)</f>
        <v>0</v>
      </c>
      <c r="AK7247" s="172"/>
    </row>
    <row r="7248" spans="1:41" s="102" customFormat="1" ht="19.899999999999999" customHeight="1" x14ac:dyDescent="0.25">
      <c r="A7248" s="45"/>
      <c r="B7248" s="59"/>
      <c r="C7248" s="137"/>
      <c r="D7248" s="59"/>
      <c r="E7248" s="116"/>
      <c r="F7248" s="120"/>
      <c r="G7248" s="120"/>
      <c r="H7248" s="120"/>
      <c r="I7248" s="60"/>
      <c r="J7248" s="116"/>
      <c r="K7248" s="213"/>
      <c r="L7248" s="120"/>
      <c r="M7248" s="120"/>
      <c r="N7248" s="167"/>
      <c r="O7248" s="120"/>
      <c r="P7248" s="120"/>
      <c r="Q7248" s="120"/>
      <c r="R7248" s="120"/>
      <c r="S7248" s="120"/>
      <c r="T7248" s="221"/>
      <c r="U7248" s="89"/>
      <c r="V7248" s="61"/>
      <c r="W7248" s="92" t="s">
        <v>1055</v>
      </c>
      <c r="X7248" s="93" t="s">
        <v>30</v>
      </c>
      <c r="Y7248" s="93" t="s">
        <v>68</v>
      </c>
      <c r="Z7248" s="134">
        <f>VLOOKUP(W7248,Sheet2!$B:$D,3,FALSE)</f>
        <v>144</v>
      </c>
      <c r="AA7248" s="93">
        <v>1</v>
      </c>
      <c r="AB7248" s="93">
        <f>AD7248/AC7247</f>
        <v>144</v>
      </c>
      <c r="AC7248" s="93">
        <f>AC7247/AA7248</f>
        <v>97.273950000000013</v>
      </c>
      <c r="AD7248" s="94">
        <f t="shared" ref="AD7248" si="5134">AC7248*Z7248</f>
        <v>14007.448800000002</v>
      </c>
      <c r="AE7248" s="190"/>
      <c r="AF7248" s="191"/>
      <c r="AG7248" s="191"/>
      <c r="AH7248" s="191"/>
      <c r="AI7248" s="186"/>
      <c r="AK7248" s="171"/>
    </row>
    <row r="7249" spans="1:41" s="102" customFormat="1" ht="19.899999999999999" customHeight="1" x14ac:dyDescent="0.25">
      <c r="A7249" s="45"/>
      <c r="B7249" s="59"/>
      <c r="C7249" s="137"/>
      <c r="D7249" s="59"/>
      <c r="E7249" s="116"/>
      <c r="F7249" s="120"/>
      <c r="G7249" s="120"/>
      <c r="H7249" s="120"/>
      <c r="I7249" s="60"/>
      <c r="J7249" s="116"/>
      <c r="K7249" s="213"/>
      <c r="L7249" s="120"/>
      <c r="M7249" s="120"/>
      <c r="N7249" s="167"/>
      <c r="O7249" s="120"/>
      <c r="P7249" s="120"/>
      <c r="Q7249" s="120"/>
      <c r="R7249" s="120"/>
      <c r="S7249" s="120"/>
      <c r="T7249" s="221"/>
      <c r="U7249" s="89"/>
      <c r="V7249" s="61"/>
      <c r="W7249" s="92" t="s">
        <v>1062</v>
      </c>
      <c r="X7249" s="93" t="s">
        <v>30</v>
      </c>
      <c r="Y7249" s="93" t="s">
        <v>68</v>
      </c>
      <c r="Z7249" s="134">
        <f>VLOOKUP(W7249,Sheet2!$B:$D,3,FALSE)</f>
        <v>15</v>
      </c>
      <c r="AA7249" s="93">
        <v>1</v>
      </c>
      <c r="AB7249" s="93">
        <f>AD7249/AC7247</f>
        <v>15</v>
      </c>
      <c r="AC7249" s="93">
        <f>AC7247/AA7249</f>
        <v>97.273950000000013</v>
      </c>
      <c r="AD7249" s="94">
        <f>AC7249*Z7249</f>
        <v>1459.1092500000002</v>
      </c>
      <c r="AE7249" s="190"/>
      <c r="AF7249" s="191"/>
      <c r="AG7249" s="191"/>
      <c r="AH7249" s="191"/>
      <c r="AI7249" s="186"/>
      <c r="AK7249" s="171"/>
    </row>
    <row r="7250" spans="1:41" s="102" customFormat="1" ht="19.899999999999999" customHeight="1" x14ac:dyDescent="0.25">
      <c r="A7250" s="45"/>
      <c r="B7250" s="59"/>
      <c r="C7250" s="137"/>
      <c r="D7250" s="59"/>
      <c r="E7250" s="116"/>
      <c r="F7250" s="120"/>
      <c r="G7250" s="120"/>
      <c r="H7250" s="120"/>
      <c r="I7250" s="60"/>
      <c r="J7250" s="116"/>
      <c r="K7250" s="213"/>
      <c r="L7250" s="120"/>
      <c r="M7250" s="120"/>
      <c r="N7250" s="167"/>
      <c r="O7250" s="120"/>
      <c r="P7250" s="120"/>
      <c r="Q7250" s="120"/>
      <c r="R7250" s="120"/>
      <c r="S7250" s="120"/>
      <c r="T7250" s="221"/>
      <c r="U7250" s="89"/>
      <c r="V7250" s="61"/>
      <c r="W7250" s="92" t="s">
        <v>1070</v>
      </c>
      <c r="X7250" s="93" t="s">
        <v>32</v>
      </c>
      <c r="Y7250" s="93" t="s">
        <v>68</v>
      </c>
      <c r="Z7250" s="134">
        <f>VLOOKUP(W7250,Sheet2!$B:$D,3,FALSE)</f>
        <v>50</v>
      </c>
      <c r="AA7250" s="93">
        <v>1</v>
      </c>
      <c r="AB7250" s="93">
        <f>AD7250/AC7247</f>
        <v>49.999999999999993</v>
      </c>
      <c r="AC7250" s="93">
        <f>AC7247/AA7250</f>
        <v>97.273950000000013</v>
      </c>
      <c r="AD7250" s="94">
        <f>AC7250*Z7250</f>
        <v>4863.6975000000002</v>
      </c>
      <c r="AE7250" s="190"/>
      <c r="AF7250" s="191"/>
      <c r="AG7250" s="191"/>
      <c r="AH7250" s="191"/>
      <c r="AI7250" s="186"/>
      <c r="AK7250" s="171"/>
    </row>
    <row r="7251" spans="1:41" s="102" customFormat="1" ht="19.899999999999999" customHeight="1" x14ac:dyDescent="0.25">
      <c r="A7251" s="45"/>
      <c r="B7251" s="59"/>
      <c r="C7251" s="137"/>
      <c r="D7251" s="59"/>
      <c r="E7251" s="116"/>
      <c r="F7251" s="120"/>
      <c r="G7251" s="120"/>
      <c r="H7251" s="120"/>
      <c r="I7251" s="60"/>
      <c r="J7251" s="116"/>
      <c r="K7251" s="213"/>
      <c r="L7251" s="120"/>
      <c r="M7251" s="120"/>
      <c r="N7251" s="167"/>
      <c r="O7251" s="120"/>
      <c r="P7251" s="120"/>
      <c r="Q7251" s="120"/>
      <c r="R7251" s="120"/>
      <c r="S7251" s="120"/>
      <c r="T7251" s="221"/>
      <c r="U7251" s="89"/>
      <c r="V7251" s="61"/>
      <c r="W7251" s="92" t="s">
        <v>1032</v>
      </c>
      <c r="X7251" s="93" t="s">
        <v>30</v>
      </c>
      <c r="Y7251" s="93" t="s">
        <v>66</v>
      </c>
      <c r="Z7251" s="134">
        <f>VLOOKUP(W7251,Sheet2!$B:$D,3,FALSE)</f>
        <v>250</v>
      </c>
      <c r="AA7251" s="93">
        <f>1/(1.2*0.1)</f>
        <v>8.3333333333333339</v>
      </c>
      <c r="AB7251" s="93">
        <f>AD7251/AC7247</f>
        <v>29.999999999999996</v>
      </c>
      <c r="AC7251" s="93">
        <f>AC7247/AA7251</f>
        <v>11.672874</v>
      </c>
      <c r="AD7251" s="94">
        <f>AC7251*Z7251</f>
        <v>2918.2184999999999</v>
      </c>
      <c r="AE7251" s="190"/>
      <c r="AF7251" s="191"/>
      <c r="AG7251" s="191"/>
      <c r="AH7251" s="191"/>
      <c r="AI7251" s="186"/>
      <c r="AK7251" s="171"/>
    </row>
    <row r="7252" spans="1:41" s="102" customFormat="1" ht="19.899999999999999" customHeight="1" x14ac:dyDescent="0.25">
      <c r="A7252" s="45"/>
      <c r="B7252" s="59"/>
      <c r="C7252" s="137"/>
      <c r="D7252" s="59"/>
      <c r="E7252" s="116"/>
      <c r="F7252" s="120"/>
      <c r="G7252" s="120"/>
      <c r="H7252" s="120"/>
      <c r="I7252" s="60"/>
      <c r="J7252" s="116"/>
      <c r="K7252" s="213"/>
      <c r="L7252" s="120"/>
      <c r="M7252" s="120"/>
      <c r="N7252" s="167"/>
      <c r="O7252" s="120"/>
      <c r="P7252" s="120"/>
      <c r="Q7252" s="120"/>
      <c r="R7252" s="120"/>
      <c r="S7252" s="120"/>
      <c r="T7252" s="221"/>
      <c r="U7252" s="89"/>
      <c r="V7252" s="61"/>
      <c r="W7252" s="92" t="s">
        <v>1035</v>
      </c>
      <c r="X7252" s="93" t="s">
        <v>32</v>
      </c>
      <c r="Y7252" s="93" t="s">
        <v>66</v>
      </c>
      <c r="Z7252" s="134">
        <f>VLOOKUP(W7252,Sheet2!$B:$D,3,FALSE)</f>
        <v>150</v>
      </c>
      <c r="AA7252" s="93">
        <f>AA7251</f>
        <v>8.3333333333333339</v>
      </c>
      <c r="AB7252" s="93">
        <f>AD7252/AC7247</f>
        <v>17.999999999999996</v>
      </c>
      <c r="AC7252" s="93">
        <f>AC7247/AA7252</f>
        <v>11.672874</v>
      </c>
      <c r="AD7252" s="94">
        <f t="shared" ref="AD7252:AD7253" si="5135">AC7252*Z7252</f>
        <v>1750.9311</v>
      </c>
      <c r="AE7252" s="190"/>
      <c r="AF7252" s="191"/>
      <c r="AG7252" s="191"/>
      <c r="AH7252" s="191"/>
      <c r="AI7252" s="186"/>
      <c r="AK7252" s="171"/>
    </row>
    <row r="7253" spans="1:41" s="102" customFormat="1" ht="19.899999999999999" customHeight="1" x14ac:dyDescent="0.25">
      <c r="A7253" s="45"/>
      <c r="B7253" s="59"/>
      <c r="C7253" s="137"/>
      <c r="D7253" s="59"/>
      <c r="E7253" s="116"/>
      <c r="F7253" s="120"/>
      <c r="G7253" s="120"/>
      <c r="H7253" s="120"/>
      <c r="I7253" s="60"/>
      <c r="J7253" s="116"/>
      <c r="K7253" s="213"/>
      <c r="L7253" s="120"/>
      <c r="M7253" s="120"/>
      <c r="N7253" s="167"/>
      <c r="O7253" s="120"/>
      <c r="P7253" s="120"/>
      <c r="Q7253" s="120"/>
      <c r="R7253" s="120"/>
      <c r="S7253" s="120"/>
      <c r="T7253" s="221"/>
      <c r="U7253" s="89"/>
      <c r="V7253" s="61"/>
      <c r="W7253" s="92" t="s">
        <v>1037</v>
      </c>
      <c r="X7253" s="93" t="s">
        <v>30</v>
      </c>
      <c r="Y7253" s="93" t="s">
        <v>1038</v>
      </c>
      <c r="Z7253" s="134">
        <f>VLOOKUP(W7253,Sheet2!$B:$D,3,FALSE)</f>
        <v>175</v>
      </c>
      <c r="AA7253" s="93">
        <v>300</v>
      </c>
      <c r="AB7253" s="93">
        <f>AD7253/AC7247</f>
        <v>0.58333333333333337</v>
      </c>
      <c r="AC7253" s="93">
        <f>AC7247/AA7253</f>
        <v>0.32424650000000005</v>
      </c>
      <c r="AD7253" s="94">
        <f t="shared" si="5135"/>
        <v>56.74313750000001</v>
      </c>
      <c r="AE7253" s="190"/>
      <c r="AF7253" s="191"/>
      <c r="AG7253" s="191"/>
      <c r="AH7253" s="191"/>
      <c r="AI7253" s="186"/>
      <c r="AK7253" s="171"/>
    </row>
    <row r="7254" spans="1:41" s="103" customFormat="1" ht="19.899999999999999" customHeight="1" x14ac:dyDescent="0.25">
      <c r="A7254" s="51"/>
      <c r="B7254" s="52"/>
      <c r="C7254" s="165"/>
      <c r="D7254" s="52"/>
      <c r="E7254" s="115"/>
      <c r="F7254" s="58"/>
      <c r="G7254" s="58"/>
      <c r="H7254" s="58"/>
      <c r="I7254" s="55"/>
      <c r="J7254" s="113">
        <f>J7237</f>
        <v>97.273950000000013</v>
      </c>
      <c r="K7254" s="212">
        <f>K7237</f>
        <v>97.273950000000013</v>
      </c>
      <c r="L7254" s="58"/>
      <c r="M7254" s="58">
        <f>K7254-L7254</f>
        <v>97.273950000000013</v>
      </c>
      <c r="N7254" s="166"/>
      <c r="O7254" s="58"/>
      <c r="P7254" s="58"/>
      <c r="Q7254" s="58"/>
      <c r="R7254" s="58"/>
      <c r="S7254" s="58"/>
      <c r="T7254" s="220"/>
      <c r="U7254" s="88"/>
      <c r="V7254" s="56"/>
      <c r="W7254" s="57" t="s">
        <v>1040</v>
      </c>
      <c r="X7254" s="53"/>
      <c r="Y7254" s="91" t="s">
        <v>68</v>
      </c>
      <c r="Z7254" s="136">
        <f>AD7254/AC7254</f>
        <v>5</v>
      </c>
      <c r="AA7254" s="58"/>
      <c r="AB7254" s="53">
        <f>AD7254/AC7254</f>
        <v>5</v>
      </c>
      <c r="AC7254" s="53">
        <f>M7254+$AE$10</f>
        <v>97.273950000000013</v>
      </c>
      <c r="AD7254" s="54">
        <f>SUM(AD7255)</f>
        <v>486.36975000000007</v>
      </c>
      <c r="AE7254" s="184">
        <f>SUMIFS($AD$37:$AD$12971,$V$37:$V$12971,$V7254,$X$37:$X$12971,AE$13)</f>
        <v>0</v>
      </c>
      <c r="AF7254" s="185">
        <f>SUMIFS($AD$37:$AD$12971,$V$37:$V$12971,$V7254,$X$37:$X$12971,AF$13)</f>
        <v>0</v>
      </c>
      <c r="AG7254" s="185">
        <f>SUMIFS($AD$37:$AD$12971,$V$37:$V$12971,$V7254,$X$37:$X$12971,AG$13)</f>
        <v>0</v>
      </c>
      <c r="AH7254" s="187">
        <f>SUMIFS($AD$37:$AD$12971,$V$37:$V$12971,$V7254,$X$37:$X$12971,AH$13)</f>
        <v>0</v>
      </c>
      <c r="AI7254" s="161">
        <f t="shared" ref="AI7254" si="5136">SUM(AE7254:AH7254)</f>
        <v>0</v>
      </c>
      <c r="AK7254" s="172"/>
    </row>
    <row r="7255" spans="1:41" s="102" customFormat="1" ht="19.899999999999999" customHeight="1" x14ac:dyDescent="0.25">
      <c r="A7255" s="45"/>
      <c r="B7255" s="59"/>
      <c r="C7255" s="137"/>
      <c r="D7255" s="59"/>
      <c r="E7255" s="116"/>
      <c r="F7255" s="120"/>
      <c r="G7255" s="120"/>
      <c r="H7255" s="120"/>
      <c r="I7255" s="60"/>
      <c r="J7255" s="116"/>
      <c r="K7255" s="213"/>
      <c r="L7255" s="120"/>
      <c r="M7255" s="120"/>
      <c r="N7255" s="167"/>
      <c r="O7255" s="120"/>
      <c r="P7255" s="120"/>
      <c r="Q7255" s="120"/>
      <c r="R7255" s="120"/>
      <c r="S7255" s="120"/>
      <c r="T7255" s="221"/>
      <c r="U7255" s="89"/>
      <c r="V7255" s="61"/>
      <c r="W7255" s="92" t="s">
        <v>1039</v>
      </c>
      <c r="X7255" s="93" t="s">
        <v>32</v>
      </c>
      <c r="Y7255" s="93" t="s">
        <v>68</v>
      </c>
      <c r="Z7255" s="134">
        <f>VLOOKUP(W7255,Sheet2!$B:$D,3,FALSE)</f>
        <v>5</v>
      </c>
      <c r="AA7255" s="93">
        <v>1</v>
      </c>
      <c r="AB7255" s="93">
        <f>AD7255/AC7254</f>
        <v>5</v>
      </c>
      <c r="AC7255" s="93">
        <f>AC7254/AA7255</f>
        <v>97.273950000000013</v>
      </c>
      <c r="AD7255" s="94">
        <f t="shared" ref="AD7255" si="5137">AC7255*Z7255</f>
        <v>486.36975000000007</v>
      </c>
      <c r="AE7255" s="190"/>
      <c r="AF7255" s="191"/>
      <c r="AG7255" s="191"/>
      <c r="AH7255" s="191"/>
      <c r="AI7255" s="186"/>
      <c r="AK7255" s="171"/>
    </row>
    <row r="7256" spans="1:41" ht="20.100000000000001" customHeight="1" x14ac:dyDescent="0.25">
      <c r="A7256" s="277" t="s">
        <v>703</v>
      </c>
      <c r="B7256" s="278"/>
      <c r="C7256" s="64" t="s">
        <v>726</v>
      </c>
      <c r="D7256" s="46" t="s">
        <v>97</v>
      </c>
      <c r="E7256" s="114">
        <v>119.30310000000031</v>
      </c>
      <c r="F7256" s="44">
        <v>550</v>
      </c>
      <c r="G7256" s="44">
        <f t="shared" si="4575"/>
        <v>65616.705000000176</v>
      </c>
      <c r="H7256" s="44">
        <f t="shared" si="4576"/>
        <v>312.18319215686279</v>
      </c>
      <c r="I7256" s="43">
        <f t="shared" si="4577"/>
        <v>37244.422592209514</v>
      </c>
      <c r="J7256" s="112">
        <f t="shared" si="4578"/>
        <v>119.30310000000031</v>
      </c>
      <c r="K7256" s="211">
        <f t="shared" si="4579"/>
        <v>119.30310000000031</v>
      </c>
      <c r="L7256" s="44"/>
      <c r="M7256" s="44">
        <f t="shared" si="4580"/>
        <v>119.30310000000031</v>
      </c>
      <c r="N7256" s="173">
        <f t="shared" si="4581"/>
        <v>1</v>
      </c>
      <c r="O7256" s="44">
        <f t="shared" si="4582"/>
        <v>550</v>
      </c>
      <c r="P7256" s="44">
        <f t="shared" si="4583"/>
        <v>65616.705000000176</v>
      </c>
      <c r="Q7256" s="44">
        <f t="shared" si="4584"/>
        <v>312.18319215686279</v>
      </c>
      <c r="R7256" s="44">
        <f t="shared" si="4585"/>
        <v>37244.422592209514</v>
      </c>
      <c r="S7256" s="123"/>
      <c r="T7256" s="219">
        <f t="shared" si="4586"/>
        <v>37244.422592209514</v>
      </c>
      <c r="U7256" s="87"/>
      <c r="V7256" s="47"/>
      <c r="W7256" s="48"/>
      <c r="X7256" s="48"/>
      <c r="Y7256" s="48"/>
      <c r="Z7256" s="135"/>
      <c r="AA7256" s="49"/>
      <c r="AB7256" s="50">
        <f t="shared" si="4587"/>
        <v>312.18319215686279</v>
      </c>
      <c r="AC7256" s="42">
        <f t="shared" si="4588"/>
        <v>119.30310000000031</v>
      </c>
      <c r="AD7256" s="90">
        <f>AD7257+AD7267+AD7274</f>
        <v>37244.422592209514</v>
      </c>
      <c r="AE7256" s="188">
        <f t="shared" ref="AE7256:AH7256" si="5138">AE7257+AE7267+AE7274</f>
        <v>0</v>
      </c>
      <c r="AF7256" s="189">
        <f t="shared" si="5138"/>
        <v>0</v>
      </c>
      <c r="AG7256" s="189">
        <f t="shared" si="5138"/>
        <v>0</v>
      </c>
      <c r="AH7256" s="189">
        <f t="shared" si="5138"/>
        <v>0</v>
      </c>
      <c r="AI7256" s="161">
        <f t="shared" ref="AI7256" si="5139">SUM(AE7256:AH7256)</f>
        <v>0</v>
      </c>
      <c r="AK7256" s="169">
        <v>5</v>
      </c>
      <c r="AO7256" s="19" t="s">
        <v>63</v>
      </c>
    </row>
    <row r="7257" spans="1:41" s="103" customFormat="1" ht="19.899999999999999" customHeight="1" x14ac:dyDescent="0.25">
      <c r="A7257" s="51"/>
      <c r="B7257" s="52"/>
      <c r="C7257" s="165"/>
      <c r="D7257" s="52"/>
      <c r="E7257" s="115"/>
      <c r="F7257" s="58"/>
      <c r="G7257" s="58"/>
      <c r="H7257" s="58"/>
      <c r="I7257" s="55"/>
      <c r="J7257" s="113">
        <f>J7256</f>
        <v>119.30310000000031</v>
      </c>
      <c r="K7257" s="212">
        <f>K7256</f>
        <v>119.30310000000031</v>
      </c>
      <c r="L7257" s="58"/>
      <c r="M7257" s="58">
        <f>K7257-L7257</f>
        <v>119.30310000000031</v>
      </c>
      <c r="N7257" s="166"/>
      <c r="O7257" s="58"/>
      <c r="P7257" s="58"/>
      <c r="Q7257" s="58"/>
      <c r="R7257" s="58"/>
      <c r="S7257" s="58"/>
      <c r="T7257" s="220"/>
      <c r="U7257" s="88"/>
      <c r="V7257" s="56"/>
      <c r="W7257" s="57" t="s">
        <v>1099</v>
      </c>
      <c r="X7257" s="53"/>
      <c r="Y7257" s="91" t="s">
        <v>68</v>
      </c>
      <c r="Z7257" s="136">
        <f>AD7257/AC7257</f>
        <v>49.599858823529416</v>
      </c>
      <c r="AA7257" s="58"/>
      <c r="AB7257" s="53">
        <f>AD7257/AC7257</f>
        <v>49.599858823529416</v>
      </c>
      <c r="AC7257" s="53">
        <f>M7257+$AE$10</f>
        <v>119.30310000000031</v>
      </c>
      <c r="AD7257" s="54">
        <f>SUM(AD7258:AD7266)</f>
        <v>5917.416917209428</v>
      </c>
      <c r="AE7257" s="184">
        <f>SUMIFS($AD$37:$AD$12971,$V$37:$V$12971,$V7257,$X$37:$X$12971,AE$13)</f>
        <v>0</v>
      </c>
      <c r="AF7257" s="185">
        <f>SUMIFS($AD$37:$AD$12971,$V$37:$V$12971,$V7257,$X$37:$X$12971,AF$13)</f>
        <v>0</v>
      </c>
      <c r="AG7257" s="185">
        <f>SUMIFS($AD$37:$AD$12971,$V$37:$V$12971,$V7257,$X$37:$X$12971,AG$13)</f>
        <v>0</v>
      </c>
      <c r="AH7257" s="187">
        <f>SUMIFS($AD$37:$AD$12971,$V$37:$V$12971,$V7257,$X$37:$X$12971,AH$13)</f>
        <v>0</v>
      </c>
      <c r="AI7257" s="161">
        <f t="shared" ref="AI7257" si="5140">SUM(AE7257:AH7257)</f>
        <v>0</v>
      </c>
      <c r="AK7257" s="172"/>
    </row>
    <row r="7258" spans="1:41" s="102" customFormat="1" ht="19.899999999999999" customHeight="1" x14ac:dyDescent="0.25">
      <c r="A7258" s="45"/>
      <c r="B7258" s="59"/>
      <c r="C7258" s="137"/>
      <c r="D7258" s="59"/>
      <c r="E7258" s="116"/>
      <c r="F7258" s="120"/>
      <c r="G7258" s="120"/>
      <c r="H7258" s="120"/>
      <c r="I7258" s="60"/>
      <c r="J7258" s="116"/>
      <c r="K7258" s="213"/>
      <c r="L7258" s="120"/>
      <c r="M7258" s="120"/>
      <c r="N7258" s="167"/>
      <c r="O7258" s="120"/>
      <c r="P7258" s="120"/>
      <c r="Q7258" s="120"/>
      <c r="R7258" s="120"/>
      <c r="S7258" s="120"/>
      <c r="T7258" s="221"/>
      <c r="U7258" s="89"/>
      <c r="V7258" s="61"/>
      <c r="W7258" s="92" t="s">
        <v>129</v>
      </c>
      <c r="X7258" s="93" t="s">
        <v>29</v>
      </c>
      <c r="Y7258" s="93" t="s">
        <v>93</v>
      </c>
      <c r="Z7258" s="134">
        <f>VLOOKUP(W7258,Sheet2!$B:$D,3,FALSE)</f>
        <v>56</v>
      </c>
      <c r="AA7258" s="93">
        <f>100/(1.2*2.5)</f>
        <v>33.333333333333336</v>
      </c>
      <c r="AB7258" s="93">
        <f t="shared" ref="AB7258" si="5141">AD7258/AC7257</f>
        <v>1.68</v>
      </c>
      <c r="AC7258" s="93">
        <f>AC7257/AA7258</f>
        <v>3.5790930000000092</v>
      </c>
      <c r="AD7258" s="94">
        <f t="shared" ref="AD7258:AD7259" si="5142">AC7258*Z7258</f>
        <v>200.42920800000053</v>
      </c>
      <c r="AE7258" s="190"/>
      <c r="AF7258" s="191"/>
      <c r="AG7258" s="191"/>
      <c r="AH7258" s="191"/>
      <c r="AI7258" s="186"/>
      <c r="AK7258" s="171"/>
    </row>
    <row r="7259" spans="1:41" s="102" customFormat="1" ht="19.899999999999999" customHeight="1" x14ac:dyDescent="0.25">
      <c r="A7259" s="45"/>
      <c r="B7259" s="59"/>
      <c r="C7259" s="137"/>
      <c r="D7259" s="59"/>
      <c r="E7259" s="116"/>
      <c r="F7259" s="120"/>
      <c r="G7259" s="120"/>
      <c r="H7259" s="120"/>
      <c r="I7259" s="60"/>
      <c r="J7259" s="116"/>
      <c r="K7259" s="213"/>
      <c r="L7259" s="120"/>
      <c r="M7259" s="120"/>
      <c r="N7259" s="167"/>
      <c r="O7259" s="120"/>
      <c r="P7259" s="120"/>
      <c r="Q7259" s="120"/>
      <c r="R7259" s="120"/>
      <c r="S7259" s="120"/>
      <c r="T7259" s="221"/>
      <c r="U7259" s="89"/>
      <c r="V7259" s="61"/>
      <c r="W7259" s="92" t="s">
        <v>65</v>
      </c>
      <c r="X7259" s="93" t="s">
        <v>30</v>
      </c>
      <c r="Y7259" s="93" t="s">
        <v>1011</v>
      </c>
      <c r="Z7259" s="134">
        <f>VLOOKUP(W7259,Sheet2!$B:$D,3,FALSE)</f>
        <v>1.76</v>
      </c>
      <c r="AA7259" s="93">
        <f>AA7258/14</f>
        <v>2.3809523809523809</v>
      </c>
      <c r="AB7259" s="93">
        <f>AD7259/AC7257</f>
        <v>0.73919999999999997</v>
      </c>
      <c r="AC7259" s="93">
        <f>AC7257/AA7259</f>
        <v>50.107302000000132</v>
      </c>
      <c r="AD7259" s="94">
        <f t="shared" si="5142"/>
        <v>88.188851520000227</v>
      </c>
      <c r="AE7259" s="190"/>
      <c r="AF7259" s="191"/>
      <c r="AG7259" s="191"/>
      <c r="AH7259" s="191"/>
      <c r="AI7259" s="186"/>
      <c r="AK7259" s="171"/>
    </row>
    <row r="7260" spans="1:41" s="102" customFormat="1" ht="19.899999999999999" customHeight="1" x14ac:dyDescent="0.25">
      <c r="A7260" s="45"/>
      <c r="B7260" s="59"/>
      <c r="C7260" s="137"/>
      <c r="D7260" s="59"/>
      <c r="E7260" s="116"/>
      <c r="F7260" s="120"/>
      <c r="G7260" s="120"/>
      <c r="H7260" s="120"/>
      <c r="I7260" s="60"/>
      <c r="J7260" s="116"/>
      <c r="K7260" s="213"/>
      <c r="L7260" s="120"/>
      <c r="M7260" s="120"/>
      <c r="N7260" s="167"/>
      <c r="O7260" s="120"/>
      <c r="P7260" s="120"/>
      <c r="Q7260" s="120"/>
      <c r="R7260" s="120"/>
      <c r="S7260" s="120"/>
      <c r="T7260" s="221"/>
      <c r="U7260" s="89"/>
      <c r="V7260" s="61"/>
      <c r="W7260" s="92" t="s">
        <v>161</v>
      </c>
      <c r="X7260" s="93" t="s">
        <v>29</v>
      </c>
      <c r="Y7260" s="93" t="s">
        <v>93</v>
      </c>
      <c r="Z7260" s="134">
        <f>VLOOKUP(W7260,Sheet2!$B:$D,3,FALSE)</f>
        <v>48</v>
      </c>
      <c r="AA7260" s="93">
        <f>(16*0.85*1.5)/(1.2*2.5)</f>
        <v>6.8</v>
      </c>
      <c r="AB7260" s="93">
        <f>AD7260/AC7257</f>
        <v>7.0588235294117645</v>
      </c>
      <c r="AC7260" s="93">
        <f>AC7257/AA7260</f>
        <v>17.54457352941181</v>
      </c>
      <c r="AD7260" s="94">
        <f>AC7260*Z7260</f>
        <v>842.13952941176694</v>
      </c>
      <c r="AE7260" s="190"/>
      <c r="AF7260" s="191"/>
      <c r="AG7260" s="191"/>
      <c r="AH7260" s="191"/>
      <c r="AI7260" s="186"/>
      <c r="AK7260" s="171"/>
    </row>
    <row r="7261" spans="1:41" s="102" customFormat="1" ht="19.899999999999999" customHeight="1" x14ac:dyDescent="0.25">
      <c r="A7261" s="45"/>
      <c r="B7261" s="59"/>
      <c r="C7261" s="137"/>
      <c r="D7261" s="59"/>
      <c r="E7261" s="116"/>
      <c r="F7261" s="120"/>
      <c r="G7261" s="120"/>
      <c r="H7261" s="120"/>
      <c r="I7261" s="60"/>
      <c r="J7261" s="116"/>
      <c r="K7261" s="213"/>
      <c r="L7261" s="120"/>
      <c r="M7261" s="120"/>
      <c r="N7261" s="167"/>
      <c r="O7261" s="120"/>
      <c r="P7261" s="120"/>
      <c r="Q7261" s="120"/>
      <c r="R7261" s="120"/>
      <c r="S7261" s="120"/>
      <c r="T7261" s="221"/>
      <c r="U7261" s="89"/>
      <c r="V7261" s="61"/>
      <c r="W7261" s="92" t="s">
        <v>65</v>
      </c>
      <c r="X7261" s="93" t="s">
        <v>30</v>
      </c>
      <c r="Y7261" s="93" t="s">
        <v>1011</v>
      </c>
      <c r="Z7261" s="134">
        <f>VLOOKUP(W7261,Sheet2!$B:$D,3,FALSE)</f>
        <v>1.76</v>
      </c>
      <c r="AA7261" s="93">
        <f>AA7260/10</f>
        <v>0.67999999999999994</v>
      </c>
      <c r="AB7261" s="93">
        <f>AD7261/AC7257</f>
        <v>2.5882352941176472</v>
      </c>
      <c r="AC7261" s="93">
        <f>AC7257/AA7261</f>
        <v>175.44573529411812</v>
      </c>
      <c r="AD7261" s="94">
        <f>AC7261*Z7261</f>
        <v>308.78449411764791</v>
      </c>
      <c r="AE7261" s="190"/>
      <c r="AF7261" s="191"/>
      <c r="AG7261" s="191"/>
      <c r="AH7261" s="191"/>
      <c r="AI7261" s="186"/>
      <c r="AK7261" s="171"/>
    </row>
    <row r="7262" spans="1:41" s="102" customFormat="1" ht="19.899999999999999" customHeight="1" x14ac:dyDescent="0.25">
      <c r="A7262" s="45"/>
      <c r="B7262" s="59"/>
      <c r="C7262" s="137"/>
      <c r="D7262" s="59"/>
      <c r="E7262" s="116"/>
      <c r="F7262" s="120"/>
      <c r="G7262" s="120"/>
      <c r="H7262" s="120"/>
      <c r="I7262" s="60"/>
      <c r="J7262" s="116"/>
      <c r="K7262" s="213"/>
      <c r="L7262" s="120"/>
      <c r="M7262" s="120"/>
      <c r="N7262" s="167"/>
      <c r="O7262" s="120"/>
      <c r="P7262" s="120"/>
      <c r="Q7262" s="120"/>
      <c r="R7262" s="120"/>
      <c r="S7262" s="120"/>
      <c r="T7262" s="221"/>
      <c r="U7262" s="89"/>
      <c r="V7262" s="61"/>
      <c r="W7262" s="92" t="s">
        <v>1030</v>
      </c>
      <c r="X7262" s="93" t="s">
        <v>29</v>
      </c>
      <c r="Y7262" s="93" t="s">
        <v>93</v>
      </c>
      <c r="Z7262" s="134">
        <f>VLOOKUP(W7262,Sheet2!$B:$D,3,FALSE)</f>
        <v>23</v>
      </c>
      <c r="AA7262" s="93">
        <v>50</v>
      </c>
      <c r="AB7262" s="93">
        <f>AD7262/AC7257</f>
        <v>0.45999999999999996</v>
      </c>
      <c r="AC7262" s="93">
        <f>AC7257/AA7262</f>
        <v>2.3860620000000061</v>
      </c>
      <c r="AD7262" s="94">
        <f t="shared" ref="AD7262:AD7266" si="5143">AC7262*Z7262</f>
        <v>54.879426000000137</v>
      </c>
      <c r="AE7262" s="190"/>
      <c r="AF7262" s="191"/>
      <c r="AG7262" s="191"/>
      <c r="AH7262" s="191"/>
      <c r="AI7262" s="186"/>
      <c r="AK7262" s="171"/>
    </row>
    <row r="7263" spans="1:41" s="102" customFormat="1" ht="19.899999999999999" customHeight="1" x14ac:dyDescent="0.25">
      <c r="A7263" s="45"/>
      <c r="B7263" s="59"/>
      <c r="C7263" s="137"/>
      <c r="D7263" s="59"/>
      <c r="E7263" s="116"/>
      <c r="F7263" s="120"/>
      <c r="G7263" s="120"/>
      <c r="H7263" s="120"/>
      <c r="I7263" s="60"/>
      <c r="J7263" s="116"/>
      <c r="K7263" s="213"/>
      <c r="L7263" s="120"/>
      <c r="M7263" s="120"/>
      <c r="N7263" s="167"/>
      <c r="O7263" s="120"/>
      <c r="P7263" s="120"/>
      <c r="Q7263" s="120"/>
      <c r="R7263" s="120"/>
      <c r="S7263" s="120"/>
      <c r="T7263" s="221"/>
      <c r="U7263" s="89"/>
      <c r="V7263" s="61"/>
      <c r="W7263" s="92" t="s">
        <v>65</v>
      </c>
      <c r="X7263" s="93" t="s">
        <v>30</v>
      </c>
      <c r="Y7263" s="93" t="s">
        <v>1011</v>
      </c>
      <c r="Z7263" s="134">
        <f>VLOOKUP(W7263,Sheet2!$B:$D,3,FALSE)</f>
        <v>1.76</v>
      </c>
      <c r="AA7263" s="93">
        <f>AA7262/3</f>
        <v>16.666666666666668</v>
      </c>
      <c r="AB7263" s="93">
        <f>AD7263/AC7257</f>
        <v>0.1056</v>
      </c>
      <c r="AC7263" s="93">
        <f>AC7257/AA7263</f>
        <v>7.1581860000000184</v>
      </c>
      <c r="AD7263" s="94">
        <f t="shared" si="5143"/>
        <v>12.598407360000033</v>
      </c>
      <c r="AE7263" s="190"/>
      <c r="AF7263" s="191"/>
      <c r="AG7263" s="191"/>
      <c r="AH7263" s="191"/>
      <c r="AI7263" s="186"/>
      <c r="AK7263" s="171"/>
    </row>
    <row r="7264" spans="1:41" s="102" customFormat="1" ht="19.899999999999999" customHeight="1" x14ac:dyDescent="0.25">
      <c r="A7264" s="45"/>
      <c r="B7264" s="59"/>
      <c r="C7264" s="137"/>
      <c r="D7264" s="59"/>
      <c r="E7264" s="116"/>
      <c r="F7264" s="120"/>
      <c r="G7264" s="120"/>
      <c r="H7264" s="120"/>
      <c r="I7264" s="60"/>
      <c r="J7264" s="116"/>
      <c r="K7264" s="213"/>
      <c r="L7264" s="120"/>
      <c r="M7264" s="120"/>
      <c r="N7264" s="167"/>
      <c r="O7264" s="120"/>
      <c r="P7264" s="120"/>
      <c r="Q7264" s="120"/>
      <c r="R7264" s="120"/>
      <c r="S7264" s="120"/>
      <c r="T7264" s="221"/>
      <c r="U7264" s="89"/>
      <c r="V7264" s="61"/>
      <c r="W7264" s="92" t="s">
        <v>148</v>
      </c>
      <c r="X7264" s="93" t="s">
        <v>29</v>
      </c>
      <c r="Y7264" s="93" t="s">
        <v>93</v>
      </c>
      <c r="Z7264" s="134">
        <f>VLOOKUP(W7264,Sheet2!$B:$D,3,FALSE)</f>
        <v>48</v>
      </c>
      <c r="AA7264" s="93">
        <f>AA7258</f>
        <v>33.333333333333336</v>
      </c>
      <c r="AB7264" s="93">
        <f>AD7264/AC7257</f>
        <v>1.44</v>
      </c>
      <c r="AC7264" s="93">
        <f>AC7257/AA7264</f>
        <v>3.5790930000000092</v>
      </c>
      <c r="AD7264" s="94">
        <f t="shared" si="5143"/>
        <v>171.79646400000044</v>
      </c>
      <c r="AE7264" s="190"/>
      <c r="AF7264" s="191"/>
      <c r="AG7264" s="191"/>
      <c r="AH7264" s="191"/>
      <c r="AI7264" s="186"/>
      <c r="AK7264" s="171"/>
    </row>
    <row r="7265" spans="1:41" s="102" customFormat="1" ht="19.899999999999999" customHeight="1" x14ac:dyDescent="0.25">
      <c r="A7265" s="45"/>
      <c r="B7265" s="59"/>
      <c r="C7265" s="137"/>
      <c r="D7265" s="59"/>
      <c r="E7265" s="116"/>
      <c r="F7265" s="120"/>
      <c r="G7265" s="120"/>
      <c r="H7265" s="120"/>
      <c r="I7265" s="60"/>
      <c r="J7265" s="116"/>
      <c r="K7265" s="213"/>
      <c r="L7265" s="120"/>
      <c r="M7265" s="120"/>
      <c r="N7265" s="167"/>
      <c r="O7265" s="120"/>
      <c r="P7265" s="120"/>
      <c r="Q7265" s="120"/>
      <c r="R7265" s="120"/>
      <c r="S7265" s="120"/>
      <c r="T7265" s="221"/>
      <c r="U7265" s="89"/>
      <c r="V7265" s="61"/>
      <c r="W7265" s="92" t="s">
        <v>65</v>
      </c>
      <c r="X7265" s="93" t="s">
        <v>30</v>
      </c>
      <c r="Y7265" s="93" t="s">
        <v>1011</v>
      </c>
      <c r="Z7265" s="134">
        <f>VLOOKUP(W7265,Sheet2!$B:$D,3,FALSE)</f>
        <v>1.76</v>
      </c>
      <c r="AA7265" s="93">
        <f>AA7264/10</f>
        <v>3.3333333333333335</v>
      </c>
      <c r="AB7265" s="93">
        <f>AD7265/AC7257</f>
        <v>0.52800000000000002</v>
      </c>
      <c r="AC7265" s="93">
        <f>AC7257/AA7265</f>
        <v>35.790930000000095</v>
      </c>
      <c r="AD7265" s="94">
        <f t="shared" si="5143"/>
        <v>62.992036800000172</v>
      </c>
      <c r="AE7265" s="190"/>
      <c r="AF7265" s="191"/>
      <c r="AG7265" s="191"/>
      <c r="AH7265" s="191"/>
      <c r="AI7265" s="186"/>
      <c r="AK7265" s="171"/>
    </row>
    <row r="7266" spans="1:41" s="102" customFormat="1" ht="19.899999999999999" customHeight="1" x14ac:dyDescent="0.25">
      <c r="A7266" s="45"/>
      <c r="B7266" s="59"/>
      <c r="C7266" s="137"/>
      <c r="D7266" s="59"/>
      <c r="E7266" s="116"/>
      <c r="F7266" s="120"/>
      <c r="G7266" s="120"/>
      <c r="H7266" s="120"/>
      <c r="I7266" s="60"/>
      <c r="J7266" s="116"/>
      <c r="K7266" s="213"/>
      <c r="L7266" s="120"/>
      <c r="M7266" s="120"/>
      <c r="N7266" s="167"/>
      <c r="O7266" s="120"/>
      <c r="P7266" s="120"/>
      <c r="Q7266" s="120"/>
      <c r="R7266" s="120"/>
      <c r="S7266" s="120"/>
      <c r="T7266" s="221"/>
      <c r="U7266" s="89"/>
      <c r="V7266" s="61"/>
      <c r="W7266" s="92" t="s">
        <v>1048</v>
      </c>
      <c r="X7266" s="93" t="s">
        <v>30</v>
      </c>
      <c r="Y7266" s="93" t="s">
        <v>68</v>
      </c>
      <c r="Z7266" s="134">
        <f>VLOOKUP(W7266,Sheet2!$B:$D,3,FALSE)</f>
        <v>35</v>
      </c>
      <c r="AA7266" s="93">
        <v>1</v>
      </c>
      <c r="AB7266" s="93">
        <f>AD7266/AC7257</f>
        <v>35</v>
      </c>
      <c r="AC7266" s="93">
        <f>AC7257/AA7266</f>
        <v>119.30310000000031</v>
      </c>
      <c r="AD7266" s="94">
        <f t="shared" si="5143"/>
        <v>4175.6085000000112</v>
      </c>
      <c r="AE7266" s="190"/>
      <c r="AF7266" s="191"/>
      <c r="AG7266" s="191"/>
      <c r="AH7266" s="191"/>
      <c r="AI7266" s="186"/>
      <c r="AK7266" s="171"/>
    </row>
    <row r="7267" spans="1:41" s="103" customFormat="1" ht="19.899999999999999" customHeight="1" x14ac:dyDescent="0.25">
      <c r="A7267" s="51"/>
      <c r="B7267" s="52"/>
      <c r="C7267" s="165"/>
      <c r="D7267" s="52"/>
      <c r="E7267" s="115"/>
      <c r="F7267" s="58"/>
      <c r="G7267" s="58"/>
      <c r="H7267" s="58"/>
      <c r="I7267" s="55"/>
      <c r="J7267" s="113">
        <f>J7256</f>
        <v>119.30310000000031</v>
      </c>
      <c r="K7267" s="212">
        <f>K7256</f>
        <v>119.30310000000031</v>
      </c>
      <c r="L7267" s="58"/>
      <c r="M7267" s="58">
        <f>K7267-L7267</f>
        <v>119.30310000000031</v>
      </c>
      <c r="N7267" s="166"/>
      <c r="O7267" s="58"/>
      <c r="P7267" s="58"/>
      <c r="Q7267" s="58"/>
      <c r="R7267" s="58"/>
      <c r="S7267" s="58"/>
      <c r="T7267" s="220"/>
      <c r="U7267" s="88"/>
      <c r="V7267" s="56"/>
      <c r="W7267" s="57" t="s">
        <v>1036</v>
      </c>
      <c r="X7267" s="53"/>
      <c r="Y7267" s="91" t="s">
        <v>68</v>
      </c>
      <c r="Z7267" s="136">
        <f>AD7267/AC7267</f>
        <v>257.58333333333337</v>
      </c>
      <c r="AA7267" s="58"/>
      <c r="AB7267" s="53">
        <f>AD7267/AC7267</f>
        <v>257.58333333333337</v>
      </c>
      <c r="AC7267" s="53">
        <f>M7267+$AE$10</f>
        <v>119.30310000000031</v>
      </c>
      <c r="AD7267" s="54">
        <f>SUM(AD7268:AD7273)</f>
        <v>30730.490175000083</v>
      </c>
      <c r="AE7267" s="184">
        <f>SUMIFS($AD$37:$AD$12971,$V$37:$V$12971,$V7267,$X$37:$X$12971,AE$13)</f>
        <v>0</v>
      </c>
      <c r="AF7267" s="185">
        <f>SUMIFS($AD$37:$AD$12971,$V$37:$V$12971,$V7267,$X$37:$X$12971,AF$13)</f>
        <v>0</v>
      </c>
      <c r="AG7267" s="185">
        <f>SUMIFS($AD$37:$AD$12971,$V$37:$V$12971,$V7267,$X$37:$X$12971,AG$13)</f>
        <v>0</v>
      </c>
      <c r="AH7267" s="187">
        <f>SUMIFS($AD$37:$AD$12971,$V$37:$V$12971,$V7267,$X$37:$X$12971,AH$13)</f>
        <v>0</v>
      </c>
      <c r="AI7267" s="161">
        <f t="shared" ref="AI7267" si="5144">SUM(AE7267:AH7267)</f>
        <v>0</v>
      </c>
      <c r="AK7267" s="172"/>
    </row>
    <row r="7268" spans="1:41" s="102" customFormat="1" ht="19.899999999999999" customHeight="1" x14ac:dyDescent="0.25">
      <c r="A7268" s="45"/>
      <c r="B7268" s="59"/>
      <c r="C7268" s="137"/>
      <c r="D7268" s="59"/>
      <c r="E7268" s="116"/>
      <c r="F7268" s="120"/>
      <c r="G7268" s="120"/>
      <c r="H7268" s="120"/>
      <c r="I7268" s="60"/>
      <c r="J7268" s="116"/>
      <c r="K7268" s="213"/>
      <c r="L7268" s="120"/>
      <c r="M7268" s="120"/>
      <c r="N7268" s="167"/>
      <c r="O7268" s="120"/>
      <c r="P7268" s="120"/>
      <c r="Q7268" s="120"/>
      <c r="R7268" s="120"/>
      <c r="S7268" s="120"/>
      <c r="T7268" s="221"/>
      <c r="U7268" s="89"/>
      <c r="V7268" s="61"/>
      <c r="W7268" s="92" t="s">
        <v>1055</v>
      </c>
      <c r="X7268" s="93" t="s">
        <v>30</v>
      </c>
      <c r="Y7268" s="93" t="s">
        <v>68</v>
      </c>
      <c r="Z7268" s="134">
        <f>VLOOKUP(W7268,Sheet2!$B:$D,3,FALSE)</f>
        <v>144</v>
      </c>
      <c r="AA7268" s="93">
        <v>1</v>
      </c>
      <c r="AB7268" s="93">
        <f>AD7268/AC7267</f>
        <v>144</v>
      </c>
      <c r="AC7268" s="93">
        <f>AC7267/AA7268</f>
        <v>119.30310000000031</v>
      </c>
      <c r="AD7268" s="94">
        <f t="shared" ref="AD7268" si="5145">AC7268*Z7268</f>
        <v>17179.646400000045</v>
      </c>
      <c r="AE7268" s="190"/>
      <c r="AF7268" s="191"/>
      <c r="AG7268" s="191"/>
      <c r="AH7268" s="191"/>
      <c r="AI7268" s="186"/>
      <c r="AK7268" s="171"/>
    </row>
    <row r="7269" spans="1:41" s="102" customFormat="1" ht="19.899999999999999" customHeight="1" x14ac:dyDescent="0.25">
      <c r="A7269" s="45"/>
      <c r="B7269" s="59"/>
      <c r="C7269" s="137"/>
      <c r="D7269" s="59"/>
      <c r="E7269" s="116"/>
      <c r="F7269" s="120"/>
      <c r="G7269" s="120"/>
      <c r="H7269" s="120"/>
      <c r="I7269" s="60"/>
      <c r="J7269" s="116"/>
      <c r="K7269" s="213"/>
      <c r="L7269" s="120"/>
      <c r="M7269" s="120"/>
      <c r="N7269" s="167"/>
      <c r="O7269" s="120"/>
      <c r="P7269" s="120"/>
      <c r="Q7269" s="120"/>
      <c r="R7269" s="120"/>
      <c r="S7269" s="120"/>
      <c r="T7269" s="221"/>
      <c r="U7269" s="89"/>
      <c r="V7269" s="61"/>
      <c r="W7269" s="92" t="s">
        <v>1062</v>
      </c>
      <c r="X7269" s="93" t="s">
        <v>30</v>
      </c>
      <c r="Y7269" s="93" t="s">
        <v>68</v>
      </c>
      <c r="Z7269" s="134">
        <f>VLOOKUP(W7269,Sheet2!$B:$D,3,FALSE)</f>
        <v>15</v>
      </c>
      <c r="AA7269" s="93">
        <v>1</v>
      </c>
      <c r="AB7269" s="93">
        <f>AD7269/AC7267</f>
        <v>15</v>
      </c>
      <c r="AC7269" s="93">
        <f>AC7267/AA7269</f>
        <v>119.30310000000031</v>
      </c>
      <c r="AD7269" s="94">
        <f>AC7269*Z7269</f>
        <v>1789.5465000000047</v>
      </c>
      <c r="AE7269" s="190"/>
      <c r="AF7269" s="191"/>
      <c r="AG7269" s="191"/>
      <c r="AH7269" s="191"/>
      <c r="AI7269" s="186"/>
      <c r="AK7269" s="171"/>
    </row>
    <row r="7270" spans="1:41" s="102" customFormat="1" ht="19.899999999999999" customHeight="1" x14ac:dyDescent="0.25">
      <c r="A7270" s="45"/>
      <c r="B7270" s="59"/>
      <c r="C7270" s="137"/>
      <c r="D7270" s="59"/>
      <c r="E7270" s="116"/>
      <c r="F7270" s="120"/>
      <c r="G7270" s="120"/>
      <c r="H7270" s="120"/>
      <c r="I7270" s="60"/>
      <c r="J7270" s="116"/>
      <c r="K7270" s="213"/>
      <c r="L7270" s="120"/>
      <c r="M7270" s="120"/>
      <c r="N7270" s="167"/>
      <c r="O7270" s="120"/>
      <c r="P7270" s="120"/>
      <c r="Q7270" s="120"/>
      <c r="R7270" s="120"/>
      <c r="S7270" s="120"/>
      <c r="T7270" s="221"/>
      <c r="U7270" s="89"/>
      <c r="V7270" s="61"/>
      <c r="W7270" s="92" t="s">
        <v>1070</v>
      </c>
      <c r="X7270" s="93" t="s">
        <v>32</v>
      </c>
      <c r="Y7270" s="93" t="s">
        <v>68</v>
      </c>
      <c r="Z7270" s="134">
        <f>VLOOKUP(W7270,Sheet2!$B:$D,3,FALSE)</f>
        <v>50</v>
      </c>
      <c r="AA7270" s="93">
        <v>1</v>
      </c>
      <c r="AB7270" s="93">
        <f>AD7270/AC7267</f>
        <v>49.999999999999993</v>
      </c>
      <c r="AC7270" s="93">
        <f>AC7267/AA7270</f>
        <v>119.30310000000031</v>
      </c>
      <c r="AD7270" s="94">
        <f>AC7270*Z7270</f>
        <v>5965.1550000000152</v>
      </c>
      <c r="AE7270" s="190"/>
      <c r="AF7270" s="191"/>
      <c r="AG7270" s="191"/>
      <c r="AH7270" s="191"/>
      <c r="AI7270" s="186"/>
      <c r="AK7270" s="171"/>
    </row>
    <row r="7271" spans="1:41" s="102" customFormat="1" ht="19.899999999999999" customHeight="1" x14ac:dyDescent="0.25">
      <c r="A7271" s="45"/>
      <c r="B7271" s="59"/>
      <c r="C7271" s="137"/>
      <c r="D7271" s="59"/>
      <c r="E7271" s="116"/>
      <c r="F7271" s="120"/>
      <c r="G7271" s="120"/>
      <c r="H7271" s="120"/>
      <c r="I7271" s="60"/>
      <c r="J7271" s="116"/>
      <c r="K7271" s="213"/>
      <c r="L7271" s="120"/>
      <c r="M7271" s="120"/>
      <c r="N7271" s="167"/>
      <c r="O7271" s="120"/>
      <c r="P7271" s="120"/>
      <c r="Q7271" s="120"/>
      <c r="R7271" s="120"/>
      <c r="S7271" s="120"/>
      <c r="T7271" s="221"/>
      <c r="U7271" s="89"/>
      <c r="V7271" s="61"/>
      <c r="W7271" s="92" t="s">
        <v>1032</v>
      </c>
      <c r="X7271" s="93" t="s">
        <v>30</v>
      </c>
      <c r="Y7271" s="93" t="s">
        <v>66</v>
      </c>
      <c r="Z7271" s="134">
        <f>VLOOKUP(W7271,Sheet2!$B:$D,3,FALSE)</f>
        <v>250</v>
      </c>
      <c r="AA7271" s="93">
        <f>1/(1.2*0.1)</f>
        <v>8.3333333333333339</v>
      </c>
      <c r="AB7271" s="93">
        <f>AD7271/AC7267</f>
        <v>30</v>
      </c>
      <c r="AC7271" s="93">
        <f>AC7267/AA7271</f>
        <v>14.316372000000037</v>
      </c>
      <c r="AD7271" s="94">
        <f>AC7271*Z7271</f>
        <v>3579.0930000000094</v>
      </c>
      <c r="AE7271" s="190"/>
      <c r="AF7271" s="191"/>
      <c r="AG7271" s="191"/>
      <c r="AH7271" s="191"/>
      <c r="AI7271" s="186"/>
      <c r="AK7271" s="171"/>
    </row>
    <row r="7272" spans="1:41" s="102" customFormat="1" ht="19.899999999999999" customHeight="1" x14ac:dyDescent="0.25">
      <c r="A7272" s="45"/>
      <c r="B7272" s="59"/>
      <c r="C7272" s="137"/>
      <c r="D7272" s="59"/>
      <c r="E7272" s="116"/>
      <c r="F7272" s="120"/>
      <c r="G7272" s="120"/>
      <c r="H7272" s="120"/>
      <c r="I7272" s="60"/>
      <c r="J7272" s="116"/>
      <c r="K7272" s="213"/>
      <c r="L7272" s="120"/>
      <c r="M7272" s="120"/>
      <c r="N7272" s="167"/>
      <c r="O7272" s="120"/>
      <c r="P7272" s="120"/>
      <c r="Q7272" s="120"/>
      <c r="R7272" s="120"/>
      <c r="S7272" s="120"/>
      <c r="T7272" s="221"/>
      <c r="U7272" s="89"/>
      <c r="V7272" s="61"/>
      <c r="W7272" s="92" t="s">
        <v>1035</v>
      </c>
      <c r="X7272" s="93" t="s">
        <v>32</v>
      </c>
      <c r="Y7272" s="93" t="s">
        <v>66</v>
      </c>
      <c r="Z7272" s="134">
        <f>VLOOKUP(W7272,Sheet2!$B:$D,3,FALSE)</f>
        <v>150</v>
      </c>
      <c r="AA7272" s="93">
        <f>AA7271</f>
        <v>8.3333333333333339</v>
      </c>
      <c r="AB7272" s="93">
        <f>AD7272/AC7267</f>
        <v>18</v>
      </c>
      <c r="AC7272" s="93">
        <f>AC7267/AA7272</f>
        <v>14.316372000000037</v>
      </c>
      <c r="AD7272" s="94">
        <f t="shared" ref="AD7272:AD7273" si="5146">AC7272*Z7272</f>
        <v>2147.4558000000056</v>
      </c>
      <c r="AE7272" s="190"/>
      <c r="AF7272" s="191"/>
      <c r="AG7272" s="191"/>
      <c r="AH7272" s="191"/>
      <c r="AI7272" s="186"/>
      <c r="AK7272" s="171"/>
    </row>
    <row r="7273" spans="1:41" s="102" customFormat="1" ht="19.899999999999999" customHeight="1" x14ac:dyDescent="0.25">
      <c r="A7273" s="45"/>
      <c r="B7273" s="59"/>
      <c r="C7273" s="137"/>
      <c r="D7273" s="59"/>
      <c r="E7273" s="116"/>
      <c r="F7273" s="120"/>
      <c r="G7273" s="120"/>
      <c r="H7273" s="120"/>
      <c r="I7273" s="60"/>
      <c r="J7273" s="116"/>
      <c r="K7273" s="213"/>
      <c r="L7273" s="120"/>
      <c r="M7273" s="120"/>
      <c r="N7273" s="167"/>
      <c r="O7273" s="120"/>
      <c r="P7273" s="120"/>
      <c r="Q7273" s="120"/>
      <c r="R7273" s="120"/>
      <c r="S7273" s="120"/>
      <c r="T7273" s="221"/>
      <c r="U7273" s="89"/>
      <c r="V7273" s="61"/>
      <c r="W7273" s="92" t="s">
        <v>1037</v>
      </c>
      <c r="X7273" s="93" t="s">
        <v>30</v>
      </c>
      <c r="Y7273" s="93" t="s">
        <v>1038</v>
      </c>
      <c r="Z7273" s="134">
        <f>VLOOKUP(W7273,Sheet2!$B:$D,3,FALSE)</f>
        <v>175</v>
      </c>
      <c r="AA7273" s="93">
        <v>300</v>
      </c>
      <c r="AB7273" s="93">
        <f>AD7273/AC7267</f>
        <v>0.58333333333333337</v>
      </c>
      <c r="AC7273" s="93">
        <f>AC7267/AA7273</f>
        <v>0.39767700000000106</v>
      </c>
      <c r="AD7273" s="94">
        <f t="shared" si="5146"/>
        <v>69.593475000000183</v>
      </c>
      <c r="AE7273" s="190"/>
      <c r="AF7273" s="191"/>
      <c r="AG7273" s="191"/>
      <c r="AH7273" s="191"/>
      <c r="AI7273" s="186"/>
      <c r="AK7273" s="171"/>
    </row>
    <row r="7274" spans="1:41" s="103" customFormat="1" ht="19.899999999999999" customHeight="1" x14ac:dyDescent="0.25">
      <c r="A7274" s="51"/>
      <c r="B7274" s="52"/>
      <c r="C7274" s="165"/>
      <c r="D7274" s="52"/>
      <c r="E7274" s="115"/>
      <c r="F7274" s="58"/>
      <c r="G7274" s="58"/>
      <c r="H7274" s="58"/>
      <c r="I7274" s="55"/>
      <c r="J7274" s="113">
        <f>J7256</f>
        <v>119.30310000000031</v>
      </c>
      <c r="K7274" s="212">
        <f>K7256</f>
        <v>119.30310000000031</v>
      </c>
      <c r="L7274" s="58"/>
      <c r="M7274" s="58">
        <f>K7274-L7274</f>
        <v>119.30310000000031</v>
      </c>
      <c r="N7274" s="166"/>
      <c r="O7274" s="58"/>
      <c r="P7274" s="58"/>
      <c r="Q7274" s="58"/>
      <c r="R7274" s="58"/>
      <c r="S7274" s="58"/>
      <c r="T7274" s="220"/>
      <c r="U7274" s="88"/>
      <c r="V7274" s="56"/>
      <c r="W7274" s="57" t="s">
        <v>1040</v>
      </c>
      <c r="X7274" s="53"/>
      <c r="Y7274" s="91" t="s">
        <v>68</v>
      </c>
      <c r="Z7274" s="136">
        <f>AD7274/AC7274</f>
        <v>5</v>
      </c>
      <c r="AA7274" s="58"/>
      <c r="AB7274" s="53">
        <f>AD7274/AC7274</f>
        <v>5</v>
      </c>
      <c r="AC7274" s="53">
        <f>M7274+$AE$10</f>
        <v>119.30310000000031</v>
      </c>
      <c r="AD7274" s="54">
        <f>SUM(AD7275)</f>
        <v>596.51550000000157</v>
      </c>
      <c r="AE7274" s="184">
        <f>SUMIFS($AD$37:$AD$12971,$V$37:$V$12971,$V7274,$X$37:$X$12971,AE$13)</f>
        <v>0</v>
      </c>
      <c r="AF7274" s="185">
        <f>SUMIFS($AD$37:$AD$12971,$V$37:$V$12971,$V7274,$X$37:$X$12971,AF$13)</f>
        <v>0</v>
      </c>
      <c r="AG7274" s="185">
        <f>SUMIFS($AD$37:$AD$12971,$V$37:$V$12971,$V7274,$X$37:$X$12971,AG$13)</f>
        <v>0</v>
      </c>
      <c r="AH7274" s="187">
        <f>SUMIFS($AD$37:$AD$12971,$V$37:$V$12971,$V7274,$X$37:$X$12971,AH$13)</f>
        <v>0</v>
      </c>
      <c r="AI7274" s="161">
        <f t="shared" ref="AI7274" si="5147">SUM(AE7274:AH7274)</f>
        <v>0</v>
      </c>
      <c r="AK7274" s="172"/>
    </row>
    <row r="7275" spans="1:41" s="102" customFormat="1" ht="19.899999999999999" customHeight="1" x14ac:dyDescent="0.25">
      <c r="A7275" s="45"/>
      <c r="B7275" s="59"/>
      <c r="C7275" s="137"/>
      <c r="D7275" s="59"/>
      <c r="E7275" s="116"/>
      <c r="F7275" s="120"/>
      <c r="G7275" s="120"/>
      <c r="H7275" s="120"/>
      <c r="I7275" s="60"/>
      <c r="J7275" s="116"/>
      <c r="K7275" s="213"/>
      <c r="L7275" s="120"/>
      <c r="M7275" s="120"/>
      <c r="N7275" s="167"/>
      <c r="O7275" s="120"/>
      <c r="P7275" s="120"/>
      <c r="Q7275" s="120"/>
      <c r="R7275" s="120"/>
      <c r="S7275" s="120"/>
      <c r="T7275" s="221"/>
      <c r="U7275" s="89"/>
      <c r="V7275" s="61"/>
      <c r="W7275" s="92" t="s">
        <v>1039</v>
      </c>
      <c r="X7275" s="93" t="s">
        <v>32</v>
      </c>
      <c r="Y7275" s="93" t="s">
        <v>68</v>
      </c>
      <c r="Z7275" s="134">
        <f>VLOOKUP(W7275,Sheet2!$B:$D,3,FALSE)</f>
        <v>5</v>
      </c>
      <c r="AA7275" s="93">
        <v>1</v>
      </c>
      <c r="AB7275" s="93">
        <f>AD7275/AC7274</f>
        <v>5</v>
      </c>
      <c r="AC7275" s="93">
        <f>AC7274/AA7275</f>
        <v>119.30310000000031</v>
      </c>
      <c r="AD7275" s="94">
        <f t="shared" ref="AD7275" si="5148">AC7275*Z7275</f>
        <v>596.51550000000157</v>
      </c>
      <c r="AE7275" s="190"/>
      <c r="AF7275" s="191"/>
      <c r="AG7275" s="191"/>
      <c r="AH7275" s="191"/>
      <c r="AI7275" s="186"/>
      <c r="AK7275" s="171"/>
    </row>
    <row r="7276" spans="1:41" ht="20.100000000000001" customHeight="1" x14ac:dyDescent="0.25">
      <c r="A7276" s="277" t="s">
        <v>703</v>
      </c>
      <c r="B7276" s="278"/>
      <c r="C7276" s="64" t="s">
        <v>727</v>
      </c>
      <c r="D7276" s="46" t="s">
        <v>97</v>
      </c>
      <c r="E7276" s="114">
        <v>98.081350000000157</v>
      </c>
      <c r="F7276" s="44">
        <v>680</v>
      </c>
      <c r="G7276" s="44">
        <f t="shared" si="4575"/>
        <v>66695.318000000101</v>
      </c>
      <c r="H7276" s="44">
        <f t="shared" si="4576"/>
        <v>339.9900439215686</v>
      </c>
      <c r="I7276" s="43">
        <f t="shared" si="4577"/>
        <v>33346.682494386798</v>
      </c>
      <c r="J7276" s="112">
        <f t="shared" si="4578"/>
        <v>98.081350000000157</v>
      </c>
      <c r="K7276" s="211">
        <f t="shared" si="4579"/>
        <v>98.081350000000157</v>
      </c>
      <c r="L7276" s="44"/>
      <c r="M7276" s="44">
        <f t="shared" si="4580"/>
        <v>98.081350000000157</v>
      </c>
      <c r="N7276" s="173">
        <f t="shared" si="4581"/>
        <v>1</v>
      </c>
      <c r="O7276" s="44">
        <f t="shared" si="4582"/>
        <v>680</v>
      </c>
      <c r="P7276" s="44">
        <f t="shared" si="4583"/>
        <v>66695.318000000101</v>
      </c>
      <c r="Q7276" s="44">
        <f t="shared" si="4584"/>
        <v>339.9900439215686</v>
      </c>
      <c r="R7276" s="44">
        <f t="shared" si="4585"/>
        <v>33346.682494386798</v>
      </c>
      <c r="S7276" s="123"/>
      <c r="T7276" s="219">
        <f t="shared" si="4586"/>
        <v>33346.682494386798</v>
      </c>
      <c r="U7276" s="87"/>
      <c r="V7276" s="47"/>
      <c r="W7276" s="48"/>
      <c r="X7276" s="48"/>
      <c r="Y7276" s="48"/>
      <c r="Z7276" s="135"/>
      <c r="AA7276" s="49"/>
      <c r="AB7276" s="50">
        <f t="shared" si="4587"/>
        <v>339.9900439215686</v>
      </c>
      <c r="AC7276" s="42">
        <f t="shared" si="4588"/>
        <v>98.081350000000157</v>
      </c>
      <c r="AD7276" s="90">
        <f>AD7277+AD7287+AD7294</f>
        <v>33346.682494386798</v>
      </c>
      <c r="AE7276" s="188">
        <f t="shared" ref="AE7276" si="5149">AE7277+AE7287+AE7294</f>
        <v>0</v>
      </c>
      <c r="AF7276" s="189">
        <f t="shared" ref="AF7276" si="5150">AF7277+AF7287+AF7294</f>
        <v>0</v>
      </c>
      <c r="AG7276" s="189">
        <f t="shared" ref="AG7276" si="5151">AG7277+AG7287+AG7294</f>
        <v>0</v>
      </c>
      <c r="AH7276" s="189">
        <f t="shared" ref="AH7276" si="5152">AH7277+AH7287+AH7294</f>
        <v>0</v>
      </c>
      <c r="AI7276" s="161">
        <f t="shared" ref="AI7276" si="5153">SUM(AE7276:AH7276)</f>
        <v>0</v>
      </c>
      <c r="AK7276" s="169">
        <v>5</v>
      </c>
      <c r="AO7276" s="19" t="s">
        <v>63</v>
      </c>
    </row>
    <row r="7277" spans="1:41" s="103" customFormat="1" ht="19.899999999999999" customHeight="1" x14ac:dyDescent="0.25">
      <c r="A7277" s="51"/>
      <c r="B7277" s="52"/>
      <c r="C7277" s="165"/>
      <c r="D7277" s="52"/>
      <c r="E7277" s="115"/>
      <c r="F7277" s="58"/>
      <c r="G7277" s="58"/>
      <c r="H7277" s="58"/>
      <c r="I7277" s="55"/>
      <c r="J7277" s="113">
        <f>J7276</f>
        <v>98.081350000000157</v>
      </c>
      <c r="K7277" s="212">
        <f>K7276</f>
        <v>98.081350000000157</v>
      </c>
      <c r="L7277" s="58"/>
      <c r="M7277" s="58">
        <f>K7277-L7277</f>
        <v>98.081350000000157</v>
      </c>
      <c r="N7277" s="166"/>
      <c r="O7277" s="58"/>
      <c r="P7277" s="58"/>
      <c r="Q7277" s="58"/>
      <c r="R7277" s="58"/>
      <c r="S7277" s="58"/>
      <c r="T7277" s="220"/>
      <c r="U7277" s="88"/>
      <c r="V7277" s="56"/>
      <c r="W7277" s="57" t="s">
        <v>1096</v>
      </c>
      <c r="X7277" s="53"/>
      <c r="Y7277" s="91" t="s">
        <v>68</v>
      </c>
      <c r="Z7277" s="136">
        <f>AD7277/AC7277</f>
        <v>77.406710588235299</v>
      </c>
      <c r="AA7277" s="58"/>
      <c r="AB7277" s="53">
        <f>AD7277/AC7277</f>
        <v>77.406710588235299</v>
      </c>
      <c r="AC7277" s="53">
        <f>M7277+$AE$10</f>
        <v>98.081350000000157</v>
      </c>
      <c r="AD7277" s="54">
        <f>SUM(AD7278:AD7286)</f>
        <v>7592.1546735534239</v>
      </c>
      <c r="AE7277" s="184">
        <f>SUMIFS($AD$37:$AD$12971,$V$37:$V$12971,$V7277,$X$37:$X$12971,AE$13)</f>
        <v>0</v>
      </c>
      <c r="AF7277" s="185">
        <f>SUMIFS($AD$37:$AD$12971,$V$37:$V$12971,$V7277,$X$37:$X$12971,AF$13)</f>
        <v>0</v>
      </c>
      <c r="AG7277" s="185">
        <f>SUMIFS($AD$37:$AD$12971,$V$37:$V$12971,$V7277,$X$37:$X$12971,AG$13)</f>
        <v>0</v>
      </c>
      <c r="AH7277" s="187">
        <f>SUMIFS($AD$37:$AD$12971,$V$37:$V$12971,$V7277,$X$37:$X$12971,AH$13)</f>
        <v>0</v>
      </c>
      <c r="AI7277" s="161">
        <f t="shared" ref="AI7277" si="5154">SUM(AE7277:AH7277)</f>
        <v>0</v>
      </c>
      <c r="AK7277" s="172"/>
    </row>
    <row r="7278" spans="1:41" s="102" customFormat="1" ht="19.899999999999999" customHeight="1" x14ac:dyDescent="0.25">
      <c r="A7278" s="45"/>
      <c r="B7278" s="59"/>
      <c r="C7278" s="137"/>
      <c r="D7278" s="59"/>
      <c r="E7278" s="116"/>
      <c r="F7278" s="120"/>
      <c r="G7278" s="120"/>
      <c r="H7278" s="120"/>
      <c r="I7278" s="60"/>
      <c r="J7278" s="116"/>
      <c r="K7278" s="213"/>
      <c r="L7278" s="120"/>
      <c r="M7278" s="120"/>
      <c r="N7278" s="167"/>
      <c r="O7278" s="120"/>
      <c r="P7278" s="120"/>
      <c r="Q7278" s="120"/>
      <c r="R7278" s="120"/>
      <c r="S7278" s="120"/>
      <c r="T7278" s="221"/>
      <c r="U7278" s="89"/>
      <c r="V7278" s="61"/>
      <c r="W7278" s="92" t="s">
        <v>129</v>
      </c>
      <c r="X7278" s="93" t="s">
        <v>29</v>
      </c>
      <c r="Y7278" s="93" t="s">
        <v>93</v>
      </c>
      <c r="Z7278" s="134">
        <f>VLOOKUP(W7278,Sheet2!$B:$D,3,FALSE)</f>
        <v>56</v>
      </c>
      <c r="AA7278" s="93">
        <f>100/(1.2*3)</f>
        <v>27.777777777777782</v>
      </c>
      <c r="AB7278" s="93">
        <f t="shared" ref="AB7278" si="5155">AD7278/AC7277</f>
        <v>2.0159999999999996</v>
      </c>
      <c r="AC7278" s="93">
        <f>AC7277/AA7278</f>
        <v>3.5309286000000051</v>
      </c>
      <c r="AD7278" s="94">
        <f t="shared" ref="AD7278:AD7279" si="5156">AC7278*Z7278</f>
        <v>197.73200160000027</v>
      </c>
      <c r="AE7278" s="190"/>
      <c r="AF7278" s="191"/>
      <c r="AG7278" s="191"/>
      <c r="AH7278" s="191"/>
      <c r="AI7278" s="186"/>
      <c r="AK7278" s="171"/>
    </row>
    <row r="7279" spans="1:41" s="102" customFormat="1" ht="19.899999999999999" customHeight="1" x14ac:dyDescent="0.25">
      <c r="A7279" s="45"/>
      <c r="B7279" s="59"/>
      <c r="C7279" s="137"/>
      <c r="D7279" s="59"/>
      <c r="E7279" s="116"/>
      <c r="F7279" s="120"/>
      <c r="G7279" s="120"/>
      <c r="H7279" s="120"/>
      <c r="I7279" s="60"/>
      <c r="J7279" s="116"/>
      <c r="K7279" s="213"/>
      <c r="L7279" s="120"/>
      <c r="M7279" s="120"/>
      <c r="N7279" s="167"/>
      <c r="O7279" s="120"/>
      <c r="P7279" s="120"/>
      <c r="Q7279" s="120"/>
      <c r="R7279" s="120"/>
      <c r="S7279" s="120"/>
      <c r="T7279" s="221"/>
      <c r="U7279" s="89"/>
      <c r="V7279" s="61"/>
      <c r="W7279" s="92" t="s">
        <v>65</v>
      </c>
      <c r="X7279" s="93" t="s">
        <v>30</v>
      </c>
      <c r="Y7279" s="93" t="s">
        <v>1011</v>
      </c>
      <c r="Z7279" s="134">
        <f>VLOOKUP(W7279,Sheet2!$B:$D,3,FALSE)</f>
        <v>1.76</v>
      </c>
      <c r="AA7279" s="93">
        <f>AA7278/14</f>
        <v>1.9841269841269844</v>
      </c>
      <c r="AB7279" s="93">
        <f>AD7279/AC7277</f>
        <v>0.88703999999999994</v>
      </c>
      <c r="AC7279" s="93">
        <f>AC7277/AA7279</f>
        <v>49.433000400000076</v>
      </c>
      <c r="AD7279" s="94">
        <f t="shared" si="5156"/>
        <v>87.002080704000136</v>
      </c>
      <c r="AE7279" s="190"/>
      <c r="AF7279" s="191"/>
      <c r="AG7279" s="191"/>
      <c r="AH7279" s="191"/>
      <c r="AI7279" s="186"/>
      <c r="AK7279" s="171"/>
    </row>
    <row r="7280" spans="1:41" s="102" customFormat="1" ht="19.899999999999999" customHeight="1" x14ac:dyDescent="0.25">
      <c r="A7280" s="45"/>
      <c r="B7280" s="59"/>
      <c r="C7280" s="137"/>
      <c r="D7280" s="59"/>
      <c r="E7280" s="116"/>
      <c r="F7280" s="120"/>
      <c r="G7280" s="120"/>
      <c r="H7280" s="120"/>
      <c r="I7280" s="60"/>
      <c r="J7280" s="116"/>
      <c r="K7280" s="213"/>
      <c r="L7280" s="120"/>
      <c r="M7280" s="120"/>
      <c r="N7280" s="167"/>
      <c r="O7280" s="120"/>
      <c r="P7280" s="120"/>
      <c r="Q7280" s="120"/>
      <c r="R7280" s="120"/>
      <c r="S7280" s="120"/>
      <c r="T7280" s="221"/>
      <c r="U7280" s="89"/>
      <c r="V7280" s="61"/>
      <c r="W7280" s="92" t="s">
        <v>161</v>
      </c>
      <c r="X7280" s="93" t="s">
        <v>29</v>
      </c>
      <c r="Y7280" s="93" t="s">
        <v>93</v>
      </c>
      <c r="Z7280" s="134">
        <f>VLOOKUP(W7280,Sheet2!$B:$D,3,FALSE)</f>
        <v>48</v>
      </c>
      <c r="AA7280" s="93">
        <f>(16*0.85*1.5)/(1.2*3)</f>
        <v>5.666666666666667</v>
      </c>
      <c r="AB7280" s="93">
        <f>AD7280/AC7277</f>
        <v>8.4705882352941178</v>
      </c>
      <c r="AC7280" s="93">
        <f>AC7277/AA7280</f>
        <v>17.308473529411792</v>
      </c>
      <c r="AD7280" s="94">
        <f>AC7280*Z7280</f>
        <v>830.80672941176601</v>
      </c>
      <c r="AE7280" s="190"/>
      <c r="AF7280" s="191"/>
      <c r="AG7280" s="191"/>
      <c r="AH7280" s="191"/>
      <c r="AI7280" s="186"/>
      <c r="AK7280" s="171"/>
    </row>
    <row r="7281" spans="1:41" s="102" customFormat="1" ht="19.899999999999999" customHeight="1" x14ac:dyDescent="0.25">
      <c r="A7281" s="45"/>
      <c r="B7281" s="59"/>
      <c r="C7281" s="137"/>
      <c r="D7281" s="59"/>
      <c r="E7281" s="116"/>
      <c r="F7281" s="120"/>
      <c r="G7281" s="120"/>
      <c r="H7281" s="120"/>
      <c r="I7281" s="60"/>
      <c r="J7281" s="116"/>
      <c r="K7281" s="213"/>
      <c r="L7281" s="120"/>
      <c r="M7281" s="120"/>
      <c r="N7281" s="167"/>
      <c r="O7281" s="120"/>
      <c r="P7281" s="120"/>
      <c r="Q7281" s="120"/>
      <c r="R7281" s="120"/>
      <c r="S7281" s="120"/>
      <c r="T7281" s="221"/>
      <c r="U7281" s="89"/>
      <c r="V7281" s="61"/>
      <c r="W7281" s="92" t="s">
        <v>65</v>
      </c>
      <c r="X7281" s="93" t="s">
        <v>30</v>
      </c>
      <c r="Y7281" s="93" t="s">
        <v>1011</v>
      </c>
      <c r="Z7281" s="134">
        <f>VLOOKUP(W7281,Sheet2!$B:$D,3,FALSE)</f>
        <v>1.76</v>
      </c>
      <c r="AA7281" s="93">
        <f>AA7280/10</f>
        <v>0.56666666666666665</v>
      </c>
      <c r="AB7281" s="93">
        <f>AD7281/AC7277</f>
        <v>3.1058823529411765</v>
      </c>
      <c r="AC7281" s="93">
        <f>AC7277/AA7281</f>
        <v>173.08473529411793</v>
      </c>
      <c r="AD7281" s="94">
        <f>AC7281*Z7281</f>
        <v>304.62913411764754</v>
      </c>
      <c r="AE7281" s="190"/>
      <c r="AF7281" s="191"/>
      <c r="AG7281" s="191"/>
      <c r="AH7281" s="191"/>
      <c r="AI7281" s="186"/>
      <c r="AK7281" s="171"/>
    </row>
    <row r="7282" spans="1:41" s="102" customFormat="1" ht="19.899999999999999" customHeight="1" x14ac:dyDescent="0.25">
      <c r="A7282" s="45"/>
      <c r="B7282" s="59"/>
      <c r="C7282" s="137"/>
      <c r="D7282" s="59"/>
      <c r="E7282" s="116"/>
      <c r="F7282" s="120"/>
      <c r="G7282" s="120"/>
      <c r="H7282" s="120"/>
      <c r="I7282" s="60"/>
      <c r="J7282" s="116"/>
      <c r="K7282" s="213"/>
      <c r="L7282" s="120"/>
      <c r="M7282" s="120"/>
      <c r="N7282" s="167"/>
      <c r="O7282" s="120"/>
      <c r="P7282" s="120"/>
      <c r="Q7282" s="120"/>
      <c r="R7282" s="120"/>
      <c r="S7282" s="120"/>
      <c r="T7282" s="221"/>
      <c r="U7282" s="89"/>
      <c r="V7282" s="61"/>
      <c r="W7282" s="92" t="s">
        <v>1030</v>
      </c>
      <c r="X7282" s="93" t="s">
        <v>29</v>
      </c>
      <c r="Y7282" s="93" t="s">
        <v>93</v>
      </c>
      <c r="Z7282" s="134">
        <f>VLOOKUP(W7282,Sheet2!$B:$D,3,FALSE)</f>
        <v>23</v>
      </c>
      <c r="AA7282" s="93">
        <v>50</v>
      </c>
      <c r="AB7282" s="93">
        <f>AD7282/AC7277</f>
        <v>0.45999999999999996</v>
      </c>
      <c r="AC7282" s="93">
        <f>AC7277/AA7282</f>
        <v>1.9616270000000031</v>
      </c>
      <c r="AD7282" s="94">
        <f t="shared" ref="AD7282:AD7286" si="5157">AC7282*Z7282</f>
        <v>45.117421000000071</v>
      </c>
      <c r="AE7282" s="190"/>
      <c r="AF7282" s="191"/>
      <c r="AG7282" s="191"/>
      <c r="AH7282" s="191"/>
      <c r="AI7282" s="186"/>
      <c r="AK7282" s="171"/>
    </row>
    <row r="7283" spans="1:41" s="102" customFormat="1" ht="19.899999999999999" customHeight="1" x14ac:dyDescent="0.25">
      <c r="A7283" s="45"/>
      <c r="B7283" s="59"/>
      <c r="C7283" s="137"/>
      <c r="D7283" s="59"/>
      <c r="E7283" s="116"/>
      <c r="F7283" s="120"/>
      <c r="G7283" s="120"/>
      <c r="H7283" s="120"/>
      <c r="I7283" s="60"/>
      <c r="J7283" s="116"/>
      <c r="K7283" s="213"/>
      <c r="L7283" s="120"/>
      <c r="M7283" s="120"/>
      <c r="N7283" s="167"/>
      <c r="O7283" s="120"/>
      <c r="P7283" s="120"/>
      <c r="Q7283" s="120"/>
      <c r="R7283" s="120"/>
      <c r="S7283" s="120"/>
      <c r="T7283" s="221"/>
      <c r="U7283" s="89"/>
      <c r="V7283" s="61"/>
      <c r="W7283" s="92" t="s">
        <v>65</v>
      </c>
      <c r="X7283" s="93" t="s">
        <v>30</v>
      </c>
      <c r="Y7283" s="93" t="s">
        <v>1011</v>
      </c>
      <c r="Z7283" s="134">
        <f>VLOOKUP(W7283,Sheet2!$B:$D,3,FALSE)</f>
        <v>1.76</v>
      </c>
      <c r="AA7283" s="93">
        <f>AA7282/3</f>
        <v>16.666666666666668</v>
      </c>
      <c r="AB7283" s="93">
        <f>AD7283/AC7277</f>
        <v>0.10559999999999999</v>
      </c>
      <c r="AC7283" s="93">
        <f>AC7277/AA7283</f>
        <v>5.8848810000000089</v>
      </c>
      <c r="AD7283" s="94">
        <f t="shared" si="5157"/>
        <v>10.357390560000015</v>
      </c>
      <c r="AE7283" s="190"/>
      <c r="AF7283" s="191"/>
      <c r="AG7283" s="191"/>
      <c r="AH7283" s="191"/>
      <c r="AI7283" s="186"/>
      <c r="AK7283" s="171"/>
    </row>
    <row r="7284" spans="1:41" s="102" customFormat="1" ht="19.899999999999999" customHeight="1" x14ac:dyDescent="0.25">
      <c r="A7284" s="45"/>
      <c r="B7284" s="59"/>
      <c r="C7284" s="137"/>
      <c r="D7284" s="59"/>
      <c r="E7284" s="116"/>
      <c r="F7284" s="120"/>
      <c r="G7284" s="120"/>
      <c r="H7284" s="120"/>
      <c r="I7284" s="60"/>
      <c r="J7284" s="116"/>
      <c r="K7284" s="213"/>
      <c r="L7284" s="120"/>
      <c r="M7284" s="120"/>
      <c r="N7284" s="167"/>
      <c r="O7284" s="120"/>
      <c r="P7284" s="120"/>
      <c r="Q7284" s="120"/>
      <c r="R7284" s="120"/>
      <c r="S7284" s="120"/>
      <c r="T7284" s="221"/>
      <c r="U7284" s="89"/>
      <c r="V7284" s="61"/>
      <c r="W7284" s="92" t="s">
        <v>148</v>
      </c>
      <c r="X7284" s="93" t="s">
        <v>29</v>
      </c>
      <c r="Y7284" s="93" t="s">
        <v>93</v>
      </c>
      <c r="Z7284" s="134">
        <f>VLOOKUP(W7284,Sheet2!$B:$D,3,FALSE)</f>
        <v>48</v>
      </c>
      <c r="AA7284" s="93">
        <f>AA7278</f>
        <v>27.777777777777782</v>
      </c>
      <c r="AB7284" s="93">
        <f>AD7284/AC7277</f>
        <v>1.7279999999999998</v>
      </c>
      <c r="AC7284" s="93">
        <f>AC7277/AA7284</f>
        <v>3.5309286000000051</v>
      </c>
      <c r="AD7284" s="94">
        <f t="shared" si="5157"/>
        <v>169.48457280000025</v>
      </c>
      <c r="AE7284" s="190"/>
      <c r="AF7284" s="191"/>
      <c r="AG7284" s="191"/>
      <c r="AH7284" s="191"/>
      <c r="AI7284" s="186"/>
      <c r="AK7284" s="171"/>
    </row>
    <row r="7285" spans="1:41" s="102" customFormat="1" ht="19.899999999999999" customHeight="1" x14ac:dyDescent="0.25">
      <c r="A7285" s="45"/>
      <c r="B7285" s="59"/>
      <c r="C7285" s="137"/>
      <c r="D7285" s="59"/>
      <c r="E7285" s="116"/>
      <c r="F7285" s="120"/>
      <c r="G7285" s="120"/>
      <c r="H7285" s="120"/>
      <c r="I7285" s="60"/>
      <c r="J7285" s="116"/>
      <c r="K7285" s="213"/>
      <c r="L7285" s="120"/>
      <c r="M7285" s="120"/>
      <c r="N7285" s="167"/>
      <c r="O7285" s="120"/>
      <c r="P7285" s="120"/>
      <c r="Q7285" s="120"/>
      <c r="R7285" s="120"/>
      <c r="S7285" s="120"/>
      <c r="T7285" s="221"/>
      <c r="U7285" s="89"/>
      <c r="V7285" s="61"/>
      <c r="W7285" s="92" t="s">
        <v>65</v>
      </c>
      <c r="X7285" s="93" t="s">
        <v>30</v>
      </c>
      <c r="Y7285" s="93" t="s">
        <v>1011</v>
      </c>
      <c r="Z7285" s="134">
        <f>VLOOKUP(W7285,Sheet2!$B:$D,3,FALSE)</f>
        <v>1.76</v>
      </c>
      <c r="AA7285" s="93">
        <f>AA7284/10</f>
        <v>2.7777777777777781</v>
      </c>
      <c r="AB7285" s="93">
        <f>AD7285/AC7277</f>
        <v>0.63359999999999983</v>
      </c>
      <c r="AC7285" s="93">
        <f>AC7277/AA7285</f>
        <v>35.30928600000005</v>
      </c>
      <c r="AD7285" s="94">
        <f t="shared" si="5157"/>
        <v>62.144343360000086</v>
      </c>
      <c r="AE7285" s="190"/>
      <c r="AF7285" s="191"/>
      <c r="AG7285" s="191"/>
      <c r="AH7285" s="191"/>
      <c r="AI7285" s="186"/>
      <c r="AK7285" s="171"/>
    </row>
    <row r="7286" spans="1:41" s="102" customFormat="1" ht="19.899999999999999" customHeight="1" x14ac:dyDescent="0.25">
      <c r="A7286" s="45"/>
      <c r="B7286" s="59"/>
      <c r="C7286" s="137"/>
      <c r="D7286" s="59"/>
      <c r="E7286" s="116"/>
      <c r="F7286" s="120"/>
      <c r="G7286" s="120"/>
      <c r="H7286" s="120"/>
      <c r="I7286" s="60"/>
      <c r="J7286" s="116"/>
      <c r="K7286" s="213"/>
      <c r="L7286" s="120"/>
      <c r="M7286" s="120"/>
      <c r="N7286" s="167"/>
      <c r="O7286" s="120"/>
      <c r="P7286" s="120"/>
      <c r="Q7286" s="120"/>
      <c r="R7286" s="120"/>
      <c r="S7286" s="120"/>
      <c r="T7286" s="221"/>
      <c r="U7286" s="89"/>
      <c r="V7286" s="61"/>
      <c r="W7286" s="92" t="s">
        <v>1049</v>
      </c>
      <c r="X7286" s="93" t="s">
        <v>30</v>
      </c>
      <c r="Y7286" s="93" t="s">
        <v>68</v>
      </c>
      <c r="Z7286" s="134">
        <f>VLOOKUP(W7286,Sheet2!$B:$D,3,FALSE)</f>
        <v>60</v>
      </c>
      <c r="AA7286" s="93">
        <v>1</v>
      </c>
      <c r="AB7286" s="93">
        <f>AD7286/AC7277</f>
        <v>60</v>
      </c>
      <c r="AC7286" s="93">
        <f>AC7277/AA7286</f>
        <v>98.081350000000157</v>
      </c>
      <c r="AD7286" s="94">
        <f t="shared" si="5157"/>
        <v>5884.8810000000094</v>
      </c>
      <c r="AE7286" s="190"/>
      <c r="AF7286" s="191"/>
      <c r="AG7286" s="191"/>
      <c r="AH7286" s="191"/>
      <c r="AI7286" s="186"/>
      <c r="AK7286" s="171"/>
    </row>
    <row r="7287" spans="1:41" s="103" customFormat="1" ht="19.899999999999999" customHeight="1" x14ac:dyDescent="0.25">
      <c r="A7287" s="51"/>
      <c r="B7287" s="52"/>
      <c r="C7287" s="165"/>
      <c r="D7287" s="52"/>
      <c r="E7287" s="115"/>
      <c r="F7287" s="58"/>
      <c r="G7287" s="58"/>
      <c r="H7287" s="58"/>
      <c r="I7287" s="55"/>
      <c r="J7287" s="113">
        <f>J7276</f>
        <v>98.081350000000157</v>
      </c>
      <c r="K7287" s="212">
        <f>K7276</f>
        <v>98.081350000000157</v>
      </c>
      <c r="L7287" s="58"/>
      <c r="M7287" s="58">
        <f>K7287-L7287</f>
        <v>98.081350000000157</v>
      </c>
      <c r="N7287" s="166"/>
      <c r="O7287" s="58"/>
      <c r="P7287" s="58"/>
      <c r="Q7287" s="58"/>
      <c r="R7287" s="58"/>
      <c r="S7287" s="58"/>
      <c r="T7287" s="220"/>
      <c r="U7287" s="88"/>
      <c r="V7287" s="56"/>
      <c r="W7287" s="57" t="s">
        <v>1036</v>
      </c>
      <c r="X7287" s="53"/>
      <c r="Y7287" s="91" t="s">
        <v>68</v>
      </c>
      <c r="Z7287" s="136">
        <f>AD7287/AC7287</f>
        <v>257.58333333333337</v>
      </c>
      <c r="AA7287" s="58"/>
      <c r="AB7287" s="53">
        <f>AD7287/AC7287</f>
        <v>257.58333333333337</v>
      </c>
      <c r="AC7287" s="53">
        <f>M7287+$AE$10</f>
        <v>98.081350000000157</v>
      </c>
      <c r="AD7287" s="54">
        <f>SUM(AD7288:AD7293)</f>
        <v>25264.121070833375</v>
      </c>
      <c r="AE7287" s="184">
        <f>SUMIFS($AD$37:$AD$12971,$V$37:$V$12971,$V7287,$X$37:$X$12971,AE$13)</f>
        <v>0</v>
      </c>
      <c r="AF7287" s="185">
        <f>SUMIFS($AD$37:$AD$12971,$V$37:$V$12971,$V7287,$X$37:$X$12971,AF$13)</f>
        <v>0</v>
      </c>
      <c r="AG7287" s="185">
        <f>SUMIFS($AD$37:$AD$12971,$V$37:$V$12971,$V7287,$X$37:$X$12971,AG$13)</f>
        <v>0</v>
      </c>
      <c r="AH7287" s="187">
        <f>SUMIFS($AD$37:$AD$12971,$V$37:$V$12971,$V7287,$X$37:$X$12971,AH$13)</f>
        <v>0</v>
      </c>
      <c r="AI7287" s="161">
        <f t="shared" ref="AI7287" si="5158">SUM(AE7287:AH7287)</f>
        <v>0</v>
      </c>
      <c r="AK7287" s="172"/>
    </row>
    <row r="7288" spans="1:41" s="102" customFormat="1" ht="19.899999999999999" customHeight="1" x14ac:dyDescent="0.25">
      <c r="A7288" s="45"/>
      <c r="B7288" s="59"/>
      <c r="C7288" s="137"/>
      <c r="D7288" s="59"/>
      <c r="E7288" s="116"/>
      <c r="F7288" s="120"/>
      <c r="G7288" s="120"/>
      <c r="H7288" s="120"/>
      <c r="I7288" s="60"/>
      <c r="J7288" s="116"/>
      <c r="K7288" s="213"/>
      <c r="L7288" s="120"/>
      <c r="M7288" s="120"/>
      <c r="N7288" s="167"/>
      <c r="O7288" s="120"/>
      <c r="P7288" s="120"/>
      <c r="Q7288" s="120"/>
      <c r="R7288" s="120"/>
      <c r="S7288" s="120"/>
      <c r="T7288" s="221"/>
      <c r="U7288" s="89"/>
      <c r="V7288" s="61"/>
      <c r="W7288" s="92" t="s">
        <v>1055</v>
      </c>
      <c r="X7288" s="93" t="s">
        <v>30</v>
      </c>
      <c r="Y7288" s="93" t="s">
        <v>68</v>
      </c>
      <c r="Z7288" s="134">
        <f>VLOOKUP(W7288,Sheet2!$B:$D,3,FALSE)</f>
        <v>144</v>
      </c>
      <c r="AA7288" s="93">
        <v>1</v>
      </c>
      <c r="AB7288" s="93">
        <f>AD7288/AC7287</f>
        <v>144</v>
      </c>
      <c r="AC7288" s="93">
        <f>AC7287/AA7288</f>
        <v>98.081350000000157</v>
      </c>
      <c r="AD7288" s="94">
        <f t="shared" ref="AD7288" si="5159">AC7288*Z7288</f>
        <v>14123.714400000023</v>
      </c>
      <c r="AE7288" s="190"/>
      <c r="AF7288" s="191"/>
      <c r="AG7288" s="191"/>
      <c r="AH7288" s="191"/>
      <c r="AI7288" s="186"/>
      <c r="AK7288" s="171"/>
    </row>
    <row r="7289" spans="1:41" s="102" customFormat="1" ht="19.899999999999999" customHeight="1" x14ac:dyDescent="0.25">
      <c r="A7289" s="45"/>
      <c r="B7289" s="59"/>
      <c r="C7289" s="137"/>
      <c r="D7289" s="59"/>
      <c r="E7289" s="116"/>
      <c r="F7289" s="120"/>
      <c r="G7289" s="120"/>
      <c r="H7289" s="120"/>
      <c r="I7289" s="60"/>
      <c r="J7289" s="116"/>
      <c r="K7289" s="213"/>
      <c r="L7289" s="120"/>
      <c r="M7289" s="120"/>
      <c r="N7289" s="167"/>
      <c r="O7289" s="120"/>
      <c r="P7289" s="120"/>
      <c r="Q7289" s="120"/>
      <c r="R7289" s="120"/>
      <c r="S7289" s="120"/>
      <c r="T7289" s="221"/>
      <c r="U7289" s="89"/>
      <c r="V7289" s="61"/>
      <c r="W7289" s="92" t="s">
        <v>1062</v>
      </c>
      <c r="X7289" s="93" t="s">
        <v>30</v>
      </c>
      <c r="Y7289" s="93" t="s">
        <v>68</v>
      </c>
      <c r="Z7289" s="134">
        <f>VLOOKUP(W7289,Sheet2!$B:$D,3,FALSE)</f>
        <v>15</v>
      </c>
      <c r="AA7289" s="93">
        <v>1</v>
      </c>
      <c r="AB7289" s="93">
        <f>AD7289/AC7287</f>
        <v>15</v>
      </c>
      <c r="AC7289" s="93">
        <f>AC7287/AA7289</f>
        <v>98.081350000000157</v>
      </c>
      <c r="AD7289" s="94">
        <f>AC7289*Z7289</f>
        <v>1471.2202500000024</v>
      </c>
      <c r="AE7289" s="190"/>
      <c r="AF7289" s="191"/>
      <c r="AG7289" s="191"/>
      <c r="AH7289" s="191"/>
      <c r="AI7289" s="186"/>
      <c r="AK7289" s="171"/>
    </row>
    <row r="7290" spans="1:41" s="102" customFormat="1" ht="19.899999999999999" customHeight="1" x14ac:dyDescent="0.25">
      <c r="A7290" s="45"/>
      <c r="B7290" s="59"/>
      <c r="C7290" s="137"/>
      <c r="D7290" s="59"/>
      <c r="E7290" s="116"/>
      <c r="F7290" s="120"/>
      <c r="G7290" s="120"/>
      <c r="H7290" s="120"/>
      <c r="I7290" s="60"/>
      <c r="J7290" s="116"/>
      <c r="K7290" s="213"/>
      <c r="L7290" s="120"/>
      <c r="M7290" s="120"/>
      <c r="N7290" s="167"/>
      <c r="O7290" s="120"/>
      <c r="P7290" s="120"/>
      <c r="Q7290" s="120"/>
      <c r="R7290" s="120"/>
      <c r="S7290" s="120"/>
      <c r="T7290" s="221"/>
      <c r="U7290" s="89"/>
      <c r="V7290" s="61"/>
      <c r="W7290" s="92" t="s">
        <v>1070</v>
      </c>
      <c r="X7290" s="93" t="s">
        <v>32</v>
      </c>
      <c r="Y7290" s="93" t="s">
        <v>68</v>
      </c>
      <c r="Z7290" s="134">
        <f>VLOOKUP(W7290,Sheet2!$B:$D,3,FALSE)</f>
        <v>50</v>
      </c>
      <c r="AA7290" s="93">
        <v>1</v>
      </c>
      <c r="AB7290" s="93">
        <f>AD7290/AC7287</f>
        <v>50.000000000000007</v>
      </c>
      <c r="AC7290" s="93">
        <f>AC7287/AA7290</f>
        <v>98.081350000000157</v>
      </c>
      <c r="AD7290" s="94">
        <f>AC7290*Z7290</f>
        <v>4904.0675000000083</v>
      </c>
      <c r="AE7290" s="190"/>
      <c r="AF7290" s="191"/>
      <c r="AG7290" s="191"/>
      <c r="AH7290" s="191"/>
      <c r="AI7290" s="186"/>
      <c r="AK7290" s="171"/>
    </row>
    <row r="7291" spans="1:41" s="102" customFormat="1" ht="19.899999999999999" customHeight="1" x14ac:dyDescent="0.25">
      <c r="A7291" s="45"/>
      <c r="B7291" s="59"/>
      <c r="C7291" s="137"/>
      <c r="D7291" s="59"/>
      <c r="E7291" s="116"/>
      <c r="F7291" s="120"/>
      <c r="G7291" s="120"/>
      <c r="H7291" s="120"/>
      <c r="I7291" s="60"/>
      <c r="J7291" s="116"/>
      <c r="K7291" s="213"/>
      <c r="L7291" s="120"/>
      <c r="M7291" s="120"/>
      <c r="N7291" s="167"/>
      <c r="O7291" s="120"/>
      <c r="P7291" s="120"/>
      <c r="Q7291" s="120"/>
      <c r="R7291" s="120"/>
      <c r="S7291" s="120"/>
      <c r="T7291" s="221"/>
      <c r="U7291" s="89"/>
      <c r="V7291" s="61"/>
      <c r="W7291" s="92" t="s">
        <v>1032</v>
      </c>
      <c r="X7291" s="93" t="s">
        <v>30</v>
      </c>
      <c r="Y7291" s="93" t="s">
        <v>66</v>
      </c>
      <c r="Z7291" s="134">
        <f>VLOOKUP(W7291,Sheet2!$B:$D,3,FALSE)</f>
        <v>250</v>
      </c>
      <c r="AA7291" s="93">
        <f>1/(1.2*0.1)</f>
        <v>8.3333333333333339</v>
      </c>
      <c r="AB7291" s="93">
        <f>AD7291/AC7287</f>
        <v>29.999999999999996</v>
      </c>
      <c r="AC7291" s="93">
        <f>AC7287/AA7291</f>
        <v>11.769762000000018</v>
      </c>
      <c r="AD7291" s="94">
        <f>AC7291*Z7291</f>
        <v>2942.4405000000042</v>
      </c>
      <c r="AE7291" s="190"/>
      <c r="AF7291" s="191"/>
      <c r="AG7291" s="191"/>
      <c r="AH7291" s="191"/>
      <c r="AI7291" s="186"/>
      <c r="AK7291" s="171"/>
    </row>
    <row r="7292" spans="1:41" s="102" customFormat="1" ht="19.899999999999999" customHeight="1" x14ac:dyDescent="0.25">
      <c r="A7292" s="45"/>
      <c r="B7292" s="59"/>
      <c r="C7292" s="137"/>
      <c r="D7292" s="59"/>
      <c r="E7292" s="116"/>
      <c r="F7292" s="120"/>
      <c r="G7292" s="120"/>
      <c r="H7292" s="120"/>
      <c r="I7292" s="60"/>
      <c r="J7292" s="116"/>
      <c r="K7292" s="213"/>
      <c r="L7292" s="120"/>
      <c r="M7292" s="120"/>
      <c r="N7292" s="167"/>
      <c r="O7292" s="120"/>
      <c r="P7292" s="120"/>
      <c r="Q7292" s="120"/>
      <c r="R7292" s="120"/>
      <c r="S7292" s="120"/>
      <c r="T7292" s="221"/>
      <c r="U7292" s="89"/>
      <c r="V7292" s="61"/>
      <c r="W7292" s="92" t="s">
        <v>1035</v>
      </c>
      <c r="X7292" s="93" t="s">
        <v>32</v>
      </c>
      <c r="Y7292" s="93" t="s">
        <v>66</v>
      </c>
      <c r="Z7292" s="134">
        <f>VLOOKUP(W7292,Sheet2!$B:$D,3,FALSE)</f>
        <v>150</v>
      </c>
      <c r="AA7292" s="93">
        <f>AA7291</f>
        <v>8.3333333333333339</v>
      </c>
      <c r="AB7292" s="93">
        <f>AD7292/AC7287</f>
        <v>17.999999999999996</v>
      </c>
      <c r="AC7292" s="93">
        <f>AC7287/AA7292</f>
        <v>11.769762000000018</v>
      </c>
      <c r="AD7292" s="94">
        <f t="shared" ref="AD7292:AD7293" si="5160">AC7292*Z7292</f>
        <v>1765.4643000000026</v>
      </c>
      <c r="AE7292" s="190"/>
      <c r="AF7292" s="191"/>
      <c r="AG7292" s="191"/>
      <c r="AH7292" s="191"/>
      <c r="AI7292" s="186"/>
      <c r="AK7292" s="171"/>
    </row>
    <row r="7293" spans="1:41" s="102" customFormat="1" ht="19.899999999999999" customHeight="1" x14ac:dyDescent="0.25">
      <c r="A7293" s="45"/>
      <c r="B7293" s="59"/>
      <c r="C7293" s="137"/>
      <c r="D7293" s="59"/>
      <c r="E7293" s="116"/>
      <c r="F7293" s="120"/>
      <c r="G7293" s="120"/>
      <c r="H7293" s="120"/>
      <c r="I7293" s="60"/>
      <c r="J7293" s="116"/>
      <c r="K7293" s="213"/>
      <c r="L7293" s="120"/>
      <c r="M7293" s="120"/>
      <c r="N7293" s="167"/>
      <c r="O7293" s="120"/>
      <c r="P7293" s="120"/>
      <c r="Q7293" s="120"/>
      <c r="R7293" s="120"/>
      <c r="S7293" s="120"/>
      <c r="T7293" s="221"/>
      <c r="U7293" s="89"/>
      <c r="V7293" s="61"/>
      <c r="W7293" s="92" t="s">
        <v>1037</v>
      </c>
      <c r="X7293" s="93" t="s">
        <v>30</v>
      </c>
      <c r="Y7293" s="93" t="s">
        <v>1038</v>
      </c>
      <c r="Z7293" s="134">
        <f>VLOOKUP(W7293,Sheet2!$B:$D,3,FALSE)</f>
        <v>175</v>
      </c>
      <c r="AA7293" s="93">
        <v>300</v>
      </c>
      <c r="AB7293" s="93">
        <f>AD7293/AC7287</f>
        <v>0.58333333333333337</v>
      </c>
      <c r="AC7293" s="93">
        <f>AC7287/AA7293</f>
        <v>0.32693783333333387</v>
      </c>
      <c r="AD7293" s="94">
        <f t="shared" si="5160"/>
        <v>57.214120833333425</v>
      </c>
      <c r="AE7293" s="190"/>
      <c r="AF7293" s="191"/>
      <c r="AG7293" s="191"/>
      <c r="AH7293" s="191"/>
      <c r="AI7293" s="186"/>
      <c r="AK7293" s="171"/>
    </row>
    <row r="7294" spans="1:41" s="103" customFormat="1" ht="19.899999999999999" customHeight="1" x14ac:dyDescent="0.25">
      <c r="A7294" s="51"/>
      <c r="B7294" s="52"/>
      <c r="C7294" s="165"/>
      <c r="D7294" s="52"/>
      <c r="E7294" s="115"/>
      <c r="F7294" s="58"/>
      <c r="G7294" s="58"/>
      <c r="H7294" s="58"/>
      <c r="I7294" s="55"/>
      <c r="J7294" s="113">
        <f>J7276</f>
        <v>98.081350000000157</v>
      </c>
      <c r="K7294" s="212">
        <f>K7276</f>
        <v>98.081350000000157</v>
      </c>
      <c r="L7294" s="58"/>
      <c r="M7294" s="58">
        <f>K7294-L7294</f>
        <v>98.081350000000157</v>
      </c>
      <c r="N7294" s="166"/>
      <c r="O7294" s="58"/>
      <c r="P7294" s="58"/>
      <c r="Q7294" s="58"/>
      <c r="R7294" s="58"/>
      <c r="S7294" s="58"/>
      <c r="T7294" s="220"/>
      <c r="U7294" s="88"/>
      <c r="V7294" s="56"/>
      <c r="W7294" s="57" t="s">
        <v>1040</v>
      </c>
      <c r="X7294" s="53"/>
      <c r="Y7294" s="91" t="s">
        <v>68</v>
      </c>
      <c r="Z7294" s="136">
        <f>AD7294/AC7294</f>
        <v>5</v>
      </c>
      <c r="AA7294" s="58"/>
      <c r="AB7294" s="53">
        <f>AD7294/AC7294</f>
        <v>5</v>
      </c>
      <c r="AC7294" s="53">
        <f>M7294+$AE$10</f>
        <v>98.081350000000157</v>
      </c>
      <c r="AD7294" s="54">
        <f>SUM(AD7295)</f>
        <v>490.40675000000078</v>
      </c>
      <c r="AE7294" s="184">
        <f>SUMIFS($AD$37:$AD$12971,$V$37:$V$12971,$V7294,$X$37:$X$12971,AE$13)</f>
        <v>0</v>
      </c>
      <c r="AF7294" s="185">
        <f>SUMIFS($AD$37:$AD$12971,$V$37:$V$12971,$V7294,$X$37:$X$12971,AF$13)</f>
        <v>0</v>
      </c>
      <c r="AG7294" s="185">
        <f>SUMIFS($AD$37:$AD$12971,$V$37:$V$12971,$V7294,$X$37:$X$12971,AG$13)</f>
        <v>0</v>
      </c>
      <c r="AH7294" s="187">
        <f>SUMIFS($AD$37:$AD$12971,$V$37:$V$12971,$V7294,$X$37:$X$12971,AH$13)</f>
        <v>0</v>
      </c>
      <c r="AI7294" s="161">
        <f t="shared" ref="AI7294" si="5161">SUM(AE7294:AH7294)</f>
        <v>0</v>
      </c>
      <c r="AK7294" s="172"/>
    </row>
    <row r="7295" spans="1:41" s="102" customFormat="1" ht="19.899999999999999" customHeight="1" x14ac:dyDescent="0.25">
      <c r="A7295" s="45"/>
      <c r="B7295" s="59"/>
      <c r="C7295" s="137"/>
      <c r="D7295" s="59"/>
      <c r="E7295" s="116"/>
      <c r="F7295" s="120"/>
      <c r="G7295" s="120"/>
      <c r="H7295" s="120"/>
      <c r="I7295" s="60"/>
      <c r="J7295" s="116"/>
      <c r="K7295" s="213"/>
      <c r="L7295" s="120"/>
      <c r="M7295" s="120"/>
      <c r="N7295" s="167"/>
      <c r="O7295" s="120"/>
      <c r="P7295" s="120"/>
      <c r="Q7295" s="120"/>
      <c r="R7295" s="120"/>
      <c r="S7295" s="120"/>
      <c r="T7295" s="221"/>
      <c r="U7295" s="89"/>
      <c r="V7295" s="61"/>
      <c r="W7295" s="92" t="s">
        <v>1039</v>
      </c>
      <c r="X7295" s="93" t="s">
        <v>32</v>
      </c>
      <c r="Y7295" s="93" t="s">
        <v>68</v>
      </c>
      <c r="Z7295" s="134">
        <f>VLOOKUP(W7295,Sheet2!$B:$D,3,FALSE)</f>
        <v>5</v>
      </c>
      <c r="AA7295" s="93">
        <v>1</v>
      </c>
      <c r="AB7295" s="93">
        <f>AD7295/AC7294</f>
        <v>5</v>
      </c>
      <c r="AC7295" s="93">
        <f>AC7294/AA7295</f>
        <v>98.081350000000157</v>
      </c>
      <c r="AD7295" s="94">
        <f t="shared" ref="AD7295" si="5162">AC7295*Z7295</f>
        <v>490.40675000000078</v>
      </c>
      <c r="AE7295" s="190"/>
      <c r="AF7295" s="191"/>
      <c r="AG7295" s="191"/>
      <c r="AH7295" s="191"/>
      <c r="AI7295" s="186"/>
      <c r="AK7295" s="171"/>
    </row>
    <row r="7296" spans="1:41" ht="20.100000000000001" customHeight="1" x14ac:dyDescent="0.25">
      <c r="A7296" s="277" t="s">
        <v>703</v>
      </c>
      <c r="B7296" s="278"/>
      <c r="C7296" s="64" t="s">
        <v>728</v>
      </c>
      <c r="D7296" s="46" t="s">
        <v>97</v>
      </c>
      <c r="E7296" s="114">
        <v>31.713900000000024</v>
      </c>
      <c r="F7296" s="44">
        <v>831</v>
      </c>
      <c r="G7296" s="44">
        <f t="shared" si="4575"/>
        <v>26354.250900000021</v>
      </c>
      <c r="H7296" s="44">
        <f t="shared" si="4576"/>
        <v>342.79689568627447</v>
      </c>
      <c r="I7296" s="43">
        <f t="shared" si="4577"/>
        <v>10871.426470104949</v>
      </c>
      <c r="J7296" s="112">
        <f t="shared" si="4578"/>
        <v>31.713900000000024</v>
      </c>
      <c r="K7296" s="211">
        <f t="shared" si="4579"/>
        <v>31.713900000000024</v>
      </c>
      <c r="L7296" s="44"/>
      <c r="M7296" s="44">
        <f t="shared" si="4580"/>
        <v>31.713900000000024</v>
      </c>
      <c r="N7296" s="173">
        <f t="shared" si="4581"/>
        <v>1</v>
      </c>
      <c r="O7296" s="44">
        <f t="shared" si="4582"/>
        <v>831</v>
      </c>
      <c r="P7296" s="44">
        <f t="shared" si="4583"/>
        <v>26354.250900000021</v>
      </c>
      <c r="Q7296" s="44">
        <f t="shared" si="4584"/>
        <v>342.79689568627447</v>
      </c>
      <c r="R7296" s="44">
        <f t="shared" si="4585"/>
        <v>10871.426470104949</v>
      </c>
      <c r="S7296" s="123"/>
      <c r="T7296" s="219">
        <f t="shared" si="4586"/>
        <v>10871.426470104949</v>
      </c>
      <c r="U7296" s="87"/>
      <c r="V7296" s="47"/>
      <c r="W7296" s="48"/>
      <c r="X7296" s="48"/>
      <c r="Y7296" s="48"/>
      <c r="Z7296" s="135"/>
      <c r="AA7296" s="49"/>
      <c r="AB7296" s="50">
        <f t="shared" si="4587"/>
        <v>342.79689568627447</v>
      </c>
      <c r="AC7296" s="42">
        <f t="shared" si="4588"/>
        <v>31.713900000000024</v>
      </c>
      <c r="AD7296" s="90">
        <f>AD7297+AD7307+AD7314</f>
        <v>10871.426470104949</v>
      </c>
      <c r="AE7296" s="188">
        <f t="shared" ref="AE7296" si="5163">AE7297+AE7307+AE7314</f>
        <v>0</v>
      </c>
      <c r="AF7296" s="189">
        <f t="shared" ref="AF7296" si="5164">AF7297+AF7307+AF7314</f>
        <v>0</v>
      </c>
      <c r="AG7296" s="189">
        <f t="shared" ref="AG7296" si="5165">AG7297+AG7307+AG7314</f>
        <v>0</v>
      </c>
      <c r="AH7296" s="189">
        <f t="shared" ref="AH7296" si="5166">AH7297+AH7307+AH7314</f>
        <v>0</v>
      </c>
      <c r="AI7296" s="161">
        <f t="shared" ref="AI7296" si="5167">SUM(AE7296:AH7296)</f>
        <v>0</v>
      </c>
      <c r="AK7296" s="169">
        <v>5</v>
      </c>
      <c r="AO7296" s="19" t="s">
        <v>63</v>
      </c>
    </row>
    <row r="7297" spans="1:37" s="103" customFormat="1" ht="19.899999999999999" customHeight="1" x14ac:dyDescent="0.25">
      <c r="A7297" s="51"/>
      <c r="B7297" s="52"/>
      <c r="C7297" s="165"/>
      <c r="D7297" s="52"/>
      <c r="E7297" s="115"/>
      <c r="F7297" s="58"/>
      <c r="G7297" s="58"/>
      <c r="H7297" s="58"/>
      <c r="I7297" s="55"/>
      <c r="J7297" s="113">
        <f>J7296</f>
        <v>31.713900000000024</v>
      </c>
      <c r="K7297" s="212">
        <f>K7296</f>
        <v>31.713900000000024</v>
      </c>
      <c r="L7297" s="58"/>
      <c r="M7297" s="58">
        <f>K7297-L7297</f>
        <v>31.713900000000024</v>
      </c>
      <c r="N7297" s="166"/>
      <c r="O7297" s="58"/>
      <c r="P7297" s="58"/>
      <c r="Q7297" s="58"/>
      <c r="R7297" s="58"/>
      <c r="S7297" s="58"/>
      <c r="T7297" s="220"/>
      <c r="U7297" s="88"/>
      <c r="V7297" s="56"/>
      <c r="W7297" s="57" t="s">
        <v>1098</v>
      </c>
      <c r="X7297" s="53"/>
      <c r="Y7297" s="91" t="s">
        <v>68</v>
      </c>
      <c r="Z7297" s="136">
        <f>AD7297/AC7297</f>
        <v>80.213562352941182</v>
      </c>
      <c r="AA7297" s="58"/>
      <c r="AB7297" s="53">
        <f>AD7297/AC7297</f>
        <v>80.213562352941182</v>
      </c>
      <c r="AC7297" s="53">
        <f>M7297+$AE$10</f>
        <v>31.713900000000024</v>
      </c>
      <c r="AD7297" s="54">
        <f>SUM(AD7298:AD7306)</f>
        <v>2543.8848951049431</v>
      </c>
      <c r="AE7297" s="184">
        <f>SUMIFS($AD$37:$AD$12971,$V$37:$V$12971,$V7297,$X$37:$X$12971,AE$13)</f>
        <v>0</v>
      </c>
      <c r="AF7297" s="185">
        <f>SUMIFS($AD$37:$AD$12971,$V$37:$V$12971,$V7297,$X$37:$X$12971,AF$13)</f>
        <v>0</v>
      </c>
      <c r="AG7297" s="185">
        <f>SUMIFS($AD$37:$AD$12971,$V$37:$V$12971,$V7297,$X$37:$X$12971,AG$13)</f>
        <v>0</v>
      </c>
      <c r="AH7297" s="187">
        <f>SUMIFS($AD$37:$AD$12971,$V$37:$V$12971,$V7297,$X$37:$X$12971,AH$13)</f>
        <v>0</v>
      </c>
      <c r="AI7297" s="161">
        <f t="shared" ref="AI7297" si="5168">SUM(AE7297:AH7297)</f>
        <v>0</v>
      </c>
      <c r="AK7297" s="172"/>
    </row>
    <row r="7298" spans="1:37" s="102" customFormat="1" ht="19.899999999999999" customHeight="1" x14ac:dyDescent="0.25">
      <c r="A7298" s="45"/>
      <c r="B7298" s="59"/>
      <c r="C7298" s="137"/>
      <c r="D7298" s="59"/>
      <c r="E7298" s="116"/>
      <c r="F7298" s="120"/>
      <c r="G7298" s="120"/>
      <c r="H7298" s="120"/>
      <c r="I7298" s="60"/>
      <c r="J7298" s="116"/>
      <c r="K7298" s="213"/>
      <c r="L7298" s="120"/>
      <c r="M7298" s="120"/>
      <c r="N7298" s="167"/>
      <c r="O7298" s="120"/>
      <c r="P7298" s="120"/>
      <c r="Q7298" s="120"/>
      <c r="R7298" s="120"/>
      <c r="S7298" s="120"/>
      <c r="T7298" s="221"/>
      <c r="U7298" s="89"/>
      <c r="V7298" s="61"/>
      <c r="W7298" s="92" t="s">
        <v>129</v>
      </c>
      <c r="X7298" s="93" t="s">
        <v>29</v>
      </c>
      <c r="Y7298" s="93" t="s">
        <v>93</v>
      </c>
      <c r="Z7298" s="134">
        <f>VLOOKUP(W7298,Sheet2!$B:$D,3,FALSE)</f>
        <v>56</v>
      </c>
      <c r="AA7298" s="93">
        <f>100/(1.2*3.5)</f>
        <v>23.80952380952381</v>
      </c>
      <c r="AB7298" s="93">
        <f t="shared" ref="AB7298" si="5169">AD7298/AC7297</f>
        <v>2.3519999999999999</v>
      </c>
      <c r="AC7298" s="93">
        <f>AC7297/AA7298</f>
        <v>1.3319838000000011</v>
      </c>
      <c r="AD7298" s="94">
        <f t="shared" ref="AD7298:AD7299" si="5170">AC7298*Z7298</f>
        <v>74.591092800000055</v>
      </c>
      <c r="AE7298" s="190"/>
      <c r="AF7298" s="191"/>
      <c r="AG7298" s="191"/>
      <c r="AH7298" s="191"/>
      <c r="AI7298" s="186"/>
      <c r="AK7298" s="171"/>
    </row>
    <row r="7299" spans="1:37" s="102" customFormat="1" ht="19.899999999999999" customHeight="1" x14ac:dyDescent="0.25">
      <c r="A7299" s="45"/>
      <c r="B7299" s="59"/>
      <c r="C7299" s="137"/>
      <c r="D7299" s="59"/>
      <c r="E7299" s="116"/>
      <c r="F7299" s="120"/>
      <c r="G7299" s="120"/>
      <c r="H7299" s="120"/>
      <c r="I7299" s="60"/>
      <c r="J7299" s="116"/>
      <c r="K7299" s="213"/>
      <c r="L7299" s="120"/>
      <c r="M7299" s="120"/>
      <c r="N7299" s="167"/>
      <c r="O7299" s="120"/>
      <c r="P7299" s="120"/>
      <c r="Q7299" s="120"/>
      <c r="R7299" s="120"/>
      <c r="S7299" s="120"/>
      <c r="T7299" s="221"/>
      <c r="U7299" s="89"/>
      <c r="V7299" s="61"/>
      <c r="W7299" s="92" t="s">
        <v>65</v>
      </c>
      <c r="X7299" s="93" t="s">
        <v>30</v>
      </c>
      <c r="Y7299" s="93" t="s">
        <v>1011</v>
      </c>
      <c r="Z7299" s="134">
        <f>VLOOKUP(W7299,Sheet2!$B:$D,3,FALSE)</f>
        <v>1.76</v>
      </c>
      <c r="AA7299" s="93">
        <f>AA7298/14</f>
        <v>1.7006802721088436</v>
      </c>
      <c r="AB7299" s="93">
        <f>AD7299/AC7297</f>
        <v>1.03488</v>
      </c>
      <c r="AC7299" s="93">
        <f>AC7297/AA7299</f>
        <v>18.647773200000014</v>
      </c>
      <c r="AD7299" s="94">
        <f t="shared" si="5170"/>
        <v>32.820080832000023</v>
      </c>
      <c r="AE7299" s="190"/>
      <c r="AF7299" s="191"/>
      <c r="AG7299" s="191"/>
      <c r="AH7299" s="191"/>
      <c r="AI7299" s="186"/>
      <c r="AK7299" s="171"/>
    </row>
    <row r="7300" spans="1:37" s="102" customFormat="1" ht="19.899999999999999" customHeight="1" x14ac:dyDescent="0.25">
      <c r="A7300" s="45"/>
      <c r="B7300" s="59"/>
      <c r="C7300" s="137"/>
      <c r="D7300" s="59"/>
      <c r="E7300" s="116"/>
      <c r="F7300" s="120"/>
      <c r="G7300" s="120"/>
      <c r="H7300" s="120"/>
      <c r="I7300" s="60"/>
      <c r="J7300" s="116"/>
      <c r="K7300" s="213"/>
      <c r="L7300" s="120"/>
      <c r="M7300" s="120"/>
      <c r="N7300" s="167"/>
      <c r="O7300" s="120"/>
      <c r="P7300" s="120"/>
      <c r="Q7300" s="120"/>
      <c r="R7300" s="120"/>
      <c r="S7300" s="120"/>
      <c r="T7300" s="221"/>
      <c r="U7300" s="89"/>
      <c r="V7300" s="61"/>
      <c r="W7300" s="92" t="s">
        <v>161</v>
      </c>
      <c r="X7300" s="93" t="s">
        <v>29</v>
      </c>
      <c r="Y7300" s="93" t="s">
        <v>93</v>
      </c>
      <c r="Z7300" s="134">
        <f>VLOOKUP(W7300,Sheet2!$B:$D,3,FALSE)</f>
        <v>48</v>
      </c>
      <c r="AA7300" s="93">
        <f>(16*0.85*1.5)/(1.2*3.5)</f>
        <v>4.8571428571428568</v>
      </c>
      <c r="AB7300" s="93">
        <f>AD7300/AC7297</f>
        <v>9.882352941176471</v>
      </c>
      <c r="AC7300" s="93">
        <f>AC7297/AA7300</f>
        <v>6.5293323529411822</v>
      </c>
      <c r="AD7300" s="94">
        <f>AC7300*Z7300</f>
        <v>313.40795294117675</v>
      </c>
      <c r="AE7300" s="190"/>
      <c r="AF7300" s="191"/>
      <c r="AG7300" s="191"/>
      <c r="AH7300" s="191"/>
      <c r="AI7300" s="186"/>
      <c r="AK7300" s="171"/>
    </row>
    <row r="7301" spans="1:37" s="102" customFormat="1" ht="19.899999999999999" customHeight="1" x14ac:dyDescent="0.25">
      <c r="A7301" s="45"/>
      <c r="B7301" s="59"/>
      <c r="C7301" s="137"/>
      <c r="D7301" s="59"/>
      <c r="E7301" s="116"/>
      <c r="F7301" s="120"/>
      <c r="G7301" s="120"/>
      <c r="H7301" s="120"/>
      <c r="I7301" s="60"/>
      <c r="J7301" s="116"/>
      <c r="K7301" s="213"/>
      <c r="L7301" s="120"/>
      <c r="M7301" s="120"/>
      <c r="N7301" s="167"/>
      <c r="O7301" s="120"/>
      <c r="P7301" s="120"/>
      <c r="Q7301" s="120"/>
      <c r="R7301" s="120"/>
      <c r="S7301" s="120"/>
      <c r="T7301" s="221"/>
      <c r="U7301" s="89"/>
      <c r="V7301" s="61"/>
      <c r="W7301" s="92" t="s">
        <v>65</v>
      </c>
      <c r="X7301" s="93" t="s">
        <v>30</v>
      </c>
      <c r="Y7301" s="93" t="s">
        <v>1011</v>
      </c>
      <c r="Z7301" s="134">
        <f>VLOOKUP(W7301,Sheet2!$B:$D,3,FALSE)</f>
        <v>1.76</v>
      </c>
      <c r="AA7301" s="93">
        <f>AA7300/10</f>
        <v>0.48571428571428565</v>
      </c>
      <c r="AB7301" s="93">
        <f>AD7301/AC7297</f>
        <v>3.6235294117647063</v>
      </c>
      <c r="AC7301" s="93">
        <f>AC7297/AA7301</f>
        <v>65.293323529411822</v>
      </c>
      <c r="AD7301" s="94">
        <f>AC7301*Z7301</f>
        <v>114.91624941176481</v>
      </c>
      <c r="AE7301" s="190"/>
      <c r="AF7301" s="191"/>
      <c r="AG7301" s="191"/>
      <c r="AH7301" s="191"/>
      <c r="AI7301" s="186"/>
      <c r="AK7301" s="171"/>
    </row>
    <row r="7302" spans="1:37" s="102" customFormat="1" ht="19.899999999999999" customHeight="1" x14ac:dyDescent="0.25">
      <c r="A7302" s="45"/>
      <c r="B7302" s="59"/>
      <c r="C7302" s="137"/>
      <c r="D7302" s="59"/>
      <c r="E7302" s="116"/>
      <c r="F7302" s="120"/>
      <c r="G7302" s="120"/>
      <c r="H7302" s="120"/>
      <c r="I7302" s="60"/>
      <c r="J7302" s="116"/>
      <c r="K7302" s="213"/>
      <c r="L7302" s="120"/>
      <c r="M7302" s="120"/>
      <c r="N7302" s="167"/>
      <c r="O7302" s="120"/>
      <c r="P7302" s="120"/>
      <c r="Q7302" s="120"/>
      <c r="R7302" s="120"/>
      <c r="S7302" s="120"/>
      <c r="T7302" s="221"/>
      <c r="U7302" s="89"/>
      <c r="V7302" s="61"/>
      <c r="W7302" s="92" t="s">
        <v>1030</v>
      </c>
      <c r="X7302" s="93" t="s">
        <v>29</v>
      </c>
      <c r="Y7302" s="93" t="s">
        <v>93</v>
      </c>
      <c r="Z7302" s="134">
        <f>VLOOKUP(W7302,Sheet2!$B:$D,3,FALSE)</f>
        <v>23</v>
      </c>
      <c r="AA7302" s="93">
        <v>50</v>
      </c>
      <c r="AB7302" s="93">
        <f>AD7302/AC7297</f>
        <v>0.45999999999999996</v>
      </c>
      <c r="AC7302" s="93">
        <f>AC7297/AA7302</f>
        <v>0.63427800000000045</v>
      </c>
      <c r="AD7302" s="94">
        <f t="shared" ref="AD7302:AD7306" si="5171">AC7302*Z7302</f>
        <v>14.58839400000001</v>
      </c>
      <c r="AE7302" s="190"/>
      <c r="AF7302" s="191"/>
      <c r="AG7302" s="191"/>
      <c r="AH7302" s="191"/>
      <c r="AI7302" s="186"/>
      <c r="AK7302" s="171"/>
    </row>
    <row r="7303" spans="1:37" s="102" customFormat="1" ht="19.899999999999999" customHeight="1" x14ac:dyDescent="0.25">
      <c r="A7303" s="45"/>
      <c r="B7303" s="59"/>
      <c r="C7303" s="137"/>
      <c r="D7303" s="59"/>
      <c r="E7303" s="116"/>
      <c r="F7303" s="120"/>
      <c r="G7303" s="120"/>
      <c r="H7303" s="120"/>
      <c r="I7303" s="60"/>
      <c r="J7303" s="116"/>
      <c r="K7303" s="213"/>
      <c r="L7303" s="120"/>
      <c r="M7303" s="120"/>
      <c r="N7303" s="167"/>
      <c r="O7303" s="120"/>
      <c r="P7303" s="120"/>
      <c r="Q7303" s="120"/>
      <c r="R7303" s="120"/>
      <c r="S7303" s="120"/>
      <c r="T7303" s="221"/>
      <c r="U7303" s="89"/>
      <c r="V7303" s="61"/>
      <c r="W7303" s="92" t="s">
        <v>65</v>
      </c>
      <c r="X7303" s="93" t="s">
        <v>30</v>
      </c>
      <c r="Y7303" s="93" t="s">
        <v>1011</v>
      </c>
      <c r="Z7303" s="134">
        <f>VLOOKUP(W7303,Sheet2!$B:$D,3,FALSE)</f>
        <v>1.76</v>
      </c>
      <c r="AA7303" s="93">
        <f>AA7302/3</f>
        <v>16.666666666666668</v>
      </c>
      <c r="AB7303" s="93">
        <f>AD7303/AC7297</f>
        <v>0.10559999999999999</v>
      </c>
      <c r="AC7303" s="93">
        <f>AC7297/AA7303</f>
        <v>1.9028340000000012</v>
      </c>
      <c r="AD7303" s="94">
        <f t="shared" si="5171"/>
        <v>3.3489878400000022</v>
      </c>
      <c r="AE7303" s="190"/>
      <c r="AF7303" s="191"/>
      <c r="AG7303" s="191"/>
      <c r="AH7303" s="191"/>
      <c r="AI7303" s="186"/>
      <c r="AK7303" s="171"/>
    </row>
    <row r="7304" spans="1:37" s="102" customFormat="1" ht="19.899999999999999" customHeight="1" x14ac:dyDescent="0.25">
      <c r="A7304" s="45"/>
      <c r="B7304" s="59"/>
      <c r="C7304" s="137"/>
      <c r="D7304" s="59"/>
      <c r="E7304" s="116"/>
      <c r="F7304" s="120"/>
      <c r="G7304" s="120"/>
      <c r="H7304" s="120"/>
      <c r="I7304" s="60"/>
      <c r="J7304" s="116"/>
      <c r="K7304" s="213"/>
      <c r="L7304" s="120"/>
      <c r="M7304" s="120"/>
      <c r="N7304" s="167"/>
      <c r="O7304" s="120"/>
      <c r="P7304" s="120"/>
      <c r="Q7304" s="120"/>
      <c r="R7304" s="120"/>
      <c r="S7304" s="120"/>
      <c r="T7304" s="221"/>
      <c r="U7304" s="89"/>
      <c r="V7304" s="61"/>
      <c r="W7304" s="92" t="s">
        <v>148</v>
      </c>
      <c r="X7304" s="93" t="s">
        <v>29</v>
      </c>
      <c r="Y7304" s="93" t="s">
        <v>93</v>
      </c>
      <c r="Z7304" s="134">
        <f>VLOOKUP(W7304,Sheet2!$B:$D,3,FALSE)</f>
        <v>48</v>
      </c>
      <c r="AA7304" s="93">
        <f>AA7298</f>
        <v>23.80952380952381</v>
      </c>
      <c r="AB7304" s="93">
        <f>AD7304/AC7297</f>
        <v>2.016</v>
      </c>
      <c r="AC7304" s="93">
        <f>AC7297/AA7304</f>
        <v>1.3319838000000011</v>
      </c>
      <c r="AD7304" s="94">
        <f t="shared" si="5171"/>
        <v>63.93522240000005</v>
      </c>
      <c r="AE7304" s="190"/>
      <c r="AF7304" s="191"/>
      <c r="AG7304" s="191"/>
      <c r="AH7304" s="191"/>
      <c r="AI7304" s="186"/>
      <c r="AK7304" s="171"/>
    </row>
    <row r="7305" spans="1:37" s="102" customFormat="1" ht="19.899999999999999" customHeight="1" x14ac:dyDescent="0.25">
      <c r="A7305" s="45"/>
      <c r="B7305" s="59"/>
      <c r="C7305" s="137"/>
      <c r="D7305" s="59"/>
      <c r="E7305" s="116"/>
      <c r="F7305" s="120"/>
      <c r="G7305" s="120"/>
      <c r="H7305" s="120"/>
      <c r="I7305" s="60"/>
      <c r="J7305" s="116"/>
      <c r="K7305" s="213"/>
      <c r="L7305" s="120"/>
      <c r="M7305" s="120"/>
      <c r="N7305" s="167"/>
      <c r="O7305" s="120"/>
      <c r="P7305" s="120"/>
      <c r="Q7305" s="120"/>
      <c r="R7305" s="120"/>
      <c r="S7305" s="120"/>
      <c r="T7305" s="221"/>
      <c r="U7305" s="89"/>
      <c r="V7305" s="61"/>
      <c r="W7305" s="92" t="s">
        <v>65</v>
      </c>
      <c r="X7305" s="93" t="s">
        <v>30</v>
      </c>
      <c r="Y7305" s="93" t="s">
        <v>1011</v>
      </c>
      <c r="Z7305" s="134">
        <f>VLOOKUP(W7305,Sheet2!$B:$D,3,FALSE)</f>
        <v>1.76</v>
      </c>
      <c r="AA7305" s="93">
        <f>AA7304/10</f>
        <v>2.3809523809523809</v>
      </c>
      <c r="AB7305" s="93">
        <f>AD7305/AC7297</f>
        <v>0.73919999999999997</v>
      </c>
      <c r="AC7305" s="93">
        <f>AC7297/AA7305</f>
        <v>13.31983800000001</v>
      </c>
      <c r="AD7305" s="94">
        <f t="shared" si="5171"/>
        <v>23.442914880000018</v>
      </c>
      <c r="AE7305" s="190"/>
      <c r="AF7305" s="191"/>
      <c r="AG7305" s="191"/>
      <c r="AH7305" s="191"/>
      <c r="AI7305" s="186"/>
      <c r="AK7305" s="171"/>
    </row>
    <row r="7306" spans="1:37" s="102" customFormat="1" ht="19.899999999999999" customHeight="1" x14ac:dyDescent="0.25">
      <c r="A7306" s="45"/>
      <c r="B7306" s="59"/>
      <c r="C7306" s="137"/>
      <c r="D7306" s="59"/>
      <c r="E7306" s="116"/>
      <c r="F7306" s="120"/>
      <c r="G7306" s="120"/>
      <c r="H7306" s="120"/>
      <c r="I7306" s="60"/>
      <c r="J7306" s="116"/>
      <c r="K7306" s="213"/>
      <c r="L7306" s="120"/>
      <c r="M7306" s="120"/>
      <c r="N7306" s="167"/>
      <c r="O7306" s="120"/>
      <c r="P7306" s="120"/>
      <c r="Q7306" s="120"/>
      <c r="R7306" s="120"/>
      <c r="S7306" s="120"/>
      <c r="T7306" s="221"/>
      <c r="U7306" s="89"/>
      <c r="V7306" s="61"/>
      <c r="W7306" s="92" t="s">
        <v>1049</v>
      </c>
      <c r="X7306" s="93" t="s">
        <v>30</v>
      </c>
      <c r="Y7306" s="93" t="s">
        <v>68</v>
      </c>
      <c r="Z7306" s="134">
        <f>VLOOKUP(W7306,Sheet2!$B:$D,3,FALSE)</f>
        <v>60</v>
      </c>
      <c r="AA7306" s="93">
        <v>1</v>
      </c>
      <c r="AB7306" s="93">
        <f>AD7306/AC7297</f>
        <v>60</v>
      </c>
      <c r="AC7306" s="93">
        <f>AC7297/AA7306</f>
        <v>31.713900000000024</v>
      </c>
      <c r="AD7306" s="94">
        <f t="shared" si="5171"/>
        <v>1902.8340000000014</v>
      </c>
      <c r="AE7306" s="190"/>
      <c r="AF7306" s="191"/>
      <c r="AG7306" s="191"/>
      <c r="AH7306" s="191"/>
      <c r="AI7306" s="186"/>
      <c r="AK7306" s="171"/>
    </row>
    <row r="7307" spans="1:37" s="103" customFormat="1" ht="19.899999999999999" customHeight="1" x14ac:dyDescent="0.25">
      <c r="A7307" s="51"/>
      <c r="B7307" s="52"/>
      <c r="C7307" s="165"/>
      <c r="D7307" s="52"/>
      <c r="E7307" s="115"/>
      <c r="F7307" s="58"/>
      <c r="G7307" s="58"/>
      <c r="H7307" s="58"/>
      <c r="I7307" s="55"/>
      <c r="J7307" s="113">
        <f>J7296</f>
        <v>31.713900000000024</v>
      </c>
      <c r="K7307" s="212">
        <f>K7296</f>
        <v>31.713900000000024</v>
      </c>
      <c r="L7307" s="58"/>
      <c r="M7307" s="58">
        <f>K7307-L7307</f>
        <v>31.713900000000024</v>
      </c>
      <c r="N7307" s="166"/>
      <c r="O7307" s="58"/>
      <c r="P7307" s="58"/>
      <c r="Q7307" s="58"/>
      <c r="R7307" s="58"/>
      <c r="S7307" s="58"/>
      <c r="T7307" s="220"/>
      <c r="U7307" s="88"/>
      <c r="V7307" s="56"/>
      <c r="W7307" s="57" t="s">
        <v>1036</v>
      </c>
      <c r="X7307" s="53"/>
      <c r="Y7307" s="91" t="s">
        <v>68</v>
      </c>
      <c r="Z7307" s="136">
        <f>AD7307/AC7307</f>
        <v>257.58333333333331</v>
      </c>
      <c r="AA7307" s="58"/>
      <c r="AB7307" s="53">
        <f>AD7307/AC7307</f>
        <v>257.58333333333331</v>
      </c>
      <c r="AC7307" s="53">
        <f>M7307+$AE$10</f>
        <v>31.713900000000024</v>
      </c>
      <c r="AD7307" s="54">
        <f>SUM(AD7308:AD7313)</f>
        <v>8168.972075000006</v>
      </c>
      <c r="AE7307" s="184">
        <f>SUMIFS($AD$37:$AD$12971,$V$37:$V$12971,$V7307,$X$37:$X$12971,AE$13)</f>
        <v>0</v>
      </c>
      <c r="AF7307" s="185">
        <f>SUMIFS($AD$37:$AD$12971,$V$37:$V$12971,$V7307,$X$37:$X$12971,AF$13)</f>
        <v>0</v>
      </c>
      <c r="AG7307" s="185">
        <f>SUMIFS($AD$37:$AD$12971,$V$37:$V$12971,$V7307,$X$37:$X$12971,AG$13)</f>
        <v>0</v>
      </c>
      <c r="AH7307" s="187">
        <f>SUMIFS($AD$37:$AD$12971,$V$37:$V$12971,$V7307,$X$37:$X$12971,AH$13)</f>
        <v>0</v>
      </c>
      <c r="AI7307" s="161">
        <f t="shared" ref="AI7307" si="5172">SUM(AE7307:AH7307)</f>
        <v>0</v>
      </c>
      <c r="AK7307" s="172"/>
    </row>
    <row r="7308" spans="1:37" s="102" customFormat="1" ht="19.899999999999999" customHeight="1" x14ac:dyDescent="0.25">
      <c r="A7308" s="45"/>
      <c r="B7308" s="59"/>
      <c r="C7308" s="137"/>
      <c r="D7308" s="59"/>
      <c r="E7308" s="116"/>
      <c r="F7308" s="120"/>
      <c r="G7308" s="120"/>
      <c r="H7308" s="120"/>
      <c r="I7308" s="60"/>
      <c r="J7308" s="116"/>
      <c r="K7308" s="213"/>
      <c r="L7308" s="120"/>
      <c r="M7308" s="120"/>
      <c r="N7308" s="167"/>
      <c r="O7308" s="120"/>
      <c r="P7308" s="120"/>
      <c r="Q7308" s="120"/>
      <c r="R7308" s="120"/>
      <c r="S7308" s="120"/>
      <c r="T7308" s="221"/>
      <c r="U7308" s="89"/>
      <c r="V7308" s="61"/>
      <c r="W7308" s="92" t="s">
        <v>1055</v>
      </c>
      <c r="X7308" s="93" t="s">
        <v>30</v>
      </c>
      <c r="Y7308" s="93" t="s">
        <v>68</v>
      </c>
      <c r="Z7308" s="134">
        <f>VLOOKUP(W7308,Sheet2!$B:$D,3,FALSE)</f>
        <v>144</v>
      </c>
      <c r="AA7308" s="93">
        <v>1</v>
      </c>
      <c r="AB7308" s="93">
        <f>AD7308/AC7307</f>
        <v>144</v>
      </c>
      <c r="AC7308" s="93">
        <f>AC7307/AA7308</f>
        <v>31.713900000000024</v>
      </c>
      <c r="AD7308" s="94">
        <f t="shared" ref="AD7308" si="5173">AC7308*Z7308</f>
        <v>4566.8016000000034</v>
      </c>
      <c r="AE7308" s="190"/>
      <c r="AF7308" s="191"/>
      <c r="AG7308" s="191"/>
      <c r="AH7308" s="191"/>
      <c r="AI7308" s="186"/>
      <c r="AK7308" s="171"/>
    </row>
    <row r="7309" spans="1:37" s="102" customFormat="1" ht="19.899999999999999" customHeight="1" x14ac:dyDescent="0.25">
      <c r="A7309" s="45"/>
      <c r="B7309" s="59"/>
      <c r="C7309" s="137"/>
      <c r="D7309" s="59"/>
      <c r="E7309" s="116"/>
      <c r="F7309" s="120"/>
      <c r="G7309" s="120"/>
      <c r="H7309" s="120"/>
      <c r="I7309" s="60"/>
      <c r="J7309" s="116"/>
      <c r="K7309" s="213"/>
      <c r="L7309" s="120"/>
      <c r="M7309" s="120"/>
      <c r="N7309" s="167"/>
      <c r="O7309" s="120"/>
      <c r="P7309" s="120"/>
      <c r="Q7309" s="120"/>
      <c r="R7309" s="120"/>
      <c r="S7309" s="120"/>
      <c r="T7309" s="221"/>
      <c r="U7309" s="89"/>
      <c r="V7309" s="61"/>
      <c r="W7309" s="92" t="s">
        <v>1062</v>
      </c>
      <c r="X7309" s="93" t="s">
        <v>30</v>
      </c>
      <c r="Y7309" s="93" t="s">
        <v>68</v>
      </c>
      <c r="Z7309" s="134">
        <f>VLOOKUP(W7309,Sheet2!$B:$D,3,FALSE)</f>
        <v>15</v>
      </c>
      <c r="AA7309" s="93">
        <v>1</v>
      </c>
      <c r="AB7309" s="93">
        <f>AD7309/AC7307</f>
        <v>15</v>
      </c>
      <c r="AC7309" s="93">
        <f>AC7307/AA7309</f>
        <v>31.713900000000024</v>
      </c>
      <c r="AD7309" s="94">
        <f>AC7309*Z7309</f>
        <v>475.70850000000036</v>
      </c>
      <c r="AE7309" s="190"/>
      <c r="AF7309" s="191"/>
      <c r="AG7309" s="191"/>
      <c r="AH7309" s="191"/>
      <c r="AI7309" s="186"/>
      <c r="AK7309" s="171"/>
    </row>
    <row r="7310" spans="1:37" s="102" customFormat="1" ht="19.899999999999999" customHeight="1" x14ac:dyDescent="0.25">
      <c r="A7310" s="45"/>
      <c r="B7310" s="59"/>
      <c r="C7310" s="137"/>
      <c r="D7310" s="59"/>
      <c r="E7310" s="116"/>
      <c r="F7310" s="120"/>
      <c r="G7310" s="120"/>
      <c r="H7310" s="120"/>
      <c r="I7310" s="60"/>
      <c r="J7310" s="116"/>
      <c r="K7310" s="213"/>
      <c r="L7310" s="120"/>
      <c r="M7310" s="120"/>
      <c r="N7310" s="167"/>
      <c r="O7310" s="120"/>
      <c r="P7310" s="120"/>
      <c r="Q7310" s="120"/>
      <c r="R7310" s="120"/>
      <c r="S7310" s="120"/>
      <c r="T7310" s="221"/>
      <c r="U7310" s="89"/>
      <c r="V7310" s="61"/>
      <c r="W7310" s="92" t="s">
        <v>1070</v>
      </c>
      <c r="X7310" s="93" t="s">
        <v>32</v>
      </c>
      <c r="Y7310" s="93" t="s">
        <v>68</v>
      </c>
      <c r="Z7310" s="134">
        <f>VLOOKUP(W7310,Sheet2!$B:$D,3,FALSE)</f>
        <v>50</v>
      </c>
      <c r="AA7310" s="93">
        <v>1</v>
      </c>
      <c r="AB7310" s="93">
        <f>AD7310/AC7307</f>
        <v>49.999999999999993</v>
      </c>
      <c r="AC7310" s="93">
        <f>AC7307/AA7310</f>
        <v>31.713900000000024</v>
      </c>
      <c r="AD7310" s="94">
        <f>AC7310*Z7310</f>
        <v>1585.6950000000011</v>
      </c>
      <c r="AE7310" s="190"/>
      <c r="AF7310" s="191"/>
      <c r="AG7310" s="191"/>
      <c r="AH7310" s="191"/>
      <c r="AI7310" s="186"/>
      <c r="AK7310" s="171"/>
    </row>
    <row r="7311" spans="1:37" s="102" customFormat="1" ht="19.899999999999999" customHeight="1" x14ac:dyDescent="0.25">
      <c r="A7311" s="45"/>
      <c r="B7311" s="59"/>
      <c r="C7311" s="137"/>
      <c r="D7311" s="59"/>
      <c r="E7311" s="116"/>
      <c r="F7311" s="120"/>
      <c r="G7311" s="120"/>
      <c r="H7311" s="120"/>
      <c r="I7311" s="60"/>
      <c r="J7311" s="116"/>
      <c r="K7311" s="213"/>
      <c r="L7311" s="120"/>
      <c r="M7311" s="120"/>
      <c r="N7311" s="167"/>
      <c r="O7311" s="120"/>
      <c r="P7311" s="120"/>
      <c r="Q7311" s="120"/>
      <c r="R7311" s="120"/>
      <c r="S7311" s="120"/>
      <c r="T7311" s="221"/>
      <c r="U7311" s="89"/>
      <c r="V7311" s="61"/>
      <c r="W7311" s="92" t="s">
        <v>1032</v>
      </c>
      <c r="X7311" s="93" t="s">
        <v>30</v>
      </c>
      <c r="Y7311" s="93" t="s">
        <v>66</v>
      </c>
      <c r="Z7311" s="134">
        <f>VLOOKUP(W7311,Sheet2!$B:$D,3,FALSE)</f>
        <v>250</v>
      </c>
      <c r="AA7311" s="93">
        <f>1/(1.2*0.1)</f>
        <v>8.3333333333333339</v>
      </c>
      <c r="AB7311" s="93">
        <f>AD7311/AC7307</f>
        <v>29.999999999999996</v>
      </c>
      <c r="AC7311" s="93">
        <f>AC7307/AA7311</f>
        <v>3.8056680000000025</v>
      </c>
      <c r="AD7311" s="94">
        <f>AC7311*Z7311</f>
        <v>951.4170000000006</v>
      </c>
      <c r="AE7311" s="190"/>
      <c r="AF7311" s="191"/>
      <c r="AG7311" s="191"/>
      <c r="AH7311" s="191"/>
      <c r="AI7311" s="186"/>
      <c r="AK7311" s="171"/>
    </row>
    <row r="7312" spans="1:37" s="102" customFormat="1" ht="19.899999999999999" customHeight="1" x14ac:dyDescent="0.25">
      <c r="A7312" s="45"/>
      <c r="B7312" s="59"/>
      <c r="C7312" s="137"/>
      <c r="D7312" s="59"/>
      <c r="E7312" s="116"/>
      <c r="F7312" s="120"/>
      <c r="G7312" s="120"/>
      <c r="H7312" s="120"/>
      <c r="I7312" s="60"/>
      <c r="J7312" s="116"/>
      <c r="K7312" s="213"/>
      <c r="L7312" s="120"/>
      <c r="M7312" s="120"/>
      <c r="N7312" s="167"/>
      <c r="O7312" s="120"/>
      <c r="P7312" s="120"/>
      <c r="Q7312" s="120"/>
      <c r="R7312" s="120"/>
      <c r="S7312" s="120"/>
      <c r="T7312" s="221"/>
      <c r="U7312" s="89"/>
      <c r="V7312" s="61"/>
      <c r="W7312" s="92" t="s">
        <v>1035</v>
      </c>
      <c r="X7312" s="93" t="s">
        <v>32</v>
      </c>
      <c r="Y7312" s="93" t="s">
        <v>66</v>
      </c>
      <c r="Z7312" s="134">
        <f>VLOOKUP(W7312,Sheet2!$B:$D,3,FALSE)</f>
        <v>150</v>
      </c>
      <c r="AA7312" s="93">
        <f>AA7311</f>
        <v>8.3333333333333339</v>
      </c>
      <c r="AB7312" s="93">
        <f>AD7312/AC7307</f>
        <v>18</v>
      </c>
      <c r="AC7312" s="93">
        <f>AC7307/AA7312</f>
        <v>3.8056680000000025</v>
      </c>
      <c r="AD7312" s="94">
        <f t="shared" ref="AD7312:AD7313" si="5174">AC7312*Z7312</f>
        <v>570.85020000000043</v>
      </c>
      <c r="AE7312" s="190"/>
      <c r="AF7312" s="191"/>
      <c r="AG7312" s="191"/>
      <c r="AH7312" s="191"/>
      <c r="AI7312" s="186"/>
      <c r="AK7312" s="171"/>
    </row>
    <row r="7313" spans="1:41" s="102" customFormat="1" ht="19.899999999999999" customHeight="1" x14ac:dyDescent="0.25">
      <c r="A7313" s="45"/>
      <c r="B7313" s="59"/>
      <c r="C7313" s="137"/>
      <c r="D7313" s="59"/>
      <c r="E7313" s="116"/>
      <c r="F7313" s="120"/>
      <c r="G7313" s="120"/>
      <c r="H7313" s="120"/>
      <c r="I7313" s="60"/>
      <c r="J7313" s="116"/>
      <c r="K7313" s="213"/>
      <c r="L7313" s="120"/>
      <c r="M7313" s="120"/>
      <c r="N7313" s="167"/>
      <c r="O7313" s="120"/>
      <c r="P7313" s="120"/>
      <c r="Q7313" s="120"/>
      <c r="R7313" s="120"/>
      <c r="S7313" s="120"/>
      <c r="T7313" s="221"/>
      <c r="U7313" s="89"/>
      <c r="V7313" s="61"/>
      <c r="W7313" s="92" t="s">
        <v>1037</v>
      </c>
      <c r="X7313" s="93" t="s">
        <v>30</v>
      </c>
      <c r="Y7313" s="93" t="s">
        <v>1038</v>
      </c>
      <c r="Z7313" s="134">
        <f>VLOOKUP(W7313,Sheet2!$B:$D,3,FALSE)</f>
        <v>175</v>
      </c>
      <c r="AA7313" s="93">
        <v>300</v>
      </c>
      <c r="AB7313" s="93">
        <f>AD7313/AC7307</f>
        <v>0.58333333333333337</v>
      </c>
      <c r="AC7313" s="93">
        <f>AC7307/AA7313</f>
        <v>0.10571300000000008</v>
      </c>
      <c r="AD7313" s="94">
        <f t="shared" si="5174"/>
        <v>18.499775000000014</v>
      </c>
      <c r="AE7313" s="190"/>
      <c r="AF7313" s="191"/>
      <c r="AG7313" s="191"/>
      <c r="AH7313" s="191"/>
      <c r="AI7313" s="186"/>
      <c r="AK7313" s="171"/>
    </row>
    <row r="7314" spans="1:41" s="103" customFormat="1" ht="19.899999999999999" customHeight="1" x14ac:dyDescent="0.25">
      <c r="A7314" s="51"/>
      <c r="B7314" s="52"/>
      <c r="C7314" s="165"/>
      <c r="D7314" s="52"/>
      <c r="E7314" s="115"/>
      <c r="F7314" s="58"/>
      <c r="G7314" s="58"/>
      <c r="H7314" s="58"/>
      <c r="I7314" s="55"/>
      <c r="J7314" s="113">
        <f>J7296</f>
        <v>31.713900000000024</v>
      </c>
      <c r="K7314" s="212">
        <f>K7296</f>
        <v>31.713900000000024</v>
      </c>
      <c r="L7314" s="58"/>
      <c r="M7314" s="58">
        <f>K7314-L7314</f>
        <v>31.713900000000024</v>
      </c>
      <c r="N7314" s="166"/>
      <c r="O7314" s="58"/>
      <c r="P7314" s="58"/>
      <c r="Q7314" s="58"/>
      <c r="R7314" s="58"/>
      <c r="S7314" s="58"/>
      <c r="T7314" s="220"/>
      <c r="U7314" s="88"/>
      <c r="V7314" s="56"/>
      <c r="W7314" s="57" t="s">
        <v>1040</v>
      </c>
      <c r="X7314" s="53"/>
      <c r="Y7314" s="91" t="s">
        <v>68</v>
      </c>
      <c r="Z7314" s="136">
        <f>AD7314/AC7314</f>
        <v>5</v>
      </c>
      <c r="AA7314" s="58"/>
      <c r="AB7314" s="53">
        <f>AD7314/AC7314</f>
        <v>5</v>
      </c>
      <c r="AC7314" s="53">
        <f>M7314+$AE$10</f>
        <v>31.713900000000024</v>
      </c>
      <c r="AD7314" s="54">
        <f>SUM(AD7315)</f>
        <v>158.56950000000012</v>
      </c>
      <c r="AE7314" s="184">
        <f>SUMIFS($AD$37:$AD$12971,$V$37:$V$12971,$V7314,$X$37:$X$12971,AE$13)</f>
        <v>0</v>
      </c>
      <c r="AF7314" s="185">
        <f>SUMIFS($AD$37:$AD$12971,$V$37:$V$12971,$V7314,$X$37:$X$12971,AF$13)</f>
        <v>0</v>
      </c>
      <c r="AG7314" s="185">
        <f>SUMIFS($AD$37:$AD$12971,$V$37:$V$12971,$V7314,$X$37:$X$12971,AG$13)</f>
        <v>0</v>
      </c>
      <c r="AH7314" s="187">
        <f>SUMIFS($AD$37:$AD$12971,$V$37:$V$12971,$V7314,$X$37:$X$12971,AH$13)</f>
        <v>0</v>
      </c>
      <c r="AI7314" s="161">
        <f t="shared" ref="AI7314" si="5175">SUM(AE7314:AH7314)</f>
        <v>0</v>
      </c>
      <c r="AK7314" s="172"/>
    </row>
    <row r="7315" spans="1:41" s="102" customFormat="1" ht="19.899999999999999" customHeight="1" x14ac:dyDescent="0.25">
      <c r="A7315" s="45"/>
      <c r="B7315" s="59"/>
      <c r="C7315" s="137"/>
      <c r="D7315" s="59"/>
      <c r="E7315" s="116"/>
      <c r="F7315" s="120"/>
      <c r="G7315" s="120"/>
      <c r="H7315" s="120"/>
      <c r="I7315" s="60"/>
      <c r="J7315" s="116"/>
      <c r="K7315" s="213"/>
      <c r="L7315" s="120"/>
      <c r="M7315" s="120"/>
      <c r="N7315" s="167"/>
      <c r="O7315" s="120"/>
      <c r="P7315" s="120"/>
      <c r="Q7315" s="120"/>
      <c r="R7315" s="120"/>
      <c r="S7315" s="120"/>
      <c r="T7315" s="221"/>
      <c r="U7315" s="89"/>
      <c r="V7315" s="61"/>
      <c r="W7315" s="92" t="s">
        <v>1039</v>
      </c>
      <c r="X7315" s="93" t="s">
        <v>32</v>
      </c>
      <c r="Y7315" s="93" t="s">
        <v>68</v>
      </c>
      <c r="Z7315" s="134">
        <f>VLOOKUP(W7315,Sheet2!$B:$D,3,FALSE)</f>
        <v>5</v>
      </c>
      <c r="AA7315" s="93">
        <v>1</v>
      </c>
      <c r="AB7315" s="93">
        <f>AD7315/AC7314</f>
        <v>5</v>
      </c>
      <c r="AC7315" s="93">
        <f>AC7314/AA7315</f>
        <v>31.713900000000024</v>
      </c>
      <c r="AD7315" s="94">
        <f t="shared" ref="AD7315" si="5176">AC7315*Z7315</f>
        <v>158.56950000000012</v>
      </c>
      <c r="AE7315" s="190"/>
      <c r="AF7315" s="191"/>
      <c r="AG7315" s="191"/>
      <c r="AH7315" s="191"/>
      <c r="AI7315" s="186"/>
      <c r="AK7315" s="171"/>
    </row>
    <row r="7316" spans="1:41" ht="20.100000000000001" customHeight="1" x14ac:dyDescent="0.25">
      <c r="A7316" s="277" t="s">
        <v>703</v>
      </c>
      <c r="B7316" s="278"/>
      <c r="C7316" s="64" t="s">
        <v>729</v>
      </c>
      <c r="D7316" s="46" t="s">
        <v>97</v>
      </c>
      <c r="E7316" s="114">
        <v>20.59050000000002</v>
      </c>
      <c r="F7316" s="44">
        <v>856</v>
      </c>
      <c r="G7316" s="44">
        <f t="shared" si="4575"/>
        <v>17625.468000000015</v>
      </c>
      <c r="H7316" s="44">
        <f t="shared" si="4576"/>
        <v>345.60374745098045</v>
      </c>
      <c r="I7316" s="43">
        <f t="shared" si="4577"/>
        <v>7116.1539618894203</v>
      </c>
      <c r="J7316" s="112">
        <f t="shared" si="4578"/>
        <v>20.59050000000002</v>
      </c>
      <c r="K7316" s="211">
        <f t="shared" si="4579"/>
        <v>20.59050000000002</v>
      </c>
      <c r="L7316" s="44"/>
      <c r="M7316" s="44">
        <f t="shared" si="4580"/>
        <v>20.59050000000002</v>
      </c>
      <c r="N7316" s="173">
        <f t="shared" si="4581"/>
        <v>1</v>
      </c>
      <c r="O7316" s="44">
        <f t="shared" si="4582"/>
        <v>856</v>
      </c>
      <c r="P7316" s="44">
        <f t="shared" si="4583"/>
        <v>17625.468000000015</v>
      </c>
      <c r="Q7316" s="44">
        <f t="shared" si="4584"/>
        <v>345.60374745098045</v>
      </c>
      <c r="R7316" s="44">
        <f t="shared" si="4585"/>
        <v>7116.1539618894203</v>
      </c>
      <c r="S7316" s="123"/>
      <c r="T7316" s="219">
        <f t="shared" si="4586"/>
        <v>7116.1539618894203</v>
      </c>
      <c r="U7316" s="87"/>
      <c r="V7316" s="47"/>
      <c r="W7316" s="48"/>
      <c r="X7316" s="48"/>
      <c r="Y7316" s="48"/>
      <c r="Z7316" s="135"/>
      <c r="AA7316" s="49"/>
      <c r="AB7316" s="50">
        <f t="shared" si="4587"/>
        <v>345.60374745098045</v>
      </c>
      <c r="AC7316" s="42">
        <f t="shared" si="4588"/>
        <v>20.59050000000002</v>
      </c>
      <c r="AD7316" s="90">
        <f>AD7317+AD7327+AD7334</f>
        <v>7116.1539618894194</v>
      </c>
      <c r="AE7316" s="188">
        <f t="shared" ref="AE7316:AH7316" si="5177">AE7317+AE7327+AE7334</f>
        <v>0</v>
      </c>
      <c r="AF7316" s="189">
        <f t="shared" si="5177"/>
        <v>0</v>
      </c>
      <c r="AG7316" s="189">
        <f t="shared" si="5177"/>
        <v>0</v>
      </c>
      <c r="AH7316" s="189">
        <f t="shared" si="5177"/>
        <v>0</v>
      </c>
      <c r="AI7316" s="161">
        <f t="shared" ref="AI7316" si="5178">SUM(AE7316:AH7316)</f>
        <v>0</v>
      </c>
      <c r="AK7316" s="169">
        <v>5</v>
      </c>
      <c r="AO7316" s="19" t="s">
        <v>63</v>
      </c>
    </row>
    <row r="7317" spans="1:41" s="103" customFormat="1" ht="19.899999999999999" customHeight="1" x14ac:dyDescent="0.25">
      <c r="A7317" s="51"/>
      <c r="B7317" s="52"/>
      <c r="C7317" s="165"/>
      <c r="D7317" s="52"/>
      <c r="E7317" s="115"/>
      <c r="F7317" s="58"/>
      <c r="G7317" s="58"/>
      <c r="H7317" s="58"/>
      <c r="I7317" s="55"/>
      <c r="J7317" s="113">
        <f>J7316</f>
        <v>20.59050000000002</v>
      </c>
      <c r="K7317" s="212">
        <f>K7316</f>
        <v>20.59050000000002</v>
      </c>
      <c r="L7317" s="58"/>
      <c r="M7317" s="58">
        <f>K7317-L7317</f>
        <v>20.59050000000002</v>
      </c>
      <c r="N7317" s="166"/>
      <c r="O7317" s="58"/>
      <c r="P7317" s="58"/>
      <c r="Q7317" s="58"/>
      <c r="R7317" s="58"/>
      <c r="S7317" s="58"/>
      <c r="T7317" s="220"/>
      <c r="U7317" s="88"/>
      <c r="V7317" s="56"/>
      <c r="W7317" s="57" t="s">
        <v>1097</v>
      </c>
      <c r="X7317" s="53"/>
      <c r="Y7317" s="91" t="s">
        <v>68</v>
      </c>
      <c r="Z7317" s="136">
        <f>AD7317/AC7317</f>
        <v>83.020414117647064</v>
      </c>
      <c r="AA7317" s="58"/>
      <c r="AB7317" s="53">
        <f>AD7317/AC7317</f>
        <v>83.020414117647064</v>
      </c>
      <c r="AC7317" s="53">
        <f>M7317+$AE$10</f>
        <v>20.59050000000002</v>
      </c>
      <c r="AD7317" s="54">
        <f>SUM(AD7318:AD7326)</f>
        <v>1709.4318368894135</v>
      </c>
      <c r="AE7317" s="184">
        <f>SUMIFS($AD$37:$AD$12971,$V$37:$V$12971,$V7317,$X$37:$X$12971,AE$13)</f>
        <v>0</v>
      </c>
      <c r="AF7317" s="185">
        <f>SUMIFS($AD$37:$AD$12971,$V$37:$V$12971,$V7317,$X$37:$X$12971,AF$13)</f>
        <v>0</v>
      </c>
      <c r="AG7317" s="185">
        <f>SUMIFS($AD$37:$AD$12971,$V$37:$V$12971,$V7317,$X$37:$X$12971,AG$13)</f>
        <v>0</v>
      </c>
      <c r="AH7317" s="187">
        <f>SUMIFS($AD$37:$AD$12971,$V$37:$V$12971,$V7317,$X$37:$X$12971,AH$13)</f>
        <v>0</v>
      </c>
      <c r="AI7317" s="161">
        <f t="shared" ref="AI7317" si="5179">SUM(AE7317:AH7317)</f>
        <v>0</v>
      </c>
      <c r="AK7317" s="172"/>
    </row>
    <row r="7318" spans="1:41" s="102" customFormat="1" ht="19.899999999999999" customHeight="1" x14ac:dyDescent="0.25">
      <c r="A7318" s="45"/>
      <c r="B7318" s="59"/>
      <c r="C7318" s="137"/>
      <c r="D7318" s="59"/>
      <c r="E7318" s="116"/>
      <c r="F7318" s="120"/>
      <c r="G7318" s="120"/>
      <c r="H7318" s="120"/>
      <c r="I7318" s="60"/>
      <c r="J7318" s="116"/>
      <c r="K7318" s="213"/>
      <c r="L7318" s="120"/>
      <c r="M7318" s="120"/>
      <c r="N7318" s="167"/>
      <c r="O7318" s="120"/>
      <c r="P7318" s="120"/>
      <c r="Q7318" s="120"/>
      <c r="R7318" s="120"/>
      <c r="S7318" s="120"/>
      <c r="T7318" s="221"/>
      <c r="U7318" s="89"/>
      <c r="V7318" s="61"/>
      <c r="W7318" s="92" t="s">
        <v>129</v>
      </c>
      <c r="X7318" s="93" t="s">
        <v>29</v>
      </c>
      <c r="Y7318" s="93" t="s">
        <v>93</v>
      </c>
      <c r="Z7318" s="134">
        <f>VLOOKUP(W7318,Sheet2!$B:$D,3,FALSE)</f>
        <v>56</v>
      </c>
      <c r="AA7318" s="93">
        <f>100/(1.2*4)</f>
        <v>20.833333333333336</v>
      </c>
      <c r="AB7318" s="93">
        <f t="shared" ref="AB7318" si="5180">AD7318/AC7317</f>
        <v>2.6879999999999997</v>
      </c>
      <c r="AC7318" s="93">
        <f>AC7317/AA7318</f>
        <v>0.98834400000000089</v>
      </c>
      <c r="AD7318" s="94">
        <f t="shared" ref="AD7318:AD7319" si="5181">AC7318*Z7318</f>
        <v>55.347264000000052</v>
      </c>
      <c r="AE7318" s="190"/>
      <c r="AF7318" s="191"/>
      <c r="AG7318" s="191"/>
      <c r="AH7318" s="191"/>
      <c r="AI7318" s="186"/>
      <c r="AK7318" s="171"/>
    </row>
    <row r="7319" spans="1:41" s="102" customFormat="1" ht="19.899999999999999" customHeight="1" x14ac:dyDescent="0.25">
      <c r="A7319" s="45"/>
      <c r="B7319" s="59"/>
      <c r="C7319" s="137"/>
      <c r="D7319" s="59"/>
      <c r="E7319" s="116"/>
      <c r="F7319" s="120"/>
      <c r="G7319" s="120"/>
      <c r="H7319" s="120"/>
      <c r="I7319" s="60"/>
      <c r="J7319" s="116"/>
      <c r="K7319" s="213"/>
      <c r="L7319" s="120"/>
      <c r="M7319" s="120"/>
      <c r="N7319" s="167"/>
      <c r="O7319" s="120"/>
      <c r="P7319" s="120"/>
      <c r="Q7319" s="120"/>
      <c r="R7319" s="120"/>
      <c r="S7319" s="120"/>
      <c r="T7319" s="221"/>
      <c r="U7319" s="89"/>
      <c r="V7319" s="61"/>
      <c r="W7319" s="92" t="s">
        <v>65</v>
      </c>
      <c r="X7319" s="93" t="s">
        <v>30</v>
      </c>
      <c r="Y7319" s="93" t="s">
        <v>1011</v>
      </c>
      <c r="Z7319" s="134">
        <f>VLOOKUP(W7319,Sheet2!$B:$D,3,FALSE)</f>
        <v>1.76</v>
      </c>
      <c r="AA7319" s="93">
        <f>AA7318/14</f>
        <v>1.4880952380952384</v>
      </c>
      <c r="AB7319" s="93">
        <f>AD7319/AC7317</f>
        <v>1.18272</v>
      </c>
      <c r="AC7319" s="93">
        <f>AC7317/AA7319</f>
        <v>13.836816000000011</v>
      </c>
      <c r="AD7319" s="94">
        <f t="shared" si="5181"/>
        <v>24.352796160000022</v>
      </c>
      <c r="AE7319" s="190"/>
      <c r="AF7319" s="191"/>
      <c r="AG7319" s="191"/>
      <c r="AH7319" s="191"/>
      <c r="AI7319" s="186"/>
      <c r="AK7319" s="171"/>
    </row>
    <row r="7320" spans="1:41" s="102" customFormat="1" ht="19.899999999999999" customHeight="1" x14ac:dyDescent="0.25">
      <c r="A7320" s="45"/>
      <c r="B7320" s="59"/>
      <c r="C7320" s="137"/>
      <c r="D7320" s="59"/>
      <c r="E7320" s="116"/>
      <c r="F7320" s="120"/>
      <c r="G7320" s="120"/>
      <c r="H7320" s="120"/>
      <c r="I7320" s="60"/>
      <c r="J7320" s="116"/>
      <c r="K7320" s="213"/>
      <c r="L7320" s="120"/>
      <c r="M7320" s="120"/>
      <c r="N7320" s="167"/>
      <c r="O7320" s="120"/>
      <c r="P7320" s="120"/>
      <c r="Q7320" s="120"/>
      <c r="R7320" s="120"/>
      <c r="S7320" s="120"/>
      <c r="T7320" s="221"/>
      <c r="U7320" s="89"/>
      <c r="V7320" s="61"/>
      <c r="W7320" s="92" t="s">
        <v>161</v>
      </c>
      <c r="X7320" s="93" t="s">
        <v>29</v>
      </c>
      <c r="Y7320" s="93" t="s">
        <v>93</v>
      </c>
      <c r="Z7320" s="134">
        <f>VLOOKUP(W7320,Sheet2!$B:$D,3,FALSE)</f>
        <v>48</v>
      </c>
      <c r="AA7320" s="93">
        <f>(16*0.85*1.5)/(1.2*4)</f>
        <v>4.25</v>
      </c>
      <c r="AB7320" s="93">
        <f>AD7320/AC7317</f>
        <v>11.294117647058824</v>
      </c>
      <c r="AC7320" s="93">
        <f>AC7317/AA7320</f>
        <v>4.8448235294117694</v>
      </c>
      <c r="AD7320" s="94">
        <f>AC7320*Z7320</f>
        <v>232.55152941176493</v>
      </c>
      <c r="AE7320" s="190"/>
      <c r="AF7320" s="191"/>
      <c r="AG7320" s="191"/>
      <c r="AH7320" s="191"/>
      <c r="AI7320" s="186"/>
      <c r="AK7320" s="171"/>
    </row>
    <row r="7321" spans="1:41" s="102" customFormat="1" ht="19.899999999999999" customHeight="1" x14ac:dyDescent="0.25">
      <c r="A7321" s="45"/>
      <c r="B7321" s="59"/>
      <c r="C7321" s="137"/>
      <c r="D7321" s="59"/>
      <c r="E7321" s="116"/>
      <c r="F7321" s="120"/>
      <c r="G7321" s="120"/>
      <c r="H7321" s="120"/>
      <c r="I7321" s="60"/>
      <c r="J7321" s="116"/>
      <c r="K7321" s="213"/>
      <c r="L7321" s="120"/>
      <c r="M7321" s="120"/>
      <c r="N7321" s="167"/>
      <c r="O7321" s="120"/>
      <c r="P7321" s="120"/>
      <c r="Q7321" s="120"/>
      <c r="R7321" s="120"/>
      <c r="S7321" s="120"/>
      <c r="T7321" s="221"/>
      <c r="U7321" s="89"/>
      <c r="V7321" s="61"/>
      <c r="W7321" s="92" t="s">
        <v>65</v>
      </c>
      <c r="X7321" s="93" t="s">
        <v>30</v>
      </c>
      <c r="Y7321" s="93" t="s">
        <v>1011</v>
      </c>
      <c r="Z7321" s="134">
        <f>VLOOKUP(W7321,Sheet2!$B:$D,3,FALSE)</f>
        <v>1.76</v>
      </c>
      <c r="AA7321" s="93">
        <f>AA7320/10</f>
        <v>0.42499999999999999</v>
      </c>
      <c r="AB7321" s="93">
        <f>AD7321/AC7317</f>
        <v>4.1411764705882348</v>
      </c>
      <c r="AC7321" s="93">
        <f>AC7317/AA7321</f>
        <v>48.448235294117694</v>
      </c>
      <c r="AD7321" s="94">
        <f>AC7321*Z7321</f>
        <v>85.268894117647136</v>
      </c>
      <c r="AE7321" s="190"/>
      <c r="AF7321" s="191"/>
      <c r="AG7321" s="191"/>
      <c r="AH7321" s="191"/>
      <c r="AI7321" s="186"/>
      <c r="AK7321" s="171"/>
    </row>
    <row r="7322" spans="1:41" s="102" customFormat="1" ht="19.899999999999999" customHeight="1" x14ac:dyDescent="0.25">
      <c r="A7322" s="45"/>
      <c r="B7322" s="59"/>
      <c r="C7322" s="137"/>
      <c r="D7322" s="59"/>
      <c r="E7322" s="116"/>
      <c r="F7322" s="120"/>
      <c r="G7322" s="120"/>
      <c r="H7322" s="120"/>
      <c r="I7322" s="60"/>
      <c r="J7322" s="116"/>
      <c r="K7322" s="213"/>
      <c r="L7322" s="120"/>
      <c r="M7322" s="120"/>
      <c r="N7322" s="167"/>
      <c r="O7322" s="120"/>
      <c r="P7322" s="120"/>
      <c r="Q7322" s="120"/>
      <c r="R7322" s="120"/>
      <c r="S7322" s="120"/>
      <c r="T7322" s="221"/>
      <c r="U7322" s="89"/>
      <c r="V7322" s="61"/>
      <c r="W7322" s="92" t="s">
        <v>1030</v>
      </c>
      <c r="X7322" s="93" t="s">
        <v>29</v>
      </c>
      <c r="Y7322" s="93" t="s">
        <v>93</v>
      </c>
      <c r="Z7322" s="134">
        <f>VLOOKUP(W7322,Sheet2!$B:$D,3,FALSE)</f>
        <v>23</v>
      </c>
      <c r="AA7322" s="93">
        <v>50</v>
      </c>
      <c r="AB7322" s="93">
        <f>AD7322/AC7317</f>
        <v>0.46</v>
      </c>
      <c r="AC7322" s="93">
        <f>AC7317/AA7322</f>
        <v>0.4118100000000004</v>
      </c>
      <c r="AD7322" s="94">
        <f t="shared" ref="AD7322:AD7326" si="5182">AC7322*Z7322</f>
        <v>9.47163000000001</v>
      </c>
      <c r="AE7322" s="190"/>
      <c r="AF7322" s="191"/>
      <c r="AG7322" s="191"/>
      <c r="AH7322" s="191"/>
      <c r="AI7322" s="186"/>
      <c r="AK7322" s="171"/>
    </row>
    <row r="7323" spans="1:41" s="102" customFormat="1" ht="19.899999999999999" customHeight="1" x14ac:dyDescent="0.25">
      <c r="A7323" s="45"/>
      <c r="B7323" s="59"/>
      <c r="C7323" s="137"/>
      <c r="D7323" s="59"/>
      <c r="E7323" s="116"/>
      <c r="F7323" s="120"/>
      <c r="G7323" s="120"/>
      <c r="H7323" s="120"/>
      <c r="I7323" s="60"/>
      <c r="J7323" s="116"/>
      <c r="K7323" s="213"/>
      <c r="L7323" s="120"/>
      <c r="M7323" s="120"/>
      <c r="N7323" s="167"/>
      <c r="O7323" s="120"/>
      <c r="P7323" s="120"/>
      <c r="Q7323" s="120"/>
      <c r="R7323" s="120"/>
      <c r="S7323" s="120"/>
      <c r="T7323" s="221"/>
      <c r="U7323" s="89"/>
      <c r="V7323" s="61"/>
      <c r="W7323" s="92" t="s">
        <v>65</v>
      </c>
      <c r="X7323" s="93" t="s">
        <v>30</v>
      </c>
      <c r="Y7323" s="93" t="s">
        <v>1011</v>
      </c>
      <c r="Z7323" s="134">
        <f>VLOOKUP(W7323,Sheet2!$B:$D,3,FALSE)</f>
        <v>1.76</v>
      </c>
      <c r="AA7323" s="93">
        <f>AA7322/3</f>
        <v>16.666666666666668</v>
      </c>
      <c r="AB7323" s="93">
        <f>AD7323/AC7317</f>
        <v>0.1056</v>
      </c>
      <c r="AC7323" s="93">
        <f>AC7317/AA7323</f>
        <v>1.2354300000000011</v>
      </c>
      <c r="AD7323" s="94">
        <f t="shared" si="5182"/>
        <v>2.1743568000000022</v>
      </c>
      <c r="AE7323" s="190"/>
      <c r="AF7323" s="191"/>
      <c r="AG7323" s="191"/>
      <c r="AH7323" s="191"/>
      <c r="AI7323" s="186"/>
      <c r="AK7323" s="171"/>
    </row>
    <row r="7324" spans="1:41" s="102" customFormat="1" ht="19.899999999999999" customHeight="1" x14ac:dyDescent="0.25">
      <c r="A7324" s="45"/>
      <c r="B7324" s="59"/>
      <c r="C7324" s="137"/>
      <c r="D7324" s="59"/>
      <c r="E7324" s="116"/>
      <c r="F7324" s="120"/>
      <c r="G7324" s="120"/>
      <c r="H7324" s="120"/>
      <c r="I7324" s="60"/>
      <c r="J7324" s="116"/>
      <c r="K7324" s="213"/>
      <c r="L7324" s="120"/>
      <c r="M7324" s="120"/>
      <c r="N7324" s="167"/>
      <c r="O7324" s="120"/>
      <c r="P7324" s="120"/>
      <c r="Q7324" s="120"/>
      <c r="R7324" s="120"/>
      <c r="S7324" s="120"/>
      <c r="T7324" s="221"/>
      <c r="U7324" s="89"/>
      <c r="V7324" s="61"/>
      <c r="W7324" s="92" t="s">
        <v>148</v>
      </c>
      <c r="X7324" s="93" t="s">
        <v>29</v>
      </c>
      <c r="Y7324" s="93" t="s">
        <v>93</v>
      </c>
      <c r="Z7324" s="134">
        <f>VLOOKUP(W7324,Sheet2!$B:$D,3,FALSE)</f>
        <v>48</v>
      </c>
      <c r="AA7324" s="93">
        <f>AA7318</f>
        <v>20.833333333333336</v>
      </c>
      <c r="AB7324" s="93">
        <f>AD7324/AC7317</f>
        <v>2.3039999999999998</v>
      </c>
      <c r="AC7324" s="93">
        <f>AC7317/AA7324</f>
        <v>0.98834400000000089</v>
      </c>
      <c r="AD7324" s="94">
        <f t="shared" si="5182"/>
        <v>47.440512000000041</v>
      </c>
      <c r="AE7324" s="190"/>
      <c r="AF7324" s="191"/>
      <c r="AG7324" s="191"/>
      <c r="AH7324" s="191"/>
      <c r="AI7324" s="186"/>
      <c r="AK7324" s="171"/>
    </row>
    <row r="7325" spans="1:41" s="102" customFormat="1" ht="19.899999999999999" customHeight="1" x14ac:dyDescent="0.25">
      <c r="A7325" s="45"/>
      <c r="B7325" s="59"/>
      <c r="C7325" s="137"/>
      <c r="D7325" s="59"/>
      <c r="E7325" s="116"/>
      <c r="F7325" s="120"/>
      <c r="G7325" s="120"/>
      <c r="H7325" s="120"/>
      <c r="I7325" s="60"/>
      <c r="J7325" s="116"/>
      <c r="K7325" s="213"/>
      <c r="L7325" s="120"/>
      <c r="M7325" s="120"/>
      <c r="N7325" s="167"/>
      <c r="O7325" s="120"/>
      <c r="P7325" s="120"/>
      <c r="Q7325" s="120"/>
      <c r="R7325" s="120"/>
      <c r="S7325" s="120"/>
      <c r="T7325" s="221"/>
      <c r="U7325" s="89"/>
      <c r="V7325" s="61"/>
      <c r="W7325" s="92" t="s">
        <v>65</v>
      </c>
      <c r="X7325" s="93" t="s">
        <v>30</v>
      </c>
      <c r="Y7325" s="93" t="s">
        <v>1011</v>
      </c>
      <c r="Z7325" s="134">
        <f>VLOOKUP(W7325,Sheet2!$B:$D,3,FALSE)</f>
        <v>1.76</v>
      </c>
      <c r="AA7325" s="93">
        <f>AA7324/10</f>
        <v>2.0833333333333335</v>
      </c>
      <c r="AB7325" s="93">
        <f>AD7325/AC7317</f>
        <v>0.8448</v>
      </c>
      <c r="AC7325" s="93">
        <f>AC7317/AA7325</f>
        <v>9.8834400000000091</v>
      </c>
      <c r="AD7325" s="94">
        <f t="shared" si="5182"/>
        <v>17.394854400000018</v>
      </c>
      <c r="AE7325" s="190"/>
      <c r="AF7325" s="191"/>
      <c r="AG7325" s="191"/>
      <c r="AH7325" s="191"/>
      <c r="AI7325" s="186"/>
      <c r="AK7325" s="171"/>
    </row>
    <row r="7326" spans="1:41" s="102" customFormat="1" ht="19.899999999999999" customHeight="1" x14ac:dyDescent="0.25">
      <c r="A7326" s="45"/>
      <c r="B7326" s="59"/>
      <c r="C7326" s="137"/>
      <c r="D7326" s="59"/>
      <c r="E7326" s="116"/>
      <c r="F7326" s="120"/>
      <c r="G7326" s="120"/>
      <c r="H7326" s="120"/>
      <c r="I7326" s="60"/>
      <c r="J7326" s="116"/>
      <c r="K7326" s="213"/>
      <c r="L7326" s="120"/>
      <c r="M7326" s="120"/>
      <c r="N7326" s="167"/>
      <c r="O7326" s="120"/>
      <c r="P7326" s="120"/>
      <c r="Q7326" s="120"/>
      <c r="R7326" s="120"/>
      <c r="S7326" s="120"/>
      <c r="T7326" s="221"/>
      <c r="U7326" s="89"/>
      <c r="V7326" s="61"/>
      <c r="W7326" s="92" t="s">
        <v>1049</v>
      </c>
      <c r="X7326" s="93" t="s">
        <v>30</v>
      </c>
      <c r="Y7326" s="93" t="s">
        <v>68</v>
      </c>
      <c r="Z7326" s="134">
        <f>VLOOKUP(W7326,Sheet2!$B:$D,3,FALSE)</f>
        <v>60</v>
      </c>
      <c r="AA7326" s="93">
        <v>1</v>
      </c>
      <c r="AB7326" s="93">
        <f>AD7326/AC7317</f>
        <v>60</v>
      </c>
      <c r="AC7326" s="93">
        <f>AC7317/AA7326</f>
        <v>20.59050000000002</v>
      </c>
      <c r="AD7326" s="94">
        <f t="shared" si="5182"/>
        <v>1235.4300000000012</v>
      </c>
      <c r="AE7326" s="190"/>
      <c r="AF7326" s="191"/>
      <c r="AG7326" s="191"/>
      <c r="AH7326" s="191"/>
      <c r="AI7326" s="186"/>
      <c r="AK7326" s="171"/>
    </row>
    <row r="7327" spans="1:41" s="103" customFormat="1" ht="19.899999999999999" customHeight="1" x14ac:dyDescent="0.25">
      <c r="A7327" s="51"/>
      <c r="B7327" s="52"/>
      <c r="C7327" s="165"/>
      <c r="D7327" s="52"/>
      <c r="E7327" s="115"/>
      <c r="F7327" s="58"/>
      <c r="G7327" s="58"/>
      <c r="H7327" s="58"/>
      <c r="I7327" s="55"/>
      <c r="J7327" s="113">
        <f>J7316</f>
        <v>20.59050000000002</v>
      </c>
      <c r="K7327" s="212">
        <f>K7316</f>
        <v>20.59050000000002</v>
      </c>
      <c r="L7327" s="58"/>
      <c r="M7327" s="58">
        <f>K7327-L7327</f>
        <v>20.59050000000002</v>
      </c>
      <c r="N7327" s="166"/>
      <c r="O7327" s="58"/>
      <c r="P7327" s="58"/>
      <c r="Q7327" s="58"/>
      <c r="R7327" s="58"/>
      <c r="S7327" s="58"/>
      <c r="T7327" s="220"/>
      <c r="U7327" s="88"/>
      <c r="V7327" s="56"/>
      <c r="W7327" s="57" t="s">
        <v>1036</v>
      </c>
      <c r="X7327" s="53"/>
      <c r="Y7327" s="91" t="s">
        <v>68</v>
      </c>
      <c r="Z7327" s="136">
        <f>AD7327/AC7327</f>
        <v>257.58333333333337</v>
      </c>
      <c r="AA7327" s="58"/>
      <c r="AB7327" s="53">
        <f>AD7327/AC7327</f>
        <v>257.58333333333337</v>
      </c>
      <c r="AC7327" s="53">
        <f>M7327+$AE$10</f>
        <v>20.59050000000002</v>
      </c>
      <c r="AD7327" s="54">
        <f>SUM(AD7328:AD7333)</f>
        <v>5303.7696250000054</v>
      </c>
      <c r="AE7327" s="184">
        <f>SUMIFS($AD$37:$AD$12971,$V$37:$V$12971,$V7327,$X$37:$X$12971,AE$13)</f>
        <v>0</v>
      </c>
      <c r="AF7327" s="185">
        <f>SUMIFS($AD$37:$AD$12971,$V$37:$V$12971,$V7327,$X$37:$X$12971,AF$13)</f>
        <v>0</v>
      </c>
      <c r="AG7327" s="185">
        <f>SUMIFS($AD$37:$AD$12971,$V$37:$V$12971,$V7327,$X$37:$X$12971,AG$13)</f>
        <v>0</v>
      </c>
      <c r="AH7327" s="187">
        <f>SUMIFS($AD$37:$AD$12971,$V$37:$V$12971,$V7327,$X$37:$X$12971,AH$13)</f>
        <v>0</v>
      </c>
      <c r="AI7327" s="161">
        <f t="shared" ref="AI7327" si="5183">SUM(AE7327:AH7327)</f>
        <v>0</v>
      </c>
      <c r="AK7327" s="172"/>
    </row>
    <row r="7328" spans="1:41" s="102" customFormat="1" ht="19.899999999999999" customHeight="1" x14ac:dyDescent="0.25">
      <c r="A7328" s="45"/>
      <c r="B7328" s="59"/>
      <c r="C7328" s="137"/>
      <c r="D7328" s="59"/>
      <c r="E7328" s="116"/>
      <c r="F7328" s="120"/>
      <c r="G7328" s="120"/>
      <c r="H7328" s="120"/>
      <c r="I7328" s="60"/>
      <c r="J7328" s="116"/>
      <c r="K7328" s="213"/>
      <c r="L7328" s="120"/>
      <c r="M7328" s="120"/>
      <c r="N7328" s="167"/>
      <c r="O7328" s="120"/>
      <c r="P7328" s="120"/>
      <c r="Q7328" s="120"/>
      <c r="R7328" s="120"/>
      <c r="S7328" s="120"/>
      <c r="T7328" s="221"/>
      <c r="U7328" s="89"/>
      <c r="V7328" s="61"/>
      <c r="W7328" s="92" t="s">
        <v>1055</v>
      </c>
      <c r="X7328" s="93" t="s">
        <v>30</v>
      </c>
      <c r="Y7328" s="93" t="s">
        <v>68</v>
      </c>
      <c r="Z7328" s="134">
        <f>VLOOKUP(W7328,Sheet2!$B:$D,3,FALSE)</f>
        <v>144</v>
      </c>
      <c r="AA7328" s="93">
        <v>1</v>
      </c>
      <c r="AB7328" s="93">
        <f>AD7328/AC7327</f>
        <v>144</v>
      </c>
      <c r="AC7328" s="93">
        <f>AC7327/AA7328</f>
        <v>20.59050000000002</v>
      </c>
      <c r="AD7328" s="94">
        <f t="shared" ref="AD7328" si="5184">AC7328*Z7328</f>
        <v>2965.0320000000029</v>
      </c>
      <c r="AE7328" s="190"/>
      <c r="AF7328" s="191"/>
      <c r="AG7328" s="191"/>
      <c r="AH7328" s="191"/>
      <c r="AI7328" s="186"/>
      <c r="AK7328" s="171"/>
    </row>
    <row r="7329" spans="1:41" s="102" customFormat="1" ht="19.899999999999999" customHeight="1" x14ac:dyDescent="0.25">
      <c r="A7329" s="45"/>
      <c r="B7329" s="59"/>
      <c r="C7329" s="137"/>
      <c r="D7329" s="59"/>
      <c r="E7329" s="116"/>
      <c r="F7329" s="120"/>
      <c r="G7329" s="120"/>
      <c r="H7329" s="120"/>
      <c r="I7329" s="60"/>
      <c r="J7329" s="116"/>
      <c r="K7329" s="213"/>
      <c r="L7329" s="120"/>
      <c r="M7329" s="120"/>
      <c r="N7329" s="167"/>
      <c r="O7329" s="120"/>
      <c r="P7329" s="120"/>
      <c r="Q7329" s="120"/>
      <c r="R7329" s="120"/>
      <c r="S7329" s="120"/>
      <c r="T7329" s="221"/>
      <c r="U7329" s="89"/>
      <c r="V7329" s="61"/>
      <c r="W7329" s="92" t="s">
        <v>1062</v>
      </c>
      <c r="X7329" s="93" t="s">
        <v>30</v>
      </c>
      <c r="Y7329" s="93" t="s">
        <v>68</v>
      </c>
      <c r="Z7329" s="134">
        <f>VLOOKUP(W7329,Sheet2!$B:$D,3,FALSE)</f>
        <v>15</v>
      </c>
      <c r="AA7329" s="93">
        <v>1</v>
      </c>
      <c r="AB7329" s="93">
        <f>AD7329/AC7327</f>
        <v>15</v>
      </c>
      <c r="AC7329" s="93">
        <f>AC7327/AA7329</f>
        <v>20.59050000000002</v>
      </c>
      <c r="AD7329" s="94">
        <f>AC7329*Z7329</f>
        <v>308.8575000000003</v>
      </c>
      <c r="AE7329" s="190"/>
      <c r="AF7329" s="191"/>
      <c r="AG7329" s="191"/>
      <c r="AH7329" s="191"/>
      <c r="AI7329" s="186"/>
      <c r="AK7329" s="171"/>
    </row>
    <row r="7330" spans="1:41" s="102" customFormat="1" ht="19.899999999999999" customHeight="1" x14ac:dyDescent="0.25">
      <c r="A7330" s="45"/>
      <c r="B7330" s="59"/>
      <c r="C7330" s="137"/>
      <c r="D7330" s="59"/>
      <c r="E7330" s="116"/>
      <c r="F7330" s="120"/>
      <c r="G7330" s="120"/>
      <c r="H7330" s="120"/>
      <c r="I7330" s="60"/>
      <c r="J7330" s="116"/>
      <c r="K7330" s="213"/>
      <c r="L7330" s="120"/>
      <c r="M7330" s="120"/>
      <c r="N7330" s="167"/>
      <c r="O7330" s="120"/>
      <c r="P7330" s="120"/>
      <c r="Q7330" s="120"/>
      <c r="R7330" s="120"/>
      <c r="S7330" s="120"/>
      <c r="T7330" s="221"/>
      <c r="U7330" s="89"/>
      <c r="V7330" s="61"/>
      <c r="W7330" s="92" t="s">
        <v>1070</v>
      </c>
      <c r="X7330" s="93" t="s">
        <v>32</v>
      </c>
      <c r="Y7330" s="93" t="s">
        <v>68</v>
      </c>
      <c r="Z7330" s="134">
        <f>VLOOKUP(W7330,Sheet2!$B:$D,3,FALSE)</f>
        <v>50</v>
      </c>
      <c r="AA7330" s="93">
        <v>1</v>
      </c>
      <c r="AB7330" s="93">
        <f>AD7330/AC7327</f>
        <v>50</v>
      </c>
      <c r="AC7330" s="93">
        <f>AC7327/AA7330</f>
        <v>20.59050000000002</v>
      </c>
      <c r="AD7330" s="94">
        <f>AC7330*Z7330</f>
        <v>1029.525000000001</v>
      </c>
      <c r="AE7330" s="190"/>
      <c r="AF7330" s="191"/>
      <c r="AG7330" s="191"/>
      <c r="AH7330" s="191"/>
      <c r="AI7330" s="186"/>
      <c r="AK7330" s="171"/>
    </row>
    <row r="7331" spans="1:41" s="102" customFormat="1" ht="19.899999999999999" customHeight="1" x14ac:dyDescent="0.25">
      <c r="A7331" s="45"/>
      <c r="B7331" s="59"/>
      <c r="C7331" s="137"/>
      <c r="D7331" s="59"/>
      <c r="E7331" s="116"/>
      <c r="F7331" s="120"/>
      <c r="G7331" s="120"/>
      <c r="H7331" s="120"/>
      <c r="I7331" s="60"/>
      <c r="J7331" s="116"/>
      <c r="K7331" s="213"/>
      <c r="L7331" s="120"/>
      <c r="M7331" s="120"/>
      <c r="N7331" s="167"/>
      <c r="O7331" s="120"/>
      <c r="P7331" s="120"/>
      <c r="Q7331" s="120"/>
      <c r="R7331" s="120"/>
      <c r="S7331" s="120"/>
      <c r="T7331" s="221"/>
      <c r="U7331" s="89"/>
      <c r="V7331" s="61"/>
      <c r="W7331" s="92" t="s">
        <v>1032</v>
      </c>
      <c r="X7331" s="93" t="s">
        <v>30</v>
      </c>
      <c r="Y7331" s="93" t="s">
        <v>66</v>
      </c>
      <c r="Z7331" s="134">
        <f>VLOOKUP(W7331,Sheet2!$B:$D,3,FALSE)</f>
        <v>250</v>
      </c>
      <c r="AA7331" s="93">
        <f>1/(1.2*0.1)</f>
        <v>8.3333333333333339</v>
      </c>
      <c r="AB7331" s="93">
        <f>AD7331/AC7327</f>
        <v>30</v>
      </c>
      <c r="AC7331" s="93">
        <f>AC7327/AA7331</f>
        <v>2.4708600000000023</v>
      </c>
      <c r="AD7331" s="94">
        <f>AC7331*Z7331</f>
        <v>617.7150000000006</v>
      </c>
      <c r="AE7331" s="190"/>
      <c r="AF7331" s="191"/>
      <c r="AG7331" s="191"/>
      <c r="AH7331" s="191"/>
      <c r="AI7331" s="186"/>
      <c r="AK7331" s="171"/>
    </row>
    <row r="7332" spans="1:41" s="102" customFormat="1" ht="19.899999999999999" customHeight="1" x14ac:dyDescent="0.25">
      <c r="A7332" s="45"/>
      <c r="B7332" s="59"/>
      <c r="C7332" s="137"/>
      <c r="D7332" s="59"/>
      <c r="E7332" s="116"/>
      <c r="F7332" s="120"/>
      <c r="G7332" s="120"/>
      <c r="H7332" s="120"/>
      <c r="I7332" s="60"/>
      <c r="J7332" s="116"/>
      <c r="K7332" s="213"/>
      <c r="L7332" s="120"/>
      <c r="M7332" s="120"/>
      <c r="N7332" s="167"/>
      <c r="O7332" s="120"/>
      <c r="P7332" s="120"/>
      <c r="Q7332" s="120"/>
      <c r="R7332" s="120"/>
      <c r="S7332" s="120"/>
      <c r="T7332" s="221"/>
      <c r="U7332" s="89"/>
      <c r="V7332" s="61"/>
      <c r="W7332" s="92" t="s">
        <v>1035</v>
      </c>
      <c r="X7332" s="93" t="s">
        <v>32</v>
      </c>
      <c r="Y7332" s="93" t="s">
        <v>66</v>
      </c>
      <c r="Z7332" s="134">
        <f>VLOOKUP(W7332,Sheet2!$B:$D,3,FALSE)</f>
        <v>150</v>
      </c>
      <c r="AA7332" s="93">
        <f>AA7331</f>
        <v>8.3333333333333339</v>
      </c>
      <c r="AB7332" s="93">
        <f>AD7332/AC7327</f>
        <v>18</v>
      </c>
      <c r="AC7332" s="93">
        <f>AC7327/AA7332</f>
        <v>2.4708600000000023</v>
      </c>
      <c r="AD7332" s="94">
        <f t="shared" ref="AD7332:AD7333" si="5185">AC7332*Z7332</f>
        <v>370.62900000000036</v>
      </c>
      <c r="AE7332" s="190"/>
      <c r="AF7332" s="191"/>
      <c r="AG7332" s="191"/>
      <c r="AH7332" s="191"/>
      <c r="AI7332" s="186"/>
      <c r="AK7332" s="171"/>
    </row>
    <row r="7333" spans="1:41" s="102" customFormat="1" ht="19.899999999999999" customHeight="1" x14ac:dyDescent="0.25">
      <c r="A7333" s="45"/>
      <c r="B7333" s="59"/>
      <c r="C7333" s="137"/>
      <c r="D7333" s="59"/>
      <c r="E7333" s="116"/>
      <c r="F7333" s="120"/>
      <c r="G7333" s="120"/>
      <c r="H7333" s="120"/>
      <c r="I7333" s="60"/>
      <c r="J7333" s="116"/>
      <c r="K7333" s="213"/>
      <c r="L7333" s="120"/>
      <c r="M7333" s="120"/>
      <c r="N7333" s="167"/>
      <c r="O7333" s="120"/>
      <c r="P7333" s="120"/>
      <c r="Q7333" s="120"/>
      <c r="R7333" s="120"/>
      <c r="S7333" s="120"/>
      <c r="T7333" s="221"/>
      <c r="U7333" s="89"/>
      <c r="V7333" s="61"/>
      <c r="W7333" s="92" t="s">
        <v>1037</v>
      </c>
      <c r="X7333" s="93" t="s">
        <v>30</v>
      </c>
      <c r="Y7333" s="93" t="s">
        <v>1038</v>
      </c>
      <c r="Z7333" s="134">
        <f>VLOOKUP(W7333,Sheet2!$B:$D,3,FALSE)</f>
        <v>175</v>
      </c>
      <c r="AA7333" s="93">
        <v>300</v>
      </c>
      <c r="AB7333" s="93">
        <f>AD7333/AC7327</f>
        <v>0.58333333333333337</v>
      </c>
      <c r="AC7333" s="93">
        <f>AC7327/AA7333</f>
        <v>6.8635000000000071E-2</v>
      </c>
      <c r="AD7333" s="94">
        <f t="shared" si="5185"/>
        <v>12.011125000000012</v>
      </c>
      <c r="AE7333" s="190"/>
      <c r="AF7333" s="191"/>
      <c r="AG7333" s="191"/>
      <c r="AH7333" s="191"/>
      <c r="AI7333" s="186"/>
      <c r="AK7333" s="171"/>
    </row>
    <row r="7334" spans="1:41" s="103" customFormat="1" ht="19.899999999999999" customHeight="1" x14ac:dyDescent="0.25">
      <c r="A7334" s="51"/>
      <c r="B7334" s="52"/>
      <c r="C7334" s="165"/>
      <c r="D7334" s="52"/>
      <c r="E7334" s="115"/>
      <c r="F7334" s="58"/>
      <c r="G7334" s="58"/>
      <c r="H7334" s="58"/>
      <c r="I7334" s="55"/>
      <c r="J7334" s="113">
        <f>J7316</f>
        <v>20.59050000000002</v>
      </c>
      <c r="K7334" s="212">
        <f>K7316</f>
        <v>20.59050000000002</v>
      </c>
      <c r="L7334" s="58"/>
      <c r="M7334" s="58">
        <f>K7334-L7334</f>
        <v>20.59050000000002</v>
      </c>
      <c r="N7334" s="166"/>
      <c r="O7334" s="58"/>
      <c r="P7334" s="58"/>
      <c r="Q7334" s="58"/>
      <c r="R7334" s="58"/>
      <c r="S7334" s="58"/>
      <c r="T7334" s="220"/>
      <c r="U7334" s="88"/>
      <c r="V7334" s="56"/>
      <c r="W7334" s="57" t="s">
        <v>1040</v>
      </c>
      <c r="X7334" s="53"/>
      <c r="Y7334" s="91" t="s">
        <v>68</v>
      </c>
      <c r="Z7334" s="136">
        <f>AD7334/AC7334</f>
        <v>5</v>
      </c>
      <c r="AA7334" s="58"/>
      <c r="AB7334" s="53">
        <f>AD7334/AC7334</f>
        <v>5</v>
      </c>
      <c r="AC7334" s="53">
        <f>M7334+$AE$10</f>
        <v>20.59050000000002</v>
      </c>
      <c r="AD7334" s="54">
        <f>SUM(AD7335)</f>
        <v>102.9525000000001</v>
      </c>
      <c r="AE7334" s="184">
        <f>SUMIFS($AD$37:$AD$12971,$V$37:$V$12971,$V7334,$X$37:$X$12971,AE$13)</f>
        <v>0</v>
      </c>
      <c r="AF7334" s="185">
        <f>SUMIFS($AD$37:$AD$12971,$V$37:$V$12971,$V7334,$X$37:$X$12971,AF$13)</f>
        <v>0</v>
      </c>
      <c r="AG7334" s="185">
        <f>SUMIFS($AD$37:$AD$12971,$V$37:$V$12971,$V7334,$X$37:$X$12971,AG$13)</f>
        <v>0</v>
      </c>
      <c r="AH7334" s="187">
        <f>SUMIFS($AD$37:$AD$12971,$V$37:$V$12971,$V7334,$X$37:$X$12971,AH$13)</f>
        <v>0</v>
      </c>
      <c r="AI7334" s="161">
        <f t="shared" ref="AI7334" si="5186">SUM(AE7334:AH7334)</f>
        <v>0</v>
      </c>
      <c r="AK7334" s="172"/>
    </row>
    <row r="7335" spans="1:41" s="102" customFormat="1" ht="19.899999999999999" customHeight="1" x14ac:dyDescent="0.25">
      <c r="A7335" s="45"/>
      <c r="B7335" s="59"/>
      <c r="C7335" s="137"/>
      <c r="D7335" s="59"/>
      <c r="E7335" s="116"/>
      <c r="F7335" s="120"/>
      <c r="G7335" s="120"/>
      <c r="H7335" s="120"/>
      <c r="I7335" s="60"/>
      <c r="J7335" s="116"/>
      <c r="K7335" s="213"/>
      <c r="L7335" s="120"/>
      <c r="M7335" s="120"/>
      <c r="N7335" s="167"/>
      <c r="O7335" s="120"/>
      <c r="P7335" s="120"/>
      <c r="Q7335" s="120"/>
      <c r="R7335" s="120"/>
      <c r="S7335" s="120"/>
      <c r="T7335" s="221"/>
      <c r="U7335" s="89"/>
      <c r="V7335" s="61"/>
      <c r="W7335" s="92" t="s">
        <v>1039</v>
      </c>
      <c r="X7335" s="93" t="s">
        <v>32</v>
      </c>
      <c r="Y7335" s="93" t="s">
        <v>68</v>
      </c>
      <c r="Z7335" s="134">
        <f>VLOOKUP(W7335,Sheet2!$B:$D,3,FALSE)</f>
        <v>5</v>
      </c>
      <c r="AA7335" s="93">
        <v>1</v>
      </c>
      <c r="AB7335" s="93">
        <f>AD7335/AC7334</f>
        <v>5</v>
      </c>
      <c r="AC7335" s="93">
        <f>AC7334/AA7335</f>
        <v>20.59050000000002</v>
      </c>
      <c r="AD7335" s="94">
        <f t="shared" ref="AD7335" si="5187">AC7335*Z7335</f>
        <v>102.9525000000001</v>
      </c>
      <c r="AE7335" s="190"/>
      <c r="AF7335" s="191"/>
      <c r="AG7335" s="191"/>
      <c r="AH7335" s="191"/>
      <c r="AI7335" s="186"/>
      <c r="AK7335" s="171"/>
    </row>
    <row r="7336" spans="1:41" ht="20.100000000000001" customHeight="1" x14ac:dyDescent="0.25">
      <c r="A7336" s="277" t="s">
        <v>703</v>
      </c>
      <c r="B7336" s="278"/>
      <c r="C7336" s="64" t="s">
        <v>730</v>
      </c>
      <c r="D7336" s="46" t="s">
        <v>97</v>
      </c>
      <c r="E7336" s="114"/>
      <c r="F7336" s="44">
        <v>0</v>
      </c>
      <c r="G7336" s="44">
        <f t="shared" si="4575"/>
        <v>0</v>
      </c>
      <c r="H7336" s="44">
        <f t="shared" si="4576"/>
        <v>0</v>
      </c>
      <c r="I7336" s="43">
        <f t="shared" si="4577"/>
        <v>0</v>
      </c>
      <c r="J7336" s="112">
        <f t="shared" si="4578"/>
        <v>0</v>
      </c>
      <c r="K7336" s="211">
        <f t="shared" si="4579"/>
        <v>0</v>
      </c>
      <c r="L7336" s="44"/>
      <c r="M7336" s="44">
        <f t="shared" si="4580"/>
        <v>0</v>
      </c>
      <c r="N7336" s="173">
        <f t="shared" si="4581"/>
        <v>0</v>
      </c>
      <c r="O7336" s="44">
        <f t="shared" si="4582"/>
        <v>0</v>
      </c>
      <c r="P7336" s="44">
        <f t="shared" si="4583"/>
        <v>0</v>
      </c>
      <c r="Q7336" s="44">
        <f t="shared" si="4584"/>
        <v>0</v>
      </c>
      <c r="R7336" s="44">
        <f t="shared" si="4585"/>
        <v>0</v>
      </c>
      <c r="S7336" s="123"/>
      <c r="T7336" s="219">
        <f t="shared" si="4586"/>
        <v>0</v>
      </c>
      <c r="U7336" s="87"/>
      <c r="V7336" s="47"/>
      <c r="W7336" s="48"/>
      <c r="X7336" s="48"/>
      <c r="Y7336" s="48"/>
      <c r="Z7336" s="135"/>
      <c r="AA7336" s="49"/>
      <c r="AB7336" s="50">
        <f t="shared" si="4587"/>
        <v>0</v>
      </c>
      <c r="AC7336" s="42">
        <f t="shared" si="4588"/>
        <v>9.9999999999999998E-20</v>
      </c>
      <c r="AD7336" s="90"/>
      <c r="AE7336" s="188"/>
      <c r="AF7336" s="189"/>
      <c r="AG7336" s="189"/>
      <c r="AH7336" s="189"/>
      <c r="AI7336" s="161"/>
    </row>
    <row r="7337" spans="1:41" ht="20.100000000000001" customHeight="1" x14ac:dyDescent="0.25">
      <c r="A7337" s="277" t="s">
        <v>703</v>
      </c>
      <c r="B7337" s="278"/>
      <c r="C7337" s="64" t="s">
        <v>731</v>
      </c>
      <c r="D7337" s="46" t="s">
        <v>97</v>
      </c>
      <c r="E7337" s="114">
        <v>38.099999999999966</v>
      </c>
      <c r="F7337" s="44">
        <v>558</v>
      </c>
      <c r="G7337" s="44">
        <f t="shared" si="4575"/>
        <v>21259.799999999981</v>
      </c>
      <c r="H7337" s="44">
        <f t="shared" si="4576"/>
        <v>317.84414901960781</v>
      </c>
      <c r="I7337" s="43">
        <f t="shared" si="4577"/>
        <v>12109.862077647047</v>
      </c>
      <c r="J7337" s="112">
        <f t="shared" si="4578"/>
        <v>38.099999999999966</v>
      </c>
      <c r="K7337" s="211">
        <f t="shared" si="4579"/>
        <v>38.099999999999966</v>
      </c>
      <c r="L7337" s="44"/>
      <c r="M7337" s="44">
        <f t="shared" si="4580"/>
        <v>38.099999999999966</v>
      </c>
      <c r="N7337" s="173">
        <f t="shared" si="4581"/>
        <v>1</v>
      </c>
      <c r="O7337" s="44">
        <f t="shared" si="4582"/>
        <v>558</v>
      </c>
      <c r="P7337" s="44">
        <f t="shared" si="4583"/>
        <v>21259.799999999981</v>
      </c>
      <c r="Q7337" s="44">
        <f t="shared" si="4584"/>
        <v>317.84414901960781</v>
      </c>
      <c r="R7337" s="44">
        <f t="shared" si="4585"/>
        <v>12109.862077647047</v>
      </c>
      <c r="S7337" s="123"/>
      <c r="T7337" s="219">
        <f t="shared" si="4586"/>
        <v>12109.862077647047</v>
      </c>
      <c r="U7337" s="87"/>
      <c r="V7337" s="47"/>
      <c r="W7337" s="48"/>
      <c r="X7337" s="48"/>
      <c r="Y7337" s="48"/>
      <c r="Z7337" s="135"/>
      <c r="AA7337" s="49"/>
      <c r="AB7337" s="50">
        <f t="shared" si="4587"/>
        <v>317.84414901960781</v>
      </c>
      <c r="AC7337" s="42">
        <f t="shared" si="4588"/>
        <v>38.099999999999966</v>
      </c>
      <c r="AD7337" s="90">
        <f>AD7338+AD7347+AD7354</f>
        <v>12109.862077647047</v>
      </c>
      <c r="AE7337" s="188">
        <f>AE7338+AE7347+AE7354</f>
        <v>0</v>
      </c>
      <c r="AF7337" s="189">
        <f>AF7338+AF7347+AF7354</f>
        <v>0</v>
      </c>
      <c r="AG7337" s="189">
        <f>AG7338+AG7347+AG7354</f>
        <v>0</v>
      </c>
      <c r="AH7337" s="189">
        <f>AH7338+AH7347+AH7354</f>
        <v>0</v>
      </c>
      <c r="AI7337" s="161">
        <f t="shared" ref="AI7337:AI7376" si="5188">SUM(AE7337:AH7337)</f>
        <v>0</v>
      </c>
      <c r="AK7337" s="169">
        <v>5</v>
      </c>
      <c r="AO7337" s="19" t="s">
        <v>63</v>
      </c>
    </row>
    <row r="7338" spans="1:41" s="103" customFormat="1" ht="19.899999999999999" customHeight="1" x14ac:dyDescent="0.25">
      <c r="A7338" s="51"/>
      <c r="B7338" s="52"/>
      <c r="C7338" s="165"/>
      <c r="D7338" s="52"/>
      <c r="E7338" s="115"/>
      <c r="F7338" s="58"/>
      <c r="G7338" s="58"/>
      <c r="H7338" s="58"/>
      <c r="I7338" s="55"/>
      <c r="J7338" s="113">
        <f>J7337</f>
        <v>38.099999999999966</v>
      </c>
      <c r="K7338" s="212">
        <f>K7337</f>
        <v>38.099999999999966</v>
      </c>
      <c r="L7338" s="58"/>
      <c r="M7338" s="58">
        <f>K7338-L7338</f>
        <v>38.099999999999966</v>
      </c>
      <c r="N7338" s="166"/>
      <c r="O7338" s="58"/>
      <c r="P7338" s="58"/>
      <c r="Q7338" s="58"/>
      <c r="R7338" s="58"/>
      <c r="S7338" s="58"/>
      <c r="T7338" s="220"/>
      <c r="U7338" s="88"/>
      <c r="V7338" s="56"/>
      <c r="W7338" s="57" t="s">
        <v>1095</v>
      </c>
      <c r="X7338" s="53"/>
      <c r="Y7338" s="91" t="s">
        <v>68</v>
      </c>
      <c r="Z7338" s="136">
        <f>AD7338/AC7338</f>
        <v>12.26081568627451</v>
      </c>
      <c r="AA7338" s="58"/>
      <c r="AB7338" s="53">
        <f>AD7338/AC7338</f>
        <v>12.26081568627451</v>
      </c>
      <c r="AC7338" s="53">
        <f>M7338+$AE$10</f>
        <v>38.099999999999966</v>
      </c>
      <c r="AD7338" s="54">
        <f>SUM(AD7339:AD7346)</f>
        <v>467.13707764705845</v>
      </c>
      <c r="AE7338" s="184">
        <f>SUMIFS($AD$37:$AD$12971,$V$37:$V$12971,$V7338,$X$37:$X$12971,AE$13)</f>
        <v>0</v>
      </c>
      <c r="AF7338" s="185">
        <f>SUMIFS($AD$37:$AD$12971,$V$37:$V$12971,$V7338,$X$37:$X$12971,AF$13)</f>
        <v>0</v>
      </c>
      <c r="AG7338" s="185">
        <f>SUMIFS($AD$37:$AD$12971,$V$37:$V$12971,$V7338,$X$37:$X$12971,AG$13)</f>
        <v>0</v>
      </c>
      <c r="AH7338" s="187">
        <f>SUMIFS($AD$37:$AD$12971,$V$37:$V$12971,$V7338,$X$37:$X$12971,AH$13)</f>
        <v>0</v>
      </c>
      <c r="AI7338" s="161">
        <f t="shared" ref="AI7338" si="5189">SUM(AE7338:AH7338)</f>
        <v>0</v>
      </c>
      <c r="AK7338" s="172"/>
    </row>
    <row r="7339" spans="1:41" s="102" customFormat="1" ht="19.899999999999999" customHeight="1" x14ac:dyDescent="0.25">
      <c r="A7339" s="45"/>
      <c r="B7339" s="59"/>
      <c r="C7339" s="137"/>
      <c r="D7339" s="59"/>
      <c r="E7339" s="116"/>
      <c r="F7339" s="120"/>
      <c r="G7339" s="120"/>
      <c r="H7339" s="120"/>
      <c r="I7339" s="60"/>
      <c r="J7339" s="116"/>
      <c r="K7339" s="213"/>
      <c r="L7339" s="120"/>
      <c r="M7339" s="120"/>
      <c r="N7339" s="167"/>
      <c r="O7339" s="120"/>
      <c r="P7339" s="120"/>
      <c r="Q7339" s="120"/>
      <c r="R7339" s="120"/>
      <c r="S7339" s="120"/>
      <c r="T7339" s="221"/>
      <c r="U7339" s="89"/>
      <c r="V7339" s="61"/>
      <c r="W7339" s="92" t="s">
        <v>129</v>
      </c>
      <c r="X7339" s="93" t="s">
        <v>29</v>
      </c>
      <c r="Y7339" s="93" t="s">
        <v>93</v>
      </c>
      <c r="Z7339" s="134">
        <f>VLOOKUP(W7339,Sheet2!$B:$D,3,FALSE)</f>
        <v>56</v>
      </c>
      <c r="AA7339" s="93">
        <f>100/(1.25*2)</f>
        <v>40</v>
      </c>
      <c r="AB7339" s="93">
        <f t="shared" ref="AB7339" si="5190">AD7339/AC7338</f>
        <v>1.4000000000000001</v>
      </c>
      <c r="AC7339" s="93">
        <f>AC7338/AA7339</f>
        <v>0.95249999999999913</v>
      </c>
      <c r="AD7339" s="94">
        <f t="shared" ref="AD7339:AD7340" si="5191">AC7339*Z7339</f>
        <v>53.339999999999954</v>
      </c>
      <c r="AE7339" s="190"/>
      <c r="AF7339" s="191"/>
      <c r="AG7339" s="191"/>
      <c r="AH7339" s="191"/>
      <c r="AI7339" s="186"/>
      <c r="AK7339" s="171"/>
    </row>
    <row r="7340" spans="1:41" s="102" customFormat="1" ht="19.899999999999999" customHeight="1" x14ac:dyDescent="0.25">
      <c r="A7340" s="45"/>
      <c r="B7340" s="59"/>
      <c r="C7340" s="137"/>
      <c r="D7340" s="59"/>
      <c r="E7340" s="116"/>
      <c r="F7340" s="120"/>
      <c r="G7340" s="120"/>
      <c r="H7340" s="120"/>
      <c r="I7340" s="60"/>
      <c r="J7340" s="116"/>
      <c r="K7340" s="213"/>
      <c r="L7340" s="120"/>
      <c r="M7340" s="120"/>
      <c r="N7340" s="167"/>
      <c r="O7340" s="120"/>
      <c r="P7340" s="120"/>
      <c r="Q7340" s="120"/>
      <c r="R7340" s="120"/>
      <c r="S7340" s="120"/>
      <c r="T7340" s="221"/>
      <c r="U7340" s="89"/>
      <c r="V7340" s="61"/>
      <c r="W7340" s="92" t="s">
        <v>65</v>
      </c>
      <c r="X7340" s="93" t="s">
        <v>30</v>
      </c>
      <c r="Y7340" s="93" t="s">
        <v>1011</v>
      </c>
      <c r="Z7340" s="134">
        <f>VLOOKUP(W7340,Sheet2!$B:$D,3,FALSE)</f>
        <v>1.76</v>
      </c>
      <c r="AA7340" s="93">
        <f>AA7339/14</f>
        <v>2.8571428571428572</v>
      </c>
      <c r="AB7340" s="93">
        <f>AD7340/AC7338</f>
        <v>0.61599999999999999</v>
      </c>
      <c r="AC7340" s="93">
        <f>AC7338/AA7340</f>
        <v>13.334999999999988</v>
      </c>
      <c r="AD7340" s="94">
        <f t="shared" si="5191"/>
        <v>23.469599999999978</v>
      </c>
      <c r="AE7340" s="190"/>
      <c r="AF7340" s="191"/>
      <c r="AG7340" s="191"/>
      <c r="AH7340" s="191"/>
      <c r="AI7340" s="186"/>
      <c r="AK7340" s="171"/>
    </row>
    <row r="7341" spans="1:41" s="102" customFormat="1" ht="19.899999999999999" customHeight="1" x14ac:dyDescent="0.25">
      <c r="A7341" s="45"/>
      <c r="B7341" s="59"/>
      <c r="C7341" s="137"/>
      <c r="D7341" s="59"/>
      <c r="E7341" s="116"/>
      <c r="F7341" s="120"/>
      <c r="G7341" s="120"/>
      <c r="H7341" s="120"/>
      <c r="I7341" s="60"/>
      <c r="J7341" s="116"/>
      <c r="K7341" s="213"/>
      <c r="L7341" s="120"/>
      <c r="M7341" s="120"/>
      <c r="N7341" s="167"/>
      <c r="O7341" s="120"/>
      <c r="P7341" s="120"/>
      <c r="Q7341" s="120"/>
      <c r="R7341" s="120"/>
      <c r="S7341" s="120"/>
      <c r="T7341" s="221"/>
      <c r="U7341" s="89"/>
      <c r="V7341" s="61"/>
      <c r="W7341" s="92" t="s">
        <v>161</v>
      </c>
      <c r="X7341" s="93" t="s">
        <v>29</v>
      </c>
      <c r="Y7341" s="93" t="s">
        <v>93</v>
      </c>
      <c r="Z7341" s="134">
        <f>VLOOKUP(W7341,Sheet2!$B:$D,3,FALSE)</f>
        <v>48</v>
      </c>
      <c r="AA7341" s="93">
        <f>(16*0.85*1.5)/(1.25*2)</f>
        <v>8.16</v>
      </c>
      <c r="AB7341" s="93">
        <f>AD7341/AC7338</f>
        <v>5.8823529411764701</v>
      </c>
      <c r="AC7341" s="93">
        <f>AC7338/AA7341</f>
        <v>4.6691176470588189</v>
      </c>
      <c r="AD7341" s="94">
        <f>AC7341*Z7341</f>
        <v>224.11764705882331</v>
      </c>
      <c r="AE7341" s="190"/>
      <c r="AF7341" s="191"/>
      <c r="AG7341" s="191"/>
      <c r="AH7341" s="191"/>
      <c r="AI7341" s="186"/>
      <c r="AK7341" s="171"/>
    </row>
    <row r="7342" spans="1:41" s="102" customFormat="1" ht="19.899999999999999" customHeight="1" x14ac:dyDescent="0.25">
      <c r="A7342" s="45"/>
      <c r="B7342" s="59"/>
      <c r="C7342" s="137"/>
      <c r="D7342" s="59"/>
      <c r="E7342" s="116"/>
      <c r="F7342" s="120"/>
      <c r="G7342" s="120"/>
      <c r="H7342" s="120"/>
      <c r="I7342" s="60"/>
      <c r="J7342" s="116"/>
      <c r="K7342" s="213"/>
      <c r="L7342" s="120"/>
      <c r="M7342" s="120"/>
      <c r="N7342" s="167"/>
      <c r="O7342" s="120"/>
      <c r="P7342" s="120"/>
      <c r="Q7342" s="120"/>
      <c r="R7342" s="120"/>
      <c r="S7342" s="120"/>
      <c r="T7342" s="221"/>
      <c r="U7342" s="89"/>
      <c r="V7342" s="61"/>
      <c r="W7342" s="92" t="s">
        <v>65</v>
      </c>
      <c r="X7342" s="93" t="s">
        <v>30</v>
      </c>
      <c r="Y7342" s="93" t="s">
        <v>1011</v>
      </c>
      <c r="Z7342" s="134">
        <f>VLOOKUP(W7342,Sheet2!$B:$D,3,FALSE)</f>
        <v>1.76</v>
      </c>
      <c r="AA7342" s="93">
        <f>AA7341/10</f>
        <v>0.81600000000000006</v>
      </c>
      <c r="AB7342" s="93">
        <f>AD7342/AC7338</f>
        <v>2.1568627450980391</v>
      </c>
      <c r="AC7342" s="93">
        <f>AC7338/AA7342</f>
        <v>46.691176470588189</v>
      </c>
      <c r="AD7342" s="94">
        <f>AC7342*Z7342</f>
        <v>82.176470588235219</v>
      </c>
      <c r="AE7342" s="190"/>
      <c r="AF7342" s="191"/>
      <c r="AG7342" s="191"/>
      <c r="AH7342" s="191"/>
      <c r="AI7342" s="186"/>
      <c r="AK7342" s="171"/>
    </row>
    <row r="7343" spans="1:41" s="102" customFormat="1" ht="19.899999999999999" customHeight="1" x14ac:dyDescent="0.25">
      <c r="A7343" s="45"/>
      <c r="B7343" s="59"/>
      <c r="C7343" s="137"/>
      <c r="D7343" s="59"/>
      <c r="E7343" s="116"/>
      <c r="F7343" s="120"/>
      <c r="G7343" s="120"/>
      <c r="H7343" s="120"/>
      <c r="I7343" s="60"/>
      <c r="J7343" s="116"/>
      <c r="K7343" s="213"/>
      <c r="L7343" s="120"/>
      <c r="M7343" s="120"/>
      <c r="N7343" s="167"/>
      <c r="O7343" s="120"/>
      <c r="P7343" s="120"/>
      <c r="Q7343" s="120"/>
      <c r="R7343" s="120"/>
      <c r="S7343" s="120"/>
      <c r="T7343" s="221"/>
      <c r="U7343" s="89"/>
      <c r="V7343" s="61"/>
      <c r="W7343" s="92" t="s">
        <v>1030</v>
      </c>
      <c r="X7343" s="93" t="s">
        <v>29</v>
      </c>
      <c r="Y7343" s="93" t="s">
        <v>93</v>
      </c>
      <c r="Z7343" s="134">
        <f>VLOOKUP(W7343,Sheet2!$B:$D,3,FALSE)</f>
        <v>23</v>
      </c>
      <c r="AA7343" s="93">
        <v>50</v>
      </c>
      <c r="AB7343" s="93">
        <f>AD7343/AC7338</f>
        <v>0.46</v>
      </c>
      <c r="AC7343" s="93">
        <f>AC7338/AA7343</f>
        <v>0.76199999999999934</v>
      </c>
      <c r="AD7343" s="94">
        <f t="shared" ref="AD7343:AD7346" si="5192">AC7343*Z7343</f>
        <v>17.525999999999986</v>
      </c>
      <c r="AE7343" s="190"/>
      <c r="AF7343" s="191"/>
      <c r="AG7343" s="191"/>
      <c r="AH7343" s="191"/>
      <c r="AI7343" s="186"/>
      <c r="AK7343" s="171"/>
    </row>
    <row r="7344" spans="1:41" s="102" customFormat="1" ht="19.899999999999999" customHeight="1" x14ac:dyDescent="0.25">
      <c r="A7344" s="45"/>
      <c r="B7344" s="59"/>
      <c r="C7344" s="137"/>
      <c r="D7344" s="59"/>
      <c r="E7344" s="116"/>
      <c r="F7344" s="120"/>
      <c r="G7344" s="120"/>
      <c r="H7344" s="120"/>
      <c r="I7344" s="60"/>
      <c r="J7344" s="116"/>
      <c r="K7344" s="213"/>
      <c r="L7344" s="120"/>
      <c r="M7344" s="120"/>
      <c r="N7344" s="167"/>
      <c r="O7344" s="120"/>
      <c r="P7344" s="120"/>
      <c r="Q7344" s="120"/>
      <c r="R7344" s="120"/>
      <c r="S7344" s="120"/>
      <c r="T7344" s="221"/>
      <c r="U7344" s="89"/>
      <c r="V7344" s="61"/>
      <c r="W7344" s="92" t="s">
        <v>65</v>
      </c>
      <c r="X7344" s="93" t="s">
        <v>30</v>
      </c>
      <c r="Y7344" s="93" t="s">
        <v>1011</v>
      </c>
      <c r="Z7344" s="134">
        <f>VLOOKUP(W7344,Sheet2!$B:$D,3,FALSE)</f>
        <v>1.76</v>
      </c>
      <c r="AA7344" s="93">
        <f>AA7343/3</f>
        <v>16.666666666666668</v>
      </c>
      <c r="AB7344" s="93">
        <f>AD7344/AC7338</f>
        <v>0.10559999999999999</v>
      </c>
      <c r="AC7344" s="93">
        <f>AC7338/AA7344</f>
        <v>2.2859999999999978</v>
      </c>
      <c r="AD7344" s="94">
        <f t="shared" si="5192"/>
        <v>4.0233599999999958</v>
      </c>
      <c r="AE7344" s="190"/>
      <c r="AF7344" s="191"/>
      <c r="AG7344" s="191"/>
      <c r="AH7344" s="191"/>
      <c r="AI7344" s="186"/>
      <c r="AK7344" s="171"/>
    </row>
    <row r="7345" spans="1:41" s="102" customFormat="1" ht="19.899999999999999" customHeight="1" x14ac:dyDescent="0.25">
      <c r="A7345" s="45"/>
      <c r="B7345" s="59"/>
      <c r="C7345" s="137"/>
      <c r="D7345" s="59"/>
      <c r="E7345" s="116"/>
      <c r="F7345" s="120"/>
      <c r="G7345" s="120"/>
      <c r="H7345" s="120"/>
      <c r="I7345" s="60"/>
      <c r="J7345" s="116"/>
      <c r="K7345" s="213"/>
      <c r="L7345" s="120"/>
      <c r="M7345" s="120"/>
      <c r="N7345" s="167"/>
      <c r="O7345" s="120"/>
      <c r="P7345" s="120"/>
      <c r="Q7345" s="120"/>
      <c r="R7345" s="120"/>
      <c r="S7345" s="120"/>
      <c r="T7345" s="221"/>
      <c r="U7345" s="89"/>
      <c r="V7345" s="61"/>
      <c r="W7345" s="92" t="s">
        <v>148</v>
      </c>
      <c r="X7345" s="93" t="s">
        <v>29</v>
      </c>
      <c r="Y7345" s="93" t="s">
        <v>93</v>
      </c>
      <c r="Z7345" s="134">
        <f>VLOOKUP(W7345,Sheet2!$B:$D,3,FALSE)</f>
        <v>48</v>
      </c>
      <c r="AA7345" s="93">
        <f>AA7339</f>
        <v>40</v>
      </c>
      <c r="AB7345" s="93">
        <f>AD7345/AC7338</f>
        <v>1.2</v>
      </c>
      <c r="AC7345" s="93">
        <f>AC7338/AA7345</f>
        <v>0.95249999999999913</v>
      </c>
      <c r="AD7345" s="94">
        <f t="shared" si="5192"/>
        <v>45.719999999999956</v>
      </c>
      <c r="AE7345" s="190"/>
      <c r="AF7345" s="191"/>
      <c r="AG7345" s="191"/>
      <c r="AH7345" s="191"/>
      <c r="AI7345" s="186"/>
      <c r="AK7345" s="171"/>
    </row>
    <row r="7346" spans="1:41" s="102" customFormat="1" ht="19.899999999999999" customHeight="1" x14ac:dyDescent="0.25">
      <c r="A7346" s="45"/>
      <c r="B7346" s="59"/>
      <c r="C7346" s="137"/>
      <c r="D7346" s="59"/>
      <c r="E7346" s="116"/>
      <c r="F7346" s="120"/>
      <c r="G7346" s="120"/>
      <c r="H7346" s="120"/>
      <c r="I7346" s="60"/>
      <c r="J7346" s="116"/>
      <c r="K7346" s="213"/>
      <c r="L7346" s="120"/>
      <c r="M7346" s="120"/>
      <c r="N7346" s="167"/>
      <c r="O7346" s="120"/>
      <c r="P7346" s="120"/>
      <c r="Q7346" s="120"/>
      <c r="R7346" s="120"/>
      <c r="S7346" s="120"/>
      <c r="T7346" s="221"/>
      <c r="U7346" s="89"/>
      <c r="V7346" s="61"/>
      <c r="W7346" s="92" t="s">
        <v>65</v>
      </c>
      <c r="X7346" s="93" t="s">
        <v>30</v>
      </c>
      <c r="Y7346" s="93" t="s">
        <v>1011</v>
      </c>
      <c r="Z7346" s="134">
        <f>VLOOKUP(W7346,Sheet2!$B:$D,3,FALSE)</f>
        <v>1.76</v>
      </c>
      <c r="AA7346" s="93">
        <f>AA7345/10</f>
        <v>4</v>
      </c>
      <c r="AB7346" s="93">
        <f>AD7346/AC7338</f>
        <v>0.44</v>
      </c>
      <c r="AC7346" s="93">
        <f>AC7338/AA7346</f>
        <v>9.5249999999999915</v>
      </c>
      <c r="AD7346" s="94">
        <f t="shared" si="5192"/>
        <v>16.763999999999985</v>
      </c>
      <c r="AE7346" s="190"/>
      <c r="AF7346" s="191"/>
      <c r="AG7346" s="191"/>
      <c r="AH7346" s="191"/>
      <c r="AI7346" s="186"/>
      <c r="AK7346" s="171"/>
    </row>
    <row r="7347" spans="1:41" s="103" customFormat="1" ht="19.899999999999999" customHeight="1" x14ac:dyDescent="0.25">
      <c r="A7347" s="51"/>
      <c r="B7347" s="52"/>
      <c r="C7347" s="165"/>
      <c r="D7347" s="52"/>
      <c r="E7347" s="115"/>
      <c r="F7347" s="58"/>
      <c r="G7347" s="58"/>
      <c r="H7347" s="58"/>
      <c r="I7347" s="55"/>
      <c r="J7347" s="113">
        <f>J7337</f>
        <v>38.099999999999966</v>
      </c>
      <c r="K7347" s="212">
        <f>K7337</f>
        <v>38.099999999999966</v>
      </c>
      <c r="L7347" s="58"/>
      <c r="M7347" s="58">
        <f>K7347-L7347</f>
        <v>38.099999999999966</v>
      </c>
      <c r="N7347" s="166"/>
      <c r="O7347" s="58"/>
      <c r="P7347" s="58"/>
      <c r="Q7347" s="58"/>
      <c r="R7347" s="58"/>
      <c r="S7347" s="58"/>
      <c r="T7347" s="220"/>
      <c r="U7347" s="88"/>
      <c r="V7347" s="56"/>
      <c r="W7347" s="57" t="s">
        <v>1036</v>
      </c>
      <c r="X7347" s="53"/>
      <c r="Y7347" s="91" t="s">
        <v>68</v>
      </c>
      <c r="Z7347" s="136">
        <f>AD7347/AC7347</f>
        <v>300.58333333333331</v>
      </c>
      <c r="AA7347" s="58"/>
      <c r="AB7347" s="53">
        <f>AD7347/AC7347</f>
        <v>300.58333333333331</v>
      </c>
      <c r="AC7347" s="53">
        <f>M7347+$AE$10</f>
        <v>38.099999999999966</v>
      </c>
      <c r="AD7347" s="54">
        <f>SUM(AD7348:AD7353)</f>
        <v>11452.224999999989</v>
      </c>
      <c r="AE7347" s="184">
        <f>SUMIFS($AD$37:$AD$12971,$V$37:$V$12971,$V7347,$X$37:$X$12971,AE$13)</f>
        <v>0</v>
      </c>
      <c r="AF7347" s="185">
        <f>SUMIFS($AD$37:$AD$12971,$V$37:$V$12971,$V7347,$X$37:$X$12971,AF$13)</f>
        <v>0</v>
      </c>
      <c r="AG7347" s="185">
        <f>SUMIFS($AD$37:$AD$12971,$V$37:$V$12971,$V7347,$X$37:$X$12971,AG$13)</f>
        <v>0</v>
      </c>
      <c r="AH7347" s="187">
        <f>SUMIFS($AD$37:$AD$12971,$V$37:$V$12971,$V7347,$X$37:$X$12971,AH$13)</f>
        <v>0</v>
      </c>
      <c r="AI7347" s="161">
        <f t="shared" ref="AI7347" si="5193">SUM(AE7347:AH7347)</f>
        <v>0</v>
      </c>
      <c r="AK7347" s="172"/>
    </row>
    <row r="7348" spans="1:41" s="102" customFormat="1" ht="19.899999999999999" customHeight="1" x14ac:dyDescent="0.25">
      <c r="A7348" s="45"/>
      <c r="B7348" s="59"/>
      <c r="C7348" s="137"/>
      <c r="D7348" s="59"/>
      <c r="E7348" s="116"/>
      <c r="F7348" s="120"/>
      <c r="G7348" s="120"/>
      <c r="H7348" s="120"/>
      <c r="I7348" s="60"/>
      <c r="J7348" s="116"/>
      <c r="K7348" s="213"/>
      <c r="L7348" s="120"/>
      <c r="M7348" s="120"/>
      <c r="N7348" s="167"/>
      <c r="O7348" s="120"/>
      <c r="P7348" s="120"/>
      <c r="Q7348" s="120"/>
      <c r="R7348" s="120"/>
      <c r="S7348" s="120"/>
      <c r="T7348" s="221"/>
      <c r="U7348" s="89"/>
      <c r="V7348" s="61"/>
      <c r="W7348" s="92" t="s">
        <v>1056</v>
      </c>
      <c r="X7348" s="93" t="s">
        <v>30</v>
      </c>
      <c r="Y7348" s="93" t="s">
        <v>68</v>
      </c>
      <c r="Z7348" s="134">
        <f>VLOOKUP(W7348,Sheet2!$B:$D,3,FALSE)</f>
        <v>180</v>
      </c>
      <c r="AA7348" s="93">
        <v>1</v>
      </c>
      <c r="AB7348" s="93">
        <f>AD7348/AC7347</f>
        <v>180</v>
      </c>
      <c r="AC7348" s="93">
        <f>AC7347/AA7348</f>
        <v>38.099999999999966</v>
      </c>
      <c r="AD7348" s="94">
        <f t="shared" ref="AD7348" si="5194">AC7348*Z7348</f>
        <v>6857.9999999999936</v>
      </c>
      <c r="AE7348" s="190"/>
      <c r="AF7348" s="191"/>
      <c r="AG7348" s="191"/>
      <c r="AH7348" s="191"/>
      <c r="AI7348" s="186"/>
      <c r="AK7348" s="171"/>
    </row>
    <row r="7349" spans="1:41" s="102" customFormat="1" ht="19.899999999999999" customHeight="1" x14ac:dyDescent="0.25">
      <c r="A7349" s="45"/>
      <c r="B7349" s="59"/>
      <c r="C7349" s="137"/>
      <c r="D7349" s="59"/>
      <c r="E7349" s="116"/>
      <c r="F7349" s="120"/>
      <c r="G7349" s="120"/>
      <c r="H7349" s="120"/>
      <c r="I7349" s="60"/>
      <c r="J7349" s="116"/>
      <c r="K7349" s="213"/>
      <c r="L7349" s="120"/>
      <c r="M7349" s="120"/>
      <c r="N7349" s="167"/>
      <c r="O7349" s="120"/>
      <c r="P7349" s="120"/>
      <c r="Q7349" s="120"/>
      <c r="R7349" s="120"/>
      <c r="S7349" s="120"/>
      <c r="T7349" s="221"/>
      <c r="U7349" s="89"/>
      <c r="V7349" s="61"/>
      <c r="W7349" s="92" t="s">
        <v>1063</v>
      </c>
      <c r="X7349" s="93" t="s">
        <v>30</v>
      </c>
      <c r="Y7349" s="93" t="s">
        <v>68</v>
      </c>
      <c r="Z7349" s="134">
        <f>VLOOKUP(W7349,Sheet2!$B:$D,3,FALSE)</f>
        <v>18</v>
      </c>
      <c r="AA7349" s="93">
        <v>1</v>
      </c>
      <c r="AB7349" s="93">
        <f>AD7349/AC7347</f>
        <v>18</v>
      </c>
      <c r="AC7349" s="93">
        <f>AC7347/AA7349</f>
        <v>38.099999999999966</v>
      </c>
      <c r="AD7349" s="94">
        <f>AC7349*Z7349</f>
        <v>685.79999999999939</v>
      </c>
      <c r="AE7349" s="190"/>
      <c r="AF7349" s="191"/>
      <c r="AG7349" s="191"/>
      <c r="AH7349" s="191"/>
      <c r="AI7349" s="186"/>
      <c r="AK7349" s="171"/>
    </row>
    <row r="7350" spans="1:41" s="102" customFormat="1" ht="19.899999999999999" customHeight="1" x14ac:dyDescent="0.25">
      <c r="A7350" s="45"/>
      <c r="B7350" s="59"/>
      <c r="C7350" s="137"/>
      <c r="D7350" s="59"/>
      <c r="E7350" s="116"/>
      <c r="F7350" s="120"/>
      <c r="G7350" s="120"/>
      <c r="H7350" s="120"/>
      <c r="I7350" s="60"/>
      <c r="J7350" s="116"/>
      <c r="K7350" s="213"/>
      <c r="L7350" s="120"/>
      <c r="M7350" s="120"/>
      <c r="N7350" s="167"/>
      <c r="O7350" s="120"/>
      <c r="P7350" s="120"/>
      <c r="Q7350" s="120"/>
      <c r="R7350" s="120"/>
      <c r="S7350" s="120"/>
      <c r="T7350" s="221"/>
      <c r="U7350" s="89"/>
      <c r="V7350" s="61"/>
      <c r="W7350" s="92" t="s">
        <v>1071</v>
      </c>
      <c r="X7350" s="93" t="s">
        <v>32</v>
      </c>
      <c r="Y7350" s="93" t="s">
        <v>68</v>
      </c>
      <c r="Z7350" s="134">
        <f>VLOOKUP(W7350,Sheet2!$B:$D,3,FALSE)</f>
        <v>52</v>
      </c>
      <c r="AA7350" s="93">
        <v>1</v>
      </c>
      <c r="AB7350" s="93">
        <f>AD7350/AC7347</f>
        <v>52</v>
      </c>
      <c r="AC7350" s="93">
        <f>AC7347/AA7350</f>
        <v>38.099999999999966</v>
      </c>
      <c r="AD7350" s="94">
        <f>AC7350*Z7350</f>
        <v>1981.1999999999982</v>
      </c>
      <c r="AE7350" s="190"/>
      <c r="AF7350" s="191"/>
      <c r="AG7350" s="191"/>
      <c r="AH7350" s="191"/>
      <c r="AI7350" s="186"/>
      <c r="AK7350" s="171"/>
    </row>
    <row r="7351" spans="1:41" s="102" customFormat="1" ht="19.899999999999999" customHeight="1" x14ac:dyDescent="0.25">
      <c r="A7351" s="45"/>
      <c r="B7351" s="59"/>
      <c r="C7351" s="137"/>
      <c r="D7351" s="59"/>
      <c r="E7351" s="116"/>
      <c r="F7351" s="120"/>
      <c r="G7351" s="120"/>
      <c r="H7351" s="120"/>
      <c r="I7351" s="60"/>
      <c r="J7351" s="116"/>
      <c r="K7351" s="213"/>
      <c r="L7351" s="120"/>
      <c r="M7351" s="120"/>
      <c r="N7351" s="167"/>
      <c r="O7351" s="120"/>
      <c r="P7351" s="120"/>
      <c r="Q7351" s="120"/>
      <c r="R7351" s="120"/>
      <c r="S7351" s="120"/>
      <c r="T7351" s="221"/>
      <c r="U7351" s="89"/>
      <c r="V7351" s="61"/>
      <c r="W7351" s="92" t="s">
        <v>1032</v>
      </c>
      <c r="X7351" s="93" t="s">
        <v>30</v>
      </c>
      <c r="Y7351" s="93" t="s">
        <v>66</v>
      </c>
      <c r="Z7351" s="134">
        <f>VLOOKUP(W7351,Sheet2!$B:$D,3,FALSE)</f>
        <v>250</v>
      </c>
      <c r="AA7351" s="93">
        <f>1/(1.25*0.1)</f>
        <v>8</v>
      </c>
      <c r="AB7351" s="93">
        <f>AD7351/AC7347</f>
        <v>31.249999999999996</v>
      </c>
      <c r="AC7351" s="93">
        <f>AC7347/AA7351</f>
        <v>4.7624999999999957</v>
      </c>
      <c r="AD7351" s="94">
        <f>AC7351*Z7351</f>
        <v>1190.6249999999989</v>
      </c>
      <c r="AE7351" s="190"/>
      <c r="AF7351" s="191"/>
      <c r="AG7351" s="191"/>
      <c r="AH7351" s="191"/>
      <c r="AI7351" s="186"/>
      <c r="AK7351" s="171"/>
    </row>
    <row r="7352" spans="1:41" s="102" customFormat="1" ht="19.899999999999999" customHeight="1" x14ac:dyDescent="0.25">
      <c r="A7352" s="45"/>
      <c r="B7352" s="59"/>
      <c r="C7352" s="137"/>
      <c r="D7352" s="59"/>
      <c r="E7352" s="116"/>
      <c r="F7352" s="120"/>
      <c r="G7352" s="120"/>
      <c r="H7352" s="120"/>
      <c r="I7352" s="60"/>
      <c r="J7352" s="116"/>
      <c r="K7352" s="213"/>
      <c r="L7352" s="120"/>
      <c r="M7352" s="120"/>
      <c r="N7352" s="167"/>
      <c r="O7352" s="120"/>
      <c r="P7352" s="120"/>
      <c r="Q7352" s="120"/>
      <c r="R7352" s="120"/>
      <c r="S7352" s="120"/>
      <c r="T7352" s="221"/>
      <c r="U7352" s="89"/>
      <c r="V7352" s="61"/>
      <c r="W7352" s="92" t="s">
        <v>1035</v>
      </c>
      <c r="X7352" s="93" t="s">
        <v>32</v>
      </c>
      <c r="Y7352" s="93" t="s">
        <v>66</v>
      </c>
      <c r="Z7352" s="134">
        <f>VLOOKUP(W7352,Sheet2!$B:$D,3,FALSE)</f>
        <v>150</v>
      </c>
      <c r="AA7352" s="93">
        <f>AA7351</f>
        <v>8</v>
      </c>
      <c r="AB7352" s="93">
        <f>AD7352/AC7347</f>
        <v>18.75</v>
      </c>
      <c r="AC7352" s="93">
        <f>AC7347/AA7352</f>
        <v>4.7624999999999957</v>
      </c>
      <c r="AD7352" s="94">
        <f t="shared" ref="AD7352:AD7353" si="5195">AC7352*Z7352</f>
        <v>714.37499999999932</v>
      </c>
      <c r="AE7352" s="190"/>
      <c r="AF7352" s="191"/>
      <c r="AG7352" s="191"/>
      <c r="AH7352" s="191"/>
      <c r="AI7352" s="186"/>
      <c r="AK7352" s="171"/>
    </row>
    <row r="7353" spans="1:41" s="102" customFormat="1" ht="19.899999999999999" customHeight="1" x14ac:dyDescent="0.25">
      <c r="A7353" s="45"/>
      <c r="B7353" s="59"/>
      <c r="C7353" s="137"/>
      <c r="D7353" s="59"/>
      <c r="E7353" s="116"/>
      <c r="F7353" s="120"/>
      <c r="G7353" s="120"/>
      <c r="H7353" s="120"/>
      <c r="I7353" s="60"/>
      <c r="J7353" s="116"/>
      <c r="K7353" s="213"/>
      <c r="L7353" s="120"/>
      <c r="M7353" s="120"/>
      <c r="N7353" s="167"/>
      <c r="O7353" s="120"/>
      <c r="P7353" s="120"/>
      <c r="Q7353" s="120"/>
      <c r="R7353" s="120"/>
      <c r="S7353" s="120"/>
      <c r="T7353" s="221"/>
      <c r="U7353" s="89"/>
      <c r="V7353" s="61"/>
      <c r="W7353" s="92" t="s">
        <v>1037</v>
      </c>
      <c r="X7353" s="93" t="s">
        <v>30</v>
      </c>
      <c r="Y7353" s="93" t="s">
        <v>1038</v>
      </c>
      <c r="Z7353" s="134">
        <f>VLOOKUP(W7353,Sheet2!$B:$D,3,FALSE)</f>
        <v>175</v>
      </c>
      <c r="AA7353" s="93">
        <v>300</v>
      </c>
      <c r="AB7353" s="93">
        <f>AD7353/AC7347</f>
        <v>0.58333333333333337</v>
      </c>
      <c r="AC7353" s="93">
        <f>AC7347/AA7353</f>
        <v>0.12699999999999989</v>
      </c>
      <c r="AD7353" s="94">
        <f t="shared" si="5195"/>
        <v>22.22499999999998</v>
      </c>
      <c r="AE7353" s="190"/>
      <c r="AF7353" s="191"/>
      <c r="AG7353" s="191"/>
      <c r="AH7353" s="191"/>
      <c r="AI7353" s="186"/>
      <c r="AK7353" s="171"/>
    </row>
    <row r="7354" spans="1:41" s="103" customFormat="1" ht="19.899999999999999" customHeight="1" x14ac:dyDescent="0.25">
      <c r="A7354" s="51"/>
      <c r="B7354" s="52"/>
      <c r="C7354" s="165"/>
      <c r="D7354" s="52"/>
      <c r="E7354" s="115"/>
      <c r="F7354" s="58"/>
      <c r="G7354" s="58"/>
      <c r="H7354" s="58"/>
      <c r="I7354" s="55"/>
      <c r="J7354" s="113">
        <f>J7337</f>
        <v>38.099999999999966</v>
      </c>
      <c r="K7354" s="212">
        <f>K7337</f>
        <v>38.099999999999966</v>
      </c>
      <c r="L7354" s="58"/>
      <c r="M7354" s="58">
        <f>K7354-L7354</f>
        <v>38.099999999999966</v>
      </c>
      <c r="N7354" s="166"/>
      <c r="O7354" s="58"/>
      <c r="P7354" s="58"/>
      <c r="Q7354" s="58"/>
      <c r="R7354" s="58"/>
      <c r="S7354" s="58"/>
      <c r="T7354" s="220"/>
      <c r="U7354" s="88"/>
      <c r="V7354" s="56"/>
      <c r="W7354" s="57" t="s">
        <v>1040</v>
      </c>
      <c r="X7354" s="53"/>
      <c r="Y7354" s="91" t="s">
        <v>68</v>
      </c>
      <c r="Z7354" s="136">
        <f>AD7354/AC7354</f>
        <v>5</v>
      </c>
      <c r="AA7354" s="58"/>
      <c r="AB7354" s="53">
        <f>AD7354/AC7354</f>
        <v>5</v>
      </c>
      <c r="AC7354" s="53">
        <f>M7354+$AE$10</f>
        <v>38.099999999999966</v>
      </c>
      <c r="AD7354" s="54">
        <f>SUM(AD7355)</f>
        <v>190.49999999999983</v>
      </c>
      <c r="AE7354" s="184">
        <f>SUMIFS($AD$37:$AD$12971,$V$37:$V$12971,$V7354,$X$37:$X$12971,AE$13)</f>
        <v>0</v>
      </c>
      <c r="AF7354" s="185">
        <f>SUMIFS($AD$37:$AD$12971,$V$37:$V$12971,$V7354,$X$37:$X$12971,AF$13)</f>
        <v>0</v>
      </c>
      <c r="AG7354" s="185">
        <f>SUMIFS($AD$37:$AD$12971,$V$37:$V$12971,$V7354,$X$37:$X$12971,AG$13)</f>
        <v>0</v>
      </c>
      <c r="AH7354" s="187">
        <f>SUMIFS($AD$37:$AD$12971,$V$37:$V$12971,$V7354,$X$37:$X$12971,AH$13)</f>
        <v>0</v>
      </c>
      <c r="AI7354" s="161">
        <f t="shared" ref="AI7354" si="5196">SUM(AE7354:AH7354)</f>
        <v>0</v>
      </c>
      <c r="AK7354" s="172"/>
    </row>
    <row r="7355" spans="1:41" s="102" customFormat="1" ht="19.899999999999999" customHeight="1" x14ac:dyDescent="0.25">
      <c r="A7355" s="45"/>
      <c r="B7355" s="59"/>
      <c r="C7355" s="137"/>
      <c r="D7355" s="59"/>
      <c r="E7355" s="116"/>
      <c r="F7355" s="120"/>
      <c r="G7355" s="120"/>
      <c r="H7355" s="120"/>
      <c r="I7355" s="60"/>
      <c r="J7355" s="116"/>
      <c r="K7355" s="213"/>
      <c r="L7355" s="120"/>
      <c r="M7355" s="120"/>
      <c r="N7355" s="167"/>
      <c r="O7355" s="120"/>
      <c r="P7355" s="120"/>
      <c r="Q7355" s="120"/>
      <c r="R7355" s="120"/>
      <c r="S7355" s="120"/>
      <c r="T7355" s="221"/>
      <c r="U7355" s="89"/>
      <c r="V7355" s="61"/>
      <c r="W7355" s="92" t="s">
        <v>1039</v>
      </c>
      <c r="X7355" s="93" t="s">
        <v>32</v>
      </c>
      <c r="Y7355" s="93" t="s">
        <v>68</v>
      </c>
      <c r="Z7355" s="134">
        <f>VLOOKUP(W7355,Sheet2!$B:$D,3,FALSE)</f>
        <v>5</v>
      </c>
      <c r="AA7355" s="93">
        <v>1</v>
      </c>
      <c r="AB7355" s="93">
        <f>AD7355/AC7354</f>
        <v>5</v>
      </c>
      <c r="AC7355" s="93">
        <f>AC7354/AA7355</f>
        <v>38.099999999999966</v>
      </c>
      <c r="AD7355" s="94">
        <f t="shared" ref="AD7355" si="5197">AC7355*Z7355</f>
        <v>190.49999999999983</v>
      </c>
      <c r="AE7355" s="190"/>
      <c r="AF7355" s="191"/>
      <c r="AG7355" s="191"/>
      <c r="AH7355" s="191"/>
      <c r="AI7355" s="186"/>
      <c r="AK7355" s="171"/>
    </row>
    <row r="7356" spans="1:41" ht="20.100000000000001" customHeight="1" x14ac:dyDescent="0.25">
      <c r="A7356" s="277" t="s">
        <v>703</v>
      </c>
      <c r="B7356" s="278"/>
      <c r="C7356" s="64" t="s">
        <v>732</v>
      </c>
      <c r="D7356" s="46" t="s">
        <v>97</v>
      </c>
      <c r="E7356" s="114">
        <v>64.410149999999817</v>
      </c>
      <c r="F7356" s="44">
        <v>572</v>
      </c>
      <c r="G7356" s="44">
        <f t="shared" si="4575"/>
        <v>36842.605799999896</v>
      </c>
      <c r="H7356" s="44">
        <f t="shared" si="4576"/>
        <v>355.76795294117647</v>
      </c>
      <c r="I7356" s="43">
        <f t="shared" si="4577"/>
        <v>22915.067214134051</v>
      </c>
      <c r="J7356" s="112">
        <f t="shared" si="4578"/>
        <v>64.410149999999817</v>
      </c>
      <c r="K7356" s="211">
        <f t="shared" si="4579"/>
        <v>64.410149999999817</v>
      </c>
      <c r="L7356" s="44"/>
      <c r="M7356" s="44">
        <f t="shared" si="4580"/>
        <v>64.410149999999817</v>
      </c>
      <c r="N7356" s="173">
        <f t="shared" si="4581"/>
        <v>1</v>
      </c>
      <c r="O7356" s="44">
        <f t="shared" si="4582"/>
        <v>572</v>
      </c>
      <c r="P7356" s="44">
        <f t="shared" si="4583"/>
        <v>36842.605799999896</v>
      </c>
      <c r="Q7356" s="44">
        <f t="shared" si="4584"/>
        <v>355.76795294117647</v>
      </c>
      <c r="R7356" s="44">
        <f t="shared" si="4585"/>
        <v>22915.067214134051</v>
      </c>
      <c r="S7356" s="123"/>
      <c r="T7356" s="219">
        <f t="shared" si="4586"/>
        <v>22915.067214134051</v>
      </c>
      <c r="U7356" s="87"/>
      <c r="V7356" s="47"/>
      <c r="W7356" s="48"/>
      <c r="X7356" s="48"/>
      <c r="Y7356" s="48"/>
      <c r="Z7356" s="135"/>
      <c r="AA7356" s="49"/>
      <c r="AB7356" s="50">
        <f t="shared" si="4587"/>
        <v>355.76795294117647</v>
      </c>
      <c r="AC7356" s="42">
        <f t="shared" si="4588"/>
        <v>64.410149999999817</v>
      </c>
      <c r="AD7356" s="90">
        <f>AD7357+AD7367+AD7374</f>
        <v>22915.067214134051</v>
      </c>
      <c r="AE7356" s="188">
        <f t="shared" ref="AE7356" si="5198">AE7357+AE7367+AE7374</f>
        <v>0</v>
      </c>
      <c r="AF7356" s="189">
        <f t="shared" ref="AF7356" si="5199">AF7357+AF7367+AF7374</f>
        <v>0</v>
      </c>
      <c r="AG7356" s="189">
        <f t="shared" ref="AG7356" si="5200">AG7357+AG7367+AG7374</f>
        <v>0</v>
      </c>
      <c r="AH7356" s="189">
        <f t="shared" ref="AH7356" si="5201">AH7357+AH7367+AH7374</f>
        <v>0</v>
      </c>
      <c r="AI7356" s="161">
        <f t="shared" si="5188"/>
        <v>0</v>
      </c>
      <c r="AK7356" s="169">
        <v>5</v>
      </c>
      <c r="AO7356" s="19" t="s">
        <v>63</v>
      </c>
    </row>
    <row r="7357" spans="1:41" s="103" customFormat="1" ht="19.899999999999999" customHeight="1" x14ac:dyDescent="0.25">
      <c r="A7357" s="51"/>
      <c r="B7357" s="52"/>
      <c r="C7357" s="165"/>
      <c r="D7357" s="52"/>
      <c r="E7357" s="115"/>
      <c r="F7357" s="58"/>
      <c r="G7357" s="58"/>
      <c r="H7357" s="58"/>
      <c r="I7357" s="55"/>
      <c r="J7357" s="113">
        <f>J7356</f>
        <v>64.410149999999817</v>
      </c>
      <c r="K7357" s="212">
        <f>K7356</f>
        <v>64.410149999999817</v>
      </c>
      <c r="L7357" s="58"/>
      <c r="M7357" s="58">
        <f>K7357-L7357</f>
        <v>64.410149999999817</v>
      </c>
      <c r="N7357" s="166"/>
      <c r="O7357" s="58"/>
      <c r="P7357" s="58"/>
      <c r="Q7357" s="58"/>
      <c r="R7357" s="58"/>
      <c r="S7357" s="58"/>
      <c r="T7357" s="220"/>
      <c r="U7357" s="88"/>
      <c r="V7357" s="56"/>
      <c r="W7357" s="57" t="s">
        <v>1094</v>
      </c>
      <c r="X7357" s="53"/>
      <c r="Y7357" s="91" t="s">
        <v>68</v>
      </c>
      <c r="Z7357" s="136">
        <f>AD7357/AC7357</f>
        <v>50.184619607843139</v>
      </c>
      <c r="AA7357" s="58"/>
      <c r="AB7357" s="53">
        <f>AD7357/AC7357</f>
        <v>50.184619607843139</v>
      </c>
      <c r="AC7357" s="53">
        <f>M7357+$AE$10</f>
        <v>64.410149999999817</v>
      </c>
      <c r="AD7357" s="54">
        <f>SUM(AD7358:AD7366)</f>
        <v>3232.3988766341085</v>
      </c>
      <c r="AE7357" s="184">
        <f>SUMIFS($AD$37:$AD$12971,$V$37:$V$12971,$V7357,$X$37:$X$12971,AE$13)</f>
        <v>0</v>
      </c>
      <c r="AF7357" s="185">
        <f>SUMIFS($AD$37:$AD$12971,$V$37:$V$12971,$V7357,$X$37:$X$12971,AF$13)</f>
        <v>0</v>
      </c>
      <c r="AG7357" s="185">
        <f>SUMIFS($AD$37:$AD$12971,$V$37:$V$12971,$V7357,$X$37:$X$12971,AG$13)</f>
        <v>0</v>
      </c>
      <c r="AH7357" s="187">
        <f>SUMIFS($AD$37:$AD$12971,$V$37:$V$12971,$V7357,$X$37:$X$12971,AH$13)</f>
        <v>0</v>
      </c>
      <c r="AI7357" s="161">
        <f t="shared" ref="AI7357" si="5202">SUM(AE7357:AH7357)</f>
        <v>0</v>
      </c>
      <c r="AK7357" s="172"/>
    </row>
    <row r="7358" spans="1:41" s="102" customFormat="1" ht="19.899999999999999" customHeight="1" x14ac:dyDescent="0.25">
      <c r="A7358" s="45"/>
      <c r="B7358" s="59"/>
      <c r="C7358" s="137"/>
      <c r="D7358" s="59"/>
      <c r="E7358" s="116"/>
      <c r="F7358" s="120"/>
      <c r="G7358" s="120"/>
      <c r="H7358" s="120"/>
      <c r="I7358" s="60"/>
      <c r="J7358" s="116"/>
      <c r="K7358" s="213"/>
      <c r="L7358" s="120"/>
      <c r="M7358" s="120"/>
      <c r="N7358" s="167"/>
      <c r="O7358" s="120"/>
      <c r="P7358" s="120"/>
      <c r="Q7358" s="120"/>
      <c r="R7358" s="120"/>
      <c r="S7358" s="120"/>
      <c r="T7358" s="221"/>
      <c r="U7358" s="89"/>
      <c r="V7358" s="61"/>
      <c r="W7358" s="92" t="s">
        <v>129</v>
      </c>
      <c r="X7358" s="93" t="s">
        <v>29</v>
      </c>
      <c r="Y7358" s="93" t="s">
        <v>93</v>
      </c>
      <c r="Z7358" s="134">
        <f>VLOOKUP(W7358,Sheet2!$B:$D,3,FALSE)</f>
        <v>56</v>
      </c>
      <c r="AA7358" s="93">
        <f>100/(1.25*2.5)</f>
        <v>32</v>
      </c>
      <c r="AB7358" s="93">
        <f t="shared" ref="AB7358" si="5203">AD7358/AC7357</f>
        <v>1.75</v>
      </c>
      <c r="AC7358" s="93">
        <f>AC7357/AA7358</f>
        <v>2.0128171874999943</v>
      </c>
      <c r="AD7358" s="94">
        <f t="shared" ref="AD7358:AD7359" si="5204">AC7358*Z7358</f>
        <v>112.71776249999968</v>
      </c>
      <c r="AE7358" s="190"/>
      <c r="AF7358" s="191"/>
      <c r="AG7358" s="191"/>
      <c r="AH7358" s="191"/>
      <c r="AI7358" s="186"/>
      <c r="AK7358" s="171"/>
    </row>
    <row r="7359" spans="1:41" s="102" customFormat="1" ht="19.899999999999999" customHeight="1" x14ac:dyDescent="0.25">
      <c r="A7359" s="45"/>
      <c r="B7359" s="59"/>
      <c r="C7359" s="137"/>
      <c r="D7359" s="59"/>
      <c r="E7359" s="116"/>
      <c r="F7359" s="120"/>
      <c r="G7359" s="120"/>
      <c r="H7359" s="120"/>
      <c r="I7359" s="60"/>
      <c r="J7359" s="116"/>
      <c r="K7359" s="213"/>
      <c r="L7359" s="120"/>
      <c r="M7359" s="120"/>
      <c r="N7359" s="167"/>
      <c r="O7359" s="120"/>
      <c r="P7359" s="120"/>
      <c r="Q7359" s="120"/>
      <c r="R7359" s="120"/>
      <c r="S7359" s="120"/>
      <c r="T7359" s="221"/>
      <c r="U7359" s="89"/>
      <c r="V7359" s="61"/>
      <c r="W7359" s="92" t="s">
        <v>65</v>
      </c>
      <c r="X7359" s="93" t="s">
        <v>30</v>
      </c>
      <c r="Y7359" s="93" t="s">
        <v>1011</v>
      </c>
      <c r="Z7359" s="134">
        <f>VLOOKUP(W7359,Sheet2!$B:$D,3,FALSE)</f>
        <v>1.76</v>
      </c>
      <c r="AA7359" s="93">
        <f>AA7358/14</f>
        <v>2.2857142857142856</v>
      </c>
      <c r="AB7359" s="93">
        <f>AD7359/AC7357</f>
        <v>0.77</v>
      </c>
      <c r="AC7359" s="93">
        <f>AC7357/AA7359</f>
        <v>28.17944062499992</v>
      </c>
      <c r="AD7359" s="94">
        <f t="shared" si="5204"/>
        <v>49.595815499999858</v>
      </c>
      <c r="AE7359" s="190"/>
      <c r="AF7359" s="191"/>
      <c r="AG7359" s="191"/>
      <c r="AH7359" s="191"/>
      <c r="AI7359" s="186"/>
      <c r="AK7359" s="171"/>
    </row>
    <row r="7360" spans="1:41" s="102" customFormat="1" ht="19.899999999999999" customHeight="1" x14ac:dyDescent="0.25">
      <c r="A7360" s="45"/>
      <c r="B7360" s="59"/>
      <c r="C7360" s="137"/>
      <c r="D7360" s="59"/>
      <c r="E7360" s="116"/>
      <c r="F7360" s="120"/>
      <c r="G7360" s="120"/>
      <c r="H7360" s="120"/>
      <c r="I7360" s="60"/>
      <c r="J7360" s="116"/>
      <c r="K7360" s="213"/>
      <c r="L7360" s="120"/>
      <c r="M7360" s="120"/>
      <c r="N7360" s="167"/>
      <c r="O7360" s="120"/>
      <c r="P7360" s="120"/>
      <c r="Q7360" s="120"/>
      <c r="R7360" s="120"/>
      <c r="S7360" s="120"/>
      <c r="T7360" s="221"/>
      <c r="U7360" s="89"/>
      <c r="V7360" s="61"/>
      <c r="W7360" s="92" t="s">
        <v>161</v>
      </c>
      <c r="X7360" s="93" t="s">
        <v>29</v>
      </c>
      <c r="Y7360" s="93" t="s">
        <v>93</v>
      </c>
      <c r="Z7360" s="134">
        <f>VLOOKUP(W7360,Sheet2!$B:$D,3,FALSE)</f>
        <v>48</v>
      </c>
      <c r="AA7360" s="93">
        <f>(16*0.85*1.5)/(1.25*2.5)</f>
        <v>6.5279999999999996</v>
      </c>
      <c r="AB7360" s="93">
        <f>AD7360/AC7357</f>
        <v>7.3529411764705879</v>
      </c>
      <c r="AC7360" s="93">
        <f>AC7357/AA7360</f>
        <v>9.866750919117619</v>
      </c>
      <c r="AD7360" s="94">
        <f>AC7360*Z7360</f>
        <v>473.60404411764569</v>
      </c>
      <c r="AE7360" s="190"/>
      <c r="AF7360" s="191"/>
      <c r="AG7360" s="191"/>
      <c r="AH7360" s="191"/>
      <c r="AI7360" s="186"/>
      <c r="AK7360" s="171"/>
    </row>
    <row r="7361" spans="1:41" s="102" customFormat="1" ht="19.899999999999999" customHeight="1" x14ac:dyDescent="0.25">
      <c r="A7361" s="45"/>
      <c r="B7361" s="59"/>
      <c r="C7361" s="137"/>
      <c r="D7361" s="59"/>
      <c r="E7361" s="116"/>
      <c r="F7361" s="120"/>
      <c r="G7361" s="120"/>
      <c r="H7361" s="120"/>
      <c r="I7361" s="60"/>
      <c r="J7361" s="116"/>
      <c r="K7361" s="213"/>
      <c r="L7361" s="120"/>
      <c r="M7361" s="120"/>
      <c r="N7361" s="167"/>
      <c r="O7361" s="120"/>
      <c r="P7361" s="120"/>
      <c r="Q7361" s="120"/>
      <c r="R7361" s="120"/>
      <c r="S7361" s="120"/>
      <c r="T7361" s="221"/>
      <c r="U7361" s="89"/>
      <c r="V7361" s="61"/>
      <c r="W7361" s="92" t="s">
        <v>65</v>
      </c>
      <c r="X7361" s="93" t="s">
        <v>30</v>
      </c>
      <c r="Y7361" s="93" t="s">
        <v>1011</v>
      </c>
      <c r="Z7361" s="134">
        <f>VLOOKUP(W7361,Sheet2!$B:$D,3,FALSE)</f>
        <v>1.76</v>
      </c>
      <c r="AA7361" s="93">
        <f>AA7360/10</f>
        <v>0.65279999999999994</v>
      </c>
      <c r="AB7361" s="93">
        <f>AD7361/AC7357</f>
        <v>2.6960784313725488</v>
      </c>
      <c r="AC7361" s="93">
        <f>AC7357/AA7361</f>
        <v>98.667509191176194</v>
      </c>
      <c r="AD7361" s="94">
        <f>AC7361*Z7361</f>
        <v>173.65481617647009</v>
      </c>
      <c r="AE7361" s="190"/>
      <c r="AF7361" s="191"/>
      <c r="AG7361" s="191"/>
      <c r="AH7361" s="191"/>
      <c r="AI7361" s="186"/>
      <c r="AK7361" s="171"/>
    </row>
    <row r="7362" spans="1:41" s="102" customFormat="1" ht="19.899999999999999" customHeight="1" x14ac:dyDescent="0.25">
      <c r="A7362" s="45"/>
      <c r="B7362" s="59"/>
      <c r="C7362" s="137"/>
      <c r="D7362" s="59"/>
      <c r="E7362" s="116"/>
      <c r="F7362" s="120"/>
      <c r="G7362" s="120"/>
      <c r="H7362" s="120"/>
      <c r="I7362" s="60"/>
      <c r="J7362" s="116"/>
      <c r="K7362" s="213"/>
      <c r="L7362" s="120"/>
      <c r="M7362" s="120"/>
      <c r="N7362" s="167"/>
      <c r="O7362" s="120"/>
      <c r="P7362" s="120"/>
      <c r="Q7362" s="120"/>
      <c r="R7362" s="120"/>
      <c r="S7362" s="120"/>
      <c r="T7362" s="221"/>
      <c r="U7362" s="89"/>
      <c r="V7362" s="61"/>
      <c r="W7362" s="92" t="s">
        <v>1030</v>
      </c>
      <c r="X7362" s="93" t="s">
        <v>29</v>
      </c>
      <c r="Y7362" s="93" t="s">
        <v>93</v>
      </c>
      <c r="Z7362" s="134">
        <f>VLOOKUP(W7362,Sheet2!$B:$D,3,FALSE)</f>
        <v>23</v>
      </c>
      <c r="AA7362" s="93">
        <v>50</v>
      </c>
      <c r="AB7362" s="93">
        <f>AD7362/AC7357</f>
        <v>0.46</v>
      </c>
      <c r="AC7362" s="93">
        <f>AC7357/AA7362</f>
        <v>1.2882029999999964</v>
      </c>
      <c r="AD7362" s="94">
        <f t="shared" ref="AD7362:AD7366" si="5205">AC7362*Z7362</f>
        <v>29.628668999999917</v>
      </c>
      <c r="AE7362" s="190"/>
      <c r="AF7362" s="191"/>
      <c r="AG7362" s="191"/>
      <c r="AH7362" s="191"/>
      <c r="AI7362" s="186"/>
      <c r="AK7362" s="171"/>
    </row>
    <row r="7363" spans="1:41" s="102" customFormat="1" ht="19.899999999999999" customHeight="1" x14ac:dyDescent="0.25">
      <c r="A7363" s="45"/>
      <c r="B7363" s="59"/>
      <c r="C7363" s="137"/>
      <c r="D7363" s="59"/>
      <c r="E7363" s="116"/>
      <c r="F7363" s="120"/>
      <c r="G7363" s="120"/>
      <c r="H7363" s="120"/>
      <c r="I7363" s="60"/>
      <c r="J7363" s="116"/>
      <c r="K7363" s="213"/>
      <c r="L7363" s="120"/>
      <c r="M7363" s="120"/>
      <c r="N7363" s="167"/>
      <c r="O7363" s="120"/>
      <c r="P7363" s="120"/>
      <c r="Q7363" s="120"/>
      <c r="R7363" s="120"/>
      <c r="S7363" s="120"/>
      <c r="T7363" s="221"/>
      <c r="U7363" s="89"/>
      <c r="V7363" s="61"/>
      <c r="W7363" s="92" t="s">
        <v>65</v>
      </c>
      <c r="X7363" s="93" t="s">
        <v>30</v>
      </c>
      <c r="Y7363" s="93" t="s">
        <v>1011</v>
      </c>
      <c r="Z7363" s="134">
        <f>VLOOKUP(W7363,Sheet2!$B:$D,3,FALSE)</f>
        <v>1.76</v>
      </c>
      <c r="AA7363" s="93">
        <f>AA7362/3</f>
        <v>16.666666666666668</v>
      </c>
      <c r="AB7363" s="93">
        <f>AD7363/AC7357</f>
        <v>0.10559999999999999</v>
      </c>
      <c r="AC7363" s="93">
        <f>AC7357/AA7363</f>
        <v>3.8646089999999886</v>
      </c>
      <c r="AD7363" s="94">
        <f t="shared" si="5205"/>
        <v>6.8017118399999799</v>
      </c>
      <c r="AE7363" s="190"/>
      <c r="AF7363" s="191"/>
      <c r="AG7363" s="191"/>
      <c r="AH7363" s="191"/>
      <c r="AI7363" s="186"/>
      <c r="AK7363" s="171"/>
    </row>
    <row r="7364" spans="1:41" s="102" customFormat="1" ht="19.899999999999999" customHeight="1" x14ac:dyDescent="0.25">
      <c r="A7364" s="45"/>
      <c r="B7364" s="59"/>
      <c r="C7364" s="137"/>
      <c r="D7364" s="59"/>
      <c r="E7364" s="116"/>
      <c r="F7364" s="120"/>
      <c r="G7364" s="120"/>
      <c r="H7364" s="120"/>
      <c r="I7364" s="60"/>
      <c r="J7364" s="116"/>
      <c r="K7364" s="213"/>
      <c r="L7364" s="120"/>
      <c r="M7364" s="120"/>
      <c r="N7364" s="167"/>
      <c r="O7364" s="120"/>
      <c r="P7364" s="120"/>
      <c r="Q7364" s="120"/>
      <c r="R7364" s="120"/>
      <c r="S7364" s="120"/>
      <c r="T7364" s="221"/>
      <c r="U7364" s="89"/>
      <c r="V7364" s="61"/>
      <c r="W7364" s="92" t="s">
        <v>148</v>
      </c>
      <c r="X7364" s="93" t="s">
        <v>29</v>
      </c>
      <c r="Y7364" s="93" t="s">
        <v>93</v>
      </c>
      <c r="Z7364" s="134">
        <f>VLOOKUP(W7364,Sheet2!$B:$D,3,FALSE)</f>
        <v>48</v>
      </c>
      <c r="AA7364" s="93">
        <f>AA7358</f>
        <v>32</v>
      </c>
      <c r="AB7364" s="93">
        <f>AD7364/AC7357</f>
        <v>1.5</v>
      </c>
      <c r="AC7364" s="93">
        <f>AC7357/AA7364</f>
        <v>2.0128171874999943</v>
      </c>
      <c r="AD7364" s="94">
        <f t="shared" si="5205"/>
        <v>96.615224999999725</v>
      </c>
      <c r="AE7364" s="190"/>
      <c r="AF7364" s="191"/>
      <c r="AG7364" s="191"/>
      <c r="AH7364" s="191"/>
      <c r="AI7364" s="186"/>
      <c r="AK7364" s="171"/>
    </row>
    <row r="7365" spans="1:41" s="102" customFormat="1" ht="19.899999999999999" customHeight="1" x14ac:dyDescent="0.25">
      <c r="A7365" s="45"/>
      <c r="B7365" s="59"/>
      <c r="C7365" s="137"/>
      <c r="D7365" s="59"/>
      <c r="E7365" s="116"/>
      <c r="F7365" s="120"/>
      <c r="G7365" s="120"/>
      <c r="H7365" s="120"/>
      <c r="I7365" s="60"/>
      <c r="J7365" s="116"/>
      <c r="K7365" s="213"/>
      <c r="L7365" s="120"/>
      <c r="M7365" s="120"/>
      <c r="N7365" s="167"/>
      <c r="O7365" s="120"/>
      <c r="P7365" s="120"/>
      <c r="Q7365" s="120"/>
      <c r="R7365" s="120"/>
      <c r="S7365" s="120"/>
      <c r="T7365" s="221"/>
      <c r="U7365" s="89"/>
      <c r="V7365" s="61"/>
      <c r="W7365" s="92" t="s">
        <v>65</v>
      </c>
      <c r="X7365" s="93" t="s">
        <v>30</v>
      </c>
      <c r="Y7365" s="93" t="s">
        <v>1011</v>
      </c>
      <c r="Z7365" s="134">
        <f>VLOOKUP(W7365,Sheet2!$B:$D,3,FALSE)</f>
        <v>1.76</v>
      </c>
      <c r="AA7365" s="93">
        <f>AA7364/10</f>
        <v>3.2</v>
      </c>
      <c r="AB7365" s="93">
        <f>AD7365/AC7357</f>
        <v>0.54999999999999993</v>
      </c>
      <c r="AC7365" s="93">
        <f>AC7357/AA7365</f>
        <v>20.128171874999943</v>
      </c>
      <c r="AD7365" s="94">
        <f t="shared" si="5205"/>
        <v>35.425582499999898</v>
      </c>
      <c r="AE7365" s="190"/>
      <c r="AF7365" s="191"/>
      <c r="AG7365" s="191"/>
      <c r="AH7365" s="191"/>
      <c r="AI7365" s="186"/>
      <c r="AK7365" s="171"/>
    </row>
    <row r="7366" spans="1:41" s="102" customFormat="1" ht="19.899999999999999" customHeight="1" x14ac:dyDescent="0.25">
      <c r="A7366" s="45"/>
      <c r="B7366" s="59"/>
      <c r="C7366" s="137"/>
      <c r="D7366" s="59"/>
      <c r="E7366" s="116"/>
      <c r="F7366" s="120"/>
      <c r="G7366" s="120"/>
      <c r="H7366" s="120"/>
      <c r="I7366" s="60"/>
      <c r="J7366" s="116"/>
      <c r="K7366" s="213"/>
      <c r="L7366" s="120"/>
      <c r="M7366" s="120"/>
      <c r="N7366" s="167"/>
      <c r="O7366" s="120"/>
      <c r="P7366" s="120"/>
      <c r="Q7366" s="120"/>
      <c r="R7366" s="120"/>
      <c r="S7366" s="120"/>
      <c r="T7366" s="221"/>
      <c r="U7366" s="89"/>
      <c r="V7366" s="61"/>
      <c r="W7366" s="92" t="s">
        <v>1048</v>
      </c>
      <c r="X7366" s="93" t="s">
        <v>30</v>
      </c>
      <c r="Y7366" s="93" t="s">
        <v>68</v>
      </c>
      <c r="Z7366" s="134">
        <f>VLOOKUP(W7366,Sheet2!$B:$D,3,FALSE)</f>
        <v>35</v>
      </c>
      <c r="AA7366" s="93">
        <v>1</v>
      </c>
      <c r="AB7366" s="93">
        <f>AD7366/AC7357</f>
        <v>35</v>
      </c>
      <c r="AC7366" s="93">
        <f>AC7357/AA7366</f>
        <v>64.410149999999817</v>
      </c>
      <c r="AD7366" s="94">
        <f t="shared" si="5205"/>
        <v>2254.3552499999937</v>
      </c>
      <c r="AE7366" s="190"/>
      <c r="AF7366" s="191"/>
      <c r="AG7366" s="191"/>
      <c r="AH7366" s="191"/>
      <c r="AI7366" s="186"/>
      <c r="AK7366" s="171"/>
    </row>
    <row r="7367" spans="1:41" s="103" customFormat="1" ht="19.899999999999999" customHeight="1" x14ac:dyDescent="0.25">
      <c r="A7367" s="51"/>
      <c r="B7367" s="52"/>
      <c r="C7367" s="165"/>
      <c r="D7367" s="52"/>
      <c r="E7367" s="115"/>
      <c r="F7367" s="58"/>
      <c r="G7367" s="58"/>
      <c r="H7367" s="58"/>
      <c r="I7367" s="55"/>
      <c r="J7367" s="113">
        <f>J7356</f>
        <v>64.410149999999817</v>
      </c>
      <c r="K7367" s="212">
        <f>K7356</f>
        <v>64.410149999999817</v>
      </c>
      <c r="L7367" s="58"/>
      <c r="M7367" s="58">
        <f>K7367-L7367</f>
        <v>64.410149999999817</v>
      </c>
      <c r="N7367" s="166"/>
      <c r="O7367" s="58"/>
      <c r="P7367" s="58"/>
      <c r="Q7367" s="58"/>
      <c r="R7367" s="58"/>
      <c r="S7367" s="58"/>
      <c r="T7367" s="220"/>
      <c r="U7367" s="88"/>
      <c r="V7367" s="56"/>
      <c r="W7367" s="57" t="s">
        <v>1036</v>
      </c>
      <c r="X7367" s="53"/>
      <c r="Y7367" s="91" t="s">
        <v>68</v>
      </c>
      <c r="Z7367" s="136">
        <f>AD7367/AC7367</f>
        <v>300.58333333333331</v>
      </c>
      <c r="AA7367" s="58"/>
      <c r="AB7367" s="53">
        <f>AD7367/AC7367</f>
        <v>300.58333333333331</v>
      </c>
      <c r="AC7367" s="53">
        <f>M7367+$AE$10</f>
        <v>64.410149999999817</v>
      </c>
      <c r="AD7367" s="54">
        <f>SUM(AD7368:AD7373)</f>
        <v>19360.617587499943</v>
      </c>
      <c r="AE7367" s="184">
        <f>SUMIFS($AD$37:$AD$12971,$V$37:$V$12971,$V7367,$X$37:$X$12971,AE$13)</f>
        <v>0</v>
      </c>
      <c r="AF7367" s="185">
        <f>SUMIFS($AD$37:$AD$12971,$V$37:$V$12971,$V7367,$X$37:$X$12971,AF$13)</f>
        <v>0</v>
      </c>
      <c r="AG7367" s="185">
        <f>SUMIFS($AD$37:$AD$12971,$V$37:$V$12971,$V7367,$X$37:$X$12971,AG$13)</f>
        <v>0</v>
      </c>
      <c r="AH7367" s="187">
        <f>SUMIFS($AD$37:$AD$12971,$V$37:$V$12971,$V7367,$X$37:$X$12971,AH$13)</f>
        <v>0</v>
      </c>
      <c r="AI7367" s="161">
        <f t="shared" ref="AI7367" si="5206">SUM(AE7367:AH7367)</f>
        <v>0</v>
      </c>
      <c r="AK7367" s="172"/>
    </row>
    <row r="7368" spans="1:41" s="102" customFormat="1" ht="19.899999999999999" customHeight="1" x14ac:dyDescent="0.25">
      <c r="A7368" s="45"/>
      <c r="B7368" s="59"/>
      <c r="C7368" s="137"/>
      <c r="D7368" s="59"/>
      <c r="E7368" s="116"/>
      <c r="F7368" s="120"/>
      <c r="G7368" s="120"/>
      <c r="H7368" s="120"/>
      <c r="I7368" s="60"/>
      <c r="J7368" s="116"/>
      <c r="K7368" s="213"/>
      <c r="L7368" s="120"/>
      <c r="M7368" s="120"/>
      <c r="N7368" s="167"/>
      <c r="O7368" s="120"/>
      <c r="P7368" s="120"/>
      <c r="Q7368" s="120"/>
      <c r="R7368" s="120"/>
      <c r="S7368" s="120"/>
      <c r="T7368" s="221"/>
      <c r="U7368" s="89"/>
      <c r="V7368" s="61"/>
      <c r="W7368" s="92" t="s">
        <v>1056</v>
      </c>
      <c r="X7368" s="93" t="s">
        <v>30</v>
      </c>
      <c r="Y7368" s="93" t="s">
        <v>68</v>
      </c>
      <c r="Z7368" s="134">
        <f>VLOOKUP(W7368,Sheet2!$B:$D,3,FALSE)</f>
        <v>180</v>
      </c>
      <c r="AA7368" s="93">
        <v>1</v>
      </c>
      <c r="AB7368" s="93">
        <f>AD7368/AC7367</f>
        <v>180</v>
      </c>
      <c r="AC7368" s="93">
        <f>AC7367/AA7368</f>
        <v>64.410149999999817</v>
      </c>
      <c r="AD7368" s="94">
        <f t="shared" ref="AD7368" si="5207">AC7368*Z7368</f>
        <v>11593.826999999967</v>
      </c>
      <c r="AE7368" s="190"/>
      <c r="AF7368" s="191"/>
      <c r="AG7368" s="191"/>
      <c r="AH7368" s="191"/>
      <c r="AI7368" s="186"/>
      <c r="AK7368" s="171"/>
    </row>
    <row r="7369" spans="1:41" s="102" customFormat="1" ht="19.899999999999999" customHeight="1" x14ac:dyDescent="0.25">
      <c r="A7369" s="45"/>
      <c r="B7369" s="59"/>
      <c r="C7369" s="137"/>
      <c r="D7369" s="59"/>
      <c r="E7369" s="116"/>
      <c r="F7369" s="120"/>
      <c r="G7369" s="120"/>
      <c r="H7369" s="120"/>
      <c r="I7369" s="60"/>
      <c r="J7369" s="116"/>
      <c r="K7369" s="213"/>
      <c r="L7369" s="120"/>
      <c r="M7369" s="120"/>
      <c r="N7369" s="167"/>
      <c r="O7369" s="120"/>
      <c r="P7369" s="120"/>
      <c r="Q7369" s="120"/>
      <c r="R7369" s="120"/>
      <c r="S7369" s="120"/>
      <c r="T7369" s="221"/>
      <c r="U7369" s="89"/>
      <c r="V7369" s="61"/>
      <c r="W7369" s="92" t="s">
        <v>1063</v>
      </c>
      <c r="X7369" s="93" t="s">
        <v>30</v>
      </c>
      <c r="Y7369" s="93" t="s">
        <v>68</v>
      </c>
      <c r="Z7369" s="134">
        <f>VLOOKUP(W7369,Sheet2!$B:$D,3,FALSE)</f>
        <v>18</v>
      </c>
      <c r="AA7369" s="93">
        <v>1</v>
      </c>
      <c r="AB7369" s="93">
        <f>AD7369/AC7367</f>
        <v>18</v>
      </c>
      <c r="AC7369" s="93">
        <f>AC7367/AA7369</f>
        <v>64.410149999999817</v>
      </c>
      <c r="AD7369" s="94">
        <f>AC7369*Z7369</f>
        <v>1159.3826999999967</v>
      </c>
      <c r="AE7369" s="190"/>
      <c r="AF7369" s="191"/>
      <c r="AG7369" s="191"/>
      <c r="AH7369" s="191"/>
      <c r="AI7369" s="186"/>
      <c r="AK7369" s="171"/>
    </row>
    <row r="7370" spans="1:41" s="102" customFormat="1" ht="19.899999999999999" customHeight="1" x14ac:dyDescent="0.25">
      <c r="A7370" s="45"/>
      <c r="B7370" s="59"/>
      <c r="C7370" s="137"/>
      <c r="D7370" s="59"/>
      <c r="E7370" s="116"/>
      <c r="F7370" s="120"/>
      <c r="G7370" s="120"/>
      <c r="H7370" s="120"/>
      <c r="I7370" s="60"/>
      <c r="J7370" s="116"/>
      <c r="K7370" s="213"/>
      <c r="L7370" s="120"/>
      <c r="M7370" s="120"/>
      <c r="N7370" s="167"/>
      <c r="O7370" s="120"/>
      <c r="P7370" s="120"/>
      <c r="Q7370" s="120"/>
      <c r="R7370" s="120"/>
      <c r="S7370" s="120"/>
      <c r="T7370" s="221"/>
      <c r="U7370" s="89"/>
      <c r="V7370" s="61"/>
      <c r="W7370" s="92" t="s">
        <v>1071</v>
      </c>
      <c r="X7370" s="93" t="s">
        <v>32</v>
      </c>
      <c r="Y7370" s="93" t="s">
        <v>68</v>
      </c>
      <c r="Z7370" s="134">
        <f>VLOOKUP(W7370,Sheet2!$B:$D,3,FALSE)</f>
        <v>52</v>
      </c>
      <c r="AA7370" s="93">
        <v>1</v>
      </c>
      <c r="AB7370" s="93">
        <f>AD7370/AC7367</f>
        <v>52</v>
      </c>
      <c r="AC7370" s="93">
        <f>AC7367/AA7370</f>
        <v>64.410149999999817</v>
      </c>
      <c r="AD7370" s="94">
        <f>AC7370*Z7370</f>
        <v>3349.3277999999905</v>
      </c>
      <c r="AE7370" s="190"/>
      <c r="AF7370" s="191"/>
      <c r="AG7370" s="191"/>
      <c r="AH7370" s="191"/>
      <c r="AI7370" s="186"/>
      <c r="AK7370" s="171"/>
    </row>
    <row r="7371" spans="1:41" s="102" customFormat="1" ht="19.899999999999999" customHeight="1" x14ac:dyDescent="0.25">
      <c r="A7371" s="45"/>
      <c r="B7371" s="59"/>
      <c r="C7371" s="137"/>
      <c r="D7371" s="59"/>
      <c r="E7371" s="116"/>
      <c r="F7371" s="120"/>
      <c r="G7371" s="120"/>
      <c r="H7371" s="120"/>
      <c r="I7371" s="60"/>
      <c r="J7371" s="116"/>
      <c r="K7371" s="213"/>
      <c r="L7371" s="120"/>
      <c r="M7371" s="120"/>
      <c r="N7371" s="167"/>
      <c r="O7371" s="120"/>
      <c r="P7371" s="120"/>
      <c r="Q7371" s="120"/>
      <c r="R7371" s="120"/>
      <c r="S7371" s="120"/>
      <c r="T7371" s="221"/>
      <c r="U7371" s="89"/>
      <c r="V7371" s="61"/>
      <c r="W7371" s="92" t="s">
        <v>1032</v>
      </c>
      <c r="X7371" s="93" t="s">
        <v>30</v>
      </c>
      <c r="Y7371" s="93" t="s">
        <v>66</v>
      </c>
      <c r="Z7371" s="134">
        <f>VLOOKUP(W7371,Sheet2!$B:$D,3,FALSE)</f>
        <v>250</v>
      </c>
      <c r="AA7371" s="93">
        <f>1/(1.25*0.1)</f>
        <v>8</v>
      </c>
      <c r="AB7371" s="93">
        <f>AD7371/AC7367</f>
        <v>31.25</v>
      </c>
      <c r="AC7371" s="93">
        <f>AC7367/AA7371</f>
        <v>8.0512687499999771</v>
      </c>
      <c r="AD7371" s="94">
        <f>AC7371*Z7371</f>
        <v>2012.8171874999944</v>
      </c>
      <c r="AE7371" s="190"/>
      <c r="AF7371" s="191"/>
      <c r="AG7371" s="191"/>
      <c r="AH7371" s="191"/>
      <c r="AI7371" s="186"/>
      <c r="AK7371" s="171"/>
    </row>
    <row r="7372" spans="1:41" s="102" customFormat="1" ht="19.899999999999999" customHeight="1" x14ac:dyDescent="0.25">
      <c r="A7372" s="45"/>
      <c r="B7372" s="59"/>
      <c r="C7372" s="137"/>
      <c r="D7372" s="59"/>
      <c r="E7372" s="116"/>
      <c r="F7372" s="120"/>
      <c r="G7372" s="120"/>
      <c r="H7372" s="120"/>
      <c r="I7372" s="60"/>
      <c r="J7372" s="116"/>
      <c r="K7372" s="213"/>
      <c r="L7372" s="120"/>
      <c r="M7372" s="120"/>
      <c r="N7372" s="167"/>
      <c r="O7372" s="120"/>
      <c r="P7372" s="120"/>
      <c r="Q7372" s="120"/>
      <c r="R7372" s="120"/>
      <c r="S7372" s="120"/>
      <c r="T7372" s="221"/>
      <c r="U7372" s="89"/>
      <c r="V7372" s="61"/>
      <c r="W7372" s="92" t="s">
        <v>1035</v>
      </c>
      <c r="X7372" s="93" t="s">
        <v>32</v>
      </c>
      <c r="Y7372" s="93" t="s">
        <v>66</v>
      </c>
      <c r="Z7372" s="134">
        <f>VLOOKUP(W7372,Sheet2!$B:$D,3,FALSE)</f>
        <v>150</v>
      </c>
      <c r="AA7372" s="93">
        <f>AA7371</f>
        <v>8</v>
      </c>
      <c r="AB7372" s="93">
        <f>AD7372/AC7367</f>
        <v>18.75</v>
      </c>
      <c r="AC7372" s="93">
        <f>AC7367/AA7372</f>
        <v>8.0512687499999771</v>
      </c>
      <c r="AD7372" s="94">
        <f t="shared" ref="AD7372:AD7373" si="5208">AC7372*Z7372</f>
        <v>1207.6903124999965</v>
      </c>
      <c r="AE7372" s="190"/>
      <c r="AF7372" s="191"/>
      <c r="AG7372" s="191"/>
      <c r="AH7372" s="191"/>
      <c r="AI7372" s="186"/>
      <c r="AK7372" s="171"/>
    </row>
    <row r="7373" spans="1:41" s="102" customFormat="1" ht="19.899999999999999" customHeight="1" x14ac:dyDescent="0.25">
      <c r="A7373" s="45"/>
      <c r="B7373" s="59"/>
      <c r="C7373" s="137"/>
      <c r="D7373" s="59"/>
      <c r="E7373" s="116"/>
      <c r="F7373" s="120"/>
      <c r="G7373" s="120"/>
      <c r="H7373" s="120"/>
      <c r="I7373" s="60"/>
      <c r="J7373" s="116"/>
      <c r="K7373" s="213"/>
      <c r="L7373" s="120"/>
      <c r="M7373" s="120"/>
      <c r="N7373" s="167"/>
      <c r="O7373" s="120"/>
      <c r="P7373" s="120"/>
      <c r="Q7373" s="120"/>
      <c r="R7373" s="120"/>
      <c r="S7373" s="120"/>
      <c r="T7373" s="221"/>
      <c r="U7373" s="89"/>
      <c r="V7373" s="61"/>
      <c r="W7373" s="92" t="s">
        <v>1037</v>
      </c>
      <c r="X7373" s="93" t="s">
        <v>30</v>
      </c>
      <c r="Y7373" s="93" t="s">
        <v>1038</v>
      </c>
      <c r="Z7373" s="134">
        <f>VLOOKUP(W7373,Sheet2!$B:$D,3,FALSE)</f>
        <v>175</v>
      </c>
      <c r="AA7373" s="93">
        <v>300</v>
      </c>
      <c r="AB7373" s="93">
        <f>AD7373/AC7367</f>
        <v>0.58333333333333326</v>
      </c>
      <c r="AC7373" s="93">
        <f>AC7367/AA7373</f>
        <v>0.21470049999999938</v>
      </c>
      <c r="AD7373" s="94">
        <f t="shared" si="5208"/>
        <v>37.572587499999891</v>
      </c>
      <c r="AE7373" s="190"/>
      <c r="AF7373" s="191"/>
      <c r="AG7373" s="191"/>
      <c r="AH7373" s="191"/>
      <c r="AI7373" s="186"/>
      <c r="AK7373" s="171"/>
    </row>
    <row r="7374" spans="1:41" s="103" customFormat="1" ht="19.899999999999999" customHeight="1" x14ac:dyDescent="0.25">
      <c r="A7374" s="51"/>
      <c r="B7374" s="52"/>
      <c r="C7374" s="165"/>
      <c r="D7374" s="52"/>
      <c r="E7374" s="115"/>
      <c r="F7374" s="58"/>
      <c r="G7374" s="58"/>
      <c r="H7374" s="58"/>
      <c r="I7374" s="55"/>
      <c r="J7374" s="113">
        <f>J7356</f>
        <v>64.410149999999817</v>
      </c>
      <c r="K7374" s="212">
        <f>K7356</f>
        <v>64.410149999999817</v>
      </c>
      <c r="L7374" s="58"/>
      <c r="M7374" s="58">
        <f>K7374-L7374</f>
        <v>64.410149999999817</v>
      </c>
      <c r="N7374" s="166"/>
      <c r="O7374" s="58"/>
      <c r="P7374" s="58"/>
      <c r="Q7374" s="58"/>
      <c r="R7374" s="58"/>
      <c r="S7374" s="58"/>
      <c r="T7374" s="220"/>
      <c r="U7374" s="88"/>
      <c r="V7374" s="56"/>
      <c r="W7374" s="57" t="s">
        <v>1040</v>
      </c>
      <c r="X7374" s="53"/>
      <c r="Y7374" s="91" t="s">
        <v>68</v>
      </c>
      <c r="Z7374" s="136">
        <f>AD7374/AC7374</f>
        <v>5</v>
      </c>
      <c r="AA7374" s="58"/>
      <c r="AB7374" s="53">
        <f>AD7374/AC7374</f>
        <v>5</v>
      </c>
      <c r="AC7374" s="53">
        <f>M7374+$AE$10</f>
        <v>64.410149999999817</v>
      </c>
      <c r="AD7374" s="54">
        <f>SUM(AD7375)</f>
        <v>322.05074999999908</v>
      </c>
      <c r="AE7374" s="184">
        <f>SUMIFS($AD$37:$AD$12971,$V$37:$V$12971,$V7374,$X$37:$X$12971,AE$13)</f>
        <v>0</v>
      </c>
      <c r="AF7374" s="185">
        <f>SUMIFS($AD$37:$AD$12971,$V$37:$V$12971,$V7374,$X$37:$X$12971,AF$13)</f>
        <v>0</v>
      </c>
      <c r="AG7374" s="185">
        <f>SUMIFS($AD$37:$AD$12971,$V$37:$V$12971,$V7374,$X$37:$X$12971,AG$13)</f>
        <v>0</v>
      </c>
      <c r="AH7374" s="187">
        <f>SUMIFS($AD$37:$AD$12971,$V$37:$V$12971,$V7374,$X$37:$X$12971,AH$13)</f>
        <v>0</v>
      </c>
      <c r="AI7374" s="161">
        <f t="shared" ref="AI7374" si="5209">SUM(AE7374:AH7374)</f>
        <v>0</v>
      </c>
      <c r="AK7374" s="172"/>
    </row>
    <row r="7375" spans="1:41" s="102" customFormat="1" ht="19.899999999999999" customHeight="1" x14ac:dyDescent="0.25">
      <c r="A7375" s="45"/>
      <c r="B7375" s="59"/>
      <c r="C7375" s="137"/>
      <c r="D7375" s="59"/>
      <c r="E7375" s="116"/>
      <c r="F7375" s="120"/>
      <c r="G7375" s="120"/>
      <c r="H7375" s="120"/>
      <c r="I7375" s="60"/>
      <c r="J7375" s="116"/>
      <c r="K7375" s="213"/>
      <c r="L7375" s="120"/>
      <c r="M7375" s="120"/>
      <c r="N7375" s="167"/>
      <c r="O7375" s="120"/>
      <c r="P7375" s="120"/>
      <c r="Q7375" s="120"/>
      <c r="R7375" s="120"/>
      <c r="S7375" s="120"/>
      <c r="T7375" s="221"/>
      <c r="U7375" s="89"/>
      <c r="V7375" s="61"/>
      <c r="W7375" s="92" t="s">
        <v>1039</v>
      </c>
      <c r="X7375" s="93" t="s">
        <v>32</v>
      </c>
      <c r="Y7375" s="93" t="s">
        <v>68</v>
      </c>
      <c r="Z7375" s="134">
        <f>VLOOKUP(W7375,Sheet2!$B:$D,3,FALSE)</f>
        <v>5</v>
      </c>
      <c r="AA7375" s="93">
        <v>1</v>
      </c>
      <c r="AB7375" s="93">
        <f>AD7375/AC7374</f>
        <v>5</v>
      </c>
      <c r="AC7375" s="93">
        <f>AC7374/AA7375</f>
        <v>64.410149999999817</v>
      </c>
      <c r="AD7375" s="94">
        <f t="shared" ref="AD7375" si="5210">AC7375*Z7375</f>
        <v>322.05074999999908</v>
      </c>
      <c r="AE7375" s="190"/>
      <c r="AF7375" s="191"/>
      <c r="AG7375" s="191"/>
      <c r="AH7375" s="191"/>
      <c r="AI7375" s="186"/>
      <c r="AK7375" s="171"/>
    </row>
    <row r="7376" spans="1:41" ht="20.100000000000001" customHeight="1" x14ac:dyDescent="0.25">
      <c r="A7376" s="277" t="s">
        <v>703</v>
      </c>
      <c r="B7376" s="278"/>
      <c r="C7376" s="64" t="s">
        <v>733</v>
      </c>
      <c r="D7376" s="46" t="s">
        <v>97</v>
      </c>
      <c r="E7376" s="114">
        <v>116.71315000000004</v>
      </c>
      <c r="F7376" s="44">
        <v>702</v>
      </c>
      <c r="G7376" s="44">
        <f t="shared" si="4575"/>
        <v>81932.631300000023</v>
      </c>
      <c r="H7376" s="44">
        <f t="shared" si="4576"/>
        <v>383.69175686274514</v>
      </c>
      <c r="I7376" s="43">
        <f t="shared" si="4577"/>
        <v>44781.873572485121</v>
      </c>
      <c r="J7376" s="112">
        <f t="shared" si="4578"/>
        <v>116.71315000000004</v>
      </c>
      <c r="K7376" s="211">
        <f t="shared" si="4579"/>
        <v>116.71315000000004</v>
      </c>
      <c r="L7376" s="44"/>
      <c r="M7376" s="44">
        <f t="shared" si="4580"/>
        <v>116.71315000000004</v>
      </c>
      <c r="N7376" s="173">
        <f t="shared" si="4581"/>
        <v>1</v>
      </c>
      <c r="O7376" s="44">
        <f t="shared" si="4582"/>
        <v>702</v>
      </c>
      <c r="P7376" s="44">
        <f t="shared" si="4583"/>
        <v>81932.631300000023</v>
      </c>
      <c r="Q7376" s="44">
        <f t="shared" si="4584"/>
        <v>383.69175686274514</v>
      </c>
      <c r="R7376" s="44">
        <f t="shared" si="4585"/>
        <v>44781.873572485121</v>
      </c>
      <c r="S7376" s="123"/>
      <c r="T7376" s="219">
        <f t="shared" si="4586"/>
        <v>44781.873572485121</v>
      </c>
      <c r="U7376" s="87"/>
      <c r="V7376" s="47"/>
      <c r="W7376" s="48"/>
      <c r="X7376" s="48"/>
      <c r="Y7376" s="48"/>
      <c r="Z7376" s="135"/>
      <c r="AA7376" s="49"/>
      <c r="AB7376" s="50">
        <f t="shared" si="4587"/>
        <v>383.69175686274514</v>
      </c>
      <c r="AC7376" s="42">
        <f t="shared" si="4588"/>
        <v>116.71315000000004</v>
      </c>
      <c r="AD7376" s="90">
        <f>AD7377+AD7387+AD7394</f>
        <v>44781.873572485121</v>
      </c>
      <c r="AE7376" s="188">
        <f t="shared" ref="AE7376" si="5211">AE7377+AE7387+AE7394</f>
        <v>0</v>
      </c>
      <c r="AF7376" s="189">
        <f t="shared" ref="AF7376" si="5212">AF7377+AF7387+AF7394</f>
        <v>0</v>
      </c>
      <c r="AG7376" s="189">
        <f t="shared" ref="AG7376" si="5213">AG7377+AG7387+AG7394</f>
        <v>0</v>
      </c>
      <c r="AH7376" s="189">
        <f t="shared" ref="AH7376" si="5214">AH7377+AH7387+AH7394</f>
        <v>0</v>
      </c>
      <c r="AI7376" s="161">
        <f t="shared" si="5188"/>
        <v>0</v>
      </c>
      <c r="AK7376" s="169">
        <v>5</v>
      </c>
      <c r="AO7376" s="19" t="s">
        <v>63</v>
      </c>
    </row>
    <row r="7377" spans="1:37" s="103" customFormat="1" ht="19.899999999999999" customHeight="1" x14ac:dyDescent="0.25">
      <c r="A7377" s="51"/>
      <c r="B7377" s="52"/>
      <c r="C7377" s="165"/>
      <c r="D7377" s="52"/>
      <c r="E7377" s="115"/>
      <c r="F7377" s="58"/>
      <c r="G7377" s="58"/>
      <c r="H7377" s="58"/>
      <c r="I7377" s="55"/>
      <c r="J7377" s="113">
        <f>J7376</f>
        <v>116.71315000000004</v>
      </c>
      <c r="K7377" s="212">
        <f>K7376</f>
        <v>116.71315000000004</v>
      </c>
      <c r="L7377" s="58"/>
      <c r="M7377" s="58">
        <f>K7377-L7377</f>
        <v>116.71315000000004</v>
      </c>
      <c r="N7377" s="166"/>
      <c r="O7377" s="58"/>
      <c r="P7377" s="58"/>
      <c r="Q7377" s="58"/>
      <c r="R7377" s="58"/>
      <c r="S7377" s="58"/>
      <c r="T7377" s="220"/>
      <c r="U7377" s="88"/>
      <c r="V7377" s="56"/>
      <c r="W7377" s="57" t="s">
        <v>1093</v>
      </c>
      <c r="X7377" s="53"/>
      <c r="Y7377" s="91" t="s">
        <v>68</v>
      </c>
      <c r="Z7377" s="136">
        <f>AD7377/AC7377</f>
        <v>78.108423529411766</v>
      </c>
      <c r="AA7377" s="58"/>
      <c r="AB7377" s="53">
        <f>AD7377/AC7377</f>
        <v>78.108423529411766</v>
      </c>
      <c r="AC7377" s="53">
        <f>M7377+$AE$10</f>
        <v>116.71315000000004</v>
      </c>
      <c r="AD7377" s="54">
        <f>SUM(AD7378:AD7386)</f>
        <v>9116.2801516517684</v>
      </c>
      <c r="AE7377" s="184">
        <f>SUMIFS($AD$37:$AD$12971,$V$37:$V$12971,$V7377,$X$37:$X$12971,AE$13)</f>
        <v>0</v>
      </c>
      <c r="AF7377" s="185">
        <f>SUMIFS($AD$37:$AD$12971,$V$37:$V$12971,$V7377,$X$37:$X$12971,AF$13)</f>
        <v>0</v>
      </c>
      <c r="AG7377" s="185">
        <f>SUMIFS($AD$37:$AD$12971,$V$37:$V$12971,$V7377,$X$37:$X$12971,AG$13)</f>
        <v>0</v>
      </c>
      <c r="AH7377" s="187">
        <f>SUMIFS($AD$37:$AD$12971,$V$37:$V$12971,$V7377,$X$37:$X$12971,AH$13)</f>
        <v>0</v>
      </c>
      <c r="AI7377" s="161">
        <f t="shared" ref="AI7377" si="5215">SUM(AE7377:AH7377)</f>
        <v>0</v>
      </c>
      <c r="AK7377" s="172"/>
    </row>
    <row r="7378" spans="1:37" s="102" customFormat="1" ht="19.899999999999999" customHeight="1" x14ac:dyDescent="0.25">
      <c r="A7378" s="45"/>
      <c r="B7378" s="59"/>
      <c r="C7378" s="137"/>
      <c r="D7378" s="59"/>
      <c r="E7378" s="116"/>
      <c r="F7378" s="120"/>
      <c r="G7378" s="120"/>
      <c r="H7378" s="120"/>
      <c r="I7378" s="60"/>
      <c r="J7378" s="116"/>
      <c r="K7378" s="213"/>
      <c r="L7378" s="120"/>
      <c r="M7378" s="120"/>
      <c r="N7378" s="167"/>
      <c r="O7378" s="120"/>
      <c r="P7378" s="120"/>
      <c r="Q7378" s="120"/>
      <c r="R7378" s="120"/>
      <c r="S7378" s="120"/>
      <c r="T7378" s="221"/>
      <c r="U7378" s="89"/>
      <c r="V7378" s="61"/>
      <c r="W7378" s="92" t="s">
        <v>129</v>
      </c>
      <c r="X7378" s="93" t="s">
        <v>29</v>
      </c>
      <c r="Y7378" s="93" t="s">
        <v>93</v>
      </c>
      <c r="Z7378" s="134">
        <f>VLOOKUP(W7378,Sheet2!$B:$D,3,FALSE)</f>
        <v>56</v>
      </c>
      <c r="AA7378" s="93">
        <f>100/(1.25*3)</f>
        <v>26.666666666666668</v>
      </c>
      <c r="AB7378" s="93">
        <f t="shared" ref="AB7378" si="5216">AD7378/AC7377</f>
        <v>2.1</v>
      </c>
      <c r="AC7378" s="93">
        <f>AC7377/AA7378</f>
        <v>4.3767431250000017</v>
      </c>
      <c r="AD7378" s="94">
        <f t="shared" ref="AD7378:AD7379" si="5217">AC7378*Z7378</f>
        <v>245.0976150000001</v>
      </c>
      <c r="AE7378" s="190"/>
      <c r="AF7378" s="191"/>
      <c r="AG7378" s="191"/>
      <c r="AH7378" s="191"/>
      <c r="AI7378" s="186"/>
      <c r="AK7378" s="171"/>
    </row>
    <row r="7379" spans="1:37" s="102" customFormat="1" ht="19.899999999999999" customHeight="1" x14ac:dyDescent="0.25">
      <c r="A7379" s="45"/>
      <c r="B7379" s="59"/>
      <c r="C7379" s="137"/>
      <c r="D7379" s="59"/>
      <c r="E7379" s="116"/>
      <c r="F7379" s="120"/>
      <c r="G7379" s="120"/>
      <c r="H7379" s="120"/>
      <c r="I7379" s="60"/>
      <c r="J7379" s="116"/>
      <c r="K7379" s="213"/>
      <c r="L7379" s="120"/>
      <c r="M7379" s="120"/>
      <c r="N7379" s="167"/>
      <c r="O7379" s="120"/>
      <c r="P7379" s="120"/>
      <c r="Q7379" s="120"/>
      <c r="R7379" s="120"/>
      <c r="S7379" s="120"/>
      <c r="T7379" s="221"/>
      <c r="U7379" s="89"/>
      <c r="V7379" s="61"/>
      <c r="W7379" s="92" t="s">
        <v>65</v>
      </c>
      <c r="X7379" s="93" t="s">
        <v>30</v>
      </c>
      <c r="Y7379" s="93" t="s">
        <v>1011</v>
      </c>
      <c r="Z7379" s="134">
        <f>VLOOKUP(W7379,Sheet2!$B:$D,3,FALSE)</f>
        <v>1.76</v>
      </c>
      <c r="AA7379" s="93">
        <f>AA7378/14</f>
        <v>1.9047619047619049</v>
      </c>
      <c r="AB7379" s="93">
        <f>AD7379/AC7377</f>
        <v>0.92400000000000004</v>
      </c>
      <c r="AC7379" s="93">
        <f>AC7377/AA7379</f>
        <v>61.274403750000019</v>
      </c>
      <c r="AD7379" s="94">
        <f t="shared" si="5217"/>
        <v>107.84295060000004</v>
      </c>
      <c r="AE7379" s="190"/>
      <c r="AF7379" s="191"/>
      <c r="AG7379" s="191"/>
      <c r="AH7379" s="191"/>
      <c r="AI7379" s="186"/>
      <c r="AK7379" s="171"/>
    </row>
    <row r="7380" spans="1:37" s="102" customFormat="1" ht="19.899999999999999" customHeight="1" x14ac:dyDescent="0.25">
      <c r="A7380" s="45"/>
      <c r="B7380" s="59"/>
      <c r="C7380" s="137"/>
      <c r="D7380" s="59"/>
      <c r="E7380" s="116"/>
      <c r="F7380" s="120"/>
      <c r="G7380" s="120"/>
      <c r="H7380" s="120"/>
      <c r="I7380" s="60"/>
      <c r="J7380" s="116"/>
      <c r="K7380" s="213"/>
      <c r="L7380" s="120"/>
      <c r="M7380" s="120"/>
      <c r="N7380" s="167"/>
      <c r="O7380" s="120"/>
      <c r="P7380" s="120"/>
      <c r="Q7380" s="120"/>
      <c r="R7380" s="120"/>
      <c r="S7380" s="120"/>
      <c r="T7380" s="221"/>
      <c r="U7380" s="89"/>
      <c r="V7380" s="61"/>
      <c r="W7380" s="92" t="s">
        <v>161</v>
      </c>
      <c r="X7380" s="93" t="s">
        <v>29</v>
      </c>
      <c r="Y7380" s="93" t="s">
        <v>93</v>
      </c>
      <c r="Z7380" s="134">
        <f>VLOOKUP(W7380,Sheet2!$B:$D,3,FALSE)</f>
        <v>48</v>
      </c>
      <c r="AA7380" s="93">
        <f>(16*0.85*1.5)/(1.25*3)</f>
        <v>5.4399999999999995</v>
      </c>
      <c r="AB7380" s="93">
        <f>AD7380/AC7377</f>
        <v>8.8235294117647065</v>
      </c>
      <c r="AC7380" s="93">
        <f>AC7377/AA7380</f>
        <v>21.454623161764715</v>
      </c>
      <c r="AD7380" s="94">
        <f>AC7380*Z7380</f>
        <v>1029.8219117647063</v>
      </c>
      <c r="AE7380" s="190"/>
      <c r="AF7380" s="191"/>
      <c r="AG7380" s="191"/>
      <c r="AH7380" s="191"/>
      <c r="AI7380" s="186"/>
      <c r="AK7380" s="171"/>
    </row>
    <row r="7381" spans="1:37" s="102" customFormat="1" ht="19.899999999999999" customHeight="1" x14ac:dyDescent="0.25">
      <c r="A7381" s="45"/>
      <c r="B7381" s="59"/>
      <c r="C7381" s="137"/>
      <c r="D7381" s="59"/>
      <c r="E7381" s="116"/>
      <c r="F7381" s="120"/>
      <c r="G7381" s="120"/>
      <c r="H7381" s="120"/>
      <c r="I7381" s="60"/>
      <c r="J7381" s="116"/>
      <c r="K7381" s="213"/>
      <c r="L7381" s="120"/>
      <c r="M7381" s="120"/>
      <c r="N7381" s="167"/>
      <c r="O7381" s="120"/>
      <c r="P7381" s="120"/>
      <c r="Q7381" s="120"/>
      <c r="R7381" s="120"/>
      <c r="S7381" s="120"/>
      <c r="T7381" s="221"/>
      <c r="U7381" s="89"/>
      <c r="V7381" s="61"/>
      <c r="W7381" s="92" t="s">
        <v>65</v>
      </c>
      <c r="X7381" s="93" t="s">
        <v>30</v>
      </c>
      <c r="Y7381" s="93" t="s">
        <v>1011</v>
      </c>
      <c r="Z7381" s="134">
        <f>VLOOKUP(W7381,Sheet2!$B:$D,3,FALSE)</f>
        <v>1.76</v>
      </c>
      <c r="AA7381" s="93">
        <f>AA7380/10</f>
        <v>0.54399999999999993</v>
      </c>
      <c r="AB7381" s="93">
        <f>AD7381/AC7377</f>
        <v>3.2352941176470589</v>
      </c>
      <c r="AC7381" s="93">
        <f>AC7377/AA7381</f>
        <v>214.54623161764715</v>
      </c>
      <c r="AD7381" s="94">
        <f>AC7381*Z7381</f>
        <v>377.60136764705896</v>
      </c>
      <c r="AE7381" s="190"/>
      <c r="AF7381" s="191"/>
      <c r="AG7381" s="191"/>
      <c r="AH7381" s="191"/>
      <c r="AI7381" s="186"/>
      <c r="AK7381" s="171"/>
    </row>
    <row r="7382" spans="1:37" s="102" customFormat="1" ht="19.899999999999999" customHeight="1" x14ac:dyDescent="0.25">
      <c r="A7382" s="45"/>
      <c r="B7382" s="59"/>
      <c r="C7382" s="137"/>
      <c r="D7382" s="59"/>
      <c r="E7382" s="116"/>
      <c r="F7382" s="120"/>
      <c r="G7382" s="120"/>
      <c r="H7382" s="120"/>
      <c r="I7382" s="60"/>
      <c r="J7382" s="116"/>
      <c r="K7382" s="213"/>
      <c r="L7382" s="120"/>
      <c r="M7382" s="120"/>
      <c r="N7382" s="167"/>
      <c r="O7382" s="120"/>
      <c r="P7382" s="120"/>
      <c r="Q7382" s="120"/>
      <c r="R7382" s="120"/>
      <c r="S7382" s="120"/>
      <c r="T7382" s="221"/>
      <c r="U7382" s="89"/>
      <c r="V7382" s="61"/>
      <c r="W7382" s="92" t="s">
        <v>1030</v>
      </c>
      <c r="X7382" s="93" t="s">
        <v>29</v>
      </c>
      <c r="Y7382" s="93" t="s">
        <v>93</v>
      </c>
      <c r="Z7382" s="134">
        <f>VLOOKUP(W7382,Sheet2!$B:$D,3,FALSE)</f>
        <v>23</v>
      </c>
      <c r="AA7382" s="93">
        <v>50</v>
      </c>
      <c r="AB7382" s="93">
        <f>AD7382/AC7377</f>
        <v>0.46</v>
      </c>
      <c r="AC7382" s="93">
        <f>AC7377/AA7382</f>
        <v>2.3342630000000009</v>
      </c>
      <c r="AD7382" s="94">
        <f t="shared" ref="AD7382:AD7386" si="5218">AC7382*Z7382</f>
        <v>53.688049000000021</v>
      </c>
      <c r="AE7382" s="190"/>
      <c r="AF7382" s="191"/>
      <c r="AG7382" s="191"/>
      <c r="AH7382" s="191"/>
      <c r="AI7382" s="186"/>
      <c r="AK7382" s="171"/>
    </row>
    <row r="7383" spans="1:37" s="102" customFormat="1" ht="19.899999999999999" customHeight="1" x14ac:dyDescent="0.25">
      <c r="A7383" s="45"/>
      <c r="B7383" s="59"/>
      <c r="C7383" s="137"/>
      <c r="D7383" s="59"/>
      <c r="E7383" s="116"/>
      <c r="F7383" s="120"/>
      <c r="G7383" s="120"/>
      <c r="H7383" s="120"/>
      <c r="I7383" s="60"/>
      <c r="J7383" s="116"/>
      <c r="K7383" s="213"/>
      <c r="L7383" s="120"/>
      <c r="M7383" s="120"/>
      <c r="N7383" s="167"/>
      <c r="O7383" s="120"/>
      <c r="P7383" s="120"/>
      <c r="Q7383" s="120"/>
      <c r="R7383" s="120"/>
      <c r="S7383" s="120"/>
      <c r="T7383" s="221"/>
      <c r="U7383" s="89"/>
      <c r="V7383" s="61"/>
      <c r="W7383" s="92" t="s">
        <v>65</v>
      </c>
      <c r="X7383" s="93" t="s">
        <v>30</v>
      </c>
      <c r="Y7383" s="93" t="s">
        <v>1011</v>
      </c>
      <c r="Z7383" s="134">
        <f>VLOOKUP(W7383,Sheet2!$B:$D,3,FALSE)</f>
        <v>1.76</v>
      </c>
      <c r="AA7383" s="93">
        <f>AA7382/3</f>
        <v>16.666666666666668</v>
      </c>
      <c r="AB7383" s="93">
        <f>AD7383/AC7377</f>
        <v>0.1056</v>
      </c>
      <c r="AC7383" s="93">
        <f>AC7377/AA7383</f>
        <v>7.0027890000000017</v>
      </c>
      <c r="AD7383" s="94">
        <f t="shared" si="5218"/>
        <v>12.324908640000004</v>
      </c>
      <c r="AE7383" s="190"/>
      <c r="AF7383" s="191"/>
      <c r="AG7383" s="191"/>
      <c r="AH7383" s="191"/>
      <c r="AI7383" s="186"/>
      <c r="AK7383" s="171"/>
    </row>
    <row r="7384" spans="1:37" s="102" customFormat="1" ht="19.899999999999999" customHeight="1" x14ac:dyDescent="0.25">
      <c r="A7384" s="45"/>
      <c r="B7384" s="59"/>
      <c r="C7384" s="137"/>
      <c r="D7384" s="59"/>
      <c r="E7384" s="116"/>
      <c r="F7384" s="120"/>
      <c r="G7384" s="120"/>
      <c r="H7384" s="120"/>
      <c r="I7384" s="60"/>
      <c r="J7384" s="116"/>
      <c r="K7384" s="213"/>
      <c r="L7384" s="120"/>
      <c r="M7384" s="120"/>
      <c r="N7384" s="167"/>
      <c r="O7384" s="120"/>
      <c r="P7384" s="120"/>
      <c r="Q7384" s="120"/>
      <c r="R7384" s="120"/>
      <c r="S7384" s="120"/>
      <c r="T7384" s="221"/>
      <c r="U7384" s="89"/>
      <c r="V7384" s="61"/>
      <c r="W7384" s="92" t="s">
        <v>148</v>
      </c>
      <c r="X7384" s="93" t="s">
        <v>29</v>
      </c>
      <c r="Y7384" s="93" t="s">
        <v>93</v>
      </c>
      <c r="Z7384" s="134">
        <f>VLOOKUP(W7384,Sheet2!$B:$D,3,FALSE)</f>
        <v>48</v>
      </c>
      <c r="AA7384" s="93">
        <f>AA7378</f>
        <v>26.666666666666668</v>
      </c>
      <c r="AB7384" s="93">
        <f>AD7384/AC7377</f>
        <v>1.8000000000000003</v>
      </c>
      <c r="AC7384" s="93">
        <f>AC7377/AA7384</f>
        <v>4.3767431250000017</v>
      </c>
      <c r="AD7384" s="94">
        <f t="shared" si="5218"/>
        <v>210.0836700000001</v>
      </c>
      <c r="AE7384" s="190"/>
      <c r="AF7384" s="191"/>
      <c r="AG7384" s="191"/>
      <c r="AH7384" s="191"/>
      <c r="AI7384" s="186"/>
      <c r="AK7384" s="171"/>
    </row>
    <row r="7385" spans="1:37" s="102" customFormat="1" ht="19.899999999999999" customHeight="1" x14ac:dyDescent="0.25">
      <c r="A7385" s="45"/>
      <c r="B7385" s="59"/>
      <c r="C7385" s="137"/>
      <c r="D7385" s="59"/>
      <c r="E7385" s="116"/>
      <c r="F7385" s="120"/>
      <c r="G7385" s="120"/>
      <c r="H7385" s="120"/>
      <c r="I7385" s="60"/>
      <c r="J7385" s="116"/>
      <c r="K7385" s="213"/>
      <c r="L7385" s="120"/>
      <c r="M7385" s="120"/>
      <c r="N7385" s="167"/>
      <c r="O7385" s="120"/>
      <c r="P7385" s="120"/>
      <c r="Q7385" s="120"/>
      <c r="R7385" s="120"/>
      <c r="S7385" s="120"/>
      <c r="T7385" s="221"/>
      <c r="U7385" s="89"/>
      <c r="V7385" s="61"/>
      <c r="W7385" s="92" t="s">
        <v>65</v>
      </c>
      <c r="X7385" s="93" t="s">
        <v>30</v>
      </c>
      <c r="Y7385" s="93" t="s">
        <v>1011</v>
      </c>
      <c r="Z7385" s="134">
        <f>VLOOKUP(W7385,Sheet2!$B:$D,3,FALSE)</f>
        <v>1.76</v>
      </c>
      <c r="AA7385" s="93">
        <f>AA7384/10</f>
        <v>2.666666666666667</v>
      </c>
      <c r="AB7385" s="93">
        <f>AD7385/AC7377</f>
        <v>0.65999999999999992</v>
      </c>
      <c r="AC7385" s="93">
        <f>AC7377/AA7385</f>
        <v>43.767431250000008</v>
      </c>
      <c r="AD7385" s="94">
        <f t="shared" si="5218"/>
        <v>77.030679000000021</v>
      </c>
      <c r="AE7385" s="190"/>
      <c r="AF7385" s="191"/>
      <c r="AG7385" s="191"/>
      <c r="AH7385" s="191"/>
      <c r="AI7385" s="186"/>
      <c r="AK7385" s="171"/>
    </row>
    <row r="7386" spans="1:37" s="102" customFormat="1" ht="19.899999999999999" customHeight="1" x14ac:dyDescent="0.25">
      <c r="A7386" s="45"/>
      <c r="B7386" s="59"/>
      <c r="C7386" s="137"/>
      <c r="D7386" s="59"/>
      <c r="E7386" s="116"/>
      <c r="F7386" s="120"/>
      <c r="G7386" s="120"/>
      <c r="H7386" s="120"/>
      <c r="I7386" s="60"/>
      <c r="J7386" s="116"/>
      <c r="K7386" s="213"/>
      <c r="L7386" s="120"/>
      <c r="M7386" s="120"/>
      <c r="N7386" s="167"/>
      <c r="O7386" s="120"/>
      <c r="P7386" s="120"/>
      <c r="Q7386" s="120"/>
      <c r="R7386" s="120"/>
      <c r="S7386" s="120"/>
      <c r="T7386" s="221"/>
      <c r="U7386" s="89"/>
      <c r="V7386" s="61"/>
      <c r="W7386" s="92" t="s">
        <v>1049</v>
      </c>
      <c r="X7386" s="93" t="s">
        <v>30</v>
      </c>
      <c r="Y7386" s="93" t="s">
        <v>68</v>
      </c>
      <c r="Z7386" s="134">
        <f>VLOOKUP(W7386,Sheet2!$B:$D,3,FALSE)</f>
        <v>60</v>
      </c>
      <c r="AA7386" s="93">
        <v>1</v>
      </c>
      <c r="AB7386" s="93">
        <f>AD7386/AC7377</f>
        <v>60</v>
      </c>
      <c r="AC7386" s="93">
        <f>AC7377/AA7386</f>
        <v>116.71315000000004</v>
      </c>
      <c r="AD7386" s="94">
        <f t="shared" si="5218"/>
        <v>7002.7890000000025</v>
      </c>
      <c r="AE7386" s="190"/>
      <c r="AF7386" s="191"/>
      <c r="AG7386" s="191"/>
      <c r="AH7386" s="191"/>
      <c r="AI7386" s="186"/>
      <c r="AK7386" s="171"/>
    </row>
    <row r="7387" spans="1:37" s="103" customFormat="1" ht="19.899999999999999" customHeight="1" x14ac:dyDescent="0.25">
      <c r="A7387" s="51"/>
      <c r="B7387" s="52"/>
      <c r="C7387" s="165"/>
      <c r="D7387" s="52"/>
      <c r="E7387" s="115"/>
      <c r="F7387" s="58"/>
      <c r="G7387" s="58"/>
      <c r="H7387" s="58"/>
      <c r="I7387" s="55"/>
      <c r="J7387" s="113">
        <f>J7376</f>
        <v>116.71315000000004</v>
      </c>
      <c r="K7387" s="212">
        <f>K7376</f>
        <v>116.71315000000004</v>
      </c>
      <c r="L7387" s="58"/>
      <c r="M7387" s="58">
        <f>K7387-L7387</f>
        <v>116.71315000000004</v>
      </c>
      <c r="N7387" s="166"/>
      <c r="O7387" s="58"/>
      <c r="P7387" s="58"/>
      <c r="Q7387" s="58"/>
      <c r="R7387" s="58"/>
      <c r="S7387" s="58"/>
      <c r="T7387" s="220"/>
      <c r="U7387" s="88"/>
      <c r="V7387" s="56"/>
      <c r="W7387" s="57" t="s">
        <v>1036</v>
      </c>
      <c r="X7387" s="53"/>
      <c r="Y7387" s="91" t="s">
        <v>68</v>
      </c>
      <c r="Z7387" s="136">
        <f>AD7387/AC7387</f>
        <v>300.58333333333337</v>
      </c>
      <c r="AA7387" s="58"/>
      <c r="AB7387" s="53">
        <f>AD7387/AC7387</f>
        <v>300.58333333333337</v>
      </c>
      <c r="AC7387" s="53">
        <f>M7387+$AE$10</f>
        <v>116.71315000000004</v>
      </c>
      <c r="AD7387" s="54">
        <f>SUM(AD7388:AD7393)</f>
        <v>35082.027670833348</v>
      </c>
      <c r="AE7387" s="184">
        <f>SUMIFS($AD$37:$AD$12971,$V$37:$V$12971,$V7387,$X$37:$X$12971,AE$13)</f>
        <v>0</v>
      </c>
      <c r="AF7387" s="185">
        <f>SUMIFS($AD$37:$AD$12971,$V$37:$V$12971,$V7387,$X$37:$X$12971,AF$13)</f>
        <v>0</v>
      </c>
      <c r="AG7387" s="185">
        <f>SUMIFS($AD$37:$AD$12971,$V$37:$V$12971,$V7387,$X$37:$X$12971,AG$13)</f>
        <v>0</v>
      </c>
      <c r="AH7387" s="187">
        <f>SUMIFS($AD$37:$AD$12971,$V$37:$V$12971,$V7387,$X$37:$X$12971,AH$13)</f>
        <v>0</v>
      </c>
      <c r="AI7387" s="161">
        <f t="shared" ref="AI7387" si="5219">SUM(AE7387:AH7387)</f>
        <v>0</v>
      </c>
      <c r="AK7387" s="172"/>
    </row>
    <row r="7388" spans="1:37" s="102" customFormat="1" ht="19.899999999999999" customHeight="1" x14ac:dyDescent="0.25">
      <c r="A7388" s="45"/>
      <c r="B7388" s="59"/>
      <c r="C7388" s="137"/>
      <c r="D7388" s="59"/>
      <c r="E7388" s="116"/>
      <c r="F7388" s="120"/>
      <c r="G7388" s="120"/>
      <c r="H7388" s="120"/>
      <c r="I7388" s="60"/>
      <c r="J7388" s="116"/>
      <c r="K7388" s="213"/>
      <c r="L7388" s="120"/>
      <c r="M7388" s="120"/>
      <c r="N7388" s="167"/>
      <c r="O7388" s="120"/>
      <c r="P7388" s="120"/>
      <c r="Q7388" s="120"/>
      <c r="R7388" s="120"/>
      <c r="S7388" s="120"/>
      <c r="T7388" s="221"/>
      <c r="U7388" s="89"/>
      <c r="V7388" s="61"/>
      <c r="W7388" s="92" t="s">
        <v>1056</v>
      </c>
      <c r="X7388" s="93" t="s">
        <v>30</v>
      </c>
      <c r="Y7388" s="93" t="s">
        <v>68</v>
      </c>
      <c r="Z7388" s="134">
        <f>VLOOKUP(W7388,Sheet2!$B:$D,3,FALSE)</f>
        <v>180</v>
      </c>
      <c r="AA7388" s="93">
        <v>1</v>
      </c>
      <c r="AB7388" s="93">
        <f>AD7388/AC7387</f>
        <v>179.99999999999997</v>
      </c>
      <c r="AC7388" s="93">
        <f>AC7387/AA7388</f>
        <v>116.71315000000004</v>
      </c>
      <c r="AD7388" s="94">
        <f t="shared" ref="AD7388" si="5220">AC7388*Z7388</f>
        <v>21008.367000000006</v>
      </c>
      <c r="AE7388" s="190"/>
      <c r="AF7388" s="191"/>
      <c r="AG7388" s="191"/>
      <c r="AH7388" s="191"/>
      <c r="AI7388" s="186"/>
      <c r="AK7388" s="171"/>
    </row>
    <row r="7389" spans="1:37" s="102" customFormat="1" ht="19.899999999999999" customHeight="1" x14ac:dyDescent="0.25">
      <c r="A7389" s="45"/>
      <c r="B7389" s="59"/>
      <c r="C7389" s="137"/>
      <c r="D7389" s="59"/>
      <c r="E7389" s="116"/>
      <c r="F7389" s="120"/>
      <c r="G7389" s="120"/>
      <c r="H7389" s="120"/>
      <c r="I7389" s="60"/>
      <c r="J7389" s="116"/>
      <c r="K7389" s="213"/>
      <c r="L7389" s="120"/>
      <c r="M7389" s="120"/>
      <c r="N7389" s="167"/>
      <c r="O7389" s="120"/>
      <c r="P7389" s="120"/>
      <c r="Q7389" s="120"/>
      <c r="R7389" s="120"/>
      <c r="S7389" s="120"/>
      <c r="T7389" s="221"/>
      <c r="U7389" s="89"/>
      <c r="V7389" s="61"/>
      <c r="W7389" s="92" t="s">
        <v>1063</v>
      </c>
      <c r="X7389" s="93" t="s">
        <v>30</v>
      </c>
      <c r="Y7389" s="93" t="s">
        <v>68</v>
      </c>
      <c r="Z7389" s="134">
        <f>VLOOKUP(W7389,Sheet2!$B:$D,3,FALSE)</f>
        <v>18</v>
      </c>
      <c r="AA7389" s="93">
        <v>1</v>
      </c>
      <c r="AB7389" s="93">
        <f>AD7389/AC7387</f>
        <v>18</v>
      </c>
      <c r="AC7389" s="93">
        <f>AC7387/AA7389</f>
        <v>116.71315000000004</v>
      </c>
      <c r="AD7389" s="94">
        <f>AC7389*Z7389</f>
        <v>2100.8367000000007</v>
      </c>
      <c r="AE7389" s="190"/>
      <c r="AF7389" s="191"/>
      <c r="AG7389" s="191"/>
      <c r="AH7389" s="191"/>
      <c r="AI7389" s="186"/>
      <c r="AK7389" s="171"/>
    </row>
    <row r="7390" spans="1:37" s="102" customFormat="1" ht="19.899999999999999" customHeight="1" x14ac:dyDescent="0.25">
      <c r="A7390" s="45"/>
      <c r="B7390" s="59"/>
      <c r="C7390" s="137"/>
      <c r="D7390" s="59"/>
      <c r="E7390" s="116"/>
      <c r="F7390" s="120"/>
      <c r="G7390" s="120"/>
      <c r="H7390" s="120"/>
      <c r="I7390" s="60"/>
      <c r="J7390" s="116"/>
      <c r="K7390" s="213"/>
      <c r="L7390" s="120"/>
      <c r="M7390" s="120"/>
      <c r="N7390" s="167"/>
      <c r="O7390" s="120"/>
      <c r="P7390" s="120"/>
      <c r="Q7390" s="120"/>
      <c r="R7390" s="120"/>
      <c r="S7390" s="120"/>
      <c r="T7390" s="221"/>
      <c r="U7390" s="89"/>
      <c r="V7390" s="61"/>
      <c r="W7390" s="92" t="s">
        <v>1071</v>
      </c>
      <c r="X7390" s="93" t="s">
        <v>32</v>
      </c>
      <c r="Y7390" s="93" t="s">
        <v>68</v>
      </c>
      <c r="Z7390" s="134">
        <f>VLOOKUP(W7390,Sheet2!$B:$D,3,FALSE)</f>
        <v>52</v>
      </c>
      <c r="AA7390" s="93">
        <v>1</v>
      </c>
      <c r="AB7390" s="93">
        <f>AD7390/AC7387</f>
        <v>52</v>
      </c>
      <c r="AC7390" s="93">
        <f>AC7387/AA7390</f>
        <v>116.71315000000004</v>
      </c>
      <c r="AD7390" s="94">
        <f>AC7390*Z7390</f>
        <v>6069.0838000000022</v>
      </c>
      <c r="AE7390" s="190"/>
      <c r="AF7390" s="191"/>
      <c r="AG7390" s="191"/>
      <c r="AH7390" s="191"/>
      <c r="AI7390" s="186"/>
      <c r="AK7390" s="171"/>
    </row>
    <row r="7391" spans="1:37" s="102" customFormat="1" ht="19.899999999999999" customHeight="1" x14ac:dyDescent="0.25">
      <c r="A7391" s="45"/>
      <c r="B7391" s="59"/>
      <c r="C7391" s="137"/>
      <c r="D7391" s="59"/>
      <c r="E7391" s="116"/>
      <c r="F7391" s="120"/>
      <c r="G7391" s="120"/>
      <c r="H7391" s="120"/>
      <c r="I7391" s="60"/>
      <c r="J7391" s="116"/>
      <c r="K7391" s="213"/>
      <c r="L7391" s="120"/>
      <c r="M7391" s="120"/>
      <c r="N7391" s="167"/>
      <c r="O7391" s="120"/>
      <c r="P7391" s="120"/>
      <c r="Q7391" s="120"/>
      <c r="R7391" s="120"/>
      <c r="S7391" s="120"/>
      <c r="T7391" s="221"/>
      <c r="U7391" s="89"/>
      <c r="V7391" s="61"/>
      <c r="W7391" s="92" t="s">
        <v>1032</v>
      </c>
      <c r="X7391" s="93" t="s">
        <v>30</v>
      </c>
      <c r="Y7391" s="93" t="s">
        <v>66</v>
      </c>
      <c r="Z7391" s="134">
        <f>VLOOKUP(W7391,Sheet2!$B:$D,3,FALSE)</f>
        <v>250</v>
      </c>
      <c r="AA7391" s="93">
        <f>1/(1.25*0.1)</f>
        <v>8</v>
      </c>
      <c r="AB7391" s="93">
        <f>AD7391/AC7387</f>
        <v>31.25</v>
      </c>
      <c r="AC7391" s="93">
        <f>AC7387/AA7391</f>
        <v>14.589143750000005</v>
      </c>
      <c r="AD7391" s="94">
        <f>AC7391*Z7391</f>
        <v>3647.2859375000012</v>
      </c>
      <c r="AE7391" s="190"/>
      <c r="AF7391" s="191"/>
      <c r="AG7391" s="191"/>
      <c r="AH7391" s="191"/>
      <c r="AI7391" s="186"/>
      <c r="AK7391" s="171"/>
    </row>
    <row r="7392" spans="1:37" s="102" customFormat="1" ht="19.899999999999999" customHeight="1" x14ac:dyDescent="0.25">
      <c r="A7392" s="45"/>
      <c r="B7392" s="59"/>
      <c r="C7392" s="137"/>
      <c r="D7392" s="59"/>
      <c r="E7392" s="116"/>
      <c r="F7392" s="120"/>
      <c r="G7392" s="120"/>
      <c r="H7392" s="120"/>
      <c r="I7392" s="60"/>
      <c r="J7392" s="116"/>
      <c r="K7392" s="213"/>
      <c r="L7392" s="120"/>
      <c r="M7392" s="120"/>
      <c r="N7392" s="167"/>
      <c r="O7392" s="120"/>
      <c r="P7392" s="120"/>
      <c r="Q7392" s="120"/>
      <c r="R7392" s="120"/>
      <c r="S7392" s="120"/>
      <c r="T7392" s="221"/>
      <c r="U7392" s="89"/>
      <c r="V7392" s="61"/>
      <c r="W7392" s="92" t="s">
        <v>1035</v>
      </c>
      <c r="X7392" s="93" t="s">
        <v>32</v>
      </c>
      <c r="Y7392" s="93" t="s">
        <v>66</v>
      </c>
      <c r="Z7392" s="134">
        <f>VLOOKUP(W7392,Sheet2!$B:$D,3,FALSE)</f>
        <v>150</v>
      </c>
      <c r="AA7392" s="93">
        <f>AA7391</f>
        <v>8</v>
      </c>
      <c r="AB7392" s="93">
        <f>AD7392/AC7387</f>
        <v>18.75</v>
      </c>
      <c r="AC7392" s="93">
        <f>AC7387/AA7392</f>
        <v>14.589143750000005</v>
      </c>
      <c r="AD7392" s="94">
        <f t="shared" ref="AD7392:AD7393" si="5221">AC7392*Z7392</f>
        <v>2188.3715625000009</v>
      </c>
      <c r="AE7392" s="190"/>
      <c r="AF7392" s="191"/>
      <c r="AG7392" s="191"/>
      <c r="AH7392" s="191"/>
      <c r="AI7392" s="186"/>
      <c r="AK7392" s="171"/>
    </row>
    <row r="7393" spans="1:41" s="102" customFormat="1" ht="19.899999999999999" customHeight="1" x14ac:dyDescent="0.25">
      <c r="A7393" s="45"/>
      <c r="B7393" s="59"/>
      <c r="C7393" s="137"/>
      <c r="D7393" s="59"/>
      <c r="E7393" s="116"/>
      <c r="F7393" s="120"/>
      <c r="G7393" s="120"/>
      <c r="H7393" s="120"/>
      <c r="I7393" s="60"/>
      <c r="J7393" s="116"/>
      <c r="K7393" s="213"/>
      <c r="L7393" s="120"/>
      <c r="M7393" s="120"/>
      <c r="N7393" s="167"/>
      <c r="O7393" s="120"/>
      <c r="P7393" s="120"/>
      <c r="Q7393" s="120"/>
      <c r="R7393" s="120"/>
      <c r="S7393" s="120"/>
      <c r="T7393" s="221"/>
      <c r="U7393" s="89"/>
      <c r="V7393" s="61"/>
      <c r="W7393" s="92" t="s">
        <v>1037</v>
      </c>
      <c r="X7393" s="93" t="s">
        <v>30</v>
      </c>
      <c r="Y7393" s="93" t="s">
        <v>1038</v>
      </c>
      <c r="Z7393" s="134">
        <f>VLOOKUP(W7393,Sheet2!$B:$D,3,FALSE)</f>
        <v>175</v>
      </c>
      <c r="AA7393" s="93">
        <v>300</v>
      </c>
      <c r="AB7393" s="93">
        <f>AD7393/AC7387</f>
        <v>0.58333333333333326</v>
      </c>
      <c r="AC7393" s="93">
        <f>AC7387/AA7393</f>
        <v>0.38904383333333348</v>
      </c>
      <c r="AD7393" s="94">
        <f t="shared" si="5221"/>
        <v>68.082670833333353</v>
      </c>
      <c r="AE7393" s="190"/>
      <c r="AF7393" s="191"/>
      <c r="AG7393" s="191"/>
      <c r="AH7393" s="191"/>
      <c r="AI7393" s="186"/>
      <c r="AK7393" s="171"/>
    </row>
    <row r="7394" spans="1:41" s="103" customFormat="1" ht="19.899999999999999" customHeight="1" x14ac:dyDescent="0.25">
      <c r="A7394" s="51"/>
      <c r="B7394" s="52"/>
      <c r="C7394" s="165"/>
      <c r="D7394" s="52"/>
      <c r="E7394" s="115"/>
      <c r="F7394" s="58"/>
      <c r="G7394" s="58"/>
      <c r="H7394" s="58"/>
      <c r="I7394" s="55"/>
      <c r="J7394" s="113">
        <f>J7376</f>
        <v>116.71315000000004</v>
      </c>
      <c r="K7394" s="212">
        <f>K7376</f>
        <v>116.71315000000004</v>
      </c>
      <c r="L7394" s="58"/>
      <c r="M7394" s="58">
        <f>K7394-L7394</f>
        <v>116.71315000000004</v>
      </c>
      <c r="N7394" s="166"/>
      <c r="O7394" s="58"/>
      <c r="P7394" s="58"/>
      <c r="Q7394" s="58"/>
      <c r="R7394" s="58"/>
      <c r="S7394" s="58"/>
      <c r="T7394" s="220"/>
      <c r="U7394" s="88"/>
      <c r="V7394" s="56"/>
      <c r="W7394" s="57" t="s">
        <v>1040</v>
      </c>
      <c r="X7394" s="53"/>
      <c r="Y7394" s="91" t="s">
        <v>68</v>
      </c>
      <c r="Z7394" s="136">
        <f>AD7394/AC7394</f>
        <v>5</v>
      </c>
      <c r="AA7394" s="58"/>
      <c r="AB7394" s="53">
        <f>AD7394/AC7394</f>
        <v>5</v>
      </c>
      <c r="AC7394" s="53">
        <f>M7394+$AE$10</f>
        <v>116.71315000000004</v>
      </c>
      <c r="AD7394" s="54">
        <f>SUM(AD7395)</f>
        <v>583.56575000000021</v>
      </c>
      <c r="AE7394" s="184">
        <f>SUMIFS($AD$37:$AD$12971,$V$37:$V$12971,$V7394,$X$37:$X$12971,AE$13)</f>
        <v>0</v>
      </c>
      <c r="AF7394" s="185">
        <f>SUMIFS($AD$37:$AD$12971,$V$37:$V$12971,$V7394,$X$37:$X$12971,AF$13)</f>
        <v>0</v>
      </c>
      <c r="AG7394" s="185">
        <f>SUMIFS($AD$37:$AD$12971,$V$37:$V$12971,$V7394,$X$37:$X$12971,AG$13)</f>
        <v>0</v>
      </c>
      <c r="AH7394" s="187">
        <f>SUMIFS($AD$37:$AD$12971,$V$37:$V$12971,$V7394,$X$37:$X$12971,AH$13)</f>
        <v>0</v>
      </c>
      <c r="AI7394" s="161">
        <f t="shared" ref="AI7394" si="5222">SUM(AE7394:AH7394)</f>
        <v>0</v>
      </c>
      <c r="AK7394" s="172"/>
    </row>
    <row r="7395" spans="1:41" s="102" customFormat="1" ht="19.899999999999999" customHeight="1" x14ac:dyDescent="0.25">
      <c r="A7395" s="45"/>
      <c r="B7395" s="59"/>
      <c r="C7395" s="137"/>
      <c r="D7395" s="59"/>
      <c r="E7395" s="116"/>
      <c r="F7395" s="120"/>
      <c r="G7395" s="120"/>
      <c r="H7395" s="120"/>
      <c r="I7395" s="60"/>
      <c r="J7395" s="116"/>
      <c r="K7395" s="213"/>
      <c r="L7395" s="120"/>
      <c r="M7395" s="120"/>
      <c r="N7395" s="167"/>
      <c r="O7395" s="120"/>
      <c r="P7395" s="120"/>
      <c r="Q7395" s="120"/>
      <c r="R7395" s="120"/>
      <c r="S7395" s="120"/>
      <c r="T7395" s="221"/>
      <c r="U7395" s="89"/>
      <c r="V7395" s="61"/>
      <c r="W7395" s="92" t="s">
        <v>1039</v>
      </c>
      <c r="X7395" s="93" t="s">
        <v>32</v>
      </c>
      <c r="Y7395" s="93" t="s">
        <v>68</v>
      </c>
      <c r="Z7395" s="134">
        <f>VLOOKUP(W7395,Sheet2!$B:$D,3,FALSE)</f>
        <v>5</v>
      </c>
      <c r="AA7395" s="93">
        <v>1</v>
      </c>
      <c r="AB7395" s="93">
        <f>AD7395/AC7394</f>
        <v>5</v>
      </c>
      <c r="AC7395" s="93">
        <f>AC7394/AA7395</f>
        <v>116.71315000000004</v>
      </c>
      <c r="AD7395" s="94">
        <f t="shared" ref="AD7395" si="5223">AC7395*Z7395</f>
        <v>583.56575000000021</v>
      </c>
      <c r="AE7395" s="190"/>
      <c r="AF7395" s="191"/>
      <c r="AG7395" s="191"/>
      <c r="AH7395" s="191"/>
      <c r="AI7395" s="186"/>
      <c r="AK7395" s="171"/>
    </row>
    <row r="7396" spans="1:41" ht="20.100000000000001" customHeight="1" x14ac:dyDescent="0.25">
      <c r="A7396" s="277" t="s">
        <v>703</v>
      </c>
      <c r="B7396" s="278"/>
      <c r="C7396" s="64" t="s">
        <v>734</v>
      </c>
      <c r="D7396" s="46" t="s">
        <v>97</v>
      </c>
      <c r="E7396" s="114">
        <v>50.312199999999962</v>
      </c>
      <c r="F7396" s="44">
        <v>919</v>
      </c>
      <c r="G7396" s="44">
        <f t="shared" si="4575"/>
        <v>46236.911799999965</v>
      </c>
      <c r="H7396" s="44">
        <f t="shared" si="4576"/>
        <v>386.61556078431374</v>
      </c>
      <c r="I7396" s="43">
        <f t="shared" si="4577"/>
        <v>19451.479417292536</v>
      </c>
      <c r="J7396" s="112">
        <f t="shared" si="4578"/>
        <v>50.312199999999962</v>
      </c>
      <c r="K7396" s="211">
        <f t="shared" si="4579"/>
        <v>50.312199999999962</v>
      </c>
      <c r="L7396" s="44"/>
      <c r="M7396" s="44">
        <f t="shared" si="4580"/>
        <v>50.312199999999962</v>
      </c>
      <c r="N7396" s="173">
        <f t="shared" si="4581"/>
        <v>1</v>
      </c>
      <c r="O7396" s="44">
        <f t="shared" si="4582"/>
        <v>919</v>
      </c>
      <c r="P7396" s="44">
        <f t="shared" si="4583"/>
        <v>46236.911799999965</v>
      </c>
      <c r="Q7396" s="44">
        <f t="shared" si="4584"/>
        <v>386.61556078431374</v>
      </c>
      <c r="R7396" s="44">
        <f t="shared" si="4585"/>
        <v>19451.479417292536</v>
      </c>
      <c r="S7396" s="123"/>
      <c r="T7396" s="219">
        <f t="shared" si="4586"/>
        <v>19451.479417292536</v>
      </c>
      <c r="U7396" s="87"/>
      <c r="V7396" s="47"/>
      <c r="W7396" s="48"/>
      <c r="X7396" s="48"/>
      <c r="Y7396" s="48"/>
      <c r="Z7396" s="135"/>
      <c r="AA7396" s="49"/>
      <c r="AB7396" s="50">
        <f t="shared" si="4587"/>
        <v>386.61556078431374</v>
      </c>
      <c r="AC7396" s="42">
        <f t="shared" si="4588"/>
        <v>50.312199999999962</v>
      </c>
      <c r="AD7396" s="90">
        <f>AD7397+AD7407+AD7414</f>
        <v>19451.479417292536</v>
      </c>
      <c r="AE7396" s="188">
        <f t="shared" ref="AE7396:AH7396" si="5224">AE7397+AE7407+AE7414</f>
        <v>0</v>
      </c>
      <c r="AF7396" s="189">
        <f t="shared" si="5224"/>
        <v>0</v>
      </c>
      <c r="AG7396" s="189">
        <f t="shared" si="5224"/>
        <v>0</v>
      </c>
      <c r="AH7396" s="189">
        <f t="shared" si="5224"/>
        <v>0</v>
      </c>
      <c r="AI7396" s="161">
        <f t="shared" ref="AI7396" si="5225">SUM(AE7396:AH7396)</f>
        <v>0</v>
      </c>
      <c r="AK7396" s="169">
        <v>5</v>
      </c>
      <c r="AO7396" s="19" t="s">
        <v>63</v>
      </c>
    </row>
    <row r="7397" spans="1:41" s="103" customFormat="1" ht="19.899999999999999" customHeight="1" x14ac:dyDescent="0.25">
      <c r="A7397" s="51"/>
      <c r="B7397" s="52"/>
      <c r="C7397" s="165"/>
      <c r="D7397" s="52"/>
      <c r="E7397" s="115"/>
      <c r="F7397" s="58"/>
      <c r="G7397" s="58"/>
      <c r="H7397" s="58"/>
      <c r="I7397" s="55"/>
      <c r="J7397" s="113">
        <f>J7396</f>
        <v>50.312199999999962</v>
      </c>
      <c r="K7397" s="212">
        <f>K7396</f>
        <v>50.312199999999962</v>
      </c>
      <c r="L7397" s="58"/>
      <c r="M7397" s="58">
        <f>K7397-L7397</f>
        <v>50.312199999999962</v>
      </c>
      <c r="N7397" s="166"/>
      <c r="O7397" s="58"/>
      <c r="P7397" s="58"/>
      <c r="Q7397" s="58"/>
      <c r="R7397" s="58"/>
      <c r="S7397" s="58"/>
      <c r="T7397" s="220"/>
      <c r="U7397" s="88"/>
      <c r="V7397" s="56"/>
      <c r="W7397" s="57" t="s">
        <v>1092</v>
      </c>
      <c r="X7397" s="53"/>
      <c r="Y7397" s="91" t="s">
        <v>68</v>
      </c>
      <c r="Z7397" s="136">
        <f>AD7397/AC7397</f>
        <v>81.032227450980386</v>
      </c>
      <c r="AA7397" s="58"/>
      <c r="AB7397" s="53">
        <f>AD7397/AC7397</f>
        <v>81.032227450980386</v>
      </c>
      <c r="AC7397" s="53">
        <f>M7397+$AE$10</f>
        <v>50.312199999999962</v>
      </c>
      <c r="AD7397" s="54">
        <f>SUM(AD7398:AD7406)</f>
        <v>4076.9096339592124</v>
      </c>
      <c r="AE7397" s="184">
        <f>SUMIFS($AD$37:$AD$12971,$V$37:$V$12971,$V7397,$X$37:$X$12971,AE$13)</f>
        <v>0</v>
      </c>
      <c r="AF7397" s="185">
        <f>SUMIFS($AD$37:$AD$12971,$V$37:$V$12971,$V7397,$X$37:$X$12971,AF$13)</f>
        <v>0</v>
      </c>
      <c r="AG7397" s="185">
        <f>SUMIFS($AD$37:$AD$12971,$V$37:$V$12971,$V7397,$X$37:$X$12971,AG$13)</f>
        <v>0</v>
      </c>
      <c r="AH7397" s="187">
        <f>SUMIFS($AD$37:$AD$12971,$V$37:$V$12971,$V7397,$X$37:$X$12971,AH$13)</f>
        <v>0</v>
      </c>
      <c r="AI7397" s="161">
        <f t="shared" ref="AI7397" si="5226">SUM(AE7397:AH7397)</f>
        <v>0</v>
      </c>
      <c r="AK7397" s="172"/>
    </row>
    <row r="7398" spans="1:41" s="102" customFormat="1" ht="19.899999999999999" customHeight="1" x14ac:dyDescent="0.25">
      <c r="A7398" s="45"/>
      <c r="B7398" s="59"/>
      <c r="C7398" s="137"/>
      <c r="D7398" s="59"/>
      <c r="E7398" s="116"/>
      <c r="F7398" s="120"/>
      <c r="G7398" s="120"/>
      <c r="H7398" s="120"/>
      <c r="I7398" s="60"/>
      <c r="J7398" s="116"/>
      <c r="K7398" s="213"/>
      <c r="L7398" s="120"/>
      <c r="M7398" s="120"/>
      <c r="N7398" s="167"/>
      <c r="O7398" s="120"/>
      <c r="P7398" s="120"/>
      <c r="Q7398" s="120"/>
      <c r="R7398" s="120"/>
      <c r="S7398" s="120"/>
      <c r="T7398" s="221"/>
      <c r="U7398" s="89"/>
      <c r="V7398" s="61"/>
      <c r="W7398" s="92" t="s">
        <v>129</v>
      </c>
      <c r="X7398" s="93" t="s">
        <v>29</v>
      </c>
      <c r="Y7398" s="93" t="s">
        <v>93</v>
      </c>
      <c r="Z7398" s="134">
        <f>VLOOKUP(W7398,Sheet2!$B:$D,3,FALSE)</f>
        <v>56</v>
      </c>
      <c r="AA7398" s="93">
        <f>100/(1.25*3.5)</f>
        <v>22.857142857142858</v>
      </c>
      <c r="AB7398" s="93">
        <f t="shared" ref="AB7398" si="5227">AD7398/AC7397</f>
        <v>2.4499999999999997</v>
      </c>
      <c r="AC7398" s="93">
        <f>AC7397/AA7398</f>
        <v>2.2011587499999981</v>
      </c>
      <c r="AD7398" s="94">
        <f t="shared" ref="AD7398:AD7399" si="5228">AC7398*Z7398</f>
        <v>123.26488999999989</v>
      </c>
      <c r="AE7398" s="190"/>
      <c r="AF7398" s="191"/>
      <c r="AG7398" s="191"/>
      <c r="AH7398" s="191"/>
      <c r="AI7398" s="186"/>
      <c r="AK7398" s="171"/>
    </row>
    <row r="7399" spans="1:41" s="102" customFormat="1" ht="19.899999999999999" customHeight="1" x14ac:dyDescent="0.25">
      <c r="A7399" s="45"/>
      <c r="B7399" s="59"/>
      <c r="C7399" s="137"/>
      <c r="D7399" s="59"/>
      <c r="E7399" s="116"/>
      <c r="F7399" s="120"/>
      <c r="G7399" s="120"/>
      <c r="H7399" s="120"/>
      <c r="I7399" s="60"/>
      <c r="J7399" s="116"/>
      <c r="K7399" s="213"/>
      <c r="L7399" s="120"/>
      <c r="M7399" s="120"/>
      <c r="N7399" s="167"/>
      <c r="O7399" s="120"/>
      <c r="P7399" s="120"/>
      <c r="Q7399" s="120"/>
      <c r="R7399" s="120"/>
      <c r="S7399" s="120"/>
      <c r="T7399" s="221"/>
      <c r="U7399" s="89"/>
      <c r="V7399" s="61"/>
      <c r="W7399" s="92" t="s">
        <v>65</v>
      </c>
      <c r="X7399" s="93" t="s">
        <v>30</v>
      </c>
      <c r="Y7399" s="93" t="s">
        <v>1011</v>
      </c>
      <c r="Z7399" s="134">
        <f>VLOOKUP(W7399,Sheet2!$B:$D,3,FALSE)</f>
        <v>1.76</v>
      </c>
      <c r="AA7399" s="93">
        <f>AA7398/14</f>
        <v>1.6326530612244898</v>
      </c>
      <c r="AB7399" s="93">
        <f>AD7399/AC7397</f>
        <v>1.0780000000000001</v>
      </c>
      <c r="AC7399" s="93">
        <f>AC7397/AA7399</f>
        <v>30.816222499999977</v>
      </c>
      <c r="AD7399" s="94">
        <f t="shared" si="5228"/>
        <v>54.236551599999963</v>
      </c>
      <c r="AE7399" s="190"/>
      <c r="AF7399" s="191"/>
      <c r="AG7399" s="191"/>
      <c r="AH7399" s="191"/>
      <c r="AI7399" s="186"/>
      <c r="AK7399" s="171"/>
    </row>
    <row r="7400" spans="1:41" s="102" customFormat="1" ht="19.899999999999999" customHeight="1" x14ac:dyDescent="0.25">
      <c r="A7400" s="45"/>
      <c r="B7400" s="59"/>
      <c r="C7400" s="137"/>
      <c r="D7400" s="59"/>
      <c r="E7400" s="116"/>
      <c r="F7400" s="120"/>
      <c r="G7400" s="120"/>
      <c r="H7400" s="120"/>
      <c r="I7400" s="60"/>
      <c r="J7400" s="116"/>
      <c r="K7400" s="213"/>
      <c r="L7400" s="120"/>
      <c r="M7400" s="120"/>
      <c r="N7400" s="167"/>
      <c r="O7400" s="120"/>
      <c r="P7400" s="120"/>
      <c r="Q7400" s="120"/>
      <c r="R7400" s="120"/>
      <c r="S7400" s="120"/>
      <c r="T7400" s="221"/>
      <c r="U7400" s="89"/>
      <c r="V7400" s="61"/>
      <c r="W7400" s="92" t="s">
        <v>161</v>
      </c>
      <c r="X7400" s="93" t="s">
        <v>29</v>
      </c>
      <c r="Y7400" s="93" t="s">
        <v>93</v>
      </c>
      <c r="Z7400" s="134">
        <f>VLOOKUP(W7400,Sheet2!$B:$D,3,FALSE)</f>
        <v>48</v>
      </c>
      <c r="AA7400" s="93">
        <f>(16*0.85*1.5)/(1.25*3.5)</f>
        <v>4.6628571428571428</v>
      </c>
      <c r="AB7400" s="93">
        <f>AD7400/AC7397</f>
        <v>10.294117647058824</v>
      </c>
      <c r="AC7400" s="93">
        <f>AC7397/AA7400</f>
        <v>10.789993872549012</v>
      </c>
      <c r="AD7400" s="94">
        <f>AC7400*Z7400</f>
        <v>517.91970588235256</v>
      </c>
      <c r="AE7400" s="190"/>
      <c r="AF7400" s="191"/>
      <c r="AG7400" s="191"/>
      <c r="AH7400" s="191"/>
      <c r="AI7400" s="186"/>
      <c r="AK7400" s="171"/>
    </row>
    <row r="7401" spans="1:41" s="102" customFormat="1" ht="19.899999999999999" customHeight="1" x14ac:dyDescent="0.25">
      <c r="A7401" s="45"/>
      <c r="B7401" s="59"/>
      <c r="C7401" s="137"/>
      <c r="D7401" s="59"/>
      <c r="E7401" s="116"/>
      <c r="F7401" s="120"/>
      <c r="G7401" s="120"/>
      <c r="H7401" s="120"/>
      <c r="I7401" s="60"/>
      <c r="J7401" s="116"/>
      <c r="K7401" s="213"/>
      <c r="L7401" s="120"/>
      <c r="M7401" s="120"/>
      <c r="N7401" s="167"/>
      <c r="O7401" s="120"/>
      <c r="P7401" s="120"/>
      <c r="Q7401" s="120"/>
      <c r="R7401" s="120"/>
      <c r="S7401" s="120"/>
      <c r="T7401" s="221"/>
      <c r="U7401" s="89"/>
      <c r="V7401" s="61"/>
      <c r="W7401" s="92" t="s">
        <v>65</v>
      </c>
      <c r="X7401" s="93" t="s">
        <v>30</v>
      </c>
      <c r="Y7401" s="93" t="s">
        <v>1011</v>
      </c>
      <c r="Z7401" s="134">
        <f>VLOOKUP(W7401,Sheet2!$B:$D,3,FALSE)</f>
        <v>1.76</v>
      </c>
      <c r="AA7401" s="93">
        <f>AA7400/10</f>
        <v>0.4662857142857143</v>
      </c>
      <c r="AB7401" s="93">
        <f>AD7401/AC7397</f>
        <v>3.774509803921569</v>
      </c>
      <c r="AC7401" s="93">
        <f>AC7397/AA7401</f>
        <v>107.89993872549012</v>
      </c>
      <c r="AD7401" s="94">
        <f>AC7401*Z7401</f>
        <v>189.90389215686261</v>
      </c>
      <c r="AE7401" s="190"/>
      <c r="AF7401" s="191"/>
      <c r="AG7401" s="191"/>
      <c r="AH7401" s="191"/>
      <c r="AI7401" s="186"/>
      <c r="AK7401" s="171"/>
    </row>
    <row r="7402" spans="1:41" s="102" customFormat="1" ht="19.899999999999999" customHeight="1" x14ac:dyDescent="0.25">
      <c r="A7402" s="45"/>
      <c r="B7402" s="59"/>
      <c r="C7402" s="137"/>
      <c r="D7402" s="59"/>
      <c r="E7402" s="116"/>
      <c r="F7402" s="120"/>
      <c r="G7402" s="120"/>
      <c r="H7402" s="120"/>
      <c r="I7402" s="60"/>
      <c r="J7402" s="116"/>
      <c r="K7402" s="213"/>
      <c r="L7402" s="120"/>
      <c r="M7402" s="120"/>
      <c r="N7402" s="167"/>
      <c r="O7402" s="120"/>
      <c r="P7402" s="120"/>
      <c r="Q7402" s="120"/>
      <c r="R7402" s="120"/>
      <c r="S7402" s="120"/>
      <c r="T7402" s="221"/>
      <c r="U7402" s="89"/>
      <c r="V7402" s="61"/>
      <c r="W7402" s="92" t="s">
        <v>1030</v>
      </c>
      <c r="X7402" s="93" t="s">
        <v>29</v>
      </c>
      <c r="Y7402" s="93" t="s">
        <v>93</v>
      </c>
      <c r="Z7402" s="134">
        <f>VLOOKUP(W7402,Sheet2!$B:$D,3,FALSE)</f>
        <v>23</v>
      </c>
      <c r="AA7402" s="93">
        <v>50</v>
      </c>
      <c r="AB7402" s="93">
        <f>AD7402/AC7397</f>
        <v>0.46</v>
      </c>
      <c r="AC7402" s="93">
        <f>AC7397/AA7402</f>
        <v>1.0062439999999993</v>
      </c>
      <c r="AD7402" s="94">
        <f t="shared" ref="AD7402:AD7406" si="5229">AC7402*Z7402</f>
        <v>23.143611999999983</v>
      </c>
      <c r="AE7402" s="190"/>
      <c r="AF7402" s="191"/>
      <c r="AG7402" s="191"/>
      <c r="AH7402" s="191"/>
      <c r="AI7402" s="186"/>
      <c r="AK7402" s="171"/>
    </row>
    <row r="7403" spans="1:41" s="102" customFormat="1" ht="19.899999999999999" customHeight="1" x14ac:dyDescent="0.25">
      <c r="A7403" s="45"/>
      <c r="B7403" s="59"/>
      <c r="C7403" s="137"/>
      <c r="D7403" s="59"/>
      <c r="E7403" s="116"/>
      <c r="F7403" s="120"/>
      <c r="G7403" s="120"/>
      <c r="H7403" s="120"/>
      <c r="I7403" s="60"/>
      <c r="J7403" s="116"/>
      <c r="K7403" s="213"/>
      <c r="L7403" s="120"/>
      <c r="M7403" s="120"/>
      <c r="N7403" s="167"/>
      <c r="O7403" s="120"/>
      <c r="P7403" s="120"/>
      <c r="Q7403" s="120"/>
      <c r="R7403" s="120"/>
      <c r="S7403" s="120"/>
      <c r="T7403" s="221"/>
      <c r="U7403" s="89"/>
      <c r="V7403" s="61"/>
      <c r="W7403" s="92" t="s">
        <v>65</v>
      </c>
      <c r="X7403" s="93" t="s">
        <v>30</v>
      </c>
      <c r="Y7403" s="93" t="s">
        <v>1011</v>
      </c>
      <c r="Z7403" s="134">
        <f>VLOOKUP(W7403,Sheet2!$B:$D,3,FALSE)</f>
        <v>1.76</v>
      </c>
      <c r="AA7403" s="93">
        <f>AA7402/3</f>
        <v>16.666666666666668</v>
      </c>
      <c r="AB7403" s="93">
        <f>AD7403/AC7397</f>
        <v>0.10559999999999999</v>
      </c>
      <c r="AC7403" s="93">
        <f>AC7397/AA7403</f>
        <v>3.0187319999999973</v>
      </c>
      <c r="AD7403" s="94">
        <f t="shared" si="5229"/>
        <v>5.3129683199999951</v>
      </c>
      <c r="AE7403" s="190"/>
      <c r="AF7403" s="191"/>
      <c r="AG7403" s="191"/>
      <c r="AH7403" s="191"/>
      <c r="AI7403" s="186"/>
      <c r="AK7403" s="171"/>
    </row>
    <row r="7404" spans="1:41" s="102" customFormat="1" ht="19.899999999999999" customHeight="1" x14ac:dyDescent="0.25">
      <c r="A7404" s="45"/>
      <c r="B7404" s="59"/>
      <c r="C7404" s="137"/>
      <c r="D7404" s="59"/>
      <c r="E7404" s="116"/>
      <c r="F7404" s="120"/>
      <c r="G7404" s="120"/>
      <c r="H7404" s="120"/>
      <c r="I7404" s="60"/>
      <c r="J7404" s="116"/>
      <c r="K7404" s="213"/>
      <c r="L7404" s="120"/>
      <c r="M7404" s="120"/>
      <c r="N7404" s="167"/>
      <c r="O7404" s="120"/>
      <c r="P7404" s="120"/>
      <c r="Q7404" s="120"/>
      <c r="R7404" s="120"/>
      <c r="S7404" s="120"/>
      <c r="T7404" s="221"/>
      <c r="U7404" s="89"/>
      <c r="V7404" s="61"/>
      <c r="W7404" s="92" t="s">
        <v>148</v>
      </c>
      <c r="X7404" s="93" t="s">
        <v>29</v>
      </c>
      <c r="Y7404" s="93" t="s">
        <v>93</v>
      </c>
      <c r="Z7404" s="134">
        <f>VLOOKUP(W7404,Sheet2!$B:$D,3,FALSE)</f>
        <v>48</v>
      </c>
      <c r="AA7404" s="93">
        <f>AA7398</f>
        <v>22.857142857142858</v>
      </c>
      <c r="AB7404" s="93">
        <f>AD7404/AC7397</f>
        <v>2.1</v>
      </c>
      <c r="AC7404" s="93">
        <f>AC7397/AA7404</f>
        <v>2.2011587499999981</v>
      </c>
      <c r="AD7404" s="94">
        <f t="shared" si="5229"/>
        <v>105.65561999999991</v>
      </c>
      <c r="AE7404" s="190"/>
      <c r="AF7404" s="191"/>
      <c r="AG7404" s="191"/>
      <c r="AH7404" s="191"/>
      <c r="AI7404" s="186"/>
      <c r="AK7404" s="171"/>
    </row>
    <row r="7405" spans="1:41" s="102" customFormat="1" ht="19.899999999999999" customHeight="1" x14ac:dyDescent="0.25">
      <c r="A7405" s="45"/>
      <c r="B7405" s="59"/>
      <c r="C7405" s="137"/>
      <c r="D7405" s="59"/>
      <c r="E7405" s="116"/>
      <c r="F7405" s="120"/>
      <c r="G7405" s="120"/>
      <c r="H7405" s="120"/>
      <c r="I7405" s="60"/>
      <c r="J7405" s="116"/>
      <c r="K7405" s="213"/>
      <c r="L7405" s="120"/>
      <c r="M7405" s="120"/>
      <c r="N7405" s="167"/>
      <c r="O7405" s="120"/>
      <c r="P7405" s="120"/>
      <c r="Q7405" s="120"/>
      <c r="R7405" s="120"/>
      <c r="S7405" s="120"/>
      <c r="T7405" s="221"/>
      <c r="U7405" s="89"/>
      <c r="V7405" s="61"/>
      <c r="W7405" s="92" t="s">
        <v>65</v>
      </c>
      <c r="X7405" s="93" t="s">
        <v>30</v>
      </c>
      <c r="Y7405" s="93" t="s">
        <v>1011</v>
      </c>
      <c r="Z7405" s="134">
        <f>VLOOKUP(W7405,Sheet2!$B:$D,3,FALSE)</f>
        <v>1.76</v>
      </c>
      <c r="AA7405" s="93">
        <f>AA7404/10</f>
        <v>2.2857142857142856</v>
      </c>
      <c r="AB7405" s="93">
        <f>AD7405/AC7397</f>
        <v>0.77</v>
      </c>
      <c r="AC7405" s="93">
        <f>AC7397/AA7405</f>
        <v>22.011587499999983</v>
      </c>
      <c r="AD7405" s="94">
        <f t="shared" si="5229"/>
        <v>38.740393999999974</v>
      </c>
      <c r="AE7405" s="190"/>
      <c r="AF7405" s="191"/>
      <c r="AG7405" s="191"/>
      <c r="AH7405" s="191"/>
      <c r="AI7405" s="186"/>
      <c r="AK7405" s="171"/>
    </row>
    <row r="7406" spans="1:41" s="102" customFormat="1" ht="19.899999999999999" customHeight="1" x14ac:dyDescent="0.25">
      <c r="A7406" s="45"/>
      <c r="B7406" s="59"/>
      <c r="C7406" s="137"/>
      <c r="D7406" s="59"/>
      <c r="E7406" s="116"/>
      <c r="F7406" s="120"/>
      <c r="G7406" s="120"/>
      <c r="H7406" s="120"/>
      <c r="I7406" s="60"/>
      <c r="J7406" s="116"/>
      <c r="K7406" s="213"/>
      <c r="L7406" s="120"/>
      <c r="M7406" s="120"/>
      <c r="N7406" s="167"/>
      <c r="O7406" s="120"/>
      <c r="P7406" s="120"/>
      <c r="Q7406" s="120"/>
      <c r="R7406" s="120"/>
      <c r="S7406" s="120"/>
      <c r="T7406" s="221"/>
      <c r="U7406" s="89"/>
      <c r="V7406" s="61"/>
      <c r="W7406" s="92" t="s">
        <v>1049</v>
      </c>
      <c r="X7406" s="93" t="s">
        <v>30</v>
      </c>
      <c r="Y7406" s="93" t="s">
        <v>68</v>
      </c>
      <c r="Z7406" s="134">
        <f>VLOOKUP(W7406,Sheet2!$B:$D,3,FALSE)</f>
        <v>60</v>
      </c>
      <c r="AA7406" s="93">
        <v>1</v>
      </c>
      <c r="AB7406" s="93">
        <f>AD7406/AC7397</f>
        <v>60</v>
      </c>
      <c r="AC7406" s="93">
        <f>AC7397/AA7406</f>
        <v>50.312199999999962</v>
      </c>
      <c r="AD7406" s="94">
        <f t="shared" si="5229"/>
        <v>3018.7319999999977</v>
      </c>
      <c r="AE7406" s="190"/>
      <c r="AF7406" s="191"/>
      <c r="AG7406" s="191"/>
      <c r="AH7406" s="191"/>
      <c r="AI7406" s="186"/>
      <c r="AK7406" s="171"/>
    </row>
    <row r="7407" spans="1:41" s="103" customFormat="1" ht="19.899999999999999" customHeight="1" x14ac:dyDescent="0.25">
      <c r="A7407" s="51"/>
      <c r="B7407" s="52"/>
      <c r="C7407" s="165"/>
      <c r="D7407" s="52"/>
      <c r="E7407" s="115"/>
      <c r="F7407" s="58"/>
      <c r="G7407" s="58"/>
      <c r="H7407" s="58"/>
      <c r="I7407" s="55"/>
      <c r="J7407" s="113">
        <f>J7396</f>
        <v>50.312199999999962</v>
      </c>
      <c r="K7407" s="212">
        <f>K7396</f>
        <v>50.312199999999962</v>
      </c>
      <c r="L7407" s="58"/>
      <c r="M7407" s="58">
        <f>K7407-L7407</f>
        <v>50.312199999999962</v>
      </c>
      <c r="N7407" s="166"/>
      <c r="O7407" s="58"/>
      <c r="P7407" s="58"/>
      <c r="Q7407" s="58"/>
      <c r="R7407" s="58"/>
      <c r="S7407" s="58"/>
      <c r="T7407" s="220"/>
      <c r="U7407" s="88"/>
      <c r="V7407" s="56"/>
      <c r="W7407" s="57" t="s">
        <v>1036</v>
      </c>
      <c r="X7407" s="53"/>
      <c r="Y7407" s="91" t="s">
        <v>68</v>
      </c>
      <c r="Z7407" s="136">
        <f>AD7407/AC7407</f>
        <v>300.58333333333331</v>
      </c>
      <c r="AA7407" s="58"/>
      <c r="AB7407" s="53">
        <f>AD7407/AC7407</f>
        <v>300.58333333333331</v>
      </c>
      <c r="AC7407" s="53">
        <f>M7407+$AE$10</f>
        <v>50.312199999999962</v>
      </c>
      <c r="AD7407" s="54">
        <f>SUM(AD7408:AD7413)</f>
        <v>15123.008783333322</v>
      </c>
      <c r="AE7407" s="184">
        <f>SUMIFS($AD$37:$AD$12971,$V$37:$V$12971,$V7407,$X$37:$X$12971,AE$13)</f>
        <v>0</v>
      </c>
      <c r="AF7407" s="185">
        <f>SUMIFS($AD$37:$AD$12971,$V$37:$V$12971,$V7407,$X$37:$X$12971,AF$13)</f>
        <v>0</v>
      </c>
      <c r="AG7407" s="185">
        <f>SUMIFS($AD$37:$AD$12971,$V$37:$V$12971,$V7407,$X$37:$X$12971,AG$13)</f>
        <v>0</v>
      </c>
      <c r="AH7407" s="187">
        <f>SUMIFS($AD$37:$AD$12971,$V$37:$V$12971,$V7407,$X$37:$X$12971,AH$13)</f>
        <v>0</v>
      </c>
      <c r="AI7407" s="161">
        <f t="shared" ref="AI7407" si="5230">SUM(AE7407:AH7407)</f>
        <v>0</v>
      </c>
      <c r="AK7407" s="172"/>
    </row>
    <row r="7408" spans="1:41" s="102" customFormat="1" ht="19.899999999999999" customHeight="1" x14ac:dyDescent="0.25">
      <c r="A7408" s="45"/>
      <c r="B7408" s="59"/>
      <c r="C7408" s="137"/>
      <c r="D7408" s="59"/>
      <c r="E7408" s="116"/>
      <c r="F7408" s="120"/>
      <c r="G7408" s="120"/>
      <c r="H7408" s="120"/>
      <c r="I7408" s="60"/>
      <c r="J7408" s="116"/>
      <c r="K7408" s="213"/>
      <c r="L7408" s="120"/>
      <c r="M7408" s="120"/>
      <c r="N7408" s="167"/>
      <c r="O7408" s="120"/>
      <c r="P7408" s="120"/>
      <c r="Q7408" s="120"/>
      <c r="R7408" s="120"/>
      <c r="S7408" s="120"/>
      <c r="T7408" s="221"/>
      <c r="U7408" s="89"/>
      <c r="V7408" s="61"/>
      <c r="W7408" s="92" t="s">
        <v>1056</v>
      </c>
      <c r="X7408" s="93" t="s">
        <v>30</v>
      </c>
      <c r="Y7408" s="93" t="s">
        <v>68</v>
      </c>
      <c r="Z7408" s="134">
        <f>VLOOKUP(W7408,Sheet2!$B:$D,3,FALSE)</f>
        <v>180</v>
      </c>
      <c r="AA7408" s="93">
        <v>1</v>
      </c>
      <c r="AB7408" s="93">
        <f>AD7408/AC7407</f>
        <v>180</v>
      </c>
      <c r="AC7408" s="93">
        <f>AC7407/AA7408</f>
        <v>50.312199999999962</v>
      </c>
      <c r="AD7408" s="94">
        <f t="shared" ref="AD7408" si="5231">AC7408*Z7408</f>
        <v>9056.1959999999926</v>
      </c>
      <c r="AE7408" s="190"/>
      <c r="AF7408" s="191"/>
      <c r="AG7408" s="191"/>
      <c r="AH7408" s="191"/>
      <c r="AI7408" s="186"/>
      <c r="AK7408" s="171"/>
    </row>
    <row r="7409" spans="1:41" s="102" customFormat="1" ht="19.899999999999999" customHeight="1" x14ac:dyDescent="0.25">
      <c r="A7409" s="45"/>
      <c r="B7409" s="59"/>
      <c r="C7409" s="137"/>
      <c r="D7409" s="59"/>
      <c r="E7409" s="116"/>
      <c r="F7409" s="120"/>
      <c r="G7409" s="120"/>
      <c r="H7409" s="120"/>
      <c r="I7409" s="60"/>
      <c r="J7409" s="116"/>
      <c r="K7409" s="213"/>
      <c r="L7409" s="120"/>
      <c r="M7409" s="120"/>
      <c r="N7409" s="167"/>
      <c r="O7409" s="120"/>
      <c r="P7409" s="120"/>
      <c r="Q7409" s="120"/>
      <c r="R7409" s="120"/>
      <c r="S7409" s="120"/>
      <c r="T7409" s="221"/>
      <c r="U7409" s="89"/>
      <c r="V7409" s="61"/>
      <c r="W7409" s="92" t="s">
        <v>1063</v>
      </c>
      <c r="X7409" s="93" t="s">
        <v>30</v>
      </c>
      <c r="Y7409" s="93" t="s">
        <v>68</v>
      </c>
      <c r="Z7409" s="134">
        <f>VLOOKUP(W7409,Sheet2!$B:$D,3,FALSE)</f>
        <v>18</v>
      </c>
      <c r="AA7409" s="93">
        <v>1</v>
      </c>
      <c r="AB7409" s="93">
        <f>AD7409/AC7407</f>
        <v>18</v>
      </c>
      <c r="AC7409" s="93">
        <f>AC7407/AA7409</f>
        <v>50.312199999999962</v>
      </c>
      <c r="AD7409" s="94">
        <f>AC7409*Z7409</f>
        <v>905.61959999999931</v>
      </c>
      <c r="AE7409" s="190"/>
      <c r="AF7409" s="191"/>
      <c r="AG7409" s="191"/>
      <c r="AH7409" s="191"/>
      <c r="AI7409" s="186"/>
      <c r="AK7409" s="171"/>
    </row>
    <row r="7410" spans="1:41" s="102" customFormat="1" ht="19.899999999999999" customHeight="1" x14ac:dyDescent="0.25">
      <c r="A7410" s="45"/>
      <c r="B7410" s="59"/>
      <c r="C7410" s="137"/>
      <c r="D7410" s="59"/>
      <c r="E7410" s="116"/>
      <c r="F7410" s="120"/>
      <c r="G7410" s="120"/>
      <c r="H7410" s="120"/>
      <c r="I7410" s="60"/>
      <c r="J7410" s="116"/>
      <c r="K7410" s="213"/>
      <c r="L7410" s="120"/>
      <c r="M7410" s="120"/>
      <c r="N7410" s="167"/>
      <c r="O7410" s="120"/>
      <c r="P7410" s="120"/>
      <c r="Q7410" s="120"/>
      <c r="R7410" s="120"/>
      <c r="S7410" s="120"/>
      <c r="T7410" s="221"/>
      <c r="U7410" s="89"/>
      <c r="V7410" s="61"/>
      <c r="W7410" s="92" t="s">
        <v>1071</v>
      </c>
      <c r="X7410" s="93" t="s">
        <v>32</v>
      </c>
      <c r="Y7410" s="93" t="s">
        <v>68</v>
      </c>
      <c r="Z7410" s="134">
        <f>VLOOKUP(W7410,Sheet2!$B:$D,3,FALSE)</f>
        <v>52</v>
      </c>
      <c r="AA7410" s="93">
        <v>1</v>
      </c>
      <c r="AB7410" s="93">
        <f>AD7410/AC7407</f>
        <v>52</v>
      </c>
      <c r="AC7410" s="93">
        <f>AC7407/AA7410</f>
        <v>50.312199999999962</v>
      </c>
      <c r="AD7410" s="94">
        <f>AC7410*Z7410</f>
        <v>2616.234399999998</v>
      </c>
      <c r="AE7410" s="190"/>
      <c r="AF7410" s="191"/>
      <c r="AG7410" s="191"/>
      <c r="AH7410" s="191"/>
      <c r="AI7410" s="186"/>
      <c r="AK7410" s="171"/>
    </row>
    <row r="7411" spans="1:41" s="102" customFormat="1" ht="19.899999999999999" customHeight="1" x14ac:dyDescent="0.25">
      <c r="A7411" s="45"/>
      <c r="B7411" s="59"/>
      <c r="C7411" s="137"/>
      <c r="D7411" s="59"/>
      <c r="E7411" s="116"/>
      <c r="F7411" s="120"/>
      <c r="G7411" s="120"/>
      <c r="H7411" s="120"/>
      <c r="I7411" s="60"/>
      <c r="J7411" s="116"/>
      <c r="K7411" s="213"/>
      <c r="L7411" s="120"/>
      <c r="M7411" s="120"/>
      <c r="N7411" s="167"/>
      <c r="O7411" s="120"/>
      <c r="P7411" s="120"/>
      <c r="Q7411" s="120"/>
      <c r="R7411" s="120"/>
      <c r="S7411" s="120"/>
      <c r="T7411" s="221"/>
      <c r="U7411" s="89"/>
      <c r="V7411" s="61"/>
      <c r="W7411" s="92" t="s">
        <v>1032</v>
      </c>
      <c r="X7411" s="93" t="s">
        <v>30</v>
      </c>
      <c r="Y7411" s="93" t="s">
        <v>66</v>
      </c>
      <c r="Z7411" s="134">
        <f>VLOOKUP(W7411,Sheet2!$B:$D,3,FALSE)</f>
        <v>250</v>
      </c>
      <c r="AA7411" s="93">
        <f>1/(1.25*0.1)</f>
        <v>8</v>
      </c>
      <c r="AB7411" s="93">
        <f>AD7411/AC7407</f>
        <v>31.25</v>
      </c>
      <c r="AC7411" s="93">
        <f>AC7407/AA7411</f>
        <v>6.2890249999999952</v>
      </c>
      <c r="AD7411" s="94">
        <f>AC7411*Z7411</f>
        <v>1572.2562499999988</v>
      </c>
      <c r="AE7411" s="190"/>
      <c r="AF7411" s="191"/>
      <c r="AG7411" s="191"/>
      <c r="AH7411" s="191"/>
      <c r="AI7411" s="186"/>
      <c r="AK7411" s="171"/>
    </row>
    <row r="7412" spans="1:41" s="102" customFormat="1" ht="19.899999999999999" customHeight="1" x14ac:dyDescent="0.25">
      <c r="A7412" s="45"/>
      <c r="B7412" s="59"/>
      <c r="C7412" s="137"/>
      <c r="D7412" s="59"/>
      <c r="E7412" s="116"/>
      <c r="F7412" s="120"/>
      <c r="G7412" s="120"/>
      <c r="H7412" s="120"/>
      <c r="I7412" s="60"/>
      <c r="J7412" s="116"/>
      <c r="K7412" s="213"/>
      <c r="L7412" s="120"/>
      <c r="M7412" s="120"/>
      <c r="N7412" s="167"/>
      <c r="O7412" s="120"/>
      <c r="P7412" s="120"/>
      <c r="Q7412" s="120"/>
      <c r="R7412" s="120"/>
      <c r="S7412" s="120"/>
      <c r="T7412" s="221"/>
      <c r="U7412" s="89"/>
      <c r="V7412" s="61"/>
      <c r="W7412" s="92" t="s">
        <v>1035</v>
      </c>
      <c r="X7412" s="93" t="s">
        <v>32</v>
      </c>
      <c r="Y7412" s="93" t="s">
        <v>66</v>
      </c>
      <c r="Z7412" s="134">
        <f>VLOOKUP(W7412,Sheet2!$B:$D,3,FALSE)</f>
        <v>150</v>
      </c>
      <c r="AA7412" s="93">
        <f>AA7411</f>
        <v>8</v>
      </c>
      <c r="AB7412" s="93">
        <f>AD7412/AC7407</f>
        <v>18.75</v>
      </c>
      <c r="AC7412" s="93">
        <f>AC7407/AA7412</f>
        <v>6.2890249999999952</v>
      </c>
      <c r="AD7412" s="94">
        <f t="shared" ref="AD7412:AD7413" si="5232">AC7412*Z7412</f>
        <v>943.35374999999931</v>
      </c>
      <c r="AE7412" s="190"/>
      <c r="AF7412" s="191"/>
      <c r="AG7412" s="191"/>
      <c r="AH7412" s="191"/>
      <c r="AI7412" s="186"/>
      <c r="AK7412" s="171"/>
    </row>
    <row r="7413" spans="1:41" s="102" customFormat="1" ht="19.899999999999999" customHeight="1" x14ac:dyDescent="0.25">
      <c r="A7413" s="45"/>
      <c r="B7413" s="59"/>
      <c r="C7413" s="137"/>
      <c r="D7413" s="59"/>
      <c r="E7413" s="116"/>
      <c r="F7413" s="120"/>
      <c r="G7413" s="120"/>
      <c r="H7413" s="120"/>
      <c r="I7413" s="60"/>
      <c r="J7413" s="116"/>
      <c r="K7413" s="213"/>
      <c r="L7413" s="120"/>
      <c r="M7413" s="120"/>
      <c r="N7413" s="167"/>
      <c r="O7413" s="120"/>
      <c r="P7413" s="120"/>
      <c r="Q7413" s="120"/>
      <c r="R7413" s="120"/>
      <c r="S7413" s="120"/>
      <c r="T7413" s="221"/>
      <c r="U7413" s="89"/>
      <c r="V7413" s="61"/>
      <c r="W7413" s="92" t="s">
        <v>1037</v>
      </c>
      <c r="X7413" s="93" t="s">
        <v>30</v>
      </c>
      <c r="Y7413" s="93" t="s">
        <v>1038</v>
      </c>
      <c r="Z7413" s="134">
        <f>VLOOKUP(W7413,Sheet2!$B:$D,3,FALSE)</f>
        <v>175</v>
      </c>
      <c r="AA7413" s="93">
        <v>300</v>
      </c>
      <c r="AB7413" s="93">
        <f>AD7413/AC7407</f>
        <v>0.58333333333333337</v>
      </c>
      <c r="AC7413" s="93">
        <f>AC7407/AA7413</f>
        <v>0.16770733333333321</v>
      </c>
      <c r="AD7413" s="94">
        <f t="shared" si="5232"/>
        <v>29.348783333333312</v>
      </c>
      <c r="AE7413" s="190"/>
      <c r="AF7413" s="191"/>
      <c r="AG7413" s="191"/>
      <c r="AH7413" s="191"/>
      <c r="AI7413" s="186"/>
      <c r="AK7413" s="171"/>
    </row>
    <row r="7414" spans="1:41" s="103" customFormat="1" ht="19.899999999999999" customHeight="1" x14ac:dyDescent="0.25">
      <c r="A7414" s="51"/>
      <c r="B7414" s="52"/>
      <c r="C7414" s="165"/>
      <c r="D7414" s="52"/>
      <c r="E7414" s="115"/>
      <c r="F7414" s="58"/>
      <c r="G7414" s="58"/>
      <c r="H7414" s="58"/>
      <c r="I7414" s="55"/>
      <c r="J7414" s="113">
        <f>J7396</f>
        <v>50.312199999999962</v>
      </c>
      <c r="K7414" s="212">
        <f>K7396</f>
        <v>50.312199999999962</v>
      </c>
      <c r="L7414" s="58"/>
      <c r="M7414" s="58">
        <f>K7414-L7414</f>
        <v>50.312199999999962</v>
      </c>
      <c r="N7414" s="166"/>
      <c r="O7414" s="58"/>
      <c r="P7414" s="58"/>
      <c r="Q7414" s="58"/>
      <c r="R7414" s="58"/>
      <c r="S7414" s="58"/>
      <c r="T7414" s="220"/>
      <c r="U7414" s="88"/>
      <c r="V7414" s="56"/>
      <c r="W7414" s="57" t="s">
        <v>1040</v>
      </c>
      <c r="X7414" s="53"/>
      <c r="Y7414" s="91" t="s">
        <v>68</v>
      </c>
      <c r="Z7414" s="136">
        <f>AD7414/AC7414</f>
        <v>5</v>
      </c>
      <c r="AA7414" s="58"/>
      <c r="AB7414" s="53">
        <f>AD7414/AC7414</f>
        <v>5</v>
      </c>
      <c r="AC7414" s="53">
        <f>M7414+$AE$10</f>
        <v>50.312199999999962</v>
      </c>
      <c r="AD7414" s="54">
        <f>SUM(AD7415)</f>
        <v>251.56099999999981</v>
      </c>
      <c r="AE7414" s="184">
        <f>SUMIFS($AD$37:$AD$12971,$V$37:$V$12971,$V7414,$X$37:$X$12971,AE$13)</f>
        <v>0</v>
      </c>
      <c r="AF7414" s="185">
        <f>SUMIFS($AD$37:$AD$12971,$V$37:$V$12971,$V7414,$X$37:$X$12971,AF$13)</f>
        <v>0</v>
      </c>
      <c r="AG7414" s="185">
        <f>SUMIFS($AD$37:$AD$12971,$V$37:$V$12971,$V7414,$X$37:$X$12971,AG$13)</f>
        <v>0</v>
      </c>
      <c r="AH7414" s="187">
        <f>SUMIFS($AD$37:$AD$12971,$V$37:$V$12971,$V7414,$X$37:$X$12971,AH$13)</f>
        <v>0</v>
      </c>
      <c r="AI7414" s="161">
        <f t="shared" ref="AI7414" si="5233">SUM(AE7414:AH7414)</f>
        <v>0</v>
      </c>
      <c r="AK7414" s="172"/>
    </row>
    <row r="7415" spans="1:41" s="102" customFormat="1" ht="19.899999999999999" customHeight="1" x14ac:dyDescent="0.25">
      <c r="A7415" s="45"/>
      <c r="B7415" s="59"/>
      <c r="C7415" s="137"/>
      <c r="D7415" s="59"/>
      <c r="E7415" s="116"/>
      <c r="F7415" s="120"/>
      <c r="G7415" s="120"/>
      <c r="H7415" s="120"/>
      <c r="I7415" s="60"/>
      <c r="J7415" s="116"/>
      <c r="K7415" s="213"/>
      <c r="L7415" s="120"/>
      <c r="M7415" s="120"/>
      <c r="N7415" s="167"/>
      <c r="O7415" s="120"/>
      <c r="P7415" s="120"/>
      <c r="Q7415" s="120"/>
      <c r="R7415" s="120"/>
      <c r="S7415" s="120"/>
      <c r="T7415" s="221"/>
      <c r="U7415" s="89"/>
      <c r="V7415" s="61"/>
      <c r="W7415" s="92" t="s">
        <v>1039</v>
      </c>
      <c r="X7415" s="93" t="s">
        <v>32</v>
      </c>
      <c r="Y7415" s="93" t="s">
        <v>68</v>
      </c>
      <c r="Z7415" s="134">
        <f>VLOOKUP(W7415,Sheet2!$B:$D,3,FALSE)</f>
        <v>5</v>
      </c>
      <c r="AA7415" s="93">
        <v>1</v>
      </c>
      <c r="AB7415" s="93">
        <f>AD7415/AC7414</f>
        <v>5</v>
      </c>
      <c r="AC7415" s="93">
        <f>AC7414/AA7415</f>
        <v>50.312199999999962</v>
      </c>
      <c r="AD7415" s="94">
        <f t="shared" ref="AD7415" si="5234">AC7415*Z7415</f>
        <v>251.56099999999981</v>
      </c>
      <c r="AE7415" s="190"/>
      <c r="AF7415" s="191"/>
      <c r="AG7415" s="191"/>
      <c r="AH7415" s="191"/>
      <c r="AI7415" s="186"/>
      <c r="AK7415" s="171"/>
    </row>
    <row r="7416" spans="1:41" ht="20.100000000000001" customHeight="1" x14ac:dyDescent="0.25">
      <c r="A7416" s="277" t="s">
        <v>703</v>
      </c>
      <c r="B7416" s="278"/>
      <c r="C7416" s="64" t="s">
        <v>735</v>
      </c>
      <c r="D7416" s="46" t="s">
        <v>97</v>
      </c>
      <c r="E7416" s="114"/>
      <c r="F7416" s="44">
        <v>0</v>
      </c>
      <c r="G7416" s="44">
        <f t="shared" si="4575"/>
        <v>0</v>
      </c>
      <c r="H7416" s="44">
        <f t="shared" si="4576"/>
        <v>0</v>
      </c>
      <c r="I7416" s="43">
        <f t="shared" si="4577"/>
        <v>0</v>
      </c>
      <c r="J7416" s="112">
        <f t="shared" si="4578"/>
        <v>0</v>
      </c>
      <c r="K7416" s="211">
        <f t="shared" si="4579"/>
        <v>0</v>
      </c>
      <c r="L7416" s="44"/>
      <c r="M7416" s="44">
        <f t="shared" si="4580"/>
        <v>0</v>
      </c>
      <c r="N7416" s="173">
        <f t="shared" si="4581"/>
        <v>0</v>
      </c>
      <c r="O7416" s="44">
        <f t="shared" si="4582"/>
        <v>0</v>
      </c>
      <c r="P7416" s="44">
        <f t="shared" si="4583"/>
        <v>0</v>
      </c>
      <c r="Q7416" s="44">
        <f t="shared" si="4584"/>
        <v>0</v>
      </c>
      <c r="R7416" s="44">
        <f t="shared" si="4585"/>
        <v>0</v>
      </c>
      <c r="S7416" s="123"/>
      <c r="T7416" s="219">
        <f t="shared" si="4586"/>
        <v>0</v>
      </c>
      <c r="U7416" s="87"/>
      <c r="V7416" s="47"/>
      <c r="W7416" s="48"/>
      <c r="X7416" s="48"/>
      <c r="Y7416" s="48"/>
      <c r="Z7416" s="135"/>
      <c r="AA7416" s="49"/>
      <c r="AB7416" s="50">
        <f t="shared" si="4587"/>
        <v>0</v>
      </c>
      <c r="AC7416" s="42">
        <f t="shared" si="4588"/>
        <v>9.9999999999999998E-20</v>
      </c>
      <c r="AD7416" s="90"/>
      <c r="AE7416" s="188"/>
      <c r="AF7416" s="189"/>
      <c r="AG7416" s="189"/>
      <c r="AH7416" s="189"/>
      <c r="AI7416" s="161"/>
    </row>
    <row r="7417" spans="1:41" ht="20.100000000000001" customHeight="1" x14ac:dyDescent="0.25">
      <c r="A7417" s="277" t="s">
        <v>703</v>
      </c>
      <c r="B7417" s="278"/>
      <c r="C7417" s="64" t="s">
        <v>736</v>
      </c>
      <c r="D7417" s="46" t="s">
        <v>97</v>
      </c>
      <c r="E7417" s="114">
        <v>89.061999999999998</v>
      </c>
      <c r="F7417" s="44">
        <v>610</v>
      </c>
      <c r="G7417" s="44">
        <f t="shared" si="4575"/>
        <v>54327.82</v>
      </c>
      <c r="H7417" s="44">
        <f t="shared" si="4576"/>
        <v>406.67462745098038</v>
      </c>
      <c r="I7417" s="43">
        <f t="shared" si="4577"/>
        <v>36219.255670039216</v>
      </c>
      <c r="J7417" s="112">
        <f t="shared" si="4578"/>
        <v>89.061999999999998</v>
      </c>
      <c r="K7417" s="211">
        <f t="shared" si="4579"/>
        <v>89.061999999999998</v>
      </c>
      <c r="L7417" s="44"/>
      <c r="M7417" s="44">
        <f t="shared" si="4580"/>
        <v>89.061999999999998</v>
      </c>
      <c r="N7417" s="173">
        <f t="shared" si="4581"/>
        <v>1</v>
      </c>
      <c r="O7417" s="44">
        <f t="shared" si="4582"/>
        <v>610</v>
      </c>
      <c r="P7417" s="44">
        <f t="shared" si="4583"/>
        <v>54327.82</v>
      </c>
      <c r="Q7417" s="44">
        <f t="shared" si="4584"/>
        <v>406.67462745098038</v>
      </c>
      <c r="R7417" s="44">
        <f t="shared" si="4585"/>
        <v>36219.255670039216</v>
      </c>
      <c r="S7417" s="123"/>
      <c r="T7417" s="219">
        <f t="shared" si="4586"/>
        <v>36219.255670039216</v>
      </c>
      <c r="U7417" s="87"/>
      <c r="V7417" s="47"/>
      <c r="W7417" s="48"/>
      <c r="X7417" s="48"/>
      <c r="Y7417" s="48"/>
      <c r="Z7417" s="135"/>
      <c r="AA7417" s="49"/>
      <c r="AB7417" s="50">
        <f t="shared" si="4587"/>
        <v>406.67462745098038</v>
      </c>
      <c r="AC7417" s="42">
        <f t="shared" si="4588"/>
        <v>89.061999999999998</v>
      </c>
      <c r="AD7417" s="90">
        <f>AD7418+AD7427+AD7434</f>
        <v>36219.255670039216</v>
      </c>
      <c r="AE7417" s="188">
        <f>AE7418+AE7427+AE7434</f>
        <v>0</v>
      </c>
      <c r="AF7417" s="189">
        <f>AF7418+AF7427+AF7434</f>
        <v>0</v>
      </c>
      <c r="AG7417" s="189">
        <f>AG7418+AG7427+AG7434</f>
        <v>0</v>
      </c>
      <c r="AH7417" s="189">
        <f>AH7418+AH7427+AH7434</f>
        <v>0</v>
      </c>
      <c r="AI7417" s="161">
        <f t="shared" ref="AI7417:AI7436" si="5235">SUM(AE7417:AH7417)</f>
        <v>0</v>
      </c>
      <c r="AK7417" s="169">
        <v>5</v>
      </c>
      <c r="AO7417" s="19" t="s">
        <v>63</v>
      </c>
    </row>
    <row r="7418" spans="1:41" s="103" customFormat="1" ht="19.899999999999999" customHeight="1" x14ac:dyDescent="0.25">
      <c r="A7418" s="51"/>
      <c r="B7418" s="52"/>
      <c r="C7418" s="165"/>
      <c r="D7418" s="52"/>
      <c r="E7418" s="115"/>
      <c r="F7418" s="58"/>
      <c r="G7418" s="58"/>
      <c r="H7418" s="58"/>
      <c r="I7418" s="55"/>
      <c r="J7418" s="113">
        <f>J7417</f>
        <v>89.061999999999998</v>
      </c>
      <c r="K7418" s="212">
        <f>K7417</f>
        <v>89.061999999999998</v>
      </c>
      <c r="L7418" s="58"/>
      <c r="M7418" s="58">
        <f>K7418-L7418</f>
        <v>89.061999999999998</v>
      </c>
      <c r="N7418" s="166"/>
      <c r="O7418" s="58"/>
      <c r="P7418" s="58"/>
      <c r="Q7418" s="58"/>
      <c r="R7418" s="58"/>
      <c r="S7418" s="58"/>
      <c r="T7418" s="220"/>
      <c r="U7418" s="88"/>
      <c r="V7418" s="56"/>
      <c r="W7418" s="57" t="s">
        <v>1091</v>
      </c>
      <c r="X7418" s="53"/>
      <c r="Y7418" s="91" t="s">
        <v>68</v>
      </c>
      <c r="Z7418" s="136">
        <f>AD7418/AC7418</f>
        <v>11.09129411764706</v>
      </c>
      <c r="AA7418" s="58"/>
      <c r="AB7418" s="53">
        <f>AD7418/AC7418</f>
        <v>11.09129411764706</v>
      </c>
      <c r="AC7418" s="53">
        <f>M7418+$AE$10</f>
        <v>89.061999999999998</v>
      </c>
      <c r="AD7418" s="54">
        <f>SUM(AD7419:AD7426)</f>
        <v>987.81283670588243</v>
      </c>
      <c r="AE7418" s="184">
        <f>SUMIFS($AD$37:$AD$12971,$V$37:$V$12971,$V7418,$X$37:$X$12971,AE$13)</f>
        <v>0</v>
      </c>
      <c r="AF7418" s="185">
        <f>SUMIFS($AD$37:$AD$12971,$V$37:$V$12971,$V7418,$X$37:$X$12971,AF$13)</f>
        <v>0</v>
      </c>
      <c r="AG7418" s="185">
        <f>SUMIFS($AD$37:$AD$12971,$V$37:$V$12971,$V7418,$X$37:$X$12971,AG$13)</f>
        <v>0</v>
      </c>
      <c r="AH7418" s="187">
        <f>SUMIFS($AD$37:$AD$12971,$V$37:$V$12971,$V7418,$X$37:$X$12971,AH$13)</f>
        <v>0</v>
      </c>
      <c r="AI7418" s="161">
        <f t="shared" ref="AI7418" si="5236">SUM(AE7418:AH7418)</f>
        <v>0</v>
      </c>
      <c r="AK7418" s="172"/>
    </row>
    <row r="7419" spans="1:41" s="102" customFormat="1" ht="19.899999999999999" customHeight="1" x14ac:dyDescent="0.25">
      <c r="A7419" s="45"/>
      <c r="B7419" s="59"/>
      <c r="C7419" s="137"/>
      <c r="D7419" s="59"/>
      <c r="E7419" s="116"/>
      <c r="F7419" s="120"/>
      <c r="G7419" s="120"/>
      <c r="H7419" s="120"/>
      <c r="I7419" s="60"/>
      <c r="J7419" s="116"/>
      <c r="K7419" s="213"/>
      <c r="L7419" s="120"/>
      <c r="M7419" s="120"/>
      <c r="N7419" s="167"/>
      <c r="O7419" s="120"/>
      <c r="P7419" s="120"/>
      <c r="Q7419" s="120"/>
      <c r="R7419" s="120"/>
      <c r="S7419" s="120"/>
      <c r="T7419" s="221"/>
      <c r="U7419" s="89"/>
      <c r="V7419" s="61"/>
      <c r="W7419" s="92" t="s">
        <v>129</v>
      </c>
      <c r="X7419" s="93" t="s">
        <v>29</v>
      </c>
      <c r="Y7419" s="93" t="s">
        <v>93</v>
      </c>
      <c r="Z7419" s="134">
        <f>VLOOKUP(W7419,Sheet2!$B:$D,3,FALSE)</f>
        <v>56</v>
      </c>
      <c r="AA7419" s="93">
        <f>100/(1.5*1.5)</f>
        <v>44.444444444444443</v>
      </c>
      <c r="AB7419" s="93">
        <f t="shared" ref="AB7419" si="5237">AD7419/AC7418</f>
        <v>1.26</v>
      </c>
      <c r="AC7419" s="93">
        <f>AC7418/AA7419</f>
        <v>2.003895</v>
      </c>
      <c r="AD7419" s="94">
        <f t="shared" ref="AD7419:AD7420" si="5238">AC7419*Z7419</f>
        <v>112.21812</v>
      </c>
      <c r="AE7419" s="190"/>
      <c r="AF7419" s="191"/>
      <c r="AG7419" s="191"/>
      <c r="AH7419" s="191"/>
      <c r="AI7419" s="186"/>
      <c r="AK7419" s="171"/>
    </row>
    <row r="7420" spans="1:41" s="102" customFormat="1" ht="19.899999999999999" customHeight="1" x14ac:dyDescent="0.25">
      <c r="A7420" s="45"/>
      <c r="B7420" s="59"/>
      <c r="C7420" s="137"/>
      <c r="D7420" s="59"/>
      <c r="E7420" s="116"/>
      <c r="F7420" s="120"/>
      <c r="G7420" s="120"/>
      <c r="H7420" s="120"/>
      <c r="I7420" s="60"/>
      <c r="J7420" s="116"/>
      <c r="K7420" s="213"/>
      <c r="L7420" s="120"/>
      <c r="M7420" s="120"/>
      <c r="N7420" s="167"/>
      <c r="O7420" s="120"/>
      <c r="P7420" s="120"/>
      <c r="Q7420" s="120"/>
      <c r="R7420" s="120"/>
      <c r="S7420" s="120"/>
      <c r="T7420" s="221"/>
      <c r="U7420" s="89"/>
      <c r="V7420" s="61"/>
      <c r="W7420" s="92" t="s">
        <v>65</v>
      </c>
      <c r="X7420" s="93" t="s">
        <v>30</v>
      </c>
      <c r="Y7420" s="93" t="s">
        <v>1011</v>
      </c>
      <c r="Z7420" s="134">
        <f>VLOOKUP(W7420,Sheet2!$B:$D,3,FALSE)</f>
        <v>1.76</v>
      </c>
      <c r="AA7420" s="93">
        <f>AA7419/14</f>
        <v>3.1746031746031744</v>
      </c>
      <c r="AB7420" s="93">
        <f>AD7420/AC7418</f>
        <v>0.5544</v>
      </c>
      <c r="AC7420" s="93">
        <f>AC7418/AA7420</f>
        <v>28.05453</v>
      </c>
      <c r="AD7420" s="94">
        <f t="shared" si="5238"/>
        <v>49.3759728</v>
      </c>
      <c r="AE7420" s="190"/>
      <c r="AF7420" s="191"/>
      <c r="AG7420" s="191"/>
      <c r="AH7420" s="191"/>
      <c r="AI7420" s="186"/>
      <c r="AK7420" s="171"/>
    </row>
    <row r="7421" spans="1:41" s="102" customFormat="1" ht="19.899999999999999" customHeight="1" x14ac:dyDescent="0.25">
      <c r="A7421" s="45"/>
      <c r="B7421" s="59"/>
      <c r="C7421" s="137"/>
      <c r="D7421" s="59"/>
      <c r="E7421" s="116"/>
      <c r="F7421" s="120"/>
      <c r="G7421" s="120"/>
      <c r="H7421" s="120"/>
      <c r="I7421" s="60"/>
      <c r="J7421" s="116"/>
      <c r="K7421" s="213"/>
      <c r="L7421" s="120"/>
      <c r="M7421" s="120"/>
      <c r="N7421" s="167"/>
      <c r="O7421" s="120"/>
      <c r="P7421" s="120"/>
      <c r="Q7421" s="120"/>
      <c r="R7421" s="120"/>
      <c r="S7421" s="120"/>
      <c r="T7421" s="221"/>
      <c r="U7421" s="89"/>
      <c r="V7421" s="61"/>
      <c r="W7421" s="92" t="s">
        <v>161</v>
      </c>
      <c r="X7421" s="93" t="s">
        <v>29</v>
      </c>
      <c r="Y7421" s="93" t="s">
        <v>93</v>
      </c>
      <c r="Z7421" s="134">
        <f>VLOOKUP(W7421,Sheet2!$B:$D,3,FALSE)</f>
        <v>48</v>
      </c>
      <c r="AA7421" s="93">
        <f>(16*0.85*1.5)/(1.5*1.5)</f>
        <v>9.0666666666666664</v>
      </c>
      <c r="AB7421" s="93">
        <f>AD7421/AC7418</f>
        <v>5.2941176470588234</v>
      </c>
      <c r="AC7421" s="93">
        <f>AC7418/AA7421</f>
        <v>9.8230147058823523</v>
      </c>
      <c r="AD7421" s="94">
        <f>AC7421*Z7421</f>
        <v>471.50470588235294</v>
      </c>
      <c r="AE7421" s="190"/>
      <c r="AF7421" s="191"/>
      <c r="AG7421" s="191"/>
      <c r="AH7421" s="191"/>
      <c r="AI7421" s="186"/>
      <c r="AK7421" s="171"/>
    </row>
    <row r="7422" spans="1:41" s="102" customFormat="1" ht="19.899999999999999" customHeight="1" x14ac:dyDescent="0.25">
      <c r="A7422" s="45"/>
      <c r="B7422" s="59"/>
      <c r="C7422" s="137"/>
      <c r="D7422" s="59"/>
      <c r="E7422" s="116"/>
      <c r="F7422" s="120"/>
      <c r="G7422" s="120"/>
      <c r="H7422" s="120"/>
      <c r="I7422" s="60"/>
      <c r="J7422" s="116"/>
      <c r="K7422" s="213"/>
      <c r="L7422" s="120"/>
      <c r="M7422" s="120"/>
      <c r="N7422" s="167"/>
      <c r="O7422" s="120"/>
      <c r="P7422" s="120"/>
      <c r="Q7422" s="120"/>
      <c r="R7422" s="120"/>
      <c r="S7422" s="120"/>
      <c r="T7422" s="221"/>
      <c r="U7422" s="89"/>
      <c r="V7422" s="61"/>
      <c r="W7422" s="92" t="s">
        <v>65</v>
      </c>
      <c r="X7422" s="93" t="s">
        <v>30</v>
      </c>
      <c r="Y7422" s="93" t="s">
        <v>1011</v>
      </c>
      <c r="Z7422" s="134">
        <f>VLOOKUP(W7422,Sheet2!$B:$D,3,FALSE)</f>
        <v>1.76</v>
      </c>
      <c r="AA7422" s="93">
        <f>AA7421/10</f>
        <v>0.90666666666666662</v>
      </c>
      <c r="AB7422" s="93">
        <f>AD7422/AC7418</f>
        <v>1.9411764705882355</v>
      </c>
      <c r="AC7422" s="93">
        <f>AC7418/AA7422</f>
        <v>98.230147058823533</v>
      </c>
      <c r="AD7422" s="94">
        <f>AC7422*Z7422</f>
        <v>172.88505882352942</v>
      </c>
      <c r="AE7422" s="190"/>
      <c r="AF7422" s="191"/>
      <c r="AG7422" s="191"/>
      <c r="AH7422" s="191"/>
      <c r="AI7422" s="186"/>
      <c r="AK7422" s="171"/>
    </row>
    <row r="7423" spans="1:41" s="102" customFormat="1" ht="19.899999999999999" customHeight="1" x14ac:dyDescent="0.25">
      <c r="A7423" s="45"/>
      <c r="B7423" s="59"/>
      <c r="C7423" s="137"/>
      <c r="D7423" s="59"/>
      <c r="E7423" s="116"/>
      <c r="F7423" s="120"/>
      <c r="G7423" s="120"/>
      <c r="H7423" s="120"/>
      <c r="I7423" s="60"/>
      <c r="J7423" s="116"/>
      <c r="K7423" s="213"/>
      <c r="L7423" s="120"/>
      <c r="M7423" s="120"/>
      <c r="N7423" s="167"/>
      <c r="O7423" s="120"/>
      <c r="P7423" s="120"/>
      <c r="Q7423" s="120"/>
      <c r="R7423" s="120"/>
      <c r="S7423" s="120"/>
      <c r="T7423" s="221"/>
      <c r="U7423" s="89"/>
      <c r="V7423" s="61"/>
      <c r="W7423" s="92" t="s">
        <v>1030</v>
      </c>
      <c r="X7423" s="93" t="s">
        <v>29</v>
      </c>
      <c r="Y7423" s="93" t="s">
        <v>93</v>
      </c>
      <c r="Z7423" s="134">
        <f>VLOOKUP(W7423,Sheet2!$B:$D,3,FALSE)</f>
        <v>23</v>
      </c>
      <c r="AA7423" s="93">
        <v>50</v>
      </c>
      <c r="AB7423" s="93">
        <f>AD7423/AC7418</f>
        <v>0.45999999999999996</v>
      </c>
      <c r="AC7423" s="93">
        <f>AC7418/AA7423</f>
        <v>1.7812399999999999</v>
      </c>
      <c r="AD7423" s="94">
        <f t="shared" ref="AD7423:AD7426" si="5239">AC7423*Z7423</f>
        <v>40.968519999999998</v>
      </c>
      <c r="AE7423" s="190"/>
      <c r="AF7423" s="191"/>
      <c r="AG7423" s="191"/>
      <c r="AH7423" s="191"/>
      <c r="AI7423" s="186"/>
      <c r="AK7423" s="171"/>
    </row>
    <row r="7424" spans="1:41" s="102" customFormat="1" ht="19.899999999999999" customHeight="1" x14ac:dyDescent="0.25">
      <c r="A7424" s="45"/>
      <c r="B7424" s="59"/>
      <c r="C7424" s="137"/>
      <c r="D7424" s="59"/>
      <c r="E7424" s="116"/>
      <c r="F7424" s="120"/>
      <c r="G7424" s="120"/>
      <c r="H7424" s="120"/>
      <c r="I7424" s="60"/>
      <c r="J7424" s="116"/>
      <c r="K7424" s="213"/>
      <c r="L7424" s="120"/>
      <c r="M7424" s="120"/>
      <c r="N7424" s="167"/>
      <c r="O7424" s="120"/>
      <c r="P7424" s="120"/>
      <c r="Q7424" s="120"/>
      <c r="R7424" s="120"/>
      <c r="S7424" s="120"/>
      <c r="T7424" s="221"/>
      <c r="U7424" s="89"/>
      <c r="V7424" s="61"/>
      <c r="W7424" s="92" t="s">
        <v>65</v>
      </c>
      <c r="X7424" s="93" t="s">
        <v>30</v>
      </c>
      <c r="Y7424" s="93" t="s">
        <v>1011</v>
      </c>
      <c r="Z7424" s="134">
        <f>VLOOKUP(W7424,Sheet2!$B:$D,3,FALSE)</f>
        <v>1.76</v>
      </c>
      <c r="AA7424" s="93">
        <f>AA7423/3</f>
        <v>16.666666666666668</v>
      </c>
      <c r="AB7424" s="93">
        <f>AD7424/AC7418</f>
        <v>0.10559999999999999</v>
      </c>
      <c r="AC7424" s="93">
        <f>AC7418/AA7424</f>
        <v>5.3437199999999994</v>
      </c>
      <c r="AD7424" s="94">
        <f t="shared" si="5239"/>
        <v>9.4049471999999987</v>
      </c>
      <c r="AE7424" s="190"/>
      <c r="AF7424" s="191"/>
      <c r="AG7424" s="191"/>
      <c r="AH7424" s="191"/>
      <c r="AI7424" s="186"/>
      <c r="AK7424" s="171"/>
    </row>
    <row r="7425" spans="1:41" s="102" customFormat="1" ht="19.899999999999999" customHeight="1" x14ac:dyDescent="0.25">
      <c r="A7425" s="45"/>
      <c r="B7425" s="59"/>
      <c r="C7425" s="137"/>
      <c r="D7425" s="59"/>
      <c r="E7425" s="116"/>
      <c r="F7425" s="120"/>
      <c r="G7425" s="120"/>
      <c r="H7425" s="120"/>
      <c r="I7425" s="60"/>
      <c r="J7425" s="116"/>
      <c r="K7425" s="213"/>
      <c r="L7425" s="120"/>
      <c r="M7425" s="120"/>
      <c r="N7425" s="167"/>
      <c r="O7425" s="120"/>
      <c r="P7425" s="120"/>
      <c r="Q7425" s="120"/>
      <c r="R7425" s="120"/>
      <c r="S7425" s="120"/>
      <c r="T7425" s="221"/>
      <c r="U7425" s="89"/>
      <c r="V7425" s="61"/>
      <c r="W7425" s="92" t="s">
        <v>148</v>
      </c>
      <c r="X7425" s="93" t="s">
        <v>29</v>
      </c>
      <c r="Y7425" s="93" t="s">
        <v>93</v>
      </c>
      <c r="Z7425" s="134">
        <f>VLOOKUP(W7425,Sheet2!$B:$D,3,FALSE)</f>
        <v>48</v>
      </c>
      <c r="AA7425" s="93">
        <f>AA7419</f>
        <v>44.444444444444443</v>
      </c>
      <c r="AB7425" s="93">
        <f>AD7425/AC7418</f>
        <v>1.08</v>
      </c>
      <c r="AC7425" s="93">
        <f>AC7418/AA7425</f>
        <v>2.003895</v>
      </c>
      <c r="AD7425" s="94">
        <f t="shared" si="5239"/>
        <v>96.186959999999999</v>
      </c>
      <c r="AE7425" s="190"/>
      <c r="AF7425" s="191"/>
      <c r="AG7425" s="191"/>
      <c r="AH7425" s="191"/>
      <c r="AI7425" s="186"/>
      <c r="AK7425" s="171"/>
    </row>
    <row r="7426" spans="1:41" s="102" customFormat="1" ht="19.899999999999999" customHeight="1" x14ac:dyDescent="0.25">
      <c r="A7426" s="45"/>
      <c r="B7426" s="59"/>
      <c r="C7426" s="137"/>
      <c r="D7426" s="59"/>
      <c r="E7426" s="116"/>
      <c r="F7426" s="120"/>
      <c r="G7426" s="120"/>
      <c r="H7426" s="120"/>
      <c r="I7426" s="60"/>
      <c r="J7426" s="116"/>
      <c r="K7426" s="213"/>
      <c r="L7426" s="120"/>
      <c r="M7426" s="120"/>
      <c r="N7426" s="167"/>
      <c r="O7426" s="120"/>
      <c r="P7426" s="120"/>
      <c r="Q7426" s="120"/>
      <c r="R7426" s="120"/>
      <c r="S7426" s="120"/>
      <c r="T7426" s="221"/>
      <c r="U7426" s="89"/>
      <c r="V7426" s="61"/>
      <c r="W7426" s="92" t="s">
        <v>65</v>
      </c>
      <c r="X7426" s="93" t="s">
        <v>30</v>
      </c>
      <c r="Y7426" s="93" t="s">
        <v>1011</v>
      </c>
      <c r="Z7426" s="134">
        <f>VLOOKUP(W7426,Sheet2!$B:$D,3,FALSE)</f>
        <v>1.76</v>
      </c>
      <c r="AA7426" s="93">
        <f>AA7425/10</f>
        <v>4.4444444444444446</v>
      </c>
      <c r="AB7426" s="93">
        <f>AD7426/AC7418</f>
        <v>0.39600000000000002</v>
      </c>
      <c r="AC7426" s="93">
        <f>AC7418/AA7426</f>
        <v>20.03895</v>
      </c>
      <c r="AD7426" s="94">
        <f t="shared" si="5239"/>
        <v>35.268552</v>
      </c>
      <c r="AE7426" s="190"/>
      <c r="AF7426" s="191"/>
      <c r="AG7426" s="191"/>
      <c r="AH7426" s="191"/>
      <c r="AI7426" s="186"/>
      <c r="AK7426" s="171"/>
    </row>
    <row r="7427" spans="1:41" s="103" customFormat="1" ht="19.899999999999999" customHeight="1" x14ac:dyDescent="0.25">
      <c r="A7427" s="51"/>
      <c r="B7427" s="52"/>
      <c r="C7427" s="165"/>
      <c r="D7427" s="52"/>
      <c r="E7427" s="115"/>
      <c r="F7427" s="58"/>
      <c r="G7427" s="58"/>
      <c r="H7427" s="58"/>
      <c r="I7427" s="55"/>
      <c r="J7427" s="113">
        <f>J7417</f>
        <v>89.061999999999998</v>
      </c>
      <c r="K7427" s="212">
        <f>K7417</f>
        <v>89.061999999999998</v>
      </c>
      <c r="L7427" s="58"/>
      <c r="M7427" s="58">
        <f>K7427-L7427</f>
        <v>89.061999999999998</v>
      </c>
      <c r="N7427" s="166"/>
      <c r="O7427" s="58"/>
      <c r="P7427" s="58"/>
      <c r="Q7427" s="58"/>
      <c r="R7427" s="58"/>
      <c r="S7427" s="58"/>
      <c r="T7427" s="220"/>
      <c r="U7427" s="88"/>
      <c r="V7427" s="56"/>
      <c r="W7427" s="57" t="s">
        <v>1036</v>
      </c>
      <c r="X7427" s="53"/>
      <c r="Y7427" s="91" t="s">
        <v>68</v>
      </c>
      <c r="Z7427" s="136">
        <f>AD7427/AC7427</f>
        <v>390.58333333333337</v>
      </c>
      <c r="AA7427" s="58"/>
      <c r="AB7427" s="53">
        <f>AD7427/AC7427</f>
        <v>390.58333333333337</v>
      </c>
      <c r="AC7427" s="53">
        <f>M7427+$AE$10</f>
        <v>89.061999999999998</v>
      </c>
      <c r="AD7427" s="54">
        <f>SUM(AD7428:AD7433)</f>
        <v>34786.132833333337</v>
      </c>
      <c r="AE7427" s="184">
        <f>SUMIFS($AD$37:$AD$12971,$V$37:$V$12971,$V7427,$X$37:$X$12971,AE$13)</f>
        <v>0</v>
      </c>
      <c r="AF7427" s="185">
        <f>SUMIFS($AD$37:$AD$12971,$V$37:$V$12971,$V7427,$X$37:$X$12971,AF$13)</f>
        <v>0</v>
      </c>
      <c r="AG7427" s="185">
        <f>SUMIFS($AD$37:$AD$12971,$V$37:$V$12971,$V7427,$X$37:$X$12971,AG$13)</f>
        <v>0</v>
      </c>
      <c r="AH7427" s="187">
        <f>SUMIFS($AD$37:$AD$12971,$V$37:$V$12971,$V7427,$X$37:$X$12971,AH$13)</f>
        <v>0</v>
      </c>
      <c r="AI7427" s="161">
        <f t="shared" ref="AI7427" si="5240">SUM(AE7427:AH7427)</f>
        <v>0</v>
      </c>
      <c r="AK7427" s="172"/>
    </row>
    <row r="7428" spans="1:41" s="102" customFormat="1" ht="19.899999999999999" customHeight="1" x14ac:dyDescent="0.25">
      <c r="A7428" s="45"/>
      <c r="B7428" s="59"/>
      <c r="C7428" s="137"/>
      <c r="D7428" s="59"/>
      <c r="E7428" s="116"/>
      <c r="F7428" s="120"/>
      <c r="G7428" s="120"/>
      <c r="H7428" s="120"/>
      <c r="I7428" s="60"/>
      <c r="J7428" s="116"/>
      <c r="K7428" s="213"/>
      <c r="L7428" s="120"/>
      <c r="M7428" s="120"/>
      <c r="N7428" s="167"/>
      <c r="O7428" s="120"/>
      <c r="P7428" s="120"/>
      <c r="Q7428" s="120"/>
      <c r="R7428" s="120"/>
      <c r="S7428" s="120"/>
      <c r="T7428" s="221"/>
      <c r="U7428" s="89"/>
      <c r="V7428" s="61"/>
      <c r="W7428" s="92" t="s">
        <v>1057</v>
      </c>
      <c r="X7428" s="93" t="s">
        <v>30</v>
      </c>
      <c r="Y7428" s="93" t="s">
        <v>68</v>
      </c>
      <c r="Z7428" s="134">
        <f>VLOOKUP(W7428,Sheet2!$B:$D,3,FALSE)</f>
        <v>250</v>
      </c>
      <c r="AA7428" s="93">
        <v>1</v>
      </c>
      <c r="AB7428" s="93">
        <f>AD7428/AC7427</f>
        <v>250</v>
      </c>
      <c r="AC7428" s="93">
        <f>AC7427/AA7428</f>
        <v>89.061999999999998</v>
      </c>
      <c r="AD7428" s="94">
        <f t="shared" ref="AD7428" si="5241">AC7428*Z7428</f>
        <v>22265.5</v>
      </c>
      <c r="AE7428" s="190"/>
      <c r="AF7428" s="191"/>
      <c r="AG7428" s="191"/>
      <c r="AH7428" s="191"/>
      <c r="AI7428" s="186"/>
      <c r="AK7428" s="171"/>
    </row>
    <row r="7429" spans="1:41" s="102" customFormat="1" ht="19.899999999999999" customHeight="1" x14ac:dyDescent="0.25">
      <c r="A7429" s="45"/>
      <c r="B7429" s="59"/>
      <c r="C7429" s="137"/>
      <c r="D7429" s="59"/>
      <c r="E7429" s="116"/>
      <c r="F7429" s="120"/>
      <c r="G7429" s="120"/>
      <c r="H7429" s="120"/>
      <c r="I7429" s="60"/>
      <c r="J7429" s="116"/>
      <c r="K7429" s="213"/>
      <c r="L7429" s="120"/>
      <c r="M7429" s="120"/>
      <c r="N7429" s="167"/>
      <c r="O7429" s="120"/>
      <c r="P7429" s="120"/>
      <c r="Q7429" s="120"/>
      <c r="R7429" s="120"/>
      <c r="S7429" s="120"/>
      <c r="T7429" s="221"/>
      <c r="U7429" s="89"/>
      <c r="V7429" s="61"/>
      <c r="W7429" s="92" t="s">
        <v>1064</v>
      </c>
      <c r="X7429" s="93" t="s">
        <v>30</v>
      </c>
      <c r="Y7429" s="93" t="s">
        <v>68</v>
      </c>
      <c r="Z7429" s="134">
        <f>VLOOKUP(W7429,Sheet2!$B:$D,3,FALSE)</f>
        <v>25</v>
      </c>
      <c r="AA7429" s="93">
        <v>1</v>
      </c>
      <c r="AB7429" s="93">
        <f>AD7429/AC7427</f>
        <v>24.999999999999996</v>
      </c>
      <c r="AC7429" s="93">
        <f>AC7427/AA7429</f>
        <v>89.061999999999998</v>
      </c>
      <c r="AD7429" s="94">
        <f>AC7429*Z7429</f>
        <v>2226.5499999999997</v>
      </c>
      <c r="AE7429" s="190"/>
      <c r="AF7429" s="191"/>
      <c r="AG7429" s="191"/>
      <c r="AH7429" s="191"/>
      <c r="AI7429" s="186"/>
      <c r="AK7429" s="171"/>
    </row>
    <row r="7430" spans="1:41" s="102" customFormat="1" ht="19.899999999999999" customHeight="1" x14ac:dyDescent="0.25">
      <c r="A7430" s="45"/>
      <c r="B7430" s="59"/>
      <c r="C7430" s="137"/>
      <c r="D7430" s="59"/>
      <c r="E7430" s="116"/>
      <c r="F7430" s="120"/>
      <c r="G7430" s="120"/>
      <c r="H7430" s="120"/>
      <c r="I7430" s="60"/>
      <c r="J7430" s="116"/>
      <c r="K7430" s="213"/>
      <c r="L7430" s="120"/>
      <c r="M7430" s="120"/>
      <c r="N7430" s="167"/>
      <c r="O7430" s="120"/>
      <c r="P7430" s="120"/>
      <c r="Q7430" s="120"/>
      <c r="R7430" s="120"/>
      <c r="S7430" s="120"/>
      <c r="T7430" s="221"/>
      <c r="U7430" s="89"/>
      <c r="V7430" s="61"/>
      <c r="W7430" s="92" t="s">
        <v>1072</v>
      </c>
      <c r="X7430" s="93" t="s">
        <v>32</v>
      </c>
      <c r="Y7430" s="93" t="s">
        <v>68</v>
      </c>
      <c r="Z7430" s="134">
        <f>VLOOKUP(W7430,Sheet2!$B:$D,3,FALSE)</f>
        <v>55</v>
      </c>
      <c r="AA7430" s="93">
        <v>1</v>
      </c>
      <c r="AB7430" s="93">
        <f>AD7430/AC7427</f>
        <v>55</v>
      </c>
      <c r="AC7430" s="93">
        <f>AC7427/AA7430</f>
        <v>89.061999999999998</v>
      </c>
      <c r="AD7430" s="94">
        <f>AC7430*Z7430</f>
        <v>4898.41</v>
      </c>
      <c r="AE7430" s="190"/>
      <c r="AF7430" s="191"/>
      <c r="AG7430" s="191"/>
      <c r="AH7430" s="191"/>
      <c r="AI7430" s="186"/>
      <c r="AK7430" s="171"/>
    </row>
    <row r="7431" spans="1:41" s="102" customFormat="1" ht="19.899999999999999" customHeight="1" x14ac:dyDescent="0.25">
      <c r="A7431" s="45"/>
      <c r="B7431" s="59"/>
      <c r="C7431" s="137"/>
      <c r="D7431" s="59"/>
      <c r="E7431" s="116"/>
      <c r="F7431" s="120"/>
      <c r="G7431" s="120"/>
      <c r="H7431" s="120"/>
      <c r="I7431" s="60"/>
      <c r="J7431" s="116"/>
      <c r="K7431" s="213"/>
      <c r="L7431" s="120"/>
      <c r="M7431" s="120"/>
      <c r="N7431" s="167"/>
      <c r="O7431" s="120"/>
      <c r="P7431" s="120"/>
      <c r="Q7431" s="120"/>
      <c r="R7431" s="120"/>
      <c r="S7431" s="120"/>
      <c r="T7431" s="221"/>
      <c r="U7431" s="89"/>
      <c r="V7431" s="61"/>
      <c r="W7431" s="92" t="s">
        <v>1032</v>
      </c>
      <c r="X7431" s="93" t="s">
        <v>30</v>
      </c>
      <c r="Y7431" s="93" t="s">
        <v>66</v>
      </c>
      <c r="Z7431" s="134">
        <f>VLOOKUP(W7431,Sheet2!$B:$D,3,FALSE)</f>
        <v>250</v>
      </c>
      <c r="AA7431" s="93">
        <f>1/(1.5*0.1)</f>
        <v>6.6666666666666661</v>
      </c>
      <c r="AB7431" s="93">
        <f>AD7431/AC7427</f>
        <v>37.500000000000007</v>
      </c>
      <c r="AC7431" s="93">
        <f>AC7427/AA7431</f>
        <v>13.359300000000001</v>
      </c>
      <c r="AD7431" s="94">
        <f>AC7431*Z7431</f>
        <v>3339.8250000000003</v>
      </c>
      <c r="AE7431" s="190"/>
      <c r="AF7431" s="191"/>
      <c r="AG7431" s="191"/>
      <c r="AH7431" s="191"/>
      <c r="AI7431" s="186"/>
      <c r="AK7431" s="171"/>
    </row>
    <row r="7432" spans="1:41" s="102" customFormat="1" ht="19.899999999999999" customHeight="1" x14ac:dyDescent="0.25">
      <c r="A7432" s="45"/>
      <c r="B7432" s="59"/>
      <c r="C7432" s="137"/>
      <c r="D7432" s="59"/>
      <c r="E7432" s="116"/>
      <c r="F7432" s="120"/>
      <c r="G7432" s="120"/>
      <c r="H7432" s="120"/>
      <c r="I7432" s="60"/>
      <c r="J7432" s="116"/>
      <c r="K7432" s="213"/>
      <c r="L7432" s="120"/>
      <c r="M7432" s="120"/>
      <c r="N7432" s="167"/>
      <c r="O7432" s="120"/>
      <c r="P7432" s="120"/>
      <c r="Q7432" s="120"/>
      <c r="R7432" s="120"/>
      <c r="S7432" s="120"/>
      <c r="T7432" s="221"/>
      <c r="U7432" s="89"/>
      <c r="V7432" s="61"/>
      <c r="W7432" s="92" t="s">
        <v>1035</v>
      </c>
      <c r="X7432" s="93" t="s">
        <v>32</v>
      </c>
      <c r="Y7432" s="93" t="s">
        <v>66</v>
      </c>
      <c r="Z7432" s="134">
        <f>VLOOKUP(W7432,Sheet2!$B:$D,3,FALSE)</f>
        <v>150</v>
      </c>
      <c r="AA7432" s="93">
        <f>AA7431</f>
        <v>6.6666666666666661</v>
      </c>
      <c r="AB7432" s="93">
        <f>AD7432/AC7427</f>
        <v>22.500000000000004</v>
      </c>
      <c r="AC7432" s="93">
        <f>AC7427/AA7432</f>
        <v>13.359300000000001</v>
      </c>
      <c r="AD7432" s="94">
        <f t="shared" ref="AD7432:AD7433" si="5242">AC7432*Z7432</f>
        <v>2003.8950000000002</v>
      </c>
      <c r="AE7432" s="190"/>
      <c r="AF7432" s="191"/>
      <c r="AG7432" s="191"/>
      <c r="AH7432" s="191"/>
      <c r="AI7432" s="186"/>
      <c r="AK7432" s="171"/>
    </row>
    <row r="7433" spans="1:41" s="102" customFormat="1" ht="19.899999999999999" customHeight="1" x14ac:dyDescent="0.25">
      <c r="A7433" s="45"/>
      <c r="B7433" s="59"/>
      <c r="C7433" s="137"/>
      <c r="D7433" s="59"/>
      <c r="E7433" s="116"/>
      <c r="F7433" s="120"/>
      <c r="G7433" s="120"/>
      <c r="H7433" s="120"/>
      <c r="I7433" s="60"/>
      <c r="J7433" s="116"/>
      <c r="K7433" s="213"/>
      <c r="L7433" s="120"/>
      <c r="M7433" s="120"/>
      <c r="N7433" s="167"/>
      <c r="O7433" s="120"/>
      <c r="P7433" s="120"/>
      <c r="Q7433" s="120"/>
      <c r="R7433" s="120"/>
      <c r="S7433" s="120"/>
      <c r="T7433" s="221"/>
      <c r="U7433" s="89"/>
      <c r="V7433" s="61"/>
      <c r="W7433" s="92" t="s">
        <v>1037</v>
      </c>
      <c r="X7433" s="93" t="s">
        <v>30</v>
      </c>
      <c r="Y7433" s="93" t="s">
        <v>1038</v>
      </c>
      <c r="Z7433" s="134">
        <f>VLOOKUP(W7433,Sheet2!$B:$D,3,FALSE)</f>
        <v>175</v>
      </c>
      <c r="AA7433" s="93">
        <v>300</v>
      </c>
      <c r="AB7433" s="93">
        <f>AD7433/AC7427</f>
        <v>0.58333333333333337</v>
      </c>
      <c r="AC7433" s="93">
        <f>AC7427/AA7433</f>
        <v>0.29687333333333332</v>
      </c>
      <c r="AD7433" s="94">
        <f t="shared" si="5242"/>
        <v>51.952833333333331</v>
      </c>
      <c r="AE7433" s="190"/>
      <c r="AF7433" s="191"/>
      <c r="AG7433" s="191"/>
      <c r="AH7433" s="191"/>
      <c r="AI7433" s="186"/>
      <c r="AK7433" s="171"/>
    </row>
    <row r="7434" spans="1:41" s="103" customFormat="1" ht="19.899999999999999" customHeight="1" x14ac:dyDescent="0.25">
      <c r="A7434" s="51"/>
      <c r="B7434" s="52"/>
      <c r="C7434" s="165"/>
      <c r="D7434" s="52"/>
      <c r="E7434" s="115"/>
      <c r="F7434" s="58"/>
      <c r="G7434" s="58"/>
      <c r="H7434" s="58"/>
      <c r="I7434" s="55"/>
      <c r="J7434" s="113">
        <f>J7417</f>
        <v>89.061999999999998</v>
      </c>
      <c r="K7434" s="212">
        <f>K7417</f>
        <v>89.061999999999998</v>
      </c>
      <c r="L7434" s="58"/>
      <c r="M7434" s="58">
        <f>K7434-L7434</f>
        <v>89.061999999999998</v>
      </c>
      <c r="N7434" s="166"/>
      <c r="O7434" s="58"/>
      <c r="P7434" s="58"/>
      <c r="Q7434" s="58"/>
      <c r="R7434" s="58"/>
      <c r="S7434" s="58"/>
      <c r="T7434" s="220"/>
      <c r="U7434" s="88"/>
      <c r="V7434" s="56"/>
      <c r="W7434" s="57" t="s">
        <v>1040</v>
      </c>
      <c r="X7434" s="53"/>
      <c r="Y7434" s="91" t="s">
        <v>68</v>
      </c>
      <c r="Z7434" s="136">
        <f>AD7434/AC7434</f>
        <v>5</v>
      </c>
      <c r="AA7434" s="58"/>
      <c r="AB7434" s="53">
        <f>AD7434/AC7434</f>
        <v>5</v>
      </c>
      <c r="AC7434" s="53">
        <f>M7434+$AE$10</f>
        <v>89.061999999999998</v>
      </c>
      <c r="AD7434" s="54">
        <f>SUM(AD7435)</f>
        <v>445.31</v>
      </c>
      <c r="AE7434" s="184">
        <f>SUMIFS($AD$37:$AD$12971,$V$37:$V$12971,$V7434,$X$37:$X$12971,AE$13)</f>
        <v>0</v>
      </c>
      <c r="AF7434" s="185">
        <f>SUMIFS($AD$37:$AD$12971,$V$37:$V$12971,$V7434,$X$37:$X$12971,AF$13)</f>
        <v>0</v>
      </c>
      <c r="AG7434" s="185">
        <f>SUMIFS($AD$37:$AD$12971,$V$37:$V$12971,$V7434,$X$37:$X$12971,AG$13)</f>
        <v>0</v>
      </c>
      <c r="AH7434" s="187">
        <f>SUMIFS($AD$37:$AD$12971,$V$37:$V$12971,$V7434,$X$37:$X$12971,AH$13)</f>
        <v>0</v>
      </c>
      <c r="AI7434" s="161">
        <f t="shared" ref="AI7434" si="5243">SUM(AE7434:AH7434)</f>
        <v>0</v>
      </c>
      <c r="AK7434" s="172"/>
    </row>
    <row r="7435" spans="1:41" s="102" customFormat="1" ht="19.899999999999999" customHeight="1" x14ac:dyDescent="0.25">
      <c r="A7435" s="45"/>
      <c r="B7435" s="59"/>
      <c r="C7435" s="137"/>
      <c r="D7435" s="59"/>
      <c r="E7435" s="116"/>
      <c r="F7435" s="120"/>
      <c r="G7435" s="120"/>
      <c r="H7435" s="120"/>
      <c r="I7435" s="60"/>
      <c r="J7435" s="116"/>
      <c r="K7435" s="213"/>
      <c r="L7435" s="120"/>
      <c r="M7435" s="120"/>
      <c r="N7435" s="167"/>
      <c r="O7435" s="120"/>
      <c r="P7435" s="120"/>
      <c r="Q7435" s="120"/>
      <c r="R7435" s="120"/>
      <c r="S7435" s="120"/>
      <c r="T7435" s="221"/>
      <c r="U7435" s="89"/>
      <c r="V7435" s="61"/>
      <c r="W7435" s="92" t="s">
        <v>1039</v>
      </c>
      <c r="X7435" s="93" t="s">
        <v>32</v>
      </c>
      <c r="Y7435" s="93" t="s">
        <v>68</v>
      </c>
      <c r="Z7435" s="134">
        <f>VLOOKUP(W7435,Sheet2!$B:$D,3,FALSE)</f>
        <v>5</v>
      </c>
      <c r="AA7435" s="93">
        <v>1</v>
      </c>
      <c r="AB7435" s="93">
        <f>AD7435/AC7434</f>
        <v>5</v>
      </c>
      <c r="AC7435" s="93">
        <f>AC7434/AA7435</f>
        <v>89.061999999999998</v>
      </c>
      <c r="AD7435" s="94">
        <f t="shared" ref="AD7435" si="5244">AC7435*Z7435</f>
        <v>445.31</v>
      </c>
      <c r="AE7435" s="190"/>
      <c r="AF7435" s="191"/>
      <c r="AG7435" s="191"/>
      <c r="AH7435" s="191"/>
      <c r="AI7435" s="186"/>
      <c r="AK7435" s="171"/>
    </row>
    <row r="7436" spans="1:41" ht="20.100000000000001" customHeight="1" x14ac:dyDescent="0.25">
      <c r="A7436" s="277" t="s">
        <v>703</v>
      </c>
      <c r="B7436" s="278"/>
      <c r="C7436" s="64" t="s">
        <v>737</v>
      </c>
      <c r="D7436" s="46" t="s">
        <v>97</v>
      </c>
      <c r="E7436" s="114">
        <v>2.9261499999999998</v>
      </c>
      <c r="F7436" s="44">
        <v>629</v>
      </c>
      <c r="G7436" s="44">
        <f t="shared" si="4575"/>
        <v>1840.5483499999998</v>
      </c>
      <c r="H7436" s="44">
        <f t="shared" si="4576"/>
        <v>410.18319215686273</v>
      </c>
      <c r="I7436" s="43">
        <f t="shared" si="4577"/>
        <v>1200.2575477298037</v>
      </c>
      <c r="J7436" s="112">
        <f t="shared" si="4578"/>
        <v>2.9261499999999998</v>
      </c>
      <c r="K7436" s="211">
        <f t="shared" si="4579"/>
        <v>2.9261499999999998</v>
      </c>
      <c r="L7436" s="44"/>
      <c r="M7436" s="44">
        <f t="shared" si="4580"/>
        <v>2.9261499999999998</v>
      </c>
      <c r="N7436" s="173">
        <f t="shared" si="4581"/>
        <v>1</v>
      </c>
      <c r="O7436" s="44">
        <f t="shared" si="4582"/>
        <v>629</v>
      </c>
      <c r="P7436" s="44">
        <f t="shared" si="4583"/>
        <v>1840.5483499999998</v>
      </c>
      <c r="Q7436" s="44">
        <f t="shared" si="4584"/>
        <v>410.18319215686273</v>
      </c>
      <c r="R7436" s="44">
        <f t="shared" si="4585"/>
        <v>1200.2575477298037</v>
      </c>
      <c r="S7436" s="123"/>
      <c r="T7436" s="219">
        <f t="shared" si="4586"/>
        <v>1200.2575477298037</v>
      </c>
      <c r="U7436" s="87"/>
      <c r="V7436" s="47"/>
      <c r="W7436" s="48"/>
      <c r="X7436" s="48"/>
      <c r="Y7436" s="48"/>
      <c r="Z7436" s="135"/>
      <c r="AA7436" s="49"/>
      <c r="AB7436" s="50">
        <f t="shared" si="4587"/>
        <v>410.18319215686273</v>
      </c>
      <c r="AC7436" s="42">
        <f t="shared" si="4588"/>
        <v>2.9261499999999998</v>
      </c>
      <c r="AD7436" s="90">
        <f>AD7437+AD7446+AD7453</f>
        <v>1200.2575477298037</v>
      </c>
      <c r="AE7436" s="188">
        <f>AE7437+AE7446+AE7453</f>
        <v>0</v>
      </c>
      <c r="AF7436" s="189">
        <f>AF7437+AF7446+AF7453</f>
        <v>0</v>
      </c>
      <c r="AG7436" s="189">
        <f>AG7437+AG7446+AG7453</f>
        <v>0</v>
      </c>
      <c r="AH7436" s="189">
        <f>AH7437+AH7446+AH7453</f>
        <v>0</v>
      </c>
      <c r="AI7436" s="161">
        <f t="shared" si="5235"/>
        <v>0</v>
      </c>
      <c r="AK7436" s="169">
        <v>5</v>
      </c>
      <c r="AO7436" s="19" t="s">
        <v>63</v>
      </c>
    </row>
    <row r="7437" spans="1:41" s="103" customFormat="1" ht="19.899999999999999" customHeight="1" x14ac:dyDescent="0.25">
      <c r="A7437" s="51"/>
      <c r="B7437" s="52"/>
      <c r="C7437" s="165"/>
      <c r="D7437" s="52"/>
      <c r="E7437" s="115"/>
      <c r="F7437" s="58"/>
      <c r="G7437" s="58"/>
      <c r="H7437" s="58"/>
      <c r="I7437" s="55"/>
      <c r="J7437" s="113">
        <f>J7436</f>
        <v>2.9261499999999998</v>
      </c>
      <c r="K7437" s="212">
        <f>K7436</f>
        <v>2.9261499999999998</v>
      </c>
      <c r="L7437" s="58"/>
      <c r="M7437" s="58">
        <f>K7437-L7437</f>
        <v>2.9261499999999998</v>
      </c>
      <c r="N7437" s="166"/>
      <c r="O7437" s="58"/>
      <c r="P7437" s="58"/>
      <c r="Q7437" s="58"/>
      <c r="R7437" s="58"/>
      <c r="S7437" s="58"/>
      <c r="T7437" s="220"/>
      <c r="U7437" s="88"/>
      <c r="V7437" s="56"/>
      <c r="W7437" s="57" t="s">
        <v>1090</v>
      </c>
      <c r="X7437" s="53"/>
      <c r="Y7437" s="91" t="s">
        <v>68</v>
      </c>
      <c r="Z7437" s="136">
        <f>AD7437/AC7437</f>
        <v>14.599858823529415</v>
      </c>
      <c r="AA7437" s="58"/>
      <c r="AB7437" s="53">
        <f>AD7437/AC7437</f>
        <v>14.599858823529415</v>
      </c>
      <c r="AC7437" s="53">
        <f>M7437+$AE$10</f>
        <v>2.9261499999999998</v>
      </c>
      <c r="AD7437" s="54">
        <f>SUM(AD7438:AD7445)</f>
        <v>42.721376896470595</v>
      </c>
      <c r="AE7437" s="184">
        <f>SUMIFS($AD$37:$AD$12971,$V$37:$V$12971,$V7437,$X$37:$X$12971,AE$13)</f>
        <v>0</v>
      </c>
      <c r="AF7437" s="185">
        <f>SUMIFS($AD$37:$AD$12971,$V$37:$V$12971,$V7437,$X$37:$X$12971,AF$13)</f>
        <v>0</v>
      </c>
      <c r="AG7437" s="185">
        <f>SUMIFS($AD$37:$AD$12971,$V$37:$V$12971,$V7437,$X$37:$X$12971,AG$13)</f>
        <v>0</v>
      </c>
      <c r="AH7437" s="187">
        <f>SUMIFS($AD$37:$AD$12971,$V$37:$V$12971,$V7437,$X$37:$X$12971,AH$13)</f>
        <v>0</v>
      </c>
      <c r="AI7437" s="161">
        <f t="shared" ref="AI7437" si="5245">SUM(AE7437:AH7437)</f>
        <v>0</v>
      </c>
      <c r="AK7437" s="172"/>
    </row>
    <row r="7438" spans="1:41" s="102" customFormat="1" ht="19.899999999999999" customHeight="1" x14ac:dyDescent="0.25">
      <c r="A7438" s="45"/>
      <c r="B7438" s="59"/>
      <c r="C7438" s="137"/>
      <c r="D7438" s="59"/>
      <c r="E7438" s="116"/>
      <c r="F7438" s="120"/>
      <c r="G7438" s="120"/>
      <c r="H7438" s="120"/>
      <c r="I7438" s="60"/>
      <c r="J7438" s="116"/>
      <c r="K7438" s="213"/>
      <c r="L7438" s="120"/>
      <c r="M7438" s="120"/>
      <c r="N7438" s="167"/>
      <c r="O7438" s="120"/>
      <c r="P7438" s="120"/>
      <c r="Q7438" s="120"/>
      <c r="R7438" s="120"/>
      <c r="S7438" s="120"/>
      <c r="T7438" s="221"/>
      <c r="U7438" s="89"/>
      <c r="V7438" s="61"/>
      <c r="W7438" s="92" t="s">
        <v>129</v>
      </c>
      <c r="X7438" s="93" t="s">
        <v>29</v>
      </c>
      <c r="Y7438" s="93" t="s">
        <v>93</v>
      </c>
      <c r="Z7438" s="134">
        <f>VLOOKUP(W7438,Sheet2!$B:$D,3,FALSE)</f>
        <v>56</v>
      </c>
      <c r="AA7438" s="93">
        <f>100/(1.5*2)</f>
        <v>33.333333333333336</v>
      </c>
      <c r="AB7438" s="93">
        <f t="shared" ref="AB7438" si="5246">AD7438/AC7437</f>
        <v>1.68</v>
      </c>
      <c r="AC7438" s="93">
        <f>AC7437/AA7438</f>
        <v>8.7784499999999988E-2</v>
      </c>
      <c r="AD7438" s="94">
        <f t="shared" ref="AD7438:AD7439" si="5247">AC7438*Z7438</f>
        <v>4.9159319999999997</v>
      </c>
      <c r="AE7438" s="190"/>
      <c r="AF7438" s="191"/>
      <c r="AG7438" s="191"/>
      <c r="AH7438" s="191"/>
      <c r="AI7438" s="186"/>
      <c r="AK7438" s="171"/>
    </row>
    <row r="7439" spans="1:41" s="102" customFormat="1" ht="19.899999999999999" customHeight="1" x14ac:dyDescent="0.25">
      <c r="A7439" s="45"/>
      <c r="B7439" s="59"/>
      <c r="C7439" s="137"/>
      <c r="D7439" s="59"/>
      <c r="E7439" s="116"/>
      <c r="F7439" s="120"/>
      <c r="G7439" s="120"/>
      <c r="H7439" s="120"/>
      <c r="I7439" s="60"/>
      <c r="J7439" s="116"/>
      <c r="K7439" s="213"/>
      <c r="L7439" s="120"/>
      <c r="M7439" s="120"/>
      <c r="N7439" s="167"/>
      <c r="O7439" s="120"/>
      <c r="P7439" s="120"/>
      <c r="Q7439" s="120"/>
      <c r="R7439" s="120"/>
      <c r="S7439" s="120"/>
      <c r="T7439" s="221"/>
      <c r="U7439" s="89"/>
      <c r="V7439" s="61"/>
      <c r="W7439" s="92" t="s">
        <v>65</v>
      </c>
      <c r="X7439" s="93" t="s">
        <v>30</v>
      </c>
      <c r="Y7439" s="93" t="s">
        <v>1011</v>
      </c>
      <c r="Z7439" s="134">
        <f>VLOOKUP(W7439,Sheet2!$B:$D,3,FALSE)</f>
        <v>1.76</v>
      </c>
      <c r="AA7439" s="93">
        <f>AA7438/14</f>
        <v>2.3809523809523809</v>
      </c>
      <c r="AB7439" s="93">
        <f>AD7439/AC7437</f>
        <v>0.73919999999999997</v>
      </c>
      <c r="AC7439" s="93">
        <f>AC7437/AA7439</f>
        <v>1.2289829999999999</v>
      </c>
      <c r="AD7439" s="94">
        <f t="shared" si="5247"/>
        <v>2.1630100799999998</v>
      </c>
      <c r="AE7439" s="190"/>
      <c r="AF7439" s="191"/>
      <c r="AG7439" s="191"/>
      <c r="AH7439" s="191"/>
      <c r="AI7439" s="186"/>
      <c r="AK7439" s="171"/>
    </row>
    <row r="7440" spans="1:41" s="102" customFormat="1" ht="19.899999999999999" customHeight="1" x14ac:dyDescent="0.25">
      <c r="A7440" s="45"/>
      <c r="B7440" s="59"/>
      <c r="C7440" s="137"/>
      <c r="D7440" s="59"/>
      <c r="E7440" s="116"/>
      <c r="F7440" s="120"/>
      <c r="G7440" s="120"/>
      <c r="H7440" s="120"/>
      <c r="I7440" s="60"/>
      <c r="J7440" s="116"/>
      <c r="K7440" s="213"/>
      <c r="L7440" s="120"/>
      <c r="M7440" s="120"/>
      <c r="N7440" s="167"/>
      <c r="O7440" s="120"/>
      <c r="P7440" s="120"/>
      <c r="Q7440" s="120"/>
      <c r="R7440" s="120"/>
      <c r="S7440" s="120"/>
      <c r="T7440" s="221"/>
      <c r="U7440" s="89"/>
      <c r="V7440" s="61"/>
      <c r="W7440" s="92" t="s">
        <v>161</v>
      </c>
      <c r="X7440" s="93" t="s">
        <v>29</v>
      </c>
      <c r="Y7440" s="93" t="s">
        <v>93</v>
      </c>
      <c r="Z7440" s="134">
        <f>VLOOKUP(W7440,Sheet2!$B:$D,3,FALSE)</f>
        <v>48</v>
      </c>
      <c r="AA7440" s="93">
        <f>(16*0.85*1.5)/(1.5*2)</f>
        <v>6.8</v>
      </c>
      <c r="AB7440" s="93">
        <f>AD7440/AC7437</f>
        <v>7.0588235294117645</v>
      </c>
      <c r="AC7440" s="93">
        <f>AC7437/AA7440</f>
        <v>0.43031617647058823</v>
      </c>
      <c r="AD7440" s="94">
        <f>AC7440*Z7440</f>
        <v>20.655176470588234</v>
      </c>
      <c r="AE7440" s="190"/>
      <c r="AF7440" s="191"/>
      <c r="AG7440" s="191"/>
      <c r="AH7440" s="191"/>
      <c r="AI7440" s="186"/>
      <c r="AK7440" s="171"/>
    </row>
    <row r="7441" spans="1:41" s="102" customFormat="1" ht="19.899999999999999" customHeight="1" x14ac:dyDescent="0.25">
      <c r="A7441" s="45"/>
      <c r="B7441" s="59"/>
      <c r="C7441" s="137"/>
      <c r="D7441" s="59"/>
      <c r="E7441" s="116"/>
      <c r="F7441" s="120"/>
      <c r="G7441" s="120"/>
      <c r="H7441" s="120"/>
      <c r="I7441" s="60"/>
      <c r="J7441" s="116"/>
      <c r="K7441" s="213"/>
      <c r="L7441" s="120"/>
      <c r="M7441" s="120"/>
      <c r="N7441" s="167"/>
      <c r="O7441" s="120"/>
      <c r="P7441" s="120"/>
      <c r="Q7441" s="120"/>
      <c r="R7441" s="120"/>
      <c r="S7441" s="120"/>
      <c r="T7441" s="221"/>
      <c r="U7441" s="89"/>
      <c r="V7441" s="61"/>
      <c r="W7441" s="92" t="s">
        <v>65</v>
      </c>
      <c r="X7441" s="93" t="s">
        <v>30</v>
      </c>
      <c r="Y7441" s="93" t="s">
        <v>1011</v>
      </c>
      <c r="Z7441" s="134">
        <f>VLOOKUP(W7441,Sheet2!$B:$D,3,FALSE)</f>
        <v>1.76</v>
      </c>
      <c r="AA7441" s="93">
        <f>AA7440/10</f>
        <v>0.67999999999999994</v>
      </c>
      <c r="AB7441" s="93">
        <f>AD7441/AC7437</f>
        <v>2.5882352941176476</v>
      </c>
      <c r="AC7441" s="93">
        <f>AC7437/AA7441</f>
        <v>4.3031617647058829</v>
      </c>
      <c r="AD7441" s="94">
        <f>AC7441*Z7441</f>
        <v>7.5735647058823536</v>
      </c>
      <c r="AE7441" s="190"/>
      <c r="AF7441" s="191"/>
      <c r="AG7441" s="191"/>
      <c r="AH7441" s="191"/>
      <c r="AI7441" s="186"/>
      <c r="AK7441" s="171"/>
    </row>
    <row r="7442" spans="1:41" s="102" customFormat="1" ht="19.899999999999999" customHeight="1" x14ac:dyDescent="0.25">
      <c r="A7442" s="45"/>
      <c r="B7442" s="59"/>
      <c r="C7442" s="137"/>
      <c r="D7442" s="59"/>
      <c r="E7442" s="116"/>
      <c r="F7442" s="120"/>
      <c r="G7442" s="120"/>
      <c r="H7442" s="120"/>
      <c r="I7442" s="60"/>
      <c r="J7442" s="116"/>
      <c r="K7442" s="213"/>
      <c r="L7442" s="120"/>
      <c r="M7442" s="120"/>
      <c r="N7442" s="167"/>
      <c r="O7442" s="120"/>
      <c r="P7442" s="120"/>
      <c r="Q7442" s="120"/>
      <c r="R7442" s="120"/>
      <c r="S7442" s="120"/>
      <c r="T7442" s="221"/>
      <c r="U7442" s="89"/>
      <c r="V7442" s="61"/>
      <c r="W7442" s="92" t="s">
        <v>1030</v>
      </c>
      <c r="X7442" s="93" t="s">
        <v>29</v>
      </c>
      <c r="Y7442" s="93" t="s">
        <v>93</v>
      </c>
      <c r="Z7442" s="134">
        <f>VLOOKUP(W7442,Sheet2!$B:$D,3,FALSE)</f>
        <v>23</v>
      </c>
      <c r="AA7442" s="93">
        <v>50</v>
      </c>
      <c r="AB7442" s="93">
        <f>AD7442/AC7437</f>
        <v>0.46</v>
      </c>
      <c r="AC7442" s="93">
        <f>AC7437/AA7442</f>
        <v>5.8522999999999999E-2</v>
      </c>
      <c r="AD7442" s="94">
        <f t="shared" ref="AD7442:AD7445" si="5248">AC7442*Z7442</f>
        <v>1.3460289999999999</v>
      </c>
      <c r="AE7442" s="190"/>
      <c r="AF7442" s="191"/>
      <c r="AG7442" s="191"/>
      <c r="AH7442" s="191"/>
      <c r="AI7442" s="186"/>
      <c r="AK7442" s="171"/>
    </row>
    <row r="7443" spans="1:41" s="102" customFormat="1" ht="19.899999999999999" customHeight="1" x14ac:dyDescent="0.25">
      <c r="A7443" s="45"/>
      <c r="B7443" s="59"/>
      <c r="C7443" s="137"/>
      <c r="D7443" s="59"/>
      <c r="E7443" s="116"/>
      <c r="F7443" s="120"/>
      <c r="G7443" s="120"/>
      <c r="H7443" s="120"/>
      <c r="I7443" s="60"/>
      <c r="J7443" s="116"/>
      <c r="K7443" s="213"/>
      <c r="L7443" s="120"/>
      <c r="M7443" s="120"/>
      <c r="N7443" s="167"/>
      <c r="O7443" s="120"/>
      <c r="P7443" s="120"/>
      <c r="Q7443" s="120"/>
      <c r="R7443" s="120"/>
      <c r="S7443" s="120"/>
      <c r="T7443" s="221"/>
      <c r="U7443" s="89"/>
      <c r="V7443" s="61"/>
      <c r="W7443" s="92" t="s">
        <v>65</v>
      </c>
      <c r="X7443" s="93" t="s">
        <v>30</v>
      </c>
      <c r="Y7443" s="93" t="s">
        <v>1011</v>
      </c>
      <c r="Z7443" s="134">
        <f>VLOOKUP(W7443,Sheet2!$B:$D,3,FALSE)</f>
        <v>1.76</v>
      </c>
      <c r="AA7443" s="93">
        <f>AA7442/3</f>
        <v>16.666666666666668</v>
      </c>
      <c r="AB7443" s="93">
        <f>AD7443/AC7437</f>
        <v>0.1056</v>
      </c>
      <c r="AC7443" s="93">
        <f>AC7437/AA7443</f>
        <v>0.17556899999999998</v>
      </c>
      <c r="AD7443" s="94">
        <f t="shared" si="5248"/>
        <v>0.30900143999999996</v>
      </c>
      <c r="AE7443" s="190"/>
      <c r="AF7443" s="191"/>
      <c r="AG7443" s="191"/>
      <c r="AH7443" s="191"/>
      <c r="AI7443" s="186"/>
      <c r="AK7443" s="171"/>
    </row>
    <row r="7444" spans="1:41" s="102" customFormat="1" ht="19.899999999999999" customHeight="1" x14ac:dyDescent="0.25">
      <c r="A7444" s="45"/>
      <c r="B7444" s="59"/>
      <c r="C7444" s="137"/>
      <c r="D7444" s="59"/>
      <c r="E7444" s="116"/>
      <c r="F7444" s="120"/>
      <c r="G7444" s="120"/>
      <c r="H7444" s="120"/>
      <c r="I7444" s="60"/>
      <c r="J7444" s="116"/>
      <c r="K7444" s="213"/>
      <c r="L7444" s="120"/>
      <c r="M7444" s="120"/>
      <c r="N7444" s="167"/>
      <c r="O7444" s="120"/>
      <c r="P7444" s="120"/>
      <c r="Q7444" s="120"/>
      <c r="R7444" s="120"/>
      <c r="S7444" s="120"/>
      <c r="T7444" s="221"/>
      <c r="U7444" s="89"/>
      <c r="V7444" s="61"/>
      <c r="W7444" s="92" t="s">
        <v>148</v>
      </c>
      <c r="X7444" s="93" t="s">
        <v>29</v>
      </c>
      <c r="Y7444" s="93" t="s">
        <v>93</v>
      </c>
      <c r="Z7444" s="134">
        <f>VLOOKUP(W7444,Sheet2!$B:$D,3,FALSE)</f>
        <v>48</v>
      </c>
      <c r="AA7444" s="93">
        <f>AA7438</f>
        <v>33.333333333333336</v>
      </c>
      <c r="AB7444" s="93">
        <f>AD7444/AC7437</f>
        <v>1.44</v>
      </c>
      <c r="AC7444" s="93">
        <f>AC7437/AA7444</f>
        <v>8.7784499999999988E-2</v>
      </c>
      <c r="AD7444" s="94">
        <f t="shared" si="5248"/>
        <v>4.2136559999999994</v>
      </c>
      <c r="AE7444" s="190"/>
      <c r="AF7444" s="191"/>
      <c r="AG7444" s="191"/>
      <c r="AH7444" s="191"/>
      <c r="AI7444" s="186"/>
      <c r="AK7444" s="171"/>
    </row>
    <row r="7445" spans="1:41" s="102" customFormat="1" ht="19.899999999999999" customHeight="1" x14ac:dyDescent="0.25">
      <c r="A7445" s="45"/>
      <c r="B7445" s="59"/>
      <c r="C7445" s="137"/>
      <c r="D7445" s="59"/>
      <c r="E7445" s="116"/>
      <c r="F7445" s="120"/>
      <c r="G7445" s="120"/>
      <c r="H7445" s="120"/>
      <c r="I7445" s="60"/>
      <c r="J7445" s="116"/>
      <c r="K7445" s="213"/>
      <c r="L7445" s="120"/>
      <c r="M7445" s="120"/>
      <c r="N7445" s="167"/>
      <c r="O7445" s="120"/>
      <c r="P7445" s="120"/>
      <c r="Q7445" s="120"/>
      <c r="R7445" s="120"/>
      <c r="S7445" s="120"/>
      <c r="T7445" s="221"/>
      <c r="U7445" s="89"/>
      <c r="V7445" s="61"/>
      <c r="W7445" s="92" t="s">
        <v>65</v>
      </c>
      <c r="X7445" s="93" t="s">
        <v>30</v>
      </c>
      <c r="Y7445" s="93" t="s">
        <v>1011</v>
      </c>
      <c r="Z7445" s="134">
        <f>VLOOKUP(W7445,Sheet2!$B:$D,3,FALSE)</f>
        <v>1.76</v>
      </c>
      <c r="AA7445" s="93">
        <f>AA7444/10</f>
        <v>3.3333333333333335</v>
      </c>
      <c r="AB7445" s="93">
        <f>AD7445/AC7437</f>
        <v>0.52799999999999991</v>
      </c>
      <c r="AC7445" s="93">
        <f>AC7437/AA7445</f>
        <v>0.87784499999999988</v>
      </c>
      <c r="AD7445" s="94">
        <f t="shared" si="5248"/>
        <v>1.5450071999999997</v>
      </c>
      <c r="AE7445" s="190"/>
      <c r="AF7445" s="191"/>
      <c r="AG7445" s="191"/>
      <c r="AH7445" s="191"/>
      <c r="AI7445" s="186"/>
      <c r="AK7445" s="171"/>
    </row>
    <row r="7446" spans="1:41" s="103" customFormat="1" ht="19.899999999999999" customHeight="1" x14ac:dyDescent="0.25">
      <c r="A7446" s="51"/>
      <c r="B7446" s="52"/>
      <c r="C7446" s="165"/>
      <c r="D7446" s="52"/>
      <c r="E7446" s="115"/>
      <c r="F7446" s="58"/>
      <c r="G7446" s="58"/>
      <c r="H7446" s="58"/>
      <c r="I7446" s="55"/>
      <c r="J7446" s="113">
        <f>J7436</f>
        <v>2.9261499999999998</v>
      </c>
      <c r="K7446" s="212">
        <f>K7436</f>
        <v>2.9261499999999998</v>
      </c>
      <c r="L7446" s="58"/>
      <c r="M7446" s="58">
        <f>K7446-L7446</f>
        <v>2.9261499999999998</v>
      </c>
      <c r="N7446" s="166"/>
      <c r="O7446" s="58"/>
      <c r="P7446" s="58"/>
      <c r="Q7446" s="58"/>
      <c r="R7446" s="58"/>
      <c r="S7446" s="58"/>
      <c r="T7446" s="220"/>
      <c r="U7446" s="88"/>
      <c r="V7446" s="56"/>
      <c r="W7446" s="57" t="s">
        <v>1036</v>
      </c>
      <c r="X7446" s="53"/>
      <c r="Y7446" s="91" t="s">
        <v>68</v>
      </c>
      <c r="Z7446" s="136">
        <f>AD7446/AC7446</f>
        <v>390.58333333333326</v>
      </c>
      <c r="AA7446" s="58"/>
      <c r="AB7446" s="53">
        <f>AD7446/AC7446</f>
        <v>390.58333333333326</v>
      </c>
      <c r="AC7446" s="53">
        <f>M7446+$AE$10</f>
        <v>2.9261499999999998</v>
      </c>
      <c r="AD7446" s="54">
        <f>SUM(AD7447:AD7452)</f>
        <v>1142.905420833333</v>
      </c>
      <c r="AE7446" s="184">
        <f>SUMIFS($AD$37:$AD$12971,$V$37:$V$12971,$V7446,$X$37:$X$12971,AE$13)</f>
        <v>0</v>
      </c>
      <c r="AF7446" s="185">
        <f>SUMIFS($AD$37:$AD$12971,$V$37:$V$12971,$V7446,$X$37:$X$12971,AF$13)</f>
        <v>0</v>
      </c>
      <c r="AG7446" s="185">
        <f>SUMIFS($AD$37:$AD$12971,$V$37:$V$12971,$V7446,$X$37:$X$12971,AG$13)</f>
        <v>0</v>
      </c>
      <c r="AH7446" s="187">
        <f>SUMIFS($AD$37:$AD$12971,$V$37:$V$12971,$V7446,$X$37:$X$12971,AH$13)</f>
        <v>0</v>
      </c>
      <c r="AI7446" s="161">
        <f t="shared" ref="AI7446" si="5249">SUM(AE7446:AH7446)</f>
        <v>0</v>
      </c>
      <c r="AK7446" s="172"/>
    </row>
    <row r="7447" spans="1:41" s="102" customFormat="1" ht="19.899999999999999" customHeight="1" x14ac:dyDescent="0.25">
      <c r="A7447" s="45"/>
      <c r="B7447" s="59"/>
      <c r="C7447" s="137"/>
      <c r="D7447" s="59"/>
      <c r="E7447" s="116"/>
      <c r="F7447" s="120"/>
      <c r="G7447" s="120"/>
      <c r="H7447" s="120"/>
      <c r="I7447" s="60"/>
      <c r="J7447" s="116"/>
      <c r="K7447" s="213"/>
      <c r="L7447" s="120"/>
      <c r="M7447" s="120"/>
      <c r="N7447" s="167"/>
      <c r="O7447" s="120"/>
      <c r="P7447" s="120"/>
      <c r="Q7447" s="120"/>
      <c r="R7447" s="120"/>
      <c r="S7447" s="120"/>
      <c r="T7447" s="221"/>
      <c r="U7447" s="89"/>
      <c r="V7447" s="61"/>
      <c r="W7447" s="92" t="s">
        <v>1057</v>
      </c>
      <c r="X7447" s="93" t="s">
        <v>30</v>
      </c>
      <c r="Y7447" s="93" t="s">
        <v>68</v>
      </c>
      <c r="Z7447" s="134">
        <f>VLOOKUP(W7447,Sheet2!$B:$D,3,FALSE)</f>
        <v>250</v>
      </c>
      <c r="AA7447" s="93">
        <v>1</v>
      </c>
      <c r="AB7447" s="93">
        <f>AD7447/AC7446</f>
        <v>249.99999999999997</v>
      </c>
      <c r="AC7447" s="93">
        <f>AC7446/AA7447</f>
        <v>2.9261499999999998</v>
      </c>
      <c r="AD7447" s="94">
        <f t="shared" ref="AD7447" si="5250">AC7447*Z7447</f>
        <v>731.53749999999991</v>
      </c>
      <c r="AE7447" s="190"/>
      <c r="AF7447" s="191"/>
      <c r="AG7447" s="191"/>
      <c r="AH7447" s="191"/>
      <c r="AI7447" s="186"/>
      <c r="AK7447" s="171"/>
    </row>
    <row r="7448" spans="1:41" s="102" customFormat="1" ht="19.899999999999999" customHeight="1" x14ac:dyDescent="0.25">
      <c r="A7448" s="45"/>
      <c r="B7448" s="59"/>
      <c r="C7448" s="137"/>
      <c r="D7448" s="59"/>
      <c r="E7448" s="116"/>
      <c r="F7448" s="120"/>
      <c r="G7448" s="120"/>
      <c r="H7448" s="120"/>
      <c r="I7448" s="60"/>
      <c r="J7448" s="116"/>
      <c r="K7448" s="213"/>
      <c r="L7448" s="120"/>
      <c r="M7448" s="120"/>
      <c r="N7448" s="167"/>
      <c r="O7448" s="120"/>
      <c r="P7448" s="120"/>
      <c r="Q7448" s="120"/>
      <c r="R7448" s="120"/>
      <c r="S7448" s="120"/>
      <c r="T7448" s="221"/>
      <c r="U7448" s="89"/>
      <c r="V7448" s="61"/>
      <c r="W7448" s="92" t="s">
        <v>1064</v>
      </c>
      <c r="X7448" s="93" t="s">
        <v>30</v>
      </c>
      <c r="Y7448" s="93" t="s">
        <v>68</v>
      </c>
      <c r="Z7448" s="134">
        <f>VLOOKUP(W7448,Sheet2!$B:$D,3,FALSE)</f>
        <v>25</v>
      </c>
      <c r="AA7448" s="93">
        <v>1</v>
      </c>
      <c r="AB7448" s="93">
        <f>AD7448/AC7446</f>
        <v>25.000000000000004</v>
      </c>
      <c r="AC7448" s="93">
        <f>AC7446/AA7448</f>
        <v>2.9261499999999998</v>
      </c>
      <c r="AD7448" s="94">
        <f>AC7448*Z7448</f>
        <v>73.153750000000002</v>
      </c>
      <c r="AE7448" s="190"/>
      <c r="AF7448" s="191"/>
      <c r="AG7448" s="191"/>
      <c r="AH7448" s="191"/>
      <c r="AI7448" s="186"/>
      <c r="AK7448" s="171"/>
    </row>
    <row r="7449" spans="1:41" s="102" customFormat="1" ht="19.899999999999999" customHeight="1" x14ac:dyDescent="0.25">
      <c r="A7449" s="45"/>
      <c r="B7449" s="59"/>
      <c r="C7449" s="137"/>
      <c r="D7449" s="59"/>
      <c r="E7449" s="116"/>
      <c r="F7449" s="120"/>
      <c r="G7449" s="120"/>
      <c r="H7449" s="120"/>
      <c r="I7449" s="60"/>
      <c r="J7449" s="116"/>
      <c r="K7449" s="213"/>
      <c r="L7449" s="120"/>
      <c r="M7449" s="120"/>
      <c r="N7449" s="167"/>
      <c r="O7449" s="120"/>
      <c r="P7449" s="120"/>
      <c r="Q7449" s="120"/>
      <c r="R7449" s="120"/>
      <c r="S7449" s="120"/>
      <c r="T7449" s="221"/>
      <c r="U7449" s="89"/>
      <c r="V7449" s="61"/>
      <c r="W7449" s="92" t="s">
        <v>1072</v>
      </c>
      <c r="X7449" s="93" t="s">
        <v>32</v>
      </c>
      <c r="Y7449" s="93" t="s">
        <v>68</v>
      </c>
      <c r="Z7449" s="134">
        <f>VLOOKUP(W7449,Sheet2!$B:$D,3,FALSE)</f>
        <v>55</v>
      </c>
      <c r="AA7449" s="93">
        <v>1</v>
      </c>
      <c r="AB7449" s="93">
        <f>AD7449/AC7446</f>
        <v>55</v>
      </c>
      <c r="AC7449" s="93">
        <f>AC7446/AA7449</f>
        <v>2.9261499999999998</v>
      </c>
      <c r="AD7449" s="94">
        <f>AC7449*Z7449</f>
        <v>160.93824999999998</v>
      </c>
      <c r="AE7449" s="190"/>
      <c r="AF7449" s="191"/>
      <c r="AG7449" s="191"/>
      <c r="AH7449" s="191"/>
      <c r="AI7449" s="186"/>
      <c r="AK7449" s="171"/>
    </row>
    <row r="7450" spans="1:41" s="102" customFormat="1" ht="19.899999999999999" customHeight="1" x14ac:dyDescent="0.25">
      <c r="A7450" s="45"/>
      <c r="B7450" s="59"/>
      <c r="C7450" s="137"/>
      <c r="D7450" s="59"/>
      <c r="E7450" s="116"/>
      <c r="F7450" s="120"/>
      <c r="G7450" s="120"/>
      <c r="H7450" s="120"/>
      <c r="I7450" s="60"/>
      <c r="J7450" s="116"/>
      <c r="K7450" s="213"/>
      <c r="L7450" s="120"/>
      <c r="M7450" s="120"/>
      <c r="N7450" s="167"/>
      <c r="O7450" s="120"/>
      <c r="P7450" s="120"/>
      <c r="Q7450" s="120"/>
      <c r="R7450" s="120"/>
      <c r="S7450" s="120"/>
      <c r="T7450" s="221"/>
      <c r="U7450" s="89"/>
      <c r="V7450" s="61"/>
      <c r="W7450" s="92" t="s">
        <v>1032</v>
      </c>
      <c r="X7450" s="93" t="s">
        <v>30</v>
      </c>
      <c r="Y7450" s="93" t="s">
        <v>66</v>
      </c>
      <c r="Z7450" s="134">
        <f>VLOOKUP(W7450,Sheet2!$B:$D,3,FALSE)</f>
        <v>250</v>
      </c>
      <c r="AA7450" s="93">
        <f>1/(1.5*0.1)</f>
        <v>6.6666666666666661</v>
      </c>
      <c r="AB7450" s="93">
        <f>AD7450/AC7446</f>
        <v>37.500000000000007</v>
      </c>
      <c r="AC7450" s="93">
        <f>AC7446/AA7450</f>
        <v>0.43892249999999999</v>
      </c>
      <c r="AD7450" s="94">
        <f>AC7450*Z7450</f>
        <v>109.730625</v>
      </c>
      <c r="AE7450" s="190"/>
      <c r="AF7450" s="191"/>
      <c r="AG7450" s="191"/>
      <c r="AH7450" s="191"/>
      <c r="AI7450" s="186"/>
      <c r="AK7450" s="171"/>
    </row>
    <row r="7451" spans="1:41" s="102" customFormat="1" ht="19.899999999999999" customHeight="1" x14ac:dyDescent="0.25">
      <c r="A7451" s="45"/>
      <c r="B7451" s="59"/>
      <c r="C7451" s="137"/>
      <c r="D7451" s="59"/>
      <c r="E7451" s="116"/>
      <c r="F7451" s="120"/>
      <c r="G7451" s="120"/>
      <c r="H7451" s="120"/>
      <c r="I7451" s="60"/>
      <c r="J7451" s="116"/>
      <c r="K7451" s="213"/>
      <c r="L7451" s="120"/>
      <c r="M7451" s="120"/>
      <c r="N7451" s="167"/>
      <c r="O7451" s="120"/>
      <c r="P7451" s="120"/>
      <c r="Q7451" s="120"/>
      <c r="R7451" s="120"/>
      <c r="S7451" s="120"/>
      <c r="T7451" s="221"/>
      <c r="U7451" s="89"/>
      <c r="V7451" s="61"/>
      <c r="W7451" s="92" t="s">
        <v>1035</v>
      </c>
      <c r="X7451" s="93" t="s">
        <v>32</v>
      </c>
      <c r="Y7451" s="93" t="s">
        <v>66</v>
      </c>
      <c r="Z7451" s="134">
        <f>VLOOKUP(W7451,Sheet2!$B:$D,3,FALSE)</f>
        <v>150</v>
      </c>
      <c r="AA7451" s="93">
        <f>AA7450</f>
        <v>6.6666666666666661</v>
      </c>
      <c r="AB7451" s="93">
        <f>AD7451/AC7446</f>
        <v>22.5</v>
      </c>
      <c r="AC7451" s="93">
        <f>AC7446/AA7451</f>
        <v>0.43892249999999999</v>
      </c>
      <c r="AD7451" s="94">
        <f t="shared" ref="AD7451:AD7452" si="5251">AC7451*Z7451</f>
        <v>65.838374999999999</v>
      </c>
      <c r="AE7451" s="190"/>
      <c r="AF7451" s="191"/>
      <c r="AG7451" s="191"/>
      <c r="AH7451" s="191"/>
      <c r="AI7451" s="186"/>
      <c r="AK7451" s="171"/>
    </row>
    <row r="7452" spans="1:41" s="102" customFormat="1" ht="19.899999999999999" customHeight="1" x14ac:dyDescent="0.25">
      <c r="A7452" s="45"/>
      <c r="B7452" s="59"/>
      <c r="C7452" s="137"/>
      <c r="D7452" s="59"/>
      <c r="E7452" s="116"/>
      <c r="F7452" s="120"/>
      <c r="G7452" s="120"/>
      <c r="H7452" s="120"/>
      <c r="I7452" s="60"/>
      <c r="J7452" s="116"/>
      <c r="K7452" s="213"/>
      <c r="L7452" s="120"/>
      <c r="M7452" s="120"/>
      <c r="N7452" s="167"/>
      <c r="O7452" s="120"/>
      <c r="P7452" s="120"/>
      <c r="Q7452" s="120"/>
      <c r="R7452" s="120"/>
      <c r="S7452" s="120"/>
      <c r="T7452" s="221"/>
      <c r="U7452" s="89"/>
      <c r="V7452" s="61"/>
      <c r="W7452" s="92" t="s">
        <v>1037</v>
      </c>
      <c r="X7452" s="93" t="s">
        <v>30</v>
      </c>
      <c r="Y7452" s="93" t="s">
        <v>1038</v>
      </c>
      <c r="Z7452" s="134">
        <f>VLOOKUP(W7452,Sheet2!$B:$D,3,FALSE)</f>
        <v>175</v>
      </c>
      <c r="AA7452" s="93">
        <v>300</v>
      </c>
      <c r="AB7452" s="93">
        <f>AD7452/AC7446</f>
        <v>0.58333333333333337</v>
      </c>
      <c r="AC7452" s="93">
        <f>AC7446/AA7452</f>
        <v>9.7538333333333331E-3</v>
      </c>
      <c r="AD7452" s="94">
        <f t="shared" si="5251"/>
        <v>1.7069208333333332</v>
      </c>
      <c r="AE7452" s="190"/>
      <c r="AF7452" s="191"/>
      <c r="AG7452" s="191"/>
      <c r="AH7452" s="191"/>
      <c r="AI7452" s="186"/>
      <c r="AK7452" s="171"/>
    </row>
    <row r="7453" spans="1:41" s="103" customFormat="1" ht="19.899999999999999" customHeight="1" x14ac:dyDescent="0.25">
      <c r="A7453" s="51"/>
      <c r="B7453" s="52"/>
      <c r="C7453" s="165"/>
      <c r="D7453" s="52"/>
      <c r="E7453" s="115"/>
      <c r="F7453" s="58"/>
      <c r="G7453" s="58"/>
      <c r="H7453" s="58"/>
      <c r="I7453" s="55"/>
      <c r="J7453" s="113">
        <f>J7436</f>
        <v>2.9261499999999998</v>
      </c>
      <c r="K7453" s="212">
        <f>K7436</f>
        <v>2.9261499999999998</v>
      </c>
      <c r="L7453" s="58"/>
      <c r="M7453" s="58">
        <f>K7453-L7453</f>
        <v>2.9261499999999998</v>
      </c>
      <c r="N7453" s="166"/>
      <c r="O7453" s="58"/>
      <c r="P7453" s="58"/>
      <c r="Q7453" s="58"/>
      <c r="R7453" s="58"/>
      <c r="S7453" s="58"/>
      <c r="T7453" s="220"/>
      <c r="U7453" s="88"/>
      <c r="V7453" s="56"/>
      <c r="W7453" s="57" t="s">
        <v>1040</v>
      </c>
      <c r="X7453" s="53"/>
      <c r="Y7453" s="91" t="s">
        <v>68</v>
      </c>
      <c r="Z7453" s="136">
        <f>AD7453/AC7453</f>
        <v>5</v>
      </c>
      <c r="AA7453" s="58"/>
      <c r="AB7453" s="53">
        <f>AD7453/AC7453</f>
        <v>5</v>
      </c>
      <c r="AC7453" s="53">
        <f>M7453+$AE$10</f>
        <v>2.9261499999999998</v>
      </c>
      <c r="AD7453" s="54">
        <f>SUM(AD7454)</f>
        <v>14.630749999999999</v>
      </c>
      <c r="AE7453" s="184">
        <f>SUMIFS($AD$37:$AD$12971,$V$37:$V$12971,$V7453,$X$37:$X$12971,AE$13)</f>
        <v>0</v>
      </c>
      <c r="AF7453" s="185">
        <f>SUMIFS($AD$37:$AD$12971,$V$37:$V$12971,$V7453,$X$37:$X$12971,AF$13)</f>
        <v>0</v>
      </c>
      <c r="AG7453" s="185">
        <f>SUMIFS($AD$37:$AD$12971,$V$37:$V$12971,$V7453,$X$37:$X$12971,AG$13)</f>
        <v>0</v>
      </c>
      <c r="AH7453" s="187">
        <f>SUMIFS($AD$37:$AD$12971,$V$37:$V$12971,$V7453,$X$37:$X$12971,AH$13)</f>
        <v>0</v>
      </c>
      <c r="AI7453" s="161">
        <f t="shared" ref="AI7453" si="5252">SUM(AE7453:AH7453)</f>
        <v>0</v>
      </c>
      <c r="AK7453" s="172"/>
    </row>
    <row r="7454" spans="1:41" s="102" customFormat="1" ht="19.899999999999999" customHeight="1" x14ac:dyDescent="0.25">
      <c r="A7454" s="45"/>
      <c r="B7454" s="59"/>
      <c r="C7454" s="137"/>
      <c r="D7454" s="59"/>
      <c r="E7454" s="116"/>
      <c r="F7454" s="120"/>
      <c r="G7454" s="120"/>
      <c r="H7454" s="120"/>
      <c r="I7454" s="60"/>
      <c r="J7454" s="116"/>
      <c r="K7454" s="213"/>
      <c r="L7454" s="120"/>
      <c r="M7454" s="120"/>
      <c r="N7454" s="167"/>
      <c r="O7454" s="120"/>
      <c r="P7454" s="120"/>
      <c r="Q7454" s="120"/>
      <c r="R7454" s="120"/>
      <c r="S7454" s="120"/>
      <c r="T7454" s="221"/>
      <c r="U7454" s="89"/>
      <c r="V7454" s="61"/>
      <c r="W7454" s="92" t="s">
        <v>1039</v>
      </c>
      <c r="X7454" s="93" t="s">
        <v>32</v>
      </c>
      <c r="Y7454" s="93" t="s">
        <v>68</v>
      </c>
      <c r="Z7454" s="134">
        <f>VLOOKUP(W7454,Sheet2!$B:$D,3,FALSE)</f>
        <v>5</v>
      </c>
      <c r="AA7454" s="93">
        <v>1</v>
      </c>
      <c r="AB7454" s="93">
        <f>AD7454/AC7453</f>
        <v>5</v>
      </c>
      <c r="AC7454" s="93">
        <f>AC7453/AA7454</f>
        <v>2.9261499999999998</v>
      </c>
      <c r="AD7454" s="94">
        <f t="shared" ref="AD7454" si="5253">AC7454*Z7454</f>
        <v>14.630749999999999</v>
      </c>
      <c r="AE7454" s="190"/>
      <c r="AF7454" s="191"/>
      <c r="AG7454" s="191"/>
      <c r="AH7454" s="191"/>
      <c r="AI7454" s="186"/>
      <c r="AK7454" s="171"/>
    </row>
    <row r="7455" spans="1:41" ht="20.100000000000001" customHeight="1" x14ac:dyDescent="0.25">
      <c r="A7455" s="277" t="s">
        <v>703</v>
      </c>
      <c r="B7455" s="278"/>
      <c r="C7455" s="64" t="s">
        <v>738</v>
      </c>
      <c r="D7455" s="46" t="s">
        <v>97</v>
      </c>
      <c r="E7455" s="114">
        <v>141.79865000000018</v>
      </c>
      <c r="F7455" s="44">
        <v>694</v>
      </c>
      <c r="G7455" s="44">
        <f t="shared" si="4575"/>
        <v>98408.263100000127</v>
      </c>
      <c r="H7455" s="44">
        <f t="shared" si="4576"/>
        <v>448.69175686274502</v>
      </c>
      <c r="I7455" s="43">
        <f t="shared" si="4577"/>
        <v>63623.885389265561</v>
      </c>
      <c r="J7455" s="112">
        <f t="shared" si="4578"/>
        <v>141.79865000000018</v>
      </c>
      <c r="K7455" s="211">
        <f t="shared" si="4579"/>
        <v>141.79865000000018</v>
      </c>
      <c r="L7455" s="44"/>
      <c r="M7455" s="44">
        <f t="shared" si="4580"/>
        <v>141.79865000000018</v>
      </c>
      <c r="N7455" s="173">
        <f t="shared" si="4581"/>
        <v>1</v>
      </c>
      <c r="O7455" s="44">
        <f t="shared" si="4582"/>
        <v>694</v>
      </c>
      <c r="P7455" s="44">
        <f t="shared" si="4583"/>
        <v>98408.263100000127</v>
      </c>
      <c r="Q7455" s="44">
        <f t="shared" si="4584"/>
        <v>448.69175686274502</v>
      </c>
      <c r="R7455" s="44">
        <f t="shared" si="4585"/>
        <v>63623.885389265561</v>
      </c>
      <c r="S7455" s="123"/>
      <c r="T7455" s="219">
        <f t="shared" si="4586"/>
        <v>63623.885389265561</v>
      </c>
      <c r="U7455" s="87"/>
      <c r="V7455" s="47"/>
      <c r="W7455" s="48"/>
      <c r="X7455" s="48"/>
      <c r="Y7455" s="48"/>
      <c r="Z7455" s="135"/>
      <c r="AA7455" s="49"/>
      <c r="AB7455" s="50">
        <f t="shared" si="4587"/>
        <v>448.69175686274502</v>
      </c>
      <c r="AC7455" s="42">
        <f t="shared" si="4588"/>
        <v>141.79865000000018</v>
      </c>
      <c r="AD7455" s="90">
        <f>AD7456+AD7466+AD7473</f>
        <v>63623.885389265561</v>
      </c>
      <c r="AE7455" s="188">
        <f t="shared" ref="AE7455:AH7455" si="5254">AE7456+AE7466+AE7473</f>
        <v>0</v>
      </c>
      <c r="AF7455" s="189">
        <f t="shared" si="5254"/>
        <v>0</v>
      </c>
      <c r="AG7455" s="189">
        <f t="shared" si="5254"/>
        <v>0</v>
      </c>
      <c r="AH7455" s="189">
        <f t="shared" si="5254"/>
        <v>0</v>
      </c>
      <c r="AI7455" s="161">
        <f t="shared" ref="AI7455" si="5255">SUM(AE7455:AH7455)</f>
        <v>0</v>
      </c>
      <c r="AK7455" s="169">
        <v>5</v>
      </c>
      <c r="AO7455" s="19" t="s">
        <v>63</v>
      </c>
    </row>
    <row r="7456" spans="1:41" s="103" customFormat="1" ht="19.899999999999999" customHeight="1" x14ac:dyDescent="0.25">
      <c r="A7456" s="51"/>
      <c r="B7456" s="52"/>
      <c r="C7456" s="165"/>
      <c r="D7456" s="52"/>
      <c r="E7456" s="115"/>
      <c r="F7456" s="58"/>
      <c r="G7456" s="58"/>
      <c r="H7456" s="58"/>
      <c r="I7456" s="55"/>
      <c r="J7456" s="113">
        <f>J7455</f>
        <v>141.79865000000018</v>
      </c>
      <c r="K7456" s="212">
        <f>K7455</f>
        <v>141.79865000000018</v>
      </c>
      <c r="L7456" s="58"/>
      <c r="M7456" s="58">
        <f>K7456-L7456</f>
        <v>141.79865000000018</v>
      </c>
      <c r="N7456" s="166"/>
      <c r="O7456" s="58"/>
      <c r="P7456" s="58"/>
      <c r="Q7456" s="58"/>
      <c r="R7456" s="58"/>
      <c r="S7456" s="58"/>
      <c r="T7456" s="220"/>
      <c r="U7456" s="88"/>
      <c r="V7456" s="56"/>
      <c r="W7456" s="57" t="s">
        <v>1089</v>
      </c>
      <c r="X7456" s="53"/>
      <c r="Y7456" s="91" t="s">
        <v>68</v>
      </c>
      <c r="Z7456" s="136">
        <f>AD7456/AC7456</f>
        <v>53.108423529411766</v>
      </c>
      <c r="AA7456" s="58"/>
      <c r="AB7456" s="53">
        <f>AD7456/AC7456</f>
        <v>53.108423529411766</v>
      </c>
      <c r="AC7456" s="53">
        <f>M7456+$AE$10</f>
        <v>141.79865000000018</v>
      </c>
      <c r="AD7456" s="54">
        <f>SUM(AD7457:AD7465)</f>
        <v>7530.7027600988331</v>
      </c>
      <c r="AE7456" s="184">
        <f>SUMIFS($AD$37:$AD$12971,$V$37:$V$12971,$V7456,$X$37:$X$12971,AE$13)</f>
        <v>0</v>
      </c>
      <c r="AF7456" s="185">
        <f>SUMIFS($AD$37:$AD$12971,$V$37:$V$12971,$V7456,$X$37:$X$12971,AF$13)</f>
        <v>0</v>
      </c>
      <c r="AG7456" s="185">
        <f>SUMIFS($AD$37:$AD$12971,$V$37:$V$12971,$V7456,$X$37:$X$12971,AG$13)</f>
        <v>0</v>
      </c>
      <c r="AH7456" s="187">
        <f>SUMIFS($AD$37:$AD$12971,$V$37:$V$12971,$V7456,$X$37:$X$12971,AH$13)</f>
        <v>0</v>
      </c>
      <c r="AI7456" s="161">
        <f t="shared" ref="AI7456" si="5256">SUM(AE7456:AH7456)</f>
        <v>0</v>
      </c>
      <c r="AK7456" s="172"/>
    </row>
    <row r="7457" spans="1:37" s="102" customFormat="1" ht="19.899999999999999" customHeight="1" x14ac:dyDescent="0.25">
      <c r="A7457" s="45"/>
      <c r="B7457" s="59"/>
      <c r="C7457" s="137"/>
      <c r="D7457" s="59"/>
      <c r="E7457" s="116"/>
      <c r="F7457" s="120"/>
      <c r="G7457" s="120"/>
      <c r="H7457" s="120"/>
      <c r="I7457" s="60"/>
      <c r="J7457" s="116"/>
      <c r="K7457" s="213"/>
      <c r="L7457" s="120"/>
      <c r="M7457" s="120"/>
      <c r="N7457" s="167"/>
      <c r="O7457" s="120"/>
      <c r="P7457" s="120"/>
      <c r="Q7457" s="120"/>
      <c r="R7457" s="120"/>
      <c r="S7457" s="120"/>
      <c r="T7457" s="221"/>
      <c r="U7457" s="89"/>
      <c r="V7457" s="61"/>
      <c r="W7457" s="92" t="s">
        <v>129</v>
      </c>
      <c r="X7457" s="93" t="s">
        <v>29</v>
      </c>
      <c r="Y7457" s="93" t="s">
        <v>93</v>
      </c>
      <c r="Z7457" s="134">
        <f>VLOOKUP(W7457,Sheet2!$B:$D,3,FALSE)</f>
        <v>56</v>
      </c>
      <c r="AA7457" s="93">
        <f>100/(1.5*2.5)</f>
        <v>26.666666666666668</v>
      </c>
      <c r="AB7457" s="93">
        <f t="shared" ref="AB7457" si="5257">AD7457/AC7456</f>
        <v>2.1</v>
      </c>
      <c r="AC7457" s="93">
        <f>AC7456/AA7457</f>
        <v>5.3174493750000069</v>
      </c>
      <c r="AD7457" s="94">
        <f t="shared" ref="AD7457:AD7458" si="5258">AC7457*Z7457</f>
        <v>297.77716500000037</v>
      </c>
      <c r="AE7457" s="190"/>
      <c r="AF7457" s="191"/>
      <c r="AG7457" s="191"/>
      <c r="AH7457" s="191"/>
      <c r="AI7457" s="186"/>
      <c r="AK7457" s="171"/>
    </row>
    <row r="7458" spans="1:37" s="102" customFormat="1" ht="19.899999999999999" customHeight="1" x14ac:dyDescent="0.25">
      <c r="A7458" s="45"/>
      <c r="B7458" s="59"/>
      <c r="C7458" s="137"/>
      <c r="D7458" s="59"/>
      <c r="E7458" s="116"/>
      <c r="F7458" s="120"/>
      <c r="G7458" s="120"/>
      <c r="H7458" s="120"/>
      <c r="I7458" s="60"/>
      <c r="J7458" s="116"/>
      <c r="K7458" s="213"/>
      <c r="L7458" s="120"/>
      <c r="M7458" s="120"/>
      <c r="N7458" s="167"/>
      <c r="O7458" s="120"/>
      <c r="P7458" s="120"/>
      <c r="Q7458" s="120"/>
      <c r="R7458" s="120"/>
      <c r="S7458" s="120"/>
      <c r="T7458" s="221"/>
      <c r="U7458" s="89"/>
      <c r="V7458" s="61"/>
      <c r="W7458" s="92" t="s">
        <v>65</v>
      </c>
      <c r="X7458" s="93" t="s">
        <v>30</v>
      </c>
      <c r="Y7458" s="93" t="s">
        <v>1011</v>
      </c>
      <c r="Z7458" s="134">
        <f>VLOOKUP(W7458,Sheet2!$B:$D,3,FALSE)</f>
        <v>1.76</v>
      </c>
      <c r="AA7458" s="93">
        <f>AA7457/14</f>
        <v>1.9047619047619049</v>
      </c>
      <c r="AB7458" s="93">
        <f>AD7458/AC7456</f>
        <v>0.92399999999999993</v>
      </c>
      <c r="AC7458" s="93">
        <f>AC7456/AA7458</f>
        <v>74.444291250000092</v>
      </c>
      <c r="AD7458" s="94">
        <f t="shared" si="5258"/>
        <v>131.02195260000016</v>
      </c>
      <c r="AE7458" s="190"/>
      <c r="AF7458" s="191"/>
      <c r="AG7458" s="191"/>
      <c r="AH7458" s="191"/>
      <c r="AI7458" s="186"/>
      <c r="AK7458" s="171"/>
    </row>
    <row r="7459" spans="1:37" s="102" customFormat="1" ht="19.899999999999999" customHeight="1" x14ac:dyDescent="0.25">
      <c r="A7459" s="45"/>
      <c r="B7459" s="59"/>
      <c r="C7459" s="137"/>
      <c r="D7459" s="59"/>
      <c r="E7459" s="116"/>
      <c r="F7459" s="120"/>
      <c r="G7459" s="120"/>
      <c r="H7459" s="120"/>
      <c r="I7459" s="60"/>
      <c r="J7459" s="116"/>
      <c r="K7459" s="213"/>
      <c r="L7459" s="120"/>
      <c r="M7459" s="120"/>
      <c r="N7459" s="167"/>
      <c r="O7459" s="120"/>
      <c r="P7459" s="120"/>
      <c r="Q7459" s="120"/>
      <c r="R7459" s="120"/>
      <c r="S7459" s="120"/>
      <c r="T7459" s="221"/>
      <c r="U7459" s="89"/>
      <c r="V7459" s="61"/>
      <c r="W7459" s="92" t="s">
        <v>161</v>
      </c>
      <c r="X7459" s="93" t="s">
        <v>29</v>
      </c>
      <c r="Y7459" s="93" t="s">
        <v>93</v>
      </c>
      <c r="Z7459" s="134">
        <f>VLOOKUP(W7459,Sheet2!$B:$D,3,FALSE)</f>
        <v>48</v>
      </c>
      <c r="AA7459" s="93">
        <f>(16*0.85*1.5)/(1.5*2.5)</f>
        <v>5.4399999999999995</v>
      </c>
      <c r="AB7459" s="93">
        <f>AD7459/AC7456</f>
        <v>8.8235294117647065</v>
      </c>
      <c r="AC7459" s="93">
        <f>AC7456/AA7459</f>
        <v>26.065928308823565</v>
      </c>
      <c r="AD7459" s="94">
        <f>AC7459*Z7459</f>
        <v>1251.164558823531</v>
      </c>
      <c r="AE7459" s="190"/>
      <c r="AF7459" s="191"/>
      <c r="AG7459" s="191"/>
      <c r="AH7459" s="191"/>
      <c r="AI7459" s="186"/>
      <c r="AK7459" s="171"/>
    </row>
    <row r="7460" spans="1:37" s="102" customFormat="1" ht="19.899999999999999" customHeight="1" x14ac:dyDescent="0.25">
      <c r="A7460" s="45"/>
      <c r="B7460" s="59"/>
      <c r="C7460" s="137"/>
      <c r="D7460" s="59"/>
      <c r="E7460" s="116"/>
      <c r="F7460" s="120"/>
      <c r="G7460" s="120"/>
      <c r="H7460" s="120"/>
      <c r="I7460" s="60"/>
      <c r="J7460" s="116"/>
      <c r="K7460" s="213"/>
      <c r="L7460" s="120"/>
      <c r="M7460" s="120"/>
      <c r="N7460" s="167"/>
      <c r="O7460" s="120"/>
      <c r="P7460" s="120"/>
      <c r="Q7460" s="120"/>
      <c r="R7460" s="120"/>
      <c r="S7460" s="120"/>
      <c r="T7460" s="221"/>
      <c r="U7460" s="89"/>
      <c r="V7460" s="61"/>
      <c r="W7460" s="92" t="s">
        <v>65</v>
      </c>
      <c r="X7460" s="93" t="s">
        <v>30</v>
      </c>
      <c r="Y7460" s="93" t="s">
        <v>1011</v>
      </c>
      <c r="Z7460" s="134">
        <f>VLOOKUP(W7460,Sheet2!$B:$D,3,FALSE)</f>
        <v>1.76</v>
      </c>
      <c r="AA7460" s="93">
        <f>AA7459/10</f>
        <v>0.54399999999999993</v>
      </c>
      <c r="AB7460" s="93">
        <f>AD7460/AC7456</f>
        <v>3.2352941176470593</v>
      </c>
      <c r="AC7460" s="93">
        <f>AC7456/AA7460</f>
        <v>260.65928308823567</v>
      </c>
      <c r="AD7460" s="94">
        <f>AC7460*Z7460</f>
        <v>458.7603382352948</v>
      </c>
      <c r="AE7460" s="190"/>
      <c r="AF7460" s="191"/>
      <c r="AG7460" s="191"/>
      <c r="AH7460" s="191"/>
      <c r="AI7460" s="186"/>
      <c r="AK7460" s="171"/>
    </row>
    <row r="7461" spans="1:37" s="102" customFormat="1" ht="19.899999999999999" customHeight="1" x14ac:dyDescent="0.25">
      <c r="A7461" s="45"/>
      <c r="B7461" s="59"/>
      <c r="C7461" s="137"/>
      <c r="D7461" s="59"/>
      <c r="E7461" s="116"/>
      <c r="F7461" s="120"/>
      <c r="G7461" s="120"/>
      <c r="H7461" s="120"/>
      <c r="I7461" s="60"/>
      <c r="J7461" s="116"/>
      <c r="K7461" s="213"/>
      <c r="L7461" s="120"/>
      <c r="M7461" s="120"/>
      <c r="N7461" s="167"/>
      <c r="O7461" s="120"/>
      <c r="P7461" s="120"/>
      <c r="Q7461" s="120"/>
      <c r="R7461" s="120"/>
      <c r="S7461" s="120"/>
      <c r="T7461" s="221"/>
      <c r="U7461" s="89"/>
      <c r="V7461" s="61"/>
      <c r="W7461" s="92" t="s">
        <v>1030</v>
      </c>
      <c r="X7461" s="93" t="s">
        <v>29</v>
      </c>
      <c r="Y7461" s="93" t="s">
        <v>93</v>
      </c>
      <c r="Z7461" s="134">
        <f>VLOOKUP(W7461,Sheet2!$B:$D,3,FALSE)</f>
        <v>23</v>
      </c>
      <c r="AA7461" s="93">
        <v>50</v>
      </c>
      <c r="AB7461" s="93">
        <f>AD7461/AC7456</f>
        <v>0.46</v>
      </c>
      <c r="AC7461" s="93">
        <f>AC7456/AA7461</f>
        <v>2.8359730000000036</v>
      </c>
      <c r="AD7461" s="94">
        <f t="shared" ref="AD7461:AD7465" si="5259">AC7461*Z7461</f>
        <v>65.227379000000084</v>
      </c>
      <c r="AE7461" s="190"/>
      <c r="AF7461" s="191"/>
      <c r="AG7461" s="191"/>
      <c r="AH7461" s="191"/>
      <c r="AI7461" s="186"/>
      <c r="AK7461" s="171"/>
    </row>
    <row r="7462" spans="1:37" s="102" customFormat="1" ht="19.899999999999999" customHeight="1" x14ac:dyDescent="0.25">
      <c r="A7462" s="45"/>
      <c r="B7462" s="59"/>
      <c r="C7462" s="137"/>
      <c r="D7462" s="59"/>
      <c r="E7462" s="116"/>
      <c r="F7462" s="120"/>
      <c r="G7462" s="120"/>
      <c r="H7462" s="120"/>
      <c r="I7462" s="60"/>
      <c r="J7462" s="116"/>
      <c r="K7462" s="213"/>
      <c r="L7462" s="120"/>
      <c r="M7462" s="120"/>
      <c r="N7462" s="167"/>
      <c r="O7462" s="120"/>
      <c r="P7462" s="120"/>
      <c r="Q7462" s="120"/>
      <c r="R7462" s="120"/>
      <c r="S7462" s="120"/>
      <c r="T7462" s="221"/>
      <c r="U7462" s="89"/>
      <c r="V7462" s="61"/>
      <c r="W7462" s="92" t="s">
        <v>65</v>
      </c>
      <c r="X7462" s="93" t="s">
        <v>30</v>
      </c>
      <c r="Y7462" s="93" t="s">
        <v>1011</v>
      </c>
      <c r="Z7462" s="134">
        <f>VLOOKUP(W7462,Sheet2!$B:$D,3,FALSE)</f>
        <v>1.76</v>
      </c>
      <c r="AA7462" s="93">
        <f>AA7461/3</f>
        <v>16.666666666666668</v>
      </c>
      <c r="AB7462" s="93">
        <f>AD7462/AC7456</f>
        <v>0.1056</v>
      </c>
      <c r="AC7462" s="93">
        <f>AC7456/AA7462</f>
        <v>8.50791900000001</v>
      </c>
      <c r="AD7462" s="94">
        <f t="shared" si="5259"/>
        <v>14.973937440000018</v>
      </c>
      <c r="AE7462" s="190"/>
      <c r="AF7462" s="191"/>
      <c r="AG7462" s="191"/>
      <c r="AH7462" s="191"/>
      <c r="AI7462" s="186"/>
      <c r="AK7462" s="171"/>
    </row>
    <row r="7463" spans="1:37" s="102" customFormat="1" ht="19.899999999999999" customHeight="1" x14ac:dyDescent="0.25">
      <c r="A7463" s="45"/>
      <c r="B7463" s="59"/>
      <c r="C7463" s="137"/>
      <c r="D7463" s="59"/>
      <c r="E7463" s="116"/>
      <c r="F7463" s="120"/>
      <c r="G7463" s="120"/>
      <c r="H7463" s="120"/>
      <c r="I7463" s="60"/>
      <c r="J7463" s="116"/>
      <c r="K7463" s="213"/>
      <c r="L7463" s="120"/>
      <c r="M7463" s="120"/>
      <c r="N7463" s="167"/>
      <c r="O7463" s="120"/>
      <c r="P7463" s="120"/>
      <c r="Q7463" s="120"/>
      <c r="R7463" s="120"/>
      <c r="S7463" s="120"/>
      <c r="T7463" s="221"/>
      <c r="U7463" s="89"/>
      <c r="V7463" s="61"/>
      <c r="W7463" s="92" t="s">
        <v>148</v>
      </c>
      <c r="X7463" s="93" t="s">
        <v>29</v>
      </c>
      <c r="Y7463" s="93" t="s">
        <v>93</v>
      </c>
      <c r="Z7463" s="134">
        <f>VLOOKUP(W7463,Sheet2!$B:$D,3,FALSE)</f>
        <v>48</v>
      </c>
      <c r="AA7463" s="93">
        <f>AA7457</f>
        <v>26.666666666666668</v>
      </c>
      <c r="AB7463" s="93">
        <f>AD7463/AC7456</f>
        <v>1.8000000000000003</v>
      </c>
      <c r="AC7463" s="93">
        <f>AC7456/AA7463</f>
        <v>5.3174493750000069</v>
      </c>
      <c r="AD7463" s="94">
        <f t="shared" si="5259"/>
        <v>255.23757000000035</v>
      </c>
      <c r="AE7463" s="190"/>
      <c r="AF7463" s="191"/>
      <c r="AG7463" s="191"/>
      <c r="AH7463" s="191"/>
      <c r="AI7463" s="186"/>
      <c r="AK7463" s="171"/>
    </row>
    <row r="7464" spans="1:37" s="102" customFormat="1" ht="19.899999999999999" customHeight="1" x14ac:dyDescent="0.25">
      <c r="A7464" s="45"/>
      <c r="B7464" s="59"/>
      <c r="C7464" s="137"/>
      <c r="D7464" s="59"/>
      <c r="E7464" s="116"/>
      <c r="F7464" s="120"/>
      <c r="G7464" s="120"/>
      <c r="H7464" s="120"/>
      <c r="I7464" s="60"/>
      <c r="J7464" s="116"/>
      <c r="K7464" s="213"/>
      <c r="L7464" s="120"/>
      <c r="M7464" s="120"/>
      <c r="N7464" s="167"/>
      <c r="O7464" s="120"/>
      <c r="P7464" s="120"/>
      <c r="Q7464" s="120"/>
      <c r="R7464" s="120"/>
      <c r="S7464" s="120"/>
      <c r="T7464" s="221"/>
      <c r="U7464" s="89"/>
      <c r="V7464" s="61"/>
      <c r="W7464" s="92" t="s">
        <v>65</v>
      </c>
      <c r="X7464" s="93" t="s">
        <v>30</v>
      </c>
      <c r="Y7464" s="93" t="s">
        <v>1011</v>
      </c>
      <c r="Z7464" s="134">
        <f>VLOOKUP(W7464,Sheet2!$B:$D,3,FALSE)</f>
        <v>1.76</v>
      </c>
      <c r="AA7464" s="93">
        <f>AA7463/10</f>
        <v>2.666666666666667</v>
      </c>
      <c r="AB7464" s="93">
        <f>AD7464/AC7456</f>
        <v>0.65999999999999992</v>
      </c>
      <c r="AC7464" s="93">
        <f>AC7456/AA7464</f>
        <v>53.17449375000006</v>
      </c>
      <c r="AD7464" s="94">
        <f t="shared" si="5259"/>
        <v>93.587109000000112</v>
      </c>
      <c r="AE7464" s="190"/>
      <c r="AF7464" s="191"/>
      <c r="AG7464" s="191"/>
      <c r="AH7464" s="191"/>
      <c r="AI7464" s="186"/>
      <c r="AK7464" s="171"/>
    </row>
    <row r="7465" spans="1:37" s="102" customFormat="1" ht="19.899999999999999" customHeight="1" x14ac:dyDescent="0.25">
      <c r="A7465" s="45"/>
      <c r="B7465" s="59"/>
      <c r="C7465" s="137"/>
      <c r="D7465" s="59"/>
      <c r="E7465" s="116"/>
      <c r="F7465" s="120"/>
      <c r="G7465" s="120"/>
      <c r="H7465" s="120"/>
      <c r="I7465" s="60"/>
      <c r="J7465" s="116"/>
      <c r="K7465" s="213"/>
      <c r="L7465" s="120"/>
      <c r="M7465" s="120"/>
      <c r="N7465" s="167"/>
      <c r="O7465" s="120"/>
      <c r="P7465" s="120"/>
      <c r="Q7465" s="120"/>
      <c r="R7465" s="120"/>
      <c r="S7465" s="120"/>
      <c r="T7465" s="221"/>
      <c r="U7465" s="89"/>
      <c r="V7465" s="61"/>
      <c r="W7465" s="92" t="s">
        <v>1048</v>
      </c>
      <c r="X7465" s="93" t="s">
        <v>30</v>
      </c>
      <c r="Y7465" s="93" t="s">
        <v>68</v>
      </c>
      <c r="Z7465" s="134">
        <f>VLOOKUP(W7465,Sheet2!$B:$D,3,FALSE)</f>
        <v>35</v>
      </c>
      <c r="AA7465" s="93">
        <v>1</v>
      </c>
      <c r="AB7465" s="93">
        <f>AD7465/AC7456</f>
        <v>35</v>
      </c>
      <c r="AC7465" s="93">
        <f>AC7456/AA7465</f>
        <v>141.79865000000018</v>
      </c>
      <c r="AD7465" s="94">
        <f t="shared" si="5259"/>
        <v>4962.9527500000058</v>
      </c>
      <c r="AE7465" s="190"/>
      <c r="AF7465" s="191"/>
      <c r="AG7465" s="191"/>
      <c r="AH7465" s="191"/>
      <c r="AI7465" s="186"/>
      <c r="AK7465" s="171"/>
    </row>
    <row r="7466" spans="1:37" s="103" customFormat="1" ht="19.899999999999999" customHeight="1" x14ac:dyDescent="0.25">
      <c r="A7466" s="51"/>
      <c r="B7466" s="52"/>
      <c r="C7466" s="165"/>
      <c r="D7466" s="52"/>
      <c r="E7466" s="115"/>
      <c r="F7466" s="58"/>
      <c r="G7466" s="58"/>
      <c r="H7466" s="58"/>
      <c r="I7466" s="55"/>
      <c r="J7466" s="113">
        <f>J7455</f>
        <v>141.79865000000018</v>
      </c>
      <c r="K7466" s="212">
        <f>K7455</f>
        <v>141.79865000000018</v>
      </c>
      <c r="L7466" s="58"/>
      <c r="M7466" s="58">
        <f>K7466-L7466</f>
        <v>141.79865000000018</v>
      </c>
      <c r="N7466" s="166"/>
      <c r="O7466" s="58"/>
      <c r="P7466" s="58"/>
      <c r="Q7466" s="58"/>
      <c r="R7466" s="58"/>
      <c r="S7466" s="58"/>
      <c r="T7466" s="220"/>
      <c r="U7466" s="88"/>
      <c r="V7466" s="56"/>
      <c r="W7466" s="57" t="s">
        <v>1036</v>
      </c>
      <c r="X7466" s="53"/>
      <c r="Y7466" s="91" t="s">
        <v>68</v>
      </c>
      <c r="Z7466" s="136">
        <f>AD7466/AC7466</f>
        <v>390.58333333333331</v>
      </c>
      <c r="AA7466" s="58"/>
      <c r="AB7466" s="53">
        <f>AD7466/AC7466</f>
        <v>390.58333333333331</v>
      </c>
      <c r="AC7466" s="53">
        <f>M7466+$AE$10</f>
        <v>141.79865000000018</v>
      </c>
      <c r="AD7466" s="54">
        <f>SUM(AD7467:AD7472)</f>
        <v>55384.189379166732</v>
      </c>
      <c r="AE7466" s="184">
        <f>SUMIFS($AD$37:$AD$12971,$V$37:$V$12971,$V7466,$X$37:$X$12971,AE$13)</f>
        <v>0</v>
      </c>
      <c r="AF7466" s="185">
        <f>SUMIFS($AD$37:$AD$12971,$V$37:$V$12971,$V7466,$X$37:$X$12971,AF$13)</f>
        <v>0</v>
      </c>
      <c r="AG7466" s="185">
        <f>SUMIFS($AD$37:$AD$12971,$V$37:$V$12971,$V7466,$X$37:$X$12971,AG$13)</f>
        <v>0</v>
      </c>
      <c r="AH7466" s="187">
        <f>SUMIFS($AD$37:$AD$12971,$V$37:$V$12971,$V7466,$X$37:$X$12971,AH$13)</f>
        <v>0</v>
      </c>
      <c r="AI7466" s="161">
        <f t="shared" ref="AI7466" si="5260">SUM(AE7466:AH7466)</f>
        <v>0</v>
      </c>
      <c r="AK7466" s="172"/>
    </row>
    <row r="7467" spans="1:37" s="102" customFormat="1" ht="19.899999999999999" customHeight="1" x14ac:dyDescent="0.25">
      <c r="A7467" s="45"/>
      <c r="B7467" s="59"/>
      <c r="C7467" s="137"/>
      <c r="D7467" s="59"/>
      <c r="E7467" s="116"/>
      <c r="F7467" s="120"/>
      <c r="G7467" s="120"/>
      <c r="H7467" s="120"/>
      <c r="I7467" s="60"/>
      <c r="J7467" s="116"/>
      <c r="K7467" s="213"/>
      <c r="L7467" s="120"/>
      <c r="M7467" s="120"/>
      <c r="N7467" s="167"/>
      <c r="O7467" s="120"/>
      <c r="P7467" s="120"/>
      <c r="Q7467" s="120"/>
      <c r="R7467" s="120"/>
      <c r="S7467" s="120"/>
      <c r="T7467" s="221"/>
      <c r="U7467" s="89"/>
      <c r="V7467" s="61"/>
      <c r="W7467" s="92" t="s">
        <v>1057</v>
      </c>
      <c r="X7467" s="93" t="s">
        <v>30</v>
      </c>
      <c r="Y7467" s="93" t="s">
        <v>68</v>
      </c>
      <c r="Z7467" s="134">
        <f>VLOOKUP(W7467,Sheet2!$B:$D,3,FALSE)</f>
        <v>250</v>
      </c>
      <c r="AA7467" s="93">
        <v>1</v>
      </c>
      <c r="AB7467" s="93">
        <f>AD7467/AC7466</f>
        <v>249.99999999999997</v>
      </c>
      <c r="AC7467" s="93">
        <f>AC7466/AA7467</f>
        <v>141.79865000000018</v>
      </c>
      <c r="AD7467" s="94">
        <f t="shared" ref="AD7467" si="5261">AC7467*Z7467</f>
        <v>35449.662500000042</v>
      </c>
      <c r="AE7467" s="190"/>
      <c r="AF7467" s="191"/>
      <c r="AG7467" s="191"/>
      <c r="AH7467" s="191"/>
      <c r="AI7467" s="186"/>
      <c r="AK7467" s="171"/>
    </row>
    <row r="7468" spans="1:37" s="102" customFormat="1" ht="19.899999999999999" customHeight="1" x14ac:dyDescent="0.25">
      <c r="A7468" s="45"/>
      <c r="B7468" s="59"/>
      <c r="C7468" s="137"/>
      <c r="D7468" s="59"/>
      <c r="E7468" s="116"/>
      <c r="F7468" s="120"/>
      <c r="G7468" s="120"/>
      <c r="H7468" s="120"/>
      <c r="I7468" s="60"/>
      <c r="J7468" s="116"/>
      <c r="K7468" s="213"/>
      <c r="L7468" s="120"/>
      <c r="M7468" s="120"/>
      <c r="N7468" s="167"/>
      <c r="O7468" s="120"/>
      <c r="P7468" s="120"/>
      <c r="Q7468" s="120"/>
      <c r="R7468" s="120"/>
      <c r="S7468" s="120"/>
      <c r="T7468" s="221"/>
      <c r="U7468" s="89"/>
      <c r="V7468" s="61"/>
      <c r="W7468" s="92" t="s">
        <v>1064</v>
      </c>
      <c r="X7468" s="93" t="s">
        <v>30</v>
      </c>
      <c r="Y7468" s="93" t="s">
        <v>68</v>
      </c>
      <c r="Z7468" s="134">
        <f>VLOOKUP(W7468,Sheet2!$B:$D,3,FALSE)</f>
        <v>25</v>
      </c>
      <c r="AA7468" s="93">
        <v>1</v>
      </c>
      <c r="AB7468" s="93">
        <f>AD7468/AC7466</f>
        <v>25</v>
      </c>
      <c r="AC7468" s="93">
        <f>AC7466/AA7468</f>
        <v>141.79865000000018</v>
      </c>
      <c r="AD7468" s="94">
        <f>AC7468*Z7468</f>
        <v>3544.9662500000045</v>
      </c>
      <c r="AE7468" s="190"/>
      <c r="AF7468" s="191"/>
      <c r="AG7468" s="191"/>
      <c r="AH7468" s="191"/>
      <c r="AI7468" s="186"/>
      <c r="AK7468" s="171"/>
    </row>
    <row r="7469" spans="1:37" s="102" customFormat="1" ht="19.899999999999999" customHeight="1" x14ac:dyDescent="0.25">
      <c r="A7469" s="45"/>
      <c r="B7469" s="59"/>
      <c r="C7469" s="137"/>
      <c r="D7469" s="59"/>
      <c r="E7469" s="116"/>
      <c r="F7469" s="120"/>
      <c r="G7469" s="120"/>
      <c r="H7469" s="120"/>
      <c r="I7469" s="60"/>
      <c r="J7469" s="116"/>
      <c r="K7469" s="213"/>
      <c r="L7469" s="120"/>
      <c r="M7469" s="120"/>
      <c r="N7469" s="167"/>
      <c r="O7469" s="120"/>
      <c r="P7469" s="120"/>
      <c r="Q7469" s="120"/>
      <c r="R7469" s="120"/>
      <c r="S7469" s="120"/>
      <c r="T7469" s="221"/>
      <c r="U7469" s="89"/>
      <c r="V7469" s="61"/>
      <c r="W7469" s="92" t="s">
        <v>1072</v>
      </c>
      <c r="X7469" s="93" t="s">
        <v>32</v>
      </c>
      <c r="Y7469" s="93" t="s">
        <v>68</v>
      </c>
      <c r="Z7469" s="134">
        <f>VLOOKUP(W7469,Sheet2!$B:$D,3,FALSE)</f>
        <v>55</v>
      </c>
      <c r="AA7469" s="93">
        <v>1</v>
      </c>
      <c r="AB7469" s="93">
        <f>AD7469/AC7466</f>
        <v>55</v>
      </c>
      <c r="AC7469" s="93">
        <f>AC7466/AA7469</f>
        <v>141.79865000000018</v>
      </c>
      <c r="AD7469" s="94">
        <f>AC7469*Z7469</f>
        <v>7798.9257500000094</v>
      </c>
      <c r="AE7469" s="190"/>
      <c r="AF7469" s="191"/>
      <c r="AG7469" s="191"/>
      <c r="AH7469" s="191"/>
      <c r="AI7469" s="186"/>
      <c r="AK7469" s="171"/>
    </row>
    <row r="7470" spans="1:37" s="102" customFormat="1" ht="19.899999999999999" customHeight="1" x14ac:dyDescent="0.25">
      <c r="A7470" s="45"/>
      <c r="B7470" s="59"/>
      <c r="C7470" s="137"/>
      <c r="D7470" s="59"/>
      <c r="E7470" s="116"/>
      <c r="F7470" s="120"/>
      <c r="G7470" s="120"/>
      <c r="H7470" s="120"/>
      <c r="I7470" s="60"/>
      <c r="J7470" s="116"/>
      <c r="K7470" s="213"/>
      <c r="L7470" s="120"/>
      <c r="M7470" s="120"/>
      <c r="N7470" s="167"/>
      <c r="O7470" s="120"/>
      <c r="P7470" s="120"/>
      <c r="Q7470" s="120"/>
      <c r="R7470" s="120"/>
      <c r="S7470" s="120"/>
      <c r="T7470" s="221"/>
      <c r="U7470" s="89"/>
      <c r="V7470" s="61"/>
      <c r="W7470" s="92" t="s">
        <v>1032</v>
      </c>
      <c r="X7470" s="93" t="s">
        <v>30</v>
      </c>
      <c r="Y7470" s="93" t="s">
        <v>66</v>
      </c>
      <c r="Z7470" s="134">
        <f>VLOOKUP(W7470,Sheet2!$B:$D,3,FALSE)</f>
        <v>250</v>
      </c>
      <c r="AA7470" s="93">
        <f>1/(1.5*0.1)</f>
        <v>6.6666666666666661</v>
      </c>
      <c r="AB7470" s="93">
        <f>AD7470/AC7466</f>
        <v>37.5</v>
      </c>
      <c r="AC7470" s="93">
        <f>AC7466/AA7470</f>
        <v>21.269797500000028</v>
      </c>
      <c r="AD7470" s="94">
        <f>AC7470*Z7470</f>
        <v>5317.4493750000065</v>
      </c>
      <c r="AE7470" s="190"/>
      <c r="AF7470" s="191"/>
      <c r="AG7470" s="191"/>
      <c r="AH7470" s="191"/>
      <c r="AI7470" s="186"/>
      <c r="AK7470" s="171"/>
    </row>
    <row r="7471" spans="1:37" s="102" customFormat="1" ht="19.899999999999999" customHeight="1" x14ac:dyDescent="0.25">
      <c r="A7471" s="45"/>
      <c r="B7471" s="59"/>
      <c r="C7471" s="137"/>
      <c r="D7471" s="59"/>
      <c r="E7471" s="116"/>
      <c r="F7471" s="120"/>
      <c r="G7471" s="120"/>
      <c r="H7471" s="120"/>
      <c r="I7471" s="60"/>
      <c r="J7471" s="116"/>
      <c r="K7471" s="213"/>
      <c r="L7471" s="120"/>
      <c r="M7471" s="120"/>
      <c r="N7471" s="167"/>
      <c r="O7471" s="120"/>
      <c r="P7471" s="120"/>
      <c r="Q7471" s="120"/>
      <c r="R7471" s="120"/>
      <c r="S7471" s="120"/>
      <c r="T7471" s="221"/>
      <c r="U7471" s="89"/>
      <c r="V7471" s="61"/>
      <c r="W7471" s="92" t="s">
        <v>1035</v>
      </c>
      <c r="X7471" s="93" t="s">
        <v>32</v>
      </c>
      <c r="Y7471" s="93" t="s">
        <v>66</v>
      </c>
      <c r="Z7471" s="134">
        <f>VLOOKUP(W7471,Sheet2!$B:$D,3,FALSE)</f>
        <v>150</v>
      </c>
      <c r="AA7471" s="93">
        <f>AA7470</f>
        <v>6.6666666666666661</v>
      </c>
      <c r="AB7471" s="93">
        <f>AD7471/AC7466</f>
        <v>22.5</v>
      </c>
      <c r="AC7471" s="93">
        <f>AC7466/AA7471</f>
        <v>21.269797500000028</v>
      </c>
      <c r="AD7471" s="94">
        <f t="shared" ref="AD7471:AD7472" si="5262">AC7471*Z7471</f>
        <v>3190.4696250000043</v>
      </c>
      <c r="AE7471" s="190"/>
      <c r="AF7471" s="191"/>
      <c r="AG7471" s="191"/>
      <c r="AH7471" s="191"/>
      <c r="AI7471" s="186"/>
      <c r="AK7471" s="171"/>
    </row>
    <row r="7472" spans="1:37" s="102" customFormat="1" ht="19.899999999999999" customHeight="1" x14ac:dyDescent="0.25">
      <c r="A7472" s="45"/>
      <c r="B7472" s="59"/>
      <c r="C7472" s="137"/>
      <c r="D7472" s="59"/>
      <c r="E7472" s="116"/>
      <c r="F7472" s="120"/>
      <c r="G7472" s="120"/>
      <c r="H7472" s="120"/>
      <c r="I7472" s="60"/>
      <c r="J7472" s="116"/>
      <c r="K7472" s="213"/>
      <c r="L7472" s="120"/>
      <c r="M7472" s="120"/>
      <c r="N7472" s="167"/>
      <c r="O7472" s="120"/>
      <c r="P7472" s="120"/>
      <c r="Q7472" s="120"/>
      <c r="R7472" s="120"/>
      <c r="S7472" s="120"/>
      <c r="T7472" s="221"/>
      <c r="U7472" s="89"/>
      <c r="V7472" s="61"/>
      <c r="W7472" s="92" t="s">
        <v>1037</v>
      </c>
      <c r="X7472" s="93" t="s">
        <v>30</v>
      </c>
      <c r="Y7472" s="93" t="s">
        <v>1038</v>
      </c>
      <c r="Z7472" s="134">
        <f>VLOOKUP(W7472,Sheet2!$B:$D,3,FALSE)</f>
        <v>175</v>
      </c>
      <c r="AA7472" s="93">
        <v>300</v>
      </c>
      <c r="AB7472" s="93">
        <f>AD7472/AC7466</f>
        <v>0.58333333333333326</v>
      </c>
      <c r="AC7472" s="93">
        <f>AC7466/AA7472</f>
        <v>0.47266216666666727</v>
      </c>
      <c r="AD7472" s="94">
        <f t="shared" si="5262"/>
        <v>82.715879166666767</v>
      </c>
      <c r="AE7472" s="190"/>
      <c r="AF7472" s="191"/>
      <c r="AG7472" s="191"/>
      <c r="AH7472" s="191"/>
      <c r="AI7472" s="186"/>
      <c r="AK7472" s="171"/>
    </row>
    <row r="7473" spans="1:41" s="103" customFormat="1" ht="19.899999999999999" customHeight="1" x14ac:dyDescent="0.25">
      <c r="A7473" s="51"/>
      <c r="B7473" s="52"/>
      <c r="C7473" s="165"/>
      <c r="D7473" s="52"/>
      <c r="E7473" s="115"/>
      <c r="F7473" s="58"/>
      <c r="G7473" s="58"/>
      <c r="H7473" s="58"/>
      <c r="I7473" s="55"/>
      <c r="J7473" s="113">
        <f>J7455</f>
        <v>141.79865000000018</v>
      </c>
      <c r="K7473" s="212">
        <f>K7455</f>
        <v>141.79865000000018</v>
      </c>
      <c r="L7473" s="58"/>
      <c r="M7473" s="58">
        <f>K7473-L7473</f>
        <v>141.79865000000018</v>
      </c>
      <c r="N7473" s="166"/>
      <c r="O7473" s="58"/>
      <c r="P7473" s="58"/>
      <c r="Q7473" s="58"/>
      <c r="R7473" s="58"/>
      <c r="S7473" s="58"/>
      <c r="T7473" s="220"/>
      <c r="U7473" s="88"/>
      <c r="V7473" s="56"/>
      <c r="W7473" s="57" t="s">
        <v>1040</v>
      </c>
      <c r="X7473" s="53"/>
      <c r="Y7473" s="91" t="s">
        <v>68</v>
      </c>
      <c r="Z7473" s="136">
        <f>AD7473/AC7473</f>
        <v>5</v>
      </c>
      <c r="AA7473" s="58"/>
      <c r="AB7473" s="53">
        <f>AD7473/AC7473</f>
        <v>5</v>
      </c>
      <c r="AC7473" s="53">
        <f>M7473+$AE$10</f>
        <v>141.79865000000018</v>
      </c>
      <c r="AD7473" s="54">
        <f>SUM(AD7474)</f>
        <v>708.9932500000009</v>
      </c>
      <c r="AE7473" s="184">
        <f>SUMIFS($AD$37:$AD$12971,$V$37:$V$12971,$V7473,$X$37:$X$12971,AE$13)</f>
        <v>0</v>
      </c>
      <c r="AF7473" s="185">
        <f>SUMIFS($AD$37:$AD$12971,$V$37:$V$12971,$V7473,$X$37:$X$12971,AF$13)</f>
        <v>0</v>
      </c>
      <c r="AG7473" s="185">
        <f>SUMIFS($AD$37:$AD$12971,$V$37:$V$12971,$V7473,$X$37:$X$12971,AG$13)</f>
        <v>0</v>
      </c>
      <c r="AH7473" s="187">
        <f>SUMIFS($AD$37:$AD$12971,$V$37:$V$12971,$V7473,$X$37:$X$12971,AH$13)</f>
        <v>0</v>
      </c>
      <c r="AI7473" s="161">
        <f t="shared" ref="AI7473" si="5263">SUM(AE7473:AH7473)</f>
        <v>0</v>
      </c>
      <c r="AK7473" s="172"/>
    </row>
    <row r="7474" spans="1:41" s="102" customFormat="1" ht="19.899999999999999" customHeight="1" x14ac:dyDescent="0.25">
      <c r="A7474" s="45"/>
      <c r="B7474" s="59"/>
      <c r="C7474" s="137"/>
      <c r="D7474" s="59"/>
      <c r="E7474" s="116"/>
      <c r="F7474" s="120"/>
      <c r="G7474" s="120"/>
      <c r="H7474" s="120"/>
      <c r="I7474" s="60"/>
      <c r="J7474" s="116"/>
      <c r="K7474" s="213"/>
      <c r="L7474" s="120"/>
      <c r="M7474" s="120"/>
      <c r="N7474" s="167"/>
      <c r="O7474" s="120"/>
      <c r="P7474" s="120"/>
      <c r="Q7474" s="120"/>
      <c r="R7474" s="120"/>
      <c r="S7474" s="120"/>
      <c r="T7474" s="221"/>
      <c r="U7474" s="89"/>
      <c r="V7474" s="61"/>
      <c r="W7474" s="92" t="s">
        <v>1039</v>
      </c>
      <c r="X7474" s="93" t="s">
        <v>32</v>
      </c>
      <c r="Y7474" s="93" t="s">
        <v>68</v>
      </c>
      <c r="Z7474" s="134">
        <f>VLOOKUP(W7474,Sheet2!$B:$D,3,FALSE)</f>
        <v>5</v>
      </c>
      <c r="AA7474" s="93">
        <v>1</v>
      </c>
      <c r="AB7474" s="93">
        <f>AD7474/AC7473</f>
        <v>5</v>
      </c>
      <c r="AC7474" s="93">
        <f>AC7473/AA7474</f>
        <v>141.79865000000018</v>
      </c>
      <c r="AD7474" s="94">
        <f t="shared" ref="AD7474" si="5264">AC7474*Z7474</f>
        <v>708.9932500000009</v>
      </c>
      <c r="AE7474" s="190"/>
      <c r="AF7474" s="191"/>
      <c r="AG7474" s="191"/>
      <c r="AH7474" s="191"/>
      <c r="AI7474" s="186"/>
      <c r="AK7474" s="171"/>
    </row>
    <row r="7475" spans="1:41" ht="20.100000000000001" customHeight="1" x14ac:dyDescent="0.25">
      <c r="A7475" s="277" t="s">
        <v>703</v>
      </c>
      <c r="B7475" s="278"/>
      <c r="C7475" s="64" t="s">
        <v>739</v>
      </c>
      <c r="D7475" s="46" t="s">
        <v>97</v>
      </c>
      <c r="E7475" s="114">
        <v>146.99239999999918</v>
      </c>
      <c r="F7475" s="44">
        <v>778</v>
      </c>
      <c r="G7475" s="44">
        <f t="shared" si="4575"/>
        <v>114360.08719999937</v>
      </c>
      <c r="H7475" s="44">
        <f t="shared" si="4576"/>
        <v>477.20032156862743</v>
      </c>
      <c r="I7475" s="43">
        <f t="shared" si="4577"/>
        <v>70144.820548143922</v>
      </c>
      <c r="J7475" s="112">
        <f t="shared" si="4578"/>
        <v>146.99239999999918</v>
      </c>
      <c r="K7475" s="211">
        <f t="shared" si="4579"/>
        <v>146.99239999999918</v>
      </c>
      <c r="L7475" s="44"/>
      <c r="M7475" s="44">
        <f t="shared" si="4580"/>
        <v>146.99239999999918</v>
      </c>
      <c r="N7475" s="173">
        <f t="shared" si="4581"/>
        <v>1</v>
      </c>
      <c r="O7475" s="44">
        <f t="shared" si="4582"/>
        <v>778</v>
      </c>
      <c r="P7475" s="44">
        <f t="shared" si="4583"/>
        <v>114360.08719999937</v>
      </c>
      <c r="Q7475" s="44">
        <f t="shared" si="4584"/>
        <v>477.20032156862743</v>
      </c>
      <c r="R7475" s="44">
        <f t="shared" si="4585"/>
        <v>70144.820548143922</v>
      </c>
      <c r="S7475" s="123"/>
      <c r="T7475" s="219">
        <f t="shared" si="4586"/>
        <v>70144.820548143922</v>
      </c>
      <c r="U7475" s="87"/>
      <c r="V7475" s="47"/>
      <c r="W7475" s="48"/>
      <c r="X7475" s="48"/>
      <c r="Y7475" s="48"/>
      <c r="Z7475" s="135"/>
      <c r="AA7475" s="49"/>
      <c r="AB7475" s="50">
        <f t="shared" si="4587"/>
        <v>477.20032156862743</v>
      </c>
      <c r="AC7475" s="42">
        <f t="shared" si="4588"/>
        <v>146.99239999999918</v>
      </c>
      <c r="AD7475" s="90">
        <f>AD7476+AD7486+AD7493</f>
        <v>70144.820548143922</v>
      </c>
      <c r="AE7475" s="188">
        <f t="shared" ref="AE7475" si="5265">AE7476+AE7486+AE7493</f>
        <v>0</v>
      </c>
      <c r="AF7475" s="189">
        <f t="shared" ref="AF7475" si="5266">AF7476+AF7486+AF7493</f>
        <v>0</v>
      </c>
      <c r="AG7475" s="189">
        <f t="shared" ref="AG7475" si="5267">AG7476+AG7486+AG7493</f>
        <v>0</v>
      </c>
      <c r="AH7475" s="189">
        <f t="shared" ref="AH7475" si="5268">AH7476+AH7486+AH7493</f>
        <v>0</v>
      </c>
      <c r="AI7475" s="161">
        <f t="shared" ref="AI7475" si="5269">SUM(AE7475:AH7475)</f>
        <v>0</v>
      </c>
      <c r="AK7475" s="169">
        <v>5</v>
      </c>
      <c r="AO7475" s="19" t="s">
        <v>63</v>
      </c>
    </row>
    <row r="7476" spans="1:41" s="103" customFormat="1" ht="19.899999999999999" customHeight="1" x14ac:dyDescent="0.25">
      <c r="A7476" s="51"/>
      <c r="B7476" s="52"/>
      <c r="C7476" s="165"/>
      <c r="D7476" s="52"/>
      <c r="E7476" s="115"/>
      <c r="F7476" s="58"/>
      <c r="G7476" s="58"/>
      <c r="H7476" s="58"/>
      <c r="I7476" s="55"/>
      <c r="J7476" s="113">
        <f>J7475</f>
        <v>146.99239999999918</v>
      </c>
      <c r="K7476" s="212">
        <f>K7475</f>
        <v>146.99239999999918</v>
      </c>
      <c r="L7476" s="58"/>
      <c r="M7476" s="58">
        <f>K7476-L7476</f>
        <v>146.99239999999918</v>
      </c>
      <c r="N7476" s="166"/>
      <c r="O7476" s="58"/>
      <c r="P7476" s="58"/>
      <c r="Q7476" s="58"/>
      <c r="R7476" s="58"/>
      <c r="S7476" s="58"/>
      <c r="T7476" s="220"/>
      <c r="U7476" s="88"/>
      <c r="V7476" s="56"/>
      <c r="W7476" s="57" t="s">
        <v>1086</v>
      </c>
      <c r="X7476" s="53"/>
      <c r="Y7476" s="91" t="s">
        <v>68</v>
      </c>
      <c r="Z7476" s="136">
        <f>AD7476/AC7476</f>
        <v>81.61698823529413</v>
      </c>
      <c r="AA7476" s="58"/>
      <c r="AB7476" s="53">
        <f>AD7476/AC7476</f>
        <v>81.61698823529413</v>
      </c>
      <c r="AC7476" s="53">
        <f>M7476+$AE$10</f>
        <v>146.99239999999918</v>
      </c>
      <c r="AD7476" s="54">
        <f>SUM(AD7477:AD7485)</f>
        <v>11997.076981477581</v>
      </c>
      <c r="AE7476" s="184">
        <f>SUMIFS($AD$37:$AD$12971,$V$37:$V$12971,$V7476,$X$37:$X$12971,AE$13)</f>
        <v>0</v>
      </c>
      <c r="AF7476" s="185">
        <f>SUMIFS($AD$37:$AD$12971,$V$37:$V$12971,$V7476,$X$37:$X$12971,AF$13)</f>
        <v>0</v>
      </c>
      <c r="AG7476" s="185">
        <f>SUMIFS($AD$37:$AD$12971,$V$37:$V$12971,$V7476,$X$37:$X$12971,AG$13)</f>
        <v>0</v>
      </c>
      <c r="AH7476" s="187">
        <f>SUMIFS($AD$37:$AD$12971,$V$37:$V$12971,$V7476,$X$37:$X$12971,AH$13)</f>
        <v>0</v>
      </c>
      <c r="AI7476" s="161">
        <f t="shared" ref="AI7476" si="5270">SUM(AE7476:AH7476)</f>
        <v>0</v>
      </c>
      <c r="AK7476" s="172"/>
    </row>
    <row r="7477" spans="1:41" s="102" customFormat="1" ht="19.899999999999999" customHeight="1" x14ac:dyDescent="0.25">
      <c r="A7477" s="45"/>
      <c r="B7477" s="59"/>
      <c r="C7477" s="137"/>
      <c r="D7477" s="59"/>
      <c r="E7477" s="116"/>
      <c r="F7477" s="120"/>
      <c r="G7477" s="120"/>
      <c r="H7477" s="120"/>
      <c r="I7477" s="60"/>
      <c r="J7477" s="116"/>
      <c r="K7477" s="213"/>
      <c r="L7477" s="120"/>
      <c r="M7477" s="120"/>
      <c r="N7477" s="167"/>
      <c r="O7477" s="120"/>
      <c r="P7477" s="120"/>
      <c r="Q7477" s="120"/>
      <c r="R7477" s="120"/>
      <c r="S7477" s="120"/>
      <c r="T7477" s="221"/>
      <c r="U7477" s="89"/>
      <c r="V7477" s="61"/>
      <c r="W7477" s="92" t="s">
        <v>129</v>
      </c>
      <c r="X7477" s="93" t="s">
        <v>29</v>
      </c>
      <c r="Y7477" s="93" t="s">
        <v>93</v>
      </c>
      <c r="Z7477" s="134">
        <f>VLOOKUP(W7477,Sheet2!$B:$D,3,FALSE)</f>
        <v>56</v>
      </c>
      <c r="AA7477" s="93">
        <f>100/(1.5*3)</f>
        <v>22.222222222222221</v>
      </c>
      <c r="AB7477" s="93">
        <f t="shared" ref="AB7477" si="5271">AD7477/AC7476</f>
        <v>2.52</v>
      </c>
      <c r="AC7477" s="93">
        <f>AC7476/AA7477</f>
        <v>6.6146579999999631</v>
      </c>
      <c r="AD7477" s="94">
        <f t="shared" ref="AD7477:AD7478" si="5272">AC7477*Z7477</f>
        <v>370.42084799999793</v>
      </c>
      <c r="AE7477" s="190"/>
      <c r="AF7477" s="191"/>
      <c r="AG7477" s="191"/>
      <c r="AH7477" s="191"/>
      <c r="AI7477" s="186"/>
      <c r="AK7477" s="171"/>
    </row>
    <row r="7478" spans="1:41" s="102" customFormat="1" ht="19.899999999999999" customHeight="1" x14ac:dyDescent="0.25">
      <c r="A7478" s="45"/>
      <c r="B7478" s="59"/>
      <c r="C7478" s="137"/>
      <c r="D7478" s="59"/>
      <c r="E7478" s="116"/>
      <c r="F7478" s="120"/>
      <c r="G7478" s="120"/>
      <c r="H7478" s="120"/>
      <c r="I7478" s="60"/>
      <c r="J7478" s="116"/>
      <c r="K7478" s="213"/>
      <c r="L7478" s="120"/>
      <c r="M7478" s="120"/>
      <c r="N7478" s="167"/>
      <c r="O7478" s="120"/>
      <c r="P7478" s="120"/>
      <c r="Q7478" s="120"/>
      <c r="R7478" s="120"/>
      <c r="S7478" s="120"/>
      <c r="T7478" s="221"/>
      <c r="U7478" s="89"/>
      <c r="V7478" s="61"/>
      <c r="W7478" s="92" t="s">
        <v>65</v>
      </c>
      <c r="X7478" s="93" t="s">
        <v>30</v>
      </c>
      <c r="Y7478" s="93" t="s">
        <v>1011</v>
      </c>
      <c r="Z7478" s="134">
        <f>VLOOKUP(W7478,Sheet2!$B:$D,3,FALSE)</f>
        <v>1.76</v>
      </c>
      <c r="AA7478" s="93">
        <f>AA7477/14</f>
        <v>1.5873015873015872</v>
      </c>
      <c r="AB7478" s="93">
        <f>AD7478/AC7476</f>
        <v>1.1088</v>
      </c>
      <c r="AC7478" s="93">
        <f>AC7476/AA7478</f>
        <v>92.605211999999483</v>
      </c>
      <c r="AD7478" s="94">
        <f t="shared" si="5272"/>
        <v>162.9851731199991</v>
      </c>
      <c r="AE7478" s="190"/>
      <c r="AF7478" s="191"/>
      <c r="AG7478" s="191"/>
      <c r="AH7478" s="191"/>
      <c r="AI7478" s="186"/>
      <c r="AK7478" s="171"/>
    </row>
    <row r="7479" spans="1:41" s="102" customFormat="1" ht="19.899999999999999" customHeight="1" x14ac:dyDescent="0.25">
      <c r="A7479" s="45"/>
      <c r="B7479" s="59"/>
      <c r="C7479" s="137"/>
      <c r="D7479" s="59"/>
      <c r="E7479" s="116"/>
      <c r="F7479" s="120"/>
      <c r="G7479" s="120"/>
      <c r="H7479" s="120"/>
      <c r="I7479" s="60"/>
      <c r="J7479" s="116"/>
      <c r="K7479" s="213"/>
      <c r="L7479" s="120"/>
      <c r="M7479" s="120"/>
      <c r="N7479" s="167"/>
      <c r="O7479" s="120"/>
      <c r="P7479" s="120"/>
      <c r="Q7479" s="120"/>
      <c r="R7479" s="120"/>
      <c r="S7479" s="120"/>
      <c r="T7479" s="221"/>
      <c r="U7479" s="89"/>
      <c r="V7479" s="61"/>
      <c r="W7479" s="92" t="s">
        <v>161</v>
      </c>
      <c r="X7479" s="93" t="s">
        <v>29</v>
      </c>
      <c r="Y7479" s="93" t="s">
        <v>93</v>
      </c>
      <c r="Z7479" s="134">
        <f>VLOOKUP(W7479,Sheet2!$B:$D,3,FALSE)</f>
        <v>48</v>
      </c>
      <c r="AA7479" s="93">
        <f>(16*0.85*1.5)/(1.5*3)</f>
        <v>4.5333333333333332</v>
      </c>
      <c r="AB7479" s="93">
        <f>AD7479/AC7476</f>
        <v>10.588235294117645</v>
      </c>
      <c r="AC7479" s="93">
        <f>AC7476/AA7479</f>
        <v>32.424794117646876</v>
      </c>
      <c r="AD7479" s="94">
        <f>AC7479*Z7479</f>
        <v>1556.3901176470499</v>
      </c>
      <c r="AE7479" s="190"/>
      <c r="AF7479" s="191"/>
      <c r="AG7479" s="191"/>
      <c r="AH7479" s="191"/>
      <c r="AI7479" s="186"/>
      <c r="AK7479" s="171"/>
    </row>
    <row r="7480" spans="1:41" s="102" customFormat="1" ht="19.899999999999999" customHeight="1" x14ac:dyDescent="0.25">
      <c r="A7480" s="45"/>
      <c r="B7480" s="59"/>
      <c r="C7480" s="137"/>
      <c r="D7480" s="59"/>
      <c r="E7480" s="116"/>
      <c r="F7480" s="120"/>
      <c r="G7480" s="120"/>
      <c r="H7480" s="120"/>
      <c r="I7480" s="60"/>
      <c r="J7480" s="116"/>
      <c r="K7480" s="213"/>
      <c r="L7480" s="120"/>
      <c r="M7480" s="120"/>
      <c r="N7480" s="167"/>
      <c r="O7480" s="120"/>
      <c r="P7480" s="120"/>
      <c r="Q7480" s="120"/>
      <c r="R7480" s="120"/>
      <c r="S7480" s="120"/>
      <c r="T7480" s="221"/>
      <c r="U7480" s="89"/>
      <c r="V7480" s="61"/>
      <c r="W7480" s="92" t="s">
        <v>65</v>
      </c>
      <c r="X7480" s="93" t="s">
        <v>30</v>
      </c>
      <c r="Y7480" s="93" t="s">
        <v>1011</v>
      </c>
      <c r="Z7480" s="134">
        <f>VLOOKUP(W7480,Sheet2!$B:$D,3,FALSE)</f>
        <v>1.76</v>
      </c>
      <c r="AA7480" s="93">
        <f>AA7479/10</f>
        <v>0.45333333333333331</v>
      </c>
      <c r="AB7480" s="93">
        <f>AD7480/AC7476</f>
        <v>3.8823529411764706</v>
      </c>
      <c r="AC7480" s="93">
        <f>AC7476/AA7480</f>
        <v>324.24794117646877</v>
      </c>
      <c r="AD7480" s="94">
        <f>AC7480*Z7480</f>
        <v>570.67637647058507</v>
      </c>
      <c r="AE7480" s="190"/>
      <c r="AF7480" s="191"/>
      <c r="AG7480" s="191"/>
      <c r="AH7480" s="191"/>
      <c r="AI7480" s="186"/>
      <c r="AK7480" s="171"/>
    </row>
    <row r="7481" spans="1:41" s="102" customFormat="1" ht="19.899999999999999" customHeight="1" x14ac:dyDescent="0.25">
      <c r="A7481" s="45"/>
      <c r="B7481" s="59"/>
      <c r="C7481" s="137"/>
      <c r="D7481" s="59"/>
      <c r="E7481" s="116"/>
      <c r="F7481" s="120"/>
      <c r="G7481" s="120"/>
      <c r="H7481" s="120"/>
      <c r="I7481" s="60"/>
      <c r="J7481" s="116"/>
      <c r="K7481" s="213"/>
      <c r="L7481" s="120"/>
      <c r="M7481" s="120"/>
      <c r="N7481" s="167"/>
      <c r="O7481" s="120"/>
      <c r="P7481" s="120"/>
      <c r="Q7481" s="120"/>
      <c r="R7481" s="120"/>
      <c r="S7481" s="120"/>
      <c r="T7481" s="221"/>
      <c r="U7481" s="89"/>
      <c r="V7481" s="61"/>
      <c r="W7481" s="92" t="s">
        <v>1030</v>
      </c>
      <c r="X7481" s="93" t="s">
        <v>29</v>
      </c>
      <c r="Y7481" s="93" t="s">
        <v>93</v>
      </c>
      <c r="Z7481" s="134">
        <f>VLOOKUP(W7481,Sheet2!$B:$D,3,FALSE)</f>
        <v>23</v>
      </c>
      <c r="AA7481" s="93">
        <v>50</v>
      </c>
      <c r="AB7481" s="93">
        <f>AD7481/AC7476</f>
        <v>0.46</v>
      </c>
      <c r="AC7481" s="93">
        <f>AC7476/AA7481</f>
        <v>2.9398479999999836</v>
      </c>
      <c r="AD7481" s="94">
        <f t="shared" ref="AD7481:AD7485" si="5273">AC7481*Z7481</f>
        <v>67.616503999999622</v>
      </c>
      <c r="AE7481" s="190"/>
      <c r="AF7481" s="191"/>
      <c r="AG7481" s="191"/>
      <c r="AH7481" s="191"/>
      <c r="AI7481" s="186"/>
      <c r="AK7481" s="171"/>
    </row>
    <row r="7482" spans="1:41" s="102" customFormat="1" ht="19.899999999999999" customHeight="1" x14ac:dyDescent="0.25">
      <c r="A7482" s="45"/>
      <c r="B7482" s="59"/>
      <c r="C7482" s="137"/>
      <c r="D7482" s="59"/>
      <c r="E7482" s="116"/>
      <c r="F7482" s="120"/>
      <c r="G7482" s="120"/>
      <c r="H7482" s="120"/>
      <c r="I7482" s="60"/>
      <c r="J7482" s="116"/>
      <c r="K7482" s="213"/>
      <c r="L7482" s="120"/>
      <c r="M7482" s="120"/>
      <c r="N7482" s="167"/>
      <c r="O7482" s="120"/>
      <c r="P7482" s="120"/>
      <c r="Q7482" s="120"/>
      <c r="R7482" s="120"/>
      <c r="S7482" s="120"/>
      <c r="T7482" s="221"/>
      <c r="U7482" s="89"/>
      <c r="V7482" s="61"/>
      <c r="W7482" s="92" t="s">
        <v>65</v>
      </c>
      <c r="X7482" s="93" t="s">
        <v>30</v>
      </c>
      <c r="Y7482" s="93" t="s">
        <v>1011</v>
      </c>
      <c r="Z7482" s="134">
        <f>VLOOKUP(W7482,Sheet2!$B:$D,3,FALSE)</f>
        <v>1.76</v>
      </c>
      <c r="AA7482" s="93">
        <f>AA7481/3</f>
        <v>16.666666666666668</v>
      </c>
      <c r="AB7482" s="93">
        <f>AD7482/AC7476</f>
        <v>0.1056</v>
      </c>
      <c r="AC7482" s="93">
        <f>AC7476/AA7482</f>
        <v>8.8195439999999508</v>
      </c>
      <c r="AD7482" s="94">
        <f t="shared" si="5273"/>
        <v>15.522397439999914</v>
      </c>
      <c r="AE7482" s="190"/>
      <c r="AF7482" s="191"/>
      <c r="AG7482" s="191"/>
      <c r="AH7482" s="191"/>
      <c r="AI7482" s="186"/>
      <c r="AK7482" s="171"/>
    </row>
    <row r="7483" spans="1:41" s="102" customFormat="1" ht="19.899999999999999" customHeight="1" x14ac:dyDescent="0.25">
      <c r="A7483" s="45"/>
      <c r="B7483" s="59"/>
      <c r="C7483" s="137"/>
      <c r="D7483" s="59"/>
      <c r="E7483" s="116"/>
      <c r="F7483" s="120"/>
      <c r="G7483" s="120"/>
      <c r="H7483" s="120"/>
      <c r="I7483" s="60"/>
      <c r="J7483" s="116"/>
      <c r="K7483" s="213"/>
      <c r="L7483" s="120"/>
      <c r="M7483" s="120"/>
      <c r="N7483" s="167"/>
      <c r="O7483" s="120"/>
      <c r="P7483" s="120"/>
      <c r="Q7483" s="120"/>
      <c r="R7483" s="120"/>
      <c r="S7483" s="120"/>
      <c r="T7483" s="221"/>
      <c r="U7483" s="89"/>
      <c r="V7483" s="61"/>
      <c r="W7483" s="92" t="s">
        <v>148</v>
      </c>
      <c r="X7483" s="93" t="s">
        <v>29</v>
      </c>
      <c r="Y7483" s="93" t="s">
        <v>93</v>
      </c>
      <c r="Z7483" s="134">
        <f>VLOOKUP(W7483,Sheet2!$B:$D,3,FALSE)</f>
        <v>48</v>
      </c>
      <c r="AA7483" s="93">
        <f>AA7477</f>
        <v>22.222222222222221</v>
      </c>
      <c r="AB7483" s="93">
        <f>AD7483/AC7476</f>
        <v>2.16</v>
      </c>
      <c r="AC7483" s="93">
        <f>AC7476/AA7483</f>
        <v>6.6146579999999631</v>
      </c>
      <c r="AD7483" s="94">
        <f t="shared" si="5273"/>
        <v>317.50358399999823</v>
      </c>
      <c r="AE7483" s="190"/>
      <c r="AF7483" s="191"/>
      <c r="AG7483" s="191"/>
      <c r="AH7483" s="191"/>
      <c r="AI7483" s="186"/>
      <c r="AK7483" s="171"/>
    </row>
    <row r="7484" spans="1:41" s="102" customFormat="1" ht="19.899999999999999" customHeight="1" x14ac:dyDescent="0.25">
      <c r="A7484" s="45"/>
      <c r="B7484" s="59"/>
      <c r="C7484" s="137"/>
      <c r="D7484" s="59"/>
      <c r="E7484" s="116"/>
      <c r="F7484" s="120"/>
      <c r="G7484" s="120"/>
      <c r="H7484" s="120"/>
      <c r="I7484" s="60"/>
      <c r="J7484" s="116"/>
      <c r="K7484" s="213"/>
      <c r="L7484" s="120"/>
      <c r="M7484" s="120"/>
      <c r="N7484" s="167"/>
      <c r="O7484" s="120"/>
      <c r="P7484" s="120"/>
      <c r="Q7484" s="120"/>
      <c r="R7484" s="120"/>
      <c r="S7484" s="120"/>
      <c r="T7484" s="221"/>
      <c r="U7484" s="89"/>
      <c r="V7484" s="61"/>
      <c r="W7484" s="92" t="s">
        <v>65</v>
      </c>
      <c r="X7484" s="93" t="s">
        <v>30</v>
      </c>
      <c r="Y7484" s="93" t="s">
        <v>1011</v>
      </c>
      <c r="Z7484" s="134">
        <f>VLOOKUP(W7484,Sheet2!$B:$D,3,FALSE)</f>
        <v>1.76</v>
      </c>
      <c r="AA7484" s="93">
        <f>AA7483/10</f>
        <v>2.2222222222222223</v>
      </c>
      <c r="AB7484" s="93">
        <f>AD7484/AC7476</f>
        <v>0.79200000000000004</v>
      </c>
      <c r="AC7484" s="93">
        <f>AC7476/AA7484</f>
        <v>66.146579999999631</v>
      </c>
      <c r="AD7484" s="94">
        <f t="shared" si="5273"/>
        <v>116.41798079999936</v>
      </c>
      <c r="AE7484" s="190"/>
      <c r="AF7484" s="191"/>
      <c r="AG7484" s="191"/>
      <c r="AH7484" s="191"/>
      <c r="AI7484" s="186"/>
      <c r="AK7484" s="171"/>
    </row>
    <row r="7485" spans="1:41" s="102" customFormat="1" ht="19.899999999999999" customHeight="1" x14ac:dyDescent="0.25">
      <c r="A7485" s="45"/>
      <c r="B7485" s="59"/>
      <c r="C7485" s="137"/>
      <c r="D7485" s="59"/>
      <c r="E7485" s="116"/>
      <c r="F7485" s="120"/>
      <c r="G7485" s="120"/>
      <c r="H7485" s="120"/>
      <c r="I7485" s="60"/>
      <c r="J7485" s="116"/>
      <c r="K7485" s="213"/>
      <c r="L7485" s="120"/>
      <c r="M7485" s="120"/>
      <c r="N7485" s="167"/>
      <c r="O7485" s="120"/>
      <c r="P7485" s="120"/>
      <c r="Q7485" s="120"/>
      <c r="R7485" s="120"/>
      <c r="S7485" s="120"/>
      <c r="T7485" s="221"/>
      <c r="U7485" s="89"/>
      <c r="V7485" s="61"/>
      <c r="W7485" s="92" t="s">
        <v>1049</v>
      </c>
      <c r="X7485" s="93" t="s">
        <v>30</v>
      </c>
      <c r="Y7485" s="93" t="s">
        <v>68</v>
      </c>
      <c r="Z7485" s="134">
        <f>VLOOKUP(W7485,Sheet2!$B:$D,3,FALSE)</f>
        <v>60</v>
      </c>
      <c r="AA7485" s="93">
        <v>1</v>
      </c>
      <c r="AB7485" s="93">
        <f>AD7485/AC7476</f>
        <v>60</v>
      </c>
      <c r="AC7485" s="93">
        <f>AC7476/AA7485</f>
        <v>146.99239999999918</v>
      </c>
      <c r="AD7485" s="94">
        <f t="shared" si="5273"/>
        <v>8819.5439999999508</v>
      </c>
      <c r="AE7485" s="190"/>
      <c r="AF7485" s="191"/>
      <c r="AG7485" s="191"/>
      <c r="AH7485" s="191"/>
      <c r="AI7485" s="186"/>
      <c r="AK7485" s="171"/>
    </row>
    <row r="7486" spans="1:41" s="103" customFormat="1" ht="19.899999999999999" customHeight="1" x14ac:dyDescent="0.25">
      <c r="A7486" s="51"/>
      <c r="B7486" s="52"/>
      <c r="C7486" s="165"/>
      <c r="D7486" s="52"/>
      <c r="E7486" s="115"/>
      <c r="F7486" s="58"/>
      <c r="G7486" s="58"/>
      <c r="H7486" s="58"/>
      <c r="I7486" s="55"/>
      <c r="J7486" s="113">
        <f>J7475</f>
        <v>146.99239999999918</v>
      </c>
      <c r="K7486" s="212">
        <f>K7475</f>
        <v>146.99239999999918</v>
      </c>
      <c r="L7486" s="58"/>
      <c r="M7486" s="58">
        <f>K7486-L7486</f>
        <v>146.99239999999918</v>
      </c>
      <c r="N7486" s="166"/>
      <c r="O7486" s="58"/>
      <c r="P7486" s="58"/>
      <c r="Q7486" s="58"/>
      <c r="R7486" s="58"/>
      <c r="S7486" s="58"/>
      <c r="T7486" s="220"/>
      <c r="U7486" s="88"/>
      <c r="V7486" s="56"/>
      <c r="W7486" s="57" t="s">
        <v>1036</v>
      </c>
      <c r="X7486" s="53"/>
      <c r="Y7486" s="91" t="s">
        <v>68</v>
      </c>
      <c r="Z7486" s="136">
        <f>AD7486/AC7486</f>
        <v>390.58333333333326</v>
      </c>
      <c r="AA7486" s="58"/>
      <c r="AB7486" s="53">
        <f>AD7486/AC7486</f>
        <v>390.58333333333326</v>
      </c>
      <c r="AC7486" s="53">
        <f>M7486+$AE$10</f>
        <v>146.99239999999918</v>
      </c>
      <c r="AD7486" s="54">
        <f>SUM(AD7487:AD7492)</f>
        <v>57412.781566666337</v>
      </c>
      <c r="AE7486" s="184">
        <f>SUMIFS($AD$37:$AD$12971,$V$37:$V$12971,$V7486,$X$37:$X$12971,AE$13)</f>
        <v>0</v>
      </c>
      <c r="AF7486" s="185">
        <f>SUMIFS($AD$37:$AD$12971,$V$37:$V$12971,$V7486,$X$37:$X$12971,AF$13)</f>
        <v>0</v>
      </c>
      <c r="AG7486" s="185">
        <f>SUMIFS($AD$37:$AD$12971,$V$37:$V$12971,$V7486,$X$37:$X$12971,AG$13)</f>
        <v>0</v>
      </c>
      <c r="AH7486" s="187">
        <f>SUMIFS($AD$37:$AD$12971,$V$37:$V$12971,$V7486,$X$37:$X$12971,AH$13)</f>
        <v>0</v>
      </c>
      <c r="AI7486" s="161">
        <f t="shared" ref="AI7486" si="5274">SUM(AE7486:AH7486)</f>
        <v>0</v>
      </c>
      <c r="AK7486" s="172"/>
    </row>
    <row r="7487" spans="1:41" s="102" customFormat="1" ht="19.899999999999999" customHeight="1" x14ac:dyDescent="0.25">
      <c r="A7487" s="45"/>
      <c r="B7487" s="59"/>
      <c r="C7487" s="137"/>
      <c r="D7487" s="59"/>
      <c r="E7487" s="116"/>
      <c r="F7487" s="120"/>
      <c r="G7487" s="120"/>
      <c r="H7487" s="120"/>
      <c r="I7487" s="60"/>
      <c r="J7487" s="116"/>
      <c r="K7487" s="213"/>
      <c r="L7487" s="120"/>
      <c r="M7487" s="120"/>
      <c r="N7487" s="167"/>
      <c r="O7487" s="120"/>
      <c r="P7487" s="120"/>
      <c r="Q7487" s="120"/>
      <c r="R7487" s="120"/>
      <c r="S7487" s="120"/>
      <c r="T7487" s="221"/>
      <c r="U7487" s="89"/>
      <c r="V7487" s="61"/>
      <c r="W7487" s="92" t="s">
        <v>1057</v>
      </c>
      <c r="X7487" s="93" t="s">
        <v>30</v>
      </c>
      <c r="Y7487" s="93" t="s">
        <v>68</v>
      </c>
      <c r="Z7487" s="134">
        <f>VLOOKUP(W7487,Sheet2!$B:$D,3,FALSE)</f>
        <v>250</v>
      </c>
      <c r="AA7487" s="93">
        <v>1</v>
      </c>
      <c r="AB7487" s="93">
        <f>AD7487/AC7486</f>
        <v>250</v>
      </c>
      <c r="AC7487" s="93">
        <f>AC7486/AA7487</f>
        <v>146.99239999999918</v>
      </c>
      <c r="AD7487" s="94">
        <f t="shared" ref="AD7487" si="5275">AC7487*Z7487</f>
        <v>36748.099999999795</v>
      </c>
      <c r="AE7487" s="190"/>
      <c r="AF7487" s="191"/>
      <c r="AG7487" s="191"/>
      <c r="AH7487" s="191"/>
      <c r="AI7487" s="186"/>
      <c r="AK7487" s="171"/>
    </row>
    <row r="7488" spans="1:41" s="102" customFormat="1" ht="19.899999999999999" customHeight="1" x14ac:dyDescent="0.25">
      <c r="A7488" s="45"/>
      <c r="B7488" s="59"/>
      <c r="C7488" s="137"/>
      <c r="D7488" s="59"/>
      <c r="E7488" s="116"/>
      <c r="F7488" s="120"/>
      <c r="G7488" s="120"/>
      <c r="H7488" s="120"/>
      <c r="I7488" s="60"/>
      <c r="J7488" s="116"/>
      <c r="K7488" s="213"/>
      <c r="L7488" s="120"/>
      <c r="M7488" s="120"/>
      <c r="N7488" s="167"/>
      <c r="O7488" s="120"/>
      <c r="P7488" s="120"/>
      <c r="Q7488" s="120"/>
      <c r="R7488" s="120"/>
      <c r="S7488" s="120"/>
      <c r="T7488" s="221"/>
      <c r="U7488" s="89"/>
      <c r="V7488" s="61"/>
      <c r="W7488" s="92" t="s">
        <v>1064</v>
      </c>
      <c r="X7488" s="93" t="s">
        <v>30</v>
      </c>
      <c r="Y7488" s="93" t="s">
        <v>68</v>
      </c>
      <c r="Z7488" s="134">
        <f>VLOOKUP(W7488,Sheet2!$B:$D,3,FALSE)</f>
        <v>25</v>
      </c>
      <c r="AA7488" s="93">
        <v>1</v>
      </c>
      <c r="AB7488" s="93">
        <f>AD7488/AC7486</f>
        <v>25</v>
      </c>
      <c r="AC7488" s="93">
        <f>AC7486/AA7488</f>
        <v>146.99239999999918</v>
      </c>
      <c r="AD7488" s="94">
        <f>AC7488*Z7488</f>
        <v>3674.8099999999795</v>
      </c>
      <c r="AE7488" s="190"/>
      <c r="AF7488" s="191"/>
      <c r="AG7488" s="191"/>
      <c r="AH7488" s="191"/>
      <c r="AI7488" s="186"/>
      <c r="AK7488" s="171"/>
    </row>
    <row r="7489" spans="1:41" s="102" customFormat="1" ht="19.899999999999999" customHeight="1" x14ac:dyDescent="0.25">
      <c r="A7489" s="45"/>
      <c r="B7489" s="59"/>
      <c r="C7489" s="137"/>
      <c r="D7489" s="59"/>
      <c r="E7489" s="116"/>
      <c r="F7489" s="120"/>
      <c r="G7489" s="120"/>
      <c r="H7489" s="120"/>
      <c r="I7489" s="60"/>
      <c r="J7489" s="116"/>
      <c r="K7489" s="213"/>
      <c r="L7489" s="120"/>
      <c r="M7489" s="120"/>
      <c r="N7489" s="167"/>
      <c r="O7489" s="120"/>
      <c r="P7489" s="120"/>
      <c r="Q7489" s="120"/>
      <c r="R7489" s="120"/>
      <c r="S7489" s="120"/>
      <c r="T7489" s="221"/>
      <c r="U7489" s="89"/>
      <c r="V7489" s="61"/>
      <c r="W7489" s="92" t="s">
        <v>1072</v>
      </c>
      <c r="X7489" s="93" t="s">
        <v>32</v>
      </c>
      <c r="Y7489" s="93" t="s">
        <v>68</v>
      </c>
      <c r="Z7489" s="134">
        <f>VLOOKUP(W7489,Sheet2!$B:$D,3,FALSE)</f>
        <v>55</v>
      </c>
      <c r="AA7489" s="93">
        <v>1</v>
      </c>
      <c r="AB7489" s="93">
        <f>AD7489/AC7486</f>
        <v>55</v>
      </c>
      <c r="AC7489" s="93">
        <f>AC7486/AA7489</f>
        <v>146.99239999999918</v>
      </c>
      <c r="AD7489" s="94">
        <f>AC7489*Z7489</f>
        <v>8084.5819999999549</v>
      </c>
      <c r="AE7489" s="190"/>
      <c r="AF7489" s="191"/>
      <c r="AG7489" s="191"/>
      <c r="AH7489" s="191"/>
      <c r="AI7489" s="186"/>
      <c r="AK7489" s="171"/>
    </row>
    <row r="7490" spans="1:41" s="102" customFormat="1" ht="19.899999999999999" customHeight="1" x14ac:dyDescent="0.25">
      <c r="A7490" s="45"/>
      <c r="B7490" s="59"/>
      <c r="C7490" s="137"/>
      <c r="D7490" s="59"/>
      <c r="E7490" s="116"/>
      <c r="F7490" s="120"/>
      <c r="G7490" s="120"/>
      <c r="H7490" s="120"/>
      <c r="I7490" s="60"/>
      <c r="J7490" s="116"/>
      <c r="K7490" s="213"/>
      <c r="L7490" s="120"/>
      <c r="M7490" s="120"/>
      <c r="N7490" s="167"/>
      <c r="O7490" s="120"/>
      <c r="P7490" s="120"/>
      <c r="Q7490" s="120"/>
      <c r="R7490" s="120"/>
      <c r="S7490" s="120"/>
      <c r="T7490" s="221"/>
      <c r="U7490" s="89"/>
      <c r="V7490" s="61"/>
      <c r="W7490" s="92" t="s">
        <v>1032</v>
      </c>
      <c r="X7490" s="93" t="s">
        <v>30</v>
      </c>
      <c r="Y7490" s="93" t="s">
        <v>66</v>
      </c>
      <c r="Z7490" s="134">
        <f>VLOOKUP(W7490,Sheet2!$B:$D,3,FALSE)</f>
        <v>250</v>
      </c>
      <c r="AA7490" s="93">
        <f>1/(1.5*0.1)</f>
        <v>6.6666666666666661</v>
      </c>
      <c r="AB7490" s="93">
        <f>AD7490/AC7486</f>
        <v>37.500000000000007</v>
      </c>
      <c r="AC7490" s="93">
        <f>AC7486/AA7490</f>
        <v>22.04885999999988</v>
      </c>
      <c r="AD7490" s="94">
        <f>AC7490*Z7490</f>
        <v>5512.2149999999701</v>
      </c>
      <c r="AE7490" s="190"/>
      <c r="AF7490" s="191"/>
      <c r="AG7490" s="191"/>
      <c r="AH7490" s="191"/>
      <c r="AI7490" s="186"/>
      <c r="AK7490" s="171"/>
    </row>
    <row r="7491" spans="1:41" s="102" customFormat="1" ht="19.899999999999999" customHeight="1" x14ac:dyDescent="0.25">
      <c r="A7491" s="45"/>
      <c r="B7491" s="59"/>
      <c r="C7491" s="137"/>
      <c r="D7491" s="59"/>
      <c r="E7491" s="116"/>
      <c r="F7491" s="120"/>
      <c r="G7491" s="120"/>
      <c r="H7491" s="120"/>
      <c r="I7491" s="60"/>
      <c r="J7491" s="116"/>
      <c r="K7491" s="213"/>
      <c r="L7491" s="120"/>
      <c r="M7491" s="120"/>
      <c r="N7491" s="167"/>
      <c r="O7491" s="120"/>
      <c r="P7491" s="120"/>
      <c r="Q7491" s="120"/>
      <c r="R7491" s="120"/>
      <c r="S7491" s="120"/>
      <c r="T7491" s="221"/>
      <c r="U7491" s="89"/>
      <c r="V7491" s="61"/>
      <c r="W7491" s="92" t="s">
        <v>1035</v>
      </c>
      <c r="X7491" s="93" t="s">
        <v>32</v>
      </c>
      <c r="Y7491" s="93" t="s">
        <v>66</v>
      </c>
      <c r="Z7491" s="134">
        <f>VLOOKUP(W7491,Sheet2!$B:$D,3,FALSE)</f>
        <v>150</v>
      </c>
      <c r="AA7491" s="93">
        <f>AA7490</f>
        <v>6.6666666666666661</v>
      </c>
      <c r="AB7491" s="93">
        <f>AD7491/AC7486</f>
        <v>22.500000000000004</v>
      </c>
      <c r="AC7491" s="93">
        <f>AC7486/AA7491</f>
        <v>22.04885999999988</v>
      </c>
      <c r="AD7491" s="94">
        <f t="shared" ref="AD7491:AD7492" si="5276">AC7491*Z7491</f>
        <v>3307.328999999982</v>
      </c>
      <c r="AE7491" s="190"/>
      <c r="AF7491" s="191"/>
      <c r="AG7491" s="191"/>
      <c r="AH7491" s="191"/>
      <c r="AI7491" s="186"/>
      <c r="AK7491" s="171"/>
    </row>
    <row r="7492" spans="1:41" s="102" customFormat="1" ht="19.899999999999999" customHeight="1" x14ac:dyDescent="0.25">
      <c r="A7492" s="45"/>
      <c r="B7492" s="59"/>
      <c r="C7492" s="137"/>
      <c r="D7492" s="59"/>
      <c r="E7492" s="116"/>
      <c r="F7492" s="120"/>
      <c r="G7492" s="120"/>
      <c r="H7492" s="120"/>
      <c r="I7492" s="60"/>
      <c r="J7492" s="116"/>
      <c r="K7492" s="213"/>
      <c r="L7492" s="120"/>
      <c r="M7492" s="120"/>
      <c r="N7492" s="167"/>
      <c r="O7492" s="120"/>
      <c r="P7492" s="120"/>
      <c r="Q7492" s="120"/>
      <c r="R7492" s="120"/>
      <c r="S7492" s="120"/>
      <c r="T7492" s="221"/>
      <c r="U7492" s="89"/>
      <c r="V7492" s="61"/>
      <c r="W7492" s="92" t="s">
        <v>1037</v>
      </c>
      <c r="X7492" s="93" t="s">
        <v>30</v>
      </c>
      <c r="Y7492" s="93" t="s">
        <v>1038</v>
      </c>
      <c r="Z7492" s="134">
        <f>VLOOKUP(W7492,Sheet2!$B:$D,3,FALSE)</f>
        <v>175</v>
      </c>
      <c r="AA7492" s="93">
        <v>300</v>
      </c>
      <c r="AB7492" s="93">
        <f>AD7492/AC7486</f>
        <v>0.58333333333333337</v>
      </c>
      <c r="AC7492" s="93">
        <f>AC7486/AA7492</f>
        <v>0.48997466666666395</v>
      </c>
      <c r="AD7492" s="94">
        <f t="shared" si="5276"/>
        <v>85.745566666666193</v>
      </c>
      <c r="AE7492" s="190"/>
      <c r="AF7492" s="191"/>
      <c r="AG7492" s="191"/>
      <c r="AH7492" s="191"/>
      <c r="AI7492" s="186"/>
      <c r="AK7492" s="171"/>
    </row>
    <row r="7493" spans="1:41" s="103" customFormat="1" ht="19.899999999999999" customHeight="1" x14ac:dyDescent="0.25">
      <c r="A7493" s="51"/>
      <c r="B7493" s="52"/>
      <c r="C7493" s="165"/>
      <c r="D7493" s="52"/>
      <c r="E7493" s="115"/>
      <c r="F7493" s="58"/>
      <c r="G7493" s="58"/>
      <c r="H7493" s="58"/>
      <c r="I7493" s="55"/>
      <c r="J7493" s="113">
        <f>J7475</f>
        <v>146.99239999999918</v>
      </c>
      <c r="K7493" s="212">
        <f>K7475</f>
        <v>146.99239999999918</v>
      </c>
      <c r="L7493" s="58"/>
      <c r="M7493" s="58">
        <f>K7493-L7493</f>
        <v>146.99239999999918</v>
      </c>
      <c r="N7493" s="166"/>
      <c r="O7493" s="58"/>
      <c r="P7493" s="58"/>
      <c r="Q7493" s="58"/>
      <c r="R7493" s="58"/>
      <c r="S7493" s="58"/>
      <c r="T7493" s="220"/>
      <c r="U7493" s="88"/>
      <c r="V7493" s="56"/>
      <c r="W7493" s="57" t="s">
        <v>1040</v>
      </c>
      <c r="X7493" s="53"/>
      <c r="Y7493" s="91" t="s">
        <v>68</v>
      </c>
      <c r="Z7493" s="136">
        <f>AD7493/AC7493</f>
        <v>5</v>
      </c>
      <c r="AA7493" s="58"/>
      <c r="AB7493" s="53">
        <f>AD7493/AC7493</f>
        <v>5</v>
      </c>
      <c r="AC7493" s="53">
        <f>M7493+$AE$10</f>
        <v>146.99239999999918</v>
      </c>
      <c r="AD7493" s="54">
        <f>SUM(AD7494)</f>
        <v>734.9619999999959</v>
      </c>
      <c r="AE7493" s="184">
        <f>SUMIFS($AD$37:$AD$12971,$V$37:$V$12971,$V7493,$X$37:$X$12971,AE$13)</f>
        <v>0</v>
      </c>
      <c r="AF7493" s="185">
        <f>SUMIFS($AD$37:$AD$12971,$V$37:$V$12971,$V7493,$X$37:$X$12971,AF$13)</f>
        <v>0</v>
      </c>
      <c r="AG7493" s="185">
        <f>SUMIFS($AD$37:$AD$12971,$V$37:$V$12971,$V7493,$X$37:$X$12971,AG$13)</f>
        <v>0</v>
      </c>
      <c r="AH7493" s="187">
        <f>SUMIFS($AD$37:$AD$12971,$V$37:$V$12971,$V7493,$X$37:$X$12971,AH$13)</f>
        <v>0</v>
      </c>
      <c r="AI7493" s="161">
        <f t="shared" ref="AI7493" si="5277">SUM(AE7493:AH7493)</f>
        <v>0</v>
      </c>
      <c r="AK7493" s="172"/>
    </row>
    <row r="7494" spans="1:41" s="102" customFormat="1" ht="19.899999999999999" customHeight="1" x14ac:dyDescent="0.25">
      <c r="A7494" s="45"/>
      <c r="B7494" s="59"/>
      <c r="C7494" s="137"/>
      <c r="D7494" s="59"/>
      <c r="E7494" s="116"/>
      <c r="F7494" s="120"/>
      <c r="G7494" s="120"/>
      <c r="H7494" s="120"/>
      <c r="I7494" s="60"/>
      <c r="J7494" s="116"/>
      <c r="K7494" s="213"/>
      <c r="L7494" s="120"/>
      <c r="M7494" s="120"/>
      <c r="N7494" s="167"/>
      <c r="O7494" s="120"/>
      <c r="P7494" s="120"/>
      <c r="Q7494" s="120"/>
      <c r="R7494" s="120"/>
      <c r="S7494" s="120"/>
      <c r="T7494" s="221"/>
      <c r="U7494" s="89"/>
      <c r="V7494" s="61"/>
      <c r="W7494" s="92" t="s">
        <v>1039</v>
      </c>
      <c r="X7494" s="93" t="s">
        <v>32</v>
      </c>
      <c r="Y7494" s="93" t="s">
        <v>68</v>
      </c>
      <c r="Z7494" s="134">
        <f>VLOOKUP(W7494,Sheet2!$B:$D,3,FALSE)</f>
        <v>5</v>
      </c>
      <c r="AA7494" s="93">
        <v>1</v>
      </c>
      <c r="AB7494" s="93">
        <f>AD7494/AC7493</f>
        <v>5</v>
      </c>
      <c r="AC7494" s="93">
        <f>AC7493/AA7494</f>
        <v>146.99239999999918</v>
      </c>
      <c r="AD7494" s="94">
        <f t="shared" ref="AD7494" si="5278">AC7494*Z7494</f>
        <v>734.9619999999959</v>
      </c>
      <c r="AE7494" s="190"/>
      <c r="AF7494" s="191"/>
      <c r="AG7494" s="191"/>
      <c r="AH7494" s="191"/>
      <c r="AI7494" s="186"/>
      <c r="AK7494" s="171"/>
    </row>
    <row r="7495" spans="1:41" ht="20.100000000000001" customHeight="1" x14ac:dyDescent="0.25">
      <c r="A7495" s="277" t="s">
        <v>703</v>
      </c>
      <c r="B7495" s="278"/>
      <c r="C7495" s="64" t="s">
        <v>740</v>
      </c>
      <c r="D7495" s="46" t="s">
        <v>97</v>
      </c>
      <c r="E7495" s="114">
        <v>28.851699999999937</v>
      </c>
      <c r="F7495" s="44">
        <v>805</v>
      </c>
      <c r="G7495" s="44">
        <f t="shared" si="4575"/>
        <v>23225.61849999995</v>
      </c>
      <c r="H7495" s="44">
        <f t="shared" si="4576"/>
        <v>480.70888627450984</v>
      </c>
      <c r="I7495" s="43">
        <f t="shared" si="4577"/>
        <v>13869.268574126245</v>
      </c>
      <c r="J7495" s="112">
        <f t="shared" si="4578"/>
        <v>28.851699999999937</v>
      </c>
      <c r="K7495" s="211">
        <f t="shared" si="4579"/>
        <v>28.851699999999937</v>
      </c>
      <c r="L7495" s="44"/>
      <c r="M7495" s="44">
        <f t="shared" si="4580"/>
        <v>28.851699999999937</v>
      </c>
      <c r="N7495" s="173">
        <f t="shared" si="4581"/>
        <v>1</v>
      </c>
      <c r="O7495" s="44">
        <f t="shared" si="4582"/>
        <v>805</v>
      </c>
      <c r="P7495" s="44">
        <f t="shared" si="4583"/>
        <v>23225.61849999995</v>
      </c>
      <c r="Q7495" s="44">
        <f t="shared" si="4584"/>
        <v>480.70888627450984</v>
      </c>
      <c r="R7495" s="44">
        <f t="shared" si="4585"/>
        <v>13869.268574126245</v>
      </c>
      <c r="S7495" s="123"/>
      <c r="T7495" s="219">
        <f t="shared" si="4586"/>
        <v>13869.268574126245</v>
      </c>
      <c r="U7495" s="87"/>
      <c r="V7495" s="47"/>
      <c r="W7495" s="48"/>
      <c r="X7495" s="48"/>
      <c r="Y7495" s="48"/>
      <c r="Z7495" s="135"/>
      <c r="AA7495" s="49"/>
      <c r="AB7495" s="50">
        <f t="shared" si="4587"/>
        <v>480.70888627450984</v>
      </c>
      <c r="AC7495" s="42">
        <f t="shared" si="4588"/>
        <v>28.851699999999937</v>
      </c>
      <c r="AD7495" s="90">
        <f>AD7496+AD7506+AD7513</f>
        <v>13869.268574126245</v>
      </c>
      <c r="AE7495" s="188">
        <f t="shared" ref="AE7495:AH7495" si="5279">AE7496+AE7506+AE7513</f>
        <v>0</v>
      </c>
      <c r="AF7495" s="189">
        <f t="shared" si="5279"/>
        <v>0</v>
      </c>
      <c r="AG7495" s="189">
        <f t="shared" si="5279"/>
        <v>0</v>
      </c>
      <c r="AH7495" s="189">
        <f t="shared" si="5279"/>
        <v>0</v>
      </c>
      <c r="AI7495" s="161">
        <f t="shared" ref="AI7495" si="5280">SUM(AE7495:AH7495)</f>
        <v>0</v>
      </c>
      <c r="AK7495" s="169">
        <v>5</v>
      </c>
      <c r="AO7495" s="19" t="s">
        <v>63</v>
      </c>
    </row>
    <row r="7496" spans="1:41" s="103" customFormat="1" ht="19.899999999999999" customHeight="1" x14ac:dyDescent="0.25">
      <c r="A7496" s="51"/>
      <c r="B7496" s="52"/>
      <c r="C7496" s="165"/>
      <c r="D7496" s="52"/>
      <c r="E7496" s="115"/>
      <c r="F7496" s="58"/>
      <c r="G7496" s="58"/>
      <c r="H7496" s="58"/>
      <c r="I7496" s="55"/>
      <c r="J7496" s="113">
        <f>J7495</f>
        <v>28.851699999999937</v>
      </c>
      <c r="K7496" s="212">
        <f>K7495</f>
        <v>28.851699999999937</v>
      </c>
      <c r="L7496" s="58"/>
      <c r="M7496" s="58">
        <f>K7496-L7496</f>
        <v>28.851699999999937</v>
      </c>
      <c r="N7496" s="166"/>
      <c r="O7496" s="58"/>
      <c r="P7496" s="58"/>
      <c r="Q7496" s="58"/>
      <c r="R7496" s="58"/>
      <c r="S7496" s="58"/>
      <c r="T7496" s="220"/>
      <c r="U7496" s="88"/>
      <c r="V7496" s="56"/>
      <c r="W7496" s="57" t="s">
        <v>1088</v>
      </c>
      <c r="X7496" s="53"/>
      <c r="Y7496" s="91" t="s">
        <v>68</v>
      </c>
      <c r="Z7496" s="136">
        <f>AD7496/AC7496</f>
        <v>85.125552941176466</v>
      </c>
      <c r="AA7496" s="58"/>
      <c r="AB7496" s="53">
        <f>AD7496/AC7496</f>
        <v>85.125552941176466</v>
      </c>
      <c r="AC7496" s="53">
        <f>M7496+$AE$10</f>
        <v>28.851699999999937</v>
      </c>
      <c r="AD7496" s="54">
        <f>SUM(AD7497:AD7505)</f>
        <v>2456.0169157929358</v>
      </c>
      <c r="AE7496" s="184">
        <f>SUMIFS($AD$37:$AD$12971,$V$37:$V$12971,$V7496,$X$37:$X$12971,AE$13)</f>
        <v>0</v>
      </c>
      <c r="AF7496" s="185">
        <f>SUMIFS($AD$37:$AD$12971,$V$37:$V$12971,$V7496,$X$37:$X$12971,AF$13)</f>
        <v>0</v>
      </c>
      <c r="AG7496" s="185">
        <f>SUMIFS($AD$37:$AD$12971,$V$37:$V$12971,$V7496,$X$37:$X$12971,AG$13)</f>
        <v>0</v>
      </c>
      <c r="AH7496" s="187">
        <f>SUMIFS($AD$37:$AD$12971,$V$37:$V$12971,$V7496,$X$37:$X$12971,AH$13)</f>
        <v>0</v>
      </c>
      <c r="AI7496" s="161">
        <f t="shared" ref="AI7496" si="5281">SUM(AE7496:AH7496)</f>
        <v>0</v>
      </c>
      <c r="AK7496" s="172"/>
    </row>
    <row r="7497" spans="1:41" s="102" customFormat="1" ht="19.899999999999999" customHeight="1" x14ac:dyDescent="0.25">
      <c r="A7497" s="45"/>
      <c r="B7497" s="59"/>
      <c r="C7497" s="137"/>
      <c r="D7497" s="59"/>
      <c r="E7497" s="116"/>
      <c r="F7497" s="120"/>
      <c r="G7497" s="120"/>
      <c r="H7497" s="120"/>
      <c r="I7497" s="60"/>
      <c r="J7497" s="116"/>
      <c r="K7497" s="213"/>
      <c r="L7497" s="120"/>
      <c r="M7497" s="120"/>
      <c r="N7497" s="167"/>
      <c r="O7497" s="120"/>
      <c r="P7497" s="120"/>
      <c r="Q7497" s="120"/>
      <c r="R7497" s="120"/>
      <c r="S7497" s="120"/>
      <c r="T7497" s="221"/>
      <c r="U7497" s="89"/>
      <c r="V7497" s="61"/>
      <c r="W7497" s="92" t="s">
        <v>129</v>
      </c>
      <c r="X7497" s="93" t="s">
        <v>29</v>
      </c>
      <c r="Y7497" s="93" t="s">
        <v>93</v>
      </c>
      <c r="Z7497" s="134">
        <f>VLOOKUP(W7497,Sheet2!$B:$D,3,FALSE)</f>
        <v>56</v>
      </c>
      <c r="AA7497" s="93">
        <f>100/(1.5*3.5)</f>
        <v>19.047619047619047</v>
      </c>
      <c r="AB7497" s="93">
        <f t="shared" ref="AB7497" si="5282">AD7497/AC7496</f>
        <v>2.94</v>
      </c>
      <c r="AC7497" s="93">
        <f>AC7496/AA7497</f>
        <v>1.5147142499999968</v>
      </c>
      <c r="AD7497" s="94">
        <f t="shared" ref="AD7497:AD7498" si="5283">AC7497*Z7497</f>
        <v>84.823997999999818</v>
      </c>
      <c r="AE7497" s="190"/>
      <c r="AF7497" s="191"/>
      <c r="AG7497" s="191"/>
      <c r="AH7497" s="191"/>
      <c r="AI7497" s="186"/>
      <c r="AK7497" s="171"/>
    </row>
    <row r="7498" spans="1:41" s="102" customFormat="1" ht="19.899999999999999" customHeight="1" x14ac:dyDescent="0.25">
      <c r="A7498" s="45"/>
      <c r="B7498" s="59"/>
      <c r="C7498" s="137"/>
      <c r="D7498" s="59"/>
      <c r="E7498" s="116"/>
      <c r="F7498" s="120"/>
      <c r="G7498" s="120"/>
      <c r="H7498" s="120"/>
      <c r="I7498" s="60"/>
      <c r="J7498" s="116"/>
      <c r="K7498" s="213"/>
      <c r="L7498" s="120"/>
      <c r="M7498" s="120"/>
      <c r="N7498" s="167"/>
      <c r="O7498" s="120"/>
      <c r="P7498" s="120"/>
      <c r="Q7498" s="120"/>
      <c r="R7498" s="120"/>
      <c r="S7498" s="120"/>
      <c r="T7498" s="221"/>
      <c r="U7498" s="89"/>
      <c r="V7498" s="61"/>
      <c r="W7498" s="92" t="s">
        <v>65</v>
      </c>
      <c r="X7498" s="93" t="s">
        <v>30</v>
      </c>
      <c r="Y7498" s="93" t="s">
        <v>1011</v>
      </c>
      <c r="Z7498" s="134">
        <f>VLOOKUP(W7498,Sheet2!$B:$D,3,FALSE)</f>
        <v>1.76</v>
      </c>
      <c r="AA7498" s="93">
        <f>AA7497/14</f>
        <v>1.3605442176870748</v>
      </c>
      <c r="AB7498" s="93">
        <f>AD7498/AC7496</f>
        <v>1.2936000000000001</v>
      </c>
      <c r="AC7498" s="93">
        <f>AC7496/AA7498</f>
        <v>21.205999499999955</v>
      </c>
      <c r="AD7498" s="94">
        <f t="shared" si="5283"/>
        <v>37.322559119999923</v>
      </c>
      <c r="AE7498" s="190"/>
      <c r="AF7498" s="191"/>
      <c r="AG7498" s="191"/>
      <c r="AH7498" s="191"/>
      <c r="AI7498" s="186"/>
      <c r="AK7498" s="171"/>
    </row>
    <row r="7499" spans="1:41" s="102" customFormat="1" ht="19.899999999999999" customHeight="1" x14ac:dyDescent="0.25">
      <c r="A7499" s="45"/>
      <c r="B7499" s="59"/>
      <c r="C7499" s="137"/>
      <c r="D7499" s="59"/>
      <c r="E7499" s="116"/>
      <c r="F7499" s="120"/>
      <c r="G7499" s="120"/>
      <c r="H7499" s="120"/>
      <c r="I7499" s="60"/>
      <c r="J7499" s="116"/>
      <c r="K7499" s="213"/>
      <c r="L7499" s="120"/>
      <c r="M7499" s="120"/>
      <c r="N7499" s="167"/>
      <c r="O7499" s="120"/>
      <c r="P7499" s="120"/>
      <c r="Q7499" s="120"/>
      <c r="R7499" s="120"/>
      <c r="S7499" s="120"/>
      <c r="T7499" s="221"/>
      <c r="U7499" s="89"/>
      <c r="V7499" s="61"/>
      <c r="W7499" s="92" t="s">
        <v>161</v>
      </c>
      <c r="X7499" s="93" t="s">
        <v>29</v>
      </c>
      <c r="Y7499" s="93" t="s">
        <v>93</v>
      </c>
      <c r="Z7499" s="134">
        <f>VLOOKUP(W7499,Sheet2!$B:$D,3,FALSE)</f>
        <v>48</v>
      </c>
      <c r="AA7499" s="93">
        <f>(16*0.85*1.5)/(1.5*3.5)</f>
        <v>3.8857142857142852</v>
      </c>
      <c r="AB7499" s="93">
        <f>AD7499/AC7496</f>
        <v>12.352941176470591</v>
      </c>
      <c r="AC7499" s="93">
        <f>AC7496/AA7499</f>
        <v>7.425069852941161</v>
      </c>
      <c r="AD7499" s="94">
        <f>AC7499*Z7499</f>
        <v>356.40335294117574</v>
      </c>
      <c r="AE7499" s="190"/>
      <c r="AF7499" s="191"/>
      <c r="AG7499" s="191"/>
      <c r="AH7499" s="191"/>
      <c r="AI7499" s="186"/>
      <c r="AK7499" s="171"/>
    </row>
    <row r="7500" spans="1:41" s="102" customFormat="1" ht="19.899999999999999" customHeight="1" x14ac:dyDescent="0.25">
      <c r="A7500" s="45"/>
      <c r="B7500" s="59"/>
      <c r="C7500" s="137"/>
      <c r="D7500" s="59"/>
      <c r="E7500" s="116"/>
      <c r="F7500" s="120"/>
      <c r="G7500" s="120"/>
      <c r="H7500" s="120"/>
      <c r="I7500" s="60"/>
      <c r="J7500" s="116"/>
      <c r="K7500" s="213"/>
      <c r="L7500" s="120"/>
      <c r="M7500" s="120"/>
      <c r="N7500" s="167"/>
      <c r="O7500" s="120"/>
      <c r="P7500" s="120"/>
      <c r="Q7500" s="120"/>
      <c r="R7500" s="120"/>
      <c r="S7500" s="120"/>
      <c r="T7500" s="221"/>
      <c r="U7500" s="89"/>
      <c r="V7500" s="61"/>
      <c r="W7500" s="92" t="s">
        <v>65</v>
      </c>
      <c r="X7500" s="93" t="s">
        <v>30</v>
      </c>
      <c r="Y7500" s="93" t="s">
        <v>1011</v>
      </c>
      <c r="Z7500" s="134">
        <f>VLOOKUP(W7500,Sheet2!$B:$D,3,FALSE)</f>
        <v>1.76</v>
      </c>
      <c r="AA7500" s="93">
        <f>AA7499/10</f>
        <v>0.38857142857142851</v>
      </c>
      <c r="AB7500" s="93">
        <f>AD7500/AC7496</f>
        <v>4.5294117647058831</v>
      </c>
      <c r="AC7500" s="93">
        <f>AC7496/AA7500</f>
        <v>74.250698529411608</v>
      </c>
      <c r="AD7500" s="94">
        <f>AC7500*Z7500</f>
        <v>130.68122941176443</v>
      </c>
      <c r="AE7500" s="190"/>
      <c r="AF7500" s="191"/>
      <c r="AG7500" s="191"/>
      <c r="AH7500" s="191"/>
      <c r="AI7500" s="186"/>
      <c r="AK7500" s="171"/>
    </row>
    <row r="7501" spans="1:41" s="102" customFormat="1" ht="19.899999999999999" customHeight="1" x14ac:dyDescent="0.25">
      <c r="A7501" s="45"/>
      <c r="B7501" s="59"/>
      <c r="C7501" s="137"/>
      <c r="D7501" s="59"/>
      <c r="E7501" s="116"/>
      <c r="F7501" s="120"/>
      <c r="G7501" s="120"/>
      <c r="H7501" s="120"/>
      <c r="I7501" s="60"/>
      <c r="J7501" s="116"/>
      <c r="K7501" s="213"/>
      <c r="L7501" s="120"/>
      <c r="M7501" s="120"/>
      <c r="N7501" s="167"/>
      <c r="O7501" s="120"/>
      <c r="P7501" s="120"/>
      <c r="Q7501" s="120"/>
      <c r="R7501" s="120"/>
      <c r="S7501" s="120"/>
      <c r="T7501" s="221"/>
      <c r="U7501" s="89"/>
      <c r="V7501" s="61"/>
      <c r="W7501" s="92" t="s">
        <v>1030</v>
      </c>
      <c r="X7501" s="93" t="s">
        <v>29</v>
      </c>
      <c r="Y7501" s="93" t="s">
        <v>93</v>
      </c>
      <c r="Z7501" s="134">
        <f>VLOOKUP(W7501,Sheet2!$B:$D,3,FALSE)</f>
        <v>23</v>
      </c>
      <c r="AA7501" s="93">
        <v>50</v>
      </c>
      <c r="AB7501" s="93">
        <f>AD7501/AC7496</f>
        <v>0.45999999999999996</v>
      </c>
      <c r="AC7501" s="93">
        <f>AC7496/AA7501</f>
        <v>0.57703399999999871</v>
      </c>
      <c r="AD7501" s="94">
        <f t="shared" ref="AD7501:AD7505" si="5284">AC7501*Z7501</f>
        <v>13.27178199999997</v>
      </c>
      <c r="AE7501" s="190"/>
      <c r="AF7501" s="191"/>
      <c r="AG7501" s="191"/>
      <c r="AH7501" s="191"/>
      <c r="AI7501" s="186"/>
      <c r="AK7501" s="171"/>
    </row>
    <row r="7502" spans="1:41" s="102" customFormat="1" ht="19.899999999999999" customHeight="1" x14ac:dyDescent="0.25">
      <c r="A7502" s="45"/>
      <c r="B7502" s="59"/>
      <c r="C7502" s="137"/>
      <c r="D7502" s="59"/>
      <c r="E7502" s="116"/>
      <c r="F7502" s="120"/>
      <c r="G7502" s="120"/>
      <c r="H7502" s="120"/>
      <c r="I7502" s="60"/>
      <c r="J7502" s="116"/>
      <c r="K7502" s="213"/>
      <c r="L7502" s="120"/>
      <c r="M7502" s="120"/>
      <c r="N7502" s="167"/>
      <c r="O7502" s="120"/>
      <c r="P7502" s="120"/>
      <c r="Q7502" s="120"/>
      <c r="R7502" s="120"/>
      <c r="S7502" s="120"/>
      <c r="T7502" s="221"/>
      <c r="U7502" s="89"/>
      <c r="V7502" s="61"/>
      <c r="W7502" s="92" t="s">
        <v>65</v>
      </c>
      <c r="X7502" s="93" t="s">
        <v>30</v>
      </c>
      <c r="Y7502" s="93" t="s">
        <v>1011</v>
      </c>
      <c r="Z7502" s="134">
        <f>VLOOKUP(W7502,Sheet2!$B:$D,3,FALSE)</f>
        <v>1.76</v>
      </c>
      <c r="AA7502" s="93">
        <f>AA7501/3</f>
        <v>16.666666666666668</v>
      </c>
      <c r="AB7502" s="93">
        <f>AD7502/AC7496</f>
        <v>0.1056</v>
      </c>
      <c r="AC7502" s="93">
        <f>AC7496/AA7502</f>
        <v>1.7311019999999961</v>
      </c>
      <c r="AD7502" s="94">
        <f t="shared" si="5284"/>
        <v>3.0467395199999934</v>
      </c>
      <c r="AE7502" s="190"/>
      <c r="AF7502" s="191"/>
      <c r="AG7502" s="191"/>
      <c r="AH7502" s="191"/>
      <c r="AI7502" s="186"/>
      <c r="AK7502" s="171"/>
    </row>
    <row r="7503" spans="1:41" s="102" customFormat="1" ht="19.899999999999999" customHeight="1" x14ac:dyDescent="0.25">
      <c r="A7503" s="45"/>
      <c r="B7503" s="59"/>
      <c r="C7503" s="137"/>
      <c r="D7503" s="59"/>
      <c r="E7503" s="116"/>
      <c r="F7503" s="120"/>
      <c r="G7503" s="120"/>
      <c r="H7503" s="120"/>
      <c r="I7503" s="60"/>
      <c r="J7503" s="116"/>
      <c r="K7503" s="213"/>
      <c r="L7503" s="120"/>
      <c r="M7503" s="120"/>
      <c r="N7503" s="167"/>
      <c r="O7503" s="120"/>
      <c r="P7503" s="120"/>
      <c r="Q7503" s="120"/>
      <c r="R7503" s="120"/>
      <c r="S7503" s="120"/>
      <c r="T7503" s="221"/>
      <c r="U7503" s="89"/>
      <c r="V7503" s="61"/>
      <c r="W7503" s="92" t="s">
        <v>148</v>
      </c>
      <c r="X7503" s="93" t="s">
        <v>29</v>
      </c>
      <c r="Y7503" s="93" t="s">
        <v>93</v>
      </c>
      <c r="Z7503" s="134">
        <f>VLOOKUP(W7503,Sheet2!$B:$D,3,FALSE)</f>
        <v>48</v>
      </c>
      <c r="AA7503" s="93">
        <f>AA7497</f>
        <v>19.047619047619047</v>
      </c>
      <c r="AB7503" s="93">
        <f>AD7503/AC7496</f>
        <v>2.52</v>
      </c>
      <c r="AC7503" s="93">
        <f>AC7496/AA7503</f>
        <v>1.5147142499999968</v>
      </c>
      <c r="AD7503" s="94">
        <f t="shared" si="5284"/>
        <v>72.70628399999984</v>
      </c>
      <c r="AE7503" s="190"/>
      <c r="AF7503" s="191"/>
      <c r="AG7503" s="191"/>
      <c r="AH7503" s="191"/>
      <c r="AI7503" s="186"/>
      <c r="AK7503" s="171"/>
    </row>
    <row r="7504" spans="1:41" s="102" customFormat="1" ht="19.899999999999999" customHeight="1" x14ac:dyDescent="0.25">
      <c r="A7504" s="45"/>
      <c r="B7504" s="59"/>
      <c r="C7504" s="137"/>
      <c r="D7504" s="59"/>
      <c r="E7504" s="116"/>
      <c r="F7504" s="120"/>
      <c r="G7504" s="120"/>
      <c r="H7504" s="120"/>
      <c r="I7504" s="60"/>
      <c r="J7504" s="116"/>
      <c r="K7504" s="213"/>
      <c r="L7504" s="120"/>
      <c r="M7504" s="120"/>
      <c r="N7504" s="167"/>
      <c r="O7504" s="120"/>
      <c r="P7504" s="120"/>
      <c r="Q7504" s="120"/>
      <c r="R7504" s="120"/>
      <c r="S7504" s="120"/>
      <c r="T7504" s="221"/>
      <c r="U7504" s="89"/>
      <c r="V7504" s="61"/>
      <c r="W7504" s="92" t="s">
        <v>65</v>
      </c>
      <c r="X7504" s="93" t="s">
        <v>30</v>
      </c>
      <c r="Y7504" s="93" t="s">
        <v>1011</v>
      </c>
      <c r="Z7504" s="134">
        <f>VLOOKUP(W7504,Sheet2!$B:$D,3,FALSE)</f>
        <v>1.76</v>
      </c>
      <c r="AA7504" s="93">
        <f>AA7503/10</f>
        <v>1.9047619047619047</v>
      </c>
      <c r="AB7504" s="93">
        <f>AD7504/AC7496</f>
        <v>0.92400000000000004</v>
      </c>
      <c r="AC7504" s="93">
        <f>AC7496/AA7504</f>
        <v>15.147142499999967</v>
      </c>
      <c r="AD7504" s="94">
        <f t="shared" si="5284"/>
        <v>26.658970799999942</v>
      </c>
      <c r="AE7504" s="190"/>
      <c r="AF7504" s="191"/>
      <c r="AG7504" s="191"/>
      <c r="AH7504" s="191"/>
      <c r="AI7504" s="186"/>
      <c r="AK7504" s="171"/>
    </row>
    <row r="7505" spans="1:41" s="102" customFormat="1" ht="19.899999999999999" customHeight="1" x14ac:dyDescent="0.25">
      <c r="A7505" s="45"/>
      <c r="B7505" s="59"/>
      <c r="C7505" s="137"/>
      <c r="D7505" s="59"/>
      <c r="E7505" s="116"/>
      <c r="F7505" s="120"/>
      <c r="G7505" s="120"/>
      <c r="H7505" s="120"/>
      <c r="I7505" s="60"/>
      <c r="J7505" s="116"/>
      <c r="K7505" s="213"/>
      <c r="L7505" s="120"/>
      <c r="M7505" s="120"/>
      <c r="N7505" s="167"/>
      <c r="O7505" s="120"/>
      <c r="P7505" s="120"/>
      <c r="Q7505" s="120"/>
      <c r="R7505" s="120"/>
      <c r="S7505" s="120"/>
      <c r="T7505" s="221"/>
      <c r="U7505" s="89"/>
      <c r="V7505" s="61"/>
      <c r="W7505" s="92" t="s">
        <v>1049</v>
      </c>
      <c r="X7505" s="93" t="s">
        <v>30</v>
      </c>
      <c r="Y7505" s="93" t="s">
        <v>68</v>
      </c>
      <c r="Z7505" s="134">
        <f>VLOOKUP(W7505,Sheet2!$B:$D,3,FALSE)</f>
        <v>60</v>
      </c>
      <c r="AA7505" s="93">
        <v>1</v>
      </c>
      <c r="AB7505" s="93">
        <f>AD7505/AC7496</f>
        <v>60</v>
      </c>
      <c r="AC7505" s="93">
        <f>AC7496/AA7505</f>
        <v>28.851699999999937</v>
      </c>
      <c r="AD7505" s="94">
        <f t="shared" si="5284"/>
        <v>1731.1019999999962</v>
      </c>
      <c r="AE7505" s="190"/>
      <c r="AF7505" s="191"/>
      <c r="AG7505" s="191"/>
      <c r="AH7505" s="191"/>
      <c r="AI7505" s="186"/>
      <c r="AK7505" s="171"/>
    </row>
    <row r="7506" spans="1:41" s="103" customFormat="1" ht="19.899999999999999" customHeight="1" x14ac:dyDescent="0.25">
      <c r="A7506" s="51"/>
      <c r="B7506" s="52"/>
      <c r="C7506" s="165"/>
      <c r="D7506" s="52"/>
      <c r="E7506" s="115"/>
      <c r="F7506" s="58"/>
      <c r="G7506" s="58"/>
      <c r="H7506" s="58"/>
      <c r="I7506" s="55"/>
      <c r="J7506" s="113">
        <f>J7495</f>
        <v>28.851699999999937</v>
      </c>
      <c r="K7506" s="212">
        <f>K7495</f>
        <v>28.851699999999937</v>
      </c>
      <c r="L7506" s="58"/>
      <c r="M7506" s="58">
        <f>K7506-L7506</f>
        <v>28.851699999999937</v>
      </c>
      <c r="N7506" s="166"/>
      <c r="O7506" s="58"/>
      <c r="P7506" s="58"/>
      <c r="Q7506" s="58"/>
      <c r="R7506" s="58"/>
      <c r="S7506" s="58"/>
      <c r="T7506" s="220"/>
      <c r="U7506" s="88"/>
      <c r="V7506" s="56"/>
      <c r="W7506" s="57" t="s">
        <v>1036</v>
      </c>
      <c r="X7506" s="53"/>
      <c r="Y7506" s="91" t="s">
        <v>68</v>
      </c>
      <c r="Z7506" s="136">
        <f>AD7506/AC7506</f>
        <v>390.58333333333337</v>
      </c>
      <c r="AA7506" s="58"/>
      <c r="AB7506" s="53">
        <f>AD7506/AC7506</f>
        <v>390.58333333333337</v>
      </c>
      <c r="AC7506" s="53">
        <f>M7506+$AE$10</f>
        <v>28.851699999999937</v>
      </c>
      <c r="AD7506" s="54">
        <f>SUM(AD7507:AD7512)</f>
        <v>11268.993158333309</v>
      </c>
      <c r="AE7506" s="184">
        <f>SUMIFS($AD$37:$AD$12971,$V$37:$V$12971,$V7506,$X$37:$X$12971,AE$13)</f>
        <v>0</v>
      </c>
      <c r="AF7506" s="185">
        <f>SUMIFS($AD$37:$AD$12971,$V$37:$V$12971,$V7506,$X$37:$X$12971,AF$13)</f>
        <v>0</v>
      </c>
      <c r="AG7506" s="185">
        <f>SUMIFS($AD$37:$AD$12971,$V$37:$V$12971,$V7506,$X$37:$X$12971,AG$13)</f>
        <v>0</v>
      </c>
      <c r="AH7506" s="187">
        <f>SUMIFS($AD$37:$AD$12971,$V$37:$V$12971,$V7506,$X$37:$X$12971,AH$13)</f>
        <v>0</v>
      </c>
      <c r="AI7506" s="161">
        <f t="shared" ref="AI7506" si="5285">SUM(AE7506:AH7506)</f>
        <v>0</v>
      </c>
      <c r="AK7506" s="172"/>
    </row>
    <row r="7507" spans="1:41" s="102" customFormat="1" ht="19.899999999999999" customHeight="1" x14ac:dyDescent="0.25">
      <c r="A7507" s="45"/>
      <c r="B7507" s="59"/>
      <c r="C7507" s="137"/>
      <c r="D7507" s="59"/>
      <c r="E7507" s="116"/>
      <c r="F7507" s="120"/>
      <c r="G7507" s="120"/>
      <c r="H7507" s="120"/>
      <c r="I7507" s="60"/>
      <c r="J7507" s="116"/>
      <c r="K7507" s="213"/>
      <c r="L7507" s="120"/>
      <c r="M7507" s="120"/>
      <c r="N7507" s="167"/>
      <c r="O7507" s="120"/>
      <c r="P7507" s="120"/>
      <c r="Q7507" s="120"/>
      <c r="R7507" s="120"/>
      <c r="S7507" s="120"/>
      <c r="T7507" s="221"/>
      <c r="U7507" s="89"/>
      <c r="V7507" s="61"/>
      <c r="W7507" s="92" t="s">
        <v>1057</v>
      </c>
      <c r="X7507" s="93" t="s">
        <v>30</v>
      </c>
      <c r="Y7507" s="93" t="s">
        <v>68</v>
      </c>
      <c r="Z7507" s="134">
        <f>VLOOKUP(W7507,Sheet2!$B:$D,3,FALSE)</f>
        <v>250</v>
      </c>
      <c r="AA7507" s="93">
        <v>1</v>
      </c>
      <c r="AB7507" s="93">
        <f>AD7507/AC7506</f>
        <v>250.00000000000003</v>
      </c>
      <c r="AC7507" s="93">
        <f>AC7506/AA7507</f>
        <v>28.851699999999937</v>
      </c>
      <c r="AD7507" s="94">
        <f t="shared" ref="AD7507" si="5286">AC7507*Z7507</f>
        <v>7212.9249999999847</v>
      </c>
      <c r="AE7507" s="190"/>
      <c r="AF7507" s="191"/>
      <c r="AG7507" s="191"/>
      <c r="AH7507" s="191"/>
      <c r="AI7507" s="186"/>
      <c r="AK7507" s="171"/>
    </row>
    <row r="7508" spans="1:41" s="102" customFormat="1" ht="19.899999999999999" customHeight="1" x14ac:dyDescent="0.25">
      <c r="A7508" s="45"/>
      <c r="B7508" s="59"/>
      <c r="C7508" s="137"/>
      <c r="D7508" s="59"/>
      <c r="E7508" s="116"/>
      <c r="F7508" s="120"/>
      <c r="G7508" s="120"/>
      <c r="H7508" s="120"/>
      <c r="I7508" s="60"/>
      <c r="J7508" s="116"/>
      <c r="K7508" s="213"/>
      <c r="L7508" s="120"/>
      <c r="M7508" s="120"/>
      <c r="N7508" s="167"/>
      <c r="O7508" s="120"/>
      <c r="P7508" s="120"/>
      <c r="Q7508" s="120"/>
      <c r="R7508" s="120"/>
      <c r="S7508" s="120"/>
      <c r="T7508" s="221"/>
      <c r="U7508" s="89"/>
      <c r="V7508" s="61"/>
      <c r="W7508" s="92" t="s">
        <v>1064</v>
      </c>
      <c r="X7508" s="93" t="s">
        <v>30</v>
      </c>
      <c r="Y7508" s="93" t="s">
        <v>68</v>
      </c>
      <c r="Z7508" s="134">
        <f>VLOOKUP(W7508,Sheet2!$B:$D,3,FALSE)</f>
        <v>25</v>
      </c>
      <c r="AA7508" s="93">
        <v>1</v>
      </c>
      <c r="AB7508" s="93">
        <f>AD7508/AC7506</f>
        <v>25</v>
      </c>
      <c r="AC7508" s="93">
        <f>AC7506/AA7508</f>
        <v>28.851699999999937</v>
      </c>
      <c r="AD7508" s="94">
        <f>AC7508*Z7508</f>
        <v>721.29249999999843</v>
      </c>
      <c r="AE7508" s="190"/>
      <c r="AF7508" s="191"/>
      <c r="AG7508" s="191"/>
      <c r="AH7508" s="191"/>
      <c r="AI7508" s="186"/>
      <c r="AK7508" s="171"/>
    </row>
    <row r="7509" spans="1:41" s="102" customFormat="1" ht="19.899999999999999" customHeight="1" x14ac:dyDescent="0.25">
      <c r="A7509" s="45"/>
      <c r="B7509" s="59"/>
      <c r="C7509" s="137"/>
      <c r="D7509" s="59"/>
      <c r="E7509" s="116"/>
      <c r="F7509" s="120"/>
      <c r="G7509" s="120"/>
      <c r="H7509" s="120"/>
      <c r="I7509" s="60"/>
      <c r="J7509" s="116"/>
      <c r="K7509" s="213"/>
      <c r="L7509" s="120"/>
      <c r="M7509" s="120"/>
      <c r="N7509" s="167"/>
      <c r="O7509" s="120"/>
      <c r="P7509" s="120"/>
      <c r="Q7509" s="120"/>
      <c r="R7509" s="120"/>
      <c r="S7509" s="120"/>
      <c r="T7509" s="221"/>
      <c r="U7509" s="89"/>
      <c r="V7509" s="61"/>
      <c r="W7509" s="92" t="s">
        <v>1072</v>
      </c>
      <c r="X7509" s="93" t="s">
        <v>32</v>
      </c>
      <c r="Y7509" s="93" t="s">
        <v>68</v>
      </c>
      <c r="Z7509" s="134">
        <f>VLOOKUP(W7509,Sheet2!$B:$D,3,FALSE)</f>
        <v>55</v>
      </c>
      <c r="AA7509" s="93">
        <v>1</v>
      </c>
      <c r="AB7509" s="93">
        <f>AD7509/AC7506</f>
        <v>55</v>
      </c>
      <c r="AC7509" s="93">
        <f>AC7506/AA7509</f>
        <v>28.851699999999937</v>
      </c>
      <c r="AD7509" s="94">
        <f>AC7509*Z7509</f>
        <v>1586.8434999999965</v>
      </c>
      <c r="AE7509" s="190"/>
      <c r="AF7509" s="191"/>
      <c r="AG7509" s="191"/>
      <c r="AH7509" s="191"/>
      <c r="AI7509" s="186"/>
      <c r="AK7509" s="171"/>
    </row>
    <row r="7510" spans="1:41" s="102" customFormat="1" ht="19.899999999999999" customHeight="1" x14ac:dyDescent="0.25">
      <c r="A7510" s="45"/>
      <c r="B7510" s="59"/>
      <c r="C7510" s="137"/>
      <c r="D7510" s="59"/>
      <c r="E7510" s="116"/>
      <c r="F7510" s="120"/>
      <c r="G7510" s="120"/>
      <c r="H7510" s="120"/>
      <c r="I7510" s="60"/>
      <c r="J7510" s="116"/>
      <c r="K7510" s="213"/>
      <c r="L7510" s="120"/>
      <c r="M7510" s="120"/>
      <c r="N7510" s="167"/>
      <c r="O7510" s="120"/>
      <c r="P7510" s="120"/>
      <c r="Q7510" s="120"/>
      <c r="R7510" s="120"/>
      <c r="S7510" s="120"/>
      <c r="T7510" s="221"/>
      <c r="U7510" s="89"/>
      <c r="V7510" s="61"/>
      <c r="W7510" s="92" t="s">
        <v>1032</v>
      </c>
      <c r="X7510" s="93" t="s">
        <v>30</v>
      </c>
      <c r="Y7510" s="93" t="s">
        <v>66</v>
      </c>
      <c r="Z7510" s="134">
        <f>VLOOKUP(W7510,Sheet2!$B:$D,3,FALSE)</f>
        <v>250</v>
      </c>
      <c r="AA7510" s="93">
        <f>1/(1.5*0.1)</f>
        <v>6.6666666666666661</v>
      </c>
      <c r="AB7510" s="93">
        <f>AD7510/AC7506</f>
        <v>37.500000000000007</v>
      </c>
      <c r="AC7510" s="93">
        <f>AC7506/AA7510</f>
        <v>4.3277549999999909</v>
      </c>
      <c r="AD7510" s="94">
        <f>AC7510*Z7510</f>
        <v>1081.9387499999978</v>
      </c>
      <c r="AE7510" s="190"/>
      <c r="AF7510" s="191"/>
      <c r="AG7510" s="191"/>
      <c r="AH7510" s="191"/>
      <c r="AI7510" s="186"/>
      <c r="AK7510" s="171"/>
    </row>
    <row r="7511" spans="1:41" s="102" customFormat="1" ht="19.899999999999999" customHeight="1" x14ac:dyDescent="0.25">
      <c r="A7511" s="45"/>
      <c r="B7511" s="59"/>
      <c r="C7511" s="137"/>
      <c r="D7511" s="59"/>
      <c r="E7511" s="116"/>
      <c r="F7511" s="120"/>
      <c r="G7511" s="120"/>
      <c r="H7511" s="120"/>
      <c r="I7511" s="60"/>
      <c r="J7511" s="116"/>
      <c r="K7511" s="213"/>
      <c r="L7511" s="120"/>
      <c r="M7511" s="120"/>
      <c r="N7511" s="167"/>
      <c r="O7511" s="120"/>
      <c r="P7511" s="120"/>
      <c r="Q7511" s="120"/>
      <c r="R7511" s="120"/>
      <c r="S7511" s="120"/>
      <c r="T7511" s="221"/>
      <c r="U7511" s="89"/>
      <c r="V7511" s="61"/>
      <c r="W7511" s="92" t="s">
        <v>1035</v>
      </c>
      <c r="X7511" s="93" t="s">
        <v>32</v>
      </c>
      <c r="Y7511" s="93" t="s">
        <v>66</v>
      </c>
      <c r="Z7511" s="134">
        <f>VLOOKUP(W7511,Sheet2!$B:$D,3,FALSE)</f>
        <v>150</v>
      </c>
      <c r="AA7511" s="93">
        <f>AA7510</f>
        <v>6.6666666666666661</v>
      </c>
      <c r="AB7511" s="93">
        <f>AD7511/AC7506</f>
        <v>22.5</v>
      </c>
      <c r="AC7511" s="93">
        <f>AC7506/AA7511</f>
        <v>4.3277549999999909</v>
      </c>
      <c r="AD7511" s="94">
        <f t="shared" ref="AD7511:AD7512" si="5287">AC7511*Z7511</f>
        <v>649.16324999999858</v>
      </c>
      <c r="AE7511" s="190"/>
      <c r="AF7511" s="191"/>
      <c r="AG7511" s="191"/>
      <c r="AH7511" s="191"/>
      <c r="AI7511" s="186"/>
      <c r="AK7511" s="171"/>
    </row>
    <row r="7512" spans="1:41" s="102" customFormat="1" ht="19.899999999999999" customHeight="1" x14ac:dyDescent="0.25">
      <c r="A7512" s="45"/>
      <c r="B7512" s="59"/>
      <c r="C7512" s="137"/>
      <c r="D7512" s="59"/>
      <c r="E7512" s="116"/>
      <c r="F7512" s="120"/>
      <c r="G7512" s="120"/>
      <c r="H7512" s="120"/>
      <c r="I7512" s="60"/>
      <c r="J7512" s="116"/>
      <c r="K7512" s="213"/>
      <c r="L7512" s="120"/>
      <c r="M7512" s="120"/>
      <c r="N7512" s="167"/>
      <c r="O7512" s="120"/>
      <c r="P7512" s="120"/>
      <c r="Q7512" s="120"/>
      <c r="R7512" s="120"/>
      <c r="S7512" s="120"/>
      <c r="T7512" s="221"/>
      <c r="U7512" s="89"/>
      <c r="V7512" s="61"/>
      <c r="W7512" s="92" t="s">
        <v>1037</v>
      </c>
      <c r="X7512" s="93" t="s">
        <v>30</v>
      </c>
      <c r="Y7512" s="93" t="s">
        <v>1038</v>
      </c>
      <c r="Z7512" s="134">
        <f>VLOOKUP(W7512,Sheet2!$B:$D,3,FALSE)</f>
        <v>175</v>
      </c>
      <c r="AA7512" s="93">
        <v>300</v>
      </c>
      <c r="AB7512" s="93">
        <f>AD7512/AC7506</f>
        <v>0.58333333333333337</v>
      </c>
      <c r="AC7512" s="93">
        <f>AC7506/AA7512</f>
        <v>9.6172333333333124E-2</v>
      </c>
      <c r="AD7512" s="94">
        <f t="shared" si="5287"/>
        <v>16.830158333333298</v>
      </c>
      <c r="AE7512" s="190"/>
      <c r="AF7512" s="191"/>
      <c r="AG7512" s="191"/>
      <c r="AH7512" s="191"/>
      <c r="AI7512" s="186"/>
      <c r="AK7512" s="171"/>
    </row>
    <row r="7513" spans="1:41" s="103" customFormat="1" ht="19.899999999999999" customHeight="1" x14ac:dyDescent="0.25">
      <c r="A7513" s="51"/>
      <c r="B7513" s="52"/>
      <c r="C7513" s="165"/>
      <c r="D7513" s="52"/>
      <c r="E7513" s="115"/>
      <c r="F7513" s="58"/>
      <c r="G7513" s="58"/>
      <c r="H7513" s="58"/>
      <c r="I7513" s="55"/>
      <c r="J7513" s="113">
        <f>J7495</f>
        <v>28.851699999999937</v>
      </c>
      <c r="K7513" s="212">
        <f>K7495</f>
        <v>28.851699999999937</v>
      </c>
      <c r="L7513" s="58"/>
      <c r="M7513" s="58">
        <f>K7513-L7513</f>
        <v>28.851699999999937</v>
      </c>
      <c r="N7513" s="166"/>
      <c r="O7513" s="58"/>
      <c r="P7513" s="58"/>
      <c r="Q7513" s="58"/>
      <c r="R7513" s="58"/>
      <c r="S7513" s="58"/>
      <c r="T7513" s="220"/>
      <c r="U7513" s="88"/>
      <c r="V7513" s="56"/>
      <c r="W7513" s="57" t="s">
        <v>1040</v>
      </c>
      <c r="X7513" s="53"/>
      <c r="Y7513" s="91" t="s">
        <v>68</v>
      </c>
      <c r="Z7513" s="136">
        <f>AD7513/AC7513</f>
        <v>5</v>
      </c>
      <c r="AA7513" s="58"/>
      <c r="AB7513" s="53">
        <f>AD7513/AC7513</f>
        <v>5</v>
      </c>
      <c r="AC7513" s="53">
        <f>M7513+$AE$10</f>
        <v>28.851699999999937</v>
      </c>
      <c r="AD7513" s="54">
        <f>SUM(AD7514)</f>
        <v>144.25849999999969</v>
      </c>
      <c r="AE7513" s="184">
        <f>SUMIFS($AD$37:$AD$12971,$V$37:$V$12971,$V7513,$X$37:$X$12971,AE$13)</f>
        <v>0</v>
      </c>
      <c r="AF7513" s="185">
        <f>SUMIFS($AD$37:$AD$12971,$V$37:$V$12971,$V7513,$X$37:$X$12971,AF$13)</f>
        <v>0</v>
      </c>
      <c r="AG7513" s="185">
        <f>SUMIFS($AD$37:$AD$12971,$V$37:$V$12971,$V7513,$X$37:$X$12971,AG$13)</f>
        <v>0</v>
      </c>
      <c r="AH7513" s="187">
        <f>SUMIFS($AD$37:$AD$12971,$V$37:$V$12971,$V7513,$X$37:$X$12971,AH$13)</f>
        <v>0</v>
      </c>
      <c r="AI7513" s="161">
        <f t="shared" ref="AI7513" si="5288">SUM(AE7513:AH7513)</f>
        <v>0</v>
      </c>
      <c r="AK7513" s="172"/>
    </row>
    <row r="7514" spans="1:41" s="102" customFormat="1" ht="19.899999999999999" customHeight="1" x14ac:dyDescent="0.25">
      <c r="A7514" s="45"/>
      <c r="B7514" s="59"/>
      <c r="C7514" s="137"/>
      <c r="D7514" s="59"/>
      <c r="E7514" s="116"/>
      <c r="F7514" s="120"/>
      <c r="G7514" s="120"/>
      <c r="H7514" s="120"/>
      <c r="I7514" s="60"/>
      <c r="J7514" s="116"/>
      <c r="K7514" s="213"/>
      <c r="L7514" s="120"/>
      <c r="M7514" s="120"/>
      <c r="N7514" s="167"/>
      <c r="O7514" s="120"/>
      <c r="P7514" s="120"/>
      <c r="Q7514" s="120"/>
      <c r="R7514" s="120"/>
      <c r="S7514" s="120"/>
      <c r="T7514" s="221"/>
      <c r="U7514" s="89"/>
      <c r="V7514" s="61"/>
      <c r="W7514" s="92" t="s">
        <v>1039</v>
      </c>
      <c r="X7514" s="93" t="s">
        <v>32</v>
      </c>
      <c r="Y7514" s="93" t="s">
        <v>68</v>
      </c>
      <c r="Z7514" s="134">
        <f>VLOOKUP(W7514,Sheet2!$B:$D,3,FALSE)</f>
        <v>5</v>
      </c>
      <c r="AA7514" s="93">
        <v>1</v>
      </c>
      <c r="AB7514" s="93">
        <f>AD7514/AC7513</f>
        <v>5</v>
      </c>
      <c r="AC7514" s="93">
        <f>AC7513/AA7514</f>
        <v>28.851699999999937</v>
      </c>
      <c r="AD7514" s="94">
        <f t="shared" ref="AD7514" si="5289">AC7514*Z7514</f>
        <v>144.25849999999969</v>
      </c>
      <c r="AE7514" s="190"/>
      <c r="AF7514" s="191"/>
      <c r="AG7514" s="191"/>
      <c r="AH7514" s="191"/>
      <c r="AI7514" s="186"/>
      <c r="AK7514" s="171"/>
    </row>
    <row r="7515" spans="1:41" ht="20.100000000000001" customHeight="1" x14ac:dyDescent="0.25">
      <c r="A7515" s="277" t="s">
        <v>703</v>
      </c>
      <c r="B7515" s="278"/>
      <c r="C7515" s="64" t="s">
        <v>741</v>
      </c>
      <c r="D7515" s="46" t="s">
        <v>97</v>
      </c>
      <c r="E7515" s="114">
        <v>7.0999999999999943</v>
      </c>
      <c r="F7515" s="44">
        <v>957</v>
      </c>
      <c r="G7515" s="44">
        <f t="shared" si="4575"/>
        <v>6794.6999999999944</v>
      </c>
      <c r="H7515" s="44">
        <f t="shared" si="4576"/>
        <v>484.21745098039224</v>
      </c>
      <c r="I7515" s="43">
        <f t="shared" si="4577"/>
        <v>3437.9439019607821</v>
      </c>
      <c r="J7515" s="112">
        <f t="shared" si="4578"/>
        <v>7.0999999999999943</v>
      </c>
      <c r="K7515" s="211">
        <f t="shared" si="4579"/>
        <v>7.0999999999999943</v>
      </c>
      <c r="L7515" s="44"/>
      <c r="M7515" s="44">
        <f t="shared" si="4580"/>
        <v>7.0999999999999943</v>
      </c>
      <c r="N7515" s="173">
        <f t="shared" si="4581"/>
        <v>1</v>
      </c>
      <c r="O7515" s="44">
        <f t="shared" si="4582"/>
        <v>957</v>
      </c>
      <c r="P7515" s="44">
        <f t="shared" si="4583"/>
        <v>6794.6999999999944</v>
      </c>
      <c r="Q7515" s="44">
        <f t="shared" si="4584"/>
        <v>484.21745098039224</v>
      </c>
      <c r="R7515" s="44">
        <f t="shared" si="4585"/>
        <v>3437.9439019607821</v>
      </c>
      <c r="S7515" s="123"/>
      <c r="T7515" s="219">
        <f t="shared" si="4586"/>
        <v>3437.9439019607821</v>
      </c>
      <c r="U7515" s="87"/>
      <c r="V7515" s="47"/>
      <c r="W7515" s="48"/>
      <c r="X7515" s="48"/>
      <c r="Y7515" s="48"/>
      <c r="Z7515" s="135"/>
      <c r="AA7515" s="49"/>
      <c r="AB7515" s="50">
        <f t="shared" si="4587"/>
        <v>484.21745098039224</v>
      </c>
      <c r="AC7515" s="42">
        <f t="shared" si="4588"/>
        <v>7.0999999999999943</v>
      </c>
      <c r="AD7515" s="90">
        <f>AD7516+AD7526+AD7533</f>
        <v>3437.9439019607821</v>
      </c>
      <c r="AE7515" s="188">
        <f t="shared" ref="AE7515:AH7515" si="5290">AE7516+AE7526+AE7533</f>
        <v>0</v>
      </c>
      <c r="AF7515" s="189">
        <f t="shared" si="5290"/>
        <v>0</v>
      </c>
      <c r="AG7515" s="189">
        <f t="shared" si="5290"/>
        <v>0</v>
      </c>
      <c r="AH7515" s="189">
        <f t="shared" si="5290"/>
        <v>0</v>
      </c>
      <c r="AI7515" s="161">
        <f t="shared" ref="AI7515" si="5291">SUM(AE7515:AH7515)</f>
        <v>0</v>
      </c>
      <c r="AK7515" s="169">
        <v>5</v>
      </c>
      <c r="AO7515" s="19" t="s">
        <v>63</v>
      </c>
    </row>
    <row r="7516" spans="1:41" s="103" customFormat="1" ht="19.899999999999999" customHeight="1" x14ac:dyDescent="0.25">
      <c r="A7516" s="51"/>
      <c r="B7516" s="52"/>
      <c r="C7516" s="165"/>
      <c r="D7516" s="52"/>
      <c r="E7516" s="115"/>
      <c r="F7516" s="58"/>
      <c r="G7516" s="58"/>
      <c r="H7516" s="58"/>
      <c r="I7516" s="55"/>
      <c r="J7516" s="113">
        <f>J7515</f>
        <v>7.0999999999999943</v>
      </c>
      <c r="K7516" s="212">
        <f>K7515</f>
        <v>7.0999999999999943</v>
      </c>
      <c r="L7516" s="58"/>
      <c r="M7516" s="58">
        <f>K7516-L7516</f>
        <v>7.0999999999999943</v>
      </c>
      <c r="N7516" s="166"/>
      <c r="O7516" s="58"/>
      <c r="P7516" s="58"/>
      <c r="Q7516" s="58"/>
      <c r="R7516" s="58"/>
      <c r="S7516" s="58"/>
      <c r="T7516" s="220"/>
      <c r="U7516" s="88"/>
      <c r="V7516" s="56"/>
      <c r="W7516" s="57" t="s">
        <v>1087</v>
      </c>
      <c r="X7516" s="53"/>
      <c r="Y7516" s="91" t="s">
        <v>68</v>
      </c>
      <c r="Z7516" s="136">
        <f>AD7516/AC7516</f>
        <v>88.634117647058829</v>
      </c>
      <c r="AA7516" s="58"/>
      <c r="AB7516" s="53">
        <f>AD7516/AC7516</f>
        <v>88.634117647058829</v>
      </c>
      <c r="AC7516" s="53">
        <f>M7516+$AE$10</f>
        <v>7.0999999999999943</v>
      </c>
      <c r="AD7516" s="54">
        <f>SUM(AD7517:AD7525)</f>
        <v>629.30223529411717</v>
      </c>
      <c r="AE7516" s="184">
        <f>SUMIFS($AD$37:$AD$12971,$V$37:$V$12971,$V7516,$X$37:$X$12971,AE$13)</f>
        <v>0</v>
      </c>
      <c r="AF7516" s="185">
        <f>SUMIFS($AD$37:$AD$12971,$V$37:$V$12971,$V7516,$X$37:$X$12971,AF$13)</f>
        <v>0</v>
      </c>
      <c r="AG7516" s="185">
        <f>SUMIFS($AD$37:$AD$12971,$V$37:$V$12971,$V7516,$X$37:$X$12971,AG$13)</f>
        <v>0</v>
      </c>
      <c r="AH7516" s="187">
        <f>SUMIFS($AD$37:$AD$12971,$V$37:$V$12971,$V7516,$X$37:$X$12971,AH$13)</f>
        <v>0</v>
      </c>
      <c r="AI7516" s="161">
        <f t="shared" ref="AI7516" si="5292">SUM(AE7516:AH7516)</f>
        <v>0</v>
      </c>
      <c r="AK7516" s="172"/>
    </row>
    <row r="7517" spans="1:41" s="102" customFormat="1" ht="19.899999999999999" customHeight="1" x14ac:dyDescent="0.25">
      <c r="A7517" s="45"/>
      <c r="B7517" s="59"/>
      <c r="C7517" s="137"/>
      <c r="D7517" s="59"/>
      <c r="E7517" s="116"/>
      <c r="F7517" s="120"/>
      <c r="G7517" s="120"/>
      <c r="H7517" s="120"/>
      <c r="I7517" s="60"/>
      <c r="J7517" s="116"/>
      <c r="K7517" s="213"/>
      <c r="L7517" s="120"/>
      <c r="M7517" s="120"/>
      <c r="N7517" s="167"/>
      <c r="O7517" s="120"/>
      <c r="P7517" s="120"/>
      <c r="Q7517" s="120"/>
      <c r="R7517" s="120"/>
      <c r="S7517" s="120"/>
      <c r="T7517" s="221"/>
      <c r="U7517" s="89"/>
      <c r="V7517" s="61"/>
      <c r="W7517" s="92" t="s">
        <v>129</v>
      </c>
      <c r="X7517" s="93" t="s">
        <v>29</v>
      </c>
      <c r="Y7517" s="93" t="s">
        <v>93</v>
      </c>
      <c r="Z7517" s="134">
        <f>VLOOKUP(W7517,Sheet2!$B:$D,3,FALSE)</f>
        <v>56</v>
      </c>
      <c r="AA7517" s="93">
        <f>100/(1.5*4)</f>
        <v>16.666666666666668</v>
      </c>
      <c r="AB7517" s="93">
        <f t="shared" ref="AB7517" si="5293">AD7517/AC7516</f>
        <v>3.3599999999999994</v>
      </c>
      <c r="AC7517" s="93">
        <f>AC7516/AA7517</f>
        <v>0.4259999999999996</v>
      </c>
      <c r="AD7517" s="94">
        <f t="shared" ref="AD7517:AD7518" si="5294">AC7517*Z7517</f>
        <v>23.855999999999977</v>
      </c>
      <c r="AE7517" s="190"/>
      <c r="AF7517" s="191"/>
      <c r="AG7517" s="191"/>
      <c r="AH7517" s="191"/>
      <c r="AI7517" s="186"/>
      <c r="AK7517" s="171"/>
    </row>
    <row r="7518" spans="1:41" s="102" customFormat="1" ht="19.899999999999999" customHeight="1" x14ac:dyDescent="0.25">
      <c r="A7518" s="45"/>
      <c r="B7518" s="59"/>
      <c r="C7518" s="137"/>
      <c r="D7518" s="59"/>
      <c r="E7518" s="116"/>
      <c r="F7518" s="120"/>
      <c r="G7518" s="120"/>
      <c r="H7518" s="120"/>
      <c r="I7518" s="60"/>
      <c r="J7518" s="116"/>
      <c r="K7518" s="213"/>
      <c r="L7518" s="120"/>
      <c r="M7518" s="120"/>
      <c r="N7518" s="167"/>
      <c r="O7518" s="120"/>
      <c r="P7518" s="120"/>
      <c r="Q7518" s="120"/>
      <c r="R7518" s="120"/>
      <c r="S7518" s="120"/>
      <c r="T7518" s="221"/>
      <c r="U7518" s="89"/>
      <c r="V7518" s="61"/>
      <c r="W7518" s="92" t="s">
        <v>65</v>
      </c>
      <c r="X7518" s="93" t="s">
        <v>30</v>
      </c>
      <c r="Y7518" s="93" t="s">
        <v>1011</v>
      </c>
      <c r="Z7518" s="134">
        <f>VLOOKUP(W7518,Sheet2!$B:$D,3,FALSE)</f>
        <v>1.76</v>
      </c>
      <c r="AA7518" s="93">
        <f>AA7517/14</f>
        <v>1.1904761904761905</v>
      </c>
      <c r="AB7518" s="93">
        <f>AD7518/AC7516</f>
        <v>1.4784000000000002</v>
      </c>
      <c r="AC7518" s="93">
        <f>AC7516/AA7518</f>
        <v>5.9639999999999951</v>
      </c>
      <c r="AD7518" s="94">
        <f t="shared" si="5294"/>
        <v>10.496639999999992</v>
      </c>
      <c r="AE7518" s="190"/>
      <c r="AF7518" s="191"/>
      <c r="AG7518" s="191"/>
      <c r="AH7518" s="191"/>
      <c r="AI7518" s="186"/>
      <c r="AK7518" s="171"/>
    </row>
    <row r="7519" spans="1:41" s="102" customFormat="1" ht="19.899999999999999" customHeight="1" x14ac:dyDescent="0.25">
      <c r="A7519" s="45"/>
      <c r="B7519" s="59"/>
      <c r="C7519" s="137"/>
      <c r="D7519" s="59"/>
      <c r="E7519" s="116"/>
      <c r="F7519" s="120"/>
      <c r="G7519" s="120"/>
      <c r="H7519" s="120"/>
      <c r="I7519" s="60"/>
      <c r="J7519" s="116"/>
      <c r="K7519" s="213"/>
      <c r="L7519" s="120"/>
      <c r="M7519" s="120"/>
      <c r="N7519" s="167"/>
      <c r="O7519" s="120"/>
      <c r="P7519" s="120"/>
      <c r="Q7519" s="120"/>
      <c r="R7519" s="120"/>
      <c r="S7519" s="120"/>
      <c r="T7519" s="221"/>
      <c r="U7519" s="89"/>
      <c r="V7519" s="61"/>
      <c r="W7519" s="92" t="s">
        <v>161</v>
      </c>
      <c r="X7519" s="93" t="s">
        <v>29</v>
      </c>
      <c r="Y7519" s="93" t="s">
        <v>93</v>
      </c>
      <c r="Z7519" s="134">
        <f>VLOOKUP(W7519,Sheet2!$B:$D,3,FALSE)</f>
        <v>48</v>
      </c>
      <c r="AA7519" s="93">
        <f>(16*0.85*1.5)/(1.5*4)</f>
        <v>3.4</v>
      </c>
      <c r="AB7519" s="93">
        <f>AD7519/AC7516</f>
        <v>14.117647058823531</v>
      </c>
      <c r="AC7519" s="93">
        <f>AC7516/AA7519</f>
        <v>2.0882352941176454</v>
      </c>
      <c r="AD7519" s="94">
        <f>AC7519*Z7519</f>
        <v>100.23529411764699</v>
      </c>
      <c r="AE7519" s="190"/>
      <c r="AF7519" s="191"/>
      <c r="AG7519" s="191"/>
      <c r="AH7519" s="191"/>
      <c r="AI7519" s="186"/>
      <c r="AK7519" s="171"/>
    </row>
    <row r="7520" spans="1:41" s="102" customFormat="1" ht="19.899999999999999" customHeight="1" x14ac:dyDescent="0.25">
      <c r="A7520" s="45"/>
      <c r="B7520" s="59"/>
      <c r="C7520" s="137"/>
      <c r="D7520" s="59"/>
      <c r="E7520" s="116"/>
      <c r="F7520" s="120"/>
      <c r="G7520" s="120"/>
      <c r="H7520" s="120"/>
      <c r="I7520" s="60"/>
      <c r="J7520" s="116"/>
      <c r="K7520" s="213"/>
      <c r="L7520" s="120"/>
      <c r="M7520" s="120"/>
      <c r="N7520" s="167"/>
      <c r="O7520" s="120"/>
      <c r="P7520" s="120"/>
      <c r="Q7520" s="120"/>
      <c r="R7520" s="120"/>
      <c r="S7520" s="120"/>
      <c r="T7520" s="221"/>
      <c r="U7520" s="89"/>
      <c r="V7520" s="61"/>
      <c r="W7520" s="92" t="s">
        <v>65</v>
      </c>
      <c r="X7520" s="93" t="s">
        <v>30</v>
      </c>
      <c r="Y7520" s="93" t="s">
        <v>1011</v>
      </c>
      <c r="Z7520" s="134">
        <f>VLOOKUP(W7520,Sheet2!$B:$D,3,FALSE)</f>
        <v>1.76</v>
      </c>
      <c r="AA7520" s="93">
        <f>AA7519/10</f>
        <v>0.33999999999999997</v>
      </c>
      <c r="AB7520" s="93">
        <f>AD7520/AC7516</f>
        <v>5.1764705882352953</v>
      </c>
      <c r="AC7520" s="93">
        <f>AC7516/AA7520</f>
        <v>20.882352941176457</v>
      </c>
      <c r="AD7520" s="94">
        <f>AC7520*Z7520</f>
        <v>36.752941176470564</v>
      </c>
      <c r="AE7520" s="190"/>
      <c r="AF7520" s="191"/>
      <c r="AG7520" s="191"/>
      <c r="AH7520" s="191"/>
      <c r="AI7520" s="186"/>
      <c r="AK7520" s="171"/>
    </row>
    <row r="7521" spans="1:41" s="102" customFormat="1" ht="19.899999999999999" customHeight="1" x14ac:dyDescent="0.25">
      <c r="A7521" s="45"/>
      <c r="B7521" s="59"/>
      <c r="C7521" s="137"/>
      <c r="D7521" s="59"/>
      <c r="E7521" s="116"/>
      <c r="F7521" s="120"/>
      <c r="G7521" s="120"/>
      <c r="H7521" s="120"/>
      <c r="I7521" s="60"/>
      <c r="J7521" s="116"/>
      <c r="K7521" s="213"/>
      <c r="L7521" s="120"/>
      <c r="M7521" s="120"/>
      <c r="N7521" s="167"/>
      <c r="O7521" s="120"/>
      <c r="P7521" s="120"/>
      <c r="Q7521" s="120"/>
      <c r="R7521" s="120"/>
      <c r="S7521" s="120"/>
      <c r="T7521" s="221"/>
      <c r="U7521" s="89"/>
      <c r="V7521" s="61"/>
      <c r="W7521" s="92" t="s">
        <v>1030</v>
      </c>
      <c r="X7521" s="93" t="s">
        <v>29</v>
      </c>
      <c r="Y7521" s="93" t="s">
        <v>93</v>
      </c>
      <c r="Z7521" s="134">
        <f>VLOOKUP(W7521,Sheet2!$B:$D,3,FALSE)</f>
        <v>23</v>
      </c>
      <c r="AA7521" s="93">
        <v>50</v>
      </c>
      <c r="AB7521" s="93">
        <f>AD7521/AC7516</f>
        <v>0.46</v>
      </c>
      <c r="AC7521" s="93">
        <f>AC7516/AA7521</f>
        <v>0.14199999999999988</v>
      </c>
      <c r="AD7521" s="94">
        <f t="shared" ref="AD7521:AD7525" si="5295">AC7521*Z7521</f>
        <v>3.2659999999999973</v>
      </c>
      <c r="AE7521" s="190"/>
      <c r="AF7521" s="191"/>
      <c r="AG7521" s="191"/>
      <c r="AH7521" s="191"/>
      <c r="AI7521" s="186"/>
      <c r="AK7521" s="171"/>
    </row>
    <row r="7522" spans="1:41" s="102" customFormat="1" ht="19.899999999999999" customHeight="1" x14ac:dyDescent="0.25">
      <c r="A7522" s="45"/>
      <c r="B7522" s="59"/>
      <c r="C7522" s="137"/>
      <c r="D7522" s="59"/>
      <c r="E7522" s="116"/>
      <c r="F7522" s="120"/>
      <c r="G7522" s="120"/>
      <c r="H7522" s="120"/>
      <c r="I7522" s="60"/>
      <c r="J7522" s="116"/>
      <c r="K7522" s="213"/>
      <c r="L7522" s="120"/>
      <c r="M7522" s="120"/>
      <c r="N7522" s="167"/>
      <c r="O7522" s="120"/>
      <c r="P7522" s="120"/>
      <c r="Q7522" s="120"/>
      <c r="R7522" s="120"/>
      <c r="S7522" s="120"/>
      <c r="T7522" s="221"/>
      <c r="U7522" s="89"/>
      <c r="V7522" s="61"/>
      <c r="W7522" s="92" t="s">
        <v>65</v>
      </c>
      <c r="X7522" s="93" t="s">
        <v>30</v>
      </c>
      <c r="Y7522" s="93" t="s">
        <v>1011</v>
      </c>
      <c r="Z7522" s="134">
        <f>VLOOKUP(W7522,Sheet2!$B:$D,3,FALSE)</f>
        <v>1.76</v>
      </c>
      <c r="AA7522" s="93">
        <f>AA7521/3</f>
        <v>16.666666666666668</v>
      </c>
      <c r="AB7522" s="93">
        <f>AD7522/AC7516</f>
        <v>0.10559999999999999</v>
      </c>
      <c r="AC7522" s="93">
        <f>AC7516/AA7522</f>
        <v>0.4259999999999996</v>
      </c>
      <c r="AD7522" s="94">
        <f t="shared" si="5295"/>
        <v>0.74975999999999932</v>
      </c>
      <c r="AE7522" s="190"/>
      <c r="AF7522" s="191"/>
      <c r="AG7522" s="191"/>
      <c r="AH7522" s="191"/>
      <c r="AI7522" s="186"/>
      <c r="AK7522" s="171"/>
    </row>
    <row r="7523" spans="1:41" s="102" customFormat="1" ht="19.899999999999999" customHeight="1" x14ac:dyDescent="0.25">
      <c r="A7523" s="45"/>
      <c r="B7523" s="59"/>
      <c r="C7523" s="137"/>
      <c r="D7523" s="59"/>
      <c r="E7523" s="116"/>
      <c r="F7523" s="120"/>
      <c r="G7523" s="120"/>
      <c r="H7523" s="120"/>
      <c r="I7523" s="60"/>
      <c r="J7523" s="116"/>
      <c r="K7523" s="213"/>
      <c r="L7523" s="120"/>
      <c r="M7523" s="120"/>
      <c r="N7523" s="167"/>
      <c r="O7523" s="120"/>
      <c r="P7523" s="120"/>
      <c r="Q7523" s="120"/>
      <c r="R7523" s="120"/>
      <c r="S7523" s="120"/>
      <c r="T7523" s="221"/>
      <c r="U7523" s="89"/>
      <c r="V7523" s="61"/>
      <c r="W7523" s="92" t="s">
        <v>148</v>
      </c>
      <c r="X7523" s="93" t="s">
        <v>29</v>
      </c>
      <c r="Y7523" s="93" t="s">
        <v>93</v>
      </c>
      <c r="Z7523" s="134">
        <f>VLOOKUP(W7523,Sheet2!$B:$D,3,FALSE)</f>
        <v>48</v>
      </c>
      <c r="AA7523" s="93">
        <f>AA7517</f>
        <v>16.666666666666668</v>
      </c>
      <c r="AB7523" s="93">
        <f>AD7523/AC7516</f>
        <v>2.8799999999999994</v>
      </c>
      <c r="AC7523" s="93">
        <f>AC7516/AA7523</f>
        <v>0.4259999999999996</v>
      </c>
      <c r="AD7523" s="94">
        <f t="shared" si="5295"/>
        <v>20.447999999999979</v>
      </c>
      <c r="AE7523" s="190"/>
      <c r="AF7523" s="191"/>
      <c r="AG7523" s="191"/>
      <c r="AH7523" s="191"/>
      <c r="AI7523" s="186"/>
      <c r="AK7523" s="171"/>
    </row>
    <row r="7524" spans="1:41" s="102" customFormat="1" ht="19.899999999999999" customHeight="1" x14ac:dyDescent="0.25">
      <c r="A7524" s="45"/>
      <c r="B7524" s="59"/>
      <c r="C7524" s="137"/>
      <c r="D7524" s="59"/>
      <c r="E7524" s="116"/>
      <c r="F7524" s="120"/>
      <c r="G7524" s="120"/>
      <c r="H7524" s="120"/>
      <c r="I7524" s="60"/>
      <c r="J7524" s="116"/>
      <c r="K7524" s="213"/>
      <c r="L7524" s="120"/>
      <c r="M7524" s="120"/>
      <c r="N7524" s="167"/>
      <c r="O7524" s="120"/>
      <c r="P7524" s="120"/>
      <c r="Q7524" s="120"/>
      <c r="R7524" s="120"/>
      <c r="S7524" s="120"/>
      <c r="T7524" s="221"/>
      <c r="U7524" s="89"/>
      <c r="V7524" s="61"/>
      <c r="W7524" s="92" t="s">
        <v>65</v>
      </c>
      <c r="X7524" s="93" t="s">
        <v>30</v>
      </c>
      <c r="Y7524" s="93" t="s">
        <v>1011</v>
      </c>
      <c r="Z7524" s="134">
        <f>VLOOKUP(W7524,Sheet2!$B:$D,3,FALSE)</f>
        <v>1.76</v>
      </c>
      <c r="AA7524" s="93">
        <f>AA7523/10</f>
        <v>1.6666666666666667</v>
      </c>
      <c r="AB7524" s="93">
        <f>AD7524/AC7516</f>
        <v>1.0559999999999998</v>
      </c>
      <c r="AC7524" s="93">
        <f>AC7516/AA7524</f>
        <v>4.2599999999999962</v>
      </c>
      <c r="AD7524" s="94">
        <f t="shared" si="5295"/>
        <v>7.4975999999999932</v>
      </c>
      <c r="AE7524" s="190"/>
      <c r="AF7524" s="191"/>
      <c r="AG7524" s="191"/>
      <c r="AH7524" s="191"/>
      <c r="AI7524" s="186"/>
      <c r="AK7524" s="171"/>
    </row>
    <row r="7525" spans="1:41" s="102" customFormat="1" ht="19.899999999999999" customHeight="1" x14ac:dyDescent="0.25">
      <c r="A7525" s="45"/>
      <c r="B7525" s="59"/>
      <c r="C7525" s="137"/>
      <c r="D7525" s="59"/>
      <c r="E7525" s="116"/>
      <c r="F7525" s="120"/>
      <c r="G7525" s="120"/>
      <c r="H7525" s="120"/>
      <c r="I7525" s="60"/>
      <c r="J7525" s="116"/>
      <c r="K7525" s="213"/>
      <c r="L7525" s="120"/>
      <c r="M7525" s="120"/>
      <c r="N7525" s="167"/>
      <c r="O7525" s="120"/>
      <c r="P7525" s="120"/>
      <c r="Q7525" s="120"/>
      <c r="R7525" s="120"/>
      <c r="S7525" s="120"/>
      <c r="T7525" s="221"/>
      <c r="U7525" s="89"/>
      <c r="V7525" s="61"/>
      <c r="W7525" s="92" t="s">
        <v>1049</v>
      </c>
      <c r="X7525" s="93" t="s">
        <v>30</v>
      </c>
      <c r="Y7525" s="93" t="s">
        <v>68</v>
      </c>
      <c r="Z7525" s="134">
        <f>VLOOKUP(W7525,Sheet2!$B:$D,3,FALSE)</f>
        <v>60</v>
      </c>
      <c r="AA7525" s="93">
        <v>1</v>
      </c>
      <c r="AB7525" s="93">
        <f>AD7525/AC7516</f>
        <v>60</v>
      </c>
      <c r="AC7525" s="93">
        <f>AC7516/AA7525</f>
        <v>7.0999999999999943</v>
      </c>
      <c r="AD7525" s="94">
        <f t="shared" si="5295"/>
        <v>425.99999999999966</v>
      </c>
      <c r="AE7525" s="190"/>
      <c r="AF7525" s="191"/>
      <c r="AG7525" s="191"/>
      <c r="AH7525" s="191"/>
      <c r="AI7525" s="186"/>
      <c r="AK7525" s="171"/>
    </row>
    <row r="7526" spans="1:41" s="103" customFormat="1" ht="19.899999999999999" customHeight="1" x14ac:dyDescent="0.25">
      <c r="A7526" s="51"/>
      <c r="B7526" s="52"/>
      <c r="C7526" s="165"/>
      <c r="D7526" s="52"/>
      <c r="E7526" s="115"/>
      <c r="F7526" s="58"/>
      <c r="G7526" s="58"/>
      <c r="H7526" s="58"/>
      <c r="I7526" s="55"/>
      <c r="J7526" s="113">
        <f>J7515</f>
        <v>7.0999999999999943</v>
      </c>
      <c r="K7526" s="212">
        <f>K7515</f>
        <v>7.0999999999999943</v>
      </c>
      <c r="L7526" s="58"/>
      <c r="M7526" s="58">
        <f>K7526-L7526</f>
        <v>7.0999999999999943</v>
      </c>
      <c r="N7526" s="166"/>
      <c r="O7526" s="58"/>
      <c r="P7526" s="58"/>
      <c r="Q7526" s="58"/>
      <c r="R7526" s="58"/>
      <c r="S7526" s="58"/>
      <c r="T7526" s="220"/>
      <c r="U7526" s="88"/>
      <c r="V7526" s="56"/>
      <c r="W7526" s="57" t="s">
        <v>1036</v>
      </c>
      <c r="X7526" s="53"/>
      <c r="Y7526" s="91" t="s">
        <v>68</v>
      </c>
      <c r="Z7526" s="136">
        <f>AD7526/AC7526</f>
        <v>390.58333333333343</v>
      </c>
      <c r="AA7526" s="58"/>
      <c r="AB7526" s="53">
        <f>AD7526/AC7526</f>
        <v>390.58333333333343</v>
      </c>
      <c r="AC7526" s="53">
        <f>M7526+$AE$10</f>
        <v>7.0999999999999943</v>
      </c>
      <c r="AD7526" s="54">
        <f>SUM(AD7527:AD7532)</f>
        <v>2773.1416666666651</v>
      </c>
      <c r="AE7526" s="184">
        <f>SUMIFS($AD$37:$AD$12971,$V$37:$V$12971,$V7526,$X$37:$X$12971,AE$13)</f>
        <v>0</v>
      </c>
      <c r="AF7526" s="185">
        <f>SUMIFS($AD$37:$AD$12971,$V$37:$V$12971,$V7526,$X$37:$X$12971,AF$13)</f>
        <v>0</v>
      </c>
      <c r="AG7526" s="185">
        <f>SUMIFS($AD$37:$AD$12971,$V$37:$V$12971,$V7526,$X$37:$X$12971,AG$13)</f>
        <v>0</v>
      </c>
      <c r="AH7526" s="187">
        <f>SUMIFS($AD$37:$AD$12971,$V$37:$V$12971,$V7526,$X$37:$X$12971,AH$13)</f>
        <v>0</v>
      </c>
      <c r="AI7526" s="161">
        <f t="shared" ref="AI7526" si="5296">SUM(AE7526:AH7526)</f>
        <v>0</v>
      </c>
      <c r="AK7526" s="172"/>
    </row>
    <row r="7527" spans="1:41" s="102" customFormat="1" ht="19.899999999999999" customHeight="1" x14ac:dyDescent="0.25">
      <c r="A7527" s="45"/>
      <c r="B7527" s="59"/>
      <c r="C7527" s="137"/>
      <c r="D7527" s="59"/>
      <c r="E7527" s="116"/>
      <c r="F7527" s="120"/>
      <c r="G7527" s="120"/>
      <c r="H7527" s="120"/>
      <c r="I7527" s="60"/>
      <c r="J7527" s="116"/>
      <c r="K7527" s="213"/>
      <c r="L7527" s="120"/>
      <c r="M7527" s="120"/>
      <c r="N7527" s="167"/>
      <c r="O7527" s="120"/>
      <c r="P7527" s="120"/>
      <c r="Q7527" s="120"/>
      <c r="R7527" s="120"/>
      <c r="S7527" s="120"/>
      <c r="T7527" s="221"/>
      <c r="U7527" s="89"/>
      <c r="V7527" s="61"/>
      <c r="W7527" s="92" t="s">
        <v>1057</v>
      </c>
      <c r="X7527" s="93" t="s">
        <v>30</v>
      </c>
      <c r="Y7527" s="93" t="s">
        <v>68</v>
      </c>
      <c r="Z7527" s="134">
        <f>VLOOKUP(W7527,Sheet2!$B:$D,3,FALSE)</f>
        <v>250</v>
      </c>
      <c r="AA7527" s="93">
        <v>1</v>
      </c>
      <c r="AB7527" s="93">
        <f>AD7527/AC7526</f>
        <v>250</v>
      </c>
      <c r="AC7527" s="93">
        <f>AC7526/AA7527</f>
        <v>7.0999999999999943</v>
      </c>
      <c r="AD7527" s="94">
        <f t="shared" ref="AD7527" si="5297">AC7527*Z7527</f>
        <v>1774.9999999999986</v>
      </c>
      <c r="AE7527" s="190"/>
      <c r="AF7527" s="191"/>
      <c r="AG7527" s="191"/>
      <c r="AH7527" s="191"/>
      <c r="AI7527" s="186"/>
      <c r="AK7527" s="171"/>
    </row>
    <row r="7528" spans="1:41" s="102" customFormat="1" ht="19.899999999999999" customHeight="1" x14ac:dyDescent="0.25">
      <c r="A7528" s="45"/>
      <c r="B7528" s="59"/>
      <c r="C7528" s="137"/>
      <c r="D7528" s="59"/>
      <c r="E7528" s="116"/>
      <c r="F7528" s="120"/>
      <c r="G7528" s="120"/>
      <c r="H7528" s="120"/>
      <c r="I7528" s="60"/>
      <c r="J7528" s="116"/>
      <c r="K7528" s="213"/>
      <c r="L7528" s="120"/>
      <c r="M7528" s="120"/>
      <c r="N7528" s="167"/>
      <c r="O7528" s="120"/>
      <c r="P7528" s="120"/>
      <c r="Q7528" s="120"/>
      <c r="R7528" s="120"/>
      <c r="S7528" s="120"/>
      <c r="T7528" s="221"/>
      <c r="U7528" s="89"/>
      <c r="V7528" s="61"/>
      <c r="W7528" s="92" t="s">
        <v>1064</v>
      </c>
      <c r="X7528" s="93" t="s">
        <v>30</v>
      </c>
      <c r="Y7528" s="93" t="s">
        <v>68</v>
      </c>
      <c r="Z7528" s="134">
        <f>VLOOKUP(W7528,Sheet2!$B:$D,3,FALSE)</f>
        <v>25</v>
      </c>
      <c r="AA7528" s="93">
        <v>1</v>
      </c>
      <c r="AB7528" s="93">
        <f>AD7528/AC7526</f>
        <v>25</v>
      </c>
      <c r="AC7528" s="93">
        <f>AC7526/AA7528</f>
        <v>7.0999999999999943</v>
      </c>
      <c r="AD7528" s="94">
        <f>AC7528*Z7528</f>
        <v>177.49999999999986</v>
      </c>
      <c r="AE7528" s="190"/>
      <c r="AF7528" s="191"/>
      <c r="AG7528" s="191"/>
      <c r="AH7528" s="191"/>
      <c r="AI7528" s="186"/>
      <c r="AK7528" s="171"/>
    </row>
    <row r="7529" spans="1:41" s="102" customFormat="1" ht="19.899999999999999" customHeight="1" x14ac:dyDescent="0.25">
      <c r="A7529" s="45"/>
      <c r="B7529" s="59"/>
      <c r="C7529" s="137"/>
      <c r="D7529" s="59"/>
      <c r="E7529" s="116"/>
      <c r="F7529" s="120"/>
      <c r="G7529" s="120"/>
      <c r="H7529" s="120"/>
      <c r="I7529" s="60"/>
      <c r="J7529" s="116"/>
      <c r="K7529" s="213"/>
      <c r="L7529" s="120"/>
      <c r="M7529" s="120"/>
      <c r="N7529" s="167"/>
      <c r="O7529" s="120"/>
      <c r="P7529" s="120"/>
      <c r="Q7529" s="120"/>
      <c r="R7529" s="120"/>
      <c r="S7529" s="120"/>
      <c r="T7529" s="221"/>
      <c r="U7529" s="89"/>
      <c r="V7529" s="61"/>
      <c r="W7529" s="92" t="s">
        <v>1072</v>
      </c>
      <c r="X7529" s="93" t="s">
        <v>32</v>
      </c>
      <c r="Y7529" s="93" t="s">
        <v>68</v>
      </c>
      <c r="Z7529" s="134">
        <f>VLOOKUP(W7529,Sheet2!$B:$D,3,FALSE)</f>
        <v>55</v>
      </c>
      <c r="AA7529" s="93">
        <v>1</v>
      </c>
      <c r="AB7529" s="93">
        <f>AD7529/AC7526</f>
        <v>54.999999999999993</v>
      </c>
      <c r="AC7529" s="93">
        <f>AC7526/AA7529</f>
        <v>7.0999999999999943</v>
      </c>
      <c r="AD7529" s="94">
        <f>AC7529*Z7529</f>
        <v>390.49999999999966</v>
      </c>
      <c r="AE7529" s="190"/>
      <c r="AF7529" s="191"/>
      <c r="AG7529" s="191"/>
      <c r="AH7529" s="191"/>
      <c r="AI7529" s="186"/>
      <c r="AK7529" s="171"/>
    </row>
    <row r="7530" spans="1:41" s="102" customFormat="1" ht="19.899999999999999" customHeight="1" x14ac:dyDescent="0.25">
      <c r="A7530" s="45"/>
      <c r="B7530" s="59"/>
      <c r="C7530" s="137"/>
      <c r="D7530" s="59"/>
      <c r="E7530" s="116"/>
      <c r="F7530" s="120"/>
      <c r="G7530" s="120"/>
      <c r="H7530" s="120"/>
      <c r="I7530" s="60"/>
      <c r="J7530" s="116"/>
      <c r="K7530" s="213"/>
      <c r="L7530" s="120"/>
      <c r="M7530" s="120"/>
      <c r="N7530" s="167"/>
      <c r="O7530" s="120"/>
      <c r="P7530" s="120"/>
      <c r="Q7530" s="120"/>
      <c r="R7530" s="120"/>
      <c r="S7530" s="120"/>
      <c r="T7530" s="221"/>
      <c r="U7530" s="89"/>
      <c r="V7530" s="61"/>
      <c r="W7530" s="92" t="s">
        <v>1032</v>
      </c>
      <c r="X7530" s="93" t="s">
        <v>30</v>
      </c>
      <c r="Y7530" s="93" t="s">
        <v>66</v>
      </c>
      <c r="Z7530" s="134">
        <f>VLOOKUP(W7530,Sheet2!$B:$D,3,FALSE)</f>
        <v>250</v>
      </c>
      <c r="AA7530" s="93">
        <f>1/(1.5*0.1)</f>
        <v>6.6666666666666661</v>
      </c>
      <c r="AB7530" s="93">
        <f>AD7530/AC7526</f>
        <v>37.500000000000007</v>
      </c>
      <c r="AC7530" s="93">
        <f>AC7526/AA7530</f>
        <v>1.0649999999999993</v>
      </c>
      <c r="AD7530" s="94">
        <f>AC7530*Z7530</f>
        <v>266.24999999999983</v>
      </c>
      <c r="AE7530" s="190"/>
      <c r="AF7530" s="191"/>
      <c r="AG7530" s="191"/>
      <c r="AH7530" s="191"/>
      <c r="AI7530" s="186"/>
      <c r="AK7530" s="171"/>
    </row>
    <row r="7531" spans="1:41" s="102" customFormat="1" ht="19.899999999999999" customHeight="1" x14ac:dyDescent="0.25">
      <c r="A7531" s="45"/>
      <c r="B7531" s="59"/>
      <c r="C7531" s="137"/>
      <c r="D7531" s="59"/>
      <c r="E7531" s="116"/>
      <c r="F7531" s="120"/>
      <c r="G7531" s="120"/>
      <c r="H7531" s="120"/>
      <c r="I7531" s="60"/>
      <c r="J7531" s="116"/>
      <c r="K7531" s="213"/>
      <c r="L7531" s="120"/>
      <c r="M7531" s="120"/>
      <c r="N7531" s="167"/>
      <c r="O7531" s="120"/>
      <c r="P7531" s="120"/>
      <c r="Q7531" s="120"/>
      <c r="R7531" s="120"/>
      <c r="S7531" s="120"/>
      <c r="T7531" s="221"/>
      <c r="U7531" s="89"/>
      <c r="V7531" s="61"/>
      <c r="W7531" s="92" t="s">
        <v>1035</v>
      </c>
      <c r="X7531" s="93" t="s">
        <v>32</v>
      </c>
      <c r="Y7531" s="93" t="s">
        <v>66</v>
      </c>
      <c r="Z7531" s="134">
        <f>VLOOKUP(W7531,Sheet2!$B:$D,3,FALSE)</f>
        <v>150</v>
      </c>
      <c r="AA7531" s="93">
        <f>AA7530</f>
        <v>6.6666666666666661</v>
      </c>
      <c r="AB7531" s="93">
        <f>AD7531/AC7526</f>
        <v>22.500000000000004</v>
      </c>
      <c r="AC7531" s="93">
        <f>AC7526/AA7531</f>
        <v>1.0649999999999993</v>
      </c>
      <c r="AD7531" s="94">
        <f t="shared" ref="AD7531:AD7532" si="5298">AC7531*Z7531</f>
        <v>159.74999999999989</v>
      </c>
      <c r="AE7531" s="190"/>
      <c r="AF7531" s="191"/>
      <c r="AG7531" s="191"/>
      <c r="AH7531" s="191"/>
      <c r="AI7531" s="186"/>
      <c r="AK7531" s="171"/>
    </row>
    <row r="7532" spans="1:41" s="102" customFormat="1" ht="19.899999999999999" customHeight="1" x14ac:dyDescent="0.25">
      <c r="A7532" s="45"/>
      <c r="B7532" s="59"/>
      <c r="C7532" s="137"/>
      <c r="D7532" s="59"/>
      <c r="E7532" s="116"/>
      <c r="F7532" s="120"/>
      <c r="G7532" s="120"/>
      <c r="H7532" s="120"/>
      <c r="I7532" s="60"/>
      <c r="J7532" s="116"/>
      <c r="K7532" s="213"/>
      <c r="L7532" s="120"/>
      <c r="M7532" s="120"/>
      <c r="N7532" s="167"/>
      <c r="O7532" s="120"/>
      <c r="P7532" s="120"/>
      <c r="Q7532" s="120"/>
      <c r="R7532" s="120"/>
      <c r="S7532" s="120"/>
      <c r="T7532" s="221"/>
      <c r="U7532" s="89"/>
      <c r="V7532" s="61"/>
      <c r="W7532" s="92" t="s">
        <v>1037</v>
      </c>
      <c r="X7532" s="93" t="s">
        <v>30</v>
      </c>
      <c r="Y7532" s="93" t="s">
        <v>1038</v>
      </c>
      <c r="Z7532" s="134">
        <f>VLOOKUP(W7532,Sheet2!$B:$D,3,FALSE)</f>
        <v>175</v>
      </c>
      <c r="AA7532" s="93">
        <v>300</v>
      </c>
      <c r="AB7532" s="93">
        <f>AD7532/AC7526</f>
        <v>0.58333333333333326</v>
      </c>
      <c r="AC7532" s="93">
        <f>AC7526/AA7532</f>
        <v>2.3666666666666648E-2</v>
      </c>
      <c r="AD7532" s="94">
        <f t="shared" si="5298"/>
        <v>4.1416666666666631</v>
      </c>
      <c r="AE7532" s="190"/>
      <c r="AF7532" s="191"/>
      <c r="AG7532" s="191"/>
      <c r="AH7532" s="191"/>
      <c r="AI7532" s="186"/>
      <c r="AK7532" s="171"/>
    </row>
    <row r="7533" spans="1:41" s="103" customFormat="1" ht="19.899999999999999" customHeight="1" x14ac:dyDescent="0.25">
      <c r="A7533" s="51"/>
      <c r="B7533" s="52"/>
      <c r="C7533" s="165"/>
      <c r="D7533" s="52"/>
      <c r="E7533" s="115"/>
      <c r="F7533" s="58"/>
      <c r="G7533" s="58"/>
      <c r="H7533" s="58"/>
      <c r="I7533" s="55"/>
      <c r="J7533" s="113">
        <f>J7515</f>
        <v>7.0999999999999943</v>
      </c>
      <c r="K7533" s="212">
        <f>K7515</f>
        <v>7.0999999999999943</v>
      </c>
      <c r="L7533" s="58"/>
      <c r="M7533" s="58">
        <f>K7533-L7533</f>
        <v>7.0999999999999943</v>
      </c>
      <c r="N7533" s="166"/>
      <c r="O7533" s="58"/>
      <c r="P7533" s="58"/>
      <c r="Q7533" s="58"/>
      <c r="R7533" s="58"/>
      <c r="S7533" s="58"/>
      <c r="T7533" s="220"/>
      <c r="U7533" s="88"/>
      <c r="V7533" s="56"/>
      <c r="W7533" s="57" t="s">
        <v>1040</v>
      </c>
      <c r="X7533" s="53"/>
      <c r="Y7533" s="91" t="s">
        <v>68</v>
      </c>
      <c r="Z7533" s="136">
        <f>AD7533/AC7533</f>
        <v>5</v>
      </c>
      <c r="AA7533" s="58"/>
      <c r="AB7533" s="53">
        <f>AD7533/AC7533</f>
        <v>5</v>
      </c>
      <c r="AC7533" s="53">
        <f>M7533+$AE$10</f>
        <v>7.0999999999999943</v>
      </c>
      <c r="AD7533" s="54">
        <f>SUM(AD7534)</f>
        <v>35.499999999999972</v>
      </c>
      <c r="AE7533" s="184">
        <f>SUMIFS($AD$37:$AD$12971,$V$37:$V$12971,$V7533,$X$37:$X$12971,AE$13)</f>
        <v>0</v>
      </c>
      <c r="AF7533" s="185">
        <f>SUMIFS($AD$37:$AD$12971,$V$37:$V$12971,$V7533,$X$37:$X$12971,AF$13)</f>
        <v>0</v>
      </c>
      <c r="AG7533" s="185">
        <f>SUMIFS($AD$37:$AD$12971,$V$37:$V$12971,$V7533,$X$37:$X$12971,AG$13)</f>
        <v>0</v>
      </c>
      <c r="AH7533" s="187">
        <f>SUMIFS($AD$37:$AD$12971,$V$37:$V$12971,$V7533,$X$37:$X$12971,AH$13)</f>
        <v>0</v>
      </c>
      <c r="AI7533" s="161">
        <f t="shared" ref="AI7533" si="5299">SUM(AE7533:AH7533)</f>
        <v>0</v>
      </c>
      <c r="AK7533" s="172"/>
    </row>
    <row r="7534" spans="1:41" s="102" customFormat="1" ht="19.899999999999999" customHeight="1" x14ac:dyDescent="0.25">
      <c r="A7534" s="45"/>
      <c r="B7534" s="59"/>
      <c r="C7534" s="137"/>
      <c r="D7534" s="59"/>
      <c r="E7534" s="116"/>
      <c r="F7534" s="120"/>
      <c r="G7534" s="120"/>
      <c r="H7534" s="120"/>
      <c r="I7534" s="60"/>
      <c r="J7534" s="116"/>
      <c r="K7534" s="213"/>
      <c r="L7534" s="120"/>
      <c r="M7534" s="120"/>
      <c r="N7534" s="167"/>
      <c r="O7534" s="120"/>
      <c r="P7534" s="120"/>
      <c r="Q7534" s="120"/>
      <c r="R7534" s="120"/>
      <c r="S7534" s="120"/>
      <c r="T7534" s="221"/>
      <c r="U7534" s="89"/>
      <c r="V7534" s="61"/>
      <c r="W7534" s="92" t="s">
        <v>1039</v>
      </c>
      <c r="X7534" s="93" t="s">
        <v>32</v>
      </c>
      <c r="Y7534" s="93" t="s">
        <v>68</v>
      </c>
      <c r="Z7534" s="134">
        <f>VLOOKUP(W7534,Sheet2!$B:$D,3,FALSE)</f>
        <v>5</v>
      </c>
      <c r="AA7534" s="93">
        <v>1</v>
      </c>
      <c r="AB7534" s="93">
        <f>AD7534/AC7533</f>
        <v>5</v>
      </c>
      <c r="AC7534" s="93">
        <f>AC7533/AA7534</f>
        <v>7.0999999999999943</v>
      </c>
      <c r="AD7534" s="94">
        <f t="shared" ref="AD7534" si="5300">AC7534*Z7534</f>
        <v>35.499999999999972</v>
      </c>
      <c r="AE7534" s="190"/>
      <c r="AF7534" s="191"/>
      <c r="AG7534" s="191"/>
      <c r="AH7534" s="191"/>
      <c r="AI7534" s="186"/>
      <c r="AK7534" s="171"/>
    </row>
    <row r="7535" spans="1:41" ht="20.100000000000001" customHeight="1" x14ac:dyDescent="0.25">
      <c r="A7535" s="277" t="s">
        <v>703</v>
      </c>
      <c r="B7535" s="278"/>
      <c r="C7535" s="64" t="s">
        <v>742</v>
      </c>
      <c r="D7535" s="46" t="s">
        <v>97</v>
      </c>
      <c r="E7535" s="114"/>
      <c r="F7535" s="44">
        <v>0</v>
      </c>
      <c r="G7535" s="44">
        <f t="shared" si="4575"/>
        <v>0</v>
      </c>
      <c r="H7535" s="44">
        <f t="shared" si="4576"/>
        <v>0</v>
      </c>
      <c r="I7535" s="43">
        <f t="shared" si="4577"/>
        <v>0</v>
      </c>
      <c r="J7535" s="112">
        <f t="shared" si="4578"/>
        <v>0</v>
      </c>
      <c r="K7535" s="211">
        <f t="shared" si="4579"/>
        <v>0</v>
      </c>
      <c r="L7535" s="44"/>
      <c r="M7535" s="44">
        <f t="shared" si="4580"/>
        <v>0</v>
      </c>
      <c r="N7535" s="173">
        <f t="shared" si="4581"/>
        <v>0</v>
      </c>
      <c r="O7535" s="44">
        <f t="shared" si="4582"/>
        <v>0</v>
      </c>
      <c r="P7535" s="44">
        <f t="shared" si="4583"/>
        <v>0</v>
      </c>
      <c r="Q7535" s="44">
        <f t="shared" si="4584"/>
        <v>0</v>
      </c>
      <c r="R7535" s="44">
        <f t="shared" si="4585"/>
        <v>0</v>
      </c>
      <c r="S7535" s="123"/>
      <c r="T7535" s="219">
        <f t="shared" si="4586"/>
        <v>0</v>
      </c>
      <c r="U7535" s="87"/>
      <c r="V7535" s="47"/>
      <c r="W7535" s="48"/>
      <c r="X7535" s="48"/>
      <c r="Y7535" s="48"/>
      <c r="Z7535" s="135"/>
      <c r="AA7535" s="49"/>
      <c r="AB7535" s="50">
        <f t="shared" si="4587"/>
        <v>0</v>
      </c>
      <c r="AC7535" s="42">
        <f t="shared" si="4588"/>
        <v>9.9999999999999998E-20</v>
      </c>
      <c r="AD7535" s="90"/>
      <c r="AE7535" s="188"/>
      <c r="AF7535" s="189"/>
      <c r="AG7535" s="189"/>
      <c r="AH7535" s="189"/>
      <c r="AI7535" s="161"/>
    </row>
    <row r="7536" spans="1:41" ht="20.100000000000001" customHeight="1" x14ac:dyDescent="0.25">
      <c r="A7536" s="277" t="s">
        <v>703</v>
      </c>
      <c r="B7536" s="278"/>
      <c r="C7536" s="64" t="s">
        <v>743</v>
      </c>
      <c r="D7536" s="46" t="s">
        <v>97</v>
      </c>
      <c r="E7536" s="114">
        <v>12.202949999999987</v>
      </c>
      <c r="F7536" s="44">
        <v>735</v>
      </c>
      <c r="G7536" s="44">
        <f t="shared" si="4575"/>
        <v>8969.1682499999897</v>
      </c>
      <c r="H7536" s="44">
        <f t="shared" si="4576"/>
        <v>464.11880941176474</v>
      </c>
      <c r="I7536" s="43">
        <f t="shared" si="4577"/>
        <v>5663.6186253112883</v>
      </c>
      <c r="J7536" s="112">
        <f t="shared" si="4578"/>
        <v>12.202949999999987</v>
      </c>
      <c r="K7536" s="211">
        <f t="shared" si="4579"/>
        <v>12.202949999999987</v>
      </c>
      <c r="L7536" s="44"/>
      <c r="M7536" s="44">
        <f t="shared" si="4580"/>
        <v>12.202949999999987</v>
      </c>
      <c r="N7536" s="173">
        <f t="shared" si="4581"/>
        <v>1</v>
      </c>
      <c r="O7536" s="44">
        <f t="shared" si="4582"/>
        <v>735</v>
      </c>
      <c r="P7536" s="44">
        <f t="shared" si="4583"/>
        <v>8969.1682499999897</v>
      </c>
      <c r="Q7536" s="44">
        <f t="shared" si="4584"/>
        <v>464.11880941176474</v>
      </c>
      <c r="R7536" s="44">
        <f t="shared" si="4585"/>
        <v>5663.6186253112883</v>
      </c>
      <c r="S7536" s="123"/>
      <c r="T7536" s="219">
        <f t="shared" si="4586"/>
        <v>5663.6186253112883</v>
      </c>
      <c r="U7536" s="87"/>
      <c r="V7536" s="47"/>
      <c r="W7536" s="48"/>
      <c r="X7536" s="48"/>
      <c r="Y7536" s="48"/>
      <c r="Z7536" s="135"/>
      <c r="AA7536" s="49"/>
      <c r="AB7536" s="50">
        <f t="shared" si="4587"/>
        <v>464.11880941176474</v>
      </c>
      <c r="AC7536" s="42">
        <f t="shared" si="4588"/>
        <v>12.202949999999987</v>
      </c>
      <c r="AD7536" s="90">
        <f>AD7537+AD7546+AD7553</f>
        <v>5663.6186253112883</v>
      </c>
      <c r="AE7536" s="188">
        <f t="shared" ref="AE7536:AH7536" si="5301">AE7537+AE7546+AE7553</f>
        <v>0</v>
      </c>
      <c r="AF7536" s="189">
        <f t="shared" si="5301"/>
        <v>0</v>
      </c>
      <c r="AG7536" s="189">
        <f t="shared" si="5301"/>
        <v>0</v>
      </c>
      <c r="AH7536" s="189">
        <f t="shared" si="5301"/>
        <v>0</v>
      </c>
      <c r="AI7536" s="161">
        <f t="shared" ref="AI7536" si="5302">SUM(AE7536:AH7536)</f>
        <v>0</v>
      </c>
      <c r="AK7536" s="169">
        <v>5</v>
      </c>
      <c r="AO7536" s="19" t="s">
        <v>63</v>
      </c>
    </row>
    <row r="7537" spans="1:37" s="103" customFormat="1" ht="19.899999999999999" customHeight="1" x14ac:dyDescent="0.25">
      <c r="A7537" s="51"/>
      <c r="B7537" s="52"/>
      <c r="C7537" s="165"/>
      <c r="D7537" s="52"/>
      <c r="E7537" s="115"/>
      <c r="F7537" s="58"/>
      <c r="G7537" s="58"/>
      <c r="H7537" s="58"/>
      <c r="I7537" s="55"/>
      <c r="J7537" s="113">
        <f>J7536</f>
        <v>12.202949999999987</v>
      </c>
      <c r="K7537" s="212">
        <f>K7536</f>
        <v>12.202949999999987</v>
      </c>
      <c r="L7537" s="58"/>
      <c r="M7537" s="58">
        <f>K7537-L7537</f>
        <v>12.202949999999987</v>
      </c>
      <c r="N7537" s="166"/>
      <c r="O7537" s="58"/>
      <c r="P7537" s="58"/>
      <c r="Q7537" s="58"/>
      <c r="R7537" s="58"/>
      <c r="S7537" s="58"/>
      <c r="T7537" s="220"/>
      <c r="U7537" s="88"/>
      <c r="V7537" s="56"/>
      <c r="W7537" s="57" t="s">
        <v>1085</v>
      </c>
      <c r="X7537" s="53"/>
      <c r="Y7537" s="91" t="s">
        <v>68</v>
      </c>
      <c r="Z7537" s="136">
        <f>AD7537/AC7537</f>
        <v>15.535476078431374</v>
      </c>
      <c r="AA7537" s="58"/>
      <c r="AB7537" s="53">
        <f>AD7537/AC7537</f>
        <v>15.535476078431374</v>
      </c>
      <c r="AC7537" s="53">
        <f>M7537+$AE$10</f>
        <v>12.202949999999987</v>
      </c>
      <c r="AD7537" s="54">
        <f>SUM(AD7538:AD7545)</f>
        <v>189.57863781129393</v>
      </c>
      <c r="AE7537" s="184">
        <f>SUMIFS($AD$37:$AD$12971,$V$37:$V$12971,$V7537,$X$37:$X$12971,AE$13)</f>
        <v>0</v>
      </c>
      <c r="AF7537" s="185">
        <f>SUMIFS($AD$37:$AD$12971,$V$37:$V$12971,$V7537,$X$37:$X$12971,AF$13)</f>
        <v>0</v>
      </c>
      <c r="AG7537" s="185">
        <f>SUMIFS($AD$37:$AD$12971,$V$37:$V$12971,$V7537,$X$37:$X$12971,AG$13)</f>
        <v>0</v>
      </c>
      <c r="AH7537" s="187">
        <f>SUMIFS($AD$37:$AD$12971,$V$37:$V$12971,$V7537,$X$37:$X$12971,AH$13)</f>
        <v>0</v>
      </c>
      <c r="AI7537" s="161">
        <f t="shared" ref="AI7537" si="5303">SUM(AE7537:AH7537)</f>
        <v>0</v>
      </c>
      <c r="AK7537" s="172"/>
    </row>
    <row r="7538" spans="1:37" s="102" customFormat="1" ht="19.899999999999999" customHeight="1" x14ac:dyDescent="0.25">
      <c r="A7538" s="45"/>
      <c r="B7538" s="59"/>
      <c r="C7538" s="137"/>
      <c r="D7538" s="59"/>
      <c r="E7538" s="116"/>
      <c r="F7538" s="120"/>
      <c r="G7538" s="120"/>
      <c r="H7538" s="120"/>
      <c r="I7538" s="60"/>
      <c r="J7538" s="116"/>
      <c r="K7538" s="213"/>
      <c r="L7538" s="120"/>
      <c r="M7538" s="120"/>
      <c r="N7538" s="167"/>
      <c r="O7538" s="120"/>
      <c r="P7538" s="120"/>
      <c r="Q7538" s="120"/>
      <c r="R7538" s="120"/>
      <c r="S7538" s="120"/>
      <c r="T7538" s="221"/>
      <c r="U7538" s="89"/>
      <c r="V7538" s="61"/>
      <c r="W7538" s="92" t="s">
        <v>129</v>
      </c>
      <c r="X7538" s="93" t="s">
        <v>29</v>
      </c>
      <c r="Y7538" s="93" t="s">
        <v>93</v>
      </c>
      <c r="Z7538" s="134">
        <f>VLOOKUP(W7538,Sheet2!$B:$D,3,FALSE)</f>
        <v>56</v>
      </c>
      <c r="AA7538" s="93">
        <f>100/(1.6*2)</f>
        <v>31.25</v>
      </c>
      <c r="AB7538" s="93">
        <f t="shared" ref="AB7538" si="5304">AD7538/AC7537</f>
        <v>1.7919999999999998</v>
      </c>
      <c r="AC7538" s="93">
        <f>AC7537/AA7538</f>
        <v>0.39049439999999958</v>
      </c>
      <c r="AD7538" s="94">
        <f t="shared" ref="AD7538:AD7539" si="5305">AC7538*Z7538</f>
        <v>21.867686399999975</v>
      </c>
      <c r="AE7538" s="190"/>
      <c r="AF7538" s="191"/>
      <c r="AG7538" s="191"/>
      <c r="AH7538" s="191"/>
      <c r="AI7538" s="186"/>
      <c r="AK7538" s="171"/>
    </row>
    <row r="7539" spans="1:37" s="102" customFormat="1" ht="19.899999999999999" customHeight="1" x14ac:dyDescent="0.25">
      <c r="A7539" s="45"/>
      <c r="B7539" s="59"/>
      <c r="C7539" s="137"/>
      <c r="D7539" s="59"/>
      <c r="E7539" s="116"/>
      <c r="F7539" s="120"/>
      <c r="G7539" s="120"/>
      <c r="H7539" s="120"/>
      <c r="I7539" s="60"/>
      <c r="J7539" s="116"/>
      <c r="K7539" s="213"/>
      <c r="L7539" s="120"/>
      <c r="M7539" s="120"/>
      <c r="N7539" s="167"/>
      <c r="O7539" s="120"/>
      <c r="P7539" s="120"/>
      <c r="Q7539" s="120"/>
      <c r="R7539" s="120"/>
      <c r="S7539" s="120"/>
      <c r="T7539" s="221"/>
      <c r="U7539" s="89"/>
      <c r="V7539" s="61"/>
      <c r="W7539" s="92" t="s">
        <v>65</v>
      </c>
      <c r="X7539" s="93" t="s">
        <v>30</v>
      </c>
      <c r="Y7539" s="93" t="s">
        <v>1011</v>
      </c>
      <c r="Z7539" s="134">
        <f>VLOOKUP(W7539,Sheet2!$B:$D,3,FALSE)</f>
        <v>1.76</v>
      </c>
      <c r="AA7539" s="93">
        <f>AA7538/14</f>
        <v>2.2321428571428572</v>
      </c>
      <c r="AB7539" s="93">
        <f>AD7539/AC7537</f>
        <v>0.78847999999999985</v>
      </c>
      <c r="AC7539" s="93">
        <f>AC7537/AA7539</f>
        <v>5.4669215999999938</v>
      </c>
      <c r="AD7539" s="94">
        <f t="shared" si="5305"/>
        <v>9.6217820159999885</v>
      </c>
      <c r="AE7539" s="190"/>
      <c r="AF7539" s="191"/>
      <c r="AG7539" s="191"/>
      <c r="AH7539" s="191"/>
      <c r="AI7539" s="186"/>
      <c r="AK7539" s="171"/>
    </row>
    <row r="7540" spans="1:37" s="102" customFormat="1" ht="19.899999999999999" customHeight="1" x14ac:dyDescent="0.25">
      <c r="A7540" s="45"/>
      <c r="B7540" s="59"/>
      <c r="C7540" s="137"/>
      <c r="D7540" s="59"/>
      <c r="E7540" s="116"/>
      <c r="F7540" s="120"/>
      <c r="G7540" s="120"/>
      <c r="H7540" s="120"/>
      <c r="I7540" s="60"/>
      <c r="J7540" s="116"/>
      <c r="K7540" s="213"/>
      <c r="L7540" s="120"/>
      <c r="M7540" s="120"/>
      <c r="N7540" s="167"/>
      <c r="O7540" s="120"/>
      <c r="P7540" s="120"/>
      <c r="Q7540" s="120"/>
      <c r="R7540" s="120"/>
      <c r="S7540" s="120"/>
      <c r="T7540" s="221"/>
      <c r="U7540" s="89"/>
      <c r="V7540" s="61"/>
      <c r="W7540" s="92" t="s">
        <v>161</v>
      </c>
      <c r="X7540" s="93" t="s">
        <v>29</v>
      </c>
      <c r="Y7540" s="93" t="s">
        <v>93</v>
      </c>
      <c r="Z7540" s="134">
        <f>VLOOKUP(W7540,Sheet2!$B:$D,3,FALSE)</f>
        <v>48</v>
      </c>
      <c r="AA7540" s="93">
        <f>(16*0.85*1.5)/(1.6*2)</f>
        <v>6.3749999999999991</v>
      </c>
      <c r="AB7540" s="93">
        <f>AD7540/AC7537</f>
        <v>7.529411764705884</v>
      </c>
      <c r="AC7540" s="93">
        <f>AC7537/AA7540</f>
        <v>1.914188235294116</v>
      </c>
      <c r="AD7540" s="94">
        <f>AC7540*Z7540</f>
        <v>91.881035294117567</v>
      </c>
      <c r="AE7540" s="190"/>
      <c r="AF7540" s="191"/>
      <c r="AG7540" s="191"/>
      <c r="AH7540" s="191"/>
      <c r="AI7540" s="186"/>
      <c r="AK7540" s="171"/>
    </row>
    <row r="7541" spans="1:37" s="102" customFormat="1" ht="19.899999999999999" customHeight="1" x14ac:dyDescent="0.25">
      <c r="A7541" s="45"/>
      <c r="B7541" s="59"/>
      <c r="C7541" s="137"/>
      <c r="D7541" s="59"/>
      <c r="E7541" s="116"/>
      <c r="F7541" s="120"/>
      <c r="G7541" s="120"/>
      <c r="H7541" s="120"/>
      <c r="I7541" s="60"/>
      <c r="J7541" s="116"/>
      <c r="K7541" s="213"/>
      <c r="L7541" s="120"/>
      <c r="M7541" s="120"/>
      <c r="N7541" s="167"/>
      <c r="O7541" s="120"/>
      <c r="P7541" s="120"/>
      <c r="Q7541" s="120"/>
      <c r="R7541" s="120"/>
      <c r="S7541" s="120"/>
      <c r="T7541" s="221"/>
      <c r="U7541" s="89"/>
      <c r="V7541" s="61"/>
      <c r="W7541" s="92" t="s">
        <v>65</v>
      </c>
      <c r="X7541" s="93" t="s">
        <v>30</v>
      </c>
      <c r="Y7541" s="93" t="s">
        <v>1011</v>
      </c>
      <c r="Z7541" s="134">
        <f>VLOOKUP(W7541,Sheet2!$B:$D,3,FALSE)</f>
        <v>1.76</v>
      </c>
      <c r="AA7541" s="93">
        <f>AA7540/10</f>
        <v>0.63749999999999996</v>
      </c>
      <c r="AB7541" s="93">
        <f>AD7541/AC7537</f>
        <v>2.7607843137254906</v>
      </c>
      <c r="AC7541" s="93">
        <f>AC7537/AA7541</f>
        <v>19.141882352941156</v>
      </c>
      <c r="AD7541" s="94">
        <f>AC7541*Z7541</f>
        <v>33.689712941176438</v>
      </c>
      <c r="AE7541" s="190"/>
      <c r="AF7541" s="191"/>
      <c r="AG7541" s="191"/>
      <c r="AH7541" s="191"/>
      <c r="AI7541" s="186"/>
      <c r="AK7541" s="171"/>
    </row>
    <row r="7542" spans="1:37" s="102" customFormat="1" ht="19.899999999999999" customHeight="1" x14ac:dyDescent="0.25">
      <c r="A7542" s="45"/>
      <c r="B7542" s="59"/>
      <c r="C7542" s="137"/>
      <c r="D7542" s="59"/>
      <c r="E7542" s="116"/>
      <c r="F7542" s="120"/>
      <c r="G7542" s="120"/>
      <c r="H7542" s="120"/>
      <c r="I7542" s="60"/>
      <c r="J7542" s="116"/>
      <c r="K7542" s="213"/>
      <c r="L7542" s="120"/>
      <c r="M7542" s="120"/>
      <c r="N7542" s="167"/>
      <c r="O7542" s="120"/>
      <c r="P7542" s="120"/>
      <c r="Q7542" s="120"/>
      <c r="R7542" s="120"/>
      <c r="S7542" s="120"/>
      <c r="T7542" s="221"/>
      <c r="U7542" s="89"/>
      <c r="V7542" s="61"/>
      <c r="W7542" s="92" t="s">
        <v>1030</v>
      </c>
      <c r="X7542" s="93" t="s">
        <v>29</v>
      </c>
      <c r="Y7542" s="93" t="s">
        <v>93</v>
      </c>
      <c r="Z7542" s="134">
        <f>VLOOKUP(W7542,Sheet2!$B:$D,3,FALSE)</f>
        <v>23</v>
      </c>
      <c r="AA7542" s="93">
        <v>50</v>
      </c>
      <c r="AB7542" s="93">
        <f>AD7542/AC7537</f>
        <v>0.46</v>
      </c>
      <c r="AC7542" s="93">
        <f>AC7537/AA7542</f>
        <v>0.24405899999999975</v>
      </c>
      <c r="AD7542" s="94">
        <f t="shared" ref="AD7542:AD7545" si="5306">AC7542*Z7542</f>
        <v>5.6133569999999944</v>
      </c>
      <c r="AE7542" s="190"/>
      <c r="AF7542" s="191"/>
      <c r="AG7542" s="191"/>
      <c r="AH7542" s="191"/>
      <c r="AI7542" s="186"/>
      <c r="AK7542" s="171"/>
    </row>
    <row r="7543" spans="1:37" s="102" customFormat="1" ht="19.899999999999999" customHeight="1" x14ac:dyDescent="0.25">
      <c r="A7543" s="45"/>
      <c r="B7543" s="59"/>
      <c r="C7543" s="137"/>
      <c r="D7543" s="59"/>
      <c r="E7543" s="116"/>
      <c r="F7543" s="120"/>
      <c r="G7543" s="120"/>
      <c r="H7543" s="120"/>
      <c r="I7543" s="60"/>
      <c r="J7543" s="116"/>
      <c r="K7543" s="213"/>
      <c r="L7543" s="120"/>
      <c r="M7543" s="120"/>
      <c r="N7543" s="167"/>
      <c r="O7543" s="120"/>
      <c r="P7543" s="120"/>
      <c r="Q7543" s="120"/>
      <c r="R7543" s="120"/>
      <c r="S7543" s="120"/>
      <c r="T7543" s="221"/>
      <c r="U7543" s="89"/>
      <c r="V7543" s="61"/>
      <c r="W7543" s="92" t="s">
        <v>65</v>
      </c>
      <c r="X7543" s="93" t="s">
        <v>30</v>
      </c>
      <c r="Y7543" s="93" t="s">
        <v>1011</v>
      </c>
      <c r="Z7543" s="134">
        <f>VLOOKUP(W7543,Sheet2!$B:$D,3,FALSE)</f>
        <v>1.76</v>
      </c>
      <c r="AA7543" s="93">
        <f>AA7542/3</f>
        <v>16.666666666666668</v>
      </c>
      <c r="AB7543" s="93">
        <f>AD7543/AC7537</f>
        <v>0.10559999999999999</v>
      </c>
      <c r="AC7543" s="93">
        <f>AC7537/AA7543</f>
        <v>0.73217699999999919</v>
      </c>
      <c r="AD7543" s="94">
        <f t="shared" si="5306"/>
        <v>1.2886315199999985</v>
      </c>
      <c r="AE7543" s="190"/>
      <c r="AF7543" s="191"/>
      <c r="AG7543" s="191"/>
      <c r="AH7543" s="191"/>
      <c r="AI7543" s="186"/>
      <c r="AK7543" s="171"/>
    </row>
    <row r="7544" spans="1:37" s="102" customFormat="1" ht="19.899999999999999" customHeight="1" x14ac:dyDescent="0.25">
      <c r="A7544" s="45"/>
      <c r="B7544" s="59"/>
      <c r="C7544" s="137"/>
      <c r="D7544" s="59"/>
      <c r="E7544" s="116"/>
      <c r="F7544" s="120"/>
      <c r="G7544" s="120"/>
      <c r="H7544" s="120"/>
      <c r="I7544" s="60"/>
      <c r="J7544" s="116"/>
      <c r="K7544" s="213"/>
      <c r="L7544" s="120"/>
      <c r="M7544" s="120"/>
      <c r="N7544" s="167"/>
      <c r="O7544" s="120"/>
      <c r="P7544" s="120"/>
      <c r="Q7544" s="120"/>
      <c r="R7544" s="120"/>
      <c r="S7544" s="120"/>
      <c r="T7544" s="221"/>
      <c r="U7544" s="89"/>
      <c r="V7544" s="61"/>
      <c r="W7544" s="92" t="s">
        <v>148</v>
      </c>
      <c r="X7544" s="93" t="s">
        <v>29</v>
      </c>
      <c r="Y7544" s="93" t="s">
        <v>93</v>
      </c>
      <c r="Z7544" s="134">
        <f>VLOOKUP(W7544,Sheet2!$B:$D,3,FALSE)</f>
        <v>48</v>
      </c>
      <c r="AA7544" s="93">
        <f>AA7538</f>
        <v>31.25</v>
      </c>
      <c r="AB7544" s="93">
        <f>AD7544/AC7537</f>
        <v>1.5359999999999998</v>
      </c>
      <c r="AC7544" s="93">
        <f>AC7537/AA7544</f>
        <v>0.39049439999999958</v>
      </c>
      <c r="AD7544" s="94">
        <f t="shared" si="5306"/>
        <v>18.743731199999978</v>
      </c>
      <c r="AE7544" s="190"/>
      <c r="AF7544" s="191"/>
      <c r="AG7544" s="191"/>
      <c r="AH7544" s="191"/>
      <c r="AI7544" s="186"/>
      <c r="AK7544" s="171"/>
    </row>
    <row r="7545" spans="1:37" s="102" customFormat="1" ht="19.899999999999999" customHeight="1" x14ac:dyDescent="0.25">
      <c r="A7545" s="45"/>
      <c r="B7545" s="59"/>
      <c r="C7545" s="137"/>
      <c r="D7545" s="59"/>
      <c r="E7545" s="116"/>
      <c r="F7545" s="120"/>
      <c r="G7545" s="120"/>
      <c r="H7545" s="120"/>
      <c r="I7545" s="60"/>
      <c r="J7545" s="116"/>
      <c r="K7545" s="213"/>
      <c r="L7545" s="120"/>
      <c r="M7545" s="120"/>
      <c r="N7545" s="167"/>
      <c r="O7545" s="120"/>
      <c r="P7545" s="120"/>
      <c r="Q7545" s="120"/>
      <c r="R7545" s="120"/>
      <c r="S7545" s="120"/>
      <c r="T7545" s="221"/>
      <c r="U7545" s="89"/>
      <c r="V7545" s="61"/>
      <c r="W7545" s="92" t="s">
        <v>65</v>
      </c>
      <c r="X7545" s="93" t="s">
        <v>30</v>
      </c>
      <c r="Y7545" s="93" t="s">
        <v>1011</v>
      </c>
      <c r="Z7545" s="134">
        <f>VLOOKUP(W7545,Sheet2!$B:$D,3,FALSE)</f>
        <v>1.76</v>
      </c>
      <c r="AA7545" s="93">
        <f>AA7544/10</f>
        <v>3.125</v>
      </c>
      <c r="AB7545" s="93">
        <f>AD7545/AC7537</f>
        <v>0.56320000000000003</v>
      </c>
      <c r="AC7545" s="93">
        <f>AC7537/AA7545</f>
        <v>3.904943999999996</v>
      </c>
      <c r="AD7545" s="94">
        <f t="shared" si="5306"/>
        <v>6.8727014399999931</v>
      </c>
      <c r="AE7545" s="190"/>
      <c r="AF7545" s="191"/>
      <c r="AG7545" s="191"/>
      <c r="AH7545" s="191"/>
      <c r="AI7545" s="186"/>
      <c r="AK7545" s="171"/>
    </row>
    <row r="7546" spans="1:37" s="103" customFormat="1" ht="19.899999999999999" customHeight="1" x14ac:dyDescent="0.25">
      <c r="A7546" s="51"/>
      <c r="B7546" s="52"/>
      <c r="C7546" s="165"/>
      <c r="D7546" s="52"/>
      <c r="E7546" s="115"/>
      <c r="F7546" s="58"/>
      <c r="G7546" s="58"/>
      <c r="H7546" s="58"/>
      <c r="I7546" s="55"/>
      <c r="J7546" s="113">
        <f>J7536</f>
        <v>12.202949999999987</v>
      </c>
      <c r="K7546" s="212">
        <f>K7536</f>
        <v>12.202949999999987</v>
      </c>
      <c r="L7546" s="58"/>
      <c r="M7546" s="58">
        <f>K7546-L7546</f>
        <v>12.202949999999987</v>
      </c>
      <c r="N7546" s="166"/>
      <c r="O7546" s="58"/>
      <c r="P7546" s="58"/>
      <c r="Q7546" s="58"/>
      <c r="R7546" s="58"/>
      <c r="S7546" s="58"/>
      <c r="T7546" s="220"/>
      <c r="U7546" s="88"/>
      <c r="V7546" s="56"/>
      <c r="W7546" s="57" t="s">
        <v>1036</v>
      </c>
      <c r="X7546" s="53"/>
      <c r="Y7546" s="91" t="s">
        <v>68</v>
      </c>
      <c r="Z7546" s="136">
        <f>AD7546/AC7546</f>
        <v>443.58333333333326</v>
      </c>
      <c r="AA7546" s="58"/>
      <c r="AB7546" s="53">
        <f>AD7546/AC7546</f>
        <v>443.58333333333326</v>
      </c>
      <c r="AC7546" s="53">
        <f>M7546+$AE$10</f>
        <v>12.202949999999987</v>
      </c>
      <c r="AD7546" s="54">
        <f>SUM(AD7547:AD7552)</f>
        <v>5413.0252374999936</v>
      </c>
      <c r="AE7546" s="184">
        <f>SUMIFS($AD$37:$AD$12971,$V$37:$V$12971,$V7546,$X$37:$X$12971,AE$13)</f>
        <v>0</v>
      </c>
      <c r="AF7546" s="185">
        <f>SUMIFS($AD$37:$AD$12971,$V$37:$V$12971,$V7546,$X$37:$X$12971,AF$13)</f>
        <v>0</v>
      </c>
      <c r="AG7546" s="185">
        <f>SUMIFS($AD$37:$AD$12971,$V$37:$V$12971,$V7546,$X$37:$X$12971,AG$13)</f>
        <v>0</v>
      </c>
      <c r="AH7546" s="187">
        <f>SUMIFS($AD$37:$AD$12971,$V$37:$V$12971,$V7546,$X$37:$X$12971,AH$13)</f>
        <v>0</v>
      </c>
      <c r="AI7546" s="161">
        <f t="shared" ref="AI7546" si="5307">SUM(AE7546:AH7546)</f>
        <v>0</v>
      </c>
      <c r="AK7546" s="172"/>
    </row>
    <row r="7547" spans="1:37" s="102" customFormat="1" ht="19.899999999999999" customHeight="1" x14ac:dyDescent="0.25">
      <c r="A7547" s="45"/>
      <c r="B7547" s="59"/>
      <c r="C7547" s="137"/>
      <c r="D7547" s="59"/>
      <c r="E7547" s="116"/>
      <c r="F7547" s="120"/>
      <c r="G7547" s="120"/>
      <c r="H7547" s="120"/>
      <c r="I7547" s="60"/>
      <c r="J7547" s="116"/>
      <c r="K7547" s="213"/>
      <c r="L7547" s="120"/>
      <c r="M7547" s="120"/>
      <c r="N7547" s="167"/>
      <c r="O7547" s="120"/>
      <c r="P7547" s="120"/>
      <c r="Q7547" s="120"/>
      <c r="R7547" s="120"/>
      <c r="S7547" s="120"/>
      <c r="T7547" s="221"/>
      <c r="U7547" s="89"/>
      <c r="V7547" s="61"/>
      <c r="W7547" s="92" t="s">
        <v>1058</v>
      </c>
      <c r="X7547" s="93" t="s">
        <v>30</v>
      </c>
      <c r="Y7547" s="93" t="s">
        <v>68</v>
      </c>
      <c r="Z7547" s="134">
        <f>VLOOKUP(W7547,Sheet2!$B:$D,3,FALSE)</f>
        <v>290</v>
      </c>
      <c r="AA7547" s="93">
        <v>1</v>
      </c>
      <c r="AB7547" s="93">
        <f>AD7547/AC7546</f>
        <v>290</v>
      </c>
      <c r="AC7547" s="93">
        <f>AC7546/AA7547</f>
        <v>12.202949999999987</v>
      </c>
      <c r="AD7547" s="94">
        <f t="shared" ref="AD7547" si="5308">AC7547*Z7547</f>
        <v>3538.855499999996</v>
      </c>
      <c r="AE7547" s="190"/>
      <c r="AF7547" s="191"/>
      <c r="AG7547" s="191"/>
      <c r="AH7547" s="191"/>
      <c r="AI7547" s="186"/>
      <c r="AK7547" s="171"/>
    </row>
    <row r="7548" spans="1:37" s="102" customFormat="1" ht="19.899999999999999" customHeight="1" x14ac:dyDescent="0.25">
      <c r="A7548" s="45"/>
      <c r="B7548" s="59"/>
      <c r="C7548" s="137"/>
      <c r="D7548" s="59"/>
      <c r="E7548" s="116"/>
      <c r="F7548" s="120"/>
      <c r="G7548" s="120"/>
      <c r="H7548" s="120"/>
      <c r="I7548" s="60"/>
      <c r="J7548" s="116"/>
      <c r="K7548" s="213"/>
      <c r="L7548" s="120"/>
      <c r="M7548" s="120"/>
      <c r="N7548" s="167"/>
      <c r="O7548" s="120"/>
      <c r="P7548" s="120"/>
      <c r="Q7548" s="120"/>
      <c r="R7548" s="120"/>
      <c r="S7548" s="120"/>
      <c r="T7548" s="221"/>
      <c r="U7548" s="89"/>
      <c r="V7548" s="61"/>
      <c r="W7548" s="92" t="s">
        <v>1065</v>
      </c>
      <c r="X7548" s="93" t="s">
        <v>30</v>
      </c>
      <c r="Y7548" s="93" t="s">
        <v>68</v>
      </c>
      <c r="Z7548" s="134">
        <f>VLOOKUP(W7548,Sheet2!$B:$D,3,FALSE)</f>
        <v>29</v>
      </c>
      <c r="AA7548" s="93">
        <v>1</v>
      </c>
      <c r="AB7548" s="93">
        <f>AD7548/AC7546</f>
        <v>29</v>
      </c>
      <c r="AC7548" s="93">
        <f>AC7546/AA7548</f>
        <v>12.202949999999987</v>
      </c>
      <c r="AD7548" s="94">
        <f>AC7548*Z7548</f>
        <v>353.88554999999963</v>
      </c>
      <c r="AE7548" s="190"/>
      <c r="AF7548" s="191"/>
      <c r="AG7548" s="191"/>
      <c r="AH7548" s="191"/>
      <c r="AI7548" s="186"/>
      <c r="AK7548" s="171"/>
    </row>
    <row r="7549" spans="1:37" s="102" customFormat="1" ht="19.899999999999999" customHeight="1" x14ac:dyDescent="0.25">
      <c r="A7549" s="45"/>
      <c r="B7549" s="59"/>
      <c r="C7549" s="137"/>
      <c r="D7549" s="59"/>
      <c r="E7549" s="116"/>
      <c r="F7549" s="120"/>
      <c r="G7549" s="120"/>
      <c r="H7549" s="120"/>
      <c r="I7549" s="60"/>
      <c r="J7549" s="116"/>
      <c r="K7549" s="213"/>
      <c r="L7549" s="120"/>
      <c r="M7549" s="120"/>
      <c r="N7549" s="167"/>
      <c r="O7549" s="120"/>
      <c r="P7549" s="120"/>
      <c r="Q7549" s="120"/>
      <c r="R7549" s="120"/>
      <c r="S7549" s="120"/>
      <c r="T7549" s="221"/>
      <c r="U7549" s="89"/>
      <c r="V7549" s="61"/>
      <c r="W7549" s="92" t="s">
        <v>1068</v>
      </c>
      <c r="X7549" s="93" t="s">
        <v>32</v>
      </c>
      <c r="Y7549" s="93" t="s">
        <v>68</v>
      </c>
      <c r="Z7549" s="134">
        <f>VLOOKUP(W7549,Sheet2!$B:$D,3,FALSE)</f>
        <v>60</v>
      </c>
      <c r="AA7549" s="93">
        <v>1</v>
      </c>
      <c r="AB7549" s="93">
        <f>AD7549/AC7546</f>
        <v>60</v>
      </c>
      <c r="AC7549" s="93">
        <f>AC7546/AA7549</f>
        <v>12.202949999999987</v>
      </c>
      <c r="AD7549" s="94">
        <f>AC7549*Z7549</f>
        <v>732.17699999999923</v>
      </c>
      <c r="AE7549" s="190"/>
      <c r="AF7549" s="191"/>
      <c r="AG7549" s="191"/>
      <c r="AH7549" s="191"/>
      <c r="AI7549" s="186"/>
      <c r="AK7549" s="171"/>
    </row>
    <row r="7550" spans="1:37" s="102" customFormat="1" ht="19.899999999999999" customHeight="1" x14ac:dyDescent="0.25">
      <c r="A7550" s="45"/>
      <c r="B7550" s="59"/>
      <c r="C7550" s="137"/>
      <c r="D7550" s="59"/>
      <c r="E7550" s="116"/>
      <c r="F7550" s="120"/>
      <c r="G7550" s="120"/>
      <c r="H7550" s="120"/>
      <c r="I7550" s="60"/>
      <c r="J7550" s="116"/>
      <c r="K7550" s="213"/>
      <c r="L7550" s="120"/>
      <c r="M7550" s="120"/>
      <c r="N7550" s="167"/>
      <c r="O7550" s="120"/>
      <c r="P7550" s="120"/>
      <c r="Q7550" s="120"/>
      <c r="R7550" s="120"/>
      <c r="S7550" s="120"/>
      <c r="T7550" s="221"/>
      <c r="U7550" s="89"/>
      <c r="V7550" s="61"/>
      <c r="W7550" s="92" t="s">
        <v>1032</v>
      </c>
      <c r="X7550" s="93" t="s">
        <v>30</v>
      </c>
      <c r="Y7550" s="93" t="s">
        <v>66</v>
      </c>
      <c r="Z7550" s="134">
        <f>VLOOKUP(W7550,Sheet2!$B:$D,3,FALSE)</f>
        <v>250</v>
      </c>
      <c r="AA7550" s="93">
        <f>1/(1.6*0.1)</f>
        <v>6.2499999999999991</v>
      </c>
      <c r="AB7550" s="93">
        <f>AD7550/AC7546</f>
        <v>40.000000000000007</v>
      </c>
      <c r="AC7550" s="93">
        <f>AC7546/AA7550</f>
        <v>1.9524719999999982</v>
      </c>
      <c r="AD7550" s="94">
        <f>AC7550*Z7550</f>
        <v>488.11799999999954</v>
      </c>
      <c r="AE7550" s="190"/>
      <c r="AF7550" s="191"/>
      <c r="AG7550" s="191"/>
      <c r="AH7550" s="191"/>
      <c r="AI7550" s="186"/>
      <c r="AK7550" s="171"/>
    </row>
    <row r="7551" spans="1:37" s="102" customFormat="1" ht="19.899999999999999" customHeight="1" x14ac:dyDescent="0.25">
      <c r="A7551" s="45"/>
      <c r="B7551" s="59"/>
      <c r="C7551" s="137"/>
      <c r="D7551" s="59"/>
      <c r="E7551" s="116"/>
      <c r="F7551" s="120"/>
      <c r="G7551" s="120"/>
      <c r="H7551" s="120"/>
      <c r="I7551" s="60"/>
      <c r="J7551" s="116"/>
      <c r="K7551" s="213"/>
      <c r="L7551" s="120"/>
      <c r="M7551" s="120"/>
      <c r="N7551" s="167"/>
      <c r="O7551" s="120"/>
      <c r="P7551" s="120"/>
      <c r="Q7551" s="120"/>
      <c r="R7551" s="120"/>
      <c r="S7551" s="120"/>
      <c r="T7551" s="221"/>
      <c r="U7551" s="89"/>
      <c r="V7551" s="61"/>
      <c r="W7551" s="92" t="s">
        <v>1035</v>
      </c>
      <c r="X7551" s="93" t="s">
        <v>32</v>
      </c>
      <c r="Y7551" s="93" t="s">
        <v>66</v>
      </c>
      <c r="Z7551" s="134">
        <f>VLOOKUP(W7551,Sheet2!$B:$D,3,FALSE)</f>
        <v>150</v>
      </c>
      <c r="AA7551" s="93">
        <f>AA7550</f>
        <v>6.2499999999999991</v>
      </c>
      <c r="AB7551" s="93">
        <f>AD7551/AC7546</f>
        <v>24.000000000000004</v>
      </c>
      <c r="AC7551" s="93">
        <f>AC7546/AA7551</f>
        <v>1.9524719999999982</v>
      </c>
      <c r="AD7551" s="94">
        <f t="shared" ref="AD7551:AD7552" si="5309">AC7551*Z7551</f>
        <v>292.87079999999975</v>
      </c>
      <c r="AE7551" s="190"/>
      <c r="AF7551" s="191"/>
      <c r="AG7551" s="191"/>
      <c r="AH7551" s="191"/>
      <c r="AI7551" s="186"/>
      <c r="AK7551" s="171"/>
    </row>
    <row r="7552" spans="1:37" s="102" customFormat="1" ht="19.899999999999999" customHeight="1" x14ac:dyDescent="0.25">
      <c r="A7552" s="45"/>
      <c r="B7552" s="59"/>
      <c r="C7552" s="137"/>
      <c r="D7552" s="59"/>
      <c r="E7552" s="116"/>
      <c r="F7552" s="120"/>
      <c r="G7552" s="120"/>
      <c r="H7552" s="120"/>
      <c r="I7552" s="60"/>
      <c r="J7552" s="116"/>
      <c r="K7552" s="213"/>
      <c r="L7552" s="120"/>
      <c r="M7552" s="120"/>
      <c r="N7552" s="167"/>
      <c r="O7552" s="120"/>
      <c r="P7552" s="120"/>
      <c r="Q7552" s="120"/>
      <c r="R7552" s="120"/>
      <c r="S7552" s="120"/>
      <c r="T7552" s="221"/>
      <c r="U7552" s="89"/>
      <c r="V7552" s="61"/>
      <c r="W7552" s="92" t="s">
        <v>1037</v>
      </c>
      <c r="X7552" s="93" t="s">
        <v>30</v>
      </c>
      <c r="Y7552" s="93" t="s">
        <v>1038</v>
      </c>
      <c r="Z7552" s="134">
        <f>VLOOKUP(W7552,Sheet2!$B:$D,3,FALSE)</f>
        <v>175</v>
      </c>
      <c r="AA7552" s="93">
        <v>300</v>
      </c>
      <c r="AB7552" s="93">
        <f>AD7552/AC7546</f>
        <v>0.58333333333333326</v>
      </c>
      <c r="AC7552" s="93">
        <f>AC7546/AA7552</f>
        <v>4.0676499999999956E-2</v>
      </c>
      <c r="AD7552" s="94">
        <f t="shared" si="5309"/>
        <v>7.1183874999999919</v>
      </c>
      <c r="AE7552" s="190"/>
      <c r="AF7552" s="191"/>
      <c r="AG7552" s="191"/>
      <c r="AH7552" s="191"/>
      <c r="AI7552" s="186"/>
      <c r="AK7552" s="171"/>
    </row>
    <row r="7553" spans="1:41" s="103" customFormat="1" ht="19.899999999999999" customHeight="1" x14ac:dyDescent="0.25">
      <c r="A7553" s="51"/>
      <c r="B7553" s="52"/>
      <c r="C7553" s="165"/>
      <c r="D7553" s="52"/>
      <c r="E7553" s="115"/>
      <c r="F7553" s="58"/>
      <c r="G7553" s="58"/>
      <c r="H7553" s="58"/>
      <c r="I7553" s="55"/>
      <c r="J7553" s="113">
        <f>J7536</f>
        <v>12.202949999999987</v>
      </c>
      <c r="K7553" s="212">
        <f>K7536</f>
        <v>12.202949999999987</v>
      </c>
      <c r="L7553" s="58"/>
      <c r="M7553" s="58">
        <f>K7553-L7553</f>
        <v>12.202949999999987</v>
      </c>
      <c r="N7553" s="166"/>
      <c r="O7553" s="58"/>
      <c r="P7553" s="58"/>
      <c r="Q7553" s="58"/>
      <c r="R7553" s="58"/>
      <c r="S7553" s="58"/>
      <c r="T7553" s="220"/>
      <c r="U7553" s="88"/>
      <c r="V7553" s="56"/>
      <c r="W7553" s="57" t="s">
        <v>1040</v>
      </c>
      <c r="X7553" s="53"/>
      <c r="Y7553" s="91" t="s">
        <v>68</v>
      </c>
      <c r="Z7553" s="136">
        <f>AD7553/AC7553</f>
        <v>5</v>
      </c>
      <c r="AA7553" s="58"/>
      <c r="AB7553" s="53">
        <f>AD7553/AC7553</f>
        <v>5</v>
      </c>
      <c r="AC7553" s="53">
        <f>M7553+$AE$10</f>
        <v>12.202949999999987</v>
      </c>
      <c r="AD7553" s="54">
        <f>SUM(AD7554)</f>
        <v>61.014749999999935</v>
      </c>
      <c r="AE7553" s="184">
        <f>SUMIFS($AD$37:$AD$12971,$V$37:$V$12971,$V7553,$X$37:$X$12971,AE$13)</f>
        <v>0</v>
      </c>
      <c r="AF7553" s="185">
        <f>SUMIFS($AD$37:$AD$12971,$V$37:$V$12971,$V7553,$X$37:$X$12971,AF$13)</f>
        <v>0</v>
      </c>
      <c r="AG7553" s="185">
        <f>SUMIFS($AD$37:$AD$12971,$V$37:$V$12971,$V7553,$X$37:$X$12971,AG$13)</f>
        <v>0</v>
      </c>
      <c r="AH7553" s="187">
        <f>SUMIFS($AD$37:$AD$12971,$V$37:$V$12971,$V7553,$X$37:$X$12971,AH$13)</f>
        <v>0</v>
      </c>
      <c r="AI7553" s="161">
        <f t="shared" ref="AI7553" si="5310">SUM(AE7553:AH7553)</f>
        <v>0</v>
      </c>
      <c r="AK7553" s="172"/>
    </row>
    <row r="7554" spans="1:41" s="102" customFormat="1" ht="19.899999999999999" customHeight="1" x14ac:dyDescent="0.25">
      <c r="A7554" s="45"/>
      <c r="B7554" s="59"/>
      <c r="C7554" s="137"/>
      <c r="D7554" s="59"/>
      <c r="E7554" s="116"/>
      <c r="F7554" s="120"/>
      <c r="G7554" s="120"/>
      <c r="H7554" s="120"/>
      <c r="I7554" s="60"/>
      <c r="J7554" s="116"/>
      <c r="K7554" s="213"/>
      <c r="L7554" s="120"/>
      <c r="M7554" s="120"/>
      <c r="N7554" s="167"/>
      <c r="O7554" s="120"/>
      <c r="P7554" s="120"/>
      <c r="Q7554" s="120"/>
      <c r="R7554" s="120"/>
      <c r="S7554" s="120"/>
      <c r="T7554" s="221"/>
      <c r="U7554" s="89"/>
      <c r="V7554" s="61"/>
      <c r="W7554" s="92" t="s">
        <v>1039</v>
      </c>
      <c r="X7554" s="93" t="s">
        <v>32</v>
      </c>
      <c r="Y7554" s="93" t="s">
        <v>68</v>
      </c>
      <c r="Z7554" s="134">
        <f>VLOOKUP(W7554,Sheet2!$B:$D,3,FALSE)</f>
        <v>5</v>
      </c>
      <c r="AA7554" s="93">
        <v>1</v>
      </c>
      <c r="AB7554" s="93">
        <f>AD7554/AC7553</f>
        <v>5</v>
      </c>
      <c r="AC7554" s="93">
        <f>AC7553/AA7554</f>
        <v>12.202949999999987</v>
      </c>
      <c r="AD7554" s="94">
        <f t="shared" ref="AD7554" si="5311">AC7554*Z7554</f>
        <v>61.014749999999935</v>
      </c>
      <c r="AE7554" s="190"/>
      <c r="AF7554" s="191"/>
      <c r="AG7554" s="191"/>
      <c r="AH7554" s="191"/>
      <c r="AI7554" s="186"/>
      <c r="AK7554" s="171"/>
    </row>
    <row r="7555" spans="1:41" ht="20.100000000000001" customHeight="1" x14ac:dyDescent="0.25">
      <c r="A7555" s="277" t="s">
        <v>703</v>
      </c>
      <c r="B7555" s="278"/>
      <c r="C7555" s="64" t="s">
        <v>744</v>
      </c>
      <c r="D7555" s="46" t="s">
        <v>97</v>
      </c>
      <c r="E7555" s="114">
        <v>142.27415000000019</v>
      </c>
      <c r="F7555" s="44">
        <v>802</v>
      </c>
      <c r="G7555" s="44">
        <f t="shared" si="4575"/>
        <v>114103.86830000015</v>
      </c>
      <c r="H7555" s="44">
        <f t="shared" si="4576"/>
        <v>502.86127843137257</v>
      </c>
      <c r="I7555" s="43">
        <f t="shared" si="4577"/>
        <v>71544.16095673696</v>
      </c>
      <c r="J7555" s="112">
        <f t="shared" si="4578"/>
        <v>142.27415000000019</v>
      </c>
      <c r="K7555" s="211">
        <f t="shared" si="4579"/>
        <v>142.27415000000019</v>
      </c>
      <c r="L7555" s="44"/>
      <c r="M7555" s="44">
        <f t="shared" si="4580"/>
        <v>142.27415000000019</v>
      </c>
      <c r="N7555" s="173">
        <f t="shared" si="4581"/>
        <v>1</v>
      </c>
      <c r="O7555" s="44">
        <f t="shared" si="4582"/>
        <v>802</v>
      </c>
      <c r="P7555" s="44">
        <f t="shared" si="4583"/>
        <v>114103.86830000015</v>
      </c>
      <c r="Q7555" s="44">
        <f t="shared" si="4584"/>
        <v>502.86127843137257</v>
      </c>
      <c r="R7555" s="44">
        <f t="shared" si="4585"/>
        <v>71544.16095673696</v>
      </c>
      <c r="S7555" s="123"/>
      <c r="T7555" s="219">
        <f t="shared" si="4586"/>
        <v>71544.16095673696</v>
      </c>
      <c r="U7555" s="87"/>
      <c r="V7555" s="47"/>
      <c r="W7555" s="48"/>
      <c r="X7555" s="48"/>
      <c r="Y7555" s="48"/>
      <c r="Z7555" s="135"/>
      <c r="AA7555" s="49"/>
      <c r="AB7555" s="50">
        <f t="shared" si="4587"/>
        <v>502.86127843137257</v>
      </c>
      <c r="AC7555" s="42">
        <f t="shared" si="4588"/>
        <v>142.27415000000019</v>
      </c>
      <c r="AD7555" s="90">
        <f>AD7556+AD7566+AD7573</f>
        <v>71544.16095673696</v>
      </c>
      <c r="AE7555" s="188">
        <f t="shared" ref="AE7555" si="5312">AE7556+AE7566+AE7573</f>
        <v>0</v>
      </c>
      <c r="AF7555" s="189">
        <f t="shared" ref="AF7555" si="5313">AF7556+AF7566+AF7573</f>
        <v>0</v>
      </c>
      <c r="AG7555" s="189">
        <f t="shared" ref="AG7555" si="5314">AG7556+AG7566+AG7573</f>
        <v>0</v>
      </c>
      <c r="AH7555" s="189">
        <f t="shared" ref="AH7555" si="5315">AH7556+AH7566+AH7573</f>
        <v>0</v>
      </c>
      <c r="AI7555" s="161">
        <f t="shared" ref="AI7555" si="5316">SUM(AE7555:AH7555)</f>
        <v>0</v>
      </c>
      <c r="AK7555" s="169">
        <v>5</v>
      </c>
      <c r="AO7555" s="19" t="s">
        <v>63</v>
      </c>
    </row>
    <row r="7556" spans="1:41" s="103" customFormat="1" ht="19.899999999999999" customHeight="1" x14ac:dyDescent="0.25">
      <c r="A7556" s="51"/>
      <c r="B7556" s="52"/>
      <c r="C7556" s="165"/>
      <c r="D7556" s="52"/>
      <c r="E7556" s="115"/>
      <c r="F7556" s="58"/>
      <c r="G7556" s="58"/>
      <c r="H7556" s="58"/>
      <c r="I7556" s="55"/>
      <c r="J7556" s="113">
        <f>J7555</f>
        <v>142.27415000000019</v>
      </c>
      <c r="K7556" s="212">
        <f>K7555</f>
        <v>142.27415000000019</v>
      </c>
      <c r="L7556" s="58"/>
      <c r="M7556" s="58">
        <f>K7556-L7556</f>
        <v>142.27415000000019</v>
      </c>
      <c r="N7556" s="166"/>
      <c r="O7556" s="58"/>
      <c r="P7556" s="58"/>
      <c r="Q7556" s="58"/>
      <c r="R7556" s="58"/>
      <c r="S7556" s="58"/>
      <c r="T7556" s="220"/>
      <c r="U7556" s="88"/>
      <c r="V7556" s="56"/>
      <c r="W7556" s="57" t="s">
        <v>1084</v>
      </c>
      <c r="X7556" s="53"/>
      <c r="Y7556" s="91" t="s">
        <v>68</v>
      </c>
      <c r="Z7556" s="136">
        <f>AD7556/AC7556</f>
        <v>54.277945098039218</v>
      </c>
      <c r="AA7556" s="58"/>
      <c r="AB7556" s="53">
        <f>AD7556/AC7556</f>
        <v>54.277945098039218</v>
      </c>
      <c r="AC7556" s="53">
        <f>M7556+$AE$10</f>
        <v>142.27415000000019</v>
      </c>
      <c r="AD7556" s="54">
        <f>SUM(AD7557:AD7565)</f>
        <v>7722.3485025702066</v>
      </c>
      <c r="AE7556" s="184">
        <f>SUMIFS($AD$37:$AD$12971,$V$37:$V$12971,$V7556,$X$37:$X$12971,AE$13)</f>
        <v>0</v>
      </c>
      <c r="AF7556" s="185">
        <f>SUMIFS($AD$37:$AD$12971,$V$37:$V$12971,$V7556,$X$37:$X$12971,AF$13)</f>
        <v>0</v>
      </c>
      <c r="AG7556" s="185">
        <f>SUMIFS($AD$37:$AD$12971,$V$37:$V$12971,$V7556,$X$37:$X$12971,AG$13)</f>
        <v>0</v>
      </c>
      <c r="AH7556" s="187">
        <f>SUMIFS($AD$37:$AD$12971,$V$37:$V$12971,$V7556,$X$37:$X$12971,AH$13)</f>
        <v>0</v>
      </c>
      <c r="AI7556" s="161">
        <f t="shared" ref="AI7556" si="5317">SUM(AE7556:AH7556)</f>
        <v>0</v>
      </c>
      <c r="AK7556" s="172"/>
    </row>
    <row r="7557" spans="1:41" s="102" customFormat="1" ht="19.899999999999999" customHeight="1" x14ac:dyDescent="0.25">
      <c r="A7557" s="45"/>
      <c r="B7557" s="59"/>
      <c r="C7557" s="137"/>
      <c r="D7557" s="59"/>
      <c r="E7557" s="116"/>
      <c r="F7557" s="120"/>
      <c r="G7557" s="120"/>
      <c r="H7557" s="120"/>
      <c r="I7557" s="60"/>
      <c r="J7557" s="116"/>
      <c r="K7557" s="213"/>
      <c r="L7557" s="120"/>
      <c r="M7557" s="120"/>
      <c r="N7557" s="167"/>
      <c r="O7557" s="120"/>
      <c r="P7557" s="120"/>
      <c r="Q7557" s="120"/>
      <c r="R7557" s="120"/>
      <c r="S7557" s="120"/>
      <c r="T7557" s="221"/>
      <c r="U7557" s="89"/>
      <c r="V7557" s="61"/>
      <c r="W7557" s="92" t="s">
        <v>129</v>
      </c>
      <c r="X7557" s="93" t="s">
        <v>29</v>
      </c>
      <c r="Y7557" s="93" t="s">
        <v>93</v>
      </c>
      <c r="Z7557" s="134">
        <f>VLOOKUP(W7557,Sheet2!$B:$D,3,FALSE)</f>
        <v>56</v>
      </c>
      <c r="AA7557" s="93">
        <f>100/(1.6*2.5)</f>
        <v>25</v>
      </c>
      <c r="AB7557" s="93">
        <f t="shared" ref="AB7557" si="5318">AD7557/AC7556</f>
        <v>2.2399999999999998</v>
      </c>
      <c r="AC7557" s="93">
        <f>AC7556/AA7557</f>
        <v>5.6909660000000075</v>
      </c>
      <c r="AD7557" s="94">
        <f t="shared" ref="AD7557:AD7558" si="5319">AC7557*Z7557</f>
        <v>318.6940960000004</v>
      </c>
      <c r="AE7557" s="190"/>
      <c r="AF7557" s="191"/>
      <c r="AG7557" s="191"/>
      <c r="AH7557" s="191"/>
      <c r="AI7557" s="186"/>
      <c r="AK7557" s="171"/>
    </row>
    <row r="7558" spans="1:41" s="102" customFormat="1" ht="19.899999999999999" customHeight="1" x14ac:dyDescent="0.25">
      <c r="A7558" s="45"/>
      <c r="B7558" s="59"/>
      <c r="C7558" s="137"/>
      <c r="D7558" s="59"/>
      <c r="E7558" s="116"/>
      <c r="F7558" s="120"/>
      <c r="G7558" s="120"/>
      <c r="H7558" s="120"/>
      <c r="I7558" s="60"/>
      <c r="J7558" s="116"/>
      <c r="K7558" s="213"/>
      <c r="L7558" s="120"/>
      <c r="M7558" s="120"/>
      <c r="N7558" s="167"/>
      <c r="O7558" s="120"/>
      <c r="P7558" s="120"/>
      <c r="Q7558" s="120"/>
      <c r="R7558" s="120"/>
      <c r="S7558" s="120"/>
      <c r="T7558" s="221"/>
      <c r="U7558" s="89"/>
      <c r="V7558" s="61"/>
      <c r="W7558" s="92" t="s">
        <v>65</v>
      </c>
      <c r="X7558" s="93" t="s">
        <v>30</v>
      </c>
      <c r="Y7558" s="93" t="s">
        <v>1011</v>
      </c>
      <c r="Z7558" s="134">
        <f>VLOOKUP(W7558,Sheet2!$B:$D,3,FALSE)</f>
        <v>1.76</v>
      </c>
      <c r="AA7558" s="93">
        <f>AA7557/14</f>
        <v>1.7857142857142858</v>
      </c>
      <c r="AB7558" s="93">
        <f>AD7558/AC7556</f>
        <v>0.98559999999999981</v>
      </c>
      <c r="AC7558" s="93">
        <f>AC7556/AA7558</f>
        <v>79.6735240000001</v>
      </c>
      <c r="AD7558" s="94">
        <f t="shared" si="5319"/>
        <v>140.22540224000016</v>
      </c>
      <c r="AE7558" s="190"/>
      <c r="AF7558" s="191"/>
      <c r="AG7558" s="191"/>
      <c r="AH7558" s="191"/>
      <c r="AI7558" s="186"/>
      <c r="AK7558" s="171"/>
    </row>
    <row r="7559" spans="1:41" s="102" customFormat="1" ht="19.899999999999999" customHeight="1" x14ac:dyDescent="0.25">
      <c r="A7559" s="45"/>
      <c r="B7559" s="59"/>
      <c r="C7559" s="137"/>
      <c r="D7559" s="59"/>
      <c r="E7559" s="116"/>
      <c r="F7559" s="120"/>
      <c r="G7559" s="120"/>
      <c r="H7559" s="120"/>
      <c r="I7559" s="60"/>
      <c r="J7559" s="116"/>
      <c r="K7559" s="213"/>
      <c r="L7559" s="120"/>
      <c r="M7559" s="120"/>
      <c r="N7559" s="167"/>
      <c r="O7559" s="120"/>
      <c r="P7559" s="120"/>
      <c r="Q7559" s="120"/>
      <c r="R7559" s="120"/>
      <c r="S7559" s="120"/>
      <c r="T7559" s="221"/>
      <c r="U7559" s="89"/>
      <c r="V7559" s="61"/>
      <c r="W7559" s="92" t="s">
        <v>161</v>
      </c>
      <c r="X7559" s="93" t="s">
        <v>29</v>
      </c>
      <c r="Y7559" s="93" t="s">
        <v>93</v>
      </c>
      <c r="Z7559" s="134">
        <f>VLOOKUP(W7559,Sheet2!$B:$D,3,FALSE)</f>
        <v>48</v>
      </c>
      <c r="AA7559" s="93">
        <f>(16*0.85*1.5)/(1.6*2.5)</f>
        <v>5.0999999999999996</v>
      </c>
      <c r="AB7559" s="93">
        <f>AD7559/AC7556</f>
        <v>9.4117647058823533</v>
      </c>
      <c r="AC7559" s="93">
        <f>AC7556/AA7559</f>
        <v>27.896892156862783</v>
      </c>
      <c r="AD7559" s="94">
        <f>AC7559*Z7559</f>
        <v>1339.0508235294137</v>
      </c>
      <c r="AE7559" s="190"/>
      <c r="AF7559" s="191"/>
      <c r="AG7559" s="191"/>
      <c r="AH7559" s="191"/>
      <c r="AI7559" s="186"/>
      <c r="AK7559" s="171"/>
    </row>
    <row r="7560" spans="1:41" s="102" customFormat="1" ht="19.899999999999999" customHeight="1" x14ac:dyDescent="0.25">
      <c r="A7560" s="45"/>
      <c r="B7560" s="59"/>
      <c r="C7560" s="137"/>
      <c r="D7560" s="59"/>
      <c r="E7560" s="116"/>
      <c r="F7560" s="120"/>
      <c r="G7560" s="120"/>
      <c r="H7560" s="120"/>
      <c r="I7560" s="60"/>
      <c r="J7560" s="116"/>
      <c r="K7560" s="213"/>
      <c r="L7560" s="120"/>
      <c r="M7560" s="120"/>
      <c r="N7560" s="167"/>
      <c r="O7560" s="120"/>
      <c r="P7560" s="120"/>
      <c r="Q7560" s="120"/>
      <c r="R7560" s="120"/>
      <c r="S7560" s="120"/>
      <c r="T7560" s="221"/>
      <c r="U7560" s="89"/>
      <c r="V7560" s="61"/>
      <c r="W7560" s="92" t="s">
        <v>65</v>
      </c>
      <c r="X7560" s="93" t="s">
        <v>30</v>
      </c>
      <c r="Y7560" s="93" t="s">
        <v>1011</v>
      </c>
      <c r="Z7560" s="134">
        <f>VLOOKUP(W7560,Sheet2!$B:$D,3,FALSE)</f>
        <v>1.76</v>
      </c>
      <c r="AA7560" s="93">
        <f>AA7559/10</f>
        <v>0.51</v>
      </c>
      <c r="AB7560" s="93">
        <f>AD7560/AC7556</f>
        <v>3.4509803921568629</v>
      </c>
      <c r="AC7560" s="93">
        <f>AC7556/AA7560</f>
        <v>278.96892156862782</v>
      </c>
      <c r="AD7560" s="94">
        <f>AC7560*Z7560</f>
        <v>490.98530196078497</v>
      </c>
      <c r="AE7560" s="190"/>
      <c r="AF7560" s="191"/>
      <c r="AG7560" s="191"/>
      <c r="AH7560" s="191"/>
      <c r="AI7560" s="186"/>
      <c r="AK7560" s="171"/>
    </row>
    <row r="7561" spans="1:41" s="102" customFormat="1" ht="19.899999999999999" customHeight="1" x14ac:dyDescent="0.25">
      <c r="A7561" s="45"/>
      <c r="B7561" s="59"/>
      <c r="C7561" s="137"/>
      <c r="D7561" s="59"/>
      <c r="E7561" s="116"/>
      <c r="F7561" s="120"/>
      <c r="G7561" s="120"/>
      <c r="H7561" s="120"/>
      <c r="I7561" s="60"/>
      <c r="J7561" s="116"/>
      <c r="K7561" s="213"/>
      <c r="L7561" s="120"/>
      <c r="M7561" s="120"/>
      <c r="N7561" s="167"/>
      <c r="O7561" s="120"/>
      <c r="P7561" s="120"/>
      <c r="Q7561" s="120"/>
      <c r="R7561" s="120"/>
      <c r="S7561" s="120"/>
      <c r="T7561" s="221"/>
      <c r="U7561" s="89"/>
      <c r="V7561" s="61"/>
      <c r="W7561" s="92" t="s">
        <v>1030</v>
      </c>
      <c r="X7561" s="93" t="s">
        <v>29</v>
      </c>
      <c r="Y7561" s="93" t="s">
        <v>93</v>
      </c>
      <c r="Z7561" s="134">
        <f>VLOOKUP(W7561,Sheet2!$B:$D,3,FALSE)</f>
        <v>23</v>
      </c>
      <c r="AA7561" s="93">
        <v>50</v>
      </c>
      <c r="AB7561" s="93">
        <f>AD7561/AC7556</f>
        <v>0.46</v>
      </c>
      <c r="AC7561" s="93">
        <f>AC7556/AA7561</f>
        <v>2.8454830000000038</v>
      </c>
      <c r="AD7561" s="94">
        <f t="shared" ref="AD7561:AD7565" si="5320">AC7561*Z7561</f>
        <v>65.446109000000092</v>
      </c>
      <c r="AE7561" s="190"/>
      <c r="AF7561" s="191"/>
      <c r="AG7561" s="191"/>
      <c r="AH7561" s="191"/>
      <c r="AI7561" s="186"/>
      <c r="AK7561" s="171"/>
    </row>
    <row r="7562" spans="1:41" s="102" customFormat="1" ht="19.899999999999999" customHeight="1" x14ac:dyDescent="0.25">
      <c r="A7562" s="45"/>
      <c r="B7562" s="59"/>
      <c r="C7562" s="137"/>
      <c r="D7562" s="59"/>
      <c r="E7562" s="116"/>
      <c r="F7562" s="120"/>
      <c r="G7562" s="120"/>
      <c r="H7562" s="120"/>
      <c r="I7562" s="60"/>
      <c r="J7562" s="116"/>
      <c r="K7562" s="213"/>
      <c r="L7562" s="120"/>
      <c r="M7562" s="120"/>
      <c r="N7562" s="167"/>
      <c r="O7562" s="120"/>
      <c r="P7562" s="120"/>
      <c r="Q7562" s="120"/>
      <c r="R7562" s="120"/>
      <c r="S7562" s="120"/>
      <c r="T7562" s="221"/>
      <c r="U7562" s="89"/>
      <c r="V7562" s="61"/>
      <c r="W7562" s="92" t="s">
        <v>65</v>
      </c>
      <c r="X7562" s="93" t="s">
        <v>30</v>
      </c>
      <c r="Y7562" s="93" t="s">
        <v>1011</v>
      </c>
      <c r="Z7562" s="134">
        <f>VLOOKUP(W7562,Sheet2!$B:$D,3,FALSE)</f>
        <v>1.76</v>
      </c>
      <c r="AA7562" s="93">
        <f>AA7561/3</f>
        <v>16.666666666666668</v>
      </c>
      <c r="AB7562" s="93">
        <f>AD7562/AC7556</f>
        <v>0.10559999999999997</v>
      </c>
      <c r="AC7562" s="93">
        <f>AC7556/AA7562</f>
        <v>8.5364490000000099</v>
      </c>
      <c r="AD7562" s="94">
        <f t="shared" si="5320"/>
        <v>15.024150240000017</v>
      </c>
      <c r="AE7562" s="190"/>
      <c r="AF7562" s="191"/>
      <c r="AG7562" s="191"/>
      <c r="AH7562" s="191"/>
      <c r="AI7562" s="186"/>
      <c r="AK7562" s="171"/>
    </row>
    <row r="7563" spans="1:41" s="102" customFormat="1" ht="19.899999999999999" customHeight="1" x14ac:dyDescent="0.25">
      <c r="A7563" s="45"/>
      <c r="B7563" s="59"/>
      <c r="C7563" s="137"/>
      <c r="D7563" s="59"/>
      <c r="E7563" s="116"/>
      <c r="F7563" s="120"/>
      <c r="G7563" s="120"/>
      <c r="H7563" s="120"/>
      <c r="I7563" s="60"/>
      <c r="J7563" s="116"/>
      <c r="K7563" s="213"/>
      <c r="L7563" s="120"/>
      <c r="M7563" s="120"/>
      <c r="N7563" s="167"/>
      <c r="O7563" s="120"/>
      <c r="P7563" s="120"/>
      <c r="Q7563" s="120"/>
      <c r="R7563" s="120"/>
      <c r="S7563" s="120"/>
      <c r="T7563" s="221"/>
      <c r="U7563" s="89"/>
      <c r="V7563" s="61"/>
      <c r="W7563" s="92" t="s">
        <v>148</v>
      </c>
      <c r="X7563" s="93" t="s">
        <v>29</v>
      </c>
      <c r="Y7563" s="93" t="s">
        <v>93</v>
      </c>
      <c r="Z7563" s="134">
        <f>VLOOKUP(W7563,Sheet2!$B:$D,3,FALSE)</f>
        <v>48</v>
      </c>
      <c r="AA7563" s="93">
        <f>AA7557</f>
        <v>25</v>
      </c>
      <c r="AB7563" s="93">
        <f>AD7563/AC7556</f>
        <v>1.9200000000000002</v>
      </c>
      <c r="AC7563" s="93">
        <f>AC7556/AA7563</f>
        <v>5.6909660000000075</v>
      </c>
      <c r="AD7563" s="94">
        <f t="shared" si="5320"/>
        <v>273.16636800000038</v>
      </c>
      <c r="AE7563" s="190"/>
      <c r="AF7563" s="191"/>
      <c r="AG7563" s="191"/>
      <c r="AH7563" s="191"/>
      <c r="AI7563" s="186"/>
      <c r="AK7563" s="171"/>
    </row>
    <row r="7564" spans="1:41" s="102" customFormat="1" ht="19.899999999999999" customHeight="1" x14ac:dyDescent="0.25">
      <c r="A7564" s="45"/>
      <c r="B7564" s="59"/>
      <c r="C7564" s="137"/>
      <c r="D7564" s="59"/>
      <c r="E7564" s="116"/>
      <c r="F7564" s="120"/>
      <c r="G7564" s="120"/>
      <c r="H7564" s="120"/>
      <c r="I7564" s="60"/>
      <c r="J7564" s="116"/>
      <c r="K7564" s="213"/>
      <c r="L7564" s="120"/>
      <c r="M7564" s="120"/>
      <c r="N7564" s="167"/>
      <c r="O7564" s="120"/>
      <c r="P7564" s="120"/>
      <c r="Q7564" s="120"/>
      <c r="R7564" s="120"/>
      <c r="S7564" s="120"/>
      <c r="T7564" s="221"/>
      <c r="U7564" s="89"/>
      <c r="V7564" s="61"/>
      <c r="W7564" s="92" t="s">
        <v>65</v>
      </c>
      <c r="X7564" s="93" t="s">
        <v>30</v>
      </c>
      <c r="Y7564" s="93" t="s">
        <v>1011</v>
      </c>
      <c r="Z7564" s="134">
        <f>VLOOKUP(W7564,Sheet2!$B:$D,3,FALSE)</f>
        <v>1.76</v>
      </c>
      <c r="AA7564" s="93">
        <f>AA7563/10</f>
        <v>2.5</v>
      </c>
      <c r="AB7564" s="93">
        <f>AD7564/AC7556</f>
        <v>0.70399999999999996</v>
      </c>
      <c r="AC7564" s="93">
        <f>AC7556/AA7564</f>
        <v>56.909660000000073</v>
      </c>
      <c r="AD7564" s="94">
        <f t="shared" si="5320"/>
        <v>100.16100160000013</v>
      </c>
      <c r="AE7564" s="190"/>
      <c r="AF7564" s="191"/>
      <c r="AG7564" s="191"/>
      <c r="AH7564" s="191"/>
      <c r="AI7564" s="186"/>
      <c r="AK7564" s="171"/>
    </row>
    <row r="7565" spans="1:41" s="102" customFormat="1" ht="19.899999999999999" customHeight="1" x14ac:dyDescent="0.25">
      <c r="A7565" s="45"/>
      <c r="B7565" s="59"/>
      <c r="C7565" s="137"/>
      <c r="D7565" s="59"/>
      <c r="E7565" s="116"/>
      <c r="F7565" s="120"/>
      <c r="G7565" s="120"/>
      <c r="H7565" s="120"/>
      <c r="I7565" s="60"/>
      <c r="J7565" s="116"/>
      <c r="K7565" s="213"/>
      <c r="L7565" s="120"/>
      <c r="M7565" s="120"/>
      <c r="N7565" s="167"/>
      <c r="O7565" s="120"/>
      <c r="P7565" s="120"/>
      <c r="Q7565" s="120"/>
      <c r="R7565" s="120"/>
      <c r="S7565" s="120"/>
      <c r="T7565" s="221"/>
      <c r="U7565" s="89"/>
      <c r="V7565" s="61"/>
      <c r="W7565" s="92" t="s">
        <v>1048</v>
      </c>
      <c r="X7565" s="93" t="s">
        <v>30</v>
      </c>
      <c r="Y7565" s="93" t="s">
        <v>68</v>
      </c>
      <c r="Z7565" s="134">
        <f>VLOOKUP(W7565,Sheet2!$B:$D,3,FALSE)</f>
        <v>35</v>
      </c>
      <c r="AA7565" s="93">
        <v>1</v>
      </c>
      <c r="AB7565" s="93">
        <f>AD7565/AC7556</f>
        <v>35</v>
      </c>
      <c r="AC7565" s="93">
        <f>AC7556/AA7565</f>
        <v>142.27415000000019</v>
      </c>
      <c r="AD7565" s="94">
        <f t="shared" si="5320"/>
        <v>4979.5952500000067</v>
      </c>
      <c r="AE7565" s="190"/>
      <c r="AF7565" s="191"/>
      <c r="AG7565" s="191"/>
      <c r="AH7565" s="191"/>
      <c r="AI7565" s="186"/>
      <c r="AK7565" s="171"/>
    </row>
    <row r="7566" spans="1:41" s="103" customFormat="1" ht="19.899999999999999" customHeight="1" x14ac:dyDescent="0.25">
      <c r="A7566" s="51"/>
      <c r="B7566" s="52"/>
      <c r="C7566" s="165"/>
      <c r="D7566" s="52"/>
      <c r="E7566" s="115"/>
      <c r="F7566" s="58"/>
      <c r="G7566" s="58"/>
      <c r="H7566" s="58"/>
      <c r="I7566" s="55"/>
      <c r="J7566" s="113">
        <f>J7555</f>
        <v>142.27415000000019</v>
      </c>
      <c r="K7566" s="212">
        <f>K7555</f>
        <v>142.27415000000019</v>
      </c>
      <c r="L7566" s="58"/>
      <c r="M7566" s="58">
        <f>K7566-L7566</f>
        <v>142.27415000000019</v>
      </c>
      <c r="N7566" s="166"/>
      <c r="O7566" s="58"/>
      <c r="P7566" s="58"/>
      <c r="Q7566" s="58"/>
      <c r="R7566" s="58"/>
      <c r="S7566" s="58"/>
      <c r="T7566" s="220"/>
      <c r="U7566" s="88"/>
      <c r="V7566" s="56"/>
      <c r="W7566" s="57" t="s">
        <v>1036</v>
      </c>
      <c r="X7566" s="53"/>
      <c r="Y7566" s="91" t="s">
        <v>68</v>
      </c>
      <c r="Z7566" s="136">
        <f>AD7566/AC7566</f>
        <v>443.58333333333331</v>
      </c>
      <c r="AA7566" s="58"/>
      <c r="AB7566" s="53">
        <f>AD7566/AC7566</f>
        <v>443.58333333333331</v>
      </c>
      <c r="AC7566" s="53">
        <f>M7566+$AE$10</f>
        <v>142.27415000000019</v>
      </c>
      <c r="AD7566" s="54">
        <f>SUM(AD7567:AD7572)</f>
        <v>63110.441704166748</v>
      </c>
      <c r="AE7566" s="184">
        <f>SUMIFS($AD$37:$AD$12971,$V$37:$V$12971,$V7566,$X$37:$X$12971,AE$13)</f>
        <v>0</v>
      </c>
      <c r="AF7566" s="185">
        <f>SUMIFS($AD$37:$AD$12971,$V$37:$V$12971,$V7566,$X$37:$X$12971,AF$13)</f>
        <v>0</v>
      </c>
      <c r="AG7566" s="185">
        <f>SUMIFS($AD$37:$AD$12971,$V$37:$V$12971,$V7566,$X$37:$X$12971,AG$13)</f>
        <v>0</v>
      </c>
      <c r="AH7566" s="187">
        <f>SUMIFS($AD$37:$AD$12971,$V$37:$V$12971,$V7566,$X$37:$X$12971,AH$13)</f>
        <v>0</v>
      </c>
      <c r="AI7566" s="161">
        <f t="shared" ref="AI7566" si="5321">SUM(AE7566:AH7566)</f>
        <v>0</v>
      </c>
      <c r="AK7566" s="172"/>
    </row>
    <row r="7567" spans="1:41" s="102" customFormat="1" ht="19.899999999999999" customHeight="1" x14ac:dyDescent="0.25">
      <c r="A7567" s="45"/>
      <c r="B7567" s="59"/>
      <c r="C7567" s="137"/>
      <c r="D7567" s="59"/>
      <c r="E7567" s="116"/>
      <c r="F7567" s="120"/>
      <c r="G7567" s="120"/>
      <c r="H7567" s="120"/>
      <c r="I7567" s="60"/>
      <c r="J7567" s="116"/>
      <c r="K7567" s="213"/>
      <c r="L7567" s="120"/>
      <c r="M7567" s="120"/>
      <c r="N7567" s="167"/>
      <c r="O7567" s="120"/>
      <c r="P7567" s="120"/>
      <c r="Q7567" s="120"/>
      <c r="R7567" s="120"/>
      <c r="S7567" s="120"/>
      <c r="T7567" s="221"/>
      <c r="U7567" s="89"/>
      <c r="V7567" s="61"/>
      <c r="W7567" s="92" t="s">
        <v>1058</v>
      </c>
      <c r="X7567" s="93" t="s">
        <v>30</v>
      </c>
      <c r="Y7567" s="93" t="s">
        <v>68</v>
      </c>
      <c r="Z7567" s="134">
        <f>VLOOKUP(W7567,Sheet2!$B:$D,3,FALSE)</f>
        <v>290</v>
      </c>
      <c r="AA7567" s="93">
        <v>1</v>
      </c>
      <c r="AB7567" s="93">
        <f>AD7567/AC7566</f>
        <v>290</v>
      </c>
      <c r="AC7567" s="93">
        <f>AC7566/AA7567</f>
        <v>142.27415000000019</v>
      </c>
      <c r="AD7567" s="94">
        <f t="shared" ref="AD7567" si="5322">AC7567*Z7567</f>
        <v>41259.503500000057</v>
      </c>
      <c r="AE7567" s="190"/>
      <c r="AF7567" s="191"/>
      <c r="AG7567" s="191"/>
      <c r="AH7567" s="191"/>
      <c r="AI7567" s="186"/>
      <c r="AK7567" s="171"/>
    </row>
    <row r="7568" spans="1:41" s="102" customFormat="1" ht="19.899999999999999" customHeight="1" x14ac:dyDescent="0.25">
      <c r="A7568" s="45"/>
      <c r="B7568" s="59"/>
      <c r="C7568" s="137"/>
      <c r="D7568" s="59"/>
      <c r="E7568" s="116"/>
      <c r="F7568" s="120"/>
      <c r="G7568" s="120"/>
      <c r="H7568" s="120"/>
      <c r="I7568" s="60"/>
      <c r="J7568" s="116"/>
      <c r="K7568" s="213"/>
      <c r="L7568" s="120"/>
      <c r="M7568" s="120"/>
      <c r="N7568" s="167"/>
      <c r="O7568" s="120"/>
      <c r="P7568" s="120"/>
      <c r="Q7568" s="120"/>
      <c r="R7568" s="120"/>
      <c r="S7568" s="120"/>
      <c r="T7568" s="221"/>
      <c r="U7568" s="89"/>
      <c r="V7568" s="61"/>
      <c r="W7568" s="92" t="s">
        <v>1065</v>
      </c>
      <c r="X7568" s="93" t="s">
        <v>30</v>
      </c>
      <c r="Y7568" s="93" t="s">
        <v>68</v>
      </c>
      <c r="Z7568" s="134">
        <f>VLOOKUP(W7568,Sheet2!$B:$D,3,FALSE)</f>
        <v>29</v>
      </c>
      <c r="AA7568" s="93">
        <v>1</v>
      </c>
      <c r="AB7568" s="93">
        <f>AD7568/AC7566</f>
        <v>29</v>
      </c>
      <c r="AC7568" s="93">
        <f>AC7566/AA7568</f>
        <v>142.27415000000019</v>
      </c>
      <c r="AD7568" s="94">
        <f>AC7568*Z7568</f>
        <v>4125.9503500000055</v>
      </c>
      <c r="AE7568" s="190"/>
      <c r="AF7568" s="191"/>
      <c r="AG7568" s="191"/>
      <c r="AH7568" s="191"/>
      <c r="AI7568" s="186"/>
      <c r="AK7568" s="171"/>
    </row>
    <row r="7569" spans="1:41" s="102" customFormat="1" ht="19.899999999999999" customHeight="1" x14ac:dyDescent="0.25">
      <c r="A7569" s="45"/>
      <c r="B7569" s="59"/>
      <c r="C7569" s="137"/>
      <c r="D7569" s="59"/>
      <c r="E7569" s="116"/>
      <c r="F7569" s="120"/>
      <c r="G7569" s="120"/>
      <c r="H7569" s="120"/>
      <c r="I7569" s="60"/>
      <c r="J7569" s="116"/>
      <c r="K7569" s="213"/>
      <c r="L7569" s="120"/>
      <c r="M7569" s="120"/>
      <c r="N7569" s="167"/>
      <c r="O7569" s="120"/>
      <c r="P7569" s="120"/>
      <c r="Q7569" s="120"/>
      <c r="R7569" s="120"/>
      <c r="S7569" s="120"/>
      <c r="T7569" s="221"/>
      <c r="U7569" s="89"/>
      <c r="V7569" s="61"/>
      <c r="W7569" s="92" t="s">
        <v>1068</v>
      </c>
      <c r="X7569" s="93" t="s">
        <v>32</v>
      </c>
      <c r="Y7569" s="93" t="s">
        <v>68</v>
      </c>
      <c r="Z7569" s="134">
        <f>VLOOKUP(W7569,Sheet2!$B:$D,3,FALSE)</f>
        <v>60</v>
      </c>
      <c r="AA7569" s="93">
        <v>1</v>
      </c>
      <c r="AB7569" s="93">
        <f>AD7569/AC7566</f>
        <v>60</v>
      </c>
      <c r="AC7569" s="93">
        <f>AC7566/AA7569</f>
        <v>142.27415000000019</v>
      </c>
      <c r="AD7569" s="94">
        <f>AC7569*Z7569</f>
        <v>8536.4490000000114</v>
      </c>
      <c r="AE7569" s="190"/>
      <c r="AF7569" s="191"/>
      <c r="AG7569" s="191"/>
      <c r="AH7569" s="191"/>
      <c r="AI7569" s="186"/>
      <c r="AK7569" s="171"/>
    </row>
    <row r="7570" spans="1:41" s="102" customFormat="1" ht="19.899999999999999" customHeight="1" x14ac:dyDescent="0.25">
      <c r="A7570" s="45"/>
      <c r="B7570" s="59"/>
      <c r="C7570" s="137"/>
      <c r="D7570" s="59"/>
      <c r="E7570" s="116"/>
      <c r="F7570" s="120"/>
      <c r="G7570" s="120"/>
      <c r="H7570" s="120"/>
      <c r="I7570" s="60"/>
      <c r="J7570" s="116"/>
      <c r="K7570" s="213"/>
      <c r="L7570" s="120"/>
      <c r="M7570" s="120"/>
      <c r="N7570" s="167"/>
      <c r="O7570" s="120"/>
      <c r="P7570" s="120"/>
      <c r="Q7570" s="120"/>
      <c r="R7570" s="120"/>
      <c r="S7570" s="120"/>
      <c r="T7570" s="221"/>
      <c r="U7570" s="89"/>
      <c r="V7570" s="61"/>
      <c r="W7570" s="92" t="s">
        <v>1032</v>
      </c>
      <c r="X7570" s="93" t="s">
        <v>30</v>
      </c>
      <c r="Y7570" s="93" t="s">
        <v>66</v>
      </c>
      <c r="Z7570" s="134">
        <f>VLOOKUP(W7570,Sheet2!$B:$D,3,FALSE)</f>
        <v>250</v>
      </c>
      <c r="AA7570" s="93">
        <f>1/(1.6*0.1)</f>
        <v>6.2499999999999991</v>
      </c>
      <c r="AB7570" s="93">
        <f>AD7570/AC7566</f>
        <v>40.000000000000007</v>
      </c>
      <c r="AC7570" s="93">
        <f>AC7566/AA7570</f>
        <v>22.763864000000034</v>
      </c>
      <c r="AD7570" s="94">
        <f>AC7570*Z7570</f>
        <v>5690.9660000000085</v>
      </c>
      <c r="AE7570" s="190"/>
      <c r="AF7570" s="191"/>
      <c r="AG7570" s="191"/>
      <c r="AH7570" s="191"/>
      <c r="AI7570" s="186"/>
      <c r="AK7570" s="171"/>
    </row>
    <row r="7571" spans="1:41" s="102" customFormat="1" ht="19.899999999999999" customHeight="1" x14ac:dyDescent="0.25">
      <c r="A7571" s="45"/>
      <c r="B7571" s="59"/>
      <c r="C7571" s="137"/>
      <c r="D7571" s="59"/>
      <c r="E7571" s="116"/>
      <c r="F7571" s="120"/>
      <c r="G7571" s="120"/>
      <c r="H7571" s="120"/>
      <c r="I7571" s="60"/>
      <c r="J7571" s="116"/>
      <c r="K7571" s="213"/>
      <c r="L7571" s="120"/>
      <c r="M7571" s="120"/>
      <c r="N7571" s="167"/>
      <c r="O7571" s="120"/>
      <c r="P7571" s="120"/>
      <c r="Q7571" s="120"/>
      <c r="R7571" s="120"/>
      <c r="S7571" s="120"/>
      <c r="T7571" s="221"/>
      <c r="U7571" s="89"/>
      <c r="V7571" s="61"/>
      <c r="W7571" s="92" t="s">
        <v>1035</v>
      </c>
      <c r="X7571" s="93" t="s">
        <v>32</v>
      </c>
      <c r="Y7571" s="93" t="s">
        <v>66</v>
      </c>
      <c r="Z7571" s="134">
        <f>VLOOKUP(W7571,Sheet2!$B:$D,3,FALSE)</f>
        <v>150</v>
      </c>
      <c r="AA7571" s="93">
        <f>AA7570</f>
        <v>6.2499999999999991</v>
      </c>
      <c r="AB7571" s="93">
        <f>AD7571/AC7566</f>
        <v>24.000000000000004</v>
      </c>
      <c r="AC7571" s="93">
        <f>AC7566/AA7571</f>
        <v>22.763864000000034</v>
      </c>
      <c r="AD7571" s="94">
        <f t="shared" ref="AD7571:AD7572" si="5323">AC7571*Z7571</f>
        <v>3414.579600000005</v>
      </c>
      <c r="AE7571" s="190"/>
      <c r="AF7571" s="191"/>
      <c r="AG7571" s="191"/>
      <c r="AH7571" s="191"/>
      <c r="AI7571" s="186"/>
      <c r="AK7571" s="171"/>
    </row>
    <row r="7572" spans="1:41" s="102" customFormat="1" ht="19.899999999999999" customHeight="1" x14ac:dyDescent="0.25">
      <c r="A7572" s="45"/>
      <c r="B7572" s="59"/>
      <c r="C7572" s="137"/>
      <c r="D7572" s="59"/>
      <c r="E7572" s="116"/>
      <c r="F7572" s="120"/>
      <c r="G7572" s="120"/>
      <c r="H7572" s="120"/>
      <c r="I7572" s="60"/>
      <c r="J7572" s="116"/>
      <c r="K7572" s="213"/>
      <c r="L7572" s="120"/>
      <c r="M7572" s="120"/>
      <c r="N7572" s="167"/>
      <c r="O7572" s="120"/>
      <c r="P7572" s="120"/>
      <c r="Q7572" s="120"/>
      <c r="R7572" s="120"/>
      <c r="S7572" s="120"/>
      <c r="T7572" s="221"/>
      <c r="U7572" s="89"/>
      <c r="V7572" s="61"/>
      <c r="W7572" s="92" t="s">
        <v>1037</v>
      </c>
      <c r="X7572" s="93" t="s">
        <v>30</v>
      </c>
      <c r="Y7572" s="93" t="s">
        <v>1038</v>
      </c>
      <c r="Z7572" s="134">
        <f>VLOOKUP(W7572,Sheet2!$B:$D,3,FALSE)</f>
        <v>175</v>
      </c>
      <c r="AA7572" s="93">
        <v>300</v>
      </c>
      <c r="AB7572" s="93">
        <f>AD7572/AC7566</f>
        <v>0.58333333333333326</v>
      </c>
      <c r="AC7572" s="93">
        <f>AC7566/AA7572</f>
        <v>0.47424716666666727</v>
      </c>
      <c r="AD7572" s="94">
        <f t="shared" si="5323"/>
        <v>82.993254166666773</v>
      </c>
      <c r="AE7572" s="190"/>
      <c r="AF7572" s="191"/>
      <c r="AG7572" s="191"/>
      <c r="AH7572" s="191"/>
      <c r="AI7572" s="186"/>
      <c r="AK7572" s="171"/>
    </row>
    <row r="7573" spans="1:41" s="103" customFormat="1" ht="19.899999999999999" customHeight="1" x14ac:dyDescent="0.25">
      <c r="A7573" s="51"/>
      <c r="B7573" s="52"/>
      <c r="C7573" s="165"/>
      <c r="D7573" s="52"/>
      <c r="E7573" s="115"/>
      <c r="F7573" s="58"/>
      <c r="G7573" s="58"/>
      <c r="H7573" s="58"/>
      <c r="I7573" s="55"/>
      <c r="J7573" s="113">
        <f>J7555</f>
        <v>142.27415000000019</v>
      </c>
      <c r="K7573" s="212">
        <f>K7555</f>
        <v>142.27415000000019</v>
      </c>
      <c r="L7573" s="58"/>
      <c r="M7573" s="58">
        <f>K7573-L7573</f>
        <v>142.27415000000019</v>
      </c>
      <c r="N7573" s="166"/>
      <c r="O7573" s="58"/>
      <c r="P7573" s="58"/>
      <c r="Q7573" s="58"/>
      <c r="R7573" s="58"/>
      <c r="S7573" s="58"/>
      <c r="T7573" s="220"/>
      <c r="U7573" s="88"/>
      <c r="V7573" s="56"/>
      <c r="W7573" s="57" t="s">
        <v>1040</v>
      </c>
      <c r="X7573" s="53"/>
      <c r="Y7573" s="91" t="s">
        <v>68</v>
      </c>
      <c r="Z7573" s="136">
        <f>AD7573/AC7573</f>
        <v>5</v>
      </c>
      <c r="AA7573" s="58"/>
      <c r="AB7573" s="53">
        <f>AD7573/AC7573</f>
        <v>5</v>
      </c>
      <c r="AC7573" s="53">
        <f>M7573+$AE$10</f>
        <v>142.27415000000019</v>
      </c>
      <c r="AD7573" s="54">
        <f>SUM(AD7574)</f>
        <v>711.37075000000095</v>
      </c>
      <c r="AE7573" s="184">
        <f>SUMIFS($AD$37:$AD$12971,$V$37:$V$12971,$V7573,$X$37:$X$12971,AE$13)</f>
        <v>0</v>
      </c>
      <c r="AF7573" s="185">
        <f>SUMIFS($AD$37:$AD$12971,$V$37:$V$12971,$V7573,$X$37:$X$12971,AF$13)</f>
        <v>0</v>
      </c>
      <c r="AG7573" s="185">
        <f>SUMIFS($AD$37:$AD$12971,$V$37:$V$12971,$V7573,$X$37:$X$12971,AG$13)</f>
        <v>0</v>
      </c>
      <c r="AH7573" s="187">
        <f>SUMIFS($AD$37:$AD$12971,$V$37:$V$12971,$V7573,$X$37:$X$12971,AH$13)</f>
        <v>0</v>
      </c>
      <c r="AI7573" s="161">
        <f t="shared" ref="AI7573" si="5324">SUM(AE7573:AH7573)</f>
        <v>0</v>
      </c>
      <c r="AK7573" s="172"/>
    </row>
    <row r="7574" spans="1:41" s="102" customFormat="1" ht="19.899999999999999" customHeight="1" x14ac:dyDescent="0.25">
      <c r="A7574" s="45"/>
      <c r="B7574" s="59"/>
      <c r="C7574" s="137"/>
      <c r="D7574" s="59"/>
      <c r="E7574" s="116"/>
      <c r="F7574" s="120"/>
      <c r="G7574" s="120"/>
      <c r="H7574" s="120"/>
      <c r="I7574" s="60"/>
      <c r="J7574" s="116"/>
      <c r="K7574" s="213"/>
      <c r="L7574" s="120"/>
      <c r="M7574" s="120"/>
      <c r="N7574" s="167"/>
      <c r="O7574" s="120"/>
      <c r="P7574" s="120"/>
      <c r="Q7574" s="120"/>
      <c r="R7574" s="120"/>
      <c r="S7574" s="120"/>
      <c r="T7574" s="221"/>
      <c r="U7574" s="89"/>
      <c r="V7574" s="61"/>
      <c r="W7574" s="92" t="s">
        <v>1039</v>
      </c>
      <c r="X7574" s="93" t="s">
        <v>32</v>
      </c>
      <c r="Y7574" s="93" t="s">
        <v>68</v>
      </c>
      <c r="Z7574" s="134">
        <f>VLOOKUP(W7574,Sheet2!$B:$D,3,FALSE)</f>
        <v>5</v>
      </c>
      <c r="AA7574" s="93">
        <v>1</v>
      </c>
      <c r="AB7574" s="93">
        <f>AD7574/AC7573</f>
        <v>5</v>
      </c>
      <c r="AC7574" s="93">
        <f>AC7573/AA7574</f>
        <v>142.27415000000019</v>
      </c>
      <c r="AD7574" s="94">
        <f t="shared" ref="AD7574" si="5325">AC7574*Z7574</f>
        <v>711.37075000000095</v>
      </c>
      <c r="AE7574" s="190"/>
      <c r="AF7574" s="191"/>
      <c r="AG7574" s="191"/>
      <c r="AH7574" s="191"/>
      <c r="AI7574" s="186"/>
      <c r="AK7574" s="171"/>
    </row>
    <row r="7575" spans="1:41" ht="20.100000000000001" customHeight="1" x14ac:dyDescent="0.25">
      <c r="A7575" s="277" t="s">
        <v>703</v>
      </c>
      <c r="B7575" s="278"/>
      <c r="C7575" s="64" t="s">
        <v>745</v>
      </c>
      <c r="D7575" s="46" t="s">
        <v>97</v>
      </c>
      <c r="E7575" s="114">
        <v>113.89750000000026</v>
      </c>
      <c r="F7575" s="44">
        <v>831</v>
      </c>
      <c r="G7575" s="44">
        <f t="shared" si="4575"/>
        <v>94648.822500000213</v>
      </c>
      <c r="H7575" s="44">
        <f t="shared" si="4576"/>
        <v>531.60374745098034</v>
      </c>
      <c r="I7575" s="43">
        <f t="shared" si="4577"/>
        <v>60548.337825298171</v>
      </c>
      <c r="J7575" s="112">
        <f t="shared" si="4578"/>
        <v>113.89750000000026</v>
      </c>
      <c r="K7575" s="211">
        <f t="shared" si="4579"/>
        <v>113.89750000000026</v>
      </c>
      <c r="L7575" s="44"/>
      <c r="M7575" s="44">
        <f t="shared" si="4580"/>
        <v>113.89750000000026</v>
      </c>
      <c r="N7575" s="173">
        <f t="shared" si="4581"/>
        <v>1</v>
      </c>
      <c r="O7575" s="44">
        <f t="shared" si="4582"/>
        <v>831</v>
      </c>
      <c r="P7575" s="44">
        <f t="shared" si="4583"/>
        <v>94648.822500000213</v>
      </c>
      <c r="Q7575" s="44">
        <f t="shared" si="4584"/>
        <v>531.60374745098034</v>
      </c>
      <c r="R7575" s="44">
        <f t="shared" si="4585"/>
        <v>60548.337825298171</v>
      </c>
      <c r="S7575" s="123"/>
      <c r="T7575" s="219">
        <f t="shared" si="4586"/>
        <v>60548.337825298171</v>
      </c>
      <c r="U7575" s="87"/>
      <c r="V7575" s="47"/>
      <c r="W7575" s="48"/>
      <c r="X7575" s="48"/>
      <c r="Y7575" s="48"/>
      <c r="Z7575" s="135"/>
      <c r="AA7575" s="49"/>
      <c r="AB7575" s="50">
        <f t="shared" si="4587"/>
        <v>531.60374745098034</v>
      </c>
      <c r="AC7575" s="42">
        <f t="shared" si="4588"/>
        <v>113.89750000000026</v>
      </c>
      <c r="AD7575" s="90">
        <f>AD7576+AD7586+AD7593</f>
        <v>60548.337825298171</v>
      </c>
      <c r="AE7575" s="188">
        <f t="shared" ref="AE7575" si="5326">AE7576+AE7586+AE7593</f>
        <v>0</v>
      </c>
      <c r="AF7575" s="189">
        <f t="shared" ref="AF7575" si="5327">AF7576+AF7586+AF7593</f>
        <v>0</v>
      </c>
      <c r="AG7575" s="189">
        <f t="shared" ref="AG7575" si="5328">AG7576+AG7586+AG7593</f>
        <v>0</v>
      </c>
      <c r="AH7575" s="189">
        <f t="shared" ref="AH7575" si="5329">AH7576+AH7586+AH7593</f>
        <v>0</v>
      </c>
      <c r="AI7575" s="161">
        <f t="shared" ref="AI7575" si="5330">SUM(AE7575:AH7575)</f>
        <v>0</v>
      </c>
      <c r="AK7575" s="169">
        <v>5</v>
      </c>
      <c r="AO7575" s="19" t="s">
        <v>63</v>
      </c>
    </row>
    <row r="7576" spans="1:41" s="103" customFormat="1" ht="19.899999999999999" customHeight="1" x14ac:dyDescent="0.25">
      <c r="A7576" s="51"/>
      <c r="B7576" s="52"/>
      <c r="C7576" s="165"/>
      <c r="D7576" s="52"/>
      <c r="E7576" s="115"/>
      <c r="F7576" s="58"/>
      <c r="G7576" s="58"/>
      <c r="H7576" s="58"/>
      <c r="I7576" s="55"/>
      <c r="J7576" s="113">
        <f>J7575</f>
        <v>113.89750000000026</v>
      </c>
      <c r="K7576" s="212">
        <f>K7575</f>
        <v>113.89750000000026</v>
      </c>
      <c r="L7576" s="58"/>
      <c r="M7576" s="58">
        <f>K7576-L7576</f>
        <v>113.89750000000026</v>
      </c>
      <c r="N7576" s="166"/>
      <c r="O7576" s="58"/>
      <c r="P7576" s="58"/>
      <c r="Q7576" s="58"/>
      <c r="R7576" s="58"/>
      <c r="S7576" s="58"/>
      <c r="T7576" s="220"/>
      <c r="U7576" s="88"/>
      <c r="V7576" s="56"/>
      <c r="W7576" s="57" t="s">
        <v>1081</v>
      </c>
      <c r="X7576" s="53"/>
      <c r="Y7576" s="91" t="s">
        <v>68</v>
      </c>
      <c r="Z7576" s="136">
        <f>AD7576/AC7576</f>
        <v>83.020414117647064</v>
      </c>
      <c r="AA7576" s="58"/>
      <c r="AB7576" s="53">
        <f>AD7576/AC7576</f>
        <v>83.020414117647064</v>
      </c>
      <c r="AC7576" s="53">
        <f>M7576+$AE$10</f>
        <v>113.89750000000026</v>
      </c>
      <c r="AD7576" s="54">
        <f>SUM(AD7577:AD7585)</f>
        <v>9455.8176169647286</v>
      </c>
      <c r="AE7576" s="184">
        <f>SUMIFS($AD$37:$AD$12971,$V$37:$V$12971,$V7576,$X$37:$X$12971,AE$13)</f>
        <v>0</v>
      </c>
      <c r="AF7576" s="185">
        <f>SUMIFS($AD$37:$AD$12971,$V$37:$V$12971,$V7576,$X$37:$X$12971,AF$13)</f>
        <v>0</v>
      </c>
      <c r="AG7576" s="185">
        <f>SUMIFS($AD$37:$AD$12971,$V$37:$V$12971,$V7576,$X$37:$X$12971,AG$13)</f>
        <v>0</v>
      </c>
      <c r="AH7576" s="187">
        <f>SUMIFS($AD$37:$AD$12971,$V$37:$V$12971,$V7576,$X$37:$X$12971,AH$13)</f>
        <v>0</v>
      </c>
      <c r="AI7576" s="161">
        <f t="shared" ref="AI7576" si="5331">SUM(AE7576:AH7576)</f>
        <v>0</v>
      </c>
      <c r="AK7576" s="172"/>
    </row>
    <row r="7577" spans="1:41" s="102" customFormat="1" ht="19.899999999999999" customHeight="1" x14ac:dyDescent="0.25">
      <c r="A7577" s="45"/>
      <c r="B7577" s="59"/>
      <c r="C7577" s="137"/>
      <c r="D7577" s="59"/>
      <c r="E7577" s="116"/>
      <c r="F7577" s="120"/>
      <c r="G7577" s="120"/>
      <c r="H7577" s="120"/>
      <c r="I7577" s="60"/>
      <c r="J7577" s="116"/>
      <c r="K7577" s="213"/>
      <c r="L7577" s="120"/>
      <c r="M7577" s="120"/>
      <c r="N7577" s="167"/>
      <c r="O7577" s="120"/>
      <c r="P7577" s="120"/>
      <c r="Q7577" s="120"/>
      <c r="R7577" s="120"/>
      <c r="S7577" s="120"/>
      <c r="T7577" s="221"/>
      <c r="U7577" s="89"/>
      <c r="V7577" s="61"/>
      <c r="W7577" s="92" t="s">
        <v>129</v>
      </c>
      <c r="X7577" s="93" t="s">
        <v>29</v>
      </c>
      <c r="Y7577" s="93" t="s">
        <v>93</v>
      </c>
      <c r="Z7577" s="134">
        <f>VLOOKUP(W7577,Sheet2!$B:$D,3,FALSE)</f>
        <v>56</v>
      </c>
      <c r="AA7577" s="93">
        <f>100/(1.6*3)</f>
        <v>20.833333333333329</v>
      </c>
      <c r="AB7577" s="93">
        <f t="shared" ref="AB7577" si="5332">AD7577/AC7576</f>
        <v>2.6880000000000006</v>
      </c>
      <c r="AC7577" s="93">
        <f>AC7576/AA7577</f>
        <v>5.4670800000000135</v>
      </c>
      <c r="AD7577" s="94">
        <f t="shared" ref="AD7577:AD7578" si="5333">AC7577*Z7577</f>
        <v>306.15648000000078</v>
      </c>
      <c r="AE7577" s="190"/>
      <c r="AF7577" s="191"/>
      <c r="AG7577" s="191"/>
      <c r="AH7577" s="191"/>
      <c r="AI7577" s="186"/>
      <c r="AK7577" s="171"/>
    </row>
    <row r="7578" spans="1:41" s="102" customFormat="1" ht="19.899999999999999" customHeight="1" x14ac:dyDescent="0.25">
      <c r="A7578" s="45"/>
      <c r="B7578" s="59"/>
      <c r="C7578" s="137"/>
      <c r="D7578" s="59"/>
      <c r="E7578" s="116"/>
      <c r="F7578" s="120"/>
      <c r="G7578" s="120"/>
      <c r="H7578" s="120"/>
      <c r="I7578" s="60"/>
      <c r="J7578" s="116"/>
      <c r="K7578" s="213"/>
      <c r="L7578" s="120"/>
      <c r="M7578" s="120"/>
      <c r="N7578" s="167"/>
      <c r="O7578" s="120"/>
      <c r="P7578" s="120"/>
      <c r="Q7578" s="120"/>
      <c r="R7578" s="120"/>
      <c r="S7578" s="120"/>
      <c r="T7578" s="221"/>
      <c r="U7578" s="89"/>
      <c r="V7578" s="61"/>
      <c r="W7578" s="92" t="s">
        <v>65</v>
      </c>
      <c r="X7578" s="93" t="s">
        <v>30</v>
      </c>
      <c r="Y7578" s="93" t="s">
        <v>1011</v>
      </c>
      <c r="Z7578" s="134">
        <f>VLOOKUP(W7578,Sheet2!$B:$D,3,FALSE)</f>
        <v>1.76</v>
      </c>
      <c r="AA7578" s="93">
        <f>AA7577/14</f>
        <v>1.4880952380952377</v>
      </c>
      <c r="AB7578" s="93">
        <f>AD7578/AC7576</f>
        <v>1.1827200000000002</v>
      </c>
      <c r="AC7578" s="93">
        <f>AC7576/AA7578</f>
        <v>76.539120000000196</v>
      </c>
      <c r="AD7578" s="94">
        <f t="shared" si="5333"/>
        <v>134.70885120000034</v>
      </c>
      <c r="AE7578" s="190"/>
      <c r="AF7578" s="191"/>
      <c r="AG7578" s="191"/>
      <c r="AH7578" s="191"/>
      <c r="AI7578" s="186"/>
      <c r="AK7578" s="171"/>
    </row>
    <row r="7579" spans="1:41" s="102" customFormat="1" ht="19.899999999999999" customHeight="1" x14ac:dyDescent="0.25">
      <c r="A7579" s="45"/>
      <c r="B7579" s="59"/>
      <c r="C7579" s="137"/>
      <c r="D7579" s="59"/>
      <c r="E7579" s="116"/>
      <c r="F7579" s="120"/>
      <c r="G7579" s="120"/>
      <c r="H7579" s="120"/>
      <c r="I7579" s="60"/>
      <c r="J7579" s="116"/>
      <c r="K7579" s="213"/>
      <c r="L7579" s="120"/>
      <c r="M7579" s="120"/>
      <c r="N7579" s="167"/>
      <c r="O7579" s="120"/>
      <c r="P7579" s="120"/>
      <c r="Q7579" s="120"/>
      <c r="R7579" s="120"/>
      <c r="S7579" s="120"/>
      <c r="T7579" s="221"/>
      <c r="U7579" s="89"/>
      <c r="V7579" s="61"/>
      <c r="W7579" s="92" t="s">
        <v>161</v>
      </c>
      <c r="X7579" s="93" t="s">
        <v>29</v>
      </c>
      <c r="Y7579" s="93" t="s">
        <v>93</v>
      </c>
      <c r="Z7579" s="134">
        <f>VLOOKUP(W7579,Sheet2!$B:$D,3,FALSE)</f>
        <v>48</v>
      </c>
      <c r="AA7579" s="93">
        <f>(16*0.85*1.5)/(1.6*3)</f>
        <v>4.2499999999999991</v>
      </c>
      <c r="AB7579" s="93">
        <f>AD7579/AC7576</f>
        <v>11.294117647058826</v>
      </c>
      <c r="AC7579" s="93">
        <f>AC7576/AA7579</f>
        <v>26.799411764705951</v>
      </c>
      <c r="AD7579" s="94">
        <f>AC7579*Z7579</f>
        <v>1286.3717647058857</v>
      </c>
      <c r="AE7579" s="190"/>
      <c r="AF7579" s="191"/>
      <c r="AG7579" s="191"/>
      <c r="AH7579" s="191"/>
      <c r="AI7579" s="186"/>
      <c r="AK7579" s="171"/>
    </row>
    <row r="7580" spans="1:41" s="102" customFormat="1" ht="19.899999999999999" customHeight="1" x14ac:dyDescent="0.25">
      <c r="A7580" s="45"/>
      <c r="B7580" s="59"/>
      <c r="C7580" s="137"/>
      <c r="D7580" s="59"/>
      <c r="E7580" s="116"/>
      <c r="F7580" s="120"/>
      <c r="G7580" s="120"/>
      <c r="H7580" s="120"/>
      <c r="I7580" s="60"/>
      <c r="J7580" s="116"/>
      <c r="K7580" s="213"/>
      <c r="L7580" s="120"/>
      <c r="M7580" s="120"/>
      <c r="N7580" s="167"/>
      <c r="O7580" s="120"/>
      <c r="P7580" s="120"/>
      <c r="Q7580" s="120"/>
      <c r="R7580" s="120"/>
      <c r="S7580" s="120"/>
      <c r="T7580" s="221"/>
      <c r="U7580" s="89"/>
      <c r="V7580" s="61"/>
      <c r="W7580" s="92" t="s">
        <v>65</v>
      </c>
      <c r="X7580" s="93" t="s">
        <v>30</v>
      </c>
      <c r="Y7580" s="93" t="s">
        <v>1011</v>
      </c>
      <c r="Z7580" s="134">
        <f>VLOOKUP(W7580,Sheet2!$B:$D,3,FALSE)</f>
        <v>1.76</v>
      </c>
      <c r="AA7580" s="93">
        <f>AA7579/10</f>
        <v>0.42499999999999993</v>
      </c>
      <c r="AB7580" s="93">
        <f>AD7580/AC7576</f>
        <v>4.1411764705882366</v>
      </c>
      <c r="AC7580" s="93">
        <f>AC7576/AA7580</f>
        <v>267.99411764705951</v>
      </c>
      <c r="AD7580" s="94">
        <f>AC7580*Z7580</f>
        <v>471.66964705882475</v>
      </c>
      <c r="AE7580" s="190"/>
      <c r="AF7580" s="191"/>
      <c r="AG7580" s="191"/>
      <c r="AH7580" s="191"/>
      <c r="AI7580" s="186"/>
      <c r="AK7580" s="171"/>
    </row>
    <row r="7581" spans="1:41" s="102" customFormat="1" ht="19.899999999999999" customHeight="1" x14ac:dyDescent="0.25">
      <c r="A7581" s="45"/>
      <c r="B7581" s="59"/>
      <c r="C7581" s="137"/>
      <c r="D7581" s="59"/>
      <c r="E7581" s="116"/>
      <c r="F7581" s="120"/>
      <c r="G7581" s="120"/>
      <c r="H7581" s="120"/>
      <c r="I7581" s="60"/>
      <c r="J7581" s="116"/>
      <c r="K7581" s="213"/>
      <c r="L7581" s="120"/>
      <c r="M7581" s="120"/>
      <c r="N7581" s="167"/>
      <c r="O7581" s="120"/>
      <c r="P7581" s="120"/>
      <c r="Q7581" s="120"/>
      <c r="R7581" s="120"/>
      <c r="S7581" s="120"/>
      <c r="T7581" s="221"/>
      <c r="U7581" s="89"/>
      <c r="V7581" s="61"/>
      <c r="W7581" s="92" t="s">
        <v>1030</v>
      </c>
      <c r="X7581" s="93" t="s">
        <v>29</v>
      </c>
      <c r="Y7581" s="93" t="s">
        <v>93</v>
      </c>
      <c r="Z7581" s="134">
        <f>VLOOKUP(W7581,Sheet2!$B:$D,3,FALSE)</f>
        <v>23</v>
      </c>
      <c r="AA7581" s="93">
        <v>50</v>
      </c>
      <c r="AB7581" s="93">
        <f>AD7581/AC7576</f>
        <v>0.46</v>
      </c>
      <c r="AC7581" s="93">
        <f>AC7576/AA7581</f>
        <v>2.2779500000000055</v>
      </c>
      <c r="AD7581" s="94">
        <f t="shared" ref="AD7581:AD7585" si="5334">AC7581*Z7581</f>
        <v>52.392850000000124</v>
      </c>
      <c r="AE7581" s="190"/>
      <c r="AF7581" s="191"/>
      <c r="AG7581" s="191"/>
      <c r="AH7581" s="191"/>
      <c r="AI7581" s="186"/>
      <c r="AK7581" s="171"/>
    </row>
    <row r="7582" spans="1:41" s="102" customFormat="1" ht="19.899999999999999" customHeight="1" x14ac:dyDescent="0.25">
      <c r="A7582" s="45"/>
      <c r="B7582" s="59"/>
      <c r="C7582" s="137"/>
      <c r="D7582" s="59"/>
      <c r="E7582" s="116"/>
      <c r="F7582" s="120"/>
      <c r="G7582" s="120"/>
      <c r="H7582" s="120"/>
      <c r="I7582" s="60"/>
      <c r="J7582" s="116"/>
      <c r="K7582" s="213"/>
      <c r="L7582" s="120"/>
      <c r="M7582" s="120"/>
      <c r="N7582" s="167"/>
      <c r="O7582" s="120"/>
      <c r="P7582" s="120"/>
      <c r="Q7582" s="120"/>
      <c r="R7582" s="120"/>
      <c r="S7582" s="120"/>
      <c r="T7582" s="221"/>
      <c r="U7582" s="89"/>
      <c r="V7582" s="61"/>
      <c r="W7582" s="92" t="s">
        <v>65</v>
      </c>
      <c r="X7582" s="93" t="s">
        <v>30</v>
      </c>
      <c r="Y7582" s="93" t="s">
        <v>1011</v>
      </c>
      <c r="Z7582" s="134">
        <f>VLOOKUP(W7582,Sheet2!$B:$D,3,FALSE)</f>
        <v>1.76</v>
      </c>
      <c r="AA7582" s="93">
        <f>AA7581/3</f>
        <v>16.666666666666668</v>
      </c>
      <c r="AB7582" s="93">
        <f>AD7582/AC7576</f>
        <v>0.10559999999999999</v>
      </c>
      <c r="AC7582" s="93">
        <f>AC7576/AA7582</f>
        <v>6.8338500000000151</v>
      </c>
      <c r="AD7582" s="94">
        <f t="shared" si="5334"/>
        <v>12.027576000000026</v>
      </c>
      <c r="AE7582" s="190"/>
      <c r="AF7582" s="191"/>
      <c r="AG7582" s="191"/>
      <c r="AH7582" s="191"/>
      <c r="AI7582" s="186"/>
      <c r="AK7582" s="171"/>
    </row>
    <row r="7583" spans="1:41" s="102" customFormat="1" ht="19.899999999999999" customHeight="1" x14ac:dyDescent="0.25">
      <c r="A7583" s="45"/>
      <c r="B7583" s="59"/>
      <c r="C7583" s="137"/>
      <c r="D7583" s="59"/>
      <c r="E7583" s="116"/>
      <c r="F7583" s="120"/>
      <c r="G7583" s="120"/>
      <c r="H7583" s="120"/>
      <c r="I7583" s="60"/>
      <c r="J7583" s="116"/>
      <c r="K7583" s="213"/>
      <c r="L7583" s="120"/>
      <c r="M7583" s="120"/>
      <c r="N7583" s="167"/>
      <c r="O7583" s="120"/>
      <c r="P7583" s="120"/>
      <c r="Q7583" s="120"/>
      <c r="R7583" s="120"/>
      <c r="S7583" s="120"/>
      <c r="T7583" s="221"/>
      <c r="U7583" s="89"/>
      <c r="V7583" s="61"/>
      <c r="W7583" s="92" t="s">
        <v>148</v>
      </c>
      <c r="X7583" s="93" t="s">
        <v>29</v>
      </c>
      <c r="Y7583" s="93" t="s">
        <v>93</v>
      </c>
      <c r="Z7583" s="134">
        <f>VLOOKUP(W7583,Sheet2!$B:$D,3,FALSE)</f>
        <v>48</v>
      </c>
      <c r="AA7583" s="93">
        <f>AA7577</f>
        <v>20.833333333333329</v>
      </c>
      <c r="AB7583" s="93">
        <f>AD7583/AC7576</f>
        <v>2.3040000000000003</v>
      </c>
      <c r="AC7583" s="93">
        <f>AC7576/AA7583</f>
        <v>5.4670800000000135</v>
      </c>
      <c r="AD7583" s="94">
        <f t="shared" si="5334"/>
        <v>262.41984000000065</v>
      </c>
      <c r="AE7583" s="190"/>
      <c r="AF7583" s="191"/>
      <c r="AG7583" s="191"/>
      <c r="AH7583" s="191"/>
      <c r="AI7583" s="186"/>
      <c r="AK7583" s="171"/>
    </row>
    <row r="7584" spans="1:41" s="102" customFormat="1" ht="19.899999999999999" customHeight="1" x14ac:dyDescent="0.25">
      <c r="A7584" s="45"/>
      <c r="B7584" s="59"/>
      <c r="C7584" s="137"/>
      <c r="D7584" s="59"/>
      <c r="E7584" s="116"/>
      <c r="F7584" s="120"/>
      <c r="G7584" s="120"/>
      <c r="H7584" s="120"/>
      <c r="I7584" s="60"/>
      <c r="J7584" s="116"/>
      <c r="K7584" s="213"/>
      <c r="L7584" s="120"/>
      <c r="M7584" s="120"/>
      <c r="N7584" s="167"/>
      <c r="O7584" s="120"/>
      <c r="P7584" s="120"/>
      <c r="Q7584" s="120"/>
      <c r="R7584" s="120"/>
      <c r="S7584" s="120"/>
      <c r="T7584" s="221"/>
      <c r="U7584" s="89"/>
      <c r="V7584" s="61"/>
      <c r="W7584" s="92" t="s">
        <v>65</v>
      </c>
      <c r="X7584" s="93" t="s">
        <v>30</v>
      </c>
      <c r="Y7584" s="93" t="s">
        <v>1011</v>
      </c>
      <c r="Z7584" s="134">
        <f>VLOOKUP(W7584,Sheet2!$B:$D,3,FALSE)</f>
        <v>1.76</v>
      </c>
      <c r="AA7584" s="93">
        <f>AA7583/10</f>
        <v>2.083333333333333</v>
      </c>
      <c r="AB7584" s="93">
        <f>AD7584/AC7576</f>
        <v>0.84480000000000011</v>
      </c>
      <c r="AC7584" s="93">
        <f>AC7576/AA7584</f>
        <v>54.670800000000135</v>
      </c>
      <c r="AD7584" s="94">
        <f t="shared" si="5334"/>
        <v>96.22060800000024</v>
      </c>
      <c r="AE7584" s="190"/>
      <c r="AF7584" s="191"/>
      <c r="AG7584" s="191"/>
      <c r="AH7584" s="191"/>
      <c r="AI7584" s="186"/>
      <c r="AK7584" s="171"/>
    </row>
    <row r="7585" spans="1:41" s="102" customFormat="1" ht="19.899999999999999" customHeight="1" x14ac:dyDescent="0.25">
      <c r="A7585" s="45"/>
      <c r="B7585" s="59"/>
      <c r="C7585" s="137"/>
      <c r="D7585" s="59"/>
      <c r="E7585" s="116"/>
      <c r="F7585" s="120"/>
      <c r="G7585" s="120"/>
      <c r="H7585" s="120"/>
      <c r="I7585" s="60"/>
      <c r="J7585" s="116"/>
      <c r="K7585" s="213"/>
      <c r="L7585" s="120"/>
      <c r="M7585" s="120"/>
      <c r="N7585" s="167"/>
      <c r="O7585" s="120"/>
      <c r="P7585" s="120"/>
      <c r="Q7585" s="120"/>
      <c r="R7585" s="120"/>
      <c r="S7585" s="120"/>
      <c r="T7585" s="221"/>
      <c r="U7585" s="89"/>
      <c r="V7585" s="61"/>
      <c r="W7585" s="92" t="s">
        <v>1049</v>
      </c>
      <c r="X7585" s="93" t="s">
        <v>30</v>
      </c>
      <c r="Y7585" s="93" t="s">
        <v>68</v>
      </c>
      <c r="Z7585" s="134">
        <f>VLOOKUP(W7585,Sheet2!$B:$D,3,FALSE)</f>
        <v>60</v>
      </c>
      <c r="AA7585" s="93">
        <v>1</v>
      </c>
      <c r="AB7585" s="93">
        <f>AD7585/AC7576</f>
        <v>60</v>
      </c>
      <c r="AC7585" s="93">
        <f>AC7576/AA7585</f>
        <v>113.89750000000026</v>
      </c>
      <c r="AD7585" s="94">
        <f t="shared" si="5334"/>
        <v>6833.8500000000158</v>
      </c>
      <c r="AE7585" s="190"/>
      <c r="AF7585" s="191"/>
      <c r="AG7585" s="191"/>
      <c r="AH7585" s="191"/>
      <c r="AI7585" s="186"/>
      <c r="AK7585" s="171"/>
    </row>
    <row r="7586" spans="1:41" s="103" customFormat="1" ht="19.899999999999999" customHeight="1" x14ac:dyDescent="0.25">
      <c r="A7586" s="51"/>
      <c r="B7586" s="52"/>
      <c r="C7586" s="165"/>
      <c r="D7586" s="52"/>
      <c r="E7586" s="115"/>
      <c r="F7586" s="58"/>
      <c r="G7586" s="58"/>
      <c r="H7586" s="58"/>
      <c r="I7586" s="55"/>
      <c r="J7586" s="113">
        <f>J7575</f>
        <v>113.89750000000026</v>
      </c>
      <c r="K7586" s="212">
        <f>K7575</f>
        <v>113.89750000000026</v>
      </c>
      <c r="L7586" s="58"/>
      <c r="M7586" s="58">
        <f>K7586-L7586</f>
        <v>113.89750000000026</v>
      </c>
      <c r="N7586" s="166"/>
      <c r="O7586" s="58"/>
      <c r="P7586" s="58"/>
      <c r="Q7586" s="58"/>
      <c r="R7586" s="58"/>
      <c r="S7586" s="58"/>
      <c r="T7586" s="220"/>
      <c r="U7586" s="88"/>
      <c r="V7586" s="56"/>
      <c r="W7586" s="57" t="s">
        <v>1036</v>
      </c>
      <c r="X7586" s="53"/>
      <c r="Y7586" s="91" t="s">
        <v>68</v>
      </c>
      <c r="Z7586" s="136">
        <f>AD7586/AC7586</f>
        <v>443.58333333333326</v>
      </c>
      <c r="AA7586" s="58"/>
      <c r="AB7586" s="53">
        <f>AD7586/AC7586</f>
        <v>443.58333333333326</v>
      </c>
      <c r="AC7586" s="53">
        <f>M7586+$AE$10</f>
        <v>113.89750000000026</v>
      </c>
      <c r="AD7586" s="54">
        <f>SUM(AD7587:AD7592)</f>
        <v>50523.032708333441</v>
      </c>
      <c r="AE7586" s="184">
        <f>SUMIFS($AD$37:$AD$12971,$V$37:$V$12971,$V7586,$X$37:$X$12971,AE$13)</f>
        <v>0</v>
      </c>
      <c r="AF7586" s="185">
        <f>SUMIFS($AD$37:$AD$12971,$V$37:$V$12971,$V7586,$X$37:$X$12971,AF$13)</f>
        <v>0</v>
      </c>
      <c r="AG7586" s="185">
        <f>SUMIFS($AD$37:$AD$12971,$V$37:$V$12971,$V7586,$X$37:$X$12971,AG$13)</f>
        <v>0</v>
      </c>
      <c r="AH7586" s="187">
        <f>SUMIFS($AD$37:$AD$12971,$V$37:$V$12971,$V7586,$X$37:$X$12971,AH$13)</f>
        <v>0</v>
      </c>
      <c r="AI7586" s="161">
        <f t="shared" ref="AI7586" si="5335">SUM(AE7586:AH7586)</f>
        <v>0</v>
      </c>
      <c r="AK7586" s="172"/>
    </row>
    <row r="7587" spans="1:41" s="102" customFormat="1" ht="19.899999999999999" customHeight="1" x14ac:dyDescent="0.25">
      <c r="A7587" s="45"/>
      <c r="B7587" s="59"/>
      <c r="C7587" s="137"/>
      <c r="D7587" s="59"/>
      <c r="E7587" s="116"/>
      <c r="F7587" s="120"/>
      <c r="G7587" s="120"/>
      <c r="H7587" s="120"/>
      <c r="I7587" s="60"/>
      <c r="J7587" s="116"/>
      <c r="K7587" s="213"/>
      <c r="L7587" s="120"/>
      <c r="M7587" s="120"/>
      <c r="N7587" s="167"/>
      <c r="O7587" s="120"/>
      <c r="P7587" s="120"/>
      <c r="Q7587" s="120"/>
      <c r="R7587" s="120"/>
      <c r="S7587" s="120"/>
      <c r="T7587" s="221"/>
      <c r="U7587" s="89"/>
      <c r="V7587" s="61"/>
      <c r="W7587" s="92" t="s">
        <v>1058</v>
      </c>
      <c r="X7587" s="93" t="s">
        <v>30</v>
      </c>
      <c r="Y7587" s="93" t="s">
        <v>68</v>
      </c>
      <c r="Z7587" s="134">
        <f>VLOOKUP(W7587,Sheet2!$B:$D,3,FALSE)</f>
        <v>290</v>
      </c>
      <c r="AA7587" s="93">
        <v>1</v>
      </c>
      <c r="AB7587" s="93">
        <f>AD7587/AC7586</f>
        <v>290</v>
      </c>
      <c r="AC7587" s="93">
        <f>AC7586/AA7587</f>
        <v>113.89750000000026</v>
      </c>
      <c r="AD7587" s="94">
        <f t="shared" ref="AD7587" si="5336">AC7587*Z7587</f>
        <v>33030.275000000074</v>
      </c>
      <c r="AE7587" s="190"/>
      <c r="AF7587" s="191"/>
      <c r="AG7587" s="191"/>
      <c r="AH7587" s="191"/>
      <c r="AI7587" s="186"/>
      <c r="AK7587" s="171"/>
    </row>
    <row r="7588" spans="1:41" s="102" customFormat="1" ht="19.899999999999999" customHeight="1" x14ac:dyDescent="0.25">
      <c r="A7588" s="45"/>
      <c r="B7588" s="59"/>
      <c r="C7588" s="137"/>
      <c r="D7588" s="59"/>
      <c r="E7588" s="116"/>
      <c r="F7588" s="120"/>
      <c r="G7588" s="120"/>
      <c r="H7588" s="120"/>
      <c r="I7588" s="60"/>
      <c r="J7588" s="116"/>
      <c r="K7588" s="213"/>
      <c r="L7588" s="120"/>
      <c r="M7588" s="120"/>
      <c r="N7588" s="167"/>
      <c r="O7588" s="120"/>
      <c r="P7588" s="120"/>
      <c r="Q7588" s="120"/>
      <c r="R7588" s="120"/>
      <c r="S7588" s="120"/>
      <c r="T7588" s="221"/>
      <c r="U7588" s="89"/>
      <c r="V7588" s="61"/>
      <c r="W7588" s="92" t="s">
        <v>1065</v>
      </c>
      <c r="X7588" s="93" t="s">
        <v>30</v>
      </c>
      <c r="Y7588" s="93" t="s">
        <v>68</v>
      </c>
      <c r="Z7588" s="134">
        <f>VLOOKUP(W7588,Sheet2!$B:$D,3,FALSE)</f>
        <v>29</v>
      </c>
      <c r="AA7588" s="93">
        <v>1</v>
      </c>
      <c r="AB7588" s="93">
        <f>AD7588/AC7586</f>
        <v>28.999999999999996</v>
      </c>
      <c r="AC7588" s="93">
        <f>AC7586/AA7588</f>
        <v>113.89750000000026</v>
      </c>
      <c r="AD7588" s="94">
        <f>AC7588*Z7588</f>
        <v>3303.0275000000074</v>
      </c>
      <c r="AE7588" s="190"/>
      <c r="AF7588" s="191"/>
      <c r="AG7588" s="191"/>
      <c r="AH7588" s="191"/>
      <c r="AI7588" s="186"/>
      <c r="AK7588" s="171"/>
    </row>
    <row r="7589" spans="1:41" s="102" customFormat="1" ht="19.899999999999999" customHeight="1" x14ac:dyDescent="0.25">
      <c r="A7589" s="45"/>
      <c r="B7589" s="59"/>
      <c r="C7589" s="137"/>
      <c r="D7589" s="59"/>
      <c r="E7589" s="116"/>
      <c r="F7589" s="120"/>
      <c r="G7589" s="120"/>
      <c r="H7589" s="120"/>
      <c r="I7589" s="60"/>
      <c r="J7589" s="116"/>
      <c r="K7589" s="213"/>
      <c r="L7589" s="120"/>
      <c r="M7589" s="120"/>
      <c r="N7589" s="167"/>
      <c r="O7589" s="120"/>
      <c r="P7589" s="120"/>
      <c r="Q7589" s="120"/>
      <c r="R7589" s="120"/>
      <c r="S7589" s="120"/>
      <c r="T7589" s="221"/>
      <c r="U7589" s="89"/>
      <c r="V7589" s="61"/>
      <c r="W7589" s="92" t="s">
        <v>1068</v>
      </c>
      <c r="X7589" s="93" t="s">
        <v>32</v>
      </c>
      <c r="Y7589" s="93" t="s">
        <v>68</v>
      </c>
      <c r="Z7589" s="134">
        <f>VLOOKUP(W7589,Sheet2!$B:$D,3,FALSE)</f>
        <v>60</v>
      </c>
      <c r="AA7589" s="93">
        <v>1</v>
      </c>
      <c r="AB7589" s="93">
        <f>AD7589/AC7586</f>
        <v>60</v>
      </c>
      <c r="AC7589" s="93">
        <f>AC7586/AA7589</f>
        <v>113.89750000000026</v>
      </c>
      <c r="AD7589" s="94">
        <f>AC7589*Z7589</f>
        <v>6833.8500000000158</v>
      </c>
      <c r="AE7589" s="190"/>
      <c r="AF7589" s="191"/>
      <c r="AG7589" s="191"/>
      <c r="AH7589" s="191"/>
      <c r="AI7589" s="186"/>
      <c r="AK7589" s="171"/>
    </row>
    <row r="7590" spans="1:41" s="102" customFormat="1" ht="19.899999999999999" customHeight="1" x14ac:dyDescent="0.25">
      <c r="A7590" s="45"/>
      <c r="B7590" s="59"/>
      <c r="C7590" s="137"/>
      <c r="D7590" s="59"/>
      <c r="E7590" s="116"/>
      <c r="F7590" s="120"/>
      <c r="G7590" s="120"/>
      <c r="H7590" s="120"/>
      <c r="I7590" s="60"/>
      <c r="J7590" s="116"/>
      <c r="K7590" s="213"/>
      <c r="L7590" s="120"/>
      <c r="M7590" s="120"/>
      <c r="N7590" s="167"/>
      <c r="O7590" s="120"/>
      <c r="P7590" s="120"/>
      <c r="Q7590" s="120"/>
      <c r="R7590" s="120"/>
      <c r="S7590" s="120"/>
      <c r="T7590" s="221"/>
      <c r="U7590" s="89"/>
      <c r="V7590" s="61"/>
      <c r="W7590" s="92" t="s">
        <v>1032</v>
      </c>
      <c r="X7590" s="93" t="s">
        <v>30</v>
      </c>
      <c r="Y7590" s="93" t="s">
        <v>66</v>
      </c>
      <c r="Z7590" s="134">
        <f>VLOOKUP(W7590,Sheet2!$B:$D,3,FALSE)</f>
        <v>250</v>
      </c>
      <c r="AA7590" s="93">
        <f>1/(1.6*0.1)</f>
        <v>6.2499999999999991</v>
      </c>
      <c r="AB7590" s="93">
        <f>AD7590/AC7586</f>
        <v>40</v>
      </c>
      <c r="AC7590" s="93">
        <f>AC7586/AA7590</f>
        <v>18.223600000000044</v>
      </c>
      <c r="AD7590" s="94">
        <f>AC7590*Z7590</f>
        <v>4555.9000000000106</v>
      </c>
      <c r="AE7590" s="190"/>
      <c r="AF7590" s="191"/>
      <c r="AG7590" s="191"/>
      <c r="AH7590" s="191"/>
      <c r="AI7590" s="186"/>
      <c r="AK7590" s="171"/>
    </row>
    <row r="7591" spans="1:41" s="102" customFormat="1" ht="19.899999999999999" customHeight="1" x14ac:dyDescent="0.25">
      <c r="A7591" s="45"/>
      <c r="B7591" s="59"/>
      <c r="C7591" s="137"/>
      <c r="D7591" s="59"/>
      <c r="E7591" s="116"/>
      <c r="F7591" s="120"/>
      <c r="G7591" s="120"/>
      <c r="H7591" s="120"/>
      <c r="I7591" s="60"/>
      <c r="J7591" s="116"/>
      <c r="K7591" s="213"/>
      <c r="L7591" s="120"/>
      <c r="M7591" s="120"/>
      <c r="N7591" s="167"/>
      <c r="O7591" s="120"/>
      <c r="P7591" s="120"/>
      <c r="Q7591" s="120"/>
      <c r="R7591" s="120"/>
      <c r="S7591" s="120"/>
      <c r="T7591" s="221"/>
      <c r="U7591" s="89"/>
      <c r="V7591" s="61"/>
      <c r="W7591" s="92" t="s">
        <v>1035</v>
      </c>
      <c r="X7591" s="93" t="s">
        <v>32</v>
      </c>
      <c r="Y7591" s="93" t="s">
        <v>66</v>
      </c>
      <c r="Z7591" s="134">
        <f>VLOOKUP(W7591,Sheet2!$B:$D,3,FALSE)</f>
        <v>150</v>
      </c>
      <c r="AA7591" s="93">
        <f>AA7590</f>
        <v>6.2499999999999991</v>
      </c>
      <c r="AB7591" s="93">
        <f>AD7591/AC7586</f>
        <v>24.000000000000004</v>
      </c>
      <c r="AC7591" s="93">
        <f>AC7586/AA7591</f>
        <v>18.223600000000044</v>
      </c>
      <c r="AD7591" s="94">
        <f t="shared" ref="AD7591:AD7592" si="5337">AC7591*Z7591</f>
        <v>2733.5400000000068</v>
      </c>
      <c r="AE7591" s="190"/>
      <c r="AF7591" s="191"/>
      <c r="AG7591" s="191"/>
      <c r="AH7591" s="191"/>
      <c r="AI7591" s="186"/>
      <c r="AK7591" s="171"/>
    </row>
    <row r="7592" spans="1:41" s="102" customFormat="1" ht="19.899999999999999" customHeight="1" x14ac:dyDescent="0.25">
      <c r="A7592" s="45"/>
      <c r="B7592" s="59"/>
      <c r="C7592" s="137"/>
      <c r="D7592" s="59"/>
      <c r="E7592" s="116"/>
      <c r="F7592" s="120"/>
      <c r="G7592" s="120"/>
      <c r="H7592" s="120"/>
      <c r="I7592" s="60"/>
      <c r="J7592" s="116"/>
      <c r="K7592" s="213"/>
      <c r="L7592" s="120"/>
      <c r="M7592" s="120"/>
      <c r="N7592" s="167"/>
      <c r="O7592" s="120"/>
      <c r="P7592" s="120"/>
      <c r="Q7592" s="120"/>
      <c r="R7592" s="120"/>
      <c r="S7592" s="120"/>
      <c r="T7592" s="221"/>
      <c r="U7592" s="89"/>
      <c r="V7592" s="61"/>
      <c r="W7592" s="92" t="s">
        <v>1037</v>
      </c>
      <c r="X7592" s="93" t="s">
        <v>30</v>
      </c>
      <c r="Y7592" s="93" t="s">
        <v>1038</v>
      </c>
      <c r="Z7592" s="134">
        <f>VLOOKUP(W7592,Sheet2!$B:$D,3,FALSE)</f>
        <v>175</v>
      </c>
      <c r="AA7592" s="93">
        <v>300</v>
      </c>
      <c r="AB7592" s="93">
        <f>AD7592/AC7586</f>
        <v>0.58333333333333337</v>
      </c>
      <c r="AC7592" s="93">
        <f>AC7586/AA7592</f>
        <v>0.37965833333333421</v>
      </c>
      <c r="AD7592" s="94">
        <f t="shared" si="5337"/>
        <v>66.440208333333487</v>
      </c>
      <c r="AE7592" s="190"/>
      <c r="AF7592" s="191"/>
      <c r="AG7592" s="191"/>
      <c r="AH7592" s="191"/>
      <c r="AI7592" s="186"/>
      <c r="AK7592" s="171"/>
    </row>
    <row r="7593" spans="1:41" s="103" customFormat="1" ht="19.899999999999999" customHeight="1" x14ac:dyDescent="0.25">
      <c r="A7593" s="51"/>
      <c r="B7593" s="52"/>
      <c r="C7593" s="165"/>
      <c r="D7593" s="52"/>
      <c r="E7593" s="115"/>
      <c r="F7593" s="58"/>
      <c r="G7593" s="58"/>
      <c r="H7593" s="58"/>
      <c r="I7593" s="55"/>
      <c r="J7593" s="113">
        <f>J7575</f>
        <v>113.89750000000026</v>
      </c>
      <c r="K7593" s="212">
        <f>K7575</f>
        <v>113.89750000000026</v>
      </c>
      <c r="L7593" s="58"/>
      <c r="M7593" s="58">
        <f>K7593-L7593</f>
        <v>113.89750000000026</v>
      </c>
      <c r="N7593" s="166"/>
      <c r="O7593" s="58"/>
      <c r="P7593" s="58"/>
      <c r="Q7593" s="58"/>
      <c r="R7593" s="58"/>
      <c r="S7593" s="58"/>
      <c r="T7593" s="220"/>
      <c r="U7593" s="88"/>
      <c r="V7593" s="56"/>
      <c r="W7593" s="57" t="s">
        <v>1040</v>
      </c>
      <c r="X7593" s="53"/>
      <c r="Y7593" s="91" t="s">
        <v>68</v>
      </c>
      <c r="Z7593" s="136">
        <f>AD7593/AC7593</f>
        <v>5</v>
      </c>
      <c r="AA7593" s="58"/>
      <c r="AB7593" s="53">
        <f>AD7593/AC7593</f>
        <v>5</v>
      </c>
      <c r="AC7593" s="53">
        <f>M7593+$AE$10</f>
        <v>113.89750000000026</v>
      </c>
      <c r="AD7593" s="54">
        <f>SUM(AD7594)</f>
        <v>569.48750000000132</v>
      </c>
      <c r="AE7593" s="184">
        <f>SUMIFS($AD$37:$AD$12971,$V$37:$V$12971,$V7593,$X$37:$X$12971,AE$13)</f>
        <v>0</v>
      </c>
      <c r="AF7593" s="185">
        <f>SUMIFS($AD$37:$AD$12971,$V$37:$V$12971,$V7593,$X$37:$X$12971,AF$13)</f>
        <v>0</v>
      </c>
      <c r="AG7593" s="185">
        <f>SUMIFS($AD$37:$AD$12971,$V$37:$V$12971,$V7593,$X$37:$X$12971,AG$13)</f>
        <v>0</v>
      </c>
      <c r="AH7593" s="187">
        <f>SUMIFS($AD$37:$AD$12971,$V$37:$V$12971,$V7593,$X$37:$X$12971,AH$13)</f>
        <v>0</v>
      </c>
      <c r="AI7593" s="161">
        <f t="shared" ref="AI7593" si="5338">SUM(AE7593:AH7593)</f>
        <v>0</v>
      </c>
      <c r="AK7593" s="172"/>
    </row>
    <row r="7594" spans="1:41" s="102" customFormat="1" ht="19.899999999999999" customHeight="1" x14ac:dyDescent="0.25">
      <c r="A7594" s="45"/>
      <c r="B7594" s="59"/>
      <c r="C7594" s="137"/>
      <c r="D7594" s="59"/>
      <c r="E7594" s="116"/>
      <c r="F7594" s="120"/>
      <c r="G7594" s="120"/>
      <c r="H7594" s="120"/>
      <c r="I7594" s="60"/>
      <c r="J7594" s="116"/>
      <c r="K7594" s="213"/>
      <c r="L7594" s="120"/>
      <c r="M7594" s="120"/>
      <c r="N7594" s="167"/>
      <c r="O7594" s="120"/>
      <c r="P7594" s="120"/>
      <c r="Q7594" s="120"/>
      <c r="R7594" s="120"/>
      <c r="S7594" s="120"/>
      <c r="T7594" s="221"/>
      <c r="U7594" s="89"/>
      <c r="V7594" s="61"/>
      <c r="W7594" s="92" t="s">
        <v>1039</v>
      </c>
      <c r="X7594" s="93" t="s">
        <v>32</v>
      </c>
      <c r="Y7594" s="93" t="s">
        <v>68</v>
      </c>
      <c r="Z7594" s="134">
        <f>VLOOKUP(W7594,Sheet2!$B:$D,3,FALSE)</f>
        <v>5</v>
      </c>
      <c r="AA7594" s="93">
        <v>1</v>
      </c>
      <c r="AB7594" s="93">
        <f>AD7594/AC7593</f>
        <v>5</v>
      </c>
      <c r="AC7594" s="93">
        <f>AC7593/AA7594</f>
        <v>113.89750000000026</v>
      </c>
      <c r="AD7594" s="94">
        <f t="shared" ref="AD7594" si="5339">AC7594*Z7594</f>
        <v>569.48750000000132</v>
      </c>
      <c r="AE7594" s="190"/>
      <c r="AF7594" s="191"/>
      <c r="AG7594" s="191"/>
      <c r="AH7594" s="191"/>
      <c r="AI7594" s="186"/>
      <c r="AK7594" s="171"/>
    </row>
    <row r="7595" spans="1:41" ht="20.100000000000001" customHeight="1" x14ac:dyDescent="0.25">
      <c r="A7595" s="277" t="s">
        <v>703</v>
      </c>
      <c r="B7595" s="278"/>
      <c r="C7595" s="64" t="s">
        <v>746</v>
      </c>
      <c r="D7595" s="46" t="s">
        <v>97</v>
      </c>
      <c r="E7595" s="114">
        <v>49.560549999999921</v>
      </c>
      <c r="F7595" s="44">
        <v>915</v>
      </c>
      <c r="G7595" s="44">
        <f t="shared" si="4575"/>
        <v>45347.90324999993</v>
      </c>
      <c r="H7595" s="44">
        <f t="shared" si="4576"/>
        <v>535.34621647058827</v>
      </c>
      <c r="I7595" s="43">
        <f t="shared" si="4577"/>
        <v>26532.052928701371</v>
      </c>
      <c r="J7595" s="112">
        <f t="shared" si="4578"/>
        <v>49.560549999999921</v>
      </c>
      <c r="K7595" s="211">
        <f t="shared" si="4579"/>
        <v>49.560549999999921</v>
      </c>
      <c r="L7595" s="44"/>
      <c r="M7595" s="44">
        <f t="shared" si="4580"/>
        <v>49.560549999999921</v>
      </c>
      <c r="N7595" s="173">
        <f t="shared" si="4581"/>
        <v>1</v>
      </c>
      <c r="O7595" s="44">
        <f t="shared" si="4582"/>
        <v>915</v>
      </c>
      <c r="P7595" s="44">
        <f t="shared" si="4583"/>
        <v>45347.90324999993</v>
      </c>
      <c r="Q7595" s="44">
        <f t="shared" si="4584"/>
        <v>535.34621647058827</v>
      </c>
      <c r="R7595" s="44">
        <f t="shared" si="4585"/>
        <v>26532.052928701371</v>
      </c>
      <c r="S7595" s="123"/>
      <c r="T7595" s="219">
        <f t="shared" si="4586"/>
        <v>26532.052928701371</v>
      </c>
      <c r="U7595" s="87"/>
      <c r="V7595" s="47"/>
      <c r="W7595" s="48"/>
      <c r="X7595" s="48"/>
      <c r="Y7595" s="48"/>
      <c r="Z7595" s="135"/>
      <c r="AA7595" s="49"/>
      <c r="AB7595" s="50">
        <f t="shared" si="4587"/>
        <v>535.34621647058827</v>
      </c>
      <c r="AC7595" s="42">
        <f t="shared" si="4588"/>
        <v>49.560549999999921</v>
      </c>
      <c r="AD7595" s="90">
        <f>AD7596+AD7606+AD7613</f>
        <v>26532.052928701374</v>
      </c>
      <c r="AE7595" s="188">
        <f t="shared" ref="AE7595" si="5340">AE7596+AE7606+AE7613</f>
        <v>0</v>
      </c>
      <c r="AF7595" s="189">
        <f t="shared" ref="AF7595" si="5341">AF7596+AF7606+AF7613</f>
        <v>0</v>
      </c>
      <c r="AG7595" s="189">
        <f t="shared" ref="AG7595" si="5342">AG7596+AG7606+AG7613</f>
        <v>0</v>
      </c>
      <c r="AH7595" s="189">
        <f t="shared" ref="AH7595" si="5343">AH7596+AH7606+AH7613</f>
        <v>0</v>
      </c>
      <c r="AI7595" s="161">
        <f t="shared" ref="AI7595:AI7615" si="5344">SUM(AE7595:AH7595)</f>
        <v>0</v>
      </c>
      <c r="AK7595" s="169">
        <v>5</v>
      </c>
      <c r="AO7595" s="19" t="s">
        <v>63</v>
      </c>
    </row>
    <row r="7596" spans="1:41" s="103" customFormat="1" ht="19.899999999999999" customHeight="1" x14ac:dyDescent="0.25">
      <c r="A7596" s="51"/>
      <c r="B7596" s="52"/>
      <c r="C7596" s="165"/>
      <c r="D7596" s="52"/>
      <c r="E7596" s="115"/>
      <c r="F7596" s="58"/>
      <c r="G7596" s="58"/>
      <c r="H7596" s="58"/>
      <c r="I7596" s="55"/>
      <c r="J7596" s="113">
        <f>J7595</f>
        <v>49.560549999999921</v>
      </c>
      <c r="K7596" s="212">
        <f>K7595</f>
        <v>49.560549999999921</v>
      </c>
      <c r="L7596" s="58"/>
      <c r="M7596" s="58">
        <f>K7596-L7596</f>
        <v>49.560549999999921</v>
      </c>
      <c r="N7596" s="166"/>
      <c r="O7596" s="58"/>
      <c r="P7596" s="58"/>
      <c r="Q7596" s="58"/>
      <c r="R7596" s="58"/>
      <c r="S7596" s="58"/>
      <c r="T7596" s="220"/>
      <c r="U7596" s="88"/>
      <c r="V7596" s="56"/>
      <c r="W7596" s="57" t="s">
        <v>1083</v>
      </c>
      <c r="X7596" s="53"/>
      <c r="Y7596" s="91" t="s">
        <v>68</v>
      </c>
      <c r="Z7596" s="136">
        <f>AD7596/AC7596</f>
        <v>86.762883137254903</v>
      </c>
      <c r="AA7596" s="58"/>
      <c r="AB7596" s="53">
        <f>AD7596/AC7596</f>
        <v>86.762883137254903</v>
      </c>
      <c r="AC7596" s="53">
        <f>M7596+$AE$10</f>
        <v>49.560549999999921</v>
      </c>
      <c r="AD7596" s="54">
        <f>SUM(AD7597:AD7605)</f>
        <v>4300.0162078680714</v>
      </c>
      <c r="AE7596" s="184">
        <f>SUMIFS($AD$37:$AD$12971,$V$37:$V$12971,$V7596,$X$37:$X$12971,AE$13)</f>
        <v>0</v>
      </c>
      <c r="AF7596" s="185">
        <f>SUMIFS($AD$37:$AD$12971,$V$37:$V$12971,$V7596,$X$37:$X$12971,AF$13)</f>
        <v>0</v>
      </c>
      <c r="AG7596" s="185">
        <f>SUMIFS($AD$37:$AD$12971,$V$37:$V$12971,$V7596,$X$37:$X$12971,AG$13)</f>
        <v>0</v>
      </c>
      <c r="AH7596" s="187">
        <f>SUMIFS($AD$37:$AD$12971,$V$37:$V$12971,$V7596,$X$37:$X$12971,AH$13)</f>
        <v>0</v>
      </c>
      <c r="AI7596" s="161">
        <f t="shared" ref="AI7596" si="5345">SUM(AE7596:AH7596)</f>
        <v>0</v>
      </c>
      <c r="AK7596" s="172"/>
    </row>
    <row r="7597" spans="1:41" s="102" customFormat="1" ht="19.899999999999999" customHeight="1" x14ac:dyDescent="0.25">
      <c r="A7597" s="45"/>
      <c r="B7597" s="59"/>
      <c r="C7597" s="137"/>
      <c r="D7597" s="59"/>
      <c r="E7597" s="116"/>
      <c r="F7597" s="120"/>
      <c r="G7597" s="120"/>
      <c r="H7597" s="120"/>
      <c r="I7597" s="60"/>
      <c r="J7597" s="116"/>
      <c r="K7597" s="213"/>
      <c r="L7597" s="120"/>
      <c r="M7597" s="120"/>
      <c r="N7597" s="167"/>
      <c r="O7597" s="120"/>
      <c r="P7597" s="120"/>
      <c r="Q7597" s="120"/>
      <c r="R7597" s="120"/>
      <c r="S7597" s="120"/>
      <c r="T7597" s="221"/>
      <c r="U7597" s="89"/>
      <c r="V7597" s="61"/>
      <c r="W7597" s="92" t="s">
        <v>129</v>
      </c>
      <c r="X7597" s="93" t="s">
        <v>29</v>
      </c>
      <c r="Y7597" s="93" t="s">
        <v>93</v>
      </c>
      <c r="Z7597" s="134">
        <f>VLOOKUP(W7597,Sheet2!$B:$D,3,FALSE)</f>
        <v>56</v>
      </c>
      <c r="AA7597" s="93">
        <f>100/(1.6*3.5)</f>
        <v>17.857142857142854</v>
      </c>
      <c r="AB7597" s="93">
        <f t="shared" ref="AB7597" si="5346">AD7597/AC7596</f>
        <v>3.1360000000000006</v>
      </c>
      <c r="AC7597" s="93">
        <f>AC7596/AA7597</f>
        <v>2.7753907999999963</v>
      </c>
      <c r="AD7597" s="94">
        <f t="shared" ref="AD7597:AD7598" si="5347">AC7597*Z7597</f>
        <v>155.42188479999979</v>
      </c>
      <c r="AE7597" s="190"/>
      <c r="AF7597" s="191"/>
      <c r="AG7597" s="191"/>
      <c r="AH7597" s="191"/>
      <c r="AI7597" s="186"/>
      <c r="AK7597" s="171"/>
    </row>
    <row r="7598" spans="1:41" s="102" customFormat="1" ht="19.899999999999999" customHeight="1" x14ac:dyDescent="0.25">
      <c r="A7598" s="45"/>
      <c r="B7598" s="59"/>
      <c r="C7598" s="137"/>
      <c r="D7598" s="59"/>
      <c r="E7598" s="116"/>
      <c r="F7598" s="120"/>
      <c r="G7598" s="120"/>
      <c r="H7598" s="120"/>
      <c r="I7598" s="60"/>
      <c r="J7598" s="116"/>
      <c r="K7598" s="213"/>
      <c r="L7598" s="120"/>
      <c r="M7598" s="120"/>
      <c r="N7598" s="167"/>
      <c r="O7598" s="120"/>
      <c r="P7598" s="120"/>
      <c r="Q7598" s="120"/>
      <c r="R7598" s="120"/>
      <c r="S7598" s="120"/>
      <c r="T7598" s="221"/>
      <c r="U7598" s="89"/>
      <c r="V7598" s="61"/>
      <c r="W7598" s="92" t="s">
        <v>65</v>
      </c>
      <c r="X7598" s="93" t="s">
        <v>30</v>
      </c>
      <c r="Y7598" s="93" t="s">
        <v>1011</v>
      </c>
      <c r="Z7598" s="134">
        <f>VLOOKUP(W7598,Sheet2!$B:$D,3,FALSE)</f>
        <v>1.76</v>
      </c>
      <c r="AA7598" s="93">
        <f>AA7597/14</f>
        <v>1.2755102040816324</v>
      </c>
      <c r="AB7598" s="93">
        <f>AD7598/AC7596</f>
        <v>1.3798400000000004</v>
      </c>
      <c r="AC7598" s="93">
        <f>AC7596/AA7598</f>
        <v>38.855471199999947</v>
      </c>
      <c r="AD7598" s="94">
        <f t="shared" si="5347"/>
        <v>68.385629311999907</v>
      </c>
      <c r="AE7598" s="190"/>
      <c r="AF7598" s="191"/>
      <c r="AG7598" s="191"/>
      <c r="AH7598" s="191"/>
      <c r="AI7598" s="186"/>
      <c r="AK7598" s="171"/>
    </row>
    <row r="7599" spans="1:41" s="102" customFormat="1" ht="19.899999999999999" customHeight="1" x14ac:dyDescent="0.25">
      <c r="A7599" s="45"/>
      <c r="B7599" s="59"/>
      <c r="C7599" s="137"/>
      <c r="D7599" s="59"/>
      <c r="E7599" s="116"/>
      <c r="F7599" s="120"/>
      <c r="G7599" s="120"/>
      <c r="H7599" s="120"/>
      <c r="I7599" s="60"/>
      <c r="J7599" s="116"/>
      <c r="K7599" s="213"/>
      <c r="L7599" s="120"/>
      <c r="M7599" s="120"/>
      <c r="N7599" s="167"/>
      <c r="O7599" s="120"/>
      <c r="P7599" s="120"/>
      <c r="Q7599" s="120"/>
      <c r="R7599" s="120"/>
      <c r="S7599" s="120"/>
      <c r="T7599" s="221"/>
      <c r="U7599" s="89"/>
      <c r="V7599" s="61"/>
      <c r="W7599" s="92" t="s">
        <v>161</v>
      </c>
      <c r="X7599" s="93" t="s">
        <v>29</v>
      </c>
      <c r="Y7599" s="93" t="s">
        <v>93</v>
      </c>
      <c r="Z7599" s="134">
        <f>VLOOKUP(W7599,Sheet2!$B:$D,3,FALSE)</f>
        <v>48</v>
      </c>
      <c r="AA7599" s="93">
        <f>(16*0.85*1.5)/(1.6*3.5)</f>
        <v>3.6428571428571423</v>
      </c>
      <c r="AB7599" s="93">
        <f>AD7599/AC7596</f>
        <v>13.176470588235295</v>
      </c>
      <c r="AC7599" s="93">
        <f>AC7596/AA7599</f>
        <v>13.604856862745079</v>
      </c>
      <c r="AD7599" s="94">
        <f>AC7599*Z7599</f>
        <v>653.03312941176375</v>
      </c>
      <c r="AE7599" s="190"/>
      <c r="AF7599" s="191"/>
      <c r="AG7599" s="191"/>
      <c r="AH7599" s="191"/>
      <c r="AI7599" s="186"/>
      <c r="AK7599" s="171"/>
    </row>
    <row r="7600" spans="1:41" s="102" customFormat="1" ht="19.899999999999999" customHeight="1" x14ac:dyDescent="0.25">
      <c r="A7600" s="45"/>
      <c r="B7600" s="59"/>
      <c r="C7600" s="137"/>
      <c r="D7600" s="59"/>
      <c r="E7600" s="116"/>
      <c r="F7600" s="120"/>
      <c r="G7600" s="120"/>
      <c r="H7600" s="120"/>
      <c r="I7600" s="60"/>
      <c r="J7600" s="116"/>
      <c r="K7600" s="213"/>
      <c r="L7600" s="120"/>
      <c r="M7600" s="120"/>
      <c r="N7600" s="167"/>
      <c r="O7600" s="120"/>
      <c r="P7600" s="120"/>
      <c r="Q7600" s="120"/>
      <c r="R7600" s="120"/>
      <c r="S7600" s="120"/>
      <c r="T7600" s="221"/>
      <c r="U7600" s="89"/>
      <c r="V7600" s="61"/>
      <c r="W7600" s="92" t="s">
        <v>65</v>
      </c>
      <c r="X7600" s="93" t="s">
        <v>30</v>
      </c>
      <c r="Y7600" s="93" t="s">
        <v>1011</v>
      </c>
      <c r="Z7600" s="134">
        <f>VLOOKUP(W7600,Sheet2!$B:$D,3,FALSE)</f>
        <v>1.76</v>
      </c>
      <c r="AA7600" s="93">
        <f>AA7599/10</f>
        <v>0.36428571428571421</v>
      </c>
      <c r="AB7600" s="93">
        <f>AD7600/AC7596</f>
        <v>4.8313725490196084</v>
      </c>
      <c r="AC7600" s="93">
        <f>AC7596/AA7600</f>
        <v>136.04856862745078</v>
      </c>
      <c r="AD7600" s="94">
        <f>AC7600*Z7600</f>
        <v>239.44548078431336</v>
      </c>
      <c r="AE7600" s="190"/>
      <c r="AF7600" s="191"/>
      <c r="AG7600" s="191"/>
      <c r="AH7600" s="191"/>
      <c r="AI7600" s="186"/>
      <c r="AK7600" s="171"/>
    </row>
    <row r="7601" spans="1:41" s="102" customFormat="1" ht="19.899999999999999" customHeight="1" x14ac:dyDescent="0.25">
      <c r="A7601" s="45"/>
      <c r="B7601" s="59"/>
      <c r="C7601" s="137"/>
      <c r="D7601" s="59"/>
      <c r="E7601" s="116"/>
      <c r="F7601" s="120"/>
      <c r="G7601" s="120"/>
      <c r="H7601" s="120"/>
      <c r="I7601" s="60"/>
      <c r="J7601" s="116"/>
      <c r="K7601" s="213"/>
      <c r="L7601" s="120"/>
      <c r="M7601" s="120"/>
      <c r="N7601" s="167"/>
      <c r="O7601" s="120"/>
      <c r="P7601" s="120"/>
      <c r="Q7601" s="120"/>
      <c r="R7601" s="120"/>
      <c r="S7601" s="120"/>
      <c r="T7601" s="221"/>
      <c r="U7601" s="89"/>
      <c r="V7601" s="61"/>
      <c r="W7601" s="92" t="s">
        <v>1030</v>
      </c>
      <c r="X7601" s="93" t="s">
        <v>29</v>
      </c>
      <c r="Y7601" s="93" t="s">
        <v>93</v>
      </c>
      <c r="Z7601" s="134">
        <f>VLOOKUP(W7601,Sheet2!$B:$D,3,FALSE)</f>
        <v>23</v>
      </c>
      <c r="AA7601" s="93">
        <v>50</v>
      </c>
      <c r="AB7601" s="93">
        <f>AD7601/AC7596</f>
        <v>0.46</v>
      </c>
      <c r="AC7601" s="93">
        <f>AC7596/AA7601</f>
        <v>0.9912109999999984</v>
      </c>
      <c r="AD7601" s="94">
        <f t="shared" ref="AD7601:AD7605" si="5348">AC7601*Z7601</f>
        <v>22.797852999999964</v>
      </c>
      <c r="AE7601" s="190"/>
      <c r="AF7601" s="191"/>
      <c r="AG7601" s="191"/>
      <c r="AH7601" s="191"/>
      <c r="AI7601" s="186"/>
      <c r="AK7601" s="171"/>
    </row>
    <row r="7602" spans="1:41" s="102" customFormat="1" ht="19.899999999999999" customHeight="1" x14ac:dyDescent="0.25">
      <c r="A7602" s="45"/>
      <c r="B7602" s="59"/>
      <c r="C7602" s="137"/>
      <c r="D7602" s="59"/>
      <c r="E7602" s="116"/>
      <c r="F7602" s="120"/>
      <c r="G7602" s="120"/>
      <c r="H7602" s="120"/>
      <c r="I7602" s="60"/>
      <c r="J7602" s="116"/>
      <c r="K7602" s="213"/>
      <c r="L7602" s="120"/>
      <c r="M7602" s="120"/>
      <c r="N7602" s="167"/>
      <c r="O7602" s="120"/>
      <c r="P7602" s="120"/>
      <c r="Q7602" s="120"/>
      <c r="R7602" s="120"/>
      <c r="S7602" s="120"/>
      <c r="T7602" s="221"/>
      <c r="U7602" s="89"/>
      <c r="V7602" s="61"/>
      <c r="W7602" s="92" t="s">
        <v>65</v>
      </c>
      <c r="X7602" s="93" t="s">
        <v>30</v>
      </c>
      <c r="Y7602" s="93" t="s">
        <v>1011</v>
      </c>
      <c r="Z7602" s="134">
        <f>VLOOKUP(W7602,Sheet2!$B:$D,3,FALSE)</f>
        <v>1.76</v>
      </c>
      <c r="AA7602" s="93">
        <f>AA7601/3</f>
        <v>16.666666666666668</v>
      </c>
      <c r="AB7602" s="93">
        <f>AD7602/AC7596</f>
        <v>0.1056</v>
      </c>
      <c r="AC7602" s="93">
        <f>AC7596/AA7602</f>
        <v>2.9736329999999951</v>
      </c>
      <c r="AD7602" s="94">
        <f t="shared" si="5348"/>
        <v>5.2335940799999916</v>
      </c>
      <c r="AE7602" s="190"/>
      <c r="AF7602" s="191"/>
      <c r="AG7602" s="191"/>
      <c r="AH7602" s="191"/>
      <c r="AI7602" s="186"/>
      <c r="AK7602" s="171"/>
    </row>
    <row r="7603" spans="1:41" s="102" customFormat="1" ht="19.899999999999999" customHeight="1" x14ac:dyDescent="0.25">
      <c r="A7603" s="45"/>
      <c r="B7603" s="59"/>
      <c r="C7603" s="137"/>
      <c r="D7603" s="59"/>
      <c r="E7603" s="116"/>
      <c r="F7603" s="120"/>
      <c r="G7603" s="120"/>
      <c r="H7603" s="120"/>
      <c r="I7603" s="60"/>
      <c r="J7603" s="116"/>
      <c r="K7603" s="213"/>
      <c r="L7603" s="120"/>
      <c r="M7603" s="120"/>
      <c r="N7603" s="167"/>
      <c r="O7603" s="120"/>
      <c r="P7603" s="120"/>
      <c r="Q7603" s="120"/>
      <c r="R7603" s="120"/>
      <c r="S7603" s="120"/>
      <c r="T7603" s="221"/>
      <c r="U7603" s="89"/>
      <c r="V7603" s="61"/>
      <c r="W7603" s="92" t="s">
        <v>148</v>
      </c>
      <c r="X7603" s="93" t="s">
        <v>29</v>
      </c>
      <c r="Y7603" s="93" t="s">
        <v>93</v>
      </c>
      <c r="Z7603" s="134">
        <f>VLOOKUP(W7603,Sheet2!$B:$D,3,FALSE)</f>
        <v>48</v>
      </c>
      <c r="AA7603" s="93">
        <f>AA7597</f>
        <v>17.857142857142854</v>
      </c>
      <c r="AB7603" s="93">
        <f>AD7603/AC7596</f>
        <v>2.6880000000000006</v>
      </c>
      <c r="AC7603" s="93">
        <f>AC7596/AA7603</f>
        <v>2.7753907999999963</v>
      </c>
      <c r="AD7603" s="94">
        <f t="shared" si="5348"/>
        <v>133.21875839999981</v>
      </c>
      <c r="AE7603" s="190"/>
      <c r="AF7603" s="191"/>
      <c r="AG7603" s="191"/>
      <c r="AH7603" s="191"/>
      <c r="AI7603" s="186"/>
      <c r="AK7603" s="171"/>
    </row>
    <row r="7604" spans="1:41" s="102" customFormat="1" ht="19.899999999999999" customHeight="1" x14ac:dyDescent="0.25">
      <c r="A7604" s="45"/>
      <c r="B7604" s="59"/>
      <c r="C7604" s="137"/>
      <c r="D7604" s="59"/>
      <c r="E7604" s="116"/>
      <c r="F7604" s="120"/>
      <c r="G7604" s="120"/>
      <c r="H7604" s="120"/>
      <c r="I7604" s="60"/>
      <c r="J7604" s="116"/>
      <c r="K7604" s="213"/>
      <c r="L7604" s="120"/>
      <c r="M7604" s="120"/>
      <c r="N7604" s="167"/>
      <c r="O7604" s="120"/>
      <c r="P7604" s="120"/>
      <c r="Q7604" s="120"/>
      <c r="R7604" s="120"/>
      <c r="S7604" s="120"/>
      <c r="T7604" s="221"/>
      <c r="U7604" s="89"/>
      <c r="V7604" s="61"/>
      <c r="W7604" s="92" t="s">
        <v>65</v>
      </c>
      <c r="X7604" s="93" t="s">
        <v>30</v>
      </c>
      <c r="Y7604" s="93" t="s">
        <v>1011</v>
      </c>
      <c r="Z7604" s="134">
        <f>VLOOKUP(W7604,Sheet2!$B:$D,3,FALSE)</f>
        <v>1.76</v>
      </c>
      <c r="AA7604" s="93">
        <f>AA7603/10</f>
        <v>1.7857142857142854</v>
      </c>
      <c r="AB7604" s="93">
        <f>AD7604/AC7596</f>
        <v>0.98560000000000025</v>
      </c>
      <c r="AC7604" s="93">
        <f>AC7596/AA7604</f>
        <v>27.75390799999996</v>
      </c>
      <c r="AD7604" s="94">
        <f t="shared" si="5348"/>
        <v>48.846878079999932</v>
      </c>
      <c r="AE7604" s="190"/>
      <c r="AF7604" s="191"/>
      <c r="AG7604" s="191"/>
      <c r="AH7604" s="191"/>
      <c r="AI7604" s="186"/>
      <c r="AK7604" s="171"/>
    </row>
    <row r="7605" spans="1:41" s="102" customFormat="1" ht="19.899999999999999" customHeight="1" x14ac:dyDescent="0.25">
      <c r="A7605" s="45"/>
      <c r="B7605" s="59"/>
      <c r="C7605" s="137"/>
      <c r="D7605" s="59"/>
      <c r="E7605" s="116"/>
      <c r="F7605" s="120"/>
      <c r="G7605" s="120"/>
      <c r="H7605" s="120"/>
      <c r="I7605" s="60"/>
      <c r="J7605" s="116"/>
      <c r="K7605" s="213"/>
      <c r="L7605" s="120"/>
      <c r="M7605" s="120"/>
      <c r="N7605" s="167"/>
      <c r="O7605" s="120"/>
      <c r="P7605" s="120"/>
      <c r="Q7605" s="120"/>
      <c r="R7605" s="120"/>
      <c r="S7605" s="120"/>
      <c r="T7605" s="221"/>
      <c r="U7605" s="89"/>
      <c r="V7605" s="61"/>
      <c r="W7605" s="92" t="s">
        <v>1049</v>
      </c>
      <c r="X7605" s="93" t="s">
        <v>30</v>
      </c>
      <c r="Y7605" s="93" t="s">
        <v>68</v>
      </c>
      <c r="Z7605" s="134">
        <f>VLOOKUP(W7605,Sheet2!$B:$D,3,FALSE)</f>
        <v>60</v>
      </c>
      <c r="AA7605" s="93">
        <v>1</v>
      </c>
      <c r="AB7605" s="93">
        <f>AD7605/AC7596</f>
        <v>60</v>
      </c>
      <c r="AC7605" s="93">
        <f>AC7596/AA7605</f>
        <v>49.560549999999921</v>
      </c>
      <c r="AD7605" s="94">
        <f t="shared" si="5348"/>
        <v>2973.6329999999953</v>
      </c>
      <c r="AE7605" s="190"/>
      <c r="AF7605" s="191"/>
      <c r="AG7605" s="191"/>
      <c r="AH7605" s="191"/>
      <c r="AI7605" s="186"/>
      <c r="AK7605" s="171"/>
    </row>
    <row r="7606" spans="1:41" s="103" customFormat="1" ht="19.899999999999999" customHeight="1" x14ac:dyDescent="0.25">
      <c r="A7606" s="51"/>
      <c r="B7606" s="52"/>
      <c r="C7606" s="165"/>
      <c r="D7606" s="52"/>
      <c r="E7606" s="115"/>
      <c r="F7606" s="58"/>
      <c r="G7606" s="58"/>
      <c r="H7606" s="58"/>
      <c r="I7606" s="55"/>
      <c r="J7606" s="113">
        <f>J7595</f>
        <v>49.560549999999921</v>
      </c>
      <c r="K7606" s="212">
        <f>K7595</f>
        <v>49.560549999999921</v>
      </c>
      <c r="L7606" s="58"/>
      <c r="M7606" s="58">
        <f>K7606-L7606</f>
        <v>49.560549999999921</v>
      </c>
      <c r="N7606" s="166"/>
      <c r="O7606" s="58"/>
      <c r="P7606" s="58"/>
      <c r="Q7606" s="58"/>
      <c r="R7606" s="58"/>
      <c r="S7606" s="58"/>
      <c r="T7606" s="220"/>
      <c r="U7606" s="88"/>
      <c r="V7606" s="56"/>
      <c r="W7606" s="57" t="s">
        <v>1036</v>
      </c>
      <c r="X7606" s="53"/>
      <c r="Y7606" s="91" t="s">
        <v>68</v>
      </c>
      <c r="Z7606" s="136">
        <f>AD7606/AC7606</f>
        <v>443.58333333333343</v>
      </c>
      <c r="AA7606" s="58"/>
      <c r="AB7606" s="53">
        <f>AD7606/AC7606</f>
        <v>443.58333333333343</v>
      </c>
      <c r="AC7606" s="53">
        <f>M7606+$AE$10</f>
        <v>49.560549999999921</v>
      </c>
      <c r="AD7606" s="54">
        <f>SUM(AD7607:AD7612)</f>
        <v>21984.233970833302</v>
      </c>
      <c r="AE7606" s="184">
        <f>SUMIFS($AD$37:$AD$12971,$V$37:$V$12971,$V7606,$X$37:$X$12971,AE$13)</f>
        <v>0</v>
      </c>
      <c r="AF7606" s="185">
        <f>SUMIFS($AD$37:$AD$12971,$V$37:$V$12971,$V7606,$X$37:$X$12971,AF$13)</f>
        <v>0</v>
      </c>
      <c r="AG7606" s="185">
        <f>SUMIFS($AD$37:$AD$12971,$V$37:$V$12971,$V7606,$X$37:$X$12971,AG$13)</f>
        <v>0</v>
      </c>
      <c r="AH7606" s="187">
        <f>SUMIFS($AD$37:$AD$12971,$V$37:$V$12971,$V7606,$X$37:$X$12971,AH$13)</f>
        <v>0</v>
      </c>
      <c r="AI7606" s="161">
        <f t="shared" ref="AI7606" si="5349">SUM(AE7606:AH7606)</f>
        <v>0</v>
      </c>
      <c r="AK7606" s="172"/>
    </row>
    <row r="7607" spans="1:41" s="102" customFormat="1" ht="19.899999999999999" customHeight="1" x14ac:dyDescent="0.25">
      <c r="A7607" s="45"/>
      <c r="B7607" s="59"/>
      <c r="C7607" s="137"/>
      <c r="D7607" s="59"/>
      <c r="E7607" s="116"/>
      <c r="F7607" s="120"/>
      <c r="G7607" s="120"/>
      <c r="H7607" s="120"/>
      <c r="I7607" s="60"/>
      <c r="J7607" s="116"/>
      <c r="K7607" s="213"/>
      <c r="L7607" s="120"/>
      <c r="M7607" s="120"/>
      <c r="N7607" s="167"/>
      <c r="O7607" s="120"/>
      <c r="P7607" s="120"/>
      <c r="Q7607" s="120"/>
      <c r="R7607" s="120"/>
      <c r="S7607" s="120"/>
      <c r="T7607" s="221"/>
      <c r="U7607" s="89"/>
      <c r="V7607" s="61"/>
      <c r="W7607" s="92" t="s">
        <v>1058</v>
      </c>
      <c r="X7607" s="93" t="s">
        <v>30</v>
      </c>
      <c r="Y7607" s="93" t="s">
        <v>68</v>
      </c>
      <c r="Z7607" s="134">
        <f>VLOOKUP(W7607,Sheet2!$B:$D,3,FALSE)</f>
        <v>290</v>
      </c>
      <c r="AA7607" s="93">
        <v>1</v>
      </c>
      <c r="AB7607" s="93">
        <f>AD7607/AC7606</f>
        <v>290</v>
      </c>
      <c r="AC7607" s="93">
        <f>AC7606/AA7607</f>
        <v>49.560549999999921</v>
      </c>
      <c r="AD7607" s="94">
        <f t="shared" ref="AD7607" si="5350">AC7607*Z7607</f>
        <v>14372.559499999978</v>
      </c>
      <c r="AE7607" s="190"/>
      <c r="AF7607" s="191"/>
      <c r="AG7607" s="191"/>
      <c r="AH7607" s="191"/>
      <c r="AI7607" s="186"/>
      <c r="AK7607" s="171"/>
    </row>
    <row r="7608" spans="1:41" s="102" customFormat="1" ht="19.899999999999999" customHeight="1" x14ac:dyDescent="0.25">
      <c r="A7608" s="45"/>
      <c r="B7608" s="59"/>
      <c r="C7608" s="137"/>
      <c r="D7608" s="59"/>
      <c r="E7608" s="116"/>
      <c r="F7608" s="120"/>
      <c r="G7608" s="120"/>
      <c r="H7608" s="120"/>
      <c r="I7608" s="60"/>
      <c r="J7608" s="116"/>
      <c r="K7608" s="213"/>
      <c r="L7608" s="120"/>
      <c r="M7608" s="120"/>
      <c r="N7608" s="167"/>
      <c r="O7608" s="120"/>
      <c r="P7608" s="120"/>
      <c r="Q7608" s="120"/>
      <c r="R7608" s="120"/>
      <c r="S7608" s="120"/>
      <c r="T7608" s="221"/>
      <c r="U7608" s="89"/>
      <c r="V7608" s="61"/>
      <c r="W7608" s="92" t="s">
        <v>1065</v>
      </c>
      <c r="X7608" s="93" t="s">
        <v>30</v>
      </c>
      <c r="Y7608" s="93" t="s">
        <v>68</v>
      </c>
      <c r="Z7608" s="134">
        <f>VLOOKUP(W7608,Sheet2!$B:$D,3,FALSE)</f>
        <v>29</v>
      </c>
      <c r="AA7608" s="93">
        <v>1</v>
      </c>
      <c r="AB7608" s="93">
        <f>AD7608/AC7606</f>
        <v>29</v>
      </c>
      <c r="AC7608" s="93">
        <f>AC7606/AA7608</f>
        <v>49.560549999999921</v>
      </c>
      <c r="AD7608" s="94">
        <f>AC7608*Z7608</f>
        <v>1437.2559499999977</v>
      </c>
      <c r="AE7608" s="190"/>
      <c r="AF7608" s="191"/>
      <c r="AG7608" s="191"/>
      <c r="AH7608" s="191"/>
      <c r="AI7608" s="186"/>
      <c r="AK7608" s="171"/>
    </row>
    <row r="7609" spans="1:41" s="102" customFormat="1" ht="19.899999999999999" customHeight="1" x14ac:dyDescent="0.25">
      <c r="A7609" s="45"/>
      <c r="B7609" s="59"/>
      <c r="C7609" s="137"/>
      <c r="D7609" s="59"/>
      <c r="E7609" s="116"/>
      <c r="F7609" s="120"/>
      <c r="G7609" s="120"/>
      <c r="H7609" s="120"/>
      <c r="I7609" s="60"/>
      <c r="J7609" s="116"/>
      <c r="K7609" s="213"/>
      <c r="L7609" s="120"/>
      <c r="M7609" s="120"/>
      <c r="N7609" s="167"/>
      <c r="O7609" s="120"/>
      <c r="P7609" s="120"/>
      <c r="Q7609" s="120"/>
      <c r="R7609" s="120"/>
      <c r="S7609" s="120"/>
      <c r="T7609" s="221"/>
      <c r="U7609" s="89"/>
      <c r="V7609" s="61"/>
      <c r="W7609" s="92" t="s">
        <v>1068</v>
      </c>
      <c r="X7609" s="93" t="s">
        <v>32</v>
      </c>
      <c r="Y7609" s="93" t="s">
        <v>68</v>
      </c>
      <c r="Z7609" s="134">
        <f>VLOOKUP(W7609,Sheet2!$B:$D,3,FALSE)</f>
        <v>60</v>
      </c>
      <c r="AA7609" s="93">
        <v>1</v>
      </c>
      <c r="AB7609" s="93">
        <f>AD7609/AC7606</f>
        <v>60</v>
      </c>
      <c r="AC7609" s="93">
        <f>AC7606/AA7609</f>
        <v>49.560549999999921</v>
      </c>
      <c r="AD7609" s="94">
        <f>AC7609*Z7609</f>
        <v>2973.6329999999953</v>
      </c>
      <c r="AE7609" s="190"/>
      <c r="AF7609" s="191"/>
      <c r="AG7609" s="191"/>
      <c r="AH7609" s="191"/>
      <c r="AI7609" s="186"/>
      <c r="AK7609" s="171"/>
    </row>
    <row r="7610" spans="1:41" s="102" customFormat="1" ht="19.899999999999999" customHeight="1" x14ac:dyDescent="0.25">
      <c r="A7610" s="45"/>
      <c r="B7610" s="59"/>
      <c r="C7610" s="137"/>
      <c r="D7610" s="59"/>
      <c r="E7610" s="116"/>
      <c r="F7610" s="120"/>
      <c r="G7610" s="120"/>
      <c r="H7610" s="120"/>
      <c r="I7610" s="60"/>
      <c r="J7610" s="116"/>
      <c r="K7610" s="213"/>
      <c r="L7610" s="120"/>
      <c r="M7610" s="120"/>
      <c r="N7610" s="167"/>
      <c r="O7610" s="120"/>
      <c r="P7610" s="120"/>
      <c r="Q7610" s="120"/>
      <c r="R7610" s="120"/>
      <c r="S7610" s="120"/>
      <c r="T7610" s="221"/>
      <c r="U7610" s="89"/>
      <c r="V7610" s="61"/>
      <c r="W7610" s="92" t="s">
        <v>1032</v>
      </c>
      <c r="X7610" s="93" t="s">
        <v>30</v>
      </c>
      <c r="Y7610" s="93" t="s">
        <v>66</v>
      </c>
      <c r="Z7610" s="134">
        <f>VLOOKUP(W7610,Sheet2!$B:$D,3,FALSE)</f>
        <v>250</v>
      </c>
      <c r="AA7610" s="93">
        <f>1/(1.6*0.1)</f>
        <v>6.2499999999999991</v>
      </c>
      <c r="AB7610" s="93">
        <f>AD7610/AC7606</f>
        <v>40.000000000000007</v>
      </c>
      <c r="AC7610" s="93">
        <f>AC7606/AA7610</f>
        <v>7.9296879999999881</v>
      </c>
      <c r="AD7610" s="94">
        <f>AC7610*Z7610</f>
        <v>1982.4219999999971</v>
      </c>
      <c r="AE7610" s="190"/>
      <c r="AF7610" s="191"/>
      <c r="AG7610" s="191"/>
      <c r="AH7610" s="191"/>
      <c r="AI7610" s="186"/>
      <c r="AK7610" s="171"/>
    </row>
    <row r="7611" spans="1:41" s="102" customFormat="1" ht="19.899999999999999" customHeight="1" x14ac:dyDescent="0.25">
      <c r="A7611" s="45"/>
      <c r="B7611" s="59"/>
      <c r="C7611" s="137"/>
      <c r="D7611" s="59"/>
      <c r="E7611" s="116"/>
      <c r="F7611" s="120"/>
      <c r="G7611" s="120"/>
      <c r="H7611" s="120"/>
      <c r="I7611" s="60"/>
      <c r="J7611" s="116"/>
      <c r="K7611" s="213"/>
      <c r="L7611" s="120"/>
      <c r="M7611" s="120"/>
      <c r="N7611" s="167"/>
      <c r="O7611" s="120"/>
      <c r="P7611" s="120"/>
      <c r="Q7611" s="120"/>
      <c r="R7611" s="120"/>
      <c r="S7611" s="120"/>
      <c r="T7611" s="221"/>
      <c r="U7611" s="89"/>
      <c r="V7611" s="61"/>
      <c r="W7611" s="92" t="s">
        <v>1035</v>
      </c>
      <c r="X7611" s="93" t="s">
        <v>32</v>
      </c>
      <c r="Y7611" s="93" t="s">
        <v>66</v>
      </c>
      <c r="Z7611" s="134">
        <f>VLOOKUP(W7611,Sheet2!$B:$D,3,FALSE)</f>
        <v>150</v>
      </c>
      <c r="AA7611" s="93">
        <f>AA7610</f>
        <v>6.2499999999999991</v>
      </c>
      <c r="AB7611" s="93">
        <f>AD7611/AC7606</f>
        <v>24</v>
      </c>
      <c r="AC7611" s="93">
        <f>AC7606/AA7611</f>
        <v>7.9296879999999881</v>
      </c>
      <c r="AD7611" s="94">
        <f t="shared" ref="AD7611:AD7612" si="5351">AC7611*Z7611</f>
        <v>1189.4531999999981</v>
      </c>
      <c r="AE7611" s="190"/>
      <c r="AF7611" s="191"/>
      <c r="AG7611" s="191"/>
      <c r="AH7611" s="191"/>
      <c r="AI7611" s="186"/>
      <c r="AK7611" s="171"/>
    </row>
    <row r="7612" spans="1:41" s="102" customFormat="1" ht="19.899999999999999" customHeight="1" x14ac:dyDescent="0.25">
      <c r="A7612" s="45"/>
      <c r="B7612" s="59"/>
      <c r="C7612" s="137"/>
      <c r="D7612" s="59"/>
      <c r="E7612" s="116"/>
      <c r="F7612" s="120"/>
      <c r="G7612" s="120"/>
      <c r="H7612" s="120"/>
      <c r="I7612" s="60"/>
      <c r="J7612" s="116"/>
      <c r="K7612" s="213"/>
      <c r="L7612" s="120"/>
      <c r="M7612" s="120"/>
      <c r="N7612" s="167"/>
      <c r="O7612" s="120"/>
      <c r="P7612" s="120"/>
      <c r="Q7612" s="120"/>
      <c r="R7612" s="120"/>
      <c r="S7612" s="120"/>
      <c r="T7612" s="221"/>
      <c r="U7612" s="89"/>
      <c r="V7612" s="61"/>
      <c r="W7612" s="92" t="s">
        <v>1037</v>
      </c>
      <c r="X7612" s="93" t="s">
        <v>30</v>
      </c>
      <c r="Y7612" s="93" t="s">
        <v>1038</v>
      </c>
      <c r="Z7612" s="134">
        <f>VLOOKUP(W7612,Sheet2!$B:$D,3,FALSE)</f>
        <v>175</v>
      </c>
      <c r="AA7612" s="93">
        <v>300</v>
      </c>
      <c r="AB7612" s="93">
        <f>AD7612/AC7606</f>
        <v>0.58333333333333337</v>
      </c>
      <c r="AC7612" s="93">
        <f>AC7606/AA7612</f>
        <v>0.16520183333333308</v>
      </c>
      <c r="AD7612" s="94">
        <f t="shared" si="5351"/>
        <v>28.910320833333287</v>
      </c>
      <c r="AE7612" s="190"/>
      <c r="AF7612" s="191"/>
      <c r="AG7612" s="191"/>
      <c r="AH7612" s="191"/>
      <c r="AI7612" s="186"/>
      <c r="AK7612" s="171"/>
    </row>
    <row r="7613" spans="1:41" s="103" customFormat="1" ht="19.899999999999999" customHeight="1" x14ac:dyDescent="0.25">
      <c r="A7613" s="51"/>
      <c r="B7613" s="52"/>
      <c r="C7613" s="165"/>
      <c r="D7613" s="52"/>
      <c r="E7613" s="115"/>
      <c r="F7613" s="58"/>
      <c r="G7613" s="58"/>
      <c r="H7613" s="58"/>
      <c r="I7613" s="55"/>
      <c r="J7613" s="113">
        <f>J7595</f>
        <v>49.560549999999921</v>
      </c>
      <c r="K7613" s="212">
        <f>K7595</f>
        <v>49.560549999999921</v>
      </c>
      <c r="L7613" s="58"/>
      <c r="M7613" s="58">
        <f>K7613-L7613</f>
        <v>49.560549999999921</v>
      </c>
      <c r="N7613" s="166"/>
      <c r="O7613" s="58"/>
      <c r="P7613" s="58"/>
      <c r="Q7613" s="58"/>
      <c r="R7613" s="58"/>
      <c r="S7613" s="58"/>
      <c r="T7613" s="220"/>
      <c r="U7613" s="88"/>
      <c r="V7613" s="56"/>
      <c r="W7613" s="57" t="s">
        <v>1040</v>
      </c>
      <c r="X7613" s="53"/>
      <c r="Y7613" s="91" t="s">
        <v>68</v>
      </c>
      <c r="Z7613" s="136">
        <f>AD7613/AC7613</f>
        <v>5</v>
      </c>
      <c r="AA7613" s="58"/>
      <c r="AB7613" s="53">
        <f>AD7613/AC7613</f>
        <v>5</v>
      </c>
      <c r="AC7613" s="53">
        <f>M7613+$AE$10</f>
        <v>49.560549999999921</v>
      </c>
      <c r="AD7613" s="54">
        <f>SUM(AD7614)</f>
        <v>247.80274999999961</v>
      </c>
      <c r="AE7613" s="184">
        <f>SUMIFS($AD$37:$AD$12971,$V$37:$V$12971,$V7613,$X$37:$X$12971,AE$13)</f>
        <v>0</v>
      </c>
      <c r="AF7613" s="185">
        <f>SUMIFS($AD$37:$AD$12971,$V$37:$V$12971,$V7613,$X$37:$X$12971,AF$13)</f>
        <v>0</v>
      </c>
      <c r="AG7613" s="185">
        <f>SUMIFS($AD$37:$AD$12971,$V$37:$V$12971,$V7613,$X$37:$X$12971,AG$13)</f>
        <v>0</v>
      </c>
      <c r="AH7613" s="187">
        <f>SUMIFS($AD$37:$AD$12971,$V$37:$V$12971,$V7613,$X$37:$X$12971,AH$13)</f>
        <v>0</v>
      </c>
      <c r="AI7613" s="161">
        <f t="shared" ref="AI7613" si="5352">SUM(AE7613:AH7613)</f>
        <v>0</v>
      </c>
      <c r="AK7613" s="172"/>
    </row>
    <row r="7614" spans="1:41" s="102" customFormat="1" ht="19.899999999999999" customHeight="1" x14ac:dyDescent="0.25">
      <c r="A7614" s="45"/>
      <c r="B7614" s="59"/>
      <c r="C7614" s="137"/>
      <c r="D7614" s="59"/>
      <c r="E7614" s="116"/>
      <c r="F7614" s="120"/>
      <c r="G7614" s="120"/>
      <c r="H7614" s="120"/>
      <c r="I7614" s="60"/>
      <c r="J7614" s="116"/>
      <c r="K7614" s="213"/>
      <c r="L7614" s="120"/>
      <c r="M7614" s="120"/>
      <c r="N7614" s="167"/>
      <c r="O7614" s="120"/>
      <c r="P7614" s="120"/>
      <c r="Q7614" s="120"/>
      <c r="R7614" s="120"/>
      <c r="S7614" s="120"/>
      <c r="T7614" s="221"/>
      <c r="U7614" s="89"/>
      <c r="V7614" s="61"/>
      <c r="W7614" s="92" t="s">
        <v>1039</v>
      </c>
      <c r="X7614" s="93" t="s">
        <v>32</v>
      </c>
      <c r="Y7614" s="93" t="s">
        <v>68</v>
      </c>
      <c r="Z7614" s="134">
        <f>VLOOKUP(W7614,Sheet2!$B:$D,3,FALSE)</f>
        <v>5</v>
      </c>
      <c r="AA7614" s="93">
        <v>1</v>
      </c>
      <c r="AB7614" s="93">
        <f>AD7614/AC7613</f>
        <v>5</v>
      </c>
      <c r="AC7614" s="93">
        <f>AC7613/AA7614</f>
        <v>49.560549999999921</v>
      </c>
      <c r="AD7614" s="94">
        <f t="shared" ref="AD7614" si="5353">AC7614*Z7614</f>
        <v>247.80274999999961</v>
      </c>
      <c r="AE7614" s="190"/>
      <c r="AF7614" s="191"/>
      <c r="AG7614" s="191"/>
      <c r="AH7614" s="191"/>
      <c r="AI7614" s="186"/>
      <c r="AK7614" s="171"/>
    </row>
    <row r="7615" spans="1:41" ht="20.100000000000001" customHeight="1" x14ac:dyDescent="0.25">
      <c r="A7615" s="277" t="s">
        <v>703</v>
      </c>
      <c r="B7615" s="278"/>
      <c r="C7615" s="64" t="s">
        <v>747</v>
      </c>
      <c r="D7615" s="46" t="s">
        <v>97</v>
      </c>
      <c r="E7615" s="114">
        <v>9.7750499999999931</v>
      </c>
      <c r="F7615" s="44">
        <v>1070</v>
      </c>
      <c r="G7615" s="44">
        <f t="shared" si="4575"/>
        <v>10459.303499999993</v>
      </c>
      <c r="H7615" s="44">
        <f t="shared" si="4576"/>
        <v>539.0886854901961</v>
      </c>
      <c r="I7615" s="43">
        <f t="shared" si="4577"/>
        <v>5269.6188551009373</v>
      </c>
      <c r="J7615" s="112">
        <f t="shared" si="4578"/>
        <v>9.7750499999999931</v>
      </c>
      <c r="K7615" s="211">
        <f t="shared" si="4579"/>
        <v>9.7750499999999931</v>
      </c>
      <c r="L7615" s="44"/>
      <c r="M7615" s="44">
        <f t="shared" si="4580"/>
        <v>9.7750499999999931</v>
      </c>
      <c r="N7615" s="173">
        <f t="shared" si="4581"/>
        <v>1</v>
      </c>
      <c r="O7615" s="44">
        <f t="shared" si="4582"/>
        <v>1070</v>
      </c>
      <c r="P7615" s="44">
        <f t="shared" si="4583"/>
        <v>10459.303499999993</v>
      </c>
      <c r="Q7615" s="44">
        <f t="shared" si="4584"/>
        <v>539.0886854901961</v>
      </c>
      <c r="R7615" s="44">
        <f t="shared" si="4585"/>
        <v>5269.6188551009373</v>
      </c>
      <c r="S7615" s="123"/>
      <c r="T7615" s="219">
        <f t="shared" si="4586"/>
        <v>5269.6188551009373</v>
      </c>
      <c r="U7615" s="87"/>
      <c r="V7615" s="47"/>
      <c r="W7615" s="48"/>
      <c r="X7615" s="48"/>
      <c r="Y7615" s="48"/>
      <c r="Z7615" s="135"/>
      <c r="AA7615" s="49"/>
      <c r="AB7615" s="50">
        <f t="shared" si="4587"/>
        <v>539.0886854901961</v>
      </c>
      <c r="AC7615" s="42">
        <f t="shared" si="4588"/>
        <v>9.7750499999999931</v>
      </c>
      <c r="AD7615" s="90">
        <f>AD7616+AD7626+AD7633</f>
        <v>5269.6188551009373</v>
      </c>
      <c r="AE7615" s="188">
        <f t="shared" ref="AE7615:AH7615" si="5354">AE7616+AE7626+AE7633</f>
        <v>0</v>
      </c>
      <c r="AF7615" s="189">
        <f t="shared" si="5354"/>
        <v>0</v>
      </c>
      <c r="AG7615" s="189">
        <f t="shared" si="5354"/>
        <v>0</v>
      </c>
      <c r="AH7615" s="189">
        <f t="shared" si="5354"/>
        <v>0</v>
      </c>
      <c r="AI7615" s="161">
        <f t="shared" si="5344"/>
        <v>0</v>
      </c>
      <c r="AK7615" s="169">
        <v>5</v>
      </c>
      <c r="AO7615" s="19" t="s">
        <v>63</v>
      </c>
    </row>
    <row r="7616" spans="1:41" s="103" customFormat="1" ht="19.899999999999999" customHeight="1" x14ac:dyDescent="0.25">
      <c r="A7616" s="51"/>
      <c r="B7616" s="52"/>
      <c r="C7616" s="165"/>
      <c r="D7616" s="52"/>
      <c r="E7616" s="115"/>
      <c r="F7616" s="58"/>
      <c r="G7616" s="58"/>
      <c r="H7616" s="58"/>
      <c r="I7616" s="55"/>
      <c r="J7616" s="113">
        <f>J7615</f>
        <v>9.7750499999999931</v>
      </c>
      <c r="K7616" s="212">
        <f>K7615</f>
        <v>9.7750499999999931</v>
      </c>
      <c r="L7616" s="58"/>
      <c r="M7616" s="58">
        <f>K7616-L7616</f>
        <v>9.7750499999999931</v>
      </c>
      <c r="N7616" s="166"/>
      <c r="O7616" s="58"/>
      <c r="P7616" s="58"/>
      <c r="Q7616" s="58"/>
      <c r="R7616" s="58"/>
      <c r="S7616" s="58"/>
      <c r="T7616" s="220"/>
      <c r="U7616" s="88"/>
      <c r="V7616" s="56"/>
      <c r="W7616" s="57" t="s">
        <v>1082</v>
      </c>
      <c r="X7616" s="53"/>
      <c r="Y7616" s="91" t="s">
        <v>68</v>
      </c>
      <c r="Z7616" s="136">
        <f>AD7616/AC7616</f>
        <v>90.505352156862742</v>
      </c>
      <c r="AA7616" s="58"/>
      <c r="AB7616" s="53">
        <f>AD7616/AC7616</f>
        <v>90.505352156862742</v>
      </c>
      <c r="AC7616" s="53">
        <f>M7616+$AE$10</f>
        <v>9.7750499999999931</v>
      </c>
      <c r="AD7616" s="54">
        <f>SUM(AD7617:AD7625)</f>
        <v>884.69434260094056</v>
      </c>
      <c r="AE7616" s="184">
        <f>SUMIFS($AD$37:$AD$12971,$V$37:$V$12971,$V7616,$X$37:$X$12971,AE$13)</f>
        <v>0</v>
      </c>
      <c r="AF7616" s="185">
        <f>SUMIFS($AD$37:$AD$12971,$V$37:$V$12971,$V7616,$X$37:$X$12971,AF$13)</f>
        <v>0</v>
      </c>
      <c r="AG7616" s="185">
        <f>SUMIFS($AD$37:$AD$12971,$V$37:$V$12971,$V7616,$X$37:$X$12971,AG$13)</f>
        <v>0</v>
      </c>
      <c r="AH7616" s="187">
        <f>SUMIFS($AD$37:$AD$12971,$V$37:$V$12971,$V7616,$X$37:$X$12971,AH$13)</f>
        <v>0</v>
      </c>
      <c r="AI7616" s="161">
        <f t="shared" ref="AI7616" si="5355">SUM(AE7616:AH7616)</f>
        <v>0</v>
      </c>
      <c r="AK7616" s="172"/>
    </row>
    <row r="7617" spans="1:37" s="102" customFormat="1" ht="19.899999999999999" customHeight="1" x14ac:dyDescent="0.25">
      <c r="A7617" s="45"/>
      <c r="B7617" s="59"/>
      <c r="C7617" s="137"/>
      <c r="D7617" s="59"/>
      <c r="E7617" s="116"/>
      <c r="F7617" s="120"/>
      <c r="G7617" s="120"/>
      <c r="H7617" s="120"/>
      <c r="I7617" s="60"/>
      <c r="J7617" s="116"/>
      <c r="K7617" s="213"/>
      <c r="L7617" s="120"/>
      <c r="M7617" s="120"/>
      <c r="N7617" s="167"/>
      <c r="O7617" s="120"/>
      <c r="P7617" s="120"/>
      <c r="Q7617" s="120"/>
      <c r="R7617" s="120"/>
      <c r="S7617" s="120"/>
      <c r="T7617" s="221"/>
      <c r="U7617" s="89"/>
      <c r="V7617" s="61"/>
      <c r="W7617" s="92" t="s">
        <v>129</v>
      </c>
      <c r="X7617" s="93" t="s">
        <v>29</v>
      </c>
      <c r="Y7617" s="93" t="s">
        <v>93</v>
      </c>
      <c r="Z7617" s="134">
        <f>VLOOKUP(W7617,Sheet2!$B:$D,3,FALSE)</f>
        <v>56</v>
      </c>
      <c r="AA7617" s="93">
        <f>100/(1.6*4)</f>
        <v>15.625</v>
      </c>
      <c r="AB7617" s="93">
        <f t="shared" ref="AB7617" si="5356">AD7617/AC7616</f>
        <v>3.5840000000000001</v>
      </c>
      <c r="AC7617" s="93">
        <f>AC7616/AA7617</f>
        <v>0.62560319999999958</v>
      </c>
      <c r="AD7617" s="94">
        <f t="shared" ref="AD7617:AD7618" si="5357">AC7617*Z7617</f>
        <v>35.033779199999977</v>
      </c>
      <c r="AE7617" s="190"/>
      <c r="AF7617" s="191"/>
      <c r="AG7617" s="191"/>
      <c r="AH7617" s="191"/>
      <c r="AI7617" s="186"/>
      <c r="AK7617" s="171"/>
    </row>
    <row r="7618" spans="1:37" s="102" customFormat="1" ht="19.899999999999999" customHeight="1" x14ac:dyDescent="0.25">
      <c r="A7618" s="45"/>
      <c r="B7618" s="59"/>
      <c r="C7618" s="137"/>
      <c r="D7618" s="59"/>
      <c r="E7618" s="116"/>
      <c r="F7618" s="120"/>
      <c r="G7618" s="120"/>
      <c r="H7618" s="120"/>
      <c r="I7618" s="60"/>
      <c r="J7618" s="116"/>
      <c r="K7618" s="213"/>
      <c r="L7618" s="120"/>
      <c r="M7618" s="120"/>
      <c r="N7618" s="167"/>
      <c r="O7618" s="120"/>
      <c r="P7618" s="120"/>
      <c r="Q7618" s="120"/>
      <c r="R7618" s="120"/>
      <c r="S7618" s="120"/>
      <c r="T7618" s="221"/>
      <c r="U7618" s="89"/>
      <c r="V7618" s="61"/>
      <c r="W7618" s="92" t="s">
        <v>65</v>
      </c>
      <c r="X7618" s="93" t="s">
        <v>30</v>
      </c>
      <c r="Y7618" s="93" t="s">
        <v>1011</v>
      </c>
      <c r="Z7618" s="134">
        <f>VLOOKUP(W7618,Sheet2!$B:$D,3,FALSE)</f>
        <v>1.76</v>
      </c>
      <c r="AA7618" s="93">
        <f>AA7617/14</f>
        <v>1.1160714285714286</v>
      </c>
      <c r="AB7618" s="93">
        <f>AD7618/AC7616</f>
        <v>1.5769600000000001</v>
      </c>
      <c r="AC7618" s="93">
        <f>AC7616/AA7618</f>
        <v>8.7584447999999941</v>
      </c>
      <c r="AD7618" s="94">
        <f t="shared" si="5357"/>
        <v>15.41486284799999</v>
      </c>
      <c r="AE7618" s="190"/>
      <c r="AF7618" s="191"/>
      <c r="AG7618" s="191"/>
      <c r="AH7618" s="191"/>
      <c r="AI7618" s="186"/>
      <c r="AK7618" s="171"/>
    </row>
    <row r="7619" spans="1:37" s="102" customFormat="1" ht="19.899999999999999" customHeight="1" x14ac:dyDescent="0.25">
      <c r="A7619" s="45"/>
      <c r="B7619" s="59"/>
      <c r="C7619" s="137"/>
      <c r="D7619" s="59"/>
      <c r="E7619" s="116"/>
      <c r="F7619" s="120"/>
      <c r="G7619" s="120"/>
      <c r="H7619" s="120"/>
      <c r="I7619" s="60"/>
      <c r="J7619" s="116"/>
      <c r="K7619" s="213"/>
      <c r="L7619" s="120"/>
      <c r="M7619" s="120"/>
      <c r="N7619" s="167"/>
      <c r="O7619" s="120"/>
      <c r="P7619" s="120"/>
      <c r="Q7619" s="120"/>
      <c r="R7619" s="120"/>
      <c r="S7619" s="120"/>
      <c r="T7619" s="221"/>
      <c r="U7619" s="89"/>
      <c r="V7619" s="61"/>
      <c r="W7619" s="92" t="s">
        <v>161</v>
      </c>
      <c r="X7619" s="93" t="s">
        <v>29</v>
      </c>
      <c r="Y7619" s="93" t="s">
        <v>93</v>
      </c>
      <c r="Z7619" s="134">
        <f>VLOOKUP(W7619,Sheet2!$B:$D,3,FALSE)</f>
        <v>48</v>
      </c>
      <c r="AA7619" s="93">
        <f>(16*0.85*1.5)/(1.6*4)</f>
        <v>3.1874999999999996</v>
      </c>
      <c r="AB7619" s="93">
        <f>AD7619/AC7616</f>
        <v>15.058823529411766</v>
      </c>
      <c r="AC7619" s="93">
        <f>AC7616/AA7619</f>
        <v>3.0666823529411746</v>
      </c>
      <c r="AD7619" s="94">
        <f>AC7619*Z7619</f>
        <v>147.20075294117638</v>
      </c>
      <c r="AE7619" s="190"/>
      <c r="AF7619" s="191"/>
      <c r="AG7619" s="191"/>
      <c r="AH7619" s="191"/>
      <c r="AI7619" s="186"/>
      <c r="AK7619" s="171"/>
    </row>
    <row r="7620" spans="1:37" s="102" customFormat="1" ht="19.899999999999999" customHeight="1" x14ac:dyDescent="0.25">
      <c r="A7620" s="45"/>
      <c r="B7620" s="59"/>
      <c r="C7620" s="137"/>
      <c r="D7620" s="59"/>
      <c r="E7620" s="116"/>
      <c r="F7620" s="120"/>
      <c r="G7620" s="120"/>
      <c r="H7620" s="120"/>
      <c r="I7620" s="60"/>
      <c r="J7620" s="116"/>
      <c r="K7620" s="213"/>
      <c r="L7620" s="120"/>
      <c r="M7620" s="120"/>
      <c r="N7620" s="167"/>
      <c r="O7620" s="120"/>
      <c r="P7620" s="120"/>
      <c r="Q7620" s="120"/>
      <c r="R7620" s="120"/>
      <c r="S7620" s="120"/>
      <c r="T7620" s="221"/>
      <c r="U7620" s="89"/>
      <c r="V7620" s="61"/>
      <c r="W7620" s="92" t="s">
        <v>65</v>
      </c>
      <c r="X7620" s="93" t="s">
        <v>30</v>
      </c>
      <c r="Y7620" s="93" t="s">
        <v>1011</v>
      </c>
      <c r="Z7620" s="134">
        <f>VLOOKUP(W7620,Sheet2!$B:$D,3,FALSE)</f>
        <v>1.76</v>
      </c>
      <c r="AA7620" s="93">
        <f>AA7619/10</f>
        <v>0.31874999999999998</v>
      </c>
      <c r="AB7620" s="93">
        <f>AD7620/AC7616</f>
        <v>5.5215686274509803</v>
      </c>
      <c r="AC7620" s="93">
        <f>AC7616/AA7620</f>
        <v>30.666823529411744</v>
      </c>
      <c r="AD7620" s="94">
        <f>AC7620*Z7620</f>
        <v>53.97360941176467</v>
      </c>
      <c r="AE7620" s="190"/>
      <c r="AF7620" s="191"/>
      <c r="AG7620" s="191"/>
      <c r="AH7620" s="191"/>
      <c r="AI7620" s="186"/>
      <c r="AK7620" s="171"/>
    </row>
    <row r="7621" spans="1:37" s="102" customFormat="1" ht="19.899999999999999" customHeight="1" x14ac:dyDescent="0.25">
      <c r="A7621" s="45"/>
      <c r="B7621" s="59"/>
      <c r="C7621" s="137"/>
      <c r="D7621" s="59"/>
      <c r="E7621" s="116"/>
      <c r="F7621" s="120"/>
      <c r="G7621" s="120"/>
      <c r="H7621" s="120"/>
      <c r="I7621" s="60"/>
      <c r="J7621" s="116"/>
      <c r="K7621" s="213"/>
      <c r="L7621" s="120"/>
      <c r="M7621" s="120"/>
      <c r="N7621" s="167"/>
      <c r="O7621" s="120"/>
      <c r="P7621" s="120"/>
      <c r="Q7621" s="120"/>
      <c r="R7621" s="120"/>
      <c r="S7621" s="120"/>
      <c r="T7621" s="221"/>
      <c r="U7621" s="89"/>
      <c r="V7621" s="61"/>
      <c r="W7621" s="92" t="s">
        <v>1030</v>
      </c>
      <c r="X7621" s="93" t="s">
        <v>29</v>
      </c>
      <c r="Y7621" s="93" t="s">
        <v>93</v>
      </c>
      <c r="Z7621" s="134">
        <f>VLOOKUP(W7621,Sheet2!$B:$D,3,FALSE)</f>
        <v>23</v>
      </c>
      <c r="AA7621" s="93">
        <v>50</v>
      </c>
      <c r="AB7621" s="93">
        <f>AD7621/AC7616</f>
        <v>0.46</v>
      </c>
      <c r="AC7621" s="93">
        <f>AC7616/AA7621</f>
        <v>0.19550099999999987</v>
      </c>
      <c r="AD7621" s="94">
        <f t="shared" ref="AD7621:AD7625" si="5358">AC7621*Z7621</f>
        <v>4.4965229999999972</v>
      </c>
      <c r="AE7621" s="190"/>
      <c r="AF7621" s="191"/>
      <c r="AG7621" s="191"/>
      <c r="AH7621" s="191"/>
      <c r="AI7621" s="186"/>
      <c r="AK7621" s="171"/>
    </row>
    <row r="7622" spans="1:37" s="102" customFormat="1" ht="19.899999999999999" customHeight="1" x14ac:dyDescent="0.25">
      <c r="A7622" s="45"/>
      <c r="B7622" s="59"/>
      <c r="C7622" s="137"/>
      <c r="D7622" s="59"/>
      <c r="E7622" s="116"/>
      <c r="F7622" s="120"/>
      <c r="G7622" s="120"/>
      <c r="H7622" s="120"/>
      <c r="I7622" s="60"/>
      <c r="J7622" s="116"/>
      <c r="K7622" s="213"/>
      <c r="L7622" s="120"/>
      <c r="M7622" s="120"/>
      <c r="N7622" s="167"/>
      <c r="O7622" s="120"/>
      <c r="P7622" s="120"/>
      <c r="Q7622" s="120"/>
      <c r="R7622" s="120"/>
      <c r="S7622" s="120"/>
      <c r="T7622" s="221"/>
      <c r="U7622" s="89"/>
      <c r="V7622" s="61"/>
      <c r="W7622" s="92" t="s">
        <v>65</v>
      </c>
      <c r="X7622" s="93" t="s">
        <v>30</v>
      </c>
      <c r="Y7622" s="93" t="s">
        <v>1011</v>
      </c>
      <c r="Z7622" s="134">
        <f>VLOOKUP(W7622,Sheet2!$B:$D,3,FALSE)</f>
        <v>1.76</v>
      </c>
      <c r="AA7622" s="93">
        <f>AA7621/3</f>
        <v>16.666666666666668</v>
      </c>
      <c r="AB7622" s="93">
        <f>AD7622/AC7616</f>
        <v>0.1056</v>
      </c>
      <c r="AC7622" s="93">
        <f>AC7616/AA7622</f>
        <v>0.58650299999999955</v>
      </c>
      <c r="AD7622" s="94">
        <f t="shared" si="5358"/>
        <v>1.0322452799999993</v>
      </c>
      <c r="AE7622" s="190"/>
      <c r="AF7622" s="191"/>
      <c r="AG7622" s="191"/>
      <c r="AH7622" s="191"/>
      <c r="AI7622" s="186"/>
      <c r="AK7622" s="171"/>
    </row>
    <row r="7623" spans="1:37" s="102" customFormat="1" ht="19.899999999999999" customHeight="1" x14ac:dyDescent="0.25">
      <c r="A7623" s="45"/>
      <c r="B7623" s="59"/>
      <c r="C7623" s="137"/>
      <c r="D7623" s="59"/>
      <c r="E7623" s="116"/>
      <c r="F7623" s="120"/>
      <c r="G7623" s="120"/>
      <c r="H7623" s="120"/>
      <c r="I7623" s="60"/>
      <c r="J7623" s="116"/>
      <c r="K7623" s="213"/>
      <c r="L7623" s="120"/>
      <c r="M7623" s="120"/>
      <c r="N7623" s="167"/>
      <c r="O7623" s="120"/>
      <c r="P7623" s="120"/>
      <c r="Q7623" s="120"/>
      <c r="R7623" s="120"/>
      <c r="S7623" s="120"/>
      <c r="T7623" s="221"/>
      <c r="U7623" s="89"/>
      <c r="V7623" s="61"/>
      <c r="W7623" s="92" t="s">
        <v>148</v>
      </c>
      <c r="X7623" s="93" t="s">
        <v>29</v>
      </c>
      <c r="Y7623" s="93" t="s">
        <v>93</v>
      </c>
      <c r="Z7623" s="134">
        <f>VLOOKUP(W7623,Sheet2!$B:$D,3,FALSE)</f>
        <v>48</v>
      </c>
      <c r="AA7623" s="93">
        <f>AA7617</f>
        <v>15.625</v>
      </c>
      <c r="AB7623" s="93">
        <f>AD7623/AC7616</f>
        <v>3.0720000000000001</v>
      </c>
      <c r="AC7623" s="93">
        <f>AC7616/AA7623</f>
        <v>0.62560319999999958</v>
      </c>
      <c r="AD7623" s="94">
        <f t="shared" si="5358"/>
        <v>30.02895359999998</v>
      </c>
      <c r="AE7623" s="190"/>
      <c r="AF7623" s="191"/>
      <c r="AG7623" s="191"/>
      <c r="AH7623" s="191"/>
      <c r="AI7623" s="186"/>
      <c r="AK7623" s="171"/>
    </row>
    <row r="7624" spans="1:37" s="102" customFormat="1" ht="19.899999999999999" customHeight="1" x14ac:dyDescent="0.25">
      <c r="A7624" s="45"/>
      <c r="B7624" s="59"/>
      <c r="C7624" s="137"/>
      <c r="D7624" s="59"/>
      <c r="E7624" s="116"/>
      <c r="F7624" s="120"/>
      <c r="G7624" s="120"/>
      <c r="H7624" s="120"/>
      <c r="I7624" s="60"/>
      <c r="J7624" s="116"/>
      <c r="K7624" s="213"/>
      <c r="L7624" s="120"/>
      <c r="M7624" s="120"/>
      <c r="N7624" s="167"/>
      <c r="O7624" s="120"/>
      <c r="P7624" s="120"/>
      <c r="Q7624" s="120"/>
      <c r="R7624" s="120"/>
      <c r="S7624" s="120"/>
      <c r="T7624" s="221"/>
      <c r="U7624" s="89"/>
      <c r="V7624" s="61"/>
      <c r="W7624" s="92" t="s">
        <v>65</v>
      </c>
      <c r="X7624" s="93" t="s">
        <v>30</v>
      </c>
      <c r="Y7624" s="93" t="s">
        <v>1011</v>
      </c>
      <c r="Z7624" s="134">
        <f>VLOOKUP(W7624,Sheet2!$B:$D,3,FALSE)</f>
        <v>1.76</v>
      </c>
      <c r="AA7624" s="93">
        <f>AA7623/10</f>
        <v>1.5625</v>
      </c>
      <c r="AB7624" s="93">
        <f>AD7624/AC7616</f>
        <v>1.1264000000000001</v>
      </c>
      <c r="AC7624" s="93">
        <f>AC7616/AA7624</f>
        <v>6.2560319999999958</v>
      </c>
      <c r="AD7624" s="94">
        <f t="shared" si="5358"/>
        <v>11.010616319999993</v>
      </c>
      <c r="AE7624" s="190"/>
      <c r="AF7624" s="191"/>
      <c r="AG7624" s="191"/>
      <c r="AH7624" s="191"/>
      <c r="AI7624" s="186"/>
      <c r="AK7624" s="171"/>
    </row>
    <row r="7625" spans="1:37" s="102" customFormat="1" ht="19.899999999999999" customHeight="1" x14ac:dyDescent="0.25">
      <c r="A7625" s="45"/>
      <c r="B7625" s="59"/>
      <c r="C7625" s="137"/>
      <c r="D7625" s="59"/>
      <c r="E7625" s="116"/>
      <c r="F7625" s="120"/>
      <c r="G7625" s="120"/>
      <c r="H7625" s="120"/>
      <c r="I7625" s="60"/>
      <c r="J7625" s="116"/>
      <c r="K7625" s="213"/>
      <c r="L7625" s="120"/>
      <c r="M7625" s="120"/>
      <c r="N7625" s="167"/>
      <c r="O7625" s="120"/>
      <c r="P7625" s="120"/>
      <c r="Q7625" s="120"/>
      <c r="R7625" s="120"/>
      <c r="S7625" s="120"/>
      <c r="T7625" s="221"/>
      <c r="U7625" s="89"/>
      <c r="V7625" s="61"/>
      <c r="W7625" s="92" t="s">
        <v>1049</v>
      </c>
      <c r="X7625" s="93" t="s">
        <v>30</v>
      </c>
      <c r="Y7625" s="93" t="s">
        <v>68</v>
      </c>
      <c r="Z7625" s="134">
        <f>VLOOKUP(W7625,Sheet2!$B:$D,3,FALSE)</f>
        <v>60</v>
      </c>
      <c r="AA7625" s="93">
        <v>1</v>
      </c>
      <c r="AB7625" s="93">
        <f>AD7625/AC7616</f>
        <v>60</v>
      </c>
      <c r="AC7625" s="93">
        <f>AC7616/AA7625</f>
        <v>9.7750499999999931</v>
      </c>
      <c r="AD7625" s="94">
        <f t="shared" si="5358"/>
        <v>586.50299999999959</v>
      </c>
      <c r="AE7625" s="190"/>
      <c r="AF7625" s="191"/>
      <c r="AG7625" s="191"/>
      <c r="AH7625" s="191"/>
      <c r="AI7625" s="186"/>
      <c r="AK7625" s="171"/>
    </row>
    <row r="7626" spans="1:37" s="103" customFormat="1" ht="19.899999999999999" customHeight="1" x14ac:dyDescent="0.25">
      <c r="A7626" s="51"/>
      <c r="B7626" s="52"/>
      <c r="C7626" s="165"/>
      <c r="D7626" s="52"/>
      <c r="E7626" s="115"/>
      <c r="F7626" s="58"/>
      <c r="G7626" s="58"/>
      <c r="H7626" s="58"/>
      <c r="I7626" s="55"/>
      <c r="J7626" s="113">
        <f>J7615</f>
        <v>9.7750499999999931</v>
      </c>
      <c r="K7626" s="212">
        <f>K7615</f>
        <v>9.7750499999999931</v>
      </c>
      <c r="L7626" s="58"/>
      <c r="M7626" s="58">
        <f>K7626-L7626</f>
        <v>9.7750499999999931</v>
      </c>
      <c r="N7626" s="166"/>
      <c r="O7626" s="58"/>
      <c r="P7626" s="58"/>
      <c r="Q7626" s="58"/>
      <c r="R7626" s="58"/>
      <c r="S7626" s="58"/>
      <c r="T7626" s="220"/>
      <c r="U7626" s="88"/>
      <c r="V7626" s="56"/>
      <c r="W7626" s="57" t="s">
        <v>1036</v>
      </c>
      <c r="X7626" s="53"/>
      <c r="Y7626" s="91" t="s">
        <v>68</v>
      </c>
      <c r="Z7626" s="136">
        <f>AD7626/AC7626</f>
        <v>443.58333333333331</v>
      </c>
      <c r="AA7626" s="58"/>
      <c r="AB7626" s="53">
        <f>AD7626/AC7626</f>
        <v>443.58333333333331</v>
      </c>
      <c r="AC7626" s="53">
        <f>M7626+$AE$10</f>
        <v>9.7750499999999931</v>
      </c>
      <c r="AD7626" s="54">
        <f>SUM(AD7627:AD7632)</f>
        <v>4336.049262499997</v>
      </c>
      <c r="AE7626" s="184">
        <f>SUMIFS($AD$37:$AD$12971,$V$37:$V$12971,$V7626,$X$37:$X$12971,AE$13)</f>
        <v>0</v>
      </c>
      <c r="AF7626" s="185">
        <f>SUMIFS($AD$37:$AD$12971,$V$37:$V$12971,$V7626,$X$37:$X$12971,AF$13)</f>
        <v>0</v>
      </c>
      <c r="AG7626" s="185">
        <f>SUMIFS($AD$37:$AD$12971,$V$37:$V$12971,$V7626,$X$37:$X$12971,AG$13)</f>
        <v>0</v>
      </c>
      <c r="AH7626" s="187">
        <f>SUMIFS($AD$37:$AD$12971,$V$37:$V$12971,$V7626,$X$37:$X$12971,AH$13)</f>
        <v>0</v>
      </c>
      <c r="AI7626" s="161">
        <f t="shared" ref="AI7626" si="5359">SUM(AE7626:AH7626)</f>
        <v>0</v>
      </c>
      <c r="AK7626" s="172"/>
    </row>
    <row r="7627" spans="1:37" s="102" customFormat="1" ht="19.899999999999999" customHeight="1" x14ac:dyDescent="0.25">
      <c r="A7627" s="45"/>
      <c r="B7627" s="59"/>
      <c r="C7627" s="137"/>
      <c r="D7627" s="59"/>
      <c r="E7627" s="116"/>
      <c r="F7627" s="120"/>
      <c r="G7627" s="120"/>
      <c r="H7627" s="120"/>
      <c r="I7627" s="60"/>
      <c r="J7627" s="116"/>
      <c r="K7627" s="213"/>
      <c r="L7627" s="120"/>
      <c r="M7627" s="120"/>
      <c r="N7627" s="167"/>
      <c r="O7627" s="120"/>
      <c r="P7627" s="120"/>
      <c r="Q7627" s="120"/>
      <c r="R7627" s="120"/>
      <c r="S7627" s="120"/>
      <c r="T7627" s="221"/>
      <c r="U7627" s="89"/>
      <c r="V7627" s="61"/>
      <c r="W7627" s="92" t="s">
        <v>1058</v>
      </c>
      <c r="X7627" s="93" t="s">
        <v>30</v>
      </c>
      <c r="Y7627" s="93" t="s">
        <v>68</v>
      </c>
      <c r="Z7627" s="134">
        <f>VLOOKUP(W7627,Sheet2!$B:$D,3,FALSE)</f>
        <v>290</v>
      </c>
      <c r="AA7627" s="93">
        <v>1</v>
      </c>
      <c r="AB7627" s="93">
        <f>AD7627/AC7626</f>
        <v>290</v>
      </c>
      <c r="AC7627" s="93">
        <f>AC7626/AA7627</f>
        <v>9.7750499999999931</v>
      </c>
      <c r="AD7627" s="94">
        <f t="shared" ref="AD7627" si="5360">AC7627*Z7627</f>
        <v>2834.764499999998</v>
      </c>
      <c r="AE7627" s="190"/>
      <c r="AF7627" s="191"/>
      <c r="AG7627" s="191"/>
      <c r="AH7627" s="191"/>
      <c r="AI7627" s="186"/>
      <c r="AK7627" s="171"/>
    </row>
    <row r="7628" spans="1:37" s="102" customFormat="1" ht="19.899999999999999" customHeight="1" x14ac:dyDescent="0.25">
      <c r="A7628" s="45"/>
      <c r="B7628" s="59"/>
      <c r="C7628" s="137"/>
      <c r="D7628" s="59"/>
      <c r="E7628" s="116"/>
      <c r="F7628" s="120"/>
      <c r="G7628" s="120"/>
      <c r="H7628" s="120"/>
      <c r="I7628" s="60"/>
      <c r="J7628" s="116"/>
      <c r="K7628" s="213"/>
      <c r="L7628" s="120"/>
      <c r="M7628" s="120"/>
      <c r="N7628" s="167"/>
      <c r="O7628" s="120"/>
      <c r="P7628" s="120"/>
      <c r="Q7628" s="120"/>
      <c r="R7628" s="120"/>
      <c r="S7628" s="120"/>
      <c r="T7628" s="221"/>
      <c r="U7628" s="89"/>
      <c r="V7628" s="61"/>
      <c r="W7628" s="92" t="s">
        <v>1065</v>
      </c>
      <c r="X7628" s="93" t="s">
        <v>30</v>
      </c>
      <c r="Y7628" s="93" t="s">
        <v>68</v>
      </c>
      <c r="Z7628" s="134">
        <f>VLOOKUP(W7628,Sheet2!$B:$D,3,FALSE)</f>
        <v>29</v>
      </c>
      <c r="AA7628" s="93">
        <v>1</v>
      </c>
      <c r="AB7628" s="93">
        <f>AD7628/AC7626</f>
        <v>28.999999999999996</v>
      </c>
      <c r="AC7628" s="93">
        <f>AC7626/AA7628</f>
        <v>9.7750499999999931</v>
      </c>
      <c r="AD7628" s="94">
        <f>AC7628*Z7628</f>
        <v>283.47644999999977</v>
      </c>
      <c r="AE7628" s="190"/>
      <c r="AF7628" s="191"/>
      <c r="AG7628" s="191"/>
      <c r="AH7628" s="191"/>
      <c r="AI7628" s="186"/>
      <c r="AK7628" s="171"/>
    </row>
    <row r="7629" spans="1:37" s="102" customFormat="1" ht="19.899999999999999" customHeight="1" x14ac:dyDescent="0.25">
      <c r="A7629" s="45"/>
      <c r="B7629" s="59"/>
      <c r="C7629" s="137"/>
      <c r="D7629" s="59"/>
      <c r="E7629" s="116"/>
      <c r="F7629" s="120"/>
      <c r="G7629" s="120"/>
      <c r="H7629" s="120"/>
      <c r="I7629" s="60"/>
      <c r="J7629" s="116"/>
      <c r="K7629" s="213"/>
      <c r="L7629" s="120"/>
      <c r="M7629" s="120"/>
      <c r="N7629" s="167"/>
      <c r="O7629" s="120"/>
      <c r="P7629" s="120"/>
      <c r="Q7629" s="120"/>
      <c r="R7629" s="120"/>
      <c r="S7629" s="120"/>
      <c r="T7629" s="221"/>
      <c r="U7629" s="89"/>
      <c r="V7629" s="61"/>
      <c r="W7629" s="92" t="s">
        <v>1068</v>
      </c>
      <c r="X7629" s="93" t="s">
        <v>32</v>
      </c>
      <c r="Y7629" s="93" t="s">
        <v>68</v>
      </c>
      <c r="Z7629" s="134">
        <f>VLOOKUP(W7629,Sheet2!$B:$D,3,FALSE)</f>
        <v>60</v>
      </c>
      <c r="AA7629" s="93">
        <v>1</v>
      </c>
      <c r="AB7629" s="93">
        <f>AD7629/AC7626</f>
        <v>60</v>
      </c>
      <c r="AC7629" s="93">
        <f>AC7626/AA7629</f>
        <v>9.7750499999999931</v>
      </c>
      <c r="AD7629" s="94">
        <f>AC7629*Z7629</f>
        <v>586.50299999999959</v>
      </c>
      <c r="AE7629" s="190"/>
      <c r="AF7629" s="191"/>
      <c r="AG7629" s="191"/>
      <c r="AH7629" s="191"/>
      <c r="AI7629" s="186"/>
      <c r="AK7629" s="171"/>
    </row>
    <row r="7630" spans="1:37" s="102" customFormat="1" ht="19.899999999999999" customHeight="1" x14ac:dyDescent="0.25">
      <c r="A7630" s="45"/>
      <c r="B7630" s="59"/>
      <c r="C7630" s="137"/>
      <c r="D7630" s="59"/>
      <c r="E7630" s="116"/>
      <c r="F7630" s="120"/>
      <c r="G7630" s="120"/>
      <c r="H7630" s="120"/>
      <c r="I7630" s="60"/>
      <c r="J7630" s="116"/>
      <c r="K7630" s="213"/>
      <c r="L7630" s="120"/>
      <c r="M7630" s="120"/>
      <c r="N7630" s="167"/>
      <c r="O7630" s="120"/>
      <c r="P7630" s="120"/>
      <c r="Q7630" s="120"/>
      <c r="R7630" s="120"/>
      <c r="S7630" s="120"/>
      <c r="T7630" s="221"/>
      <c r="U7630" s="89"/>
      <c r="V7630" s="61"/>
      <c r="W7630" s="92" t="s">
        <v>1032</v>
      </c>
      <c r="X7630" s="93" t="s">
        <v>30</v>
      </c>
      <c r="Y7630" s="93" t="s">
        <v>66</v>
      </c>
      <c r="Z7630" s="134">
        <f>VLOOKUP(W7630,Sheet2!$B:$D,3,FALSE)</f>
        <v>250</v>
      </c>
      <c r="AA7630" s="93">
        <f>1/(1.6*0.1)</f>
        <v>6.2499999999999991</v>
      </c>
      <c r="AB7630" s="93">
        <f>AD7630/AC7626</f>
        <v>40.000000000000007</v>
      </c>
      <c r="AC7630" s="93">
        <f>AC7626/AA7630</f>
        <v>1.5640079999999992</v>
      </c>
      <c r="AD7630" s="94">
        <f>AC7630*Z7630</f>
        <v>391.00199999999978</v>
      </c>
      <c r="AE7630" s="190"/>
      <c r="AF7630" s="191"/>
      <c r="AG7630" s="191"/>
      <c r="AH7630" s="191"/>
      <c r="AI7630" s="186"/>
      <c r="AK7630" s="171"/>
    </row>
    <row r="7631" spans="1:37" s="102" customFormat="1" ht="19.899999999999999" customHeight="1" x14ac:dyDescent="0.25">
      <c r="A7631" s="45"/>
      <c r="B7631" s="59"/>
      <c r="C7631" s="137"/>
      <c r="D7631" s="59"/>
      <c r="E7631" s="116"/>
      <c r="F7631" s="120"/>
      <c r="G7631" s="120"/>
      <c r="H7631" s="120"/>
      <c r="I7631" s="60"/>
      <c r="J7631" s="116"/>
      <c r="K7631" s="213"/>
      <c r="L7631" s="120"/>
      <c r="M7631" s="120"/>
      <c r="N7631" s="167"/>
      <c r="O7631" s="120"/>
      <c r="P7631" s="120"/>
      <c r="Q7631" s="120"/>
      <c r="R7631" s="120"/>
      <c r="S7631" s="120"/>
      <c r="T7631" s="221"/>
      <c r="U7631" s="89"/>
      <c r="V7631" s="61"/>
      <c r="W7631" s="92" t="s">
        <v>1035</v>
      </c>
      <c r="X7631" s="93" t="s">
        <v>32</v>
      </c>
      <c r="Y7631" s="93" t="s">
        <v>66</v>
      </c>
      <c r="Z7631" s="134">
        <f>VLOOKUP(W7631,Sheet2!$B:$D,3,FALSE)</f>
        <v>150</v>
      </c>
      <c r="AA7631" s="93">
        <f>AA7630</f>
        <v>6.2499999999999991</v>
      </c>
      <c r="AB7631" s="93">
        <f>AD7631/AC7626</f>
        <v>24.000000000000004</v>
      </c>
      <c r="AC7631" s="93">
        <f>AC7626/AA7631</f>
        <v>1.5640079999999992</v>
      </c>
      <c r="AD7631" s="94">
        <f t="shared" ref="AD7631:AD7632" si="5361">AC7631*Z7631</f>
        <v>234.60119999999986</v>
      </c>
      <c r="AE7631" s="190"/>
      <c r="AF7631" s="191"/>
      <c r="AG7631" s="191"/>
      <c r="AH7631" s="191"/>
      <c r="AI7631" s="186"/>
      <c r="AK7631" s="171"/>
    </row>
    <row r="7632" spans="1:37" s="102" customFormat="1" ht="19.899999999999999" customHeight="1" x14ac:dyDescent="0.25">
      <c r="A7632" s="45"/>
      <c r="B7632" s="59"/>
      <c r="C7632" s="137"/>
      <c r="D7632" s="59"/>
      <c r="E7632" s="116"/>
      <c r="F7632" s="120"/>
      <c r="G7632" s="120"/>
      <c r="H7632" s="120"/>
      <c r="I7632" s="60"/>
      <c r="J7632" s="116"/>
      <c r="K7632" s="213"/>
      <c r="L7632" s="120"/>
      <c r="M7632" s="120"/>
      <c r="N7632" s="167"/>
      <c r="O7632" s="120"/>
      <c r="P7632" s="120"/>
      <c r="Q7632" s="120"/>
      <c r="R7632" s="120"/>
      <c r="S7632" s="120"/>
      <c r="T7632" s="221"/>
      <c r="U7632" s="89"/>
      <c r="V7632" s="61"/>
      <c r="W7632" s="92" t="s">
        <v>1037</v>
      </c>
      <c r="X7632" s="93" t="s">
        <v>30</v>
      </c>
      <c r="Y7632" s="93" t="s">
        <v>1038</v>
      </c>
      <c r="Z7632" s="134">
        <f>VLOOKUP(W7632,Sheet2!$B:$D,3,FALSE)</f>
        <v>175</v>
      </c>
      <c r="AA7632" s="93">
        <v>300</v>
      </c>
      <c r="AB7632" s="93">
        <f>AD7632/AC7626</f>
        <v>0.58333333333333337</v>
      </c>
      <c r="AC7632" s="93">
        <f>AC7626/AA7632</f>
        <v>3.2583499999999981E-2</v>
      </c>
      <c r="AD7632" s="94">
        <f t="shared" si="5361"/>
        <v>5.7021124999999966</v>
      </c>
      <c r="AE7632" s="190"/>
      <c r="AF7632" s="191"/>
      <c r="AG7632" s="191"/>
      <c r="AH7632" s="191"/>
      <c r="AI7632" s="186"/>
      <c r="AK7632" s="171"/>
    </row>
    <row r="7633" spans="1:41" s="103" customFormat="1" ht="19.899999999999999" customHeight="1" x14ac:dyDescent="0.25">
      <c r="A7633" s="51"/>
      <c r="B7633" s="52"/>
      <c r="C7633" s="165"/>
      <c r="D7633" s="52"/>
      <c r="E7633" s="115"/>
      <c r="F7633" s="58"/>
      <c r="G7633" s="58"/>
      <c r="H7633" s="58"/>
      <c r="I7633" s="55"/>
      <c r="J7633" s="113">
        <f>J7615</f>
        <v>9.7750499999999931</v>
      </c>
      <c r="K7633" s="212">
        <f>K7615</f>
        <v>9.7750499999999931</v>
      </c>
      <c r="L7633" s="58"/>
      <c r="M7633" s="58">
        <f>K7633-L7633</f>
        <v>9.7750499999999931</v>
      </c>
      <c r="N7633" s="166"/>
      <c r="O7633" s="58"/>
      <c r="P7633" s="58"/>
      <c r="Q7633" s="58"/>
      <c r="R7633" s="58"/>
      <c r="S7633" s="58"/>
      <c r="T7633" s="220"/>
      <c r="U7633" s="88"/>
      <c r="V7633" s="56"/>
      <c r="W7633" s="57" t="s">
        <v>1040</v>
      </c>
      <c r="X7633" s="53"/>
      <c r="Y7633" s="91" t="s">
        <v>68</v>
      </c>
      <c r="Z7633" s="136">
        <f>AD7633/AC7633</f>
        <v>5</v>
      </c>
      <c r="AA7633" s="58"/>
      <c r="AB7633" s="53">
        <f>AD7633/AC7633</f>
        <v>5</v>
      </c>
      <c r="AC7633" s="53">
        <f>M7633+$AE$10</f>
        <v>9.7750499999999931</v>
      </c>
      <c r="AD7633" s="54">
        <f>SUM(AD7634)</f>
        <v>48.875249999999966</v>
      </c>
      <c r="AE7633" s="184">
        <f>SUMIFS($AD$37:$AD$12971,$V$37:$V$12971,$V7633,$X$37:$X$12971,AE$13)</f>
        <v>0</v>
      </c>
      <c r="AF7633" s="185">
        <f>SUMIFS($AD$37:$AD$12971,$V$37:$V$12971,$V7633,$X$37:$X$12971,AF$13)</f>
        <v>0</v>
      </c>
      <c r="AG7633" s="185">
        <f>SUMIFS($AD$37:$AD$12971,$V$37:$V$12971,$V7633,$X$37:$X$12971,AG$13)</f>
        <v>0</v>
      </c>
      <c r="AH7633" s="187">
        <f>SUMIFS($AD$37:$AD$12971,$V$37:$V$12971,$V7633,$X$37:$X$12971,AH$13)</f>
        <v>0</v>
      </c>
      <c r="AI7633" s="161">
        <f t="shared" ref="AI7633" si="5362">SUM(AE7633:AH7633)</f>
        <v>0</v>
      </c>
      <c r="AK7633" s="172"/>
    </row>
    <row r="7634" spans="1:41" s="102" customFormat="1" ht="19.899999999999999" customHeight="1" x14ac:dyDescent="0.25">
      <c r="A7634" s="45"/>
      <c r="B7634" s="59"/>
      <c r="C7634" s="137"/>
      <c r="D7634" s="59"/>
      <c r="E7634" s="116"/>
      <c r="F7634" s="120"/>
      <c r="G7634" s="120"/>
      <c r="H7634" s="120"/>
      <c r="I7634" s="60"/>
      <c r="J7634" s="116"/>
      <c r="K7634" s="213"/>
      <c r="L7634" s="120"/>
      <c r="M7634" s="120"/>
      <c r="N7634" s="167"/>
      <c r="O7634" s="120"/>
      <c r="P7634" s="120"/>
      <c r="Q7634" s="120"/>
      <c r="R7634" s="120"/>
      <c r="S7634" s="120"/>
      <c r="T7634" s="221"/>
      <c r="U7634" s="89"/>
      <c r="V7634" s="61"/>
      <c r="W7634" s="92" t="s">
        <v>1039</v>
      </c>
      <c r="X7634" s="93" t="s">
        <v>32</v>
      </c>
      <c r="Y7634" s="93" t="s">
        <v>68</v>
      </c>
      <c r="Z7634" s="134">
        <f>VLOOKUP(W7634,Sheet2!$B:$D,3,FALSE)</f>
        <v>5</v>
      </c>
      <c r="AA7634" s="93">
        <v>1</v>
      </c>
      <c r="AB7634" s="93">
        <f>AD7634/AC7633</f>
        <v>5</v>
      </c>
      <c r="AC7634" s="93">
        <f>AC7633/AA7634</f>
        <v>9.7750499999999931</v>
      </c>
      <c r="AD7634" s="94">
        <f t="shared" ref="AD7634" si="5363">AC7634*Z7634</f>
        <v>48.875249999999966</v>
      </c>
      <c r="AE7634" s="190"/>
      <c r="AF7634" s="191"/>
      <c r="AG7634" s="191"/>
      <c r="AH7634" s="191"/>
      <c r="AI7634" s="186"/>
      <c r="AK7634" s="171"/>
    </row>
    <row r="7635" spans="1:41" ht="20.100000000000001" customHeight="1" x14ac:dyDescent="0.25">
      <c r="A7635" s="277" t="s">
        <v>703</v>
      </c>
      <c r="B7635" s="278"/>
      <c r="C7635" s="64" t="s">
        <v>748</v>
      </c>
      <c r="D7635" s="46" t="s">
        <v>97</v>
      </c>
      <c r="E7635" s="114"/>
      <c r="F7635" s="44">
        <v>0</v>
      </c>
      <c r="G7635" s="44">
        <f t="shared" si="4575"/>
        <v>0</v>
      </c>
      <c r="H7635" s="44">
        <f t="shared" si="4576"/>
        <v>0</v>
      </c>
      <c r="I7635" s="43">
        <f t="shared" si="4577"/>
        <v>0</v>
      </c>
      <c r="J7635" s="112">
        <f t="shared" si="4578"/>
        <v>0</v>
      </c>
      <c r="K7635" s="211">
        <f t="shared" si="4579"/>
        <v>0</v>
      </c>
      <c r="L7635" s="44"/>
      <c r="M7635" s="44">
        <f t="shared" si="4580"/>
        <v>0</v>
      </c>
      <c r="N7635" s="173">
        <f t="shared" si="4581"/>
        <v>0</v>
      </c>
      <c r="O7635" s="44">
        <f t="shared" si="4582"/>
        <v>0</v>
      </c>
      <c r="P7635" s="44">
        <f t="shared" si="4583"/>
        <v>0</v>
      </c>
      <c r="Q7635" s="44">
        <f t="shared" si="4584"/>
        <v>0</v>
      </c>
      <c r="R7635" s="44">
        <f t="shared" si="4585"/>
        <v>0</v>
      </c>
      <c r="S7635" s="123"/>
      <c r="T7635" s="219">
        <f t="shared" si="4586"/>
        <v>0</v>
      </c>
      <c r="U7635" s="87"/>
      <c r="V7635" s="47"/>
      <c r="W7635" s="48"/>
      <c r="X7635" s="48"/>
      <c r="Y7635" s="48"/>
      <c r="Z7635" s="135"/>
      <c r="AA7635" s="49"/>
      <c r="AB7635" s="50">
        <f t="shared" si="4587"/>
        <v>0</v>
      </c>
      <c r="AC7635" s="42">
        <f t="shared" si="4588"/>
        <v>9.9999999999999998E-20</v>
      </c>
      <c r="AD7635" s="90"/>
      <c r="AE7635" s="188"/>
      <c r="AF7635" s="189"/>
      <c r="AG7635" s="189"/>
      <c r="AH7635" s="189"/>
      <c r="AI7635" s="161"/>
    </row>
    <row r="7636" spans="1:41" ht="20.100000000000001" customHeight="1" x14ac:dyDescent="0.25">
      <c r="A7636" s="277" t="s">
        <v>703</v>
      </c>
      <c r="B7636" s="278"/>
      <c r="C7636" s="64" t="s">
        <v>749</v>
      </c>
      <c r="D7636" s="46" t="s">
        <v>97</v>
      </c>
      <c r="E7636" s="114">
        <v>33.189999999999941</v>
      </c>
      <c r="F7636" s="44">
        <v>893</v>
      </c>
      <c r="G7636" s="44">
        <f t="shared" si="4575"/>
        <v>29638.669999999947</v>
      </c>
      <c r="H7636" s="44">
        <f t="shared" si="4576"/>
        <v>540.05442666666659</v>
      </c>
      <c r="I7636" s="43">
        <f t="shared" si="4577"/>
        <v>17924.406421066633</v>
      </c>
      <c r="J7636" s="112">
        <f t="shared" si="4578"/>
        <v>33.189999999999941</v>
      </c>
      <c r="K7636" s="211">
        <f t="shared" si="4579"/>
        <v>33.189999999999941</v>
      </c>
      <c r="L7636" s="44"/>
      <c r="M7636" s="44">
        <f t="shared" si="4580"/>
        <v>33.189999999999941</v>
      </c>
      <c r="N7636" s="173">
        <f t="shared" si="4581"/>
        <v>1</v>
      </c>
      <c r="O7636" s="44">
        <f t="shared" si="4582"/>
        <v>893</v>
      </c>
      <c r="P7636" s="44">
        <f t="shared" si="4583"/>
        <v>29638.669999999947</v>
      </c>
      <c r="Q7636" s="44">
        <f t="shared" si="4584"/>
        <v>540.05442666666659</v>
      </c>
      <c r="R7636" s="44">
        <f t="shared" si="4585"/>
        <v>17924.406421066633</v>
      </c>
      <c r="S7636" s="123"/>
      <c r="T7636" s="219">
        <f t="shared" si="4586"/>
        <v>17924.406421066633</v>
      </c>
      <c r="U7636" s="87"/>
      <c r="V7636" s="47"/>
      <c r="W7636" s="48"/>
      <c r="X7636" s="48"/>
      <c r="Y7636" s="48"/>
      <c r="Z7636" s="135"/>
      <c r="AA7636" s="49"/>
      <c r="AB7636" s="50">
        <f t="shared" si="4587"/>
        <v>540.05442666666659</v>
      </c>
      <c r="AC7636" s="42">
        <f t="shared" si="4588"/>
        <v>33.189999999999941</v>
      </c>
      <c r="AD7636" s="90">
        <f>AD7637+AD7646+AD7653</f>
        <v>17924.406421066633</v>
      </c>
      <c r="AE7636" s="188">
        <f t="shared" ref="AE7636:AH7636" si="5364">AE7637+AE7646+AE7653</f>
        <v>0</v>
      </c>
      <c r="AF7636" s="189">
        <f t="shared" si="5364"/>
        <v>0</v>
      </c>
      <c r="AG7636" s="189">
        <f t="shared" si="5364"/>
        <v>0</v>
      </c>
      <c r="AH7636" s="189">
        <f t="shared" si="5364"/>
        <v>0</v>
      </c>
      <c r="AI7636" s="161">
        <f t="shared" ref="AI7636:AI7637" si="5365">SUM(AE7636:AH7636)</f>
        <v>0</v>
      </c>
      <c r="AK7636" s="169">
        <v>5</v>
      </c>
      <c r="AO7636" s="19" t="s">
        <v>63</v>
      </c>
    </row>
    <row r="7637" spans="1:41" s="103" customFormat="1" ht="19.899999999999999" customHeight="1" x14ac:dyDescent="0.25">
      <c r="A7637" s="51"/>
      <c r="B7637" s="52"/>
      <c r="C7637" s="165"/>
      <c r="D7637" s="52"/>
      <c r="E7637" s="115"/>
      <c r="F7637" s="58"/>
      <c r="G7637" s="58"/>
      <c r="H7637" s="58"/>
      <c r="I7637" s="55"/>
      <c r="J7637" s="113">
        <f>J7636</f>
        <v>33.189999999999941</v>
      </c>
      <c r="K7637" s="212">
        <f>K7636</f>
        <v>33.189999999999941</v>
      </c>
      <c r="L7637" s="58"/>
      <c r="M7637" s="58">
        <f>K7637-L7637</f>
        <v>33.189999999999941</v>
      </c>
      <c r="N7637" s="166"/>
      <c r="O7637" s="58"/>
      <c r="P7637" s="58"/>
      <c r="Q7637" s="58"/>
      <c r="R7637" s="58"/>
      <c r="S7637" s="58"/>
      <c r="T7637" s="220"/>
      <c r="U7637" s="88"/>
      <c r="V7637" s="56"/>
      <c r="W7637" s="57" t="s">
        <v>1080</v>
      </c>
      <c r="X7637" s="53"/>
      <c r="Y7637" s="91" t="s">
        <v>68</v>
      </c>
      <c r="Z7637" s="136">
        <f>AD7637/AC7637</f>
        <v>16.471093333333332</v>
      </c>
      <c r="AA7637" s="58"/>
      <c r="AB7637" s="53">
        <f>AD7637/AC7637</f>
        <v>16.471093333333332</v>
      </c>
      <c r="AC7637" s="53">
        <f>M7637+$AE$10</f>
        <v>33.189999999999941</v>
      </c>
      <c r="AD7637" s="54">
        <f>SUM(AD7638:AD7645)</f>
        <v>546.67558773333235</v>
      </c>
      <c r="AE7637" s="184">
        <f>SUMIFS($AD$37:$AD$12971,$V$37:$V$12971,$V7637,$X$37:$X$12971,AE$13)</f>
        <v>0</v>
      </c>
      <c r="AF7637" s="185">
        <f>SUMIFS($AD$37:$AD$12971,$V$37:$V$12971,$V7637,$X$37:$X$12971,AF$13)</f>
        <v>0</v>
      </c>
      <c r="AG7637" s="185">
        <f>SUMIFS($AD$37:$AD$12971,$V$37:$V$12971,$V7637,$X$37:$X$12971,AG$13)</f>
        <v>0</v>
      </c>
      <c r="AH7637" s="187">
        <f>SUMIFS($AD$37:$AD$12971,$V$37:$V$12971,$V7637,$X$37:$X$12971,AH$13)</f>
        <v>0</v>
      </c>
      <c r="AI7637" s="161">
        <f t="shared" si="5365"/>
        <v>0</v>
      </c>
      <c r="AK7637" s="172"/>
    </row>
    <row r="7638" spans="1:41" s="102" customFormat="1" ht="19.899999999999999" customHeight="1" x14ac:dyDescent="0.25">
      <c r="A7638" s="45"/>
      <c r="B7638" s="59"/>
      <c r="C7638" s="137"/>
      <c r="D7638" s="59"/>
      <c r="E7638" s="116"/>
      <c r="F7638" s="120"/>
      <c r="G7638" s="120"/>
      <c r="H7638" s="120"/>
      <c r="I7638" s="60"/>
      <c r="J7638" s="116"/>
      <c r="K7638" s="213"/>
      <c r="L7638" s="120"/>
      <c r="M7638" s="120"/>
      <c r="N7638" s="167"/>
      <c r="O7638" s="120"/>
      <c r="P7638" s="120"/>
      <c r="Q7638" s="120"/>
      <c r="R7638" s="120"/>
      <c r="S7638" s="120"/>
      <c r="T7638" s="221"/>
      <c r="U7638" s="89"/>
      <c r="V7638" s="61"/>
      <c r="W7638" s="92" t="s">
        <v>129</v>
      </c>
      <c r="X7638" s="93" t="s">
        <v>29</v>
      </c>
      <c r="Y7638" s="93" t="s">
        <v>93</v>
      </c>
      <c r="Z7638" s="134">
        <f>VLOOKUP(W7638,Sheet2!$B:$D,3,FALSE)</f>
        <v>56</v>
      </c>
      <c r="AA7638" s="93">
        <f>100/(1.7*2)</f>
        <v>29.411764705882355</v>
      </c>
      <c r="AB7638" s="93">
        <f t="shared" ref="AB7638" si="5366">AD7638/AC7637</f>
        <v>1.9040000000000001</v>
      </c>
      <c r="AC7638" s="93">
        <f>AC7637/AA7638</f>
        <v>1.128459999999998</v>
      </c>
      <c r="AD7638" s="94">
        <f t="shared" ref="AD7638:AD7639" si="5367">AC7638*Z7638</f>
        <v>63.193759999999891</v>
      </c>
      <c r="AE7638" s="190"/>
      <c r="AF7638" s="191"/>
      <c r="AG7638" s="191"/>
      <c r="AH7638" s="191"/>
      <c r="AI7638" s="186"/>
      <c r="AK7638" s="171"/>
    </row>
    <row r="7639" spans="1:41" s="102" customFormat="1" ht="19.899999999999999" customHeight="1" x14ac:dyDescent="0.25">
      <c r="A7639" s="45"/>
      <c r="B7639" s="59"/>
      <c r="C7639" s="137"/>
      <c r="D7639" s="59"/>
      <c r="E7639" s="116"/>
      <c r="F7639" s="120"/>
      <c r="G7639" s="120"/>
      <c r="H7639" s="120"/>
      <c r="I7639" s="60"/>
      <c r="J7639" s="116"/>
      <c r="K7639" s="213"/>
      <c r="L7639" s="120"/>
      <c r="M7639" s="120"/>
      <c r="N7639" s="167"/>
      <c r="O7639" s="120"/>
      <c r="P7639" s="120"/>
      <c r="Q7639" s="120"/>
      <c r="R7639" s="120"/>
      <c r="S7639" s="120"/>
      <c r="T7639" s="221"/>
      <c r="U7639" s="89"/>
      <c r="V7639" s="61"/>
      <c r="W7639" s="92" t="s">
        <v>65</v>
      </c>
      <c r="X7639" s="93" t="s">
        <v>30</v>
      </c>
      <c r="Y7639" s="93" t="s">
        <v>1011</v>
      </c>
      <c r="Z7639" s="134">
        <f>VLOOKUP(W7639,Sheet2!$B:$D,3,FALSE)</f>
        <v>1.76</v>
      </c>
      <c r="AA7639" s="93">
        <f>AA7638/14</f>
        <v>2.1008403361344539</v>
      </c>
      <c r="AB7639" s="93">
        <f>AD7639/AC7637</f>
        <v>0.83775999999999995</v>
      </c>
      <c r="AC7639" s="93">
        <f>AC7637/AA7639</f>
        <v>15.798439999999971</v>
      </c>
      <c r="AD7639" s="94">
        <f t="shared" si="5367"/>
        <v>27.805254399999949</v>
      </c>
      <c r="AE7639" s="190"/>
      <c r="AF7639" s="191"/>
      <c r="AG7639" s="191"/>
      <c r="AH7639" s="191"/>
      <c r="AI7639" s="186"/>
      <c r="AK7639" s="171"/>
    </row>
    <row r="7640" spans="1:41" s="102" customFormat="1" ht="19.899999999999999" customHeight="1" x14ac:dyDescent="0.25">
      <c r="A7640" s="45"/>
      <c r="B7640" s="59"/>
      <c r="C7640" s="137"/>
      <c r="D7640" s="59"/>
      <c r="E7640" s="116"/>
      <c r="F7640" s="120"/>
      <c r="G7640" s="120"/>
      <c r="H7640" s="120"/>
      <c r="I7640" s="60"/>
      <c r="J7640" s="116"/>
      <c r="K7640" s="213"/>
      <c r="L7640" s="120"/>
      <c r="M7640" s="120"/>
      <c r="N7640" s="167"/>
      <c r="O7640" s="120"/>
      <c r="P7640" s="120"/>
      <c r="Q7640" s="120"/>
      <c r="R7640" s="120"/>
      <c r="S7640" s="120"/>
      <c r="T7640" s="221"/>
      <c r="U7640" s="89"/>
      <c r="V7640" s="61"/>
      <c r="W7640" s="92" t="s">
        <v>161</v>
      </c>
      <c r="X7640" s="93" t="s">
        <v>29</v>
      </c>
      <c r="Y7640" s="93" t="s">
        <v>93</v>
      </c>
      <c r="Z7640" s="134">
        <f>VLOOKUP(W7640,Sheet2!$B:$D,3,FALSE)</f>
        <v>48</v>
      </c>
      <c r="AA7640" s="93">
        <f>(16*0.85*1.5)/(1.7*2)</f>
        <v>6</v>
      </c>
      <c r="AB7640" s="93">
        <f>AD7640/AC7637</f>
        <v>8</v>
      </c>
      <c r="AC7640" s="93">
        <f>AC7637/AA7640</f>
        <v>5.5316666666666565</v>
      </c>
      <c r="AD7640" s="94">
        <f>AC7640*Z7640</f>
        <v>265.51999999999953</v>
      </c>
      <c r="AE7640" s="190"/>
      <c r="AF7640" s="191"/>
      <c r="AG7640" s="191"/>
      <c r="AH7640" s="191"/>
      <c r="AI7640" s="186"/>
      <c r="AK7640" s="171"/>
    </row>
    <row r="7641" spans="1:41" s="102" customFormat="1" ht="19.899999999999999" customHeight="1" x14ac:dyDescent="0.25">
      <c r="A7641" s="45"/>
      <c r="B7641" s="59"/>
      <c r="C7641" s="137"/>
      <c r="D7641" s="59"/>
      <c r="E7641" s="116"/>
      <c r="F7641" s="120"/>
      <c r="G7641" s="120"/>
      <c r="H7641" s="120"/>
      <c r="I7641" s="60"/>
      <c r="J7641" s="116"/>
      <c r="K7641" s="213"/>
      <c r="L7641" s="120"/>
      <c r="M7641" s="120"/>
      <c r="N7641" s="167"/>
      <c r="O7641" s="120"/>
      <c r="P7641" s="120"/>
      <c r="Q7641" s="120"/>
      <c r="R7641" s="120"/>
      <c r="S7641" s="120"/>
      <c r="T7641" s="221"/>
      <c r="U7641" s="89"/>
      <c r="V7641" s="61"/>
      <c r="W7641" s="92" t="s">
        <v>65</v>
      </c>
      <c r="X7641" s="93" t="s">
        <v>30</v>
      </c>
      <c r="Y7641" s="93" t="s">
        <v>1011</v>
      </c>
      <c r="Z7641" s="134">
        <f>VLOOKUP(W7641,Sheet2!$B:$D,3,FALSE)</f>
        <v>1.76</v>
      </c>
      <c r="AA7641" s="93">
        <f>AA7640/10</f>
        <v>0.6</v>
      </c>
      <c r="AB7641" s="93">
        <f>AD7641/AC7637</f>
        <v>2.9333333333333331</v>
      </c>
      <c r="AC7641" s="93">
        <f>AC7637/AA7641</f>
        <v>55.316666666666571</v>
      </c>
      <c r="AD7641" s="94">
        <f>AC7641*Z7641</f>
        <v>97.357333333333159</v>
      </c>
      <c r="AE7641" s="190"/>
      <c r="AF7641" s="191"/>
      <c r="AG7641" s="191"/>
      <c r="AH7641" s="191"/>
      <c r="AI7641" s="186"/>
      <c r="AK7641" s="171"/>
    </row>
    <row r="7642" spans="1:41" s="102" customFormat="1" ht="19.899999999999999" customHeight="1" x14ac:dyDescent="0.25">
      <c r="A7642" s="45"/>
      <c r="B7642" s="59"/>
      <c r="C7642" s="137"/>
      <c r="D7642" s="59"/>
      <c r="E7642" s="116"/>
      <c r="F7642" s="120"/>
      <c r="G7642" s="120"/>
      <c r="H7642" s="120"/>
      <c r="I7642" s="60"/>
      <c r="J7642" s="116"/>
      <c r="K7642" s="213"/>
      <c r="L7642" s="120"/>
      <c r="M7642" s="120"/>
      <c r="N7642" s="167"/>
      <c r="O7642" s="120"/>
      <c r="P7642" s="120"/>
      <c r="Q7642" s="120"/>
      <c r="R7642" s="120"/>
      <c r="S7642" s="120"/>
      <c r="T7642" s="221"/>
      <c r="U7642" s="89"/>
      <c r="V7642" s="61"/>
      <c r="W7642" s="92" t="s">
        <v>1030</v>
      </c>
      <c r="X7642" s="93" t="s">
        <v>29</v>
      </c>
      <c r="Y7642" s="93" t="s">
        <v>93</v>
      </c>
      <c r="Z7642" s="134">
        <f>VLOOKUP(W7642,Sheet2!$B:$D,3,FALSE)</f>
        <v>23</v>
      </c>
      <c r="AA7642" s="93">
        <v>50</v>
      </c>
      <c r="AB7642" s="93">
        <f>AD7642/AC7637</f>
        <v>0.46</v>
      </c>
      <c r="AC7642" s="93">
        <f>AC7637/AA7642</f>
        <v>0.66379999999999884</v>
      </c>
      <c r="AD7642" s="94">
        <f t="shared" ref="AD7642:AD7645" si="5368">AC7642*Z7642</f>
        <v>15.267399999999974</v>
      </c>
      <c r="AE7642" s="190"/>
      <c r="AF7642" s="191"/>
      <c r="AG7642" s="191"/>
      <c r="AH7642" s="191"/>
      <c r="AI7642" s="186"/>
      <c r="AK7642" s="171"/>
    </row>
    <row r="7643" spans="1:41" s="102" customFormat="1" ht="19.899999999999999" customHeight="1" x14ac:dyDescent="0.25">
      <c r="A7643" s="45"/>
      <c r="B7643" s="59"/>
      <c r="C7643" s="137"/>
      <c r="D7643" s="59"/>
      <c r="E7643" s="116"/>
      <c r="F7643" s="120"/>
      <c r="G7643" s="120"/>
      <c r="H7643" s="120"/>
      <c r="I7643" s="60"/>
      <c r="J7643" s="116"/>
      <c r="K7643" s="213"/>
      <c r="L7643" s="120"/>
      <c r="M7643" s="120"/>
      <c r="N7643" s="167"/>
      <c r="O7643" s="120"/>
      <c r="P7643" s="120"/>
      <c r="Q7643" s="120"/>
      <c r="R7643" s="120"/>
      <c r="S7643" s="120"/>
      <c r="T7643" s="221"/>
      <c r="U7643" s="89"/>
      <c r="V7643" s="61"/>
      <c r="W7643" s="92" t="s">
        <v>65</v>
      </c>
      <c r="X7643" s="93" t="s">
        <v>30</v>
      </c>
      <c r="Y7643" s="93" t="s">
        <v>1011</v>
      </c>
      <c r="Z7643" s="134">
        <f>VLOOKUP(W7643,Sheet2!$B:$D,3,FALSE)</f>
        <v>1.76</v>
      </c>
      <c r="AA7643" s="93">
        <f>AA7642/3</f>
        <v>16.666666666666668</v>
      </c>
      <c r="AB7643" s="93">
        <f>AD7643/AC7637</f>
        <v>0.10559999999999999</v>
      </c>
      <c r="AC7643" s="93">
        <f>AC7637/AA7643</f>
        <v>1.9913999999999963</v>
      </c>
      <c r="AD7643" s="94">
        <f t="shared" si="5368"/>
        <v>3.5048639999999933</v>
      </c>
      <c r="AE7643" s="190"/>
      <c r="AF7643" s="191"/>
      <c r="AG7643" s="191"/>
      <c r="AH7643" s="191"/>
      <c r="AI7643" s="186"/>
      <c r="AK7643" s="171"/>
    </row>
    <row r="7644" spans="1:41" s="102" customFormat="1" ht="19.899999999999999" customHeight="1" x14ac:dyDescent="0.25">
      <c r="A7644" s="45"/>
      <c r="B7644" s="59"/>
      <c r="C7644" s="137"/>
      <c r="D7644" s="59"/>
      <c r="E7644" s="116"/>
      <c r="F7644" s="120"/>
      <c r="G7644" s="120"/>
      <c r="H7644" s="120"/>
      <c r="I7644" s="60"/>
      <c r="J7644" s="116"/>
      <c r="K7644" s="213"/>
      <c r="L7644" s="120"/>
      <c r="M7644" s="120"/>
      <c r="N7644" s="167"/>
      <c r="O7644" s="120"/>
      <c r="P7644" s="120"/>
      <c r="Q7644" s="120"/>
      <c r="R7644" s="120"/>
      <c r="S7644" s="120"/>
      <c r="T7644" s="221"/>
      <c r="U7644" s="89"/>
      <c r="V7644" s="61"/>
      <c r="W7644" s="92" t="s">
        <v>148</v>
      </c>
      <c r="X7644" s="93" t="s">
        <v>29</v>
      </c>
      <c r="Y7644" s="93" t="s">
        <v>93</v>
      </c>
      <c r="Z7644" s="134">
        <f>VLOOKUP(W7644,Sheet2!$B:$D,3,FALSE)</f>
        <v>48</v>
      </c>
      <c r="AA7644" s="93">
        <f>AA7638</f>
        <v>29.411764705882355</v>
      </c>
      <c r="AB7644" s="93">
        <f>AD7644/AC7637</f>
        <v>1.6320000000000001</v>
      </c>
      <c r="AC7644" s="93">
        <f>AC7637/AA7644</f>
        <v>1.128459999999998</v>
      </c>
      <c r="AD7644" s="94">
        <f t="shared" si="5368"/>
        <v>54.166079999999909</v>
      </c>
      <c r="AE7644" s="190"/>
      <c r="AF7644" s="191"/>
      <c r="AG7644" s="191"/>
      <c r="AH7644" s="191"/>
      <c r="AI7644" s="186"/>
      <c r="AK7644" s="171"/>
    </row>
    <row r="7645" spans="1:41" s="102" customFormat="1" ht="19.899999999999999" customHeight="1" x14ac:dyDescent="0.25">
      <c r="A7645" s="45"/>
      <c r="B7645" s="59"/>
      <c r="C7645" s="137"/>
      <c r="D7645" s="59"/>
      <c r="E7645" s="116"/>
      <c r="F7645" s="120"/>
      <c r="G7645" s="120"/>
      <c r="H7645" s="120"/>
      <c r="I7645" s="60"/>
      <c r="J7645" s="116"/>
      <c r="K7645" s="213"/>
      <c r="L7645" s="120"/>
      <c r="M7645" s="120"/>
      <c r="N7645" s="167"/>
      <c r="O7645" s="120"/>
      <c r="P7645" s="120"/>
      <c r="Q7645" s="120"/>
      <c r="R7645" s="120"/>
      <c r="S7645" s="120"/>
      <c r="T7645" s="221"/>
      <c r="U7645" s="89"/>
      <c r="V7645" s="61"/>
      <c r="W7645" s="92" t="s">
        <v>65</v>
      </c>
      <c r="X7645" s="93" t="s">
        <v>30</v>
      </c>
      <c r="Y7645" s="93" t="s">
        <v>1011</v>
      </c>
      <c r="Z7645" s="134">
        <f>VLOOKUP(W7645,Sheet2!$B:$D,3,FALSE)</f>
        <v>1.76</v>
      </c>
      <c r="AA7645" s="93">
        <f>AA7644/10</f>
        <v>2.9411764705882355</v>
      </c>
      <c r="AB7645" s="93">
        <f>AD7645/AC7637</f>
        <v>0.59840000000000004</v>
      </c>
      <c r="AC7645" s="93">
        <f>AC7637/AA7645</f>
        <v>11.28459999999998</v>
      </c>
      <c r="AD7645" s="94">
        <f t="shared" si="5368"/>
        <v>19.860895999999965</v>
      </c>
      <c r="AE7645" s="190"/>
      <c r="AF7645" s="191"/>
      <c r="AG7645" s="191"/>
      <c r="AH7645" s="191"/>
      <c r="AI7645" s="186"/>
      <c r="AK7645" s="171"/>
    </row>
    <row r="7646" spans="1:41" s="103" customFormat="1" ht="19.899999999999999" customHeight="1" x14ac:dyDescent="0.25">
      <c r="A7646" s="51"/>
      <c r="B7646" s="52"/>
      <c r="C7646" s="165"/>
      <c r="D7646" s="52"/>
      <c r="E7646" s="115"/>
      <c r="F7646" s="58"/>
      <c r="G7646" s="58"/>
      <c r="H7646" s="58"/>
      <c r="I7646" s="55"/>
      <c r="J7646" s="113">
        <f>J7636</f>
        <v>33.189999999999941</v>
      </c>
      <c r="K7646" s="212">
        <f>K7636</f>
        <v>33.189999999999941</v>
      </c>
      <c r="L7646" s="58"/>
      <c r="M7646" s="58">
        <f>K7646-L7646</f>
        <v>33.189999999999941</v>
      </c>
      <c r="N7646" s="166"/>
      <c r="O7646" s="58"/>
      <c r="P7646" s="58"/>
      <c r="Q7646" s="58"/>
      <c r="R7646" s="58"/>
      <c r="S7646" s="58"/>
      <c r="T7646" s="220"/>
      <c r="U7646" s="88"/>
      <c r="V7646" s="56"/>
      <c r="W7646" s="57" t="s">
        <v>1036</v>
      </c>
      <c r="X7646" s="53"/>
      <c r="Y7646" s="91" t="s">
        <v>68</v>
      </c>
      <c r="Z7646" s="136">
        <f>AD7646/AC7646</f>
        <v>518.58333333333326</v>
      </c>
      <c r="AA7646" s="58"/>
      <c r="AB7646" s="53">
        <f>AD7646/AC7646</f>
        <v>518.58333333333326</v>
      </c>
      <c r="AC7646" s="53">
        <f>M7646+$AE$10</f>
        <v>33.189999999999941</v>
      </c>
      <c r="AD7646" s="54">
        <f>SUM(AD7647:AD7652)</f>
        <v>17211.780833333301</v>
      </c>
      <c r="AE7646" s="184">
        <f>SUMIFS($AD$37:$AD$12971,$V$37:$V$12971,$V7646,$X$37:$X$12971,AE$13)</f>
        <v>0</v>
      </c>
      <c r="AF7646" s="185">
        <f>SUMIFS($AD$37:$AD$12971,$V$37:$V$12971,$V7646,$X$37:$X$12971,AF$13)</f>
        <v>0</v>
      </c>
      <c r="AG7646" s="185">
        <f>SUMIFS($AD$37:$AD$12971,$V$37:$V$12971,$V7646,$X$37:$X$12971,AG$13)</f>
        <v>0</v>
      </c>
      <c r="AH7646" s="187">
        <f>SUMIFS($AD$37:$AD$12971,$V$37:$V$12971,$V7646,$X$37:$X$12971,AH$13)</f>
        <v>0</v>
      </c>
      <c r="AI7646" s="161">
        <f t="shared" ref="AI7646" si="5369">SUM(AE7646:AH7646)</f>
        <v>0</v>
      </c>
      <c r="AK7646" s="172"/>
    </row>
    <row r="7647" spans="1:41" s="102" customFormat="1" ht="19.899999999999999" customHeight="1" x14ac:dyDescent="0.25">
      <c r="A7647" s="45"/>
      <c r="B7647" s="59"/>
      <c r="C7647" s="137"/>
      <c r="D7647" s="59"/>
      <c r="E7647" s="116"/>
      <c r="F7647" s="120"/>
      <c r="G7647" s="120"/>
      <c r="H7647" s="120"/>
      <c r="I7647" s="60"/>
      <c r="J7647" s="116"/>
      <c r="K7647" s="213"/>
      <c r="L7647" s="120"/>
      <c r="M7647" s="120"/>
      <c r="N7647" s="167"/>
      <c r="O7647" s="120"/>
      <c r="P7647" s="120"/>
      <c r="Q7647" s="120"/>
      <c r="R7647" s="120"/>
      <c r="S7647" s="120"/>
      <c r="T7647" s="221"/>
      <c r="U7647" s="89"/>
      <c r="V7647" s="61"/>
      <c r="W7647" s="92" t="s">
        <v>1059</v>
      </c>
      <c r="X7647" s="93" t="s">
        <v>30</v>
      </c>
      <c r="Y7647" s="93" t="s">
        <v>68</v>
      </c>
      <c r="Z7647" s="134">
        <f>VLOOKUP(W7647,Sheet2!$B:$D,3,FALSE)</f>
        <v>350</v>
      </c>
      <c r="AA7647" s="93">
        <v>1</v>
      </c>
      <c r="AB7647" s="93">
        <f>AD7647/AC7646</f>
        <v>350</v>
      </c>
      <c r="AC7647" s="93">
        <f>AC7646/AA7647</f>
        <v>33.189999999999941</v>
      </c>
      <c r="AD7647" s="94">
        <f t="shared" ref="AD7647" si="5370">AC7647*Z7647</f>
        <v>11616.49999999998</v>
      </c>
      <c r="AE7647" s="190"/>
      <c r="AF7647" s="191"/>
      <c r="AG7647" s="191"/>
      <c r="AH7647" s="191"/>
      <c r="AI7647" s="186"/>
      <c r="AK7647" s="171"/>
    </row>
    <row r="7648" spans="1:41" s="102" customFormat="1" ht="19.899999999999999" customHeight="1" x14ac:dyDescent="0.25">
      <c r="A7648" s="45"/>
      <c r="B7648" s="59"/>
      <c r="C7648" s="137"/>
      <c r="D7648" s="59"/>
      <c r="E7648" s="116"/>
      <c r="F7648" s="120"/>
      <c r="G7648" s="120"/>
      <c r="H7648" s="120"/>
      <c r="I7648" s="60"/>
      <c r="J7648" s="116"/>
      <c r="K7648" s="213"/>
      <c r="L7648" s="120"/>
      <c r="M7648" s="120"/>
      <c r="N7648" s="167"/>
      <c r="O7648" s="120"/>
      <c r="P7648" s="120"/>
      <c r="Q7648" s="120"/>
      <c r="R7648" s="120"/>
      <c r="S7648" s="120"/>
      <c r="T7648" s="221"/>
      <c r="U7648" s="89"/>
      <c r="V7648" s="61"/>
      <c r="W7648" s="92" t="s">
        <v>1066</v>
      </c>
      <c r="X7648" s="93" t="s">
        <v>30</v>
      </c>
      <c r="Y7648" s="93" t="s">
        <v>68</v>
      </c>
      <c r="Z7648" s="134">
        <f>VLOOKUP(W7648,Sheet2!$B:$D,3,FALSE)</f>
        <v>35</v>
      </c>
      <c r="AA7648" s="93">
        <v>1</v>
      </c>
      <c r="AB7648" s="93">
        <f>AD7648/AC7646</f>
        <v>35</v>
      </c>
      <c r="AC7648" s="93">
        <f>AC7646/AA7648</f>
        <v>33.189999999999941</v>
      </c>
      <c r="AD7648" s="94">
        <f>AC7648*Z7648</f>
        <v>1161.6499999999978</v>
      </c>
      <c r="AE7648" s="190"/>
      <c r="AF7648" s="191"/>
      <c r="AG7648" s="191"/>
      <c r="AH7648" s="191"/>
      <c r="AI7648" s="186"/>
      <c r="AK7648" s="171"/>
    </row>
    <row r="7649" spans="1:41" s="102" customFormat="1" ht="19.899999999999999" customHeight="1" x14ac:dyDescent="0.25">
      <c r="A7649" s="45"/>
      <c r="B7649" s="59"/>
      <c r="C7649" s="137"/>
      <c r="D7649" s="59"/>
      <c r="E7649" s="116"/>
      <c r="F7649" s="120"/>
      <c r="G7649" s="120"/>
      <c r="H7649" s="120"/>
      <c r="I7649" s="60"/>
      <c r="J7649" s="116"/>
      <c r="K7649" s="213"/>
      <c r="L7649" s="120"/>
      <c r="M7649" s="120"/>
      <c r="N7649" s="167"/>
      <c r="O7649" s="120"/>
      <c r="P7649" s="120"/>
      <c r="Q7649" s="120"/>
      <c r="R7649" s="120"/>
      <c r="S7649" s="120"/>
      <c r="T7649" s="221"/>
      <c r="U7649" s="89"/>
      <c r="V7649" s="61"/>
      <c r="W7649" s="92" t="s">
        <v>1073</v>
      </c>
      <c r="X7649" s="93" t="s">
        <v>32</v>
      </c>
      <c r="Y7649" s="93" t="s">
        <v>68</v>
      </c>
      <c r="Z7649" s="134">
        <f>VLOOKUP(W7649,Sheet2!$B:$D,3,FALSE)</f>
        <v>65</v>
      </c>
      <c r="AA7649" s="93">
        <v>1</v>
      </c>
      <c r="AB7649" s="93">
        <f>AD7649/AC7646</f>
        <v>65</v>
      </c>
      <c r="AC7649" s="93">
        <f>AC7646/AA7649</f>
        <v>33.189999999999941</v>
      </c>
      <c r="AD7649" s="94">
        <f>AC7649*Z7649</f>
        <v>2157.3499999999963</v>
      </c>
      <c r="AE7649" s="190"/>
      <c r="AF7649" s="191"/>
      <c r="AG7649" s="191"/>
      <c r="AH7649" s="191"/>
      <c r="AI7649" s="186"/>
      <c r="AK7649" s="171"/>
    </row>
    <row r="7650" spans="1:41" s="102" customFormat="1" ht="19.899999999999999" customHeight="1" x14ac:dyDescent="0.25">
      <c r="A7650" s="45"/>
      <c r="B7650" s="59"/>
      <c r="C7650" s="137"/>
      <c r="D7650" s="59"/>
      <c r="E7650" s="116"/>
      <c r="F7650" s="120"/>
      <c r="G7650" s="120"/>
      <c r="H7650" s="120"/>
      <c r="I7650" s="60"/>
      <c r="J7650" s="116"/>
      <c r="K7650" s="213"/>
      <c r="L7650" s="120"/>
      <c r="M7650" s="120"/>
      <c r="N7650" s="167"/>
      <c r="O7650" s="120"/>
      <c r="P7650" s="120"/>
      <c r="Q7650" s="120"/>
      <c r="R7650" s="120"/>
      <c r="S7650" s="120"/>
      <c r="T7650" s="221"/>
      <c r="U7650" s="89"/>
      <c r="V7650" s="61"/>
      <c r="W7650" s="92" t="s">
        <v>1032</v>
      </c>
      <c r="X7650" s="93" t="s">
        <v>30</v>
      </c>
      <c r="Y7650" s="93" t="s">
        <v>66</v>
      </c>
      <c r="Z7650" s="134">
        <f>VLOOKUP(W7650,Sheet2!$B:$D,3,FALSE)</f>
        <v>250</v>
      </c>
      <c r="AA7650" s="93">
        <f>1/(1.7*0.1)</f>
        <v>5.8823529411764701</v>
      </c>
      <c r="AB7650" s="93">
        <f>AD7650/AC7646</f>
        <v>42.500000000000007</v>
      </c>
      <c r="AC7650" s="93">
        <f>AC7646/AA7650</f>
        <v>5.6422999999999908</v>
      </c>
      <c r="AD7650" s="94">
        <f>AC7650*Z7650</f>
        <v>1410.5749999999978</v>
      </c>
      <c r="AE7650" s="190"/>
      <c r="AF7650" s="191"/>
      <c r="AG7650" s="191"/>
      <c r="AH7650" s="191"/>
      <c r="AI7650" s="186"/>
      <c r="AK7650" s="171"/>
    </row>
    <row r="7651" spans="1:41" s="102" customFormat="1" ht="19.899999999999999" customHeight="1" x14ac:dyDescent="0.25">
      <c r="A7651" s="45"/>
      <c r="B7651" s="59"/>
      <c r="C7651" s="137"/>
      <c r="D7651" s="59"/>
      <c r="E7651" s="116"/>
      <c r="F7651" s="120"/>
      <c r="G7651" s="120"/>
      <c r="H7651" s="120"/>
      <c r="I7651" s="60"/>
      <c r="J7651" s="116"/>
      <c r="K7651" s="213"/>
      <c r="L7651" s="120"/>
      <c r="M7651" s="120"/>
      <c r="N7651" s="167"/>
      <c r="O7651" s="120"/>
      <c r="P7651" s="120"/>
      <c r="Q7651" s="120"/>
      <c r="R7651" s="120"/>
      <c r="S7651" s="120"/>
      <c r="T7651" s="221"/>
      <c r="U7651" s="89"/>
      <c r="V7651" s="61"/>
      <c r="W7651" s="92" t="s">
        <v>1035</v>
      </c>
      <c r="X7651" s="93" t="s">
        <v>32</v>
      </c>
      <c r="Y7651" s="93" t="s">
        <v>66</v>
      </c>
      <c r="Z7651" s="134">
        <f>VLOOKUP(W7651,Sheet2!$B:$D,3,FALSE)</f>
        <v>150</v>
      </c>
      <c r="AA7651" s="93">
        <f>AA7650</f>
        <v>5.8823529411764701</v>
      </c>
      <c r="AB7651" s="93">
        <f>AD7651/AC7646</f>
        <v>25.500000000000004</v>
      </c>
      <c r="AC7651" s="93">
        <f>AC7646/AA7651</f>
        <v>5.6422999999999908</v>
      </c>
      <c r="AD7651" s="94">
        <f t="shared" ref="AD7651:AD7652" si="5371">AC7651*Z7651</f>
        <v>846.34499999999866</v>
      </c>
      <c r="AE7651" s="190"/>
      <c r="AF7651" s="191"/>
      <c r="AG7651" s="191"/>
      <c r="AH7651" s="191"/>
      <c r="AI7651" s="186"/>
      <c r="AK7651" s="171"/>
    </row>
    <row r="7652" spans="1:41" s="102" customFormat="1" ht="19.899999999999999" customHeight="1" x14ac:dyDescent="0.25">
      <c r="A7652" s="45"/>
      <c r="B7652" s="59"/>
      <c r="C7652" s="137"/>
      <c r="D7652" s="59"/>
      <c r="E7652" s="116"/>
      <c r="F7652" s="120"/>
      <c r="G7652" s="120"/>
      <c r="H7652" s="120"/>
      <c r="I7652" s="60"/>
      <c r="J7652" s="116"/>
      <c r="K7652" s="213"/>
      <c r="L7652" s="120"/>
      <c r="M7652" s="120"/>
      <c r="N7652" s="167"/>
      <c r="O7652" s="120"/>
      <c r="P7652" s="120"/>
      <c r="Q7652" s="120"/>
      <c r="R7652" s="120"/>
      <c r="S7652" s="120"/>
      <c r="T7652" s="221"/>
      <c r="U7652" s="89"/>
      <c r="V7652" s="61"/>
      <c r="W7652" s="92" t="s">
        <v>1037</v>
      </c>
      <c r="X7652" s="93" t="s">
        <v>30</v>
      </c>
      <c r="Y7652" s="93" t="s">
        <v>1038</v>
      </c>
      <c r="Z7652" s="134">
        <f>VLOOKUP(W7652,Sheet2!$B:$D,3,FALSE)</f>
        <v>175</v>
      </c>
      <c r="AA7652" s="93">
        <v>300</v>
      </c>
      <c r="AB7652" s="93">
        <f>AD7652/AC7646</f>
        <v>0.58333333333333337</v>
      </c>
      <c r="AC7652" s="93">
        <f>AC7646/AA7652</f>
        <v>0.11063333333333314</v>
      </c>
      <c r="AD7652" s="94">
        <f t="shared" si="5371"/>
        <v>19.3608333333333</v>
      </c>
      <c r="AE7652" s="190"/>
      <c r="AF7652" s="191"/>
      <c r="AG7652" s="191"/>
      <c r="AH7652" s="191"/>
      <c r="AI7652" s="186"/>
      <c r="AK7652" s="171"/>
    </row>
    <row r="7653" spans="1:41" s="103" customFormat="1" ht="19.899999999999999" customHeight="1" x14ac:dyDescent="0.25">
      <c r="A7653" s="51"/>
      <c r="B7653" s="52"/>
      <c r="C7653" s="165"/>
      <c r="D7653" s="52"/>
      <c r="E7653" s="115"/>
      <c r="F7653" s="58"/>
      <c r="G7653" s="58"/>
      <c r="H7653" s="58"/>
      <c r="I7653" s="55"/>
      <c r="J7653" s="113">
        <f>J7636</f>
        <v>33.189999999999941</v>
      </c>
      <c r="K7653" s="212">
        <f>K7636</f>
        <v>33.189999999999941</v>
      </c>
      <c r="L7653" s="58"/>
      <c r="M7653" s="58">
        <f>K7653-L7653</f>
        <v>33.189999999999941</v>
      </c>
      <c r="N7653" s="166"/>
      <c r="O7653" s="58"/>
      <c r="P7653" s="58"/>
      <c r="Q7653" s="58"/>
      <c r="R7653" s="58"/>
      <c r="S7653" s="58"/>
      <c r="T7653" s="220"/>
      <c r="U7653" s="88"/>
      <c r="V7653" s="56"/>
      <c r="W7653" s="57" t="s">
        <v>1040</v>
      </c>
      <c r="X7653" s="53"/>
      <c r="Y7653" s="91" t="s">
        <v>68</v>
      </c>
      <c r="Z7653" s="136">
        <f>AD7653/AC7653</f>
        <v>5</v>
      </c>
      <c r="AA7653" s="58"/>
      <c r="AB7653" s="53">
        <f>AD7653/AC7653</f>
        <v>5</v>
      </c>
      <c r="AC7653" s="53">
        <f>M7653+$AE$10</f>
        <v>33.189999999999941</v>
      </c>
      <c r="AD7653" s="54">
        <f>SUM(AD7654)</f>
        <v>165.9499999999997</v>
      </c>
      <c r="AE7653" s="184">
        <f>SUMIFS($AD$37:$AD$12971,$V$37:$V$12971,$V7653,$X$37:$X$12971,AE$13)</f>
        <v>0</v>
      </c>
      <c r="AF7653" s="185">
        <f>SUMIFS($AD$37:$AD$12971,$V$37:$V$12971,$V7653,$X$37:$X$12971,AF$13)</f>
        <v>0</v>
      </c>
      <c r="AG7653" s="185">
        <f>SUMIFS($AD$37:$AD$12971,$V$37:$V$12971,$V7653,$X$37:$X$12971,AG$13)</f>
        <v>0</v>
      </c>
      <c r="AH7653" s="187">
        <f>SUMIFS($AD$37:$AD$12971,$V$37:$V$12971,$V7653,$X$37:$X$12971,AH$13)</f>
        <v>0</v>
      </c>
      <c r="AI7653" s="161">
        <f t="shared" ref="AI7653" si="5372">SUM(AE7653:AH7653)</f>
        <v>0</v>
      </c>
      <c r="AK7653" s="172"/>
    </row>
    <row r="7654" spans="1:41" s="102" customFormat="1" ht="19.899999999999999" customHeight="1" x14ac:dyDescent="0.25">
      <c r="A7654" s="45"/>
      <c r="B7654" s="59"/>
      <c r="C7654" s="137"/>
      <c r="D7654" s="59"/>
      <c r="E7654" s="116"/>
      <c r="F7654" s="120"/>
      <c r="G7654" s="120"/>
      <c r="H7654" s="120"/>
      <c r="I7654" s="60"/>
      <c r="J7654" s="116"/>
      <c r="K7654" s="213"/>
      <c r="L7654" s="120"/>
      <c r="M7654" s="120"/>
      <c r="N7654" s="167"/>
      <c r="O7654" s="120"/>
      <c r="P7654" s="120"/>
      <c r="Q7654" s="120"/>
      <c r="R7654" s="120"/>
      <c r="S7654" s="120"/>
      <c r="T7654" s="221"/>
      <c r="U7654" s="89"/>
      <c r="V7654" s="61"/>
      <c r="W7654" s="92" t="s">
        <v>1039</v>
      </c>
      <c r="X7654" s="93" t="s">
        <v>32</v>
      </c>
      <c r="Y7654" s="93" t="s">
        <v>68</v>
      </c>
      <c r="Z7654" s="134">
        <f>VLOOKUP(W7654,Sheet2!$B:$D,3,FALSE)</f>
        <v>5</v>
      </c>
      <c r="AA7654" s="93">
        <v>1</v>
      </c>
      <c r="AB7654" s="93">
        <f>AD7654/AC7653</f>
        <v>5</v>
      </c>
      <c r="AC7654" s="93">
        <f>AC7653/AA7654</f>
        <v>33.189999999999941</v>
      </c>
      <c r="AD7654" s="94">
        <f t="shared" ref="AD7654" si="5373">AC7654*Z7654</f>
        <v>165.9499999999997</v>
      </c>
      <c r="AE7654" s="190"/>
      <c r="AF7654" s="191"/>
      <c r="AG7654" s="191"/>
      <c r="AH7654" s="191"/>
      <c r="AI7654" s="186"/>
      <c r="AK7654" s="171"/>
    </row>
    <row r="7655" spans="1:41" ht="20.100000000000001" customHeight="1" x14ac:dyDescent="0.25">
      <c r="A7655" s="277" t="s">
        <v>703</v>
      </c>
      <c r="B7655" s="278"/>
      <c r="C7655" s="64" t="s">
        <v>750</v>
      </c>
      <c r="D7655" s="46" t="s">
        <v>97</v>
      </c>
      <c r="E7655" s="114">
        <v>109.68965000000003</v>
      </c>
      <c r="F7655" s="44">
        <v>959</v>
      </c>
      <c r="G7655" s="44">
        <f t="shared" si="4575"/>
        <v>105192.37435000003</v>
      </c>
      <c r="H7655" s="44">
        <f t="shared" si="4576"/>
        <v>579.0308</v>
      </c>
      <c r="I7655" s="43">
        <f t="shared" si="4577"/>
        <v>63513.685791220014</v>
      </c>
      <c r="J7655" s="112">
        <f t="shared" si="4578"/>
        <v>109.68965000000003</v>
      </c>
      <c r="K7655" s="211">
        <f t="shared" si="4579"/>
        <v>109.68965000000003</v>
      </c>
      <c r="L7655" s="44"/>
      <c r="M7655" s="44">
        <f t="shared" si="4580"/>
        <v>109.68965000000003</v>
      </c>
      <c r="N7655" s="173">
        <f t="shared" si="4581"/>
        <v>1</v>
      </c>
      <c r="O7655" s="44">
        <f t="shared" si="4582"/>
        <v>959</v>
      </c>
      <c r="P7655" s="44">
        <f t="shared" si="4583"/>
        <v>105192.37435000003</v>
      </c>
      <c r="Q7655" s="44">
        <f t="shared" si="4584"/>
        <v>579.0308</v>
      </c>
      <c r="R7655" s="44">
        <f t="shared" si="4585"/>
        <v>63513.685791220014</v>
      </c>
      <c r="S7655" s="123"/>
      <c r="T7655" s="219">
        <f t="shared" si="4586"/>
        <v>63513.685791220014</v>
      </c>
      <c r="U7655" s="87"/>
      <c r="V7655" s="47"/>
      <c r="W7655" s="48"/>
      <c r="X7655" s="48"/>
      <c r="Y7655" s="48"/>
      <c r="Z7655" s="135"/>
      <c r="AA7655" s="49"/>
      <c r="AB7655" s="50">
        <f t="shared" si="4587"/>
        <v>579.0308</v>
      </c>
      <c r="AC7655" s="42">
        <f t="shared" si="4588"/>
        <v>109.68965000000003</v>
      </c>
      <c r="AD7655" s="90">
        <f>AD7656+AD7666+AD7673</f>
        <v>63513.685791220021</v>
      </c>
      <c r="AE7655" s="188">
        <f t="shared" ref="AE7655:AH7655" si="5374">AE7656+AE7666+AE7673</f>
        <v>0</v>
      </c>
      <c r="AF7655" s="189">
        <f t="shared" si="5374"/>
        <v>0</v>
      </c>
      <c r="AG7655" s="189">
        <f t="shared" si="5374"/>
        <v>0</v>
      </c>
      <c r="AH7655" s="189">
        <f t="shared" si="5374"/>
        <v>0</v>
      </c>
      <c r="AI7655" s="161">
        <f t="shared" ref="AI7655:AI7656" si="5375">SUM(AE7655:AH7655)</f>
        <v>0</v>
      </c>
      <c r="AK7655" s="169">
        <v>5</v>
      </c>
      <c r="AO7655" s="19" t="s">
        <v>63</v>
      </c>
    </row>
    <row r="7656" spans="1:41" s="103" customFormat="1" ht="19.899999999999999" customHeight="1" x14ac:dyDescent="0.25">
      <c r="A7656" s="51"/>
      <c r="B7656" s="52"/>
      <c r="C7656" s="165"/>
      <c r="D7656" s="52"/>
      <c r="E7656" s="115"/>
      <c r="F7656" s="58"/>
      <c r="G7656" s="58"/>
      <c r="H7656" s="58"/>
      <c r="I7656" s="55"/>
      <c r="J7656" s="113">
        <f>J7655</f>
        <v>109.68965000000003</v>
      </c>
      <c r="K7656" s="212">
        <f>K7655</f>
        <v>109.68965000000003</v>
      </c>
      <c r="L7656" s="58"/>
      <c r="M7656" s="58">
        <f>K7656-L7656</f>
        <v>109.68965000000003</v>
      </c>
      <c r="N7656" s="166"/>
      <c r="O7656" s="58"/>
      <c r="P7656" s="58"/>
      <c r="Q7656" s="58"/>
      <c r="R7656" s="58"/>
      <c r="S7656" s="58"/>
      <c r="T7656" s="220"/>
      <c r="U7656" s="88"/>
      <c r="V7656" s="56"/>
      <c r="W7656" s="57" t="s">
        <v>1079</v>
      </c>
      <c r="X7656" s="53"/>
      <c r="Y7656" s="91" t="s">
        <v>68</v>
      </c>
      <c r="Z7656" s="136">
        <f>AD7656/AC7656</f>
        <v>55.447466666666664</v>
      </c>
      <c r="AA7656" s="58"/>
      <c r="AB7656" s="53">
        <f>AD7656/AC7656</f>
        <v>55.447466666666664</v>
      </c>
      <c r="AC7656" s="53">
        <f>M7656+$AE$10</f>
        <v>109.68965000000003</v>
      </c>
      <c r="AD7656" s="54">
        <f>SUM(AD7657:AD7665)</f>
        <v>6082.0132120533344</v>
      </c>
      <c r="AE7656" s="184">
        <f>SUMIFS($AD$37:$AD$12971,$V$37:$V$12971,$V7656,$X$37:$X$12971,AE$13)</f>
        <v>0</v>
      </c>
      <c r="AF7656" s="185">
        <f>SUMIFS($AD$37:$AD$12971,$V$37:$V$12971,$V7656,$X$37:$X$12971,AF$13)</f>
        <v>0</v>
      </c>
      <c r="AG7656" s="185">
        <f>SUMIFS($AD$37:$AD$12971,$V$37:$V$12971,$V7656,$X$37:$X$12971,AG$13)</f>
        <v>0</v>
      </c>
      <c r="AH7656" s="187">
        <f>SUMIFS($AD$37:$AD$12971,$V$37:$V$12971,$V7656,$X$37:$X$12971,AH$13)</f>
        <v>0</v>
      </c>
      <c r="AI7656" s="161">
        <f t="shared" si="5375"/>
        <v>0</v>
      </c>
      <c r="AK7656" s="172"/>
    </row>
    <row r="7657" spans="1:41" s="102" customFormat="1" ht="19.899999999999999" customHeight="1" x14ac:dyDescent="0.25">
      <c r="A7657" s="45"/>
      <c r="B7657" s="59"/>
      <c r="C7657" s="137"/>
      <c r="D7657" s="59"/>
      <c r="E7657" s="116"/>
      <c r="F7657" s="120"/>
      <c r="G7657" s="120"/>
      <c r="H7657" s="120"/>
      <c r="I7657" s="60"/>
      <c r="J7657" s="116"/>
      <c r="K7657" s="213"/>
      <c r="L7657" s="120"/>
      <c r="M7657" s="120"/>
      <c r="N7657" s="167"/>
      <c r="O7657" s="120"/>
      <c r="P7657" s="120"/>
      <c r="Q7657" s="120"/>
      <c r="R7657" s="120"/>
      <c r="S7657" s="120"/>
      <c r="T7657" s="221"/>
      <c r="U7657" s="89"/>
      <c r="V7657" s="61"/>
      <c r="W7657" s="92" t="s">
        <v>129</v>
      </c>
      <c r="X7657" s="93" t="s">
        <v>29</v>
      </c>
      <c r="Y7657" s="93" t="s">
        <v>93</v>
      </c>
      <c r="Z7657" s="134">
        <f>VLOOKUP(W7657,Sheet2!$B:$D,3,FALSE)</f>
        <v>56</v>
      </c>
      <c r="AA7657" s="93">
        <f>100/(1.7*2.5)</f>
        <v>23.529411764705884</v>
      </c>
      <c r="AB7657" s="93">
        <f t="shared" ref="AB7657" si="5376">AD7657/AC7656</f>
        <v>2.3799999999999994</v>
      </c>
      <c r="AC7657" s="93">
        <f>AC7656/AA7657</f>
        <v>4.6618101250000006</v>
      </c>
      <c r="AD7657" s="94">
        <f t="shared" ref="AD7657:AD7658" si="5377">AC7657*Z7657</f>
        <v>261.06136700000002</v>
      </c>
      <c r="AE7657" s="190"/>
      <c r="AF7657" s="191"/>
      <c r="AG7657" s="191"/>
      <c r="AH7657" s="191"/>
      <c r="AI7657" s="186"/>
      <c r="AK7657" s="171"/>
    </row>
    <row r="7658" spans="1:41" s="102" customFormat="1" ht="19.899999999999999" customHeight="1" x14ac:dyDescent="0.25">
      <c r="A7658" s="45"/>
      <c r="B7658" s="59"/>
      <c r="C7658" s="137"/>
      <c r="D7658" s="59"/>
      <c r="E7658" s="116"/>
      <c r="F7658" s="120"/>
      <c r="G7658" s="120"/>
      <c r="H7658" s="120"/>
      <c r="I7658" s="60"/>
      <c r="J7658" s="116"/>
      <c r="K7658" s="213"/>
      <c r="L7658" s="120"/>
      <c r="M7658" s="120"/>
      <c r="N7658" s="167"/>
      <c r="O7658" s="120"/>
      <c r="P7658" s="120"/>
      <c r="Q7658" s="120"/>
      <c r="R7658" s="120"/>
      <c r="S7658" s="120"/>
      <c r="T7658" s="221"/>
      <c r="U7658" s="89"/>
      <c r="V7658" s="61"/>
      <c r="W7658" s="92" t="s">
        <v>65</v>
      </c>
      <c r="X7658" s="93" t="s">
        <v>30</v>
      </c>
      <c r="Y7658" s="93" t="s">
        <v>1011</v>
      </c>
      <c r="Z7658" s="134">
        <f>VLOOKUP(W7658,Sheet2!$B:$D,3,FALSE)</f>
        <v>1.76</v>
      </c>
      <c r="AA7658" s="93">
        <f>AA7657/14</f>
        <v>1.680672268907563</v>
      </c>
      <c r="AB7658" s="93">
        <f>AD7658/AC7656</f>
        <v>1.0471999999999999</v>
      </c>
      <c r="AC7658" s="93">
        <f>AC7656/AA7658</f>
        <v>65.265341750000019</v>
      </c>
      <c r="AD7658" s="94">
        <f t="shared" si="5377"/>
        <v>114.86700148000003</v>
      </c>
      <c r="AE7658" s="190"/>
      <c r="AF7658" s="191"/>
      <c r="AG7658" s="191"/>
      <c r="AH7658" s="191"/>
      <c r="AI7658" s="186"/>
      <c r="AK7658" s="171"/>
    </row>
    <row r="7659" spans="1:41" s="102" customFormat="1" ht="19.899999999999999" customHeight="1" x14ac:dyDescent="0.25">
      <c r="A7659" s="45"/>
      <c r="B7659" s="59"/>
      <c r="C7659" s="137"/>
      <c r="D7659" s="59"/>
      <c r="E7659" s="116"/>
      <c r="F7659" s="120"/>
      <c r="G7659" s="120"/>
      <c r="H7659" s="120"/>
      <c r="I7659" s="60"/>
      <c r="J7659" s="116"/>
      <c r="K7659" s="213"/>
      <c r="L7659" s="120"/>
      <c r="M7659" s="120"/>
      <c r="N7659" s="167"/>
      <c r="O7659" s="120"/>
      <c r="P7659" s="120"/>
      <c r="Q7659" s="120"/>
      <c r="R7659" s="120"/>
      <c r="S7659" s="120"/>
      <c r="T7659" s="221"/>
      <c r="U7659" s="89"/>
      <c r="V7659" s="61"/>
      <c r="W7659" s="92" t="s">
        <v>161</v>
      </c>
      <c r="X7659" s="93" t="s">
        <v>29</v>
      </c>
      <c r="Y7659" s="93" t="s">
        <v>93</v>
      </c>
      <c r="Z7659" s="134">
        <f>VLOOKUP(W7659,Sheet2!$B:$D,3,FALSE)</f>
        <v>48</v>
      </c>
      <c r="AA7659" s="93">
        <f>(16*0.85*1.5)/(1.7*2.5)</f>
        <v>4.8</v>
      </c>
      <c r="AB7659" s="93">
        <f>AD7659/AC7656</f>
        <v>10</v>
      </c>
      <c r="AC7659" s="93">
        <f>AC7656/AA7659</f>
        <v>22.852010416666673</v>
      </c>
      <c r="AD7659" s="94">
        <f>AC7659*Z7659</f>
        <v>1096.8965000000003</v>
      </c>
      <c r="AE7659" s="190"/>
      <c r="AF7659" s="191"/>
      <c r="AG7659" s="191"/>
      <c r="AH7659" s="191"/>
      <c r="AI7659" s="186"/>
      <c r="AK7659" s="171"/>
    </row>
    <row r="7660" spans="1:41" s="102" customFormat="1" ht="19.899999999999999" customHeight="1" x14ac:dyDescent="0.25">
      <c r="A7660" s="45"/>
      <c r="B7660" s="59"/>
      <c r="C7660" s="137"/>
      <c r="D7660" s="59"/>
      <c r="E7660" s="116"/>
      <c r="F7660" s="120"/>
      <c r="G7660" s="120"/>
      <c r="H7660" s="120"/>
      <c r="I7660" s="60"/>
      <c r="J7660" s="116"/>
      <c r="K7660" s="213"/>
      <c r="L7660" s="120"/>
      <c r="M7660" s="120"/>
      <c r="N7660" s="167"/>
      <c r="O7660" s="120"/>
      <c r="P7660" s="120"/>
      <c r="Q7660" s="120"/>
      <c r="R7660" s="120"/>
      <c r="S7660" s="120"/>
      <c r="T7660" s="221"/>
      <c r="U7660" s="89"/>
      <c r="V7660" s="61"/>
      <c r="W7660" s="92" t="s">
        <v>65</v>
      </c>
      <c r="X7660" s="93" t="s">
        <v>30</v>
      </c>
      <c r="Y7660" s="93" t="s">
        <v>1011</v>
      </c>
      <c r="Z7660" s="134">
        <f>VLOOKUP(W7660,Sheet2!$B:$D,3,FALSE)</f>
        <v>1.76</v>
      </c>
      <c r="AA7660" s="93">
        <f>AA7659/10</f>
        <v>0.48</v>
      </c>
      <c r="AB7660" s="93">
        <f>AD7660/AC7656</f>
        <v>3.6666666666666665</v>
      </c>
      <c r="AC7660" s="93">
        <f>AC7656/AA7660</f>
        <v>228.52010416666673</v>
      </c>
      <c r="AD7660" s="94">
        <f>AC7660*Z7660</f>
        <v>402.19538333333344</v>
      </c>
      <c r="AE7660" s="190"/>
      <c r="AF7660" s="191"/>
      <c r="AG7660" s="191"/>
      <c r="AH7660" s="191"/>
      <c r="AI7660" s="186"/>
      <c r="AK7660" s="171"/>
    </row>
    <row r="7661" spans="1:41" s="102" customFormat="1" ht="19.899999999999999" customHeight="1" x14ac:dyDescent="0.25">
      <c r="A7661" s="45"/>
      <c r="B7661" s="59"/>
      <c r="C7661" s="137"/>
      <c r="D7661" s="59"/>
      <c r="E7661" s="116"/>
      <c r="F7661" s="120"/>
      <c r="G7661" s="120"/>
      <c r="H7661" s="120"/>
      <c r="I7661" s="60"/>
      <c r="J7661" s="116"/>
      <c r="K7661" s="213"/>
      <c r="L7661" s="120"/>
      <c r="M7661" s="120"/>
      <c r="N7661" s="167"/>
      <c r="O7661" s="120"/>
      <c r="P7661" s="120"/>
      <c r="Q7661" s="120"/>
      <c r="R7661" s="120"/>
      <c r="S7661" s="120"/>
      <c r="T7661" s="221"/>
      <c r="U7661" s="89"/>
      <c r="V7661" s="61"/>
      <c r="W7661" s="92" t="s">
        <v>1030</v>
      </c>
      <c r="X7661" s="93" t="s">
        <v>29</v>
      </c>
      <c r="Y7661" s="93" t="s">
        <v>93</v>
      </c>
      <c r="Z7661" s="134">
        <f>VLOOKUP(W7661,Sheet2!$B:$D,3,FALSE)</f>
        <v>23</v>
      </c>
      <c r="AA7661" s="93">
        <v>50</v>
      </c>
      <c r="AB7661" s="93">
        <f>AD7661/AC7656</f>
        <v>0.46</v>
      </c>
      <c r="AC7661" s="93">
        <f>AC7656/AA7661</f>
        <v>2.1937930000000008</v>
      </c>
      <c r="AD7661" s="94">
        <f t="shared" ref="AD7661:AD7665" si="5378">AC7661*Z7661</f>
        <v>50.457239000000015</v>
      </c>
      <c r="AE7661" s="190"/>
      <c r="AF7661" s="191"/>
      <c r="AG7661" s="191"/>
      <c r="AH7661" s="191"/>
      <c r="AI7661" s="186"/>
      <c r="AK7661" s="171"/>
    </row>
    <row r="7662" spans="1:41" s="102" customFormat="1" ht="19.899999999999999" customHeight="1" x14ac:dyDescent="0.25">
      <c r="A7662" s="45"/>
      <c r="B7662" s="59"/>
      <c r="C7662" s="137"/>
      <c r="D7662" s="59"/>
      <c r="E7662" s="116"/>
      <c r="F7662" s="120"/>
      <c r="G7662" s="120"/>
      <c r="H7662" s="120"/>
      <c r="I7662" s="60"/>
      <c r="J7662" s="116"/>
      <c r="K7662" s="213"/>
      <c r="L7662" s="120"/>
      <c r="M7662" s="120"/>
      <c r="N7662" s="167"/>
      <c r="O7662" s="120"/>
      <c r="P7662" s="120"/>
      <c r="Q7662" s="120"/>
      <c r="R7662" s="120"/>
      <c r="S7662" s="120"/>
      <c r="T7662" s="221"/>
      <c r="U7662" s="89"/>
      <c r="V7662" s="61"/>
      <c r="W7662" s="92" t="s">
        <v>65</v>
      </c>
      <c r="X7662" s="93" t="s">
        <v>30</v>
      </c>
      <c r="Y7662" s="93" t="s">
        <v>1011</v>
      </c>
      <c r="Z7662" s="134">
        <f>VLOOKUP(W7662,Sheet2!$B:$D,3,FALSE)</f>
        <v>1.76</v>
      </c>
      <c r="AA7662" s="93">
        <f>AA7661/3</f>
        <v>16.666666666666668</v>
      </c>
      <c r="AB7662" s="93">
        <f>AD7662/AC7656</f>
        <v>0.1056</v>
      </c>
      <c r="AC7662" s="93">
        <f>AC7656/AA7662</f>
        <v>6.581379000000001</v>
      </c>
      <c r="AD7662" s="94">
        <f t="shared" si="5378"/>
        <v>11.583227040000002</v>
      </c>
      <c r="AE7662" s="190"/>
      <c r="AF7662" s="191"/>
      <c r="AG7662" s="191"/>
      <c r="AH7662" s="191"/>
      <c r="AI7662" s="186"/>
      <c r="AK7662" s="171"/>
    </row>
    <row r="7663" spans="1:41" s="102" customFormat="1" ht="19.899999999999999" customHeight="1" x14ac:dyDescent="0.25">
      <c r="A7663" s="45"/>
      <c r="B7663" s="59"/>
      <c r="C7663" s="137"/>
      <c r="D7663" s="59"/>
      <c r="E7663" s="116"/>
      <c r="F7663" s="120"/>
      <c r="G7663" s="120"/>
      <c r="H7663" s="120"/>
      <c r="I7663" s="60"/>
      <c r="J7663" s="116"/>
      <c r="K7663" s="213"/>
      <c r="L7663" s="120"/>
      <c r="M7663" s="120"/>
      <c r="N7663" s="167"/>
      <c r="O7663" s="120"/>
      <c r="P7663" s="120"/>
      <c r="Q7663" s="120"/>
      <c r="R7663" s="120"/>
      <c r="S7663" s="120"/>
      <c r="T7663" s="221"/>
      <c r="U7663" s="89"/>
      <c r="V7663" s="61"/>
      <c r="W7663" s="92" t="s">
        <v>148</v>
      </c>
      <c r="X7663" s="93" t="s">
        <v>29</v>
      </c>
      <c r="Y7663" s="93" t="s">
        <v>93</v>
      </c>
      <c r="Z7663" s="134">
        <f>VLOOKUP(W7663,Sheet2!$B:$D,3,FALSE)</f>
        <v>48</v>
      </c>
      <c r="AA7663" s="93">
        <f>AA7657</f>
        <v>23.529411764705884</v>
      </c>
      <c r="AB7663" s="93">
        <f>AD7663/AC7656</f>
        <v>2.0399999999999996</v>
      </c>
      <c r="AC7663" s="93">
        <f>AC7656/AA7663</f>
        <v>4.6618101250000006</v>
      </c>
      <c r="AD7663" s="94">
        <f t="shared" si="5378"/>
        <v>223.76688600000003</v>
      </c>
      <c r="AE7663" s="190"/>
      <c r="AF7663" s="191"/>
      <c r="AG7663" s="191"/>
      <c r="AH7663" s="191"/>
      <c r="AI7663" s="186"/>
      <c r="AK7663" s="171"/>
    </row>
    <row r="7664" spans="1:41" s="102" customFormat="1" ht="19.899999999999999" customHeight="1" x14ac:dyDescent="0.25">
      <c r="A7664" s="45"/>
      <c r="B7664" s="59"/>
      <c r="C7664" s="137"/>
      <c r="D7664" s="59"/>
      <c r="E7664" s="116"/>
      <c r="F7664" s="120"/>
      <c r="G7664" s="120"/>
      <c r="H7664" s="120"/>
      <c r="I7664" s="60"/>
      <c r="J7664" s="116"/>
      <c r="K7664" s="213"/>
      <c r="L7664" s="120"/>
      <c r="M7664" s="120"/>
      <c r="N7664" s="167"/>
      <c r="O7664" s="120"/>
      <c r="P7664" s="120"/>
      <c r="Q7664" s="120"/>
      <c r="R7664" s="120"/>
      <c r="S7664" s="120"/>
      <c r="T7664" s="221"/>
      <c r="U7664" s="89"/>
      <c r="V7664" s="61"/>
      <c r="W7664" s="92" t="s">
        <v>65</v>
      </c>
      <c r="X7664" s="93" t="s">
        <v>30</v>
      </c>
      <c r="Y7664" s="93" t="s">
        <v>1011</v>
      </c>
      <c r="Z7664" s="134">
        <f>VLOOKUP(W7664,Sheet2!$B:$D,3,FALSE)</f>
        <v>1.76</v>
      </c>
      <c r="AA7664" s="93">
        <f>AA7663/10</f>
        <v>2.3529411764705883</v>
      </c>
      <c r="AB7664" s="93">
        <f>AD7664/AC7656</f>
        <v>0.748</v>
      </c>
      <c r="AC7664" s="93">
        <f>AC7656/AA7664</f>
        <v>46.618101250000009</v>
      </c>
      <c r="AD7664" s="94">
        <f t="shared" si="5378"/>
        <v>82.047858200000022</v>
      </c>
      <c r="AE7664" s="190"/>
      <c r="AF7664" s="191"/>
      <c r="AG7664" s="191"/>
      <c r="AH7664" s="191"/>
      <c r="AI7664" s="186"/>
      <c r="AK7664" s="171"/>
    </row>
    <row r="7665" spans="1:41" s="102" customFormat="1" ht="19.899999999999999" customHeight="1" x14ac:dyDescent="0.25">
      <c r="A7665" s="45"/>
      <c r="B7665" s="59"/>
      <c r="C7665" s="137"/>
      <c r="D7665" s="59"/>
      <c r="E7665" s="116"/>
      <c r="F7665" s="120"/>
      <c r="G7665" s="120"/>
      <c r="H7665" s="120"/>
      <c r="I7665" s="60"/>
      <c r="J7665" s="116"/>
      <c r="K7665" s="213"/>
      <c r="L7665" s="120"/>
      <c r="M7665" s="120"/>
      <c r="N7665" s="167"/>
      <c r="O7665" s="120"/>
      <c r="P7665" s="120"/>
      <c r="Q7665" s="120"/>
      <c r="R7665" s="120"/>
      <c r="S7665" s="120"/>
      <c r="T7665" s="221"/>
      <c r="U7665" s="89"/>
      <c r="V7665" s="61"/>
      <c r="W7665" s="92" t="s">
        <v>1048</v>
      </c>
      <c r="X7665" s="93" t="s">
        <v>30</v>
      </c>
      <c r="Y7665" s="93" t="s">
        <v>68</v>
      </c>
      <c r="Z7665" s="134">
        <f>VLOOKUP(W7665,Sheet2!$B:$D,3,FALSE)</f>
        <v>35</v>
      </c>
      <c r="AA7665" s="93">
        <v>1</v>
      </c>
      <c r="AB7665" s="93">
        <f>AD7665/AC7656</f>
        <v>35</v>
      </c>
      <c r="AC7665" s="93">
        <f>AC7656/AA7665</f>
        <v>109.68965000000003</v>
      </c>
      <c r="AD7665" s="94">
        <f t="shared" si="5378"/>
        <v>3839.1377500000008</v>
      </c>
      <c r="AE7665" s="190"/>
      <c r="AF7665" s="191"/>
      <c r="AG7665" s="191"/>
      <c r="AH7665" s="191"/>
      <c r="AI7665" s="186"/>
      <c r="AK7665" s="171"/>
    </row>
    <row r="7666" spans="1:41" s="103" customFormat="1" ht="19.899999999999999" customHeight="1" x14ac:dyDescent="0.25">
      <c r="A7666" s="51"/>
      <c r="B7666" s="52"/>
      <c r="C7666" s="165"/>
      <c r="D7666" s="52"/>
      <c r="E7666" s="115"/>
      <c r="F7666" s="58"/>
      <c r="G7666" s="58"/>
      <c r="H7666" s="58"/>
      <c r="I7666" s="55"/>
      <c r="J7666" s="113">
        <f>J7655</f>
        <v>109.68965000000003</v>
      </c>
      <c r="K7666" s="212">
        <f>K7655</f>
        <v>109.68965000000003</v>
      </c>
      <c r="L7666" s="58"/>
      <c r="M7666" s="58">
        <f>K7666-L7666</f>
        <v>109.68965000000003</v>
      </c>
      <c r="N7666" s="166"/>
      <c r="O7666" s="58"/>
      <c r="P7666" s="58"/>
      <c r="Q7666" s="58"/>
      <c r="R7666" s="58"/>
      <c r="S7666" s="58"/>
      <c r="T7666" s="220"/>
      <c r="U7666" s="88"/>
      <c r="V7666" s="56"/>
      <c r="W7666" s="57" t="s">
        <v>1036</v>
      </c>
      <c r="X7666" s="53"/>
      <c r="Y7666" s="91" t="s">
        <v>68</v>
      </c>
      <c r="Z7666" s="136">
        <f>AD7666/AC7666</f>
        <v>518.58333333333337</v>
      </c>
      <c r="AA7666" s="58"/>
      <c r="AB7666" s="53">
        <f>AD7666/AC7666</f>
        <v>518.58333333333337</v>
      </c>
      <c r="AC7666" s="53">
        <f>M7666+$AE$10</f>
        <v>109.68965000000003</v>
      </c>
      <c r="AD7666" s="54">
        <f>SUM(AD7667:AD7672)</f>
        <v>56883.224329166682</v>
      </c>
      <c r="AE7666" s="184">
        <f>SUMIFS($AD$37:$AD$12971,$V$37:$V$12971,$V7666,$X$37:$X$12971,AE$13)</f>
        <v>0</v>
      </c>
      <c r="AF7666" s="185">
        <f>SUMIFS($AD$37:$AD$12971,$V$37:$V$12971,$V7666,$X$37:$X$12971,AF$13)</f>
        <v>0</v>
      </c>
      <c r="AG7666" s="185">
        <f>SUMIFS($AD$37:$AD$12971,$V$37:$V$12971,$V7666,$X$37:$X$12971,AG$13)</f>
        <v>0</v>
      </c>
      <c r="AH7666" s="187">
        <f>SUMIFS($AD$37:$AD$12971,$V$37:$V$12971,$V7666,$X$37:$X$12971,AH$13)</f>
        <v>0</v>
      </c>
      <c r="AI7666" s="161">
        <f t="shared" ref="AI7666" si="5379">SUM(AE7666:AH7666)</f>
        <v>0</v>
      </c>
      <c r="AK7666" s="172"/>
    </row>
    <row r="7667" spans="1:41" s="102" customFormat="1" ht="19.899999999999999" customHeight="1" x14ac:dyDescent="0.25">
      <c r="A7667" s="45"/>
      <c r="B7667" s="59"/>
      <c r="C7667" s="137"/>
      <c r="D7667" s="59"/>
      <c r="E7667" s="116"/>
      <c r="F7667" s="120"/>
      <c r="G7667" s="120"/>
      <c r="H7667" s="120"/>
      <c r="I7667" s="60"/>
      <c r="J7667" s="116"/>
      <c r="K7667" s="213"/>
      <c r="L7667" s="120"/>
      <c r="M7667" s="120"/>
      <c r="N7667" s="167"/>
      <c r="O7667" s="120"/>
      <c r="P7667" s="120"/>
      <c r="Q7667" s="120"/>
      <c r="R7667" s="120"/>
      <c r="S7667" s="120"/>
      <c r="T7667" s="221"/>
      <c r="U7667" s="89"/>
      <c r="V7667" s="61"/>
      <c r="W7667" s="92" t="s">
        <v>1059</v>
      </c>
      <c r="X7667" s="93" t="s">
        <v>30</v>
      </c>
      <c r="Y7667" s="93" t="s">
        <v>68</v>
      </c>
      <c r="Z7667" s="134">
        <f>VLOOKUP(W7667,Sheet2!$B:$D,3,FALSE)</f>
        <v>350</v>
      </c>
      <c r="AA7667" s="93">
        <v>1</v>
      </c>
      <c r="AB7667" s="93">
        <f>AD7667/AC7666</f>
        <v>350</v>
      </c>
      <c r="AC7667" s="93">
        <f>AC7666/AA7667</f>
        <v>109.68965000000003</v>
      </c>
      <c r="AD7667" s="94">
        <f t="shared" ref="AD7667" si="5380">AC7667*Z7667</f>
        <v>38391.37750000001</v>
      </c>
      <c r="AE7667" s="190"/>
      <c r="AF7667" s="191"/>
      <c r="AG7667" s="191"/>
      <c r="AH7667" s="191"/>
      <c r="AI7667" s="186"/>
      <c r="AK7667" s="171"/>
    </row>
    <row r="7668" spans="1:41" s="102" customFormat="1" ht="19.899999999999999" customHeight="1" x14ac:dyDescent="0.25">
      <c r="A7668" s="45"/>
      <c r="B7668" s="59"/>
      <c r="C7668" s="137"/>
      <c r="D7668" s="59"/>
      <c r="E7668" s="116"/>
      <c r="F7668" s="120"/>
      <c r="G7668" s="120"/>
      <c r="H7668" s="120"/>
      <c r="I7668" s="60"/>
      <c r="J7668" s="116"/>
      <c r="K7668" s="213"/>
      <c r="L7668" s="120"/>
      <c r="M7668" s="120"/>
      <c r="N7668" s="167"/>
      <c r="O7668" s="120"/>
      <c r="P7668" s="120"/>
      <c r="Q7668" s="120"/>
      <c r="R7668" s="120"/>
      <c r="S7668" s="120"/>
      <c r="T7668" s="221"/>
      <c r="U7668" s="89"/>
      <c r="V7668" s="61"/>
      <c r="W7668" s="92" t="s">
        <v>1066</v>
      </c>
      <c r="X7668" s="93" t="s">
        <v>30</v>
      </c>
      <c r="Y7668" s="93" t="s">
        <v>68</v>
      </c>
      <c r="Z7668" s="134">
        <f>VLOOKUP(W7668,Sheet2!$B:$D,3,FALSE)</f>
        <v>35</v>
      </c>
      <c r="AA7668" s="93">
        <v>1</v>
      </c>
      <c r="AB7668" s="93">
        <f>AD7668/AC7666</f>
        <v>35</v>
      </c>
      <c r="AC7668" s="93">
        <f>AC7666/AA7668</f>
        <v>109.68965000000003</v>
      </c>
      <c r="AD7668" s="94">
        <f>AC7668*Z7668</f>
        <v>3839.1377500000008</v>
      </c>
      <c r="AE7668" s="190"/>
      <c r="AF7668" s="191"/>
      <c r="AG7668" s="191"/>
      <c r="AH7668" s="191"/>
      <c r="AI7668" s="186"/>
      <c r="AK7668" s="171"/>
    </row>
    <row r="7669" spans="1:41" s="102" customFormat="1" ht="19.899999999999999" customHeight="1" x14ac:dyDescent="0.25">
      <c r="A7669" s="45"/>
      <c r="B7669" s="59"/>
      <c r="C7669" s="137"/>
      <c r="D7669" s="59"/>
      <c r="E7669" s="116"/>
      <c r="F7669" s="120"/>
      <c r="G7669" s="120"/>
      <c r="H7669" s="120"/>
      <c r="I7669" s="60"/>
      <c r="J7669" s="116"/>
      <c r="K7669" s="213"/>
      <c r="L7669" s="120"/>
      <c r="M7669" s="120"/>
      <c r="N7669" s="167"/>
      <c r="O7669" s="120"/>
      <c r="P7669" s="120"/>
      <c r="Q7669" s="120"/>
      <c r="R7669" s="120"/>
      <c r="S7669" s="120"/>
      <c r="T7669" s="221"/>
      <c r="U7669" s="89"/>
      <c r="V7669" s="61"/>
      <c r="W7669" s="92" t="s">
        <v>1073</v>
      </c>
      <c r="X7669" s="93" t="s">
        <v>32</v>
      </c>
      <c r="Y7669" s="93" t="s">
        <v>68</v>
      </c>
      <c r="Z7669" s="134">
        <f>VLOOKUP(W7669,Sheet2!$B:$D,3,FALSE)</f>
        <v>65</v>
      </c>
      <c r="AA7669" s="93">
        <v>1</v>
      </c>
      <c r="AB7669" s="93">
        <f>AD7669/AC7666</f>
        <v>65</v>
      </c>
      <c r="AC7669" s="93">
        <f>AC7666/AA7669</f>
        <v>109.68965000000003</v>
      </c>
      <c r="AD7669" s="94">
        <f>AC7669*Z7669</f>
        <v>7129.8272500000021</v>
      </c>
      <c r="AE7669" s="190"/>
      <c r="AF7669" s="191"/>
      <c r="AG7669" s="191"/>
      <c r="AH7669" s="191"/>
      <c r="AI7669" s="186"/>
      <c r="AK7669" s="171"/>
    </row>
    <row r="7670" spans="1:41" s="102" customFormat="1" ht="19.899999999999999" customHeight="1" x14ac:dyDescent="0.25">
      <c r="A7670" s="45"/>
      <c r="B7670" s="59"/>
      <c r="C7670" s="137"/>
      <c r="D7670" s="59"/>
      <c r="E7670" s="116"/>
      <c r="F7670" s="120"/>
      <c r="G7670" s="120"/>
      <c r="H7670" s="120"/>
      <c r="I7670" s="60"/>
      <c r="J7670" s="116"/>
      <c r="K7670" s="213"/>
      <c r="L7670" s="120"/>
      <c r="M7670" s="120"/>
      <c r="N7670" s="167"/>
      <c r="O7670" s="120"/>
      <c r="P7670" s="120"/>
      <c r="Q7670" s="120"/>
      <c r="R7670" s="120"/>
      <c r="S7670" s="120"/>
      <c r="T7670" s="221"/>
      <c r="U7670" s="89"/>
      <c r="V7670" s="61"/>
      <c r="W7670" s="92" t="s">
        <v>1032</v>
      </c>
      <c r="X7670" s="93" t="s">
        <v>30</v>
      </c>
      <c r="Y7670" s="93" t="s">
        <v>66</v>
      </c>
      <c r="Z7670" s="134">
        <f>VLOOKUP(W7670,Sheet2!$B:$D,3,FALSE)</f>
        <v>250</v>
      </c>
      <c r="AA7670" s="93">
        <f>1/(1.7*0.1)</f>
        <v>5.8823529411764701</v>
      </c>
      <c r="AB7670" s="93">
        <f>AD7670/AC7666</f>
        <v>42.500000000000007</v>
      </c>
      <c r="AC7670" s="93">
        <f>AC7666/AA7670</f>
        <v>18.647240500000006</v>
      </c>
      <c r="AD7670" s="94">
        <f>AC7670*Z7670</f>
        <v>4661.8101250000018</v>
      </c>
      <c r="AE7670" s="190"/>
      <c r="AF7670" s="191"/>
      <c r="AG7670" s="191"/>
      <c r="AH7670" s="191"/>
      <c r="AI7670" s="186"/>
      <c r="AK7670" s="171"/>
    </row>
    <row r="7671" spans="1:41" s="102" customFormat="1" ht="19.899999999999999" customHeight="1" x14ac:dyDescent="0.25">
      <c r="A7671" s="45"/>
      <c r="B7671" s="59"/>
      <c r="C7671" s="137"/>
      <c r="D7671" s="59"/>
      <c r="E7671" s="116"/>
      <c r="F7671" s="120"/>
      <c r="G7671" s="120"/>
      <c r="H7671" s="120"/>
      <c r="I7671" s="60"/>
      <c r="J7671" s="116"/>
      <c r="K7671" s="213"/>
      <c r="L7671" s="120"/>
      <c r="M7671" s="120"/>
      <c r="N7671" s="167"/>
      <c r="O7671" s="120"/>
      <c r="P7671" s="120"/>
      <c r="Q7671" s="120"/>
      <c r="R7671" s="120"/>
      <c r="S7671" s="120"/>
      <c r="T7671" s="221"/>
      <c r="U7671" s="89"/>
      <c r="V7671" s="61"/>
      <c r="W7671" s="92" t="s">
        <v>1035</v>
      </c>
      <c r="X7671" s="93" t="s">
        <v>32</v>
      </c>
      <c r="Y7671" s="93" t="s">
        <v>66</v>
      </c>
      <c r="Z7671" s="134">
        <f>VLOOKUP(W7671,Sheet2!$B:$D,3,FALSE)</f>
        <v>150</v>
      </c>
      <c r="AA7671" s="93">
        <f>AA7670</f>
        <v>5.8823529411764701</v>
      </c>
      <c r="AB7671" s="93">
        <f>AD7671/AC7666</f>
        <v>25.500000000000004</v>
      </c>
      <c r="AC7671" s="93">
        <f>AC7666/AA7671</f>
        <v>18.647240500000006</v>
      </c>
      <c r="AD7671" s="94">
        <f t="shared" ref="AD7671:AD7672" si="5381">AC7671*Z7671</f>
        <v>2797.0860750000011</v>
      </c>
      <c r="AE7671" s="190"/>
      <c r="AF7671" s="191"/>
      <c r="AG7671" s="191"/>
      <c r="AH7671" s="191"/>
      <c r="AI7671" s="186"/>
      <c r="AK7671" s="171"/>
    </row>
    <row r="7672" spans="1:41" s="102" customFormat="1" ht="19.899999999999999" customHeight="1" x14ac:dyDescent="0.25">
      <c r="A7672" s="45"/>
      <c r="B7672" s="59"/>
      <c r="C7672" s="137"/>
      <c r="D7672" s="59"/>
      <c r="E7672" s="116"/>
      <c r="F7672" s="120"/>
      <c r="G7672" s="120"/>
      <c r="H7672" s="120"/>
      <c r="I7672" s="60"/>
      <c r="J7672" s="116"/>
      <c r="K7672" s="213"/>
      <c r="L7672" s="120"/>
      <c r="M7672" s="120"/>
      <c r="N7672" s="167"/>
      <c r="O7672" s="120"/>
      <c r="P7672" s="120"/>
      <c r="Q7672" s="120"/>
      <c r="R7672" s="120"/>
      <c r="S7672" s="120"/>
      <c r="T7672" s="221"/>
      <c r="U7672" s="89"/>
      <c r="V7672" s="61"/>
      <c r="W7672" s="92" t="s">
        <v>1037</v>
      </c>
      <c r="X7672" s="93" t="s">
        <v>30</v>
      </c>
      <c r="Y7672" s="93" t="s">
        <v>1038</v>
      </c>
      <c r="Z7672" s="134">
        <f>VLOOKUP(W7672,Sheet2!$B:$D,3,FALSE)</f>
        <v>175</v>
      </c>
      <c r="AA7672" s="93">
        <v>300</v>
      </c>
      <c r="AB7672" s="93">
        <f>AD7672/AC7666</f>
        <v>0.58333333333333337</v>
      </c>
      <c r="AC7672" s="93">
        <f>AC7666/AA7672</f>
        <v>0.36563216666666676</v>
      </c>
      <c r="AD7672" s="94">
        <f t="shared" si="5381"/>
        <v>63.985629166666683</v>
      </c>
      <c r="AE7672" s="190"/>
      <c r="AF7672" s="191"/>
      <c r="AG7672" s="191"/>
      <c r="AH7672" s="191"/>
      <c r="AI7672" s="186"/>
      <c r="AK7672" s="171"/>
    </row>
    <row r="7673" spans="1:41" s="103" customFormat="1" ht="19.899999999999999" customHeight="1" x14ac:dyDescent="0.25">
      <c r="A7673" s="51"/>
      <c r="B7673" s="52"/>
      <c r="C7673" s="165"/>
      <c r="D7673" s="52"/>
      <c r="E7673" s="115"/>
      <c r="F7673" s="58"/>
      <c r="G7673" s="58"/>
      <c r="H7673" s="58"/>
      <c r="I7673" s="55"/>
      <c r="J7673" s="113">
        <f>J7655</f>
        <v>109.68965000000003</v>
      </c>
      <c r="K7673" s="212">
        <f>K7655</f>
        <v>109.68965000000003</v>
      </c>
      <c r="L7673" s="58"/>
      <c r="M7673" s="58">
        <f>K7673-L7673</f>
        <v>109.68965000000003</v>
      </c>
      <c r="N7673" s="166"/>
      <c r="O7673" s="58"/>
      <c r="P7673" s="58"/>
      <c r="Q7673" s="58"/>
      <c r="R7673" s="58"/>
      <c r="S7673" s="58"/>
      <c r="T7673" s="220"/>
      <c r="U7673" s="88"/>
      <c r="V7673" s="56"/>
      <c r="W7673" s="57" t="s">
        <v>1040</v>
      </c>
      <c r="X7673" s="53"/>
      <c r="Y7673" s="91" t="s">
        <v>68</v>
      </c>
      <c r="Z7673" s="136">
        <f>AD7673/AC7673</f>
        <v>5</v>
      </c>
      <c r="AA7673" s="58"/>
      <c r="AB7673" s="53">
        <f>AD7673/AC7673</f>
        <v>5</v>
      </c>
      <c r="AC7673" s="53">
        <f>M7673+$AE$10</f>
        <v>109.68965000000003</v>
      </c>
      <c r="AD7673" s="54">
        <f>SUM(AD7674)</f>
        <v>548.44825000000014</v>
      </c>
      <c r="AE7673" s="184">
        <f>SUMIFS($AD$37:$AD$12971,$V$37:$V$12971,$V7673,$X$37:$X$12971,AE$13)</f>
        <v>0</v>
      </c>
      <c r="AF7673" s="185">
        <f>SUMIFS($AD$37:$AD$12971,$V$37:$V$12971,$V7673,$X$37:$X$12971,AF$13)</f>
        <v>0</v>
      </c>
      <c r="AG7673" s="185">
        <f>SUMIFS($AD$37:$AD$12971,$V$37:$V$12971,$V7673,$X$37:$X$12971,AG$13)</f>
        <v>0</v>
      </c>
      <c r="AH7673" s="187">
        <f>SUMIFS($AD$37:$AD$12971,$V$37:$V$12971,$V7673,$X$37:$X$12971,AH$13)</f>
        <v>0</v>
      </c>
      <c r="AI7673" s="161">
        <f t="shared" ref="AI7673" si="5382">SUM(AE7673:AH7673)</f>
        <v>0</v>
      </c>
      <c r="AK7673" s="172"/>
    </row>
    <row r="7674" spans="1:41" s="102" customFormat="1" ht="19.899999999999999" customHeight="1" x14ac:dyDescent="0.25">
      <c r="A7674" s="45"/>
      <c r="B7674" s="59"/>
      <c r="C7674" s="137"/>
      <c r="D7674" s="59"/>
      <c r="E7674" s="116"/>
      <c r="F7674" s="120"/>
      <c r="G7674" s="120"/>
      <c r="H7674" s="120"/>
      <c r="I7674" s="60"/>
      <c r="J7674" s="116"/>
      <c r="K7674" s="213"/>
      <c r="L7674" s="120"/>
      <c r="M7674" s="120"/>
      <c r="N7674" s="167"/>
      <c r="O7674" s="120"/>
      <c r="P7674" s="120"/>
      <c r="Q7674" s="120"/>
      <c r="R7674" s="120"/>
      <c r="S7674" s="120"/>
      <c r="T7674" s="221"/>
      <c r="U7674" s="89"/>
      <c r="V7674" s="61"/>
      <c r="W7674" s="92" t="s">
        <v>1039</v>
      </c>
      <c r="X7674" s="93" t="s">
        <v>32</v>
      </c>
      <c r="Y7674" s="93" t="s">
        <v>68</v>
      </c>
      <c r="Z7674" s="134">
        <f>VLOOKUP(W7674,Sheet2!$B:$D,3,FALSE)</f>
        <v>5</v>
      </c>
      <c r="AA7674" s="93">
        <v>1</v>
      </c>
      <c r="AB7674" s="93">
        <f>AD7674/AC7673</f>
        <v>5</v>
      </c>
      <c r="AC7674" s="93">
        <f>AC7673/AA7674</f>
        <v>109.68965000000003</v>
      </c>
      <c r="AD7674" s="94">
        <f t="shared" ref="AD7674" si="5383">AC7674*Z7674</f>
        <v>548.44825000000014</v>
      </c>
      <c r="AE7674" s="190"/>
      <c r="AF7674" s="191"/>
      <c r="AG7674" s="191"/>
      <c r="AH7674" s="191"/>
      <c r="AI7674" s="186"/>
      <c r="AK7674" s="171"/>
    </row>
    <row r="7675" spans="1:41" ht="20.100000000000001" customHeight="1" x14ac:dyDescent="0.25">
      <c r="A7675" s="277" t="s">
        <v>703</v>
      </c>
      <c r="B7675" s="278"/>
      <c r="C7675" s="64" t="s">
        <v>751</v>
      </c>
      <c r="D7675" s="46" t="s">
        <v>97</v>
      </c>
      <c r="E7675" s="114">
        <v>96.039699999999925</v>
      </c>
      <c r="F7675" s="44">
        <v>1048</v>
      </c>
      <c r="G7675" s="44">
        <f t="shared" si="4575"/>
        <v>100649.60559999992</v>
      </c>
      <c r="H7675" s="44">
        <f t="shared" si="4576"/>
        <v>608.0071733333333</v>
      </c>
      <c r="I7675" s="43">
        <f t="shared" si="4577"/>
        <v>58392.826524781281</v>
      </c>
      <c r="J7675" s="112">
        <f t="shared" si="4578"/>
        <v>96.039699999999925</v>
      </c>
      <c r="K7675" s="211">
        <f t="shared" si="4579"/>
        <v>96.039699999999925</v>
      </c>
      <c r="L7675" s="44"/>
      <c r="M7675" s="44">
        <f t="shared" si="4580"/>
        <v>96.039699999999925</v>
      </c>
      <c r="N7675" s="173">
        <f t="shared" si="4581"/>
        <v>1</v>
      </c>
      <c r="O7675" s="44">
        <f t="shared" si="4582"/>
        <v>1048</v>
      </c>
      <c r="P7675" s="44">
        <f t="shared" si="4583"/>
        <v>100649.60559999992</v>
      </c>
      <c r="Q7675" s="44">
        <f t="shared" si="4584"/>
        <v>608.0071733333333</v>
      </c>
      <c r="R7675" s="44">
        <f t="shared" si="4585"/>
        <v>58392.826524781281</v>
      </c>
      <c r="S7675" s="123"/>
      <c r="T7675" s="219">
        <f t="shared" si="4586"/>
        <v>58392.826524781281</v>
      </c>
      <c r="U7675" s="87"/>
      <c r="V7675" s="47"/>
      <c r="W7675" s="48"/>
      <c r="X7675" s="48"/>
      <c r="Y7675" s="48"/>
      <c r="Z7675" s="135"/>
      <c r="AA7675" s="49"/>
      <c r="AB7675" s="50">
        <f t="shared" si="4587"/>
        <v>608.0071733333333</v>
      </c>
      <c r="AC7675" s="42">
        <f t="shared" si="4588"/>
        <v>96.039699999999925</v>
      </c>
      <c r="AD7675" s="90">
        <f>AD7676+AD7686+AD7693</f>
        <v>58392.826524781281</v>
      </c>
      <c r="AE7675" s="188">
        <f t="shared" ref="AE7675" si="5384">AE7676+AE7686+AE7693</f>
        <v>0</v>
      </c>
      <c r="AF7675" s="189">
        <f t="shared" ref="AF7675" si="5385">AF7676+AF7686+AF7693</f>
        <v>0</v>
      </c>
      <c r="AG7675" s="189">
        <f t="shared" ref="AG7675" si="5386">AG7676+AG7686+AG7693</f>
        <v>0</v>
      </c>
      <c r="AH7675" s="189">
        <f t="shared" ref="AH7675" si="5387">AH7676+AH7686+AH7693</f>
        <v>0</v>
      </c>
      <c r="AI7675" s="161">
        <f t="shared" ref="AI7675:AI7695" si="5388">SUM(AE7675:AH7675)</f>
        <v>0</v>
      </c>
      <c r="AK7675" s="169">
        <v>5</v>
      </c>
      <c r="AO7675" s="19" t="s">
        <v>63</v>
      </c>
    </row>
    <row r="7676" spans="1:41" s="103" customFormat="1" ht="19.899999999999999" customHeight="1" x14ac:dyDescent="0.25">
      <c r="A7676" s="51"/>
      <c r="B7676" s="52"/>
      <c r="C7676" s="165"/>
      <c r="D7676" s="52"/>
      <c r="E7676" s="115"/>
      <c r="F7676" s="58"/>
      <c r="G7676" s="58"/>
      <c r="H7676" s="58"/>
      <c r="I7676" s="55"/>
      <c r="J7676" s="113">
        <f>J7675</f>
        <v>96.039699999999925</v>
      </c>
      <c r="K7676" s="212">
        <f>K7675</f>
        <v>96.039699999999925</v>
      </c>
      <c r="L7676" s="58"/>
      <c r="M7676" s="58">
        <f>K7676-L7676</f>
        <v>96.039699999999925</v>
      </c>
      <c r="N7676" s="166"/>
      <c r="O7676" s="58"/>
      <c r="P7676" s="58"/>
      <c r="Q7676" s="58"/>
      <c r="R7676" s="58"/>
      <c r="S7676" s="58"/>
      <c r="T7676" s="220"/>
      <c r="U7676" s="88"/>
      <c r="V7676" s="56"/>
      <c r="W7676" s="57" t="s">
        <v>1078</v>
      </c>
      <c r="X7676" s="53"/>
      <c r="Y7676" s="91" t="s">
        <v>68</v>
      </c>
      <c r="Z7676" s="136">
        <f>AD7676/AC7676</f>
        <v>84.423840000000013</v>
      </c>
      <c r="AA7676" s="58"/>
      <c r="AB7676" s="53">
        <f>AD7676/AC7676</f>
        <v>84.423840000000013</v>
      </c>
      <c r="AC7676" s="53">
        <f>M7676+$AE$10</f>
        <v>96.039699999999925</v>
      </c>
      <c r="AD7676" s="54">
        <f>SUM(AD7677:AD7685)</f>
        <v>8108.0402664479943</v>
      </c>
      <c r="AE7676" s="184">
        <f>SUMIFS($AD$37:$AD$12971,$V$37:$V$12971,$V7676,$X$37:$X$12971,AE$13)</f>
        <v>0</v>
      </c>
      <c r="AF7676" s="185">
        <f>SUMIFS($AD$37:$AD$12971,$V$37:$V$12971,$V7676,$X$37:$X$12971,AF$13)</f>
        <v>0</v>
      </c>
      <c r="AG7676" s="185">
        <f>SUMIFS($AD$37:$AD$12971,$V$37:$V$12971,$V7676,$X$37:$X$12971,AG$13)</f>
        <v>0</v>
      </c>
      <c r="AH7676" s="187">
        <f>SUMIFS($AD$37:$AD$12971,$V$37:$V$12971,$V7676,$X$37:$X$12971,AH$13)</f>
        <v>0</v>
      </c>
      <c r="AI7676" s="161">
        <f t="shared" si="5388"/>
        <v>0</v>
      </c>
      <c r="AK7676" s="172"/>
    </row>
    <row r="7677" spans="1:41" s="102" customFormat="1" ht="19.899999999999999" customHeight="1" x14ac:dyDescent="0.25">
      <c r="A7677" s="45"/>
      <c r="B7677" s="59"/>
      <c r="C7677" s="137"/>
      <c r="D7677" s="59"/>
      <c r="E7677" s="116"/>
      <c r="F7677" s="120"/>
      <c r="G7677" s="120"/>
      <c r="H7677" s="120"/>
      <c r="I7677" s="60"/>
      <c r="J7677" s="116"/>
      <c r="K7677" s="213"/>
      <c r="L7677" s="120"/>
      <c r="M7677" s="120"/>
      <c r="N7677" s="167"/>
      <c r="O7677" s="120"/>
      <c r="P7677" s="120"/>
      <c r="Q7677" s="120"/>
      <c r="R7677" s="120"/>
      <c r="S7677" s="120"/>
      <c r="T7677" s="221"/>
      <c r="U7677" s="89"/>
      <c r="V7677" s="61"/>
      <c r="W7677" s="92" t="s">
        <v>129</v>
      </c>
      <c r="X7677" s="93" t="s">
        <v>29</v>
      </c>
      <c r="Y7677" s="93" t="s">
        <v>93</v>
      </c>
      <c r="Z7677" s="134">
        <f>VLOOKUP(W7677,Sheet2!$B:$D,3,FALSE)</f>
        <v>56</v>
      </c>
      <c r="AA7677" s="93">
        <f>100/(1.7*3)</f>
        <v>19.607843137254903</v>
      </c>
      <c r="AB7677" s="93">
        <f t="shared" ref="AB7677" si="5389">AD7677/AC7676</f>
        <v>2.8560000000000003</v>
      </c>
      <c r="AC7677" s="93">
        <f>AC7676/AA7677</f>
        <v>4.8980246999999961</v>
      </c>
      <c r="AD7677" s="94">
        <f t="shared" ref="AD7677:AD7678" si="5390">AC7677*Z7677</f>
        <v>274.2893831999998</v>
      </c>
      <c r="AE7677" s="190"/>
      <c r="AF7677" s="191"/>
      <c r="AG7677" s="191"/>
      <c r="AH7677" s="191"/>
      <c r="AI7677" s="186"/>
      <c r="AK7677" s="171"/>
    </row>
    <row r="7678" spans="1:41" s="102" customFormat="1" ht="19.899999999999999" customHeight="1" x14ac:dyDescent="0.25">
      <c r="A7678" s="45"/>
      <c r="B7678" s="59"/>
      <c r="C7678" s="137"/>
      <c r="D7678" s="59"/>
      <c r="E7678" s="116"/>
      <c r="F7678" s="120"/>
      <c r="G7678" s="120"/>
      <c r="H7678" s="120"/>
      <c r="I7678" s="60"/>
      <c r="J7678" s="116"/>
      <c r="K7678" s="213"/>
      <c r="L7678" s="120"/>
      <c r="M7678" s="120"/>
      <c r="N7678" s="167"/>
      <c r="O7678" s="120"/>
      <c r="P7678" s="120"/>
      <c r="Q7678" s="120"/>
      <c r="R7678" s="120"/>
      <c r="S7678" s="120"/>
      <c r="T7678" s="221"/>
      <c r="U7678" s="89"/>
      <c r="V7678" s="61"/>
      <c r="W7678" s="92" t="s">
        <v>65</v>
      </c>
      <c r="X7678" s="93" t="s">
        <v>30</v>
      </c>
      <c r="Y7678" s="93" t="s">
        <v>1011</v>
      </c>
      <c r="Z7678" s="134">
        <f>VLOOKUP(W7678,Sheet2!$B:$D,3,FALSE)</f>
        <v>1.76</v>
      </c>
      <c r="AA7678" s="93">
        <f>AA7677/14</f>
        <v>1.400560224089636</v>
      </c>
      <c r="AB7678" s="93">
        <f>AD7678/AC7676</f>
        <v>1.2566399999999998</v>
      </c>
      <c r="AC7678" s="93">
        <f>AC7676/AA7678</f>
        <v>68.572345799999937</v>
      </c>
      <c r="AD7678" s="94">
        <f t="shared" si="5390"/>
        <v>120.68732860799989</v>
      </c>
      <c r="AE7678" s="190"/>
      <c r="AF7678" s="191"/>
      <c r="AG7678" s="191"/>
      <c r="AH7678" s="191"/>
      <c r="AI7678" s="186"/>
      <c r="AK7678" s="171"/>
    </row>
    <row r="7679" spans="1:41" s="102" customFormat="1" ht="19.899999999999999" customHeight="1" x14ac:dyDescent="0.25">
      <c r="A7679" s="45"/>
      <c r="B7679" s="59"/>
      <c r="C7679" s="137"/>
      <c r="D7679" s="59"/>
      <c r="E7679" s="116"/>
      <c r="F7679" s="120"/>
      <c r="G7679" s="120"/>
      <c r="H7679" s="120"/>
      <c r="I7679" s="60"/>
      <c r="J7679" s="116"/>
      <c r="K7679" s="213"/>
      <c r="L7679" s="120"/>
      <c r="M7679" s="120"/>
      <c r="N7679" s="167"/>
      <c r="O7679" s="120"/>
      <c r="P7679" s="120"/>
      <c r="Q7679" s="120"/>
      <c r="R7679" s="120"/>
      <c r="S7679" s="120"/>
      <c r="T7679" s="221"/>
      <c r="U7679" s="89"/>
      <c r="V7679" s="61"/>
      <c r="W7679" s="92" t="s">
        <v>161</v>
      </c>
      <c r="X7679" s="93" t="s">
        <v>29</v>
      </c>
      <c r="Y7679" s="93" t="s">
        <v>93</v>
      </c>
      <c r="Z7679" s="134">
        <f>VLOOKUP(W7679,Sheet2!$B:$D,3,FALSE)</f>
        <v>48</v>
      </c>
      <c r="AA7679" s="93">
        <f>(16*0.85*1.5)/(1.7*3)</f>
        <v>4</v>
      </c>
      <c r="AB7679" s="93">
        <f>AD7679/AC7676</f>
        <v>12</v>
      </c>
      <c r="AC7679" s="93">
        <f>AC7676/AA7679</f>
        <v>24.009924999999981</v>
      </c>
      <c r="AD7679" s="94">
        <f>AC7679*Z7679</f>
        <v>1152.4763999999991</v>
      </c>
      <c r="AE7679" s="190"/>
      <c r="AF7679" s="191"/>
      <c r="AG7679" s="191"/>
      <c r="AH7679" s="191"/>
      <c r="AI7679" s="186"/>
      <c r="AK7679" s="171"/>
    </row>
    <row r="7680" spans="1:41" s="102" customFormat="1" ht="19.899999999999999" customHeight="1" x14ac:dyDescent="0.25">
      <c r="A7680" s="45"/>
      <c r="B7680" s="59"/>
      <c r="C7680" s="137"/>
      <c r="D7680" s="59"/>
      <c r="E7680" s="116"/>
      <c r="F7680" s="120"/>
      <c r="G7680" s="120"/>
      <c r="H7680" s="120"/>
      <c r="I7680" s="60"/>
      <c r="J7680" s="116"/>
      <c r="K7680" s="213"/>
      <c r="L7680" s="120"/>
      <c r="M7680" s="120"/>
      <c r="N7680" s="167"/>
      <c r="O7680" s="120"/>
      <c r="P7680" s="120"/>
      <c r="Q7680" s="120"/>
      <c r="R7680" s="120"/>
      <c r="S7680" s="120"/>
      <c r="T7680" s="221"/>
      <c r="U7680" s="89"/>
      <c r="V7680" s="61"/>
      <c r="W7680" s="92" t="s">
        <v>65</v>
      </c>
      <c r="X7680" s="93" t="s">
        <v>30</v>
      </c>
      <c r="Y7680" s="93" t="s">
        <v>1011</v>
      </c>
      <c r="Z7680" s="134">
        <f>VLOOKUP(W7680,Sheet2!$B:$D,3,FALSE)</f>
        <v>1.76</v>
      </c>
      <c r="AA7680" s="93">
        <f>AA7679/10</f>
        <v>0.4</v>
      </c>
      <c r="AB7680" s="93">
        <f>AD7680/AC7676</f>
        <v>4.3999999999999995</v>
      </c>
      <c r="AC7680" s="93">
        <f>AC7676/AA7680</f>
        <v>240.09924999999981</v>
      </c>
      <c r="AD7680" s="94">
        <f>AC7680*Z7680</f>
        <v>422.57467999999966</v>
      </c>
      <c r="AE7680" s="190"/>
      <c r="AF7680" s="191"/>
      <c r="AG7680" s="191"/>
      <c r="AH7680" s="191"/>
      <c r="AI7680" s="186"/>
      <c r="AK7680" s="171"/>
    </row>
    <row r="7681" spans="1:41" s="102" customFormat="1" ht="19.899999999999999" customHeight="1" x14ac:dyDescent="0.25">
      <c r="A7681" s="45"/>
      <c r="B7681" s="59"/>
      <c r="C7681" s="137"/>
      <c r="D7681" s="59"/>
      <c r="E7681" s="116"/>
      <c r="F7681" s="120"/>
      <c r="G7681" s="120"/>
      <c r="H7681" s="120"/>
      <c r="I7681" s="60"/>
      <c r="J7681" s="116"/>
      <c r="K7681" s="213"/>
      <c r="L7681" s="120"/>
      <c r="M7681" s="120"/>
      <c r="N7681" s="167"/>
      <c r="O7681" s="120"/>
      <c r="P7681" s="120"/>
      <c r="Q7681" s="120"/>
      <c r="R7681" s="120"/>
      <c r="S7681" s="120"/>
      <c r="T7681" s="221"/>
      <c r="U7681" s="89"/>
      <c r="V7681" s="61"/>
      <c r="W7681" s="92" t="s">
        <v>1030</v>
      </c>
      <c r="X7681" s="93" t="s">
        <v>29</v>
      </c>
      <c r="Y7681" s="93" t="s">
        <v>93</v>
      </c>
      <c r="Z7681" s="134">
        <f>VLOOKUP(W7681,Sheet2!$B:$D,3,FALSE)</f>
        <v>23</v>
      </c>
      <c r="AA7681" s="93">
        <v>50</v>
      </c>
      <c r="AB7681" s="93">
        <f>AD7681/AC7676</f>
        <v>0.46</v>
      </c>
      <c r="AC7681" s="93">
        <f>AC7676/AA7681</f>
        <v>1.9207939999999986</v>
      </c>
      <c r="AD7681" s="94">
        <f t="shared" ref="AD7681:AD7685" si="5391">AC7681*Z7681</f>
        <v>44.178261999999968</v>
      </c>
      <c r="AE7681" s="190"/>
      <c r="AF7681" s="191"/>
      <c r="AG7681" s="191"/>
      <c r="AH7681" s="191"/>
      <c r="AI7681" s="186"/>
      <c r="AK7681" s="171"/>
    </row>
    <row r="7682" spans="1:41" s="102" customFormat="1" ht="19.899999999999999" customHeight="1" x14ac:dyDescent="0.25">
      <c r="A7682" s="45"/>
      <c r="B7682" s="59"/>
      <c r="C7682" s="137"/>
      <c r="D7682" s="59"/>
      <c r="E7682" s="116"/>
      <c r="F7682" s="120"/>
      <c r="G7682" s="120"/>
      <c r="H7682" s="120"/>
      <c r="I7682" s="60"/>
      <c r="J7682" s="116"/>
      <c r="K7682" s="213"/>
      <c r="L7682" s="120"/>
      <c r="M7682" s="120"/>
      <c r="N7682" s="167"/>
      <c r="O7682" s="120"/>
      <c r="P7682" s="120"/>
      <c r="Q7682" s="120"/>
      <c r="R7682" s="120"/>
      <c r="S7682" s="120"/>
      <c r="T7682" s="221"/>
      <c r="U7682" s="89"/>
      <c r="V7682" s="61"/>
      <c r="W7682" s="92" t="s">
        <v>65</v>
      </c>
      <c r="X7682" s="93" t="s">
        <v>30</v>
      </c>
      <c r="Y7682" s="93" t="s">
        <v>1011</v>
      </c>
      <c r="Z7682" s="134">
        <f>VLOOKUP(W7682,Sheet2!$B:$D,3,FALSE)</f>
        <v>1.76</v>
      </c>
      <c r="AA7682" s="93">
        <f>AA7681/3</f>
        <v>16.666666666666668</v>
      </c>
      <c r="AB7682" s="93">
        <f>AD7682/AC7676</f>
        <v>0.1056</v>
      </c>
      <c r="AC7682" s="93">
        <f>AC7676/AA7682</f>
        <v>5.7623819999999952</v>
      </c>
      <c r="AD7682" s="94">
        <f t="shared" si="5391"/>
        <v>10.141792319999992</v>
      </c>
      <c r="AE7682" s="190"/>
      <c r="AF7682" s="191"/>
      <c r="AG7682" s="191"/>
      <c r="AH7682" s="191"/>
      <c r="AI7682" s="186"/>
      <c r="AK7682" s="171"/>
    </row>
    <row r="7683" spans="1:41" s="102" customFormat="1" ht="19.899999999999999" customHeight="1" x14ac:dyDescent="0.25">
      <c r="A7683" s="45"/>
      <c r="B7683" s="59"/>
      <c r="C7683" s="137"/>
      <c r="D7683" s="59"/>
      <c r="E7683" s="116"/>
      <c r="F7683" s="120"/>
      <c r="G7683" s="120"/>
      <c r="H7683" s="120"/>
      <c r="I7683" s="60"/>
      <c r="J7683" s="116"/>
      <c r="K7683" s="213"/>
      <c r="L7683" s="120"/>
      <c r="M7683" s="120"/>
      <c r="N7683" s="167"/>
      <c r="O7683" s="120"/>
      <c r="P7683" s="120"/>
      <c r="Q7683" s="120"/>
      <c r="R7683" s="120"/>
      <c r="S7683" s="120"/>
      <c r="T7683" s="221"/>
      <c r="U7683" s="89"/>
      <c r="V7683" s="61"/>
      <c r="W7683" s="92" t="s">
        <v>148</v>
      </c>
      <c r="X7683" s="93" t="s">
        <v>29</v>
      </c>
      <c r="Y7683" s="93" t="s">
        <v>93</v>
      </c>
      <c r="Z7683" s="134">
        <f>VLOOKUP(W7683,Sheet2!$B:$D,3,FALSE)</f>
        <v>48</v>
      </c>
      <c r="AA7683" s="93">
        <f>AA7677</f>
        <v>19.607843137254903</v>
      </c>
      <c r="AB7683" s="93">
        <f>AD7683/AC7676</f>
        <v>2.448</v>
      </c>
      <c r="AC7683" s="93">
        <f>AC7676/AA7683</f>
        <v>4.8980246999999961</v>
      </c>
      <c r="AD7683" s="94">
        <f t="shared" si="5391"/>
        <v>235.1051855999998</v>
      </c>
      <c r="AE7683" s="190"/>
      <c r="AF7683" s="191"/>
      <c r="AG7683" s="191"/>
      <c r="AH7683" s="191"/>
      <c r="AI7683" s="186"/>
      <c r="AK7683" s="171"/>
    </row>
    <row r="7684" spans="1:41" s="102" customFormat="1" ht="19.899999999999999" customHeight="1" x14ac:dyDescent="0.25">
      <c r="A7684" s="45"/>
      <c r="B7684" s="59"/>
      <c r="C7684" s="137"/>
      <c r="D7684" s="59"/>
      <c r="E7684" s="116"/>
      <c r="F7684" s="120"/>
      <c r="G7684" s="120"/>
      <c r="H7684" s="120"/>
      <c r="I7684" s="60"/>
      <c r="J7684" s="116"/>
      <c r="K7684" s="213"/>
      <c r="L7684" s="120"/>
      <c r="M7684" s="120"/>
      <c r="N7684" s="167"/>
      <c r="O7684" s="120"/>
      <c r="P7684" s="120"/>
      <c r="Q7684" s="120"/>
      <c r="R7684" s="120"/>
      <c r="S7684" s="120"/>
      <c r="T7684" s="221"/>
      <c r="U7684" s="89"/>
      <c r="V7684" s="61"/>
      <c r="W7684" s="92" t="s">
        <v>65</v>
      </c>
      <c r="X7684" s="93" t="s">
        <v>30</v>
      </c>
      <c r="Y7684" s="93" t="s">
        <v>1011</v>
      </c>
      <c r="Z7684" s="134">
        <f>VLOOKUP(W7684,Sheet2!$B:$D,3,FALSE)</f>
        <v>1.76</v>
      </c>
      <c r="AA7684" s="93">
        <f>AA7683/10</f>
        <v>1.9607843137254903</v>
      </c>
      <c r="AB7684" s="93">
        <f>AD7684/AC7676</f>
        <v>0.89759999999999984</v>
      </c>
      <c r="AC7684" s="93">
        <f>AC7676/AA7684</f>
        <v>48.980246999999956</v>
      </c>
      <c r="AD7684" s="94">
        <f t="shared" si="5391"/>
        <v>86.205234719999922</v>
      </c>
      <c r="AE7684" s="190"/>
      <c r="AF7684" s="191"/>
      <c r="AG7684" s="191"/>
      <c r="AH7684" s="191"/>
      <c r="AI7684" s="186"/>
      <c r="AK7684" s="171"/>
    </row>
    <row r="7685" spans="1:41" s="102" customFormat="1" ht="19.899999999999999" customHeight="1" x14ac:dyDescent="0.25">
      <c r="A7685" s="45"/>
      <c r="B7685" s="59"/>
      <c r="C7685" s="137"/>
      <c r="D7685" s="59"/>
      <c r="E7685" s="116"/>
      <c r="F7685" s="120"/>
      <c r="G7685" s="120"/>
      <c r="H7685" s="120"/>
      <c r="I7685" s="60"/>
      <c r="J7685" s="116"/>
      <c r="K7685" s="213"/>
      <c r="L7685" s="120"/>
      <c r="M7685" s="120"/>
      <c r="N7685" s="167"/>
      <c r="O7685" s="120"/>
      <c r="P7685" s="120"/>
      <c r="Q7685" s="120"/>
      <c r="R7685" s="120"/>
      <c r="S7685" s="120"/>
      <c r="T7685" s="221"/>
      <c r="U7685" s="89"/>
      <c r="V7685" s="61"/>
      <c r="W7685" s="92" t="s">
        <v>1049</v>
      </c>
      <c r="X7685" s="93" t="s">
        <v>30</v>
      </c>
      <c r="Y7685" s="93" t="s">
        <v>68</v>
      </c>
      <c r="Z7685" s="134">
        <f>VLOOKUP(W7685,Sheet2!$B:$D,3,FALSE)</f>
        <v>60</v>
      </c>
      <c r="AA7685" s="93">
        <v>1</v>
      </c>
      <c r="AB7685" s="93">
        <f>AD7685/AC7676</f>
        <v>60.000000000000007</v>
      </c>
      <c r="AC7685" s="93">
        <f>AC7676/AA7685</f>
        <v>96.039699999999925</v>
      </c>
      <c r="AD7685" s="94">
        <f t="shared" si="5391"/>
        <v>5762.381999999996</v>
      </c>
      <c r="AE7685" s="190"/>
      <c r="AF7685" s="191"/>
      <c r="AG7685" s="191"/>
      <c r="AH7685" s="191"/>
      <c r="AI7685" s="186"/>
      <c r="AK7685" s="171"/>
    </row>
    <row r="7686" spans="1:41" s="103" customFormat="1" ht="19.899999999999999" customHeight="1" x14ac:dyDescent="0.25">
      <c r="A7686" s="51"/>
      <c r="B7686" s="52"/>
      <c r="C7686" s="165"/>
      <c r="D7686" s="52"/>
      <c r="E7686" s="115"/>
      <c r="F7686" s="58"/>
      <c r="G7686" s="58"/>
      <c r="H7686" s="58"/>
      <c r="I7686" s="55"/>
      <c r="J7686" s="113">
        <f>J7675</f>
        <v>96.039699999999925</v>
      </c>
      <c r="K7686" s="212">
        <f>K7675</f>
        <v>96.039699999999925</v>
      </c>
      <c r="L7686" s="58"/>
      <c r="M7686" s="58">
        <f>K7686-L7686</f>
        <v>96.039699999999925</v>
      </c>
      <c r="N7686" s="166"/>
      <c r="O7686" s="58"/>
      <c r="P7686" s="58"/>
      <c r="Q7686" s="58"/>
      <c r="R7686" s="58"/>
      <c r="S7686" s="58"/>
      <c r="T7686" s="220"/>
      <c r="U7686" s="88"/>
      <c r="V7686" s="56"/>
      <c r="W7686" s="57" t="s">
        <v>1036</v>
      </c>
      <c r="X7686" s="53"/>
      <c r="Y7686" s="91" t="s">
        <v>68</v>
      </c>
      <c r="Z7686" s="136">
        <f>AD7686/AC7686</f>
        <v>518.58333333333326</v>
      </c>
      <c r="AA7686" s="58"/>
      <c r="AB7686" s="53">
        <f>AD7686/AC7686</f>
        <v>518.58333333333326</v>
      </c>
      <c r="AC7686" s="53">
        <f>M7686+$AE$10</f>
        <v>96.039699999999925</v>
      </c>
      <c r="AD7686" s="54">
        <f>SUM(AD7687:AD7692)</f>
        <v>49804.587758333291</v>
      </c>
      <c r="AE7686" s="184">
        <f>SUMIFS($AD$37:$AD$12971,$V$37:$V$12971,$V7686,$X$37:$X$12971,AE$13)</f>
        <v>0</v>
      </c>
      <c r="AF7686" s="185">
        <f>SUMIFS($AD$37:$AD$12971,$V$37:$V$12971,$V7686,$X$37:$X$12971,AF$13)</f>
        <v>0</v>
      </c>
      <c r="AG7686" s="185">
        <f>SUMIFS($AD$37:$AD$12971,$V$37:$V$12971,$V7686,$X$37:$X$12971,AG$13)</f>
        <v>0</v>
      </c>
      <c r="AH7686" s="187">
        <f>SUMIFS($AD$37:$AD$12971,$V$37:$V$12971,$V7686,$X$37:$X$12971,AH$13)</f>
        <v>0</v>
      </c>
      <c r="AI7686" s="161">
        <f t="shared" ref="AI7686" si="5392">SUM(AE7686:AH7686)</f>
        <v>0</v>
      </c>
      <c r="AK7686" s="172"/>
    </row>
    <row r="7687" spans="1:41" s="102" customFormat="1" ht="19.899999999999999" customHeight="1" x14ac:dyDescent="0.25">
      <c r="A7687" s="45"/>
      <c r="B7687" s="59"/>
      <c r="C7687" s="137"/>
      <c r="D7687" s="59"/>
      <c r="E7687" s="116"/>
      <c r="F7687" s="120"/>
      <c r="G7687" s="120"/>
      <c r="H7687" s="120"/>
      <c r="I7687" s="60"/>
      <c r="J7687" s="116"/>
      <c r="K7687" s="213"/>
      <c r="L7687" s="120"/>
      <c r="M7687" s="120"/>
      <c r="N7687" s="167"/>
      <c r="O7687" s="120"/>
      <c r="P7687" s="120"/>
      <c r="Q7687" s="120"/>
      <c r="R7687" s="120"/>
      <c r="S7687" s="120"/>
      <c r="T7687" s="221"/>
      <c r="U7687" s="89"/>
      <c r="V7687" s="61"/>
      <c r="W7687" s="92" t="s">
        <v>1059</v>
      </c>
      <c r="X7687" s="93" t="s">
        <v>30</v>
      </c>
      <c r="Y7687" s="93" t="s">
        <v>68</v>
      </c>
      <c r="Z7687" s="134">
        <f>VLOOKUP(W7687,Sheet2!$B:$D,3,FALSE)</f>
        <v>350</v>
      </c>
      <c r="AA7687" s="93">
        <v>1</v>
      </c>
      <c r="AB7687" s="93">
        <f>AD7687/AC7686</f>
        <v>350</v>
      </c>
      <c r="AC7687" s="93">
        <f>AC7686/AA7687</f>
        <v>96.039699999999925</v>
      </c>
      <c r="AD7687" s="94">
        <f t="shared" ref="AD7687" si="5393">AC7687*Z7687</f>
        <v>33613.894999999975</v>
      </c>
      <c r="AE7687" s="190"/>
      <c r="AF7687" s="191"/>
      <c r="AG7687" s="191"/>
      <c r="AH7687" s="191"/>
      <c r="AI7687" s="186"/>
      <c r="AK7687" s="171"/>
    </row>
    <row r="7688" spans="1:41" s="102" customFormat="1" ht="19.899999999999999" customHeight="1" x14ac:dyDescent="0.25">
      <c r="A7688" s="45"/>
      <c r="B7688" s="59"/>
      <c r="C7688" s="137"/>
      <c r="D7688" s="59"/>
      <c r="E7688" s="116"/>
      <c r="F7688" s="120"/>
      <c r="G7688" s="120"/>
      <c r="H7688" s="120"/>
      <c r="I7688" s="60"/>
      <c r="J7688" s="116"/>
      <c r="K7688" s="213"/>
      <c r="L7688" s="120"/>
      <c r="M7688" s="120"/>
      <c r="N7688" s="167"/>
      <c r="O7688" s="120"/>
      <c r="P7688" s="120"/>
      <c r="Q7688" s="120"/>
      <c r="R7688" s="120"/>
      <c r="S7688" s="120"/>
      <c r="T7688" s="221"/>
      <c r="U7688" s="89"/>
      <c r="V7688" s="61"/>
      <c r="W7688" s="92" t="s">
        <v>1066</v>
      </c>
      <c r="X7688" s="93" t="s">
        <v>30</v>
      </c>
      <c r="Y7688" s="93" t="s">
        <v>68</v>
      </c>
      <c r="Z7688" s="134">
        <f>VLOOKUP(W7688,Sheet2!$B:$D,3,FALSE)</f>
        <v>35</v>
      </c>
      <c r="AA7688" s="93">
        <v>1</v>
      </c>
      <c r="AB7688" s="93">
        <f>AD7688/AC7686</f>
        <v>35</v>
      </c>
      <c r="AC7688" s="93">
        <f>AC7686/AA7688</f>
        <v>96.039699999999925</v>
      </c>
      <c r="AD7688" s="94">
        <f>AC7688*Z7688</f>
        <v>3361.3894999999975</v>
      </c>
      <c r="AE7688" s="190"/>
      <c r="AF7688" s="191"/>
      <c r="AG7688" s="191"/>
      <c r="AH7688" s="191"/>
      <c r="AI7688" s="186"/>
      <c r="AK7688" s="171"/>
    </row>
    <row r="7689" spans="1:41" s="102" customFormat="1" ht="19.899999999999999" customHeight="1" x14ac:dyDescent="0.25">
      <c r="A7689" s="45"/>
      <c r="B7689" s="59"/>
      <c r="C7689" s="137"/>
      <c r="D7689" s="59"/>
      <c r="E7689" s="116"/>
      <c r="F7689" s="120"/>
      <c r="G7689" s="120"/>
      <c r="H7689" s="120"/>
      <c r="I7689" s="60"/>
      <c r="J7689" s="116"/>
      <c r="K7689" s="213"/>
      <c r="L7689" s="120"/>
      <c r="M7689" s="120"/>
      <c r="N7689" s="167"/>
      <c r="O7689" s="120"/>
      <c r="P7689" s="120"/>
      <c r="Q7689" s="120"/>
      <c r="R7689" s="120"/>
      <c r="S7689" s="120"/>
      <c r="T7689" s="221"/>
      <c r="U7689" s="89"/>
      <c r="V7689" s="61"/>
      <c r="W7689" s="92" t="s">
        <v>1073</v>
      </c>
      <c r="X7689" s="93" t="s">
        <v>32</v>
      </c>
      <c r="Y7689" s="93" t="s">
        <v>68</v>
      </c>
      <c r="Z7689" s="134">
        <f>VLOOKUP(W7689,Sheet2!$B:$D,3,FALSE)</f>
        <v>65</v>
      </c>
      <c r="AA7689" s="93">
        <v>1</v>
      </c>
      <c r="AB7689" s="93">
        <f>AD7689/AC7686</f>
        <v>65</v>
      </c>
      <c r="AC7689" s="93">
        <f>AC7686/AA7689</f>
        <v>96.039699999999925</v>
      </c>
      <c r="AD7689" s="94">
        <f>AC7689*Z7689</f>
        <v>6242.5804999999955</v>
      </c>
      <c r="AE7689" s="190"/>
      <c r="AF7689" s="191"/>
      <c r="AG7689" s="191"/>
      <c r="AH7689" s="191"/>
      <c r="AI7689" s="186"/>
      <c r="AK7689" s="171"/>
    </row>
    <row r="7690" spans="1:41" s="102" customFormat="1" ht="19.899999999999999" customHeight="1" x14ac:dyDescent="0.25">
      <c r="A7690" s="45"/>
      <c r="B7690" s="59"/>
      <c r="C7690" s="137"/>
      <c r="D7690" s="59"/>
      <c r="E7690" s="116"/>
      <c r="F7690" s="120"/>
      <c r="G7690" s="120"/>
      <c r="H7690" s="120"/>
      <c r="I7690" s="60"/>
      <c r="J7690" s="116"/>
      <c r="K7690" s="213"/>
      <c r="L7690" s="120"/>
      <c r="M7690" s="120"/>
      <c r="N7690" s="167"/>
      <c r="O7690" s="120"/>
      <c r="P7690" s="120"/>
      <c r="Q7690" s="120"/>
      <c r="R7690" s="120"/>
      <c r="S7690" s="120"/>
      <c r="T7690" s="221"/>
      <c r="U7690" s="89"/>
      <c r="V7690" s="61"/>
      <c r="W7690" s="92" t="s">
        <v>1032</v>
      </c>
      <c r="X7690" s="93" t="s">
        <v>30</v>
      </c>
      <c r="Y7690" s="93" t="s">
        <v>66</v>
      </c>
      <c r="Z7690" s="134">
        <f>VLOOKUP(W7690,Sheet2!$B:$D,3,FALSE)</f>
        <v>250</v>
      </c>
      <c r="AA7690" s="93">
        <f>1/(1.7*0.1)</f>
        <v>5.8823529411764701</v>
      </c>
      <c r="AB7690" s="93">
        <f>AD7690/AC7686</f>
        <v>42.500000000000007</v>
      </c>
      <c r="AC7690" s="93">
        <f>AC7686/AA7690</f>
        <v>16.326748999999989</v>
      </c>
      <c r="AD7690" s="94">
        <f>AC7690*Z7690</f>
        <v>4081.6872499999972</v>
      </c>
      <c r="AE7690" s="190"/>
      <c r="AF7690" s="191"/>
      <c r="AG7690" s="191"/>
      <c r="AH7690" s="191"/>
      <c r="AI7690" s="186"/>
      <c r="AK7690" s="171"/>
    </row>
    <row r="7691" spans="1:41" s="102" customFormat="1" ht="19.899999999999999" customHeight="1" x14ac:dyDescent="0.25">
      <c r="A7691" s="45"/>
      <c r="B7691" s="59"/>
      <c r="C7691" s="137"/>
      <c r="D7691" s="59"/>
      <c r="E7691" s="116"/>
      <c r="F7691" s="120"/>
      <c r="G7691" s="120"/>
      <c r="H7691" s="120"/>
      <c r="I7691" s="60"/>
      <c r="J7691" s="116"/>
      <c r="K7691" s="213"/>
      <c r="L7691" s="120"/>
      <c r="M7691" s="120"/>
      <c r="N7691" s="167"/>
      <c r="O7691" s="120"/>
      <c r="P7691" s="120"/>
      <c r="Q7691" s="120"/>
      <c r="R7691" s="120"/>
      <c r="S7691" s="120"/>
      <c r="T7691" s="221"/>
      <c r="U7691" s="89"/>
      <c r="V7691" s="61"/>
      <c r="W7691" s="92" t="s">
        <v>1035</v>
      </c>
      <c r="X7691" s="93" t="s">
        <v>32</v>
      </c>
      <c r="Y7691" s="93" t="s">
        <v>66</v>
      </c>
      <c r="Z7691" s="134">
        <f>VLOOKUP(W7691,Sheet2!$B:$D,3,FALSE)</f>
        <v>150</v>
      </c>
      <c r="AA7691" s="93">
        <f>AA7690</f>
        <v>5.8823529411764701</v>
      </c>
      <c r="AB7691" s="93">
        <f>AD7691/AC7686</f>
        <v>25.5</v>
      </c>
      <c r="AC7691" s="93">
        <f>AC7686/AA7691</f>
        <v>16.326748999999989</v>
      </c>
      <c r="AD7691" s="94">
        <f t="shared" ref="AD7691:AD7692" si="5394">AC7691*Z7691</f>
        <v>2449.0123499999982</v>
      </c>
      <c r="AE7691" s="190"/>
      <c r="AF7691" s="191"/>
      <c r="AG7691" s="191"/>
      <c r="AH7691" s="191"/>
      <c r="AI7691" s="186"/>
      <c r="AK7691" s="171"/>
    </row>
    <row r="7692" spans="1:41" s="102" customFormat="1" ht="19.899999999999999" customHeight="1" x14ac:dyDescent="0.25">
      <c r="A7692" s="45"/>
      <c r="B7692" s="59"/>
      <c r="C7692" s="137"/>
      <c r="D7692" s="59"/>
      <c r="E7692" s="116"/>
      <c r="F7692" s="120"/>
      <c r="G7692" s="120"/>
      <c r="H7692" s="120"/>
      <c r="I7692" s="60"/>
      <c r="J7692" s="116"/>
      <c r="K7692" s="213"/>
      <c r="L7692" s="120"/>
      <c r="M7692" s="120"/>
      <c r="N7692" s="167"/>
      <c r="O7692" s="120"/>
      <c r="P7692" s="120"/>
      <c r="Q7692" s="120"/>
      <c r="R7692" s="120"/>
      <c r="S7692" s="120"/>
      <c r="T7692" s="221"/>
      <c r="U7692" s="89"/>
      <c r="V7692" s="61"/>
      <c r="W7692" s="92" t="s">
        <v>1037</v>
      </c>
      <c r="X7692" s="93" t="s">
        <v>30</v>
      </c>
      <c r="Y7692" s="93" t="s">
        <v>1038</v>
      </c>
      <c r="Z7692" s="134">
        <f>VLOOKUP(W7692,Sheet2!$B:$D,3,FALSE)</f>
        <v>175</v>
      </c>
      <c r="AA7692" s="93">
        <v>300</v>
      </c>
      <c r="AB7692" s="93">
        <f>AD7692/AC7686</f>
        <v>0.58333333333333326</v>
      </c>
      <c r="AC7692" s="93">
        <f>AC7686/AA7692</f>
        <v>0.32013233333333307</v>
      </c>
      <c r="AD7692" s="94">
        <f t="shared" si="5394"/>
        <v>56.023158333333285</v>
      </c>
      <c r="AE7692" s="190"/>
      <c r="AF7692" s="191"/>
      <c r="AG7692" s="191"/>
      <c r="AH7692" s="191"/>
      <c r="AI7692" s="186"/>
      <c r="AK7692" s="171"/>
    </row>
    <row r="7693" spans="1:41" s="103" customFormat="1" ht="19.899999999999999" customHeight="1" x14ac:dyDescent="0.25">
      <c r="A7693" s="51"/>
      <c r="B7693" s="52"/>
      <c r="C7693" s="165"/>
      <c r="D7693" s="52"/>
      <c r="E7693" s="115"/>
      <c r="F7693" s="58"/>
      <c r="G7693" s="58"/>
      <c r="H7693" s="58"/>
      <c r="I7693" s="55"/>
      <c r="J7693" s="113">
        <f>J7675</f>
        <v>96.039699999999925</v>
      </c>
      <c r="K7693" s="212">
        <f>K7675</f>
        <v>96.039699999999925</v>
      </c>
      <c r="L7693" s="58"/>
      <c r="M7693" s="58">
        <f>K7693-L7693</f>
        <v>96.039699999999925</v>
      </c>
      <c r="N7693" s="166"/>
      <c r="O7693" s="58"/>
      <c r="P7693" s="58"/>
      <c r="Q7693" s="58"/>
      <c r="R7693" s="58"/>
      <c r="S7693" s="58"/>
      <c r="T7693" s="220"/>
      <c r="U7693" s="88"/>
      <c r="V7693" s="56"/>
      <c r="W7693" s="57" t="s">
        <v>1040</v>
      </c>
      <c r="X7693" s="53"/>
      <c r="Y7693" s="91" t="s">
        <v>68</v>
      </c>
      <c r="Z7693" s="136">
        <f>AD7693/AC7693</f>
        <v>5</v>
      </c>
      <c r="AA7693" s="58"/>
      <c r="AB7693" s="53">
        <f>AD7693/AC7693</f>
        <v>5</v>
      </c>
      <c r="AC7693" s="53">
        <f>M7693+$AE$10</f>
        <v>96.039699999999925</v>
      </c>
      <c r="AD7693" s="54">
        <f>SUM(AD7694)</f>
        <v>480.19849999999963</v>
      </c>
      <c r="AE7693" s="184">
        <f>SUMIFS($AD$37:$AD$12971,$V$37:$V$12971,$V7693,$X$37:$X$12971,AE$13)</f>
        <v>0</v>
      </c>
      <c r="AF7693" s="185">
        <f>SUMIFS($AD$37:$AD$12971,$V$37:$V$12971,$V7693,$X$37:$X$12971,AF$13)</f>
        <v>0</v>
      </c>
      <c r="AG7693" s="185">
        <f>SUMIFS($AD$37:$AD$12971,$V$37:$V$12971,$V7693,$X$37:$X$12971,AG$13)</f>
        <v>0</v>
      </c>
      <c r="AH7693" s="187">
        <f>SUMIFS($AD$37:$AD$12971,$V$37:$V$12971,$V7693,$X$37:$X$12971,AH$13)</f>
        <v>0</v>
      </c>
      <c r="AI7693" s="161">
        <f t="shared" ref="AI7693" si="5395">SUM(AE7693:AH7693)</f>
        <v>0</v>
      </c>
      <c r="AK7693" s="172"/>
    </row>
    <row r="7694" spans="1:41" s="102" customFormat="1" ht="19.899999999999999" customHeight="1" x14ac:dyDescent="0.25">
      <c r="A7694" s="45"/>
      <c r="B7694" s="59"/>
      <c r="C7694" s="137"/>
      <c r="D7694" s="59"/>
      <c r="E7694" s="116"/>
      <c r="F7694" s="120"/>
      <c r="G7694" s="120"/>
      <c r="H7694" s="120"/>
      <c r="I7694" s="60"/>
      <c r="J7694" s="116"/>
      <c r="K7694" s="213"/>
      <c r="L7694" s="120"/>
      <c r="M7694" s="120"/>
      <c r="N7694" s="167"/>
      <c r="O7694" s="120"/>
      <c r="P7694" s="120"/>
      <c r="Q7694" s="120"/>
      <c r="R7694" s="120"/>
      <c r="S7694" s="120"/>
      <c r="T7694" s="221"/>
      <c r="U7694" s="89"/>
      <c r="V7694" s="61"/>
      <c r="W7694" s="92" t="s">
        <v>1039</v>
      </c>
      <c r="X7694" s="93" t="s">
        <v>32</v>
      </c>
      <c r="Y7694" s="93" t="s">
        <v>68</v>
      </c>
      <c r="Z7694" s="134">
        <f>VLOOKUP(W7694,Sheet2!$B:$D,3,FALSE)</f>
        <v>5</v>
      </c>
      <c r="AA7694" s="93">
        <v>1</v>
      </c>
      <c r="AB7694" s="93">
        <f>AD7694/AC7693</f>
        <v>5</v>
      </c>
      <c r="AC7694" s="93">
        <f>AC7693/AA7694</f>
        <v>96.039699999999925</v>
      </c>
      <c r="AD7694" s="94">
        <f t="shared" ref="AD7694" si="5396">AC7694*Z7694</f>
        <v>480.19849999999963</v>
      </c>
      <c r="AE7694" s="190"/>
      <c r="AF7694" s="191"/>
      <c r="AG7694" s="191"/>
      <c r="AH7694" s="191"/>
      <c r="AI7694" s="186"/>
      <c r="AK7694" s="171"/>
    </row>
    <row r="7695" spans="1:41" ht="20.100000000000001" customHeight="1" x14ac:dyDescent="0.25">
      <c r="A7695" s="277" t="s">
        <v>703</v>
      </c>
      <c r="B7695" s="278"/>
      <c r="C7695" s="64" t="s">
        <v>752</v>
      </c>
      <c r="D7695" s="46" t="s">
        <v>97</v>
      </c>
      <c r="E7695" s="114">
        <v>14.764999999999986</v>
      </c>
      <c r="F7695" s="44">
        <v>1077</v>
      </c>
      <c r="G7695" s="44">
        <f t="shared" si="4575"/>
        <v>15901.904999999986</v>
      </c>
      <c r="H7695" s="44">
        <f t="shared" si="4576"/>
        <v>611.98354666666671</v>
      </c>
      <c r="I7695" s="43">
        <f t="shared" si="4577"/>
        <v>9035.9370665333263</v>
      </c>
      <c r="J7695" s="112">
        <f t="shared" si="4578"/>
        <v>14.764999999999986</v>
      </c>
      <c r="K7695" s="211">
        <f t="shared" si="4579"/>
        <v>14.764999999999986</v>
      </c>
      <c r="L7695" s="44"/>
      <c r="M7695" s="44">
        <f t="shared" si="4580"/>
        <v>14.764999999999986</v>
      </c>
      <c r="N7695" s="173">
        <f t="shared" si="4581"/>
        <v>1</v>
      </c>
      <c r="O7695" s="44">
        <f t="shared" si="4582"/>
        <v>1077</v>
      </c>
      <c r="P7695" s="44">
        <f t="shared" si="4583"/>
        <v>15901.904999999986</v>
      </c>
      <c r="Q7695" s="44">
        <f t="shared" si="4584"/>
        <v>611.98354666666671</v>
      </c>
      <c r="R7695" s="44">
        <f t="shared" si="4585"/>
        <v>9035.9370665333263</v>
      </c>
      <c r="S7695" s="123"/>
      <c r="T7695" s="219">
        <f t="shared" si="4586"/>
        <v>9035.9370665333263</v>
      </c>
      <c r="U7695" s="87"/>
      <c r="V7695" s="47"/>
      <c r="W7695" s="48"/>
      <c r="X7695" s="48"/>
      <c r="Y7695" s="48"/>
      <c r="Z7695" s="135"/>
      <c r="AA7695" s="49"/>
      <c r="AB7695" s="50">
        <f t="shared" si="4587"/>
        <v>611.98354666666671</v>
      </c>
      <c r="AC7695" s="42">
        <f t="shared" si="4588"/>
        <v>14.764999999999986</v>
      </c>
      <c r="AD7695" s="90">
        <f>AD7696+AD7706+AD7713</f>
        <v>9035.9370665333263</v>
      </c>
      <c r="AE7695" s="188">
        <f t="shared" ref="AE7695:AH7695" si="5397">AE7696+AE7706+AE7713</f>
        <v>0</v>
      </c>
      <c r="AF7695" s="189">
        <f t="shared" si="5397"/>
        <v>0</v>
      </c>
      <c r="AG7695" s="189">
        <f t="shared" si="5397"/>
        <v>0</v>
      </c>
      <c r="AH7695" s="189">
        <f t="shared" si="5397"/>
        <v>0</v>
      </c>
      <c r="AI7695" s="161">
        <f t="shared" si="5388"/>
        <v>0</v>
      </c>
      <c r="AK7695" s="169">
        <v>5</v>
      </c>
      <c r="AO7695" s="19" t="s">
        <v>63</v>
      </c>
    </row>
    <row r="7696" spans="1:41" s="103" customFormat="1" ht="19.899999999999999" customHeight="1" x14ac:dyDescent="0.25">
      <c r="A7696" s="51"/>
      <c r="B7696" s="52"/>
      <c r="C7696" s="165"/>
      <c r="D7696" s="52"/>
      <c r="E7696" s="115"/>
      <c r="F7696" s="58"/>
      <c r="G7696" s="58"/>
      <c r="H7696" s="58"/>
      <c r="I7696" s="55"/>
      <c r="J7696" s="113">
        <f>J7695</f>
        <v>14.764999999999986</v>
      </c>
      <c r="K7696" s="212">
        <f>K7695</f>
        <v>14.764999999999986</v>
      </c>
      <c r="L7696" s="58"/>
      <c r="M7696" s="58">
        <f>K7696-L7696</f>
        <v>14.764999999999986</v>
      </c>
      <c r="N7696" s="166"/>
      <c r="O7696" s="58"/>
      <c r="P7696" s="58"/>
      <c r="Q7696" s="58"/>
      <c r="R7696" s="58"/>
      <c r="S7696" s="58"/>
      <c r="T7696" s="220"/>
      <c r="U7696" s="88"/>
      <c r="V7696" s="56"/>
      <c r="W7696" s="57" t="s">
        <v>1077</v>
      </c>
      <c r="X7696" s="53"/>
      <c r="Y7696" s="91" t="s">
        <v>68</v>
      </c>
      <c r="Z7696" s="136">
        <f>AD7696/AC7696</f>
        <v>88.40021333333334</v>
      </c>
      <c r="AA7696" s="58"/>
      <c r="AB7696" s="53">
        <f>AD7696/AC7696</f>
        <v>88.40021333333334</v>
      </c>
      <c r="AC7696" s="53">
        <f>M7696+$AE$10</f>
        <v>14.764999999999986</v>
      </c>
      <c r="AD7696" s="54">
        <f>SUM(AD7697:AD7705)</f>
        <v>1305.2291498666655</v>
      </c>
      <c r="AE7696" s="184">
        <f>SUMIFS($AD$37:$AD$12971,$V$37:$V$12971,$V7696,$X$37:$X$12971,AE$13)</f>
        <v>0</v>
      </c>
      <c r="AF7696" s="185">
        <f>SUMIFS($AD$37:$AD$12971,$V$37:$V$12971,$V7696,$X$37:$X$12971,AF$13)</f>
        <v>0</v>
      </c>
      <c r="AG7696" s="185">
        <f>SUMIFS($AD$37:$AD$12971,$V$37:$V$12971,$V7696,$X$37:$X$12971,AG$13)</f>
        <v>0</v>
      </c>
      <c r="AH7696" s="187">
        <f>SUMIFS($AD$37:$AD$12971,$V$37:$V$12971,$V7696,$X$37:$X$12971,AH$13)</f>
        <v>0</v>
      </c>
      <c r="AI7696" s="161">
        <f t="shared" ref="AI7696" si="5398">SUM(AE7696:AH7696)</f>
        <v>0</v>
      </c>
      <c r="AK7696" s="172"/>
    </row>
    <row r="7697" spans="1:37" s="102" customFormat="1" ht="19.899999999999999" customHeight="1" x14ac:dyDescent="0.25">
      <c r="A7697" s="45"/>
      <c r="B7697" s="59"/>
      <c r="C7697" s="137"/>
      <c r="D7697" s="59"/>
      <c r="E7697" s="116"/>
      <c r="F7697" s="120"/>
      <c r="G7697" s="120"/>
      <c r="H7697" s="120"/>
      <c r="I7697" s="60"/>
      <c r="J7697" s="116"/>
      <c r="K7697" s="213"/>
      <c r="L7697" s="120"/>
      <c r="M7697" s="120"/>
      <c r="N7697" s="167"/>
      <c r="O7697" s="120"/>
      <c r="P7697" s="120"/>
      <c r="Q7697" s="120"/>
      <c r="R7697" s="120"/>
      <c r="S7697" s="120"/>
      <c r="T7697" s="221"/>
      <c r="U7697" s="89"/>
      <c r="V7697" s="61"/>
      <c r="W7697" s="92" t="s">
        <v>129</v>
      </c>
      <c r="X7697" s="93" t="s">
        <v>29</v>
      </c>
      <c r="Y7697" s="93" t="s">
        <v>93</v>
      </c>
      <c r="Z7697" s="134">
        <f>VLOOKUP(W7697,Sheet2!$B:$D,3,FALSE)</f>
        <v>56</v>
      </c>
      <c r="AA7697" s="93">
        <f>100/(1.7*3.5)</f>
        <v>16.806722689075631</v>
      </c>
      <c r="AB7697" s="93">
        <f t="shared" ref="AB7697" si="5399">AD7697/AC7696</f>
        <v>3.3319999999999999</v>
      </c>
      <c r="AC7697" s="93">
        <f>AC7696/AA7697</f>
        <v>0.87851749999999917</v>
      </c>
      <c r="AD7697" s="94">
        <f t="shared" ref="AD7697:AD7698" si="5400">AC7697*Z7697</f>
        <v>49.196979999999954</v>
      </c>
      <c r="AE7697" s="190"/>
      <c r="AF7697" s="191"/>
      <c r="AG7697" s="191"/>
      <c r="AH7697" s="191"/>
      <c r="AI7697" s="186"/>
      <c r="AK7697" s="171"/>
    </row>
    <row r="7698" spans="1:37" s="102" customFormat="1" ht="19.899999999999999" customHeight="1" x14ac:dyDescent="0.25">
      <c r="A7698" s="45"/>
      <c r="B7698" s="59"/>
      <c r="C7698" s="137"/>
      <c r="D7698" s="59"/>
      <c r="E7698" s="116"/>
      <c r="F7698" s="120"/>
      <c r="G7698" s="120"/>
      <c r="H7698" s="120"/>
      <c r="I7698" s="60"/>
      <c r="J7698" s="116"/>
      <c r="K7698" s="213"/>
      <c r="L7698" s="120"/>
      <c r="M7698" s="120"/>
      <c r="N7698" s="167"/>
      <c r="O7698" s="120"/>
      <c r="P7698" s="120"/>
      <c r="Q7698" s="120"/>
      <c r="R7698" s="120"/>
      <c r="S7698" s="120"/>
      <c r="T7698" s="221"/>
      <c r="U7698" s="89"/>
      <c r="V7698" s="61"/>
      <c r="W7698" s="92" t="s">
        <v>65</v>
      </c>
      <c r="X7698" s="93" t="s">
        <v>30</v>
      </c>
      <c r="Y7698" s="93" t="s">
        <v>1011</v>
      </c>
      <c r="Z7698" s="134">
        <f>VLOOKUP(W7698,Sheet2!$B:$D,3,FALSE)</f>
        <v>1.76</v>
      </c>
      <c r="AA7698" s="93">
        <f>AA7697/14</f>
        <v>1.2004801920768309</v>
      </c>
      <c r="AB7698" s="93">
        <f>AD7698/AC7696</f>
        <v>1.4660799999999996</v>
      </c>
      <c r="AC7698" s="93">
        <f>AC7696/AA7698</f>
        <v>12.299244999999987</v>
      </c>
      <c r="AD7698" s="94">
        <f t="shared" si="5400"/>
        <v>21.646671199999975</v>
      </c>
      <c r="AE7698" s="190"/>
      <c r="AF7698" s="191"/>
      <c r="AG7698" s="191"/>
      <c r="AH7698" s="191"/>
      <c r="AI7698" s="186"/>
      <c r="AK7698" s="171"/>
    </row>
    <row r="7699" spans="1:37" s="102" customFormat="1" ht="19.899999999999999" customHeight="1" x14ac:dyDescent="0.25">
      <c r="A7699" s="45"/>
      <c r="B7699" s="59"/>
      <c r="C7699" s="137"/>
      <c r="D7699" s="59"/>
      <c r="E7699" s="116"/>
      <c r="F7699" s="120"/>
      <c r="G7699" s="120"/>
      <c r="H7699" s="120"/>
      <c r="I7699" s="60"/>
      <c r="J7699" s="116"/>
      <c r="K7699" s="213"/>
      <c r="L7699" s="120"/>
      <c r="M7699" s="120"/>
      <c r="N7699" s="167"/>
      <c r="O7699" s="120"/>
      <c r="P7699" s="120"/>
      <c r="Q7699" s="120"/>
      <c r="R7699" s="120"/>
      <c r="S7699" s="120"/>
      <c r="T7699" s="221"/>
      <c r="U7699" s="89"/>
      <c r="V7699" s="61"/>
      <c r="W7699" s="92" t="s">
        <v>161</v>
      </c>
      <c r="X7699" s="93" t="s">
        <v>29</v>
      </c>
      <c r="Y7699" s="93" t="s">
        <v>93</v>
      </c>
      <c r="Z7699" s="134">
        <f>VLOOKUP(W7699,Sheet2!$B:$D,3,FALSE)</f>
        <v>48</v>
      </c>
      <c r="AA7699" s="93">
        <f>(16*0.85*1.5)/(1.7*3.5)</f>
        <v>3.4285714285714284</v>
      </c>
      <c r="AB7699" s="93">
        <f>AD7699/AC7696</f>
        <v>14.000000000000002</v>
      </c>
      <c r="AC7699" s="93">
        <f>AC7696/AA7699</f>
        <v>4.3064583333333299</v>
      </c>
      <c r="AD7699" s="94">
        <f>AC7699*Z7699</f>
        <v>206.70999999999984</v>
      </c>
      <c r="AE7699" s="190"/>
      <c r="AF7699" s="191"/>
      <c r="AG7699" s="191"/>
      <c r="AH7699" s="191"/>
      <c r="AI7699" s="186"/>
      <c r="AK7699" s="171"/>
    </row>
    <row r="7700" spans="1:37" s="102" customFormat="1" ht="19.899999999999999" customHeight="1" x14ac:dyDescent="0.25">
      <c r="A7700" s="45"/>
      <c r="B7700" s="59"/>
      <c r="C7700" s="137"/>
      <c r="D7700" s="59"/>
      <c r="E7700" s="116"/>
      <c r="F7700" s="120"/>
      <c r="G7700" s="120"/>
      <c r="H7700" s="120"/>
      <c r="I7700" s="60"/>
      <c r="J7700" s="116"/>
      <c r="K7700" s="213"/>
      <c r="L7700" s="120"/>
      <c r="M7700" s="120"/>
      <c r="N7700" s="167"/>
      <c r="O7700" s="120"/>
      <c r="P7700" s="120"/>
      <c r="Q7700" s="120"/>
      <c r="R7700" s="120"/>
      <c r="S7700" s="120"/>
      <c r="T7700" s="221"/>
      <c r="U7700" s="89"/>
      <c r="V7700" s="61"/>
      <c r="W7700" s="92" t="s">
        <v>65</v>
      </c>
      <c r="X7700" s="93" t="s">
        <v>30</v>
      </c>
      <c r="Y7700" s="93" t="s">
        <v>1011</v>
      </c>
      <c r="Z7700" s="134">
        <f>VLOOKUP(W7700,Sheet2!$B:$D,3,FALSE)</f>
        <v>1.76</v>
      </c>
      <c r="AA7700" s="93">
        <f>AA7699/10</f>
        <v>0.34285714285714286</v>
      </c>
      <c r="AB7700" s="93">
        <f>AD7700/AC7696</f>
        <v>5.1333333333333329</v>
      </c>
      <c r="AC7700" s="93">
        <f>AC7696/AA7700</f>
        <v>43.064583333333296</v>
      </c>
      <c r="AD7700" s="94">
        <f>AC7700*Z7700</f>
        <v>75.793666666666596</v>
      </c>
      <c r="AE7700" s="190"/>
      <c r="AF7700" s="191"/>
      <c r="AG7700" s="191"/>
      <c r="AH7700" s="191"/>
      <c r="AI7700" s="186"/>
      <c r="AK7700" s="171"/>
    </row>
    <row r="7701" spans="1:37" s="102" customFormat="1" ht="19.899999999999999" customHeight="1" x14ac:dyDescent="0.25">
      <c r="A7701" s="45"/>
      <c r="B7701" s="59"/>
      <c r="C7701" s="137"/>
      <c r="D7701" s="59"/>
      <c r="E7701" s="116"/>
      <c r="F7701" s="120"/>
      <c r="G7701" s="120"/>
      <c r="H7701" s="120"/>
      <c r="I7701" s="60"/>
      <c r="J7701" s="116"/>
      <c r="K7701" s="213"/>
      <c r="L7701" s="120"/>
      <c r="M7701" s="120"/>
      <c r="N7701" s="167"/>
      <c r="O7701" s="120"/>
      <c r="P7701" s="120"/>
      <c r="Q7701" s="120"/>
      <c r="R7701" s="120"/>
      <c r="S7701" s="120"/>
      <c r="T7701" s="221"/>
      <c r="U7701" s="89"/>
      <c r="V7701" s="61"/>
      <c r="W7701" s="92" t="s">
        <v>1030</v>
      </c>
      <c r="X7701" s="93" t="s">
        <v>29</v>
      </c>
      <c r="Y7701" s="93" t="s">
        <v>93</v>
      </c>
      <c r="Z7701" s="134">
        <f>VLOOKUP(W7701,Sheet2!$B:$D,3,FALSE)</f>
        <v>23</v>
      </c>
      <c r="AA7701" s="93">
        <v>50</v>
      </c>
      <c r="AB7701" s="93">
        <f>AD7701/AC7696</f>
        <v>0.46</v>
      </c>
      <c r="AC7701" s="93">
        <f>AC7696/AA7701</f>
        <v>0.29529999999999973</v>
      </c>
      <c r="AD7701" s="94">
        <f t="shared" ref="AD7701:AD7705" si="5401">AC7701*Z7701</f>
        <v>6.7918999999999938</v>
      </c>
      <c r="AE7701" s="190"/>
      <c r="AF7701" s="191"/>
      <c r="AG7701" s="191"/>
      <c r="AH7701" s="191"/>
      <c r="AI7701" s="186"/>
      <c r="AK7701" s="171"/>
    </row>
    <row r="7702" spans="1:37" s="102" customFormat="1" ht="19.899999999999999" customHeight="1" x14ac:dyDescent="0.25">
      <c r="A7702" s="45"/>
      <c r="B7702" s="59"/>
      <c r="C7702" s="137"/>
      <c r="D7702" s="59"/>
      <c r="E7702" s="116"/>
      <c r="F7702" s="120"/>
      <c r="G7702" s="120"/>
      <c r="H7702" s="120"/>
      <c r="I7702" s="60"/>
      <c r="J7702" s="116"/>
      <c r="K7702" s="213"/>
      <c r="L7702" s="120"/>
      <c r="M7702" s="120"/>
      <c r="N7702" s="167"/>
      <c r="O7702" s="120"/>
      <c r="P7702" s="120"/>
      <c r="Q7702" s="120"/>
      <c r="R7702" s="120"/>
      <c r="S7702" s="120"/>
      <c r="T7702" s="221"/>
      <c r="U7702" s="89"/>
      <c r="V7702" s="61"/>
      <c r="W7702" s="92" t="s">
        <v>65</v>
      </c>
      <c r="X7702" s="93" t="s">
        <v>30</v>
      </c>
      <c r="Y7702" s="93" t="s">
        <v>1011</v>
      </c>
      <c r="Z7702" s="134">
        <f>VLOOKUP(W7702,Sheet2!$B:$D,3,FALSE)</f>
        <v>1.76</v>
      </c>
      <c r="AA7702" s="93">
        <f>AA7701/3</f>
        <v>16.666666666666668</v>
      </c>
      <c r="AB7702" s="93">
        <f>AD7702/AC7696</f>
        <v>0.1056</v>
      </c>
      <c r="AC7702" s="93">
        <f>AC7696/AA7702</f>
        <v>0.88589999999999913</v>
      </c>
      <c r="AD7702" s="94">
        <f t="shared" si="5401"/>
        <v>1.5591839999999986</v>
      </c>
      <c r="AE7702" s="190"/>
      <c r="AF7702" s="191"/>
      <c r="AG7702" s="191"/>
      <c r="AH7702" s="191"/>
      <c r="AI7702" s="186"/>
      <c r="AK7702" s="171"/>
    </row>
    <row r="7703" spans="1:37" s="102" customFormat="1" ht="19.899999999999999" customHeight="1" x14ac:dyDescent="0.25">
      <c r="A7703" s="45"/>
      <c r="B7703" s="59"/>
      <c r="C7703" s="137"/>
      <c r="D7703" s="59"/>
      <c r="E7703" s="116"/>
      <c r="F7703" s="120"/>
      <c r="G7703" s="120"/>
      <c r="H7703" s="120"/>
      <c r="I7703" s="60"/>
      <c r="J7703" s="116"/>
      <c r="K7703" s="213"/>
      <c r="L7703" s="120"/>
      <c r="M7703" s="120"/>
      <c r="N7703" s="167"/>
      <c r="O7703" s="120"/>
      <c r="P7703" s="120"/>
      <c r="Q7703" s="120"/>
      <c r="R7703" s="120"/>
      <c r="S7703" s="120"/>
      <c r="T7703" s="221"/>
      <c r="U7703" s="89"/>
      <c r="V7703" s="61"/>
      <c r="W7703" s="92" t="s">
        <v>148</v>
      </c>
      <c r="X7703" s="93" t="s">
        <v>29</v>
      </c>
      <c r="Y7703" s="93" t="s">
        <v>93</v>
      </c>
      <c r="Z7703" s="134">
        <f>VLOOKUP(W7703,Sheet2!$B:$D,3,FALSE)</f>
        <v>48</v>
      </c>
      <c r="AA7703" s="93">
        <f>AA7697</f>
        <v>16.806722689075631</v>
      </c>
      <c r="AB7703" s="93">
        <f>AD7703/AC7696</f>
        <v>2.8559999999999999</v>
      </c>
      <c r="AC7703" s="93">
        <f>AC7696/AA7703</f>
        <v>0.87851749999999917</v>
      </c>
      <c r="AD7703" s="94">
        <f t="shared" si="5401"/>
        <v>42.16883999999996</v>
      </c>
      <c r="AE7703" s="190"/>
      <c r="AF7703" s="191"/>
      <c r="AG7703" s="191"/>
      <c r="AH7703" s="191"/>
      <c r="AI7703" s="186"/>
      <c r="AK7703" s="171"/>
    </row>
    <row r="7704" spans="1:37" s="102" customFormat="1" ht="19.899999999999999" customHeight="1" x14ac:dyDescent="0.25">
      <c r="A7704" s="45"/>
      <c r="B7704" s="59"/>
      <c r="C7704" s="137"/>
      <c r="D7704" s="59"/>
      <c r="E7704" s="116"/>
      <c r="F7704" s="120"/>
      <c r="G7704" s="120"/>
      <c r="H7704" s="120"/>
      <c r="I7704" s="60"/>
      <c r="J7704" s="116"/>
      <c r="K7704" s="213"/>
      <c r="L7704" s="120"/>
      <c r="M7704" s="120"/>
      <c r="N7704" s="167"/>
      <c r="O7704" s="120"/>
      <c r="P7704" s="120"/>
      <c r="Q7704" s="120"/>
      <c r="R7704" s="120"/>
      <c r="S7704" s="120"/>
      <c r="T7704" s="221"/>
      <c r="U7704" s="89"/>
      <c r="V7704" s="61"/>
      <c r="W7704" s="92" t="s">
        <v>65</v>
      </c>
      <c r="X7704" s="93" t="s">
        <v>30</v>
      </c>
      <c r="Y7704" s="93" t="s">
        <v>1011</v>
      </c>
      <c r="Z7704" s="134">
        <f>VLOOKUP(W7704,Sheet2!$B:$D,3,FALSE)</f>
        <v>1.76</v>
      </c>
      <c r="AA7704" s="93">
        <f>AA7703/10</f>
        <v>1.680672268907563</v>
      </c>
      <c r="AB7704" s="93">
        <f>AD7704/AC7696</f>
        <v>1.0471999999999999</v>
      </c>
      <c r="AC7704" s="93">
        <f>AC7696/AA7704</f>
        <v>8.7851749999999917</v>
      </c>
      <c r="AD7704" s="94">
        <f t="shared" si="5401"/>
        <v>15.461907999999985</v>
      </c>
      <c r="AE7704" s="190"/>
      <c r="AF7704" s="191"/>
      <c r="AG7704" s="191"/>
      <c r="AH7704" s="191"/>
      <c r="AI7704" s="186"/>
      <c r="AK7704" s="171"/>
    </row>
    <row r="7705" spans="1:37" s="102" customFormat="1" ht="19.899999999999999" customHeight="1" x14ac:dyDescent="0.25">
      <c r="A7705" s="45"/>
      <c r="B7705" s="59"/>
      <c r="C7705" s="137"/>
      <c r="D7705" s="59"/>
      <c r="E7705" s="116"/>
      <c r="F7705" s="120"/>
      <c r="G7705" s="120"/>
      <c r="H7705" s="120"/>
      <c r="I7705" s="60"/>
      <c r="J7705" s="116"/>
      <c r="K7705" s="213"/>
      <c r="L7705" s="120"/>
      <c r="M7705" s="120"/>
      <c r="N7705" s="167"/>
      <c r="O7705" s="120"/>
      <c r="P7705" s="120"/>
      <c r="Q7705" s="120"/>
      <c r="R7705" s="120"/>
      <c r="S7705" s="120"/>
      <c r="T7705" s="221"/>
      <c r="U7705" s="89"/>
      <c r="V7705" s="61"/>
      <c r="W7705" s="92" t="s">
        <v>1049</v>
      </c>
      <c r="X7705" s="93" t="s">
        <v>30</v>
      </c>
      <c r="Y7705" s="93" t="s">
        <v>68</v>
      </c>
      <c r="Z7705" s="134">
        <f>VLOOKUP(W7705,Sheet2!$B:$D,3,FALSE)</f>
        <v>60</v>
      </c>
      <c r="AA7705" s="93">
        <v>1</v>
      </c>
      <c r="AB7705" s="93">
        <f>AD7705/AC7696</f>
        <v>60</v>
      </c>
      <c r="AC7705" s="93">
        <f>AC7696/AA7705</f>
        <v>14.764999999999986</v>
      </c>
      <c r="AD7705" s="94">
        <f t="shared" si="5401"/>
        <v>885.89999999999918</v>
      </c>
      <c r="AE7705" s="190"/>
      <c r="AF7705" s="191"/>
      <c r="AG7705" s="191"/>
      <c r="AH7705" s="191"/>
      <c r="AI7705" s="186"/>
      <c r="AK7705" s="171"/>
    </row>
    <row r="7706" spans="1:37" s="103" customFormat="1" ht="19.899999999999999" customHeight="1" x14ac:dyDescent="0.25">
      <c r="A7706" s="51"/>
      <c r="B7706" s="52"/>
      <c r="C7706" s="165"/>
      <c r="D7706" s="52"/>
      <c r="E7706" s="115"/>
      <c r="F7706" s="58"/>
      <c r="G7706" s="58"/>
      <c r="H7706" s="58"/>
      <c r="I7706" s="55"/>
      <c r="J7706" s="113">
        <f>J7695</f>
        <v>14.764999999999986</v>
      </c>
      <c r="K7706" s="212">
        <f>K7695</f>
        <v>14.764999999999986</v>
      </c>
      <c r="L7706" s="58"/>
      <c r="M7706" s="58">
        <f>K7706-L7706</f>
        <v>14.764999999999986</v>
      </c>
      <c r="N7706" s="166"/>
      <c r="O7706" s="58"/>
      <c r="P7706" s="58"/>
      <c r="Q7706" s="58"/>
      <c r="R7706" s="58"/>
      <c r="S7706" s="58"/>
      <c r="T7706" s="220"/>
      <c r="U7706" s="88"/>
      <c r="V7706" s="56"/>
      <c r="W7706" s="57" t="s">
        <v>1036</v>
      </c>
      <c r="X7706" s="53"/>
      <c r="Y7706" s="91" t="s">
        <v>68</v>
      </c>
      <c r="Z7706" s="136">
        <f>AD7706/AC7706</f>
        <v>518.58333333333348</v>
      </c>
      <c r="AA7706" s="58"/>
      <c r="AB7706" s="53">
        <f>AD7706/AC7706</f>
        <v>518.58333333333348</v>
      </c>
      <c r="AC7706" s="53">
        <f>M7706+$AE$10</f>
        <v>14.764999999999986</v>
      </c>
      <c r="AD7706" s="54">
        <f>SUM(AD7707:AD7712)</f>
        <v>7656.882916666661</v>
      </c>
      <c r="AE7706" s="184">
        <f>SUMIFS($AD$37:$AD$12971,$V$37:$V$12971,$V7706,$X$37:$X$12971,AE$13)</f>
        <v>0</v>
      </c>
      <c r="AF7706" s="185">
        <f>SUMIFS($AD$37:$AD$12971,$V$37:$V$12971,$V7706,$X$37:$X$12971,AF$13)</f>
        <v>0</v>
      </c>
      <c r="AG7706" s="185">
        <f>SUMIFS($AD$37:$AD$12971,$V$37:$V$12971,$V7706,$X$37:$X$12971,AG$13)</f>
        <v>0</v>
      </c>
      <c r="AH7706" s="187">
        <f>SUMIFS($AD$37:$AD$12971,$V$37:$V$12971,$V7706,$X$37:$X$12971,AH$13)</f>
        <v>0</v>
      </c>
      <c r="AI7706" s="161">
        <f t="shared" ref="AI7706" si="5402">SUM(AE7706:AH7706)</f>
        <v>0</v>
      </c>
      <c r="AK7706" s="172"/>
    </row>
    <row r="7707" spans="1:37" s="102" customFormat="1" ht="19.899999999999999" customHeight="1" x14ac:dyDescent="0.25">
      <c r="A7707" s="45"/>
      <c r="B7707" s="59"/>
      <c r="C7707" s="137"/>
      <c r="D7707" s="59"/>
      <c r="E7707" s="116"/>
      <c r="F7707" s="120"/>
      <c r="G7707" s="120"/>
      <c r="H7707" s="120"/>
      <c r="I7707" s="60"/>
      <c r="J7707" s="116"/>
      <c r="K7707" s="213"/>
      <c r="L7707" s="120"/>
      <c r="M7707" s="120"/>
      <c r="N7707" s="167"/>
      <c r="O7707" s="120"/>
      <c r="P7707" s="120"/>
      <c r="Q7707" s="120"/>
      <c r="R7707" s="120"/>
      <c r="S7707" s="120"/>
      <c r="T7707" s="221"/>
      <c r="U7707" s="89"/>
      <c r="V7707" s="61"/>
      <c r="W7707" s="92" t="s">
        <v>1059</v>
      </c>
      <c r="X7707" s="93" t="s">
        <v>30</v>
      </c>
      <c r="Y7707" s="93" t="s">
        <v>68</v>
      </c>
      <c r="Z7707" s="134">
        <f>VLOOKUP(W7707,Sheet2!$B:$D,3,FALSE)</f>
        <v>350</v>
      </c>
      <c r="AA7707" s="93">
        <v>1</v>
      </c>
      <c r="AB7707" s="93">
        <f>AD7707/AC7706</f>
        <v>350</v>
      </c>
      <c r="AC7707" s="93">
        <f>AC7706/AA7707</f>
        <v>14.764999999999986</v>
      </c>
      <c r="AD7707" s="94">
        <f t="shared" ref="AD7707" si="5403">AC7707*Z7707</f>
        <v>5167.7499999999955</v>
      </c>
      <c r="AE7707" s="190"/>
      <c r="AF7707" s="191"/>
      <c r="AG7707" s="191"/>
      <c r="AH7707" s="191"/>
      <c r="AI7707" s="186"/>
      <c r="AK7707" s="171"/>
    </row>
    <row r="7708" spans="1:37" s="102" customFormat="1" ht="19.899999999999999" customHeight="1" x14ac:dyDescent="0.25">
      <c r="A7708" s="45"/>
      <c r="B7708" s="59"/>
      <c r="C7708" s="137"/>
      <c r="D7708" s="59"/>
      <c r="E7708" s="116"/>
      <c r="F7708" s="120"/>
      <c r="G7708" s="120"/>
      <c r="H7708" s="120"/>
      <c r="I7708" s="60"/>
      <c r="J7708" s="116"/>
      <c r="K7708" s="213"/>
      <c r="L7708" s="120"/>
      <c r="M7708" s="120"/>
      <c r="N7708" s="167"/>
      <c r="O7708" s="120"/>
      <c r="P7708" s="120"/>
      <c r="Q7708" s="120"/>
      <c r="R7708" s="120"/>
      <c r="S7708" s="120"/>
      <c r="T7708" s="221"/>
      <c r="U7708" s="89"/>
      <c r="V7708" s="61"/>
      <c r="W7708" s="92" t="s">
        <v>1066</v>
      </c>
      <c r="X7708" s="93" t="s">
        <v>30</v>
      </c>
      <c r="Y7708" s="93" t="s">
        <v>68</v>
      </c>
      <c r="Z7708" s="134">
        <f>VLOOKUP(W7708,Sheet2!$B:$D,3,FALSE)</f>
        <v>35</v>
      </c>
      <c r="AA7708" s="93">
        <v>1</v>
      </c>
      <c r="AB7708" s="93">
        <f>AD7708/AC7706</f>
        <v>35</v>
      </c>
      <c r="AC7708" s="93">
        <f>AC7706/AA7708</f>
        <v>14.764999999999986</v>
      </c>
      <c r="AD7708" s="94">
        <f>AC7708*Z7708</f>
        <v>516.77499999999952</v>
      </c>
      <c r="AE7708" s="190"/>
      <c r="AF7708" s="191"/>
      <c r="AG7708" s="191"/>
      <c r="AH7708" s="191"/>
      <c r="AI7708" s="186"/>
      <c r="AK7708" s="171"/>
    </row>
    <row r="7709" spans="1:37" s="102" customFormat="1" ht="19.899999999999999" customHeight="1" x14ac:dyDescent="0.25">
      <c r="A7709" s="45"/>
      <c r="B7709" s="59"/>
      <c r="C7709" s="137"/>
      <c r="D7709" s="59"/>
      <c r="E7709" s="116"/>
      <c r="F7709" s="120"/>
      <c r="G7709" s="120"/>
      <c r="H7709" s="120"/>
      <c r="I7709" s="60"/>
      <c r="J7709" s="116"/>
      <c r="K7709" s="213"/>
      <c r="L7709" s="120"/>
      <c r="M7709" s="120"/>
      <c r="N7709" s="167"/>
      <c r="O7709" s="120"/>
      <c r="P7709" s="120"/>
      <c r="Q7709" s="120"/>
      <c r="R7709" s="120"/>
      <c r="S7709" s="120"/>
      <c r="T7709" s="221"/>
      <c r="U7709" s="89"/>
      <c r="V7709" s="61"/>
      <c r="W7709" s="92" t="s">
        <v>1073</v>
      </c>
      <c r="X7709" s="93" t="s">
        <v>32</v>
      </c>
      <c r="Y7709" s="93" t="s">
        <v>68</v>
      </c>
      <c r="Z7709" s="134">
        <f>VLOOKUP(W7709,Sheet2!$B:$D,3,FALSE)</f>
        <v>65</v>
      </c>
      <c r="AA7709" s="93">
        <v>1</v>
      </c>
      <c r="AB7709" s="93">
        <f>AD7709/AC7706</f>
        <v>65</v>
      </c>
      <c r="AC7709" s="93">
        <f>AC7706/AA7709</f>
        <v>14.764999999999986</v>
      </c>
      <c r="AD7709" s="94">
        <f>AC7709*Z7709</f>
        <v>959.72499999999911</v>
      </c>
      <c r="AE7709" s="190"/>
      <c r="AF7709" s="191"/>
      <c r="AG7709" s="191"/>
      <c r="AH7709" s="191"/>
      <c r="AI7709" s="186"/>
      <c r="AK7709" s="171"/>
    </row>
    <row r="7710" spans="1:37" s="102" customFormat="1" ht="19.899999999999999" customHeight="1" x14ac:dyDescent="0.25">
      <c r="A7710" s="45"/>
      <c r="B7710" s="59"/>
      <c r="C7710" s="137"/>
      <c r="D7710" s="59"/>
      <c r="E7710" s="116"/>
      <c r="F7710" s="120"/>
      <c r="G7710" s="120"/>
      <c r="H7710" s="120"/>
      <c r="I7710" s="60"/>
      <c r="J7710" s="116"/>
      <c r="K7710" s="213"/>
      <c r="L7710" s="120"/>
      <c r="M7710" s="120"/>
      <c r="N7710" s="167"/>
      <c r="O7710" s="120"/>
      <c r="P7710" s="120"/>
      <c r="Q7710" s="120"/>
      <c r="R7710" s="120"/>
      <c r="S7710" s="120"/>
      <c r="T7710" s="221"/>
      <c r="U7710" s="89"/>
      <c r="V7710" s="61"/>
      <c r="W7710" s="92" t="s">
        <v>1032</v>
      </c>
      <c r="X7710" s="93" t="s">
        <v>30</v>
      </c>
      <c r="Y7710" s="93" t="s">
        <v>66</v>
      </c>
      <c r="Z7710" s="134">
        <f>VLOOKUP(W7710,Sheet2!$B:$D,3,FALSE)</f>
        <v>250</v>
      </c>
      <c r="AA7710" s="93">
        <f>1/(1.7*0.1)</f>
        <v>5.8823529411764701</v>
      </c>
      <c r="AB7710" s="93">
        <f>AD7710/AC7706</f>
        <v>42.500000000000007</v>
      </c>
      <c r="AC7710" s="93">
        <f>AC7706/AA7710</f>
        <v>2.5100499999999979</v>
      </c>
      <c r="AD7710" s="94">
        <f>AC7710*Z7710</f>
        <v>627.51249999999948</v>
      </c>
      <c r="AE7710" s="190"/>
      <c r="AF7710" s="191"/>
      <c r="AG7710" s="191"/>
      <c r="AH7710" s="191"/>
      <c r="AI7710" s="186"/>
      <c r="AK7710" s="171"/>
    </row>
    <row r="7711" spans="1:37" s="102" customFormat="1" ht="19.899999999999999" customHeight="1" x14ac:dyDescent="0.25">
      <c r="A7711" s="45"/>
      <c r="B7711" s="59"/>
      <c r="C7711" s="137"/>
      <c r="D7711" s="59"/>
      <c r="E7711" s="116"/>
      <c r="F7711" s="120"/>
      <c r="G7711" s="120"/>
      <c r="H7711" s="120"/>
      <c r="I7711" s="60"/>
      <c r="J7711" s="116"/>
      <c r="K7711" s="213"/>
      <c r="L7711" s="120"/>
      <c r="M7711" s="120"/>
      <c r="N7711" s="167"/>
      <c r="O7711" s="120"/>
      <c r="P7711" s="120"/>
      <c r="Q7711" s="120"/>
      <c r="R7711" s="120"/>
      <c r="S7711" s="120"/>
      <c r="T7711" s="221"/>
      <c r="U7711" s="89"/>
      <c r="V7711" s="61"/>
      <c r="W7711" s="92" t="s">
        <v>1035</v>
      </c>
      <c r="X7711" s="93" t="s">
        <v>32</v>
      </c>
      <c r="Y7711" s="93" t="s">
        <v>66</v>
      </c>
      <c r="Z7711" s="134">
        <f>VLOOKUP(W7711,Sheet2!$B:$D,3,FALSE)</f>
        <v>150</v>
      </c>
      <c r="AA7711" s="93">
        <f>AA7710</f>
        <v>5.8823529411764701</v>
      </c>
      <c r="AB7711" s="93">
        <f>AD7711/AC7706</f>
        <v>25.500000000000004</v>
      </c>
      <c r="AC7711" s="93">
        <f>AC7706/AA7711</f>
        <v>2.5100499999999979</v>
      </c>
      <c r="AD7711" s="94">
        <f t="shared" ref="AD7711:AD7712" si="5404">AC7711*Z7711</f>
        <v>376.50749999999971</v>
      </c>
      <c r="AE7711" s="190"/>
      <c r="AF7711" s="191"/>
      <c r="AG7711" s="191"/>
      <c r="AH7711" s="191"/>
      <c r="AI7711" s="186"/>
      <c r="AK7711" s="171"/>
    </row>
    <row r="7712" spans="1:37" s="102" customFormat="1" ht="19.899999999999999" customHeight="1" x14ac:dyDescent="0.25">
      <c r="A7712" s="45"/>
      <c r="B7712" s="59"/>
      <c r="C7712" s="137"/>
      <c r="D7712" s="59"/>
      <c r="E7712" s="116"/>
      <c r="F7712" s="120"/>
      <c r="G7712" s="120"/>
      <c r="H7712" s="120"/>
      <c r="I7712" s="60"/>
      <c r="J7712" s="116"/>
      <c r="K7712" s="213"/>
      <c r="L7712" s="120"/>
      <c r="M7712" s="120"/>
      <c r="N7712" s="167"/>
      <c r="O7712" s="120"/>
      <c r="P7712" s="120"/>
      <c r="Q7712" s="120"/>
      <c r="R7712" s="120"/>
      <c r="S7712" s="120"/>
      <c r="T7712" s="221"/>
      <c r="U7712" s="89"/>
      <c r="V7712" s="61"/>
      <c r="W7712" s="92" t="s">
        <v>1037</v>
      </c>
      <c r="X7712" s="93" t="s">
        <v>30</v>
      </c>
      <c r="Y7712" s="93" t="s">
        <v>1038</v>
      </c>
      <c r="Z7712" s="134">
        <f>VLOOKUP(W7712,Sheet2!$B:$D,3,FALSE)</f>
        <v>175</v>
      </c>
      <c r="AA7712" s="93">
        <v>300</v>
      </c>
      <c r="AB7712" s="93">
        <f>AD7712/AC7706</f>
        <v>0.58333333333333337</v>
      </c>
      <c r="AC7712" s="93">
        <f>AC7706/AA7712</f>
        <v>4.9216666666666624E-2</v>
      </c>
      <c r="AD7712" s="94">
        <f t="shared" si="5404"/>
        <v>8.6129166666666599</v>
      </c>
      <c r="AE7712" s="190"/>
      <c r="AF7712" s="191"/>
      <c r="AG7712" s="191"/>
      <c r="AH7712" s="191"/>
      <c r="AI7712" s="186"/>
      <c r="AK7712" s="171"/>
    </row>
    <row r="7713" spans="1:41" s="103" customFormat="1" ht="19.899999999999999" customHeight="1" x14ac:dyDescent="0.25">
      <c r="A7713" s="51"/>
      <c r="B7713" s="52"/>
      <c r="C7713" s="165"/>
      <c r="D7713" s="52"/>
      <c r="E7713" s="115"/>
      <c r="F7713" s="58"/>
      <c r="G7713" s="58"/>
      <c r="H7713" s="58"/>
      <c r="I7713" s="55"/>
      <c r="J7713" s="113">
        <f>J7695</f>
        <v>14.764999999999986</v>
      </c>
      <c r="K7713" s="212">
        <f>K7695</f>
        <v>14.764999999999986</v>
      </c>
      <c r="L7713" s="58"/>
      <c r="M7713" s="58">
        <f>K7713-L7713</f>
        <v>14.764999999999986</v>
      </c>
      <c r="N7713" s="166"/>
      <c r="O7713" s="58"/>
      <c r="P7713" s="58"/>
      <c r="Q7713" s="58"/>
      <c r="R7713" s="58"/>
      <c r="S7713" s="58"/>
      <c r="T7713" s="220"/>
      <c r="U7713" s="88"/>
      <c r="V7713" s="56"/>
      <c r="W7713" s="57" t="s">
        <v>1040</v>
      </c>
      <c r="X7713" s="53"/>
      <c r="Y7713" s="91" t="s">
        <v>68</v>
      </c>
      <c r="Z7713" s="136">
        <f>AD7713/AC7713</f>
        <v>5</v>
      </c>
      <c r="AA7713" s="58"/>
      <c r="AB7713" s="53">
        <f>AD7713/AC7713</f>
        <v>5</v>
      </c>
      <c r="AC7713" s="53">
        <f>M7713+$AE$10</f>
        <v>14.764999999999986</v>
      </c>
      <c r="AD7713" s="54">
        <f>SUM(AD7714)</f>
        <v>73.824999999999932</v>
      </c>
      <c r="AE7713" s="184">
        <f>SUMIFS($AD$37:$AD$12971,$V$37:$V$12971,$V7713,$X$37:$X$12971,AE$13)</f>
        <v>0</v>
      </c>
      <c r="AF7713" s="185">
        <f>SUMIFS($AD$37:$AD$12971,$V$37:$V$12971,$V7713,$X$37:$X$12971,AF$13)</f>
        <v>0</v>
      </c>
      <c r="AG7713" s="185">
        <f>SUMIFS($AD$37:$AD$12971,$V$37:$V$12971,$V7713,$X$37:$X$12971,AG$13)</f>
        <v>0</v>
      </c>
      <c r="AH7713" s="187">
        <f>SUMIFS($AD$37:$AD$12971,$V$37:$V$12971,$V7713,$X$37:$X$12971,AH$13)</f>
        <v>0</v>
      </c>
      <c r="AI7713" s="161">
        <f t="shared" ref="AI7713" si="5405">SUM(AE7713:AH7713)</f>
        <v>0</v>
      </c>
      <c r="AK7713" s="172"/>
    </row>
    <row r="7714" spans="1:41" s="102" customFormat="1" ht="19.899999999999999" customHeight="1" x14ac:dyDescent="0.25">
      <c r="A7714" s="45"/>
      <c r="B7714" s="59"/>
      <c r="C7714" s="137"/>
      <c r="D7714" s="59"/>
      <c r="E7714" s="116"/>
      <c r="F7714" s="120"/>
      <c r="G7714" s="120"/>
      <c r="H7714" s="120"/>
      <c r="I7714" s="60"/>
      <c r="J7714" s="116"/>
      <c r="K7714" s="213"/>
      <c r="L7714" s="120"/>
      <c r="M7714" s="120"/>
      <c r="N7714" s="167"/>
      <c r="O7714" s="120"/>
      <c r="P7714" s="120"/>
      <c r="Q7714" s="120"/>
      <c r="R7714" s="120"/>
      <c r="S7714" s="120"/>
      <c r="T7714" s="221"/>
      <c r="U7714" s="89"/>
      <c r="V7714" s="61"/>
      <c r="W7714" s="92" t="s">
        <v>1039</v>
      </c>
      <c r="X7714" s="93" t="s">
        <v>32</v>
      </c>
      <c r="Y7714" s="93" t="s">
        <v>68</v>
      </c>
      <c r="Z7714" s="134">
        <f>VLOOKUP(W7714,Sheet2!$B:$D,3,FALSE)</f>
        <v>5</v>
      </c>
      <c r="AA7714" s="93">
        <v>1</v>
      </c>
      <c r="AB7714" s="93">
        <f>AD7714/AC7713</f>
        <v>5</v>
      </c>
      <c r="AC7714" s="93">
        <f>AC7713/AA7714</f>
        <v>14.764999999999986</v>
      </c>
      <c r="AD7714" s="94">
        <f t="shared" ref="AD7714" si="5406">AC7714*Z7714</f>
        <v>73.824999999999932</v>
      </c>
      <c r="AE7714" s="190"/>
      <c r="AF7714" s="191"/>
      <c r="AG7714" s="191"/>
      <c r="AH7714" s="191"/>
      <c r="AI7714" s="186"/>
      <c r="AK7714" s="171"/>
    </row>
    <row r="7715" spans="1:41" ht="20.100000000000001" customHeight="1" x14ac:dyDescent="0.25">
      <c r="A7715" s="277" t="s">
        <v>703</v>
      </c>
      <c r="B7715" s="278"/>
      <c r="C7715" s="64" t="s">
        <v>753</v>
      </c>
      <c r="D7715" s="46" t="s">
        <v>97</v>
      </c>
      <c r="E7715" s="114"/>
      <c r="F7715" s="44">
        <v>0</v>
      </c>
      <c r="G7715" s="44">
        <f t="shared" si="4575"/>
        <v>0</v>
      </c>
      <c r="H7715" s="44">
        <f t="shared" si="4576"/>
        <v>0</v>
      </c>
      <c r="I7715" s="43">
        <f t="shared" si="4577"/>
        <v>0</v>
      </c>
      <c r="J7715" s="112">
        <f t="shared" si="4578"/>
        <v>0</v>
      </c>
      <c r="K7715" s="211">
        <f t="shared" si="4579"/>
        <v>0</v>
      </c>
      <c r="L7715" s="44"/>
      <c r="M7715" s="44">
        <f t="shared" si="4580"/>
        <v>0</v>
      </c>
      <c r="N7715" s="173">
        <f t="shared" si="4581"/>
        <v>0</v>
      </c>
      <c r="O7715" s="44">
        <f t="shared" si="4582"/>
        <v>0</v>
      </c>
      <c r="P7715" s="44">
        <f t="shared" si="4583"/>
        <v>0</v>
      </c>
      <c r="Q7715" s="44">
        <f t="shared" si="4584"/>
        <v>0</v>
      </c>
      <c r="R7715" s="44">
        <f t="shared" si="4585"/>
        <v>0</v>
      </c>
      <c r="S7715" s="123"/>
      <c r="T7715" s="219">
        <f t="shared" si="4586"/>
        <v>0</v>
      </c>
      <c r="U7715" s="87"/>
      <c r="V7715" s="47"/>
      <c r="W7715" s="48"/>
      <c r="X7715" s="48"/>
      <c r="Y7715" s="48"/>
      <c r="Z7715" s="135"/>
      <c r="AA7715" s="49"/>
      <c r="AB7715" s="50">
        <f t="shared" si="4587"/>
        <v>0</v>
      </c>
      <c r="AC7715" s="42">
        <f t="shared" si="4588"/>
        <v>9.9999999999999998E-20</v>
      </c>
      <c r="AD7715" s="90"/>
      <c r="AE7715" s="188"/>
      <c r="AF7715" s="189"/>
      <c r="AG7715" s="189"/>
      <c r="AH7715" s="189"/>
      <c r="AI7715" s="161"/>
    </row>
    <row r="7716" spans="1:41" ht="20.100000000000001" customHeight="1" x14ac:dyDescent="0.25">
      <c r="A7716" s="277" t="s">
        <v>703</v>
      </c>
      <c r="B7716" s="278"/>
      <c r="C7716" s="64" t="s">
        <v>754</v>
      </c>
      <c r="D7716" s="46" t="s">
        <v>97</v>
      </c>
      <c r="E7716" s="114"/>
      <c r="F7716" s="44">
        <v>0</v>
      </c>
      <c r="G7716" s="44">
        <f t="shared" si="4575"/>
        <v>0</v>
      </c>
      <c r="H7716" s="44">
        <f t="shared" si="4576"/>
        <v>0</v>
      </c>
      <c r="I7716" s="43">
        <f t="shared" si="4577"/>
        <v>0</v>
      </c>
      <c r="J7716" s="112">
        <f t="shared" si="4578"/>
        <v>0</v>
      </c>
      <c r="K7716" s="211">
        <f t="shared" si="4579"/>
        <v>0</v>
      </c>
      <c r="L7716" s="44"/>
      <c r="M7716" s="44">
        <f t="shared" si="4580"/>
        <v>0</v>
      </c>
      <c r="N7716" s="173">
        <f t="shared" si="4581"/>
        <v>0</v>
      </c>
      <c r="O7716" s="44">
        <f t="shared" si="4582"/>
        <v>0</v>
      </c>
      <c r="P7716" s="44">
        <f t="shared" si="4583"/>
        <v>0</v>
      </c>
      <c r="Q7716" s="44">
        <f t="shared" si="4584"/>
        <v>0</v>
      </c>
      <c r="R7716" s="44">
        <f t="shared" si="4585"/>
        <v>0</v>
      </c>
      <c r="S7716" s="123"/>
      <c r="T7716" s="219">
        <f t="shared" si="4586"/>
        <v>0</v>
      </c>
      <c r="U7716" s="87"/>
      <c r="V7716" s="47"/>
      <c r="W7716" s="48"/>
      <c r="X7716" s="48"/>
      <c r="Y7716" s="48"/>
      <c r="Z7716" s="135"/>
      <c r="AA7716" s="49"/>
      <c r="AB7716" s="50">
        <f t="shared" si="4587"/>
        <v>0</v>
      </c>
      <c r="AC7716" s="42">
        <f t="shared" si="4588"/>
        <v>9.9999999999999998E-20</v>
      </c>
      <c r="AD7716" s="90"/>
      <c r="AE7716" s="188"/>
      <c r="AF7716" s="189"/>
      <c r="AG7716" s="189"/>
      <c r="AH7716" s="189"/>
      <c r="AI7716" s="161"/>
    </row>
    <row r="7717" spans="1:41" ht="20.100000000000001" customHeight="1" x14ac:dyDescent="0.25">
      <c r="A7717" s="277" t="s">
        <v>703</v>
      </c>
      <c r="B7717" s="278"/>
      <c r="C7717" s="64" t="s">
        <v>755</v>
      </c>
      <c r="D7717" s="46" t="s">
        <v>97</v>
      </c>
      <c r="E7717" s="114"/>
      <c r="F7717" s="44">
        <v>0</v>
      </c>
      <c r="G7717" s="44">
        <f t="shared" si="4575"/>
        <v>0</v>
      </c>
      <c r="H7717" s="44">
        <f t="shared" si="4576"/>
        <v>0</v>
      </c>
      <c r="I7717" s="43">
        <f t="shared" si="4577"/>
        <v>0</v>
      </c>
      <c r="J7717" s="112">
        <f t="shared" si="4578"/>
        <v>0</v>
      </c>
      <c r="K7717" s="211">
        <f t="shared" si="4579"/>
        <v>0</v>
      </c>
      <c r="L7717" s="44"/>
      <c r="M7717" s="44">
        <f t="shared" si="4580"/>
        <v>0</v>
      </c>
      <c r="N7717" s="173">
        <f t="shared" si="4581"/>
        <v>0</v>
      </c>
      <c r="O7717" s="44">
        <f t="shared" si="4582"/>
        <v>0</v>
      </c>
      <c r="P7717" s="44">
        <f t="shared" si="4583"/>
        <v>0</v>
      </c>
      <c r="Q7717" s="44">
        <f t="shared" si="4584"/>
        <v>0</v>
      </c>
      <c r="R7717" s="44">
        <f t="shared" si="4585"/>
        <v>0</v>
      </c>
      <c r="S7717" s="123"/>
      <c r="T7717" s="219">
        <f t="shared" si="4586"/>
        <v>0</v>
      </c>
      <c r="U7717" s="87"/>
      <c r="V7717" s="47"/>
      <c r="W7717" s="48"/>
      <c r="X7717" s="48"/>
      <c r="Y7717" s="48"/>
      <c r="Z7717" s="135"/>
      <c r="AA7717" s="49"/>
      <c r="AB7717" s="50">
        <f t="shared" si="4587"/>
        <v>0</v>
      </c>
      <c r="AC7717" s="42">
        <f t="shared" si="4588"/>
        <v>9.9999999999999998E-20</v>
      </c>
      <c r="AD7717" s="90"/>
      <c r="AE7717" s="188"/>
      <c r="AF7717" s="189"/>
      <c r="AG7717" s="189"/>
      <c r="AH7717" s="189"/>
      <c r="AI7717" s="161"/>
    </row>
    <row r="7718" spans="1:41" ht="20.100000000000001" customHeight="1" x14ac:dyDescent="0.25">
      <c r="A7718" s="277" t="s">
        <v>703</v>
      </c>
      <c r="B7718" s="278"/>
      <c r="C7718" s="64" t="s">
        <v>756</v>
      </c>
      <c r="D7718" s="46" t="s">
        <v>97</v>
      </c>
      <c r="E7718" s="114"/>
      <c r="F7718" s="44">
        <v>0</v>
      </c>
      <c r="G7718" s="44">
        <f t="shared" si="4575"/>
        <v>0</v>
      </c>
      <c r="H7718" s="44">
        <f t="shared" si="4576"/>
        <v>0</v>
      </c>
      <c r="I7718" s="43">
        <f t="shared" si="4577"/>
        <v>0</v>
      </c>
      <c r="J7718" s="112">
        <f t="shared" si="4578"/>
        <v>0</v>
      </c>
      <c r="K7718" s="211">
        <f t="shared" si="4579"/>
        <v>0</v>
      </c>
      <c r="L7718" s="44"/>
      <c r="M7718" s="44">
        <f t="shared" si="4580"/>
        <v>0</v>
      </c>
      <c r="N7718" s="173">
        <f t="shared" si="4581"/>
        <v>0</v>
      </c>
      <c r="O7718" s="44">
        <f t="shared" si="4582"/>
        <v>0</v>
      </c>
      <c r="P7718" s="44">
        <f t="shared" si="4583"/>
        <v>0</v>
      </c>
      <c r="Q7718" s="44">
        <f t="shared" si="4584"/>
        <v>0</v>
      </c>
      <c r="R7718" s="44">
        <f t="shared" si="4585"/>
        <v>0</v>
      </c>
      <c r="S7718" s="123"/>
      <c r="T7718" s="219">
        <f t="shared" si="4586"/>
        <v>0</v>
      </c>
      <c r="U7718" s="87"/>
      <c r="V7718" s="47"/>
      <c r="W7718" s="48"/>
      <c r="X7718" s="48"/>
      <c r="Y7718" s="48"/>
      <c r="Z7718" s="135"/>
      <c r="AA7718" s="49"/>
      <c r="AB7718" s="50">
        <f t="shared" si="4587"/>
        <v>0</v>
      </c>
      <c r="AC7718" s="42">
        <f t="shared" si="4588"/>
        <v>9.9999999999999998E-20</v>
      </c>
      <c r="AD7718" s="90"/>
      <c r="AE7718" s="188"/>
      <c r="AF7718" s="189"/>
      <c r="AG7718" s="189"/>
      <c r="AH7718" s="189"/>
      <c r="AI7718" s="161"/>
    </row>
    <row r="7719" spans="1:41" ht="20.100000000000001" customHeight="1" x14ac:dyDescent="0.25">
      <c r="A7719" s="277" t="s">
        <v>703</v>
      </c>
      <c r="B7719" s="278"/>
      <c r="C7719" s="64" t="s">
        <v>757</v>
      </c>
      <c r="D7719" s="46" t="s">
        <v>97</v>
      </c>
      <c r="E7719" s="114">
        <v>79.021149999999921</v>
      </c>
      <c r="F7719" s="44">
        <v>1177</v>
      </c>
      <c r="G7719" s="44">
        <f t="shared" si="4575"/>
        <v>93007.893549999906</v>
      </c>
      <c r="H7719" s="44">
        <f t="shared" si="4576"/>
        <v>708.41059921568637</v>
      </c>
      <c r="I7719" s="43">
        <f t="shared" si="4577"/>
        <v>55979.420222212582</v>
      </c>
      <c r="J7719" s="112">
        <f t="shared" si="4578"/>
        <v>79.021149999999921</v>
      </c>
      <c r="K7719" s="211">
        <f t="shared" si="4579"/>
        <v>79.021149999999921</v>
      </c>
      <c r="L7719" s="44"/>
      <c r="M7719" s="44">
        <f t="shared" si="4580"/>
        <v>79.021149999999921</v>
      </c>
      <c r="N7719" s="173">
        <f t="shared" si="4581"/>
        <v>1</v>
      </c>
      <c r="O7719" s="44">
        <f t="shared" si="4582"/>
        <v>1177</v>
      </c>
      <c r="P7719" s="44">
        <f t="shared" si="4583"/>
        <v>93007.893549999906</v>
      </c>
      <c r="Q7719" s="44">
        <f t="shared" si="4584"/>
        <v>708.41059921568637</v>
      </c>
      <c r="R7719" s="44">
        <f t="shared" si="4585"/>
        <v>55979.420222212582</v>
      </c>
      <c r="S7719" s="123"/>
      <c r="T7719" s="219">
        <f t="shared" si="4586"/>
        <v>55979.420222212582</v>
      </c>
      <c r="U7719" s="87"/>
      <c r="V7719" s="47"/>
      <c r="W7719" s="48"/>
      <c r="X7719" s="48"/>
      <c r="Y7719" s="48"/>
      <c r="Z7719" s="135"/>
      <c r="AA7719" s="49"/>
      <c r="AB7719" s="50">
        <f t="shared" si="4587"/>
        <v>708.41059921568637</v>
      </c>
      <c r="AC7719" s="42">
        <f t="shared" si="4588"/>
        <v>79.021149999999921</v>
      </c>
      <c r="AD7719" s="90">
        <f>AD7720+AD7730+AD7737</f>
        <v>55979.420222212575</v>
      </c>
      <c r="AE7719" s="188">
        <f t="shared" ref="AE7719" si="5407">AE7720+AE7730+AE7737</f>
        <v>0</v>
      </c>
      <c r="AF7719" s="189">
        <f t="shared" ref="AF7719" si="5408">AF7720+AF7730+AF7737</f>
        <v>0</v>
      </c>
      <c r="AG7719" s="189">
        <f t="shared" ref="AG7719" si="5409">AG7720+AG7730+AG7737</f>
        <v>0</v>
      </c>
      <c r="AH7719" s="189">
        <f t="shared" ref="AH7719" si="5410">AH7720+AH7730+AH7737</f>
        <v>0</v>
      </c>
      <c r="AI7719" s="161">
        <f t="shared" ref="AI7719:AI7720" si="5411">SUM(AE7719:AH7719)</f>
        <v>0</v>
      </c>
      <c r="AK7719" s="169">
        <v>5</v>
      </c>
      <c r="AO7719" s="19" t="s">
        <v>63</v>
      </c>
    </row>
    <row r="7720" spans="1:41" s="103" customFormat="1" ht="19.899999999999999" customHeight="1" x14ac:dyDescent="0.25">
      <c r="A7720" s="51"/>
      <c r="B7720" s="52"/>
      <c r="C7720" s="165"/>
      <c r="D7720" s="52"/>
      <c r="E7720" s="115"/>
      <c r="F7720" s="58"/>
      <c r="G7720" s="58"/>
      <c r="H7720" s="58"/>
      <c r="I7720" s="55"/>
      <c r="J7720" s="113">
        <f>J7719</f>
        <v>79.021149999999921</v>
      </c>
      <c r="K7720" s="212">
        <f>K7719</f>
        <v>79.021149999999921</v>
      </c>
      <c r="L7720" s="58"/>
      <c r="M7720" s="58">
        <f>K7720-L7720</f>
        <v>79.021149999999921</v>
      </c>
      <c r="N7720" s="166"/>
      <c r="O7720" s="58"/>
      <c r="P7720" s="58"/>
      <c r="Q7720" s="58"/>
      <c r="R7720" s="58"/>
      <c r="S7720" s="58"/>
      <c r="T7720" s="220"/>
      <c r="U7720" s="88"/>
      <c r="V7720" s="56"/>
      <c r="W7720" s="57" t="s">
        <v>1076</v>
      </c>
      <c r="X7720" s="53"/>
      <c r="Y7720" s="91" t="s">
        <v>68</v>
      </c>
      <c r="Z7720" s="136">
        <f>AD7720/AC7720</f>
        <v>85.827265882352947</v>
      </c>
      <c r="AA7720" s="58"/>
      <c r="AB7720" s="53">
        <f>AD7720/AC7720</f>
        <v>85.827265882352947</v>
      </c>
      <c r="AC7720" s="53">
        <f>M7720+$AE$10</f>
        <v>79.021149999999921</v>
      </c>
      <c r="AD7720" s="54">
        <f>SUM(AD7721:AD7729)</f>
        <v>6782.1692513792877</v>
      </c>
      <c r="AE7720" s="184">
        <f>SUMIFS($AD$37:$AD$12971,$V$37:$V$12971,$V7720,$X$37:$X$12971,AE$13)</f>
        <v>0</v>
      </c>
      <c r="AF7720" s="185">
        <f>SUMIFS($AD$37:$AD$12971,$V$37:$V$12971,$V7720,$X$37:$X$12971,AF$13)</f>
        <v>0</v>
      </c>
      <c r="AG7720" s="185">
        <f>SUMIFS($AD$37:$AD$12971,$V$37:$V$12971,$V7720,$X$37:$X$12971,AG$13)</f>
        <v>0</v>
      </c>
      <c r="AH7720" s="187">
        <f>SUMIFS($AD$37:$AD$12971,$V$37:$V$12971,$V7720,$X$37:$X$12971,AH$13)</f>
        <v>0</v>
      </c>
      <c r="AI7720" s="161">
        <f t="shared" si="5411"/>
        <v>0</v>
      </c>
      <c r="AK7720" s="172"/>
    </row>
    <row r="7721" spans="1:41" s="102" customFormat="1" ht="19.899999999999999" customHeight="1" x14ac:dyDescent="0.25">
      <c r="A7721" s="45"/>
      <c r="B7721" s="59"/>
      <c r="C7721" s="137"/>
      <c r="D7721" s="59"/>
      <c r="E7721" s="116"/>
      <c r="F7721" s="120"/>
      <c r="G7721" s="120"/>
      <c r="H7721" s="120"/>
      <c r="I7721" s="60"/>
      <c r="J7721" s="116"/>
      <c r="K7721" s="213"/>
      <c r="L7721" s="120"/>
      <c r="M7721" s="120"/>
      <c r="N7721" s="167"/>
      <c r="O7721" s="120"/>
      <c r="P7721" s="120"/>
      <c r="Q7721" s="120"/>
      <c r="R7721" s="120"/>
      <c r="S7721" s="120"/>
      <c r="T7721" s="221"/>
      <c r="U7721" s="89"/>
      <c r="V7721" s="61"/>
      <c r="W7721" s="92" t="s">
        <v>129</v>
      </c>
      <c r="X7721" s="93" t="s">
        <v>29</v>
      </c>
      <c r="Y7721" s="93" t="s">
        <v>93</v>
      </c>
      <c r="Z7721" s="134">
        <f>VLOOKUP(W7721,Sheet2!$B:$D,3,FALSE)</f>
        <v>56</v>
      </c>
      <c r="AA7721" s="93">
        <f>100/(1.8*3)</f>
        <v>18.518518518518519</v>
      </c>
      <c r="AB7721" s="93">
        <f t="shared" ref="AB7721" si="5412">AD7721/AC7720</f>
        <v>3.024</v>
      </c>
      <c r="AC7721" s="93">
        <f>AC7720/AA7721</f>
        <v>4.2671420999999956</v>
      </c>
      <c r="AD7721" s="94">
        <f t="shared" ref="AD7721:AD7722" si="5413">AC7721*Z7721</f>
        <v>238.95995759999977</v>
      </c>
      <c r="AE7721" s="190"/>
      <c r="AF7721" s="191"/>
      <c r="AG7721" s="191"/>
      <c r="AH7721" s="191"/>
      <c r="AI7721" s="186"/>
      <c r="AK7721" s="171"/>
    </row>
    <row r="7722" spans="1:41" s="102" customFormat="1" ht="19.899999999999999" customHeight="1" x14ac:dyDescent="0.25">
      <c r="A7722" s="45"/>
      <c r="B7722" s="59"/>
      <c r="C7722" s="137"/>
      <c r="D7722" s="59"/>
      <c r="E7722" s="116"/>
      <c r="F7722" s="120"/>
      <c r="G7722" s="120"/>
      <c r="H7722" s="120"/>
      <c r="I7722" s="60"/>
      <c r="J7722" s="116"/>
      <c r="K7722" s="213"/>
      <c r="L7722" s="120"/>
      <c r="M7722" s="120"/>
      <c r="N7722" s="167"/>
      <c r="O7722" s="120"/>
      <c r="P7722" s="120"/>
      <c r="Q7722" s="120"/>
      <c r="R7722" s="120"/>
      <c r="S7722" s="120"/>
      <c r="T7722" s="221"/>
      <c r="U7722" s="89"/>
      <c r="V7722" s="61"/>
      <c r="W7722" s="92" t="s">
        <v>65</v>
      </c>
      <c r="X7722" s="93" t="s">
        <v>30</v>
      </c>
      <c r="Y7722" s="93" t="s">
        <v>1011</v>
      </c>
      <c r="Z7722" s="134">
        <f>VLOOKUP(W7722,Sheet2!$B:$D,3,FALSE)</f>
        <v>1.76</v>
      </c>
      <c r="AA7722" s="93">
        <f>AA7721/14</f>
        <v>1.3227513227513228</v>
      </c>
      <c r="AB7722" s="93">
        <f>AD7722/AC7720</f>
        <v>1.33056</v>
      </c>
      <c r="AC7722" s="93">
        <f>AC7720/AA7722</f>
        <v>59.739989399999935</v>
      </c>
      <c r="AD7722" s="94">
        <f t="shared" si="5413"/>
        <v>105.14238134399989</v>
      </c>
      <c r="AE7722" s="190"/>
      <c r="AF7722" s="191"/>
      <c r="AG7722" s="191"/>
      <c r="AH7722" s="191"/>
      <c r="AI7722" s="186"/>
      <c r="AK7722" s="171"/>
    </row>
    <row r="7723" spans="1:41" s="102" customFormat="1" ht="19.899999999999999" customHeight="1" x14ac:dyDescent="0.25">
      <c r="A7723" s="45"/>
      <c r="B7723" s="59"/>
      <c r="C7723" s="137"/>
      <c r="D7723" s="59"/>
      <c r="E7723" s="116"/>
      <c r="F7723" s="120"/>
      <c r="G7723" s="120"/>
      <c r="H7723" s="120"/>
      <c r="I7723" s="60"/>
      <c r="J7723" s="116"/>
      <c r="K7723" s="213"/>
      <c r="L7723" s="120"/>
      <c r="M7723" s="120"/>
      <c r="N7723" s="167"/>
      <c r="O7723" s="120"/>
      <c r="P7723" s="120"/>
      <c r="Q7723" s="120"/>
      <c r="R7723" s="120"/>
      <c r="S7723" s="120"/>
      <c r="T7723" s="221"/>
      <c r="U7723" s="89"/>
      <c r="V7723" s="61"/>
      <c r="W7723" s="92" t="s">
        <v>161</v>
      </c>
      <c r="X7723" s="93" t="s">
        <v>29</v>
      </c>
      <c r="Y7723" s="93" t="s">
        <v>93</v>
      </c>
      <c r="Z7723" s="134">
        <f>VLOOKUP(W7723,Sheet2!$B:$D,3,FALSE)</f>
        <v>48</v>
      </c>
      <c r="AA7723" s="93">
        <f>(16*0.85*1.5)/(1.8*3)</f>
        <v>3.7777777777777772</v>
      </c>
      <c r="AB7723" s="93">
        <f>AD7723/AC7720</f>
        <v>12.705882352941178</v>
      </c>
      <c r="AC7723" s="93">
        <f>AC7720/AA7723</f>
        <v>20.917363235294101</v>
      </c>
      <c r="AD7723" s="94">
        <f>AC7723*Z7723</f>
        <v>1004.0334352941168</v>
      </c>
      <c r="AE7723" s="190"/>
      <c r="AF7723" s="191"/>
      <c r="AG7723" s="191"/>
      <c r="AH7723" s="191"/>
      <c r="AI7723" s="186"/>
      <c r="AK7723" s="171"/>
    </row>
    <row r="7724" spans="1:41" s="102" customFormat="1" ht="19.899999999999999" customHeight="1" x14ac:dyDescent="0.25">
      <c r="A7724" s="45"/>
      <c r="B7724" s="59"/>
      <c r="C7724" s="137"/>
      <c r="D7724" s="59"/>
      <c r="E7724" s="116"/>
      <c r="F7724" s="120"/>
      <c r="G7724" s="120"/>
      <c r="H7724" s="120"/>
      <c r="I7724" s="60"/>
      <c r="J7724" s="116"/>
      <c r="K7724" s="213"/>
      <c r="L7724" s="120"/>
      <c r="M7724" s="120"/>
      <c r="N7724" s="167"/>
      <c r="O7724" s="120"/>
      <c r="P7724" s="120"/>
      <c r="Q7724" s="120"/>
      <c r="R7724" s="120"/>
      <c r="S7724" s="120"/>
      <c r="T7724" s="221"/>
      <c r="U7724" s="89"/>
      <c r="V7724" s="61"/>
      <c r="W7724" s="92" t="s">
        <v>65</v>
      </c>
      <c r="X7724" s="93" t="s">
        <v>30</v>
      </c>
      <c r="Y7724" s="93" t="s">
        <v>1011</v>
      </c>
      <c r="Z7724" s="134">
        <f>VLOOKUP(W7724,Sheet2!$B:$D,3,FALSE)</f>
        <v>1.76</v>
      </c>
      <c r="AA7724" s="93">
        <f>AA7723/10</f>
        <v>0.37777777777777771</v>
      </c>
      <c r="AB7724" s="93">
        <f>AD7724/AC7720</f>
        <v>4.6588235294117659</v>
      </c>
      <c r="AC7724" s="93">
        <f>AC7720/AA7724</f>
        <v>209.17363235294101</v>
      </c>
      <c r="AD7724" s="94">
        <f>AC7724*Z7724</f>
        <v>368.14559294117618</v>
      </c>
      <c r="AE7724" s="190"/>
      <c r="AF7724" s="191"/>
      <c r="AG7724" s="191"/>
      <c r="AH7724" s="191"/>
      <c r="AI7724" s="186"/>
      <c r="AK7724" s="171"/>
    </row>
    <row r="7725" spans="1:41" s="102" customFormat="1" ht="19.899999999999999" customHeight="1" x14ac:dyDescent="0.25">
      <c r="A7725" s="45"/>
      <c r="B7725" s="59"/>
      <c r="C7725" s="137"/>
      <c r="D7725" s="59"/>
      <c r="E7725" s="116"/>
      <c r="F7725" s="120"/>
      <c r="G7725" s="120"/>
      <c r="H7725" s="120"/>
      <c r="I7725" s="60"/>
      <c r="J7725" s="116"/>
      <c r="K7725" s="213"/>
      <c r="L7725" s="120"/>
      <c r="M7725" s="120"/>
      <c r="N7725" s="167"/>
      <c r="O7725" s="120"/>
      <c r="P7725" s="120"/>
      <c r="Q7725" s="120"/>
      <c r="R7725" s="120"/>
      <c r="S7725" s="120"/>
      <c r="T7725" s="221"/>
      <c r="U7725" s="89"/>
      <c r="V7725" s="61"/>
      <c r="W7725" s="92" t="s">
        <v>1030</v>
      </c>
      <c r="X7725" s="93" t="s">
        <v>29</v>
      </c>
      <c r="Y7725" s="93" t="s">
        <v>93</v>
      </c>
      <c r="Z7725" s="134">
        <f>VLOOKUP(W7725,Sheet2!$B:$D,3,FALSE)</f>
        <v>23</v>
      </c>
      <c r="AA7725" s="93">
        <v>50</v>
      </c>
      <c r="AB7725" s="93">
        <f>AD7725/AC7720</f>
        <v>0.45999999999999996</v>
      </c>
      <c r="AC7725" s="93">
        <f>AC7720/AA7725</f>
        <v>1.5804229999999984</v>
      </c>
      <c r="AD7725" s="94">
        <f t="shared" ref="AD7725:AD7729" si="5414">AC7725*Z7725</f>
        <v>36.349728999999961</v>
      </c>
      <c r="AE7725" s="190"/>
      <c r="AF7725" s="191"/>
      <c r="AG7725" s="191"/>
      <c r="AH7725" s="191"/>
      <c r="AI7725" s="186"/>
      <c r="AK7725" s="171"/>
    </row>
    <row r="7726" spans="1:41" s="102" customFormat="1" ht="19.899999999999999" customHeight="1" x14ac:dyDescent="0.25">
      <c r="A7726" s="45"/>
      <c r="B7726" s="59"/>
      <c r="C7726" s="137"/>
      <c r="D7726" s="59"/>
      <c r="E7726" s="116"/>
      <c r="F7726" s="120"/>
      <c r="G7726" s="120"/>
      <c r="H7726" s="120"/>
      <c r="I7726" s="60"/>
      <c r="J7726" s="116"/>
      <c r="K7726" s="213"/>
      <c r="L7726" s="120"/>
      <c r="M7726" s="120"/>
      <c r="N7726" s="167"/>
      <c r="O7726" s="120"/>
      <c r="P7726" s="120"/>
      <c r="Q7726" s="120"/>
      <c r="R7726" s="120"/>
      <c r="S7726" s="120"/>
      <c r="T7726" s="221"/>
      <c r="U7726" s="89"/>
      <c r="V7726" s="61"/>
      <c r="W7726" s="92" t="s">
        <v>65</v>
      </c>
      <c r="X7726" s="93" t="s">
        <v>30</v>
      </c>
      <c r="Y7726" s="93" t="s">
        <v>1011</v>
      </c>
      <c r="Z7726" s="134">
        <f>VLOOKUP(W7726,Sheet2!$B:$D,3,FALSE)</f>
        <v>1.76</v>
      </c>
      <c r="AA7726" s="93">
        <f>AA7725/3</f>
        <v>16.666666666666668</v>
      </c>
      <c r="AB7726" s="93">
        <f>AD7726/AC7720</f>
        <v>0.10559999999999999</v>
      </c>
      <c r="AC7726" s="93">
        <f>AC7720/AA7726</f>
        <v>4.7412689999999946</v>
      </c>
      <c r="AD7726" s="94">
        <f t="shared" si="5414"/>
        <v>8.3446334399999902</v>
      </c>
      <c r="AE7726" s="190"/>
      <c r="AF7726" s="191"/>
      <c r="AG7726" s="191"/>
      <c r="AH7726" s="191"/>
      <c r="AI7726" s="186"/>
      <c r="AK7726" s="171"/>
    </row>
    <row r="7727" spans="1:41" s="102" customFormat="1" ht="19.899999999999999" customHeight="1" x14ac:dyDescent="0.25">
      <c r="A7727" s="45"/>
      <c r="B7727" s="59"/>
      <c r="C7727" s="137"/>
      <c r="D7727" s="59"/>
      <c r="E7727" s="116"/>
      <c r="F7727" s="120"/>
      <c r="G7727" s="120"/>
      <c r="H7727" s="120"/>
      <c r="I7727" s="60"/>
      <c r="J7727" s="116"/>
      <c r="K7727" s="213"/>
      <c r="L7727" s="120"/>
      <c r="M7727" s="120"/>
      <c r="N7727" s="167"/>
      <c r="O7727" s="120"/>
      <c r="P7727" s="120"/>
      <c r="Q7727" s="120"/>
      <c r="R7727" s="120"/>
      <c r="S7727" s="120"/>
      <c r="T7727" s="221"/>
      <c r="U7727" s="89"/>
      <c r="V7727" s="61"/>
      <c r="W7727" s="92" t="s">
        <v>148</v>
      </c>
      <c r="X7727" s="93" t="s">
        <v>29</v>
      </c>
      <c r="Y7727" s="93" t="s">
        <v>93</v>
      </c>
      <c r="Z7727" s="134">
        <f>VLOOKUP(W7727,Sheet2!$B:$D,3,FALSE)</f>
        <v>48</v>
      </c>
      <c r="AA7727" s="93">
        <f>AA7721</f>
        <v>18.518518518518519</v>
      </c>
      <c r="AB7727" s="93">
        <f>AD7727/AC7720</f>
        <v>2.5920000000000001</v>
      </c>
      <c r="AC7727" s="93">
        <f>AC7720/AA7727</f>
        <v>4.2671420999999956</v>
      </c>
      <c r="AD7727" s="94">
        <f t="shared" si="5414"/>
        <v>204.82282079999979</v>
      </c>
      <c r="AE7727" s="190"/>
      <c r="AF7727" s="191"/>
      <c r="AG7727" s="191"/>
      <c r="AH7727" s="191"/>
      <c r="AI7727" s="186"/>
      <c r="AK7727" s="171"/>
    </row>
    <row r="7728" spans="1:41" s="102" customFormat="1" ht="19.899999999999999" customHeight="1" x14ac:dyDescent="0.25">
      <c r="A7728" s="45"/>
      <c r="B7728" s="59"/>
      <c r="C7728" s="137"/>
      <c r="D7728" s="59"/>
      <c r="E7728" s="116"/>
      <c r="F7728" s="120"/>
      <c r="G7728" s="120"/>
      <c r="H7728" s="120"/>
      <c r="I7728" s="60"/>
      <c r="J7728" s="116"/>
      <c r="K7728" s="213"/>
      <c r="L7728" s="120"/>
      <c r="M7728" s="120"/>
      <c r="N7728" s="167"/>
      <c r="O7728" s="120"/>
      <c r="P7728" s="120"/>
      <c r="Q7728" s="120"/>
      <c r="R7728" s="120"/>
      <c r="S7728" s="120"/>
      <c r="T7728" s="221"/>
      <c r="U7728" s="89"/>
      <c r="V7728" s="61"/>
      <c r="W7728" s="92" t="s">
        <v>65</v>
      </c>
      <c r="X7728" s="93" t="s">
        <v>30</v>
      </c>
      <c r="Y7728" s="93" t="s">
        <v>1011</v>
      </c>
      <c r="Z7728" s="134">
        <f>VLOOKUP(W7728,Sheet2!$B:$D,3,FALSE)</f>
        <v>1.76</v>
      </c>
      <c r="AA7728" s="93">
        <f>AA7727/10</f>
        <v>1.8518518518518519</v>
      </c>
      <c r="AB7728" s="93">
        <f>AD7728/AC7720</f>
        <v>0.95040000000000013</v>
      </c>
      <c r="AC7728" s="93">
        <f>AC7720/AA7728</f>
        <v>42.67142099999996</v>
      </c>
      <c r="AD7728" s="94">
        <f t="shared" si="5414"/>
        <v>75.101700959999931</v>
      </c>
      <c r="AE7728" s="190"/>
      <c r="AF7728" s="191"/>
      <c r="AG7728" s="191"/>
      <c r="AH7728" s="191"/>
      <c r="AI7728" s="186"/>
      <c r="AK7728" s="171"/>
    </row>
    <row r="7729" spans="1:41" s="102" customFormat="1" ht="19.899999999999999" customHeight="1" x14ac:dyDescent="0.25">
      <c r="A7729" s="45"/>
      <c r="B7729" s="59"/>
      <c r="C7729" s="137"/>
      <c r="D7729" s="59"/>
      <c r="E7729" s="116"/>
      <c r="F7729" s="120"/>
      <c r="G7729" s="120"/>
      <c r="H7729" s="120"/>
      <c r="I7729" s="60"/>
      <c r="J7729" s="116"/>
      <c r="K7729" s="213"/>
      <c r="L7729" s="120"/>
      <c r="M7729" s="120"/>
      <c r="N7729" s="167"/>
      <c r="O7729" s="120"/>
      <c r="P7729" s="120"/>
      <c r="Q7729" s="120"/>
      <c r="R7729" s="120"/>
      <c r="S7729" s="120"/>
      <c r="T7729" s="221"/>
      <c r="U7729" s="89"/>
      <c r="V7729" s="61"/>
      <c r="W7729" s="92" t="s">
        <v>1049</v>
      </c>
      <c r="X7729" s="93" t="s">
        <v>30</v>
      </c>
      <c r="Y7729" s="93" t="s">
        <v>68</v>
      </c>
      <c r="Z7729" s="134">
        <f>VLOOKUP(W7729,Sheet2!$B:$D,3,FALSE)</f>
        <v>60</v>
      </c>
      <c r="AA7729" s="93">
        <v>1</v>
      </c>
      <c r="AB7729" s="93">
        <f>AD7729/AC7720</f>
        <v>59.999999999999993</v>
      </c>
      <c r="AC7729" s="93">
        <f>AC7720/AA7729</f>
        <v>79.021149999999921</v>
      </c>
      <c r="AD7729" s="94">
        <f t="shared" si="5414"/>
        <v>4741.2689999999948</v>
      </c>
      <c r="AE7729" s="190"/>
      <c r="AF7729" s="191"/>
      <c r="AG7729" s="191"/>
      <c r="AH7729" s="191"/>
      <c r="AI7729" s="186"/>
      <c r="AK7729" s="171"/>
    </row>
    <row r="7730" spans="1:41" s="103" customFormat="1" ht="19.899999999999999" customHeight="1" x14ac:dyDescent="0.25">
      <c r="A7730" s="51"/>
      <c r="B7730" s="52"/>
      <c r="C7730" s="165"/>
      <c r="D7730" s="52"/>
      <c r="E7730" s="115"/>
      <c r="F7730" s="58"/>
      <c r="G7730" s="58"/>
      <c r="H7730" s="58"/>
      <c r="I7730" s="55"/>
      <c r="J7730" s="113">
        <f>J7719</f>
        <v>79.021149999999921</v>
      </c>
      <c r="K7730" s="212">
        <f>K7719</f>
        <v>79.021149999999921</v>
      </c>
      <c r="L7730" s="58"/>
      <c r="M7730" s="58">
        <f>K7730-L7730</f>
        <v>79.021149999999921</v>
      </c>
      <c r="N7730" s="166"/>
      <c r="O7730" s="58"/>
      <c r="P7730" s="58"/>
      <c r="Q7730" s="58"/>
      <c r="R7730" s="58"/>
      <c r="S7730" s="58"/>
      <c r="T7730" s="220"/>
      <c r="U7730" s="88"/>
      <c r="V7730" s="56"/>
      <c r="W7730" s="57" t="s">
        <v>1036</v>
      </c>
      <c r="X7730" s="53"/>
      <c r="Y7730" s="91" t="s">
        <v>68</v>
      </c>
      <c r="Z7730" s="136">
        <f>AD7730/AC7730</f>
        <v>617.58333333333337</v>
      </c>
      <c r="AA7730" s="58"/>
      <c r="AB7730" s="53">
        <f>AD7730/AC7730</f>
        <v>617.58333333333337</v>
      </c>
      <c r="AC7730" s="53">
        <f>M7730+$AE$10</f>
        <v>79.021149999999921</v>
      </c>
      <c r="AD7730" s="54">
        <f>SUM(AD7731:AD7736)</f>
        <v>48802.145220833285</v>
      </c>
      <c r="AE7730" s="184">
        <f>SUMIFS($AD$37:$AD$12971,$V$37:$V$12971,$V7730,$X$37:$X$12971,AE$13)</f>
        <v>0</v>
      </c>
      <c r="AF7730" s="185">
        <f>SUMIFS($AD$37:$AD$12971,$V$37:$V$12971,$V7730,$X$37:$X$12971,AF$13)</f>
        <v>0</v>
      </c>
      <c r="AG7730" s="185">
        <f>SUMIFS($AD$37:$AD$12971,$V$37:$V$12971,$V7730,$X$37:$X$12971,AG$13)</f>
        <v>0</v>
      </c>
      <c r="AH7730" s="187">
        <f>SUMIFS($AD$37:$AD$12971,$V$37:$V$12971,$V7730,$X$37:$X$12971,AH$13)</f>
        <v>0</v>
      </c>
      <c r="AI7730" s="161">
        <f t="shared" ref="AI7730" si="5415">SUM(AE7730:AH7730)</f>
        <v>0</v>
      </c>
      <c r="AK7730" s="172"/>
    </row>
    <row r="7731" spans="1:41" s="102" customFormat="1" ht="19.899999999999999" customHeight="1" x14ac:dyDescent="0.25">
      <c r="A7731" s="45"/>
      <c r="B7731" s="59"/>
      <c r="C7731" s="137"/>
      <c r="D7731" s="59"/>
      <c r="E7731" s="116"/>
      <c r="F7731" s="120"/>
      <c r="G7731" s="120"/>
      <c r="H7731" s="120"/>
      <c r="I7731" s="60"/>
      <c r="J7731" s="116"/>
      <c r="K7731" s="213"/>
      <c r="L7731" s="120"/>
      <c r="M7731" s="120"/>
      <c r="N7731" s="167"/>
      <c r="O7731" s="120"/>
      <c r="P7731" s="120"/>
      <c r="Q7731" s="120"/>
      <c r="R7731" s="120"/>
      <c r="S7731" s="120"/>
      <c r="T7731" s="221"/>
      <c r="U7731" s="89"/>
      <c r="V7731" s="61"/>
      <c r="W7731" s="92" t="s">
        <v>1060</v>
      </c>
      <c r="X7731" s="93" t="s">
        <v>30</v>
      </c>
      <c r="Y7731" s="93" t="s">
        <v>68</v>
      </c>
      <c r="Z7731" s="134">
        <f>VLOOKUP(W7731,Sheet2!$B:$D,3,FALSE)</f>
        <v>430</v>
      </c>
      <c r="AA7731" s="93">
        <v>1</v>
      </c>
      <c r="AB7731" s="93">
        <f>AD7731/AC7730</f>
        <v>429.99999999999994</v>
      </c>
      <c r="AC7731" s="93">
        <f>AC7730/AA7731</f>
        <v>79.021149999999921</v>
      </c>
      <c r="AD7731" s="94">
        <f t="shared" ref="AD7731" si="5416">AC7731*Z7731</f>
        <v>33979.094499999963</v>
      </c>
      <c r="AE7731" s="190"/>
      <c r="AF7731" s="191"/>
      <c r="AG7731" s="191"/>
      <c r="AH7731" s="191"/>
      <c r="AI7731" s="186"/>
      <c r="AK7731" s="171"/>
    </row>
    <row r="7732" spans="1:41" s="102" customFormat="1" ht="19.899999999999999" customHeight="1" x14ac:dyDescent="0.25">
      <c r="A7732" s="45"/>
      <c r="B7732" s="59"/>
      <c r="C7732" s="137"/>
      <c r="D7732" s="59"/>
      <c r="E7732" s="116"/>
      <c r="F7732" s="120"/>
      <c r="G7732" s="120"/>
      <c r="H7732" s="120"/>
      <c r="I7732" s="60"/>
      <c r="J7732" s="116"/>
      <c r="K7732" s="213"/>
      <c r="L7732" s="120"/>
      <c r="M7732" s="120"/>
      <c r="N7732" s="167"/>
      <c r="O7732" s="120"/>
      <c r="P7732" s="120"/>
      <c r="Q7732" s="120"/>
      <c r="R7732" s="120"/>
      <c r="S7732" s="120"/>
      <c r="T7732" s="221"/>
      <c r="U7732" s="89"/>
      <c r="V7732" s="61"/>
      <c r="W7732" s="92" t="s">
        <v>1067</v>
      </c>
      <c r="X7732" s="93" t="s">
        <v>30</v>
      </c>
      <c r="Y7732" s="93" t="s">
        <v>68</v>
      </c>
      <c r="Z7732" s="134">
        <f>VLOOKUP(W7732,Sheet2!$B:$D,3,FALSE)</f>
        <v>43</v>
      </c>
      <c r="AA7732" s="93">
        <v>1</v>
      </c>
      <c r="AB7732" s="93">
        <f>AD7732/AC7730</f>
        <v>43</v>
      </c>
      <c r="AC7732" s="93">
        <f>AC7730/AA7732</f>
        <v>79.021149999999921</v>
      </c>
      <c r="AD7732" s="94">
        <f>AC7732*Z7732</f>
        <v>3397.9094499999965</v>
      </c>
      <c r="AE7732" s="190"/>
      <c r="AF7732" s="191"/>
      <c r="AG7732" s="191"/>
      <c r="AH7732" s="191"/>
      <c r="AI7732" s="186"/>
      <c r="AK7732" s="171"/>
    </row>
    <row r="7733" spans="1:41" s="102" customFormat="1" ht="19.899999999999999" customHeight="1" x14ac:dyDescent="0.25">
      <c r="A7733" s="45"/>
      <c r="B7733" s="59"/>
      <c r="C7733" s="137"/>
      <c r="D7733" s="59"/>
      <c r="E7733" s="116"/>
      <c r="F7733" s="120"/>
      <c r="G7733" s="120"/>
      <c r="H7733" s="120"/>
      <c r="I7733" s="60"/>
      <c r="J7733" s="116"/>
      <c r="K7733" s="213"/>
      <c r="L7733" s="120"/>
      <c r="M7733" s="120"/>
      <c r="N7733" s="167"/>
      <c r="O7733" s="120"/>
      <c r="P7733" s="120"/>
      <c r="Q7733" s="120"/>
      <c r="R7733" s="120"/>
      <c r="S7733" s="120"/>
      <c r="T7733" s="221"/>
      <c r="U7733" s="89"/>
      <c r="V7733" s="61"/>
      <c r="W7733" s="92" t="s">
        <v>1074</v>
      </c>
      <c r="X7733" s="93" t="s">
        <v>32</v>
      </c>
      <c r="Y7733" s="93" t="s">
        <v>68</v>
      </c>
      <c r="Z7733" s="134">
        <f>VLOOKUP(W7733,Sheet2!$B:$D,3,FALSE)</f>
        <v>72</v>
      </c>
      <c r="AA7733" s="93">
        <v>1</v>
      </c>
      <c r="AB7733" s="93">
        <f>AD7733/AC7730</f>
        <v>72</v>
      </c>
      <c r="AC7733" s="93">
        <f>AC7730/AA7733</f>
        <v>79.021149999999921</v>
      </c>
      <c r="AD7733" s="94">
        <f>AC7733*Z7733</f>
        <v>5689.5227999999943</v>
      </c>
      <c r="AE7733" s="190"/>
      <c r="AF7733" s="191"/>
      <c r="AG7733" s="191"/>
      <c r="AH7733" s="191"/>
      <c r="AI7733" s="186"/>
      <c r="AK7733" s="171"/>
    </row>
    <row r="7734" spans="1:41" s="102" customFormat="1" ht="19.899999999999999" customHeight="1" x14ac:dyDescent="0.25">
      <c r="A7734" s="45"/>
      <c r="B7734" s="59"/>
      <c r="C7734" s="137"/>
      <c r="D7734" s="59"/>
      <c r="E7734" s="116"/>
      <c r="F7734" s="120"/>
      <c r="G7734" s="120"/>
      <c r="H7734" s="120"/>
      <c r="I7734" s="60"/>
      <c r="J7734" s="116"/>
      <c r="K7734" s="213"/>
      <c r="L7734" s="120"/>
      <c r="M7734" s="120"/>
      <c r="N7734" s="167"/>
      <c r="O7734" s="120"/>
      <c r="P7734" s="120"/>
      <c r="Q7734" s="120"/>
      <c r="R7734" s="120"/>
      <c r="S7734" s="120"/>
      <c r="T7734" s="221"/>
      <c r="U7734" s="89"/>
      <c r="V7734" s="61"/>
      <c r="W7734" s="92" t="s">
        <v>1032</v>
      </c>
      <c r="X7734" s="93" t="s">
        <v>30</v>
      </c>
      <c r="Y7734" s="93" t="s">
        <v>66</v>
      </c>
      <c r="Z7734" s="134">
        <f>VLOOKUP(W7734,Sheet2!$B:$D,3,FALSE)</f>
        <v>250</v>
      </c>
      <c r="AA7734" s="93">
        <f>1/(1.8*0.1)</f>
        <v>5.5555555555555545</v>
      </c>
      <c r="AB7734" s="93">
        <f>AD7734/AC7730</f>
        <v>45.000000000000007</v>
      </c>
      <c r="AC7734" s="93">
        <f>AC7730/AA7734</f>
        <v>14.223806999999988</v>
      </c>
      <c r="AD7734" s="94">
        <f>AC7734*Z7734</f>
        <v>3555.951749999997</v>
      </c>
      <c r="AE7734" s="190"/>
      <c r="AF7734" s="191"/>
      <c r="AG7734" s="191"/>
      <c r="AH7734" s="191"/>
      <c r="AI7734" s="186"/>
      <c r="AK7734" s="171"/>
    </row>
    <row r="7735" spans="1:41" s="102" customFormat="1" ht="19.899999999999999" customHeight="1" x14ac:dyDescent="0.25">
      <c r="A7735" s="45"/>
      <c r="B7735" s="59"/>
      <c r="C7735" s="137"/>
      <c r="D7735" s="59"/>
      <c r="E7735" s="116"/>
      <c r="F7735" s="120"/>
      <c r="G7735" s="120"/>
      <c r="H7735" s="120"/>
      <c r="I7735" s="60"/>
      <c r="J7735" s="116"/>
      <c r="K7735" s="213"/>
      <c r="L7735" s="120"/>
      <c r="M7735" s="120"/>
      <c r="N7735" s="167"/>
      <c r="O7735" s="120"/>
      <c r="P7735" s="120"/>
      <c r="Q7735" s="120"/>
      <c r="R7735" s="120"/>
      <c r="S7735" s="120"/>
      <c r="T7735" s="221"/>
      <c r="U7735" s="89"/>
      <c r="V7735" s="61"/>
      <c r="W7735" s="92" t="s">
        <v>1035</v>
      </c>
      <c r="X7735" s="93" t="s">
        <v>32</v>
      </c>
      <c r="Y7735" s="93" t="s">
        <v>66</v>
      </c>
      <c r="Z7735" s="134">
        <f>VLOOKUP(W7735,Sheet2!$B:$D,3,FALSE)</f>
        <v>150</v>
      </c>
      <c r="AA7735" s="93">
        <f>AA7734</f>
        <v>5.5555555555555545</v>
      </c>
      <c r="AB7735" s="93">
        <f>AD7735/AC7730</f>
        <v>27.000000000000004</v>
      </c>
      <c r="AC7735" s="93">
        <f>AC7730/AA7735</f>
        <v>14.223806999999988</v>
      </c>
      <c r="AD7735" s="94">
        <f t="shared" ref="AD7735:AD7736" si="5417">AC7735*Z7735</f>
        <v>2133.5710499999982</v>
      </c>
      <c r="AE7735" s="190"/>
      <c r="AF7735" s="191"/>
      <c r="AG7735" s="191"/>
      <c r="AH7735" s="191"/>
      <c r="AI7735" s="186"/>
      <c r="AK7735" s="171"/>
    </row>
    <row r="7736" spans="1:41" s="102" customFormat="1" ht="19.899999999999999" customHeight="1" x14ac:dyDescent="0.25">
      <c r="A7736" s="45"/>
      <c r="B7736" s="59"/>
      <c r="C7736" s="137"/>
      <c r="D7736" s="59"/>
      <c r="E7736" s="116"/>
      <c r="F7736" s="120"/>
      <c r="G7736" s="120"/>
      <c r="H7736" s="120"/>
      <c r="I7736" s="60"/>
      <c r="J7736" s="116"/>
      <c r="K7736" s="213"/>
      <c r="L7736" s="120"/>
      <c r="M7736" s="120"/>
      <c r="N7736" s="167"/>
      <c r="O7736" s="120"/>
      <c r="P7736" s="120"/>
      <c r="Q7736" s="120"/>
      <c r="R7736" s="120"/>
      <c r="S7736" s="120"/>
      <c r="T7736" s="221"/>
      <c r="U7736" s="89"/>
      <c r="V7736" s="61"/>
      <c r="W7736" s="92" t="s">
        <v>1037</v>
      </c>
      <c r="X7736" s="93" t="s">
        <v>30</v>
      </c>
      <c r="Y7736" s="93" t="s">
        <v>1038</v>
      </c>
      <c r="Z7736" s="134">
        <f>VLOOKUP(W7736,Sheet2!$B:$D,3,FALSE)</f>
        <v>175</v>
      </c>
      <c r="AA7736" s="93">
        <v>300</v>
      </c>
      <c r="AB7736" s="93">
        <f>AD7736/AC7730</f>
        <v>0.58333333333333337</v>
      </c>
      <c r="AC7736" s="93">
        <f>AC7730/AA7736</f>
        <v>0.26340383333333306</v>
      </c>
      <c r="AD7736" s="94">
        <f t="shared" si="5417"/>
        <v>46.095670833333287</v>
      </c>
      <c r="AE7736" s="190"/>
      <c r="AF7736" s="191"/>
      <c r="AG7736" s="191"/>
      <c r="AH7736" s="191"/>
      <c r="AI7736" s="186"/>
      <c r="AK7736" s="171"/>
    </row>
    <row r="7737" spans="1:41" s="103" customFormat="1" ht="19.899999999999999" customHeight="1" x14ac:dyDescent="0.25">
      <c r="A7737" s="51"/>
      <c r="B7737" s="52"/>
      <c r="C7737" s="165"/>
      <c r="D7737" s="52"/>
      <c r="E7737" s="115"/>
      <c r="F7737" s="58"/>
      <c r="G7737" s="58"/>
      <c r="H7737" s="58"/>
      <c r="I7737" s="55"/>
      <c r="J7737" s="113">
        <f>J7719</f>
        <v>79.021149999999921</v>
      </c>
      <c r="K7737" s="212">
        <f>K7719</f>
        <v>79.021149999999921</v>
      </c>
      <c r="L7737" s="58"/>
      <c r="M7737" s="58">
        <f>K7737-L7737</f>
        <v>79.021149999999921</v>
      </c>
      <c r="N7737" s="166"/>
      <c r="O7737" s="58"/>
      <c r="P7737" s="58"/>
      <c r="Q7737" s="58"/>
      <c r="R7737" s="58"/>
      <c r="S7737" s="58"/>
      <c r="T7737" s="220"/>
      <c r="U7737" s="88"/>
      <c r="V7737" s="56"/>
      <c r="W7737" s="57" t="s">
        <v>1040</v>
      </c>
      <c r="X7737" s="53"/>
      <c r="Y7737" s="91" t="s">
        <v>68</v>
      </c>
      <c r="Z7737" s="136">
        <f>AD7737/AC7737</f>
        <v>5</v>
      </c>
      <c r="AA7737" s="58"/>
      <c r="AB7737" s="53">
        <f>AD7737/AC7737</f>
        <v>5</v>
      </c>
      <c r="AC7737" s="53">
        <f>M7737+$AE$10</f>
        <v>79.021149999999921</v>
      </c>
      <c r="AD7737" s="54">
        <f>SUM(AD7738)</f>
        <v>395.1057499999996</v>
      </c>
      <c r="AE7737" s="184">
        <f>SUMIFS($AD$37:$AD$12971,$V$37:$V$12971,$V7737,$X$37:$X$12971,AE$13)</f>
        <v>0</v>
      </c>
      <c r="AF7737" s="185">
        <f>SUMIFS($AD$37:$AD$12971,$V$37:$V$12971,$V7737,$X$37:$X$12971,AF$13)</f>
        <v>0</v>
      </c>
      <c r="AG7737" s="185">
        <f>SUMIFS($AD$37:$AD$12971,$V$37:$V$12971,$V7737,$X$37:$X$12971,AG$13)</f>
        <v>0</v>
      </c>
      <c r="AH7737" s="187">
        <f>SUMIFS($AD$37:$AD$12971,$V$37:$V$12971,$V7737,$X$37:$X$12971,AH$13)</f>
        <v>0</v>
      </c>
      <c r="AI7737" s="161">
        <f t="shared" ref="AI7737" si="5418">SUM(AE7737:AH7737)</f>
        <v>0</v>
      </c>
      <c r="AK7737" s="172"/>
    </row>
    <row r="7738" spans="1:41" s="102" customFormat="1" ht="19.899999999999999" customHeight="1" x14ac:dyDescent="0.25">
      <c r="A7738" s="45"/>
      <c r="B7738" s="59"/>
      <c r="C7738" s="137"/>
      <c r="D7738" s="59"/>
      <c r="E7738" s="116"/>
      <c r="F7738" s="120"/>
      <c r="G7738" s="120"/>
      <c r="H7738" s="120"/>
      <c r="I7738" s="60"/>
      <c r="J7738" s="116"/>
      <c r="K7738" s="213"/>
      <c r="L7738" s="120"/>
      <c r="M7738" s="120"/>
      <c r="N7738" s="167"/>
      <c r="O7738" s="120"/>
      <c r="P7738" s="120"/>
      <c r="Q7738" s="120"/>
      <c r="R7738" s="120"/>
      <c r="S7738" s="120"/>
      <c r="T7738" s="221"/>
      <c r="U7738" s="89"/>
      <c r="V7738" s="61"/>
      <c r="W7738" s="92" t="s">
        <v>1039</v>
      </c>
      <c r="X7738" s="93" t="s">
        <v>32</v>
      </c>
      <c r="Y7738" s="93" t="s">
        <v>68</v>
      </c>
      <c r="Z7738" s="134">
        <f>VLOOKUP(W7738,Sheet2!$B:$D,3,FALSE)</f>
        <v>5</v>
      </c>
      <c r="AA7738" s="93">
        <v>1</v>
      </c>
      <c r="AB7738" s="93">
        <f>AD7738/AC7737</f>
        <v>5</v>
      </c>
      <c r="AC7738" s="93">
        <f>AC7737/AA7738</f>
        <v>79.021149999999921</v>
      </c>
      <c r="AD7738" s="94">
        <f t="shared" ref="AD7738" si="5419">AC7738*Z7738</f>
        <v>395.1057499999996</v>
      </c>
      <c r="AE7738" s="190"/>
      <c r="AF7738" s="191"/>
      <c r="AG7738" s="191"/>
      <c r="AH7738" s="191"/>
      <c r="AI7738" s="186"/>
      <c r="AK7738" s="171"/>
    </row>
    <row r="7739" spans="1:41" ht="20.100000000000001" customHeight="1" x14ac:dyDescent="0.25">
      <c r="A7739" s="277" t="s">
        <v>703</v>
      </c>
      <c r="B7739" s="278"/>
      <c r="C7739" s="64" t="s">
        <v>758</v>
      </c>
      <c r="D7739" s="46" t="s">
        <v>97</v>
      </c>
      <c r="E7739" s="114">
        <v>13.079049999999967</v>
      </c>
      <c r="F7739" s="44">
        <v>1209</v>
      </c>
      <c r="G7739" s="44">
        <f t="shared" si="4575"/>
        <v>15812.571449999959</v>
      </c>
      <c r="H7739" s="44">
        <f t="shared" si="4576"/>
        <v>712.62087686274515</v>
      </c>
      <c r="I7739" s="43">
        <f t="shared" si="4577"/>
        <v>9320.4040795316632</v>
      </c>
      <c r="J7739" s="112">
        <f t="shared" si="4578"/>
        <v>13.079049999999967</v>
      </c>
      <c r="K7739" s="211">
        <f t="shared" si="4579"/>
        <v>13.079049999999967</v>
      </c>
      <c r="L7739" s="44"/>
      <c r="M7739" s="44">
        <f t="shared" si="4580"/>
        <v>13.079049999999967</v>
      </c>
      <c r="N7739" s="173">
        <f t="shared" si="4581"/>
        <v>1</v>
      </c>
      <c r="O7739" s="44">
        <f t="shared" si="4582"/>
        <v>1209</v>
      </c>
      <c r="P7739" s="44">
        <f t="shared" si="4583"/>
        <v>15812.571449999959</v>
      </c>
      <c r="Q7739" s="44">
        <f t="shared" si="4584"/>
        <v>712.62087686274515</v>
      </c>
      <c r="R7739" s="44">
        <f t="shared" si="4585"/>
        <v>9320.4040795316632</v>
      </c>
      <c r="S7739" s="123"/>
      <c r="T7739" s="219">
        <f t="shared" si="4586"/>
        <v>9320.4040795316632</v>
      </c>
      <c r="U7739" s="87"/>
      <c r="V7739" s="47"/>
      <c r="W7739" s="48"/>
      <c r="X7739" s="48"/>
      <c r="Y7739" s="48"/>
      <c r="Z7739" s="135"/>
      <c r="AA7739" s="49"/>
      <c r="AB7739" s="50">
        <f t="shared" si="4587"/>
        <v>712.62087686274515</v>
      </c>
      <c r="AC7739" s="42">
        <f t="shared" si="4588"/>
        <v>13.079049999999967</v>
      </c>
      <c r="AD7739" s="90">
        <f>AD7740+AD7750+AD7757</f>
        <v>9320.4040795316632</v>
      </c>
      <c r="AE7739" s="188">
        <f t="shared" ref="AE7739:AH7739" si="5420">AE7740+AE7750+AE7757</f>
        <v>0</v>
      </c>
      <c r="AF7739" s="189">
        <f t="shared" si="5420"/>
        <v>0</v>
      </c>
      <c r="AG7739" s="189">
        <f t="shared" si="5420"/>
        <v>0</v>
      </c>
      <c r="AH7739" s="189">
        <f t="shared" si="5420"/>
        <v>0</v>
      </c>
      <c r="AI7739" s="161">
        <f t="shared" ref="AI7739:AI7740" si="5421">SUM(AE7739:AH7739)</f>
        <v>0</v>
      </c>
      <c r="AK7739" s="169">
        <v>5</v>
      </c>
      <c r="AO7739" s="19" t="s">
        <v>63</v>
      </c>
    </row>
    <row r="7740" spans="1:41" s="103" customFormat="1" ht="19.899999999999999" customHeight="1" x14ac:dyDescent="0.25">
      <c r="A7740" s="51"/>
      <c r="B7740" s="52"/>
      <c r="C7740" s="165"/>
      <c r="D7740" s="52"/>
      <c r="E7740" s="115"/>
      <c r="F7740" s="58"/>
      <c r="G7740" s="58"/>
      <c r="H7740" s="58"/>
      <c r="I7740" s="55"/>
      <c r="J7740" s="113">
        <f>J7739</f>
        <v>13.079049999999967</v>
      </c>
      <c r="K7740" s="212">
        <f>K7739</f>
        <v>13.079049999999967</v>
      </c>
      <c r="L7740" s="58"/>
      <c r="M7740" s="58">
        <f>K7740-L7740</f>
        <v>13.079049999999967</v>
      </c>
      <c r="N7740" s="166"/>
      <c r="O7740" s="58"/>
      <c r="P7740" s="58"/>
      <c r="Q7740" s="58"/>
      <c r="R7740" s="58"/>
      <c r="S7740" s="58"/>
      <c r="T7740" s="220"/>
      <c r="U7740" s="88"/>
      <c r="V7740" s="56"/>
      <c r="W7740" s="57" t="s">
        <v>1075</v>
      </c>
      <c r="X7740" s="53"/>
      <c r="Y7740" s="91" t="s">
        <v>68</v>
      </c>
      <c r="Z7740" s="136">
        <f>AD7740/AC7740</f>
        <v>90.037543529411764</v>
      </c>
      <c r="AA7740" s="58"/>
      <c r="AB7740" s="53">
        <f>AD7740/AC7740</f>
        <v>90.037543529411764</v>
      </c>
      <c r="AC7740" s="53">
        <f>M7740+$AE$10</f>
        <v>13.079049999999967</v>
      </c>
      <c r="AD7740" s="54">
        <f>SUM(AD7741:AD7749)</f>
        <v>1177.60553369835</v>
      </c>
      <c r="AE7740" s="184">
        <f>SUMIFS($AD$37:$AD$12971,$V$37:$V$12971,$V7740,$X$37:$X$12971,AE$13)</f>
        <v>0</v>
      </c>
      <c r="AF7740" s="185">
        <f>SUMIFS($AD$37:$AD$12971,$V$37:$V$12971,$V7740,$X$37:$X$12971,AF$13)</f>
        <v>0</v>
      </c>
      <c r="AG7740" s="185">
        <f>SUMIFS($AD$37:$AD$12971,$V$37:$V$12971,$V7740,$X$37:$X$12971,AG$13)</f>
        <v>0</v>
      </c>
      <c r="AH7740" s="187">
        <f>SUMIFS($AD$37:$AD$12971,$V$37:$V$12971,$V7740,$X$37:$X$12971,AH$13)</f>
        <v>0</v>
      </c>
      <c r="AI7740" s="161">
        <f t="shared" si="5421"/>
        <v>0</v>
      </c>
      <c r="AK7740" s="172"/>
    </row>
    <row r="7741" spans="1:41" s="102" customFormat="1" ht="19.899999999999999" customHeight="1" x14ac:dyDescent="0.25">
      <c r="A7741" s="45"/>
      <c r="B7741" s="59"/>
      <c r="C7741" s="137"/>
      <c r="D7741" s="59"/>
      <c r="E7741" s="116"/>
      <c r="F7741" s="120"/>
      <c r="G7741" s="120"/>
      <c r="H7741" s="120"/>
      <c r="I7741" s="60"/>
      <c r="J7741" s="116"/>
      <c r="K7741" s="213"/>
      <c r="L7741" s="120"/>
      <c r="M7741" s="120"/>
      <c r="N7741" s="167"/>
      <c r="O7741" s="120"/>
      <c r="P7741" s="120"/>
      <c r="Q7741" s="120"/>
      <c r="R7741" s="120"/>
      <c r="S7741" s="120"/>
      <c r="T7741" s="221"/>
      <c r="U7741" s="89"/>
      <c r="V7741" s="61"/>
      <c r="W7741" s="92" t="s">
        <v>129</v>
      </c>
      <c r="X7741" s="93" t="s">
        <v>29</v>
      </c>
      <c r="Y7741" s="93" t="s">
        <v>93</v>
      </c>
      <c r="Z7741" s="134">
        <f>VLOOKUP(W7741,Sheet2!$B:$D,3,FALSE)</f>
        <v>56</v>
      </c>
      <c r="AA7741" s="93">
        <f>100/(1.8*3.5)</f>
        <v>15.873015873015873</v>
      </c>
      <c r="AB7741" s="93">
        <f t="shared" ref="AB7741" si="5422">AD7741/AC7740</f>
        <v>3.528</v>
      </c>
      <c r="AC7741" s="93">
        <f>AC7740/AA7741</f>
        <v>0.82398014999999791</v>
      </c>
      <c r="AD7741" s="94">
        <f t="shared" ref="AD7741:AD7742" si="5423">AC7741*Z7741</f>
        <v>46.142888399999883</v>
      </c>
      <c r="AE7741" s="190"/>
      <c r="AF7741" s="191"/>
      <c r="AG7741" s="191"/>
      <c r="AH7741" s="191"/>
      <c r="AI7741" s="186"/>
      <c r="AK7741" s="171"/>
    </row>
    <row r="7742" spans="1:41" s="102" customFormat="1" ht="19.899999999999999" customHeight="1" x14ac:dyDescent="0.25">
      <c r="A7742" s="45"/>
      <c r="B7742" s="59"/>
      <c r="C7742" s="137"/>
      <c r="D7742" s="59"/>
      <c r="E7742" s="116"/>
      <c r="F7742" s="120"/>
      <c r="G7742" s="120"/>
      <c r="H7742" s="120"/>
      <c r="I7742" s="60"/>
      <c r="J7742" s="116"/>
      <c r="K7742" s="213"/>
      <c r="L7742" s="120"/>
      <c r="M7742" s="120"/>
      <c r="N7742" s="167"/>
      <c r="O7742" s="120"/>
      <c r="P7742" s="120"/>
      <c r="Q7742" s="120"/>
      <c r="R7742" s="120"/>
      <c r="S7742" s="120"/>
      <c r="T7742" s="221"/>
      <c r="U7742" s="89"/>
      <c r="V7742" s="61"/>
      <c r="W7742" s="92" t="s">
        <v>65</v>
      </c>
      <c r="X7742" s="93" t="s">
        <v>30</v>
      </c>
      <c r="Y7742" s="93" t="s">
        <v>1011</v>
      </c>
      <c r="Z7742" s="134">
        <f>VLOOKUP(W7742,Sheet2!$B:$D,3,FALSE)</f>
        <v>1.76</v>
      </c>
      <c r="AA7742" s="93">
        <f>AA7741/14</f>
        <v>1.1337868480725624</v>
      </c>
      <c r="AB7742" s="93">
        <f>AD7742/AC7740</f>
        <v>1.5523199999999999</v>
      </c>
      <c r="AC7742" s="93">
        <f>AC7740/AA7742</f>
        <v>11.535722099999971</v>
      </c>
      <c r="AD7742" s="94">
        <f t="shared" si="5423"/>
        <v>20.302870895999948</v>
      </c>
      <c r="AE7742" s="190"/>
      <c r="AF7742" s="191"/>
      <c r="AG7742" s="191"/>
      <c r="AH7742" s="191"/>
      <c r="AI7742" s="186"/>
      <c r="AK7742" s="171"/>
    </row>
    <row r="7743" spans="1:41" s="102" customFormat="1" ht="19.899999999999999" customHeight="1" x14ac:dyDescent="0.25">
      <c r="A7743" s="45"/>
      <c r="B7743" s="59"/>
      <c r="C7743" s="137"/>
      <c r="D7743" s="59"/>
      <c r="E7743" s="116"/>
      <c r="F7743" s="120"/>
      <c r="G7743" s="120"/>
      <c r="H7743" s="120"/>
      <c r="I7743" s="60"/>
      <c r="J7743" s="116"/>
      <c r="K7743" s="213"/>
      <c r="L7743" s="120"/>
      <c r="M7743" s="120"/>
      <c r="N7743" s="167"/>
      <c r="O7743" s="120"/>
      <c r="P7743" s="120"/>
      <c r="Q7743" s="120"/>
      <c r="R7743" s="120"/>
      <c r="S7743" s="120"/>
      <c r="T7743" s="221"/>
      <c r="U7743" s="89"/>
      <c r="V7743" s="61"/>
      <c r="W7743" s="92" t="s">
        <v>161</v>
      </c>
      <c r="X7743" s="93" t="s">
        <v>29</v>
      </c>
      <c r="Y7743" s="93" t="s">
        <v>93</v>
      </c>
      <c r="Z7743" s="134">
        <f>VLOOKUP(W7743,Sheet2!$B:$D,3,FALSE)</f>
        <v>48</v>
      </c>
      <c r="AA7743" s="93">
        <f>(16*0.85*1.5)/(1.8*3.5)</f>
        <v>3.2380952380952381</v>
      </c>
      <c r="AB7743" s="93">
        <f>AD7743/AC7740</f>
        <v>14.823529411764705</v>
      </c>
      <c r="AC7743" s="93">
        <f>AC7740/AA7743</f>
        <v>4.0391183823529309</v>
      </c>
      <c r="AD7743" s="94">
        <f>AC7743*Z7743</f>
        <v>193.87768235294067</v>
      </c>
      <c r="AE7743" s="190"/>
      <c r="AF7743" s="191"/>
      <c r="AG7743" s="191"/>
      <c r="AH7743" s="191"/>
      <c r="AI7743" s="186"/>
      <c r="AK7743" s="171"/>
    </row>
    <row r="7744" spans="1:41" s="102" customFormat="1" ht="19.899999999999999" customHeight="1" x14ac:dyDescent="0.25">
      <c r="A7744" s="45"/>
      <c r="B7744" s="59"/>
      <c r="C7744" s="137"/>
      <c r="D7744" s="59"/>
      <c r="E7744" s="116"/>
      <c r="F7744" s="120"/>
      <c r="G7744" s="120"/>
      <c r="H7744" s="120"/>
      <c r="I7744" s="60"/>
      <c r="J7744" s="116"/>
      <c r="K7744" s="213"/>
      <c r="L7744" s="120"/>
      <c r="M7744" s="120"/>
      <c r="N7744" s="167"/>
      <c r="O7744" s="120"/>
      <c r="P7744" s="120"/>
      <c r="Q7744" s="120"/>
      <c r="R7744" s="120"/>
      <c r="S7744" s="120"/>
      <c r="T7744" s="221"/>
      <c r="U7744" s="89"/>
      <c r="V7744" s="61"/>
      <c r="W7744" s="92" t="s">
        <v>65</v>
      </c>
      <c r="X7744" s="93" t="s">
        <v>30</v>
      </c>
      <c r="Y7744" s="93" t="s">
        <v>1011</v>
      </c>
      <c r="Z7744" s="134">
        <f>VLOOKUP(W7744,Sheet2!$B:$D,3,FALSE)</f>
        <v>1.76</v>
      </c>
      <c r="AA7744" s="93">
        <f>AA7743/10</f>
        <v>0.32380952380952382</v>
      </c>
      <c r="AB7744" s="93">
        <f>AD7744/AC7740</f>
        <v>5.4352941176470591</v>
      </c>
      <c r="AC7744" s="93">
        <f>AC7740/AA7744</f>
        <v>40.39118382352931</v>
      </c>
      <c r="AD7744" s="94">
        <f>AC7744*Z7744</f>
        <v>71.08848352941159</v>
      </c>
      <c r="AE7744" s="190"/>
      <c r="AF7744" s="191"/>
      <c r="AG7744" s="191"/>
      <c r="AH7744" s="191"/>
      <c r="AI7744" s="186"/>
      <c r="AK7744" s="171"/>
    </row>
    <row r="7745" spans="1:41" s="102" customFormat="1" ht="19.899999999999999" customHeight="1" x14ac:dyDescent="0.25">
      <c r="A7745" s="45"/>
      <c r="B7745" s="59"/>
      <c r="C7745" s="137"/>
      <c r="D7745" s="59"/>
      <c r="E7745" s="116"/>
      <c r="F7745" s="120"/>
      <c r="G7745" s="120"/>
      <c r="H7745" s="120"/>
      <c r="I7745" s="60"/>
      <c r="J7745" s="116"/>
      <c r="K7745" s="213"/>
      <c r="L7745" s="120"/>
      <c r="M7745" s="120"/>
      <c r="N7745" s="167"/>
      <c r="O7745" s="120"/>
      <c r="P7745" s="120"/>
      <c r="Q7745" s="120"/>
      <c r="R7745" s="120"/>
      <c r="S7745" s="120"/>
      <c r="T7745" s="221"/>
      <c r="U7745" s="89"/>
      <c r="V7745" s="61"/>
      <c r="W7745" s="92" t="s">
        <v>1030</v>
      </c>
      <c r="X7745" s="93" t="s">
        <v>29</v>
      </c>
      <c r="Y7745" s="93" t="s">
        <v>93</v>
      </c>
      <c r="Z7745" s="134">
        <f>VLOOKUP(W7745,Sheet2!$B:$D,3,FALSE)</f>
        <v>23</v>
      </c>
      <c r="AA7745" s="93">
        <v>50</v>
      </c>
      <c r="AB7745" s="93">
        <f>AD7745/AC7740</f>
        <v>0.46</v>
      </c>
      <c r="AC7745" s="93">
        <f>AC7740/AA7745</f>
        <v>0.26158099999999934</v>
      </c>
      <c r="AD7745" s="94">
        <f t="shared" ref="AD7745:AD7749" si="5424">AC7745*Z7745</f>
        <v>6.016362999999985</v>
      </c>
      <c r="AE7745" s="190"/>
      <c r="AF7745" s="191"/>
      <c r="AG7745" s="191"/>
      <c r="AH7745" s="191"/>
      <c r="AI7745" s="186"/>
      <c r="AK7745" s="171"/>
    </row>
    <row r="7746" spans="1:41" s="102" customFormat="1" ht="19.899999999999999" customHeight="1" x14ac:dyDescent="0.25">
      <c r="A7746" s="45"/>
      <c r="B7746" s="59"/>
      <c r="C7746" s="137"/>
      <c r="D7746" s="59"/>
      <c r="E7746" s="116"/>
      <c r="F7746" s="120"/>
      <c r="G7746" s="120"/>
      <c r="H7746" s="120"/>
      <c r="I7746" s="60"/>
      <c r="J7746" s="116"/>
      <c r="K7746" s="213"/>
      <c r="L7746" s="120"/>
      <c r="M7746" s="120"/>
      <c r="N7746" s="167"/>
      <c r="O7746" s="120"/>
      <c r="P7746" s="120"/>
      <c r="Q7746" s="120"/>
      <c r="R7746" s="120"/>
      <c r="S7746" s="120"/>
      <c r="T7746" s="221"/>
      <c r="U7746" s="89"/>
      <c r="V7746" s="61"/>
      <c r="W7746" s="92" t="s">
        <v>65</v>
      </c>
      <c r="X7746" s="93" t="s">
        <v>30</v>
      </c>
      <c r="Y7746" s="93" t="s">
        <v>1011</v>
      </c>
      <c r="Z7746" s="134">
        <f>VLOOKUP(W7746,Sheet2!$B:$D,3,FALSE)</f>
        <v>1.76</v>
      </c>
      <c r="AA7746" s="93">
        <f>AA7745/3</f>
        <v>16.666666666666668</v>
      </c>
      <c r="AB7746" s="93">
        <f>AD7746/AC7740</f>
        <v>0.1056</v>
      </c>
      <c r="AC7746" s="93">
        <f>AC7740/AA7746</f>
        <v>0.78474299999999797</v>
      </c>
      <c r="AD7746" s="94">
        <f t="shared" si="5424"/>
        <v>1.3811476799999964</v>
      </c>
      <c r="AE7746" s="190"/>
      <c r="AF7746" s="191"/>
      <c r="AG7746" s="191"/>
      <c r="AH7746" s="191"/>
      <c r="AI7746" s="186"/>
      <c r="AK7746" s="171"/>
    </row>
    <row r="7747" spans="1:41" s="102" customFormat="1" ht="19.899999999999999" customHeight="1" x14ac:dyDescent="0.25">
      <c r="A7747" s="45"/>
      <c r="B7747" s="59"/>
      <c r="C7747" s="137"/>
      <c r="D7747" s="59"/>
      <c r="E7747" s="116"/>
      <c r="F7747" s="120"/>
      <c r="G7747" s="120"/>
      <c r="H7747" s="120"/>
      <c r="I7747" s="60"/>
      <c r="J7747" s="116"/>
      <c r="K7747" s="213"/>
      <c r="L7747" s="120"/>
      <c r="M7747" s="120"/>
      <c r="N7747" s="167"/>
      <c r="O7747" s="120"/>
      <c r="P7747" s="120"/>
      <c r="Q7747" s="120"/>
      <c r="R7747" s="120"/>
      <c r="S7747" s="120"/>
      <c r="T7747" s="221"/>
      <c r="U7747" s="89"/>
      <c r="V7747" s="61"/>
      <c r="W7747" s="92" t="s">
        <v>148</v>
      </c>
      <c r="X7747" s="93" t="s">
        <v>29</v>
      </c>
      <c r="Y7747" s="93" t="s">
        <v>93</v>
      </c>
      <c r="Z7747" s="134">
        <f>VLOOKUP(W7747,Sheet2!$B:$D,3,FALSE)</f>
        <v>48</v>
      </c>
      <c r="AA7747" s="93">
        <f>AA7741</f>
        <v>15.873015873015873</v>
      </c>
      <c r="AB7747" s="93">
        <f>AD7747/AC7740</f>
        <v>3.024</v>
      </c>
      <c r="AC7747" s="93">
        <f>AC7740/AA7747</f>
        <v>0.82398014999999791</v>
      </c>
      <c r="AD7747" s="94">
        <f t="shared" si="5424"/>
        <v>39.5510471999999</v>
      </c>
      <c r="AE7747" s="190"/>
      <c r="AF7747" s="191"/>
      <c r="AG7747" s="191"/>
      <c r="AH7747" s="191"/>
      <c r="AI7747" s="186"/>
      <c r="AK7747" s="171"/>
    </row>
    <row r="7748" spans="1:41" s="102" customFormat="1" ht="19.899999999999999" customHeight="1" x14ac:dyDescent="0.25">
      <c r="A7748" s="45"/>
      <c r="B7748" s="59"/>
      <c r="C7748" s="137"/>
      <c r="D7748" s="59"/>
      <c r="E7748" s="116"/>
      <c r="F7748" s="120"/>
      <c r="G7748" s="120"/>
      <c r="H7748" s="120"/>
      <c r="I7748" s="60"/>
      <c r="J7748" s="116"/>
      <c r="K7748" s="213"/>
      <c r="L7748" s="120"/>
      <c r="M7748" s="120"/>
      <c r="N7748" s="167"/>
      <c r="O7748" s="120"/>
      <c r="P7748" s="120"/>
      <c r="Q7748" s="120"/>
      <c r="R7748" s="120"/>
      <c r="S7748" s="120"/>
      <c r="T7748" s="221"/>
      <c r="U7748" s="89"/>
      <c r="V7748" s="61"/>
      <c r="W7748" s="92" t="s">
        <v>65</v>
      </c>
      <c r="X7748" s="93" t="s">
        <v>30</v>
      </c>
      <c r="Y7748" s="93" t="s">
        <v>1011</v>
      </c>
      <c r="Z7748" s="134">
        <f>VLOOKUP(W7748,Sheet2!$B:$D,3,FALSE)</f>
        <v>1.76</v>
      </c>
      <c r="AA7748" s="93">
        <f>AA7747/10</f>
        <v>1.5873015873015874</v>
      </c>
      <c r="AB7748" s="93">
        <f>AD7748/AC7740</f>
        <v>1.1088</v>
      </c>
      <c r="AC7748" s="93">
        <f>AC7740/AA7748</f>
        <v>8.2398014999999791</v>
      </c>
      <c r="AD7748" s="94">
        <f t="shared" si="5424"/>
        <v>14.502050639999963</v>
      </c>
      <c r="AE7748" s="190"/>
      <c r="AF7748" s="191"/>
      <c r="AG7748" s="191"/>
      <c r="AH7748" s="191"/>
      <c r="AI7748" s="186"/>
      <c r="AK7748" s="171"/>
    </row>
    <row r="7749" spans="1:41" s="102" customFormat="1" ht="19.899999999999999" customHeight="1" x14ac:dyDescent="0.25">
      <c r="A7749" s="45"/>
      <c r="B7749" s="59"/>
      <c r="C7749" s="137"/>
      <c r="D7749" s="59"/>
      <c r="E7749" s="116"/>
      <c r="F7749" s="120"/>
      <c r="G7749" s="120"/>
      <c r="H7749" s="120"/>
      <c r="I7749" s="60"/>
      <c r="J7749" s="116"/>
      <c r="K7749" s="213"/>
      <c r="L7749" s="120"/>
      <c r="M7749" s="120"/>
      <c r="N7749" s="167"/>
      <c r="O7749" s="120"/>
      <c r="P7749" s="120"/>
      <c r="Q7749" s="120"/>
      <c r="R7749" s="120"/>
      <c r="S7749" s="120"/>
      <c r="T7749" s="221"/>
      <c r="U7749" s="89"/>
      <c r="V7749" s="61"/>
      <c r="W7749" s="92" t="s">
        <v>1049</v>
      </c>
      <c r="X7749" s="93" t="s">
        <v>30</v>
      </c>
      <c r="Y7749" s="93" t="s">
        <v>68</v>
      </c>
      <c r="Z7749" s="134">
        <f>VLOOKUP(W7749,Sheet2!$B:$D,3,FALSE)</f>
        <v>60</v>
      </c>
      <c r="AA7749" s="93">
        <v>1</v>
      </c>
      <c r="AB7749" s="93">
        <f>AD7749/AC7740</f>
        <v>60</v>
      </c>
      <c r="AC7749" s="93">
        <f>AC7740/AA7749</f>
        <v>13.079049999999967</v>
      </c>
      <c r="AD7749" s="94">
        <f t="shared" si="5424"/>
        <v>784.74299999999801</v>
      </c>
      <c r="AE7749" s="190"/>
      <c r="AF7749" s="191"/>
      <c r="AG7749" s="191"/>
      <c r="AH7749" s="191"/>
      <c r="AI7749" s="186"/>
      <c r="AK7749" s="171"/>
    </row>
    <row r="7750" spans="1:41" s="103" customFormat="1" ht="19.899999999999999" customHeight="1" x14ac:dyDescent="0.25">
      <c r="A7750" s="51"/>
      <c r="B7750" s="52"/>
      <c r="C7750" s="165"/>
      <c r="D7750" s="52"/>
      <c r="E7750" s="115"/>
      <c r="F7750" s="58"/>
      <c r="G7750" s="58"/>
      <c r="H7750" s="58"/>
      <c r="I7750" s="55"/>
      <c r="J7750" s="113">
        <f>J7739</f>
        <v>13.079049999999967</v>
      </c>
      <c r="K7750" s="212">
        <f>K7739</f>
        <v>13.079049999999967</v>
      </c>
      <c r="L7750" s="58"/>
      <c r="M7750" s="58">
        <f>K7750-L7750</f>
        <v>13.079049999999967</v>
      </c>
      <c r="N7750" s="166"/>
      <c r="O7750" s="58"/>
      <c r="P7750" s="58"/>
      <c r="Q7750" s="58"/>
      <c r="R7750" s="58"/>
      <c r="S7750" s="58"/>
      <c r="T7750" s="220"/>
      <c r="U7750" s="88"/>
      <c r="V7750" s="56"/>
      <c r="W7750" s="57" t="s">
        <v>1036</v>
      </c>
      <c r="X7750" s="53"/>
      <c r="Y7750" s="91" t="s">
        <v>68</v>
      </c>
      <c r="Z7750" s="136">
        <f>AD7750/AC7750</f>
        <v>617.58333333333337</v>
      </c>
      <c r="AA7750" s="58"/>
      <c r="AB7750" s="53">
        <f>AD7750/AC7750</f>
        <v>617.58333333333337</v>
      </c>
      <c r="AC7750" s="53">
        <f>M7750+$AE$10</f>
        <v>13.079049999999967</v>
      </c>
      <c r="AD7750" s="54">
        <f>SUM(AD7751:AD7756)</f>
        <v>8077.4032958333128</v>
      </c>
      <c r="AE7750" s="184">
        <f>SUMIFS($AD$37:$AD$12971,$V$37:$V$12971,$V7750,$X$37:$X$12971,AE$13)</f>
        <v>0</v>
      </c>
      <c r="AF7750" s="185">
        <f>SUMIFS($AD$37:$AD$12971,$V$37:$V$12971,$V7750,$X$37:$X$12971,AF$13)</f>
        <v>0</v>
      </c>
      <c r="AG7750" s="185">
        <f>SUMIFS($AD$37:$AD$12971,$V$37:$V$12971,$V7750,$X$37:$X$12971,AG$13)</f>
        <v>0</v>
      </c>
      <c r="AH7750" s="187">
        <f>SUMIFS($AD$37:$AD$12971,$V$37:$V$12971,$V7750,$X$37:$X$12971,AH$13)</f>
        <v>0</v>
      </c>
      <c r="AI7750" s="161">
        <f t="shared" ref="AI7750" si="5425">SUM(AE7750:AH7750)</f>
        <v>0</v>
      </c>
      <c r="AK7750" s="172"/>
    </row>
    <row r="7751" spans="1:41" s="102" customFormat="1" ht="19.899999999999999" customHeight="1" x14ac:dyDescent="0.25">
      <c r="A7751" s="45"/>
      <c r="B7751" s="59"/>
      <c r="C7751" s="137"/>
      <c r="D7751" s="59"/>
      <c r="E7751" s="116"/>
      <c r="F7751" s="120"/>
      <c r="G7751" s="120"/>
      <c r="H7751" s="120"/>
      <c r="I7751" s="60"/>
      <c r="J7751" s="116"/>
      <c r="K7751" s="213"/>
      <c r="L7751" s="120"/>
      <c r="M7751" s="120"/>
      <c r="N7751" s="167"/>
      <c r="O7751" s="120"/>
      <c r="P7751" s="120"/>
      <c r="Q7751" s="120"/>
      <c r="R7751" s="120"/>
      <c r="S7751" s="120"/>
      <c r="T7751" s="221"/>
      <c r="U7751" s="89"/>
      <c r="V7751" s="61"/>
      <c r="W7751" s="92" t="s">
        <v>1060</v>
      </c>
      <c r="X7751" s="93" t="s">
        <v>30</v>
      </c>
      <c r="Y7751" s="93" t="s">
        <v>68</v>
      </c>
      <c r="Z7751" s="134">
        <f>VLOOKUP(W7751,Sheet2!$B:$D,3,FALSE)</f>
        <v>430</v>
      </c>
      <c r="AA7751" s="93">
        <v>1</v>
      </c>
      <c r="AB7751" s="93">
        <f>AD7751/AC7750</f>
        <v>430</v>
      </c>
      <c r="AC7751" s="93">
        <f>AC7750/AA7751</f>
        <v>13.079049999999967</v>
      </c>
      <c r="AD7751" s="94">
        <f t="shared" ref="AD7751" si="5426">AC7751*Z7751</f>
        <v>5623.9914999999855</v>
      </c>
      <c r="AE7751" s="190"/>
      <c r="AF7751" s="191"/>
      <c r="AG7751" s="191"/>
      <c r="AH7751" s="191"/>
      <c r="AI7751" s="186"/>
      <c r="AK7751" s="171"/>
    </row>
    <row r="7752" spans="1:41" s="102" customFormat="1" ht="19.899999999999999" customHeight="1" x14ac:dyDescent="0.25">
      <c r="A7752" s="45"/>
      <c r="B7752" s="59"/>
      <c r="C7752" s="137"/>
      <c r="D7752" s="59"/>
      <c r="E7752" s="116"/>
      <c r="F7752" s="120"/>
      <c r="G7752" s="120"/>
      <c r="H7752" s="120"/>
      <c r="I7752" s="60"/>
      <c r="J7752" s="116"/>
      <c r="K7752" s="213"/>
      <c r="L7752" s="120"/>
      <c r="M7752" s="120"/>
      <c r="N7752" s="167"/>
      <c r="O7752" s="120"/>
      <c r="P7752" s="120"/>
      <c r="Q7752" s="120"/>
      <c r="R7752" s="120"/>
      <c r="S7752" s="120"/>
      <c r="T7752" s="221"/>
      <c r="U7752" s="89"/>
      <c r="V7752" s="61"/>
      <c r="W7752" s="92" t="s">
        <v>1067</v>
      </c>
      <c r="X7752" s="93" t="s">
        <v>30</v>
      </c>
      <c r="Y7752" s="93" t="s">
        <v>68</v>
      </c>
      <c r="Z7752" s="134">
        <f>VLOOKUP(W7752,Sheet2!$B:$D,3,FALSE)</f>
        <v>43</v>
      </c>
      <c r="AA7752" s="93">
        <v>1</v>
      </c>
      <c r="AB7752" s="93">
        <f>AD7752/AC7750</f>
        <v>43</v>
      </c>
      <c r="AC7752" s="93">
        <f>AC7750/AA7752</f>
        <v>13.079049999999967</v>
      </c>
      <c r="AD7752" s="94">
        <f>AC7752*Z7752</f>
        <v>562.3991499999986</v>
      </c>
      <c r="AE7752" s="190"/>
      <c r="AF7752" s="191"/>
      <c r="AG7752" s="191"/>
      <c r="AH7752" s="191"/>
      <c r="AI7752" s="186"/>
      <c r="AK7752" s="171"/>
    </row>
    <row r="7753" spans="1:41" s="102" customFormat="1" ht="19.899999999999999" customHeight="1" x14ac:dyDescent="0.25">
      <c r="A7753" s="45"/>
      <c r="B7753" s="59"/>
      <c r="C7753" s="137"/>
      <c r="D7753" s="59"/>
      <c r="E7753" s="116"/>
      <c r="F7753" s="120"/>
      <c r="G7753" s="120"/>
      <c r="H7753" s="120"/>
      <c r="I7753" s="60"/>
      <c r="J7753" s="116"/>
      <c r="K7753" s="213"/>
      <c r="L7753" s="120"/>
      <c r="M7753" s="120"/>
      <c r="N7753" s="167"/>
      <c r="O7753" s="120"/>
      <c r="P7753" s="120"/>
      <c r="Q7753" s="120"/>
      <c r="R7753" s="120"/>
      <c r="S7753" s="120"/>
      <c r="T7753" s="221"/>
      <c r="U7753" s="89"/>
      <c r="V7753" s="61"/>
      <c r="W7753" s="92" t="s">
        <v>1074</v>
      </c>
      <c r="X7753" s="93" t="s">
        <v>32</v>
      </c>
      <c r="Y7753" s="93" t="s">
        <v>68</v>
      </c>
      <c r="Z7753" s="134">
        <f>VLOOKUP(W7753,Sheet2!$B:$D,3,FALSE)</f>
        <v>72</v>
      </c>
      <c r="AA7753" s="93">
        <v>1</v>
      </c>
      <c r="AB7753" s="93">
        <f>AD7753/AC7750</f>
        <v>72</v>
      </c>
      <c r="AC7753" s="93">
        <f>AC7750/AA7753</f>
        <v>13.079049999999967</v>
      </c>
      <c r="AD7753" s="94">
        <f>AC7753*Z7753</f>
        <v>941.69159999999761</v>
      </c>
      <c r="AE7753" s="190"/>
      <c r="AF7753" s="191"/>
      <c r="AG7753" s="191"/>
      <c r="AH7753" s="191"/>
      <c r="AI7753" s="186"/>
      <c r="AK7753" s="171"/>
    </row>
    <row r="7754" spans="1:41" s="102" customFormat="1" ht="19.899999999999999" customHeight="1" x14ac:dyDescent="0.25">
      <c r="A7754" s="45"/>
      <c r="B7754" s="59"/>
      <c r="C7754" s="137"/>
      <c r="D7754" s="59"/>
      <c r="E7754" s="116"/>
      <c r="F7754" s="120"/>
      <c r="G7754" s="120"/>
      <c r="H7754" s="120"/>
      <c r="I7754" s="60"/>
      <c r="J7754" s="116"/>
      <c r="K7754" s="213"/>
      <c r="L7754" s="120"/>
      <c r="M7754" s="120"/>
      <c r="N7754" s="167"/>
      <c r="O7754" s="120"/>
      <c r="P7754" s="120"/>
      <c r="Q7754" s="120"/>
      <c r="R7754" s="120"/>
      <c r="S7754" s="120"/>
      <c r="T7754" s="221"/>
      <c r="U7754" s="89"/>
      <c r="V7754" s="61"/>
      <c r="W7754" s="92" t="s">
        <v>1032</v>
      </c>
      <c r="X7754" s="93" t="s">
        <v>30</v>
      </c>
      <c r="Y7754" s="93" t="s">
        <v>66</v>
      </c>
      <c r="Z7754" s="134">
        <f>VLOOKUP(W7754,Sheet2!$B:$D,3,FALSE)</f>
        <v>250</v>
      </c>
      <c r="AA7754" s="93">
        <f>1/(1.8*0.1)</f>
        <v>5.5555555555555545</v>
      </c>
      <c r="AB7754" s="93">
        <f>AD7754/AC7750</f>
        <v>45.000000000000007</v>
      </c>
      <c r="AC7754" s="93">
        <f>AC7750/AA7754</f>
        <v>2.3542289999999944</v>
      </c>
      <c r="AD7754" s="94">
        <f>AC7754*Z7754</f>
        <v>588.55724999999859</v>
      </c>
      <c r="AE7754" s="190"/>
      <c r="AF7754" s="191"/>
      <c r="AG7754" s="191"/>
      <c r="AH7754" s="191"/>
      <c r="AI7754" s="186"/>
      <c r="AK7754" s="171"/>
    </row>
    <row r="7755" spans="1:41" s="102" customFormat="1" ht="19.899999999999999" customHeight="1" x14ac:dyDescent="0.25">
      <c r="A7755" s="45"/>
      <c r="B7755" s="59"/>
      <c r="C7755" s="137"/>
      <c r="D7755" s="59"/>
      <c r="E7755" s="116"/>
      <c r="F7755" s="120"/>
      <c r="G7755" s="120"/>
      <c r="H7755" s="120"/>
      <c r="I7755" s="60"/>
      <c r="J7755" s="116"/>
      <c r="K7755" s="213"/>
      <c r="L7755" s="120"/>
      <c r="M7755" s="120"/>
      <c r="N7755" s="167"/>
      <c r="O7755" s="120"/>
      <c r="P7755" s="120"/>
      <c r="Q7755" s="120"/>
      <c r="R7755" s="120"/>
      <c r="S7755" s="120"/>
      <c r="T7755" s="221"/>
      <c r="U7755" s="89"/>
      <c r="V7755" s="61"/>
      <c r="W7755" s="92" t="s">
        <v>1035</v>
      </c>
      <c r="X7755" s="93" t="s">
        <v>32</v>
      </c>
      <c r="Y7755" s="93" t="s">
        <v>66</v>
      </c>
      <c r="Z7755" s="134">
        <f>VLOOKUP(W7755,Sheet2!$B:$D,3,FALSE)</f>
        <v>150</v>
      </c>
      <c r="AA7755" s="93">
        <f>AA7754</f>
        <v>5.5555555555555545</v>
      </c>
      <c r="AB7755" s="93">
        <f>AD7755/AC7750</f>
        <v>27.000000000000004</v>
      </c>
      <c r="AC7755" s="93">
        <f>AC7750/AA7755</f>
        <v>2.3542289999999944</v>
      </c>
      <c r="AD7755" s="94">
        <f t="shared" ref="AD7755:AD7756" si="5427">AC7755*Z7755</f>
        <v>353.13434999999913</v>
      </c>
      <c r="AE7755" s="190"/>
      <c r="AF7755" s="191"/>
      <c r="AG7755" s="191"/>
      <c r="AH7755" s="191"/>
      <c r="AI7755" s="186"/>
      <c r="AK7755" s="171"/>
    </row>
    <row r="7756" spans="1:41" s="102" customFormat="1" ht="19.899999999999999" customHeight="1" x14ac:dyDescent="0.25">
      <c r="A7756" s="45"/>
      <c r="B7756" s="59"/>
      <c r="C7756" s="137"/>
      <c r="D7756" s="59"/>
      <c r="E7756" s="116"/>
      <c r="F7756" s="120"/>
      <c r="G7756" s="120"/>
      <c r="H7756" s="120"/>
      <c r="I7756" s="60"/>
      <c r="J7756" s="116"/>
      <c r="K7756" s="213"/>
      <c r="L7756" s="120"/>
      <c r="M7756" s="120"/>
      <c r="N7756" s="167"/>
      <c r="O7756" s="120"/>
      <c r="P7756" s="120"/>
      <c r="Q7756" s="120"/>
      <c r="R7756" s="120"/>
      <c r="S7756" s="120"/>
      <c r="T7756" s="221"/>
      <c r="U7756" s="89"/>
      <c r="V7756" s="61"/>
      <c r="W7756" s="92" t="s">
        <v>1037</v>
      </c>
      <c r="X7756" s="93" t="s">
        <v>30</v>
      </c>
      <c r="Y7756" s="93" t="s">
        <v>1038</v>
      </c>
      <c r="Z7756" s="134">
        <f>VLOOKUP(W7756,Sheet2!$B:$D,3,FALSE)</f>
        <v>175</v>
      </c>
      <c r="AA7756" s="93">
        <v>300</v>
      </c>
      <c r="AB7756" s="93">
        <f>AD7756/AC7750</f>
        <v>0.58333333333333337</v>
      </c>
      <c r="AC7756" s="93">
        <f>AC7750/AA7756</f>
        <v>4.3596833333333224E-2</v>
      </c>
      <c r="AD7756" s="94">
        <f t="shared" si="5427"/>
        <v>7.6294458333333139</v>
      </c>
      <c r="AE7756" s="190"/>
      <c r="AF7756" s="191"/>
      <c r="AG7756" s="191"/>
      <c r="AH7756" s="191"/>
      <c r="AI7756" s="186"/>
      <c r="AK7756" s="171"/>
    </row>
    <row r="7757" spans="1:41" s="103" customFormat="1" ht="19.899999999999999" customHeight="1" x14ac:dyDescent="0.25">
      <c r="A7757" s="51"/>
      <c r="B7757" s="52"/>
      <c r="C7757" s="165"/>
      <c r="D7757" s="52"/>
      <c r="E7757" s="115"/>
      <c r="F7757" s="58"/>
      <c r="G7757" s="58"/>
      <c r="H7757" s="58"/>
      <c r="I7757" s="55"/>
      <c r="J7757" s="113">
        <f>J7739</f>
        <v>13.079049999999967</v>
      </c>
      <c r="K7757" s="212">
        <f>K7739</f>
        <v>13.079049999999967</v>
      </c>
      <c r="L7757" s="58"/>
      <c r="M7757" s="58">
        <f>K7757-L7757</f>
        <v>13.079049999999967</v>
      </c>
      <c r="N7757" s="166"/>
      <c r="O7757" s="58"/>
      <c r="P7757" s="58"/>
      <c r="Q7757" s="58"/>
      <c r="R7757" s="58"/>
      <c r="S7757" s="58"/>
      <c r="T7757" s="220"/>
      <c r="U7757" s="88"/>
      <c r="V7757" s="56"/>
      <c r="W7757" s="57" t="s">
        <v>1040</v>
      </c>
      <c r="X7757" s="53"/>
      <c r="Y7757" s="91" t="s">
        <v>68</v>
      </c>
      <c r="Z7757" s="136">
        <f>AD7757/AC7757</f>
        <v>5</v>
      </c>
      <c r="AA7757" s="58"/>
      <c r="AB7757" s="53">
        <f>AD7757/AC7757</f>
        <v>5</v>
      </c>
      <c r="AC7757" s="53">
        <f>M7757+$AE$10</f>
        <v>13.079049999999967</v>
      </c>
      <c r="AD7757" s="54">
        <f>SUM(AD7758)</f>
        <v>65.395249999999834</v>
      </c>
      <c r="AE7757" s="184">
        <f>SUMIFS($AD$37:$AD$12971,$V$37:$V$12971,$V7757,$X$37:$X$12971,AE$13)</f>
        <v>0</v>
      </c>
      <c r="AF7757" s="185">
        <f>SUMIFS($AD$37:$AD$12971,$V$37:$V$12971,$V7757,$X$37:$X$12971,AF$13)</f>
        <v>0</v>
      </c>
      <c r="AG7757" s="185">
        <f>SUMIFS($AD$37:$AD$12971,$V$37:$V$12971,$V7757,$X$37:$X$12971,AG$13)</f>
        <v>0</v>
      </c>
      <c r="AH7757" s="187">
        <f>SUMIFS($AD$37:$AD$12971,$V$37:$V$12971,$V7757,$X$37:$X$12971,AH$13)</f>
        <v>0</v>
      </c>
      <c r="AI7757" s="161">
        <f t="shared" ref="AI7757" si="5428">SUM(AE7757:AH7757)</f>
        <v>0</v>
      </c>
      <c r="AK7757" s="172"/>
    </row>
    <row r="7758" spans="1:41" s="102" customFormat="1" ht="19.899999999999999" customHeight="1" x14ac:dyDescent="0.25">
      <c r="A7758" s="45"/>
      <c r="B7758" s="59"/>
      <c r="C7758" s="137"/>
      <c r="D7758" s="59"/>
      <c r="E7758" s="116"/>
      <c r="F7758" s="120"/>
      <c r="G7758" s="120"/>
      <c r="H7758" s="120"/>
      <c r="I7758" s="60"/>
      <c r="J7758" s="116"/>
      <c r="K7758" s="213"/>
      <c r="L7758" s="120"/>
      <c r="M7758" s="120"/>
      <c r="N7758" s="167"/>
      <c r="O7758" s="120"/>
      <c r="P7758" s="120"/>
      <c r="Q7758" s="120"/>
      <c r="R7758" s="120"/>
      <c r="S7758" s="120"/>
      <c r="T7758" s="221"/>
      <c r="U7758" s="89"/>
      <c r="V7758" s="61"/>
      <c r="W7758" s="92" t="s">
        <v>1039</v>
      </c>
      <c r="X7758" s="93" t="s">
        <v>32</v>
      </c>
      <c r="Y7758" s="93" t="s">
        <v>68</v>
      </c>
      <c r="Z7758" s="134">
        <f>VLOOKUP(W7758,Sheet2!$B:$D,3,FALSE)</f>
        <v>5</v>
      </c>
      <c r="AA7758" s="93">
        <v>1</v>
      </c>
      <c r="AB7758" s="93">
        <f>AD7758/AC7757</f>
        <v>5</v>
      </c>
      <c r="AC7758" s="93">
        <f>AC7757/AA7758</f>
        <v>13.079049999999967</v>
      </c>
      <c r="AD7758" s="94">
        <f t="shared" ref="AD7758" si="5429">AC7758*Z7758</f>
        <v>65.395249999999834</v>
      </c>
      <c r="AE7758" s="190"/>
      <c r="AF7758" s="191"/>
      <c r="AG7758" s="191"/>
      <c r="AH7758" s="191"/>
      <c r="AI7758" s="186"/>
      <c r="AK7758" s="171"/>
    </row>
    <row r="7759" spans="1:41" s="102" customFormat="1" ht="105" x14ac:dyDescent="0.25">
      <c r="A7759" s="45"/>
      <c r="B7759" s="276"/>
      <c r="C7759" s="286" t="s">
        <v>705</v>
      </c>
      <c r="D7759" s="59"/>
      <c r="E7759" s="116"/>
      <c r="F7759" s="120"/>
      <c r="G7759" s="120"/>
      <c r="H7759" s="120"/>
      <c r="I7759" s="60"/>
      <c r="J7759" s="116"/>
      <c r="K7759" s="213"/>
      <c r="L7759" s="120"/>
      <c r="M7759" s="120"/>
      <c r="N7759" s="167"/>
      <c r="O7759" s="120"/>
      <c r="P7759" s="120"/>
      <c r="Q7759" s="120"/>
      <c r="R7759" s="120"/>
      <c r="S7759" s="120"/>
      <c r="T7759" s="221"/>
      <c r="U7759" s="89"/>
      <c r="V7759" s="61"/>
      <c r="W7759" s="92"/>
      <c r="X7759" s="38"/>
      <c r="Y7759" s="93"/>
      <c r="Z7759" s="134"/>
      <c r="AA7759" s="93"/>
      <c r="AB7759" s="93"/>
      <c r="AC7759" s="93"/>
      <c r="AD7759" s="94"/>
      <c r="AE7759" s="190"/>
      <c r="AF7759" s="191"/>
      <c r="AG7759" s="191"/>
      <c r="AH7759" s="191"/>
      <c r="AI7759" s="186"/>
      <c r="AK7759" s="171"/>
    </row>
    <row r="7760" spans="1:41" ht="25.5" x14ac:dyDescent="0.25">
      <c r="A7760" s="277" t="s">
        <v>703</v>
      </c>
      <c r="B7760" s="278"/>
      <c r="C7760" s="64" t="s">
        <v>759</v>
      </c>
      <c r="D7760" s="46" t="s">
        <v>97</v>
      </c>
      <c r="E7760" s="114">
        <v>7192.0875100054482</v>
      </c>
      <c r="F7760" s="44">
        <v>48</v>
      </c>
      <c r="G7760" s="44">
        <f t="shared" si="4575"/>
        <v>345220.20048026153</v>
      </c>
      <c r="H7760" s="44">
        <f t="shared" si="4576"/>
        <v>70.824164705882353</v>
      </c>
      <c r="I7760" s="43">
        <f t="shared" si="4577"/>
        <v>509373.59038774518</v>
      </c>
      <c r="J7760" s="112">
        <f t="shared" si="4578"/>
        <v>7192.0875100054482</v>
      </c>
      <c r="K7760" s="211">
        <f t="shared" si="4579"/>
        <v>7192.0875100054482</v>
      </c>
      <c r="L7760" s="44"/>
      <c r="M7760" s="44">
        <f t="shared" si="4580"/>
        <v>7192.0875100054482</v>
      </c>
      <c r="N7760" s="173">
        <f t="shared" si="4581"/>
        <v>1</v>
      </c>
      <c r="O7760" s="44">
        <f t="shared" si="4582"/>
        <v>48</v>
      </c>
      <c r="P7760" s="44">
        <f t="shared" si="4583"/>
        <v>345220.20048026153</v>
      </c>
      <c r="Q7760" s="44">
        <f t="shared" si="4584"/>
        <v>70.824164705882353</v>
      </c>
      <c r="R7760" s="44">
        <f t="shared" si="4585"/>
        <v>509373.59038774518</v>
      </c>
      <c r="S7760" s="123"/>
      <c r="T7760" s="219">
        <f t="shared" si="4586"/>
        <v>509373.59038774518</v>
      </c>
      <c r="U7760" s="87"/>
      <c r="V7760" s="47"/>
      <c r="W7760" s="48"/>
      <c r="X7760" s="48"/>
      <c r="Y7760" s="48"/>
      <c r="Z7760" s="135"/>
      <c r="AA7760" s="49"/>
      <c r="AB7760" s="50">
        <f t="shared" si="4587"/>
        <v>70.824164705882353</v>
      </c>
      <c r="AC7760" s="42">
        <f t="shared" si="4588"/>
        <v>7192.0875100054482</v>
      </c>
      <c r="AD7760" s="90">
        <f>AD7761+AD7770+AD7778</f>
        <v>509373.59038774518</v>
      </c>
      <c r="AE7760" s="188">
        <f t="shared" ref="AE7760:AH7760" si="5430">AE7761+AE7770+AE7778</f>
        <v>0</v>
      </c>
      <c r="AF7760" s="189">
        <f t="shared" si="5430"/>
        <v>0</v>
      </c>
      <c r="AG7760" s="189">
        <f t="shared" si="5430"/>
        <v>0</v>
      </c>
      <c r="AH7760" s="189">
        <f t="shared" si="5430"/>
        <v>0</v>
      </c>
      <c r="AI7760" s="161">
        <f t="shared" ref="AI7760:AI7761" si="5431">SUM(AE7760:AH7760)</f>
        <v>0</v>
      </c>
      <c r="AK7760" s="169">
        <v>5</v>
      </c>
      <c r="AO7760" s="19" t="s">
        <v>63</v>
      </c>
    </row>
    <row r="7761" spans="1:37" s="103" customFormat="1" ht="19.899999999999999" customHeight="1" x14ac:dyDescent="0.25">
      <c r="A7761" s="51"/>
      <c r="B7761" s="52"/>
      <c r="C7761" s="165"/>
      <c r="D7761" s="52"/>
      <c r="E7761" s="115"/>
      <c r="F7761" s="58"/>
      <c r="G7761" s="58"/>
      <c r="H7761" s="58"/>
      <c r="I7761" s="55"/>
      <c r="J7761" s="113">
        <f>J7760</f>
        <v>7192.0875100054482</v>
      </c>
      <c r="K7761" s="212">
        <f>K7760</f>
        <v>7192.0875100054482</v>
      </c>
      <c r="L7761" s="58"/>
      <c r="M7761" s="58">
        <f>K7761-L7761</f>
        <v>7192.0875100054482</v>
      </c>
      <c r="N7761" s="166"/>
      <c r="O7761" s="58"/>
      <c r="P7761" s="58"/>
      <c r="Q7761" s="58"/>
      <c r="R7761" s="58"/>
      <c r="S7761" s="58"/>
      <c r="T7761" s="220"/>
      <c r="U7761" s="88"/>
      <c r="V7761" s="56"/>
      <c r="W7761" s="57" t="s">
        <v>1103</v>
      </c>
      <c r="X7761" s="53"/>
      <c r="Y7761" s="91" t="s">
        <v>68</v>
      </c>
      <c r="Z7761" s="136">
        <f>AD7761/AC7761</f>
        <v>4.0741647058823522</v>
      </c>
      <c r="AA7761" s="58"/>
      <c r="AB7761" s="53">
        <f>AD7761/AC7761</f>
        <v>4.0741647058823522</v>
      </c>
      <c r="AC7761" s="53">
        <f>M7761+$AE$10</f>
        <v>7192.0875100054482</v>
      </c>
      <c r="AD7761" s="54">
        <f>SUM(AD7762:AD7769)</f>
        <v>29301.749094881488</v>
      </c>
      <c r="AE7761" s="184">
        <f>SUMIFS($AD$37:$AD$12971,$V$37:$V$12971,$V7761,$X$37:$X$12971,AE$13)</f>
        <v>0</v>
      </c>
      <c r="AF7761" s="185">
        <f>SUMIFS($AD$37:$AD$12971,$V$37:$V$12971,$V7761,$X$37:$X$12971,AF$13)</f>
        <v>0</v>
      </c>
      <c r="AG7761" s="185">
        <f>SUMIFS($AD$37:$AD$12971,$V$37:$V$12971,$V7761,$X$37:$X$12971,AG$13)</f>
        <v>0</v>
      </c>
      <c r="AH7761" s="187">
        <f>SUMIFS($AD$37:$AD$12971,$V$37:$V$12971,$V7761,$X$37:$X$12971,AH$13)</f>
        <v>0</v>
      </c>
      <c r="AI7761" s="161">
        <f t="shared" si="5431"/>
        <v>0</v>
      </c>
      <c r="AK7761" s="172"/>
    </row>
    <row r="7762" spans="1:37" s="102" customFormat="1" ht="19.899999999999999" customHeight="1" x14ac:dyDescent="0.25">
      <c r="A7762" s="45"/>
      <c r="B7762" s="59"/>
      <c r="C7762" s="137"/>
      <c r="D7762" s="59"/>
      <c r="E7762" s="116"/>
      <c r="F7762" s="120"/>
      <c r="G7762" s="120"/>
      <c r="H7762" s="120"/>
      <c r="I7762" s="60"/>
      <c r="J7762" s="116"/>
      <c r="K7762" s="213"/>
      <c r="L7762" s="120"/>
      <c r="M7762" s="120"/>
      <c r="N7762" s="167"/>
      <c r="O7762" s="120"/>
      <c r="P7762" s="120"/>
      <c r="Q7762" s="120"/>
      <c r="R7762" s="120"/>
      <c r="S7762" s="120"/>
      <c r="T7762" s="221"/>
      <c r="U7762" s="89"/>
      <c r="V7762" s="61"/>
      <c r="W7762" s="92" t="s">
        <v>129</v>
      </c>
      <c r="X7762" s="93" t="s">
        <v>29</v>
      </c>
      <c r="Y7762" s="93" t="s">
        <v>93</v>
      </c>
      <c r="Z7762" s="134">
        <f>VLOOKUP(W7762,Sheet2!$B:$D,3,FALSE)</f>
        <v>56</v>
      </c>
      <c r="AA7762" s="93">
        <f>100/(0.6*1.25)</f>
        <v>133.33333333333334</v>
      </c>
      <c r="AB7762" s="93">
        <f t="shared" ref="AB7762" si="5432">AD7762/AC7761</f>
        <v>0.42</v>
      </c>
      <c r="AC7762" s="93">
        <f>AC7761/AA7762</f>
        <v>53.940656325040855</v>
      </c>
      <c r="AD7762" s="94">
        <f t="shared" ref="AD7762:AD7763" si="5433">AC7762*Z7762</f>
        <v>3020.6767542022881</v>
      </c>
      <c r="AE7762" s="190"/>
      <c r="AF7762" s="191"/>
      <c r="AG7762" s="191"/>
      <c r="AH7762" s="191"/>
      <c r="AI7762" s="186"/>
      <c r="AK7762" s="171"/>
    </row>
    <row r="7763" spans="1:37" s="102" customFormat="1" ht="19.899999999999999" customHeight="1" x14ac:dyDescent="0.25">
      <c r="A7763" s="45"/>
      <c r="B7763" s="59"/>
      <c r="C7763" s="137"/>
      <c r="D7763" s="59"/>
      <c r="E7763" s="116"/>
      <c r="F7763" s="120"/>
      <c r="G7763" s="120"/>
      <c r="H7763" s="120"/>
      <c r="I7763" s="60"/>
      <c r="J7763" s="116"/>
      <c r="K7763" s="213"/>
      <c r="L7763" s="120"/>
      <c r="M7763" s="120"/>
      <c r="N7763" s="167"/>
      <c r="O7763" s="120"/>
      <c r="P7763" s="120"/>
      <c r="Q7763" s="120"/>
      <c r="R7763" s="120"/>
      <c r="S7763" s="120"/>
      <c r="T7763" s="221"/>
      <c r="U7763" s="89"/>
      <c r="V7763" s="61"/>
      <c r="W7763" s="92" t="s">
        <v>65</v>
      </c>
      <c r="X7763" s="93" t="s">
        <v>30</v>
      </c>
      <c r="Y7763" s="93" t="s">
        <v>1011</v>
      </c>
      <c r="Z7763" s="134">
        <f>VLOOKUP(W7763,Sheet2!$B:$D,3,FALSE)</f>
        <v>1.76</v>
      </c>
      <c r="AA7763" s="93">
        <f>AA7762/14</f>
        <v>9.5238095238095237</v>
      </c>
      <c r="AB7763" s="93">
        <f>AD7763/AC7761</f>
        <v>0.18479999999999999</v>
      </c>
      <c r="AC7763" s="93">
        <f>AC7761/AA7763</f>
        <v>755.16918855057202</v>
      </c>
      <c r="AD7763" s="94">
        <f t="shared" si="5433"/>
        <v>1329.0977718490067</v>
      </c>
      <c r="AE7763" s="190"/>
      <c r="AF7763" s="191"/>
      <c r="AG7763" s="191"/>
      <c r="AH7763" s="191"/>
      <c r="AI7763" s="186"/>
      <c r="AK7763" s="171"/>
    </row>
    <row r="7764" spans="1:37" s="102" customFormat="1" ht="19.899999999999999" customHeight="1" x14ac:dyDescent="0.25">
      <c r="A7764" s="45"/>
      <c r="B7764" s="59"/>
      <c r="C7764" s="137"/>
      <c r="D7764" s="59"/>
      <c r="E7764" s="116"/>
      <c r="F7764" s="120"/>
      <c r="G7764" s="120"/>
      <c r="H7764" s="120"/>
      <c r="I7764" s="60"/>
      <c r="J7764" s="116"/>
      <c r="K7764" s="213"/>
      <c r="L7764" s="120"/>
      <c r="M7764" s="120"/>
      <c r="N7764" s="167"/>
      <c r="O7764" s="120"/>
      <c r="P7764" s="120"/>
      <c r="Q7764" s="120"/>
      <c r="R7764" s="120"/>
      <c r="S7764" s="120"/>
      <c r="T7764" s="221"/>
      <c r="U7764" s="89"/>
      <c r="V7764" s="61"/>
      <c r="W7764" s="92" t="s">
        <v>161</v>
      </c>
      <c r="X7764" s="93" t="s">
        <v>29</v>
      </c>
      <c r="Y7764" s="93" t="s">
        <v>93</v>
      </c>
      <c r="Z7764" s="134">
        <f>VLOOKUP(W7764,Sheet2!$B:$D,3,FALSE)</f>
        <v>48</v>
      </c>
      <c r="AA7764" s="93">
        <f>(16*0.85*1.5)/(0.6*1.25)</f>
        <v>27.2</v>
      </c>
      <c r="AB7764" s="93">
        <f>AD7764/AC7761</f>
        <v>1.7647058823529411</v>
      </c>
      <c r="AC7764" s="93">
        <f>AC7761/AA7764</f>
        <v>264.41498198549442</v>
      </c>
      <c r="AD7764" s="94">
        <f>AC7764*Z7764</f>
        <v>12691.919135303731</v>
      </c>
      <c r="AE7764" s="190"/>
      <c r="AF7764" s="191"/>
      <c r="AG7764" s="191"/>
      <c r="AH7764" s="191"/>
      <c r="AI7764" s="186"/>
      <c r="AK7764" s="171"/>
    </row>
    <row r="7765" spans="1:37" s="102" customFormat="1" ht="19.899999999999999" customHeight="1" x14ac:dyDescent="0.25">
      <c r="A7765" s="45"/>
      <c r="B7765" s="59"/>
      <c r="C7765" s="137"/>
      <c r="D7765" s="59"/>
      <c r="E7765" s="116"/>
      <c r="F7765" s="120"/>
      <c r="G7765" s="120"/>
      <c r="H7765" s="120"/>
      <c r="I7765" s="60"/>
      <c r="J7765" s="116"/>
      <c r="K7765" s="213"/>
      <c r="L7765" s="120"/>
      <c r="M7765" s="120"/>
      <c r="N7765" s="167"/>
      <c r="O7765" s="120"/>
      <c r="P7765" s="120"/>
      <c r="Q7765" s="120"/>
      <c r="R7765" s="120"/>
      <c r="S7765" s="120"/>
      <c r="T7765" s="221"/>
      <c r="U7765" s="89"/>
      <c r="V7765" s="61"/>
      <c r="W7765" s="92" t="s">
        <v>65</v>
      </c>
      <c r="X7765" s="93" t="s">
        <v>30</v>
      </c>
      <c r="Y7765" s="93" t="s">
        <v>1011</v>
      </c>
      <c r="Z7765" s="134">
        <f>VLOOKUP(W7765,Sheet2!$B:$D,3,FALSE)</f>
        <v>1.76</v>
      </c>
      <c r="AA7765" s="93">
        <f>AA7764/10</f>
        <v>2.7199999999999998</v>
      </c>
      <c r="AB7765" s="93">
        <f>AD7765/AC7761</f>
        <v>0.64705882352941191</v>
      </c>
      <c r="AC7765" s="93">
        <f>AC7761/AA7765</f>
        <v>2644.1498198549443</v>
      </c>
      <c r="AD7765" s="94">
        <f>AC7765*Z7765</f>
        <v>4653.7036829447025</v>
      </c>
      <c r="AE7765" s="190"/>
      <c r="AF7765" s="191"/>
      <c r="AG7765" s="191"/>
      <c r="AH7765" s="191"/>
      <c r="AI7765" s="186"/>
      <c r="AK7765" s="171"/>
    </row>
    <row r="7766" spans="1:37" s="102" customFormat="1" ht="19.899999999999999" customHeight="1" x14ac:dyDescent="0.25">
      <c r="A7766" s="45"/>
      <c r="B7766" s="59"/>
      <c r="C7766" s="137"/>
      <c r="D7766" s="59"/>
      <c r="E7766" s="116"/>
      <c r="F7766" s="120"/>
      <c r="G7766" s="120"/>
      <c r="H7766" s="120"/>
      <c r="I7766" s="60"/>
      <c r="J7766" s="116"/>
      <c r="K7766" s="213"/>
      <c r="L7766" s="120"/>
      <c r="M7766" s="120"/>
      <c r="N7766" s="167"/>
      <c r="O7766" s="120"/>
      <c r="P7766" s="120"/>
      <c r="Q7766" s="120"/>
      <c r="R7766" s="120"/>
      <c r="S7766" s="120"/>
      <c r="T7766" s="221"/>
      <c r="U7766" s="89"/>
      <c r="V7766" s="61"/>
      <c r="W7766" s="92" t="s">
        <v>1030</v>
      </c>
      <c r="X7766" s="93" t="s">
        <v>29</v>
      </c>
      <c r="Y7766" s="93" t="s">
        <v>93</v>
      </c>
      <c r="Z7766" s="134">
        <f>VLOOKUP(W7766,Sheet2!$B:$D,3,FALSE)</f>
        <v>23</v>
      </c>
      <c r="AA7766" s="93">
        <v>50</v>
      </c>
      <c r="AB7766" s="93">
        <f>AD7766/AC7761</f>
        <v>0.46</v>
      </c>
      <c r="AC7766" s="93">
        <f>AC7761/AA7766</f>
        <v>143.84175020010898</v>
      </c>
      <c r="AD7766" s="94">
        <f t="shared" ref="AD7766:AD7769" si="5434">AC7766*Z7766</f>
        <v>3308.3602546025063</v>
      </c>
      <c r="AE7766" s="190"/>
      <c r="AF7766" s="191"/>
      <c r="AG7766" s="191"/>
      <c r="AH7766" s="191"/>
      <c r="AI7766" s="186"/>
      <c r="AK7766" s="171"/>
    </row>
    <row r="7767" spans="1:37" s="102" customFormat="1" ht="19.899999999999999" customHeight="1" x14ac:dyDescent="0.25">
      <c r="A7767" s="45"/>
      <c r="B7767" s="59"/>
      <c r="C7767" s="137"/>
      <c r="D7767" s="59"/>
      <c r="E7767" s="116"/>
      <c r="F7767" s="120"/>
      <c r="G7767" s="120"/>
      <c r="H7767" s="120"/>
      <c r="I7767" s="60"/>
      <c r="J7767" s="116"/>
      <c r="K7767" s="213"/>
      <c r="L7767" s="120"/>
      <c r="M7767" s="120"/>
      <c r="N7767" s="167"/>
      <c r="O7767" s="120"/>
      <c r="P7767" s="120"/>
      <c r="Q7767" s="120"/>
      <c r="R7767" s="120"/>
      <c r="S7767" s="120"/>
      <c r="T7767" s="221"/>
      <c r="U7767" s="89"/>
      <c r="V7767" s="61"/>
      <c r="W7767" s="92" t="s">
        <v>65</v>
      </c>
      <c r="X7767" s="93" t="s">
        <v>30</v>
      </c>
      <c r="Y7767" s="93" t="s">
        <v>1011</v>
      </c>
      <c r="Z7767" s="134">
        <f>VLOOKUP(W7767,Sheet2!$B:$D,3,FALSE)</f>
        <v>1.76</v>
      </c>
      <c r="AA7767" s="93">
        <f>AA7766/3</f>
        <v>16.666666666666668</v>
      </c>
      <c r="AB7767" s="93">
        <f>AD7767/AC7761</f>
        <v>0.1056</v>
      </c>
      <c r="AC7767" s="93">
        <f>AC7761/AA7767</f>
        <v>431.52525060032684</v>
      </c>
      <c r="AD7767" s="94">
        <f t="shared" si="5434"/>
        <v>759.48444105657529</v>
      </c>
      <c r="AE7767" s="190"/>
      <c r="AF7767" s="191"/>
      <c r="AG7767" s="191"/>
      <c r="AH7767" s="191"/>
      <c r="AI7767" s="186"/>
      <c r="AK7767" s="171"/>
    </row>
    <row r="7768" spans="1:37" s="102" customFormat="1" ht="19.899999999999999" customHeight="1" x14ac:dyDescent="0.25">
      <c r="A7768" s="45"/>
      <c r="B7768" s="59"/>
      <c r="C7768" s="137"/>
      <c r="D7768" s="59"/>
      <c r="E7768" s="116"/>
      <c r="F7768" s="120"/>
      <c r="G7768" s="120"/>
      <c r="H7768" s="120"/>
      <c r="I7768" s="60"/>
      <c r="J7768" s="116"/>
      <c r="K7768" s="213"/>
      <c r="L7768" s="120"/>
      <c r="M7768" s="120"/>
      <c r="N7768" s="167"/>
      <c r="O7768" s="120"/>
      <c r="P7768" s="120"/>
      <c r="Q7768" s="120"/>
      <c r="R7768" s="120"/>
      <c r="S7768" s="120"/>
      <c r="T7768" s="221"/>
      <c r="U7768" s="89"/>
      <c r="V7768" s="61"/>
      <c r="W7768" s="92" t="s">
        <v>148</v>
      </c>
      <c r="X7768" s="93" t="s">
        <v>29</v>
      </c>
      <c r="Y7768" s="93" t="s">
        <v>93</v>
      </c>
      <c r="Z7768" s="134">
        <f>VLOOKUP(W7768,Sheet2!$B:$D,3,FALSE)</f>
        <v>48</v>
      </c>
      <c r="AA7768" s="93">
        <f>AA7762</f>
        <v>133.33333333333334</v>
      </c>
      <c r="AB7768" s="93">
        <f>AD7768/AC7761</f>
        <v>0.35999999999999993</v>
      </c>
      <c r="AC7768" s="93">
        <f>AC7761/AA7768</f>
        <v>53.940656325040855</v>
      </c>
      <c r="AD7768" s="94">
        <f t="shared" si="5434"/>
        <v>2589.1515036019609</v>
      </c>
      <c r="AE7768" s="190"/>
      <c r="AF7768" s="191"/>
      <c r="AG7768" s="191"/>
      <c r="AH7768" s="191"/>
      <c r="AI7768" s="186"/>
      <c r="AK7768" s="171"/>
    </row>
    <row r="7769" spans="1:37" s="102" customFormat="1" ht="19.899999999999999" customHeight="1" x14ac:dyDescent="0.25">
      <c r="A7769" s="45"/>
      <c r="B7769" s="59"/>
      <c r="C7769" s="137"/>
      <c r="D7769" s="59"/>
      <c r="E7769" s="116"/>
      <c r="F7769" s="120"/>
      <c r="G7769" s="120"/>
      <c r="H7769" s="120"/>
      <c r="I7769" s="60"/>
      <c r="J7769" s="116"/>
      <c r="K7769" s="213"/>
      <c r="L7769" s="120"/>
      <c r="M7769" s="120"/>
      <c r="N7769" s="167"/>
      <c r="O7769" s="120"/>
      <c r="P7769" s="120"/>
      <c r="Q7769" s="120"/>
      <c r="R7769" s="120"/>
      <c r="S7769" s="120"/>
      <c r="T7769" s="221"/>
      <c r="U7769" s="89"/>
      <c r="V7769" s="61"/>
      <c r="W7769" s="92" t="s">
        <v>65</v>
      </c>
      <c r="X7769" s="93" t="s">
        <v>30</v>
      </c>
      <c r="Y7769" s="93" t="s">
        <v>1011</v>
      </c>
      <c r="Z7769" s="134">
        <f>VLOOKUP(W7769,Sheet2!$B:$D,3,FALSE)</f>
        <v>1.76</v>
      </c>
      <c r="AA7769" s="93">
        <f>AA7768/10</f>
        <v>13.333333333333334</v>
      </c>
      <c r="AB7769" s="93">
        <f>AD7769/AC7761</f>
        <v>0.13199999999999998</v>
      </c>
      <c r="AC7769" s="93">
        <f>AC7761/AA7769</f>
        <v>539.40656325040857</v>
      </c>
      <c r="AD7769" s="94">
        <f t="shared" si="5434"/>
        <v>949.35555132071909</v>
      </c>
      <c r="AE7769" s="190"/>
      <c r="AF7769" s="191"/>
      <c r="AG7769" s="191"/>
      <c r="AH7769" s="191"/>
      <c r="AI7769" s="186"/>
      <c r="AK7769" s="171"/>
    </row>
    <row r="7770" spans="1:37" s="103" customFormat="1" ht="19.899999999999999" customHeight="1" x14ac:dyDescent="0.25">
      <c r="A7770" s="51"/>
      <c r="B7770" s="52"/>
      <c r="C7770" s="165"/>
      <c r="D7770" s="52"/>
      <c r="E7770" s="115"/>
      <c r="F7770" s="58"/>
      <c r="G7770" s="58"/>
      <c r="H7770" s="58"/>
      <c r="I7770" s="55"/>
      <c r="J7770" s="113">
        <f>J7760</f>
        <v>7192.0875100054482</v>
      </c>
      <c r="K7770" s="212">
        <f>K7760</f>
        <v>7192.0875100054482</v>
      </c>
      <c r="L7770" s="58"/>
      <c r="M7770" s="58">
        <f>K7770-L7770</f>
        <v>7192.0875100054482</v>
      </c>
      <c r="N7770" s="166"/>
      <c r="O7770" s="58"/>
      <c r="P7770" s="58"/>
      <c r="Q7770" s="58"/>
      <c r="R7770" s="58"/>
      <c r="S7770" s="58"/>
      <c r="T7770" s="220"/>
      <c r="U7770" s="88"/>
      <c r="V7770" s="56"/>
      <c r="W7770" s="57" t="s">
        <v>1036</v>
      </c>
      <c r="X7770" s="53"/>
      <c r="Y7770" s="91" t="s">
        <v>68</v>
      </c>
      <c r="Z7770" s="136">
        <f>AD7770/AC7770</f>
        <v>61.75</v>
      </c>
      <c r="AA7770" s="58"/>
      <c r="AB7770" s="53">
        <f>AD7770/AC7770</f>
        <v>61.75</v>
      </c>
      <c r="AC7770" s="53">
        <f>M7770+$AE$10</f>
        <v>7192.0875100054482</v>
      </c>
      <c r="AD7770" s="54">
        <f>SUM(AD7771:AD7777)</f>
        <v>444111.40374283644</v>
      </c>
      <c r="AE7770" s="184">
        <f>SUMIFS($AD$37:$AD$12971,$V$37:$V$12971,$V7770,$X$37:$X$12971,AE$13)</f>
        <v>0</v>
      </c>
      <c r="AF7770" s="185">
        <f>SUMIFS($AD$37:$AD$12971,$V$37:$V$12971,$V7770,$X$37:$X$12971,AF$13)</f>
        <v>0</v>
      </c>
      <c r="AG7770" s="185">
        <f>SUMIFS($AD$37:$AD$12971,$V$37:$V$12971,$V7770,$X$37:$X$12971,AG$13)</f>
        <v>0</v>
      </c>
      <c r="AH7770" s="187">
        <f>SUMIFS($AD$37:$AD$12971,$V$37:$V$12971,$V7770,$X$37:$X$12971,AH$13)</f>
        <v>0</v>
      </c>
      <c r="AI7770" s="161">
        <f t="shared" ref="AI7770" si="5435">SUM(AE7770:AH7770)</f>
        <v>0</v>
      </c>
      <c r="AK7770" s="172"/>
    </row>
    <row r="7771" spans="1:37" s="102" customFormat="1" ht="19.899999999999999" customHeight="1" x14ac:dyDescent="0.25">
      <c r="A7771" s="45"/>
      <c r="B7771" s="59"/>
      <c r="C7771" s="137"/>
      <c r="D7771" s="59"/>
      <c r="E7771" s="116"/>
      <c r="F7771" s="120"/>
      <c r="G7771" s="120"/>
      <c r="H7771" s="120"/>
      <c r="I7771" s="60"/>
      <c r="J7771" s="116"/>
      <c r="K7771" s="213"/>
      <c r="L7771" s="120"/>
      <c r="M7771" s="120"/>
      <c r="N7771" s="167"/>
      <c r="O7771" s="120"/>
      <c r="P7771" s="120"/>
      <c r="Q7771" s="120"/>
      <c r="R7771" s="120"/>
      <c r="S7771" s="120"/>
      <c r="T7771" s="221"/>
      <c r="U7771" s="89"/>
      <c r="V7771" s="61"/>
      <c r="W7771" s="92" t="s">
        <v>1101</v>
      </c>
      <c r="X7771" s="93" t="s">
        <v>30</v>
      </c>
      <c r="Y7771" s="93" t="s">
        <v>68</v>
      </c>
      <c r="Z7771" s="134">
        <f>VLOOKUP(W7771,Sheet2!$B:$D,3,FALSE)</f>
        <v>33.5</v>
      </c>
      <c r="AA7771" s="93">
        <v>1</v>
      </c>
      <c r="AB7771" s="93">
        <f>AD7771/AC7770</f>
        <v>33.5</v>
      </c>
      <c r="AC7771" s="93">
        <f>AC7770/AA7771</f>
        <v>7192.0875100054482</v>
      </c>
      <c r="AD7771" s="94">
        <f t="shared" ref="AD7771" si="5436">AC7771*Z7771</f>
        <v>240934.93158518252</v>
      </c>
      <c r="AE7771" s="190"/>
      <c r="AF7771" s="191"/>
      <c r="AG7771" s="191"/>
      <c r="AH7771" s="191"/>
      <c r="AI7771" s="186"/>
      <c r="AK7771" s="171"/>
    </row>
    <row r="7772" spans="1:37" s="102" customFormat="1" ht="19.899999999999999" customHeight="1" x14ac:dyDescent="0.25">
      <c r="A7772" s="45"/>
      <c r="B7772" s="59"/>
      <c r="C7772" s="137"/>
      <c r="D7772" s="59"/>
      <c r="E7772" s="116"/>
      <c r="F7772" s="120"/>
      <c r="G7772" s="120"/>
      <c r="H7772" s="120"/>
      <c r="I7772" s="60"/>
      <c r="J7772" s="116"/>
      <c r="K7772" s="213"/>
      <c r="L7772" s="120"/>
      <c r="M7772" s="120"/>
      <c r="N7772" s="167"/>
      <c r="O7772" s="120"/>
      <c r="P7772" s="120"/>
      <c r="Q7772" s="120"/>
      <c r="R7772" s="120"/>
      <c r="S7772" s="120"/>
      <c r="T7772" s="221"/>
      <c r="U7772" s="89"/>
      <c r="V7772" s="61"/>
      <c r="W7772" s="92" t="s">
        <v>1102</v>
      </c>
      <c r="X7772" s="93" t="s">
        <v>30</v>
      </c>
      <c r="Y7772" s="93" t="s">
        <v>68</v>
      </c>
      <c r="Z7772" s="134">
        <f>VLOOKUP(W7772,Sheet2!$B:$D,3,FALSE)</f>
        <v>2</v>
      </c>
      <c r="AA7772" s="93">
        <v>1</v>
      </c>
      <c r="AB7772" s="93">
        <f>AD7772/AC7770</f>
        <v>2</v>
      </c>
      <c r="AC7772" s="93">
        <f>AC7770/AA7772</f>
        <v>7192.0875100054482</v>
      </c>
      <c r="AD7772" s="94">
        <f>AC7772*Z7772</f>
        <v>14384.175020010896</v>
      </c>
      <c r="AE7772" s="190"/>
      <c r="AF7772" s="191"/>
      <c r="AG7772" s="191"/>
      <c r="AH7772" s="191"/>
      <c r="AI7772" s="186"/>
      <c r="AK7772" s="171"/>
    </row>
    <row r="7773" spans="1:37" s="102" customFormat="1" ht="19.899999999999999" customHeight="1" x14ac:dyDescent="0.25">
      <c r="A7773" s="45"/>
      <c r="B7773" s="59"/>
      <c r="C7773" s="137"/>
      <c r="D7773" s="59"/>
      <c r="E7773" s="116"/>
      <c r="F7773" s="120"/>
      <c r="G7773" s="120"/>
      <c r="H7773" s="120"/>
      <c r="I7773" s="60"/>
      <c r="J7773" s="116"/>
      <c r="K7773" s="213"/>
      <c r="L7773" s="120"/>
      <c r="M7773" s="120"/>
      <c r="N7773" s="167"/>
      <c r="O7773" s="120"/>
      <c r="P7773" s="120"/>
      <c r="Q7773" s="120"/>
      <c r="R7773" s="120"/>
      <c r="S7773" s="120"/>
      <c r="T7773" s="221"/>
      <c r="U7773" s="89"/>
      <c r="V7773" s="61"/>
      <c r="W7773" s="92" t="s">
        <v>107</v>
      </c>
      <c r="X7773" s="93" t="s">
        <v>31</v>
      </c>
      <c r="Y7773" s="93" t="s">
        <v>93</v>
      </c>
      <c r="Z7773" s="134">
        <f>VLOOKUP(W7773,Sheet2!$B:$D,3,FALSE)</f>
        <v>17</v>
      </c>
      <c r="AA7773" s="93">
        <v>18</v>
      </c>
      <c r="AB7773" s="93">
        <f>AD7773/AC7770</f>
        <v>0.94444444444444442</v>
      </c>
      <c r="AC7773" s="93">
        <f>AC7770/AA7773</f>
        <v>399.5604172225249</v>
      </c>
      <c r="AD7773" s="94">
        <f>AC7773*Z7773</f>
        <v>6792.5270927829233</v>
      </c>
      <c r="AE7773" s="190"/>
      <c r="AF7773" s="191"/>
      <c r="AG7773" s="191"/>
      <c r="AH7773" s="191"/>
      <c r="AI7773" s="186"/>
      <c r="AK7773" s="171"/>
    </row>
    <row r="7774" spans="1:37" s="102" customFormat="1" ht="19.899999999999999" customHeight="1" x14ac:dyDescent="0.25">
      <c r="A7774" s="45"/>
      <c r="B7774" s="59"/>
      <c r="C7774" s="137"/>
      <c r="D7774" s="59"/>
      <c r="E7774" s="116"/>
      <c r="F7774" s="120"/>
      <c r="G7774" s="120"/>
      <c r="H7774" s="120"/>
      <c r="I7774" s="60"/>
      <c r="J7774" s="116"/>
      <c r="K7774" s="213"/>
      <c r="L7774" s="120"/>
      <c r="M7774" s="120"/>
      <c r="N7774" s="167"/>
      <c r="O7774" s="120"/>
      <c r="P7774" s="120"/>
      <c r="Q7774" s="120"/>
      <c r="R7774" s="120"/>
      <c r="S7774" s="120"/>
      <c r="T7774" s="221"/>
      <c r="U7774" s="89"/>
      <c r="V7774" s="61"/>
      <c r="W7774" s="92" t="s">
        <v>112</v>
      </c>
      <c r="X7774" s="93" t="s">
        <v>31</v>
      </c>
      <c r="Y7774" s="93" t="s">
        <v>93</v>
      </c>
      <c r="Z7774" s="134">
        <f>VLOOKUP(W7774,Sheet2!$B:$D,3,FALSE)</f>
        <v>13</v>
      </c>
      <c r="AA7774" s="93">
        <f>AA7773</f>
        <v>18</v>
      </c>
      <c r="AB7774" s="93">
        <f>AD7774/AC7770</f>
        <v>0.72222222222222221</v>
      </c>
      <c r="AC7774" s="93">
        <f>AC7770/AA7774</f>
        <v>399.5604172225249</v>
      </c>
      <c r="AD7774" s="94">
        <f>AC7774*Z7774</f>
        <v>5194.2854238928239</v>
      </c>
      <c r="AE7774" s="190"/>
      <c r="AF7774" s="191"/>
      <c r="AG7774" s="191"/>
      <c r="AH7774" s="191"/>
      <c r="AI7774" s="186"/>
      <c r="AK7774" s="171"/>
    </row>
    <row r="7775" spans="1:37" s="102" customFormat="1" ht="19.899999999999999" customHeight="1" x14ac:dyDescent="0.25">
      <c r="A7775" s="45"/>
      <c r="B7775" s="59"/>
      <c r="C7775" s="137"/>
      <c r="D7775" s="59"/>
      <c r="E7775" s="116"/>
      <c r="F7775" s="120"/>
      <c r="G7775" s="120"/>
      <c r="H7775" s="120"/>
      <c r="I7775" s="60"/>
      <c r="J7775" s="116"/>
      <c r="K7775" s="213"/>
      <c r="L7775" s="120"/>
      <c r="M7775" s="120"/>
      <c r="N7775" s="167"/>
      <c r="O7775" s="120"/>
      <c r="P7775" s="120"/>
      <c r="Q7775" s="120"/>
      <c r="R7775" s="120"/>
      <c r="S7775" s="120"/>
      <c r="T7775" s="221"/>
      <c r="U7775" s="89"/>
      <c r="V7775" s="61"/>
      <c r="W7775" s="92" t="s">
        <v>1032</v>
      </c>
      <c r="X7775" s="93" t="s">
        <v>30</v>
      </c>
      <c r="Y7775" s="93" t="s">
        <v>66</v>
      </c>
      <c r="Z7775" s="134">
        <f>VLOOKUP(W7775,Sheet2!$B:$D,3,FALSE)</f>
        <v>250</v>
      </c>
      <c r="AA7775" s="93">
        <f>1/(0.6*0.1)</f>
        <v>16.666666666666668</v>
      </c>
      <c r="AB7775" s="93">
        <f>AD7775/AC7770</f>
        <v>15</v>
      </c>
      <c r="AC7775" s="93">
        <f>AC7770/AA7775</f>
        <v>431.52525060032684</v>
      </c>
      <c r="AD7775" s="94">
        <f>AC7775*Z7775</f>
        <v>107881.31265008172</v>
      </c>
      <c r="AE7775" s="190"/>
      <c r="AF7775" s="191"/>
      <c r="AG7775" s="191"/>
      <c r="AH7775" s="191"/>
      <c r="AI7775" s="186"/>
      <c r="AK7775" s="171"/>
    </row>
    <row r="7776" spans="1:37" s="102" customFormat="1" ht="19.899999999999999" customHeight="1" x14ac:dyDescent="0.25">
      <c r="A7776" s="45"/>
      <c r="B7776" s="59"/>
      <c r="C7776" s="137"/>
      <c r="D7776" s="59"/>
      <c r="E7776" s="116"/>
      <c r="F7776" s="120"/>
      <c r="G7776" s="120"/>
      <c r="H7776" s="120"/>
      <c r="I7776" s="60"/>
      <c r="J7776" s="116"/>
      <c r="K7776" s="213"/>
      <c r="L7776" s="120"/>
      <c r="M7776" s="120"/>
      <c r="N7776" s="167"/>
      <c r="O7776" s="120"/>
      <c r="P7776" s="120"/>
      <c r="Q7776" s="120"/>
      <c r="R7776" s="120"/>
      <c r="S7776" s="120"/>
      <c r="T7776" s="221"/>
      <c r="U7776" s="89"/>
      <c r="V7776" s="61"/>
      <c r="W7776" s="92" t="s">
        <v>1035</v>
      </c>
      <c r="X7776" s="93" t="s">
        <v>32</v>
      </c>
      <c r="Y7776" s="93" t="s">
        <v>66</v>
      </c>
      <c r="Z7776" s="134">
        <f>VLOOKUP(W7776,Sheet2!$B:$D,3,FALSE)</f>
        <v>150</v>
      </c>
      <c r="AA7776" s="93">
        <f>AA7775</f>
        <v>16.666666666666668</v>
      </c>
      <c r="AB7776" s="93">
        <f>AD7776/AC7770</f>
        <v>8.9999999999999982</v>
      </c>
      <c r="AC7776" s="93">
        <f>AC7770/AA7776</f>
        <v>431.52525060032684</v>
      </c>
      <c r="AD7776" s="94">
        <f t="shared" ref="AD7776:AD7777" si="5437">AC7776*Z7776</f>
        <v>64728.787590049025</v>
      </c>
      <c r="AE7776" s="190"/>
      <c r="AF7776" s="191"/>
      <c r="AG7776" s="191"/>
      <c r="AH7776" s="191"/>
      <c r="AI7776" s="186"/>
      <c r="AK7776" s="171"/>
    </row>
    <row r="7777" spans="1:41" s="102" customFormat="1" ht="19.899999999999999" customHeight="1" x14ac:dyDescent="0.25">
      <c r="A7777" s="45"/>
      <c r="B7777" s="59"/>
      <c r="C7777" s="137"/>
      <c r="D7777" s="59"/>
      <c r="E7777" s="116"/>
      <c r="F7777" s="120"/>
      <c r="G7777" s="120"/>
      <c r="H7777" s="120"/>
      <c r="I7777" s="60"/>
      <c r="J7777" s="116"/>
      <c r="K7777" s="213"/>
      <c r="L7777" s="120"/>
      <c r="M7777" s="120"/>
      <c r="N7777" s="167"/>
      <c r="O7777" s="120"/>
      <c r="P7777" s="120"/>
      <c r="Q7777" s="120"/>
      <c r="R7777" s="120"/>
      <c r="S7777" s="120"/>
      <c r="T7777" s="221"/>
      <c r="U7777" s="89"/>
      <c r="V7777" s="61"/>
      <c r="W7777" s="92" t="s">
        <v>1037</v>
      </c>
      <c r="X7777" s="93" t="s">
        <v>30</v>
      </c>
      <c r="Y7777" s="93" t="s">
        <v>1038</v>
      </c>
      <c r="Z7777" s="134">
        <f>VLOOKUP(W7777,Sheet2!$B:$D,3,FALSE)</f>
        <v>175</v>
      </c>
      <c r="AA7777" s="93">
        <v>300</v>
      </c>
      <c r="AB7777" s="93">
        <f>AD7777/AC7770</f>
        <v>0.58333333333333326</v>
      </c>
      <c r="AC7777" s="93">
        <f>AC7770/AA7777</f>
        <v>23.973625033351492</v>
      </c>
      <c r="AD7777" s="94">
        <f t="shared" si="5437"/>
        <v>4195.3843808365109</v>
      </c>
      <c r="AE7777" s="190"/>
      <c r="AF7777" s="191"/>
      <c r="AG7777" s="191"/>
      <c r="AH7777" s="191"/>
      <c r="AI7777" s="186"/>
      <c r="AK7777" s="171"/>
    </row>
    <row r="7778" spans="1:41" s="103" customFormat="1" ht="19.899999999999999" customHeight="1" x14ac:dyDescent="0.25">
      <c r="A7778" s="51"/>
      <c r="B7778" s="52"/>
      <c r="C7778" s="165"/>
      <c r="D7778" s="52"/>
      <c r="E7778" s="115"/>
      <c r="F7778" s="58"/>
      <c r="G7778" s="58"/>
      <c r="H7778" s="58"/>
      <c r="I7778" s="55"/>
      <c r="J7778" s="113">
        <f>J7760</f>
        <v>7192.0875100054482</v>
      </c>
      <c r="K7778" s="212">
        <f>K7760</f>
        <v>7192.0875100054482</v>
      </c>
      <c r="L7778" s="58"/>
      <c r="M7778" s="58">
        <f>K7778-L7778</f>
        <v>7192.0875100054482</v>
      </c>
      <c r="N7778" s="166"/>
      <c r="O7778" s="58"/>
      <c r="P7778" s="58"/>
      <c r="Q7778" s="58"/>
      <c r="R7778" s="58"/>
      <c r="S7778" s="58"/>
      <c r="T7778" s="220"/>
      <c r="U7778" s="88"/>
      <c r="V7778" s="56"/>
      <c r="W7778" s="57" t="s">
        <v>1040</v>
      </c>
      <c r="X7778" s="53"/>
      <c r="Y7778" s="91" t="s">
        <v>68</v>
      </c>
      <c r="Z7778" s="136">
        <f>AD7778/AC7778</f>
        <v>5</v>
      </c>
      <c r="AA7778" s="58"/>
      <c r="AB7778" s="53">
        <f>AD7778/AC7778</f>
        <v>5</v>
      </c>
      <c r="AC7778" s="53">
        <f>M7778+$AE$10</f>
        <v>7192.0875100054482</v>
      </c>
      <c r="AD7778" s="54">
        <f>SUM(AD7779)</f>
        <v>35960.437550027244</v>
      </c>
      <c r="AE7778" s="184">
        <f>SUMIFS($AD$37:$AD$12971,$V$37:$V$12971,$V7778,$X$37:$X$12971,AE$13)</f>
        <v>0</v>
      </c>
      <c r="AF7778" s="185">
        <f>SUMIFS($AD$37:$AD$12971,$V$37:$V$12971,$V7778,$X$37:$X$12971,AF$13)</f>
        <v>0</v>
      </c>
      <c r="AG7778" s="185">
        <f>SUMIFS($AD$37:$AD$12971,$V$37:$V$12971,$V7778,$X$37:$X$12971,AG$13)</f>
        <v>0</v>
      </c>
      <c r="AH7778" s="187">
        <f>SUMIFS($AD$37:$AD$12971,$V$37:$V$12971,$V7778,$X$37:$X$12971,AH$13)</f>
        <v>0</v>
      </c>
      <c r="AI7778" s="161">
        <f t="shared" ref="AI7778" si="5438">SUM(AE7778:AH7778)</f>
        <v>0</v>
      </c>
      <c r="AK7778" s="172"/>
    </row>
    <row r="7779" spans="1:41" s="102" customFormat="1" ht="19.899999999999999" customHeight="1" x14ac:dyDescent="0.25">
      <c r="A7779" s="45"/>
      <c r="B7779" s="59"/>
      <c r="C7779" s="137"/>
      <c r="D7779" s="59"/>
      <c r="E7779" s="116"/>
      <c r="F7779" s="120"/>
      <c r="G7779" s="120"/>
      <c r="H7779" s="120"/>
      <c r="I7779" s="60"/>
      <c r="J7779" s="116"/>
      <c r="K7779" s="213"/>
      <c r="L7779" s="120"/>
      <c r="M7779" s="120"/>
      <c r="N7779" s="167"/>
      <c r="O7779" s="120"/>
      <c r="P7779" s="120"/>
      <c r="Q7779" s="120"/>
      <c r="R7779" s="120"/>
      <c r="S7779" s="120"/>
      <c r="T7779" s="221"/>
      <c r="U7779" s="89"/>
      <c r="V7779" s="61"/>
      <c r="W7779" s="92" t="s">
        <v>1039</v>
      </c>
      <c r="X7779" s="93" t="s">
        <v>32</v>
      </c>
      <c r="Y7779" s="93" t="s">
        <v>68</v>
      </c>
      <c r="Z7779" s="134">
        <f>VLOOKUP(W7779,Sheet2!$B:$D,3,FALSE)</f>
        <v>5</v>
      </c>
      <c r="AA7779" s="93">
        <v>1</v>
      </c>
      <c r="AB7779" s="93">
        <f>AD7779/AC7778</f>
        <v>5</v>
      </c>
      <c r="AC7779" s="93">
        <f>AC7778/AA7779</f>
        <v>7192.0875100054482</v>
      </c>
      <c r="AD7779" s="94">
        <f t="shared" ref="AD7779" si="5439">AC7779*Z7779</f>
        <v>35960.437550027244</v>
      </c>
      <c r="AE7779" s="190"/>
      <c r="AF7779" s="191"/>
      <c r="AG7779" s="191"/>
      <c r="AH7779" s="191"/>
      <c r="AI7779" s="186"/>
      <c r="AK7779" s="171"/>
    </row>
    <row r="7780" spans="1:41" s="102" customFormat="1" ht="20.100000000000001" customHeight="1" x14ac:dyDescent="0.25">
      <c r="A7780" s="45" t="s">
        <v>703</v>
      </c>
      <c r="B7780" s="276"/>
      <c r="C7780" s="310" t="s">
        <v>760</v>
      </c>
      <c r="D7780" s="59"/>
      <c r="E7780" s="116"/>
      <c r="F7780" s="120"/>
      <c r="G7780" s="120"/>
      <c r="H7780" s="120"/>
      <c r="I7780" s="60"/>
      <c r="J7780" s="116"/>
      <c r="K7780" s="213"/>
      <c r="L7780" s="120"/>
      <c r="M7780" s="120"/>
      <c r="N7780" s="167"/>
      <c r="O7780" s="120"/>
      <c r="P7780" s="120"/>
      <c r="Q7780" s="120"/>
      <c r="R7780" s="120"/>
      <c r="S7780" s="120"/>
      <c r="T7780" s="221"/>
      <c r="U7780" s="89"/>
      <c r="V7780" s="61"/>
      <c r="W7780" s="92"/>
      <c r="X7780" s="38"/>
      <c r="Y7780" s="93"/>
      <c r="Z7780" s="134"/>
      <c r="AA7780" s="93"/>
      <c r="AB7780" s="93"/>
      <c r="AC7780" s="93"/>
      <c r="AD7780" s="94"/>
      <c r="AE7780" s="190"/>
      <c r="AF7780" s="191"/>
      <c r="AG7780" s="191"/>
      <c r="AH7780" s="191"/>
      <c r="AI7780" s="186"/>
      <c r="AK7780" s="171"/>
    </row>
    <row r="7781" spans="1:41" s="102" customFormat="1" ht="120" x14ac:dyDescent="0.25">
      <c r="A7781" s="45" t="s">
        <v>703</v>
      </c>
      <c r="B7781" s="276"/>
      <c r="C7781" s="286" t="s">
        <v>761</v>
      </c>
      <c r="D7781" s="59"/>
      <c r="E7781" s="116"/>
      <c r="F7781" s="120"/>
      <c r="G7781" s="120"/>
      <c r="H7781" s="120"/>
      <c r="I7781" s="60"/>
      <c r="J7781" s="116"/>
      <c r="K7781" s="213"/>
      <c r="L7781" s="120"/>
      <c r="M7781" s="120"/>
      <c r="N7781" s="167"/>
      <c r="O7781" s="120"/>
      <c r="P7781" s="120"/>
      <c r="Q7781" s="120"/>
      <c r="R7781" s="120"/>
      <c r="S7781" s="120"/>
      <c r="T7781" s="221"/>
      <c r="U7781" s="89"/>
      <c r="V7781" s="61"/>
      <c r="W7781" s="92"/>
      <c r="X7781" s="38"/>
      <c r="Y7781" s="93"/>
      <c r="Z7781" s="134"/>
      <c r="AA7781" s="93"/>
      <c r="AB7781" s="93"/>
      <c r="AC7781" s="93"/>
      <c r="AD7781" s="94"/>
      <c r="AE7781" s="190"/>
      <c r="AF7781" s="191"/>
      <c r="AG7781" s="191"/>
      <c r="AH7781" s="191"/>
      <c r="AI7781" s="186"/>
      <c r="AK7781" s="171"/>
    </row>
    <row r="7782" spans="1:41" ht="20.100000000000001" customHeight="1" x14ac:dyDescent="0.25">
      <c r="A7782" s="277" t="s">
        <v>703</v>
      </c>
      <c r="B7782" s="278"/>
      <c r="C7782" s="64" t="s">
        <v>762</v>
      </c>
      <c r="D7782" s="46"/>
      <c r="E7782" s="114"/>
      <c r="F7782" s="44">
        <v>0</v>
      </c>
      <c r="G7782" s="44">
        <f t="shared" si="4575"/>
        <v>0</v>
      </c>
      <c r="H7782" s="44">
        <f t="shared" si="4576"/>
        <v>0</v>
      </c>
      <c r="I7782" s="43">
        <f t="shared" si="4577"/>
        <v>0</v>
      </c>
      <c r="J7782" s="112">
        <f t="shared" si="4578"/>
        <v>0</v>
      </c>
      <c r="K7782" s="211">
        <f t="shared" si="4579"/>
        <v>0</v>
      </c>
      <c r="L7782" s="44"/>
      <c r="M7782" s="44">
        <f t="shared" si="4580"/>
        <v>0</v>
      </c>
      <c r="N7782" s="173">
        <f t="shared" si="4581"/>
        <v>0</v>
      </c>
      <c r="O7782" s="44">
        <f t="shared" si="4582"/>
        <v>0</v>
      </c>
      <c r="P7782" s="44">
        <f t="shared" si="4583"/>
        <v>0</v>
      </c>
      <c r="Q7782" s="44">
        <f t="shared" si="4584"/>
        <v>0</v>
      </c>
      <c r="R7782" s="44">
        <f t="shared" si="4585"/>
        <v>0</v>
      </c>
      <c r="S7782" s="123"/>
      <c r="T7782" s="219">
        <f t="shared" si="4586"/>
        <v>0</v>
      </c>
      <c r="U7782" s="87"/>
      <c r="V7782" s="47"/>
      <c r="W7782" s="48"/>
      <c r="X7782" s="48"/>
      <c r="Y7782" s="48"/>
      <c r="Z7782" s="135"/>
      <c r="AA7782" s="49"/>
      <c r="AB7782" s="50">
        <f t="shared" si="4587"/>
        <v>0</v>
      </c>
      <c r="AC7782" s="42">
        <f t="shared" si="4588"/>
        <v>9.9999999999999998E-20</v>
      </c>
      <c r="AD7782" s="90"/>
      <c r="AE7782" s="188"/>
      <c r="AF7782" s="189"/>
      <c r="AG7782" s="189"/>
      <c r="AH7782" s="189"/>
      <c r="AI7782" s="161"/>
    </row>
    <row r="7783" spans="1:41" ht="20.100000000000001" customHeight="1" x14ac:dyDescent="0.25">
      <c r="A7783" s="277" t="s">
        <v>703</v>
      </c>
      <c r="B7783" s="278"/>
      <c r="C7783" s="64" t="s">
        <v>763</v>
      </c>
      <c r="D7783" s="46" t="s">
        <v>97</v>
      </c>
      <c r="E7783" s="114">
        <v>169.09878000000026</v>
      </c>
      <c r="F7783" s="44">
        <v>2318</v>
      </c>
      <c r="G7783" s="44">
        <f t="shared" si="4575"/>
        <v>391970.9720400006</v>
      </c>
      <c r="H7783" s="44">
        <f t="shared" si="4576"/>
        <v>1261.0447200000001</v>
      </c>
      <c r="I7783" s="43">
        <f t="shared" si="4577"/>
        <v>213241.12367744194</v>
      </c>
      <c r="J7783" s="112">
        <f t="shared" si="4578"/>
        <v>169.09878000000026</v>
      </c>
      <c r="K7783" s="211">
        <f t="shared" si="4579"/>
        <v>169.09878000000026</v>
      </c>
      <c r="L7783" s="44"/>
      <c r="M7783" s="44">
        <f t="shared" si="4580"/>
        <v>169.09878000000026</v>
      </c>
      <c r="N7783" s="173">
        <f t="shared" si="4581"/>
        <v>1</v>
      </c>
      <c r="O7783" s="44">
        <f t="shared" si="4582"/>
        <v>2318</v>
      </c>
      <c r="P7783" s="44">
        <f t="shared" si="4583"/>
        <v>391970.9720400006</v>
      </c>
      <c r="Q7783" s="44">
        <f t="shared" si="4584"/>
        <v>1261.0447200000001</v>
      </c>
      <c r="R7783" s="44">
        <f t="shared" si="4585"/>
        <v>213241.12367744194</v>
      </c>
      <c r="S7783" s="123"/>
      <c r="T7783" s="219">
        <f t="shared" si="4586"/>
        <v>213241.12367744194</v>
      </c>
      <c r="U7783" s="87"/>
      <c r="V7783" s="47"/>
      <c r="W7783" s="48"/>
      <c r="X7783" s="48"/>
      <c r="Y7783" s="48"/>
      <c r="Z7783" s="135"/>
      <c r="AA7783" s="49"/>
      <c r="AB7783" s="50">
        <f t="shared" si="4587"/>
        <v>1261.0447200000001</v>
      </c>
      <c r="AC7783" s="42">
        <f t="shared" si="4588"/>
        <v>169.09878000000026</v>
      </c>
      <c r="AD7783" s="90">
        <f>AD7784+AD7793</f>
        <v>213241.12367744194</v>
      </c>
      <c r="AE7783" s="188">
        <f>AE7784+AE7793</f>
        <v>0</v>
      </c>
      <c r="AF7783" s="189">
        <f>AF7784+AF7793</f>
        <v>0</v>
      </c>
      <c r="AG7783" s="189">
        <f>AG7784+AG7793</f>
        <v>0</v>
      </c>
      <c r="AH7783" s="189">
        <f>AH7784+AH7793</f>
        <v>0</v>
      </c>
      <c r="AI7783" s="161">
        <f t="shared" ref="AI7783" si="5440">SUM(AE7783:AH7783)</f>
        <v>0</v>
      </c>
      <c r="AK7783" s="169">
        <v>5</v>
      </c>
      <c r="AO7783" s="19" t="s">
        <v>63</v>
      </c>
    </row>
    <row r="7784" spans="1:41" s="103" customFormat="1" ht="19.899999999999999" customHeight="1" x14ac:dyDescent="0.25">
      <c r="A7784" s="51"/>
      <c r="B7784" s="52"/>
      <c r="C7784" s="165"/>
      <c r="D7784" s="52"/>
      <c r="E7784" s="115"/>
      <c r="F7784" s="58"/>
      <c r="G7784" s="58"/>
      <c r="H7784" s="58"/>
      <c r="I7784" s="55"/>
      <c r="J7784" s="113">
        <f>J7783</f>
        <v>169.09878000000026</v>
      </c>
      <c r="K7784" s="212">
        <f>K7783</f>
        <v>169.09878000000026</v>
      </c>
      <c r="L7784" s="58"/>
      <c r="M7784" s="58">
        <f>K7784-L7784</f>
        <v>169.09878000000026</v>
      </c>
      <c r="N7784" s="166"/>
      <c r="O7784" s="58"/>
      <c r="P7784" s="58"/>
      <c r="Q7784" s="58"/>
      <c r="R7784" s="58"/>
      <c r="S7784" s="58"/>
      <c r="T7784" s="220"/>
      <c r="U7784" s="88"/>
      <c r="V7784" s="56"/>
      <c r="W7784" s="57" t="s">
        <v>1107</v>
      </c>
      <c r="X7784" s="53"/>
      <c r="Y7784" s="91" t="s">
        <v>68</v>
      </c>
      <c r="Z7784" s="136">
        <f>AD7784/AC7784</f>
        <v>12.494719999999999</v>
      </c>
      <c r="AA7784" s="58"/>
      <c r="AB7784" s="53">
        <f>AD7784/AC7784</f>
        <v>12.494719999999999</v>
      </c>
      <c r="AC7784" s="53">
        <f>M7784+$AE$10</f>
        <v>169.09878000000026</v>
      </c>
      <c r="AD7784" s="54">
        <f>SUM(AD7785:AD7792)</f>
        <v>2112.8419084416032</v>
      </c>
      <c r="AE7784" s="184">
        <f>SUMIFS($AD$37:$AD$12971,$V$37:$V$12971,$V7784,$X$37:$X$12971,AE$13)</f>
        <v>0</v>
      </c>
      <c r="AF7784" s="185">
        <f>SUMIFS($AD$37:$AD$12971,$V$37:$V$12971,$V7784,$X$37:$X$12971,AF$13)</f>
        <v>0</v>
      </c>
      <c r="AG7784" s="185">
        <f>SUMIFS($AD$37:$AD$12971,$V$37:$V$12971,$V7784,$X$37:$X$12971,AG$13)</f>
        <v>0</v>
      </c>
      <c r="AH7784" s="187">
        <f>SUMIFS($AD$37:$AD$12971,$V$37:$V$12971,$V7784,$X$37:$X$12971,AH$13)</f>
        <v>0</v>
      </c>
      <c r="AI7784" s="161">
        <f t="shared" ref="AI7784" si="5441">SUM(AE7784:AH7784)</f>
        <v>0</v>
      </c>
      <c r="AK7784" s="172"/>
    </row>
    <row r="7785" spans="1:41" s="102" customFormat="1" ht="19.899999999999999" customHeight="1" x14ac:dyDescent="0.25">
      <c r="A7785" s="45"/>
      <c r="B7785" s="59"/>
      <c r="C7785" s="137"/>
      <c r="D7785" s="59"/>
      <c r="E7785" s="116"/>
      <c r="F7785" s="120"/>
      <c r="G7785" s="120"/>
      <c r="H7785" s="120"/>
      <c r="I7785" s="60"/>
      <c r="J7785" s="116"/>
      <c r="K7785" s="213"/>
      <c r="L7785" s="120"/>
      <c r="M7785" s="120"/>
      <c r="N7785" s="167"/>
      <c r="O7785" s="120"/>
      <c r="P7785" s="120"/>
      <c r="Q7785" s="120"/>
      <c r="R7785" s="120"/>
      <c r="S7785" s="120"/>
      <c r="T7785" s="221"/>
      <c r="U7785" s="89"/>
      <c r="V7785" s="61"/>
      <c r="W7785" s="92" t="s">
        <v>129</v>
      </c>
      <c r="X7785" s="93" t="s">
        <v>29</v>
      </c>
      <c r="Y7785" s="93" t="s">
        <v>93</v>
      </c>
      <c r="Z7785" s="134">
        <f>VLOOKUP(W7785,Sheet2!$B:$D,3,FALSE)</f>
        <v>56</v>
      </c>
      <c r="AA7785" s="93">
        <f>100/(1.7*1.5)</f>
        <v>39.215686274509807</v>
      </c>
      <c r="AB7785" s="93">
        <f t="shared" ref="AB7785" si="5442">AD7785/AC7784</f>
        <v>1.4279999999999999</v>
      </c>
      <c r="AC7785" s="93">
        <f>AC7784/AA7785</f>
        <v>4.3120188900000063</v>
      </c>
      <c r="AD7785" s="94">
        <f t="shared" ref="AD7785:AD7786" si="5443">AC7785*Z7785</f>
        <v>241.47305784000037</v>
      </c>
      <c r="AE7785" s="190"/>
      <c r="AF7785" s="191"/>
      <c r="AG7785" s="191"/>
      <c r="AH7785" s="191"/>
      <c r="AI7785" s="186"/>
      <c r="AK7785" s="171"/>
    </row>
    <row r="7786" spans="1:41" s="102" customFormat="1" ht="19.899999999999999" customHeight="1" x14ac:dyDescent="0.25">
      <c r="A7786" s="45"/>
      <c r="B7786" s="59"/>
      <c r="C7786" s="137"/>
      <c r="D7786" s="59"/>
      <c r="E7786" s="116"/>
      <c r="F7786" s="120"/>
      <c r="G7786" s="120"/>
      <c r="H7786" s="120"/>
      <c r="I7786" s="60"/>
      <c r="J7786" s="116"/>
      <c r="K7786" s="213"/>
      <c r="L7786" s="120"/>
      <c r="M7786" s="120"/>
      <c r="N7786" s="167"/>
      <c r="O7786" s="120"/>
      <c r="P7786" s="120"/>
      <c r="Q7786" s="120"/>
      <c r="R7786" s="120"/>
      <c r="S7786" s="120"/>
      <c r="T7786" s="221"/>
      <c r="U7786" s="89"/>
      <c r="V7786" s="61"/>
      <c r="W7786" s="92" t="s">
        <v>65</v>
      </c>
      <c r="X7786" s="93" t="s">
        <v>30</v>
      </c>
      <c r="Y7786" s="93" t="s">
        <v>1011</v>
      </c>
      <c r="Z7786" s="134">
        <f>VLOOKUP(W7786,Sheet2!$B:$D,3,FALSE)</f>
        <v>1.76</v>
      </c>
      <c r="AA7786" s="93">
        <f>AA7785/14</f>
        <v>2.801120448179272</v>
      </c>
      <c r="AB7786" s="93">
        <f>AD7786/AC7784</f>
        <v>0.62831999999999988</v>
      </c>
      <c r="AC7786" s="93">
        <f>AC7784/AA7786</f>
        <v>60.368264460000084</v>
      </c>
      <c r="AD7786" s="94">
        <f t="shared" si="5443"/>
        <v>106.24814544960014</v>
      </c>
      <c r="AE7786" s="190"/>
      <c r="AF7786" s="191"/>
      <c r="AG7786" s="191"/>
      <c r="AH7786" s="191"/>
      <c r="AI7786" s="186"/>
      <c r="AK7786" s="171"/>
    </row>
    <row r="7787" spans="1:41" s="102" customFormat="1" ht="19.899999999999999" customHeight="1" x14ac:dyDescent="0.25">
      <c r="A7787" s="45"/>
      <c r="B7787" s="59"/>
      <c r="C7787" s="137"/>
      <c r="D7787" s="59"/>
      <c r="E7787" s="116"/>
      <c r="F7787" s="120"/>
      <c r="G7787" s="120"/>
      <c r="H7787" s="120"/>
      <c r="I7787" s="60"/>
      <c r="J7787" s="116"/>
      <c r="K7787" s="213"/>
      <c r="L7787" s="120"/>
      <c r="M7787" s="120"/>
      <c r="N7787" s="167"/>
      <c r="O7787" s="120"/>
      <c r="P7787" s="120"/>
      <c r="Q7787" s="120"/>
      <c r="R7787" s="120"/>
      <c r="S7787" s="120"/>
      <c r="T7787" s="221"/>
      <c r="U7787" s="89"/>
      <c r="V7787" s="61"/>
      <c r="W7787" s="92" t="s">
        <v>161</v>
      </c>
      <c r="X7787" s="93" t="s">
        <v>29</v>
      </c>
      <c r="Y7787" s="93" t="s">
        <v>93</v>
      </c>
      <c r="Z7787" s="134">
        <f>VLOOKUP(W7787,Sheet2!$B:$D,3,FALSE)</f>
        <v>48</v>
      </c>
      <c r="AA7787" s="93">
        <f>(16*0.85*1.5)/(1.7*1.5)</f>
        <v>8</v>
      </c>
      <c r="AB7787" s="93">
        <f>AD7787/AC7784</f>
        <v>6</v>
      </c>
      <c r="AC7787" s="93">
        <f>AC7784/AA7787</f>
        <v>21.137347500000033</v>
      </c>
      <c r="AD7787" s="94">
        <f>AC7787*Z7787</f>
        <v>1014.5926800000016</v>
      </c>
      <c r="AE7787" s="190"/>
      <c r="AF7787" s="191"/>
      <c r="AG7787" s="191"/>
      <c r="AH7787" s="191"/>
      <c r="AI7787" s="186"/>
      <c r="AK7787" s="171"/>
    </row>
    <row r="7788" spans="1:41" s="102" customFormat="1" ht="19.899999999999999" customHeight="1" x14ac:dyDescent="0.25">
      <c r="A7788" s="45"/>
      <c r="B7788" s="59"/>
      <c r="C7788" s="137"/>
      <c r="D7788" s="59"/>
      <c r="E7788" s="116"/>
      <c r="F7788" s="120"/>
      <c r="G7788" s="120"/>
      <c r="H7788" s="120"/>
      <c r="I7788" s="60"/>
      <c r="J7788" s="116"/>
      <c r="K7788" s="213"/>
      <c r="L7788" s="120"/>
      <c r="M7788" s="120"/>
      <c r="N7788" s="167"/>
      <c r="O7788" s="120"/>
      <c r="P7788" s="120"/>
      <c r="Q7788" s="120"/>
      <c r="R7788" s="120"/>
      <c r="S7788" s="120"/>
      <c r="T7788" s="221"/>
      <c r="U7788" s="89"/>
      <c r="V7788" s="61"/>
      <c r="W7788" s="92" t="s">
        <v>65</v>
      </c>
      <c r="X7788" s="93" t="s">
        <v>30</v>
      </c>
      <c r="Y7788" s="93" t="s">
        <v>1011</v>
      </c>
      <c r="Z7788" s="134">
        <f>VLOOKUP(W7788,Sheet2!$B:$D,3,FALSE)</f>
        <v>1.76</v>
      </c>
      <c r="AA7788" s="93">
        <f>AA7787/10</f>
        <v>0.8</v>
      </c>
      <c r="AB7788" s="93">
        <f>AD7788/AC7784</f>
        <v>2.1999999999999997</v>
      </c>
      <c r="AC7788" s="93">
        <f>AC7784/AA7788</f>
        <v>211.37347500000033</v>
      </c>
      <c r="AD7788" s="94">
        <f>AC7788*Z7788</f>
        <v>372.01731600000056</v>
      </c>
      <c r="AE7788" s="190"/>
      <c r="AF7788" s="191"/>
      <c r="AG7788" s="191"/>
      <c r="AH7788" s="191"/>
      <c r="AI7788" s="186"/>
      <c r="AK7788" s="171"/>
    </row>
    <row r="7789" spans="1:41" s="102" customFormat="1" ht="19.899999999999999" customHeight="1" x14ac:dyDescent="0.25">
      <c r="A7789" s="45"/>
      <c r="B7789" s="59"/>
      <c r="C7789" s="137"/>
      <c r="D7789" s="59"/>
      <c r="E7789" s="116"/>
      <c r="F7789" s="120"/>
      <c r="G7789" s="120"/>
      <c r="H7789" s="120"/>
      <c r="I7789" s="60"/>
      <c r="J7789" s="116"/>
      <c r="K7789" s="213"/>
      <c r="L7789" s="120"/>
      <c r="M7789" s="120"/>
      <c r="N7789" s="167"/>
      <c r="O7789" s="120"/>
      <c r="P7789" s="120"/>
      <c r="Q7789" s="120"/>
      <c r="R7789" s="120"/>
      <c r="S7789" s="120"/>
      <c r="T7789" s="221"/>
      <c r="U7789" s="89"/>
      <c r="V7789" s="61"/>
      <c r="W7789" s="92" t="s">
        <v>1030</v>
      </c>
      <c r="X7789" s="93" t="s">
        <v>29</v>
      </c>
      <c r="Y7789" s="93" t="s">
        <v>93</v>
      </c>
      <c r="Z7789" s="134">
        <f>VLOOKUP(W7789,Sheet2!$B:$D,3,FALSE)</f>
        <v>23</v>
      </c>
      <c r="AA7789" s="93">
        <v>50</v>
      </c>
      <c r="AB7789" s="93">
        <f>AD7789/AC7784</f>
        <v>0.46</v>
      </c>
      <c r="AC7789" s="93">
        <f>AC7784/AA7789</f>
        <v>3.3819756000000054</v>
      </c>
      <c r="AD7789" s="94">
        <f t="shared" ref="AD7789:AD7792" si="5444">AC7789*Z7789</f>
        <v>77.785438800000122</v>
      </c>
      <c r="AE7789" s="190"/>
      <c r="AF7789" s="191"/>
      <c r="AG7789" s="191"/>
      <c r="AH7789" s="191"/>
      <c r="AI7789" s="186"/>
      <c r="AK7789" s="171"/>
    </row>
    <row r="7790" spans="1:41" s="102" customFormat="1" ht="19.899999999999999" customHeight="1" x14ac:dyDescent="0.25">
      <c r="A7790" s="45"/>
      <c r="B7790" s="59"/>
      <c r="C7790" s="137"/>
      <c r="D7790" s="59"/>
      <c r="E7790" s="116"/>
      <c r="F7790" s="120"/>
      <c r="G7790" s="120"/>
      <c r="H7790" s="120"/>
      <c r="I7790" s="60"/>
      <c r="J7790" s="116"/>
      <c r="K7790" s="213"/>
      <c r="L7790" s="120"/>
      <c r="M7790" s="120"/>
      <c r="N7790" s="167"/>
      <c r="O7790" s="120"/>
      <c r="P7790" s="120"/>
      <c r="Q7790" s="120"/>
      <c r="R7790" s="120"/>
      <c r="S7790" s="120"/>
      <c r="T7790" s="221"/>
      <c r="U7790" s="89"/>
      <c r="V7790" s="61"/>
      <c r="W7790" s="92" t="s">
        <v>65</v>
      </c>
      <c r="X7790" s="93" t="s">
        <v>30</v>
      </c>
      <c r="Y7790" s="93" t="s">
        <v>1011</v>
      </c>
      <c r="Z7790" s="134">
        <f>VLOOKUP(W7790,Sheet2!$B:$D,3,FALSE)</f>
        <v>1.76</v>
      </c>
      <c r="AA7790" s="93">
        <f>AA7789/3</f>
        <v>16.666666666666668</v>
      </c>
      <c r="AB7790" s="93">
        <f>AD7790/AC7784</f>
        <v>0.1056</v>
      </c>
      <c r="AC7790" s="93">
        <f>AC7784/AA7790</f>
        <v>10.145926800000016</v>
      </c>
      <c r="AD7790" s="94">
        <f t="shared" si="5444"/>
        <v>17.856831168000028</v>
      </c>
      <c r="AE7790" s="190"/>
      <c r="AF7790" s="191"/>
      <c r="AG7790" s="191"/>
      <c r="AH7790" s="191"/>
      <c r="AI7790" s="186"/>
      <c r="AK7790" s="171"/>
    </row>
    <row r="7791" spans="1:41" s="102" customFormat="1" ht="19.899999999999999" customHeight="1" x14ac:dyDescent="0.25">
      <c r="A7791" s="45"/>
      <c r="B7791" s="59"/>
      <c r="C7791" s="137"/>
      <c r="D7791" s="59"/>
      <c r="E7791" s="116"/>
      <c r="F7791" s="120"/>
      <c r="G7791" s="120"/>
      <c r="H7791" s="120"/>
      <c r="I7791" s="60"/>
      <c r="J7791" s="116"/>
      <c r="K7791" s="213"/>
      <c r="L7791" s="120"/>
      <c r="M7791" s="120"/>
      <c r="N7791" s="167"/>
      <c r="O7791" s="120"/>
      <c r="P7791" s="120"/>
      <c r="Q7791" s="120"/>
      <c r="R7791" s="120"/>
      <c r="S7791" s="120"/>
      <c r="T7791" s="221"/>
      <c r="U7791" s="89"/>
      <c r="V7791" s="61"/>
      <c r="W7791" s="92" t="s">
        <v>148</v>
      </c>
      <c r="X7791" s="93" t="s">
        <v>29</v>
      </c>
      <c r="Y7791" s="93" t="s">
        <v>93</v>
      </c>
      <c r="Z7791" s="134">
        <f>VLOOKUP(W7791,Sheet2!$B:$D,3,FALSE)</f>
        <v>48</v>
      </c>
      <c r="AA7791" s="93">
        <f>AA7785</f>
        <v>39.215686274509807</v>
      </c>
      <c r="AB7791" s="93">
        <f>AD7791/AC7784</f>
        <v>1.224</v>
      </c>
      <c r="AC7791" s="93">
        <f>AC7784/AA7791</f>
        <v>4.3120188900000063</v>
      </c>
      <c r="AD7791" s="94">
        <f t="shared" si="5444"/>
        <v>206.9769067200003</v>
      </c>
      <c r="AE7791" s="190"/>
      <c r="AF7791" s="191"/>
      <c r="AG7791" s="191"/>
      <c r="AH7791" s="191"/>
      <c r="AI7791" s="186"/>
      <c r="AK7791" s="171"/>
    </row>
    <row r="7792" spans="1:41" s="102" customFormat="1" ht="19.899999999999999" customHeight="1" x14ac:dyDescent="0.25">
      <c r="A7792" s="45"/>
      <c r="B7792" s="59"/>
      <c r="C7792" s="137"/>
      <c r="D7792" s="59"/>
      <c r="E7792" s="116"/>
      <c r="F7792" s="120"/>
      <c r="G7792" s="120"/>
      <c r="H7792" s="120"/>
      <c r="I7792" s="60"/>
      <c r="J7792" s="116"/>
      <c r="K7792" s="213"/>
      <c r="L7792" s="120"/>
      <c r="M7792" s="120"/>
      <c r="N7792" s="167"/>
      <c r="O7792" s="120"/>
      <c r="P7792" s="120"/>
      <c r="Q7792" s="120"/>
      <c r="R7792" s="120"/>
      <c r="S7792" s="120"/>
      <c r="T7792" s="221"/>
      <c r="U7792" s="89"/>
      <c r="V7792" s="61"/>
      <c r="W7792" s="92" t="s">
        <v>65</v>
      </c>
      <c r="X7792" s="93" t="s">
        <v>30</v>
      </c>
      <c r="Y7792" s="93" t="s">
        <v>1011</v>
      </c>
      <c r="Z7792" s="134">
        <f>VLOOKUP(W7792,Sheet2!$B:$D,3,FALSE)</f>
        <v>1.76</v>
      </c>
      <c r="AA7792" s="93">
        <f>AA7791/10</f>
        <v>3.9215686274509807</v>
      </c>
      <c r="AB7792" s="93">
        <f>AD7792/AC7784</f>
        <v>0.44880000000000003</v>
      </c>
      <c r="AC7792" s="93">
        <f>AC7784/AA7792</f>
        <v>43.120188900000066</v>
      </c>
      <c r="AD7792" s="94">
        <f t="shared" si="5444"/>
        <v>75.891532464000122</v>
      </c>
      <c r="AE7792" s="190"/>
      <c r="AF7792" s="191"/>
      <c r="AG7792" s="191"/>
      <c r="AH7792" s="191"/>
      <c r="AI7792" s="186"/>
      <c r="AK7792" s="171"/>
    </row>
    <row r="7793" spans="1:41" s="103" customFormat="1" ht="19.899999999999999" customHeight="1" x14ac:dyDescent="0.25">
      <c r="A7793" s="51"/>
      <c r="B7793" s="52"/>
      <c r="C7793" s="165"/>
      <c r="D7793" s="52"/>
      <c r="E7793" s="115"/>
      <c r="F7793" s="58"/>
      <c r="G7793" s="58"/>
      <c r="H7793" s="58"/>
      <c r="I7793" s="55"/>
      <c r="J7793" s="113">
        <f>J7783</f>
        <v>169.09878000000026</v>
      </c>
      <c r="K7793" s="212">
        <f>K7783</f>
        <v>169.09878000000026</v>
      </c>
      <c r="L7793" s="58"/>
      <c r="M7793" s="58">
        <f>K7793-L7793</f>
        <v>169.09878000000026</v>
      </c>
      <c r="N7793" s="166"/>
      <c r="O7793" s="58"/>
      <c r="P7793" s="58"/>
      <c r="Q7793" s="58"/>
      <c r="R7793" s="58"/>
      <c r="S7793" s="58"/>
      <c r="T7793" s="220"/>
      <c r="U7793" s="88"/>
      <c r="V7793" s="56"/>
      <c r="W7793" s="57" t="s">
        <v>1104</v>
      </c>
      <c r="X7793" s="53"/>
      <c r="Y7793" s="91" t="s">
        <v>68</v>
      </c>
      <c r="Z7793" s="136">
        <f>AD7793/AC7793</f>
        <v>1248.5500000000002</v>
      </c>
      <c r="AA7793" s="58"/>
      <c r="AB7793" s="53">
        <f>AD7793/AC7793</f>
        <v>1248.5500000000002</v>
      </c>
      <c r="AC7793" s="53">
        <f>M7793+$AE$10</f>
        <v>169.09878000000026</v>
      </c>
      <c r="AD7793" s="54">
        <f>SUM(AD7794:AD7797)</f>
        <v>211128.28176900034</v>
      </c>
      <c r="AE7793" s="184">
        <f>SUMIFS($AD$37:$AD$12971,$V$37:$V$12971,$V7793,$X$37:$X$12971,AE$13)</f>
        <v>0</v>
      </c>
      <c r="AF7793" s="185">
        <f>SUMIFS($AD$37:$AD$12971,$V$37:$V$12971,$V7793,$X$37:$X$12971,AF$13)</f>
        <v>0</v>
      </c>
      <c r="AG7793" s="185">
        <f>SUMIFS($AD$37:$AD$12971,$V$37:$V$12971,$V7793,$X$37:$X$12971,AG$13)</f>
        <v>0</v>
      </c>
      <c r="AH7793" s="187">
        <f>SUMIFS($AD$37:$AD$12971,$V$37:$V$12971,$V7793,$X$37:$X$12971,AH$13)</f>
        <v>0</v>
      </c>
      <c r="AI7793" s="161">
        <f t="shared" ref="AI7793" si="5445">SUM(AE7793:AH7793)</f>
        <v>0</v>
      </c>
      <c r="AK7793" s="172"/>
    </row>
    <row r="7794" spans="1:41" s="102" customFormat="1" ht="19.899999999999999" customHeight="1" x14ac:dyDescent="0.25">
      <c r="A7794" s="45"/>
      <c r="B7794" s="59"/>
      <c r="C7794" s="137"/>
      <c r="D7794" s="59"/>
      <c r="E7794" s="116"/>
      <c r="F7794" s="120"/>
      <c r="G7794" s="120"/>
      <c r="H7794" s="120"/>
      <c r="I7794" s="60"/>
      <c r="J7794" s="116"/>
      <c r="K7794" s="213"/>
      <c r="L7794" s="120"/>
      <c r="M7794" s="120"/>
      <c r="N7794" s="167"/>
      <c r="O7794" s="120"/>
      <c r="P7794" s="120"/>
      <c r="Q7794" s="120"/>
      <c r="R7794" s="120"/>
      <c r="S7794" s="120"/>
      <c r="T7794" s="221"/>
      <c r="U7794" s="89"/>
      <c r="V7794" s="61"/>
      <c r="W7794" s="92" t="s">
        <v>1105</v>
      </c>
      <c r="X7794" s="93" t="s">
        <v>30</v>
      </c>
      <c r="Y7794" s="93" t="s">
        <v>66</v>
      </c>
      <c r="Z7794" s="134">
        <f>VLOOKUP(W7794,Sheet2!$B:$D,3,FALSE)</f>
        <v>2200</v>
      </c>
      <c r="AA7794" s="93">
        <f>1/((0.9*0.9)-(0.5*0.5))</f>
        <v>1.7857142857142856</v>
      </c>
      <c r="AB7794" s="93">
        <f>AD7794/AC7793</f>
        <v>1232.0000000000002</v>
      </c>
      <c r="AC7794" s="93">
        <f>AC7793/AA7794</f>
        <v>94.695316800000157</v>
      </c>
      <c r="AD7794" s="94">
        <f t="shared" ref="AD7794" si="5446">AC7794*Z7794</f>
        <v>208329.69696000035</v>
      </c>
      <c r="AE7794" s="190"/>
      <c r="AF7794" s="191"/>
      <c r="AG7794" s="191"/>
      <c r="AH7794" s="191"/>
      <c r="AI7794" s="186"/>
      <c r="AK7794" s="171"/>
    </row>
    <row r="7795" spans="1:41" s="102" customFormat="1" ht="19.899999999999999" customHeight="1" x14ac:dyDescent="0.25">
      <c r="A7795" s="45"/>
      <c r="B7795" s="59"/>
      <c r="C7795" s="137"/>
      <c r="D7795" s="59"/>
      <c r="E7795" s="116"/>
      <c r="F7795" s="120"/>
      <c r="G7795" s="120"/>
      <c r="H7795" s="120"/>
      <c r="I7795" s="60"/>
      <c r="J7795" s="116"/>
      <c r="K7795" s="213"/>
      <c r="L7795" s="120"/>
      <c r="M7795" s="120"/>
      <c r="N7795" s="167"/>
      <c r="O7795" s="120"/>
      <c r="P7795" s="120"/>
      <c r="Q7795" s="120"/>
      <c r="R7795" s="120"/>
      <c r="S7795" s="120"/>
      <c r="T7795" s="221"/>
      <c r="U7795" s="89"/>
      <c r="V7795" s="61"/>
      <c r="W7795" s="92" t="s">
        <v>174</v>
      </c>
      <c r="X7795" s="93" t="s">
        <v>29</v>
      </c>
      <c r="Y7795" s="93" t="s">
        <v>93</v>
      </c>
      <c r="Z7795" s="134">
        <f>VLOOKUP(W7795,Sheet2!$B:$D,3,FALSE)</f>
        <v>80</v>
      </c>
      <c r="AA7795" s="93">
        <f>4*2</f>
        <v>8</v>
      </c>
      <c r="AB7795" s="93">
        <f>AD7795/AC7793</f>
        <v>10</v>
      </c>
      <c r="AC7795" s="93">
        <f>AC7793/AA7795</f>
        <v>21.137347500000033</v>
      </c>
      <c r="AD7795" s="94">
        <f>AC7795*Z7795</f>
        <v>1690.9878000000026</v>
      </c>
      <c r="AE7795" s="190"/>
      <c r="AF7795" s="191"/>
      <c r="AG7795" s="191"/>
      <c r="AH7795" s="191"/>
      <c r="AI7795" s="186"/>
      <c r="AK7795" s="171"/>
    </row>
    <row r="7796" spans="1:41" s="102" customFormat="1" ht="19.899999999999999" customHeight="1" x14ac:dyDescent="0.25">
      <c r="A7796" s="45"/>
      <c r="B7796" s="59"/>
      <c r="C7796" s="137"/>
      <c r="D7796" s="59"/>
      <c r="E7796" s="116"/>
      <c r="F7796" s="120"/>
      <c r="G7796" s="120"/>
      <c r="H7796" s="120"/>
      <c r="I7796" s="60"/>
      <c r="J7796" s="116"/>
      <c r="K7796" s="213"/>
      <c r="L7796" s="120"/>
      <c r="M7796" s="120"/>
      <c r="N7796" s="167"/>
      <c r="O7796" s="120"/>
      <c r="P7796" s="120"/>
      <c r="Q7796" s="120"/>
      <c r="R7796" s="120"/>
      <c r="S7796" s="120"/>
      <c r="T7796" s="221"/>
      <c r="U7796" s="89"/>
      <c r="V7796" s="61"/>
      <c r="W7796" s="92" t="s">
        <v>65</v>
      </c>
      <c r="X7796" s="93" t="s">
        <v>30</v>
      </c>
      <c r="Y7796" s="93" t="s">
        <v>1011</v>
      </c>
      <c r="Z7796" s="134">
        <f>VLOOKUP(W7796,Sheet2!$B:$D,3,FALSE)</f>
        <v>1.76</v>
      </c>
      <c r="AA7796" s="93">
        <f>AA7795/15</f>
        <v>0.53333333333333333</v>
      </c>
      <c r="AB7796" s="93">
        <f>AD7796/AC7793</f>
        <v>3.3</v>
      </c>
      <c r="AC7796" s="93">
        <f>AC7793/AA7796</f>
        <v>317.06021250000049</v>
      </c>
      <c r="AD7796" s="94">
        <f t="shared" ref="AD7796" si="5447">AC7796*Z7796</f>
        <v>558.02597400000082</v>
      </c>
      <c r="AE7796" s="190"/>
      <c r="AF7796" s="191"/>
      <c r="AG7796" s="191"/>
      <c r="AH7796" s="191"/>
      <c r="AI7796" s="186"/>
      <c r="AK7796" s="171"/>
    </row>
    <row r="7797" spans="1:41" s="102" customFormat="1" ht="19.899999999999999" customHeight="1" x14ac:dyDescent="0.25">
      <c r="A7797" s="45"/>
      <c r="B7797" s="59"/>
      <c r="C7797" s="137"/>
      <c r="D7797" s="59"/>
      <c r="E7797" s="116"/>
      <c r="F7797" s="120"/>
      <c r="G7797" s="120"/>
      <c r="H7797" s="120"/>
      <c r="I7797" s="60"/>
      <c r="J7797" s="116"/>
      <c r="K7797" s="213"/>
      <c r="L7797" s="120"/>
      <c r="M7797" s="120"/>
      <c r="N7797" s="167"/>
      <c r="O7797" s="120"/>
      <c r="P7797" s="120"/>
      <c r="Q7797" s="120"/>
      <c r="R7797" s="120"/>
      <c r="S7797" s="120"/>
      <c r="T7797" s="221"/>
      <c r="U7797" s="89"/>
      <c r="V7797" s="61"/>
      <c r="W7797" s="92" t="s">
        <v>112</v>
      </c>
      <c r="X7797" s="93" t="s">
        <v>31</v>
      </c>
      <c r="Y7797" s="93" t="s">
        <v>93</v>
      </c>
      <c r="Z7797" s="134">
        <f>VLOOKUP(W7797,Sheet2!$B:$D,3,FALSE)</f>
        <v>13</v>
      </c>
      <c r="AA7797" s="93">
        <f>AA7795/2</f>
        <v>4</v>
      </c>
      <c r="AB7797" s="93">
        <f>AD7797/AC7793</f>
        <v>3.25</v>
      </c>
      <c r="AC7797" s="93">
        <f>AC7793/AA7797</f>
        <v>42.274695000000065</v>
      </c>
      <c r="AD7797" s="94">
        <f>AC7797*Z7797</f>
        <v>549.57103500000085</v>
      </c>
      <c r="AE7797" s="190"/>
      <c r="AF7797" s="191"/>
      <c r="AG7797" s="191"/>
      <c r="AH7797" s="191"/>
      <c r="AI7797" s="186"/>
      <c r="AK7797" s="171"/>
    </row>
    <row r="7798" spans="1:41" ht="20.100000000000001" customHeight="1" x14ac:dyDescent="0.25">
      <c r="A7798" s="277" t="s">
        <v>703</v>
      </c>
      <c r="B7798" s="278"/>
      <c r="C7798" s="64" t="s">
        <v>764</v>
      </c>
      <c r="D7798" s="46" t="s">
        <v>97</v>
      </c>
      <c r="E7798" s="114">
        <v>36.904464999999846</v>
      </c>
      <c r="F7798" s="44">
        <v>2397</v>
      </c>
      <c r="G7798" s="44">
        <f t="shared" si="4575"/>
        <v>88460.002604999623</v>
      </c>
      <c r="H7798" s="44">
        <f t="shared" si="4576"/>
        <v>1265.0210933333333</v>
      </c>
      <c r="I7798" s="43">
        <f t="shared" si="4577"/>
        <v>46684.926663181534</v>
      </c>
      <c r="J7798" s="112">
        <f t="shared" si="4578"/>
        <v>36.904464999999846</v>
      </c>
      <c r="K7798" s="211">
        <f t="shared" si="4579"/>
        <v>36.904464999999846</v>
      </c>
      <c r="L7798" s="44"/>
      <c r="M7798" s="44">
        <f t="shared" si="4580"/>
        <v>36.904464999999846</v>
      </c>
      <c r="N7798" s="173">
        <f t="shared" si="4581"/>
        <v>1</v>
      </c>
      <c r="O7798" s="44">
        <f t="shared" si="4582"/>
        <v>2397</v>
      </c>
      <c r="P7798" s="44">
        <f t="shared" si="4583"/>
        <v>88460.002604999623</v>
      </c>
      <c r="Q7798" s="44">
        <f t="shared" si="4584"/>
        <v>1265.0210933333333</v>
      </c>
      <c r="R7798" s="44">
        <f t="shared" si="4585"/>
        <v>46684.926663181534</v>
      </c>
      <c r="S7798" s="123"/>
      <c r="T7798" s="219">
        <f t="shared" si="4586"/>
        <v>46684.926663181534</v>
      </c>
      <c r="U7798" s="87"/>
      <c r="V7798" s="47"/>
      <c r="W7798" s="48"/>
      <c r="X7798" s="48"/>
      <c r="Y7798" s="48"/>
      <c r="Z7798" s="135"/>
      <c r="AA7798" s="49"/>
      <c r="AB7798" s="50">
        <f t="shared" si="4587"/>
        <v>1265.0210933333333</v>
      </c>
      <c r="AC7798" s="42">
        <f t="shared" si="4588"/>
        <v>36.904464999999846</v>
      </c>
      <c r="AD7798" s="90">
        <f>AD7799+AD7808</f>
        <v>46684.926663181534</v>
      </c>
      <c r="AE7798" s="188">
        <f>AE7799+AE7808</f>
        <v>0</v>
      </c>
      <c r="AF7798" s="189">
        <f>AF7799+AF7808</f>
        <v>0</v>
      </c>
      <c r="AG7798" s="189">
        <f>AG7799+AG7808</f>
        <v>0</v>
      </c>
      <c r="AH7798" s="189">
        <f>AH7799+AH7808</f>
        <v>0</v>
      </c>
      <c r="AI7798" s="161">
        <f t="shared" ref="AI7798:AI7813" si="5448">SUM(AE7798:AH7798)</f>
        <v>0</v>
      </c>
      <c r="AK7798" s="169">
        <v>5</v>
      </c>
      <c r="AO7798" s="19" t="s">
        <v>63</v>
      </c>
    </row>
    <row r="7799" spans="1:41" s="103" customFormat="1" ht="19.899999999999999" customHeight="1" x14ac:dyDescent="0.25">
      <c r="A7799" s="51"/>
      <c r="B7799" s="52"/>
      <c r="C7799" s="165"/>
      <c r="D7799" s="52"/>
      <c r="E7799" s="115"/>
      <c r="F7799" s="58"/>
      <c r="G7799" s="58"/>
      <c r="H7799" s="58"/>
      <c r="I7799" s="55"/>
      <c r="J7799" s="113">
        <f>J7798</f>
        <v>36.904464999999846</v>
      </c>
      <c r="K7799" s="212">
        <f>K7798</f>
        <v>36.904464999999846</v>
      </c>
      <c r="L7799" s="58"/>
      <c r="M7799" s="58">
        <f>K7799-L7799</f>
        <v>36.904464999999846</v>
      </c>
      <c r="N7799" s="166"/>
      <c r="O7799" s="58"/>
      <c r="P7799" s="58"/>
      <c r="Q7799" s="58"/>
      <c r="R7799" s="58"/>
      <c r="S7799" s="58"/>
      <c r="T7799" s="220"/>
      <c r="U7799" s="88"/>
      <c r="V7799" s="56"/>
      <c r="W7799" s="57" t="s">
        <v>1080</v>
      </c>
      <c r="X7799" s="53"/>
      <c r="Y7799" s="91" t="s">
        <v>68</v>
      </c>
      <c r="Z7799" s="136">
        <f>AD7799/AC7799</f>
        <v>16.471093333333332</v>
      </c>
      <c r="AA7799" s="58"/>
      <c r="AB7799" s="53">
        <f>AD7799/AC7799</f>
        <v>16.471093333333332</v>
      </c>
      <c r="AC7799" s="53">
        <f>M7799+$AE$10</f>
        <v>36.904464999999846</v>
      </c>
      <c r="AD7799" s="54">
        <f>SUM(AD7800:AD7807)</f>
        <v>607.8568874317308</v>
      </c>
      <c r="AE7799" s="184">
        <f>SUMIFS($AD$37:$AD$12971,$V$37:$V$12971,$V7799,$X$37:$X$12971,AE$13)</f>
        <v>0</v>
      </c>
      <c r="AF7799" s="185">
        <f>SUMIFS($AD$37:$AD$12971,$V$37:$V$12971,$V7799,$X$37:$X$12971,AF$13)</f>
        <v>0</v>
      </c>
      <c r="AG7799" s="185">
        <f>SUMIFS($AD$37:$AD$12971,$V$37:$V$12971,$V7799,$X$37:$X$12971,AG$13)</f>
        <v>0</v>
      </c>
      <c r="AH7799" s="187">
        <f>SUMIFS($AD$37:$AD$12971,$V$37:$V$12971,$V7799,$X$37:$X$12971,AH$13)</f>
        <v>0</v>
      </c>
      <c r="AI7799" s="161">
        <f t="shared" ref="AI7799" si="5449">SUM(AE7799:AH7799)</f>
        <v>0</v>
      </c>
      <c r="AK7799" s="172"/>
    </row>
    <row r="7800" spans="1:41" s="102" customFormat="1" ht="19.899999999999999" customHeight="1" x14ac:dyDescent="0.25">
      <c r="A7800" s="45"/>
      <c r="B7800" s="59"/>
      <c r="C7800" s="137"/>
      <c r="D7800" s="59"/>
      <c r="E7800" s="116"/>
      <c r="F7800" s="120"/>
      <c r="G7800" s="120"/>
      <c r="H7800" s="120"/>
      <c r="I7800" s="60"/>
      <c r="J7800" s="116"/>
      <c r="K7800" s="213"/>
      <c r="L7800" s="120"/>
      <c r="M7800" s="120"/>
      <c r="N7800" s="167"/>
      <c r="O7800" s="120"/>
      <c r="P7800" s="120"/>
      <c r="Q7800" s="120"/>
      <c r="R7800" s="120"/>
      <c r="S7800" s="120"/>
      <c r="T7800" s="221"/>
      <c r="U7800" s="89"/>
      <c r="V7800" s="61"/>
      <c r="W7800" s="92" t="s">
        <v>129</v>
      </c>
      <c r="X7800" s="93" t="s">
        <v>29</v>
      </c>
      <c r="Y7800" s="93" t="s">
        <v>93</v>
      </c>
      <c r="Z7800" s="134">
        <f>VLOOKUP(W7800,Sheet2!$B:$D,3,FALSE)</f>
        <v>56</v>
      </c>
      <c r="AA7800" s="93">
        <f>100/(1.7*2)</f>
        <v>29.411764705882355</v>
      </c>
      <c r="AB7800" s="93">
        <f t="shared" ref="AB7800" si="5450">AD7800/AC7799</f>
        <v>1.9039999999999997</v>
      </c>
      <c r="AC7800" s="93">
        <f>AC7799/AA7800</f>
        <v>1.2547518099999946</v>
      </c>
      <c r="AD7800" s="94">
        <f t="shared" ref="AD7800:AD7801" si="5451">AC7800*Z7800</f>
        <v>70.266101359999695</v>
      </c>
      <c r="AE7800" s="190"/>
      <c r="AF7800" s="191"/>
      <c r="AG7800" s="191"/>
      <c r="AH7800" s="191"/>
      <c r="AI7800" s="186"/>
      <c r="AK7800" s="171"/>
    </row>
    <row r="7801" spans="1:41" s="102" customFormat="1" ht="19.899999999999999" customHeight="1" x14ac:dyDescent="0.25">
      <c r="A7801" s="45"/>
      <c r="B7801" s="59"/>
      <c r="C7801" s="137"/>
      <c r="D7801" s="59"/>
      <c r="E7801" s="116"/>
      <c r="F7801" s="120"/>
      <c r="G7801" s="120"/>
      <c r="H7801" s="120"/>
      <c r="I7801" s="60"/>
      <c r="J7801" s="116"/>
      <c r="K7801" s="213"/>
      <c r="L7801" s="120"/>
      <c r="M7801" s="120"/>
      <c r="N7801" s="167"/>
      <c r="O7801" s="120"/>
      <c r="P7801" s="120"/>
      <c r="Q7801" s="120"/>
      <c r="R7801" s="120"/>
      <c r="S7801" s="120"/>
      <c r="T7801" s="221"/>
      <c r="U7801" s="89"/>
      <c r="V7801" s="61"/>
      <c r="W7801" s="92" t="s">
        <v>65</v>
      </c>
      <c r="X7801" s="93" t="s">
        <v>30</v>
      </c>
      <c r="Y7801" s="93" t="s">
        <v>1011</v>
      </c>
      <c r="Z7801" s="134">
        <f>VLOOKUP(W7801,Sheet2!$B:$D,3,FALSE)</f>
        <v>1.76</v>
      </c>
      <c r="AA7801" s="93">
        <f>AA7800/14</f>
        <v>2.1008403361344539</v>
      </c>
      <c r="AB7801" s="93">
        <f>AD7801/AC7799</f>
        <v>0.83776000000000006</v>
      </c>
      <c r="AC7801" s="93">
        <f>AC7799/AA7801</f>
        <v>17.566525339999927</v>
      </c>
      <c r="AD7801" s="94">
        <f t="shared" si="5451"/>
        <v>30.917084598399871</v>
      </c>
      <c r="AE7801" s="190"/>
      <c r="AF7801" s="191"/>
      <c r="AG7801" s="191"/>
      <c r="AH7801" s="191"/>
      <c r="AI7801" s="186"/>
      <c r="AK7801" s="171"/>
    </row>
    <row r="7802" spans="1:41" s="102" customFormat="1" ht="19.899999999999999" customHeight="1" x14ac:dyDescent="0.25">
      <c r="A7802" s="45"/>
      <c r="B7802" s="59"/>
      <c r="C7802" s="137"/>
      <c r="D7802" s="59"/>
      <c r="E7802" s="116"/>
      <c r="F7802" s="120"/>
      <c r="G7802" s="120"/>
      <c r="H7802" s="120"/>
      <c r="I7802" s="60"/>
      <c r="J7802" s="116"/>
      <c r="K7802" s="213"/>
      <c r="L7802" s="120"/>
      <c r="M7802" s="120"/>
      <c r="N7802" s="167"/>
      <c r="O7802" s="120"/>
      <c r="P7802" s="120"/>
      <c r="Q7802" s="120"/>
      <c r="R7802" s="120"/>
      <c r="S7802" s="120"/>
      <c r="T7802" s="221"/>
      <c r="U7802" s="89"/>
      <c r="V7802" s="61"/>
      <c r="W7802" s="92" t="s">
        <v>161</v>
      </c>
      <c r="X7802" s="93" t="s">
        <v>29</v>
      </c>
      <c r="Y7802" s="93" t="s">
        <v>93</v>
      </c>
      <c r="Z7802" s="134">
        <f>VLOOKUP(W7802,Sheet2!$B:$D,3,FALSE)</f>
        <v>48</v>
      </c>
      <c r="AA7802" s="93">
        <f>(16*0.85*1.5)/(1.7*2)</f>
        <v>6</v>
      </c>
      <c r="AB7802" s="93">
        <f>AD7802/AC7799</f>
        <v>8</v>
      </c>
      <c r="AC7802" s="93">
        <f>AC7799/AA7802</f>
        <v>6.1507441666666409</v>
      </c>
      <c r="AD7802" s="94">
        <f>AC7802*Z7802</f>
        <v>295.23571999999876</v>
      </c>
      <c r="AE7802" s="190"/>
      <c r="AF7802" s="191"/>
      <c r="AG7802" s="191"/>
      <c r="AH7802" s="191"/>
      <c r="AI7802" s="186"/>
      <c r="AK7802" s="171"/>
    </row>
    <row r="7803" spans="1:41" s="102" customFormat="1" ht="19.899999999999999" customHeight="1" x14ac:dyDescent="0.25">
      <c r="A7803" s="45"/>
      <c r="B7803" s="59"/>
      <c r="C7803" s="137"/>
      <c r="D7803" s="59"/>
      <c r="E7803" s="116"/>
      <c r="F7803" s="120"/>
      <c r="G7803" s="120"/>
      <c r="H7803" s="120"/>
      <c r="I7803" s="60"/>
      <c r="J7803" s="116"/>
      <c r="K7803" s="213"/>
      <c r="L7803" s="120"/>
      <c r="M7803" s="120"/>
      <c r="N7803" s="167"/>
      <c r="O7803" s="120"/>
      <c r="P7803" s="120"/>
      <c r="Q7803" s="120"/>
      <c r="R7803" s="120"/>
      <c r="S7803" s="120"/>
      <c r="T7803" s="221"/>
      <c r="U7803" s="89"/>
      <c r="V7803" s="61"/>
      <c r="W7803" s="92" t="s">
        <v>65</v>
      </c>
      <c r="X7803" s="93" t="s">
        <v>30</v>
      </c>
      <c r="Y7803" s="93" t="s">
        <v>1011</v>
      </c>
      <c r="Z7803" s="134">
        <f>VLOOKUP(W7803,Sheet2!$B:$D,3,FALSE)</f>
        <v>1.76</v>
      </c>
      <c r="AA7803" s="93">
        <f>AA7802/10</f>
        <v>0.6</v>
      </c>
      <c r="AB7803" s="93">
        <f>AD7803/AC7799</f>
        <v>2.9333333333333331</v>
      </c>
      <c r="AC7803" s="93">
        <f>AC7799/AA7803</f>
        <v>61.507441666666409</v>
      </c>
      <c r="AD7803" s="94">
        <f>AC7803*Z7803</f>
        <v>108.25309733333287</v>
      </c>
      <c r="AE7803" s="190"/>
      <c r="AF7803" s="191"/>
      <c r="AG7803" s="191"/>
      <c r="AH7803" s="191"/>
      <c r="AI7803" s="186"/>
      <c r="AK7803" s="171"/>
    </row>
    <row r="7804" spans="1:41" s="102" customFormat="1" ht="19.899999999999999" customHeight="1" x14ac:dyDescent="0.25">
      <c r="A7804" s="45"/>
      <c r="B7804" s="59"/>
      <c r="C7804" s="137"/>
      <c r="D7804" s="59"/>
      <c r="E7804" s="116"/>
      <c r="F7804" s="120"/>
      <c r="G7804" s="120"/>
      <c r="H7804" s="120"/>
      <c r="I7804" s="60"/>
      <c r="J7804" s="116"/>
      <c r="K7804" s="213"/>
      <c r="L7804" s="120"/>
      <c r="M7804" s="120"/>
      <c r="N7804" s="167"/>
      <c r="O7804" s="120"/>
      <c r="P7804" s="120"/>
      <c r="Q7804" s="120"/>
      <c r="R7804" s="120"/>
      <c r="S7804" s="120"/>
      <c r="T7804" s="221"/>
      <c r="U7804" s="89"/>
      <c r="V7804" s="61"/>
      <c r="W7804" s="92" t="s">
        <v>1030</v>
      </c>
      <c r="X7804" s="93" t="s">
        <v>29</v>
      </c>
      <c r="Y7804" s="93" t="s">
        <v>93</v>
      </c>
      <c r="Z7804" s="134">
        <f>VLOOKUP(W7804,Sheet2!$B:$D,3,FALSE)</f>
        <v>23</v>
      </c>
      <c r="AA7804" s="93">
        <v>50</v>
      </c>
      <c r="AB7804" s="93">
        <f>AD7804/AC7799</f>
        <v>0.46</v>
      </c>
      <c r="AC7804" s="93">
        <f>AC7799/AA7804</f>
        <v>0.73808929999999695</v>
      </c>
      <c r="AD7804" s="94">
        <f t="shared" ref="AD7804:AD7807" si="5452">AC7804*Z7804</f>
        <v>16.976053899999929</v>
      </c>
      <c r="AE7804" s="190"/>
      <c r="AF7804" s="191"/>
      <c r="AG7804" s="191"/>
      <c r="AH7804" s="191"/>
      <c r="AI7804" s="186"/>
      <c r="AK7804" s="171"/>
    </row>
    <row r="7805" spans="1:41" s="102" customFormat="1" ht="19.899999999999999" customHeight="1" x14ac:dyDescent="0.25">
      <c r="A7805" s="45"/>
      <c r="B7805" s="59"/>
      <c r="C7805" s="137"/>
      <c r="D7805" s="59"/>
      <c r="E7805" s="116"/>
      <c r="F7805" s="120"/>
      <c r="G7805" s="120"/>
      <c r="H7805" s="120"/>
      <c r="I7805" s="60"/>
      <c r="J7805" s="116"/>
      <c r="K7805" s="213"/>
      <c r="L7805" s="120"/>
      <c r="M7805" s="120"/>
      <c r="N7805" s="167"/>
      <c r="O7805" s="120"/>
      <c r="P7805" s="120"/>
      <c r="Q7805" s="120"/>
      <c r="R7805" s="120"/>
      <c r="S7805" s="120"/>
      <c r="T7805" s="221"/>
      <c r="U7805" s="89"/>
      <c r="V7805" s="61"/>
      <c r="W7805" s="92" t="s">
        <v>65</v>
      </c>
      <c r="X7805" s="93" t="s">
        <v>30</v>
      </c>
      <c r="Y7805" s="93" t="s">
        <v>1011</v>
      </c>
      <c r="Z7805" s="134">
        <f>VLOOKUP(W7805,Sheet2!$B:$D,3,FALSE)</f>
        <v>1.76</v>
      </c>
      <c r="AA7805" s="93">
        <f>AA7804/3</f>
        <v>16.666666666666668</v>
      </c>
      <c r="AB7805" s="93">
        <f>AD7805/AC7799</f>
        <v>0.10559999999999999</v>
      </c>
      <c r="AC7805" s="93">
        <f>AC7799/AA7805</f>
        <v>2.2142678999999905</v>
      </c>
      <c r="AD7805" s="94">
        <f t="shared" si="5452"/>
        <v>3.8971115039999833</v>
      </c>
      <c r="AE7805" s="190"/>
      <c r="AF7805" s="191"/>
      <c r="AG7805" s="191"/>
      <c r="AH7805" s="191"/>
      <c r="AI7805" s="186"/>
      <c r="AK7805" s="171"/>
    </row>
    <row r="7806" spans="1:41" s="102" customFormat="1" ht="19.899999999999999" customHeight="1" x14ac:dyDescent="0.25">
      <c r="A7806" s="45"/>
      <c r="B7806" s="59"/>
      <c r="C7806" s="137"/>
      <c r="D7806" s="59"/>
      <c r="E7806" s="116"/>
      <c r="F7806" s="120"/>
      <c r="G7806" s="120"/>
      <c r="H7806" s="120"/>
      <c r="I7806" s="60"/>
      <c r="J7806" s="116"/>
      <c r="K7806" s="213"/>
      <c r="L7806" s="120"/>
      <c r="M7806" s="120"/>
      <c r="N7806" s="167"/>
      <c r="O7806" s="120"/>
      <c r="P7806" s="120"/>
      <c r="Q7806" s="120"/>
      <c r="R7806" s="120"/>
      <c r="S7806" s="120"/>
      <c r="T7806" s="221"/>
      <c r="U7806" s="89"/>
      <c r="V7806" s="61"/>
      <c r="W7806" s="92" t="s">
        <v>148</v>
      </c>
      <c r="X7806" s="93" t="s">
        <v>29</v>
      </c>
      <c r="Y7806" s="93" t="s">
        <v>93</v>
      </c>
      <c r="Z7806" s="134">
        <f>VLOOKUP(W7806,Sheet2!$B:$D,3,FALSE)</f>
        <v>48</v>
      </c>
      <c r="AA7806" s="93">
        <f>AA7800</f>
        <v>29.411764705882355</v>
      </c>
      <c r="AB7806" s="93">
        <f>AD7806/AC7799</f>
        <v>1.6319999999999997</v>
      </c>
      <c r="AC7806" s="93">
        <f>AC7799/AA7806</f>
        <v>1.2547518099999946</v>
      </c>
      <c r="AD7806" s="94">
        <f t="shared" si="5452"/>
        <v>60.228086879999736</v>
      </c>
      <c r="AE7806" s="190"/>
      <c r="AF7806" s="191"/>
      <c r="AG7806" s="191"/>
      <c r="AH7806" s="191"/>
      <c r="AI7806" s="186"/>
      <c r="AK7806" s="171"/>
    </row>
    <row r="7807" spans="1:41" s="102" customFormat="1" ht="19.899999999999999" customHeight="1" x14ac:dyDescent="0.25">
      <c r="A7807" s="45"/>
      <c r="B7807" s="59"/>
      <c r="C7807" s="137"/>
      <c r="D7807" s="59"/>
      <c r="E7807" s="116"/>
      <c r="F7807" s="120"/>
      <c r="G7807" s="120"/>
      <c r="H7807" s="120"/>
      <c r="I7807" s="60"/>
      <c r="J7807" s="116"/>
      <c r="K7807" s="213"/>
      <c r="L7807" s="120"/>
      <c r="M7807" s="120"/>
      <c r="N7807" s="167"/>
      <c r="O7807" s="120"/>
      <c r="P7807" s="120"/>
      <c r="Q7807" s="120"/>
      <c r="R7807" s="120"/>
      <c r="S7807" s="120"/>
      <c r="T7807" s="221"/>
      <c r="U7807" s="89"/>
      <c r="V7807" s="61"/>
      <c r="W7807" s="92" t="s">
        <v>65</v>
      </c>
      <c r="X7807" s="93" t="s">
        <v>30</v>
      </c>
      <c r="Y7807" s="93" t="s">
        <v>1011</v>
      </c>
      <c r="Z7807" s="134">
        <f>VLOOKUP(W7807,Sheet2!$B:$D,3,FALSE)</f>
        <v>1.76</v>
      </c>
      <c r="AA7807" s="93">
        <f>AA7806/10</f>
        <v>2.9411764705882355</v>
      </c>
      <c r="AB7807" s="93">
        <f>AD7807/AC7799</f>
        <v>0.59839999999999993</v>
      </c>
      <c r="AC7807" s="93">
        <f>AC7799/AA7807</f>
        <v>12.547518099999946</v>
      </c>
      <c r="AD7807" s="94">
        <f t="shared" si="5452"/>
        <v>22.083631855999904</v>
      </c>
      <c r="AE7807" s="190"/>
      <c r="AF7807" s="191"/>
      <c r="AG7807" s="191"/>
      <c r="AH7807" s="191"/>
      <c r="AI7807" s="186"/>
      <c r="AK7807" s="171"/>
    </row>
    <row r="7808" spans="1:41" s="103" customFormat="1" ht="19.899999999999999" customHeight="1" x14ac:dyDescent="0.25">
      <c r="A7808" s="51"/>
      <c r="B7808" s="52"/>
      <c r="C7808" s="165"/>
      <c r="D7808" s="52"/>
      <c r="E7808" s="115"/>
      <c r="F7808" s="58"/>
      <c r="G7808" s="58"/>
      <c r="H7808" s="58"/>
      <c r="I7808" s="55"/>
      <c r="J7808" s="113">
        <f>J7798</f>
        <v>36.904464999999846</v>
      </c>
      <c r="K7808" s="212">
        <f>K7798</f>
        <v>36.904464999999846</v>
      </c>
      <c r="L7808" s="58"/>
      <c r="M7808" s="58">
        <f>K7808-L7808</f>
        <v>36.904464999999846</v>
      </c>
      <c r="N7808" s="166"/>
      <c r="O7808" s="58"/>
      <c r="P7808" s="58"/>
      <c r="Q7808" s="58"/>
      <c r="R7808" s="58"/>
      <c r="S7808" s="58"/>
      <c r="T7808" s="220"/>
      <c r="U7808" s="88"/>
      <c r="V7808" s="56"/>
      <c r="W7808" s="57" t="s">
        <v>1104</v>
      </c>
      <c r="X7808" s="53"/>
      <c r="Y7808" s="91" t="s">
        <v>68</v>
      </c>
      <c r="Z7808" s="136">
        <f>AD7808/AC7808</f>
        <v>1248.55</v>
      </c>
      <c r="AA7808" s="58"/>
      <c r="AB7808" s="53">
        <f>AD7808/AC7808</f>
        <v>1248.55</v>
      </c>
      <c r="AC7808" s="53">
        <f>M7808+$AE$10</f>
        <v>36.904464999999846</v>
      </c>
      <c r="AD7808" s="54">
        <f>SUM(AD7809:AD7812)</f>
        <v>46077.069775749806</v>
      </c>
      <c r="AE7808" s="184">
        <f>SUMIFS($AD$37:$AD$12971,$V$37:$V$12971,$V7808,$X$37:$X$12971,AE$13)</f>
        <v>0</v>
      </c>
      <c r="AF7808" s="185">
        <f>SUMIFS($AD$37:$AD$12971,$V$37:$V$12971,$V7808,$X$37:$X$12971,AF$13)</f>
        <v>0</v>
      </c>
      <c r="AG7808" s="185">
        <f>SUMIFS($AD$37:$AD$12971,$V$37:$V$12971,$V7808,$X$37:$X$12971,AG$13)</f>
        <v>0</v>
      </c>
      <c r="AH7808" s="187">
        <f>SUMIFS($AD$37:$AD$12971,$V$37:$V$12971,$V7808,$X$37:$X$12971,AH$13)</f>
        <v>0</v>
      </c>
      <c r="AI7808" s="161">
        <f t="shared" ref="AI7808" si="5453">SUM(AE7808:AH7808)</f>
        <v>0</v>
      </c>
      <c r="AK7808" s="172"/>
    </row>
    <row r="7809" spans="1:41" s="102" customFormat="1" ht="19.899999999999999" customHeight="1" x14ac:dyDescent="0.25">
      <c r="A7809" s="45"/>
      <c r="B7809" s="59"/>
      <c r="C7809" s="137"/>
      <c r="D7809" s="59"/>
      <c r="E7809" s="116"/>
      <c r="F7809" s="120"/>
      <c r="G7809" s="120"/>
      <c r="H7809" s="120"/>
      <c r="I7809" s="60"/>
      <c r="J7809" s="116"/>
      <c r="K7809" s="213"/>
      <c r="L7809" s="120"/>
      <c r="M7809" s="120"/>
      <c r="N7809" s="167"/>
      <c r="O7809" s="120"/>
      <c r="P7809" s="120"/>
      <c r="Q7809" s="120"/>
      <c r="R7809" s="120"/>
      <c r="S7809" s="120"/>
      <c r="T7809" s="221"/>
      <c r="U7809" s="89"/>
      <c r="V7809" s="61"/>
      <c r="W7809" s="92" t="s">
        <v>1105</v>
      </c>
      <c r="X7809" s="93" t="s">
        <v>30</v>
      </c>
      <c r="Y7809" s="93" t="s">
        <v>66</v>
      </c>
      <c r="Z7809" s="134">
        <f>VLOOKUP(W7809,Sheet2!$B:$D,3,FALSE)</f>
        <v>2200</v>
      </c>
      <c r="AA7809" s="93">
        <f>1/((0.9*0.9)-(0.5*0.5))</f>
        <v>1.7857142857142856</v>
      </c>
      <c r="AB7809" s="93">
        <f>AD7809/AC7808</f>
        <v>1232</v>
      </c>
      <c r="AC7809" s="93">
        <f>AC7808/AA7809</f>
        <v>20.666500399999915</v>
      </c>
      <c r="AD7809" s="94">
        <f t="shared" ref="AD7809" si="5454">AC7809*Z7809</f>
        <v>45466.300879999813</v>
      </c>
      <c r="AE7809" s="190"/>
      <c r="AF7809" s="191"/>
      <c r="AG7809" s="191"/>
      <c r="AH7809" s="191"/>
      <c r="AI7809" s="186"/>
      <c r="AK7809" s="171"/>
    </row>
    <row r="7810" spans="1:41" s="102" customFormat="1" ht="19.899999999999999" customHeight="1" x14ac:dyDescent="0.25">
      <c r="A7810" s="45"/>
      <c r="B7810" s="59"/>
      <c r="C7810" s="137"/>
      <c r="D7810" s="59"/>
      <c r="E7810" s="116"/>
      <c r="F7810" s="120"/>
      <c r="G7810" s="120"/>
      <c r="H7810" s="120"/>
      <c r="I7810" s="60"/>
      <c r="J7810" s="116"/>
      <c r="K7810" s="213"/>
      <c r="L7810" s="120"/>
      <c r="M7810" s="120"/>
      <c r="N7810" s="167"/>
      <c r="O7810" s="120"/>
      <c r="P7810" s="120"/>
      <c r="Q7810" s="120"/>
      <c r="R7810" s="120"/>
      <c r="S7810" s="120"/>
      <c r="T7810" s="221"/>
      <c r="U7810" s="89"/>
      <c r="V7810" s="61"/>
      <c r="W7810" s="92" t="s">
        <v>174</v>
      </c>
      <c r="X7810" s="93" t="s">
        <v>29</v>
      </c>
      <c r="Y7810" s="93" t="s">
        <v>93</v>
      </c>
      <c r="Z7810" s="134">
        <f>VLOOKUP(W7810,Sheet2!$B:$D,3,FALSE)</f>
        <v>80</v>
      </c>
      <c r="AA7810" s="93">
        <f>4*2</f>
        <v>8</v>
      </c>
      <c r="AB7810" s="93">
        <f>AD7810/AC7808</f>
        <v>10</v>
      </c>
      <c r="AC7810" s="93">
        <f>AC7808/AA7810</f>
        <v>4.6130581249999807</v>
      </c>
      <c r="AD7810" s="94">
        <f>AC7810*Z7810</f>
        <v>369.04464999999846</v>
      </c>
      <c r="AE7810" s="190"/>
      <c r="AF7810" s="191"/>
      <c r="AG7810" s="191"/>
      <c r="AH7810" s="191"/>
      <c r="AI7810" s="186"/>
      <c r="AK7810" s="171"/>
    </row>
    <row r="7811" spans="1:41" s="102" customFormat="1" ht="19.899999999999999" customHeight="1" x14ac:dyDescent="0.25">
      <c r="A7811" s="45"/>
      <c r="B7811" s="59"/>
      <c r="C7811" s="137"/>
      <c r="D7811" s="59"/>
      <c r="E7811" s="116"/>
      <c r="F7811" s="120"/>
      <c r="G7811" s="120"/>
      <c r="H7811" s="120"/>
      <c r="I7811" s="60"/>
      <c r="J7811" s="116"/>
      <c r="K7811" s="213"/>
      <c r="L7811" s="120"/>
      <c r="M7811" s="120"/>
      <c r="N7811" s="167"/>
      <c r="O7811" s="120"/>
      <c r="P7811" s="120"/>
      <c r="Q7811" s="120"/>
      <c r="R7811" s="120"/>
      <c r="S7811" s="120"/>
      <c r="T7811" s="221"/>
      <c r="U7811" s="89"/>
      <c r="V7811" s="61"/>
      <c r="W7811" s="92" t="s">
        <v>65</v>
      </c>
      <c r="X7811" s="93" t="s">
        <v>30</v>
      </c>
      <c r="Y7811" s="93" t="s">
        <v>1011</v>
      </c>
      <c r="Z7811" s="134">
        <f>VLOOKUP(W7811,Sheet2!$B:$D,3,FALSE)</f>
        <v>1.76</v>
      </c>
      <c r="AA7811" s="93">
        <f>AA7810/15</f>
        <v>0.53333333333333333</v>
      </c>
      <c r="AB7811" s="93">
        <f>AD7811/AC7808</f>
        <v>3.3</v>
      </c>
      <c r="AC7811" s="93">
        <f>AC7808/AA7811</f>
        <v>69.19587187499971</v>
      </c>
      <c r="AD7811" s="94">
        <f t="shared" ref="AD7811" si="5455">AC7811*Z7811</f>
        <v>121.78473449999949</v>
      </c>
      <c r="AE7811" s="190"/>
      <c r="AF7811" s="191"/>
      <c r="AG7811" s="191"/>
      <c r="AH7811" s="191"/>
      <c r="AI7811" s="186"/>
      <c r="AK7811" s="171"/>
    </row>
    <row r="7812" spans="1:41" s="102" customFormat="1" ht="19.899999999999999" customHeight="1" x14ac:dyDescent="0.25">
      <c r="A7812" s="45"/>
      <c r="B7812" s="59"/>
      <c r="C7812" s="137"/>
      <c r="D7812" s="59"/>
      <c r="E7812" s="116"/>
      <c r="F7812" s="120"/>
      <c r="G7812" s="120"/>
      <c r="H7812" s="120"/>
      <c r="I7812" s="60"/>
      <c r="J7812" s="116"/>
      <c r="K7812" s="213"/>
      <c r="L7812" s="120"/>
      <c r="M7812" s="120"/>
      <c r="N7812" s="167"/>
      <c r="O7812" s="120"/>
      <c r="P7812" s="120"/>
      <c r="Q7812" s="120"/>
      <c r="R7812" s="120"/>
      <c r="S7812" s="120"/>
      <c r="T7812" s="221"/>
      <c r="U7812" s="89"/>
      <c r="V7812" s="61"/>
      <c r="W7812" s="92" t="s">
        <v>112</v>
      </c>
      <c r="X7812" s="93" t="s">
        <v>31</v>
      </c>
      <c r="Y7812" s="93" t="s">
        <v>93</v>
      </c>
      <c r="Z7812" s="134">
        <f>VLOOKUP(W7812,Sheet2!$B:$D,3,FALSE)</f>
        <v>13</v>
      </c>
      <c r="AA7812" s="93">
        <f>AA7810/2</f>
        <v>4</v>
      </c>
      <c r="AB7812" s="93">
        <f>AD7812/AC7808</f>
        <v>3.25</v>
      </c>
      <c r="AC7812" s="93">
        <f>AC7808/AA7812</f>
        <v>9.2261162499999614</v>
      </c>
      <c r="AD7812" s="94">
        <f>AC7812*Z7812</f>
        <v>119.9395112499995</v>
      </c>
      <c r="AE7812" s="190"/>
      <c r="AF7812" s="191"/>
      <c r="AG7812" s="191"/>
      <c r="AH7812" s="191"/>
      <c r="AI7812" s="186"/>
      <c r="AK7812" s="171"/>
    </row>
    <row r="7813" spans="1:41" ht="20.100000000000001" customHeight="1" x14ac:dyDescent="0.25">
      <c r="A7813" s="277" t="s">
        <v>703</v>
      </c>
      <c r="B7813" s="278"/>
      <c r="C7813" s="64" t="s">
        <v>765</v>
      </c>
      <c r="D7813" s="46" t="s">
        <v>97</v>
      </c>
      <c r="E7813" s="114">
        <v>28.838320000000067</v>
      </c>
      <c r="F7813" s="44">
        <v>2482</v>
      </c>
      <c r="G7813" s="44">
        <f t="shared" si="4575"/>
        <v>71576.71024000016</v>
      </c>
      <c r="H7813" s="44">
        <f t="shared" si="4576"/>
        <v>1303.9974666666669</v>
      </c>
      <c r="I7813" s="43">
        <f t="shared" si="4577"/>
        <v>37605.096222922759</v>
      </c>
      <c r="J7813" s="112">
        <f t="shared" si="4578"/>
        <v>28.838320000000067</v>
      </c>
      <c r="K7813" s="211">
        <f t="shared" si="4579"/>
        <v>28.838320000000067</v>
      </c>
      <c r="L7813" s="44"/>
      <c r="M7813" s="44">
        <f t="shared" si="4580"/>
        <v>28.838320000000067</v>
      </c>
      <c r="N7813" s="173">
        <f t="shared" si="4581"/>
        <v>1</v>
      </c>
      <c r="O7813" s="44">
        <f t="shared" si="4582"/>
        <v>2482</v>
      </c>
      <c r="P7813" s="44">
        <f t="shared" si="4583"/>
        <v>71576.71024000016</v>
      </c>
      <c r="Q7813" s="44">
        <f t="shared" si="4584"/>
        <v>1303.9974666666669</v>
      </c>
      <c r="R7813" s="44">
        <f t="shared" si="4585"/>
        <v>37605.096222922759</v>
      </c>
      <c r="S7813" s="123"/>
      <c r="T7813" s="219">
        <f t="shared" si="4586"/>
        <v>37605.096222922759</v>
      </c>
      <c r="U7813" s="87"/>
      <c r="V7813" s="47"/>
      <c r="W7813" s="48"/>
      <c r="X7813" s="48"/>
      <c r="Y7813" s="48"/>
      <c r="Z7813" s="135"/>
      <c r="AA7813" s="49"/>
      <c r="AB7813" s="50">
        <f t="shared" si="4587"/>
        <v>1303.9974666666669</v>
      </c>
      <c r="AC7813" s="42">
        <f t="shared" si="4588"/>
        <v>28.838320000000067</v>
      </c>
      <c r="AD7813" s="90">
        <f>AD7814+AD7824</f>
        <v>37605.096222922759</v>
      </c>
      <c r="AE7813" s="188">
        <f t="shared" ref="AE7813:AH7813" si="5456">AE7814+AE7824</f>
        <v>0</v>
      </c>
      <c r="AF7813" s="189">
        <f t="shared" si="5456"/>
        <v>0</v>
      </c>
      <c r="AG7813" s="189">
        <f t="shared" si="5456"/>
        <v>0</v>
      </c>
      <c r="AH7813" s="189">
        <f t="shared" si="5456"/>
        <v>0</v>
      </c>
      <c r="AI7813" s="161">
        <f t="shared" si="5448"/>
        <v>0</v>
      </c>
      <c r="AK7813" s="169">
        <v>5</v>
      </c>
      <c r="AO7813" s="19" t="s">
        <v>63</v>
      </c>
    </row>
    <row r="7814" spans="1:41" s="103" customFormat="1" ht="19.899999999999999" customHeight="1" x14ac:dyDescent="0.25">
      <c r="A7814" s="51"/>
      <c r="B7814" s="52"/>
      <c r="C7814" s="165"/>
      <c r="D7814" s="52"/>
      <c r="E7814" s="115"/>
      <c r="F7814" s="58"/>
      <c r="G7814" s="58"/>
      <c r="H7814" s="58"/>
      <c r="I7814" s="55"/>
      <c r="J7814" s="113">
        <f>J7813</f>
        <v>28.838320000000067</v>
      </c>
      <c r="K7814" s="212">
        <f>K7813</f>
        <v>28.838320000000067</v>
      </c>
      <c r="L7814" s="58"/>
      <c r="M7814" s="58">
        <f>K7814-L7814</f>
        <v>28.838320000000067</v>
      </c>
      <c r="N7814" s="166"/>
      <c r="O7814" s="58"/>
      <c r="P7814" s="58"/>
      <c r="Q7814" s="58"/>
      <c r="R7814" s="58"/>
      <c r="S7814" s="58"/>
      <c r="T7814" s="220"/>
      <c r="U7814" s="88"/>
      <c r="V7814" s="56"/>
      <c r="W7814" s="57" t="s">
        <v>1079</v>
      </c>
      <c r="X7814" s="53"/>
      <c r="Y7814" s="91" t="s">
        <v>68</v>
      </c>
      <c r="Z7814" s="136">
        <f>AD7814/AC7814</f>
        <v>55.447466666666664</v>
      </c>
      <c r="AA7814" s="58"/>
      <c r="AB7814" s="53">
        <f>AD7814/AC7814</f>
        <v>55.447466666666664</v>
      </c>
      <c r="AC7814" s="53">
        <f>M7814+$AE$10</f>
        <v>28.838320000000067</v>
      </c>
      <c r="AD7814" s="54">
        <f>SUM(AD7815:AD7823)</f>
        <v>1599.0117869226704</v>
      </c>
      <c r="AE7814" s="184">
        <f>SUMIFS($AD$37:$AD$12971,$V$37:$V$12971,$V7814,$X$37:$X$12971,AE$13)</f>
        <v>0</v>
      </c>
      <c r="AF7814" s="185">
        <f>SUMIFS($AD$37:$AD$12971,$V$37:$V$12971,$V7814,$X$37:$X$12971,AF$13)</f>
        <v>0</v>
      </c>
      <c r="AG7814" s="185">
        <f>SUMIFS($AD$37:$AD$12971,$V$37:$V$12971,$V7814,$X$37:$X$12971,AG$13)</f>
        <v>0</v>
      </c>
      <c r="AH7814" s="187">
        <f>SUMIFS($AD$37:$AD$12971,$V$37:$V$12971,$V7814,$X$37:$X$12971,AH$13)</f>
        <v>0</v>
      </c>
      <c r="AI7814" s="161">
        <f t="shared" ref="AI7814" si="5457">SUM(AE7814:AH7814)</f>
        <v>0</v>
      </c>
      <c r="AK7814" s="172"/>
    </row>
    <row r="7815" spans="1:41" s="102" customFormat="1" ht="19.899999999999999" customHeight="1" x14ac:dyDescent="0.25">
      <c r="A7815" s="45"/>
      <c r="B7815" s="59"/>
      <c r="C7815" s="137"/>
      <c r="D7815" s="59"/>
      <c r="E7815" s="116"/>
      <c r="F7815" s="120"/>
      <c r="G7815" s="120"/>
      <c r="H7815" s="120"/>
      <c r="I7815" s="60"/>
      <c r="J7815" s="116"/>
      <c r="K7815" s="213"/>
      <c r="L7815" s="120"/>
      <c r="M7815" s="120"/>
      <c r="N7815" s="167"/>
      <c r="O7815" s="120"/>
      <c r="P7815" s="120"/>
      <c r="Q7815" s="120"/>
      <c r="R7815" s="120"/>
      <c r="S7815" s="120"/>
      <c r="T7815" s="221"/>
      <c r="U7815" s="89"/>
      <c r="V7815" s="61"/>
      <c r="W7815" s="92" t="s">
        <v>129</v>
      </c>
      <c r="X7815" s="93" t="s">
        <v>29</v>
      </c>
      <c r="Y7815" s="93" t="s">
        <v>93</v>
      </c>
      <c r="Z7815" s="134">
        <f>VLOOKUP(W7815,Sheet2!$B:$D,3,FALSE)</f>
        <v>56</v>
      </c>
      <c r="AA7815" s="93">
        <f>100/(1.7*2.5)</f>
        <v>23.529411764705884</v>
      </c>
      <c r="AB7815" s="93">
        <f t="shared" ref="AB7815" si="5458">AD7815/AC7814</f>
        <v>2.38</v>
      </c>
      <c r="AC7815" s="93">
        <f>AC7814/AA7815</f>
        <v>1.2256286000000027</v>
      </c>
      <c r="AD7815" s="94">
        <f t="shared" ref="AD7815:AD7816" si="5459">AC7815*Z7815</f>
        <v>68.635201600000158</v>
      </c>
      <c r="AE7815" s="190"/>
      <c r="AF7815" s="191"/>
      <c r="AG7815" s="191"/>
      <c r="AH7815" s="191"/>
      <c r="AI7815" s="186"/>
      <c r="AK7815" s="171"/>
    </row>
    <row r="7816" spans="1:41" s="102" customFormat="1" ht="19.899999999999999" customHeight="1" x14ac:dyDescent="0.25">
      <c r="A7816" s="45"/>
      <c r="B7816" s="59"/>
      <c r="C7816" s="137"/>
      <c r="D7816" s="59"/>
      <c r="E7816" s="116"/>
      <c r="F7816" s="120"/>
      <c r="G7816" s="120"/>
      <c r="H7816" s="120"/>
      <c r="I7816" s="60"/>
      <c r="J7816" s="116"/>
      <c r="K7816" s="213"/>
      <c r="L7816" s="120"/>
      <c r="M7816" s="120"/>
      <c r="N7816" s="167"/>
      <c r="O7816" s="120"/>
      <c r="P7816" s="120"/>
      <c r="Q7816" s="120"/>
      <c r="R7816" s="120"/>
      <c r="S7816" s="120"/>
      <c r="T7816" s="221"/>
      <c r="U7816" s="89"/>
      <c r="V7816" s="61"/>
      <c r="W7816" s="92" t="s">
        <v>65</v>
      </c>
      <c r="X7816" s="93" t="s">
        <v>30</v>
      </c>
      <c r="Y7816" s="93" t="s">
        <v>1011</v>
      </c>
      <c r="Z7816" s="134">
        <f>VLOOKUP(W7816,Sheet2!$B:$D,3,FALSE)</f>
        <v>1.76</v>
      </c>
      <c r="AA7816" s="93">
        <f>AA7815/14</f>
        <v>1.680672268907563</v>
      </c>
      <c r="AB7816" s="93">
        <f>AD7816/AC7814</f>
        <v>1.0472000000000001</v>
      </c>
      <c r="AC7816" s="93">
        <f>AC7814/AA7816</f>
        <v>17.15880040000004</v>
      </c>
      <c r="AD7816" s="94">
        <f t="shared" si="5459"/>
        <v>30.199488704000071</v>
      </c>
      <c r="AE7816" s="190"/>
      <c r="AF7816" s="191"/>
      <c r="AG7816" s="191"/>
      <c r="AH7816" s="191"/>
      <c r="AI7816" s="186"/>
      <c r="AK7816" s="171"/>
    </row>
    <row r="7817" spans="1:41" s="102" customFormat="1" ht="19.899999999999999" customHeight="1" x14ac:dyDescent="0.25">
      <c r="A7817" s="45"/>
      <c r="B7817" s="59"/>
      <c r="C7817" s="137"/>
      <c r="D7817" s="59"/>
      <c r="E7817" s="116"/>
      <c r="F7817" s="120"/>
      <c r="G7817" s="120"/>
      <c r="H7817" s="120"/>
      <c r="I7817" s="60"/>
      <c r="J7817" s="116"/>
      <c r="K7817" s="213"/>
      <c r="L7817" s="120"/>
      <c r="M7817" s="120"/>
      <c r="N7817" s="167"/>
      <c r="O7817" s="120"/>
      <c r="P7817" s="120"/>
      <c r="Q7817" s="120"/>
      <c r="R7817" s="120"/>
      <c r="S7817" s="120"/>
      <c r="T7817" s="221"/>
      <c r="U7817" s="89"/>
      <c r="V7817" s="61"/>
      <c r="W7817" s="92" t="s">
        <v>161</v>
      </c>
      <c r="X7817" s="93" t="s">
        <v>29</v>
      </c>
      <c r="Y7817" s="93" t="s">
        <v>93</v>
      </c>
      <c r="Z7817" s="134">
        <f>VLOOKUP(W7817,Sheet2!$B:$D,3,FALSE)</f>
        <v>48</v>
      </c>
      <c r="AA7817" s="93">
        <f>(16*0.85*1.5)/(1.7*2.5)</f>
        <v>4.8</v>
      </c>
      <c r="AB7817" s="93">
        <f>AD7817/AC7814</f>
        <v>10</v>
      </c>
      <c r="AC7817" s="93">
        <f>AC7814/AA7817</f>
        <v>6.0079833333333479</v>
      </c>
      <c r="AD7817" s="94">
        <f>AC7817*Z7817</f>
        <v>288.38320000000067</v>
      </c>
      <c r="AE7817" s="190"/>
      <c r="AF7817" s="191"/>
      <c r="AG7817" s="191"/>
      <c r="AH7817" s="191"/>
      <c r="AI7817" s="186"/>
      <c r="AK7817" s="171"/>
    </row>
    <row r="7818" spans="1:41" s="102" customFormat="1" ht="19.899999999999999" customHeight="1" x14ac:dyDescent="0.25">
      <c r="A7818" s="45"/>
      <c r="B7818" s="59"/>
      <c r="C7818" s="137"/>
      <c r="D7818" s="59"/>
      <c r="E7818" s="116"/>
      <c r="F7818" s="120"/>
      <c r="G7818" s="120"/>
      <c r="H7818" s="120"/>
      <c r="I7818" s="60"/>
      <c r="J7818" s="116"/>
      <c r="K7818" s="213"/>
      <c r="L7818" s="120"/>
      <c r="M7818" s="120"/>
      <c r="N7818" s="167"/>
      <c r="O7818" s="120"/>
      <c r="P7818" s="120"/>
      <c r="Q7818" s="120"/>
      <c r="R7818" s="120"/>
      <c r="S7818" s="120"/>
      <c r="T7818" s="221"/>
      <c r="U7818" s="89"/>
      <c r="V7818" s="61"/>
      <c r="W7818" s="92" t="s">
        <v>65</v>
      </c>
      <c r="X7818" s="93" t="s">
        <v>30</v>
      </c>
      <c r="Y7818" s="93" t="s">
        <v>1011</v>
      </c>
      <c r="Z7818" s="134">
        <f>VLOOKUP(W7818,Sheet2!$B:$D,3,FALSE)</f>
        <v>1.76</v>
      </c>
      <c r="AA7818" s="93">
        <f>AA7817/10</f>
        <v>0.48</v>
      </c>
      <c r="AB7818" s="93">
        <f>AD7818/AC7814</f>
        <v>3.666666666666667</v>
      </c>
      <c r="AC7818" s="93">
        <f>AC7814/AA7818</f>
        <v>60.079833333333475</v>
      </c>
      <c r="AD7818" s="94">
        <f>AC7818*Z7818</f>
        <v>105.74050666666692</v>
      </c>
      <c r="AE7818" s="190"/>
      <c r="AF7818" s="191"/>
      <c r="AG7818" s="191"/>
      <c r="AH7818" s="191"/>
      <c r="AI7818" s="186"/>
      <c r="AK7818" s="171"/>
    </row>
    <row r="7819" spans="1:41" s="102" customFormat="1" ht="19.899999999999999" customHeight="1" x14ac:dyDescent="0.25">
      <c r="A7819" s="45"/>
      <c r="B7819" s="59"/>
      <c r="C7819" s="137"/>
      <c r="D7819" s="59"/>
      <c r="E7819" s="116"/>
      <c r="F7819" s="120"/>
      <c r="G7819" s="120"/>
      <c r="H7819" s="120"/>
      <c r="I7819" s="60"/>
      <c r="J7819" s="116"/>
      <c r="K7819" s="213"/>
      <c r="L7819" s="120"/>
      <c r="M7819" s="120"/>
      <c r="N7819" s="167"/>
      <c r="O7819" s="120"/>
      <c r="P7819" s="120"/>
      <c r="Q7819" s="120"/>
      <c r="R7819" s="120"/>
      <c r="S7819" s="120"/>
      <c r="T7819" s="221"/>
      <c r="U7819" s="89"/>
      <c r="V7819" s="61"/>
      <c r="W7819" s="92" t="s">
        <v>1030</v>
      </c>
      <c r="X7819" s="93" t="s">
        <v>29</v>
      </c>
      <c r="Y7819" s="93" t="s">
        <v>93</v>
      </c>
      <c r="Z7819" s="134">
        <f>VLOOKUP(W7819,Sheet2!$B:$D,3,FALSE)</f>
        <v>23</v>
      </c>
      <c r="AA7819" s="93">
        <v>50</v>
      </c>
      <c r="AB7819" s="93">
        <f>AD7819/AC7814</f>
        <v>0.46</v>
      </c>
      <c r="AC7819" s="93">
        <f>AC7814/AA7819</f>
        <v>0.57676640000000134</v>
      </c>
      <c r="AD7819" s="94">
        <f t="shared" ref="AD7819:AD7823" si="5460">AC7819*Z7819</f>
        <v>13.265627200000031</v>
      </c>
      <c r="AE7819" s="190"/>
      <c r="AF7819" s="191"/>
      <c r="AG7819" s="191"/>
      <c r="AH7819" s="191"/>
      <c r="AI7819" s="186"/>
      <c r="AK7819" s="171"/>
    </row>
    <row r="7820" spans="1:41" s="102" customFormat="1" ht="19.899999999999999" customHeight="1" x14ac:dyDescent="0.25">
      <c r="A7820" s="45"/>
      <c r="B7820" s="59"/>
      <c r="C7820" s="137"/>
      <c r="D7820" s="59"/>
      <c r="E7820" s="116"/>
      <c r="F7820" s="120"/>
      <c r="G7820" s="120"/>
      <c r="H7820" s="120"/>
      <c r="I7820" s="60"/>
      <c r="J7820" s="116"/>
      <c r="K7820" s="213"/>
      <c r="L7820" s="120"/>
      <c r="M7820" s="120"/>
      <c r="N7820" s="167"/>
      <c r="O7820" s="120"/>
      <c r="P7820" s="120"/>
      <c r="Q7820" s="120"/>
      <c r="R7820" s="120"/>
      <c r="S7820" s="120"/>
      <c r="T7820" s="221"/>
      <c r="U7820" s="89"/>
      <c r="V7820" s="61"/>
      <c r="W7820" s="92" t="s">
        <v>65</v>
      </c>
      <c r="X7820" s="93" t="s">
        <v>30</v>
      </c>
      <c r="Y7820" s="93" t="s">
        <v>1011</v>
      </c>
      <c r="Z7820" s="134">
        <f>VLOOKUP(W7820,Sheet2!$B:$D,3,FALSE)</f>
        <v>1.76</v>
      </c>
      <c r="AA7820" s="93">
        <f>AA7819/3</f>
        <v>16.666666666666668</v>
      </c>
      <c r="AB7820" s="93">
        <f>AD7820/AC7814</f>
        <v>0.1056</v>
      </c>
      <c r="AC7820" s="93">
        <f>AC7814/AA7820</f>
        <v>1.7302992000000039</v>
      </c>
      <c r="AD7820" s="94">
        <f t="shared" si="5460"/>
        <v>3.045326592000007</v>
      </c>
      <c r="AE7820" s="190"/>
      <c r="AF7820" s="191"/>
      <c r="AG7820" s="191"/>
      <c r="AH7820" s="191"/>
      <c r="AI7820" s="186"/>
      <c r="AK7820" s="171"/>
    </row>
    <row r="7821" spans="1:41" s="102" customFormat="1" ht="19.899999999999999" customHeight="1" x14ac:dyDescent="0.25">
      <c r="A7821" s="45"/>
      <c r="B7821" s="59"/>
      <c r="C7821" s="137"/>
      <c r="D7821" s="59"/>
      <c r="E7821" s="116"/>
      <c r="F7821" s="120"/>
      <c r="G7821" s="120"/>
      <c r="H7821" s="120"/>
      <c r="I7821" s="60"/>
      <c r="J7821" s="116"/>
      <c r="K7821" s="213"/>
      <c r="L7821" s="120"/>
      <c r="M7821" s="120"/>
      <c r="N7821" s="167"/>
      <c r="O7821" s="120"/>
      <c r="P7821" s="120"/>
      <c r="Q7821" s="120"/>
      <c r="R7821" s="120"/>
      <c r="S7821" s="120"/>
      <c r="T7821" s="221"/>
      <c r="U7821" s="89"/>
      <c r="V7821" s="61"/>
      <c r="W7821" s="92" t="s">
        <v>148</v>
      </c>
      <c r="X7821" s="93" t="s">
        <v>29</v>
      </c>
      <c r="Y7821" s="93" t="s">
        <v>93</v>
      </c>
      <c r="Z7821" s="134">
        <f>VLOOKUP(W7821,Sheet2!$B:$D,3,FALSE)</f>
        <v>48</v>
      </c>
      <c r="AA7821" s="93">
        <f>AA7815</f>
        <v>23.529411764705884</v>
      </c>
      <c r="AB7821" s="93">
        <f>AD7821/AC7814</f>
        <v>2.0399999999999996</v>
      </c>
      <c r="AC7821" s="93">
        <f>AC7814/AA7821</f>
        <v>1.2256286000000027</v>
      </c>
      <c r="AD7821" s="94">
        <f t="shared" si="5460"/>
        <v>58.830172800000128</v>
      </c>
      <c r="AE7821" s="190"/>
      <c r="AF7821" s="191"/>
      <c r="AG7821" s="191"/>
      <c r="AH7821" s="191"/>
      <c r="AI7821" s="186"/>
      <c r="AK7821" s="171"/>
    </row>
    <row r="7822" spans="1:41" s="102" customFormat="1" ht="19.899999999999999" customHeight="1" x14ac:dyDescent="0.25">
      <c r="A7822" s="45"/>
      <c r="B7822" s="59"/>
      <c r="C7822" s="137"/>
      <c r="D7822" s="59"/>
      <c r="E7822" s="116"/>
      <c r="F7822" s="120"/>
      <c r="G7822" s="120"/>
      <c r="H7822" s="120"/>
      <c r="I7822" s="60"/>
      <c r="J7822" s="116"/>
      <c r="K7822" s="213"/>
      <c r="L7822" s="120"/>
      <c r="M7822" s="120"/>
      <c r="N7822" s="167"/>
      <c r="O7822" s="120"/>
      <c r="P7822" s="120"/>
      <c r="Q7822" s="120"/>
      <c r="R7822" s="120"/>
      <c r="S7822" s="120"/>
      <c r="T7822" s="221"/>
      <c r="U7822" s="89"/>
      <c r="V7822" s="61"/>
      <c r="W7822" s="92" t="s">
        <v>65</v>
      </c>
      <c r="X7822" s="93" t="s">
        <v>30</v>
      </c>
      <c r="Y7822" s="93" t="s">
        <v>1011</v>
      </c>
      <c r="Z7822" s="134">
        <f>VLOOKUP(W7822,Sheet2!$B:$D,3,FALSE)</f>
        <v>1.76</v>
      </c>
      <c r="AA7822" s="93">
        <f>AA7821/10</f>
        <v>2.3529411764705883</v>
      </c>
      <c r="AB7822" s="93">
        <f>AD7822/AC7814</f>
        <v>0.748</v>
      </c>
      <c r="AC7822" s="93">
        <f>AC7814/AA7822</f>
        <v>12.256286000000028</v>
      </c>
      <c r="AD7822" s="94">
        <f t="shared" si="5460"/>
        <v>21.57106336000005</v>
      </c>
      <c r="AE7822" s="190"/>
      <c r="AF7822" s="191"/>
      <c r="AG7822" s="191"/>
      <c r="AH7822" s="191"/>
      <c r="AI7822" s="186"/>
      <c r="AK7822" s="171"/>
    </row>
    <row r="7823" spans="1:41" s="102" customFormat="1" ht="19.899999999999999" customHeight="1" x14ac:dyDescent="0.25">
      <c r="A7823" s="45"/>
      <c r="B7823" s="59"/>
      <c r="C7823" s="137"/>
      <c r="D7823" s="59"/>
      <c r="E7823" s="116"/>
      <c r="F7823" s="120"/>
      <c r="G7823" s="120"/>
      <c r="H7823" s="120"/>
      <c r="I7823" s="60"/>
      <c r="J7823" s="116"/>
      <c r="K7823" s="213"/>
      <c r="L7823" s="120"/>
      <c r="M7823" s="120"/>
      <c r="N7823" s="167"/>
      <c r="O7823" s="120"/>
      <c r="P7823" s="120"/>
      <c r="Q7823" s="120"/>
      <c r="R7823" s="120"/>
      <c r="S7823" s="120"/>
      <c r="T7823" s="221"/>
      <c r="U7823" s="89"/>
      <c r="V7823" s="61"/>
      <c r="W7823" s="92" t="s">
        <v>1048</v>
      </c>
      <c r="X7823" s="93" t="s">
        <v>30</v>
      </c>
      <c r="Y7823" s="93" t="s">
        <v>68</v>
      </c>
      <c r="Z7823" s="134">
        <f>VLOOKUP(W7823,Sheet2!$B:$D,3,FALSE)</f>
        <v>35</v>
      </c>
      <c r="AA7823" s="93">
        <v>1</v>
      </c>
      <c r="AB7823" s="93">
        <f>AD7823/AC7814</f>
        <v>35</v>
      </c>
      <c r="AC7823" s="93">
        <f>AC7814/AA7823</f>
        <v>28.838320000000067</v>
      </c>
      <c r="AD7823" s="94">
        <f t="shared" si="5460"/>
        <v>1009.3412000000023</v>
      </c>
      <c r="AE7823" s="190"/>
      <c r="AF7823" s="191"/>
      <c r="AG7823" s="191"/>
      <c r="AH7823" s="191"/>
      <c r="AI7823" s="186"/>
      <c r="AK7823" s="171"/>
    </row>
    <row r="7824" spans="1:41" s="103" customFormat="1" ht="19.899999999999999" customHeight="1" x14ac:dyDescent="0.25">
      <c r="A7824" s="51"/>
      <c r="B7824" s="52"/>
      <c r="C7824" s="165"/>
      <c r="D7824" s="52"/>
      <c r="E7824" s="115"/>
      <c r="F7824" s="58"/>
      <c r="G7824" s="58"/>
      <c r="H7824" s="58"/>
      <c r="I7824" s="55"/>
      <c r="J7824" s="113">
        <f>J7813</f>
        <v>28.838320000000067</v>
      </c>
      <c r="K7824" s="212">
        <f>K7813</f>
        <v>28.838320000000067</v>
      </c>
      <c r="L7824" s="58"/>
      <c r="M7824" s="58">
        <f>K7824-L7824</f>
        <v>28.838320000000067</v>
      </c>
      <c r="N7824" s="166"/>
      <c r="O7824" s="58"/>
      <c r="P7824" s="58"/>
      <c r="Q7824" s="58"/>
      <c r="R7824" s="58"/>
      <c r="S7824" s="58"/>
      <c r="T7824" s="220"/>
      <c r="U7824" s="88"/>
      <c r="V7824" s="56"/>
      <c r="W7824" s="57" t="s">
        <v>1104</v>
      </c>
      <c r="X7824" s="53"/>
      <c r="Y7824" s="91" t="s">
        <v>68</v>
      </c>
      <c r="Z7824" s="136">
        <f>AD7824/AC7824</f>
        <v>1248.5500000000002</v>
      </c>
      <c r="AA7824" s="58"/>
      <c r="AB7824" s="53">
        <f>AD7824/AC7824</f>
        <v>1248.5500000000002</v>
      </c>
      <c r="AC7824" s="53">
        <f>M7824+$AE$10</f>
        <v>28.838320000000067</v>
      </c>
      <c r="AD7824" s="54">
        <f>SUM(AD7825:AD7828)</f>
        <v>36006.084436000092</v>
      </c>
      <c r="AE7824" s="184">
        <f>SUMIFS($AD$37:$AD$12971,$V$37:$V$12971,$V7824,$X$37:$X$12971,AE$13)</f>
        <v>0</v>
      </c>
      <c r="AF7824" s="185">
        <f>SUMIFS($AD$37:$AD$12971,$V$37:$V$12971,$V7824,$X$37:$X$12971,AF$13)</f>
        <v>0</v>
      </c>
      <c r="AG7824" s="185">
        <f>SUMIFS($AD$37:$AD$12971,$V$37:$V$12971,$V7824,$X$37:$X$12971,AG$13)</f>
        <v>0</v>
      </c>
      <c r="AH7824" s="187">
        <f>SUMIFS($AD$37:$AD$12971,$V$37:$V$12971,$V7824,$X$37:$X$12971,AH$13)</f>
        <v>0</v>
      </c>
      <c r="AI7824" s="161">
        <f t="shared" ref="AI7824" si="5461">SUM(AE7824:AH7824)</f>
        <v>0</v>
      </c>
      <c r="AK7824" s="172"/>
    </row>
    <row r="7825" spans="1:41" s="102" customFormat="1" ht="19.899999999999999" customHeight="1" x14ac:dyDescent="0.25">
      <c r="A7825" s="45"/>
      <c r="B7825" s="59"/>
      <c r="C7825" s="137"/>
      <c r="D7825" s="59"/>
      <c r="E7825" s="116"/>
      <c r="F7825" s="120"/>
      <c r="G7825" s="120"/>
      <c r="H7825" s="120"/>
      <c r="I7825" s="60"/>
      <c r="J7825" s="116"/>
      <c r="K7825" s="213"/>
      <c r="L7825" s="120"/>
      <c r="M7825" s="120"/>
      <c r="N7825" s="167"/>
      <c r="O7825" s="120"/>
      <c r="P7825" s="120"/>
      <c r="Q7825" s="120"/>
      <c r="R7825" s="120"/>
      <c r="S7825" s="120"/>
      <c r="T7825" s="221"/>
      <c r="U7825" s="89"/>
      <c r="V7825" s="61"/>
      <c r="W7825" s="92" t="s">
        <v>1105</v>
      </c>
      <c r="X7825" s="93" t="s">
        <v>30</v>
      </c>
      <c r="Y7825" s="93" t="s">
        <v>66</v>
      </c>
      <c r="Z7825" s="134">
        <f>VLOOKUP(W7825,Sheet2!$B:$D,3,FALSE)</f>
        <v>2200</v>
      </c>
      <c r="AA7825" s="93">
        <f>1/((0.9*0.9)-(0.5*0.5))</f>
        <v>1.7857142857142856</v>
      </c>
      <c r="AB7825" s="93">
        <f>AD7825/AC7824</f>
        <v>1232.0000000000002</v>
      </c>
      <c r="AC7825" s="93">
        <f>AC7824/AA7825</f>
        <v>16.149459200000038</v>
      </c>
      <c r="AD7825" s="94">
        <f t="shared" ref="AD7825" si="5462">AC7825*Z7825</f>
        <v>35528.810240000086</v>
      </c>
      <c r="AE7825" s="190"/>
      <c r="AF7825" s="191"/>
      <c r="AG7825" s="191"/>
      <c r="AH7825" s="191"/>
      <c r="AI7825" s="186"/>
      <c r="AK7825" s="171"/>
    </row>
    <row r="7826" spans="1:41" s="102" customFormat="1" ht="19.899999999999999" customHeight="1" x14ac:dyDescent="0.25">
      <c r="A7826" s="45"/>
      <c r="B7826" s="59"/>
      <c r="C7826" s="137"/>
      <c r="D7826" s="59"/>
      <c r="E7826" s="116"/>
      <c r="F7826" s="120"/>
      <c r="G7826" s="120"/>
      <c r="H7826" s="120"/>
      <c r="I7826" s="60"/>
      <c r="J7826" s="116"/>
      <c r="K7826" s="213"/>
      <c r="L7826" s="120"/>
      <c r="M7826" s="120"/>
      <c r="N7826" s="167"/>
      <c r="O7826" s="120"/>
      <c r="P7826" s="120"/>
      <c r="Q7826" s="120"/>
      <c r="R7826" s="120"/>
      <c r="S7826" s="120"/>
      <c r="T7826" s="221"/>
      <c r="U7826" s="89"/>
      <c r="V7826" s="61"/>
      <c r="W7826" s="92" t="s">
        <v>174</v>
      </c>
      <c r="X7826" s="93" t="s">
        <v>29</v>
      </c>
      <c r="Y7826" s="93" t="s">
        <v>93</v>
      </c>
      <c r="Z7826" s="134">
        <f>VLOOKUP(W7826,Sheet2!$B:$D,3,FALSE)</f>
        <v>80</v>
      </c>
      <c r="AA7826" s="93">
        <f>4*2</f>
        <v>8</v>
      </c>
      <c r="AB7826" s="93">
        <f>AD7826/AC7824</f>
        <v>10</v>
      </c>
      <c r="AC7826" s="93">
        <f>AC7824/AA7826</f>
        <v>3.6047900000000084</v>
      </c>
      <c r="AD7826" s="94">
        <f>AC7826*Z7826</f>
        <v>288.38320000000067</v>
      </c>
      <c r="AE7826" s="190"/>
      <c r="AF7826" s="191"/>
      <c r="AG7826" s="191"/>
      <c r="AH7826" s="191"/>
      <c r="AI7826" s="186"/>
      <c r="AK7826" s="171"/>
    </row>
    <row r="7827" spans="1:41" s="102" customFormat="1" ht="19.899999999999999" customHeight="1" x14ac:dyDescent="0.25">
      <c r="A7827" s="45"/>
      <c r="B7827" s="59"/>
      <c r="C7827" s="137"/>
      <c r="D7827" s="59"/>
      <c r="E7827" s="116"/>
      <c r="F7827" s="120"/>
      <c r="G7827" s="120"/>
      <c r="H7827" s="120"/>
      <c r="I7827" s="60"/>
      <c r="J7827" s="116"/>
      <c r="K7827" s="213"/>
      <c r="L7827" s="120"/>
      <c r="M7827" s="120"/>
      <c r="N7827" s="167"/>
      <c r="O7827" s="120"/>
      <c r="P7827" s="120"/>
      <c r="Q7827" s="120"/>
      <c r="R7827" s="120"/>
      <c r="S7827" s="120"/>
      <c r="T7827" s="221"/>
      <c r="U7827" s="89"/>
      <c r="V7827" s="61"/>
      <c r="W7827" s="92" t="s">
        <v>65</v>
      </c>
      <c r="X7827" s="93" t="s">
        <v>30</v>
      </c>
      <c r="Y7827" s="93" t="s">
        <v>1011</v>
      </c>
      <c r="Z7827" s="134">
        <f>VLOOKUP(W7827,Sheet2!$B:$D,3,FALSE)</f>
        <v>1.76</v>
      </c>
      <c r="AA7827" s="93">
        <f>AA7826/15</f>
        <v>0.53333333333333333</v>
      </c>
      <c r="AB7827" s="93">
        <f>AD7827/AC7824</f>
        <v>3.3000000000000003</v>
      </c>
      <c r="AC7827" s="93">
        <f>AC7824/AA7827</f>
        <v>54.071850000000126</v>
      </c>
      <c r="AD7827" s="94">
        <f t="shared" ref="AD7827" si="5463">AC7827*Z7827</f>
        <v>95.166456000000224</v>
      </c>
      <c r="AE7827" s="190"/>
      <c r="AF7827" s="191"/>
      <c r="AG7827" s="191"/>
      <c r="AH7827" s="191"/>
      <c r="AI7827" s="186"/>
      <c r="AK7827" s="171"/>
    </row>
    <row r="7828" spans="1:41" s="102" customFormat="1" ht="19.899999999999999" customHeight="1" x14ac:dyDescent="0.25">
      <c r="A7828" s="45"/>
      <c r="B7828" s="59"/>
      <c r="C7828" s="137"/>
      <c r="D7828" s="59"/>
      <c r="E7828" s="116"/>
      <c r="F7828" s="120"/>
      <c r="G7828" s="120"/>
      <c r="H7828" s="120"/>
      <c r="I7828" s="60"/>
      <c r="J7828" s="116"/>
      <c r="K7828" s="213"/>
      <c r="L7828" s="120"/>
      <c r="M7828" s="120"/>
      <c r="N7828" s="167"/>
      <c r="O7828" s="120"/>
      <c r="P7828" s="120"/>
      <c r="Q7828" s="120"/>
      <c r="R7828" s="120"/>
      <c r="S7828" s="120"/>
      <c r="T7828" s="221"/>
      <c r="U7828" s="89"/>
      <c r="V7828" s="61"/>
      <c r="W7828" s="92" t="s">
        <v>112</v>
      </c>
      <c r="X7828" s="93" t="s">
        <v>31</v>
      </c>
      <c r="Y7828" s="93" t="s">
        <v>93</v>
      </c>
      <c r="Z7828" s="134">
        <f>VLOOKUP(W7828,Sheet2!$B:$D,3,FALSE)</f>
        <v>13</v>
      </c>
      <c r="AA7828" s="93">
        <f>AA7826/2</f>
        <v>4</v>
      </c>
      <c r="AB7828" s="93">
        <f>AD7828/AC7824</f>
        <v>3.25</v>
      </c>
      <c r="AC7828" s="93">
        <f>AC7824/AA7828</f>
        <v>7.2095800000000168</v>
      </c>
      <c r="AD7828" s="94">
        <f>AC7828*Z7828</f>
        <v>93.724540000000218</v>
      </c>
      <c r="AE7828" s="190"/>
      <c r="AF7828" s="191"/>
      <c r="AG7828" s="191"/>
      <c r="AH7828" s="191"/>
      <c r="AI7828" s="186"/>
      <c r="AK7828" s="171"/>
    </row>
    <row r="7829" spans="1:41" ht="20.100000000000001" customHeight="1" x14ac:dyDescent="0.25">
      <c r="A7829" s="277" t="s">
        <v>703</v>
      </c>
      <c r="B7829" s="278"/>
      <c r="C7829" s="64" t="s">
        <v>766</v>
      </c>
      <c r="D7829" s="46" t="s">
        <v>97</v>
      </c>
      <c r="E7829" s="114"/>
      <c r="F7829" s="44">
        <v>0</v>
      </c>
      <c r="G7829" s="44">
        <f t="shared" si="4575"/>
        <v>0</v>
      </c>
      <c r="H7829" s="44">
        <f t="shared" si="4576"/>
        <v>0</v>
      </c>
      <c r="I7829" s="43">
        <f t="shared" si="4577"/>
        <v>0</v>
      </c>
      <c r="J7829" s="112">
        <f t="shared" si="4578"/>
        <v>0</v>
      </c>
      <c r="K7829" s="211">
        <f t="shared" si="4579"/>
        <v>0</v>
      </c>
      <c r="L7829" s="44"/>
      <c r="M7829" s="44">
        <f t="shared" si="4580"/>
        <v>0</v>
      </c>
      <c r="N7829" s="173">
        <f t="shared" si="4581"/>
        <v>0</v>
      </c>
      <c r="O7829" s="44">
        <f t="shared" si="4582"/>
        <v>0</v>
      </c>
      <c r="P7829" s="44">
        <f t="shared" si="4583"/>
        <v>0</v>
      </c>
      <c r="Q7829" s="44">
        <f t="shared" si="4584"/>
        <v>0</v>
      </c>
      <c r="R7829" s="44">
        <f t="shared" si="4585"/>
        <v>0</v>
      </c>
      <c r="S7829" s="123"/>
      <c r="T7829" s="219">
        <f t="shared" si="4586"/>
        <v>0</v>
      </c>
      <c r="U7829" s="87"/>
      <c r="V7829" s="47"/>
      <c r="W7829" s="48"/>
      <c r="X7829" s="48"/>
      <c r="Y7829" s="48"/>
      <c r="Z7829" s="135"/>
      <c r="AA7829" s="49"/>
      <c r="AB7829" s="50">
        <f t="shared" si="4587"/>
        <v>0</v>
      </c>
      <c r="AC7829" s="42">
        <f t="shared" si="4588"/>
        <v>9.9999999999999998E-20</v>
      </c>
      <c r="AD7829" s="90"/>
      <c r="AE7829" s="188"/>
      <c r="AF7829" s="189"/>
      <c r="AG7829" s="189"/>
      <c r="AH7829" s="189"/>
      <c r="AI7829" s="161"/>
    </row>
    <row r="7830" spans="1:41" ht="20.100000000000001" customHeight="1" x14ac:dyDescent="0.25">
      <c r="A7830" s="277" t="s">
        <v>703</v>
      </c>
      <c r="B7830" s="278"/>
      <c r="C7830" s="64" t="s">
        <v>767</v>
      </c>
      <c r="D7830" s="46"/>
      <c r="E7830" s="114"/>
      <c r="F7830" s="44">
        <v>0</v>
      </c>
      <c r="G7830" s="44">
        <f t="shared" si="4575"/>
        <v>0</v>
      </c>
      <c r="H7830" s="44">
        <f t="shared" si="4576"/>
        <v>0</v>
      </c>
      <c r="I7830" s="43">
        <f t="shared" si="4577"/>
        <v>0</v>
      </c>
      <c r="J7830" s="112">
        <f t="shared" si="4578"/>
        <v>0</v>
      </c>
      <c r="K7830" s="211">
        <f t="shared" si="4579"/>
        <v>0</v>
      </c>
      <c r="L7830" s="44"/>
      <c r="M7830" s="44">
        <f t="shared" si="4580"/>
        <v>0</v>
      </c>
      <c r="N7830" s="173">
        <f t="shared" si="4581"/>
        <v>0</v>
      </c>
      <c r="O7830" s="44">
        <f t="shared" si="4582"/>
        <v>0</v>
      </c>
      <c r="P7830" s="44">
        <f t="shared" si="4583"/>
        <v>0</v>
      </c>
      <c r="Q7830" s="44">
        <f t="shared" si="4584"/>
        <v>0</v>
      </c>
      <c r="R7830" s="44">
        <f t="shared" si="4585"/>
        <v>0</v>
      </c>
      <c r="S7830" s="123"/>
      <c r="T7830" s="219">
        <f t="shared" si="4586"/>
        <v>0</v>
      </c>
      <c r="U7830" s="87"/>
      <c r="V7830" s="47"/>
      <c r="W7830" s="48"/>
      <c r="X7830" s="48"/>
      <c r="Y7830" s="48"/>
      <c r="Z7830" s="135"/>
      <c r="AA7830" s="49"/>
      <c r="AB7830" s="50">
        <f t="shared" si="4587"/>
        <v>0</v>
      </c>
      <c r="AC7830" s="42">
        <f t="shared" si="4588"/>
        <v>9.9999999999999998E-20</v>
      </c>
      <c r="AD7830" s="90"/>
      <c r="AE7830" s="188"/>
      <c r="AF7830" s="189"/>
      <c r="AG7830" s="189"/>
      <c r="AH7830" s="189"/>
      <c r="AI7830" s="161"/>
    </row>
    <row r="7831" spans="1:41" ht="20.100000000000001" customHeight="1" x14ac:dyDescent="0.25">
      <c r="A7831" s="277" t="s">
        <v>703</v>
      </c>
      <c r="B7831" s="278"/>
      <c r="C7831" s="64" t="s">
        <v>763</v>
      </c>
      <c r="D7831" s="46" t="s">
        <v>97</v>
      </c>
      <c r="E7831" s="114">
        <v>12.289504999999849</v>
      </c>
      <c r="F7831" s="44">
        <v>3045</v>
      </c>
      <c r="G7831" s="44">
        <f t="shared" si="4575"/>
        <v>37421.542724999541</v>
      </c>
      <c r="H7831" s="44">
        <f t="shared" si="4576"/>
        <v>2805.9567105882361</v>
      </c>
      <c r="I7831" s="43">
        <f t="shared" si="4577"/>
        <v>34483.819024557255</v>
      </c>
      <c r="J7831" s="112">
        <f t="shared" si="4578"/>
        <v>12.289504999999849</v>
      </c>
      <c r="K7831" s="211">
        <f t="shared" si="4579"/>
        <v>12.289504999999849</v>
      </c>
      <c r="L7831" s="44"/>
      <c r="M7831" s="44">
        <f t="shared" si="4580"/>
        <v>12.289504999999849</v>
      </c>
      <c r="N7831" s="173">
        <f t="shared" si="4581"/>
        <v>1</v>
      </c>
      <c r="O7831" s="44">
        <f t="shared" si="4582"/>
        <v>3045</v>
      </c>
      <c r="P7831" s="44">
        <f t="shared" si="4583"/>
        <v>37421.542724999541</v>
      </c>
      <c r="Q7831" s="44">
        <f t="shared" si="4584"/>
        <v>2805.9567105882361</v>
      </c>
      <c r="R7831" s="44">
        <f t="shared" si="4585"/>
        <v>34483.819024557255</v>
      </c>
      <c r="S7831" s="123"/>
      <c r="T7831" s="219">
        <f t="shared" si="4586"/>
        <v>34483.819024557255</v>
      </c>
      <c r="U7831" s="87"/>
      <c r="V7831" s="47"/>
      <c r="W7831" s="48"/>
      <c r="X7831" s="48"/>
      <c r="Y7831" s="48"/>
      <c r="Z7831" s="135"/>
      <c r="AA7831" s="49"/>
      <c r="AB7831" s="50">
        <f t="shared" si="4587"/>
        <v>2805.9567105882361</v>
      </c>
      <c r="AC7831" s="42">
        <f t="shared" si="4588"/>
        <v>12.289504999999849</v>
      </c>
      <c r="AD7831" s="90">
        <f>AD7832+AD7841</f>
        <v>34483.819024557255</v>
      </c>
      <c r="AE7831" s="188">
        <f>AE7832+AE7841</f>
        <v>0</v>
      </c>
      <c r="AF7831" s="189">
        <f>AF7832+AF7841</f>
        <v>0</v>
      </c>
      <c r="AG7831" s="189">
        <f>AG7832+AG7841</f>
        <v>0</v>
      </c>
      <c r="AH7831" s="189">
        <f>AH7832+AH7841</f>
        <v>0</v>
      </c>
      <c r="AI7831" s="161">
        <f t="shared" ref="AI7831" si="5464">SUM(AE7831:AH7831)</f>
        <v>0</v>
      </c>
      <c r="AK7831" s="169">
        <v>5</v>
      </c>
      <c r="AO7831" s="19" t="s">
        <v>63</v>
      </c>
    </row>
    <row r="7832" spans="1:41" s="103" customFormat="1" ht="19.899999999999999" customHeight="1" x14ac:dyDescent="0.25">
      <c r="A7832" s="51"/>
      <c r="B7832" s="52"/>
      <c r="C7832" s="165"/>
      <c r="D7832" s="52"/>
      <c r="E7832" s="115"/>
      <c r="F7832" s="58"/>
      <c r="G7832" s="58"/>
      <c r="H7832" s="58"/>
      <c r="I7832" s="55"/>
      <c r="J7832" s="113">
        <f>J7831</f>
        <v>12.289504999999849</v>
      </c>
      <c r="K7832" s="212">
        <f>K7831</f>
        <v>12.289504999999849</v>
      </c>
      <c r="L7832" s="58"/>
      <c r="M7832" s="58">
        <f>K7832-L7832</f>
        <v>12.289504999999849</v>
      </c>
      <c r="N7832" s="166"/>
      <c r="O7832" s="58"/>
      <c r="P7832" s="58"/>
      <c r="Q7832" s="58"/>
      <c r="R7832" s="58"/>
      <c r="S7832" s="58"/>
      <c r="T7832" s="220"/>
      <c r="U7832" s="88"/>
      <c r="V7832" s="56"/>
      <c r="W7832" s="57" t="s">
        <v>1112</v>
      </c>
      <c r="X7832" s="53"/>
      <c r="Y7832" s="91" t="s">
        <v>68</v>
      </c>
      <c r="Z7832" s="136">
        <f>AD7832/AC7832</f>
        <v>17.406710588235295</v>
      </c>
      <c r="AA7832" s="58"/>
      <c r="AB7832" s="53">
        <f>AD7832/AC7832</f>
        <v>17.406710588235295</v>
      </c>
      <c r="AC7832" s="53">
        <f>M7832+$AE$10</f>
        <v>12.289504999999849</v>
      </c>
      <c r="AD7832" s="54">
        <f>SUM(AD7833:AD7840)</f>
        <v>213.91985680766797</v>
      </c>
      <c r="AE7832" s="184">
        <f>SUMIFS($AD$37:$AD$12971,$V$37:$V$12971,$V7832,$X$37:$X$12971,AE$13)</f>
        <v>0</v>
      </c>
      <c r="AF7832" s="185">
        <f>SUMIFS($AD$37:$AD$12971,$V$37:$V$12971,$V7832,$X$37:$X$12971,AF$13)</f>
        <v>0</v>
      </c>
      <c r="AG7832" s="185">
        <f>SUMIFS($AD$37:$AD$12971,$V$37:$V$12971,$V7832,$X$37:$X$12971,AG$13)</f>
        <v>0</v>
      </c>
      <c r="AH7832" s="187">
        <f>SUMIFS($AD$37:$AD$12971,$V$37:$V$12971,$V7832,$X$37:$X$12971,AH$13)</f>
        <v>0</v>
      </c>
      <c r="AI7832" s="161">
        <f t="shared" ref="AI7832" si="5465">SUM(AE7832:AH7832)</f>
        <v>0</v>
      </c>
      <c r="AK7832" s="172"/>
    </row>
    <row r="7833" spans="1:41" s="102" customFormat="1" ht="19.899999999999999" customHeight="1" x14ac:dyDescent="0.25">
      <c r="A7833" s="45"/>
      <c r="B7833" s="59"/>
      <c r="C7833" s="137"/>
      <c r="D7833" s="59"/>
      <c r="E7833" s="116"/>
      <c r="F7833" s="120"/>
      <c r="G7833" s="120"/>
      <c r="H7833" s="120"/>
      <c r="I7833" s="60"/>
      <c r="J7833" s="116"/>
      <c r="K7833" s="213"/>
      <c r="L7833" s="120"/>
      <c r="M7833" s="120"/>
      <c r="N7833" s="167"/>
      <c r="O7833" s="120"/>
      <c r="P7833" s="120"/>
      <c r="Q7833" s="120"/>
      <c r="R7833" s="120"/>
      <c r="S7833" s="120"/>
      <c r="T7833" s="221"/>
      <c r="U7833" s="89"/>
      <c r="V7833" s="61"/>
      <c r="W7833" s="92" t="s">
        <v>129</v>
      </c>
      <c r="X7833" s="93" t="s">
        <v>29</v>
      </c>
      <c r="Y7833" s="93" t="s">
        <v>93</v>
      </c>
      <c r="Z7833" s="134">
        <f>VLOOKUP(W7833,Sheet2!$B:$D,3,FALSE)</f>
        <v>56</v>
      </c>
      <c r="AA7833" s="93">
        <f>100/(2.4*1.5)</f>
        <v>27.777777777777782</v>
      </c>
      <c r="AB7833" s="93">
        <f t="shared" ref="AB7833" si="5466">AD7833/AC7832</f>
        <v>2.0159999999999996</v>
      </c>
      <c r="AC7833" s="93">
        <f>AC7832/AA7833</f>
        <v>0.4424221799999945</v>
      </c>
      <c r="AD7833" s="94">
        <f t="shared" ref="AD7833:AD7834" si="5467">AC7833*Z7833</f>
        <v>24.775642079999692</v>
      </c>
      <c r="AE7833" s="190"/>
      <c r="AF7833" s="191"/>
      <c r="AG7833" s="191"/>
      <c r="AH7833" s="191"/>
      <c r="AI7833" s="186"/>
      <c r="AK7833" s="171"/>
    </row>
    <row r="7834" spans="1:41" s="102" customFormat="1" ht="19.899999999999999" customHeight="1" x14ac:dyDescent="0.25">
      <c r="A7834" s="45"/>
      <c r="B7834" s="59"/>
      <c r="C7834" s="137"/>
      <c r="D7834" s="59"/>
      <c r="E7834" s="116"/>
      <c r="F7834" s="120"/>
      <c r="G7834" s="120"/>
      <c r="H7834" s="120"/>
      <c r="I7834" s="60"/>
      <c r="J7834" s="116"/>
      <c r="K7834" s="213"/>
      <c r="L7834" s="120"/>
      <c r="M7834" s="120"/>
      <c r="N7834" s="167"/>
      <c r="O7834" s="120"/>
      <c r="P7834" s="120"/>
      <c r="Q7834" s="120"/>
      <c r="R7834" s="120"/>
      <c r="S7834" s="120"/>
      <c r="T7834" s="221"/>
      <c r="U7834" s="89"/>
      <c r="V7834" s="61"/>
      <c r="W7834" s="92" t="s">
        <v>65</v>
      </c>
      <c r="X7834" s="93" t="s">
        <v>30</v>
      </c>
      <c r="Y7834" s="93" t="s">
        <v>1011</v>
      </c>
      <c r="Z7834" s="134">
        <f>VLOOKUP(W7834,Sheet2!$B:$D,3,FALSE)</f>
        <v>1.76</v>
      </c>
      <c r="AA7834" s="93">
        <f>AA7833/14</f>
        <v>1.9841269841269844</v>
      </c>
      <c r="AB7834" s="93">
        <f>AD7834/AC7832</f>
        <v>0.88703999999999994</v>
      </c>
      <c r="AC7834" s="93">
        <f>AC7832/AA7834</f>
        <v>6.1939105199999229</v>
      </c>
      <c r="AD7834" s="94">
        <f t="shared" si="5467"/>
        <v>10.901282515199865</v>
      </c>
      <c r="AE7834" s="190"/>
      <c r="AF7834" s="191"/>
      <c r="AG7834" s="191"/>
      <c r="AH7834" s="191"/>
      <c r="AI7834" s="186"/>
      <c r="AK7834" s="171"/>
    </row>
    <row r="7835" spans="1:41" s="102" customFormat="1" ht="19.899999999999999" customHeight="1" x14ac:dyDescent="0.25">
      <c r="A7835" s="45"/>
      <c r="B7835" s="59"/>
      <c r="C7835" s="137"/>
      <c r="D7835" s="59"/>
      <c r="E7835" s="116"/>
      <c r="F7835" s="120"/>
      <c r="G7835" s="120"/>
      <c r="H7835" s="120"/>
      <c r="I7835" s="60"/>
      <c r="J7835" s="116"/>
      <c r="K7835" s="213"/>
      <c r="L7835" s="120"/>
      <c r="M7835" s="120"/>
      <c r="N7835" s="167"/>
      <c r="O7835" s="120"/>
      <c r="P7835" s="120"/>
      <c r="Q7835" s="120"/>
      <c r="R7835" s="120"/>
      <c r="S7835" s="120"/>
      <c r="T7835" s="221"/>
      <c r="U7835" s="89"/>
      <c r="V7835" s="61"/>
      <c r="W7835" s="92" t="s">
        <v>161</v>
      </c>
      <c r="X7835" s="93" t="s">
        <v>29</v>
      </c>
      <c r="Y7835" s="93" t="s">
        <v>93</v>
      </c>
      <c r="Z7835" s="134">
        <f>VLOOKUP(W7835,Sheet2!$B:$D,3,FALSE)</f>
        <v>48</v>
      </c>
      <c r="AA7835" s="93">
        <f>(16*0.85*1.5)/(2.4*1.5)</f>
        <v>5.666666666666667</v>
      </c>
      <c r="AB7835" s="93">
        <f>AD7835/AC7832</f>
        <v>8.4705882352941178</v>
      </c>
      <c r="AC7835" s="93">
        <f>AC7832/AA7835</f>
        <v>2.1687361764705617</v>
      </c>
      <c r="AD7835" s="94">
        <f>AC7835*Z7835</f>
        <v>104.09933647058696</v>
      </c>
      <c r="AE7835" s="190"/>
      <c r="AF7835" s="191"/>
      <c r="AG7835" s="191"/>
      <c r="AH7835" s="191"/>
      <c r="AI7835" s="186"/>
      <c r="AK7835" s="171"/>
    </row>
    <row r="7836" spans="1:41" s="102" customFormat="1" ht="19.899999999999999" customHeight="1" x14ac:dyDescent="0.25">
      <c r="A7836" s="45"/>
      <c r="B7836" s="59"/>
      <c r="C7836" s="137"/>
      <c r="D7836" s="59"/>
      <c r="E7836" s="116"/>
      <c r="F7836" s="120"/>
      <c r="G7836" s="120"/>
      <c r="H7836" s="120"/>
      <c r="I7836" s="60"/>
      <c r="J7836" s="116"/>
      <c r="K7836" s="213"/>
      <c r="L7836" s="120"/>
      <c r="M7836" s="120"/>
      <c r="N7836" s="167"/>
      <c r="O7836" s="120"/>
      <c r="P7836" s="120"/>
      <c r="Q7836" s="120"/>
      <c r="R7836" s="120"/>
      <c r="S7836" s="120"/>
      <c r="T7836" s="221"/>
      <c r="U7836" s="89"/>
      <c r="V7836" s="61"/>
      <c r="W7836" s="92" t="s">
        <v>65</v>
      </c>
      <c r="X7836" s="93" t="s">
        <v>30</v>
      </c>
      <c r="Y7836" s="93" t="s">
        <v>1011</v>
      </c>
      <c r="Z7836" s="134">
        <f>VLOOKUP(W7836,Sheet2!$B:$D,3,FALSE)</f>
        <v>1.76</v>
      </c>
      <c r="AA7836" s="93">
        <f>AA7835/10</f>
        <v>0.56666666666666665</v>
      </c>
      <c r="AB7836" s="93">
        <f>AD7836/AC7832</f>
        <v>3.1058823529411765</v>
      </c>
      <c r="AC7836" s="93">
        <f>AC7832/AA7836</f>
        <v>21.687361764705617</v>
      </c>
      <c r="AD7836" s="94">
        <f>AC7836*Z7836</f>
        <v>38.169756705881888</v>
      </c>
      <c r="AE7836" s="190"/>
      <c r="AF7836" s="191"/>
      <c r="AG7836" s="191"/>
      <c r="AH7836" s="191"/>
      <c r="AI7836" s="186"/>
      <c r="AK7836" s="171"/>
    </row>
    <row r="7837" spans="1:41" s="102" customFormat="1" ht="19.899999999999999" customHeight="1" x14ac:dyDescent="0.25">
      <c r="A7837" s="45"/>
      <c r="B7837" s="59"/>
      <c r="C7837" s="137"/>
      <c r="D7837" s="59"/>
      <c r="E7837" s="116"/>
      <c r="F7837" s="120"/>
      <c r="G7837" s="120"/>
      <c r="H7837" s="120"/>
      <c r="I7837" s="60"/>
      <c r="J7837" s="116"/>
      <c r="K7837" s="213"/>
      <c r="L7837" s="120"/>
      <c r="M7837" s="120"/>
      <c r="N7837" s="167"/>
      <c r="O7837" s="120"/>
      <c r="P7837" s="120"/>
      <c r="Q7837" s="120"/>
      <c r="R7837" s="120"/>
      <c r="S7837" s="120"/>
      <c r="T7837" s="221"/>
      <c r="U7837" s="89"/>
      <c r="V7837" s="61"/>
      <c r="W7837" s="92" t="s">
        <v>1030</v>
      </c>
      <c r="X7837" s="93" t="s">
        <v>29</v>
      </c>
      <c r="Y7837" s="93" t="s">
        <v>93</v>
      </c>
      <c r="Z7837" s="134">
        <f>VLOOKUP(W7837,Sheet2!$B:$D,3,FALSE)</f>
        <v>23</v>
      </c>
      <c r="AA7837" s="93">
        <v>50</v>
      </c>
      <c r="AB7837" s="93">
        <f>AD7837/AC7832</f>
        <v>0.45999999999999996</v>
      </c>
      <c r="AC7837" s="93">
        <f>AC7832/AA7837</f>
        <v>0.24579009999999699</v>
      </c>
      <c r="AD7837" s="94">
        <f t="shared" ref="AD7837:AD7840" si="5468">AC7837*Z7837</f>
        <v>5.6531722999999303</v>
      </c>
      <c r="AE7837" s="190"/>
      <c r="AF7837" s="191"/>
      <c r="AG7837" s="191"/>
      <c r="AH7837" s="191"/>
      <c r="AI7837" s="186"/>
      <c r="AK7837" s="171"/>
    </row>
    <row r="7838" spans="1:41" s="102" customFormat="1" ht="19.899999999999999" customHeight="1" x14ac:dyDescent="0.25">
      <c r="A7838" s="45"/>
      <c r="B7838" s="59"/>
      <c r="C7838" s="137"/>
      <c r="D7838" s="59"/>
      <c r="E7838" s="116"/>
      <c r="F7838" s="120"/>
      <c r="G7838" s="120"/>
      <c r="H7838" s="120"/>
      <c r="I7838" s="60"/>
      <c r="J7838" s="116"/>
      <c r="K7838" s="213"/>
      <c r="L7838" s="120"/>
      <c r="M7838" s="120"/>
      <c r="N7838" s="167"/>
      <c r="O7838" s="120"/>
      <c r="P7838" s="120"/>
      <c r="Q7838" s="120"/>
      <c r="R7838" s="120"/>
      <c r="S7838" s="120"/>
      <c r="T7838" s="221"/>
      <c r="U7838" s="89"/>
      <c r="V7838" s="61"/>
      <c r="W7838" s="92" t="s">
        <v>65</v>
      </c>
      <c r="X7838" s="93" t="s">
        <v>30</v>
      </c>
      <c r="Y7838" s="93" t="s">
        <v>1011</v>
      </c>
      <c r="Z7838" s="134">
        <f>VLOOKUP(W7838,Sheet2!$B:$D,3,FALSE)</f>
        <v>1.76</v>
      </c>
      <c r="AA7838" s="93">
        <f>AA7837/3</f>
        <v>16.666666666666668</v>
      </c>
      <c r="AB7838" s="93">
        <f>AD7838/AC7832</f>
        <v>0.1056</v>
      </c>
      <c r="AC7838" s="93">
        <f>AC7832/AA7838</f>
        <v>0.73737029999999093</v>
      </c>
      <c r="AD7838" s="94">
        <f t="shared" si="5468"/>
        <v>1.2977717279999841</v>
      </c>
      <c r="AE7838" s="190"/>
      <c r="AF7838" s="191"/>
      <c r="AG7838" s="191"/>
      <c r="AH7838" s="191"/>
      <c r="AI7838" s="186"/>
      <c r="AK7838" s="171"/>
    </row>
    <row r="7839" spans="1:41" s="102" customFormat="1" ht="19.899999999999999" customHeight="1" x14ac:dyDescent="0.25">
      <c r="A7839" s="45"/>
      <c r="B7839" s="59"/>
      <c r="C7839" s="137"/>
      <c r="D7839" s="59"/>
      <c r="E7839" s="116"/>
      <c r="F7839" s="120"/>
      <c r="G7839" s="120"/>
      <c r="H7839" s="120"/>
      <c r="I7839" s="60"/>
      <c r="J7839" s="116"/>
      <c r="K7839" s="213"/>
      <c r="L7839" s="120"/>
      <c r="M7839" s="120"/>
      <c r="N7839" s="167"/>
      <c r="O7839" s="120"/>
      <c r="P7839" s="120"/>
      <c r="Q7839" s="120"/>
      <c r="R7839" s="120"/>
      <c r="S7839" s="120"/>
      <c r="T7839" s="221"/>
      <c r="U7839" s="89"/>
      <c r="V7839" s="61"/>
      <c r="W7839" s="92" t="s">
        <v>148</v>
      </c>
      <c r="X7839" s="93" t="s">
        <v>29</v>
      </c>
      <c r="Y7839" s="93" t="s">
        <v>93</v>
      </c>
      <c r="Z7839" s="134">
        <f>VLOOKUP(W7839,Sheet2!$B:$D,3,FALSE)</f>
        <v>48</v>
      </c>
      <c r="AA7839" s="93">
        <f>AA7833</f>
        <v>27.777777777777782</v>
      </c>
      <c r="AB7839" s="93">
        <f>AD7839/AC7832</f>
        <v>1.7279999999999998</v>
      </c>
      <c r="AC7839" s="93">
        <f>AC7832/AA7839</f>
        <v>0.4424221799999945</v>
      </c>
      <c r="AD7839" s="94">
        <f t="shared" si="5468"/>
        <v>21.236264639999735</v>
      </c>
      <c r="AE7839" s="190"/>
      <c r="AF7839" s="191"/>
      <c r="AG7839" s="191"/>
      <c r="AH7839" s="191"/>
      <c r="AI7839" s="186"/>
      <c r="AK7839" s="171"/>
    </row>
    <row r="7840" spans="1:41" s="102" customFormat="1" ht="19.899999999999999" customHeight="1" x14ac:dyDescent="0.25">
      <c r="A7840" s="45"/>
      <c r="B7840" s="59"/>
      <c r="C7840" s="137"/>
      <c r="D7840" s="59"/>
      <c r="E7840" s="116"/>
      <c r="F7840" s="120"/>
      <c r="G7840" s="120"/>
      <c r="H7840" s="120"/>
      <c r="I7840" s="60"/>
      <c r="J7840" s="116"/>
      <c r="K7840" s="213"/>
      <c r="L7840" s="120"/>
      <c r="M7840" s="120"/>
      <c r="N7840" s="167"/>
      <c r="O7840" s="120"/>
      <c r="P7840" s="120"/>
      <c r="Q7840" s="120"/>
      <c r="R7840" s="120"/>
      <c r="S7840" s="120"/>
      <c r="T7840" s="221"/>
      <c r="U7840" s="89"/>
      <c r="V7840" s="61"/>
      <c r="W7840" s="92" t="s">
        <v>65</v>
      </c>
      <c r="X7840" s="93" t="s">
        <v>30</v>
      </c>
      <c r="Y7840" s="93" t="s">
        <v>1011</v>
      </c>
      <c r="Z7840" s="134">
        <f>VLOOKUP(W7840,Sheet2!$B:$D,3,FALSE)</f>
        <v>1.76</v>
      </c>
      <c r="AA7840" s="93">
        <f>AA7839/10</f>
        <v>2.7777777777777781</v>
      </c>
      <c r="AB7840" s="93">
        <f>AD7840/AC7832</f>
        <v>0.63359999999999994</v>
      </c>
      <c r="AC7840" s="93">
        <f>AC7832/AA7840</f>
        <v>4.4242217999999456</v>
      </c>
      <c r="AD7840" s="94">
        <f t="shared" si="5468"/>
        <v>7.786630367999904</v>
      </c>
      <c r="AE7840" s="190"/>
      <c r="AF7840" s="191"/>
      <c r="AG7840" s="191"/>
      <c r="AH7840" s="191"/>
      <c r="AI7840" s="186"/>
      <c r="AK7840" s="171"/>
    </row>
    <row r="7841" spans="1:41" s="103" customFormat="1" ht="19.899999999999999" customHeight="1" x14ac:dyDescent="0.25">
      <c r="A7841" s="51"/>
      <c r="B7841" s="52"/>
      <c r="C7841" s="165"/>
      <c r="D7841" s="52"/>
      <c r="E7841" s="115"/>
      <c r="F7841" s="58"/>
      <c r="G7841" s="58"/>
      <c r="H7841" s="58"/>
      <c r="I7841" s="55"/>
      <c r="J7841" s="113">
        <f>J7831</f>
        <v>12.289504999999849</v>
      </c>
      <c r="K7841" s="212">
        <f>K7831</f>
        <v>12.289504999999849</v>
      </c>
      <c r="L7841" s="58"/>
      <c r="M7841" s="58">
        <f>K7841-L7841</f>
        <v>12.289504999999849</v>
      </c>
      <c r="N7841" s="166"/>
      <c r="O7841" s="58"/>
      <c r="P7841" s="58"/>
      <c r="Q7841" s="58"/>
      <c r="R7841" s="58"/>
      <c r="S7841" s="58"/>
      <c r="T7841" s="220"/>
      <c r="U7841" s="88"/>
      <c r="V7841" s="56"/>
      <c r="W7841" s="57" t="s">
        <v>1106</v>
      </c>
      <c r="X7841" s="53"/>
      <c r="Y7841" s="91" t="s">
        <v>68</v>
      </c>
      <c r="Z7841" s="136">
        <f>AD7841/AC7841</f>
        <v>2788.5500000000006</v>
      </c>
      <c r="AA7841" s="58"/>
      <c r="AB7841" s="53">
        <f>AD7841/AC7841</f>
        <v>2788.5500000000006</v>
      </c>
      <c r="AC7841" s="53">
        <f>M7841+$AE$10</f>
        <v>12.289504999999849</v>
      </c>
      <c r="AD7841" s="54">
        <f>SUM(AD7842:AD7845)</f>
        <v>34269.899167749587</v>
      </c>
      <c r="AE7841" s="184">
        <f>SUMIFS($AD$37:$AD$12971,$V$37:$V$12971,$V7841,$X$37:$X$12971,AE$13)</f>
        <v>0</v>
      </c>
      <c r="AF7841" s="185">
        <f>SUMIFS($AD$37:$AD$12971,$V$37:$V$12971,$V7841,$X$37:$X$12971,AF$13)</f>
        <v>0</v>
      </c>
      <c r="AG7841" s="185">
        <f>SUMIFS($AD$37:$AD$12971,$V$37:$V$12971,$V7841,$X$37:$X$12971,AG$13)</f>
        <v>0</v>
      </c>
      <c r="AH7841" s="187">
        <f>SUMIFS($AD$37:$AD$12971,$V$37:$V$12971,$V7841,$X$37:$X$12971,AH$13)</f>
        <v>0</v>
      </c>
      <c r="AI7841" s="161">
        <f t="shared" ref="AI7841" si="5469">SUM(AE7841:AH7841)</f>
        <v>0</v>
      </c>
      <c r="AK7841" s="172"/>
    </row>
    <row r="7842" spans="1:41" s="102" customFormat="1" ht="19.899999999999999" customHeight="1" x14ac:dyDescent="0.25">
      <c r="A7842" s="45"/>
      <c r="B7842" s="59"/>
      <c r="C7842" s="137"/>
      <c r="D7842" s="59"/>
      <c r="E7842" s="116"/>
      <c r="F7842" s="120"/>
      <c r="G7842" s="120"/>
      <c r="H7842" s="120"/>
      <c r="I7842" s="60"/>
      <c r="J7842" s="116"/>
      <c r="K7842" s="213"/>
      <c r="L7842" s="120"/>
      <c r="M7842" s="120"/>
      <c r="N7842" s="167"/>
      <c r="O7842" s="120"/>
      <c r="P7842" s="120"/>
      <c r="Q7842" s="120"/>
      <c r="R7842" s="120"/>
      <c r="S7842" s="120"/>
      <c r="T7842" s="221"/>
      <c r="U7842" s="89"/>
      <c r="V7842" s="61"/>
      <c r="W7842" s="92" t="s">
        <v>1105</v>
      </c>
      <c r="X7842" s="93" t="s">
        <v>30</v>
      </c>
      <c r="Y7842" s="93" t="s">
        <v>66</v>
      </c>
      <c r="Z7842" s="134">
        <f>VLOOKUP(W7842,Sheet2!$B:$D,3,FALSE)</f>
        <v>2200</v>
      </c>
      <c r="AA7842" s="93">
        <f>1/((1.6*1.1)-(1*0.5))</f>
        <v>0.7936507936507935</v>
      </c>
      <c r="AB7842" s="93">
        <f>AD7842/AC7841</f>
        <v>2772.0000000000009</v>
      </c>
      <c r="AC7842" s="93">
        <f>AC7841/AA7842</f>
        <v>15.484776299999814</v>
      </c>
      <c r="AD7842" s="94">
        <f t="shared" ref="AD7842" si="5470">AC7842*Z7842</f>
        <v>34066.50785999959</v>
      </c>
      <c r="AE7842" s="190"/>
      <c r="AF7842" s="191"/>
      <c r="AG7842" s="191"/>
      <c r="AH7842" s="191"/>
      <c r="AI7842" s="186"/>
      <c r="AK7842" s="171"/>
    </row>
    <row r="7843" spans="1:41" s="102" customFormat="1" ht="19.899999999999999" customHeight="1" x14ac:dyDescent="0.25">
      <c r="A7843" s="45"/>
      <c r="B7843" s="59"/>
      <c r="C7843" s="137"/>
      <c r="D7843" s="59"/>
      <c r="E7843" s="116"/>
      <c r="F7843" s="120"/>
      <c r="G7843" s="120"/>
      <c r="H7843" s="120"/>
      <c r="I7843" s="60"/>
      <c r="J7843" s="116"/>
      <c r="K7843" s="213"/>
      <c r="L7843" s="120"/>
      <c r="M7843" s="120"/>
      <c r="N7843" s="167"/>
      <c r="O7843" s="120"/>
      <c r="P7843" s="120"/>
      <c r="Q7843" s="120"/>
      <c r="R7843" s="120"/>
      <c r="S7843" s="120"/>
      <c r="T7843" s="221"/>
      <c r="U7843" s="89"/>
      <c r="V7843" s="61"/>
      <c r="W7843" s="92" t="s">
        <v>174</v>
      </c>
      <c r="X7843" s="93" t="s">
        <v>29</v>
      </c>
      <c r="Y7843" s="93" t="s">
        <v>93</v>
      </c>
      <c r="Z7843" s="134">
        <f>VLOOKUP(W7843,Sheet2!$B:$D,3,FALSE)</f>
        <v>80</v>
      </c>
      <c r="AA7843" s="93">
        <f>4*2</f>
        <v>8</v>
      </c>
      <c r="AB7843" s="93">
        <f>AD7843/AC7841</f>
        <v>10</v>
      </c>
      <c r="AC7843" s="93">
        <f>AC7841/AA7843</f>
        <v>1.5361881249999811</v>
      </c>
      <c r="AD7843" s="94">
        <f>AC7843*Z7843</f>
        <v>122.89504999999849</v>
      </c>
      <c r="AE7843" s="190"/>
      <c r="AF7843" s="191"/>
      <c r="AG7843" s="191"/>
      <c r="AH7843" s="191"/>
      <c r="AI7843" s="186"/>
      <c r="AK7843" s="171"/>
    </row>
    <row r="7844" spans="1:41" s="102" customFormat="1" ht="19.899999999999999" customHeight="1" x14ac:dyDescent="0.25">
      <c r="A7844" s="45"/>
      <c r="B7844" s="59"/>
      <c r="C7844" s="137"/>
      <c r="D7844" s="59"/>
      <c r="E7844" s="116"/>
      <c r="F7844" s="120"/>
      <c r="G7844" s="120"/>
      <c r="H7844" s="120"/>
      <c r="I7844" s="60"/>
      <c r="J7844" s="116"/>
      <c r="K7844" s="213"/>
      <c r="L7844" s="120"/>
      <c r="M7844" s="120"/>
      <c r="N7844" s="167"/>
      <c r="O7844" s="120"/>
      <c r="P7844" s="120"/>
      <c r="Q7844" s="120"/>
      <c r="R7844" s="120"/>
      <c r="S7844" s="120"/>
      <c r="T7844" s="221"/>
      <c r="U7844" s="89"/>
      <c r="V7844" s="61"/>
      <c r="W7844" s="92" t="s">
        <v>65</v>
      </c>
      <c r="X7844" s="93" t="s">
        <v>30</v>
      </c>
      <c r="Y7844" s="93" t="s">
        <v>1011</v>
      </c>
      <c r="Z7844" s="134">
        <f>VLOOKUP(W7844,Sheet2!$B:$D,3,FALSE)</f>
        <v>1.76</v>
      </c>
      <c r="AA7844" s="93">
        <f>AA7843/15</f>
        <v>0.53333333333333333</v>
      </c>
      <c r="AB7844" s="93">
        <f>AD7844/AC7841</f>
        <v>3.3</v>
      </c>
      <c r="AC7844" s="93">
        <f>AC7841/AA7844</f>
        <v>23.042821874999717</v>
      </c>
      <c r="AD7844" s="94">
        <f t="shared" ref="AD7844" si="5471">AC7844*Z7844</f>
        <v>40.555366499999501</v>
      </c>
      <c r="AE7844" s="190"/>
      <c r="AF7844" s="191"/>
      <c r="AG7844" s="191"/>
      <c r="AH7844" s="191"/>
      <c r="AI7844" s="186"/>
      <c r="AK7844" s="171"/>
    </row>
    <row r="7845" spans="1:41" s="102" customFormat="1" ht="19.899999999999999" customHeight="1" x14ac:dyDescent="0.25">
      <c r="A7845" s="45"/>
      <c r="B7845" s="59"/>
      <c r="C7845" s="137"/>
      <c r="D7845" s="59"/>
      <c r="E7845" s="116"/>
      <c r="F7845" s="120"/>
      <c r="G7845" s="120"/>
      <c r="H7845" s="120"/>
      <c r="I7845" s="60"/>
      <c r="J7845" s="116"/>
      <c r="K7845" s="213"/>
      <c r="L7845" s="120"/>
      <c r="M7845" s="120"/>
      <c r="N7845" s="167"/>
      <c r="O7845" s="120"/>
      <c r="P7845" s="120"/>
      <c r="Q7845" s="120"/>
      <c r="R7845" s="120"/>
      <c r="S7845" s="120"/>
      <c r="T7845" s="221"/>
      <c r="U7845" s="89"/>
      <c r="V7845" s="61"/>
      <c r="W7845" s="92" t="s">
        <v>112</v>
      </c>
      <c r="X7845" s="93" t="s">
        <v>31</v>
      </c>
      <c r="Y7845" s="93" t="s">
        <v>93</v>
      </c>
      <c r="Z7845" s="134">
        <f>VLOOKUP(W7845,Sheet2!$B:$D,3,FALSE)</f>
        <v>13</v>
      </c>
      <c r="AA7845" s="93">
        <f>AA7843/2</f>
        <v>4</v>
      </c>
      <c r="AB7845" s="93">
        <f>AD7845/AC7841</f>
        <v>3.25</v>
      </c>
      <c r="AC7845" s="93">
        <f>AC7841/AA7845</f>
        <v>3.0723762499999623</v>
      </c>
      <c r="AD7845" s="94">
        <f>AC7845*Z7845</f>
        <v>39.94089124999951</v>
      </c>
      <c r="AE7845" s="190"/>
      <c r="AF7845" s="191"/>
      <c r="AG7845" s="191"/>
      <c r="AH7845" s="191"/>
      <c r="AI7845" s="186"/>
      <c r="AK7845" s="171"/>
    </row>
    <row r="7846" spans="1:41" ht="20.100000000000001" customHeight="1" x14ac:dyDescent="0.25">
      <c r="A7846" s="277" t="s">
        <v>703</v>
      </c>
      <c r="B7846" s="278"/>
      <c r="C7846" s="64" t="s">
        <v>764</v>
      </c>
      <c r="D7846" s="46" t="s">
        <v>97</v>
      </c>
      <c r="E7846" s="114">
        <v>69.839850000000069</v>
      </c>
      <c r="F7846" s="44">
        <v>3147</v>
      </c>
      <c r="G7846" s="44">
        <f t="shared" si="4575"/>
        <v>219786.00795000023</v>
      </c>
      <c r="H7846" s="44">
        <f t="shared" si="4576"/>
        <v>2811.5704141176479</v>
      </c>
      <c r="I7846" s="43">
        <f t="shared" si="4577"/>
        <v>196359.65598641461</v>
      </c>
      <c r="J7846" s="112">
        <f t="shared" si="4578"/>
        <v>69.839850000000069</v>
      </c>
      <c r="K7846" s="211">
        <f t="shared" si="4579"/>
        <v>69.839850000000069</v>
      </c>
      <c r="L7846" s="44"/>
      <c r="M7846" s="44">
        <f t="shared" si="4580"/>
        <v>69.839850000000069</v>
      </c>
      <c r="N7846" s="173">
        <f t="shared" si="4581"/>
        <v>1</v>
      </c>
      <c r="O7846" s="44">
        <f t="shared" si="4582"/>
        <v>3147</v>
      </c>
      <c r="P7846" s="44">
        <f t="shared" si="4583"/>
        <v>219786.00795000023</v>
      </c>
      <c r="Q7846" s="44">
        <f t="shared" si="4584"/>
        <v>2811.5704141176479</v>
      </c>
      <c r="R7846" s="44">
        <f t="shared" si="4585"/>
        <v>196359.65598641461</v>
      </c>
      <c r="S7846" s="123"/>
      <c r="T7846" s="219">
        <f t="shared" si="4586"/>
        <v>196359.65598641461</v>
      </c>
      <c r="U7846" s="87"/>
      <c r="V7846" s="47"/>
      <c r="W7846" s="48"/>
      <c r="X7846" s="48"/>
      <c r="Y7846" s="48"/>
      <c r="Z7846" s="135"/>
      <c r="AA7846" s="49"/>
      <c r="AB7846" s="50">
        <f t="shared" si="4587"/>
        <v>2811.5704141176479</v>
      </c>
      <c r="AC7846" s="42">
        <f t="shared" si="4588"/>
        <v>69.839850000000069</v>
      </c>
      <c r="AD7846" s="90">
        <f>AD7847+AD7856</f>
        <v>196359.65598641461</v>
      </c>
      <c r="AE7846" s="188">
        <f>AE7847+AE7856</f>
        <v>0</v>
      </c>
      <c r="AF7846" s="189">
        <f>AF7847+AF7856</f>
        <v>0</v>
      </c>
      <c r="AG7846" s="189">
        <f>AG7847+AG7856</f>
        <v>0</v>
      </c>
      <c r="AH7846" s="189">
        <f>AH7847+AH7856</f>
        <v>0</v>
      </c>
      <c r="AI7846" s="161">
        <f t="shared" ref="AI7846" si="5472">SUM(AE7846:AH7846)</f>
        <v>0</v>
      </c>
      <c r="AK7846" s="169">
        <v>5</v>
      </c>
      <c r="AO7846" s="19" t="s">
        <v>63</v>
      </c>
    </row>
    <row r="7847" spans="1:41" s="103" customFormat="1" ht="19.899999999999999" customHeight="1" x14ac:dyDescent="0.25">
      <c r="A7847" s="51"/>
      <c r="B7847" s="52"/>
      <c r="C7847" s="165"/>
      <c r="D7847" s="52"/>
      <c r="E7847" s="115"/>
      <c r="F7847" s="58"/>
      <c r="G7847" s="58"/>
      <c r="H7847" s="58"/>
      <c r="I7847" s="55"/>
      <c r="J7847" s="113">
        <f>J7846</f>
        <v>69.839850000000069</v>
      </c>
      <c r="K7847" s="212">
        <f>K7846</f>
        <v>69.839850000000069</v>
      </c>
      <c r="L7847" s="58"/>
      <c r="M7847" s="58">
        <f>K7847-L7847</f>
        <v>69.839850000000069</v>
      </c>
      <c r="N7847" s="166"/>
      <c r="O7847" s="58"/>
      <c r="P7847" s="58"/>
      <c r="Q7847" s="58"/>
      <c r="R7847" s="58"/>
      <c r="S7847" s="58"/>
      <c r="T7847" s="220"/>
      <c r="U7847" s="88"/>
      <c r="V7847" s="56"/>
      <c r="W7847" s="57" t="s">
        <v>1111</v>
      </c>
      <c r="X7847" s="53"/>
      <c r="Y7847" s="91" t="s">
        <v>68</v>
      </c>
      <c r="Z7847" s="136">
        <f>AD7847/AC7847</f>
        <v>23.020414117647061</v>
      </c>
      <c r="AA7847" s="58"/>
      <c r="AB7847" s="53">
        <f>AD7847/AC7847</f>
        <v>23.020414117647061</v>
      </c>
      <c r="AC7847" s="53">
        <f>M7847+$AE$10</f>
        <v>69.839850000000069</v>
      </c>
      <c r="AD7847" s="54">
        <f>SUM(AD7848:AD7855)</f>
        <v>1607.7422689143546</v>
      </c>
      <c r="AE7847" s="184">
        <f>SUMIFS($AD$37:$AD$12971,$V$37:$V$12971,$V7847,$X$37:$X$12971,AE$13)</f>
        <v>0</v>
      </c>
      <c r="AF7847" s="185">
        <f>SUMIFS($AD$37:$AD$12971,$V$37:$V$12971,$V7847,$X$37:$X$12971,AF$13)</f>
        <v>0</v>
      </c>
      <c r="AG7847" s="185">
        <f>SUMIFS($AD$37:$AD$12971,$V$37:$V$12971,$V7847,$X$37:$X$12971,AG$13)</f>
        <v>0</v>
      </c>
      <c r="AH7847" s="187">
        <f>SUMIFS($AD$37:$AD$12971,$V$37:$V$12971,$V7847,$X$37:$X$12971,AH$13)</f>
        <v>0</v>
      </c>
      <c r="AI7847" s="161">
        <f t="shared" ref="AI7847" si="5473">SUM(AE7847:AH7847)</f>
        <v>0</v>
      </c>
      <c r="AK7847" s="172"/>
    </row>
    <row r="7848" spans="1:41" s="102" customFormat="1" ht="19.899999999999999" customHeight="1" x14ac:dyDescent="0.25">
      <c r="A7848" s="45"/>
      <c r="B7848" s="59"/>
      <c r="C7848" s="137"/>
      <c r="D7848" s="59"/>
      <c r="E7848" s="116"/>
      <c r="F7848" s="120"/>
      <c r="G7848" s="120"/>
      <c r="H7848" s="120"/>
      <c r="I7848" s="60"/>
      <c r="J7848" s="116"/>
      <c r="K7848" s="213"/>
      <c r="L7848" s="120"/>
      <c r="M7848" s="120"/>
      <c r="N7848" s="167"/>
      <c r="O7848" s="120"/>
      <c r="P7848" s="120"/>
      <c r="Q7848" s="120"/>
      <c r="R7848" s="120"/>
      <c r="S7848" s="120"/>
      <c r="T7848" s="221"/>
      <c r="U7848" s="89"/>
      <c r="V7848" s="61"/>
      <c r="W7848" s="92" t="s">
        <v>129</v>
      </c>
      <c r="X7848" s="93" t="s">
        <v>29</v>
      </c>
      <c r="Y7848" s="93" t="s">
        <v>93</v>
      </c>
      <c r="Z7848" s="134">
        <f>VLOOKUP(W7848,Sheet2!$B:$D,3,FALSE)</f>
        <v>56</v>
      </c>
      <c r="AA7848" s="93">
        <f>100/(2.4*2)</f>
        <v>20.833333333333336</v>
      </c>
      <c r="AB7848" s="93">
        <f t="shared" ref="AB7848" si="5474">AD7848/AC7847</f>
        <v>2.6879999999999997</v>
      </c>
      <c r="AC7848" s="93">
        <f>AC7847/AA7848</f>
        <v>3.3523128000000031</v>
      </c>
      <c r="AD7848" s="94">
        <f t="shared" ref="AD7848:AD7849" si="5475">AC7848*Z7848</f>
        <v>187.72951680000017</v>
      </c>
      <c r="AE7848" s="190"/>
      <c r="AF7848" s="191"/>
      <c r="AG7848" s="191"/>
      <c r="AH7848" s="191"/>
      <c r="AI7848" s="186"/>
      <c r="AK7848" s="171"/>
    </row>
    <row r="7849" spans="1:41" s="102" customFormat="1" ht="19.899999999999999" customHeight="1" x14ac:dyDescent="0.25">
      <c r="A7849" s="45"/>
      <c r="B7849" s="59"/>
      <c r="C7849" s="137"/>
      <c r="D7849" s="59"/>
      <c r="E7849" s="116"/>
      <c r="F7849" s="120"/>
      <c r="G7849" s="120"/>
      <c r="H7849" s="120"/>
      <c r="I7849" s="60"/>
      <c r="J7849" s="116"/>
      <c r="K7849" s="213"/>
      <c r="L7849" s="120"/>
      <c r="M7849" s="120"/>
      <c r="N7849" s="167"/>
      <c r="O7849" s="120"/>
      <c r="P7849" s="120"/>
      <c r="Q7849" s="120"/>
      <c r="R7849" s="120"/>
      <c r="S7849" s="120"/>
      <c r="T7849" s="221"/>
      <c r="U7849" s="89"/>
      <c r="V7849" s="61"/>
      <c r="W7849" s="92" t="s">
        <v>65</v>
      </c>
      <c r="X7849" s="93" t="s">
        <v>30</v>
      </c>
      <c r="Y7849" s="93" t="s">
        <v>1011</v>
      </c>
      <c r="Z7849" s="134">
        <f>VLOOKUP(W7849,Sheet2!$B:$D,3,FALSE)</f>
        <v>1.76</v>
      </c>
      <c r="AA7849" s="93">
        <f>AA7848/14</f>
        <v>1.4880952380952384</v>
      </c>
      <c r="AB7849" s="93">
        <f>AD7849/AC7847</f>
        <v>1.1827199999999998</v>
      </c>
      <c r="AC7849" s="93">
        <f>AC7847/AA7849</f>
        <v>46.932379200000035</v>
      </c>
      <c r="AD7849" s="94">
        <f t="shared" si="5475"/>
        <v>82.600987392000064</v>
      </c>
      <c r="AE7849" s="190"/>
      <c r="AF7849" s="191"/>
      <c r="AG7849" s="191"/>
      <c r="AH7849" s="191"/>
      <c r="AI7849" s="186"/>
      <c r="AK7849" s="171"/>
    </row>
    <row r="7850" spans="1:41" s="102" customFormat="1" ht="19.899999999999999" customHeight="1" x14ac:dyDescent="0.25">
      <c r="A7850" s="45"/>
      <c r="B7850" s="59"/>
      <c r="C7850" s="137"/>
      <c r="D7850" s="59"/>
      <c r="E7850" s="116"/>
      <c r="F7850" s="120"/>
      <c r="G7850" s="120"/>
      <c r="H7850" s="120"/>
      <c r="I7850" s="60"/>
      <c r="J7850" s="116"/>
      <c r="K7850" s="213"/>
      <c r="L7850" s="120"/>
      <c r="M7850" s="120"/>
      <c r="N7850" s="167"/>
      <c r="O7850" s="120"/>
      <c r="P7850" s="120"/>
      <c r="Q7850" s="120"/>
      <c r="R7850" s="120"/>
      <c r="S7850" s="120"/>
      <c r="T7850" s="221"/>
      <c r="U7850" s="89"/>
      <c r="V7850" s="61"/>
      <c r="W7850" s="92" t="s">
        <v>161</v>
      </c>
      <c r="X7850" s="93" t="s">
        <v>29</v>
      </c>
      <c r="Y7850" s="93" t="s">
        <v>93</v>
      </c>
      <c r="Z7850" s="134">
        <f>VLOOKUP(W7850,Sheet2!$B:$D,3,FALSE)</f>
        <v>48</v>
      </c>
      <c r="AA7850" s="93">
        <f>(16*0.85*1.5)/(2.4*2)</f>
        <v>4.25</v>
      </c>
      <c r="AB7850" s="93">
        <f>AD7850/AC7847</f>
        <v>11.294117647058824</v>
      </c>
      <c r="AC7850" s="93">
        <f>AC7847/AA7850</f>
        <v>16.432905882352959</v>
      </c>
      <c r="AD7850" s="94">
        <f>AC7850*Z7850</f>
        <v>788.77948235294207</v>
      </c>
      <c r="AE7850" s="190"/>
      <c r="AF7850" s="191"/>
      <c r="AG7850" s="191"/>
      <c r="AH7850" s="191"/>
      <c r="AI7850" s="186"/>
      <c r="AK7850" s="171"/>
    </row>
    <row r="7851" spans="1:41" s="102" customFormat="1" ht="19.899999999999999" customHeight="1" x14ac:dyDescent="0.25">
      <c r="A7851" s="45"/>
      <c r="B7851" s="59"/>
      <c r="C7851" s="137"/>
      <c r="D7851" s="59"/>
      <c r="E7851" s="116"/>
      <c r="F7851" s="120"/>
      <c r="G7851" s="120"/>
      <c r="H7851" s="120"/>
      <c r="I7851" s="60"/>
      <c r="J7851" s="116"/>
      <c r="K7851" s="213"/>
      <c r="L7851" s="120"/>
      <c r="M7851" s="120"/>
      <c r="N7851" s="167"/>
      <c r="O7851" s="120"/>
      <c r="P7851" s="120"/>
      <c r="Q7851" s="120"/>
      <c r="R7851" s="120"/>
      <c r="S7851" s="120"/>
      <c r="T7851" s="221"/>
      <c r="U7851" s="89"/>
      <c r="V7851" s="61"/>
      <c r="W7851" s="92" t="s">
        <v>65</v>
      </c>
      <c r="X7851" s="93" t="s">
        <v>30</v>
      </c>
      <c r="Y7851" s="93" t="s">
        <v>1011</v>
      </c>
      <c r="Z7851" s="134">
        <f>VLOOKUP(W7851,Sheet2!$B:$D,3,FALSE)</f>
        <v>1.76</v>
      </c>
      <c r="AA7851" s="93">
        <f>AA7850/10</f>
        <v>0.42499999999999999</v>
      </c>
      <c r="AB7851" s="93">
        <f>AD7851/AC7847</f>
        <v>4.1411764705882357</v>
      </c>
      <c r="AC7851" s="93">
        <f>AC7847/AA7851</f>
        <v>164.32905882352958</v>
      </c>
      <c r="AD7851" s="94">
        <f>AC7851*Z7851</f>
        <v>289.21914352941207</v>
      </c>
      <c r="AE7851" s="190"/>
      <c r="AF7851" s="191"/>
      <c r="AG7851" s="191"/>
      <c r="AH7851" s="191"/>
      <c r="AI7851" s="186"/>
      <c r="AK7851" s="171"/>
    </row>
    <row r="7852" spans="1:41" s="102" customFormat="1" ht="19.899999999999999" customHeight="1" x14ac:dyDescent="0.25">
      <c r="A7852" s="45"/>
      <c r="B7852" s="59"/>
      <c r="C7852" s="137"/>
      <c r="D7852" s="59"/>
      <c r="E7852" s="116"/>
      <c r="F7852" s="120"/>
      <c r="G7852" s="120"/>
      <c r="H7852" s="120"/>
      <c r="I7852" s="60"/>
      <c r="J7852" s="116"/>
      <c r="K7852" s="213"/>
      <c r="L7852" s="120"/>
      <c r="M7852" s="120"/>
      <c r="N7852" s="167"/>
      <c r="O7852" s="120"/>
      <c r="P7852" s="120"/>
      <c r="Q7852" s="120"/>
      <c r="R7852" s="120"/>
      <c r="S7852" s="120"/>
      <c r="T7852" s="221"/>
      <c r="U7852" s="89"/>
      <c r="V7852" s="61"/>
      <c r="W7852" s="92" t="s">
        <v>1030</v>
      </c>
      <c r="X7852" s="93" t="s">
        <v>29</v>
      </c>
      <c r="Y7852" s="93" t="s">
        <v>93</v>
      </c>
      <c r="Z7852" s="134">
        <f>VLOOKUP(W7852,Sheet2!$B:$D,3,FALSE)</f>
        <v>23</v>
      </c>
      <c r="AA7852" s="93">
        <v>50</v>
      </c>
      <c r="AB7852" s="93">
        <f>AD7852/AC7847</f>
        <v>0.45999999999999996</v>
      </c>
      <c r="AC7852" s="93">
        <f>AC7847/AA7852</f>
        <v>1.3967970000000014</v>
      </c>
      <c r="AD7852" s="94">
        <f t="shared" ref="AD7852:AD7855" si="5476">AC7852*Z7852</f>
        <v>32.126331000000029</v>
      </c>
      <c r="AE7852" s="190"/>
      <c r="AF7852" s="191"/>
      <c r="AG7852" s="191"/>
      <c r="AH7852" s="191"/>
      <c r="AI7852" s="186"/>
      <c r="AK7852" s="171"/>
    </row>
    <row r="7853" spans="1:41" s="102" customFormat="1" ht="19.899999999999999" customHeight="1" x14ac:dyDescent="0.25">
      <c r="A7853" s="45"/>
      <c r="B7853" s="59"/>
      <c r="C7853" s="137"/>
      <c r="D7853" s="59"/>
      <c r="E7853" s="116"/>
      <c r="F7853" s="120"/>
      <c r="G7853" s="120"/>
      <c r="H7853" s="120"/>
      <c r="I7853" s="60"/>
      <c r="J7853" s="116"/>
      <c r="K7853" s="213"/>
      <c r="L7853" s="120"/>
      <c r="M7853" s="120"/>
      <c r="N7853" s="167"/>
      <c r="O7853" s="120"/>
      <c r="P7853" s="120"/>
      <c r="Q7853" s="120"/>
      <c r="R7853" s="120"/>
      <c r="S7853" s="120"/>
      <c r="T7853" s="221"/>
      <c r="U7853" s="89"/>
      <c r="V7853" s="61"/>
      <c r="W7853" s="92" t="s">
        <v>65</v>
      </c>
      <c r="X7853" s="93" t="s">
        <v>30</v>
      </c>
      <c r="Y7853" s="93" t="s">
        <v>1011</v>
      </c>
      <c r="Z7853" s="134">
        <f>VLOOKUP(W7853,Sheet2!$B:$D,3,FALSE)</f>
        <v>1.76</v>
      </c>
      <c r="AA7853" s="93">
        <f>AA7852/3</f>
        <v>16.666666666666668</v>
      </c>
      <c r="AB7853" s="93">
        <f>AD7853/AC7847</f>
        <v>0.10559999999999999</v>
      </c>
      <c r="AC7853" s="93">
        <f>AC7847/AA7853</f>
        <v>4.1903910000000035</v>
      </c>
      <c r="AD7853" s="94">
        <f t="shared" si="5476"/>
        <v>7.375088160000006</v>
      </c>
      <c r="AE7853" s="190"/>
      <c r="AF7853" s="191"/>
      <c r="AG7853" s="191"/>
      <c r="AH7853" s="191"/>
      <c r="AI7853" s="186"/>
      <c r="AK7853" s="171"/>
    </row>
    <row r="7854" spans="1:41" s="102" customFormat="1" ht="19.899999999999999" customHeight="1" x14ac:dyDescent="0.25">
      <c r="A7854" s="45"/>
      <c r="B7854" s="59"/>
      <c r="C7854" s="137"/>
      <c r="D7854" s="59"/>
      <c r="E7854" s="116"/>
      <c r="F7854" s="120"/>
      <c r="G7854" s="120"/>
      <c r="H7854" s="120"/>
      <c r="I7854" s="60"/>
      <c r="J7854" s="116"/>
      <c r="K7854" s="213"/>
      <c r="L7854" s="120"/>
      <c r="M7854" s="120"/>
      <c r="N7854" s="167"/>
      <c r="O7854" s="120"/>
      <c r="P7854" s="120"/>
      <c r="Q7854" s="120"/>
      <c r="R7854" s="120"/>
      <c r="S7854" s="120"/>
      <c r="T7854" s="221"/>
      <c r="U7854" s="89"/>
      <c r="V7854" s="61"/>
      <c r="W7854" s="92" t="s">
        <v>148</v>
      </c>
      <c r="X7854" s="93" t="s">
        <v>29</v>
      </c>
      <c r="Y7854" s="93" t="s">
        <v>93</v>
      </c>
      <c r="Z7854" s="134">
        <f>VLOOKUP(W7854,Sheet2!$B:$D,3,FALSE)</f>
        <v>48</v>
      </c>
      <c r="AA7854" s="93">
        <f>AA7848</f>
        <v>20.833333333333336</v>
      </c>
      <c r="AB7854" s="93">
        <f>AD7854/AC7847</f>
        <v>2.3039999999999998</v>
      </c>
      <c r="AC7854" s="93">
        <f>AC7847/AA7854</f>
        <v>3.3523128000000031</v>
      </c>
      <c r="AD7854" s="94">
        <f t="shared" si="5476"/>
        <v>160.91101440000014</v>
      </c>
      <c r="AE7854" s="190"/>
      <c r="AF7854" s="191"/>
      <c r="AG7854" s="191"/>
      <c r="AH7854" s="191"/>
      <c r="AI7854" s="186"/>
      <c r="AK7854" s="171"/>
    </row>
    <row r="7855" spans="1:41" s="102" customFormat="1" ht="19.899999999999999" customHeight="1" x14ac:dyDescent="0.25">
      <c r="A7855" s="45"/>
      <c r="B7855" s="59"/>
      <c r="C7855" s="137"/>
      <c r="D7855" s="59"/>
      <c r="E7855" s="116"/>
      <c r="F7855" s="120"/>
      <c r="G7855" s="120"/>
      <c r="H7855" s="120"/>
      <c r="I7855" s="60"/>
      <c r="J7855" s="116"/>
      <c r="K7855" s="213"/>
      <c r="L7855" s="120"/>
      <c r="M7855" s="120"/>
      <c r="N7855" s="167"/>
      <c r="O7855" s="120"/>
      <c r="P7855" s="120"/>
      <c r="Q7855" s="120"/>
      <c r="R7855" s="120"/>
      <c r="S7855" s="120"/>
      <c r="T7855" s="221"/>
      <c r="U7855" s="89"/>
      <c r="V7855" s="61"/>
      <c r="W7855" s="92" t="s">
        <v>65</v>
      </c>
      <c r="X7855" s="93" t="s">
        <v>30</v>
      </c>
      <c r="Y7855" s="93" t="s">
        <v>1011</v>
      </c>
      <c r="Z7855" s="134">
        <f>VLOOKUP(W7855,Sheet2!$B:$D,3,FALSE)</f>
        <v>1.76</v>
      </c>
      <c r="AA7855" s="93">
        <f>AA7854/10</f>
        <v>2.0833333333333335</v>
      </c>
      <c r="AB7855" s="93">
        <f>AD7855/AC7847</f>
        <v>0.84479999999999988</v>
      </c>
      <c r="AC7855" s="93">
        <f>AC7847/AA7855</f>
        <v>33.523128000000028</v>
      </c>
      <c r="AD7855" s="94">
        <f t="shared" si="5476"/>
        <v>59.000705280000048</v>
      </c>
      <c r="AE7855" s="190"/>
      <c r="AF7855" s="191"/>
      <c r="AG7855" s="191"/>
      <c r="AH7855" s="191"/>
      <c r="AI7855" s="186"/>
      <c r="AK7855" s="171"/>
    </row>
    <row r="7856" spans="1:41" s="103" customFormat="1" ht="19.899999999999999" customHeight="1" x14ac:dyDescent="0.25">
      <c r="A7856" s="51"/>
      <c r="B7856" s="52"/>
      <c r="C7856" s="165"/>
      <c r="D7856" s="52"/>
      <c r="E7856" s="115"/>
      <c r="F7856" s="58"/>
      <c r="G7856" s="58"/>
      <c r="H7856" s="58"/>
      <c r="I7856" s="55"/>
      <c r="J7856" s="113">
        <f>J7846</f>
        <v>69.839850000000069</v>
      </c>
      <c r="K7856" s="212">
        <f>K7846</f>
        <v>69.839850000000069</v>
      </c>
      <c r="L7856" s="58"/>
      <c r="M7856" s="58">
        <f>K7856-L7856</f>
        <v>69.839850000000069</v>
      </c>
      <c r="N7856" s="166"/>
      <c r="O7856" s="58"/>
      <c r="P7856" s="58"/>
      <c r="Q7856" s="58"/>
      <c r="R7856" s="58"/>
      <c r="S7856" s="58"/>
      <c r="T7856" s="220"/>
      <c r="U7856" s="88"/>
      <c r="V7856" s="56"/>
      <c r="W7856" s="57" t="s">
        <v>1106</v>
      </c>
      <c r="X7856" s="53"/>
      <c r="Y7856" s="91" t="s">
        <v>68</v>
      </c>
      <c r="Z7856" s="136">
        <f>AD7856/AC7856</f>
        <v>2788.5500000000011</v>
      </c>
      <c r="AA7856" s="58"/>
      <c r="AB7856" s="53">
        <f>AD7856/AC7856</f>
        <v>2788.5500000000011</v>
      </c>
      <c r="AC7856" s="53">
        <f>M7856+$AE$10</f>
        <v>69.839850000000069</v>
      </c>
      <c r="AD7856" s="54">
        <f>SUM(AD7857:AD7860)</f>
        <v>194751.91371750025</v>
      </c>
      <c r="AE7856" s="184">
        <f>SUMIFS($AD$37:$AD$12971,$V$37:$V$12971,$V7856,$X$37:$X$12971,AE$13)</f>
        <v>0</v>
      </c>
      <c r="AF7856" s="185">
        <f>SUMIFS($AD$37:$AD$12971,$V$37:$V$12971,$V7856,$X$37:$X$12971,AF$13)</f>
        <v>0</v>
      </c>
      <c r="AG7856" s="185">
        <f>SUMIFS($AD$37:$AD$12971,$V$37:$V$12971,$V7856,$X$37:$X$12971,AG$13)</f>
        <v>0</v>
      </c>
      <c r="AH7856" s="187">
        <f>SUMIFS($AD$37:$AD$12971,$V$37:$V$12971,$V7856,$X$37:$X$12971,AH$13)</f>
        <v>0</v>
      </c>
      <c r="AI7856" s="161">
        <f t="shared" ref="AI7856" si="5477">SUM(AE7856:AH7856)</f>
        <v>0</v>
      </c>
      <c r="AK7856" s="172"/>
    </row>
    <row r="7857" spans="1:41" s="102" customFormat="1" ht="19.899999999999999" customHeight="1" x14ac:dyDescent="0.25">
      <c r="A7857" s="45"/>
      <c r="B7857" s="59"/>
      <c r="C7857" s="137"/>
      <c r="D7857" s="59"/>
      <c r="E7857" s="116"/>
      <c r="F7857" s="120"/>
      <c r="G7857" s="120"/>
      <c r="H7857" s="120"/>
      <c r="I7857" s="60"/>
      <c r="J7857" s="116"/>
      <c r="K7857" s="213"/>
      <c r="L7857" s="120"/>
      <c r="M7857" s="120"/>
      <c r="N7857" s="167"/>
      <c r="O7857" s="120"/>
      <c r="P7857" s="120"/>
      <c r="Q7857" s="120"/>
      <c r="R7857" s="120"/>
      <c r="S7857" s="120"/>
      <c r="T7857" s="221"/>
      <c r="U7857" s="89"/>
      <c r="V7857" s="61"/>
      <c r="W7857" s="92" t="s">
        <v>1105</v>
      </c>
      <c r="X7857" s="93" t="s">
        <v>30</v>
      </c>
      <c r="Y7857" s="93" t="s">
        <v>66</v>
      </c>
      <c r="Z7857" s="134">
        <f>VLOOKUP(W7857,Sheet2!$B:$D,3,FALSE)</f>
        <v>2200</v>
      </c>
      <c r="AA7857" s="93">
        <f>1/((1.6*1.1)-(1*0.5))</f>
        <v>0.7936507936507935</v>
      </c>
      <c r="AB7857" s="93">
        <f>AD7857/AC7856</f>
        <v>2772.0000000000009</v>
      </c>
      <c r="AC7857" s="93">
        <f>AC7856/AA7857</f>
        <v>87.998211000000111</v>
      </c>
      <c r="AD7857" s="94">
        <f t="shared" ref="AD7857" si="5478">AC7857*Z7857</f>
        <v>193596.06420000026</v>
      </c>
      <c r="AE7857" s="190"/>
      <c r="AF7857" s="191"/>
      <c r="AG7857" s="191"/>
      <c r="AH7857" s="191"/>
      <c r="AI7857" s="186"/>
      <c r="AK7857" s="171"/>
    </row>
    <row r="7858" spans="1:41" s="102" customFormat="1" ht="19.899999999999999" customHeight="1" x14ac:dyDescent="0.25">
      <c r="A7858" s="45"/>
      <c r="B7858" s="59"/>
      <c r="C7858" s="137"/>
      <c r="D7858" s="59"/>
      <c r="E7858" s="116"/>
      <c r="F7858" s="120"/>
      <c r="G7858" s="120"/>
      <c r="H7858" s="120"/>
      <c r="I7858" s="60"/>
      <c r="J7858" s="116"/>
      <c r="K7858" s="213"/>
      <c r="L7858" s="120"/>
      <c r="M7858" s="120"/>
      <c r="N7858" s="167"/>
      <c r="O7858" s="120"/>
      <c r="P7858" s="120"/>
      <c r="Q7858" s="120"/>
      <c r="R7858" s="120"/>
      <c r="S7858" s="120"/>
      <c r="T7858" s="221"/>
      <c r="U7858" s="89"/>
      <c r="V7858" s="61"/>
      <c r="W7858" s="92" t="s">
        <v>174</v>
      </c>
      <c r="X7858" s="93" t="s">
        <v>29</v>
      </c>
      <c r="Y7858" s="93" t="s">
        <v>93</v>
      </c>
      <c r="Z7858" s="134">
        <f>VLOOKUP(W7858,Sheet2!$B:$D,3,FALSE)</f>
        <v>80</v>
      </c>
      <c r="AA7858" s="93">
        <f>4*2</f>
        <v>8</v>
      </c>
      <c r="AB7858" s="93">
        <f>AD7858/AC7856</f>
        <v>10</v>
      </c>
      <c r="AC7858" s="93">
        <f>AC7856/AA7858</f>
        <v>8.7299812500000087</v>
      </c>
      <c r="AD7858" s="94">
        <f>AC7858*Z7858</f>
        <v>698.39850000000069</v>
      </c>
      <c r="AE7858" s="190"/>
      <c r="AF7858" s="191"/>
      <c r="AG7858" s="191"/>
      <c r="AH7858" s="191"/>
      <c r="AI7858" s="186"/>
      <c r="AK7858" s="171"/>
    </row>
    <row r="7859" spans="1:41" s="102" customFormat="1" ht="19.899999999999999" customHeight="1" x14ac:dyDescent="0.25">
      <c r="A7859" s="45"/>
      <c r="B7859" s="59"/>
      <c r="C7859" s="137"/>
      <c r="D7859" s="59"/>
      <c r="E7859" s="116"/>
      <c r="F7859" s="120"/>
      <c r="G7859" s="120"/>
      <c r="H7859" s="120"/>
      <c r="I7859" s="60"/>
      <c r="J7859" s="116"/>
      <c r="K7859" s="213"/>
      <c r="L7859" s="120"/>
      <c r="M7859" s="120"/>
      <c r="N7859" s="167"/>
      <c r="O7859" s="120"/>
      <c r="P7859" s="120"/>
      <c r="Q7859" s="120"/>
      <c r="R7859" s="120"/>
      <c r="S7859" s="120"/>
      <c r="T7859" s="221"/>
      <c r="U7859" s="89"/>
      <c r="V7859" s="61"/>
      <c r="W7859" s="92" t="s">
        <v>65</v>
      </c>
      <c r="X7859" s="93" t="s">
        <v>30</v>
      </c>
      <c r="Y7859" s="93" t="s">
        <v>1011</v>
      </c>
      <c r="Z7859" s="134">
        <f>VLOOKUP(W7859,Sheet2!$B:$D,3,FALSE)</f>
        <v>1.76</v>
      </c>
      <c r="AA7859" s="93">
        <f>AA7858/15</f>
        <v>0.53333333333333333</v>
      </c>
      <c r="AB7859" s="93">
        <f>AD7859/AC7856</f>
        <v>3.3000000000000003</v>
      </c>
      <c r="AC7859" s="93">
        <f>AC7856/AA7859</f>
        <v>130.94971875000013</v>
      </c>
      <c r="AD7859" s="94">
        <f t="shared" ref="AD7859" si="5479">AC7859*Z7859</f>
        <v>230.47150500000023</v>
      </c>
      <c r="AE7859" s="190"/>
      <c r="AF7859" s="191"/>
      <c r="AG7859" s="191"/>
      <c r="AH7859" s="191"/>
      <c r="AI7859" s="186"/>
      <c r="AK7859" s="171"/>
    </row>
    <row r="7860" spans="1:41" s="102" customFormat="1" ht="19.899999999999999" customHeight="1" x14ac:dyDescent="0.25">
      <c r="A7860" s="45"/>
      <c r="B7860" s="59"/>
      <c r="C7860" s="137"/>
      <c r="D7860" s="59"/>
      <c r="E7860" s="116"/>
      <c r="F7860" s="120"/>
      <c r="G7860" s="120"/>
      <c r="H7860" s="120"/>
      <c r="I7860" s="60"/>
      <c r="J7860" s="116"/>
      <c r="K7860" s="213"/>
      <c r="L7860" s="120"/>
      <c r="M7860" s="120"/>
      <c r="N7860" s="167"/>
      <c r="O7860" s="120"/>
      <c r="P7860" s="120"/>
      <c r="Q7860" s="120"/>
      <c r="R7860" s="120"/>
      <c r="S7860" s="120"/>
      <c r="T7860" s="221"/>
      <c r="U7860" s="89"/>
      <c r="V7860" s="61"/>
      <c r="W7860" s="92" t="s">
        <v>112</v>
      </c>
      <c r="X7860" s="93" t="s">
        <v>31</v>
      </c>
      <c r="Y7860" s="93" t="s">
        <v>93</v>
      </c>
      <c r="Z7860" s="134">
        <f>VLOOKUP(W7860,Sheet2!$B:$D,3,FALSE)</f>
        <v>13</v>
      </c>
      <c r="AA7860" s="93">
        <f>AA7858/2</f>
        <v>4</v>
      </c>
      <c r="AB7860" s="93">
        <f>AD7860/AC7856</f>
        <v>3.25</v>
      </c>
      <c r="AC7860" s="93">
        <f>AC7856/AA7860</f>
        <v>17.459962500000017</v>
      </c>
      <c r="AD7860" s="94">
        <f>AC7860*Z7860</f>
        <v>226.97951250000023</v>
      </c>
      <c r="AE7860" s="190"/>
      <c r="AF7860" s="191"/>
      <c r="AG7860" s="191"/>
      <c r="AH7860" s="191"/>
      <c r="AI7860" s="186"/>
      <c r="AK7860" s="171"/>
    </row>
    <row r="7861" spans="1:41" ht="20.100000000000001" customHeight="1" x14ac:dyDescent="0.25">
      <c r="A7861" s="277" t="s">
        <v>703</v>
      </c>
      <c r="B7861" s="278"/>
      <c r="C7861" s="64" t="s">
        <v>765</v>
      </c>
      <c r="D7861" s="46" t="s">
        <v>97</v>
      </c>
      <c r="E7861" s="114">
        <v>167.12482999999793</v>
      </c>
      <c r="F7861" s="44">
        <v>3261</v>
      </c>
      <c r="G7861" s="44">
        <f t="shared" si="4575"/>
        <v>544994.07062999322</v>
      </c>
      <c r="H7861" s="44">
        <f t="shared" si="4576"/>
        <v>2852.1841176470593</v>
      </c>
      <c r="I7861" s="43">
        <f t="shared" si="4577"/>
        <v>476670.7857904589</v>
      </c>
      <c r="J7861" s="112">
        <f t="shared" si="4578"/>
        <v>167.12482999999793</v>
      </c>
      <c r="K7861" s="211">
        <f t="shared" si="4579"/>
        <v>167.12482999999793</v>
      </c>
      <c r="L7861" s="44"/>
      <c r="M7861" s="44">
        <f t="shared" si="4580"/>
        <v>167.12482999999793</v>
      </c>
      <c r="N7861" s="173">
        <f t="shared" si="4581"/>
        <v>1</v>
      </c>
      <c r="O7861" s="44">
        <f t="shared" si="4582"/>
        <v>3261</v>
      </c>
      <c r="P7861" s="44">
        <f t="shared" si="4583"/>
        <v>544994.07062999322</v>
      </c>
      <c r="Q7861" s="44">
        <f t="shared" si="4584"/>
        <v>2852.1841176470593</v>
      </c>
      <c r="R7861" s="44">
        <f t="shared" si="4585"/>
        <v>476670.7857904589</v>
      </c>
      <c r="S7861" s="123"/>
      <c r="T7861" s="219">
        <f t="shared" si="4586"/>
        <v>476670.7857904589</v>
      </c>
      <c r="U7861" s="87"/>
      <c r="V7861" s="47"/>
      <c r="W7861" s="48"/>
      <c r="X7861" s="48"/>
      <c r="Y7861" s="48"/>
      <c r="Z7861" s="135"/>
      <c r="AA7861" s="49"/>
      <c r="AB7861" s="50">
        <f t="shared" si="4587"/>
        <v>2852.1841176470593</v>
      </c>
      <c r="AC7861" s="42">
        <f t="shared" si="4588"/>
        <v>167.12482999999793</v>
      </c>
      <c r="AD7861" s="90">
        <f>AD7862+AD7872</f>
        <v>476670.7857904589</v>
      </c>
      <c r="AE7861" s="188">
        <f t="shared" ref="AE7861" si="5480">AE7862+AE7872</f>
        <v>0</v>
      </c>
      <c r="AF7861" s="189">
        <f t="shared" ref="AF7861" si="5481">AF7862+AF7872</f>
        <v>0</v>
      </c>
      <c r="AG7861" s="189">
        <f t="shared" ref="AG7861" si="5482">AG7862+AG7872</f>
        <v>0</v>
      </c>
      <c r="AH7861" s="189">
        <f t="shared" ref="AH7861" si="5483">AH7862+AH7872</f>
        <v>0</v>
      </c>
      <c r="AI7861" s="161">
        <f t="shared" ref="AI7861" si="5484">SUM(AE7861:AH7861)</f>
        <v>0</v>
      </c>
      <c r="AK7861" s="169">
        <v>5</v>
      </c>
      <c r="AO7861" s="19" t="s">
        <v>63</v>
      </c>
    </row>
    <row r="7862" spans="1:41" s="103" customFormat="1" ht="19.899999999999999" customHeight="1" x14ac:dyDescent="0.25">
      <c r="A7862" s="51"/>
      <c r="B7862" s="52"/>
      <c r="C7862" s="165"/>
      <c r="D7862" s="52"/>
      <c r="E7862" s="115"/>
      <c r="F7862" s="58"/>
      <c r="G7862" s="58"/>
      <c r="H7862" s="58"/>
      <c r="I7862" s="55"/>
      <c r="J7862" s="113">
        <f>J7861</f>
        <v>167.12482999999793</v>
      </c>
      <c r="K7862" s="212">
        <f>K7861</f>
        <v>167.12482999999793</v>
      </c>
      <c r="L7862" s="58"/>
      <c r="M7862" s="58">
        <f>K7862-L7862</f>
        <v>167.12482999999793</v>
      </c>
      <c r="N7862" s="166"/>
      <c r="O7862" s="58"/>
      <c r="P7862" s="58"/>
      <c r="Q7862" s="58"/>
      <c r="R7862" s="58"/>
      <c r="S7862" s="58"/>
      <c r="T7862" s="220"/>
      <c r="U7862" s="88"/>
      <c r="V7862" s="56"/>
      <c r="W7862" s="57" t="s">
        <v>1110</v>
      </c>
      <c r="X7862" s="53"/>
      <c r="Y7862" s="91" t="s">
        <v>68</v>
      </c>
      <c r="Z7862" s="136">
        <f>AD7862/AC7862</f>
        <v>63.634117647058829</v>
      </c>
      <c r="AA7862" s="58"/>
      <c r="AB7862" s="53">
        <f>AD7862/AC7862</f>
        <v>63.634117647058829</v>
      </c>
      <c r="AC7862" s="53">
        <f>M7862+$AE$10</f>
        <v>167.12482999999793</v>
      </c>
      <c r="AD7862" s="54">
        <f>SUM(AD7863:AD7871)</f>
        <v>10634.841093964575</v>
      </c>
      <c r="AE7862" s="184">
        <f>SUMIFS($AD$37:$AD$12971,$V$37:$V$12971,$V7862,$X$37:$X$12971,AE$13)</f>
        <v>0</v>
      </c>
      <c r="AF7862" s="185">
        <f>SUMIFS($AD$37:$AD$12971,$V$37:$V$12971,$V7862,$X$37:$X$12971,AF$13)</f>
        <v>0</v>
      </c>
      <c r="AG7862" s="185">
        <f>SUMIFS($AD$37:$AD$12971,$V$37:$V$12971,$V7862,$X$37:$X$12971,AG$13)</f>
        <v>0</v>
      </c>
      <c r="AH7862" s="187">
        <f>SUMIFS($AD$37:$AD$12971,$V$37:$V$12971,$V7862,$X$37:$X$12971,AH$13)</f>
        <v>0</v>
      </c>
      <c r="AI7862" s="161">
        <f t="shared" ref="AI7862" si="5485">SUM(AE7862:AH7862)</f>
        <v>0</v>
      </c>
      <c r="AK7862" s="172"/>
    </row>
    <row r="7863" spans="1:41" s="102" customFormat="1" ht="19.899999999999999" customHeight="1" x14ac:dyDescent="0.25">
      <c r="A7863" s="45"/>
      <c r="B7863" s="59"/>
      <c r="C7863" s="137"/>
      <c r="D7863" s="59"/>
      <c r="E7863" s="116"/>
      <c r="F7863" s="120"/>
      <c r="G7863" s="120"/>
      <c r="H7863" s="120"/>
      <c r="I7863" s="60"/>
      <c r="J7863" s="116"/>
      <c r="K7863" s="213"/>
      <c r="L7863" s="120"/>
      <c r="M7863" s="120"/>
      <c r="N7863" s="167"/>
      <c r="O7863" s="120"/>
      <c r="P7863" s="120"/>
      <c r="Q7863" s="120"/>
      <c r="R7863" s="120"/>
      <c r="S7863" s="120"/>
      <c r="T7863" s="221"/>
      <c r="U7863" s="89"/>
      <c r="V7863" s="61"/>
      <c r="W7863" s="92" t="s">
        <v>129</v>
      </c>
      <c r="X7863" s="93" t="s">
        <v>29</v>
      </c>
      <c r="Y7863" s="93" t="s">
        <v>93</v>
      </c>
      <c r="Z7863" s="134">
        <f>VLOOKUP(W7863,Sheet2!$B:$D,3,FALSE)</f>
        <v>56</v>
      </c>
      <c r="AA7863" s="93">
        <f>100/(2.4*2.5)</f>
        <v>16.666666666666668</v>
      </c>
      <c r="AB7863" s="93">
        <f t="shared" ref="AB7863" si="5486">AD7863/AC7862</f>
        <v>3.3600000000000003</v>
      </c>
      <c r="AC7863" s="93">
        <f>AC7862/AA7863</f>
        <v>10.027489799999875</v>
      </c>
      <c r="AD7863" s="94">
        <f t="shared" ref="AD7863:AD7864" si="5487">AC7863*Z7863</f>
        <v>561.53942879999306</v>
      </c>
      <c r="AE7863" s="190"/>
      <c r="AF7863" s="191"/>
      <c r="AG7863" s="191"/>
      <c r="AH7863" s="191"/>
      <c r="AI7863" s="186"/>
      <c r="AK7863" s="171"/>
    </row>
    <row r="7864" spans="1:41" s="102" customFormat="1" ht="19.899999999999999" customHeight="1" x14ac:dyDescent="0.25">
      <c r="A7864" s="45"/>
      <c r="B7864" s="59"/>
      <c r="C7864" s="137"/>
      <c r="D7864" s="59"/>
      <c r="E7864" s="116"/>
      <c r="F7864" s="120"/>
      <c r="G7864" s="120"/>
      <c r="H7864" s="120"/>
      <c r="I7864" s="60"/>
      <c r="J7864" s="116"/>
      <c r="K7864" s="213"/>
      <c r="L7864" s="120"/>
      <c r="M7864" s="120"/>
      <c r="N7864" s="167"/>
      <c r="O7864" s="120"/>
      <c r="P7864" s="120"/>
      <c r="Q7864" s="120"/>
      <c r="R7864" s="120"/>
      <c r="S7864" s="120"/>
      <c r="T7864" s="221"/>
      <c r="U7864" s="89"/>
      <c r="V7864" s="61"/>
      <c r="W7864" s="92" t="s">
        <v>65</v>
      </c>
      <c r="X7864" s="93" t="s">
        <v>30</v>
      </c>
      <c r="Y7864" s="93" t="s">
        <v>1011</v>
      </c>
      <c r="Z7864" s="134">
        <f>VLOOKUP(W7864,Sheet2!$B:$D,3,FALSE)</f>
        <v>1.76</v>
      </c>
      <c r="AA7864" s="93">
        <f>AA7863/14</f>
        <v>1.1904761904761905</v>
      </c>
      <c r="AB7864" s="93">
        <f>AD7864/AC7862</f>
        <v>1.4784000000000002</v>
      </c>
      <c r="AC7864" s="93">
        <f>AC7862/AA7864</f>
        <v>140.38485719999827</v>
      </c>
      <c r="AD7864" s="94">
        <f t="shared" si="5487"/>
        <v>247.07734867199696</v>
      </c>
      <c r="AE7864" s="190"/>
      <c r="AF7864" s="191"/>
      <c r="AG7864" s="191"/>
      <c r="AH7864" s="191"/>
      <c r="AI7864" s="186"/>
      <c r="AK7864" s="171"/>
    </row>
    <row r="7865" spans="1:41" s="102" customFormat="1" ht="19.899999999999999" customHeight="1" x14ac:dyDescent="0.25">
      <c r="A7865" s="45"/>
      <c r="B7865" s="59"/>
      <c r="C7865" s="137"/>
      <c r="D7865" s="59"/>
      <c r="E7865" s="116"/>
      <c r="F7865" s="120"/>
      <c r="G7865" s="120"/>
      <c r="H7865" s="120"/>
      <c r="I7865" s="60"/>
      <c r="J7865" s="116"/>
      <c r="K7865" s="213"/>
      <c r="L7865" s="120"/>
      <c r="M7865" s="120"/>
      <c r="N7865" s="167"/>
      <c r="O7865" s="120"/>
      <c r="P7865" s="120"/>
      <c r="Q7865" s="120"/>
      <c r="R7865" s="120"/>
      <c r="S7865" s="120"/>
      <c r="T7865" s="221"/>
      <c r="U7865" s="89"/>
      <c r="V7865" s="61"/>
      <c r="W7865" s="92" t="s">
        <v>161</v>
      </c>
      <c r="X7865" s="93" t="s">
        <v>29</v>
      </c>
      <c r="Y7865" s="93" t="s">
        <v>93</v>
      </c>
      <c r="Z7865" s="134">
        <f>VLOOKUP(W7865,Sheet2!$B:$D,3,FALSE)</f>
        <v>48</v>
      </c>
      <c r="AA7865" s="93">
        <f>(16*0.85*1.5)/(2.4*2.5)</f>
        <v>3.4</v>
      </c>
      <c r="AB7865" s="93">
        <f>AD7865/AC7862</f>
        <v>14.117647058823529</v>
      </c>
      <c r="AC7865" s="93">
        <f>AC7862/AA7865</f>
        <v>49.154361764705271</v>
      </c>
      <c r="AD7865" s="94">
        <f>AC7865*Z7865</f>
        <v>2359.409364705853</v>
      </c>
      <c r="AE7865" s="190"/>
      <c r="AF7865" s="191"/>
      <c r="AG7865" s="191"/>
      <c r="AH7865" s="191"/>
      <c r="AI7865" s="186"/>
      <c r="AK7865" s="171"/>
    </row>
    <row r="7866" spans="1:41" s="102" customFormat="1" ht="19.899999999999999" customHeight="1" x14ac:dyDescent="0.25">
      <c r="A7866" s="45"/>
      <c r="B7866" s="59"/>
      <c r="C7866" s="137"/>
      <c r="D7866" s="59"/>
      <c r="E7866" s="116"/>
      <c r="F7866" s="120"/>
      <c r="G7866" s="120"/>
      <c r="H7866" s="120"/>
      <c r="I7866" s="60"/>
      <c r="J7866" s="116"/>
      <c r="K7866" s="213"/>
      <c r="L7866" s="120"/>
      <c r="M7866" s="120"/>
      <c r="N7866" s="167"/>
      <c r="O7866" s="120"/>
      <c r="P7866" s="120"/>
      <c r="Q7866" s="120"/>
      <c r="R7866" s="120"/>
      <c r="S7866" s="120"/>
      <c r="T7866" s="221"/>
      <c r="U7866" s="89"/>
      <c r="V7866" s="61"/>
      <c r="W7866" s="92" t="s">
        <v>65</v>
      </c>
      <c r="X7866" s="93" t="s">
        <v>30</v>
      </c>
      <c r="Y7866" s="93" t="s">
        <v>1011</v>
      </c>
      <c r="Z7866" s="134">
        <f>VLOOKUP(W7866,Sheet2!$B:$D,3,FALSE)</f>
        <v>1.76</v>
      </c>
      <c r="AA7866" s="93">
        <f>AA7865/10</f>
        <v>0.33999999999999997</v>
      </c>
      <c r="AB7866" s="93">
        <f>AD7866/AC7862</f>
        <v>5.1764705882352944</v>
      </c>
      <c r="AC7866" s="93">
        <f>AC7862/AA7866</f>
        <v>491.54361764705277</v>
      </c>
      <c r="AD7866" s="94">
        <f>AC7866*Z7866</f>
        <v>865.11676705881291</v>
      </c>
      <c r="AE7866" s="190"/>
      <c r="AF7866" s="191"/>
      <c r="AG7866" s="191"/>
      <c r="AH7866" s="191"/>
      <c r="AI7866" s="186"/>
      <c r="AK7866" s="171"/>
    </row>
    <row r="7867" spans="1:41" s="102" customFormat="1" ht="19.899999999999999" customHeight="1" x14ac:dyDescent="0.25">
      <c r="A7867" s="45"/>
      <c r="B7867" s="59"/>
      <c r="C7867" s="137"/>
      <c r="D7867" s="59"/>
      <c r="E7867" s="116"/>
      <c r="F7867" s="120"/>
      <c r="G7867" s="120"/>
      <c r="H7867" s="120"/>
      <c r="I7867" s="60"/>
      <c r="J7867" s="116"/>
      <c r="K7867" s="213"/>
      <c r="L7867" s="120"/>
      <c r="M7867" s="120"/>
      <c r="N7867" s="167"/>
      <c r="O7867" s="120"/>
      <c r="P7867" s="120"/>
      <c r="Q7867" s="120"/>
      <c r="R7867" s="120"/>
      <c r="S7867" s="120"/>
      <c r="T7867" s="221"/>
      <c r="U7867" s="89"/>
      <c r="V7867" s="61"/>
      <c r="W7867" s="92" t="s">
        <v>1030</v>
      </c>
      <c r="X7867" s="93" t="s">
        <v>29</v>
      </c>
      <c r="Y7867" s="93" t="s">
        <v>93</v>
      </c>
      <c r="Z7867" s="134">
        <f>VLOOKUP(W7867,Sheet2!$B:$D,3,FALSE)</f>
        <v>23</v>
      </c>
      <c r="AA7867" s="93">
        <v>50</v>
      </c>
      <c r="AB7867" s="93">
        <f>AD7867/AC7862</f>
        <v>0.46000000000000008</v>
      </c>
      <c r="AC7867" s="93">
        <f>AC7862/AA7867</f>
        <v>3.3424965999999587</v>
      </c>
      <c r="AD7867" s="94">
        <f t="shared" ref="AD7867:AD7871" si="5488">AC7867*Z7867</f>
        <v>76.877421799999055</v>
      </c>
      <c r="AE7867" s="190"/>
      <c r="AF7867" s="191"/>
      <c r="AG7867" s="191"/>
      <c r="AH7867" s="191"/>
      <c r="AI7867" s="186"/>
      <c r="AK7867" s="171"/>
    </row>
    <row r="7868" spans="1:41" s="102" customFormat="1" ht="19.899999999999999" customHeight="1" x14ac:dyDescent="0.25">
      <c r="A7868" s="45"/>
      <c r="B7868" s="59"/>
      <c r="C7868" s="137"/>
      <c r="D7868" s="59"/>
      <c r="E7868" s="116"/>
      <c r="F7868" s="120"/>
      <c r="G7868" s="120"/>
      <c r="H7868" s="120"/>
      <c r="I7868" s="60"/>
      <c r="J7868" s="116"/>
      <c r="K7868" s="213"/>
      <c r="L7868" s="120"/>
      <c r="M7868" s="120"/>
      <c r="N7868" s="167"/>
      <c r="O7868" s="120"/>
      <c r="P7868" s="120"/>
      <c r="Q7868" s="120"/>
      <c r="R7868" s="120"/>
      <c r="S7868" s="120"/>
      <c r="T7868" s="221"/>
      <c r="U7868" s="89"/>
      <c r="V7868" s="61"/>
      <c r="W7868" s="92" t="s">
        <v>65</v>
      </c>
      <c r="X7868" s="93" t="s">
        <v>30</v>
      </c>
      <c r="Y7868" s="93" t="s">
        <v>1011</v>
      </c>
      <c r="Z7868" s="134">
        <f>VLOOKUP(W7868,Sheet2!$B:$D,3,FALSE)</f>
        <v>1.76</v>
      </c>
      <c r="AA7868" s="93">
        <f>AA7867/3</f>
        <v>16.666666666666668</v>
      </c>
      <c r="AB7868" s="93">
        <f>AD7868/AC7862</f>
        <v>0.1056</v>
      </c>
      <c r="AC7868" s="93">
        <f>AC7862/AA7868</f>
        <v>10.027489799999875</v>
      </c>
      <c r="AD7868" s="94">
        <f t="shared" si="5488"/>
        <v>17.648382047999782</v>
      </c>
      <c r="AE7868" s="190"/>
      <c r="AF7868" s="191"/>
      <c r="AG7868" s="191"/>
      <c r="AH7868" s="191"/>
      <c r="AI7868" s="186"/>
      <c r="AK7868" s="171"/>
    </row>
    <row r="7869" spans="1:41" s="102" customFormat="1" ht="19.899999999999999" customHeight="1" x14ac:dyDescent="0.25">
      <c r="A7869" s="45"/>
      <c r="B7869" s="59"/>
      <c r="C7869" s="137"/>
      <c r="D7869" s="59"/>
      <c r="E7869" s="116"/>
      <c r="F7869" s="120"/>
      <c r="G7869" s="120"/>
      <c r="H7869" s="120"/>
      <c r="I7869" s="60"/>
      <c r="J7869" s="116"/>
      <c r="K7869" s="213"/>
      <c r="L7869" s="120"/>
      <c r="M7869" s="120"/>
      <c r="N7869" s="167"/>
      <c r="O7869" s="120"/>
      <c r="P7869" s="120"/>
      <c r="Q7869" s="120"/>
      <c r="R7869" s="120"/>
      <c r="S7869" s="120"/>
      <c r="T7869" s="221"/>
      <c r="U7869" s="89"/>
      <c r="V7869" s="61"/>
      <c r="W7869" s="92" t="s">
        <v>148</v>
      </c>
      <c r="X7869" s="93" t="s">
        <v>29</v>
      </c>
      <c r="Y7869" s="93" t="s">
        <v>93</v>
      </c>
      <c r="Z7869" s="134">
        <f>VLOOKUP(W7869,Sheet2!$B:$D,3,FALSE)</f>
        <v>48</v>
      </c>
      <c r="AA7869" s="93">
        <f>AA7863</f>
        <v>16.666666666666668</v>
      </c>
      <c r="AB7869" s="93">
        <f>AD7869/AC7862</f>
        <v>2.88</v>
      </c>
      <c r="AC7869" s="93">
        <f>AC7862/AA7869</f>
        <v>10.027489799999875</v>
      </c>
      <c r="AD7869" s="94">
        <f t="shared" si="5488"/>
        <v>481.31951039999399</v>
      </c>
      <c r="AE7869" s="190"/>
      <c r="AF7869" s="191"/>
      <c r="AG7869" s="191"/>
      <c r="AH7869" s="191"/>
      <c r="AI7869" s="186"/>
      <c r="AK7869" s="171"/>
    </row>
    <row r="7870" spans="1:41" s="102" customFormat="1" ht="19.899999999999999" customHeight="1" x14ac:dyDescent="0.25">
      <c r="A7870" s="45"/>
      <c r="B7870" s="59"/>
      <c r="C7870" s="137"/>
      <c r="D7870" s="59"/>
      <c r="E7870" s="116"/>
      <c r="F7870" s="120"/>
      <c r="G7870" s="120"/>
      <c r="H7870" s="120"/>
      <c r="I7870" s="60"/>
      <c r="J7870" s="116"/>
      <c r="K7870" s="213"/>
      <c r="L7870" s="120"/>
      <c r="M7870" s="120"/>
      <c r="N7870" s="167"/>
      <c r="O7870" s="120"/>
      <c r="P7870" s="120"/>
      <c r="Q7870" s="120"/>
      <c r="R7870" s="120"/>
      <c r="S7870" s="120"/>
      <c r="T7870" s="221"/>
      <c r="U7870" s="89"/>
      <c r="V7870" s="61"/>
      <c r="W7870" s="92" t="s">
        <v>65</v>
      </c>
      <c r="X7870" s="93" t="s">
        <v>30</v>
      </c>
      <c r="Y7870" s="93" t="s">
        <v>1011</v>
      </c>
      <c r="Z7870" s="134">
        <f>VLOOKUP(W7870,Sheet2!$B:$D,3,FALSE)</f>
        <v>1.76</v>
      </c>
      <c r="AA7870" s="93">
        <f>AA7869/10</f>
        <v>1.6666666666666667</v>
      </c>
      <c r="AB7870" s="93">
        <f>AD7870/AC7862</f>
        <v>1.056</v>
      </c>
      <c r="AC7870" s="93">
        <f>AC7862/AA7870</f>
        <v>100.27489799999876</v>
      </c>
      <c r="AD7870" s="94">
        <f t="shared" si="5488"/>
        <v>176.4838204799978</v>
      </c>
      <c r="AE7870" s="190"/>
      <c r="AF7870" s="191"/>
      <c r="AG7870" s="191"/>
      <c r="AH7870" s="191"/>
      <c r="AI7870" s="186"/>
      <c r="AK7870" s="171"/>
    </row>
    <row r="7871" spans="1:41" s="102" customFormat="1" ht="19.899999999999999" customHeight="1" x14ac:dyDescent="0.25">
      <c r="A7871" s="45"/>
      <c r="B7871" s="59"/>
      <c r="C7871" s="137"/>
      <c r="D7871" s="59"/>
      <c r="E7871" s="116"/>
      <c r="F7871" s="120"/>
      <c r="G7871" s="120"/>
      <c r="H7871" s="120"/>
      <c r="I7871" s="60"/>
      <c r="J7871" s="116"/>
      <c r="K7871" s="213"/>
      <c r="L7871" s="120"/>
      <c r="M7871" s="120"/>
      <c r="N7871" s="167"/>
      <c r="O7871" s="120"/>
      <c r="P7871" s="120"/>
      <c r="Q7871" s="120"/>
      <c r="R7871" s="120"/>
      <c r="S7871" s="120"/>
      <c r="T7871" s="221"/>
      <c r="U7871" s="89"/>
      <c r="V7871" s="61"/>
      <c r="W7871" s="92" t="s">
        <v>1048</v>
      </c>
      <c r="X7871" s="93" t="s">
        <v>30</v>
      </c>
      <c r="Y7871" s="93" t="s">
        <v>68</v>
      </c>
      <c r="Z7871" s="134">
        <f>VLOOKUP(W7871,Sheet2!$B:$D,3,FALSE)</f>
        <v>35</v>
      </c>
      <c r="AA7871" s="93">
        <v>1</v>
      </c>
      <c r="AB7871" s="93">
        <f>AD7871/AC7862</f>
        <v>35</v>
      </c>
      <c r="AC7871" s="93">
        <f>AC7862/AA7871</f>
        <v>167.12482999999793</v>
      </c>
      <c r="AD7871" s="94">
        <f t="shared" si="5488"/>
        <v>5849.3690499999275</v>
      </c>
      <c r="AE7871" s="190"/>
      <c r="AF7871" s="191"/>
      <c r="AG7871" s="191"/>
      <c r="AH7871" s="191"/>
      <c r="AI7871" s="186"/>
      <c r="AK7871" s="171"/>
    </row>
    <row r="7872" spans="1:41" s="103" customFormat="1" ht="19.899999999999999" customHeight="1" x14ac:dyDescent="0.25">
      <c r="A7872" s="51"/>
      <c r="B7872" s="52"/>
      <c r="C7872" s="165"/>
      <c r="D7872" s="52"/>
      <c r="E7872" s="115"/>
      <c r="F7872" s="58"/>
      <c r="G7872" s="58"/>
      <c r="H7872" s="58"/>
      <c r="I7872" s="55"/>
      <c r="J7872" s="113">
        <f>J7861</f>
        <v>167.12482999999793</v>
      </c>
      <c r="K7872" s="212">
        <f>K7861</f>
        <v>167.12482999999793</v>
      </c>
      <c r="L7872" s="58"/>
      <c r="M7872" s="58">
        <f>K7872-L7872</f>
        <v>167.12482999999793</v>
      </c>
      <c r="N7872" s="166"/>
      <c r="O7872" s="58"/>
      <c r="P7872" s="58"/>
      <c r="Q7872" s="58"/>
      <c r="R7872" s="58"/>
      <c r="S7872" s="58"/>
      <c r="T7872" s="220"/>
      <c r="U7872" s="88"/>
      <c r="V7872" s="56"/>
      <c r="W7872" s="57" t="s">
        <v>1106</v>
      </c>
      <c r="X7872" s="53"/>
      <c r="Y7872" s="91" t="s">
        <v>68</v>
      </c>
      <c r="Z7872" s="136">
        <f>AD7872/AC7872</f>
        <v>2788.5500000000006</v>
      </c>
      <c r="AA7872" s="58"/>
      <c r="AB7872" s="53">
        <f>AD7872/AC7872</f>
        <v>2788.5500000000006</v>
      </c>
      <c r="AC7872" s="53">
        <f>M7872+$AE$10</f>
        <v>167.12482999999793</v>
      </c>
      <c r="AD7872" s="54">
        <f>SUM(AD7873:AD7876)</f>
        <v>466035.94469649432</v>
      </c>
      <c r="AE7872" s="184">
        <f>SUMIFS($AD$37:$AD$12971,$V$37:$V$12971,$V7872,$X$37:$X$12971,AE$13)</f>
        <v>0</v>
      </c>
      <c r="AF7872" s="185">
        <f>SUMIFS($AD$37:$AD$12971,$V$37:$V$12971,$V7872,$X$37:$X$12971,AF$13)</f>
        <v>0</v>
      </c>
      <c r="AG7872" s="185">
        <f>SUMIFS($AD$37:$AD$12971,$V$37:$V$12971,$V7872,$X$37:$X$12971,AG$13)</f>
        <v>0</v>
      </c>
      <c r="AH7872" s="187">
        <f>SUMIFS($AD$37:$AD$12971,$V$37:$V$12971,$V7872,$X$37:$X$12971,AH$13)</f>
        <v>0</v>
      </c>
      <c r="AI7872" s="161">
        <f t="shared" ref="AI7872" si="5489">SUM(AE7872:AH7872)</f>
        <v>0</v>
      </c>
      <c r="AK7872" s="172"/>
    </row>
    <row r="7873" spans="1:41" s="102" customFormat="1" ht="19.899999999999999" customHeight="1" x14ac:dyDescent="0.25">
      <c r="A7873" s="45"/>
      <c r="B7873" s="59"/>
      <c r="C7873" s="137"/>
      <c r="D7873" s="59"/>
      <c r="E7873" s="116"/>
      <c r="F7873" s="120"/>
      <c r="G7873" s="120"/>
      <c r="H7873" s="120"/>
      <c r="I7873" s="60"/>
      <c r="J7873" s="116"/>
      <c r="K7873" s="213"/>
      <c r="L7873" s="120"/>
      <c r="M7873" s="120"/>
      <c r="N7873" s="167"/>
      <c r="O7873" s="120"/>
      <c r="P7873" s="120"/>
      <c r="Q7873" s="120"/>
      <c r="R7873" s="120"/>
      <c r="S7873" s="120"/>
      <c r="T7873" s="221"/>
      <c r="U7873" s="89"/>
      <c r="V7873" s="61"/>
      <c r="W7873" s="92" t="s">
        <v>1105</v>
      </c>
      <c r="X7873" s="93" t="s">
        <v>30</v>
      </c>
      <c r="Y7873" s="93" t="s">
        <v>66</v>
      </c>
      <c r="Z7873" s="134">
        <f>VLOOKUP(W7873,Sheet2!$B:$D,3,FALSE)</f>
        <v>2200</v>
      </c>
      <c r="AA7873" s="93">
        <f>1/((1.6*1.1)-(1*0.5))</f>
        <v>0.7936507936507935</v>
      </c>
      <c r="AB7873" s="93">
        <f>AD7873/AC7872</f>
        <v>2772.0000000000005</v>
      </c>
      <c r="AC7873" s="93">
        <f>AC7872/AA7873</f>
        <v>210.57728579999744</v>
      </c>
      <c r="AD7873" s="94">
        <f t="shared" ref="AD7873" si="5490">AC7873*Z7873</f>
        <v>463270.02875999437</v>
      </c>
      <c r="AE7873" s="190"/>
      <c r="AF7873" s="191"/>
      <c r="AG7873" s="191"/>
      <c r="AH7873" s="191"/>
      <c r="AI7873" s="186"/>
      <c r="AK7873" s="171"/>
    </row>
    <row r="7874" spans="1:41" s="102" customFormat="1" ht="19.899999999999999" customHeight="1" x14ac:dyDescent="0.25">
      <c r="A7874" s="45"/>
      <c r="B7874" s="59"/>
      <c r="C7874" s="137"/>
      <c r="D7874" s="59"/>
      <c r="E7874" s="116"/>
      <c r="F7874" s="120"/>
      <c r="G7874" s="120"/>
      <c r="H7874" s="120"/>
      <c r="I7874" s="60"/>
      <c r="J7874" s="116"/>
      <c r="K7874" s="213"/>
      <c r="L7874" s="120"/>
      <c r="M7874" s="120"/>
      <c r="N7874" s="167"/>
      <c r="O7874" s="120"/>
      <c r="P7874" s="120"/>
      <c r="Q7874" s="120"/>
      <c r="R7874" s="120"/>
      <c r="S7874" s="120"/>
      <c r="T7874" s="221"/>
      <c r="U7874" s="89"/>
      <c r="V7874" s="61"/>
      <c r="W7874" s="92" t="s">
        <v>174</v>
      </c>
      <c r="X7874" s="93" t="s">
        <v>29</v>
      </c>
      <c r="Y7874" s="93" t="s">
        <v>93</v>
      </c>
      <c r="Z7874" s="134">
        <f>VLOOKUP(W7874,Sheet2!$B:$D,3,FALSE)</f>
        <v>80</v>
      </c>
      <c r="AA7874" s="93">
        <f>4*2</f>
        <v>8</v>
      </c>
      <c r="AB7874" s="93">
        <f>AD7874/AC7872</f>
        <v>10</v>
      </c>
      <c r="AC7874" s="93">
        <f>AC7872/AA7874</f>
        <v>20.890603749999741</v>
      </c>
      <c r="AD7874" s="94">
        <f>AC7874*Z7874</f>
        <v>1671.2482999999793</v>
      </c>
      <c r="AE7874" s="190"/>
      <c r="AF7874" s="191"/>
      <c r="AG7874" s="191"/>
      <c r="AH7874" s="191"/>
      <c r="AI7874" s="186"/>
      <c r="AK7874" s="171"/>
    </row>
    <row r="7875" spans="1:41" s="102" customFormat="1" ht="19.899999999999999" customHeight="1" x14ac:dyDescent="0.25">
      <c r="A7875" s="45"/>
      <c r="B7875" s="59"/>
      <c r="C7875" s="137"/>
      <c r="D7875" s="59"/>
      <c r="E7875" s="116"/>
      <c r="F7875" s="120"/>
      <c r="G7875" s="120"/>
      <c r="H7875" s="120"/>
      <c r="I7875" s="60"/>
      <c r="J7875" s="116"/>
      <c r="K7875" s="213"/>
      <c r="L7875" s="120"/>
      <c r="M7875" s="120"/>
      <c r="N7875" s="167"/>
      <c r="O7875" s="120"/>
      <c r="P7875" s="120"/>
      <c r="Q7875" s="120"/>
      <c r="R7875" s="120"/>
      <c r="S7875" s="120"/>
      <c r="T7875" s="221"/>
      <c r="U7875" s="89"/>
      <c r="V7875" s="61"/>
      <c r="W7875" s="92" t="s">
        <v>65</v>
      </c>
      <c r="X7875" s="93" t="s">
        <v>30</v>
      </c>
      <c r="Y7875" s="93" t="s">
        <v>1011</v>
      </c>
      <c r="Z7875" s="134">
        <f>VLOOKUP(W7875,Sheet2!$B:$D,3,FALSE)</f>
        <v>1.76</v>
      </c>
      <c r="AA7875" s="93">
        <f>AA7874/15</f>
        <v>0.53333333333333333</v>
      </c>
      <c r="AB7875" s="93">
        <f>AD7875/AC7872</f>
        <v>3.3</v>
      </c>
      <c r="AC7875" s="93">
        <f>AC7872/AA7875</f>
        <v>313.35905624999612</v>
      </c>
      <c r="AD7875" s="94">
        <f t="shared" ref="AD7875" si="5491">AC7875*Z7875</f>
        <v>551.51193899999316</v>
      </c>
      <c r="AE7875" s="190"/>
      <c r="AF7875" s="191"/>
      <c r="AG7875" s="191"/>
      <c r="AH7875" s="191"/>
      <c r="AI7875" s="186"/>
      <c r="AK7875" s="171"/>
    </row>
    <row r="7876" spans="1:41" s="102" customFormat="1" ht="19.899999999999999" customHeight="1" x14ac:dyDescent="0.25">
      <c r="A7876" s="45"/>
      <c r="B7876" s="59"/>
      <c r="C7876" s="137"/>
      <c r="D7876" s="59"/>
      <c r="E7876" s="116"/>
      <c r="F7876" s="120"/>
      <c r="G7876" s="120"/>
      <c r="H7876" s="120"/>
      <c r="I7876" s="60"/>
      <c r="J7876" s="116"/>
      <c r="K7876" s="213"/>
      <c r="L7876" s="120"/>
      <c r="M7876" s="120"/>
      <c r="N7876" s="167"/>
      <c r="O7876" s="120"/>
      <c r="P7876" s="120"/>
      <c r="Q7876" s="120"/>
      <c r="R7876" s="120"/>
      <c r="S7876" s="120"/>
      <c r="T7876" s="221"/>
      <c r="U7876" s="89"/>
      <c r="V7876" s="61"/>
      <c r="W7876" s="92" t="s">
        <v>112</v>
      </c>
      <c r="X7876" s="93" t="s">
        <v>31</v>
      </c>
      <c r="Y7876" s="93" t="s">
        <v>93</v>
      </c>
      <c r="Z7876" s="134">
        <f>VLOOKUP(W7876,Sheet2!$B:$D,3,FALSE)</f>
        <v>13</v>
      </c>
      <c r="AA7876" s="93">
        <f>AA7874/2</f>
        <v>4</v>
      </c>
      <c r="AB7876" s="93">
        <f>AD7876/AC7872</f>
        <v>3.25</v>
      </c>
      <c r="AC7876" s="93">
        <f>AC7872/AA7876</f>
        <v>41.781207499999482</v>
      </c>
      <c r="AD7876" s="94">
        <f>AC7876*Z7876</f>
        <v>543.15569749999327</v>
      </c>
      <c r="AE7876" s="190"/>
      <c r="AF7876" s="191"/>
      <c r="AG7876" s="191"/>
      <c r="AH7876" s="191"/>
      <c r="AI7876" s="186"/>
      <c r="AK7876" s="171"/>
    </row>
    <row r="7877" spans="1:41" ht="20.100000000000001" customHeight="1" x14ac:dyDescent="0.25">
      <c r="A7877" s="277" t="s">
        <v>703</v>
      </c>
      <c r="B7877" s="278"/>
      <c r="C7877" s="64" t="s">
        <v>766</v>
      </c>
      <c r="D7877" s="46" t="s">
        <v>97</v>
      </c>
      <c r="E7877" s="114">
        <v>15.74947499999999</v>
      </c>
      <c r="F7877" s="44">
        <v>3386</v>
      </c>
      <c r="G7877" s="44">
        <f t="shared" si="4575"/>
        <v>53327.722349999967</v>
      </c>
      <c r="H7877" s="44">
        <f t="shared" si="4576"/>
        <v>2882.7978211764712</v>
      </c>
      <c r="I7877" s="43">
        <f t="shared" si="4577"/>
        <v>45402.552214673276</v>
      </c>
      <c r="J7877" s="112">
        <f t="shared" si="4578"/>
        <v>15.74947499999999</v>
      </c>
      <c r="K7877" s="211">
        <f t="shared" si="4579"/>
        <v>15.74947499999999</v>
      </c>
      <c r="L7877" s="44"/>
      <c r="M7877" s="44">
        <f t="shared" si="4580"/>
        <v>15.74947499999999</v>
      </c>
      <c r="N7877" s="173">
        <f t="shared" si="4581"/>
        <v>1</v>
      </c>
      <c r="O7877" s="44">
        <f t="shared" si="4582"/>
        <v>3386</v>
      </c>
      <c r="P7877" s="44">
        <f t="shared" si="4583"/>
        <v>53327.722349999967</v>
      </c>
      <c r="Q7877" s="44">
        <f t="shared" si="4584"/>
        <v>2882.7978211764712</v>
      </c>
      <c r="R7877" s="44">
        <f t="shared" si="4585"/>
        <v>45402.552214673276</v>
      </c>
      <c r="S7877" s="123"/>
      <c r="T7877" s="219">
        <f t="shared" si="4586"/>
        <v>45402.552214673276</v>
      </c>
      <c r="U7877" s="87"/>
      <c r="V7877" s="47"/>
      <c r="W7877" s="48"/>
      <c r="X7877" s="48"/>
      <c r="Y7877" s="48"/>
      <c r="Z7877" s="135"/>
      <c r="AA7877" s="49"/>
      <c r="AB7877" s="50">
        <f t="shared" si="4587"/>
        <v>2882.7978211764712</v>
      </c>
      <c r="AC7877" s="42">
        <f t="shared" si="4588"/>
        <v>15.74947499999999</v>
      </c>
      <c r="AD7877" s="90">
        <f>AD7878+AD7888</f>
        <v>45402.552214673276</v>
      </c>
      <c r="AE7877" s="188">
        <f t="shared" ref="AE7877" si="5492">AE7878+AE7888</f>
        <v>0</v>
      </c>
      <c r="AF7877" s="189">
        <f t="shared" ref="AF7877" si="5493">AF7878+AF7888</f>
        <v>0</v>
      </c>
      <c r="AG7877" s="189">
        <f t="shared" ref="AG7877" si="5494">AG7878+AG7888</f>
        <v>0</v>
      </c>
      <c r="AH7877" s="189">
        <f t="shared" ref="AH7877" si="5495">AH7878+AH7888</f>
        <v>0</v>
      </c>
      <c r="AI7877" s="161">
        <f t="shared" ref="AI7877" si="5496">SUM(AE7877:AH7877)</f>
        <v>0</v>
      </c>
      <c r="AK7877" s="169">
        <v>5</v>
      </c>
      <c r="AO7877" s="19" t="s">
        <v>63</v>
      </c>
    </row>
    <row r="7878" spans="1:41" s="103" customFormat="1" ht="19.899999999999999" customHeight="1" x14ac:dyDescent="0.25">
      <c r="A7878" s="51"/>
      <c r="B7878" s="52"/>
      <c r="C7878" s="165"/>
      <c r="D7878" s="52"/>
      <c r="E7878" s="115"/>
      <c r="F7878" s="58"/>
      <c r="G7878" s="58"/>
      <c r="H7878" s="58"/>
      <c r="I7878" s="55"/>
      <c r="J7878" s="113">
        <f>J7877</f>
        <v>15.74947499999999</v>
      </c>
      <c r="K7878" s="212">
        <f>K7877</f>
        <v>15.74947499999999</v>
      </c>
      <c r="L7878" s="58"/>
      <c r="M7878" s="58">
        <f>K7878-L7878</f>
        <v>15.74947499999999</v>
      </c>
      <c r="N7878" s="166"/>
      <c r="O7878" s="58"/>
      <c r="P7878" s="58"/>
      <c r="Q7878" s="58"/>
      <c r="R7878" s="58"/>
      <c r="S7878" s="58"/>
      <c r="T7878" s="220"/>
      <c r="U7878" s="88"/>
      <c r="V7878" s="56"/>
      <c r="W7878" s="57" t="s">
        <v>1109</v>
      </c>
      <c r="X7878" s="53"/>
      <c r="Y7878" s="91" t="s">
        <v>68</v>
      </c>
      <c r="Z7878" s="136">
        <f>AD7878/AC7878</f>
        <v>94.247821176470595</v>
      </c>
      <c r="AA7878" s="58"/>
      <c r="AB7878" s="53">
        <f>AD7878/AC7878</f>
        <v>94.247821176470595</v>
      </c>
      <c r="AC7878" s="53">
        <f>M7878+$AE$10</f>
        <v>15.74947499999999</v>
      </c>
      <c r="AD7878" s="54">
        <f>SUM(AD7879:AD7887)</f>
        <v>1484.3537034232932</v>
      </c>
      <c r="AE7878" s="184">
        <f>SUMIFS($AD$37:$AD$12971,$V$37:$V$12971,$V7878,$X$37:$X$12971,AE$13)</f>
        <v>0</v>
      </c>
      <c r="AF7878" s="185">
        <f>SUMIFS($AD$37:$AD$12971,$V$37:$V$12971,$V7878,$X$37:$X$12971,AF$13)</f>
        <v>0</v>
      </c>
      <c r="AG7878" s="185">
        <f>SUMIFS($AD$37:$AD$12971,$V$37:$V$12971,$V7878,$X$37:$X$12971,AG$13)</f>
        <v>0</v>
      </c>
      <c r="AH7878" s="187">
        <f>SUMIFS($AD$37:$AD$12971,$V$37:$V$12971,$V7878,$X$37:$X$12971,AH$13)</f>
        <v>0</v>
      </c>
      <c r="AI7878" s="161">
        <f t="shared" ref="AI7878" si="5497">SUM(AE7878:AH7878)</f>
        <v>0</v>
      </c>
      <c r="AK7878" s="172"/>
    </row>
    <row r="7879" spans="1:41" s="102" customFormat="1" ht="19.899999999999999" customHeight="1" x14ac:dyDescent="0.25">
      <c r="A7879" s="45"/>
      <c r="B7879" s="59"/>
      <c r="C7879" s="137"/>
      <c r="D7879" s="59"/>
      <c r="E7879" s="116"/>
      <c r="F7879" s="120"/>
      <c r="G7879" s="120"/>
      <c r="H7879" s="120"/>
      <c r="I7879" s="60"/>
      <c r="J7879" s="116"/>
      <c r="K7879" s="213"/>
      <c r="L7879" s="120"/>
      <c r="M7879" s="120"/>
      <c r="N7879" s="167"/>
      <c r="O7879" s="120"/>
      <c r="P7879" s="120"/>
      <c r="Q7879" s="120"/>
      <c r="R7879" s="120"/>
      <c r="S7879" s="120"/>
      <c r="T7879" s="221"/>
      <c r="U7879" s="89"/>
      <c r="V7879" s="61"/>
      <c r="W7879" s="92" t="s">
        <v>129</v>
      </c>
      <c r="X7879" s="93" t="s">
        <v>29</v>
      </c>
      <c r="Y7879" s="93" t="s">
        <v>93</v>
      </c>
      <c r="Z7879" s="134">
        <f>VLOOKUP(W7879,Sheet2!$B:$D,3,FALSE)</f>
        <v>56</v>
      </c>
      <c r="AA7879" s="93">
        <f>100/(2.4*3)</f>
        <v>13.888888888888891</v>
      </c>
      <c r="AB7879" s="93">
        <f t="shared" ref="AB7879" si="5498">AD7879/AC7878</f>
        <v>4.032</v>
      </c>
      <c r="AC7879" s="93">
        <f>AC7878/AA7879</f>
        <v>1.1339621999999991</v>
      </c>
      <c r="AD7879" s="94">
        <f t="shared" ref="AD7879:AD7880" si="5499">AC7879*Z7879</f>
        <v>63.501883199999952</v>
      </c>
      <c r="AE7879" s="190"/>
      <c r="AF7879" s="191"/>
      <c r="AG7879" s="191"/>
      <c r="AH7879" s="191"/>
      <c r="AI7879" s="186"/>
      <c r="AK7879" s="171"/>
    </row>
    <row r="7880" spans="1:41" s="102" customFormat="1" ht="19.899999999999999" customHeight="1" x14ac:dyDescent="0.25">
      <c r="A7880" s="45"/>
      <c r="B7880" s="59"/>
      <c r="C7880" s="137"/>
      <c r="D7880" s="59"/>
      <c r="E7880" s="116"/>
      <c r="F7880" s="120"/>
      <c r="G7880" s="120"/>
      <c r="H7880" s="120"/>
      <c r="I7880" s="60"/>
      <c r="J7880" s="116"/>
      <c r="K7880" s="213"/>
      <c r="L7880" s="120"/>
      <c r="M7880" s="120"/>
      <c r="N7880" s="167"/>
      <c r="O7880" s="120"/>
      <c r="P7880" s="120"/>
      <c r="Q7880" s="120"/>
      <c r="R7880" s="120"/>
      <c r="S7880" s="120"/>
      <c r="T7880" s="221"/>
      <c r="U7880" s="89"/>
      <c r="V7880" s="61"/>
      <c r="W7880" s="92" t="s">
        <v>65</v>
      </c>
      <c r="X7880" s="93" t="s">
        <v>30</v>
      </c>
      <c r="Y7880" s="93" t="s">
        <v>1011</v>
      </c>
      <c r="Z7880" s="134">
        <f>VLOOKUP(W7880,Sheet2!$B:$D,3,FALSE)</f>
        <v>1.76</v>
      </c>
      <c r="AA7880" s="93">
        <f>AA7879/14</f>
        <v>0.9920634920634922</v>
      </c>
      <c r="AB7880" s="93">
        <f>AD7880/AC7878</f>
        <v>1.7740799999999999</v>
      </c>
      <c r="AC7880" s="93">
        <f>AC7878/AA7880</f>
        <v>15.875470799999988</v>
      </c>
      <c r="AD7880" s="94">
        <f t="shared" si="5499"/>
        <v>27.940828607999979</v>
      </c>
      <c r="AE7880" s="190"/>
      <c r="AF7880" s="191"/>
      <c r="AG7880" s="191"/>
      <c r="AH7880" s="191"/>
      <c r="AI7880" s="186"/>
      <c r="AK7880" s="171"/>
    </row>
    <row r="7881" spans="1:41" s="102" customFormat="1" ht="19.899999999999999" customHeight="1" x14ac:dyDescent="0.25">
      <c r="A7881" s="45"/>
      <c r="B7881" s="59"/>
      <c r="C7881" s="137"/>
      <c r="D7881" s="59"/>
      <c r="E7881" s="116"/>
      <c r="F7881" s="120"/>
      <c r="G7881" s="120"/>
      <c r="H7881" s="120"/>
      <c r="I7881" s="60"/>
      <c r="J7881" s="116"/>
      <c r="K7881" s="213"/>
      <c r="L7881" s="120"/>
      <c r="M7881" s="120"/>
      <c r="N7881" s="167"/>
      <c r="O7881" s="120"/>
      <c r="P7881" s="120"/>
      <c r="Q7881" s="120"/>
      <c r="R7881" s="120"/>
      <c r="S7881" s="120"/>
      <c r="T7881" s="221"/>
      <c r="U7881" s="89"/>
      <c r="V7881" s="61"/>
      <c r="W7881" s="92" t="s">
        <v>161</v>
      </c>
      <c r="X7881" s="93" t="s">
        <v>29</v>
      </c>
      <c r="Y7881" s="93" t="s">
        <v>93</v>
      </c>
      <c r="Z7881" s="134">
        <f>VLOOKUP(W7881,Sheet2!$B:$D,3,FALSE)</f>
        <v>48</v>
      </c>
      <c r="AA7881" s="93">
        <f>(16*0.85*1.5)/(2.4*3)</f>
        <v>2.8333333333333335</v>
      </c>
      <c r="AB7881" s="93">
        <f>AD7881/AC7878</f>
        <v>16.941176470588236</v>
      </c>
      <c r="AC7881" s="93">
        <f>AC7878/AA7881</f>
        <v>5.5586382352941133</v>
      </c>
      <c r="AD7881" s="94">
        <f>AC7881*Z7881</f>
        <v>266.81463529411747</v>
      </c>
      <c r="AE7881" s="190"/>
      <c r="AF7881" s="191"/>
      <c r="AG7881" s="191"/>
      <c r="AH7881" s="191"/>
      <c r="AI7881" s="186"/>
      <c r="AK7881" s="171"/>
    </row>
    <row r="7882" spans="1:41" s="102" customFormat="1" ht="19.899999999999999" customHeight="1" x14ac:dyDescent="0.25">
      <c r="A7882" s="45"/>
      <c r="B7882" s="59"/>
      <c r="C7882" s="137"/>
      <c r="D7882" s="59"/>
      <c r="E7882" s="116"/>
      <c r="F7882" s="120"/>
      <c r="G7882" s="120"/>
      <c r="H7882" s="120"/>
      <c r="I7882" s="60"/>
      <c r="J7882" s="116"/>
      <c r="K7882" s="213"/>
      <c r="L7882" s="120"/>
      <c r="M7882" s="120"/>
      <c r="N7882" s="167"/>
      <c r="O7882" s="120"/>
      <c r="P7882" s="120"/>
      <c r="Q7882" s="120"/>
      <c r="R7882" s="120"/>
      <c r="S7882" s="120"/>
      <c r="T7882" s="221"/>
      <c r="U7882" s="89"/>
      <c r="V7882" s="61"/>
      <c r="W7882" s="92" t="s">
        <v>65</v>
      </c>
      <c r="X7882" s="93" t="s">
        <v>30</v>
      </c>
      <c r="Y7882" s="93" t="s">
        <v>1011</v>
      </c>
      <c r="Z7882" s="134">
        <f>VLOOKUP(W7882,Sheet2!$B:$D,3,FALSE)</f>
        <v>1.76</v>
      </c>
      <c r="AA7882" s="93">
        <f>AA7881/10</f>
        <v>0.28333333333333333</v>
      </c>
      <c r="AB7882" s="93">
        <f>AD7882/AC7878</f>
        <v>6.2117647058823531</v>
      </c>
      <c r="AC7882" s="93">
        <f>AC7878/AA7882</f>
        <v>55.586382352941143</v>
      </c>
      <c r="AD7882" s="94">
        <f>AC7882*Z7882</f>
        <v>97.832032941176408</v>
      </c>
      <c r="AE7882" s="190"/>
      <c r="AF7882" s="191"/>
      <c r="AG7882" s="191"/>
      <c r="AH7882" s="191"/>
      <c r="AI7882" s="186"/>
      <c r="AK7882" s="171"/>
    </row>
    <row r="7883" spans="1:41" s="102" customFormat="1" ht="19.899999999999999" customHeight="1" x14ac:dyDescent="0.25">
      <c r="A7883" s="45"/>
      <c r="B7883" s="59"/>
      <c r="C7883" s="137"/>
      <c r="D7883" s="59"/>
      <c r="E7883" s="116"/>
      <c r="F7883" s="120"/>
      <c r="G7883" s="120"/>
      <c r="H7883" s="120"/>
      <c r="I7883" s="60"/>
      <c r="J7883" s="116"/>
      <c r="K7883" s="213"/>
      <c r="L7883" s="120"/>
      <c r="M7883" s="120"/>
      <c r="N7883" s="167"/>
      <c r="O7883" s="120"/>
      <c r="P7883" s="120"/>
      <c r="Q7883" s="120"/>
      <c r="R7883" s="120"/>
      <c r="S7883" s="120"/>
      <c r="T7883" s="221"/>
      <c r="U7883" s="89"/>
      <c r="V7883" s="61"/>
      <c r="W7883" s="92" t="s">
        <v>1030</v>
      </c>
      <c r="X7883" s="93" t="s">
        <v>29</v>
      </c>
      <c r="Y7883" s="93" t="s">
        <v>93</v>
      </c>
      <c r="Z7883" s="134">
        <f>VLOOKUP(W7883,Sheet2!$B:$D,3,FALSE)</f>
        <v>23</v>
      </c>
      <c r="AA7883" s="93">
        <v>50</v>
      </c>
      <c r="AB7883" s="93">
        <f>AD7883/AC7878</f>
        <v>0.46000000000000008</v>
      </c>
      <c r="AC7883" s="93">
        <f>AC7878/AA7883</f>
        <v>0.31498949999999981</v>
      </c>
      <c r="AD7883" s="94">
        <f t="shared" ref="AD7883:AD7887" si="5500">AC7883*Z7883</f>
        <v>7.2447584999999961</v>
      </c>
      <c r="AE7883" s="190"/>
      <c r="AF7883" s="191"/>
      <c r="AG7883" s="191"/>
      <c r="AH7883" s="191"/>
      <c r="AI7883" s="186"/>
      <c r="AK7883" s="171"/>
    </row>
    <row r="7884" spans="1:41" s="102" customFormat="1" ht="19.899999999999999" customHeight="1" x14ac:dyDescent="0.25">
      <c r="A7884" s="45"/>
      <c r="B7884" s="59"/>
      <c r="C7884" s="137"/>
      <c r="D7884" s="59"/>
      <c r="E7884" s="116"/>
      <c r="F7884" s="120"/>
      <c r="G7884" s="120"/>
      <c r="H7884" s="120"/>
      <c r="I7884" s="60"/>
      <c r="J7884" s="116"/>
      <c r="K7884" s="213"/>
      <c r="L7884" s="120"/>
      <c r="M7884" s="120"/>
      <c r="N7884" s="167"/>
      <c r="O7884" s="120"/>
      <c r="P7884" s="120"/>
      <c r="Q7884" s="120"/>
      <c r="R7884" s="120"/>
      <c r="S7884" s="120"/>
      <c r="T7884" s="221"/>
      <c r="U7884" s="89"/>
      <c r="V7884" s="61"/>
      <c r="W7884" s="92" t="s">
        <v>65</v>
      </c>
      <c r="X7884" s="93" t="s">
        <v>30</v>
      </c>
      <c r="Y7884" s="93" t="s">
        <v>1011</v>
      </c>
      <c r="Z7884" s="134">
        <f>VLOOKUP(W7884,Sheet2!$B:$D,3,FALSE)</f>
        <v>1.76</v>
      </c>
      <c r="AA7884" s="93">
        <f>AA7883/3</f>
        <v>16.666666666666668</v>
      </c>
      <c r="AB7884" s="93">
        <f>AD7884/AC7878</f>
        <v>0.10559999999999999</v>
      </c>
      <c r="AC7884" s="93">
        <f>AC7878/AA7884</f>
        <v>0.94496849999999932</v>
      </c>
      <c r="AD7884" s="94">
        <f t="shared" si="5500"/>
        <v>1.6631445599999988</v>
      </c>
      <c r="AE7884" s="190"/>
      <c r="AF7884" s="191"/>
      <c r="AG7884" s="191"/>
      <c r="AH7884" s="191"/>
      <c r="AI7884" s="186"/>
      <c r="AK7884" s="171"/>
    </row>
    <row r="7885" spans="1:41" s="102" customFormat="1" ht="19.899999999999999" customHeight="1" x14ac:dyDescent="0.25">
      <c r="A7885" s="45"/>
      <c r="B7885" s="59"/>
      <c r="C7885" s="137"/>
      <c r="D7885" s="59"/>
      <c r="E7885" s="116"/>
      <c r="F7885" s="120"/>
      <c r="G7885" s="120"/>
      <c r="H7885" s="120"/>
      <c r="I7885" s="60"/>
      <c r="J7885" s="116"/>
      <c r="K7885" s="213"/>
      <c r="L7885" s="120"/>
      <c r="M7885" s="120"/>
      <c r="N7885" s="167"/>
      <c r="O7885" s="120"/>
      <c r="P7885" s="120"/>
      <c r="Q7885" s="120"/>
      <c r="R7885" s="120"/>
      <c r="S7885" s="120"/>
      <c r="T7885" s="221"/>
      <c r="U7885" s="89"/>
      <c r="V7885" s="61"/>
      <c r="W7885" s="92" t="s">
        <v>148</v>
      </c>
      <c r="X7885" s="93" t="s">
        <v>29</v>
      </c>
      <c r="Y7885" s="93" t="s">
        <v>93</v>
      </c>
      <c r="Z7885" s="134">
        <f>VLOOKUP(W7885,Sheet2!$B:$D,3,FALSE)</f>
        <v>48</v>
      </c>
      <c r="AA7885" s="93">
        <f>AA7879</f>
        <v>13.888888888888891</v>
      </c>
      <c r="AB7885" s="93">
        <f>AD7885/AC7878</f>
        <v>3.4559999999999995</v>
      </c>
      <c r="AC7885" s="93">
        <f>AC7878/AA7885</f>
        <v>1.1339621999999991</v>
      </c>
      <c r="AD7885" s="94">
        <f t="shared" si="5500"/>
        <v>54.430185599999959</v>
      </c>
      <c r="AE7885" s="190"/>
      <c r="AF7885" s="191"/>
      <c r="AG7885" s="191"/>
      <c r="AH7885" s="191"/>
      <c r="AI7885" s="186"/>
      <c r="AK7885" s="171"/>
    </row>
    <row r="7886" spans="1:41" s="102" customFormat="1" ht="19.899999999999999" customHeight="1" x14ac:dyDescent="0.25">
      <c r="A7886" s="45"/>
      <c r="B7886" s="59"/>
      <c r="C7886" s="137"/>
      <c r="D7886" s="59"/>
      <c r="E7886" s="116"/>
      <c r="F7886" s="120"/>
      <c r="G7886" s="120"/>
      <c r="H7886" s="120"/>
      <c r="I7886" s="60"/>
      <c r="J7886" s="116"/>
      <c r="K7886" s="213"/>
      <c r="L7886" s="120"/>
      <c r="M7886" s="120"/>
      <c r="N7886" s="167"/>
      <c r="O7886" s="120"/>
      <c r="P7886" s="120"/>
      <c r="Q7886" s="120"/>
      <c r="R7886" s="120"/>
      <c r="S7886" s="120"/>
      <c r="T7886" s="221"/>
      <c r="U7886" s="89"/>
      <c r="V7886" s="61"/>
      <c r="W7886" s="92" t="s">
        <v>65</v>
      </c>
      <c r="X7886" s="93" t="s">
        <v>30</v>
      </c>
      <c r="Y7886" s="93" t="s">
        <v>1011</v>
      </c>
      <c r="Z7886" s="134">
        <f>VLOOKUP(W7886,Sheet2!$B:$D,3,FALSE)</f>
        <v>1.76</v>
      </c>
      <c r="AA7886" s="93">
        <f>AA7885/10</f>
        <v>1.3888888888888891</v>
      </c>
      <c r="AB7886" s="93">
        <f>AD7886/AC7878</f>
        <v>1.2671999999999999</v>
      </c>
      <c r="AC7886" s="93">
        <f>AC7878/AA7886</f>
        <v>11.339621999999991</v>
      </c>
      <c r="AD7886" s="94">
        <f t="shared" si="5500"/>
        <v>19.957734719999983</v>
      </c>
      <c r="AE7886" s="190"/>
      <c r="AF7886" s="191"/>
      <c r="AG7886" s="191"/>
      <c r="AH7886" s="191"/>
      <c r="AI7886" s="186"/>
      <c r="AK7886" s="171"/>
    </row>
    <row r="7887" spans="1:41" s="102" customFormat="1" ht="19.899999999999999" customHeight="1" x14ac:dyDescent="0.25">
      <c r="A7887" s="45"/>
      <c r="B7887" s="59"/>
      <c r="C7887" s="137"/>
      <c r="D7887" s="59"/>
      <c r="E7887" s="116"/>
      <c r="F7887" s="120"/>
      <c r="G7887" s="120"/>
      <c r="H7887" s="120"/>
      <c r="I7887" s="60"/>
      <c r="J7887" s="116"/>
      <c r="K7887" s="213"/>
      <c r="L7887" s="120"/>
      <c r="M7887" s="120"/>
      <c r="N7887" s="167"/>
      <c r="O7887" s="120"/>
      <c r="P7887" s="120"/>
      <c r="Q7887" s="120"/>
      <c r="R7887" s="120"/>
      <c r="S7887" s="120"/>
      <c r="T7887" s="221"/>
      <c r="U7887" s="89"/>
      <c r="V7887" s="61"/>
      <c r="W7887" s="92" t="s">
        <v>1049</v>
      </c>
      <c r="X7887" s="93" t="s">
        <v>30</v>
      </c>
      <c r="Y7887" s="93" t="s">
        <v>68</v>
      </c>
      <c r="Z7887" s="134">
        <f>VLOOKUP(W7887,Sheet2!$B:$D,3,FALSE)</f>
        <v>60</v>
      </c>
      <c r="AA7887" s="93">
        <v>1</v>
      </c>
      <c r="AB7887" s="93">
        <f>AD7887/AC7878</f>
        <v>60</v>
      </c>
      <c r="AC7887" s="93">
        <f>AC7878/AA7887</f>
        <v>15.74947499999999</v>
      </c>
      <c r="AD7887" s="94">
        <f t="shared" si="5500"/>
        <v>944.96849999999938</v>
      </c>
      <c r="AE7887" s="190"/>
      <c r="AF7887" s="191"/>
      <c r="AG7887" s="191"/>
      <c r="AH7887" s="191"/>
      <c r="AI7887" s="186"/>
      <c r="AK7887" s="171"/>
    </row>
    <row r="7888" spans="1:41" s="103" customFormat="1" ht="19.899999999999999" customHeight="1" x14ac:dyDescent="0.25">
      <c r="A7888" s="51"/>
      <c r="B7888" s="52"/>
      <c r="C7888" s="165"/>
      <c r="D7888" s="52"/>
      <c r="E7888" s="115"/>
      <c r="F7888" s="58"/>
      <c r="G7888" s="58"/>
      <c r="H7888" s="58"/>
      <c r="I7888" s="55"/>
      <c r="J7888" s="113">
        <f>J7877</f>
        <v>15.74947499999999</v>
      </c>
      <c r="K7888" s="212">
        <f>K7877</f>
        <v>15.74947499999999</v>
      </c>
      <c r="L7888" s="58"/>
      <c r="M7888" s="58">
        <f>K7888-L7888</f>
        <v>15.74947499999999</v>
      </c>
      <c r="N7888" s="166"/>
      <c r="O7888" s="58"/>
      <c r="P7888" s="58"/>
      <c r="Q7888" s="58"/>
      <c r="R7888" s="58"/>
      <c r="S7888" s="58"/>
      <c r="T7888" s="220"/>
      <c r="U7888" s="88"/>
      <c r="V7888" s="56"/>
      <c r="W7888" s="57" t="s">
        <v>1106</v>
      </c>
      <c r="X7888" s="53"/>
      <c r="Y7888" s="91" t="s">
        <v>68</v>
      </c>
      <c r="Z7888" s="136">
        <f>AD7888/AC7888</f>
        <v>2788.5500000000006</v>
      </c>
      <c r="AA7888" s="58"/>
      <c r="AB7888" s="53">
        <f>AD7888/AC7888</f>
        <v>2788.5500000000006</v>
      </c>
      <c r="AC7888" s="53">
        <f>M7888+$AE$10</f>
        <v>15.74947499999999</v>
      </c>
      <c r="AD7888" s="54">
        <f>SUM(AD7889:AD7892)</f>
        <v>43918.198511249982</v>
      </c>
      <c r="AE7888" s="184">
        <f>SUMIFS($AD$37:$AD$12971,$V$37:$V$12971,$V7888,$X$37:$X$12971,AE$13)</f>
        <v>0</v>
      </c>
      <c r="AF7888" s="185">
        <f>SUMIFS($AD$37:$AD$12971,$V$37:$V$12971,$V7888,$X$37:$X$12971,AF$13)</f>
        <v>0</v>
      </c>
      <c r="AG7888" s="185">
        <f>SUMIFS($AD$37:$AD$12971,$V$37:$V$12971,$V7888,$X$37:$X$12971,AG$13)</f>
        <v>0</v>
      </c>
      <c r="AH7888" s="187">
        <f>SUMIFS($AD$37:$AD$12971,$V$37:$V$12971,$V7888,$X$37:$X$12971,AH$13)</f>
        <v>0</v>
      </c>
      <c r="AI7888" s="161">
        <f t="shared" ref="AI7888" si="5501">SUM(AE7888:AH7888)</f>
        <v>0</v>
      </c>
      <c r="AK7888" s="172"/>
    </row>
    <row r="7889" spans="1:41" s="102" customFormat="1" ht="19.899999999999999" customHeight="1" x14ac:dyDescent="0.25">
      <c r="A7889" s="45"/>
      <c r="B7889" s="59"/>
      <c r="C7889" s="137"/>
      <c r="D7889" s="59"/>
      <c r="E7889" s="116"/>
      <c r="F7889" s="120"/>
      <c r="G7889" s="120"/>
      <c r="H7889" s="120"/>
      <c r="I7889" s="60"/>
      <c r="J7889" s="116"/>
      <c r="K7889" s="213"/>
      <c r="L7889" s="120"/>
      <c r="M7889" s="120"/>
      <c r="N7889" s="167"/>
      <c r="O7889" s="120"/>
      <c r="P7889" s="120"/>
      <c r="Q7889" s="120"/>
      <c r="R7889" s="120"/>
      <c r="S7889" s="120"/>
      <c r="T7889" s="221"/>
      <c r="U7889" s="89"/>
      <c r="V7889" s="61"/>
      <c r="W7889" s="92" t="s">
        <v>1105</v>
      </c>
      <c r="X7889" s="93" t="s">
        <v>30</v>
      </c>
      <c r="Y7889" s="93" t="s">
        <v>66</v>
      </c>
      <c r="Z7889" s="134">
        <f>VLOOKUP(W7889,Sheet2!$B:$D,3,FALSE)</f>
        <v>2200</v>
      </c>
      <c r="AA7889" s="93">
        <f>1/((1.6*1.1)-(1*0.5))</f>
        <v>0.7936507936507935</v>
      </c>
      <c r="AB7889" s="93">
        <f>AD7889/AC7888</f>
        <v>2772.0000000000009</v>
      </c>
      <c r="AC7889" s="93">
        <f>AC7888/AA7889</f>
        <v>19.844338499999992</v>
      </c>
      <c r="AD7889" s="94">
        <f t="shared" ref="AD7889" si="5502">AC7889*Z7889</f>
        <v>43657.544699999984</v>
      </c>
      <c r="AE7889" s="190"/>
      <c r="AF7889" s="191"/>
      <c r="AG7889" s="191"/>
      <c r="AH7889" s="191"/>
      <c r="AI7889" s="186"/>
      <c r="AK7889" s="171"/>
    </row>
    <row r="7890" spans="1:41" s="102" customFormat="1" ht="19.899999999999999" customHeight="1" x14ac:dyDescent="0.25">
      <c r="A7890" s="45"/>
      <c r="B7890" s="59"/>
      <c r="C7890" s="137"/>
      <c r="D7890" s="59"/>
      <c r="E7890" s="116"/>
      <c r="F7890" s="120"/>
      <c r="G7890" s="120"/>
      <c r="H7890" s="120"/>
      <c r="I7890" s="60"/>
      <c r="J7890" s="116"/>
      <c r="K7890" s="213"/>
      <c r="L7890" s="120"/>
      <c r="M7890" s="120"/>
      <c r="N7890" s="167"/>
      <c r="O7890" s="120"/>
      <c r="P7890" s="120"/>
      <c r="Q7890" s="120"/>
      <c r="R7890" s="120"/>
      <c r="S7890" s="120"/>
      <c r="T7890" s="221"/>
      <c r="U7890" s="89"/>
      <c r="V7890" s="61"/>
      <c r="W7890" s="92" t="s">
        <v>174</v>
      </c>
      <c r="X7890" s="93" t="s">
        <v>29</v>
      </c>
      <c r="Y7890" s="93" t="s">
        <v>93</v>
      </c>
      <c r="Z7890" s="134">
        <f>VLOOKUP(W7890,Sheet2!$B:$D,3,FALSE)</f>
        <v>80</v>
      </c>
      <c r="AA7890" s="93">
        <f>4*2</f>
        <v>8</v>
      </c>
      <c r="AB7890" s="93">
        <f>AD7890/AC7888</f>
        <v>10</v>
      </c>
      <c r="AC7890" s="93">
        <f>AC7888/AA7890</f>
        <v>1.9686843749999987</v>
      </c>
      <c r="AD7890" s="94">
        <f>AC7890*Z7890</f>
        <v>157.4947499999999</v>
      </c>
      <c r="AE7890" s="190"/>
      <c r="AF7890" s="191"/>
      <c r="AG7890" s="191"/>
      <c r="AH7890" s="191"/>
      <c r="AI7890" s="186"/>
      <c r="AK7890" s="171"/>
    </row>
    <row r="7891" spans="1:41" s="102" customFormat="1" ht="19.899999999999999" customHeight="1" x14ac:dyDescent="0.25">
      <c r="A7891" s="45"/>
      <c r="B7891" s="59"/>
      <c r="C7891" s="137"/>
      <c r="D7891" s="59"/>
      <c r="E7891" s="116"/>
      <c r="F7891" s="120"/>
      <c r="G7891" s="120"/>
      <c r="H7891" s="120"/>
      <c r="I7891" s="60"/>
      <c r="J7891" s="116"/>
      <c r="K7891" s="213"/>
      <c r="L7891" s="120"/>
      <c r="M7891" s="120"/>
      <c r="N7891" s="167"/>
      <c r="O7891" s="120"/>
      <c r="P7891" s="120"/>
      <c r="Q7891" s="120"/>
      <c r="R7891" s="120"/>
      <c r="S7891" s="120"/>
      <c r="T7891" s="221"/>
      <c r="U7891" s="89"/>
      <c r="V7891" s="61"/>
      <c r="W7891" s="92" t="s">
        <v>65</v>
      </c>
      <c r="X7891" s="93" t="s">
        <v>30</v>
      </c>
      <c r="Y7891" s="93" t="s">
        <v>1011</v>
      </c>
      <c r="Z7891" s="134">
        <f>VLOOKUP(W7891,Sheet2!$B:$D,3,FALSE)</f>
        <v>1.76</v>
      </c>
      <c r="AA7891" s="93">
        <f>AA7890/15</f>
        <v>0.53333333333333333</v>
      </c>
      <c r="AB7891" s="93">
        <f>AD7891/AC7888</f>
        <v>3.3</v>
      </c>
      <c r="AC7891" s="93">
        <f>AC7888/AA7891</f>
        <v>29.530265624999981</v>
      </c>
      <c r="AD7891" s="94">
        <f t="shared" ref="AD7891" si="5503">AC7891*Z7891</f>
        <v>51.973267499999963</v>
      </c>
      <c r="AE7891" s="190"/>
      <c r="AF7891" s="191"/>
      <c r="AG7891" s="191"/>
      <c r="AH7891" s="191"/>
      <c r="AI7891" s="186"/>
      <c r="AK7891" s="171"/>
    </row>
    <row r="7892" spans="1:41" s="102" customFormat="1" ht="19.899999999999999" customHeight="1" x14ac:dyDescent="0.25">
      <c r="A7892" s="45"/>
      <c r="B7892" s="59"/>
      <c r="C7892" s="137"/>
      <c r="D7892" s="59"/>
      <c r="E7892" s="116"/>
      <c r="F7892" s="120"/>
      <c r="G7892" s="120"/>
      <c r="H7892" s="120"/>
      <c r="I7892" s="60"/>
      <c r="J7892" s="116"/>
      <c r="K7892" s="213"/>
      <c r="L7892" s="120"/>
      <c r="M7892" s="120"/>
      <c r="N7892" s="167"/>
      <c r="O7892" s="120"/>
      <c r="P7892" s="120"/>
      <c r="Q7892" s="120"/>
      <c r="R7892" s="120"/>
      <c r="S7892" s="120"/>
      <c r="T7892" s="221"/>
      <c r="U7892" s="89"/>
      <c r="V7892" s="61"/>
      <c r="W7892" s="92" t="s">
        <v>112</v>
      </c>
      <c r="X7892" s="93" t="s">
        <v>31</v>
      </c>
      <c r="Y7892" s="93" t="s">
        <v>93</v>
      </c>
      <c r="Z7892" s="134">
        <f>VLOOKUP(W7892,Sheet2!$B:$D,3,FALSE)</f>
        <v>13</v>
      </c>
      <c r="AA7892" s="93">
        <f>AA7890/2</f>
        <v>4</v>
      </c>
      <c r="AB7892" s="93">
        <f>AD7892/AC7888</f>
        <v>3.25</v>
      </c>
      <c r="AC7892" s="93">
        <f>AC7888/AA7892</f>
        <v>3.9373687499999974</v>
      </c>
      <c r="AD7892" s="94">
        <f>AC7892*Z7892</f>
        <v>51.185793749999966</v>
      </c>
      <c r="AE7892" s="190"/>
      <c r="AF7892" s="191"/>
      <c r="AG7892" s="191"/>
      <c r="AH7892" s="191"/>
      <c r="AI7892" s="186"/>
      <c r="AK7892" s="171"/>
    </row>
    <row r="7893" spans="1:41" ht="20.100000000000001" customHeight="1" x14ac:dyDescent="0.25">
      <c r="A7893" s="277" t="s">
        <v>703</v>
      </c>
      <c r="B7893" s="278"/>
      <c r="C7893" s="64" t="s">
        <v>768</v>
      </c>
      <c r="D7893" s="46" t="s">
        <v>97</v>
      </c>
      <c r="E7893" s="114">
        <v>10.739999999999981</v>
      </c>
      <c r="F7893" s="44">
        <v>3524</v>
      </c>
      <c r="G7893" s="44">
        <f t="shared" si="4575"/>
        <v>37847.759999999929</v>
      </c>
      <c r="H7893" s="44">
        <f t="shared" si="4576"/>
        <v>2888.411524705883</v>
      </c>
      <c r="I7893" s="43">
        <f t="shared" si="4577"/>
        <v>31021.539775341127</v>
      </c>
      <c r="J7893" s="112">
        <f t="shared" si="4578"/>
        <v>10.739999999999981</v>
      </c>
      <c r="K7893" s="211">
        <f t="shared" si="4579"/>
        <v>10.739999999999981</v>
      </c>
      <c r="L7893" s="44"/>
      <c r="M7893" s="44">
        <f t="shared" si="4580"/>
        <v>10.739999999999981</v>
      </c>
      <c r="N7893" s="173">
        <f t="shared" si="4581"/>
        <v>1</v>
      </c>
      <c r="O7893" s="44">
        <f t="shared" si="4582"/>
        <v>3524</v>
      </c>
      <c r="P7893" s="44">
        <f t="shared" si="4583"/>
        <v>37847.759999999929</v>
      </c>
      <c r="Q7893" s="44">
        <f t="shared" si="4584"/>
        <v>2888.411524705883</v>
      </c>
      <c r="R7893" s="44">
        <f t="shared" si="4585"/>
        <v>31021.539775341127</v>
      </c>
      <c r="S7893" s="123"/>
      <c r="T7893" s="219">
        <f t="shared" si="4586"/>
        <v>31021.539775341127</v>
      </c>
      <c r="U7893" s="87"/>
      <c r="V7893" s="47"/>
      <c r="W7893" s="48"/>
      <c r="X7893" s="48"/>
      <c r="Y7893" s="48"/>
      <c r="Z7893" s="135"/>
      <c r="AA7893" s="49"/>
      <c r="AB7893" s="50">
        <f t="shared" si="4587"/>
        <v>2888.411524705883</v>
      </c>
      <c r="AC7893" s="42">
        <f t="shared" si="4588"/>
        <v>10.739999999999981</v>
      </c>
      <c r="AD7893" s="90">
        <f>AD7894+AD7904</f>
        <v>31021.539775341127</v>
      </c>
      <c r="AE7893" s="188">
        <f t="shared" ref="AE7893:AH7893" si="5504">AE7894+AE7904</f>
        <v>0</v>
      </c>
      <c r="AF7893" s="189">
        <f t="shared" si="5504"/>
        <v>0</v>
      </c>
      <c r="AG7893" s="189">
        <f t="shared" si="5504"/>
        <v>0</v>
      </c>
      <c r="AH7893" s="189">
        <f t="shared" si="5504"/>
        <v>0</v>
      </c>
      <c r="AI7893" s="161">
        <f t="shared" ref="AI7893" si="5505">SUM(AE7893:AH7893)</f>
        <v>0</v>
      </c>
      <c r="AK7893" s="169">
        <v>5</v>
      </c>
      <c r="AO7893" s="19" t="s">
        <v>63</v>
      </c>
    </row>
    <row r="7894" spans="1:41" s="103" customFormat="1" ht="19.899999999999999" customHeight="1" x14ac:dyDescent="0.25">
      <c r="A7894" s="51"/>
      <c r="B7894" s="52"/>
      <c r="C7894" s="165"/>
      <c r="D7894" s="52"/>
      <c r="E7894" s="115"/>
      <c r="F7894" s="58"/>
      <c r="G7894" s="58"/>
      <c r="H7894" s="58"/>
      <c r="I7894" s="55"/>
      <c r="J7894" s="113">
        <f>J7893</f>
        <v>10.739999999999981</v>
      </c>
      <c r="K7894" s="212">
        <f>K7893</f>
        <v>10.739999999999981</v>
      </c>
      <c r="L7894" s="58"/>
      <c r="M7894" s="58">
        <f>K7894-L7894</f>
        <v>10.739999999999981</v>
      </c>
      <c r="N7894" s="166"/>
      <c r="O7894" s="58"/>
      <c r="P7894" s="58"/>
      <c r="Q7894" s="58"/>
      <c r="R7894" s="58"/>
      <c r="S7894" s="58"/>
      <c r="T7894" s="220"/>
      <c r="U7894" s="88"/>
      <c r="V7894" s="56"/>
      <c r="W7894" s="57" t="s">
        <v>1108</v>
      </c>
      <c r="X7894" s="53"/>
      <c r="Y7894" s="91" t="s">
        <v>68</v>
      </c>
      <c r="Z7894" s="136">
        <f>AD7894/AC7894</f>
        <v>99.86152470588236</v>
      </c>
      <c r="AA7894" s="58"/>
      <c r="AB7894" s="53">
        <f>AD7894/AC7894</f>
        <v>99.86152470588236</v>
      </c>
      <c r="AC7894" s="53">
        <f>M7894+$AE$10</f>
        <v>10.739999999999981</v>
      </c>
      <c r="AD7894" s="54">
        <f>SUM(AD7895:AD7903)</f>
        <v>1072.5127753411746</v>
      </c>
      <c r="AE7894" s="184">
        <f>SUMIFS($AD$37:$AD$12971,$V$37:$V$12971,$V7894,$X$37:$X$12971,AE$13)</f>
        <v>0</v>
      </c>
      <c r="AF7894" s="185">
        <f>SUMIFS($AD$37:$AD$12971,$V$37:$V$12971,$V7894,$X$37:$X$12971,AF$13)</f>
        <v>0</v>
      </c>
      <c r="AG7894" s="185">
        <f>SUMIFS($AD$37:$AD$12971,$V$37:$V$12971,$V7894,$X$37:$X$12971,AG$13)</f>
        <v>0</v>
      </c>
      <c r="AH7894" s="187">
        <f>SUMIFS($AD$37:$AD$12971,$V$37:$V$12971,$V7894,$X$37:$X$12971,AH$13)</f>
        <v>0</v>
      </c>
      <c r="AI7894" s="161">
        <f t="shared" ref="AI7894" si="5506">SUM(AE7894:AH7894)</f>
        <v>0</v>
      </c>
      <c r="AK7894" s="172"/>
    </row>
    <row r="7895" spans="1:41" s="102" customFormat="1" ht="19.899999999999999" customHeight="1" x14ac:dyDescent="0.25">
      <c r="A7895" s="45"/>
      <c r="B7895" s="59"/>
      <c r="C7895" s="137"/>
      <c r="D7895" s="59"/>
      <c r="E7895" s="116"/>
      <c r="F7895" s="120"/>
      <c r="G7895" s="120"/>
      <c r="H7895" s="120"/>
      <c r="I7895" s="60"/>
      <c r="J7895" s="116"/>
      <c r="K7895" s="213"/>
      <c r="L7895" s="120"/>
      <c r="M7895" s="120"/>
      <c r="N7895" s="167"/>
      <c r="O7895" s="120"/>
      <c r="P7895" s="120"/>
      <c r="Q7895" s="120"/>
      <c r="R7895" s="120"/>
      <c r="S7895" s="120"/>
      <c r="T7895" s="221"/>
      <c r="U7895" s="89"/>
      <c r="V7895" s="61"/>
      <c r="W7895" s="92" t="s">
        <v>129</v>
      </c>
      <c r="X7895" s="93" t="s">
        <v>29</v>
      </c>
      <c r="Y7895" s="93" t="s">
        <v>93</v>
      </c>
      <c r="Z7895" s="134">
        <f>VLOOKUP(W7895,Sheet2!$B:$D,3,FALSE)</f>
        <v>56</v>
      </c>
      <c r="AA7895" s="93">
        <f>100/(2.4*3.5)</f>
        <v>11.904761904761905</v>
      </c>
      <c r="AB7895" s="93">
        <f t="shared" ref="AB7895" si="5507">AD7895/AC7894</f>
        <v>4.7039999999999997</v>
      </c>
      <c r="AC7895" s="93">
        <f>AC7894/AA7895</f>
        <v>0.9021599999999983</v>
      </c>
      <c r="AD7895" s="94">
        <f t="shared" ref="AD7895:AD7896" si="5508">AC7895*Z7895</f>
        <v>50.520959999999903</v>
      </c>
      <c r="AE7895" s="190"/>
      <c r="AF7895" s="191"/>
      <c r="AG7895" s="191"/>
      <c r="AH7895" s="191"/>
      <c r="AI7895" s="186"/>
      <c r="AK7895" s="171"/>
    </row>
    <row r="7896" spans="1:41" s="102" customFormat="1" ht="19.899999999999999" customHeight="1" x14ac:dyDescent="0.25">
      <c r="A7896" s="45"/>
      <c r="B7896" s="59"/>
      <c r="C7896" s="137"/>
      <c r="D7896" s="59"/>
      <c r="E7896" s="116"/>
      <c r="F7896" s="120"/>
      <c r="G7896" s="120"/>
      <c r="H7896" s="120"/>
      <c r="I7896" s="60"/>
      <c r="J7896" s="116"/>
      <c r="K7896" s="213"/>
      <c r="L7896" s="120"/>
      <c r="M7896" s="120"/>
      <c r="N7896" s="167"/>
      <c r="O7896" s="120"/>
      <c r="P7896" s="120"/>
      <c r="Q7896" s="120"/>
      <c r="R7896" s="120"/>
      <c r="S7896" s="120"/>
      <c r="T7896" s="221"/>
      <c r="U7896" s="89"/>
      <c r="V7896" s="61"/>
      <c r="W7896" s="92" t="s">
        <v>65</v>
      </c>
      <c r="X7896" s="93" t="s">
        <v>30</v>
      </c>
      <c r="Y7896" s="93" t="s">
        <v>1011</v>
      </c>
      <c r="Z7896" s="134">
        <f>VLOOKUP(W7896,Sheet2!$B:$D,3,FALSE)</f>
        <v>1.76</v>
      </c>
      <c r="AA7896" s="93">
        <f>AA7895/14</f>
        <v>0.85034013605442182</v>
      </c>
      <c r="AB7896" s="93">
        <f>AD7896/AC7894</f>
        <v>2.06976</v>
      </c>
      <c r="AC7896" s="93">
        <f>AC7894/AA7896</f>
        <v>12.630239999999976</v>
      </c>
      <c r="AD7896" s="94">
        <f t="shared" si="5508"/>
        <v>22.229222399999959</v>
      </c>
      <c r="AE7896" s="190"/>
      <c r="AF7896" s="191"/>
      <c r="AG7896" s="191"/>
      <c r="AH7896" s="191"/>
      <c r="AI7896" s="186"/>
      <c r="AK7896" s="171"/>
    </row>
    <row r="7897" spans="1:41" s="102" customFormat="1" ht="19.899999999999999" customHeight="1" x14ac:dyDescent="0.25">
      <c r="A7897" s="45"/>
      <c r="B7897" s="59"/>
      <c r="C7897" s="137"/>
      <c r="D7897" s="59"/>
      <c r="E7897" s="116"/>
      <c r="F7897" s="120"/>
      <c r="G7897" s="120"/>
      <c r="H7897" s="120"/>
      <c r="I7897" s="60"/>
      <c r="J7897" s="116"/>
      <c r="K7897" s="213"/>
      <c r="L7897" s="120"/>
      <c r="M7897" s="120"/>
      <c r="N7897" s="167"/>
      <c r="O7897" s="120"/>
      <c r="P7897" s="120"/>
      <c r="Q7897" s="120"/>
      <c r="R7897" s="120"/>
      <c r="S7897" s="120"/>
      <c r="T7897" s="221"/>
      <c r="U7897" s="89"/>
      <c r="V7897" s="61"/>
      <c r="W7897" s="92" t="s">
        <v>161</v>
      </c>
      <c r="X7897" s="93" t="s">
        <v>29</v>
      </c>
      <c r="Y7897" s="93" t="s">
        <v>93</v>
      </c>
      <c r="Z7897" s="134">
        <f>VLOOKUP(W7897,Sheet2!$B:$D,3,FALSE)</f>
        <v>48</v>
      </c>
      <c r="AA7897" s="93">
        <f>(16*0.85*1.5)/(2.4*3.5)</f>
        <v>2.4285714285714284</v>
      </c>
      <c r="AB7897" s="93">
        <f>AD7897/AC7894</f>
        <v>19.764705882352942</v>
      </c>
      <c r="AC7897" s="93">
        <f>AC7894/AA7897</f>
        <v>4.422352941176463</v>
      </c>
      <c r="AD7897" s="94">
        <f>AC7897*Z7897</f>
        <v>212.27294117647023</v>
      </c>
      <c r="AE7897" s="190"/>
      <c r="AF7897" s="191"/>
      <c r="AG7897" s="191"/>
      <c r="AH7897" s="191"/>
      <c r="AI7897" s="186"/>
      <c r="AK7897" s="171"/>
    </row>
    <row r="7898" spans="1:41" s="102" customFormat="1" ht="19.899999999999999" customHeight="1" x14ac:dyDescent="0.25">
      <c r="A7898" s="45"/>
      <c r="B7898" s="59"/>
      <c r="C7898" s="137"/>
      <c r="D7898" s="59"/>
      <c r="E7898" s="116"/>
      <c r="F7898" s="120"/>
      <c r="G7898" s="120"/>
      <c r="H7898" s="120"/>
      <c r="I7898" s="60"/>
      <c r="J7898" s="116"/>
      <c r="K7898" s="213"/>
      <c r="L7898" s="120"/>
      <c r="M7898" s="120"/>
      <c r="N7898" s="167"/>
      <c r="O7898" s="120"/>
      <c r="P7898" s="120"/>
      <c r="Q7898" s="120"/>
      <c r="R7898" s="120"/>
      <c r="S7898" s="120"/>
      <c r="T7898" s="221"/>
      <c r="U7898" s="89"/>
      <c r="V7898" s="61"/>
      <c r="W7898" s="92" t="s">
        <v>65</v>
      </c>
      <c r="X7898" s="93" t="s">
        <v>30</v>
      </c>
      <c r="Y7898" s="93" t="s">
        <v>1011</v>
      </c>
      <c r="Z7898" s="134">
        <f>VLOOKUP(W7898,Sheet2!$B:$D,3,FALSE)</f>
        <v>1.76</v>
      </c>
      <c r="AA7898" s="93">
        <f>AA7897/10</f>
        <v>0.24285714285714283</v>
      </c>
      <c r="AB7898" s="93">
        <f>AD7898/AC7894</f>
        <v>7.2470588235294118</v>
      </c>
      <c r="AC7898" s="93">
        <f>AC7894/AA7898</f>
        <v>44.22352941176463</v>
      </c>
      <c r="AD7898" s="94">
        <f>AC7898*Z7898</f>
        <v>77.833411764705744</v>
      </c>
      <c r="AE7898" s="190"/>
      <c r="AF7898" s="191"/>
      <c r="AG7898" s="191"/>
      <c r="AH7898" s="191"/>
      <c r="AI7898" s="186"/>
      <c r="AK7898" s="171"/>
    </row>
    <row r="7899" spans="1:41" s="102" customFormat="1" ht="19.899999999999999" customHeight="1" x14ac:dyDescent="0.25">
      <c r="A7899" s="45"/>
      <c r="B7899" s="59"/>
      <c r="C7899" s="137"/>
      <c r="D7899" s="59"/>
      <c r="E7899" s="116"/>
      <c r="F7899" s="120"/>
      <c r="G7899" s="120"/>
      <c r="H7899" s="120"/>
      <c r="I7899" s="60"/>
      <c r="J7899" s="116"/>
      <c r="K7899" s="213"/>
      <c r="L7899" s="120"/>
      <c r="M7899" s="120"/>
      <c r="N7899" s="167"/>
      <c r="O7899" s="120"/>
      <c r="P7899" s="120"/>
      <c r="Q7899" s="120"/>
      <c r="R7899" s="120"/>
      <c r="S7899" s="120"/>
      <c r="T7899" s="221"/>
      <c r="U7899" s="89"/>
      <c r="V7899" s="61"/>
      <c r="W7899" s="92" t="s">
        <v>1030</v>
      </c>
      <c r="X7899" s="93" t="s">
        <v>29</v>
      </c>
      <c r="Y7899" s="93" t="s">
        <v>93</v>
      </c>
      <c r="Z7899" s="134">
        <f>VLOOKUP(W7899,Sheet2!$B:$D,3,FALSE)</f>
        <v>23</v>
      </c>
      <c r="AA7899" s="93">
        <v>50</v>
      </c>
      <c r="AB7899" s="93">
        <f>AD7899/AC7894</f>
        <v>0.45999999999999996</v>
      </c>
      <c r="AC7899" s="93">
        <f>AC7894/AA7899</f>
        <v>0.2147999999999996</v>
      </c>
      <c r="AD7899" s="94">
        <f t="shared" ref="AD7899:AD7903" si="5509">AC7899*Z7899</f>
        <v>4.9403999999999906</v>
      </c>
      <c r="AE7899" s="190"/>
      <c r="AF7899" s="191"/>
      <c r="AG7899" s="191"/>
      <c r="AH7899" s="191"/>
      <c r="AI7899" s="186"/>
      <c r="AK7899" s="171"/>
    </row>
    <row r="7900" spans="1:41" s="102" customFormat="1" ht="19.899999999999999" customHeight="1" x14ac:dyDescent="0.25">
      <c r="A7900" s="45"/>
      <c r="B7900" s="59"/>
      <c r="C7900" s="137"/>
      <c r="D7900" s="59"/>
      <c r="E7900" s="116"/>
      <c r="F7900" s="120"/>
      <c r="G7900" s="120"/>
      <c r="H7900" s="120"/>
      <c r="I7900" s="60"/>
      <c r="J7900" s="116"/>
      <c r="K7900" s="213"/>
      <c r="L7900" s="120"/>
      <c r="M7900" s="120"/>
      <c r="N7900" s="167"/>
      <c r="O7900" s="120"/>
      <c r="P7900" s="120"/>
      <c r="Q7900" s="120"/>
      <c r="R7900" s="120"/>
      <c r="S7900" s="120"/>
      <c r="T7900" s="221"/>
      <c r="U7900" s="89"/>
      <c r="V7900" s="61"/>
      <c r="W7900" s="92" t="s">
        <v>65</v>
      </c>
      <c r="X7900" s="93" t="s">
        <v>30</v>
      </c>
      <c r="Y7900" s="93" t="s">
        <v>1011</v>
      </c>
      <c r="Z7900" s="134">
        <f>VLOOKUP(W7900,Sheet2!$B:$D,3,FALSE)</f>
        <v>1.76</v>
      </c>
      <c r="AA7900" s="93">
        <f>AA7899/3</f>
        <v>16.666666666666668</v>
      </c>
      <c r="AB7900" s="93">
        <f>AD7900/AC7894</f>
        <v>0.10559999999999999</v>
      </c>
      <c r="AC7900" s="93">
        <f>AC7894/AA7900</f>
        <v>0.64439999999999875</v>
      </c>
      <c r="AD7900" s="94">
        <f t="shared" si="5509"/>
        <v>1.1341439999999978</v>
      </c>
      <c r="AE7900" s="190"/>
      <c r="AF7900" s="191"/>
      <c r="AG7900" s="191"/>
      <c r="AH7900" s="191"/>
      <c r="AI7900" s="186"/>
      <c r="AK7900" s="171"/>
    </row>
    <row r="7901" spans="1:41" s="102" customFormat="1" ht="19.899999999999999" customHeight="1" x14ac:dyDescent="0.25">
      <c r="A7901" s="45"/>
      <c r="B7901" s="59"/>
      <c r="C7901" s="137"/>
      <c r="D7901" s="59"/>
      <c r="E7901" s="116"/>
      <c r="F7901" s="120"/>
      <c r="G7901" s="120"/>
      <c r="H7901" s="120"/>
      <c r="I7901" s="60"/>
      <c r="J7901" s="116"/>
      <c r="K7901" s="213"/>
      <c r="L7901" s="120"/>
      <c r="M7901" s="120"/>
      <c r="N7901" s="167"/>
      <c r="O7901" s="120"/>
      <c r="P7901" s="120"/>
      <c r="Q7901" s="120"/>
      <c r="R7901" s="120"/>
      <c r="S7901" s="120"/>
      <c r="T7901" s="221"/>
      <c r="U7901" s="89"/>
      <c r="V7901" s="61"/>
      <c r="W7901" s="92" t="s">
        <v>148</v>
      </c>
      <c r="X7901" s="93" t="s">
        <v>29</v>
      </c>
      <c r="Y7901" s="93" t="s">
        <v>93</v>
      </c>
      <c r="Z7901" s="134">
        <f>VLOOKUP(W7901,Sheet2!$B:$D,3,FALSE)</f>
        <v>48</v>
      </c>
      <c r="AA7901" s="93">
        <f>AA7895</f>
        <v>11.904761904761905</v>
      </c>
      <c r="AB7901" s="93">
        <f>AD7901/AC7894</f>
        <v>4.0319999999999991</v>
      </c>
      <c r="AC7901" s="93">
        <f>AC7894/AA7901</f>
        <v>0.9021599999999983</v>
      </c>
      <c r="AD7901" s="94">
        <f t="shared" si="5509"/>
        <v>43.303679999999915</v>
      </c>
      <c r="AE7901" s="190"/>
      <c r="AF7901" s="191"/>
      <c r="AG7901" s="191"/>
      <c r="AH7901" s="191"/>
      <c r="AI7901" s="186"/>
      <c r="AK7901" s="171"/>
    </row>
    <row r="7902" spans="1:41" s="102" customFormat="1" ht="19.899999999999999" customHeight="1" x14ac:dyDescent="0.25">
      <c r="A7902" s="45"/>
      <c r="B7902" s="59"/>
      <c r="C7902" s="137"/>
      <c r="D7902" s="59"/>
      <c r="E7902" s="116"/>
      <c r="F7902" s="120"/>
      <c r="G7902" s="120"/>
      <c r="H7902" s="120"/>
      <c r="I7902" s="60"/>
      <c r="J7902" s="116"/>
      <c r="K7902" s="213"/>
      <c r="L7902" s="120"/>
      <c r="M7902" s="120"/>
      <c r="N7902" s="167"/>
      <c r="O7902" s="120"/>
      <c r="P7902" s="120"/>
      <c r="Q7902" s="120"/>
      <c r="R7902" s="120"/>
      <c r="S7902" s="120"/>
      <c r="T7902" s="221"/>
      <c r="U7902" s="89"/>
      <c r="V7902" s="61"/>
      <c r="W7902" s="92" t="s">
        <v>65</v>
      </c>
      <c r="X7902" s="93" t="s">
        <v>30</v>
      </c>
      <c r="Y7902" s="93" t="s">
        <v>1011</v>
      </c>
      <c r="Z7902" s="134">
        <f>VLOOKUP(W7902,Sheet2!$B:$D,3,FALSE)</f>
        <v>1.76</v>
      </c>
      <c r="AA7902" s="93">
        <f>AA7901/10</f>
        <v>1.1904761904761905</v>
      </c>
      <c r="AB7902" s="93">
        <f>AD7902/AC7894</f>
        <v>1.4783999999999999</v>
      </c>
      <c r="AC7902" s="93">
        <f>AC7894/AA7902</f>
        <v>9.0215999999999834</v>
      </c>
      <c r="AD7902" s="94">
        <f t="shared" si="5509"/>
        <v>15.87801599999997</v>
      </c>
      <c r="AE7902" s="190"/>
      <c r="AF7902" s="191"/>
      <c r="AG7902" s="191"/>
      <c r="AH7902" s="191"/>
      <c r="AI7902" s="186"/>
      <c r="AK7902" s="171"/>
    </row>
    <row r="7903" spans="1:41" s="102" customFormat="1" ht="19.899999999999999" customHeight="1" x14ac:dyDescent="0.25">
      <c r="A7903" s="45"/>
      <c r="B7903" s="59"/>
      <c r="C7903" s="137"/>
      <c r="D7903" s="59"/>
      <c r="E7903" s="116"/>
      <c r="F7903" s="120"/>
      <c r="G7903" s="120"/>
      <c r="H7903" s="120"/>
      <c r="I7903" s="60"/>
      <c r="J7903" s="116"/>
      <c r="K7903" s="213"/>
      <c r="L7903" s="120"/>
      <c r="M7903" s="120"/>
      <c r="N7903" s="167"/>
      <c r="O7903" s="120"/>
      <c r="P7903" s="120"/>
      <c r="Q7903" s="120"/>
      <c r="R7903" s="120"/>
      <c r="S7903" s="120"/>
      <c r="T7903" s="221"/>
      <c r="U7903" s="89"/>
      <c r="V7903" s="61"/>
      <c r="W7903" s="92" t="s">
        <v>1049</v>
      </c>
      <c r="X7903" s="93" t="s">
        <v>30</v>
      </c>
      <c r="Y7903" s="93" t="s">
        <v>68</v>
      </c>
      <c r="Z7903" s="134">
        <f>VLOOKUP(W7903,Sheet2!$B:$D,3,FALSE)</f>
        <v>60</v>
      </c>
      <c r="AA7903" s="93">
        <v>1</v>
      </c>
      <c r="AB7903" s="93">
        <f>AD7903/AC7894</f>
        <v>60</v>
      </c>
      <c r="AC7903" s="93">
        <f>AC7894/AA7903</f>
        <v>10.739999999999981</v>
      </c>
      <c r="AD7903" s="94">
        <f t="shared" si="5509"/>
        <v>644.39999999999884</v>
      </c>
      <c r="AE7903" s="190"/>
      <c r="AF7903" s="191"/>
      <c r="AG7903" s="191"/>
      <c r="AH7903" s="191"/>
      <c r="AI7903" s="186"/>
      <c r="AK7903" s="171"/>
    </row>
    <row r="7904" spans="1:41" s="103" customFormat="1" ht="19.899999999999999" customHeight="1" x14ac:dyDescent="0.25">
      <c r="A7904" s="51"/>
      <c r="B7904" s="52"/>
      <c r="C7904" s="165"/>
      <c r="D7904" s="52"/>
      <c r="E7904" s="115"/>
      <c r="F7904" s="58"/>
      <c r="G7904" s="58"/>
      <c r="H7904" s="58"/>
      <c r="I7904" s="55"/>
      <c r="J7904" s="113">
        <f>J7893</f>
        <v>10.739999999999981</v>
      </c>
      <c r="K7904" s="212">
        <f>K7893</f>
        <v>10.739999999999981</v>
      </c>
      <c r="L7904" s="58"/>
      <c r="M7904" s="58">
        <f>K7904-L7904</f>
        <v>10.739999999999981</v>
      </c>
      <c r="N7904" s="166"/>
      <c r="O7904" s="58"/>
      <c r="P7904" s="58"/>
      <c r="Q7904" s="58"/>
      <c r="R7904" s="58"/>
      <c r="S7904" s="58"/>
      <c r="T7904" s="220"/>
      <c r="U7904" s="88"/>
      <c r="V7904" s="56"/>
      <c r="W7904" s="57" t="s">
        <v>1106</v>
      </c>
      <c r="X7904" s="53"/>
      <c r="Y7904" s="91" t="s">
        <v>68</v>
      </c>
      <c r="Z7904" s="136">
        <f>AD7904/AC7904</f>
        <v>2788.5500000000006</v>
      </c>
      <c r="AA7904" s="58"/>
      <c r="AB7904" s="53">
        <f>AD7904/AC7904</f>
        <v>2788.5500000000006</v>
      </c>
      <c r="AC7904" s="53">
        <f>M7904+$AE$10</f>
        <v>10.739999999999981</v>
      </c>
      <c r="AD7904" s="54">
        <f>SUM(AD7905:AD7908)</f>
        <v>29949.026999999951</v>
      </c>
      <c r="AE7904" s="184">
        <f>SUMIFS($AD$37:$AD$12971,$V$37:$V$12971,$V7904,$X$37:$X$12971,AE$13)</f>
        <v>0</v>
      </c>
      <c r="AF7904" s="185">
        <f>SUMIFS($AD$37:$AD$12971,$V$37:$V$12971,$V7904,$X$37:$X$12971,AF$13)</f>
        <v>0</v>
      </c>
      <c r="AG7904" s="185">
        <f>SUMIFS($AD$37:$AD$12971,$V$37:$V$12971,$V7904,$X$37:$X$12971,AG$13)</f>
        <v>0</v>
      </c>
      <c r="AH7904" s="187">
        <f>SUMIFS($AD$37:$AD$12971,$V$37:$V$12971,$V7904,$X$37:$X$12971,AH$13)</f>
        <v>0</v>
      </c>
      <c r="AI7904" s="161">
        <f t="shared" ref="AI7904" si="5510">SUM(AE7904:AH7904)</f>
        <v>0</v>
      </c>
      <c r="AK7904" s="172"/>
    </row>
    <row r="7905" spans="1:41" s="102" customFormat="1" ht="19.899999999999999" customHeight="1" x14ac:dyDescent="0.25">
      <c r="A7905" s="45"/>
      <c r="B7905" s="59"/>
      <c r="C7905" s="137"/>
      <c r="D7905" s="59"/>
      <c r="E7905" s="116"/>
      <c r="F7905" s="120"/>
      <c r="G7905" s="120"/>
      <c r="H7905" s="120"/>
      <c r="I7905" s="60"/>
      <c r="J7905" s="116"/>
      <c r="K7905" s="213"/>
      <c r="L7905" s="120"/>
      <c r="M7905" s="120"/>
      <c r="N7905" s="167"/>
      <c r="O7905" s="120"/>
      <c r="P7905" s="120"/>
      <c r="Q7905" s="120"/>
      <c r="R7905" s="120"/>
      <c r="S7905" s="120"/>
      <c r="T7905" s="221"/>
      <c r="U7905" s="89"/>
      <c r="V7905" s="61"/>
      <c r="W7905" s="92" t="s">
        <v>1105</v>
      </c>
      <c r="X7905" s="93" t="s">
        <v>30</v>
      </c>
      <c r="Y7905" s="93" t="s">
        <v>66</v>
      </c>
      <c r="Z7905" s="134">
        <f>VLOOKUP(W7905,Sheet2!$B:$D,3,FALSE)</f>
        <v>2200</v>
      </c>
      <c r="AA7905" s="93">
        <f>1/((1.6*1.1)-(1*0.5))</f>
        <v>0.7936507936507935</v>
      </c>
      <c r="AB7905" s="93">
        <f>AD7905/AC7904</f>
        <v>2772.0000000000005</v>
      </c>
      <c r="AC7905" s="93">
        <f>AC7904/AA7905</f>
        <v>13.532399999999978</v>
      </c>
      <c r="AD7905" s="94">
        <f t="shared" ref="AD7905" si="5511">AC7905*Z7905</f>
        <v>29771.279999999952</v>
      </c>
      <c r="AE7905" s="190"/>
      <c r="AF7905" s="191"/>
      <c r="AG7905" s="191"/>
      <c r="AH7905" s="191"/>
      <c r="AI7905" s="186"/>
      <c r="AK7905" s="171"/>
    </row>
    <row r="7906" spans="1:41" s="102" customFormat="1" ht="19.899999999999999" customHeight="1" x14ac:dyDescent="0.25">
      <c r="A7906" s="45"/>
      <c r="B7906" s="59"/>
      <c r="C7906" s="137"/>
      <c r="D7906" s="59"/>
      <c r="E7906" s="116"/>
      <c r="F7906" s="120"/>
      <c r="G7906" s="120"/>
      <c r="H7906" s="120"/>
      <c r="I7906" s="60"/>
      <c r="J7906" s="116"/>
      <c r="K7906" s="213"/>
      <c r="L7906" s="120"/>
      <c r="M7906" s="120"/>
      <c r="N7906" s="167"/>
      <c r="O7906" s="120"/>
      <c r="P7906" s="120"/>
      <c r="Q7906" s="120"/>
      <c r="R7906" s="120"/>
      <c r="S7906" s="120"/>
      <c r="T7906" s="221"/>
      <c r="U7906" s="89"/>
      <c r="V7906" s="61"/>
      <c r="W7906" s="92" t="s">
        <v>174</v>
      </c>
      <c r="X7906" s="93" t="s">
        <v>29</v>
      </c>
      <c r="Y7906" s="93" t="s">
        <v>93</v>
      </c>
      <c r="Z7906" s="134">
        <f>VLOOKUP(W7906,Sheet2!$B:$D,3,FALSE)</f>
        <v>80</v>
      </c>
      <c r="AA7906" s="93">
        <f>4*2</f>
        <v>8</v>
      </c>
      <c r="AB7906" s="93">
        <f>AD7906/AC7904</f>
        <v>10</v>
      </c>
      <c r="AC7906" s="93">
        <f>AC7904/AA7906</f>
        <v>1.3424999999999976</v>
      </c>
      <c r="AD7906" s="94">
        <f>AC7906*Z7906</f>
        <v>107.39999999999981</v>
      </c>
      <c r="AE7906" s="190"/>
      <c r="AF7906" s="191"/>
      <c r="AG7906" s="191"/>
      <c r="AH7906" s="191"/>
      <c r="AI7906" s="186"/>
      <c r="AK7906" s="171"/>
    </row>
    <row r="7907" spans="1:41" s="102" customFormat="1" ht="19.899999999999999" customHeight="1" x14ac:dyDescent="0.25">
      <c r="A7907" s="45"/>
      <c r="B7907" s="59"/>
      <c r="C7907" s="137"/>
      <c r="D7907" s="59"/>
      <c r="E7907" s="116"/>
      <c r="F7907" s="120"/>
      <c r="G7907" s="120"/>
      <c r="H7907" s="120"/>
      <c r="I7907" s="60"/>
      <c r="J7907" s="116"/>
      <c r="K7907" s="213"/>
      <c r="L7907" s="120"/>
      <c r="M7907" s="120"/>
      <c r="N7907" s="167"/>
      <c r="O7907" s="120"/>
      <c r="P7907" s="120"/>
      <c r="Q7907" s="120"/>
      <c r="R7907" s="120"/>
      <c r="S7907" s="120"/>
      <c r="T7907" s="221"/>
      <c r="U7907" s="89"/>
      <c r="V7907" s="61"/>
      <c r="W7907" s="92" t="s">
        <v>65</v>
      </c>
      <c r="X7907" s="93" t="s">
        <v>30</v>
      </c>
      <c r="Y7907" s="93" t="s">
        <v>1011</v>
      </c>
      <c r="Z7907" s="134">
        <f>VLOOKUP(W7907,Sheet2!$B:$D,3,FALSE)</f>
        <v>1.76</v>
      </c>
      <c r="AA7907" s="93">
        <f>AA7906/15</f>
        <v>0.53333333333333333</v>
      </c>
      <c r="AB7907" s="93">
        <f>AD7907/AC7904</f>
        <v>3.3</v>
      </c>
      <c r="AC7907" s="93">
        <f>AC7904/AA7907</f>
        <v>20.137499999999964</v>
      </c>
      <c r="AD7907" s="94">
        <f t="shared" ref="AD7907" si="5512">AC7907*Z7907</f>
        <v>35.441999999999936</v>
      </c>
      <c r="AE7907" s="190"/>
      <c r="AF7907" s="191"/>
      <c r="AG7907" s="191"/>
      <c r="AH7907" s="191"/>
      <c r="AI7907" s="186"/>
      <c r="AK7907" s="171"/>
    </row>
    <row r="7908" spans="1:41" s="102" customFormat="1" ht="19.899999999999999" customHeight="1" x14ac:dyDescent="0.25">
      <c r="A7908" s="45"/>
      <c r="B7908" s="59"/>
      <c r="C7908" s="137"/>
      <c r="D7908" s="59"/>
      <c r="E7908" s="116"/>
      <c r="F7908" s="120"/>
      <c r="G7908" s="120"/>
      <c r="H7908" s="120"/>
      <c r="I7908" s="60"/>
      <c r="J7908" s="116"/>
      <c r="K7908" s="213"/>
      <c r="L7908" s="120"/>
      <c r="M7908" s="120"/>
      <c r="N7908" s="167"/>
      <c r="O7908" s="120"/>
      <c r="P7908" s="120"/>
      <c r="Q7908" s="120"/>
      <c r="R7908" s="120"/>
      <c r="S7908" s="120"/>
      <c r="T7908" s="221"/>
      <c r="U7908" s="89"/>
      <c r="V7908" s="61"/>
      <c r="W7908" s="92" t="s">
        <v>112</v>
      </c>
      <c r="X7908" s="93" t="s">
        <v>31</v>
      </c>
      <c r="Y7908" s="93" t="s">
        <v>93</v>
      </c>
      <c r="Z7908" s="134">
        <f>VLOOKUP(W7908,Sheet2!$B:$D,3,FALSE)</f>
        <v>13</v>
      </c>
      <c r="AA7908" s="93">
        <f>AA7906/2</f>
        <v>4</v>
      </c>
      <c r="AB7908" s="93">
        <f>AD7908/AC7904</f>
        <v>3.25</v>
      </c>
      <c r="AC7908" s="93">
        <f>AC7904/AA7908</f>
        <v>2.6849999999999952</v>
      </c>
      <c r="AD7908" s="94">
        <f>AC7908*Z7908</f>
        <v>34.904999999999937</v>
      </c>
      <c r="AE7908" s="190"/>
      <c r="AF7908" s="191"/>
      <c r="AG7908" s="191"/>
      <c r="AH7908" s="191"/>
      <c r="AI7908" s="186"/>
      <c r="AK7908" s="171"/>
    </row>
    <row r="7909" spans="1:41" ht="20.100000000000001" customHeight="1" x14ac:dyDescent="0.25">
      <c r="A7909" s="277" t="s">
        <v>703</v>
      </c>
      <c r="B7909" s="278"/>
      <c r="C7909" s="64" t="s">
        <v>769</v>
      </c>
      <c r="D7909" s="46" t="s">
        <v>97</v>
      </c>
      <c r="E7909" s="114"/>
      <c r="F7909" s="44">
        <v>0</v>
      </c>
      <c r="G7909" s="44">
        <f t="shared" si="4575"/>
        <v>0</v>
      </c>
      <c r="H7909" s="44">
        <f t="shared" si="4576"/>
        <v>0</v>
      </c>
      <c r="I7909" s="43">
        <f t="shared" si="4577"/>
        <v>0</v>
      </c>
      <c r="J7909" s="112">
        <f t="shared" si="4578"/>
        <v>0</v>
      </c>
      <c r="K7909" s="211">
        <f t="shared" si="4579"/>
        <v>0</v>
      </c>
      <c r="L7909" s="44"/>
      <c r="M7909" s="44">
        <f t="shared" si="4580"/>
        <v>0</v>
      </c>
      <c r="N7909" s="173">
        <f t="shared" si="4581"/>
        <v>0</v>
      </c>
      <c r="O7909" s="44">
        <f t="shared" si="4582"/>
        <v>0</v>
      </c>
      <c r="P7909" s="44">
        <f t="shared" si="4583"/>
        <v>0</v>
      </c>
      <c r="Q7909" s="44">
        <f t="shared" si="4584"/>
        <v>0</v>
      </c>
      <c r="R7909" s="44">
        <f t="shared" si="4585"/>
        <v>0</v>
      </c>
      <c r="S7909" s="123"/>
      <c r="T7909" s="219">
        <f t="shared" si="4586"/>
        <v>0</v>
      </c>
      <c r="U7909" s="87"/>
      <c r="V7909" s="47"/>
      <c r="W7909" s="48"/>
      <c r="X7909" s="48"/>
      <c r="Y7909" s="48"/>
      <c r="Z7909" s="135"/>
      <c r="AA7909" s="49"/>
      <c r="AB7909" s="50">
        <f t="shared" si="4587"/>
        <v>0</v>
      </c>
      <c r="AC7909" s="42">
        <f t="shared" si="4588"/>
        <v>9.9999999999999998E-20</v>
      </c>
      <c r="AD7909" s="90"/>
      <c r="AE7909" s="188"/>
      <c r="AF7909" s="189"/>
      <c r="AG7909" s="189"/>
      <c r="AH7909" s="189"/>
      <c r="AI7909" s="161"/>
    </row>
    <row r="7910" spans="1:41" ht="20.100000000000001" customHeight="1" x14ac:dyDescent="0.25">
      <c r="A7910" s="277" t="s">
        <v>703</v>
      </c>
      <c r="B7910" s="278"/>
      <c r="C7910" s="64" t="s">
        <v>770</v>
      </c>
      <c r="D7910" s="46" t="s">
        <v>97</v>
      </c>
      <c r="E7910" s="114"/>
      <c r="F7910" s="44">
        <v>0</v>
      </c>
      <c r="G7910" s="44">
        <f t="shared" si="4575"/>
        <v>0</v>
      </c>
      <c r="H7910" s="44">
        <f t="shared" si="4576"/>
        <v>0</v>
      </c>
      <c r="I7910" s="43">
        <f t="shared" si="4577"/>
        <v>0</v>
      </c>
      <c r="J7910" s="112">
        <f t="shared" si="4578"/>
        <v>0</v>
      </c>
      <c r="K7910" s="211">
        <f t="shared" si="4579"/>
        <v>0</v>
      </c>
      <c r="L7910" s="44"/>
      <c r="M7910" s="44">
        <f t="shared" si="4580"/>
        <v>0</v>
      </c>
      <c r="N7910" s="173">
        <f t="shared" si="4581"/>
        <v>0</v>
      </c>
      <c r="O7910" s="44">
        <f t="shared" si="4582"/>
        <v>0</v>
      </c>
      <c r="P7910" s="44">
        <f t="shared" si="4583"/>
        <v>0</v>
      </c>
      <c r="Q7910" s="44">
        <f t="shared" si="4584"/>
        <v>0</v>
      </c>
      <c r="R7910" s="44">
        <f t="shared" si="4585"/>
        <v>0</v>
      </c>
      <c r="S7910" s="123"/>
      <c r="T7910" s="219">
        <f t="shared" si="4586"/>
        <v>0</v>
      </c>
      <c r="U7910" s="87"/>
      <c r="V7910" s="47"/>
      <c r="W7910" s="48"/>
      <c r="X7910" s="48"/>
      <c r="Y7910" s="48"/>
      <c r="Z7910" s="135"/>
      <c r="AA7910" s="49"/>
      <c r="AB7910" s="50">
        <f t="shared" si="4587"/>
        <v>0</v>
      </c>
      <c r="AC7910" s="42">
        <f t="shared" si="4588"/>
        <v>9.9999999999999998E-20</v>
      </c>
      <c r="AD7910" s="90"/>
      <c r="AE7910" s="188"/>
      <c r="AF7910" s="189"/>
      <c r="AG7910" s="189"/>
      <c r="AH7910" s="189"/>
      <c r="AI7910" s="161"/>
    </row>
    <row r="7911" spans="1:41" ht="20.100000000000001" customHeight="1" x14ac:dyDescent="0.25">
      <c r="A7911" s="277" t="s">
        <v>703</v>
      </c>
      <c r="B7911" s="278"/>
      <c r="C7911" s="64" t="s">
        <v>771</v>
      </c>
      <c r="D7911" s="46"/>
      <c r="E7911" s="114"/>
      <c r="F7911" s="44">
        <v>0</v>
      </c>
      <c r="G7911" s="44">
        <f t="shared" si="4575"/>
        <v>0</v>
      </c>
      <c r="H7911" s="44">
        <f t="shared" si="4576"/>
        <v>0</v>
      </c>
      <c r="I7911" s="43">
        <f t="shared" si="4577"/>
        <v>0</v>
      </c>
      <c r="J7911" s="112">
        <f t="shared" si="4578"/>
        <v>0</v>
      </c>
      <c r="K7911" s="211">
        <f t="shared" si="4579"/>
        <v>0</v>
      </c>
      <c r="L7911" s="44"/>
      <c r="M7911" s="44">
        <f t="shared" si="4580"/>
        <v>0</v>
      </c>
      <c r="N7911" s="173">
        <f t="shared" si="4581"/>
        <v>0</v>
      </c>
      <c r="O7911" s="44">
        <f t="shared" si="4582"/>
        <v>0</v>
      </c>
      <c r="P7911" s="44">
        <f t="shared" si="4583"/>
        <v>0</v>
      </c>
      <c r="Q7911" s="44">
        <f t="shared" si="4584"/>
        <v>0</v>
      </c>
      <c r="R7911" s="44">
        <f t="shared" si="4585"/>
        <v>0</v>
      </c>
      <c r="S7911" s="123"/>
      <c r="T7911" s="219">
        <f t="shared" si="4586"/>
        <v>0</v>
      </c>
      <c r="U7911" s="87"/>
      <c r="V7911" s="47"/>
      <c r="W7911" s="48"/>
      <c r="X7911" s="48"/>
      <c r="Y7911" s="48"/>
      <c r="Z7911" s="135"/>
      <c r="AA7911" s="49"/>
      <c r="AB7911" s="50">
        <f t="shared" si="4587"/>
        <v>0</v>
      </c>
      <c r="AC7911" s="42">
        <f t="shared" si="4588"/>
        <v>9.9999999999999998E-20</v>
      </c>
      <c r="AD7911" s="90"/>
      <c r="AE7911" s="188"/>
      <c r="AF7911" s="189"/>
      <c r="AG7911" s="189"/>
      <c r="AH7911" s="189"/>
      <c r="AI7911" s="161"/>
    </row>
    <row r="7912" spans="1:41" ht="20.100000000000001" customHeight="1" x14ac:dyDescent="0.25">
      <c r="A7912" s="277" t="s">
        <v>703</v>
      </c>
      <c r="B7912" s="278"/>
      <c r="C7912" s="64" t="s">
        <v>763</v>
      </c>
      <c r="D7912" s="46" t="s">
        <v>97</v>
      </c>
      <c r="E7912" s="114"/>
      <c r="F7912" s="44">
        <v>0</v>
      </c>
      <c r="G7912" s="44">
        <f t="shared" si="3841"/>
        <v>0</v>
      </c>
      <c r="H7912" s="44">
        <f t="shared" si="3842"/>
        <v>0</v>
      </c>
      <c r="I7912" s="43">
        <f t="shared" si="3843"/>
        <v>0</v>
      </c>
      <c r="J7912" s="112">
        <f t="shared" si="3844"/>
        <v>0</v>
      </c>
      <c r="K7912" s="211">
        <f t="shared" si="3845"/>
        <v>0</v>
      </c>
      <c r="L7912" s="44"/>
      <c r="M7912" s="44">
        <f t="shared" si="3846"/>
        <v>0</v>
      </c>
      <c r="N7912" s="173">
        <f t="shared" si="3847"/>
        <v>0</v>
      </c>
      <c r="O7912" s="44">
        <f t="shared" si="3848"/>
        <v>0</v>
      </c>
      <c r="P7912" s="44">
        <f t="shared" si="3849"/>
        <v>0</v>
      </c>
      <c r="Q7912" s="44">
        <f t="shared" si="3850"/>
        <v>0</v>
      </c>
      <c r="R7912" s="44">
        <f t="shared" si="3851"/>
        <v>0</v>
      </c>
      <c r="S7912" s="123"/>
      <c r="T7912" s="219">
        <f t="shared" si="3852"/>
        <v>0</v>
      </c>
      <c r="U7912" s="87"/>
      <c r="V7912" s="47"/>
      <c r="W7912" s="48"/>
      <c r="X7912" s="48"/>
      <c r="Y7912" s="48"/>
      <c r="Z7912" s="135"/>
      <c r="AA7912" s="49"/>
      <c r="AB7912" s="50">
        <f t="shared" si="3853"/>
        <v>0</v>
      </c>
      <c r="AC7912" s="42">
        <f t="shared" si="3854"/>
        <v>9.9999999999999998E-20</v>
      </c>
      <c r="AD7912" s="90"/>
      <c r="AE7912" s="188"/>
      <c r="AF7912" s="189"/>
      <c r="AG7912" s="189"/>
      <c r="AH7912" s="189"/>
      <c r="AI7912" s="161"/>
    </row>
    <row r="7913" spans="1:41" ht="20.100000000000001" customHeight="1" x14ac:dyDescent="0.25">
      <c r="A7913" s="277" t="s">
        <v>703</v>
      </c>
      <c r="B7913" s="278"/>
      <c r="C7913" s="64" t="s">
        <v>764</v>
      </c>
      <c r="D7913" s="46" t="s">
        <v>97</v>
      </c>
      <c r="E7913" s="114">
        <v>31.682000000000073</v>
      </c>
      <c r="F7913" s="44">
        <v>3448</v>
      </c>
      <c r="G7913" s="44">
        <f t="shared" si="3841"/>
        <v>109239.53600000025</v>
      </c>
      <c r="H7913" s="44">
        <f t="shared" si="3842"/>
        <v>3075.5704141176479</v>
      </c>
      <c r="I7913" s="43">
        <f t="shared" si="3843"/>
        <v>97440.221860075544</v>
      </c>
      <c r="J7913" s="112">
        <f t="shared" si="3844"/>
        <v>31.682000000000073</v>
      </c>
      <c r="K7913" s="211">
        <f t="shared" si="3845"/>
        <v>31.682000000000073</v>
      </c>
      <c r="L7913" s="44"/>
      <c r="M7913" s="44">
        <f t="shared" si="3846"/>
        <v>31.682000000000073</v>
      </c>
      <c r="N7913" s="173">
        <f t="shared" si="3847"/>
        <v>1</v>
      </c>
      <c r="O7913" s="44">
        <f t="shared" si="3848"/>
        <v>3448</v>
      </c>
      <c r="P7913" s="44">
        <f t="shared" si="3849"/>
        <v>109239.53600000025</v>
      </c>
      <c r="Q7913" s="44">
        <f t="shared" si="3850"/>
        <v>3075.5704141176479</v>
      </c>
      <c r="R7913" s="44">
        <f t="shared" si="3851"/>
        <v>97440.221860075544</v>
      </c>
      <c r="S7913" s="123"/>
      <c r="T7913" s="219">
        <f t="shared" si="3852"/>
        <v>97440.221860075544</v>
      </c>
      <c r="U7913" s="87"/>
      <c r="V7913" s="47"/>
      <c r="W7913" s="48"/>
      <c r="X7913" s="48"/>
      <c r="Y7913" s="48"/>
      <c r="Z7913" s="135"/>
      <c r="AA7913" s="49"/>
      <c r="AB7913" s="50">
        <f t="shared" si="3853"/>
        <v>3075.5704141176479</v>
      </c>
      <c r="AC7913" s="42">
        <f t="shared" si="3854"/>
        <v>31.682000000000073</v>
      </c>
      <c r="AD7913" s="90">
        <f>AD7914+AD7923</f>
        <v>97440.221860075544</v>
      </c>
      <c r="AE7913" s="188">
        <f>AE7914+AE7923</f>
        <v>0</v>
      </c>
      <c r="AF7913" s="189">
        <f>AF7914+AF7923</f>
        <v>0</v>
      </c>
      <c r="AG7913" s="189">
        <f>AG7914+AG7923</f>
        <v>0</v>
      </c>
      <c r="AH7913" s="189">
        <f>AH7914+AH7923</f>
        <v>0</v>
      </c>
      <c r="AI7913" s="161">
        <f t="shared" ref="AI7913" si="5513">SUM(AE7913:AH7913)</f>
        <v>0</v>
      </c>
      <c r="AK7913" s="169">
        <v>5</v>
      </c>
      <c r="AO7913" s="19" t="s">
        <v>63</v>
      </c>
    </row>
    <row r="7914" spans="1:41" s="103" customFormat="1" ht="19.899999999999999" customHeight="1" x14ac:dyDescent="0.25">
      <c r="A7914" s="51"/>
      <c r="B7914" s="52"/>
      <c r="C7914" s="165"/>
      <c r="D7914" s="52"/>
      <c r="E7914" s="115"/>
      <c r="F7914" s="58"/>
      <c r="G7914" s="58"/>
      <c r="H7914" s="58"/>
      <c r="I7914" s="55"/>
      <c r="J7914" s="113">
        <f>J7913</f>
        <v>31.682000000000073</v>
      </c>
      <c r="K7914" s="212">
        <f>K7913</f>
        <v>31.682000000000073</v>
      </c>
      <c r="L7914" s="58"/>
      <c r="M7914" s="58">
        <f>K7914-L7914</f>
        <v>31.682000000000073</v>
      </c>
      <c r="N7914" s="166"/>
      <c r="O7914" s="58"/>
      <c r="P7914" s="58"/>
      <c r="Q7914" s="58"/>
      <c r="R7914" s="58"/>
      <c r="S7914" s="58"/>
      <c r="T7914" s="220"/>
      <c r="U7914" s="88"/>
      <c r="V7914" s="56"/>
      <c r="W7914" s="57" t="s">
        <v>1111</v>
      </c>
      <c r="X7914" s="53"/>
      <c r="Y7914" s="91" t="s">
        <v>68</v>
      </c>
      <c r="Z7914" s="136">
        <f>AD7914/AC7914</f>
        <v>23.020414117647057</v>
      </c>
      <c r="AA7914" s="58"/>
      <c r="AB7914" s="53">
        <f>AD7914/AC7914</f>
        <v>23.020414117647057</v>
      </c>
      <c r="AC7914" s="53">
        <f>M7914+$AE$10</f>
        <v>31.682000000000073</v>
      </c>
      <c r="AD7914" s="54">
        <f>SUM(AD7915:AD7922)</f>
        <v>729.33276007529571</v>
      </c>
      <c r="AE7914" s="184">
        <f>SUMIFS($AD$37:$AD$12971,$V$37:$V$12971,$V7914,$X$37:$X$12971,AE$13)</f>
        <v>0</v>
      </c>
      <c r="AF7914" s="185">
        <f>SUMIFS($AD$37:$AD$12971,$V$37:$V$12971,$V7914,$X$37:$X$12971,AF$13)</f>
        <v>0</v>
      </c>
      <c r="AG7914" s="185">
        <f>SUMIFS($AD$37:$AD$12971,$V$37:$V$12971,$V7914,$X$37:$X$12971,AG$13)</f>
        <v>0</v>
      </c>
      <c r="AH7914" s="187">
        <f>SUMIFS($AD$37:$AD$12971,$V$37:$V$12971,$V7914,$X$37:$X$12971,AH$13)</f>
        <v>0</v>
      </c>
      <c r="AI7914" s="161">
        <f t="shared" ref="AI7914" si="5514">SUM(AE7914:AH7914)</f>
        <v>0</v>
      </c>
      <c r="AK7914" s="172"/>
    </row>
    <row r="7915" spans="1:41" s="102" customFormat="1" ht="19.899999999999999" customHeight="1" x14ac:dyDescent="0.25">
      <c r="A7915" s="45"/>
      <c r="B7915" s="59"/>
      <c r="C7915" s="137"/>
      <c r="D7915" s="59"/>
      <c r="E7915" s="116"/>
      <c r="F7915" s="120"/>
      <c r="G7915" s="120"/>
      <c r="H7915" s="120"/>
      <c r="I7915" s="60"/>
      <c r="J7915" s="116"/>
      <c r="K7915" s="213"/>
      <c r="L7915" s="120"/>
      <c r="M7915" s="120"/>
      <c r="N7915" s="167"/>
      <c r="O7915" s="120"/>
      <c r="P7915" s="120"/>
      <c r="Q7915" s="120"/>
      <c r="R7915" s="120"/>
      <c r="S7915" s="120"/>
      <c r="T7915" s="221"/>
      <c r="U7915" s="89"/>
      <c r="V7915" s="61"/>
      <c r="W7915" s="92" t="s">
        <v>129</v>
      </c>
      <c r="X7915" s="93" t="s">
        <v>29</v>
      </c>
      <c r="Y7915" s="93" t="s">
        <v>93</v>
      </c>
      <c r="Z7915" s="134">
        <f>VLOOKUP(W7915,Sheet2!$B:$D,3,FALSE)</f>
        <v>56</v>
      </c>
      <c r="AA7915" s="93">
        <f>100/(2.4*2)</f>
        <v>20.833333333333336</v>
      </c>
      <c r="AB7915" s="93">
        <f t="shared" ref="AB7915" si="5515">AD7915/AC7914</f>
        <v>2.6879999999999997</v>
      </c>
      <c r="AC7915" s="93">
        <f>AC7914/AA7915</f>
        <v>1.5207360000000034</v>
      </c>
      <c r="AD7915" s="94">
        <f t="shared" ref="AD7915:AD7916" si="5516">AC7915*Z7915</f>
        <v>85.161216000000195</v>
      </c>
      <c r="AE7915" s="190"/>
      <c r="AF7915" s="191"/>
      <c r="AG7915" s="191"/>
      <c r="AH7915" s="191"/>
      <c r="AI7915" s="186"/>
      <c r="AK7915" s="171"/>
    </row>
    <row r="7916" spans="1:41" s="102" customFormat="1" ht="19.899999999999999" customHeight="1" x14ac:dyDescent="0.25">
      <c r="A7916" s="45"/>
      <c r="B7916" s="59"/>
      <c r="C7916" s="137"/>
      <c r="D7916" s="59"/>
      <c r="E7916" s="116"/>
      <c r="F7916" s="120"/>
      <c r="G7916" s="120"/>
      <c r="H7916" s="120"/>
      <c r="I7916" s="60"/>
      <c r="J7916" s="116"/>
      <c r="K7916" s="213"/>
      <c r="L7916" s="120"/>
      <c r="M7916" s="120"/>
      <c r="N7916" s="167"/>
      <c r="O7916" s="120"/>
      <c r="P7916" s="120"/>
      <c r="Q7916" s="120"/>
      <c r="R7916" s="120"/>
      <c r="S7916" s="120"/>
      <c r="T7916" s="221"/>
      <c r="U7916" s="89"/>
      <c r="V7916" s="61"/>
      <c r="W7916" s="92" t="s">
        <v>65</v>
      </c>
      <c r="X7916" s="93" t="s">
        <v>30</v>
      </c>
      <c r="Y7916" s="93" t="s">
        <v>1011</v>
      </c>
      <c r="Z7916" s="134">
        <f>VLOOKUP(W7916,Sheet2!$B:$D,3,FALSE)</f>
        <v>1.76</v>
      </c>
      <c r="AA7916" s="93">
        <f>AA7915/14</f>
        <v>1.4880952380952384</v>
      </c>
      <c r="AB7916" s="93">
        <f>AD7916/AC7914</f>
        <v>1.1827199999999998</v>
      </c>
      <c r="AC7916" s="93">
        <f>AC7914/AA7916</f>
        <v>21.290304000000045</v>
      </c>
      <c r="AD7916" s="94">
        <f t="shared" si="5516"/>
        <v>37.470935040000079</v>
      </c>
      <c r="AE7916" s="190"/>
      <c r="AF7916" s="191"/>
      <c r="AG7916" s="191"/>
      <c r="AH7916" s="191"/>
      <c r="AI7916" s="186"/>
      <c r="AK7916" s="171"/>
    </row>
    <row r="7917" spans="1:41" s="102" customFormat="1" ht="19.899999999999999" customHeight="1" x14ac:dyDescent="0.25">
      <c r="A7917" s="45"/>
      <c r="B7917" s="59"/>
      <c r="C7917" s="137"/>
      <c r="D7917" s="59"/>
      <c r="E7917" s="116"/>
      <c r="F7917" s="120"/>
      <c r="G7917" s="120"/>
      <c r="H7917" s="120"/>
      <c r="I7917" s="60"/>
      <c r="J7917" s="116"/>
      <c r="K7917" s="213"/>
      <c r="L7917" s="120"/>
      <c r="M7917" s="120"/>
      <c r="N7917" s="167"/>
      <c r="O7917" s="120"/>
      <c r="P7917" s="120"/>
      <c r="Q7917" s="120"/>
      <c r="R7917" s="120"/>
      <c r="S7917" s="120"/>
      <c r="T7917" s="221"/>
      <c r="U7917" s="89"/>
      <c r="V7917" s="61"/>
      <c r="W7917" s="92" t="s">
        <v>161</v>
      </c>
      <c r="X7917" s="93" t="s">
        <v>29</v>
      </c>
      <c r="Y7917" s="93" t="s">
        <v>93</v>
      </c>
      <c r="Z7917" s="134">
        <f>VLOOKUP(W7917,Sheet2!$B:$D,3,FALSE)</f>
        <v>48</v>
      </c>
      <c r="AA7917" s="93">
        <f>(16*0.85*1.5)/(2.4*2)</f>
        <v>4.25</v>
      </c>
      <c r="AB7917" s="93">
        <f>AD7917/AC7914</f>
        <v>11.294117647058822</v>
      </c>
      <c r="AC7917" s="93">
        <f>AC7914/AA7917</f>
        <v>7.4545882352941346</v>
      </c>
      <c r="AD7917" s="94">
        <f>AC7917*Z7917</f>
        <v>357.82023529411845</v>
      </c>
      <c r="AE7917" s="190"/>
      <c r="AF7917" s="191"/>
      <c r="AG7917" s="191"/>
      <c r="AH7917" s="191"/>
      <c r="AI7917" s="186"/>
      <c r="AK7917" s="171"/>
    </row>
    <row r="7918" spans="1:41" s="102" customFormat="1" ht="19.899999999999999" customHeight="1" x14ac:dyDescent="0.25">
      <c r="A7918" s="45"/>
      <c r="B7918" s="59"/>
      <c r="C7918" s="137"/>
      <c r="D7918" s="59"/>
      <c r="E7918" s="116"/>
      <c r="F7918" s="120"/>
      <c r="G7918" s="120"/>
      <c r="H7918" s="120"/>
      <c r="I7918" s="60"/>
      <c r="J7918" s="116"/>
      <c r="K7918" s="213"/>
      <c r="L7918" s="120"/>
      <c r="M7918" s="120"/>
      <c r="N7918" s="167"/>
      <c r="O7918" s="120"/>
      <c r="P7918" s="120"/>
      <c r="Q7918" s="120"/>
      <c r="R7918" s="120"/>
      <c r="S7918" s="120"/>
      <c r="T7918" s="221"/>
      <c r="U7918" s="89"/>
      <c r="V7918" s="61"/>
      <c r="W7918" s="92" t="s">
        <v>65</v>
      </c>
      <c r="X7918" s="93" t="s">
        <v>30</v>
      </c>
      <c r="Y7918" s="93" t="s">
        <v>1011</v>
      </c>
      <c r="Z7918" s="134">
        <f>VLOOKUP(W7918,Sheet2!$B:$D,3,FALSE)</f>
        <v>1.76</v>
      </c>
      <c r="AA7918" s="93">
        <f>AA7917/10</f>
        <v>0.42499999999999999</v>
      </c>
      <c r="AB7918" s="93">
        <f>AD7918/AC7914</f>
        <v>4.1411764705882357</v>
      </c>
      <c r="AC7918" s="93">
        <f>AC7914/AA7918</f>
        <v>74.545882352941348</v>
      </c>
      <c r="AD7918" s="94">
        <f>AC7918*Z7918</f>
        <v>131.20075294117677</v>
      </c>
      <c r="AE7918" s="190"/>
      <c r="AF7918" s="191"/>
      <c r="AG7918" s="191"/>
      <c r="AH7918" s="191"/>
      <c r="AI7918" s="186"/>
      <c r="AK7918" s="171"/>
    </row>
    <row r="7919" spans="1:41" s="102" customFormat="1" ht="19.899999999999999" customHeight="1" x14ac:dyDescent="0.25">
      <c r="A7919" s="45"/>
      <c r="B7919" s="59"/>
      <c r="C7919" s="137"/>
      <c r="D7919" s="59"/>
      <c r="E7919" s="116"/>
      <c r="F7919" s="120"/>
      <c r="G7919" s="120"/>
      <c r="H7919" s="120"/>
      <c r="I7919" s="60"/>
      <c r="J7919" s="116"/>
      <c r="K7919" s="213"/>
      <c r="L7919" s="120"/>
      <c r="M7919" s="120"/>
      <c r="N7919" s="167"/>
      <c r="O7919" s="120"/>
      <c r="P7919" s="120"/>
      <c r="Q7919" s="120"/>
      <c r="R7919" s="120"/>
      <c r="S7919" s="120"/>
      <c r="T7919" s="221"/>
      <c r="U7919" s="89"/>
      <c r="V7919" s="61"/>
      <c r="W7919" s="92" t="s">
        <v>1030</v>
      </c>
      <c r="X7919" s="93" t="s">
        <v>29</v>
      </c>
      <c r="Y7919" s="93" t="s">
        <v>93</v>
      </c>
      <c r="Z7919" s="134">
        <f>VLOOKUP(W7919,Sheet2!$B:$D,3,FALSE)</f>
        <v>23</v>
      </c>
      <c r="AA7919" s="93">
        <v>50</v>
      </c>
      <c r="AB7919" s="93">
        <f>AD7919/AC7914</f>
        <v>0.46</v>
      </c>
      <c r="AC7919" s="93">
        <f>AC7914/AA7919</f>
        <v>0.63364000000000142</v>
      </c>
      <c r="AD7919" s="94">
        <f t="shared" ref="AD7919:AD7922" si="5517">AC7919*Z7919</f>
        <v>14.573720000000034</v>
      </c>
      <c r="AE7919" s="190"/>
      <c r="AF7919" s="191"/>
      <c r="AG7919" s="191"/>
      <c r="AH7919" s="191"/>
      <c r="AI7919" s="186"/>
      <c r="AK7919" s="171"/>
    </row>
    <row r="7920" spans="1:41" s="102" customFormat="1" ht="19.899999999999999" customHeight="1" x14ac:dyDescent="0.25">
      <c r="A7920" s="45"/>
      <c r="B7920" s="59"/>
      <c r="C7920" s="137"/>
      <c r="D7920" s="59"/>
      <c r="E7920" s="116"/>
      <c r="F7920" s="120"/>
      <c r="G7920" s="120"/>
      <c r="H7920" s="120"/>
      <c r="I7920" s="60"/>
      <c r="J7920" s="116"/>
      <c r="K7920" s="213"/>
      <c r="L7920" s="120"/>
      <c r="M7920" s="120"/>
      <c r="N7920" s="167"/>
      <c r="O7920" s="120"/>
      <c r="P7920" s="120"/>
      <c r="Q7920" s="120"/>
      <c r="R7920" s="120"/>
      <c r="S7920" s="120"/>
      <c r="T7920" s="221"/>
      <c r="U7920" s="89"/>
      <c r="V7920" s="61"/>
      <c r="W7920" s="92" t="s">
        <v>65</v>
      </c>
      <c r="X7920" s="93" t="s">
        <v>30</v>
      </c>
      <c r="Y7920" s="93" t="s">
        <v>1011</v>
      </c>
      <c r="Z7920" s="134">
        <f>VLOOKUP(W7920,Sheet2!$B:$D,3,FALSE)</f>
        <v>1.76</v>
      </c>
      <c r="AA7920" s="93">
        <f>AA7919/3</f>
        <v>16.666666666666668</v>
      </c>
      <c r="AB7920" s="93">
        <f>AD7920/AC7914</f>
        <v>0.10559999999999999</v>
      </c>
      <c r="AC7920" s="93">
        <f>AC7914/AA7920</f>
        <v>1.9009200000000042</v>
      </c>
      <c r="AD7920" s="94">
        <f t="shared" si="5517"/>
        <v>3.3456192000000073</v>
      </c>
      <c r="AE7920" s="190"/>
      <c r="AF7920" s="191"/>
      <c r="AG7920" s="191"/>
      <c r="AH7920" s="191"/>
      <c r="AI7920" s="186"/>
      <c r="AK7920" s="171"/>
    </row>
    <row r="7921" spans="1:41" s="102" customFormat="1" ht="19.899999999999999" customHeight="1" x14ac:dyDescent="0.25">
      <c r="A7921" s="45"/>
      <c r="B7921" s="59"/>
      <c r="C7921" s="137"/>
      <c r="D7921" s="59"/>
      <c r="E7921" s="116"/>
      <c r="F7921" s="120"/>
      <c r="G7921" s="120"/>
      <c r="H7921" s="120"/>
      <c r="I7921" s="60"/>
      <c r="J7921" s="116"/>
      <c r="K7921" s="213"/>
      <c r="L7921" s="120"/>
      <c r="M7921" s="120"/>
      <c r="N7921" s="167"/>
      <c r="O7921" s="120"/>
      <c r="P7921" s="120"/>
      <c r="Q7921" s="120"/>
      <c r="R7921" s="120"/>
      <c r="S7921" s="120"/>
      <c r="T7921" s="221"/>
      <c r="U7921" s="89"/>
      <c r="V7921" s="61"/>
      <c r="W7921" s="92" t="s">
        <v>148</v>
      </c>
      <c r="X7921" s="93" t="s">
        <v>29</v>
      </c>
      <c r="Y7921" s="93" t="s">
        <v>93</v>
      </c>
      <c r="Z7921" s="134">
        <f>VLOOKUP(W7921,Sheet2!$B:$D,3,FALSE)</f>
        <v>48</v>
      </c>
      <c r="AA7921" s="93">
        <f>AA7915</f>
        <v>20.833333333333336</v>
      </c>
      <c r="AB7921" s="93">
        <f>AD7921/AC7914</f>
        <v>2.3040000000000003</v>
      </c>
      <c r="AC7921" s="93">
        <f>AC7914/AA7921</f>
        <v>1.5207360000000034</v>
      </c>
      <c r="AD7921" s="94">
        <f t="shared" si="5517"/>
        <v>72.995328000000171</v>
      </c>
      <c r="AE7921" s="190"/>
      <c r="AF7921" s="191"/>
      <c r="AG7921" s="191"/>
      <c r="AH7921" s="191"/>
      <c r="AI7921" s="186"/>
      <c r="AK7921" s="171"/>
    </row>
    <row r="7922" spans="1:41" s="102" customFormat="1" ht="19.899999999999999" customHeight="1" x14ac:dyDescent="0.25">
      <c r="A7922" s="45"/>
      <c r="B7922" s="59"/>
      <c r="C7922" s="137"/>
      <c r="D7922" s="59"/>
      <c r="E7922" s="116"/>
      <c r="F7922" s="120"/>
      <c r="G7922" s="120"/>
      <c r="H7922" s="120"/>
      <c r="I7922" s="60"/>
      <c r="J7922" s="116"/>
      <c r="K7922" s="213"/>
      <c r="L7922" s="120"/>
      <c r="M7922" s="120"/>
      <c r="N7922" s="167"/>
      <c r="O7922" s="120"/>
      <c r="P7922" s="120"/>
      <c r="Q7922" s="120"/>
      <c r="R7922" s="120"/>
      <c r="S7922" s="120"/>
      <c r="T7922" s="221"/>
      <c r="U7922" s="89"/>
      <c r="V7922" s="61"/>
      <c r="W7922" s="92" t="s">
        <v>65</v>
      </c>
      <c r="X7922" s="93" t="s">
        <v>30</v>
      </c>
      <c r="Y7922" s="93" t="s">
        <v>1011</v>
      </c>
      <c r="Z7922" s="134">
        <f>VLOOKUP(W7922,Sheet2!$B:$D,3,FALSE)</f>
        <v>1.76</v>
      </c>
      <c r="AA7922" s="93">
        <f>AA7921/10</f>
        <v>2.0833333333333335</v>
      </c>
      <c r="AB7922" s="93">
        <f>AD7922/AC7914</f>
        <v>0.84479999999999988</v>
      </c>
      <c r="AC7922" s="93">
        <f>AC7914/AA7922</f>
        <v>15.207360000000033</v>
      </c>
      <c r="AD7922" s="94">
        <f t="shared" si="5517"/>
        <v>26.764953600000059</v>
      </c>
      <c r="AE7922" s="190"/>
      <c r="AF7922" s="191"/>
      <c r="AG7922" s="191"/>
      <c r="AH7922" s="191"/>
      <c r="AI7922" s="186"/>
      <c r="AK7922" s="171"/>
    </row>
    <row r="7923" spans="1:41" s="103" customFormat="1" ht="19.899999999999999" customHeight="1" x14ac:dyDescent="0.25">
      <c r="A7923" s="51"/>
      <c r="B7923" s="52"/>
      <c r="C7923" s="165"/>
      <c r="D7923" s="52"/>
      <c r="E7923" s="115"/>
      <c r="F7923" s="58"/>
      <c r="G7923" s="58"/>
      <c r="H7923" s="58"/>
      <c r="I7923" s="55"/>
      <c r="J7923" s="113">
        <f>J7913</f>
        <v>31.682000000000073</v>
      </c>
      <c r="K7923" s="212">
        <f>K7913</f>
        <v>31.682000000000073</v>
      </c>
      <c r="L7923" s="58"/>
      <c r="M7923" s="58">
        <f>K7923-L7923</f>
        <v>31.682000000000073</v>
      </c>
      <c r="N7923" s="166"/>
      <c r="O7923" s="58"/>
      <c r="P7923" s="58"/>
      <c r="Q7923" s="58"/>
      <c r="R7923" s="58"/>
      <c r="S7923" s="58"/>
      <c r="T7923" s="220"/>
      <c r="U7923" s="88"/>
      <c r="V7923" s="56"/>
      <c r="W7923" s="57" t="s">
        <v>1114</v>
      </c>
      <c r="X7923" s="53"/>
      <c r="Y7923" s="91" t="s">
        <v>68</v>
      </c>
      <c r="Z7923" s="136">
        <f>AD7923/AC7923</f>
        <v>3052.5500000000006</v>
      </c>
      <c r="AA7923" s="58"/>
      <c r="AB7923" s="53">
        <f>AD7923/AC7923</f>
        <v>3052.5500000000006</v>
      </c>
      <c r="AC7923" s="53">
        <f>M7923+$AE$10</f>
        <v>31.682000000000073</v>
      </c>
      <c r="AD7923" s="54">
        <f>SUM(AD7924:AD7927)</f>
        <v>96710.889100000248</v>
      </c>
      <c r="AE7923" s="184">
        <f>SUMIFS($AD$37:$AD$12971,$V$37:$V$12971,$V7923,$X$37:$X$12971,AE$13)</f>
        <v>0</v>
      </c>
      <c r="AF7923" s="185">
        <f>SUMIFS($AD$37:$AD$12971,$V$37:$V$12971,$V7923,$X$37:$X$12971,AF$13)</f>
        <v>0</v>
      </c>
      <c r="AG7923" s="185">
        <f>SUMIFS($AD$37:$AD$12971,$V$37:$V$12971,$V7923,$X$37:$X$12971,AG$13)</f>
        <v>0</v>
      </c>
      <c r="AH7923" s="187">
        <f>SUMIFS($AD$37:$AD$12971,$V$37:$V$12971,$V7923,$X$37:$X$12971,AH$13)</f>
        <v>0</v>
      </c>
      <c r="AI7923" s="161">
        <f t="shared" ref="AI7923" si="5518">SUM(AE7923:AH7923)</f>
        <v>0</v>
      </c>
      <c r="AK7923" s="172"/>
    </row>
    <row r="7924" spans="1:41" s="102" customFormat="1" ht="19.899999999999999" customHeight="1" x14ac:dyDescent="0.25">
      <c r="A7924" s="45"/>
      <c r="B7924" s="59"/>
      <c r="C7924" s="137"/>
      <c r="D7924" s="59"/>
      <c r="E7924" s="116"/>
      <c r="F7924" s="120"/>
      <c r="G7924" s="120"/>
      <c r="H7924" s="120"/>
      <c r="I7924" s="60"/>
      <c r="J7924" s="116"/>
      <c r="K7924" s="213"/>
      <c r="L7924" s="120"/>
      <c r="M7924" s="120"/>
      <c r="N7924" s="167"/>
      <c r="O7924" s="120"/>
      <c r="P7924" s="120"/>
      <c r="Q7924" s="120"/>
      <c r="R7924" s="120"/>
      <c r="S7924" s="120"/>
      <c r="T7924" s="221"/>
      <c r="U7924" s="89"/>
      <c r="V7924" s="61"/>
      <c r="W7924" s="92" t="s">
        <v>1105</v>
      </c>
      <c r="X7924" s="93" t="s">
        <v>30</v>
      </c>
      <c r="Y7924" s="93" t="s">
        <v>66</v>
      </c>
      <c r="Z7924" s="134">
        <f>VLOOKUP(W7924,Sheet2!$B:$D,3,FALSE)</f>
        <v>2200</v>
      </c>
      <c r="AA7924" s="93">
        <f>1/((1.6*1.3)-(1*0.7))</f>
        <v>0.72463768115942018</v>
      </c>
      <c r="AB7924" s="93">
        <f>AD7924/AC7923</f>
        <v>3036.0000000000005</v>
      </c>
      <c r="AC7924" s="93">
        <f>AC7923/AA7924</f>
        <v>43.721160000000111</v>
      </c>
      <c r="AD7924" s="94">
        <f t="shared" ref="AD7924" si="5519">AC7924*Z7924</f>
        <v>96186.552000000243</v>
      </c>
      <c r="AE7924" s="190"/>
      <c r="AF7924" s="191"/>
      <c r="AG7924" s="191"/>
      <c r="AH7924" s="191"/>
      <c r="AI7924" s="186"/>
      <c r="AK7924" s="171"/>
    </row>
    <row r="7925" spans="1:41" s="102" customFormat="1" ht="19.899999999999999" customHeight="1" x14ac:dyDescent="0.25">
      <c r="A7925" s="45"/>
      <c r="B7925" s="59"/>
      <c r="C7925" s="137"/>
      <c r="D7925" s="59"/>
      <c r="E7925" s="116"/>
      <c r="F7925" s="120"/>
      <c r="G7925" s="120"/>
      <c r="H7925" s="120"/>
      <c r="I7925" s="60"/>
      <c r="J7925" s="116"/>
      <c r="K7925" s="213"/>
      <c r="L7925" s="120"/>
      <c r="M7925" s="120"/>
      <c r="N7925" s="167"/>
      <c r="O7925" s="120"/>
      <c r="P7925" s="120"/>
      <c r="Q7925" s="120"/>
      <c r="R7925" s="120"/>
      <c r="S7925" s="120"/>
      <c r="T7925" s="221"/>
      <c r="U7925" s="89"/>
      <c r="V7925" s="61"/>
      <c r="W7925" s="92" t="s">
        <v>174</v>
      </c>
      <c r="X7925" s="93" t="s">
        <v>29</v>
      </c>
      <c r="Y7925" s="93" t="s">
        <v>93</v>
      </c>
      <c r="Z7925" s="134">
        <f>VLOOKUP(W7925,Sheet2!$B:$D,3,FALSE)</f>
        <v>80</v>
      </c>
      <c r="AA7925" s="93">
        <f>4*2</f>
        <v>8</v>
      </c>
      <c r="AB7925" s="93">
        <f>AD7925/AC7923</f>
        <v>10</v>
      </c>
      <c r="AC7925" s="93">
        <f>AC7923/AA7925</f>
        <v>3.9602500000000092</v>
      </c>
      <c r="AD7925" s="94">
        <f>AC7925*Z7925</f>
        <v>316.82000000000073</v>
      </c>
      <c r="AE7925" s="190"/>
      <c r="AF7925" s="191"/>
      <c r="AG7925" s="191"/>
      <c r="AH7925" s="191"/>
      <c r="AI7925" s="186"/>
      <c r="AK7925" s="171"/>
    </row>
    <row r="7926" spans="1:41" s="102" customFormat="1" ht="19.899999999999999" customHeight="1" x14ac:dyDescent="0.25">
      <c r="A7926" s="45"/>
      <c r="B7926" s="59"/>
      <c r="C7926" s="137"/>
      <c r="D7926" s="59"/>
      <c r="E7926" s="116"/>
      <c r="F7926" s="120"/>
      <c r="G7926" s="120"/>
      <c r="H7926" s="120"/>
      <c r="I7926" s="60"/>
      <c r="J7926" s="116"/>
      <c r="K7926" s="213"/>
      <c r="L7926" s="120"/>
      <c r="M7926" s="120"/>
      <c r="N7926" s="167"/>
      <c r="O7926" s="120"/>
      <c r="P7926" s="120"/>
      <c r="Q7926" s="120"/>
      <c r="R7926" s="120"/>
      <c r="S7926" s="120"/>
      <c r="T7926" s="221"/>
      <c r="U7926" s="89"/>
      <c r="V7926" s="61"/>
      <c r="W7926" s="92" t="s">
        <v>65</v>
      </c>
      <c r="X7926" s="93" t="s">
        <v>30</v>
      </c>
      <c r="Y7926" s="93" t="s">
        <v>1011</v>
      </c>
      <c r="Z7926" s="134">
        <f>VLOOKUP(W7926,Sheet2!$B:$D,3,FALSE)</f>
        <v>1.76</v>
      </c>
      <c r="AA7926" s="93">
        <f>AA7925/15</f>
        <v>0.53333333333333333</v>
      </c>
      <c r="AB7926" s="93">
        <f>AD7926/AC7923</f>
        <v>3.3000000000000003</v>
      </c>
      <c r="AC7926" s="93">
        <f>AC7923/AA7926</f>
        <v>59.403750000000137</v>
      </c>
      <c r="AD7926" s="94">
        <f t="shared" ref="AD7926" si="5520">AC7926*Z7926</f>
        <v>104.55060000000024</v>
      </c>
      <c r="AE7926" s="190"/>
      <c r="AF7926" s="191"/>
      <c r="AG7926" s="191"/>
      <c r="AH7926" s="191"/>
      <c r="AI7926" s="186"/>
      <c r="AK7926" s="171"/>
    </row>
    <row r="7927" spans="1:41" s="102" customFormat="1" ht="19.899999999999999" customHeight="1" x14ac:dyDescent="0.25">
      <c r="A7927" s="45"/>
      <c r="B7927" s="59"/>
      <c r="C7927" s="137"/>
      <c r="D7927" s="59"/>
      <c r="E7927" s="116"/>
      <c r="F7927" s="120"/>
      <c r="G7927" s="120"/>
      <c r="H7927" s="120"/>
      <c r="I7927" s="60"/>
      <c r="J7927" s="116"/>
      <c r="K7927" s="213"/>
      <c r="L7927" s="120"/>
      <c r="M7927" s="120"/>
      <c r="N7927" s="167"/>
      <c r="O7927" s="120"/>
      <c r="P7927" s="120"/>
      <c r="Q7927" s="120"/>
      <c r="R7927" s="120"/>
      <c r="S7927" s="120"/>
      <c r="T7927" s="221"/>
      <c r="U7927" s="89"/>
      <c r="V7927" s="61"/>
      <c r="W7927" s="92" t="s">
        <v>112</v>
      </c>
      <c r="X7927" s="93" t="s">
        <v>31</v>
      </c>
      <c r="Y7927" s="93" t="s">
        <v>93</v>
      </c>
      <c r="Z7927" s="134">
        <f>VLOOKUP(W7927,Sheet2!$B:$D,3,FALSE)</f>
        <v>13</v>
      </c>
      <c r="AA7927" s="93">
        <f>AA7925/2</f>
        <v>4</v>
      </c>
      <c r="AB7927" s="93">
        <f>AD7927/AC7923</f>
        <v>3.25</v>
      </c>
      <c r="AC7927" s="93">
        <f>AC7923/AA7927</f>
        <v>7.9205000000000183</v>
      </c>
      <c r="AD7927" s="94">
        <f>AC7927*Z7927</f>
        <v>102.96650000000024</v>
      </c>
      <c r="AE7927" s="190"/>
      <c r="AF7927" s="191"/>
      <c r="AG7927" s="191"/>
      <c r="AH7927" s="191"/>
      <c r="AI7927" s="186"/>
      <c r="AK7927" s="171"/>
    </row>
    <row r="7928" spans="1:41" ht="20.100000000000001" customHeight="1" x14ac:dyDescent="0.25">
      <c r="A7928" s="277" t="s">
        <v>703</v>
      </c>
      <c r="B7928" s="278"/>
      <c r="C7928" s="64" t="s">
        <v>765</v>
      </c>
      <c r="D7928" s="46" t="s">
        <v>97</v>
      </c>
      <c r="E7928" s="114">
        <v>100.32305000000031</v>
      </c>
      <c r="F7928" s="44">
        <v>3571</v>
      </c>
      <c r="G7928" s="44">
        <f t="shared" si="3841"/>
        <v>358253.61155000108</v>
      </c>
      <c r="H7928" s="44">
        <f t="shared" si="3842"/>
        <v>3116.1841176470598</v>
      </c>
      <c r="I7928" s="43">
        <f t="shared" si="3843"/>
        <v>312625.09504391282</v>
      </c>
      <c r="J7928" s="112">
        <f t="shared" si="3844"/>
        <v>100.32305000000031</v>
      </c>
      <c r="K7928" s="211">
        <f t="shared" si="3845"/>
        <v>100.32305000000031</v>
      </c>
      <c r="L7928" s="44"/>
      <c r="M7928" s="44">
        <f t="shared" si="3846"/>
        <v>100.32305000000031</v>
      </c>
      <c r="N7928" s="173">
        <f t="shared" si="3847"/>
        <v>1</v>
      </c>
      <c r="O7928" s="44">
        <f t="shared" si="3848"/>
        <v>3571</v>
      </c>
      <c r="P7928" s="44">
        <f t="shared" si="3849"/>
        <v>358253.61155000108</v>
      </c>
      <c r="Q7928" s="44">
        <f t="shared" si="3850"/>
        <v>3116.1841176470598</v>
      </c>
      <c r="R7928" s="44">
        <f t="shared" si="3851"/>
        <v>312625.09504391282</v>
      </c>
      <c r="S7928" s="123"/>
      <c r="T7928" s="219">
        <f t="shared" si="3852"/>
        <v>312625.09504391282</v>
      </c>
      <c r="U7928" s="87"/>
      <c r="V7928" s="47"/>
      <c r="W7928" s="48"/>
      <c r="X7928" s="48"/>
      <c r="Y7928" s="48"/>
      <c r="Z7928" s="135"/>
      <c r="AA7928" s="49"/>
      <c r="AB7928" s="50">
        <f t="shared" si="3853"/>
        <v>3116.1841176470598</v>
      </c>
      <c r="AC7928" s="42">
        <f t="shared" si="3854"/>
        <v>100.32305000000031</v>
      </c>
      <c r="AD7928" s="90">
        <f>AD7929+AD7939</f>
        <v>312625.09504391282</v>
      </c>
      <c r="AE7928" s="188">
        <f t="shared" ref="AE7928" si="5521">AE7929+AE7939</f>
        <v>0</v>
      </c>
      <c r="AF7928" s="189">
        <f t="shared" ref="AF7928" si="5522">AF7929+AF7939</f>
        <v>0</v>
      </c>
      <c r="AG7928" s="189">
        <f t="shared" ref="AG7928" si="5523">AG7929+AG7939</f>
        <v>0</v>
      </c>
      <c r="AH7928" s="189">
        <f t="shared" ref="AH7928" si="5524">AH7929+AH7939</f>
        <v>0</v>
      </c>
      <c r="AI7928" s="161">
        <f t="shared" ref="AI7928" si="5525">SUM(AE7928:AH7928)</f>
        <v>0</v>
      </c>
      <c r="AK7928" s="169">
        <v>5</v>
      </c>
      <c r="AO7928" s="19" t="s">
        <v>63</v>
      </c>
    </row>
    <row r="7929" spans="1:41" s="103" customFormat="1" ht="19.899999999999999" customHeight="1" x14ac:dyDescent="0.25">
      <c r="A7929" s="51"/>
      <c r="B7929" s="52"/>
      <c r="C7929" s="165"/>
      <c r="D7929" s="52"/>
      <c r="E7929" s="115"/>
      <c r="F7929" s="58"/>
      <c r="G7929" s="58"/>
      <c r="H7929" s="58"/>
      <c r="I7929" s="55"/>
      <c r="J7929" s="113">
        <f>J7928</f>
        <v>100.32305000000031</v>
      </c>
      <c r="K7929" s="212">
        <f>K7928</f>
        <v>100.32305000000031</v>
      </c>
      <c r="L7929" s="58"/>
      <c r="M7929" s="58">
        <f>K7929-L7929</f>
        <v>100.32305000000031</v>
      </c>
      <c r="N7929" s="166"/>
      <c r="O7929" s="58"/>
      <c r="P7929" s="58"/>
      <c r="Q7929" s="58"/>
      <c r="R7929" s="58"/>
      <c r="S7929" s="58"/>
      <c r="T7929" s="220"/>
      <c r="U7929" s="88"/>
      <c r="V7929" s="56"/>
      <c r="W7929" s="57" t="s">
        <v>1110</v>
      </c>
      <c r="X7929" s="53"/>
      <c r="Y7929" s="91" t="s">
        <v>68</v>
      </c>
      <c r="Z7929" s="136">
        <f>AD7929/AC7929</f>
        <v>63.634117647058829</v>
      </c>
      <c r="AA7929" s="58"/>
      <c r="AB7929" s="53">
        <f>AD7929/AC7929</f>
        <v>63.634117647058829</v>
      </c>
      <c r="AC7929" s="53">
        <f>M7929+$AE$10</f>
        <v>100.32305000000031</v>
      </c>
      <c r="AD7929" s="54">
        <f>SUM(AD7930:AD7938)</f>
        <v>6383.9687664117846</v>
      </c>
      <c r="AE7929" s="184">
        <f>SUMIFS($AD$37:$AD$12971,$V$37:$V$12971,$V7929,$X$37:$X$12971,AE$13)</f>
        <v>0</v>
      </c>
      <c r="AF7929" s="185">
        <f>SUMIFS($AD$37:$AD$12971,$V$37:$V$12971,$V7929,$X$37:$X$12971,AF$13)</f>
        <v>0</v>
      </c>
      <c r="AG7929" s="185">
        <f>SUMIFS($AD$37:$AD$12971,$V$37:$V$12971,$V7929,$X$37:$X$12971,AG$13)</f>
        <v>0</v>
      </c>
      <c r="AH7929" s="187">
        <f>SUMIFS($AD$37:$AD$12971,$V$37:$V$12971,$V7929,$X$37:$X$12971,AH$13)</f>
        <v>0</v>
      </c>
      <c r="AI7929" s="161">
        <f t="shared" ref="AI7929" si="5526">SUM(AE7929:AH7929)</f>
        <v>0</v>
      </c>
      <c r="AK7929" s="172"/>
    </row>
    <row r="7930" spans="1:41" s="102" customFormat="1" ht="19.899999999999999" customHeight="1" x14ac:dyDescent="0.25">
      <c r="A7930" s="45"/>
      <c r="B7930" s="59"/>
      <c r="C7930" s="137"/>
      <c r="D7930" s="59"/>
      <c r="E7930" s="116"/>
      <c r="F7930" s="120"/>
      <c r="G7930" s="120"/>
      <c r="H7930" s="120"/>
      <c r="I7930" s="60"/>
      <c r="J7930" s="116"/>
      <c r="K7930" s="213"/>
      <c r="L7930" s="120"/>
      <c r="M7930" s="120"/>
      <c r="N7930" s="167"/>
      <c r="O7930" s="120"/>
      <c r="P7930" s="120"/>
      <c r="Q7930" s="120"/>
      <c r="R7930" s="120"/>
      <c r="S7930" s="120"/>
      <c r="T7930" s="221"/>
      <c r="U7930" s="89"/>
      <c r="V7930" s="61"/>
      <c r="W7930" s="92" t="s">
        <v>129</v>
      </c>
      <c r="X7930" s="93" t="s">
        <v>29</v>
      </c>
      <c r="Y7930" s="93" t="s">
        <v>93</v>
      </c>
      <c r="Z7930" s="134">
        <f>VLOOKUP(W7930,Sheet2!$B:$D,3,FALSE)</f>
        <v>56</v>
      </c>
      <c r="AA7930" s="93">
        <f>100/(2.4*2.5)</f>
        <v>16.666666666666668</v>
      </c>
      <c r="AB7930" s="93">
        <f t="shared" ref="AB7930" si="5527">AD7930/AC7929</f>
        <v>3.36</v>
      </c>
      <c r="AC7930" s="93">
        <f>AC7929/AA7930</f>
        <v>6.0193830000000181</v>
      </c>
      <c r="AD7930" s="94">
        <f t="shared" ref="AD7930:AD7931" si="5528">AC7930*Z7930</f>
        <v>337.08544800000101</v>
      </c>
      <c r="AE7930" s="190"/>
      <c r="AF7930" s="191"/>
      <c r="AG7930" s="191"/>
      <c r="AH7930" s="191"/>
      <c r="AI7930" s="186"/>
      <c r="AK7930" s="171"/>
    </row>
    <row r="7931" spans="1:41" s="102" customFormat="1" ht="19.899999999999999" customHeight="1" x14ac:dyDescent="0.25">
      <c r="A7931" s="45"/>
      <c r="B7931" s="59"/>
      <c r="C7931" s="137"/>
      <c r="D7931" s="59"/>
      <c r="E7931" s="116"/>
      <c r="F7931" s="120"/>
      <c r="G7931" s="120"/>
      <c r="H7931" s="120"/>
      <c r="I7931" s="60"/>
      <c r="J7931" s="116"/>
      <c r="K7931" s="213"/>
      <c r="L7931" s="120"/>
      <c r="M7931" s="120"/>
      <c r="N7931" s="167"/>
      <c r="O7931" s="120"/>
      <c r="P7931" s="120"/>
      <c r="Q7931" s="120"/>
      <c r="R7931" s="120"/>
      <c r="S7931" s="120"/>
      <c r="T7931" s="221"/>
      <c r="U7931" s="89"/>
      <c r="V7931" s="61"/>
      <c r="W7931" s="92" t="s">
        <v>65</v>
      </c>
      <c r="X7931" s="93" t="s">
        <v>30</v>
      </c>
      <c r="Y7931" s="93" t="s">
        <v>1011</v>
      </c>
      <c r="Z7931" s="134">
        <f>VLOOKUP(W7931,Sheet2!$B:$D,3,FALSE)</f>
        <v>1.76</v>
      </c>
      <c r="AA7931" s="93">
        <f>AA7930/14</f>
        <v>1.1904761904761905</v>
      </c>
      <c r="AB7931" s="93">
        <f>AD7931/AC7929</f>
        <v>1.4783999999999999</v>
      </c>
      <c r="AC7931" s="93">
        <f>AC7929/AA7931</f>
        <v>84.271362000000252</v>
      </c>
      <c r="AD7931" s="94">
        <f t="shared" si="5528"/>
        <v>148.31759712000044</v>
      </c>
      <c r="AE7931" s="190"/>
      <c r="AF7931" s="191"/>
      <c r="AG7931" s="191"/>
      <c r="AH7931" s="191"/>
      <c r="AI7931" s="186"/>
      <c r="AK7931" s="171"/>
    </row>
    <row r="7932" spans="1:41" s="102" customFormat="1" ht="19.899999999999999" customHeight="1" x14ac:dyDescent="0.25">
      <c r="A7932" s="45"/>
      <c r="B7932" s="59"/>
      <c r="C7932" s="137"/>
      <c r="D7932" s="59"/>
      <c r="E7932" s="116"/>
      <c r="F7932" s="120"/>
      <c r="G7932" s="120"/>
      <c r="H7932" s="120"/>
      <c r="I7932" s="60"/>
      <c r="J7932" s="116"/>
      <c r="K7932" s="213"/>
      <c r="L7932" s="120"/>
      <c r="M7932" s="120"/>
      <c r="N7932" s="167"/>
      <c r="O7932" s="120"/>
      <c r="P7932" s="120"/>
      <c r="Q7932" s="120"/>
      <c r="R7932" s="120"/>
      <c r="S7932" s="120"/>
      <c r="T7932" s="221"/>
      <c r="U7932" s="89"/>
      <c r="V7932" s="61"/>
      <c r="W7932" s="92" t="s">
        <v>161</v>
      </c>
      <c r="X7932" s="93" t="s">
        <v>29</v>
      </c>
      <c r="Y7932" s="93" t="s">
        <v>93</v>
      </c>
      <c r="Z7932" s="134">
        <f>VLOOKUP(W7932,Sheet2!$B:$D,3,FALSE)</f>
        <v>48</v>
      </c>
      <c r="AA7932" s="93">
        <f>(16*0.85*1.5)/(2.4*2.5)</f>
        <v>3.4</v>
      </c>
      <c r="AB7932" s="93">
        <f>AD7932/AC7929</f>
        <v>14.117647058823529</v>
      </c>
      <c r="AC7932" s="93">
        <f>AC7929/AA7932</f>
        <v>29.506779411764796</v>
      </c>
      <c r="AD7932" s="94">
        <f>AC7932*Z7932</f>
        <v>1416.3254117647102</v>
      </c>
      <c r="AE7932" s="190"/>
      <c r="AF7932" s="191"/>
      <c r="AG7932" s="191"/>
      <c r="AH7932" s="191"/>
      <c r="AI7932" s="186"/>
      <c r="AK7932" s="171"/>
    </row>
    <row r="7933" spans="1:41" s="102" customFormat="1" ht="19.899999999999999" customHeight="1" x14ac:dyDescent="0.25">
      <c r="A7933" s="45"/>
      <c r="B7933" s="59"/>
      <c r="C7933" s="137"/>
      <c r="D7933" s="59"/>
      <c r="E7933" s="116"/>
      <c r="F7933" s="120"/>
      <c r="G7933" s="120"/>
      <c r="H7933" s="120"/>
      <c r="I7933" s="60"/>
      <c r="J7933" s="116"/>
      <c r="K7933" s="213"/>
      <c r="L7933" s="120"/>
      <c r="M7933" s="120"/>
      <c r="N7933" s="167"/>
      <c r="O7933" s="120"/>
      <c r="P7933" s="120"/>
      <c r="Q7933" s="120"/>
      <c r="R7933" s="120"/>
      <c r="S7933" s="120"/>
      <c r="T7933" s="221"/>
      <c r="U7933" s="89"/>
      <c r="V7933" s="61"/>
      <c r="W7933" s="92" t="s">
        <v>65</v>
      </c>
      <c r="X7933" s="93" t="s">
        <v>30</v>
      </c>
      <c r="Y7933" s="93" t="s">
        <v>1011</v>
      </c>
      <c r="Z7933" s="134">
        <f>VLOOKUP(W7933,Sheet2!$B:$D,3,FALSE)</f>
        <v>1.76</v>
      </c>
      <c r="AA7933" s="93">
        <f>AA7932/10</f>
        <v>0.33999999999999997</v>
      </c>
      <c r="AB7933" s="93">
        <f>AD7933/AC7929</f>
        <v>5.1764705882352944</v>
      </c>
      <c r="AC7933" s="93">
        <f>AC7929/AA7933</f>
        <v>295.06779411764796</v>
      </c>
      <c r="AD7933" s="94">
        <f>AC7933*Z7933</f>
        <v>519.31931764706042</v>
      </c>
      <c r="AE7933" s="190"/>
      <c r="AF7933" s="191"/>
      <c r="AG7933" s="191"/>
      <c r="AH7933" s="191"/>
      <c r="AI7933" s="186"/>
      <c r="AK7933" s="171"/>
    </row>
    <row r="7934" spans="1:41" s="102" customFormat="1" ht="19.899999999999999" customHeight="1" x14ac:dyDescent="0.25">
      <c r="A7934" s="45"/>
      <c r="B7934" s="59"/>
      <c r="C7934" s="137"/>
      <c r="D7934" s="59"/>
      <c r="E7934" s="116"/>
      <c r="F7934" s="120"/>
      <c r="G7934" s="120"/>
      <c r="H7934" s="120"/>
      <c r="I7934" s="60"/>
      <c r="J7934" s="116"/>
      <c r="K7934" s="213"/>
      <c r="L7934" s="120"/>
      <c r="M7934" s="120"/>
      <c r="N7934" s="167"/>
      <c r="O7934" s="120"/>
      <c r="P7934" s="120"/>
      <c r="Q7934" s="120"/>
      <c r="R7934" s="120"/>
      <c r="S7934" s="120"/>
      <c r="T7934" s="221"/>
      <c r="U7934" s="89"/>
      <c r="V7934" s="61"/>
      <c r="W7934" s="92" t="s">
        <v>1030</v>
      </c>
      <c r="X7934" s="93" t="s">
        <v>29</v>
      </c>
      <c r="Y7934" s="93" t="s">
        <v>93</v>
      </c>
      <c r="Z7934" s="134">
        <f>VLOOKUP(W7934,Sheet2!$B:$D,3,FALSE)</f>
        <v>23</v>
      </c>
      <c r="AA7934" s="93">
        <v>50</v>
      </c>
      <c r="AB7934" s="93">
        <f>AD7934/AC7929</f>
        <v>0.45999999999999996</v>
      </c>
      <c r="AC7934" s="93">
        <f>AC7929/AA7934</f>
        <v>2.006461000000006</v>
      </c>
      <c r="AD7934" s="94">
        <f t="shared" ref="AD7934:AD7938" si="5529">AC7934*Z7934</f>
        <v>46.148603000000136</v>
      </c>
      <c r="AE7934" s="190"/>
      <c r="AF7934" s="191"/>
      <c r="AG7934" s="191"/>
      <c r="AH7934" s="191"/>
      <c r="AI7934" s="186"/>
      <c r="AK7934" s="171"/>
    </row>
    <row r="7935" spans="1:41" s="102" customFormat="1" ht="19.899999999999999" customHeight="1" x14ac:dyDescent="0.25">
      <c r="A7935" s="45"/>
      <c r="B7935" s="59"/>
      <c r="C7935" s="137"/>
      <c r="D7935" s="59"/>
      <c r="E7935" s="116"/>
      <c r="F7935" s="120"/>
      <c r="G7935" s="120"/>
      <c r="H7935" s="120"/>
      <c r="I7935" s="60"/>
      <c r="J7935" s="116"/>
      <c r="K7935" s="213"/>
      <c r="L7935" s="120"/>
      <c r="M7935" s="120"/>
      <c r="N7935" s="167"/>
      <c r="O7935" s="120"/>
      <c r="P7935" s="120"/>
      <c r="Q7935" s="120"/>
      <c r="R7935" s="120"/>
      <c r="S7935" s="120"/>
      <c r="T7935" s="221"/>
      <c r="U7935" s="89"/>
      <c r="V7935" s="61"/>
      <c r="W7935" s="92" t="s">
        <v>65</v>
      </c>
      <c r="X7935" s="93" t="s">
        <v>30</v>
      </c>
      <c r="Y7935" s="93" t="s">
        <v>1011</v>
      </c>
      <c r="Z7935" s="134">
        <f>VLOOKUP(W7935,Sheet2!$B:$D,3,FALSE)</f>
        <v>1.76</v>
      </c>
      <c r="AA7935" s="93">
        <f>AA7934/3</f>
        <v>16.666666666666668</v>
      </c>
      <c r="AB7935" s="93">
        <f>AD7935/AC7929</f>
        <v>0.1056</v>
      </c>
      <c r="AC7935" s="93">
        <f>AC7929/AA7935</f>
        <v>6.0193830000000181</v>
      </c>
      <c r="AD7935" s="94">
        <f t="shared" si="5529"/>
        <v>10.594114080000033</v>
      </c>
      <c r="AE7935" s="190"/>
      <c r="AF7935" s="191"/>
      <c r="AG7935" s="191"/>
      <c r="AH7935" s="191"/>
      <c r="AI7935" s="186"/>
      <c r="AK7935" s="171"/>
    </row>
    <row r="7936" spans="1:41" s="102" customFormat="1" ht="19.899999999999999" customHeight="1" x14ac:dyDescent="0.25">
      <c r="A7936" s="45"/>
      <c r="B7936" s="59"/>
      <c r="C7936" s="137"/>
      <c r="D7936" s="59"/>
      <c r="E7936" s="116"/>
      <c r="F7936" s="120"/>
      <c r="G7936" s="120"/>
      <c r="H7936" s="120"/>
      <c r="I7936" s="60"/>
      <c r="J7936" s="116"/>
      <c r="K7936" s="213"/>
      <c r="L7936" s="120"/>
      <c r="M7936" s="120"/>
      <c r="N7936" s="167"/>
      <c r="O7936" s="120"/>
      <c r="P7936" s="120"/>
      <c r="Q7936" s="120"/>
      <c r="R7936" s="120"/>
      <c r="S7936" s="120"/>
      <c r="T7936" s="221"/>
      <c r="U7936" s="89"/>
      <c r="V7936" s="61"/>
      <c r="W7936" s="92" t="s">
        <v>148</v>
      </c>
      <c r="X7936" s="93" t="s">
        <v>29</v>
      </c>
      <c r="Y7936" s="93" t="s">
        <v>93</v>
      </c>
      <c r="Z7936" s="134">
        <f>VLOOKUP(W7936,Sheet2!$B:$D,3,FALSE)</f>
        <v>48</v>
      </c>
      <c r="AA7936" s="93">
        <f>AA7930</f>
        <v>16.666666666666668</v>
      </c>
      <c r="AB7936" s="93">
        <f>AD7936/AC7929</f>
        <v>2.88</v>
      </c>
      <c r="AC7936" s="93">
        <f>AC7929/AA7936</f>
        <v>6.0193830000000181</v>
      </c>
      <c r="AD7936" s="94">
        <f t="shared" si="5529"/>
        <v>288.93038400000086</v>
      </c>
      <c r="AE7936" s="190"/>
      <c r="AF7936" s="191"/>
      <c r="AG7936" s="191"/>
      <c r="AH7936" s="191"/>
      <c r="AI7936" s="186"/>
      <c r="AK7936" s="171"/>
    </row>
    <row r="7937" spans="1:41" s="102" customFormat="1" ht="19.899999999999999" customHeight="1" x14ac:dyDescent="0.25">
      <c r="A7937" s="45"/>
      <c r="B7937" s="59"/>
      <c r="C7937" s="137"/>
      <c r="D7937" s="59"/>
      <c r="E7937" s="116"/>
      <c r="F7937" s="120"/>
      <c r="G7937" s="120"/>
      <c r="H7937" s="120"/>
      <c r="I7937" s="60"/>
      <c r="J7937" s="116"/>
      <c r="K7937" s="213"/>
      <c r="L7937" s="120"/>
      <c r="M7937" s="120"/>
      <c r="N7937" s="167"/>
      <c r="O7937" s="120"/>
      <c r="P7937" s="120"/>
      <c r="Q7937" s="120"/>
      <c r="R7937" s="120"/>
      <c r="S7937" s="120"/>
      <c r="T7937" s="221"/>
      <c r="U7937" s="89"/>
      <c r="V7937" s="61"/>
      <c r="W7937" s="92" t="s">
        <v>65</v>
      </c>
      <c r="X7937" s="93" t="s">
        <v>30</v>
      </c>
      <c r="Y7937" s="93" t="s">
        <v>1011</v>
      </c>
      <c r="Z7937" s="134">
        <f>VLOOKUP(W7937,Sheet2!$B:$D,3,FALSE)</f>
        <v>1.76</v>
      </c>
      <c r="AA7937" s="93">
        <f>AA7936/10</f>
        <v>1.6666666666666667</v>
      </c>
      <c r="AB7937" s="93">
        <f>AD7937/AC7929</f>
        <v>1.056</v>
      </c>
      <c r="AC7937" s="93">
        <f>AC7929/AA7937</f>
        <v>60.193830000000183</v>
      </c>
      <c r="AD7937" s="94">
        <f t="shared" si="5529"/>
        <v>105.94114080000033</v>
      </c>
      <c r="AE7937" s="190"/>
      <c r="AF7937" s="191"/>
      <c r="AG7937" s="191"/>
      <c r="AH7937" s="191"/>
      <c r="AI7937" s="186"/>
      <c r="AK7937" s="171"/>
    </row>
    <row r="7938" spans="1:41" s="102" customFormat="1" ht="19.899999999999999" customHeight="1" x14ac:dyDescent="0.25">
      <c r="A7938" s="45"/>
      <c r="B7938" s="59"/>
      <c r="C7938" s="137"/>
      <c r="D7938" s="59"/>
      <c r="E7938" s="116"/>
      <c r="F7938" s="120"/>
      <c r="G7938" s="120"/>
      <c r="H7938" s="120"/>
      <c r="I7938" s="60"/>
      <c r="J7938" s="116"/>
      <c r="K7938" s="213"/>
      <c r="L7938" s="120"/>
      <c r="M7938" s="120"/>
      <c r="N7938" s="167"/>
      <c r="O7938" s="120"/>
      <c r="P7938" s="120"/>
      <c r="Q7938" s="120"/>
      <c r="R7938" s="120"/>
      <c r="S7938" s="120"/>
      <c r="T7938" s="221"/>
      <c r="U7938" s="89"/>
      <c r="V7938" s="61"/>
      <c r="W7938" s="92" t="s">
        <v>1048</v>
      </c>
      <c r="X7938" s="93" t="s">
        <v>30</v>
      </c>
      <c r="Y7938" s="93" t="s">
        <v>68</v>
      </c>
      <c r="Z7938" s="134">
        <f>VLOOKUP(W7938,Sheet2!$B:$D,3,FALSE)</f>
        <v>35</v>
      </c>
      <c r="AA7938" s="93">
        <v>1</v>
      </c>
      <c r="AB7938" s="93">
        <f>AD7938/AC7929</f>
        <v>35</v>
      </c>
      <c r="AC7938" s="93">
        <f>AC7929/AA7938</f>
        <v>100.32305000000031</v>
      </c>
      <c r="AD7938" s="94">
        <f t="shared" si="5529"/>
        <v>3511.3067500000107</v>
      </c>
      <c r="AE7938" s="190"/>
      <c r="AF7938" s="191"/>
      <c r="AG7938" s="191"/>
      <c r="AH7938" s="191"/>
      <c r="AI7938" s="186"/>
      <c r="AK7938" s="171"/>
    </row>
    <row r="7939" spans="1:41" s="103" customFormat="1" ht="19.899999999999999" customHeight="1" x14ac:dyDescent="0.25">
      <c r="A7939" s="51"/>
      <c r="B7939" s="52"/>
      <c r="C7939" s="165"/>
      <c r="D7939" s="52"/>
      <c r="E7939" s="115"/>
      <c r="F7939" s="58"/>
      <c r="G7939" s="58"/>
      <c r="H7939" s="58"/>
      <c r="I7939" s="55"/>
      <c r="J7939" s="113">
        <f>J7928</f>
        <v>100.32305000000031</v>
      </c>
      <c r="K7939" s="212">
        <f>K7928</f>
        <v>100.32305000000031</v>
      </c>
      <c r="L7939" s="58"/>
      <c r="M7939" s="58">
        <f>K7939-L7939</f>
        <v>100.32305000000031</v>
      </c>
      <c r="N7939" s="166"/>
      <c r="O7939" s="58"/>
      <c r="P7939" s="58"/>
      <c r="Q7939" s="58"/>
      <c r="R7939" s="58"/>
      <c r="S7939" s="58"/>
      <c r="T7939" s="220"/>
      <c r="U7939" s="88"/>
      <c r="V7939" s="56"/>
      <c r="W7939" s="57" t="s">
        <v>1114</v>
      </c>
      <c r="X7939" s="53"/>
      <c r="Y7939" s="91" t="s">
        <v>68</v>
      </c>
      <c r="Z7939" s="136">
        <f>AD7939/AC7939</f>
        <v>3052.5500000000011</v>
      </c>
      <c r="AA7939" s="58"/>
      <c r="AB7939" s="53">
        <f>AD7939/AC7939</f>
        <v>3052.5500000000011</v>
      </c>
      <c r="AC7939" s="53">
        <f>M7939+$AE$10</f>
        <v>100.32305000000031</v>
      </c>
      <c r="AD7939" s="54">
        <f>SUM(AD7940:AD7943)</f>
        <v>306241.12627750105</v>
      </c>
      <c r="AE7939" s="184">
        <f>SUMIFS($AD$37:$AD$12971,$V$37:$V$12971,$V7939,$X$37:$X$12971,AE$13)</f>
        <v>0</v>
      </c>
      <c r="AF7939" s="185">
        <f>SUMIFS($AD$37:$AD$12971,$V$37:$V$12971,$V7939,$X$37:$X$12971,AF$13)</f>
        <v>0</v>
      </c>
      <c r="AG7939" s="185">
        <f>SUMIFS($AD$37:$AD$12971,$V$37:$V$12971,$V7939,$X$37:$X$12971,AG$13)</f>
        <v>0</v>
      </c>
      <c r="AH7939" s="187">
        <f>SUMIFS($AD$37:$AD$12971,$V$37:$V$12971,$V7939,$X$37:$X$12971,AH$13)</f>
        <v>0</v>
      </c>
      <c r="AI7939" s="161">
        <f t="shared" ref="AI7939" si="5530">SUM(AE7939:AH7939)</f>
        <v>0</v>
      </c>
      <c r="AK7939" s="172"/>
    </row>
    <row r="7940" spans="1:41" s="102" customFormat="1" ht="19.899999999999999" customHeight="1" x14ac:dyDescent="0.25">
      <c r="A7940" s="45"/>
      <c r="B7940" s="59"/>
      <c r="C7940" s="137"/>
      <c r="D7940" s="59"/>
      <c r="E7940" s="116"/>
      <c r="F7940" s="120"/>
      <c r="G7940" s="120"/>
      <c r="H7940" s="120"/>
      <c r="I7940" s="60"/>
      <c r="J7940" s="116"/>
      <c r="K7940" s="213"/>
      <c r="L7940" s="120"/>
      <c r="M7940" s="120"/>
      <c r="N7940" s="167"/>
      <c r="O7940" s="120"/>
      <c r="P7940" s="120"/>
      <c r="Q7940" s="120"/>
      <c r="R7940" s="120"/>
      <c r="S7940" s="120"/>
      <c r="T7940" s="221"/>
      <c r="U7940" s="89"/>
      <c r="V7940" s="61"/>
      <c r="W7940" s="92" t="s">
        <v>1105</v>
      </c>
      <c r="X7940" s="93" t="s">
        <v>30</v>
      </c>
      <c r="Y7940" s="93" t="s">
        <v>66</v>
      </c>
      <c r="Z7940" s="134">
        <f>VLOOKUP(W7940,Sheet2!$B:$D,3,FALSE)</f>
        <v>2200</v>
      </c>
      <c r="AA7940" s="93">
        <f>1/((1.6*1.3)-(1*0.7))</f>
        <v>0.72463768115942018</v>
      </c>
      <c r="AB7940" s="93">
        <f>AD7940/AC7939</f>
        <v>3036.0000000000009</v>
      </c>
      <c r="AC7940" s="93">
        <f>AC7939/AA7940</f>
        <v>138.44580900000045</v>
      </c>
      <c r="AD7940" s="94">
        <f t="shared" ref="AD7940" si="5531">AC7940*Z7940</f>
        <v>304580.77980000101</v>
      </c>
      <c r="AE7940" s="190"/>
      <c r="AF7940" s="191"/>
      <c r="AG7940" s="191"/>
      <c r="AH7940" s="191"/>
      <c r="AI7940" s="186"/>
      <c r="AK7940" s="171"/>
    </row>
    <row r="7941" spans="1:41" s="102" customFormat="1" ht="19.899999999999999" customHeight="1" x14ac:dyDescent="0.25">
      <c r="A7941" s="45"/>
      <c r="B7941" s="59"/>
      <c r="C7941" s="137"/>
      <c r="D7941" s="59"/>
      <c r="E7941" s="116"/>
      <c r="F7941" s="120"/>
      <c r="G7941" s="120"/>
      <c r="H7941" s="120"/>
      <c r="I7941" s="60"/>
      <c r="J7941" s="116"/>
      <c r="K7941" s="213"/>
      <c r="L7941" s="120"/>
      <c r="M7941" s="120"/>
      <c r="N7941" s="167"/>
      <c r="O7941" s="120"/>
      <c r="P7941" s="120"/>
      <c r="Q7941" s="120"/>
      <c r="R7941" s="120"/>
      <c r="S7941" s="120"/>
      <c r="T7941" s="221"/>
      <c r="U7941" s="89"/>
      <c r="V7941" s="61"/>
      <c r="W7941" s="92" t="s">
        <v>174</v>
      </c>
      <c r="X7941" s="93" t="s">
        <v>29</v>
      </c>
      <c r="Y7941" s="93" t="s">
        <v>93</v>
      </c>
      <c r="Z7941" s="134">
        <f>VLOOKUP(W7941,Sheet2!$B:$D,3,FALSE)</f>
        <v>80</v>
      </c>
      <c r="AA7941" s="93">
        <f>4*2</f>
        <v>8</v>
      </c>
      <c r="AB7941" s="93">
        <f>AD7941/AC7939</f>
        <v>10</v>
      </c>
      <c r="AC7941" s="93">
        <f>AC7939/AA7941</f>
        <v>12.540381250000038</v>
      </c>
      <c r="AD7941" s="94">
        <f>AC7941*Z7941</f>
        <v>1003.2305000000031</v>
      </c>
      <c r="AE7941" s="190"/>
      <c r="AF7941" s="191"/>
      <c r="AG7941" s="191"/>
      <c r="AH7941" s="191"/>
      <c r="AI7941" s="186"/>
      <c r="AK7941" s="171"/>
    </row>
    <row r="7942" spans="1:41" s="102" customFormat="1" ht="19.899999999999999" customHeight="1" x14ac:dyDescent="0.25">
      <c r="A7942" s="45"/>
      <c r="B7942" s="59"/>
      <c r="C7942" s="137"/>
      <c r="D7942" s="59"/>
      <c r="E7942" s="116"/>
      <c r="F7942" s="120"/>
      <c r="G7942" s="120"/>
      <c r="H7942" s="120"/>
      <c r="I7942" s="60"/>
      <c r="J7942" s="116"/>
      <c r="K7942" s="213"/>
      <c r="L7942" s="120"/>
      <c r="M7942" s="120"/>
      <c r="N7942" s="167"/>
      <c r="O7942" s="120"/>
      <c r="P7942" s="120"/>
      <c r="Q7942" s="120"/>
      <c r="R7942" s="120"/>
      <c r="S7942" s="120"/>
      <c r="T7942" s="221"/>
      <c r="U7942" s="89"/>
      <c r="V7942" s="61"/>
      <c r="W7942" s="92" t="s">
        <v>65</v>
      </c>
      <c r="X7942" s="93" t="s">
        <v>30</v>
      </c>
      <c r="Y7942" s="93" t="s">
        <v>1011</v>
      </c>
      <c r="Z7942" s="134">
        <f>VLOOKUP(W7942,Sheet2!$B:$D,3,FALSE)</f>
        <v>1.76</v>
      </c>
      <c r="AA7942" s="93">
        <f>AA7941/15</f>
        <v>0.53333333333333333</v>
      </c>
      <c r="AB7942" s="93">
        <f>AD7942/AC7939</f>
        <v>3.3000000000000003</v>
      </c>
      <c r="AC7942" s="93">
        <f>AC7939/AA7942</f>
        <v>188.10571875000059</v>
      </c>
      <c r="AD7942" s="94">
        <f t="shared" ref="AD7942" si="5532">AC7942*Z7942</f>
        <v>331.06606500000106</v>
      </c>
      <c r="AE7942" s="190"/>
      <c r="AF7942" s="191"/>
      <c r="AG7942" s="191"/>
      <c r="AH7942" s="191"/>
      <c r="AI7942" s="186"/>
      <c r="AK7942" s="171"/>
    </row>
    <row r="7943" spans="1:41" s="102" customFormat="1" ht="19.899999999999999" customHeight="1" x14ac:dyDescent="0.25">
      <c r="A7943" s="45"/>
      <c r="B7943" s="59"/>
      <c r="C7943" s="137"/>
      <c r="D7943" s="59"/>
      <c r="E7943" s="116"/>
      <c r="F7943" s="120"/>
      <c r="G7943" s="120"/>
      <c r="H7943" s="120"/>
      <c r="I7943" s="60"/>
      <c r="J7943" s="116"/>
      <c r="K7943" s="213"/>
      <c r="L7943" s="120"/>
      <c r="M7943" s="120"/>
      <c r="N7943" s="167"/>
      <c r="O7943" s="120"/>
      <c r="P7943" s="120"/>
      <c r="Q7943" s="120"/>
      <c r="R7943" s="120"/>
      <c r="S7943" s="120"/>
      <c r="T7943" s="221"/>
      <c r="U7943" s="89"/>
      <c r="V7943" s="61"/>
      <c r="W7943" s="92" t="s">
        <v>112</v>
      </c>
      <c r="X7943" s="93" t="s">
        <v>31</v>
      </c>
      <c r="Y7943" s="93" t="s">
        <v>93</v>
      </c>
      <c r="Z7943" s="134">
        <f>VLOOKUP(W7943,Sheet2!$B:$D,3,FALSE)</f>
        <v>13</v>
      </c>
      <c r="AA7943" s="93">
        <f>AA7941/2</f>
        <v>4</v>
      </c>
      <c r="AB7943" s="93">
        <f>AD7943/AC7939</f>
        <v>3.2500000000000004</v>
      </c>
      <c r="AC7943" s="93">
        <f>AC7939/AA7943</f>
        <v>25.080762500000077</v>
      </c>
      <c r="AD7943" s="94">
        <f>AC7943*Z7943</f>
        <v>326.04991250000103</v>
      </c>
      <c r="AE7943" s="190"/>
      <c r="AF7943" s="191"/>
      <c r="AG7943" s="191"/>
      <c r="AH7943" s="191"/>
      <c r="AI7943" s="186"/>
      <c r="AK7943" s="171"/>
    </row>
    <row r="7944" spans="1:41" ht="20.100000000000001" customHeight="1" x14ac:dyDescent="0.25">
      <c r="A7944" s="277" t="s">
        <v>703</v>
      </c>
      <c r="B7944" s="278"/>
      <c r="C7944" s="64" t="s">
        <v>766</v>
      </c>
      <c r="D7944" s="46" t="s">
        <v>97</v>
      </c>
      <c r="E7944" s="114">
        <v>58.393910000000119</v>
      </c>
      <c r="F7944" s="44">
        <v>3707</v>
      </c>
      <c r="G7944" s="44">
        <f t="shared" si="3841"/>
        <v>216466.22437000045</v>
      </c>
      <c r="H7944" s="44">
        <f t="shared" si="3842"/>
        <v>3146.7978211764712</v>
      </c>
      <c r="I7944" s="43">
        <f t="shared" si="3843"/>
        <v>183753.82875797534</v>
      </c>
      <c r="J7944" s="112">
        <f t="shared" si="3844"/>
        <v>58.393910000000119</v>
      </c>
      <c r="K7944" s="211">
        <f t="shared" si="3845"/>
        <v>58.393910000000119</v>
      </c>
      <c r="L7944" s="44"/>
      <c r="M7944" s="44">
        <f t="shared" si="3846"/>
        <v>58.393910000000119</v>
      </c>
      <c r="N7944" s="173">
        <f t="shared" si="3847"/>
        <v>1</v>
      </c>
      <c r="O7944" s="44">
        <f t="shared" si="3848"/>
        <v>3707</v>
      </c>
      <c r="P7944" s="44">
        <f t="shared" si="3849"/>
        <v>216466.22437000045</v>
      </c>
      <c r="Q7944" s="44">
        <f t="shared" si="3850"/>
        <v>3146.7978211764712</v>
      </c>
      <c r="R7944" s="44">
        <f t="shared" si="3851"/>
        <v>183753.82875797534</v>
      </c>
      <c r="S7944" s="123"/>
      <c r="T7944" s="219">
        <f t="shared" si="3852"/>
        <v>183753.82875797534</v>
      </c>
      <c r="U7944" s="87"/>
      <c r="V7944" s="47"/>
      <c r="W7944" s="48"/>
      <c r="X7944" s="48"/>
      <c r="Y7944" s="48"/>
      <c r="Z7944" s="135"/>
      <c r="AA7944" s="49"/>
      <c r="AB7944" s="50">
        <f t="shared" si="3853"/>
        <v>3146.7978211764712</v>
      </c>
      <c r="AC7944" s="42">
        <f t="shared" si="3854"/>
        <v>58.393910000000119</v>
      </c>
      <c r="AD7944" s="90">
        <f>AD7945+AD7955</f>
        <v>183753.82875797534</v>
      </c>
      <c r="AE7944" s="188">
        <f t="shared" ref="AE7944" si="5533">AE7945+AE7955</f>
        <v>0</v>
      </c>
      <c r="AF7944" s="189">
        <f t="shared" ref="AF7944" si="5534">AF7945+AF7955</f>
        <v>0</v>
      </c>
      <c r="AG7944" s="189">
        <f t="shared" ref="AG7944" si="5535">AG7945+AG7955</f>
        <v>0</v>
      </c>
      <c r="AH7944" s="189">
        <f t="shared" ref="AH7944" si="5536">AH7945+AH7955</f>
        <v>0</v>
      </c>
      <c r="AI7944" s="161">
        <f t="shared" ref="AI7944" si="5537">SUM(AE7944:AH7944)</f>
        <v>0</v>
      </c>
      <c r="AK7944" s="169">
        <v>5</v>
      </c>
      <c r="AO7944" s="19" t="s">
        <v>63</v>
      </c>
    </row>
    <row r="7945" spans="1:41" s="103" customFormat="1" ht="19.899999999999999" customHeight="1" x14ac:dyDescent="0.25">
      <c r="A7945" s="51"/>
      <c r="B7945" s="52"/>
      <c r="C7945" s="165"/>
      <c r="D7945" s="52"/>
      <c r="E7945" s="115"/>
      <c r="F7945" s="58"/>
      <c r="G7945" s="58"/>
      <c r="H7945" s="58"/>
      <c r="I7945" s="55"/>
      <c r="J7945" s="113">
        <f>J7944</f>
        <v>58.393910000000119</v>
      </c>
      <c r="K7945" s="212">
        <f>K7944</f>
        <v>58.393910000000119</v>
      </c>
      <c r="L7945" s="58"/>
      <c r="M7945" s="58">
        <f>K7945-L7945</f>
        <v>58.393910000000119</v>
      </c>
      <c r="N7945" s="166"/>
      <c r="O7945" s="58"/>
      <c r="P7945" s="58"/>
      <c r="Q7945" s="58"/>
      <c r="R7945" s="58"/>
      <c r="S7945" s="58"/>
      <c r="T7945" s="220"/>
      <c r="U7945" s="88"/>
      <c r="V7945" s="56"/>
      <c r="W7945" s="57" t="s">
        <v>1109</v>
      </c>
      <c r="X7945" s="53"/>
      <c r="Y7945" s="91" t="s">
        <v>68</v>
      </c>
      <c r="Z7945" s="136">
        <f>AD7945/AC7945</f>
        <v>94.24782117647058</v>
      </c>
      <c r="AA7945" s="58"/>
      <c r="AB7945" s="53">
        <f>AD7945/AC7945</f>
        <v>94.24782117647058</v>
      </c>
      <c r="AC7945" s="53">
        <f>M7945+$AE$10</f>
        <v>58.393910000000119</v>
      </c>
      <c r="AD7945" s="54">
        <f>SUM(AD7946:AD7954)</f>
        <v>5503.4987874749286</v>
      </c>
      <c r="AE7945" s="184">
        <f>SUMIFS($AD$37:$AD$12971,$V$37:$V$12971,$V7945,$X$37:$X$12971,AE$13)</f>
        <v>0</v>
      </c>
      <c r="AF7945" s="185">
        <f>SUMIFS($AD$37:$AD$12971,$V$37:$V$12971,$V7945,$X$37:$X$12971,AF$13)</f>
        <v>0</v>
      </c>
      <c r="AG7945" s="185">
        <f>SUMIFS($AD$37:$AD$12971,$V$37:$V$12971,$V7945,$X$37:$X$12971,AG$13)</f>
        <v>0</v>
      </c>
      <c r="AH7945" s="187">
        <f>SUMIFS($AD$37:$AD$12971,$V$37:$V$12971,$V7945,$X$37:$X$12971,AH$13)</f>
        <v>0</v>
      </c>
      <c r="AI7945" s="161">
        <f t="shared" ref="AI7945" si="5538">SUM(AE7945:AH7945)</f>
        <v>0</v>
      </c>
      <c r="AK7945" s="172"/>
    </row>
    <row r="7946" spans="1:41" s="102" customFormat="1" ht="19.899999999999999" customHeight="1" x14ac:dyDescent="0.25">
      <c r="A7946" s="45"/>
      <c r="B7946" s="59"/>
      <c r="C7946" s="137"/>
      <c r="D7946" s="59"/>
      <c r="E7946" s="116"/>
      <c r="F7946" s="120"/>
      <c r="G7946" s="120"/>
      <c r="H7946" s="120"/>
      <c r="I7946" s="60"/>
      <c r="J7946" s="116"/>
      <c r="K7946" s="213"/>
      <c r="L7946" s="120"/>
      <c r="M7946" s="120"/>
      <c r="N7946" s="167"/>
      <c r="O7946" s="120"/>
      <c r="P7946" s="120"/>
      <c r="Q7946" s="120"/>
      <c r="R7946" s="120"/>
      <c r="S7946" s="120"/>
      <c r="T7946" s="221"/>
      <c r="U7946" s="89"/>
      <c r="V7946" s="61"/>
      <c r="W7946" s="92" t="s">
        <v>129</v>
      </c>
      <c r="X7946" s="93" t="s">
        <v>29</v>
      </c>
      <c r="Y7946" s="93" t="s">
        <v>93</v>
      </c>
      <c r="Z7946" s="134">
        <f>VLOOKUP(W7946,Sheet2!$B:$D,3,FALSE)</f>
        <v>56</v>
      </c>
      <c r="AA7946" s="93">
        <f>100/(2.4*3)</f>
        <v>13.888888888888891</v>
      </c>
      <c r="AB7946" s="93">
        <f t="shared" ref="AB7946" si="5539">AD7946/AC7945</f>
        <v>4.032</v>
      </c>
      <c r="AC7946" s="93">
        <f>AC7945/AA7946</f>
        <v>4.204361520000008</v>
      </c>
      <c r="AD7946" s="94">
        <f t="shared" ref="AD7946:AD7947" si="5540">AC7946*Z7946</f>
        <v>235.44424512000046</v>
      </c>
      <c r="AE7946" s="190"/>
      <c r="AF7946" s="191"/>
      <c r="AG7946" s="191"/>
      <c r="AH7946" s="191"/>
      <c r="AI7946" s="186"/>
      <c r="AK7946" s="171"/>
    </row>
    <row r="7947" spans="1:41" s="102" customFormat="1" ht="19.899999999999999" customHeight="1" x14ac:dyDescent="0.25">
      <c r="A7947" s="45"/>
      <c r="B7947" s="59"/>
      <c r="C7947" s="137"/>
      <c r="D7947" s="59"/>
      <c r="E7947" s="116"/>
      <c r="F7947" s="120"/>
      <c r="G7947" s="120"/>
      <c r="H7947" s="120"/>
      <c r="I7947" s="60"/>
      <c r="J7947" s="116"/>
      <c r="K7947" s="213"/>
      <c r="L7947" s="120"/>
      <c r="M7947" s="120"/>
      <c r="N7947" s="167"/>
      <c r="O7947" s="120"/>
      <c r="P7947" s="120"/>
      <c r="Q7947" s="120"/>
      <c r="R7947" s="120"/>
      <c r="S7947" s="120"/>
      <c r="T7947" s="221"/>
      <c r="U7947" s="89"/>
      <c r="V7947" s="61"/>
      <c r="W7947" s="92" t="s">
        <v>65</v>
      </c>
      <c r="X7947" s="93" t="s">
        <v>30</v>
      </c>
      <c r="Y7947" s="93" t="s">
        <v>1011</v>
      </c>
      <c r="Z7947" s="134">
        <f>VLOOKUP(W7947,Sheet2!$B:$D,3,FALSE)</f>
        <v>1.76</v>
      </c>
      <c r="AA7947" s="93">
        <f>AA7946/14</f>
        <v>0.9920634920634922</v>
      </c>
      <c r="AB7947" s="93">
        <f>AD7947/AC7945</f>
        <v>1.7740799999999999</v>
      </c>
      <c r="AC7947" s="93">
        <f>AC7945/AA7947</f>
        <v>58.861061280000115</v>
      </c>
      <c r="AD7947" s="94">
        <f t="shared" si="5540"/>
        <v>103.5954678528002</v>
      </c>
      <c r="AE7947" s="190"/>
      <c r="AF7947" s="191"/>
      <c r="AG7947" s="191"/>
      <c r="AH7947" s="191"/>
      <c r="AI7947" s="186"/>
      <c r="AK7947" s="171"/>
    </row>
    <row r="7948" spans="1:41" s="102" customFormat="1" ht="19.899999999999999" customHeight="1" x14ac:dyDescent="0.25">
      <c r="A7948" s="45"/>
      <c r="B7948" s="59"/>
      <c r="C7948" s="137"/>
      <c r="D7948" s="59"/>
      <c r="E7948" s="116"/>
      <c r="F7948" s="120"/>
      <c r="G7948" s="120"/>
      <c r="H7948" s="120"/>
      <c r="I7948" s="60"/>
      <c r="J7948" s="116"/>
      <c r="K7948" s="213"/>
      <c r="L7948" s="120"/>
      <c r="M7948" s="120"/>
      <c r="N7948" s="167"/>
      <c r="O7948" s="120"/>
      <c r="P7948" s="120"/>
      <c r="Q7948" s="120"/>
      <c r="R7948" s="120"/>
      <c r="S7948" s="120"/>
      <c r="T7948" s="221"/>
      <c r="U7948" s="89"/>
      <c r="V7948" s="61"/>
      <c r="W7948" s="92" t="s">
        <v>161</v>
      </c>
      <c r="X7948" s="93" t="s">
        <v>29</v>
      </c>
      <c r="Y7948" s="93" t="s">
        <v>93</v>
      </c>
      <c r="Z7948" s="134">
        <f>VLOOKUP(W7948,Sheet2!$B:$D,3,FALSE)</f>
        <v>48</v>
      </c>
      <c r="AA7948" s="93">
        <f>(16*0.85*1.5)/(2.4*3)</f>
        <v>2.8333333333333335</v>
      </c>
      <c r="AB7948" s="93">
        <f>AD7948/AC7945</f>
        <v>16.941176470588236</v>
      </c>
      <c r="AC7948" s="93">
        <f>AC7945/AA7948</f>
        <v>20.609615294117688</v>
      </c>
      <c r="AD7948" s="94">
        <f>AC7948*Z7948</f>
        <v>989.26153411764903</v>
      </c>
      <c r="AE7948" s="190"/>
      <c r="AF7948" s="191"/>
      <c r="AG7948" s="191"/>
      <c r="AH7948" s="191"/>
      <c r="AI7948" s="186"/>
      <c r="AK7948" s="171"/>
    </row>
    <row r="7949" spans="1:41" s="102" customFormat="1" ht="19.899999999999999" customHeight="1" x14ac:dyDescent="0.25">
      <c r="A7949" s="45"/>
      <c r="B7949" s="59"/>
      <c r="C7949" s="137"/>
      <c r="D7949" s="59"/>
      <c r="E7949" s="116"/>
      <c r="F7949" s="120"/>
      <c r="G7949" s="120"/>
      <c r="H7949" s="120"/>
      <c r="I7949" s="60"/>
      <c r="J7949" s="116"/>
      <c r="K7949" s="213"/>
      <c r="L7949" s="120"/>
      <c r="M7949" s="120"/>
      <c r="N7949" s="167"/>
      <c r="O7949" s="120"/>
      <c r="P7949" s="120"/>
      <c r="Q7949" s="120"/>
      <c r="R7949" s="120"/>
      <c r="S7949" s="120"/>
      <c r="T7949" s="221"/>
      <c r="U7949" s="89"/>
      <c r="V7949" s="61"/>
      <c r="W7949" s="92" t="s">
        <v>65</v>
      </c>
      <c r="X7949" s="93" t="s">
        <v>30</v>
      </c>
      <c r="Y7949" s="93" t="s">
        <v>1011</v>
      </c>
      <c r="Z7949" s="134">
        <f>VLOOKUP(W7949,Sheet2!$B:$D,3,FALSE)</f>
        <v>1.76</v>
      </c>
      <c r="AA7949" s="93">
        <f>AA7948/10</f>
        <v>0.28333333333333333</v>
      </c>
      <c r="AB7949" s="93">
        <f>AD7949/AC7945</f>
        <v>6.2117647058823531</v>
      </c>
      <c r="AC7949" s="93">
        <f>AC7945/AA7949</f>
        <v>206.09615294117688</v>
      </c>
      <c r="AD7949" s="94">
        <f>AC7949*Z7949</f>
        <v>362.72922917647134</v>
      </c>
      <c r="AE7949" s="190"/>
      <c r="AF7949" s="191"/>
      <c r="AG7949" s="191"/>
      <c r="AH7949" s="191"/>
      <c r="AI7949" s="186"/>
      <c r="AK7949" s="171"/>
    </row>
    <row r="7950" spans="1:41" s="102" customFormat="1" ht="19.899999999999999" customHeight="1" x14ac:dyDescent="0.25">
      <c r="A7950" s="45"/>
      <c r="B7950" s="59"/>
      <c r="C7950" s="137"/>
      <c r="D7950" s="59"/>
      <c r="E7950" s="116"/>
      <c r="F7950" s="120"/>
      <c r="G7950" s="120"/>
      <c r="H7950" s="120"/>
      <c r="I7950" s="60"/>
      <c r="J7950" s="116"/>
      <c r="K7950" s="213"/>
      <c r="L7950" s="120"/>
      <c r="M7950" s="120"/>
      <c r="N7950" s="167"/>
      <c r="O7950" s="120"/>
      <c r="P7950" s="120"/>
      <c r="Q7950" s="120"/>
      <c r="R7950" s="120"/>
      <c r="S7950" s="120"/>
      <c r="T7950" s="221"/>
      <c r="U7950" s="89"/>
      <c r="V7950" s="61"/>
      <c r="W7950" s="92" t="s">
        <v>1030</v>
      </c>
      <c r="X7950" s="93" t="s">
        <v>29</v>
      </c>
      <c r="Y7950" s="93" t="s">
        <v>93</v>
      </c>
      <c r="Z7950" s="134">
        <f>VLOOKUP(W7950,Sheet2!$B:$D,3,FALSE)</f>
        <v>23</v>
      </c>
      <c r="AA7950" s="93">
        <v>50</v>
      </c>
      <c r="AB7950" s="93">
        <f>AD7950/AC7945</f>
        <v>0.45999999999999996</v>
      </c>
      <c r="AC7950" s="93">
        <f>AC7945/AA7950</f>
        <v>1.1678782000000023</v>
      </c>
      <c r="AD7950" s="94">
        <f t="shared" ref="AD7950:AD7954" si="5541">AC7950*Z7950</f>
        <v>26.861198600000051</v>
      </c>
      <c r="AE7950" s="190"/>
      <c r="AF7950" s="191"/>
      <c r="AG7950" s="191"/>
      <c r="AH7950" s="191"/>
      <c r="AI7950" s="186"/>
      <c r="AK7950" s="171"/>
    </row>
    <row r="7951" spans="1:41" s="102" customFormat="1" ht="19.899999999999999" customHeight="1" x14ac:dyDescent="0.25">
      <c r="A7951" s="45"/>
      <c r="B7951" s="59"/>
      <c r="C7951" s="137"/>
      <c r="D7951" s="59"/>
      <c r="E7951" s="116"/>
      <c r="F7951" s="120"/>
      <c r="G7951" s="120"/>
      <c r="H7951" s="120"/>
      <c r="I7951" s="60"/>
      <c r="J7951" s="116"/>
      <c r="K7951" s="213"/>
      <c r="L7951" s="120"/>
      <c r="M7951" s="120"/>
      <c r="N7951" s="167"/>
      <c r="O7951" s="120"/>
      <c r="P7951" s="120"/>
      <c r="Q7951" s="120"/>
      <c r="R7951" s="120"/>
      <c r="S7951" s="120"/>
      <c r="T7951" s="221"/>
      <c r="U7951" s="89"/>
      <c r="V7951" s="61"/>
      <c r="W7951" s="92" t="s">
        <v>65</v>
      </c>
      <c r="X7951" s="93" t="s">
        <v>30</v>
      </c>
      <c r="Y7951" s="93" t="s">
        <v>1011</v>
      </c>
      <c r="Z7951" s="134">
        <f>VLOOKUP(W7951,Sheet2!$B:$D,3,FALSE)</f>
        <v>1.76</v>
      </c>
      <c r="AA7951" s="93">
        <f>AA7950/3</f>
        <v>16.666666666666668</v>
      </c>
      <c r="AB7951" s="93">
        <f>AD7951/AC7945</f>
        <v>0.1056</v>
      </c>
      <c r="AC7951" s="93">
        <f>AC7945/AA7951</f>
        <v>3.5036346000000069</v>
      </c>
      <c r="AD7951" s="94">
        <f t="shared" si="5541"/>
        <v>6.1663968960000126</v>
      </c>
      <c r="AE7951" s="190"/>
      <c r="AF7951" s="191"/>
      <c r="AG7951" s="191"/>
      <c r="AH7951" s="191"/>
      <c r="AI7951" s="186"/>
      <c r="AK7951" s="171"/>
    </row>
    <row r="7952" spans="1:41" s="102" customFormat="1" ht="19.899999999999999" customHeight="1" x14ac:dyDescent="0.25">
      <c r="A7952" s="45"/>
      <c r="B7952" s="59"/>
      <c r="C7952" s="137"/>
      <c r="D7952" s="59"/>
      <c r="E7952" s="116"/>
      <c r="F7952" s="120"/>
      <c r="G7952" s="120"/>
      <c r="H7952" s="120"/>
      <c r="I7952" s="60"/>
      <c r="J7952" s="116"/>
      <c r="K7952" s="213"/>
      <c r="L7952" s="120"/>
      <c r="M7952" s="120"/>
      <c r="N7952" s="167"/>
      <c r="O7952" s="120"/>
      <c r="P7952" s="120"/>
      <c r="Q7952" s="120"/>
      <c r="R7952" s="120"/>
      <c r="S7952" s="120"/>
      <c r="T7952" s="221"/>
      <c r="U7952" s="89"/>
      <c r="V7952" s="61"/>
      <c r="W7952" s="92" t="s">
        <v>148</v>
      </c>
      <c r="X7952" s="93" t="s">
        <v>29</v>
      </c>
      <c r="Y7952" s="93" t="s">
        <v>93</v>
      </c>
      <c r="Z7952" s="134">
        <f>VLOOKUP(W7952,Sheet2!$B:$D,3,FALSE)</f>
        <v>48</v>
      </c>
      <c r="AA7952" s="93">
        <f>AA7946</f>
        <v>13.888888888888891</v>
      </c>
      <c r="AB7952" s="93">
        <f>AD7952/AC7945</f>
        <v>3.4559999999999995</v>
      </c>
      <c r="AC7952" s="93">
        <f>AC7945/AA7952</f>
        <v>4.204361520000008</v>
      </c>
      <c r="AD7952" s="94">
        <f t="shared" si="5541"/>
        <v>201.80935296000038</v>
      </c>
      <c r="AE7952" s="190"/>
      <c r="AF7952" s="191"/>
      <c r="AG7952" s="191"/>
      <c r="AH7952" s="191"/>
      <c r="AI7952" s="186"/>
      <c r="AK7952" s="171"/>
    </row>
    <row r="7953" spans="1:41" s="102" customFormat="1" ht="19.899999999999999" customHeight="1" x14ac:dyDescent="0.25">
      <c r="A7953" s="45"/>
      <c r="B7953" s="59"/>
      <c r="C7953" s="137"/>
      <c r="D7953" s="59"/>
      <c r="E7953" s="116"/>
      <c r="F7953" s="120"/>
      <c r="G7953" s="120"/>
      <c r="H7953" s="120"/>
      <c r="I7953" s="60"/>
      <c r="J7953" s="116"/>
      <c r="K7953" s="213"/>
      <c r="L7953" s="120"/>
      <c r="M7953" s="120"/>
      <c r="N7953" s="167"/>
      <c r="O7953" s="120"/>
      <c r="P7953" s="120"/>
      <c r="Q7953" s="120"/>
      <c r="R7953" s="120"/>
      <c r="S7953" s="120"/>
      <c r="T7953" s="221"/>
      <c r="U7953" s="89"/>
      <c r="V7953" s="61"/>
      <c r="W7953" s="92" t="s">
        <v>65</v>
      </c>
      <c r="X7953" s="93" t="s">
        <v>30</v>
      </c>
      <c r="Y7953" s="93" t="s">
        <v>1011</v>
      </c>
      <c r="Z7953" s="134">
        <f>VLOOKUP(W7953,Sheet2!$B:$D,3,FALSE)</f>
        <v>1.76</v>
      </c>
      <c r="AA7953" s="93">
        <f>AA7952/10</f>
        <v>1.3888888888888891</v>
      </c>
      <c r="AB7953" s="93">
        <f>AD7953/AC7945</f>
        <v>1.2672000000000001</v>
      </c>
      <c r="AC7953" s="93">
        <f>AC7945/AA7953</f>
        <v>42.043615200000083</v>
      </c>
      <c r="AD7953" s="94">
        <f t="shared" si="5541"/>
        <v>73.996762752000151</v>
      </c>
      <c r="AE7953" s="190"/>
      <c r="AF7953" s="191"/>
      <c r="AG7953" s="191"/>
      <c r="AH7953" s="191"/>
      <c r="AI7953" s="186"/>
      <c r="AK7953" s="171"/>
    </row>
    <row r="7954" spans="1:41" s="102" customFormat="1" ht="19.899999999999999" customHeight="1" x14ac:dyDescent="0.25">
      <c r="A7954" s="45"/>
      <c r="B7954" s="59"/>
      <c r="C7954" s="137"/>
      <c r="D7954" s="59"/>
      <c r="E7954" s="116"/>
      <c r="F7954" s="120"/>
      <c r="G7954" s="120"/>
      <c r="H7954" s="120"/>
      <c r="I7954" s="60"/>
      <c r="J7954" s="116"/>
      <c r="K7954" s="213"/>
      <c r="L7954" s="120"/>
      <c r="M7954" s="120"/>
      <c r="N7954" s="167"/>
      <c r="O7954" s="120"/>
      <c r="P7954" s="120"/>
      <c r="Q7954" s="120"/>
      <c r="R7954" s="120"/>
      <c r="S7954" s="120"/>
      <c r="T7954" s="221"/>
      <c r="U7954" s="89"/>
      <c r="V7954" s="61"/>
      <c r="W7954" s="92" t="s">
        <v>1049</v>
      </c>
      <c r="X7954" s="93" t="s">
        <v>30</v>
      </c>
      <c r="Y7954" s="93" t="s">
        <v>68</v>
      </c>
      <c r="Z7954" s="134">
        <f>VLOOKUP(W7954,Sheet2!$B:$D,3,FALSE)</f>
        <v>60</v>
      </c>
      <c r="AA7954" s="93">
        <v>1</v>
      </c>
      <c r="AB7954" s="93">
        <f>AD7954/AC7945</f>
        <v>60</v>
      </c>
      <c r="AC7954" s="93">
        <f>AC7945/AA7954</f>
        <v>58.393910000000119</v>
      </c>
      <c r="AD7954" s="94">
        <f t="shared" si="5541"/>
        <v>3503.6346000000071</v>
      </c>
      <c r="AE7954" s="190"/>
      <c r="AF7954" s="191"/>
      <c r="AG7954" s="191"/>
      <c r="AH7954" s="191"/>
      <c r="AI7954" s="186"/>
      <c r="AK7954" s="171"/>
    </row>
    <row r="7955" spans="1:41" s="103" customFormat="1" ht="19.899999999999999" customHeight="1" x14ac:dyDescent="0.25">
      <c r="A7955" s="51"/>
      <c r="B7955" s="52"/>
      <c r="C7955" s="165"/>
      <c r="D7955" s="52"/>
      <c r="E7955" s="115"/>
      <c r="F7955" s="58"/>
      <c r="G7955" s="58"/>
      <c r="H7955" s="58"/>
      <c r="I7955" s="55"/>
      <c r="J7955" s="113">
        <f>J7944</f>
        <v>58.393910000000119</v>
      </c>
      <c r="K7955" s="212">
        <f>K7944</f>
        <v>58.393910000000119</v>
      </c>
      <c r="L7955" s="58"/>
      <c r="M7955" s="58">
        <f>K7955-L7955</f>
        <v>58.393910000000119</v>
      </c>
      <c r="N7955" s="166"/>
      <c r="O7955" s="58"/>
      <c r="P7955" s="58"/>
      <c r="Q7955" s="58"/>
      <c r="R7955" s="58"/>
      <c r="S7955" s="58"/>
      <c r="T7955" s="220"/>
      <c r="U7955" s="88"/>
      <c r="V7955" s="56"/>
      <c r="W7955" s="57" t="s">
        <v>1114</v>
      </c>
      <c r="X7955" s="53"/>
      <c r="Y7955" s="91" t="s">
        <v>68</v>
      </c>
      <c r="Z7955" s="136">
        <f>AD7955/AC7955</f>
        <v>3052.5500000000006</v>
      </c>
      <c r="AA7955" s="58"/>
      <c r="AB7955" s="53">
        <f>AD7955/AC7955</f>
        <v>3052.5500000000006</v>
      </c>
      <c r="AC7955" s="53">
        <f>M7955+$AE$10</f>
        <v>58.393910000000119</v>
      </c>
      <c r="AD7955" s="54">
        <f>SUM(AD7956:AD7959)</f>
        <v>178250.3299705004</v>
      </c>
      <c r="AE7955" s="184">
        <f>SUMIFS($AD$37:$AD$12971,$V$37:$V$12971,$V7955,$X$37:$X$12971,AE$13)</f>
        <v>0</v>
      </c>
      <c r="AF7955" s="185">
        <f>SUMIFS($AD$37:$AD$12971,$V$37:$V$12971,$V7955,$X$37:$X$12971,AF$13)</f>
        <v>0</v>
      </c>
      <c r="AG7955" s="185">
        <f>SUMIFS($AD$37:$AD$12971,$V$37:$V$12971,$V7955,$X$37:$X$12971,AG$13)</f>
        <v>0</v>
      </c>
      <c r="AH7955" s="187">
        <f>SUMIFS($AD$37:$AD$12971,$V$37:$V$12971,$V7955,$X$37:$X$12971,AH$13)</f>
        <v>0</v>
      </c>
      <c r="AI7955" s="161">
        <f t="shared" ref="AI7955" si="5542">SUM(AE7955:AH7955)</f>
        <v>0</v>
      </c>
      <c r="AK7955" s="172"/>
    </row>
    <row r="7956" spans="1:41" s="102" customFormat="1" ht="19.899999999999999" customHeight="1" x14ac:dyDescent="0.25">
      <c r="A7956" s="45"/>
      <c r="B7956" s="59"/>
      <c r="C7956" s="137"/>
      <c r="D7956" s="59"/>
      <c r="E7956" s="116"/>
      <c r="F7956" s="120"/>
      <c r="G7956" s="120"/>
      <c r="H7956" s="120"/>
      <c r="I7956" s="60"/>
      <c r="J7956" s="116"/>
      <c r="K7956" s="213"/>
      <c r="L7956" s="120"/>
      <c r="M7956" s="120"/>
      <c r="N7956" s="167"/>
      <c r="O7956" s="120"/>
      <c r="P7956" s="120"/>
      <c r="Q7956" s="120"/>
      <c r="R7956" s="120"/>
      <c r="S7956" s="120"/>
      <c r="T7956" s="221"/>
      <c r="U7956" s="89"/>
      <c r="V7956" s="61"/>
      <c r="W7956" s="92" t="s">
        <v>1105</v>
      </c>
      <c r="X7956" s="93" t="s">
        <v>30</v>
      </c>
      <c r="Y7956" s="93" t="s">
        <v>66</v>
      </c>
      <c r="Z7956" s="134">
        <f>VLOOKUP(W7956,Sheet2!$B:$D,3,FALSE)</f>
        <v>2200</v>
      </c>
      <c r="AA7956" s="93">
        <f>1/((1.6*1.3)-(1*0.7))</f>
        <v>0.72463768115942018</v>
      </c>
      <c r="AB7956" s="93">
        <f>AD7956/AC7955</f>
        <v>3036.0000000000009</v>
      </c>
      <c r="AC7956" s="93">
        <f>AC7955/AA7956</f>
        <v>80.583595800000182</v>
      </c>
      <c r="AD7956" s="94">
        <f t="shared" ref="AD7956" si="5543">AC7956*Z7956</f>
        <v>177283.91076000041</v>
      </c>
      <c r="AE7956" s="190"/>
      <c r="AF7956" s="191"/>
      <c r="AG7956" s="191"/>
      <c r="AH7956" s="191"/>
      <c r="AI7956" s="186"/>
      <c r="AK7956" s="171"/>
    </row>
    <row r="7957" spans="1:41" s="102" customFormat="1" ht="19.899999999999999" customHeight="1" x14ac:dyDescent="0.25">
      <c r="A7957" s="45"/>
      <c r="B7957" s="59"/>
      <c r="C7957" s="137"/>
      <c r="D7957" s="59"/>
      <c r="E7957" s="116"/>
      <c r="F7957" s="120"/>
      <c r="G7957" s="120"/>
      <c r="H7957" s="120"/>
      <c r="I7957" s="60"/>
      <c r="J7957" s="116"/>
      <c r="K7957" s="213"/>
      <c r="L7957" s="120"/>
      <c r="M7957" s="120"/>
      <c r="N7957" s="167"/>
      <c r="O7957" s="120"/>
      <c r="P7957" s="120"/>
      <c r="Q7957" s="120"/>
      <c r="R7957" s="120"/>
      <c r="S7957" s="120"/>
      <c r="T7957" s="221"/>
      <c r="U7957" s="89"/>
      <c r="V7957" s="61"/>
      <c r="W7957" s="92" t="s">
        <v>174</v>
      </c>
      <c r="X7957" s="93" t="s">
        <v>29</v>
      </c>
      <c r="Y7957" s="93" t="s">
        <v>93</v>
      </c>
      <c r="Z7957" s="134">
        <f>VLOOKUP(W7957,Sheet2!$B:$D,3,FALSE)</f>
        <v>80</v>
      </c>
      <c r="AA7957" s="93">
        <f>4*2</f>
        <v>8</v>
      </c>
      <c r="AB7957" s="93">
        <f>AD7957/AC7955</f>
        <v>10</v>
      </c>
      <c r="AC7957" s="93">
        <f>AC7955/AA7957</f>
        <v>7.2992387500000149</v>
      </c>
      <c r="AD7957" s="94">
        <f>AC7957*Z7957</f>
        <v>583.93910000000119</v>
      </c>
      <c r="AE7957" s="190"/>
      <c r="AF7957" s="191"/>
      <c r="AG7957" s="191"/>
      <c r="AH7957" s="191"/>
      <c r="AI7957" s="186"/>
      <c r="AK7957" s="171"/>
    </row>
    <row r="7958" spans="1:41" s="102" customFormat="1" ht="19.899999999999999" customHeight="1" x14ac:dyDescent="0.25">
      <c r="A7958" s="45"/>
      <c r="B7958" s="59"/>
      <c r="C7958" s="137"/>
      <c r="D7958" s="59"/>
      <c r="E7958" s="116"/>
      <c r="F7958" s="120"/>
      <c r="G7958" s="120"/>
      <c r="H7958" s="120"/>
      <c r="I7958" s="60"/>
      <c r="J7958" s="116"/>
      <c r="K7958" s="213"/>
      <c r="L7958" s="120"/>
      <c r="M7958" s="120"/>
      <c r="N7958" s="167"/>
      <c r="O7958" s="120"/>
      <c r="P7958" s="120"/>
      <c r="Q7958" s="120"/>
      <c r="R7958" s="120"/>
      <c r="S7958" s="120"/>
      <c r="T7958" s="221"/>
      <c r="U7958" s="89"/>
      <c r="V7958" s="61"/>
      <c r="W7958" s="92" t="s">
        <v>65</v>
      </c>
      <c r="X7958" s="93" t="s">
        <v>30</v>
      </c>
      <c r="Y7958" s="93" t="s">
        <v>1011</v>
      </c>
      <c r="Z7958" s="134">
        <f>VLOOKUP(W7958,Sheet2!$B:$D,3,FALSE)</f>
        <v>1.76</v>
      </c>
      <c r="AA7958" s="93">
        <f>AA7957/15</f>
        <v>0.53333333333333333</v>
      </c>
      <c r="AB7958" s="93">
        <f>AD7958/AC7955</f>
        <v>3.3000000000000003</v>
      </c>
      <c r="AC7958" s="93">
        <f>AC7955/AA7958</f>
        <v>109.48858125000022</v>
      </c>
      <c r="AD7958" s="94">
        <f t="shared" ref="AD7958" si="5544">AC7958*Z7958</f>
        <v>192.6999030000004</v>
      </c>
      <c r="AE7958" s="190"/>
      <c r="AF7958" s="191"/>
      <c r="AG7958" s="191"/>
      <c r="AH7958" s="191"/>
      <c r="AI7958" s="186"/>
      <c r="AK7958" s="171"/>
    </row>
    <row r="7959" spans="1:41" s="102" customFormat="1" ht="19.899999999999999" customHeight="1" x14ac:dyDescent="0.25">
      <c r="A7959" s="45"/>
      <c r="B7959" s="59"/>
      <c r="C7959" s="137"/>
      <c r="D7959" s="59"/>
      <c r="E7959" s="116"/>
      <c r="F7959" s="120"/>
      <c r="G7959" s="120"/>
      <c r="H7959" s="120"/>
      <c r="I7959" s="60"/>
      <c r="J7959" s="116"/>
      <c r="K7959" s="213"/>
      <c r="L7959" s="120"/>
      <c r="M7959" s="120"/>
      <c r="N7959" s="167"/>
      <c r="O7959" s="120"/>
      <c r="P7959" s="120"/>
      <c r="Q7959" s="120"/>
      <c r="R7959" s="120"/>
      <c r="S7959" s="120"/>
      <c r="T7959" s="221"/>
      <c r="U7959" s="89"/>
      <c r="V7959" s="61"/>
      <c r="W7959" s="92" t="s">
        <v>112</v>
      </c>
      <c r="X7959" s="93" t="s">
        <v>31</v>
      </c>
      <c r="Y7959" s="93" t="s">
        <v>93</v>
      </c>
      <c r="Z7959" s="134">
        <f>VLOOKUP(W7959,Sheet2!$B:$D,3,FALSE)</f>
        <v>13</v>
      </c>
      <c r="AA7959" s="93">
        <f>AA7957/2</f>
        <v>4</v>
      </c>
      <c r="AB7959" s="93">
        <f>AD7959/AC7955</f>
        <v>3.25</v>
      </c>
      <c r="AC7959" s="93">
        <f>AC7955/AA7959</f>
        <v>14.59847750000003</v>
      </c>
      <c r="AD7959" s="94">
        <f>AC7959*Z7959</f>
        <v>189.78020750000039</v>
      </c>
      <c r="AE7959" s="190"/>
      <c r="AF7959" s="191"/>
      <c r="AG7959" s="191"/>
      <c r="AH7959" s="191"/>
      <c r="AI7959" s="186"/>
      <c r="AK7959" s="171"/>
    </row>
    <row r="7960" spans="1:41" ht="20.100000000000001" customHeight="1" x14ac:dyDescent="0.25">
      <c r="A7960" s="277" t="s">
        <v>703</v>
      </c>
      <c r="B7960" s="278"/>
      <c r="C7960" s="64" t="s">
        <v>768</v>
      </c>
      <c r="D7960" s="46" t="s">
        <v>97</v>
      </c>
      <c r="E7960" s="114">
        <v>28.444214999999929</v>
      </c>
      <c r="F7960" s="44">
        <v>3858</v>
      </c>
      <c r="G7960" s="44">
        <f t="shared" ref="G7960:G9775" si="5545">F7960*E7960</f>
        <v>109737.78146999973</v>
      </c>
      <c r="H7960" s="44">
        <f t="shared" ref="H7960:H9775" si="5546">AB7960</f>
        <v>3152.411524705883</v>
      </c>
      <c r="I7960" s="43">
        <f t="shared" ref="I7960:I9775" si="5547">H7960*E7960</f>
        <v>89667.871177211724</v>
      </c>
      <c r="J7960" s="112">
        <f t="shared" ref="J7960:J9775" si="5548">E7960</f>
        <v>28.444214999999929</v>
      </c>
      <c r="K7960" s="211">
        <f t="shared" ref="K7960:K9775" si="5549">J7960</f>
        <v>28.444214999999929</v>
      </c>
      <c r="L7960" s="44"/>
      <c r="M7960" s="44">
        <f t="shared" ref="M7960:M9775" si="5550">K7960-L7960</f>
        <v>28.444214999999929</v>
      </c>
      <c r="N7960" s="173">
        <f t="shared" ref="N7960:N9775" si="5551">IFERROR(M7960/K7960,0)</f>
        <v>1</v>
      </c>
      <c r="O7960" s="44">
        <f t="shared" ref="O7960:O9775" si="5552">F7960</f>
        <v>3858</v>
      </c>
      <c r="P7960" s="44">
        <f t="shared" ref="P7960:P9775" si="5553">K7960*O7960</f>
        <v>109737.78146999973</v>
      </c>
      <c r="Q7960" s="44">
        <f t="shared" ref="Q7960:Q9775" si="5554">AB7960</f>
        <v>3152.411524705883</v>
      </c>
      <c r="R7960" s="44">
        <f t="shared" ref="R7960:R9775" si="5555">M7960*Q7960</f>
        <v>89667.871177211724</v>
      </c>
      <c r="S7960" s="123"/>
      <c r="T7960" s="219">
        <f t="shared" ref="T7960:T9775" si="5556">S7960+R7960</f>
        <v>89667.871177211724</v>
      </c>
      <c r="U7960" s="87"/>
      <c r="V7960" s="47"/>
      <c r="W7960" s="48"/>
      <c r="X7960" s="48"/>
      <c r="Y7960" s="48"/>
      <c r="Z7960" s="135"/>
      <c r="AA7960" s="49"/>
      <c r="AB7960" s="50">
        <f t="shared" ref="AB7960:AB9775" si="5557">AD7960/AC7960</f>
        <v>3152.411524705883</v>
      </c>
      <c r="AC7960" s="42">
        <f t="shared" ref="AC7960:AC9775" si="5558">M7960+$AE$10</f>
        <v>28.444214999999929</v>
      </c>
      <c r="AD7960" s="90">
        <f>AD7961+AD7971</f>
        <v>89667.871177211724</v>
      </c>
      <c r="AE7960" s="188">
        <f t="shared" ref="AE7960" si="5559">AE7961+AE7971</f>
        <v>0</v>
      </c>
      <c r="AF7960" s="189">
        <f t="shared" ref="AF7960" si="5560">AF7961+AF7971</f>
        <v>0</v>
      </c>
      <c r="AG7960" s="189">
        <f t="shared" ref="AG7960" si="5561">AG7961+AG7971</f>
        <v>0</v>
      </c>
      <c r="AH7960" s="189">
        <f t="shared" ref="AH7960" si="5562">AH7961+AH7971</f>
        <v>0</v>
      </c>
      <c r="AI7960" s="161">
        <f t="shared" ref="AI7960" si="5563">SUM(AE7960:AH7960)</f>
        <v>0</v>
      </c>
      <c r="AK7960" s="169">
        <v>5</v>
      </c>
      <c r="AO7960" s="19" t="s">
        <v>63</v>
      </c>
    </row>
    <row r="7961" spans="1:41" s="103" customFormat="1" ht="19.899999999999999" customHeight="1" x14ac:dyDescent="0.25">
      <c r="A7961" s="51"/>
      <c r="B7961" s="52"/>
      <c r="C7961" s="165"/>
      <c r="D7961" s="52"/>
      <c r="E7961" s="115"/>
      <c r="F7961" s="58"/>
      <c r="G7961" s="58"/>
      <c r="H7961" s="58"/>
      <c r="I7961" s="55"/>
      <c r="J7961" s="113">
        <f>J7960</f>
        <v>28.444214999999929</v>
      </c>
      <c r="K7961" s="212">
        <f>K7960</f>
        <v>28.444214999999929</v>
      </c>
      <c r="L7961" s="58"/>
      <c r="M7961" s="58">
        <f>K7961-L7961</f>
        <v>28.444214999999929</v>
      </c>
      <c r="N7961" s="166"/>
      <c r="O7961" s="58"/>
      <c r="P7961" s="58"/>
      <c r="Q7961" s="58"/>
      <c r="R7961" s="58"/>
      <c r="S7961" s="58"/>
      <c r="T7961" s="220"/>
      <c r="U7961" s="88"/>
      <c r="V7961" s="56"/>
      <c r="W7961" s="57" t="s">
        <v>1108</v>
      </c>
      <c r="X7961" s="53"/>
      <c r="Y7961" s="91" t="s">
        <v>68</v>
      </c>
      <c r="Z7961" s="136">
        <f>AD7961/AC7961</f>
        <v>99.86152470588236</v>
      </c>
      <c r="AA7961" s="58"/>
      <c r="AB7961" s="53">
        <f>AD7961/AC7961</f>
        <v>99.86152470588236</v>
      </c>
      <c r="AC7961" s="53">
        <f>M7961+$AE$10</f>
        <v>28.444214999999929</v>
      </c>
      <c r="AD7961" s="54">
        <f>SUM(AD7962:AD7970)</f>
        <v>2840.4826789619224</v>
      </c>
      <c r="AE7961" s="184">
        <f>SUMIFS($AD$37:$AD$12971,$V$37:$V$12971,$V7961,$X$37:$X$12971,AE$13)</f>
        <v>0</v>
      </c>
      <c r="AF7961" s="185">
        <f>SUMIFS($AD$37:$AD$12971,$V$37:$V$12971,$V7961,$X$37:$X$12971,AF$13)</f>
        <v>0</v>
      </c>
      <c r="AG7961" s="185">
        <f>SUMIFS($AD$37:$AD$12971,$V$37:$V$12971,$V7961,$X$37:$X$12971,AG$13)</f>
        <v>0</v>
      </c>
      <c r="AH7961" s="187">
        <f>SUMIFS($AD$37:$AD$12971,$V$37:$V$12971,$V7961,$X$37:$X$12971,AH$13)</f>
        <v>0</v>
      </c>
      <c r="AI7961" s="161">
        <f t="shared" ref="AI7961" si="5564">SUM(AE7961:AH7961)</f>
        <v>0</v>
      </c>
      <c r="AK7961" s="172"/>
    </row>
    <row r="7962" spans="1:41" s="102" customFormat="1" ht="19.899999999999999" customHeight="1" x14ac:dyDescent="0.25">
      <c r="A7962" s="45"/>
      <c r="B7962" s="59"/>
      <c r="C7962" s="137"/>
      <c r="D7962" s="59"/>
      <c r="E7962" s="116"/>
      <c r="F7962" s="120"/>
      <c r="G7962" s="120"/>
      <c r="H7962" s="120"/>
      <c r="I7962" s="60"/>
      <c r="J7962" s="116"/>
      <c r="K7962" s="213"/>
      <c r="L7962" s="120"/>
      <c r="M7962" s="120"/>
      <c r="N7962" s="167"/>
      <c r="O7962" s="120"/>
      <c r="P7962" s="120"/>
      <c r="Q7962" s="120"/>
      <c r="R7962" s="120"/>
      <c r="S7962" s="120"/>
      <c r="T7962" s="221"/>
      <c r="U7962" s="89"/>
      <c r="V7962" s="61"/>
      <c r="W7962" s="92" t="s">
        <v>129</v>
      </c>
      <c r="X7962" s="93" t="s">
        <v>29</v>
      </c>
      <c r="Y7962" s="93" t="s">
        <v>93</v>
      </c>
      <c r="Z7962" s="134">
        <f>VLOOKUP(W7962,Sheet2!$B:$D,3,FALSE)</f>
        <v>56</v>
      </c>
      <c r="AA7962" s="93">
        <f>100/(2.4*3.5)</f>
        <v>11.904761904761905</v>
      </c>
      <c r="AB7962" s="93">
        <f t="shared" ref="AB7962" si="5565">AD7962/AC7961</f>
        <v>4.7040000000000006</v>
      </c>
      <c r="AC7962" s="93">
        <f>AC7961/AA7962</f>
        <v>2.389314059999994</v>
      </c>
      <c r="AD7962" s="94">
        <f t="shared" ref="AD7962:AD7963" si="5566">AC7962*Z7962</f>
        <v>133.80158735999967</v>
      </c>
      <c r="AE7962" s="190"/>
      <c r="AF7962" s="191"/>
      <c r="AG7962" s="191"/>
      <c r="AH7962" s="191"/>
      <c r="AI7962" s="186"/>
      <c r="AK7962" s="171"/>
    </row>
    <row r="7963" spans="1:41" s="102" customFormat="1" ht="19.899999999999999" customHeight="1" x14ac:dyDescent="0.25">
      <c r="A7963" s="45"/>
      <c r="B7963" s="59"/>
      <c r="C7963" s="137"/>
      <c r="D7963" s="59"/>
      <c r="E7963" s="116"/>
      <c r="F7963" s="120"/>
      <c r="G7963" s="120"/>
      <c r="H7963" s="120"/>
      <c r="I7963" s="60"/>
      <c r="J7963" s="116"/>
      <c r="K7963" s="213"/>
      <c r="L7963" s="120"/>
      <c r="M7963" s="120"/>
      <c r="N7963" s="167"/>
      <c r="O7963" s="120"/>
      <c r="P7963" s="120"/>
      <c r="Q7963" s="120"/>
      <c r="R7963" s="120"/>
      <c r="S7963" s="120"/>
      <c r="T7963" s="221"/>
      <c r="U7963" s="89"/>
      <c r="V7963" s="61"/>
      <c r="W7963" s="92" t="s">
        <v>65</v>
      </c>
      <c r="X7963" s="93" t="s">
        <v>30</v>
      </c>
      <c r="Y7963" s="93" t="s">
        <v>1011</v>
      </c>
      <c r="Z7963" s="134">
        <f>VLOOKUP(W7963,Sheet2!$B:$D,3,FALSE)</f>
        <v>1.76</v>
      </c>
      <c r="AA7963" s="93">
        <f>AA7962/14</f>
        <v>0.85034013605442182</v>
      </c>
      <c r="AB7963" s="93">
        <f>AD7963/AC7961</f>
        <v>2.0697599999999996</v>
      </c>
      <c r="AC7963" s="93">
        <f>AC7961/AA7963</f>
        <v>33.450396839999911</v>
      </c>
      <c r="AD7963" s="94">
        <f t="shared" si="5566"/>
        <v>58.872698438399844</v>
      </c>
      <c r="AE7963" s="190"/>
      <c r="AF7963" s="191"/>
      <c r="AG7963" s="191"/>
      <c r="AH7963" s="191"/>
      <c r="AI7963" s="186"/>
      <c r="AK7963" s="171"/>
    </row>
    <row r="7964" spans="1:41" s="102" customFormat="1" ht="19.899999999999999" customHeight="1" x14ac:dyDescent="0.25">
      <c r="A7964" s="45"/>
      <c r="B7964" s="59"/>
      <c r="C7964" s="137"/>
      <c r="D7964" s="59"/>
      <c r="E7964" s="116"/>
      <c r="F7964" s="120"/>
      <c r="G7964" s="120"/>
      <c r="H7964" s="120"/>
      <c r="I7964" s="60"/>
      <c r="J7964" s="116"/>
      <c r="K7964" s="213"/>
      <c r="L7964" s="120"/>
      <c r="M7964" s="120"/>
      <c r="N7964" s="167"/>
      <c r="O7964" s="120"/>
      <c r="P7964" s="120"/>
      <c r="Q7964" s="120"/>
      <c r="R7964" s="120"/>
      <c r="S7964" s="120"/>
      <c r="T7964" s="221"/>
      <c r="U7964" s="89"/>
      <c r="V7964" s="61"/>
      <c r="W7964" s="92" t="s">
        <v>161</v>
      </c>
      <c r="X7964" s="93" t="s">
        <v>29</v>
      </c>
      <c r="Y7964" s="93" t="s">
        <v>93</v>
      </c>
      <c r="Z7964" s="134">
        <f>VLOOKUP(W7964,Sheet2!$B:$D,3,FALSE)</f>
        <v>48</v>
      </c>
      <c r="AA7964" s="93">
        <f>(16*0.85*1.5)/(2.4*3.5)</f>
        <v>2.4285714285714284</v>
      </c>
      <c r="AB7964" s="93">
        <f>AD7964/AC7961</f>
        <v>19.764705882352942</v>
      </c>
      <c r="AC7964" s="93">
        <f>AC7961/AA7964</f>
        <v>11.712323823529383</v>
      </c>
      <c r="AD7964" s="94">
        <f>AC7964*Z7964</f>
        <v>562.19154352941041</v>
      </c>
      <c r="AE7964" s="190"/>
      <c r="AF7964" s="191"/>
      <c r="AG7964" s="191"/>
      <c r="AH7964" s="191"/>
      <c r="AI7964" s="186"/>
      <c r="AK7964" s="171"/>
    </row>
    <row r="7965" spans="1:41" s="102" customFormat="1" ht="19.899999999999999" customHeight="1" x14ac:dyDescent="0.25">
      <c r="A7965" s="45"/>
      <c r="B7965" s="59"/>
      <c r="C7965" s="137"/>
      <c r="D7965" s="59"/>
      <c r="E7965" s="116"/>
      <c r="F7965" s="120"/>
      <c r="G7965" s="120"/>
      <c r="H7965" s="120"/>
      <c r="I7965" s="60"/>
      <c r="J7965" s="116"/>
      <c r="K7965" s="213"/>
      <c r="L7965" s="120"/>
      <c r="M7965" s="120"/>
      <c r="N7965" s="167"/>
      <c r="O7965" s="120"/>
      <c r="P7965" s="120"/>
      <c r="Q7965" s="120"/>
      <c r="R7965" s="120"/>
      <c r="S7965" s="120"/>
      <c r="T7965" s="221"/>
      <c r="U7965" s="89"/>
      <c r="V7965" s="61"/>
      <c r="W7965" s="92" t="s">
        <v>65</v>
      </c>
      <c r="X7965" s="93" t="s">
        <v>30</v>
      </c>
      <c r="Y7965" s="93" t="s">
        <v>1011</v>
      </c>
      <c r="Z7965" s="134">
        <f>VLOOKUP(W7965,Sheet2!$B:$D,3,FALSE)</f>
        <v>1.76</v>
      </c>
      <c r="AA7965" s="93">
        <f>AA7964/10</f>
        <v>0.24285714285714283</v>
      </c>
      <c r="AB7965" s="93">
        <f>AD7965/AC7961</f>
        <v>7.2470588235294136</v>
      </c>
      <c r="AC7965" s="93">
        <f>AC7961/AA7965</f>
        <v>117.12323823529384</v>
      </c>
      <c r="AD7965" s="94">
        <f>AC7965*Z7965</f>
        <v>206.13689929411717</v>
      </c>
      <c r="AE7965" s="190"/>
      <c r="AF7965" s="191"/>
      <c r="AG7965" s="191"/>
      <c r="AH7965" s="191"/>
      <c r="AI7965" s="186"/>
      <c r="AK7965" s="171"/>
    </row>
    <row r="7966" spans="1:41" s="102" customFormat="1" ht="19.899999999999999" customHeight="1" x14ac:dyDescent="0.25">
      <c r="A7966" s="45"/>
      <c r="B7966" s="59"/>
      <c r="C7966" s="137"/>
      <c r="D7966" s="59"/>
      <c r="E7966" s="116"/>
      <c r="F7966" s="120"/>
      <c r="G7966" s="120"/>
      <c r="H7966" s="120"/>
      <c r="I7966" s="60"/>
      <c r="J7966" s="116"/>
      <c r="K7966" s="213"/>
      <c r="L7966" s="120"/>
      <c r="M7966" s="120"/>
      <c r="N7966" s="167"/>
      <c r="O7966" s="120"/>
      <c r="P7966" s="120"/>
      <c r="Q7966" s="120"/>
      <c r="R7966" s="120"/>
      <c r="S7966" s="120"/>
      <c r="T7966" s="221"/>
      <c r="U7966" s="89"/>
      <c r="V7966" s="61"/>
      <c r="W7966" s="92" t="s">
        <v>1030</v>
      </c>
      <c r="X7966" s="93" t="s">
        <v>29</v>
      </c>
      <c r="Y7966" s="93" t="s">
        <v>93</v>
      </c>
      <c r="Z7966" s="134">
        <f>VLOOKUP(W7966,Sheet2!$B:$D,3,FALSE)</f>
        <v>23</v>
      </c>
      <c r="AA7966" s="93">
        <v>50</v>
      </c>
      <c r="AB7966" s="93">
        <f>AD7966/AC7961</f>
        <v>0.45999999999999996</v>
      </c>
      <c r="AC7966" s="93">
        <f>AC7961/AA7966</f>
        <v>0.56888429999999857</v>
      </c>
      <c r="AD7966" s="94">
        <f t="shared" ref="AD7966:AD7970" si="5567">AC7966*Z7966</f>
        <v>13.084338899999967</v>
      </c>
      <c r="AE7966" s="190"/>
      <c r="AF7966" s="191"/>
      <c r="AG7966" s="191"/>
      <c r="AH7966" s="191"/>
      <c r="AI7966" s="186"/>
      <c r="AK7966" s="171"/>
    </row>
    <row r="7967" spans="1:41" s="102" customFormat="1" ht="19.899999999999999" customHeight="1" x14ac:dyDescent="0.25">
      <c r="A7967" s="45"/>
      <c r="B7967" s="59"/>
      <c r="C7967" s="137"/>
      <c r="D7967" s="59"/>
      <c r="E7967" s="116"/>
      <c r="F7967" s="120"/>
      <c r="G7967" s="120"/>
      <c r="H7967" s="120"/>
      <c r="I7967" s="60"/>
      <c r="J7967" s="116"/>
      <c r="K7967" s="213"/>
      <c r="L7967" s="120"/>
      <c r="M7967" s="120"/>
      <c r="N7967" s="167"/>
      <c r="O7967" s="120"/>
      <c r="P7967" s="120"/>
      <c r="Q7967" s="120"/>
      <c r="R7967" s="120"/>
      <c r="S7967" s="120"/>
      <c r="T7967" s="221"/>
      <c r="U7967" s="89"/>
      <c r="V7967" s="61"/>
      <c r="W7967" s="92" t="s">
        <v>65</v>
      </c>
      <c r="X7967" s="93" t="s">
        <v>30</v>
      </c>
      <c r="Y7967" s="93" t="s">
        <v>1011</v>
      </c>
      <c r="Z7967" s="134">
        <f>VLOOKUP(W7967,Sheet2!$B:$D,3,FALSE)</f>
        <v>1.76</v>
      </c>
      <c r="AA7967" s="93">
        <f>AA7966/3</f>
        <v>16.666666666666668</v>
      </c>
      <c r="AB7967" s="93">
        <f>AD7967/AC7961</f>
        <v>0.1056</v>
      </c>
      <c r="AC7967" s="93">
        <f>AC7961/AA7967</f>
        <v>1.7066528999999957</v>
      </c>
      <c r="AD7967" s="94">
        <f t="shared" si="5567"/>
        <v>3.0037091039999924</v>
      </c>
      <c r="AE7967" s="190"/>
      <c r="AF7967" s="191"/>
      <c r="AG7967" s="191"/>
      <c r="AH7967" s="191"/>
      <c r="AI7967" s="186"/>
      <c r="AK7967" s="171"/>
    </row>
    <row r="7968" spans="1:41" s="102" customFormat="1" ht="19.899999999999999" customHeight="1" x14ac:dyDescent="0.25">
      <c r="A7968" s="45"/>
      <c r="B7968" s="59"/>
      <c r="C7968" s="137"/>
      <c r="D7968" s="59"/>
      <c r="E7968" s="116"/>
      <c r="F7968" s="120"/>
      <c r="G7968" s="120"/>
      <c r="H7968" s="120"/>
      <c r="I7968" s="60"/>
      <c r="J7968" s="116"/>
      <c r="K7968" s="213"/>
      <c r="L7968" s="120"/>
      <c r="M7968" s="120"/>
      <c r="N7968" s="167"/>
      <c r="O7968" s="120"/>
      <c r="P7968" s="120"/>
      <c r="Q7968" s="120"/>
      <c r="R7968" s="120"/>
      <c r="S7968" s="120"/>
      <c r="T7968" s="221"/>
      <c r="U7968" s="89"/>
      <c r="V7968" s="61"/>
      <c r="W7968" s="92" t="s">
        <v>148</v>
      </c>
      <c r="X7968" s="93" t="s">
        <v>29</v>
      </c>
      <c r="Y7968" s="93" t="s">
        <v>93</v>
      </c>
      <c r="Z7968" s="134">
        <f>VLOOKUP(W7968,Sheet2!$B:$D,3,FALSE)</f>
        <v>48</v>
      </c>
      <c r="AA7968" s="93">
        <f>AA7962</f>
        <v>11.904761904761905</v>
      </c>
      <c r="AB7968" s="93">
        <f>AD7968/AC7961</f>
        <v>4.032</v>
      </c>
      <c r="AC7968" s="93">
        <f>AC7961/AA7968</f>
        <v>2.389314059999994</v>
      </c>
      <c r="AD7968" s="94">
        <f t="shared" si="5567"/>
        <v>114.68707487999971</v>
      </c>
      <c r="AE7968" s="190"/>
      <c r="AF7968" s="191"/>
      <c r="AG7968" s="191"/>
      <c r="AH7968" s="191"/>
      <c r="AI7968" s="186"/>
      <c r="AK7968" s="171"/>
    </row>
    <row r="7969" spans="1:41" s="102" customFormat="1" ht="19.899999999999999" customHeight="1" x14ac:dyDescent="0.25">
      <c r="A7969" s="45"/>
      <c r="B7969" s="59"/>
      <c r="C7969" s="137"/>
      <c r="D7969" s="59"/>
      <c r="E7969" s="116"/>
      <c r="F7969" s="120"/>
      <c r="G7969" s="120"/>
      <c r="H7969" s="120"/>
      <c r="I7969" s="60"/>
      <c r="J7969" s="116"/>
      <c r="K7969" s="213"/>
      <c r="L7969" s="120"/>
      <c r="M7969" s="120"/>
      <c r="N7969" s="167"/>
      <c r="O7969" s="120"/>
      <c r="P7969" s="120"/>
      <c r="Q7969" s="120"/>
      <c r="R7969" s="120"/>
      <c r="S7969" s="120"/>
      <c r="T7969" s="221"/>
      <c r="U7969" s="89"/>
      <c r="V7969" s="61"/>
      <c r="W7969" s="92" t="s">
        <v>65</v>
      </c>
      <c r="X7969" s="93" t="s">
        <v>30</v>
      </c>
      <c r="Y7969" s="93" t="s">
        <v>1011</v>
      </c>
      <c r="Z7969" s="134">
        <f>VLOOKUP(W7969,Sheet2!$B:$D,3,FALSE)</f>
        <v>1.76</v>
      </c>
      <c r="AA7969" s="93">
        <f>AA7968/10</f>
        <v>1.1904761904761905</v>
      </c>
      <c r="AB7969" s="93">
        <f>AD7969/AC7961</f>
        <v>1.4783999999999999</v>
      </c>
      <c r="AC7969" s="93">
        <f>AC7961/AA7969</f>
        <v>23.893140599999942</v>
      </c>
      <c r="AD7969" s="94">
        <f t="shared" si="5567"/>
        <v>42.051927455999895</v>
      </c>
      <c r="AE7969" s="190"/>
      <c r="AF7969" s="191"/>
      <c r="AG7969" s="191"/>
      <c r="AH7969" s="191"/>
      <c r="AI7969" s="186"/>
      <c r="AK7969" s="171"/>
    </row>
    <row r="7970" spans="1:41" s="102" customFormat="1" ht="19.899999999999999" customHeight="1" x14ac:dyDescent="0.25">
      <c r="A7970" s="45"/>
      <c r="B7970" s="59"/>
      <c r="C7970" s="137"/>
      <c r="D7970" s="59"/>
      <c r="E7970" s="116"/>
      <c r="F7970" s="120"/>
      <c r="G7970" s="120"/>
      <c r="H7970" s="120"/>
      <c r="I7970" s="60"/>
      <c r="J7970" s="116"/>
      <c r="K7970" s="213"/>
      <c r="L7970" s="120"/>
      <c r="M7970" s="120"/>
      <c r="N7970" s="167"/>
      <c r="O7970" s="120"/>
      <c r="P7970" s="120"/>
      <c r="Q7970" s="120"/>
      <c r="R7970" s="120"/>
      <c r="S7970" s="120"/>
      <c r="T7970" s="221"/>
      <c r="U7970" s="89"/>
      <c r="V7970" s="61"/>
      <c r="W7970" s="92" t="s">
        <v>1049</v>
      </c>
      <c r="X7970" s="93" t="s">
        <v>30</v>
      </c>
      <c r="Y7970" s="93" t="s">
        <v>68</v>
      </c>
      <c r="Z7970" s="134">
        <f>VLOOKUP(W7970,Sheet2!$B:$D,3,FALSE)</f>
        <v>60</v>
      </c>
      <c r="AA7970" s="93">
        <v>1</v>
      </c>
      <c r="AB7970" s="93">
        <f>AD7970/AC7961</f>
        <v>60</v>
      </c>
      <c r="AC7970" s="93">
        <f>AC7961/AA7970</f>
        <v>28.444214999999929</v>
      </c>
      <c r="AD7970" s="94">
        <f t="shared" si="5567"/>
        <v>1706.6528999999957</v>
      </c>
      <c r="AE7970" s="190"/>
      <c r="AF7970" s="191"/>
      <c r="AG7970" s="191"/>
      <c r="AH7970" s="191"/>
      <c r="AI7970" s="186"/>
      <c r="AK7970" s="171"/>
    </row>
    <row r="7971" spans="1:41" s="103" customFormat="1" ht="19.899999999999999" customHeight="1" x14ac:dyDescent="0.25">
      <c r="A7971" s="51"/>
      <c r="B7971" s="52"/>
      <c r="C7971" s="165"/>
      <c r="D7971" s="52"/>
      <c r="E7971" s="115"/>
      <c r="F7971" s="58"/>
      <c r="G7971" s="58"/>
      <c r="H7971" s="58"/>
      <c r="I7971" s="55"/>
      <c r="J7971" s="113">
        <f>J7960</f>
        <v>28.444214999999929</v>
      </c>
      <c r="K7971" s="212">
        <f>K7960</f>
        <v>28.444214999999929</v>
      </c>
      <c r="L7971" s="58"/>
      <c r="M7971" s="58">
        <f>K7971-L7971</f>
        <v>28.444214999999929</v>
      </c>
      <c r="N7971" s="166"/>
      <c r="O7971" s="58"/>
      <c r="P7971" s="58"/>
      <c r="Q7971" s="58"/>
      <c r="R7971" s="58"/>
      <c r="S7971" s="58"/>
      <c r="T7971" s="220"/>
      <c r="U7971" s="88"/>
      <c r="V7971" s="56"/>
      <c r="W7971" s="57" t="s">
        <v>1114</v>
      </c>
      <c r="X7971" s="53"/>
      <c r="Y7971" s="91" t="s">
        <v>68</v>
      </c>
      <c r="Z7971" s="136">
        <f>AD7971/AC7971</f>
        <v>3052.5500000000006</v>
      </c>
      <c r="AA7971" s="58"/>
      <c r="AB7971" s="53">
        <f>AD7971/AC7971</f>
        <v>3052.5500000000006</v>
      </c>
      <c r="AC7971" s="53">
        <f>M7971+$AE$10</f>
        <v>28.444214999999929</v>
      </c>
      <c r="AD7971" s="54">
        <f>SUM(AD7972:AD7975)</f>
        <v>86827.388498249798</v>
      </c>
      <c r="AE7971" s="184">
        <f>SUMIFS($AD$37:$AD$12971,$V$37:$V$12971,$V7971,$X$37:$X$12971,AE$13)</f>
        <v>0</v>
      </c>
      <c r="AF7971" s="185">
        <f>SUMIFS($AD$37:$AD$12971,$V$37:$V$12971,$V7971,$X$37:$X$12971,AF$13)</f>
        <v>0</v>
      </c>
      <c r="AG7971" s="185">
        <f>SUMIFS($AD$37:$AD$12971,$V$37:$V$12971,$V7971,$X$37:$X$12971,AG$13)</f>
        <v>0</v>
      </c>
      <c r="AH7971" s="187">
        <f>SUMIFS($AD$37:$AD$12971,$V$37:$V$12971,$V7971,$X$37:$X$12971,AH$13)</f>
        <v>0</v>
      </c>
      <c r="AI7971" s="161">
        <f t="shared" ref="AI7971" si="5568">SUM(AE7971:AH7971)</f>
        <v>0</v>
      </c>
      <c r="AK7971" s="172"/>
    </row>
    <row r="7972" spans="1:41" s="102" customFormat="1" ht="19.899999999999999" customHeight="1" x14ac:dyDescent="0.25">
      <c r="A7972" s="45"/>
      <c r="B7972" s="59"/>
      <c r="C7972" s="137"/>
      <c r="D7972" s="59"/>
      <c r="E7972" s="116"/>
      <c r="F7972" s="120"/>
      <c r="G7972" s="120"/>
      <c r="H7972" s="120"/>
      <c r="I7972" s="60"/>
      <c r="J7972" s="116"/>
      <c r="K7972" s="213"/>
      <c r="L7972" s="120"/>
      <c r="M7972" s="120"/>
      <c r="N7972" s="167"/>
      <c r="O7972" s="120"/>
      <c r="P7972" s="120"/>
      <c r="Q7972" s="120"/>
      <c r="R7972" s="120"/>
      <c r="S7972" s="120"/>
      <c r="T7972" s="221"/>
      <c r="U7972" s="89"/>
      <c r="V7972" s="61"/>
      <c r="W7972" s="92" t="s">
        <v>1105</v>
      </c>
      <c r="X7972" s="93" t="s">
        <v>30</v>
      </c>
      <c r="Y7972" s="93" t="s">
        <v>66</v>
      </c>
      <c r="Z7972" s="134">
        <f>VLOOKUP(W7972,Sheet2!$B:$D,3,FALSE)</f>
        <v>2200</v>
      </c>
      <c r="AA7972" s="93">
        <f>1/((1.6*1.3)-(1*0.7))</f>
        <v>0.72463768115942018</v>
      </c>
      <c r="AB7972" s="93">
        <f>AD7972/AC7971</f>
        <v>3036.0000000000005</v>
      </c>
      <c r="AC7972" s="93">
        <f>AC7971/AA7972</f>
        <v>39.253016699999911</v>
      </c>
      <c r="AD7972" s="94">
        <f t="shared" ref="AD7972" si="5569">AC7972*Z7972</f>
        <v>86356.636739999798</v>
      </c>
      <c r="AE7972" s="190"/>
      <c r="AF7972" s="191"/>
      <c r="AG7972" s="191"/>
      <c r="AH7972" s="191"/>
      <c r="AI7972" s="186"/>
      <c r="AK7972" s="171"/>
    </row>
    <row r="7973" spans="1:41" s="102" customFormat="1" ht="19.899999999999999" customHeight="1" x14ac:dyDescent="0.25">
      <c r="A7973" s="45"/>
      <c r="B7973" s="59"/>
      <c r="C7973" s="137"/>
      <c r="D7973" s="59"/>
      <c r="E7973" s="116"/>
      <c r="F7973" s="120"/>
      <c r="G7973" s="120"/>
      <c r="H7973" s="120"/>
      <c r="I7973" s="60"/>
      <c r="J7973" s="116"/>
      <c r="K7973" s="213"/>
      <c r="L7973" s="120"/>
      <c r="M7973" s="120"/>
      <c r="N7973" s="167"/>
      <c r="O7973" s="120"/>
      <c r="P7973" s="120"/>
      <c r="Q7973" s="120"/>
      <c r="R7973" s="120"/>
      <c r="S7973" s="120"/>
      <c r="T7973" s="221"/>
      <c r="U7973" s="89"/>
      <c r="V7973" s="61"/>
      <c r="W7973" s="92" t="s">
        <v>174</v>
      </c>
      <c r="X7973" s="93" t="s">
        <v>29</v>
      </c>
      <c r="Y7973" s="93" t="s">
        <v>93</v>
      </c>
      <c r="Z7973" s="134">
        <f>VLOOKUP(W7973,Sheet2!$B:$D,3,FALSE)</f>
        <v>80</v>
      </c>
      <c r="AA7973" s="93">
        <f>4*2</f>
        <v>8</v>
      </c>
      <c r="AB7973" s="93">
        <f>AD7973/AC7971</f>
        <v>10</v>
      </c>
      <c r="AC7973" s="93">
        <f>AC7971/AA7973</f>
        <v>3.5555268749999911</v>
      </c>
      <c r="AD7973" s="94">
        <f>AC7973*Z7973</f>
        <v>284.44214999999929</v>
      </c>
      <c r="AE7973" s="190"/>
      <c r="AF7973" s="191"/>
      <c r="AG7973" s="191"/>
      <c r="AH7973" s="191"/>
      <c r="AI7973" s="186"/>
      <c r="AK7973" s="171"/>
    </row>
    <row r="7974" spans="1:41" s="102" customFormat="1" ht="19.899999999999999" customHeight="1" x14ac:dyDescent="0.25">
      <c r="A7974" s="45"/>
      <c r="B7974" s="59"/>
      <c r="C7974" s="137"/>
      <c r="D7974" s="59"/>
      <c r="E7974" s="116"/>
      <c r="F7974" s="120"/>
      <c r="G7974" s="120"/>
      <c r="H7974" s="120"/>
      <c r="I7974" s="60"/>
      <c r="J7974" s="116"/>
      <c r="K7974" s="213"/>
      <c r="L7974" s="120"/>
      <c r="M7974" s="120"/>
      <c r="N7974" s="167"/>
      <c r="O7974" s="120"/>
      <c r="P7974" s="120"/>
      <c r="Q7974" s="120"/>
      <c r="R7974" s="120"/>
      <c r="S7974" s="120"/>
      <c r="T7974" s="221"/>
      <c r="U7974" s="89"/>
      <c r="V7974" s="61"/>
      <c r="W7974" s="92" t="s">
        <v>65</v>
      </c>
      <c r="X7974" s="93" t="s">
        <v>30</v>
      </c>
      <c r="Y7974" s="93" t="s">
        <v>1011</v>
      </c>
      <c r="Z7974" s="134">
        <f>VLOOKUP(W7974,Sheet2!$B:$D,3,FALSE)</f>
        <v>1.76</v>
      </c>
      <c r="AA7974" s="93">
        <f>AA7973/15</f>
        <v>0.53333333333333333</v>
      </c>
      <c r="AB7974" s="93">
        <f>AD7974/AC7971</f>
        <v>3.3</v>
      </c>
      <c r="AC7974" s="93">
        <f>AC7971/AA7974</f>
        <v>53.332903124999866</v>
      </c>
      <c r="AD7974" s="94">
        <f t="shared" ref="AD7974" si="5570">AC7974*Z7974</f>
        <v>93.865909499999759</v>
      </c>
      <c r="AE7974" s="190"/>
      <c r="AF7974" s="191"/>
      <c r="AG7974" s="191"/>
      <c r="AH7974" s="191"/>
      <c r="AI7974" s="186"/>
      <c r="AK7974" s="171"/>
    </row>
    <row r="7975" spans="1:41" s="102" customFormat="1" ht="19.899999999999999" customHeight="1" x14ac:dyDescent="0.25">
      <c r="A7975" s="45"/>
      <c r="B7975" s="59"/>
      <c r="C7975" s="137"/>
      <c r="D7975" s="59"/>
      <c r="E7975" s="116"/>
      <c r="F7975" s="120"/>
      <c r="G7975" s="120"/>
      <c r="H7975" s="120"/>
      <c r="I7975" s="60"/>
      <c r="J7975" s="116"/>
      <c r="K7975" s="213"/>
      <c r="L7975" s="120"/>
      <c r="M7975" s="120"/>
      <c r="N7975" s="167"/>
      <c r="O7975" s="120"/>
      <c r="P7975" s="120"/>
      <c r="Q7975" s="120"/>
      <c r="R7975" s="120"/>
      <c r="S7975" s="120"/>
      <c r="T7975" s="221"/>
      <c r="U7975" s="89"/>
      <c r="V7975" s="61"/>
      <c r="W7975" s="92" t="s">
        <v>112</v>
      </c>
      <c r="X7975" s="93" t="s">
        <v>31</v>
      </c>
      <c r="Y7975" s="93" t="s">
        <v>93</v>
      </c>
      <c r="Z7975" s="134">
        <f>VLOOKUP(W7975,Sheet2!$B:$D,3,FALSE)</f>
        <v>13</v>
      </c>
      <c r="AA7975" s="93">
        <f>AA7973/2</f>
        <v>4</v>
      </c>
      <c r="AB7975" s="93">
        <f>AD7975/AC7971</f>
        <v>3.25</v>
      </c>
      <c r="AC7975" s="93">
        <f>AC7971/AA7975</f>
        <v>7.1110537499999822</v>
      </c>
      <c r="AD7975" s="94">
        <f>AC7975*Z7975</f>
        <v>92.443698749999768</v>
      </c>
      <c r="AE7975" s="190"/>
      <c r="AF7975" s="191"/>
      <c r="AG7975" s="191"/>
      <c r="AH7975" s="191"/>
      <c r="AI7975" s="186"/>
      <c r="AK7975" s="171"/>
    </row>
    <row r="7976" spans="1:41" ht="20.100000000000001" customHeight="1" x14ac:dyDescent="0.25">
      <c r="A7976" s="277" t="s">
        <v>703</v>
      </c>
      <c r="B7976" s="278"/>
      <c r="C7976" s="64" t="s">
        <v>769</v>
      </c>
      <c r="D7976" s="46" t="s">
        <v>97</v>
      </c>
      <c r="E7976" s="114">
        <v>22.111049999999977</v>
      </c>
      <c r="F7976" s="44">
        <v>4023</v>
      </c>
      <c r="G7976" s="44">
        <f t="shared" si="5545"/>
        <v>88952.754149999906</v>
      </c>
      <c r="H7976" s="44">
        <f t="shared" si="5546"/>
        <v>3158.0252282352949</v>
      </c>
      <c r="I7976" s="43">
        <f t="shared" si="5547"/>
        <v>69827.253722771944</v>
      </c>
      <c r="J7976" s="112">
        <f t="shared" si="5548"/>
        <v>22.111049999999977</v>
      </c>
      <c r="K7976" s="211">
        <f t="shared" si="5549"/>
        <v>22.111049999999977</v>
      </c>
      <c r="L7976" s="44"/>
      <c r="M7976" s="44">
        <f t="shared" si="5550"/>
        <v>22.111049999999977</v>
      </c>
      <c r="N7976" s="173">
        <f t="shared" si="5551"/>
        <v>1</v>
      </c>
      <c r="O7976" s="44">
        <f t="shared" si="5552"/>
        <v>4023</v>
      </c>
      <c r="P7976" s="44">
        <f t="shared" si="5553"/>
        <v>88952.754149999906</v>
      </c>
      <c r="Q7976" s="44">
        <f t="shared" si="5554"/>
        <v>3158.0252282352949</v>
      </c>
      <c r="R7976" s="44">
        <f t="shared" si="5555"/>
        <v>69827.253722771944</v>
      </c>
      <c r="S7976" s="123"/>
      <c r="T7976" s="219">
        <f t="shared" si="5556"/>
        <v>69827.253722771944</v>
      </c>
      <c r="U7976" s="87"/>
      <c r="V7976" s="47"/>
      <c r="W7976" s="48"/>
      <c r="X7976" s="48"/>
      <c r="Y7976" s="48"/>
      <c r="Z7976" s="135"/>
      <c r="AA7976" s="49"/>
      <c r="AB7976" s="50">
        <f t="shared" si="5557"/>
        <v>3158.0252282352949</v>
      </c>
      <c r="AC7976" s="42">
        <f t="shared" si="5558"/>
        <v>22.111049999999977</v>
      </c>
      <c r="AD7976" s="90">
        <f>AD7977+AD7987</f>
        <v>69827.253722771944</v>
      </c>
      <c r="AE7976" s="188">
        <f t="shared" ref="AE7976:AH7976" si="5571">AE7977+AE7987</f>
        <v>0</v>
      </c>
      <c r="AF7976" s="189">
        <f t="shared" si="5571"/>
        <v>0</v>
      </c>
      <c r="AG7976" s="189">
        <f t="shared" si="5571"/>
        <v>0</v>
      </c>
      <c r="AH7976" s="189">
        <f t="shared" si="5571"/>
        <v>0</v>
      </c>
      <c r="AI7976" s="161">
        <f t="shared" ref="AI7976" si="5572">SUM(AE7976:AH7976)</f>
        <v>0</v>
      </c>
      <c r="AK7976" s="169">
        <v>5</v>
      </c>
      <c r="AO7976" s="19" t="s">
        <v>63</v>
      </c>
    </row>
    <row r="7977" spans="1:41" s="103" customFormat="1" ht="19.899999999999999" customHeight="1" x14ac:dyDescent="0.25">
      <c r="A7977" s="51"/>
      <c r="B7977" s="52"/>
      <c r="C7977" s="165"/>
      <c r="D7977" s="52"/>
      <c r="E7977" s="115"/>
      <c r="F7977" s="58"/>
      <c r="G7977" s="58"/>
      <c r="H7977" s="58"/>
      <c r="I7977" s="55"/>
      <c r="J7977" s="113">
        <f>J7976</f>
        <v>22.111049999999977</v>
      </c>
      <c r="K7977" s="212">
        <f>K7976</f>
        <v>22.111049999999977</v>
      </c>
      <c r="L7977" s="58"/>
      <c r="M7977" s="58">
        <f>K7977-L7977</f>
        <v>22.111049999999977</v>
      </c>
      <c r="N7977" s="166"/>
      <c r="O7977" s="58"/>
      <c r="P7977" s="58"/>
      <c r="Q7977" s="58"/>
      <c r="R7977" s="58"/>
      <c r="S7977" s="58"/>
      <c r="T7977" s="220"/>
      <c r="U7977" s="88"/>
      <c r="V7977" s="56"/>
      <c r="W7977" s="57" t="s">
        <v>1113</v>
      </c>
      <c r="X7977" s="53"/>
      <c r="Y7977" s="91" t="s">
        <v>68</v>
      </c>
      <c r="Z7977" s="136">
        <f>AD7977/AC7977</f>
        <v>105.47522823529411</v>
      </c>
      <c r="AA7977" s="58"/>
      <c r="AB7977" s="53">
        <f>AD7977/AC7977</f>
        <v>105.47522823529411</v>
      </c>
      <c r="AC7977" s="53">
        <f>M7977+$AE$10</f>
        <v>22.111049999999977</v>
      </c>
      <c r="AD7977" s="54">
        <f>SUM(AD7978:AD7986)</f>
        <v>2332.1680452719975</v>
      </c>
      <c r="AE7977" s="184">
        <f>SUMIFS($AD$37:$AD$12971,$V$37:$V$12971,$V7977,$X$37:$X$12971,AE$13)</f>
        <v>0</v>
      </c>
      <c r="AF7977" s="185">
        <f>SUMIFS($AD$37:$AD$12971,$V$37:$V$12971,$V7977,$X$37:$X$12971,AF$13)</f>
        <v>0</v>
      </c>
      <c r="AG7977" s="185">
        <f>SUMIFS($AD$37:$AD$12971,$V$37:$V$12971,$V7977,$X$37:$X$12971,AG$13)</f>
        <v>0</v>
      </c>
      <c r="AH7977" s="187">
        <f>SUMIFS($AD$37:$AD$12971,$V$37:$V$12971,$V7977,$X$37:$X$12971,AH$13)</f>
        <v>0</v>
      </c>
      <c r="AI7977" s="161">
        <f t="shared" ref="AI7977" si="5573">SUM(AE7977:AH7977)</f>
        <v>0</v>
      </c>
      <c r="AK7977" s="172"/>
    </row>
    <row r="7978" spans="1:41" s="102" customFormat="1" ht="19.899999999999999" customHeight="1" x14ac:dyDescent="0.25">
      <c r="A7978" s="45"/>
      <c r="B7978" s="59"/>
      <c r="C7978" s="137"/>
      <c r="D7978" s="59"/>
      <c r="E7978" s="116"/>
      <c r="F7978" s="120"/>
      <c r="G7978" s="120"/>
      <c r="H7978" s="120"/>
      <c r="I7978" s="60"/>
      <c r="J7978" s="116"/>
      <c r="K7978" s="213"/>
      <c r="L7978" s="120"/>
      <c r="M7978" s="120"/>
      <c r="N7978" s="167"/>
      <c r="O7978" s="120"/>
      <c r="P7978" s="120"/>
      <c r="Q7978" s="120"/>
      <c r="R7978" s="120"/>
      <c r="S7978" s="120"/>
      <c r="T7978" s="221"/>
      <c r="U7978" s="89"/>
      <c r="V7978" s="61"/>
      <c r="W7978" s="92" t="s">
        <v>129</v>
      </c>
      <c r="X7978" s="93" t="s">
        <v>29</v>
      </c>
      <c r="Y7978" s="93" t="s">
        <v>93</v>
      </c>
      <c r="Z7978" s="134">
        <f>VLOOKUP(W7978,Sheet2!$B:$D,3,FALSE)</f>
        <v>56</v>
      </c>
      <c r="AA7978" s="93">
        <f>100/(2.4*4)</f>
        <v>10.416666666666668</v>
      </c>
      <c r="AB7978" s="93">
        <f t="shared" ref="AB7978" si="5574">AD7978/AC7977</f>
        <v>5.3759999999999994</v>
      </c>
      <c r="AC7978" s="93">
        <f>AC7977/AA7978</f>
        <v>2.1226607999999976</v>
      </c>
      <c r="AD7978" s="94">
        <f t="shared" ref="AD7978:AD7979" si="5575">AC7978*Z7978</f>
        <v>118.86900479999986</v>
      </c>
      <c r="AE7978" s="190"/>
      <c r="AF7978" s="191"/>
      <c r="AG7978" s="191"/>
      <c r="AH7978" s="191"/>
      <c r="AI7978" s="186"/>
      <c r="AK7978" s="171"/>
    </row>
    <row r="7979" spans="1:41" s="102" customFormat="1" ht="19.899999999999999" customHeight="1" x14ac:dyDescent="0.25">
      <c r="A7979" s="45"/>
      <c r="B7979" s="59"/>
      <c r="C7979" s="137"/>
      <c r="D7979" s="59"/>
      <c r="E7979" s="116"/>
      <c r="F7979" s="120"/>
      <c r="G7979" s="120"/>
      <c r="H7979" s="120"/>
      <c r="I7979" s="60"/>
      <c r="J7979" s="116"/>
      <c r="K7979" s="213"/>
      <c r="L7979" s="120"/>
      <c r="M7979" s="120"/>
      <c r="N7979" s="167"/>
      <c r="O7979" s="120"/>
      <c r="P7979" s="120"/>
      <c r="Q7979" s="120"/>
      <c r="R7979" s="120"/>
      <c r="S7979" s="120"/>
      <c r="T7979" s="221"/>
      <c r="U7979" s="89"/>
      <c r="V7979" s="61"/>
      <c r="W7979" s="92" t="s">
        <v>65</v>
      </c>
      <c r="X7979" s="93" t="s">
        <v>30</v>
      </c>
      <c r="Y7979" s="93" t="s">
        <v>1011</v>
      </c>
      <c r="Z7979" s="134">
        <f>VLOOKUP(W7979,Sheet2!$B:$D,3,FALSE)</f>
        <v>1.76</v>
      </c>
      <c r="AA7979" s="93">
        <f>AA7978/14</f>
        <v>0.74404761904761918</v>
      </c>
      <c r="AB7979" s="93">
        <f>AD7979/AC7977</f>
        <v>2.3654399999999995</v>
      </c>
      <c r="AC7979" s="93">
        <f>AC7977/AA7979</f>
        <v>29.717251199999964</v>
      </c>
      <c r="AD7979" s="94">
        <f t="shared" si="5575"/>
        <v>52.30236211199994</v>
      </c>
      <c r="AE7979" s="190"/>
      <c r="AF7979" s="191"/>
      <c r="AG7979" s="191"/>
      <c r="AH7979" s="191"/>
      <c r="AI7979" s="186"/>
      <c r="AK7979" s="171"/>
    </row>
    <row r="7980" spans="1:41" s="102" customFormat="1" ht="19.899999999999999" customHeight="1" x14ac:dyDescent="0.25">
      <c r="A7980" s="45"/>
      <c r="B7980" s="59"/>
      <c r="C7980" s="137"/>
      <c r="D7980" s="59"/>
      <c r="E7980" s="116"/>
      <c r="F7980" s="120"/>
      <c r="G7980" s="120"/>
      <c r="H7980" s="120"/>
      <c r="I7980" s="60"/>
      <c r="J7980" s="116"/>
      <c r="K7980" s="213"/>
      <c r="L7980" s="120"/>
      <c r="M7980" s="120"/>
      <c r="N7980" s="167"/>
      <c r="O7980" s="120"/>
      <c r="P7980" s="120"/>
      <c r="Q7980" s="120"/>
      <c r="R7980" s="120"/>
      <c r="S7980" s="120"/>
      <c r="T7980" s="221"/>
      <c r="U7980" s="89"/>
      <c r="V7980" s="61"/>
      <c r="W7980" s="92" t="s">
        <v>161</v>
      </c>
      <c r="X7980" s="93" t="s">
        <v>29</v>
      </c>
      <c r="Y7980" s="93" t="s">
        <v>93</v>
      </c>
      <c r="Z7980" s="134">
        <f>VLOOKUP(W7980,Sheet2!$B:$D,3,FALSE)</f>
        <v>48</v>
      </c>
      <c r="AA7980" s="93">
        <f>(16*0.85*1.5)/(2.4*4)</f>
        <v>2.125</v>
      </c>
      <c r="AB7980" s="93">
        <f>AD7980/AC7977</f>
        <v>22.588235294117649</v>
      </c>
      <c r="AC7980" s="93">
        <f>AC7977/AA7980</f>
        <v>10.40519999999999</v>
      </c>
      <c r="AD7980" s="94">
        <f>AC7980*Z7980</f>
        <v>499.44959999999952</v>
      </c>
      <c r="AE7980" s="190"/>
      <c r="AF7980" s="191"/>
      <c r="AG7980" s="191"/>
      <c r="AH7980" s="191"/>
      <c r="AI7980" s="186"/>
      <c r="AK7980" s="171"/>
    </row>
    <row r="7981" spans="1:41" s="102" customFormat="1" ht="19.899999999999999" customHeight="1" x14ac:dyDescent="0.25">
      <c r="A7981" s="45"/>
      <c r="B7981" s="59"/>
      <c r="C7981" s="137"/>
      <c r="D7981" s="59"/>
      <c r="E7981" s="116"/>
      <c r="F7981" s="120"/>
      <c r="G7981" s="120"/>
      <c r="H7981" s="120"/>
      <c r="I7981" s="60"/>
      <c r="J7981" s="116"/>
      <c r="K7981" s="213"/>
      <c r="L7981" s="120"/>
      <c r="M7981" s="120"/>
      <c r="N7981" s="167"/>
      <c r="O7981" s="120"/>
      <c r="P7981" s="120"/>
      <c r="Q7981" s="120"/>
      <c r="R7981" s="120"/>
      <c r="S7981" s="120"/>
      <c r="T7981" s="221"/>
      <c r="U7981" s="89"/>
      <c r="V7981" s="61"/>
      <c r="W7981" s="92" t="s">
        <v>65</v>
      </c>
      <c r="X7981" s="93" t="s">
        <v>30</v>
      </c>
      <c r="Y7981" s="93" t="s">
        <v>1011</v>
      </c>
      <c r="Z7981" s="134">
        <f>VLOOKUP(W7981,Sheet2!$B:$D,3,FALSE)</f>
        <v>1.76</v>
      </c>
      <c r="AA7981" s="93">
        <f>AA7980/10</f>
        <v>0.21249999999999999</v>
      </c>
      <c r="AB7981" s="93">
        <f>AD7981/AC7977</f>
        <v>8.2823529411764714</v>
      </c>
      <c r="AC7981" s="93">
        <f>AC7977/AA7981</f>
        <v>104.05199999999989</v>
      </c>
      <c r="AD7981" s="94">
        <f>AC7981*Z7981</f>
        <v>183.13151999999982</v>
      </c>
      <c r="AE7981" s="190"/>
      <c r="AF7981" s="191"/>
      <c r="AG7981" s="191"/>
      <c r="AH7981" s="191"/>
      <c r="AI7981" s="186"/>
      <c r="AK7981" s="171"/>
    </row>
    <row r="7982" spans="1:41" s="102" customFormat="1" ht="19.899999999999999" customHeight="1" x14ac:dyDescent="0.25">
      <c r="A7982" s="45"/>
      <c r="B7982" s="59"/>
      <c r="C7982" s="137"/>
      <c r="D7982" s="59"/>
      <c r="E7982" s="116"/>
      <c r="F7982" s="120"/>
      <c r="G7982" s="120"/>
      <c r="H7982" s="120"/>
      <c r="I7982" s="60"/>
      <c r="J7982" s="116"/>
      <c r="K7982" s="213"/>
      <c r="L7982" s="120"/>
      <c r="M7982" s="120"/>
      <c r="N7982" s="167"/>
      <c r="O7982" s="120"/>
      <c r="P7982" s="120"/>
      <c r="Q7982" s="120"/>
      <c r="R7982" s="120"/>
      <c r="S7982" s="120"/>
      <c r="T7982" s="221"/>
      <c r="U7982" s="89"/>
      <c r="V7982" s="61"/>
      <c r="W7982" s="92" t="s">
        <v>1030</v>
      </c>
      <c r="X7982" s="93" t="s">
        <v>29</v>
      </c>
      <c r="Y7982" s="93" t="s">
        <v>93</v>
      </c>
      <c r="Z7982" s="134">
        <f>VLOOKUP(W7982,Sheet2!$B:$D,3,FALSE)</f>
        <v>23</v>
      </c>
      <c r="AA7982" s="93">
        <v>50</v>
      </c>
      <c r="AB7982" s="93">
        <f>AD7982/AC7977</f>
        <v>0.45999999999999996</v>
      </c>
      <c r="AC7982" s="93">
        <f>AC7977/AA7982</f>
        <v>0.44222099999999953</v>
      </c>
      <c r="AD7982" s="94">
        <f t="shared" ref="AD7982:AD7986" si="5576">AC7982*Z7982</f>
        <v>10.171082999999989</v>
      </c>
      <c r="AE7982" s="190"/>
      <c r="AF7982" s="191"/>
      <c r="AG7982" s="191"/>
      <c r="AH7982" s="191"/>
      <c r="AI7982" s="186"/>
      <c r="AK7982" s="171"/>
    </row>
    <row r="7983" spans="1:41" s="102" customFormat="1" ht="19.899999999999999" customHeight="1" x14ac:dyDescent="0.25">
      <c r="A7983" s="45"/>
      <c r="B7983" s="59"/>
      <c r="C7983" s="137"/>
      <c r="D7983" s="59"/>
      <c r="E7983" s="116"/>
      <c r="F7983" s="120"/>
      <c r="G7983" s="120"/>
      <c r="H7983" s="120"/>
      <c r="I7983" s="60"/>
      <c r="J7983" s="116"/>
      <c r="K7983" s="213"/>
      <c r="L7983" s="120"/>
      <c r="M7983" s="120"/>
      <c r="N7983" s="167"/>
      <c r="O7983" s="120"/>
      <c r="P7983" s="120"/>
      <c r="Q7983" s="120"/>
      <c r="R7983" s="120"/>
      <c r="S7983" s="120"/>
      <c r="T7983" s="221"/>
      <c r="U7983" s="89"/>
      <c r="V7983" s="61"/>
      <c r="W7983" s="92" t="s">
        <v>65</v>
      </c>
      <c r="X7983" s="93" t="s">
        <v>30</v>
      </c>
      <c r="Y7983" s="93" t="s">
        <v>1011</v>
      </c>
      <c r="Z7983" s="134">
        <f>VLOOKUP(W7983,Sheet2!$B:$D,3,FALSE)</f>
        <v>1.76</v>
      </c>
      <c r="AA7983" s="93">
        <f>AA7982/3</f>
        <v>16.666666666666668</v>
      </c>
      <c r="AB7983" s="93">
        <f>AD7983/AC7977</f>
        <v>0.1056</v>
      </c>
      <c r="AC7983" s="93">
        <f>AC7977/AA7983</f>
        <v>1.3266629999999986</v>
      </c>
      <c r="AD7983" s="94">
        <f t="shared" si="5576"/>
        <v>2.3349268799999976</v>
      </c>
      <c r="AE7983" s="190"/>
      <c r="AF7983" s="191"/>
      <c r="AG7983" s="191"/>
      <c r="AH7983" s="191"/>
      <c r="AI7983" s="186"/>
      <c r="AK7983" s="171"/>
    </row>
    <row r="7984" spans="1:41" s="102" customFormat="1" ht="19.899999999999999" customHeight="1" x14ac:dyDescent="0.25">
      <c r="A7984" s="45"/>
      <c r="B7984" s="59"/>
      <c r="C7984" s="137"/>
      <c r="D7984" s="59"/>
      <c r="E7984" s="116"/>
      <c r="F7984" s="120"/>
      <c r="G7984" s="120"/>
      <c r="H7984" s="120"/>
      <c r="I7984" s="60"/>
      <c r="J7984" s="116"/>
      <c r="K7984" s="213"/>
      <c r="L7984" s="120"/>
      <c r="M7984" s="120"/>
      <c r="N7984" s="167"/>
      <c r="O7984" s="120"/>
      <c r="P7984" s="120"/>
      <c r="Q7984" s="120"/>
      <c r="R7984" s="120"/>
      <c r="S7984" s="120"/>
      <c r="T7984" s="221"/>
      <c r="U7984" s="89"/>
      <c r="V7984" s="61"/>
      <c r="W7984" s="92" t="s">
        <v>148</v>
      </c>
      <c r="X7984" s="93" t="s">
        <v>29</v>
      </c>
      <c r="Y7984" s="93" t="s">
        <v>93</v>
      </c>
      <c r="Z7984" s="134">
        <f>VLOOKUP(W7984,Sheet2!$B:$D,3,FALSE)</f>
        <v>48</v>
      </c>
      <c r="AA7984" s="93">
        <f>AA7978</f>
        <v>10.416666666666668</v>
      </c>
      <c r="AB7984" s="93">
        <f>AD7984/AC7977</f>
        <v>4.6079999999999997</v>
      </c>
      <c r="AC7984" s="93">
        <f>AC7977/AA7984</f>
        <v>2.1226607999999976</v>
      </c>
      <c r="AD7984" s="94">
        <f t="shared" si="5576"/>
        <v>101.88771839999988</v>
      </c>
      <c r="AE7984" s="190"/>
      <c r="AF7984" s="191"/>
      <c r="AG7984" s="191"/>
      <c r="AH7984" s="191"/>
      <c r="AI7984" s="186"/>
      <c r="AK7984" s="171"/>
    </row>
    <row r="7985" spans="1:41" s="102" customFormat="1" ht="19.899999999999999" customHeight="1" x14ac:dyDescent="0.25">
      <c r="A7985" s="45"/>
      <c r="B7985" s="59"/>
      <c r="C7985" s="137"/>
      <c r="D7985" s="59"/>
      <c r="E7985" s="116"/>
      <c r="F7985" s="120"/>
      <c r="G7985" s="120"/>
      <c r="H7985" s="120"/>
      <c r="I7985" s="60"/>
      <c r="J7985" s="116"/>
      <c r="K7985" s="213"/>
      <c r="L7985" s="120"/>
      <c r="M7985" s="120"/>
      <c r="N7985" s="167"/>
      <c r="O7985" s="120"/>
      <c r="P7985" s="120"/>
      <c r="Q7985" s="120"/>
      <c r="R7985" s="120"/>
      <c r="S7985" s="120"/>
      <c r="T7985" s="221"/>
      <c r="U7985" s="89"/>
      <c r="V7985" s="61"/>
      <c r="W7985" s="92" t="s">
        <v>65</v>
      </c>
      <c r="X7985" s="93" t="s">
        <v>30</v>
      </c>
      <c r="Y7985" s="93" t="s">
        <v>1011</v>
      </c>
      <c r="Z7985" s="134">
        <f>VLOOKUP(W7985,Sheet2!$B:$D,3,FALSE)</f>
        <v>1.76</v>
      </c>
      <c r="AA7985" s="93">
        <f>AA7984/10</f>
        <v>1.0416666666666667</v>
      </c>
      <c r="AB7985" s="93">
        <f>AD7985/AC7977</f>
        <v>1.6896</v>
      </c>
      <c r="AC7985" s="93">
        <f>AC7977/AA7985</f>
        <v>21.226607999999977</v>
      </c>
      <c r="AD7985" s="94">
        <f t="shared" si="5576"/>
        <v>37.358830079999962</v>
      </c>
      <c r="AE7985" s="190"/>
      <c r="AF7985" s="191"/>
      <c r="AG7985" s="191"/>
      <c r="AH7985" s="191"/>
      <c r="AI7985" s="186"/>
      <c r="AK7985" s="171"/>
    </row>
    <row r="7986" spans="1:41" s="102" customFormat="1" ht="19.899999999999999" customHeight="1" x14ac:dyDescent="0.25">
      <c r="A7986" s="45"/>
      <c r="B7986" s="59"/>
      <c r="C7986" s="137"/>
      <c r="D7986" s="59"/>
      <c r="E7986" s="116"/>
      <c r="F7986" s="120"/>
      <c r="G7986" s="120"/>
      <c r="H7986" s="120"/>
      <c r="I7986" s="60"/>
      <c r="J7986" s="116"/>
      <c r="K7986" s="213"/>
      <c r="L7986" s="120"/>
      <c r="M7986" s="120"/>
      <c r="N7986" s="167"/>
      <c r="O7986" s="120"/>
      <c r="P7986" s="120"/>
      <c r="Q7986" s="120"/>
      <c r="R7986" s="120"/>
      <c r="S7986" s="120"/>
      <c r="T7986" s="221"/>
      <c r="U7986" s="89"/>
      <c r="V7986" s="61"/>
      <c r="W7986" s="92" t="s">
        <v>1049</v>
      </c>
      <c r="X7986" s="93" t="s">
        <v>30</v>
      </c>
      <c r="Y7986" s="93" t="s">
        <v>68</v>
      </c>
      <c r="Z7986" s="134">
        <f>VLOOKUP(W7986,Sheet2!$B:$D,3,FALSE)</f>
        <v>60</v>
      </c>
      <c r="AA7986" s="93">
        <v>1</v>
      </c>
      <c r="AB7986" s="93">
        <f>AD7986/AC7977</f>
        <v>60</v>
      </c>
      <c r="AC7986" s="93">
        <f>AC7977/AA7986</f>
        <v>22.111049999999977</v>
      </c>
      <c r="AD7986" s="94">
        <f t="shared" si="5576"/>
        <v>1326.6629999999986</v>
      </c>
      <c r="AE7986" s="190"/>
      <c r="AF7986" s="191"/>
      <c r="AG7986" s="191"/>
      <c r="AH7986" s="191"/>
      <c r="AI7986" s="186"/>
      <c r="AK7986" s="171"/>
    </row>
    <row r="7987" spans="1:41" s="103" customFormat="1" ht="19.899999999999999" customHeight="1" x14ac:dyDescent="0.25">
      <c r="A7987" s="51"/>
      <c r="B7987" s="52"/>
      <c r="C7987" s="165"/>
      <c r="D7987" s="52"/>
      <c r="E7987" s="115"/>
      <c r="F7987" s="58"/>
      <c r="G7987" s="58"/>
      <c r="H7987" s="58"/>
      <c r="I7987" s="55"/>
      <c r="J7987" s="113">
        <f>J7976</f>
        <v>22.111049999999977</v>
      </c>
      <c r="K7987" s="212">
        <f>K7976</f>
        <v>22.111049999999977</v>
      </c>
      <c r="L7987" s="58"/>
      <c r="M7987" s="58">
        <f>K7987-L7987</f>
        <v>22.111049999999977</v>
      </c>
      <c r="N7987" s="166"/>
      <c r="O7987" s="58"/>
      <c r="P7987" s="58"/>
      <c r="Q7987" s="58"/>
      <c r="R7987" s="58"/>
      <c r="S7987" s="58"/>
      <c r="T7987" s="220"/>
      <c r="U7987" s="88"/>
      <c r="V7987" s="56"/>
      <c r="W7987" s="57" t="s">
        <v>1114</v>
      </c>
      <c r="X7987" s="53"/>
      <c r="Y7987" s="91" t="s">
        <v>68</v>
      </c>
      <c r="Z7987" s="136">
        <f>AD7987/AC7987</f>
        <v>3052.5500000000006</v>
      </c>
      <c r="AA7987" s="58"/>
      <c r="AB7987" s="53">
        <f>AD7987/AC7987</f>
        <v>3052.5500000000006</v>
      </c>
      <c r="AC7987" s="53">
        <f>M7987+$AE$10</f>
        <v>22.111049999999977</v>
      </c>
      <c r="AD7987" s="54">
        <f>SUM(AD7988:AD7991)</f>
        <v>67495.085677499941</v>
      </c>
      <c r="AE7987" s="184">
        <f>SUMIFS($AD$37:$AD$12971,$V$37:$V$12971,$V7987,$X$37:$X$12971,AE$13)</f>
        <v>0</v>
      </c>
      <c r="AF7987" s="185">
        <f>SUMIFS($AD$37:$AD$12971,$V$37:$V$12971,$V7987,$X$37:$X$12971,AF$13)</f>
        <v>0</v>
      </c>
      <c r="AG7987" s="185">
        <f>SUMIFS($AD$37:$AD$12971,$V$37:$V$12971,$V7987,$X$37:$X$12971,AG$13)</f>
        <v>0</v>
      </c>
      <c r="AH7987" s="187">
        <f>SUMIFS($AD$37:$AD$12971,$V$37:$V$12971,$V7987,$X$37:$X$12971,AH$13)</f>
        <v>0</v>
      </c>
      <c r="AI7987" s="161">
        <f t="shared" ref="AI7987" si="5577">SUM(AE7987:AH7987)</f>
        <v>0</v>
      </c>
      <c r="AK7987" s="172"/>
    </row>
    <row r="7988" spans="1:41" s="102" customFormat="1" ht="19.899999999999999" customHeight="1" x14ac:dyDescent="0.25">
      <c r="A7988" s="45"/>
      <c r="B7988" s="59"/>
      <c r="C7988" s="137"/>
      <c r="D7988" s="59"/>
      <c r="E7988" s="116"/>
      <c r="F7988" s="120"/>
      <c r="G7988" s="120"/>
      <c r="H7988" s="120"/>
      <c r="I7988" s="60"/>
      <c r="J7988" s="116"/>
      <c r="K7988" s="213"/>
      <c r="L7988" s="120"/>
      <c r="M7988" s="120"/>
      <c r="N7988" s="167"/>
      <c r="O7988" s="120"/>
      <c r="P7988" s="120"/>
      <c r="Q7988" s="120"/>
      <c r="R7988" s="120"/>
      <c r="S7988" s="120"/>
      <c r="T7988" s="221"/>
      <c r="U7988" s="89"/>
      <c r="V7988" s="61"/>
      <c r="W7988" s="92" t="s">
        <v>1105</v>
      </c>
      <c r="X7988" s="93" t="s">
        <v>30</v>
      </c>
      <c r="Y7988" s="93" t="s">
        <v>66</v>
      </c>
      <c r="Z7988" s="134">
        <f>VLOOKUP(W7988,Sheet2!$B:$D,3,FALSE)</f>
        <v>2200</v>
      </c>
      <c r="AA7988" s="93">
        <f>1/((1.6*1.3)-(1*0.7))</f>
        <v>0.72463768115942018</v>
      </c>
      <c r="AB7988" s="93">
        <f>AD7988/AC7987</f>
        <v>3036.0000000000009</v>
      </c>
      <c r="AC7988" s="93">
        <f>AC7987/AA7988</f>
        <v>30.513248999999973</v>
      </c>
      <c r="AD7988" s="94">
        <f t="shared" ref="AD7988" si="5578">AC7988*Z7988</f>
        <v>67129.147799999948</v>
      </c>
      <c r="AE7988" s="190"/>
      <c r="AF7988" s="191"/>
      <c r="AG7988" s="191"/>
      <c r="AH7988" s="191"/>
      <c r="AI7988" s="186"/>
      <c r="AK7988" s="171"/>
    </row>
    <row r="7989" spans="1:41" s="102" customFormat="1" ht="19.899999999999999" customHeight="1" x14ac:dyDescent="0.25">
      <c r="A7989" s="45"/>
      <c r="B7989" s="59"/>
      <c r="C7989" s="137"/>
      <c r="D7989" s="59"/>
      <c r="E7989" s="116"/>
      <c r="F7989" s="120"/>
      <c r="G7989" s="120"/>
      <c r="H7989" s="120"/>
      <c r="I7989" s="60"/>
      <c r="J7989" s="116"/>
      <c r="K7989" s="213"/>
      <c r="L7989" s="120"/>
      <c r="M7989" s="120"/>
      <c r="N7989" s="167"/>
      <c r="O7989" s="120"/>
      <c r="P7989" s="120"/>
      <c r="Q7989" s="120"/>
      <c r="R7989" s="120"/>
      <c r="S7989" s="120"/>
      <c r="T7989" s="221"/>
      <c r="U7989" s="89"/>
      <c r="V7989" s="61"/>
      <c r="W7989" s="92" t="s">
        <v>174</v>
      </c>
      <c r="X7989" s="93" t="s">
        <v>29</v>
      </c>
      <c r="Y7989" s="93" t="s">
        <v>93</v>
      </c>
      <c r="Z7989" s="134">
        <f>VLOOKUP(W7989,Sheet2!$B:$D,3,FALSE)</f>
        <v>80</v>
      </c>
      <c r="AA7989" s="93">
        <f>4*2</f>
        <v>8</v>
      </c>
      <c r="AB7989" s="93">
        <f>AD7989/AC7987</f>
        <v>10</v>
      </c>
      <c r="AC7989" s="93">
        <f>AC7987/AA7989</f>
        <v>2.7638812499999972</v>
      </c>
      <c r="AD7989" s="94">
        <f>AC7989*Z7989</f>
        <v>221.11049999999977</v>
      </c>
      <c r="AE7989" s="190"/>
      <c r="AF7989" s="191"/>
      <c r="AG7989" s="191"/>
      <c r="AH7989" s="191"/>
      <c r="AI7989" s="186"/>
      <c r="AK7989" s="171"/>
    </row>
    <row r="7990" spans="1:41" s="102" customFormat="1" ht="19.899999999999999" customHeight="1" x14ac:dyDescent="0.25">
      <c r="A7990" s="45"/>
      <c r="B7990" s="59"/>
      <c r="C7990" s="137"/>
      <c r="D7990" s="59"/>
      <c r="E7990" s="116"/>
      <c r="F7990" s="120"/>
      <c r="G7990" s="120"/>
      <c r="H7990" s="120"/>
      <c r="I7990" s="60"/>
      <c r="J7990" s="116"/>
      <c r="K7990" s="213"/>
      <c r="L7990" s="120"/>
      <c r="M7990" s="120"/>
      <c r="N7990" s="167"/>
      <c r="O7990" s="120"/>
      <c r="P7990" s="120"/>
      <c r="Q7990" s="120"/>
      <c r="R7990" s="120"/>
      <c r="S7990" s="120"/>
      <c r="T7990" s="221"/>
      <c r="U7990" s="89"/>
      <c r="V7990" s="61"/>
      <c r="W7990" s="92" t="s">
        <v>65</v>
      </c>
      <c r="X7990" s="93" t="s">
        <v>30</v>
      </c>
      <c r="Y7990" s="93" t="s">
        <v>1011</v>
      </c>
      <c r="Z7990" s="134">
        <f>VLOOKUP(W7990,Sheet2!$B:$D,3,FALSE)</f>
        <v>1.76</v>
      </c>
      <c r="AA7990" s="93">
        <f>AA7989/15</f>
        <v>0.53333333333333333</v>
      </c>
      <c r="AB7990" s="93">
        <f>AD7990/AC7987</f>
        <v>3.3000000000000003</v>
      </c>
      <c r="AC7990" s="93">
        <f>AC7987/AA7990</f>
        <v>41.458218749999958</v>
      </c>
      <c r="AD7990" s="94">
        <f t="shared" ref="AD7990" si="5579">AC7990*Z7990</f>
        <v>72.966464999999928</v>
      </c>
      <c r="AE7990" s="190"/>
      <c r="AF7990" s="191"/>
      <c r="AG7990" s="191"/>
      <c r="AH7990" s="191"/>
      <c r="AI7990" s="186"/>
      <c r="AK7990" s="171"/>
    </row>
    <row r="7991" spans="1:41" s="102" customFormat="1" ht="19.899999999999999" customHeight="1" x14ac:dyDescent="0.25">
      <c r="A7991" s="45"/>
      <c r="B7991" s="59"/>
      <c r="C7991" s="137"/>
      <c r="D7991" s="59"/>
      <c r="E7991" s="116"/>
      <c r="F7991" s="120"/>
      <c r="G7991" s="120"/>
      <c r="H7991" s="120"/>
      <c r="I7991" s="60"/>
      <c r="J7991" s="116"/>
      <c r="K7991" s="213"/>
      <c r="L7991" s="120"/>
      <c r="M7991" s="120"/>
      <c r="N7991" s="167"/>
      <c r="O7991" s="120"/>
      <c r="P7991" s="120"/>
      <c r="Q7991" s="120"/>
      <c r="R7991" s="120"/>
      <c r="S7991" s="120"/>
      <c r="T7991" s="221"/>
      <c r="U7991" s="89"/>
      <c r="V7991" s="61"/>
      <c r="W7991" s="92" t="s">
        <v>112</v>
      </c>
      <c r="X7991" s="93" t="s">
        <v>31</v>
      </c>
      <c r="Y7991" s="93" t="s">
        <v>93</v>
      </c>
      <c r="Z7991" s="134">
        <f>VLOOKUP(W7991,Sheet2!$B:$D,3,FALSE)</f>
        <v>13</v>
      </c>
      <c r="AA7991" s="93">
        <f>AA7989/2</f>
        <v>4</v>
      </c>
      <c r="AB7991" s="93">
        <f>AD7991/AC7987</f>
        <v>3.25</v>
      </c>
      <c r="AC7991" s="93">
        <f>AC7987/AA7991</f>
        <v>5.5277624999999944</v>
      </c>
      <c r="AD7991" s="94">
        <f>AC7991*Z7991</f>
        <v>71.860912499999927</v>
      </c>
      <c r="AE7991" s="190"/>
      <c r="AF7991" s="191"/>
      <c r="AG7991" s="191"/>
      <c r="AH7991" s="191"/>
      <c r="AI7991" s="186"/>
      <c r="AK7991" s="171"/>
    </row>
    <row r="7992" spans="1:41" ht="20.100000000000001" customHeight="1" x14ac:dyDescent="0.25">
      <c r="A7992" s="277" t="s">
        <v>703</v>
      </c>
      <c r="B7992" s="278"/>
      <c r="C7992" s="64" t="s">
        <v>772</v>
      </c>
      <c r="D7992" s="46"/>
      <c r="E7992" s="114"/>
      <c r="F7992" s="44">
        <v>0</v>
      </c>
      <c r="G7992" s="44">
        <f t="shared" si="5545"/>
        <v>0</v>
      </c>
      <c r="H7992" s="44">
        <f t="shared" si="5546"/>
        <v>0</v>
      </c>
      <c r="I7992" s="43">
        <f t="shared" si="5547"/>
        <v>0</v>
      </c>
      <c r="J7992" s="112">
        <f t="shared" si="5548"/>
        <v>0</v>
      </c>
      <c r="K7992" s="211">
        <f t="shared" si="5549"/>
        <v>0</v>
      </c>
      <c r="L7992" s="44"/>
      <c r="M7992" s="44">
        <f t="shared" si="5550"/>
        <v>0</v>
      </c>
      <c r="N7992" s="173">
        <f t="shared" si="5551"/>
        <v>0</v>
      </c>
      <c r="O7992" s="44">
        <f t="shared" si="5552"/>
        <v>0</v>
      </c>
      <c r="P7992" s="44">
        <f t="shared" si="5553"/>
        <v>0</v>
      </c>
      <c r="Q7992" s="44">
        <f t="shared" si="5554"/>
        <v>0</v>
      </c>
      <c r="R7992" s="44">
        <f t="shared" si="5555"/>
        <v>0</v>
      </c>
      <c r="S7992" s="123"/>
      <c r="T7992" s="219">
        <f t="shared" si="5556"/>
        <v>0</v>
      </c>
      <c r="U7992" s="87"/>
      <c r="V7992" s="47"/>
      <c r="W7992" s="48"/>
      <c r="X7992" s="48"/>
      <c r="Y7992" s="48"/>
      <c r="Z7992" s="135"/>
      <c r="AA7992" s="49"/>
      <c r="AB7992" s="50">
        <f t="shared" si="5557"/>
        <v>0</v>
      </c>
      <c r="AC7992" s="42">
        <f t="shared" si="5558"/>
        <v>9.9999999999999998E-20</v>
      </c>
      <c r="AD7992" s="90"/>
      <c r="AE7992" s="188"/>
      <c r="AF7992" s="189"/>
      <c r="AG7992" s="189"/>
      <c r="AH7992" s="189"/>
      <c r="AI7992" s="161"/>
    </row>
    <row r="7993" spans="1:41" ht="20.100000000000001" customHeight="1" x14ac:dyDescent="0.25">
      <c r="A7993" s="277" t="s">
        <v>703</v>
      </c>
      <c r="B7993" s="278"/>
      <c r="C7993" s="64" t="s">
        <v>763</v>
      </c>
      <c r="D7993" s="46" t="s">
        <v>97</v>
      </c>
      <c r="E7993" s="114">
        <v>33.84463999999997</v>
      </c>
      <c r="F7993" s="44">
        <v>3771</v>
      </c>
      <c r="G7993" s="44">
        <f t="shared" si="5545"/>
        <v>127628.13743999989</v>
      </c>
      <c r="H7993" s="44">
        <f t="shared" si="5546"/>
        <v>3469.4652752941183</v>
      </c>
      <c r="I7993" s="43">
        <f t="shared" si="5547"/>
        <v>117422.80323483022</v>
      </c>
      <c r="J7993" s="112">
        <f t="shared" si="5548"/>
        <v>33.84463999999997</v>
      </c>
      <c r="K7993" s="211">
        <f t="shared" si="5549"/>
        <v>33.84463999999997</v>
      </c>
      <c r="L7993" s="44"/>
      <c r="M7993" s="44">
        <f t="shared" si="5550"/>
        <v>33.84463999999997</v>
      </c>
      <c r="N7993" s="173">
        <f t="shared" si="5551"/>
        <v>1</v>
      </c>
      <c r="O7993" s="44">
        <f t="shared" si="5552"/>
        <v>3771</v>
      </c>
      <c r="P7993" s="44">
        <f t="shared" si="5553"/>
        <v>127628.13743999989</v>
      </c>
      <c r="Q7993" s="44">
        <f t="shared" si="5554"/>
        <v>3469.4652752941183</v>
      </c>
      <c r="R7993" s="44">
        <f t="shared" si="5555"/>
        <v>117422.80323483022</v>
      </c>
      <c r="S7993" s="123"/>
      <c r="T7993" s="219">
        <f t="shared" si="5556"/>
        <v>117422.80323483022</v>
      </c>
      <c r="U7993" s="87"/>
      <c r="V7993" s="47"/>
      <c r="W7993" s="48"/>
      <c r="X7993" s="48"/>
      <c r="Y7993" s="48"/>
      <c r="Z7993" s="135"/>
      <c r="AA7993" s="49"/>
      <c r="AB7993" s="50">
        <f t="shared" si="5557"/>
        <v>3469.4652752941183</v>
      </c>
      <c r="AC7993" s="42">
        <f t="shared" si="5558"/>
        <v>33.84463999999997</v>
      </c>
      <c r="AD7993" s="90">
        <f>AD7994+AD8003</f>
        <v>117422.80323483022</v>
      </c>
      <c r="AE7993" s="188">
        <f t="shared" ref="AE7993:AH7993" si="5580">AE7994+AE8003</f>
        <v>0</v>
      </c>
      <c r="AF7993" s="189">
        <f t="shared" si="5580"/>
        <v>0</v>
      </c>
      <c r="AG7993" s="189">
        <f t="shared" si="5580"/>
        <v>0</v>
      </c>
      <c r="AH7993" s="189">
        <f t="shared" si="5580"/>
        <v>0</v>
      </c>
      <c r="AI7993" s="161">
        <f t="shared" ref="AI7993:AI8008" si="5581">SUM(AE7993:AH7993)</f>
        <v>0</v>
      </c>
      <c r="AK7993" s="169">
        <v>5</v>
      </c>
      <c r="AO7993" s="19" t="s">
        <v>63</v>
      </c>
    </row>
    <row r="7994" spans="1:41" s="103" customFormat="1" ht="19.899999999999999" customHeight="1" x14ac:dyDescent="0.25">
      <c r="A7994" s="51"/>
      <c r="B7994" s="52"/>
      <c r="C7994" s="165"/>
      <c r="D7994" s="52"/>
      <c r="E7994" s="115"/>
      <c r="F7994" s="58"/>
      <c r="G7994" s="58"/>
      <c r="H7994" s="58"/>
      <c r="I7994" s="55"/>
      <c r="J7994" s="113">
        <f>J7993</f>
        <v>33.84463999999997</v>
      </c>
      <c r="K7994" s="212">
        <f>K7993</f>
        <v>33.84463999999997</v>
      </c>
      <c r="L7994" s="58"/>
      <c r="M7994" s="58">
        <f>K7994-L7994</f>
        <v>33.84463999999997</v>
      </c>
      <c r="N7994" s="166"/>
      <c r="O7994" s="58"/>
      <c r="P7994" s="58"/>
      <c r="Q7994" s="58"/>
      <c r="R7994" s="58"/>
      <c r="S7994" s="58"/>
      <c r="T7994" s="220"/>
      <c r="U7994" s="88"/>
      <c r="V7994" s="56"/>
      <c r="W7994" s="57" t="s">
        <v>1118</v>
      </c>
      <c r="X7994" s="53"/>
      <c r="Y7994" s="91" t="s">
        <v>68</v>
      </c>
      <c r="Z7994" s="136">
        <f>AD7994/AC7994</f>
        <v>20.915275294117642</v>
      </c>
      <c r="AA7994" s="58"/>
      <c r="AB7994" s="53">
        <f>AD7994/AC7994</f>
        <v>20.915275294117642</v>
      </c>
      <c r="AC7994" s="53">
        <f>M7994+$AE$10</f>
        <v>33.84463999999997</v>
      </c>
      <c r="AD7994" s="54">
        <f>SUM(AD7995:AD8002)</f>
        <v>707.8699628303051</v>
      </c>
      <c r="AE7994" s="184">
        <f>SUMIFS($AD$37:$AD$12971,$V$37:$V$12971,$V7994,$X$37:$X$12971,AE$13)</f>
        <v>0</v>
      </c>
      <c r="AF7994" s="185">
        <f>SUMIFS($AD$37:$AD$12971,$V$37:$V$12971,$V7994,$X$37:$X$12971,AF$13)</f>
        <v>0</v>
      </c>
      <c r="AG7994" s="185">
        <f>SUMIFS($AD$37:$AD$12971,$V$37:$V$12971,$V7994,$X$37:$X$12971,AG$13)</f>
        <v>0</v>
      </c>
      <c r="AH7994" s="187">
        <f>SUMIFS($AD$37:$AD$12971,$V$37:$V$12971,$V7994,$X$37:$X$12971,AH$13)</f>
        <v>0</v>
      </c>
      <c r="AI7994" s="161">
        <f t="shared" ref="AI7994" si="5582">SUM(AE7994:AH7994)</f>
        <v>0</v>
      </c>
      <c r="AK7994" s="172"/>
    </row>
    <row r="7995" spans="1:41" s="102" customFormat="1" ht="19.899999999999999" customHeight="1" x14ac:dyDescent="0.25">
      <c r="A7995" s="45"/>
      <c r="B7995" s="59"/>
      <c r="C7995" s="137"/>
      <c r="D7995" s="59"/>
      <c r="E7995" s="116"/>
      <c r="F7995" s="120"/>
      <c r="G7995" s="120"/>
      <c r="H7995" s="120"/>
      <c r="I7995" s="60"/>
      <c r="J7995" s="116"/>
      <c r="K7995" s="213"/>
      <c r="L7995" s="120"/>
      <c r="M7995" s="120"/>
      <c r="N7995" s="167"/>
      <c r="O7995" s="120"/>
      <c r="P7995" s="120"/>
      <c r="Q7995" s="120"/>
      <c r="R7995" s="120"/>
      <c r="S7995" s="120"/>
      <c r="T7995" s="221"/>
      <c r="U7995" s="89"/>
      <c r="V7995" s="61"/>
      <c r="W7995" s="92" t="s">
        <v>129</v>
      </c>
      <c r="X7995" s="93" t="s">
        <v>29</v>
      </c>
      <c r="Y7995" s="93" t="s">
        <v>93</v>
      </c>
      <c r="Z7995" s="134">
        <f>VLOOKUP(W7995,Sheet2!$B:$D,3,FALSE)</f>
        <v>56</v>
      </c>
      <c r="AA7995" s="93">
        <f>100/(2.9*1.5)</f>
        <v>22.988505747126439</v>
      </c>
      <c r="AB7995" s="93">
        <f t="shared" ref="AB7995" si="5583">AD7995/AC7994</f>
        <v>2.4359999999999999</v>
      </c>
      <c r="AC7995" s="93">
        <f>AC7994/AA7995</f>
        <v>1.4722418399999986</v>
      </c>
      <c r="AD7995" s="94">
        <f t="shared" ref="AD7995:AD7996" si="5584">AC7995*Z7995</f>
        <v>82.445543039999919</v>
      </c>
      <c r="AE7995" s="190"/>
      <c r="AF7995" s="191"/>
      <c r="AG7995" s="191"/>
      <c r="AH7995" s="191"/>
      <c r="AI7995" s="186"/>
      <c r="AK7995" s="171"/>
    </row>
    <row r="7996" spans="1:41" s="102" customFormat="1" ht="19.899999999999999" customHeight="1" x14ac:dyDescent="0.25">
      <c r="A7996" s="45"/>
      <c r="B7996" s="59"/>
      <c r="C7996" s="137"/>
      <c r="D7996" s="59"/>
      <c r="E7996" s="116"/>
      <c r="F7996" s="120"/>
      <c r="G7996" s="120"/>
      <c r="H7996" s="120"/>
      <c r="I7996" s="60"/>
      <c r="J7996" s="116"/>
      <c r="K7996" s="213"/>
      <c r="L7996" s="120"/>
      <c r="M7996" s="120"/>
      <c r="N7996" s="167"/>
      <c r="O7996" s="120"/>
      <c r="P7996" s="120"/>
      <c r="Q7996" s="120"/>
      <c r="R7996" s="120"/>
      <c r="S7996" s="120"/>
      <c r="T7996" s="221"/>
      <c r="U7996" s="89"/>
      <c r="V7996" s="61"/>
      <c r="W7996" s="92" t="s">
        <v>65</v>
      </c>
      <c r="X7996" s="93" t="s">
        <v>30</v>
      </c>
      <c r="Y7996" s="93" t="s">
        <v>1011</v>
      </c>
      <c r="Z7996" s="134">
        <f>VLOOKUP(W7996,Sheet2!$B:$D,3,FALSE)</f>
        <v>1.76</v>
      </c>
      <c r="AA7996" s="93">
        <f>AA7995/14</f>
        <v>1.6420361247947457</v>
      </c>
      <c r="AB7996" s="93">
        <f>AD7996/AC7994</f>
        <v>1.0718399999999999</v>
      </c>
      <c r="AC7996" s="93">
        <f>AC7994/AA7996</f>
        <v>20.61138575999998</v>
      </c>
      <c r="AD7996" s="94">
        <f t="shared" si="5584"/>
        <v>36.276038937599964</v>
      </c>
      <c r="AE7996" s="190"/>
      <c r="AF7996" s="191"/>
      <c r="AG7996" s="191"/>
      <c r="AH7996" s="191"/>
      <c r="AI7996" s="186"/>
      <c r="AK7996" s="171"/>
    </row>
    <row r="7997" spans="1:41" s="102" customFormat="1" ht="19.899999999999999" customHeight="1" x14ac:dyDescent="0.25">
      <c r="A7997" s="45"/>
      <c r="B7997" s="59"/>
      <c r="C7997" s="137"/>
      <c r="D7997" s="59"/>
      <c r="E7997" s="116"/>
      <c r="F7997" s="120"/>
      <c r="G7997" s="120"/>
      <c r="H7997" s="120"/>
      <c r="I7997" s="60"/>
      <c r="J7997" s="116"/>
      <c r="K7997" s="213"/>
      <c r="L7997" s="120"/>
      <c r="M7997" s="120"/>
      <c r="N7997" s="167"/>
      <c r="O7997" s="120"/>
      <c r="P7997" s="120"/>
      <c r="Q7997" s="120"/>
      <c r="R7997" s="120"/>
      <c r="S7997" s="120"/>
      <c r="T7997" s="221"/>
      <c r="U7997" s="89"/>
      <c r="V7997" s="61"/>
      <c r="W7997" s="92" t="s">
        <v>161</v>
      </c>
      <c r="X7997" s="93" t="s">
        <v>29</v>
      </c>
      <c r="Y7997" s="93" t="s">
        <v>93</v>
      </c>
      <c r="Z7997" s="134">
        <f>VLOOKUP(W7997,Sheet2!$B:$D,3,FALSE)</f>
        <v>48</v>
      </c>
      <c r="AA7997" s="93">
        <f>(16*0.85*1.5)/(2.9*1.5)</f>
        <v>4.6896551724137936</v>
      </c>
      <c r="AB7997" s="93">
        <f>AD7997/AC7994</f>
        <v>10.235294117647058</v>
      </c>
      <c r="AC7997" s="93">
        <f>AC7994/AA7997</f>
        <v>7.2168717647058749</v>
      </c>
      <c r="AD7997" s="94">
        <f>AC7997*Z7997</f>
        <v>346.40984470588199</v>
      </c>
      <c r="AE7997" s="190"/>
      <c r="AF7997" s="191"/>
      <c r="AG7997" s="191"/>
      <c r="AH7997" s="191"/>
      <c r="AI7997" s="186"/>
      <c r="AK7997" s="171"/>
    </row>
    <row r="7998" spans="1:41" s="102" customFormat="1" ht="19.899999999999999" customHeight="1" x14ac:dyDescent="0.25">
      <c r="A7998" s="45"/>
      <c r="B7998" s="59"/>
      <c r="C7998" s="137"/>
      <c r="D7998" s="59"/>
      <c r="E7998" s="116"/>
      <c r="F7998" s="120"/>
      <c r="G7998" s="120"/>
      <c r="H7998" s="120"/>
      <c r="I7998" s="60"/>
      <c r="J7998" s="116"/>
      <c r="K7998" s="213"/>
      <c r="L7998" s="120"/>
      <c r="M7998" s="120"/>
      <c r="N7998" s="167"/>
      <c r="O7998" s="120"/>
      <c r="P7998" s="120"/>
      <c r="Q7998" s="120"/>
      <c r="R7998" s="120"/>
      <c r="S7998" s="120"/>
      <c r="T7998" s="221"/>
      <c r="U7998" s="89"/>
      <c r="V7998" s="61"/>
      <c r="W7998" s="92" t="s">
        <v>65</v>
      </c>
      <c r="X7998" s="93" t="s">
        <v>30</v>
      </c>
      <c r="Y7998" s="93" t="s">
        <v>1011</v>
      </c>
      <c r="Z7998" s="134">
        <f>VLOOKUP(W7998,Sheet2!$B:$D,3,FALSE)</f>
        <v>1.76</v>
      </c>
      <c r="AA7998" s="93">
        <f>AA7997/10</f>
        <v>0.46896551724137936</v>
      </c>
      <c r="AB7998" s="93">
        <f>AD7998/AC7994</f>
        <v>3.7529411764705882</v>
      </c>
      <c r="AC7998" s="93">
        <f>AC7994/AA7998</f>
        <v>72.168717647058756</v>
      </c>
      <c r="AD7998" s="94">
        <f>AC7998*Z7998</f>
        <v>127.01694305882341</v>
      </c>
      <c r="AE7998" s="190"/>
      <c r="AF7998" s="191"/>
      <c r="AG7998" s="191"/>
      <c r="AH7998" s="191"/>
      <c r="AI7998" s="186"/>
      <c r="AK7998" s="171"/>
    </row>
    <row r="7999" spans="1:41" s="102" customFormat="1" ht="19.899999999999999" customHeight="1" x14ac:dyDescent="0.25">
      <c r="A7999" s="45"/>
      <c r="B7999" s="59"/>
      <c r="C7999" s="137"/>
      <c r="D7999" s="59"/>
      <c r="E7999" s="116"/>
      <c r="F7999" s="120"/>
      <c r="G7999" s="120"/>
      <c r="H7999" s="120"/>
      <c r="I7999" s="60"/>
      <c r="J7999" s="116"/>
      <c r="K7999" s="213"/>
      <c r="L7999" s="120"/>
      <c r="M7999" s="120"/>
      <c r="N7999" s="167"/>
      <c r="O7999" s="120"/>
      <c r="P7999" s="120"/>
      <c r="Q7999" s="120"/>
      <c r="R7999" s="120"/>
      <c r="S7999" s="120"/>
      <c r="T7999" s="221"/>
      <c r="U7999" s="89"/>
      <c r="V7999" s="61"/>
      <c r="W7999" s="92" t="s">
        <v>1030</v>
      </c>
      <c r="X7999" s="93" t="s">
        <v>29</v>
      </c>
      <c r="Y7999" s="93" t="s">
        <v>93</v>
      </c>
      <c r="Z7999" s="134">
        <f>VLOOKUP(W7999,Sheet2!$B:$D,3,FALSE)</f>
        <v>23</v>
      </c>
      <c r="AA7999" s="93">
        <v>50</v>
      </c>
      <c r="AB7999" s="93">
        <f>AD7999/AC7994</f>
        <v>0.46</v>
      </c>
      <c r="AC7999" s="93">
        <f>AC7994/AA7999</f>
        <v>0.67689279999999941</v>
      </c>
      <c r="AD7999" s="94">
        <f t="shared" ref="AD7999:AD8002" si="5585">AC7999*Z7999</f>
        <v>15.568534399999987</v>
      </c>
      <c r="AE7999" s="190"/>
      <c r="AF7999" s="191"/>
      <c r="AG7999" s="191"/>
      <c r="AH7999" s="191"/>
      <c r="AI7999" s="186"/>
      <c r="AK7999" s="171"/>
    </row>
    <row r="8000" spans="1:41" s="102" customFormat="1" ht="19.899999999999999" customHeight="1" x14ac:dyDescent="0.25">
      <c r="A8000" s="45"/>
      <c r="B8000" s="59"/>
      <c r="C8000" s="137"/>
      <c r="D8000" s="59"/>
      <c r="E8000" s="116"/>
      <c r="F8000" s="120"/>
      <c r="G8000" s="120"/>
      <c r="H8000" s="120"/>
      <c r="I8000" s="60"/>
      <c r="J8000" s="116"/>
      <c r="K8000" s="213"/>
      <c r="L8000" s="120"/>
      <c r="M8000" s="120"/>
      <c r="N8000" s="167"/>
      <c r="O8000" s="120"/>
      <c r="P8000" s="120"/>
      <c r="Q8000" s="120"/>
      <c r="R8000" s="120"/>
      <c r="S8000" s="120"/>
      <c r="T8000" s="221"/>
      <c r="U8000" s="89"/>
      <c r="V8000" s="61"/>
      <c r="W8000" s="92" t="s">
        <v>65</v>
      </c>
      <c r="X8000" s="93" t="s">
        <v>30</v>
      </c>
      <c r="Y8000" s="93" t="s">
        <v>1011</v>
      </c>
      <c r="Z8000" s="134">
        <f>VLOOKUP(W8000,Sheet2!$B:$D,3,FALSE)</f>
        <v>1.76</v>
      </c>
      <c r="AA8000" s="93">
        <f>AA7999/3</f>
        <v>16.666666666666668</v>
      </c>
      <c r="AB8000" s="93">
        <f>AD8000/AC7994</f>
        <v>0.10559999999999999</v>
      </c>
      <c r="AC8000" s="93">
        <f>AC7994/AA8000</f>
        <v>2.030678399999998</v>
      </c>
      <c r="AD8000" s="94">
        <f t="shared" si="5585"/>
        <v>3.5739939839999963</v>
      </c>
      <c r="AE8000" s="190"/>
      <c r="AF8000" s="191"/>
      <c r="AG8000" s="191"/>
      <c r="AH8000" s="191"/>
      <c r="AI8000" s="186"/>
      <c r="AK8000" s="171"/>
    </row>
    <row r="8001" spans="1:41" s="102" customFormat="1" ht="19.899999999999999" customHeight="1" x14ac:dyDescent="0.25">
      <c r="A8001" s="45"/>
      <c r="B8001" s="59"/>
      <c r="C8001" s="137"/>
      <c r="D8001" s="59"/>
      <c r="E8001" s="116"/>
      <c r="F8001" s="120"/>
      <c r="G8001" s="120"/>
      <c r="H8001" s="120"/>
      <c r="I8001" s="60"/>
      <c r="J8001" s="116"/>
      <c r="K8001" s="213"/>
      <c r="L8001" s="120"/>
      <c r="M8001" s="120"/>
      <c r="N8001" s="167"/>
      <c r="O8001" s="120"/>
      <c r="P8001" s="120"/>
      <c r="Q8001" s="120"/>
      <c r="R8001" s="120"/>
      <c r="S8001" s="120"/>
      <c r="T8001" s="221"/>
      <c r="U8001" s="89"/>
      <c r="V8001" s="61"/>
      <c r="W8001" s="92" t="s">
        <v>148</v>
      </c>
      <c r="X8001" s="93" t="s">
        <v>29</v>
      </c>
      <c r="Y8001" s="93" t="s">
        <v>93</v>
      </c>
      <c r="Z8001" s="134">
        <f>VLOOKUP(W8001,Sheet2!$B:$D,3,FALSE)</f>
        <v>48</v>
      </c>
      <c r="AA8001" s="93">
        <f>AA7995</f>
        <v>22.988505747126439</v>
      </c>
      <c r="AB8001" s="93">
        <f>AD8001/AC7994</f>
        <v>2.0879999999999996</v>
      </c>
      <c r="AC8001" s="93">
        <f>AC7994/AA8001</f>
        <v>1.4722418399999986</v>
      </c>
      <c r="AD8001" s="94">
        <f t="shared" si="5585"/>
        <v>70.667608319999928</v>
      </c>
      <c r="AE8001" s="190"/>
      <c r="AF8001" s="191"/>
      <c r="AG8001" s="191"/>
      <c r="AH8001" s="191"/>
      <c r="AI8001" s="186"/>
      <c r="AK8001" s="171"/>
    </row>
    <row r="8002" spans="1:41" s="102" customFormat="1" ht="19.899999999999999" customHeight="1" x14ac:dyDescent="0.25">
      <c r="A8002" s="45"/>
      <c r="B8002" s="59"/>
      <c r="C8002" s="137"/>
      <c r="D8002" s="59"/>
      <c r="E8002" s="116"/>
      <c r="F8002" s="120"/>
      <c r="G8002" s="120"/>
      <c r="H8002" s="120"/>
      <c r="I8002" s="60"/>
      <c r="J8002" s="116"/>
      <c r="K8002" s="213"/>
      <c r="L8002" s="120"/>
      <c r="M8002" s="120"/>
      <c r="N8002" s="167"/>
      <c r="O8002" s="120"/>
      <c r="P8002" s="120"/>
      <c r="Q8002" s="120"/>
      <c r="R8002" s="120"/>
      <c r="S8002" s="120"/>
      <c r="T8002" s="221"/>
      <c r="U8002" s="89"/>
      <c r="V8002" s="61"/>
      <c r="W8002" s="92" t="s">
        <v>65</v>
      </c>
      <c r="X8002" s="93" t="s">
        <v>30</v>
      </c>
      <c r="Y8002" s="93" t="s">
        <v>1011</v>
      </c>
      <c r="Z8002" s="134">
        <f>VLOOKUP(W8002,Sheet2!$B:$D,3,FALSE)</f>
        <v>1.76</v>
      </c>
      <c r="AA8002" s="93">
        <f>AA8001/10</f>
        <v>2.298850574712644</v>
      </c>
      <c r="AB8002" s="93">
        <f>AD8002/AC7994</f>
        <v>0.76559999999999984</v>
      </c>
      <c r="AC8002" s="93">
        <f>AC7994/AA8002</f>
        <v>14.722418399999984</v>
      </c>
      <c r="AD8002" s="94">
        <f t="shared" si="5585"/>
        <v>25.911456383999973</v>
      </c>
      <c r="AE8002" s="190"/>
      <c r="AF8002" s="191"/>
      <c r="AG8002" s="191"/>
      <c r="AH8002" s="191"/>
      <c r="AI8002" s="186"/>
      <c r="AK8002" s="171"/>
    </row>
    <row r="8003" spans="1:41" s="103" customFormat="1" ht="19.899999999999999" customHeight="1" x14ac:dyDescent="0.25">
      <c r="A8003" s="51"/>
      <c r="B8003" s="52"/>
      <c r="C8003" s="165"/>
      <c r="D8003" s="52"/>
      <c r="E8003" s="115"/>
      <c r="F8003" s="58"/>
      <c r="G8003" s="58"/>
      <c r="H8003" s="58"/>
      <c r="I8003" s="55"/>
      <c r="J8003" s="113">
        <f>J7993</f>
        <v>33.84463999999997</v>
      </c>
      <c r="K8003" s="212">
        <f>K7993</f>
        <v>33.84463999999997</v>
      </c>
      <c r="L8003" s="58"/>
      <c r="M8003" s="58">
        <f>K8003-L8003</f>
        <v>33.84463999999997</v>
      </c>
      <c r="N8003" s="166"/>
      <c r="O8003" s="58"/>
      <c r="P8003" s="58"/>
      <c r="Q8003" s="58"/>
      <c r="R8003" s="58"/>
      <c r="S8003" s="58"/>
      <c r="T8003" s="220"/>
      <c r="U8003" s="88"/>
      <c r="V8003" s="56"/>
      <c r="W8003" s="57" t="s">
        <v>1115</v>
      </c>
      <c r="X8003" s="53"/>
      <c r="Y8003" s="91" t="s">
        <v>68</v>
      </c>
      <c r="Z8003" s="136">
        <f>AD8003/AC8003</f>
        <v>3448.5500000000006</v>
      </c>
      <c r="AA8003" s="58"/>
      <c r="AB8003" s="53">
        <f>AD8003/AC8003</f>
        <v>3448.5500000000006</v>
      </c>
      <c r="AC8003" s="53">
        <f>M8003+$AE$10</f>
        <v>33.84463999999997</v>
      </c>
      <c r="AD8003" s="54">
        <f>SUM(AD8004:AD8007)</f>
        <v>116714.93327199992</v>
      </c>
      <c r="AE8003" s="184">
        <f>SUMIFS($AD$37:$AD$12971,$V$37:$V$12971,$V8003,$X$37:$X$12971,AE$13)</f>
        <v>0</v>
      </c>
      <c r="AF8003" s="185">
        <f>SUMIFS($AD$37:$AD$12971,$V$37:$V$12971,$V8003,$X$37:$X$12971,AF$13)</f>
        <v>0</v>
      </c>
      <c r="AG8003" s="185">
        <f>SUMIFS($AD$37:$AD$12971,$V$37:$V$12971,$V8003,$X$37:$X$12971,AG$13)</f>
        <v>0</v>
      </c>
      <c r="AH8003" s="187">
        <f>SUMIFS($AD$37:$AD$12971,$V$37:$V$12971,$V8003,$X$37:$X$12971,AH$13)</f>
        <v>0</v>
      </c>
      <c r="AI8003" s="161">
        <f t="shared" ref="AI8003" si="5586">SUM(AE8003:AH8003)</f>
        <v>0</v>
      </c>
      <c r="AK8003" s="172"/>
    </row>
    <row r="8004" spans="1:41" s="102" customFormat="1" ht="19.899999999999999" customHeight="1" x14ac:dyDescent="0.25">
      <c r="A8004" s="45"/>
      <c r="B8004" s="59"/>
      <c r="C8004" s="137"/>
      <c r="D8004" s="59"/>
      <c r="E8004" s="116"/>
      <c r="F8004" s="120"/>
      <c r="G8004" s="120"/>
      <c r="H8004" s="120"/>
      <c r="I8004" s="60"/>
      <c r="J8004" s="116"/>
      <c r="K8004" s="213"/>
      <c r="L8004" s="120"/>
      <c r="M8004" s="120"/>
      <c r="N8004" s="167"/>
      <c r="O8004" s="120"/>
      <c r="P8004" s="120"/>
      <c r="Q8004" s="120"/>
      <c r="R8004" s="120"/>
      <c r="S8004" s="120"/>
      <c r="T8004" s="221"/>
      <c r="U8004" s="89"/>
      <c r="V8004" s="61"/>
      <c r="W8004" s="92" t="s">
        <v>1105</v>
      </c>
      <c r="X8004" s="93" t="s">
        <v>30</v>
      </c>
      <c r="Y8004" s="93" t="s">
        <v>66</v>
      </c>
      <c r="Z8004" s="134">
        <f>VLOOKUP(W8004,Sheet2!$B:$D,3,FALSE)</f>
        <v>2200</v>
      </c>
      <c r="AA8004" s="93">
        <f>1/((2.1*1.1)-(1.5*0.5))</f>
        <v>0.64102564102564086</v>
      </c>
      <c r="AB8004" s="93">
        <f>AD8004/AC8003</f>
        <v>3432.0000000000009</v>
      </c>
      <c r="AC8004" s="93">
        <f>AC8003/AA8004</f>
        <v>52.797638399999968</v>
      </c>
      <c r="AD8004" s="94">
        <f t="shared" ref="AD8004" si="5587">AC8004*Z8004</f>
        <v>116154.80447999993</v>
      </c>
      <c r="AE8004" s="190"/>
      <c r="AF8004" s="191"/>
      <c r="AG8004" s="191"/>
      <c r="AH8004" s="191"/>
      <c r="AI8004" s="186"/>
      <c r="AK8004" s="171"/>
    </row>
    <row r="8005" spans="1:41" s="102" customFormat="1" ht="19.899999999999999" customHeight="1" x14ac:dyDescent="0.25">
      <c r="A8005" s="45"/>
      <c r="B8005" s="59"/>
      <c r="C8005" s="137"/>
      <c r="D8005" s="59"/>
      <c r="E8005" s="116"/>
      <c r="F8005" s="120"/>
      <c r="G8005" s="120"/>
      <c r="H8005" s="120"/>
      <c r="I8005" s="60"/>
      <c r="J8005" s="116"/>
      <c r="K8005" s="213"/>
      <c r="L8005" s="120"/>
      <c r="M8005" s="120"/>
      <c r="N8005" s="167"/>
      <c r="O8005" s="120"/>
      <c r="P8005" s="120"/>
      <c r="Q8005" s="120"/>
      <c r="R8005" s="120"/>
      <c r="S8005" s="120"/>
      <c r="T8005" s="221"/>
      <c r="U8005" s="89"/>
      <c r="V8005" s="61"/>
      <c r="W8005" s="92" t="s">
        <v>174</v>
      </c>
      <c r="X8005" s="93" t="s">
        <v>29</v>
      </c>
      <c r="Y8005" s="93" t="s">
        <v>93</v>
      </c>
      <c r="Z8005" s="134">
        <f>VLOOKUP(W8005,Sheet2!$B:$D,3,FALSE)</f>
        <v>80</v>
      </c>
      <c r="AA8005" s="93">
        <f>4*2</f>
        <v>8</v>
      </c>
      <c r="AB8005" s="93">
        <f>AD8005/AC8003</f>
        <v>10</v>
      </c>
      <c r="AC8005" s="93">
        <f>AC8003/AA8005</f>
        <v>4.2305799999999962</v>
      </c>
      <c r="AD8005" s="94">
        <f>AC8005*Z8005</f>
        <v>338.4463999999997</v>
      </c>
      <c r="AE8005" s="190"/>
      <c r="AF8005" s="191"/>
      <c r="AG8005" s="191"/>
      <c r="AH8005" s="191"/>
      <c r="AI8005" s="186"/>
      <c r="AK8005" s="171"/>
    </row>
    <row r="8006" spans="1:41" s="102" customFormat="1" ht="19.899999999999999" customHeight="1" x14ac:dyDescent="0.25">
      <c r="A8006" s="45"/>
      <c r="B8006" s="59"/>
      <c r="C8006" s="137"/>
      <c r="D8006" s="59"/>
      <c r="E8006" s="116"/>
      <c r="F8006" s="120"/>
      <c r="G8006" s="120"/>
      <c r="H8006" s="120"/>
      <c r="I8006" s="60"/>
      <c r="J8006" s="116"/>
      <c r="K8006" s="213"/>
      <c r="L8006" s="120"/>
      <c r="M8006" s="120"/>
      <c r="N8006" s="167"/>
      <c r="O8006" s="120"/>
      <c r="P8006" s="120"/>
      <c r="Q8006" s="120"/>
      <c r="R8006" s="120"/>
      <c r="S8006" s="120"/>
      <c r="T8006" s="221"/>
      <c r="U8006" s="89"/>
      <c r="V8006" s="61"/>
      <c r="W8006" s="92" t="s">
        <v>65</v>
      </c>
      <c r="X8006" s="93" t="s">
        <v>30</v>
      </c>
      <c r="Y8006" s="93" t="s">
        <v>1011</v>
      </c>
      <c r="Z8006" s="134">
        <f>VLOOKUP(W8006,Sheet2!$B:$D,3,FALSE)</f>
        <v>1.76</v>
      </c>
      <c r="AA8006" s="93">
        <f>AA8005/15</f>
        <v>0.53333333333333333</v>
      </c>
      <c r="AB8006" s="93">
        <f>AD8006/AC8003</f>
        <v>3.3000000000000003</v>
      </c>
      <c r="AC8006" s="93">
        <f>AC8003/AA8006</f>
        <v>63.458699999999943</v>
      </c>
      <c r="AD8006" s="94">
        <f t="shared" ref="AD8006" si="5588">AC8006*Z8006</f>
        <v>111.68731199999991</v>
      </c>
      <c r="AE8006" s="190"/>
      <c r="AF8006" s="191"/>
      <c r="AG8006" s="191"/>
      <c r="AH8006" s="191"/>
      <c r="AI8006" s="186"/>
      <c r="AK8006" s="171"/>
    </row>
    <row r="8007" spans="1:41" s="102" customFormat="1" ht="19.899999999999999" customHeight="1" x14ac:dyDescent="0.25">
      <c r="A8007" s="45"/>
      <c r="B8007" s="59"/>
      <c r="C8007" s="137"/>
      <c r="D8007" s="59"/>
      <c r="E8007" s="116"/>
      <c r="F8007" s="120"/>
      <c r="G8007" s="120"/>
      <c r="H8007" s="120"/>
      <c r="I8007" s="60"/>
      <c r="J8007" s="116"/>
      <c r="K8007" s="213"/>
      <c r="L8007" s="120"/>
      <c r="M8007" s="120"/>
      <c r="N8007" s="167"/>
      <c r="O8007" s="120"/>
      <c r="P8007" s="120"/>
      <c r="Q8007" s="120"/>
      <c r="R8007" s="120"/>
      <c r="S8007" s="120"/>
      <c r="T8007" s="221"/>
      <c r="U8007" s="89"/>
      <c r="V8007" s="61"/>
      <c r="W8007" s="92" t="s">
        <v>112</v>
      </c>
      <c r="X8007" s="93" t="s">
        <v>31</v>
      </c>
      <c r="Y8007" s="93" t="s">
        <v>93</v>
      </c>
      <c r="Z8007" s="134">
        <f>VLOOKUP(W8007,Sheet2!$B:$D,3,FALSE)</f>
        <v>13</v>
      </c>
      <c r="AA8007" s="93">
        <f>AA8005/2</f>
        <v>4</v>
      </c>
      <c r="AB8007" s="93">
        <f>AD8007/AC8003</f>
        <v>3.25</v>
      </c>
      <c r="AC8007" s="93">
        <f>AC8003/AA8007</f>
        <v>8.4611599999999925</v>
      </c>
      <c r="AD8007" s="94">
        <f>AC8007*Z8007</f>
        <v>109.9950799999999</v>
      </c>
      <c r="AE8007" s="190"/>
      <c r="AF8007" s="191"/>
      <c r="AG8007" s="191"/>
      <c r="AH8007" s="191"/>
      <c r="AI8007" s="186"/>
      <c r="AK8007" s="171"/>
    </row>
    <row r="8008" spans="1:41" ht="20.100000000000001" customHeight="1" x14ac:dyDescent="0.25">
      <c r="A8008" s="277" t="s">
        <v>703</v>
      </c>
      <c r="B8008" s="278"/>
      <c r="C8008" s="64" t="s">
        <v>764</v>
      </c>
      <c r="D8008" s="46" t="s">
        <v>97</v>
      </c>
      <c r="E8008" s="114">
        <v>36.98539500000004</v>
      </c>
      <c r="F8008" s="44">
        <v>3899</v>
      </c>
      <c r="G8008" s="44">
        <f t="shared" si="5545"/>
        <v>144206.05510500015</v>
      </c>
      <c r="H8008" s="44">
        <f t="shared" si="5546"/>
        <v>3476.2485003921579</v>
      </c>
      <c r="I8008" s="43">
        <f t="shared" si="5547"/>
        <v>128570.42390516175</v>
      </c>
      <c r="J8008" s="112">
        <f t="shared" si="5548"/>
        <v>36.98539500000004</v>
      </c>
      <c r="K8008" s="211">
        <f t="shared" si="5549"/>
        <v>36.98539500000004</v>
      </c>
      <c r="L8008" s="44"/>
      <c r="M8008" s="44">
        <f t="shared" si="5550"/>
        <v>36.98539500000004</v>
      </c>
      <c r="N8008" s="173">
        <f t="shared" si="5551"/>
        <v>1</v>
      </c>
      <c r="O8008" s="44">
        <f t="shared" si="5552"/>
        <v>3899</v>
      </c>
      <c r="P8008" s="44">
        <f t="shared" si="5553"/>
        <v>144206.05510500015</v>
      </c>
      <c r="Q8008" s="44">
        <f t="shared" si="5554"/>
        <v>3476.2485003921579</v>
      </c>
      <c r="R8008" s="44">
        <f t="shared" si="5555"/>
        <v>128570.42390516175</v>
      </c>
      <c r="S8008" s="123"/>
      <c r="T8008" s="219">
        <f t="shared" si="5556"/>
        <v>128570.42390516175</v>
      </c>
      <c r="U8008" s="87"/>
      <c r="V8008" s="47"/>
      <c r="W8008" s="48"/>
      <c r="X8008" s="48"/>
      <c r="Y8008" s="48"/>
      <c r="Z8008" s="135"/>
      <c r="AA8008" s="49"/>
      <c r="AB8008" s="50">
        <f t="shared" si="5557"/>
        <v>3476.2485003921579</v>
      </c>
      <c r="AC8008" s="42">
        <f t="shared" si="5558"/>
        <v>36.98539500000004</v>
      </c>
      <c r="AD8008" s="90">
        <f>AD8009+AD8018</f>
        <v>128570.42390516175</v>
      </c>
      <c r="AE8008" s="188">
        <f t="shared" ref="AE8008:AH8008" si="5589">AE8009+AE8018</f>
        <v>0</v>
      </c>
      <c r="AF8008" s="189">
        <f t="shared" si="5589"/>
        <v>0</v>
      </c>
      <c r="AG8008" s="189">
        <f t="shared" si="5589"/>
        <v>0</v>
      </c>
      <c r="AH8008" s="189">
        <f t="shared" si="5589"/>
        <v>0</v>
      </c>
      <c r="AI8008" s="161">
        <f t="shared" si="5581"/>
        <v>0</v>
      </c>
      <c r="AK8008" s="169">
        <v>5</v>
      </c>
      <c r="AO8008" s="19" t="s">
        <v>63</v>
      </c>
    </row>
    <row r="8009" spans="1:41" s="103" customFormat="1" ht="19.899999999999999" customHeight="1" x14ac:dyDescent="0.25">
      <c r="A8009" s="51"/>
      <c r="B8009" s="52"/>
      <c r="C8009" s="165"/>
      <c r="D8009" s="52"/>
      <c r="E8009" s="115"/>
      <c r="F8009" s="58"/>
      <c r="G8009" s="58"/>
      <c r="H8009" s="58"/>
      <c r="I8009" s="55"/>
      <c r="J8009" s="113">
        <f>J8008</f>
        <v>36.98539500000004</v>
      </c>
      <c r="K8009" s="212">
        <f>K8008</f>
        <v>36.98539500000004</v>
      </c>
      <c r="L8009" s="58"/>
      <c r="M8009" s="58">
        <f>K8009-L8009</f>
        <v>36.98539500000004</v>
      </c>
      <c r="N8009" s="166"/>
      <c r="O8009" s="58"/>
      <c r="P8009" s="58"/>
      <c r="Q8009" s="58"/>
      <c r="R8009" s="58"/>
      <c r="S8009" s="58"/>
      <c r="T8009" s="220"/>
      <c r="U8009" s="88"/>
      <c r="V8009" s="56"/>
      <c r="W8009" s="57" t="s">
        <v>1117</v>
      </c>
      <c r="X8009" s="53"/>
      <c r="Y8009" s="91" t="s">
        <v>68</v>
      </c>
      <c r="Z8009" s="136">
        <f>AD8009/AC8009</f>
        <v>27.698500392156859</v>
      </c>
      <c r="AA8009" s="58"/>
      <c r="AB8009" s="53">
        <f>AD8009/AC8009</f>
        <v>27.698500392156859</v>
      </c>
      <c r="AC8009" s="53">
        <f>M8009+$AE$10</f>
        <v>36.98539500000004</v>
      </c>
      <c r="AD8009" s="54">
        <f>SUM(AD8010:AD8017)</f>
        <v>1024.4399779115774</v>
      </c>
      <c r="AE8009" s="184">
        <f>SUMIFS($AD$37:$AD$12971,$V$37:$V$12971,$V8009,$X$37:$X$12971,AE$13)</f>
        <v>0</v>
      </c>
      <c r="AF8009" s="185">
        <f>SUMIFS($AD$37:$AD$12971,$V$37:$V$12971,$V8009,$X$37:$X$12971,AF$13)</f>
        <v>0</v>
      </c>
      <c r="AG8009" s="185">
        <f>SUMIFS($AD$37:$AD$12971,$V$37:$V$12971,$V8009,$X$37:$X$12971,AG$13)</f>
        <v>0</v>
      </c>
      <c r="AH8009" s="187">
        <f>SUMIFS($AD$37:$AD$12971,$V$37:$V$12971,$V8009,$X$37:$X$12971,AH$13)</f>
        <v>0</v>
      </c>
      <c r="AI8009" s="161">
        <f t="shared" ref="AI8009" si="5590">SUM(AE8009:AH8009)</f>
        <v>0</v>
      </c>
      <c r="AK8009" s="172"/>
    </row>
    <row r="8010" spans="1:41" s="102" customFormat="1" ht="19.899999999999999" customHeight="1" x14ac:dyDescent="0.25">
      <c r="A8010" s="45"/>
      <c r="B8010" s="59"/>
      <c r="C8010" s="137"/>
      <c r="D8010" s="59"/>
      <c r="E8010" s="116"/>
      <c r="F8010" s="120"/>
      <c r="G8010" s="120"/>
      <c r="H8010" s="120"/>
      <c r="I8010" s="60"/>
      <c r="J8010" s="116"/>
      <c r="K8010" s="213"/>
      <c r="L8010" s="120"/>
      <c r="M8010" s="120"/>
      <c r="N8010" s="167"/>
      <c r="O8010" s="120"/>
      <c r="P8010" s="120"/>
      <c r="Q8010" s="120"/>
      <c r="R8010" s="120"/>
      <c r="S8010" s="120"/>
      <c r="T8010" s="221"/>
      <c r="U8010" s="89"/>
      <c r="V8010" s="61"/>
      <c r="W8010" s="92" t="s">
        <v>129</v>
      </c>
      <c r="X8010" s="93" t="s">
        <v>29</v>
      </c>
      <c r="Y8010" s="93" t="s">
        <v>93</v>
      </c>
      <c r="Z8010" s="134">
        <f>VLOOKUP(W8010,Sheet2!$B:$D,3,FALSE)</f>
        <v>56</v>
      </c>
      <c r="AA8010" s="93">
        <f>100/(2.9*2)</f>
        <v>17.241379310344829</v>
      </c>
      <c r="AB8010" s="93">
        <f t="shared" ref="AB8010" si="5591">AD8010/AC8009</f>
        <v>3.2479999999999993</v>
      </c>
      <c r="AC8010" s="93">
        <f>AC8009/AA8010</f>
        <v>2.145152910000002</v>
      </c>
      <c r="AD8010" s="94">
        <f t="shared" ref="AD8010:AD8011" si="5592">AC8010*Z8010</f>
        <v>120.12856296000011</v>
      </c>
      <c r="AE8010" s="190"/>
      <c r="AF8010" s="191"/>
      <c r="AG8010" s="191"/>
      <c r="AH8010" s="191"/>
      <c r="AI8010" s="186"/>
      <c r="AK8010" s="171"/>
    </row>
    <row r="8011" spans="1:41" s="102" customFormat="1" ht="19.899999999999999" customHeight="1" x14ac:dyDescent="0.25">
      <c r="A8011" s="45"/>
      <c r="B8011" s="59"/>
      <c r="C8011" s="137"/>
      <c r="D8011" s="59"/>
      <c r="E8011" s="116"/>
      <c r="F8011" s="120"/>
      <c r="G8011" s="120"/>
      <c r="H8011" s="120"/>
      <c r="I8011" s="60"/>
      <c r="J8011" s="116"/>
      <c r="K8011" s="213"/>
      <c r="L8011" s="120"/>
      <c r="M8011" s="120"/>
      <c r="N8011" s="167"/>
      <c r="O8011" s="120"/>
      <c r="P8011" s="120"/>
      <c r="Q8011" s="120"/>
      <c r="R8011" s="120"/>
      <c r="S8011" s="120"/>
      <c r="T8011" s="221"/>
      <c r="U8011" s="89"/>
      <c r="V8011" s="61"/>
      <c r="W8011" s="92" t="s">
        <v>65</v>
      </c>
      <c r="X8011" s="93" t="s">
        <v>30</v>
      </c>
      <c r="Y8011" s="93" t="s">
        <v>1011</v>
      </c>
      <c r="Z8011" s="134">
        <f>VLOOKUP(W8011,Sheet2!$B:$D,3,FALSE)</f>
        <v>1.76</v>
      </c>
      <c r="AA8011" s="93">
        <f>AA8010/14</f>
        <v>1.2315270935960592</v>
      </c>
      <c r="AB8011" s="93">
        <f>AD8011/AC8009</f>
        <v>1.4291199999999999</v>
      </c>
      <c r="AC8011" s="93">
        <f>AC8009/AA8011</f>
        <v>30.032140740000031</v>
      </c>
      <c r="AD8011" s="94">
        <f t="shared" si="5592"/>
        <v>52.856567702400056</v>
      </c>
      <c r="AE8011" s="190"/>
      <c r="AF8011" s="191"/>
      <c r="AG8011" s="191"/>
      <c r="AH8011" s="191"/>
      <c r="AI8011" s="186"/>
      <c r="AK8011" s="171"/>
    </row>
    <row r="8012" spans="1:41" s="102" customFormat="1" ht="19.899999999999999" customHeight="1" x14ac:dyDescent="0.25">
      <c r="A8012" s="45"/>
      <c r="B8012" s="59"/>
      <c r="C8012" s="137"/>
      <c r="D8012" s="59"/>
      <c r="E8012" s="116"/>
      <c r="F8012" s="120"/>
      <c r="G8012" s="120"/>
      <c r="H8012" s="120"/>
      <c r="I8012" s="60"/>
      <c r="J8012" s="116"/>
      <c r="K8012" s="213"/>
      <c r="L8012" s="120"/>
      <c r="M8012" s="120"/>
      <c r="N8012" s="167"/>
      <c r="O8012" s="120"/>
      <c r="P8012" s="120"/>
      <c r="Q8012" s="120"/>
      <c r="R8012" s="120"/>
      <c r="S8012" s="120"/>
      <c r="T8012" s="221"/>
      <c r="U8012" s="89"/>
      <c r="V8012" s="61"/>
      <c r="W8012" s="92" t="s">
        <v>161</v>
      </c>
      <c r="X8012" s="93" t="s">
        <v>29</v>
      </c>
      <c r="Y8012" s="93" t="s">
        <v>93</v>
      </c>
      <c r="Z8012" s="134">
        <f>VLOOKUP(W8012,Sheet2!$B:$D,3,FALSE)</f>
        <v>48</v>
      </c>
      <c r="AA8012" s="93">
        <f>(16*0.85*1.5)/(2.9*2)</f>
        <v>3.5172413793103448</v>
      </c>
      <c r="AB8012" s="93">
        <f>AD8012/AC8009</f>
        <v>13.647058823529411</v>
      </c>
      <c r="AC8012" s="93">
        <f>AC8009/AA8012</f>
        <v>10.515455441176481</v>
      </c>
      <c r="AD8012" s="94">
        <f>AC8012*Z8012</f>
        <v>504.7418611764711</v>
      </c>
      <c r="AE8012" s="190"/>
      <c r="AF8012" s="191"/>
      <c r="AG8012" s="191"/>
      <c r="AH8012" s="191"/>
      <c r="AI8012" s="186"/>
      <c r="AK8012" s="171"/>
    </row>
    <row r="8013" spans="1:41" s="102" customFormat="1" ht="19.899999999999999" customHeight="1" x14ac:dyDescent="0.25">
      <c r="A8013" s="45"/>
      <c r="B8013" s="59"/>
      <c r="C8013" s="137"/>
      <c r="D8013" s="59"/>
      <c r="E8013" s="116"/>
      <c r="F8013" s="120"/>
      <c r="G8013" s="120"/>
      <c r="H8013" s="120"/>
      <c r="I8013" s="60"/>
      <c r="J8013" s="116"/>
      <c r="K8013" s="213"/>
      <c r="L8013" s="120"/>
      <c r="M8013" s="120"/>
      <c r="N8013" s="167"/>
      <c r="O8013" s="120"/>
      <c r="P8013" s="120"/>
      <c r="Q8013" s="120"/>
      <c r="R8013" s="120"/>
      <c r="S8013" s="120"/>
      <c r="T8013" s="221"/>
      <c r="U8013" s="89"/>
      <c r="V8013" s="61"/>
      <c r="W8013" s="92" t="s">
        <v>65</v>
      </c>
      <c r="X8013" s="93" t="s">
        <v>30</v>
      </c>
      <c r="Y8013" s="93" t="s">
        <v>1011</v>
      </c>
      <c r="Z8013" s="134">
        <f>VLOOKUP(W8013,Sheet2!$B:$D,3,FALSE)</f>
        <v>1.76</v>
      </c>
      <c r="AA8013" s="93">
        <f>AA8012/10</f>
        <v>0.35172413793103446</v>
      </c>
      <c r="AB8013" s="93">
        <f>AD8013/AC8009</f>
        <v>5.003921568627451</v>
      </c>
      <c r="AC8013" s="93">
        <f>AC8009/AA8013</f>
        <v>105.15455441176482</v>
      </c>
      <c r="AD8013" s="94">
        <f>AC8013*Z8013</f>
        <v>185.07201576470609</v>
      </c>
      <c r="AE8013" s="190"/>
      <c r="AF8013" s="191"/>
      <c r="AG8013" s="191"/>
      <c r="AH8013" s="191"/>
      <c r="AI8013" s="186"/>
      <c r="AK8013" s="171"/>
    </row>
    <row r="8014" spans="1:41" s="102" customFormat="1" ht="19.899999999999999" customHeight="1" x14ac:dyDescent="0.25">
      <c r="A8014" s="45"/>
      <c r="B8014" s="59"/>
      <c r="C8014" s="137"/>
      <c r="D8014" s="59"/>
      <c r="E8014" s="116"/>
      <c r="F8014" s="120"/>
      <c r="G8014" s="120"/>
      <c r="H8014" s="120"/>
      <c r="I8014" s="60"/>
      <c r="J8014" s="116"/>
      <c r="K8014" s="213"/>
      <c r="L8014" s="120"/>
      <c r="M8014" s="120"/>
      <c r="N8014" s="167"/>
      <c r="O8014" s="120"/>
      <c r="P8014" s="120"/>
      <c r="Q8014" s="120"/>
      <c r="R8014" s="120"/>
      <c r="S8014" s="120"/>
      <c r="T8014" s="221"/>
      <c r="U8014" s="89"/>
      <c r="V8014" s="61"/>
      <c r="W8014" s="92" t="s">
        <v>1030</v>
      </c>
      <c r="X8014" s="93" t="s">
        <v>29</v>
      </c>
      <c r="Y8014" s="93" t="s">
        <v>93</v>
      </c>
      <c r="Z8014" s="134">
        <f>VLOOKUP(W8014,Sheet2!$B:$D,3,FALSE)</f>
        <v>23</v>
      </c>
      <c r="AA8014" s="93">
        <v>50</v>
      </c>
      <c r="AB8014" s="93">
        <f>AD8014/AC8009</f>
        <v>0.46</v>
      </c>
      <c r="AC8014" s="93">
        <f>AC8009/AA8014</f>
        <v>0.73970790000000075</v>
      </c>
      <c r="AD8014" s="94">
        <f t="shared" ref="AD8014:AD8017" si="5593">AC8014*Z8014</f>
        <v>17.013281700000018</v>
      </c>
      <c r="AE8014" s="190"/>
      <c r="AF8014" s="191"/>
      <c r="AG8014" s="191"/>
      <c r="AH8014" s="191"/>
      <c r="AI8014" s="186"/>
      <c r="AK8014" s="171"/>
    </row>
    <row r="8015" spans="1:41" s="102" customFormat="1" ht="19.899999999999999" customHeight="1" x14ac:dyDescent="0.25">
      <c r="A8015" s="45"/>
      <c r="B8015" s="59"/>
      <c r="C8015" s="137"/>
      <c r="D8015" s="59"/>
      <c r="E8015" s="116"/>
      <c r="F8015" s="120"/>
      <c r="G8015" s="120"/>
      <c r="H8015" s="120"/>
      <c r="I8015" s="60"/>
      <c r="J8015" s="116"/>
      <c r="K8015" s="213"/>
      <c r="L8015" s="120"/>
      <c r="M8015" s="120"/>
      <c r="N8015" s="167"/>
      <c r="O8015" s="120"/>
      <c r="P8015" s="120"/>
      <c r="Q8015" s="120"/>
      <c r="R8015" s="120"/>
      <c r="S8015" s="120"/>
      <c r="T8015" s="221"/>
      <c r="U8015" s="89"/>
      <c r="V8015" s="61"/>
      <c r="W8015" s="92" t="s">
        <v>65</v>
      </c>
      <c r="X8015" s="93" t="s">
        <v>30</v>
      </c>
      <c r="Y8015" s="93" t="s">
        <v>1011</v>
      </c>
      <c r="Z8015" s="134">
        <f>VLOOKUP(W8015,Sheet2!$B:$D,3,FALSE)</f>
        <v>1.76</v>
      </c>
      <c r="AA8015" s="93">
        <f>AA8014/3</f>
        <v>16.666666666666668</v>
      </c>
      <c r="AB8015" s="93">
        <f>AD8015/AC8009</f>
        <v>0.1056</v>
      </c>
      <c r="AC8015" s="93">
        <f>AC8009/AA8015</f>
        <v>2.2191237000000021</v>
      </c>
      <c r="AD8015" s="94">
        <f t="shared" si="5593"/>
        <v>3.905657712000004</v>
      </c>
      <c r="AE8015" s="190"/>
      <c r="AF8015" s="191"/>
      <c r="AG8015" s="191"/>
      <c r="AH8015" s="191"/>
      <c r="AI8015" s="186"/>
      <c r="AK8015" s="171"/>
    </row>
    <row r="8016" spans="1:41" s="102" customFormat="1" ht="19.899999999999999" customHeight="1" x14ac:dyDescent="0.25">
      <c r="A8016" s="45"/>
      <c r="B8016" s="59"/>
      <c r="C8016" s="137"/>
      <c r="D8016" s="59"/>
      <c r="E8016" s="116"/>
      <c r="F8016" s="120"/>
      <c r="G8016" s="120"/>
      <c r="H8016" s="120"/>
      <c r="I8016" s="60"/>
      <c r="J8016" s="116"/>
      <c r="K8016" s="213"/>
      <c r="L8016" s="120"/>
      <c r="M8016" s="120"/>
      <c r="N8016" s="167"/>
      <c r="O8016" s="120"/>
      <c r="P8016" s="120"/>
      <c r="Q8016" s="120"/>
      <c r="R8016" s="120"/>
      <c r="S8016" s="120"/>
      <c r="T8016" s="221"/>
      <c r="U8016" s="89"/>
      <c r="V8016" s="61"/>
      <c r="W8016" s="92" t="s">
        <v>148</v>
      </c>
      <c r="X8016" s="93" t="s">
        <v>29</v>
      </c>
      <c r="Y8016" s="93" t="s">
        <v>93</v>
      </c>
      <c r="Z8016" s="134">
        <f>VLOOKUP(W8016,Sheet2!$B:$D,3,FALSE)</f>
        <v>48</v>
      </c>
      <c r="AA8016" s="93">
        <f>AA8010</f>
        <v>17.241379310344829</v>
      </c>
      <c r="AB8016" s="93">
        <f>AD8016/AC8009</f>
        <v>2.7839999999999994</v>
      </c>
      <c r="AC8016" s="93">
        <f>AC8009/AA8016</f>
        <v>2.145152910000002</v>
      </c>
      <c r="AD8016" s="94">
        <f t="shared" si="5593"/>
        <v>102.96733968000009</v>
      </c>
      <c r="AE8016" s="190"/>
      <c r="AF8016" s="191"/>
      <c r="AG8016" s="191"/>
      <c r="AH8016" s="191"/>
      <c r="AI8016" s="186"/>
      <c r="AK8016" s="171"/>
    </row>
    <row r="8017" spans="1:41" s="102" customFormat="1" ht="19.899999999999999" customHeight="1" x14ac:dyDescent="0.25">
      <c r="A8017" s="45"/>
      <c r="B8017" s="59"/>
      <c r="C8017" s="137"/>
      <c r="D8017" s="59"/>
      <c r="E8017" s="116"/>
      <c r="F8017" s="120"/>
      <c r="G8017" s="120"/>
      <c r="H8017" s="120"/>
      <c r="I8017" s="60"/>
      <c r="J8017" s="116"/>
      <c r="K8017" s="213"/>
      <c r="L8017" s="120"/>
      <c r="M8017" s="120"/>
      <c r="N8017" s="167"/>
      <c r="O8017" s="120"/>
      <c r="P8017" s="120"/>
      <c r="Q8017" s="120"/>
      <c r="R8017" s="120"/>
      <c r="S8017" s="120"/>
      <c r="T8017" s="221"/>
      <c r="U8017" s="89"/>
      <c r="V8017" s="61"/>
      <c r="W8017" s="92" t="s">
        <v>65</v>
      </c>
      <c r="X8017" s="93" t="s">
        <v>30</v>
      </c>
      <c r="Y8017" s="93" t="s">
        <v>1011</v>
      </c>
      <c r="Z8017" s="134">
        <f>VLOOKUP(W8017,Sheet2!$B:$D,3,FALSE)</f>
        <v>1.76</v>
      </c>
      <c r="AA8017" s="93">
        <f>AA8016/10</f>
        <v>1.7241379310344829</v>
      </c>
      <c r="AB8017" s="93">
        <f>AD8017/AC8009</f>
        <v>1.0207999999999999</v>
      </c>
      <c r="AC8017" s="93">
        <f>AC8009/AA8017</f>
        <v>21.451529100000023</v>
      </c>
      <c r="AD8017" s="94">
        <f t="shared" si="5593"/>
        <v>37.75469121600004</v>
      </c>
      <c r="AE8017" s="190"/>
      <c r="AF8017" s="191"/>
      <c r="AG8017" s="191"/>
      <c r="AH8017" s="191"/>
      <c r="AI8017" s="186"/>
      <c r="AK8017" s="171"/>
    </row>
    <row r="8018" spans="1:41" s="103" customFormat="1" ht="19.899999999999999" customHeight="1" x14ac:dyDescent="0.25">
      <c r="A8018" s="51"/>
      <c r="B8018" s="52"/>
      <c r="C8018" s="165"/>
      <c r="D8018" s="52"/>
      <c r="E8018" s="115"/>
      <c r="F8018" s="58"/>
      <c r="G8018" s="58"/>
      <c r="H8018" s="58"/>
      <c r="I8018" s="55"/>
      <c r="J8018" s="113">
        <f>J8008</f>
        <v>36.98539500000004</v>
      </c>
      <c r="K8018" s="212">
        <f>K8008</f>
        <v>36.98539500000004</v>
      </c>
      <c r="L8018" s="58"/>
      <c r="M8018" s="58">
        <f>K8018-L8018</f>
        <v>36.98539500000004</v>
      </c>
      <c r="N8018" s="166"/>
      <c r="O8018" s="58"/>
      <c r="P8018" s="58"/>
      <c r="Q8018" s="58"/>
      <c r="R8018" s="58"/>
      <c r="S8018" s="58"/>
      <c r="T8018" s="220"/>
      <c r="U8018" s="88"/>
      <c r="V8018" s="56"/>
      <c r="W8018" s="57" t="s">
        <v>1115</v>
      </c>
      <c r="X8018" s="53"/>
      <c r="Y8018" s="91" t="s">
        <v>68</v>
      </c>
      <c r="Z8018" s="136">
        <f>AD8018/AC8018</f>
        <v>3448.5500000000011</v>
      </c>
      <c r="AA8018" s="58"/>
      <c r="AB8018" s="53">
        <f>AD8018/AC8018</f>
        <v>3448.5500000000011</v>
      </c>
      <c r="AC8018" s="53">
        <f>M8018+$AE$10</f>
        <v>36.98539500000004</v>
      </c>
      <c r="AD8018" s="54">
        <f>SUM(AD8019:AD8022)</f>
        <v>127545.98392725017</v>
      </c>
      <c r="AE8018" s="184">
        <f>SUMIFS($AD$37:$AD$12971,$V$37:$V$12971,$V8018,$X$37:$X$12971,AE$13)</f>
        <v>0</v>
      </c>
      <c r="AF8018" s="185">
        <f>SUMIFS($AD$37:$AD$12971,$V$37:$V$12971,$V8018,$X$37:$X$12971,AF$13)</f>
        <v>0</v>
      </c>
      <c r="AG8018" s="185">
        <f>SUMIFS($AD$37:$AD$12971,$V$37:$V$12971,$V8018,$X$37:$X$12971,AG$13)</f>
        <v>0</v>
      </c>
      <c r="AH8018" s="187">
        <f>SUMIFS($AD$37:$AD$12971,$V$37:$V$12971,$V8018,$X$37:$X$12971,AH$13)</f>
        <v>0</v>
      </c>
      <c r="AI8018" s="161">
        <f t="shared" ref="AI8018" si="5594">SUM(AE8018:AH8018)</f>
        <v>0</v>
      </c>
      <c r="AK8018" s="172"/>
    </row>
    <row r="8019" spans="1:41" s="102" customFormat="1" ht="19.899999999999999" customHeight="1" x14ac:dyDescent="0.25">
      <c r="A8019" s="45"/>
      <c r="B8019" s="59"/>
      <c r="C8019" s="137"/>
      <c r="D8019" s="59"/>
      <c r="E8019" s="116"/>
      <c r="F8019" s="120"/>
      <c r="G8019" s="120"/>
      <c r="H8019" s="120"/>
      <c r="I8019" s="60"/>
      <c r="J8019" s="116"/>
      <c r="K8019" s="213"/>
      <c r="L8019" s="120"/>
      <c r="M8019" s="120"/>
      <c r="N8019" s="167"/>
      <c r="O8019" s="120"/>
      <c r="P8019" s="120"/>
      <c r="Q8019" s="120"/>
      <c r="R8019" s="120"/>
      <c r="S8019" s="120"/>
      <c r="T8019" s="221"/>
      <c r="U8019" s="89"/>
      <c r="V8019" s="61"/>
      <c r="W8019" s="92" t="s">
        <v>1105</v>
      </c>
      <c r="X8019" s="93" t="s">
        <v>30</v>
      </c>
      <c r="Y8019" s="93" t="s">
        <v>66</v>
      </c>
      <c r="Z8019" s="134">
        <f>VLOOKUP(W8019,Sheet2!$B:$D,3,FALSE)</f>
        <v>2200</v>
      </c>
      <c r="AA8019" s="93">
        <f>1/((2.1*1.1)-(1.5*0.5))</f>
        <v>0.64102564102564086</v>
      </c>
      <c r="AB8019" s="93">
        <f>AD8019/AC8018</f>
        <v>3432.0000000000009</v>
      </c>
      <c r="AC8019" s="93">
        <f>AC8018/AA8019</f>
        <v>57.697216200000078</v>
      </c>
      <c r="AD8019" s="94">
        <f t="shared" ref="AD8019" si="5595">AC8019*Z8019</f>
        <v>126933.87564000017</v>
      </c>
      <c r="AE8019" s="190"/>
      <c r="AF8019" s="191"/>
      <c r="AG8019" s="191"/>
      <c r="AH8019" s="191"/>
      <c r="AI8019" s="186"/>
      <c r="AK8019" s="171"/>
    </row>
    <row r="8020" spans="1:41" s="102" customFormat="1" ht="19.899999999999999" customHeight="1" x14ac:dyDescent="0.25">
      <c r="A8020" s="45"/>
      <c r="B8020" s="59"/>
      <c r="C8020" s="137"/>
      <c r="D8020" s="59"/>
      <c r="E8020" s="116"/>
      <c r="F8020" s="120"/>
      <c r="G8020" s="120"/>
      <c r="H8020" s="120"/>
      <c r="I8020" s="60"/>
      <c r="J8020" s="116"/>
      <c r="K8020" s="213"/>
      <c r="L8020" s="120"/>
      <c r="M8020" s="120"/>
      <c r="N8020" s="167"/>
      <c r="O8020" s="120"/>
      <c r="P8020" s="120"/>
      <c r="Q8020" s="120"/>
      <c r="R8020" s="120"/>
      <c r="S8020" s="120"/>
      <c r="T8020" s="221"/>
      <c r="U8020" s="89"/>
      <c r="V8020" s="61"/>
      <c r="W8020" s="92" t="s">
        <v>174</v>
      </c>
      <c r="X8020" s="93" t="s">
        <v>29</v>
      </c>
      <c r="Y8020" s="93" t="s">
        <v>93</v>
      </c>
      <c r="Z8020" s="134">
        <f>VLOOKUP(W8020,Sheet2!$B:$D,3,FALSE)</f>
        <v>80</v>
      </c>
      <c r="AA8020" s="93">
        <f>4*2</f>
        <v>8</v>
      </c>
      <c r="AB8020" s="93">
        <f>AD8020/AC8018</f>
        <v>10</v>
      </c>
      <c r="AC8020" s="93">
        <f>AC8018/AA8020</f>
        <v>4.6231743750000049</v>
      </c>
      <c r="AD8020" s="94">
        <f>AC8020*Z8020</f>
        <v>369.8539500000004</v>
      </c>
      <c r="AE8020" s="190"/>
      <c r="AF8020" s="191"/>
      <c r="AG8020" s="191"/>
      <c r="AH8020" s="191"/>
      <c r="AI8020" s="186"/>
      <c r="AK8020" s="171"/>
    </row>
    <row r="8021" spans="1:41" s="102" customFormat="1" ht="19.899999999999999" customHeight="1" x14ac:dyDescent="0.25">
      <c r="A8021" s="45"/>
      <c r="B8021" s="59"/>
      <c r="C8021" s="137"/>
      <c r="D8021" s="59"/>
      <c r="E8021" s="116"/>
      <c r="F8021" s="120"/>
      <c r="G8021" s="120"/>
      <c r="H8021" s="120"/>
      <c r="I8021" s="60"/>
      <c r="J8021" s="116"/>
      <c r="K8021" s="213"/>
      <c r="L8021" s="120"/>
      <c r="M8021" s="120"/>
      <c r="N8021" s="167"/>
      <c r="O8021" s="120"/>
      <c r="P8021" s="120"/>
      <c r="Q8021" s="120"/>
      <c r="R8021" s="120"/>
      <c r="S8021" s="120"/>
      <c r="T8021" s="221"/>
      <c r="U8021" s="89"/>
      <c r="V8021" s="61"/>
      <c r="W8021" s="92" t="s">
        <v>65</v>
      </c>
      <c r="X8021" s="93" t="s">
        <v>30</v>
      </c>
      <c r="Y8021" s="93" t="s">
        <v>1011</v>
      </c>
      <c r="Z8021" s="134">
        <f>VLOOKUP(W8021,Sheet2!$B:$D,3,FALSE)</f>
        <v>1.76</v>
      </c>
      <c r="AA8021" s="93">
        <f>AA8020/15</f>
        <v>0.53333333333333333</v>
      </c>
      <c r="AB8021" s="93">
        <f>AD8021/AC8018</f>
        <v>3.3000000000000003</v>
      </c>
      <c r="AC8021" s="93">
        <f>AC8018/AA8021</f>
        <v>69.347615625000074</v>
      </c>
      <c r="AD8021" s="94">
        <f t="shared" ref="AD8021" si="5596">AC8021*Z8021</f>
        <v>122.05180350000013</v>
      </c>
      <c r="AE8021" s="190"/>
      <c r="AF8021" s="191"/>
      <c r="AG8021" s="191"/>
      <c r="AH8021" s="191"/>
      <c r="AI8021" s="186"/>
      <c r="AK8021" s="171"/>
    </row>
    <row r="8022" spans="1:41" s="102" customFormat="1" ht="19.899999999999999" customHeight="1" x14ac:dyDescent="0.25">
      <c r="A8022" s="45"/>
      <c r="B8022" s="59"/>
      <c r="C8022" s="137"/>
      <c r="D8022" s="59"/>
      <c r="E8022" s="116"/>
      <c r="F8022" s="120"/>
      <c r="G8022" s="120"/>
      <c r="H8022" s="120"/>
      <c r="I8022" s="60"/>
      <c r="J8022" s="116"/>
      <c r="K8022" s="213"/>
      <c r="L8022" s="120"/>
      <c r="M8022" s="120"/>
      <c r="N8022" s="167"/>
      <c r="O8022" s="120"/>
      <c r="P8022" s="120"/>
      <c r="Q8022" s="120"/>
      <c r="R8022" s="120"/>
      <c r="S8022" s="120"/>
      <c r="T8022" s="221"/>
      <c r="U8022" s="89"/>
      <c r="V8022" s="61"/>
      <c r="W8022" s="92" t="s">
        <v>112</v>
      </c>
      <c r="X8022" s="93" t="s">
        <v>31</v>
      </c>
      <c r="Y8022" s="93" t="s">
        <v>93</v>
      </c>
      <c r="Z8022" s="134">
        <f>VLOOKUP(W8022,Sheet2!$B:$D,3,FALSE)</f>
        <v>13</v>
      </c>
      <c r="AA8022" s="93">
        <f>AA8020/2</f>
        <v>4</v>
      </c>
      <c r="AB8022" s="93">
        <f>AD8022/AC8018</f>
        <v>3.25</v>
      </c>
      <c r="AC8022" s="93">
        <f>AC8018/AA8022</f>
        <v>9.2463487500000099</v>
      </c>
      <c r="AD8022" s="94">
        <f>AC8022*Z8022</f>
        <v>120.20253375000013</v>
      </c>
      <c r="AE8022" s="190"/>
      <c r="AF8022" s="191"/>
      <c r="AG8022" s="191"/>
      <c r="AH8022" s="191"/>
      <c r="AI8022" s="186"/>
      <c r="AK8022" s="171"/>
    </row>
    <row r="8023" spans="1:41" ht="20.100000000000001" customHeight="1" x14ac:dyDescent="0.25">
      <c r="A8023" s="277" t="s">
        <v>703</v>
      </c>
      <c r="B8023" s="278"/>
      <c r="C8023" s="64" t="s">
        <v>765</v>
      </c>
      <c r="D8023" s="46" t="s">
        <v>97</v>
      </c>
      <c r="E8023" s="114">
        <v>16.639054999999985</v>
      </c>
      <c r="F8023" s="44">
        <v>4039</v>
      </c>
      <c r="G8023" s="44">
        <f t="shared" si="5545"/>
        <v>67205.143144999936</v>
      </c>
      <c r="H8023" s="44">
        <f t="shared" si="5546"/>
        <v>3518.0317254901965</v>
      </c>
      <c r="I8023" s="43">
        <f t="shared" si="5547"/>
        <v>58536.723372176231</v>
      </c>
      <c r="J8023" s="112">
        <f t="shared" si="5548"/>
        <v>16.639054999999985</v>
      </c>
      <c r="K8023" s="211">
        <f t="shared" si="5549"/>
        <v>16.639054999999985</v>
      </c>
      <c r="L8023" s="44"/>
      <c r="M8023" s="44">
        <f t="shared" si="5550"/>
        <v>16.639054999999985</v>
      </c>
      <c r="N8023" s="173">
        <f t="shared" si="5551"/>
        <v>1</v>
      </c>
      <c r="O8023" s="44">
        <f t="shared" si="5552"/>
        <v>4039</v>
      </c>
      <c r="P8023" s="44">
        <f t="shared" si="5553"/>
        <v>67205.143144999936</v>
      </c>
      <c r="Q8023" s="44">
        <f t="shared" si="5554"/>
        <v>3518.0317254901965</v>
      </c>
      <c r="R8023" s="44">
        <f t="shared" si="5555"/>
        <v>58536.723372176231</v>
      </c>
      <c r="S8023" s="123"/>
      <c r="T8023" s="219">
        <f t="shared" si="5556"/>
        <v>58536.723372176231</v>
      </c>
      <c r="U8023" s="87"/>
      <c r="V8023" s="47"/>
      <c r="W8023" s="48"/>
      <c r="X8023" s="48"/>
      <c r="Y8023" s="48"/>
      <c r="Z8023" s="135"/>
      <c r="AA8023" s="49"/>
      <c r="AB8023" s="50">
        <f t="shared" si="5557"/>
        <v>3518.0317254901965</v>
      </c>
      <c r="AC8023" s="42">
        <f t="shared" si="5558"/>
        <v>16.639054999999985</v>
      </c>
      <c r="AD8023" s="90">
        <f>AD8024+AD8034</f>
        <v>58536.723372176231</v>
      </c>
      <c r="AE8023" s="188">
        <f t="shared" ref="AE8023:AH8023" si="5597">AE8024+AE8034</f>
        <v>0</v>
      </c>
      <c r="AF8023" s="189">
        <f t="shared" si="5597"/>
        <v>0</v>
      </c>
      <c r="AG8023" s="189">
        <f t="shared" si="5597"/>
        <v>0</v>
      </c>
      <c r="AH8023" s="189">
        <f t="shared" si="5597"/>
        <v>0</v>
      </c>
      <c r="AI8023" s="161">
        <f t="shared" ref="AI8023" si="5598">SUM(AE8023:AH8023)</f>
        <v>0</v>
      </c>
      <c r="AK8023" s="169">
        <v>5</v>
      </c>
      <c r="AO8023" s="19" t="s">
        <v>63</v>
      </c>
    </row>
    <row r="8024" spans="1:41" s="103" customFormat="1" ht="19.899999999999999" customHeight="1" x14ac:dyDescent="0.25">
      <c r="A8024" s="51"/>
      <c r="B8024" s="52"/>
      <c r="C8024" s="165"/>
      <c r="D8024" s="52"/>
      <c r="E8024" s="115"/>
      <c r="F8024" s="58"/>
      <c r="G8024" s="58"/>
      <c r="H8024" s="58"/>
      <c r="I8024" s="55"/>
      <c r="J8024" s="113">
        <f>J8023</f>
        <v>16.639054999999985</v>
      </c>
      <c r="K8024" s="212">
        <f>K8023</f>
        <v>16.639054999999985</v>
      </c>
      <c r="L8024" s="58"/>
      <c r="M8024" s="58">
        <f>K8024-L8024</f>
        <v>16.639054999999985</v>
      </c>
      <c r="N8024" s="166"/>
      <c r="O8024" s="58"/>
      <c r="P8024" s="58"/>
      <c r="Q8024" s="58"/>
      <c r="R8024" s="58"/>
      <c r="S8024" s="58"/>
      <c r="T8024" s="220"/>
      <c r="U8024" s="88"/>
      <c r="V8024" s="56"/>
      <c r="W8024" s="57" t="s">
        <v>1116</v>
      </c>
      <c r="X8024" s="53"/>
      <c r="Y8024" s="91" t="s">
        <v>68</v>
      </c>
      <c r="Z8024" s="136">
        <f>AD8024/AC8024</f>
        <v>69.481725490196069</v>
      </c>
      <c r="AA8024" s="58"/>
      <c r="AB8024" s="53">
        <f>AD8024/AC8024</f>
        <v>69.481725490196069</v>
      </c>
      <c r="AC8024" s="53">
        <f>M8024+$AE$10</f>
        <v>16.639054999999985</v>
      </c>
      <c r="AD8024" s="54">
        <f>SUM(AD8025:AD8033)</f>
        <v>1156.1102519262733</v>
      </c>
      <c r="AE8024" s="184">
        <f>SUMIFS($AD$37:$AD$12971,$V$37:$V$12971,$V8024,$X$37:$X$12971,AE$13)</f>
        <v>0</v>
      </c>
      <c r="AF8024" s="185">
        <f>SUMIFS($AD$37:$AD$12971,$V$37:$V$12971,$V8024,$X$37:$X$12971,AF$13)</f>
        <v>0</v>
      </c>
      <c r="AG8024" s="185">
        <f>SUMIFS($AD$37:$AD$12971,$V$37:$V$12971,$V8024,$X$37:$X$12971,AG$13)</f>
        <v>0</v>
      </c>
      <c r="AH8024" s="187">
        <f>SUMIFS($AD$37:$AD$12971,$V$37:$V$12971,$V8024,$X$37:$X$12971,AH$13)</f>
        <v>0</v>
      </c>
      <c r="AI8024" s="161">
        <f t="shared" ref="AI8024" si="5599">SUM(AE8024:AH8024)</f>
        <v>0</v>
      </c>
      <c r="AK8024" s="172"/>
    </row>
    <row r="8025" spans="1:41" s="102" customFormat="1" ht="19.899999999999999" customHeight="1" x14ac:dyDescent="0.25">
      <c r="A8025" s="45"/>
      <c r="B8025" s="59"/>
      <c r="C8025" s="137"/>
      <c r="D8025" s="59"/>
      <c r="E8025" s="116"/>
      <c r="F8025" s="120"/>
      <c r="G8025" s="120"/>
      <c r="H8025" s="120"/>
      <c r="I8025" s="60"/>
      <c r="J8025" s="116"/>
      <c r="K8025" s="213"/>
      <c r="L8025" s="120"/>
      <c r="M8025" s="120"/>
      <c r="N8025" s="167"/>
      <c r="O8025" s="120"/>
      <c r="P8025" s="120"/>
      <c r="Q8025" s="120"/>
      <c r="R8025" s="120"/>
      <c r="S8025" s="120"/>
      <c r="T8025" s="221"/>
      <c r="U8025" s="89"/>
      <c r="V8025" s="61"/>
      <c r="W8025" s="92" t="s">
        <v>129</v>
      </c>
      <c r="X8025" s="93" t="s">
        <v>29</v>
      </c>
      <c r="Y8025" s="93" t="s">
        <v>93</v>
      </c>
      <c r="Z8025" s="134">
        <f>VLOOKUP(W8025,Sheet2!$B:$D,3,FALSE)</f>
        <v>56</v>
      </c>
      <c r="AA8025" s="93">
        <f>100/(2.9*2.5)</f>
        <v>13.793103448275861</v>
      </c>
      <c r="AB8025" s="93">
        <f t="shared" ref="AB8025" si="5600">AD8025/AC8024</f>
        <v>4.0600000000000014</v>
      </c>
      <c r="AC8025" s="93">
        <f>AC8024/AA8025</f>
        <v>1.2063314874999991</v>
      </c>
      <c r="AD8025" s="94">
        <f t="shared" ref="AD8025:AD8026" si="5601">AC8025*Z8025</f>
        <v>67.554563299999955</v>
      </c>
      <c r="AE8025" s="190"/>
      <c r="AF8025" s="191"/>
      <c r="AG8025" s="191"/>
      <c r="AH8025" s="191"/>
      <c r="AI8025" s="186"/>
      <c r="AK8025" s="171"/>
    </row>
    <row r="8026" spans="1:41" s="102" customFormat="1" ht="19.899999999999999" customHeight="1" x14ac:dyDescent="0.25">
      <c r="A8026" s="45"/>
      <c r="B8026" s="59"/>
      <c r="C8026" s="137"/>
      <c r="D8026" s="59"/>
      <c r="E8026" s="116"/>
      <c r="F8026" s="120"/>
      <c r="G8026" s="120"/>
      <c r="H8026" s="120"/>
      <c r="I8026" s="60"/>
      <c r="J8026" s="116"/>
      <c r="K8026" s="213"/>
      <c r="L8026" s="120"/>
      <c r="M8026" s="120"/>
      <c r="N8026" s="167"/>
      <c r="O8026" s="120"/>
      <c r="P8026" s="120"/>
      <c r="Q8026" s="120"/>
      <c r="R8026" s="120"/>
      <c r="S8026" s="120"/>
      <c r="T8026" s="221"/>
      <c r="U8026" s="89"/>
      <c r="V8026" s="61"/>
      <c r="W8026" s="92" t="s">
        <v>65</v>
      </c>
      <c r="X8026" s="93" t="s">
        <v>30</v>
      </c>
      <c r="Y8026" s="93" t="s">
        <v>1011</v>
      </c>
      <c r="Z8026" s="134">
        <f>VLOOKUP(W8026,Sheet2!$B:$D,3,FALSE)</f>
        <v>1.76</v>
      </c>
      <c r="AA8026" s="93">
        <f>AA8025/14</f>
        <v>0.9852216748768472</v>
      </c>
      <c r="AB8026" s="93">
        <f>AD8026/AC8024</f>
        <v>1.7864000000000002</v>
      </c>
      <c r="AC8026" s="93">
        <f>AC8024/AA8026</f>
        <v>16.888640824999985</v>
      </c>
      <c r="AD8026" s="94">
        <f t="shared" si="5601"/>
        <v>29.724007851999975</v>
      </c>
      <c r="AE8026" s="190"/>
      <c r="AF8026" s="191"/>
      <c r="AG8026" s="191"/>
      <c r="AH8026" s="191"/>
      <c r="AI8026" s="186"/>
      <c r="AK8026" s="171"/>
    </row>
    <row r="8027" spans="1:41" s="102" customFormat="1" ht="19.899999999999999" customHeight="1" x14ac:dyDescent="0.25">
      <c r="A8027" s="45"/>
      <c r="B8027" s="59"/>
      <c r="C8027" s="137"/>
      <c r="D8027" s="59"/>
      <c r="E8027" s="116"/>
      <c r="F8027" s="120"/>
      <c r="G8027" s="120"/>
      <c r="H8027" s="120"/>
      <c r="I8027" s="60"/>
      <c r="J8027" s="116"/>
      <c r="K8027" s="213"/>
      <c r="L8027" s="120"/>
      <c r="M8027" s="120"/>
      <c r="N8027" s="167"/>
      <c r="O8027" s="120"/>
      <c r="P8027" s="120"/>
      <c r="Q8027" s="120"/>
      <c r="R8027" s="120"/>
      <c r="S8027" s="120"/>
      <c r="T8027" s="221"/>
      <c r="U8027" s="89"/>
      <c r="V8027" s="61"/>
      <c r="W8027" s="92" t="s">
        <v>161</v>
      </c>
      <c r="X8027" s="93" t="s">
        <v>29</v>
      </c>
      <c r="Y8027" s="93" t="s">
        <v>93</v>
      </c>
      <c r="Z8027" s="134">
        <f>VLOOKUP(W8027,Sheet2!$B:$D,3,FALSE)</f>
        <v>48</v>
      </c>
      <c r="AA8027" s="93">
        <f>(16*0.85*1.5)/(2.9*2.5)</f>
        <v>2.8137931034482757</v>
      </c>
      <c r="AB8027" s="93">
        <f>AD8027/AC8024</f>
        <v>17.058823529411764</v>
      </c>
      <c r="AC8027" s="93">
        <f>AC8024/AA8027</f>
        <v>5.9133896446078378</v>
      </c>
      <c r="AD8027" s="94">
        <f>AC8027*Z8027</f>
        <v>283.84270294117619</v>
      </c>
      <c r="AE8027" s="190"/>
      <c r="AF8027" s="191"/>
      <c r="AG8027" s="191"/>
      <c r="AH8027" s="191"/>
      <c r="AI8027" s="186"/>
      <c r="AK8027" s="171"/>
    </row>
    <row r="8028" spans="1:41" s="102" customFormat="1" ht="19.899999999999999" customHeight="1" x14ac:dyDescent="0.25">
      <c r="A8028" s="45"/>
      <c r="B8028" s="59"/>
      <c r="C8028" s="137"/>
      <c r="D8028" s="59"/>
      <c r="E8028" s="116"/>
      <c r="F8028" s="120"/>
      <c r="G8028" s="120"/>
      <c r="H8028" s="120"/>
      <c r="I8028" s="60"/>
      <c r="J8028" s="116"/>
      <c r="K8028" s="213"/>
      <c r="L8028" s="120"/>
      <c r="M8028" s="120"/>
      <c r="N8028" s="167"/>
      <c r="O8028" s="120"/>
      <c r="P8028" s="120"/>
      <c r="Q8028" s="120"/>
      <c r="R8028" s="120"/>
      <c r="S8028" s="120"/>
      <c r="T8028" s="221"/>
      <c r="U8028" s="89"/>
      <c r="V8028" s="61"/>
      <c r="W8028" s="92" t="s">
        <v>65</v>
      </c>
      <c r="X8028" s="93" t="s">
        <v>30</v>
      </c>
      <c r="Y8028" s="93" t="s">
        <v>1011</v>
      </c>
      <c r="Z8028" s="134">
        <f>VLOOKUP(W8028,Sheet2!$B:$D,3,FALSE)</f>
        <v>1.76</v>
      </c>
      <c r="AA8028" s="93">
        <f>AA8027/10</f>
        <v>0.28137931034482755</v>
      </c>
      <c r="AB8028" s="93">
        <f>AD8028/AC8024</f>
        <v>6.2549019607843155</v>
      </c>
      <c r="AC8028" s="93">
        <f>AC8024/AA8028</f>
        <v>59.133896446078388</v>
      </c>
      <c r="AD8028" s="94">
        <f>AC8028*Z8028</f>
        <v>104.07565774509797</v>
      </c>
      <c r="AE8028" s="190"/>
      <c r="AF8028" s="191"/>
      <c r="AG8028" s="191"/>
      <c r="AH8028" s="191"/>
      <c r="AI8028" s="186"/>
      <c r="AK8028" s="171"/>
    </row>
    <row r="8029" spans="1:41" s="102" customFormat="1" ht="19.899999999999999" customHeight="1" x14ac:dyDescent="0.25">
      <c r="A8029" s="45"/>
      <c r="B8029" s="59"/>
      <c r="C8029" s="137"/>
      <c r="D8029" s="59"/>
      <c r="E8029" s="116"/>
      <c r="F8029" s="120"/>
      <c r="G8029" s="120"/>
      <c r="H8029" s="120"/>
      <c r="I8029" s="60"/>
      <c r="J8029" s="116"/>
      <c r="K8029" s="213"/>
      <c r="L8029" s="120"/>
      <c r="M8029" s="120"/>
      <c r="N8029" s="167"/>
      <c r="O8029" s="120"/>
      <c r="P8029" s="120"/>
      <c r="Q8029" s="120"/>
      <c r="R8029" s="120"/>
      <c r="S8029" s="120"/>
      <c r="T8029" s="221"/>
      <c r="U8029" s="89"/>
      <c r="V8029" s="61"/>
      <c r="W8029" s="92" t="s">
        <v>1030</v>
      </c>
      <c r="X8029" s="93" t="s">
        <v>29</v>
      </c>
      <c r="Y8029" s="93" t="s">
        <v>93</v>
      </c>
      <c r="Z8029" s="134">
        <f>VLOOKUP(W8029,Sheet2!$B:$D,3,FALSE)</f>
        <v>23</v>
      </c>
      <c r="AA8029" s="93">
        <v>50</v>
      </c>
      <c r="AB8029" s="93">
        <f>AD8029/AC8024</f>
        <v>0.46</v>
      </c>
      <c r="AC8029" s="93">
        <f>AC8024/AA8029</f>
        <v>0.33278109999999972</v>
      </c>
      <c r="AD8029" s="94">
        <f t="shared" ref="AD8029:AD8033" si="5602">AC8029*Z8029</f>
        <v>7.6539652999999932</v>
      </c>
      <c r="AE8029" s="190"/>
      <c r="AF8029" s="191"/>
      <c r="AG8029" s="191"/>
      <c r="AH8029" s="191"/>
      <c r="AI8029" s="186"/>
      <c r="AK8029" s="171"/>
    </row>
    <row r="8030" spans="1:41" s="102" customFormat="1" ht="19.899999999999999" customHeight="1" x14ac:dyDescent="0.25">
      <c r="A8030" s="45"/>
      <c r="B8030" s="59"/>
      <c r="C8030" s="137"/>
      <c r="D8030" s="59"/>
      <c r="E8030" s="116"/>
      <c r="F8030" s="120"/>
      <c r="G8030" s="120"/>
      <c r="H8030" s="120"/>
      <c r="I8030" s="60"/>
      <c r="J8030" s="116"/>
      <c r="K8030" s="213"/>
      <c r="L8030" s="120"/>
      <c r="M8030" s="120"/>
      <c r="N8030" s="167"/>
      <c r="O8030" s="120"/>
      <c r="P8030" s="120"/>
      <c r="Q8030" s="120"/>
      <c r="R8030" s="120"/>
      <c r="S8030" s="120"/>
      <c r="T8030" s="221"/>
      <c r="U8030" s="89"/>
      <c r="V8030" s="61"/>
      <c r="W8030" s="92" t="s">
        <v>65</v>
      </c>
      <c r="X8030" s="93" t="s">
        <v>30</v>
      </c>
      <c r="Y8030" s="93" t="s">
        <v>1011</v>
      </c>
      <c r="Z8030" s="134">
        <f>VLOOKUP(W8030,Sheet2!$B:$D,3,FALSE)</f>
        <v>1.76</v>
      </c>
      <c r="AA8030" s="93">
        <f>AA8029/3</f>
        <v>16.666666666666668</v>
      </c>
      <c r="AB8030" s="93">
        <f>AD8030/AC8024</f>
        <v>0.1056</v>
      </c>
      <c r="AC8030" s="93">
        <f>AC8024/AA8030</f>
        <v>0.99834329999999905</v>
      </c>
      <c r="AD8030" s="94">
        <f t="shared" si="5602"/>
        <v>1.7570842079999984</v>
      </c>
      <c r="AE8030" s="190"/>
      <c r="AF8030" s="191"/>
      <c r="AG8030" s="191"/>
      <c r="AH8030" s="191"/>
      <c r="AI8030" s="186"/>
      <c r="AK8030" s="171"/>
    </row>
    <row r="8031" spans="1:41" s="102" customFormat="1" ht="19.899999999999999" customHeight="1" x14ac:dyDescent="0.25">
      <c r="A8031" s="45"/>
      <c r="B8031" s="59"/>
      <c r="C8031" s="137"/>
      <c r="D8031" s="59"/>
      <c r="E8031" s="116"/>
      <c r="F8031" s="120"/>
      <c r="G8031" s="120"/>
      <c r="H8031" s="120"/>
      <c r="I8031" s="60"/>
      <c r="J8031" s="116"/>
      <c r="K8031" s="213"/>
      <c r="L8031" s="120"/>
      <c r="M8031" s="120"/>
      <c r="N8031" s="167"/>
      <c r="O8031" s="120"/>
      <c r="P8031" s="120"/>
      <c r="Q8031" s="120"/>
      <c r="R8031" s="120"/>
      <c r="S8031" s="120"/>
      <c r="T8031" s="221"/>
      <c r="U8031" s="89"/>
      <c r="V8031" s="61"/>
      <c r="W8031" s="92" t="s">
        <v>148</v>
      </c>
      <c r="X8031" s="93" t="s">
        <v>29</v>
      </c>
      <c r="Y8031" s="93" t="s">
        <v>93</v>
      </c>
      <c r="Z8031" s="134">
        <f>VLOOKUP(W8031,Sheet2!$B:$D,3,FALSE)</f>
        <v>48</v>
      </c>
      <c r="AA8031" s="93">
        <f>AA8025</f>
        <v>13.793103448275861</v>
      </c>
      <c r="AB8031" s="93">
        <f>AD8031/AC8024</f>
        <v>3.4800000000000004</v>
      </c>
      <c r="AC8031" s="93">
        <f>AC8024/AA8031</f>
        <v>1.2063314874999991</v>
      </c>
      <c r="AD8031" s="94">
        <f t="shared" si="5602"/>
        <v>57.903911399999956</v>
      </c>
      <c r="AE8031" s="190"/>
      <c r="AF8031" s="191"/>
      <c r="AG8031" s="191"/>
      <c r="AH8031" s="191"/>
      <c r="AI8031" s="186"/>
      <c r="AK8031" s="171"/>
    </row>
    <row r="8032" spans="1:41" s="102" customFormat="1" ht="19.899999999999999" customHeight="1" x14ac:dyDescent="0.25">
      <c r="A8032" s="45"/>
      <c r="B8032" s="59"/>
      <c r="C8032" s="137"/>
      <c r="D8032" s="59"/>
      <c r="E8032" s="116"/>
      <c r="F8032" s="120"/>
      <c r="G8032" s="120"/>
      <c r="H8032" s="120"/>
      <c r="I8032" s="60"/>
      <c r="J8032" s="116"/>
      <c r="K8032" s="213"/>
      <c r="L8032" s="120"/>
      <c r="M8032" s="120"/>
      <c r="N8032" s="167"/>
      <c r="O8032" s="120"/>
      <c r="P8032" s="120"/>
      <c r="Q8032" s="120"/>
      <c r="R8032" s="120"/>
      <c r="S8032" s="120"/>
      <c r="T8032" s="221"/>
      <c r="U8032" s="89"/>
      <c r="V8032" s="61"/>
      <c r="W8032" s="92" t="s">
        <v>65</v>
      </c>
      <c r="X8032" s="93" t="s">
        <v>30</v>
      </c>
      <c r="Y8032" s="93" t="s">
        <v>1011</v>
      </c>
      <c r="Z8032" s="134">
        <f>VLOOKUP(W8032,Sheet2!$B:$D,3,FALSE)</f>
        <v>1.76</v>
      </c>
      <c r="AA8032" s="93">
        <f>AA8031/10</f>
        <v>1.3793103448275861</v>
      </c>
      <c r="AB8032" s="93">
        <f>AD8032/AC8024</f>
        <v>1.2760000000000002</v>
      </c>
      <c r="AC8032" s="93">
        <f>AC8024/AA8032</f>
        <v>12.063314874999991</v>
      </c>
      <c r="AD8032" s="94">
        <f t="shared" si="5602"/>
        <v>21.231434179999983</v>
      </c>
      <c r="AE8032" s="190"/>
      <c r="AF8032" s="191"/>
      <c r="AG8032" s="191"/>
      <c r="AH8032" s="191"/>
      <c r="AI8032" s="186"/>
      <c r="AK8032" s="171"/>
    </row>
    <row r="8033" spans="1:41" s="102" customFormat="1" ht="19.899999999999999" customHeight="1" x14ac:dyDescent="0.25">
      <c r="A8033" s="45"/>
      <c r="B8033" s="59"/>
      <c r="C8033" s="137"/>
      <c r="D8033" s="59"/>
      <c r="E8033" s="116"/>
      <c r="F8033" s="120"/>
      <c r="G8033" s="120"/>
      <c r="H8033" s="120"/>
      <c r="I8033" s="60"/>
      <c r="J8033" s="116"/>
      <c r="K8033" s="213"/>
      <c r="L8033" s="120"/>
      <c r="M8033" s="120"/>
      <c r="N8033" s="167"/>
      <c r="O8033" s="120"/>
      <c r="P8033" s="120"/>
      <c r="Q8033" s="120"/>
      <c r="R8033" s="120"/>
      <c r="S8033" s="120"/>
      <c r="T8033" s="221"/>
      <c r="U8033" s="89"/>
      <c r="V8033" s="61"/>
      <c r="W8033" s="92" t="s">
        <v>1048</v>
      </c>
      <c r="X8033" s="93" t="s">
        <v>30</v>
      </c>
      <c r="Y8033" s="93" t="s">
        <v>68</v>
      </c>
      <c r="Z8033" s="134">
        <f>VLOOKUP(W8033,Sheet2!$B:$D,3,FALSE)</f>
        <v>35</v>
      </c>
      <c r="AA8033" s="93">
        <v>1</v>
      </c>
      <c r="AB8033" s="93">
        <f>AD8033/AC8024</f>
        <v>35</v>
      </c>
      <c r="AC8033" s="93">
        <f>AC8024/AA8033</f>
        <v>16.639054999999985</v>
      </c>
      <c r="AD8033" s="94">
        <f t="shared" si="5602"/>
        <v>582.36692499999947</v>
      </c>
      <c r="AE8033" s="190"/>
      <c r="AF8033" s="191"/>
      <c r="AG8033" s="191"/>
      <c r="AH8033" s="191"/>
      <c r="AI8033" s="186"/>
      <c r="AK8033" s="171"/>
    </row>
    <row r="8034" spans="1:41" s="103" customFormat="1" ht="19.899999999999999" customHeight="1" x14ac:dyDescent="0.25">
      <c r="A8034" s="51"/>
      <c r="B8034" s="52"/>
      <c r="C8034" s="165"/>
      <c r="D8034" s="52"/>
      <c r="E8034" s="115"/>
      <c r="F8034" s="58"/>
      <c r="G8034" s="58"/>
      <c r="H8034" s="58"/>
      <c r="I8034" s="55"/>
      <c r="J8034" s="113">
        <f>J8023</f>
        <v>16.639054999999985</v>
      </c>
      <c r="K8034" s="212">
        <f>K8023</f>
        <v>16.639054999999985</v>
      </c>
      <c r="L8034" s="58"/>
      <c r="M8034" s="58">
        <f>K8034-L8034</f>
        <v>16.639054999999985</v>
      </c>
      <c r="N8034" s="166"/>
      <c r="O8034" s="58"/>
      <c r="P8034" s="58"/>
      <c r="Q8034" s="58"/>
      <c r="R8034" s="58"/>
      <c r="S8034" s="58"/>
      <c r="T8034" s="220"/>
      <c r="U8034" s="88"/>
      <c r="V8034" s="56"/>
      <c r="W8034" s="57" t="s">
        <v>1115</v>
      </c>
      <c r="X8034" s="53"/>
      <c r="Y8034" s="91" t="s">
        <v>68</v>
      </c>
      <c r="Z8034" s="136">
        <f>AD8034/AC8034</f>
        <v>3448.5500000000006</v>
      </c>
      <c r="AA8034" s="58"/>
      <c r="AB8034" s="53">
        <f>AD8034/AC8034</f>
        <v>3448.5500000000006</v>
      </c>
      <c r="AC8034" s="53">
        <f>M8034+$AE$10</f>
        <v>16.639054999999985</v>
      </c>
      <c r="AD8034" s="54">
        <f>SUM(AD8035:AD8038)</f>
        <v>57380.61312024996</v>
      </c>
      <c r="AE8034" s="184">
        <f>SUMIFS($AD$37:$AD$12971,$V$37:$V$12971,$V8034,$X$37:$X$12971,AE$13)</f>
        <v>0</v>
      </c>
      <c r="AF8034" s="185">
        <f>SUMIFS($AD$37:$AD$12971,$V$37:$V$12971,$V8034,$X$37:$X$12971,AF$13)</f>
        <v>0</v>
      </c>
      <c r="AG8034" s="185">
        <f>SUMIFS($AD$37:$AD$12971,$V$37:$V$12971,$V8034,$X$37:$X$12971,AG$13)</f>
        <v>0</v>
      </c>
      <c r="AH8034" s="187">
        <f>SUMIFS($AD$37:$AD$12971,$V$37:$V$12971,$V8034,$X$37:$X$12971,AH$13)</f>
        <v>0</v>
      </c>
      <c r="AI8034" s="161">
        <f t="shared" ref="AI8034" si="5603">SUM(AE8034:AH8034)</f>
        <v>0</v>
      </c>
      <c r="AK8034" s="172"/>
    </row>
    <row r="8035" spans="1:41" s="102" customFormat="1" ht="19.899999999999999" customHeight="1" x14ac:dyDescent="0.25">
      <c r="A8035" s="45"/>
      <c r="B8035" s="59"/>
      <c r="C8035" s="137"/>
      <c r="D8035" s="59"/>
      <c r="E8035" s="116"/>
      <c r="F8035" s="120"/>
      <c r="G8035" s="120"/>
      <c r="H8035" s="120"/>
      <c r="I8035" s="60"/>
      <c r="J8035" s="116"/>
      <c r="K8035" s="213"/>
      <c r="L8035" s="120"/>
      <c r="M8035" s="120"/>
      <c r="N8035" s="167"/>
      <c r="O8035" s="120"/>
      <c r="P8035" s="120"/>
      <c r="Q8035" s="120"/>
      <c r="R8035" s="120"/>
      <c r="S8035" s="120"/>
      <c r="T8035" s="221"/>
      <c r="U8035" s="89"/>
      <c r="V8035" s="61"/>
      <c r="W8035" s="92" t="s">
        <v>1105</v>
      </c>
      <c r="X8035" s="93" t="s">
        <v>30</v>
      </c>
      <c r="Y8035" s="93" t="s">
        <v>66</v>
      </c>
      <c r="Z8035" s="134">
        <f>VLOOKUP(W8035,Sheet2!$B:$D,3,FALSE)</f>
        <v>2200</v>
      </c>
      <c r="AA8035" s="93">
        <f>1/((2.1*1.1)-(1.5*0.5))</f>
        <v>0.64102564102564086</v>
      </c>
      <c r="AB8035" s="93">
        <f>AD8035/AC8034</f>
        <v>3432.0000000000009</v>
      </c>
      <c r="AC8035" s="93">
        <f>AC8034/AA8035</f>
        <v>25.956925799999983</v>
      </c>
      <c r="AD8035" s="94">
        <f t="shared" ref="AD8035" si="5604">AC8035*Z8035</f>
        <v>57105.236759999963</v>
      </c>
      <c r="AE8035" s="190"/>
      <c r="AF8035" s="191"/>
      <c r="AG8035" s="191"/>
      <c r="AH8035" s="191"/>
      <c r="AI8035" s="186"/>
      <c r="AK8035" s="171"/>
    </row>
    <row r="8036" spans="1:41" s="102" customFormat="1" ht="19.899999999999999" customHeight="1" x14ac:dyDescent="0.25">
      <c r="A8036" s="45"/>
      <c r="B8036" s="59"/>
      <c r="C8036" s="137"/>
      <c r="D8036" s="59"/>
      <c r="E8036" s="116"/>
      <c r="F8036" s="120"/>
      <c r="G8036" s="120"/>
      <c r="H8036" s="120"/>
      <c r="I8036" s="60"/>
      <c r="J8036" s="116"/>
      <c r="K8036" s="213"/>
      <c r="L8036" s="120"/>
      <c r="M8036" s="120"/>
      <c r="N8036" s="167"/>
      <c r="O8036" s="120"/>
      <c r="P8036" s="120"/>
      <c r="Q8036" s="120"/>
      <c r="R8036" s="120"/>
      <c r="S8036" s="120"/>
      <c r="T8036" s="221"/>
      <c r="U8036" s="89"/>
      <c r="V8036" s="61"/>
      <c r="W8036" s="92" t="s">
        <v>174</v>
      </c>
      <c r="X8036" s="93" t="s">
        <v>29</v>
      </c>
      <c r="Y8036" s="93" t="s">
        <v>93</v>
      </c>
      <c r="Z8036" s="134">
        <f>VLOOKUP(W8036,Sheet2!$B:$D,3,FALSE)</f>
        <v>80</v>
      </c>
      <c r="AA8036" s="93">
        <f>4*2</f>
        <v>8</v>
      </c>
      <c r="AB8036" s="93">
        <f>AD8036/AC8034</f>
        <v>10</v>
      </c>
      <c r="AC8036" s="93">
        <f>AC8034/AA8036</f>
        <v>2.0798818749999981</v>
      </c>
      <c r="AD8036" s="94">
        <f>AC8036*Z8036</f>
        <v>166.39054999999985</v>
      </c>
      <c r="AE8036" s="190"/>
      <c r="AF8036" s="191"/>
      <c r="AG8036" s="191"/>
      <c r="AH8036" s="191"/>
      <c r="AI8036" s="186"/>
      <c r="AK8036" s="171"/>
    </row>
    <row r="8037" spans="1:41" s="102" customFormat="1" ht="19.899999999999999" customHeight="1" x14ac:dyDescent="0.25">
      <c r="A8037" s="45"/>
      <c r="B8037" s="59"/>
      <c r="C8037" s="137"/>
      <c r="D8037" s="59"/>
      <c r="E8037" s="116"/>
      <c r="F8037" s="120"/>
      <c r="G8037" s="120"/>
      <c r="H8037" s="120"/>
      <c r="I8037" s="60"/>
      <c r="J8037" s="116"/>
      <c r="K8037" s="213"/>
      <c r="L8037" s="120"/>
      <c r="M8037" s="120"/>
      <c r="N8037" s="167"/>
      <c r="O8037" s="120"/>
      <c r="P8037" s="120"/>
      <c r="Q8037" s="120"/>
      <c r="R8037" s="120"/>
      <c r="S8037" s="120"/>
      <c r="T8037" s="221"/>
      <c r="U8037" s="89"/>
      <c r="V8037" s="61"/>
      <c r="W8037" s="92" t="s">
        <v>65</v>
      </c>
      <c r="X8037" s="93" t="s">
        <v>30</v>
      </c>
      <c r="Y8037" s="93" t="s">
        <v>1011</v>
      </c>
      <c r="Z8037" s="134">
        <f>VLOOKUP(W8037,Sheet2!$B:$D,3,FALSE)</f>
        <v>1.76</v>
      </c>
      <c r="AA8037" s="93">
        <f>AA8036/15</f>
        <v>0.53333333333333333</v>
      </c>
      <c r="AB8037" s="93">
        <f>AD8037/AC8034</f>
        <v>3.3</v>
      </c>
      <c r="AC8037" s="93">
        <f>AC8034/AA8037</f>
        <v>31.198228124999972</v>
      </c>
      <c r="AD8037" s="94">
        <f t="shared" ref="AD8037" si="5605">AC8037*Z8037</f>
        <v>54.90888149999995</v>
      </c>
      <c r="AE8037" s="190"/>
      <c r="AF8037" s="191"/>
      <c r="AG8037" s="191"/>
      <c r="AH8037" s="191"/>
      <c r="AI8037" s="186"/>
      <c r="AK8037" s="171"/>
    </row>
    <row r="8038" spans="1:41" s="102" customFormat="1" ht="19.899999999999999" customHeight="1" x14ac:dyDescent="0.25">
      <c r="A8038" s="45"/>
      <c r="B8038" s="59"/>
      <c r="C8038" s="137"/>
      <c r="D8038" s="59"/>
      <c r="E8038" s="116"/>
      <c r="F8038" s="120"/>
      <c r="G8038" s="120"/>
      <c r="H8038" s="120"/>
      <c r="I8038" s="60"/>
      <c r="J8038" s="116"/>
      <c r="K8038" s="213"/>
      <c r="L8038" s="120"/>
      <c r="M8038" s="120"/>
      <c r="N8038" s="167"/>
      <c r="O8038" s="120"/>
      <c r="P8038" s="120"/>
      <c r="Q8038" s="120"/>
      <c r="R8038" s="120"/>
      <c r="S8038" s="120"/>
      <c r="T8038" s="221"/>
      <c r="U8038" s="89"/>
      <c r="V8038" s="61"/>
      <c r="W8038" s="92" t="s">
        <v>112</v>
      </c>
      <c r="X8038" s="93" t="s">
        <v>31</v>
      </c>
      <c r="Y8038" s="93" t="s">
        <v>93</v>
      </c>
      <c r="Z8038" s="134">
        <f>VLOOKUP(W8038,Sheet2!$B:$D,3,FALSE)</f>
        <v>13</v>
      </c>
      <c r="AA8038" s="93">
        <f>AA8036/2</f>
        <v>4</v>
      </c>
      <c r="AB8038" s="93">
        <f>AD8038/AC8034</f>
        <v>3.25</v>
      </c>
      <c r="AC8038" s="93">
        <f>AC8034/AA8038</f>
        <v>4.1597637499999962</v>
      </c>
      <c r="AD8038" s="94">
        <f>AC8038*Z8038</f>
        <v>54.076928749999951</v>
      </c>
      <c r="AE8038" s="190"/>
      <c r="AF8038" s="191"/>
      <c r="AG8038" s="191"/>
      <c r="AH8038" s="191"/>
      <c r="AI8038" s="186"/>
      <c r="AK8038" s="171"/>
    </row>
    <row r="8039" spans="1:41" ht="20.100000000000001" customHeight="1" x14ac:dyDescent="0.25">
      <c r="A8039" s="277" t="s">
        <v>703</v>
      </c>
      <c r="B8039" s="278"/>
      <c r="C8039" s="64" t="s">
        <v>766</v>
      </c>
      <c r="D8039" s="46" t="s">
        <v>97</v>
      </c>
      <c r="E8039" s="114"/>
      <c r="F8039" s="44">
        <v>0</v>
      </c>
      <c r="G8039" s="44">
        <f t="shared" si="5545"/>
        <v>0</v>
      </c>
      <c r="H8039" s="44">
        <f t="shared" si="5546"/>
        <v>0</v>
      </c>
      <c r="I8039" s="43">
        <f t="shared" si="5547"/>
        <v>0</v>
      </c>
      <c r="J8039" s="112">
        <f t="shared" si="5548"/>
        <v>0</v>
      </c>
      <c r="K8039" s="211">
        <f t="shared" si="5549"/>
        <v>0</v>
      </c>
      <c r="L8039" s="44"/>
      <c r="M8039" s="44">
        <f t="shared" si="5550"/>
        <v>0</v>
      </c>
      <c r="N8039" s="173">
        <f t="shared" si="5551"/>
        <v>0</v>
      </c>
      <c r="O8039" s="44">
        <f t="shared" si="5552"/>
        <v>0</v>
      </c>
      <c r="P8039" s="44">
        <f t="shared" si="5553"/>
        <v>0</v>
      </c>
      <c r="Q8039" s="44">
        <f t="shared" si="5554"/>
        <v>0</v>
      </c>
      <c r="R8039" s="44">
        <f t="shared" si="5555"/>
        <v>0</v>
      </c>
      <c r="S8039" s="123"/>
      <c r="T8039" s="219">
        <f t="shared" si="5556"/>
        <v>0</v>
      </c>
      <c r="U8039" s="87"/>
      <c r="V8039" s="47"/>
      <c r="W8039" s="48"/>
      <c r="X8039" s="48"/>
      <c r="Y8039" s="48"/>
      <c r="Z8039" s="135"/>
      <c r="AA8039" s="49"/>
      <c r="AB8039" s="50">
        <f t="shared" si="5557"/>
        <v>0</v>
      </c>
      <c r="AC8039" s="42">
        <f t="shared" si="5558"/>
        <v>9.9999999999999998E-20</v>
      </c>
      <c r="AD8039" s="90"/>
      <c r="AE8039" s="188"/>
      <c r="AF8039" s="189"/>
      <c r="AG8039" s="189"/>
      <c r="AH8039" s="189"/>
      <c r="AI8039" s="161"/>
    </row>
    <row r="8040" spans="1:41" ht="20.100000000000001" customHeight="1" x14ac:dyDescent="0.25">
      <c r="A8040" s="277" t="s">
        <v>703</v>
      </c>
      <c r="B8040" s="278"/>
      <c r="C8040" s="64" t="s">
        <v>768</v>
      </c>
      <c r="D8040" s="46" t="s">
        <v>97</v>
      </c>
      <c r="E8040" s="114"/>
      <c r="F8040" s="44">
        <v>0</v>
      </c>
      <c r="G8040" s="44">
        <f t="shared" si="5545"/>
        <v>0</v>
      </c>
      <c r="H8040" s="44">
        <f t="shared" si="5546"/>
        <v>0</v>
      </c>
      <c r="I8040" s="43">
        <f t="shared" si="5547"/>
        <v>0</v>
      </c>
      <c r="J8040" s="112">
        <f t="shared" si="5548"/>
        <v>0</v>
      </c>
      <c r="K8040" s="211">
        <f t="shared" si="5549"/>
        <v>0</v>
      </c>
      <c r="L8040" s="44"/>
      <c r="M8040" s="44">
        <f t="shared" si="5550"/>
        <v>0</v>
      </c>
      <c r="N8040" s="173">
        <f t="shared" si="5551"/>
        <v>0</v>
      </c>
      <c r="O8040" s="44">
        <f t="shared" si="5552"/>
        <v>0</v>
      </c>
      <c r="P8040" s="44">
        <f t="shared" si="5553"/>
        <v>0</v>
      </c>
      <c r="Q8040" s="44">
        <f t="shared" si="5554"/>
        <v>0</v>
      </c>
      <c r="R8040" s="44">
        <f t="shared" si="5555"/>
        <v>0</v>
      </c>
      <c r="S8040" s="123"/>
      <c r="T8040" s="219">
        <f t="shared" si="5556"/>
        <v>0</v>
      </c>
      <c r="U8040" s="87"/>
      <c r="V8040" s="47"/>
      <c r="W8040" s="48"/>
      <c r="X8040" s="48"/>
      <c r="Y8040" s="48"/>
      <c r="Z8040" s="135"/>
      <c r="AA8040" s="49"/>
      <c r="AB8040" s="50">
        <f t="shared" si="5557"/>
        <v>0</v>
      </c>
      <c r="AC8040" s="42">
        <f t="shared" si="5558"/>
        <v>9.9999999999999998E-20</v>
      </c>
      <c r="AD8040" s="90"/>
      <c r="AE8040" s="188"/>
      <c r="AF8040" s="189"/>
      <c r="AG8040" s="189"/>
      <c r="AH8040" s="189"/>
      <c r="AI8040" s="161"/>
    </row>
    <row r="8041" spans="1:41" ht="20.100000000000001" customHeight="1" x14ac:dyDescent="0.25">
      <c r="A8041" s="277" t="s">
        <v>703</v>
      </c>
      <c r="B8041" s="278"/>
      <c r="C8041" s="64" t="s">
        <v>769</v>
      </c>
      <c r="D8041" s="46" t="s">
        <v>97</v>
      </c>
      <c r="E8041" s="114"/>
      <c r="F8041" s="44">
        <v>0</v>
      </c>
      <c r="G8041" s="44">
        <f t="shared" si="5545"/>
        <v>0</v>
      </c>
      <c r="H8041" s="44">
        <f t="shared" si="5546"/>
        <v>0</v>
      </c>
      <c r="I8041" s="43">
        <f t="shared" si="5547"/>
        <v>0</v>
      </c>
      <c r="J8041" s="112">
        <f t="shared" si="5548"/>
        <v>0</v>
      </c>
      <c r="K8041" s="211">
        <f t="shared" si="5549"/>
        <v>0</v>
      </c>
      <c r="L8041" s="44"/>
      <c r="M8041" s="44">
        <f t="shared" si="5550"/>
        <v>0</v>
      </c>
      <c r="N8041" s="173">
        <f t="shared" si="5551"/>
        <v>0</v>
      </c>
      <c r="O8041" s="44">
        <f t="shared" si="5552"/>
        <v>0</v>
      </c>
      <c r="P8041" s="44">
        <f t="shared" si="5553"/>
        <v>0</v>
      </c>
      <c r="Q8041" s="44">
        <f t="shared" si="5554"/>
        <v>0</v>
      </c>
      <c r="R8041" s="44">
        <f t="shared" si="5555"/>
        <v>0</v>
      </c>
      <c r="S8041" s="123"/>
      <c r="T8041" s="219">
        <f t="shared" si="5556"/>
        <v>0</v>
      </c>
      <c r="U8041" s="87"/>
      <c r="V8041" s="47"/>
      <c r="W8041" s="48"/>
      <c r="X8041" s="48"/>
      <c r="Y8041" s="48"/>
      <c r="Z8041" s="135"/>
      <c r="AA8041" s="49"/>
      <c r="AB8041" s="50">
        <f t="shared" si="5557"/>
        <v>0</v>
      </c>
      <c r="AC8041" s="42">
        <f t="shared" si="5558"/>
        <v>9.9999999999999998E-20</v>
      </c>
      <c r="AD8041" s="90"/>
      <c r="AE8041" s="188"/>
      <c r="AF8041" s="189"/>
      <c r="AG8041" s="189"/>
      <c r="AH8041" s="189"/>
      <c r="AI8041" s="161"/>
    </row>
    <row r="8042" spans="1:41" ht="20.100000000000001" customHeight="1" x14ac:dyDescent="0.25">
      <c r="A8042" s="277" t="s">
        <v>703</v>
      </c>
      <c r="B8042" s="278"/>
      <c r="C8042" s="64" t="s">
        <v>773</v>
      </c>
      <c r="D8042" s="46"/>
      <c r="E8042" s="114"/>
      <c r="F8042" s="44">
        <v>0</v>
      </c>
      <c r="G8042" s="44">
        <f t="shared" si="5545"/>
        <v>0</v>
      </c>
      <c r="H8042" s="44">
        <f t="shared" si="5546"/>
        <v>0</v>
      </c>
      <c r="I8042" s="43">
        <f t="shared" si="5547"/>
        <v>0</v>
      </c>
      <c r="J8042" s="112">
        <f t="shared" si="5548"/>
        <v>0</v>
      </c>
      <c r="K8042" s="211">
        <f t="shared" si="5549"/>
        <v>0</v>
      </c>
      <c r="L8042" s="44"/>
      <c r="M8042" s="44">
        <f t="shared" si="5550"/>
        <v>0</v>
      </c>
      <c r="N8042" s="173">
        <f t="shared" si="5551"/>
        <v>0</v>
      </c>
      <c r="O8042" s="44">
        <f t="shared" si="5552"/>
        <v>0</v>
      </c>
      <c r="P8042" s="44">
        <f t="shared" si="5553"/>
        <v>0</v>
      </c>
      <c r="Q8042" s="44">
        <f t="shared" si="5554"/>
        <v>0</v>
      </c>
      <c r="R8042" s="44">
        <f t="shared" si="5555"/>
        <v>0</v>
      </c>
      <c r="S8042" s="123"/>
      <c r="T8042" s="219">
        <f t="shared" si="5556"/>
        <v>0</v>
      </c>
      <c r="U8042" s="87"/>
      <c r="V8042" s="47"/>
      <c r="W8042" s="48"/>
      <c r="X8042" s="48"/>
      <c r="Y8042" s="48"/>
      <c r="Z8042" s="135"/>
      <c r="AA8042" s="49"/>
      <c r="AB8042" s="50">
        <f t="shared" si="5557"/>
        <v>0</v>
      </c>
      <c r="AC8042" s="42">
        <f t="shared" si="5558"/>
        <v>9.9999999999999998E-20</v>
      </c>
      <c r="AD8042" s="90"/>
      <c r="AE8042" s="188"/>
      <c r="AF8042" s="189"/>
      <c r="AG8042" s="189"/>
      <c r="AH8042" s="189"/>
      <c r="AI8042" s="161"/>
    </row>
    <row r="8043" spans="1:41" ht="20.100000000000001" customHeight="1" x14ac:dyDescent="0.25">
      <c r="A8043" s="277" t="s">
        <v>703</v>
      </c>
      <c r="B8043" s="278"/>
      <c r="C8043" s="64" t="s">
        <v>763</v>
      </c>
      <c r="D8043" s="46" t="s">
        <v>97</v>
      </c>
      <c r="E8043" s="114">
        <v>1.6986500000000007</v>
      </c>
      <c r="F8043" s="44">
        <v>4060</v>
      </c>
      <c r="G8043" s="44">
        <f t="shared" si="5545"/>
        <v>6896.519000000003</v>
      </c>
      <c r="H8043" s="44">
        <f t="shared" si="5546"/>
        <v>3733.4652752941192</v>
      </c>
      <c r="I8043" s="43">
        <f t="shared" si="5547"/>
        <v>6341.8507898783582</v>
      </c>
      <c r="J8043" s="112">
        <f t="shared" si="5548"/>
        <v>1.6986500000000007</v>
      </c>
      <c r="K8043" s="211">
        <f t="shared" si="5549"/>
        <v>1.6986500000000007</v>
      </c>
      <c r="L8043" s="44"/>
      <c r="M8043" s="44">
        <f t="shared" si="5550"/>
        <v>1.6986500000000007</v>
      </c>
      <c r="N8043" s="173">
        <f t="shared" si="5551"/>
        <v>1</v>
      </c>
      <c r="O8043" s="44">
        <f t="shared" si="5552"/>
        <v>4060</v>
      </c>
      <c r="P8043" s="44">
        <f t="shared" si="5553"/>
        <v>6896.519000000003</v>
      </c>
      <c r="Q8043" s="44">
        <f t="shared" si="5554"/>
        <v>3733.4652752941192</v>
      </c>
      <c r="R8043" s="44">
        <f t="shared" si="5555"/>
        <v>6341.8507898783582</v>
      </c>
      <c r="S8043" s="123"/>
      <c r="T8043" s="219">
        <f t="shared" si="5556"/>
        <v>6341.8507898783582</v>
      </c>
      <c r="U8043" s="87"/>
      <c r="V8043" s="47"/>
      <c r="W8043" s="48"/>
      <c r="X8043" s="48"/>
      <c r="Y8043" s="48"/>
      <c r="Z8043" s="135"/>
      <c r="AA8043" s="49"/>
      <c r="AB8043" s="50">
        <f t="shared" si="5557"/>
        <v>3733.4652752941192</v>
      </c>
      <c r="AC8043" s="42">
        <f t="shared" si="5558"/>
        <v>1.6986500000000007</v>
      </c>
      <c r="AD8043" s="90">
        <f>AD8044+AD8053</f>
        <v>6341.8507898783582</v>
      </c>
      <c r="AE8043" s="188">
        <f t="shared" ref="AE8043:AH8043" si="5606">AE8044+AE8053</f>
        <v>0</v>
      </c>
      <c r="AF8043" s="189">
        <f t="shared" si="5606"/>
        <v>0</v>
      </c>
      <c r="AG8043" s="189">
        <f t="shared" si="5606"/>
        <v>0</v>
      </c>
      <c r="AH8043" s="189">
        <f t="shared" si="5606"/>
        <v>0</v>
      </c>
      <c r="AI8043" s="161">
        <f t="shared" ref="AI8043" si="5607">SUM(AE8043:AH8043)</f>
        <v>0</v>
      </c>
      <c r="AK8043" s="169">
        <v>5</v>
      </c>
      <c r="AO8043" s="19" t="s">
        <v>63</v>
      </c>
    </row>
    <row r="8044" spans="1:41" s="103" customFormat="1" ht="19.899999999999999" customHeight="1" x14ac:dyDescent="0.25">
      <c r="A8044" s="51"/>
      <c r="B8044" s="52"/>
      <c r="C8044" s="165"/>
      <c r="D8044" s="52"/>
      <c r="E8044" s="115"/>
      <c r="F8044" s="58"/>
      <c r="G8044" s="58"/>
      <c r="H8044" s="58"/>
      <c r="I8044" s="55"/>
      <c r="J8044" s="113">
        <f>J8043</f>
        <v>1.6986500000000007</v>
      </c>
      <c r="K8044" s="212">
        <f>K8043</f>
        <v>1.6986500000000007</v>
      </c>
      <c r="L8044" s="58"/>
      <c r="M8044" s="58">
        <f>K8044-L8044</f>
        <v>1.6986500000000007</v>
      </c>
      <c r="N8044" s="166"/>
      <c r="O8044" s="58"/>
      <c r="P8044" s="58"/>
      <c r="Q8044" s="58"/>
      <c r="R8044" s="58"/>
      <c r="S8044" s="58"/>
      <c r="T8044" s="220"/>
      <c r="U8044" s="88"/>
      <c r="V8044" s="56"/>
      <c r="W8044" s="57" t="s">
        <v>1118</v>
      </c>
      <c r="X8044" s="53"/>
      <c r="Y8044" s="91" t="s">
        <v>68</v>
      </c>
      <c r="Z8044" s="136">
        <f>AD8044/AC8044</f>
        <v>20.915275294117645</v>
      </c>
      <c r="AA8044" s="58"/>
      <c r="AB8044" s="53">
        <f>AD8044/AC8044</f>
        <v>20.915275294117645</v>
      </c>
      <c r="AC8044" s="53">
        <f>M8044+$AE$10</f>
        <v>1.6986500000000007</v>
      </c>
      <c r="AD8044" s="54">
        <f>SUM(AD8045:AD8052)</f>
        <v>35.527732378352951</v>
      </c>
      <c r="AE8044" s="184">
        <f>SUMIFS($AD$37:$AD$12971,$V$37:$V$12971,$V8044,$X$37:$X$12971,AE$13)</f>
        <v>0</v>
      </c>
      <c r="AF8044" s="185">
        <f>SUMIFS($AD$37:$AD$12971,$V$37:$V$12971,$V8044,$X$37:$X$12971,AF$13)</f>
        <v>0</v>
      </c>
      <c r="AG8044" s="185">
        <f>SUMIFS($AD$37:$AD$12971,$V$37:$V$12971,$V8044,$X$37:$X$12971,AG$13)</f>
        <v>0</v>
      </c>
      <c r="AH8044" s="187">
        <f>SUMIFS($AD$37:$AD$12971,$V$37:$V$12971,$V8044,$X$37:$X$12971,AH$13)</f>
        <v>0</v>
      </c>
      <c r="AI8044" s="161">
        <f t="shared" ref="AI8044" si="5608">SUM(AE8044:AH8044)</f>
        <v>0</v>
      </c>
      <c r="AK8044" s="172"/>
    </row>
    <row r="8045" spans="1:41" s="102" customFormat="1" ht="19.899999999999999" customHeight="1" x14ac:dyDescent="0.25">
      <c r="A8045" s="45"/>
      <c r="B8045" s="59"/>
      <c r="C8045" s="137"/>
      <c r="D8045" s="59"/>
      <c r="E8045" s="116"/>
      <c r="F8045" s="120"/>
      <c r="G8045" s="120"/>
      <c r="H8045" s="120"/>
      <c r="I8045" s="60"/>
      <c r="J8045" s="116"/>
      <c r="K8045" s="213"/>
      <c r="L8045" s="120"/>
      <c r="M8045" s="120"/>
      <c r="N8045" s="167"/>
      <c r="O8045" s="120"/>
      <c r="P8045" s="120"/>
      <c r="Q8045" s="120"/>
      <c r="R8045" s="120"/>
      <c r="S8045" s="120"/>
      <c r="T8045" s="221"/>
      <c r="U8045" s="89"/>
      <c r="V8045" s="61"/>
      <c r="W8045" s="92" t="s">
        <v>129</v>
      </c>
      <c r="X8045" s="93" t="s">
        <v>29</v>
      </c>
      <c r="Y8045" s="93" t="s">
        <v>93</v>
      </c>
      <c r="Z8045" s="134">
        <f>VLOOKUP(W8045,Sheet2!$B:$D,3,FALSE)</f>
        <v>56</v>
      </c>
      <c r="AA8045" s="93">
        <f>100/(2.9*1.5)</f>
        <v>22.988505747126439</v>
      </c>
      <c r="AB8045" s="93">
        <f t="shared" ref="AB8045" si="5609">AD8045/AC8044</f>
        <v>2.4359999999999995</v>
      </c>
      <c r="AC8045" s="93">
        <f>AC8044/AA8045</f>
        <v>7.389127500000002E-2</v>
      </c>
      <c r="AD8045" s="94">
        <f t="shared" ref="AD8045:AD8046" si="5610">AC8045*Z8045</f>
        <v>4.137911400000001</v>
      </c>
      <c r="AE8045" s="190"/>
      <c r="AF8045" s="191"/>
      <c r="AG8045" s="191"/>
      <c r="AH8045" s="191"/>
      <c r="AI8045" s="186"/>
      <c r="AK8045" s="171"/>
    </row>
    <row r="8046" spans="1:41" s="102" customFormat="1" ht="19.899999999999999" customHeight="1" x14ac:dyDescent="0.25">
      <c r="A8046" s="45"/>
      <c r="B8046" s="59"/>
      <c r="C8046" s="137"/>
      <c r="D8046" s="59"/>
      <c r="E8046" s="116"/>
      <c r="F8046" s="120"/>
      <c r="G8046" s="120"/>
      <c r="H8046" s="120"/>
      <c r="I8046" s="60"/>
      <c r="J8046" s="116"/>
      <c r="K8046" s="213"/>
      <c r="L8046" s="120"/>
      <c r="M8046" s="120"/>
      <c r="N8046" s="167"/>
      <c r="O8046" s="120"/>
      <c r="P8046" s="120"/>
      <c r="Q8046" s="120"/>
      <c r="R8046" s="120"/>
      <c r="S8046" s="120"/>
      <c r="T8046" s="221"/>
      <c r="U8046" s="89"/>
      <c r="V8046" s="61"/>
      <c r="W8046" s="92" t="s">
        <v>65</v>
      </c>
      <c r="X8046" s="93" t="s">
        <v>30</v>
      </c>
      <c r="Y8046" s="93" t="s">
        <v>1011</v>
      </c>
      <c r="Z8046" s="134">
        <f>VLOOKUP(W8046,Sheet2!$B:$D,3,FALSE)</f>
        <v>1.76</v>
      </c>
      <c r="AA8046" s="93">
        <f>AA8045/14</f>
        <v>1.6420361247947457</v>
      </c>
      <c r="AB8046" s="93">
        <f>AD8046/AC8044</f>
        <v>1.0718399999999999</v>
      </c>
      <c r="AC8046" s="93">
        <f>AC8044/AA8046</f>
        <v>1.0344778500000003</v>
      </c>
      <c r="AD8046" s="94">
        <f t="shared" si="5610"/>
        <v>1.8206810160000004</v>
      </c>
      <c r="AE8046" s="190"/>
      <c r="AF8046" s="191"/>
      <c r="AG8046" s="191"/>
      <c r="AH8046" s="191"/>
      <c r="AI8046" s="186"/>
      <c r="AK8046" s="171"/>
    </row>
    <row r="8047" spans="1:41" s="102" customFormat="1" ht="19.899999999999999" customHeight="1" x14ac:dyDescent="0.25">
      <c r="A8047" s="45"/>
      <c r="B8047" s="59"/>
      <c r="C8047" s="137"/>
      <c r="D8047" s="59"/>
      <c r="E8047" s="116"/>
      <c r="F8047" s="120"/>
      <c r="G8047" s="120"/>
      <c r="H8047" s="120"/>
      <c r="I8047" s="60"/>
      <c r="J8047" s="116"/>
      <c r="K8047" s="213"/>
      <c r="L8047" s="120"/>
      <c r="M8047" s="120"/>
      <c r="N8047" s="167"/>
      <c r="O8047" s="120"/>
      <c r="P8047" s="120"/>
      <c r="Q8047" s="120"/>
      <c r="R8047" s="120"/>
      <c r="S8047" s="120"/>
      <c r="T8047" s="221"/>
      <c r="U8047" s="89"/>
      <c r="V8047" s="61"/>
      <c r="W8047" s="92" t="s">
        <v>161</v>
      </c>
      <c r="X8047" s="93" t="s">
        <v>29</v>
      </c>
      <c r="Y8047" s="93" t="s">
        <v>93</v>
      </c>
      <c r="Z8047" s="134">
        <f>VLOOKUP(W8047,Sheet2!$B:$D,3,FALSE)</f>
        <v>48</v>
      </c>
      <c r="AA8047" s="93">
        <f>(16*0.85*1.5)/(2.9*1.5)</f>
        <v>4.6896551724137936</v>
      </c>
      <c r="AB8047" s="93">
        <f>AD8047/AC8044</f>
        <v>10.235294117647056</v>
      </c>
      <c r="AC8047" s="93">
        <f>AC8044/AA8047</f>
        <v>0.36221213235294125</v>
      </c>
      <c r="AD8047" s="94">
        <f>AC8047*Z8047</f>
        <v>17.38618235294118</v>
      </c>
      <c r="AE8047" s="190"/>
      <c r="AF8047" s="191"/>
      <c r="AG8047" s="191"/>
      <c r="AH8047" s="191"/>
      <c r="AI8047" s="186"/>
      <c r="AK8047" s="171"/>
    </row>
    <row r="8048" spans="1:41" s="102" customFormat="1" ht="19.899999999999999" customHeight="1" x14ac:dyDescent="0.25">
      <c r="A8048" s="45"/>
      <c r="B8048" s="59"/>
      <c r="C8048" s="137"/>
      <c r="D8048" s="59"/>
      <c r="E8048" s="116"/>
      <c r="F8048" s="120"/>
      <c r="G8048" s="120"/>
      <c r="H8048" s="120"/>
      <c r="I8048" s="60"/>
      <c r="J8048" s="116"/>
      <c r="K8048" s="213"/>
      <c r="L8048" s="120"/>
      <c r="M8048" s="120"/>
      <c r="N8048" s="167"/>
      <c r="O8048" s="120"/>
      <c r="P8048" s="120"/>
      <c r="Q8048" s="120"/>
      <c r="R8048" s="120"/>
      <c r="S8048" s="120"/>
      <c r="T8048" s="221"/>
      <c r="U8048" s="89"/>
      <c r="V8048" s="61"/>
      <c r="W8048" s="92" t="s">
        <v>65</v>
      </c>
      <c r="X8048" s="93" t="s">
        <v>30</v>
      </c>
      <c r="Y8048" s="93" t="s">
        <v>1011</v>
      </c>
      <c r="Z8048" s="134">
        <f>VLOOKUP(W8048,Sheet2!$B:$D,3,FALSE)</f>
        <v>1.76</v>
      </c>
      <c r="AA8048" s="93">
        <f>AA8047/10</f>
        <v>0.46896551724137936</v>
      </c>
      <c r="AB8048" s="93">
        <f>AD8048/AC8044</f>
        <v>3.7529411764705882</v>
      </c>
      <c r="AC8048" s="93">
        <f>AC8044/AA8048</f>
        <v>3.622121323529413</v>
      </c>
      <c r="AD8048" s="94">
        <f>AC8048*Z8048</f>
        <v>6.3749335294117673</v>
      </c>
      <c r="AE8048" s="190"/>
      <c r="AF8048" s="191"/>
      <c r="AG8048" s="191"/>
      <c r="AH8048" s="191"/>
      <c r="AI8048" s="186"/>
      <c r="AK8048" s="171"/>
    </row>
    <row r="8049" spans="1:41" s="102" customFormat="1" ht="19.899999999999999" customHeight="1" x14ac:dyDescent="0.25">
      <c r="A8049" s="45"/>
      <c r="B8049" s="59"/>
      <c r="C8049" s="137"/>
      <c r="D8049" s="59"/>
      <c r="E8049" s="116"/>
      <c r="F8049" s="120"/>
      <c r="G8049" s="120"/>
      <c r="H8049" s="120"/>
      <c r="I8049" s="60"/>
      <c r="J8049" s="116"/>
      <c r="K8049" s="213"/>
      <c r="L8049" s="120"/>
      <c r="M8049" s="120"/>
      <c r="N8049" s="167"/>
      <c r="O8049" s="120"/>
      <c r="P8049" s="120"/>
      <c r="Q8049" s="120"/>
      <c r="R8049" s="120"/>
      <c r="S8049" s="120"/>
      <c r="T8049" s="221"/>
      <c r="U8049" s="89"/>
      <c r="V8049" s="61"/>
      <c r="W8049" s="92" t="s">
        <v>1030</v>
      </c>
      <c r="X8049" s="93" t="s">
        <v>29</v>
      </c>
      <c r="Y8049" s="93" t="s">
        <v>93</v>
      </c>
      <c r="Z8049" s="134">
        <f>VLOOKUP(W8049,Sheet2!$B:$D,3,FALSE)</f>
        <v>23</v>
      </c>
      <c r="AA8049" s="93">
        <v>50</v>
      </c>
      <c r="AB8049" s="93">
        <f>AD8049/AC8044</f>
        <v>0.45999999999999996</v>
      </c>
      <c r="AC8049" s="93">
        <f>AC8044/AA8049</f>
        <v>3.397300000000001E-2</v>
      </c>
      <c r="AD8049" s="94">
        <f t="shared" ref="AD8049:AD8052" si="5611">AC8049*Z8049</f>
        <v>0.78137900000000027</v>
      </c>
      <c r="AE8049" s="190"/>
      <c r="AF8049" s="191"/>
      <c r="AG8049" s="191"/>
      <c r="AH8049" s="191"/>
      <c r="AI8049" s="186"/>
      <c r="AK8049" s="171"/>
    </row>
    <row r="8050" spans="1:41" s="102" customFormat="1" ht="19.899999999999999" customHeight="1" x14ac:dyDescent="0.25">
      <c r="A8050" s="45"/>
      <c r="B8050" s="59"/>
      <c r="C8050" s="137"/>
      <c r="D8050" s="59"/>
      <c r="E8050" s="116"/>
      <c r="F8050" s="120"/>
      <c r="G8050" s="120"/>
      <c r="H8050" s="120"/>
      <c r="I8050" s="60"/>
      <c r="J8050" s="116"/>
      <c r="K8050" s="213"/>
      <c r="L8050" s="120"/>
      <c r="M8050" s="120"/>
      <c r="N8050" s="167"/>
      <c r="O8050" s="120"/>
      <c r="P8050" s="120"/>
      <c r="Q8050" s="120"/>
      <c r="R8050" s="120"/>
      <c r="S8050" s="120"/>
      <c r="T8050" s="221"/>
      <c r="U8050" s="89"/>
      <c r="V8050" s="61"/>
      <c r="W8050" s="92" t="s">
        <v>65</v>
      </c>
      <c r="X8050" s="93" t="s">
        <v>30</v>
      </c>
      <c r="Y8050" s="93" t="s">
        <v>1011</v>
      </c>
      <c r="Z8050" s="134">
        <f>VLOOKUP(W8050,Sheet2!$B:$D,3,FALSE)</f>
        <v>1.76</v>
      </c>
      <c r="AA8050" s="93">
        <f>AA8049/3</f>
        <v>16.666666666666668</v>
      </c>
      <c r="AB8050" s="93">
        <f>AD8050/AC8044</f>
        <v>0.10559999999999999</v>
      </c>
      <c r="AC8050" s="93">
        <f>AC8044/AA8050</f>
        <v>0.10191900000000004</v>
      </c>
      <c r="AD8050" s="94">
        <f t="shared" si="5611"/>
        <v>0.17937744000000005</v>
      </c>
      <c r="AE8050" s="190"/>
      <c r="AF8050" s="191"/>
      <c r="AG8050" s="191"/>
      <c r="AH8050" s="191"/>
      <c r="AI8050" s="186"/>
      <c r="AK8050" s="171"/>
    </row>
    <row r="8051" spans="1:41" s="102" customFormat="1" ht="19.899999999999999" customHeight="1" x14ac:dyDescent="0.25">
      <c r="A8051" s="45"/>
      <c r="B8051" s="59"/>
      <c r="C8051" s="137"/>
      <c r="D8051" s="59"/>
      <c r="E8051" s="116"/>
      <c r="F8051" s="120"/>
      <c r="G8051" s="120"/>
      <c r="H8051" s="120"/>
      <c r="I8051" s="60"/>
      <c r="J8051" s="116"/>
      <c r="K8051" s="213"/>
      <c r="L8051" s="120"/>
      <c r="M8051" s="120"/>
      <c r="N8051" s="167"/>
      <c r="O8051" s="120"/>
      <c r="P8051" s="120"/>
      <c r="Q8051" s="120"/>
      <c r="R8051" s="120"/>
      <c r="S8051" s="120"/>
      <c r="T8051" s="221"/>
      <c r="U8051" s="89"/>
      <c r="V8051" s="61"/>
      <c r="W8051" s="92" t="s">
        <v>148</v>
      </c>
      <c r="X8051" s="93" t="s">
        <v>29</v>
      </c>
      <c r="Y8051" s="93" t="s">
        <v>93</v>
      </c>
      <c r="Z8051" s="134">
        <f>VLOOKUP(W8051,Sheet2!$B:$D,3,FALSE)</f>
        <v>48</v>
      </c>
      <c r="AA8051" s="93">
        <f>AA8045</f>
        <v>22.988505747126439</v>
      </c>
      <c r="AB8051" s="93">
        <f>AD8051/AC8044</f>
        <v>2.0879999999999996</v>
      </c>
      <c r="AC8051" s="93">
        <f>AC8044/AA8051</f>
        <v>7.389127500000002E-2</v>
      </c>
      <c r="AD8051" s="94">
        <f t="shared" si="5611"/>
        <v>3.5467812000000007</v>
      </c>
      <c r="AE8051" s="190"/>
      <c r="AF8051" s="191"/>
      <c r="AG8051" s="191"/>
      <c r="AH8051" s="191"/>
      <c r="AI8051" s="186"/>
      <c r="AK8051" s="171"/>
    </row>
    <row r="8052" spans="1:41" s="102" customFormat="1" ht="19.899999999999999" customHeight="1" x14ac:dyDescent="0.25">
      <c r="A8052" s="45"/>
      <c r="B8052" s="59"/>
      <c r="C8052" s="137"/>
      <c r="D8052" s="59"/>
      <c r="E8052" s="116"/>
      <c r="F8052" s="120"/>
      <c r="G8052" s="120"/>
      <c r="H8052" s="120"/>
      <c r="I8052" s="60"/>
      <c r="J8052" s="116"/>
      <c r="K8052" s="213"/>
      <c r="L8052" s="120"/>
      <c r="M8052" s="120"/>
      <c r="N8052" s="167"/>
      <c r="O8052" s="120"/>
      <c r="P8052" s="120"/>
      <c r="Q8052" s="120"/>
      <c r="R8052" s="120"/>
      <c r="S8052" s="120"/>
      <c r="T8052" s="221"/>
      <c r="U8052" s="89"/>
      <c r="V8052" s="61"/>
      <c r="W8052" s="92" t="s">
        <v>65</v>
      </c>
      <c r="X8052" s="93" t="s">
        <v>30</v>
      </c>
      <c r="Y8052" s="93" t="s">
        <v>1011</v>
      </c>
      <c r="Z8052" s="134">
        <f>VLOOKUP(W8052,Sheet2!$B:$D,3,FALSE)</f>
        <v>1.76</v>
      </c>
      <c r="AA8052" s="93">
        <f>AA8051/10</f>
        <v>2.298850574712644</v>
      </c>
      <c r="AB8052" s="93">
        <f>AD8052/AC8044</f>
        <v>0.76559999999999995</v>
      </c>
      <c r="AC8052" s="93">
        <f>AC8044/AA8052</f>
        <v>0.73891275000000023</v>
      </c>
      <c r="AD8052" s="94">
        <f t="shared" si="5611"/>
        <v>1.3004864400000005</v>
      </c>
      <c r="AE8052" s="190"/>
      <c r="AF8052" s="191"/>
      <c r="AG8052" s="191"/>
      <c r="AH8052" s="191"/>
      <c r="AI8052" s="186"/>
      <c r="AK8052" s="171"/>
    </row>
    <row r="8053" spans="1:41" s="103" customFormat="1" ht="19.899999999999999" customHeight="1" x14ac:dyDescent="0.25">
      <c r="A8053" s="51"/>
      <c r="B8053" s="52"/>
      <c r="C8053" s="165"/>
      <c r="D8053" s="52"/>
      <c r="E8053" s="115"/>
      <c r="F8053" s="58"/>
      <c r="G8053" s="58"/>
      <c r="H8053" s="58"/>
      <c r="I8053" s="55"/>
      <c r="J8053" s="113">
        <f>J8043</f>
        <v>1.6986500000000007</v>
      </c>
      <c r="K8053" s="212">
        <f>K8043</f>
        <v>1.6986500000000007</v>
      </c>
      <c r="L8053" s="58"/>
      <c r="M8053" s="58">
        <f>K8053-L8053</f>
        <v>1.6986500000000007</v>
      </c>
      <c r="N8053" s="166"/>
      <c r="O8053" s="58"/>
      <c r="P8053" s="58"/>
      <c r="Q8053" s="58"/>
      <c r="R8053" s="58"/>
      <c r="S8053" s="58"/>
      <c r="T8053" s="220"/>
      <c r="U8053" s="88"/>
      <c r="V8053" s="56"/>
      <c r="W8053" s="57" t="s">
        <v>1120</v>
      </c>
      <c r="X8053" s="53"/>
      <c r="Y8053" s="91" t="s">
        <v>68</v>
      </c>
      <c r="Z8053" s="136">
        <f>AD8053/AC8053</f>
        <v>3712.5500000000015</v>
      </c>
      <c r="AA8053" s="58"/>
      <c r="AB8053" s="53">
        <f>AD8053/AC8053</f>
        <v>3712.5500000000015</v>
      </c>
      <c r="AC8053" s="53">
        <f>M8053+$AE$10</f>
        <v>1.6986500000000007</v>
      </c>
      <c r="AD8053" s="54">
        <f>SUM(AD8054:AD8057)</f>
        <v>6306.3230575000052</v>
      </c>
      <c r="AE8053" s="184">
        <f>SUMIFS($AD$37:$AD$12971,$V$37:$V$12971,$V8053,$X$37:$X$12971,AE$13)</f>
        <v>0</v>
      </c>
      <c r="AF8053" s="185">
        <f>SUMIFS($AD$37:$AD$12971,$V$37:$V$12971,$V8053,$X$37:$X$12971,AF$13)</f>
        <v>0</v>
      </c>
      <c r="AG8053" s="185">
        <f>SUMIFS($AD$37:$AD$12971,$V$37:$V$12971,$V8053,$X$37:$X$12971,AG$13)</f>
        <v>0</v>
      </c>
      <c r="AH8053" s="187">
        <f>SUMIFS($AD$37:$AD$12971,$V$37:$V$12971,$V8053,$X$37:$X$12971,AH$13)</f>
        <v>0</v>
      </c>
      <c r="AI8053" s="161">
        <f t="shared" ref="AI8053" si="5612">SUM(AE8053:AH8053)</f>
        <v>0</v>
      </c>
      <c r="AK8053" s="172"/>
    </row>
    <row r="8054" spans="1:41" s="102" customFormat="1" ht="19.899999999999999" customHeight="1" x14ac:dyDescent="0.25">
      <c r="A8054" s="45"/>
      <c r="B8054" s="59"/>
      <c r="C8054" s="137"/>
      <c r="D8054" s="59"/>
      <c r="E8054" s="116"/>
      <c r="F8054" s="120"/>
      <c r="G8054" s="120"/>
      <c r="H8054" s="120"/>
      <c r="I8054" s="60"/>
      <c r="J8054" s="116"/>
      <c r="K8054" s="213"/>
      <c r="L8054" s="120"/>
      <c r="M8054" s="120"/>
      <c r="N8054" s="167"/>
      <c r="O8054" s="120"/>
      <c r="P8054" s="120"/>
      <c r="Q8054" s="120"/>
      <c r="R8054" s="120"/>
      <c r="S8054" s="120"/>
      <c r="T8054" s="221"/>
      <c r="U8054" s="89"/>
      <c r="V8054" s="61"/>
      <c r="W8054" s="92" t="s">
        <v>1105</v>
      </c>
      <c r="X8054" s="93" t="s">
        <v>30</v>
      </c>
      <c r="Y8054" s="93" t="s">
        <v>66</v>
      </c>
      <c r="Z8054" s="134">
        <f>VLOOKUP(W8054,Sheet2!$B:$D,3,FALSE)</f>
        <v>2200</v>
      </c>
      <c r="AA8054" s="93">
        <f>1/((2.1*1.3)-(1.5*0.7))</f>
        <v>0.59523809523809501</v>
      </c>
      <c r="AB8054" s="93">
        <f>AD8054/AC8053</f>
        <v>3696.0000000000014</v>
      </c>
      <c r="AC8054" s="93">
        <f>AC8053/AA8054</f>
        <v>2.8537320000000022</v>
      </c>
      <c r="AD8054" s="94">
        <f t="shared" ref="AD8054" si="5613">AC8054*Z8054</f>
        <v>6278.2104000000045</v>
      </c>
      <c r="AE8054" s="190"/>
      <c r="AF8054" s="191"/>
      <c r="AG8054" s="191"/>
      <c r="AH8054" s="191"/>
      <c r="AI8054" s="186"/>
      <c r="AK8054" s="171"/>
    </row>
    <row r="8055" spans="1:41" s="102" customFormat="1" ht="19.899999999999999" customHeight="1" x14ac:dyDescent="0.25">
      <c r="A8055" s="45"/>
      <c r="B8055" s="59"/>
      <c r="C8055" s="137"/>
      <c r="D8055" s="59"/>
      <c r="E8055" s="116"/>
      <c r="F8055" s="120"/>
      <c r="G8055" s="120"/>
      <c r="H8055" s="120"/>
      <c r="I8055" s="60"/>
      <c r="J8055" s="116"/>
      <c r="K8055" s="213"/>
      <c r="L8055" s="120"/>
      <c r="M8055" s="120"/>
      <c r="N8055" s="167"/>
      <c r="O8055" s="120"/>
      <c r="P8055" s="120"/>
      <c r="Q8055" s="120"/>
      <c r="R8055" s="120"/>
      <c r="S8055" s="120"/>
      <c r="T8055" s="221"/>
      <c r="U8055" s="89"/>
      <c r="V8055" s="61"/>
      <c r="W8055" s="92" t="s">
        <v>174</v>
      </c>
      <c r="X8055" s="93" t="s">
        <v>29</v>
      </c>
      <c r="Y8055" s="93" t="s">
        <v>93</v>
      </c>
      <c r="Z8055" s="134">
        <f>VLOOKUP(W8055,Sheet2!$B:$D,3,FALSE)</f>
        <v>80</v>
      </c>
      <c r="AA8055" s="93">
        <f>4*2</f>
        <v>8</v>
      </c>
      <c r="AB8055" s="93">
        <f>AD8055/AC8053</f>
        <v>10</v>
      </c>
      <c r="AC8055" s="93">
        <f>AC8053/AA8055</f>
        <v>0.21233125000000008</v>
      </c>
      <c r="AD8055" s="94">
        <f>AC8055*Z8055</f>
        <v>16.986500000000007</v>
      </c>
      <c r="AE8055" s="190"/>
      <c r="AF8055" s="191"/>
      <c r="AG8055" s="191"/>
      <c r="AH8055" s="191"/>
      <c r="AI8055" s="186"/>
      <c r="AK8055" s="171"/>
    </row>
    <row r="8056" spans="1:41" s="102" customFormat="1" ht="19.899999999999999" customHeight="1" x14ac:dyDescent="0.25">
      <c r="A8056" s="45"/>
      <c r="B8056" s="59"/>
      <c r="C8056" s="137"/>
      <c r="D8056" s="59"/>
      <c r="E8056" s="116"/>
      <c r="F8056" s="120"/>
      <c r="G8056" s="120"/>
      <c r="H8056" s="120"/>
      <c r="I8056" s="60"/>
      <c r="J8056" s="116"/>
      <c r="K8056" s="213"/>
      <c r="L8056" s="120"/>
      <c r="M8056" s="120"/>
      <c r="N8056" s="167"/>
      <c r="O8056" s="120"/>
      <c r="P8056" s="120"/>
      <c r="Q8056" s="120"/>
      <c r="R8056" s="120"/>
      <c r="S8056" s="120"/>
      <c r="T8056" s="221"/>
      <c r="U8056" s="89"/>
      <c r="V8056" s="61"/>
      <c r="W8056" s="92" t="s">
        <v>65</v>
      </c>
      <c r="X8056" s="93" t="s">
        <v>30</v>
      </c>
      <c r="Y8056" s="93" t="s">
        <v>1011</v>
      </c>
      <c r="Z8056" s="134">
        <f>VLOOKUP(W8056,Sheet2!$B:$D,3,FALSE)</f>
        <v>1.76</v>
      </c>
      <c r="AA8056" s="93">
        <f>AA8055/15</f>
        <v>0.53333333333333333</v>
      </c>
      <c r="AB8056" s="93">
        <f>AD8056/AC8053</f>
        <v>3.3</v>
      </c>
      <c r="AC8056" s="93">
        <f>AC8053/AA8056</f>
        <v>3.1849687500000012</v>
      </c>
      <c r="AD8056" s="94">
        <f t="shared" ref="AD8056" si="5614">AC8056*Z8056</f>
        <v>5.605545000000002</v>
      </c>
      <c r="AE8056" s="190"/>
      <c r="AF8056" s="191"/>
      <c r="AG8056" s="191"/>
      <c r="AH8056" s="191"/>
      <c r="AI8056" s="186"/>
      <c r="AK8056" s="171"/>
    </row>
    <row r="8057" spans="1:41" s="102" customFormat="1" ht="19.899999999999999" customHeight="1" x14ac:dyDescent="0.25">
      <c r="A8057" s="45"/>
      <c r="B8057" s="59"/>
      <c r="C8057" s="137"/>
      <c r="D8057" s="59"/>
      <c r="E8057" s="116"/>
      <c r="F8057" s="120"/>
      <c r="G8057" s="120"/>
      <c r="H8057" s="120"/>
      <c r="I8057" s="60"/>
      <c r="J8057" s="116"/>
      <c r="K8057" s="213"/>
      <c r="L8057" s="120"/>
      <c r="M8057" s="120"/>
      <c r="N8057" s="167"/>
      <c r="O8057" s="120"/>
      <c r="P8057" s="120"/>
      <c r="Q8057" s="120"/>
      <c r="R8057" s="120"/>
      <c r="S8057" s="120"/>
      <c r="T8057" s="221"/>
      <c r="U8057" s="89"/>
      <c r="V8057" s="61"/>
      <c r="W8057" s="92" t="s">
        <v>112</v>
      </c>
      <c r="X8057" s="93" t="s">
        <v>31</v>
      </c>
      <c r="Y8057" s="93" t="s">
        <v>93</v>
      </c>
      <c r="Z8057" s="134">
        <f>VLOOKUP(W8057,Sheet2!$B:$D,3,FALSE)</f>
        <v>13</v>
      </c>
      <c r="AA8057" s="93">
        <f>AA8055/2</f>
        <v>4</v>
      </c>
      <c r="AB8057" s="93">
        <f>AD8057/AC8053</f>
        <v>3.25</v>
      </c>
      <c r="AC8057" s="93">
        <f>AC8053/AA8057</f>
        <v>0.42466250000000016</v>
      </c>
      <c r="AD8057" s="94">
        <f>AC8057*Z8057</f>
        <v>5.5206125000000021</v>
      </c>
      <c r="AE8057" s="190"/>
      <c r="AF8057" s="191"/>
      <c r="AG8057" s="191"/>
      <c r="AH8057" s="191"/>
      <c r="AI8057" s="186"/>
      <c r="AK8057" s="171"/>
    </row>
    <row r="8058" spans="1:41" ht="20.100000000000001" customHeight="1" x14ac:dyDescent="0.25">
      <c r="A8058" s="277" t="s">
        <v>703</v>
      </c>
      <c r="B8058" s="278"/>
      <c r="C8058" s="64" t="s">
        <v>764</v>
      </c>
      <c r="D8058" s="46" t="s">
        <v>97</v>
      </c>
      <c r="E8058" s="114">
        <v>33.325949999999978</v>
      </c>
      <c r="F8058" s="44">
        <v>4197</v>
      </c>
      <c r="G8058" s="44">
        <f t="shared" si="5545"/>
        <v>139869.01214999991</v>
      </c>
      <c r="H8058" s="44">
        <f t="shared" si="5546"/>
        <v>3740.2485003921583</v>
      </c>
      <c r="I8058" s="43">
        <f t="shared" si="5547"/>
        <v>124647.33451164396</v>
      </c>
      <c r="J8058" s="112">
        <f t="shared" si="5548"/>
        <v>33.325949999999978</v>
      </c>
      <c r="K8058" s="211">
        <f t="shared" si="5549"/>
        <v>33.325949999999978</v>
      </c>
      <c r="L8058" s="44"/>
      <c r="M8058" s="44">
        <f t="shared" si="5550"/>
        <v>33.325949999999978</v>
      </c>
      <c r="N8058" s="173">
        <f t="shared" si="5551"/>
        <v>1</v>
      </c>
      <c r="O8058" s="44">
        <f t="shared" si="5552"/>
        <v>4197</v>
      </c>
      <c r="P8058" s="44">
        <f t="shared" si="5553"/>
        <v>139869.01214999991</v>
      </c>
      <c r="Q8058" s="44">
        <f t="shared" si="5554"/>
        <v>3740.2485003921583</v>
      </c>
      <c r="R8058" s="44">
        <f t="shared" si="5555"/>
        <v>124647.33451164396</v>
      </c>
      <c r="S8058" s="123"/>
      <c r="T8058" s="219">
        <f t="shared" si="5556"/>
        <v>124647.33451164396</v>
      </c>
      <c r="U8058" s="87"/>
      <c r="V8058" s="47"/>
      <c r="W8058" s="48"/>
      <c r="X8058" s="48"/>
      <c r="Y8058" s="48"/>
      <c r="Z8058" s="135"/>
      <c r="AA8058" s="49"/>
      <c r="AB8058" s="50">
        <f t="shared" si="5557"/>
        <v>3740.2485003921583</v>
      </c>
      <c r="AC8058" s="42">
        <f t="shared" si="5558"/>
        <v>33.325949999999978</v>
      </c>
      <c r="AD8058" s="90">
        <f>AD8059+AD8068</f>
        <v>124647.33451164396</v>
      </c>
      <c r="AE8058" s="188">
        <f t="shared" ref="AE8058:AH8058" si="5615">AE8059+AE8068</f>
        <v>0</v>
      </c>
      <c r="AF8058" s="189">
        <f t="shared" si="5615"/>
        <v>0</v>
      </c>
      <c r="AG8058" s="189">
        <f t="shared" si="5615"/>
        <v>0</v>
      </c>
      <c r="AH8058" s="189">
        <f t="shared" si="5615"/>
        <v>0</v>
      </c>
      <c r="AI8058" s="161">
        <f t="shared" ref="AI8058" si="5616">SUM(AE8058:AH8058)</f>
        <v>0</v>
      </c>
      <c r="AK8058" s="169">
        <v>5</v>
      </c>
      <c r="AO8058" s="19" t="s">
        <v>63</v>
      </c>
    </row>
    <row r="8059" spans="1:41" s="103" customFormat="1" ht="19.899999999999999" customHeight="1" x14ac:dyDescent="0.25">
      <c r="A8059" s="51"/>
      <c r="B8059" s="52"/>
      <c r="C8059" s="165"/>
      <c r="D8059" s="52"/>
      <c r="E8059" s="115"/>
      <c r="F8059" s="58"/>
      <c r="G8059" s="58"/>
      <c r="H8059" s="58"/>
      <c r="I8059" s="55"/>
      <c r="J8059" s="113">
        <f>J8058</f>
        <v>33.325949999999978</v>
      </c>
      <c r="K8059" s="212">
        <f>K8058</f>
        <v>33.325949999999978</v>
      </c>
      <c r="L8059" s="58"/>
      <c r="M8059" s="58">
        <f>K8059-L8059</f>
        <v>33.325949999999978</v>
      </c>
      <c r="N8059" s="166"/>
      <c r="O8059" s="58"/>
      <c r="P8059" s="58"/>
      <c r="Q8059" s="58"/>
      <c r="R8059" s="58"/>
      <c r="S8059" s="58"/>
      <c r="T8059" s="220"/>
      <c r="U8059" s="88"/>
      <c r="V8059" s="56"/>
      <c r="W8059" s="57" t="s">
        <v>1117</v>
      </c>
      <c r="X8059" s="53"/>
      <c r="Y8059" s="91" t="s">
        <v>68</v>
      </c>
      <c r="Z8059" s="136">
        <f>AD8059/AC8059</f>
        <v>27.698500392156863</v>
      </c>
      <c r="AA8059" s="58"/>
      <c r="AB8059" s="53">
        <f>AD8059/AC8059</f>
        <v>27.698500392156863</v>
      </c>
      <c r="AC8059" s="53">
        <f>M8059+$AE$10</f>
        <v>33.325949999999978</v>
      </c>
      <c r="AD8059" s="54">
        <f>SUM(AD8060:AD8067)</f>
        <v>923.0788391439994</v>
      </c>
      <c r="AE8059" s="184">
        <f>SUMIFS($AD$37:$AD$12971,$V$37:$V$12971,$V8059,$X$37:$X$12971,AE$13)</f>
        <v>0</v>
      </c>
      <c r="AF8059" s="185">
        <f>SUMIFS($AD$37:$AD$12971,$V$37:$V$12971,$V8059,$X$37:$X$12971,AF$13)</f>
        <v>0</v>
      </c>
      <c r="AG8059" s="185">
        <f>SUMIFS($AD$37:$AD$12971,$V$37:$V$12971,$V8059,$X$37:$X$12971,AG$13)</f>
        <v>0</v>
      </c>
      <c r="AH8059" s="187">
        <f>SUMIFS($AD$37:$AD$12971,$V$37:$V$12971,$V8059,$X$37:$X$12971,AH$13)</f>
        <v>0</v>
      </c>
      <c r="AI8059" s="161">
        <f t="shared" ref="AI8059" si="5617">SUM(AE8059:AH8059)</f>
        <v>0</v>
      </c>
      <c r="AK8059" s="172"/>
    </row>
    <row r="8060" spans="1:41" s="102" customFormat="1" ht="19.899999999999999" customHeight="1" x14ac:dyDescent="0.25">
      <c r="A8060" s="45"/>
      <c r="B8060" s="59"/>
      <c r="C8060" s="137"/>
      <c r="D8060" s="59"/>
      <c r="E8060" s="116"/>
      <c r="F8060" s="120"/>
      <c r="G8060" s="120"/>
      <c r="H8060" s="120"/>
      <c r="I8060" s="60"/>
      <c r="J8060" s="116"/>
      <c r="K8060" s="213"/>
      <c r="L8060" s="120"/>
      <c r="M8060" s="120"/>
      <c r="N8060" s="167"/>
      <c r="O8060" s="120"/>
      <c r="P8060" s="120"/>
      <c r="Q8060" s="120"/>
      <c r="R8060" s="120"/>
      <c r="S8060" s="120"/>
      <c r="T8060" s="221"/>
      <c r="U8060" s="89"/>
      <c r="V8060" s="61"/>
      <c r="W8060" s="92" t="s">
        <v>129</v>
      </c>
      <c r="X8060" s="93" t="s">
        <v>29</v>
      </c>
      <c r="Y8060" s="93" t="s">
        <v>93</v>
      </c>
      <c r="Z8060" s="134">
        <f>VLOOKUP(W8060,Sheet2!$B:$D,3,FALSE)</f>
        <v>56</v>
      </c>
      <c r="AA8060" s="93">
        <f>100/(2.9*2)</f>
        <v>17.241379310344829</v>
      </c>
      <c r="AB8060" s="93">
        <f t="shared" ref="AB8060" si="5618">AD8060/AC8059</f>
        <v>3.2479999999999998</v>
      </c>
      <c r="AC8060" s="93">
        <f>AC8059/AA8060</f>
        <v>1.9329050999999986</v>
      </c>
      <c r="AD8060" s="94">
        <f t="shared" ref="AD8060:AD8061" si="5619">AC8060*Z8060</f>
        <v>108.24268559999992</v>
      </c>
      <c r="AE8060" s="190"/>
      <c r="AF8060" s="191"/>
      <c r="AG8060" s="191"/>
      <c r="AH8060" s="191"/>
      <c r="AI8060" s="186"/>
      <c r="AK8060" s="171"/>
    </row>
    <row r="8061" spans="1:41" s="102" customFormat="1" ht="19.899999999999999" customHeight="1" x14ac:dyDescent="0.25">
      <c r="A8061" s="45"/>
      <c r="B8061" s="59"/>
      <c r="C8061" s="137"/>
      <c r="D8061" s="59"/>
      <c r="E8061" s="116"/>
      <c r="F8061" s="120"/>
      <c r="G8061" s="120"/>
      <c r="H8061" s="120"/>
      <c r="I8061" s="60"/>
      <c r="J8061" s="116"/>
      <c r="K8061" s="213"/>
      <c r="L8061" s="120"/>
      <c r="M8061" s="120"/>
      <c r="N8061" s="167"/>
      <c r="O8061" s="120"/>
      <c r="P8061" s="120"/>
      <c r="Q8061" s="120"/>
      <c r="R8061" s="120"/>
      <c r="S8061" s="120"/>
      <c r="T8061" s="221"/>
      <c r="U8061" s="89"/>
      <c r="V8061" s="61"/>
      <c r="W8061" s="92" t="s">
        <v>65</v>
      </c>
      <c r="X8061" s="93" t="s">
        <v>30</v>
      </c>
      <c r="Y8061" s="93" t="s">
        <v>1011</v>
      </c>
      <c r="Z8061" s="134">
        <f>VLOOKUP(W8061,Sheet2!$B:$D,3,FALSE)</f>
        <v>1.76</v>
      </c>
      <c r="AA8061" s="93">
        <f>AA8060/14</f>
        <v>1.2315270935960592</v>
      </c>
      <c r="AB8061" s="93">
        <f>AD8061/AC8059</f>
        <v>1.4291199999999999</v>
      </c>
      <c r="AC8061" s="93">
        <f>AC8059/AA8061</f>
        <v>27.060671399999979</v>
      </c>
      <c r="AD8061" s="94">
        <f t="shared" si="5619"/>
        <v>47.626781663999964</v>
      </c>
      <c r="AE8061" s="190"/>
      <c r="AF8061" s="191"/>
      <c r="AG8061" s="191"/>
      <c r="AH8061" s="191"/>
      <c r="AI8061" s="186"/>
      <c r="AK8061" s="171"/>
    </row>
    <row r="8062" spans="1:41" s="102" customFormat="1" ht="19.899999999999999" customHeight="1" x14ac:dyDescent="0.25">
      <c r="A8062" s="45"/>
      <c r="B8062" s="59"/>
      <c r="C8062" s="137"/>
      <c r="D8062" s="59"/>
      <c r="E8062" s="116"/>
      <c r="F8062" s="120"/>
      <c r="G8062" s="120"/>
      <c r="H8062" s="120"/>
      <c r="I8062" s="60"/>
      <c r="J8062" s="116"/>
      <c r="K8062" s="213"/>
      <c r="L8062" s="120"/>
      <c r="M8062" s="120"/>
      <c r="N8062" s="167"/>
      <c r="O8062" s="120"/>
      <c r="P8062" s="120"/>
      <c r="Q8062" s="120"/>
      <c r="R8062" s="120"/>
      <c r="S8062" s="120"/>
      <c r="T8062" s="221"/>
      <c r="U8062" s="89"/>
      <c r="V8062" s="61"/>
      <c r="W8062" s="92" t="s">
        <v>161</v>
      </c>
      <c r="X8062" s="93" t="s">
        <v>29</v>
      </c>
      <c r="Y8062" s="93" t="s">
        <v>93</v>
      </c>
      <c r="Z8062" s="134">
        <f>VLOOKUP(W8062,Sheet2!$B:$D,3,FALSE)</f>
        <v>48</v>
      </c>
      <c r="AA8062" s="93">
        <f>(16*0.85*1.5)/(2.9*2)</f>
        <v>3.5172413793103448</v>
      </c>
      <c r="AB8062" s="93">
        <f>AD8062/AC8059</f>
        <v>13.647058823529411</v>
      </c>
      <c r="AC8062" s="93">
        <f>AC8059/AA8062</f>
        <v>9.4750249999999934</v>
      </c>
      <c r="AD8062" s="94">
        <f>AC8062*Z8062</f>
        <v>454.80119999999965</v>
      </c>
      <c r="AE8062" s="190"/>
      <c r="AF8062" s="191"/>
      <c r="AG8062" s="191"/>
      <c r="AH8062" s="191"/>
      <c r="AI8062" s="186"/>
      <c r="AK8062" s="171"/>
    </row>
    <row r="8063" spans="1:41" s="102" customFormat="1" ht="19.899999999999999" customHeight="1" x14ac:dyDescent="0.25">
      <c r="A8063" s="45"/>
      <c r="B8063" s="59"/>
      <c r="C8063" s="137"/>
      <c r="D8063" s="59"/>
      <c r="E8063" s="116"/>
      <c r="F8063" s="120"/>
      <c r="G8063" s="120"/>
      <c r="H8063" s="120"/>
      <c r="I8063" s="60"/>
      <c r="J8063" s="116"/>
      <c r="K8063" s="213"/>
      <c r="L8063" s="120"/>
      <c r="M8063" s="120"/>
      <c r="N8063" s="167"/>
      <c r="O8063" s="120"/>
      <c r="P8063" s="120"/>
      <c r="Q8063" s="120"/>
      <c r="R8063" s="120"/>
      <c r="S8063" s="120"/>
      <c r="T8063" s="221"/>
      <c r="U8063" s="89"/>
      <c r="V8063" s="61"/>
      <c r="W8063" s="92" t="s">
        <v>65</v>
      </c>
      <c r="X8063" s="93" t="s">
        <v>30</v>
      </c>
      <c r="Y8063" s="93" t="s">
        <v>1011</v>
      </c>
      <c r="Z8063" s="134">
        <f>VLOOKUP(W8063,Sheet2!$B:$D,3,FALSE)</f>
        <v>1.76</v>
      </c>
      <c r="AA8063" s="93">
        <f>AA8062/10</f>
        <v>0.35172413793103446</v>
      </c>
      <c r="AB8063" s="93">
        <f>AD8063/AC8059</f>
        <v>5.0039215686274519</v>
      </c>
      <c r="AC8063" s="93">
        <f>AC8059/AA8063</f>
        <v>94.750249999999937</v>
      </c>
      <c r="AD8063" s="94">
        <f>AC8063*Z8063</f>
        <v>166.7604399999999</v>
      </c>
      <c r="AE8063" s="190"/>
      <c r="AF8063" s="191"/>
      <c r="AG8063" s="191"/>
      <c r="AH8063" s="191"/>
      <c r="AI8063" s="186"/>
      <c r="AK8063" s="171"/>
    </row>
    <row r="8064" spans="1:41" s="102" customFormat="1" ht="19.899999999999999" customHeight="1" x14ac:dyDescent="0.25">
      <c r="A8064" s="45"/>
      <c r="B8064" s="59"/>
      <c r="C8064" s="137"/>
      <c r="D8064" s="59"/>
      <c r="E8064" s="116"/>
      <c r="F8064" s="120"/>
      <c r="G8064" s="120"/>
      <c r="H8064" s="120"/>
      <c r="I8064" s="60"/>
      <c r="J8064" s="116"/>
      <c r="K8064" s="213"/>
      <c r="L8064" s="120"/>
      <c r="M8064" s="120"/>
      <c r="N8064" s="167"/>
      <c r="O8064" s="120"/>
      <c r="P8064" s="120"/>
      <c r="Q8064" s="120"/>
      <c r="R8064" s="120"/>
      <c r="S8064" s="120"/>
      <c r="T8064" s="221"/>
      <c r="U8064" s="89"/>
      <c r="V8064" s="61"/>
      <c r="W8064" s="92" t="s">
        <v>1030</v>
      </c>
      <c r="X8064" s="93" t="s">
        <v>29</v>
      </c>
      <c r="Y8064" s="93" t="s">
        <v>93</v>
      </c>
      <c r="Z8064" s="134">
        <f>VLOOKUP(W8064,Sheet2!$B:$D,3,FALSE)</f>
        <v>23</v>
      </c>
      <c r="AA8064" s="93">
        <v>50</v>
      </c>
      <c r="AB8064" s="93">
        <f>AD8064/AC8059</f>
        <v>0.45999999999999996</v>
      </c>
      <c r="AC8064" s="93">
        <f>AC8059/AA8064</f>
        <v>0.66651899999999953</v>
      </c>
      <c r="AD8064" s="94">
        <f t="shared" ref="AD8064:AD8067" si="5620">AC8064*Z8064</f>
        <v>15.329936999999989</v>
      </c>
      <c r="AE8064" s="190"/>
      <c r="AF8064" s="191"/>
      <c r="AG8064" s="191"/>
      <c r="AH8064" s="191"/>
      <c r="AI8064" s="186"/>
      <c r="AK8064" s="171"/>
    </row>
    <row r="8065" spans="1:41" s="102" customFormat="1" ht="19.899999999999999" customHeight="1" x14ac:dyDescent="0.25">
      <c r="A8065" s="45"/>
      <c r="B8065" s="59"/>
      <c r="C8065" s="137"/>
      <c r="D8065" s="59"/>
      <c r="E8065" s="116"/>
      <c r="F8065" s="120"/>
      <c r="G8065" s="120"/>
      <c r="H8065" s="120"/>
      <c r="I8065" s="60"/>
      <c r="J8065" s="116"/>
      <c r="K8065" s="213"/>
      <c r="L8065" s="120"/>
      <c r="M8065" s="120"/>
      <c r="N8065" s="167"/>
      <c r="O8065" s="120"/>
      <c r="P8065" s="120"/>
      <c r="Q8065" s="120"/>
      <c r="R8065" s="120"/>
      <c r="S8065" s="120"/>
      <c r="T8065" s="221"/>
      <c r="U8065" s="89"/>
      <c r="V8065" s="61"/>
      <c r="W8065" s="92" t="s">
        <v>65</v>
      </c>
      <c r="X8065" s="93" t="s">
        <v>30</v>
      </c>
      <c r="Y8065" s="93" t="s">
        <v>1011</v>
      </c>
      <c r="Z8065" s="134">
        <f>VLOOKUP(W8065,Sheet2!$B:$D,3,FALSE)</f>
        <v>1.76</v>
      </c>
      <c r="AA8065" s="93">
        <f>AA8064/3</f>
        <v>16.666666666666668</v>
      </c>
      <c r="AB8065" s="93">
        <f>AD8065/AC8059</f>
        <v>0.1056</v>
      </c>
      <c r="AC8065" s="93">
        <f>AC8059/AA8065</f>
        <v>1.9995569999999985</v>
      </c>
      <c r="AD8065" s="94">
        <f t="shared" si="5620"/>
        <v>3.5192203199999974</v>
      </c>
      <c r="AE8065" s="190"/>
      <c r="AF8065" s="191"/>
      <c r="AG8065" s="191"/>
      <c r="AH8065" s="191"/>
      <c r="AI8065" s="186"/>
      <c r="AK8065" s="171"/>
    </row>
    <row r="8066" spans="1:41" s="102" customFormat="1" ht="19.899999999999999" customHeight="1" x14ac:dyDescent="0.25">
      <c r="A8066" s="45"/>
      <c r="B8066" s="59"/>
      <c r="C8066" s="137"/>
      <c r="D8066" s="59"/>
      <c r="E8066" s="116"/>
      <c r="F8066" s="120"/>
      <c r="G8066" s="120"/>
      <c r="H8066" s="120"/>
      <c r="I8066" s="60"/>
      <c r="J8066" s="116"/>
      <c r="K8066" s="213"/>
      <c r="L8066" s="120"/>
      <c r="M8066" s="120"/>
      <c r="N8066" s="167"/>
      <c r="O8066" s="120"/>
      <c r="P8066" s="120"/>
      <c r="Q8066" s="120"/>
      <c r="R8066" s="120"/>
      <c r="S8066" s="120"/>
      <c r="T8066" s="221"/>
      <c r="U8066" s="89"/>
      <c r="V8066" s="61"/>
      <c r="W8066" s="92" t="s">
        <v>148</v>
      </c>
      <c r="X8066" s="93" t="s">
        <v>29</v>
      </c>
      <c r="Y8066" s="93" t="s">
        <v>93</v>
      </c>
      <c r="Z8066" s="134">
        <f>VLOOKUP(W8066,Sheet2!$B:$D,3,FALSE)</f>
        <v>48</v>
      </c>
      <c r="AA8066" s="93">
        <f>AA8060</f>
        <v>17.241379310344829</v>
      </c>
      <c r="AB8066" s="93">
        <f>AD8066/AC8059</f>
        <v>2.7839999999999998</v>
      </c>
      <c r="AC8066" s="93">
        <f>AC8059/AA8066</f>
        <v>1.9329050999999986</v>
      </c>
      <c r="AD8066" s="94">
        <f t="shared" si="5620"/>
        <v>92.779444799999936</v>
      </c>
      <c r="AE8066" s="190"/>
      <c r="AF8066" s="191"/>
      <c r="AG8066" s="191"/>
      <c r="AH8066" s="191"/>
      <c r="AI8066" s="186"/>
      <c r="AK8066" s="171"/>
    </row>
    <row r="8067" spans="1:41" s="102" customFormat="1" ht="19.899999999999999" customHeight="1" x14ac:dyDescent="0.25">
      <c r="A8067" s="45"/>
      <c r="B8067" s="59"/>
      <c r="C8067" s="137"/>
      <c r="D8067" s="59"/>
      <c r="E8067" s="116"/>
      <c r="F8067" s="120"/>
      <c r="G8067" s="120"/>
      <c r="H8067" s="120"/>
      <c r="I8067" s="60"/>
      <c r="J8067" s="116"/>
      <c r="K8067" s="213"/>
      <c r="L8067" s="120"/>
      <c r="M8067" s="120"/>
      <c r="N8067" s="167"/>
      <c r="O8067" s="120"/>
      <c r="P8067" s="120"/>
      <c r="Q8067" s="120"/>
      <c r="R8067" s="120"/>
      <c r="S8067" s="120"/>
      <c r="T8067" s="221"/>
      <c r="U8067" s="89"/>
      <c r="V8067" s="61"/>
      <c r="W8067" s="92" t="s">
        <v>65</v>
      </c>
      <c r="X8067" s="93" t="s">
        <v>30</v>
      </c>
      <c r="Y8067" s="93" t="s">
        <v>1011</v>
      </c>
      <c r="Z8067" s="134">
        <f>VLOOKUP(W8067,Sheet2!$B:$D,3,FALSE)</f>
        <v>1.76</v>
      </c>
      <c r="AA8067" s="93">
        <f>AA8066/10</f>
        <v>1.7241379310344829</v>
      </c>
      <c r="AB8067" s="93">
        <f>AD8067/AC8059</f>
        <v>1.0207999999999999</v>
      </c>
      <c r="AC8067" s="93">
        <f>AC8059/AA8067</f>
        <v>19.329050999999986</v>
      </c>
      <c r="AD8067" s="94">
        <f t="shared" si="5620"/>
        <v>34.019129759999977</v>
      </c>
      <c r="AE8067" s="190"/>
      <c r="AF8067" s="191"/>
      <c r="AG8067" s="191"/>
      <c r="AH8067" s="191"/>
      <c r="AI8067" s="186"/>
      <c r="AK8067" s="171"/>
    </row>
    <row r="8068" spans="1:41" s="103" customFormat="1" ht="19.899999999999999" customHeight="1" x14ac:dyDescent="0.25">
      <c r="A8068" s="51"/>
      <c r="B8068" s="52"/>
      <c r="C8068" s="165"/>
      <c r="D8068" s="52"/>
      <c r="E8068" s="115"/>
      <c r="F8068" s="58"/>
      <c r="G8068" s="58"/>
      <c r="H8068" s="58"/>
      <c r="I8068" s="55"/>
      <c r="J8068" s="113">
        <f>J8058</f>
        <v>33.325949999999978</v>
      </c>
      <c r="K8068" s="212">
        <f>K8058</f>
        <v>33.325949999999978</v>
      </c>
      <c r="L8068" s="58"/>
      <c r="M8068" s="58">
        <f>K8068-L8068</f>
        <v>33.325949999999978</v>
      </c>
      <c r="N8068" s="166"/>
      <c r="O8068" s="58"/>
      <c r="P8068" s="58"/>
      <c r="Q8068" s="58"/>
      <c r="R8068" s="58"/>
      <c r="S8068" s="58"/>
      <c r="T8068" s="220"/>
      <c r="U8068" s="88"/>
      <c r="V8068" s="56"/>
      <c r="W8068" s="57" t="s">
        <v>1120</v>
      </c>
      <c r="X8068" s="53"/>
      <c r="Y8068" s="91" t="s">
        <v>68</v>
      </c>
      <c r="Z8068" s="136">
        <f>AD8068/AC8068</f>
        <v>3712.5500000000011</v>
      </c>
      <c r="AA8068" s="58"/>
      <c r="AB8068" s="53">
        <f>AD8068/AC8068</f>
        <v>3712.5500000000011</v>
      </c>
      <c r="AC8068" s="53">
        <f>M8068+$AE$10</f>
        <v>33.325949999999978</v>
      </c>
      <c r="AD8068" s="54">
        <f>SUM(AD8069:AD8072)</f>
        <v>123724.25567249996</v>
      </c>
      <c r="AE8068" s="184">
        <f>SUMIFS($AD$37:$AD$12971,$V$37:$V$12971,$V8068,$X$37:$X$12971,AE$13)</f>
        <v>0</v>
      </c>
      <c r="AF8068" s="185">
        <f>SUMIFS($AD$37:$AD$12971,$V$37:$V$12971,$V8068,$X$37:$X$12971,AF$13)</f>
        <v>0</v>
      </c>
      <c r="AG8068" s="185">
        <f>SUMIFS($AD$37:$AD$12971,$V$37:$V$12971,$V8068,$X$37:$X$12971,AG$13)</f>
        <v>0</v>
      </c>
      <c r="AH8068" s="187">
        <f>SUMIFS($AD$37:$AD$12971,$V$37:$V$12971,$V8068,$X$37:$X$12971,AH$13)</f>
        <v>0</v>
      </c>
      <c r="AI8068" s="161">
        <f t="shared" ref="AI8068" si="5621">SUM(AE8068:AH8068)</f>
        <v>0</v>
      </c>
      <c r="AK8068" s="172"/>
    </row>
    <row r="8069" spans="1:41" s="102" customFormat="1" ht="19.899999999999999" customHeight="1" x14ac:dyDescent="0.25">
      <c r="A8069" s="45"/>
      <c r="B8069" s="59"/>
      <c r="C8069" s="137"/>
      <c r="D8069" s="59"/>
      <c r="E8069" s="116"/>
      <c r="F8069" s="120"/>
      <c r="G8069" s="120"/>
      <c r="H8069" s="120"/>
      <c r="I8069" s="60"/>
      <c r="J8069" s="116"/>
      <c r="K8069" s="213"/>
      <c r="L8069" s="120"/>
      <c r="M8069" s="120"/>
      <c r="N8069" s="167"/>
      <c r="O8069" s="120"/>
      <c r="P8069" s="120"/>
      <c r="Q8069" s="120"/>
      <c r="R8069" s="120"/>
      <c r="S8069" s="120"/>
      <c r="T8069" s="221"/>
      <c r="U8069" s="89"/>
      <c r="V8069" s="61"/>
      <c r="W8069" s="92" t="s">
        <v>1105</v>
      </c>
      <c r="X8069" s="93" t="s">
        <v>30</v>
      </c>
      <c r="Y8069" s="93" t="s">
        <v>66</v>
      </c>
      <c r="Z8069" s="134">
        <f>VLOOKUP(W8069,Sheet2!$B:$D,3,FALSE)</f>
        <v>2200</v>
      </c>
      <c r="AA8069" s="93">
        <f>1/((2.1*1.3)-(1.5*0.7))</f>
        <v>0.59523809523809501</v>
      </c>
      <c r="AB8069" s="93">
        <f>AD8069/AC8068</f>
        <v>3696.0000000000014</v>
      </c>
      <c r="AC8069" s="93">
        <f>AC8068/AA8069</f>
        <v>55.987595999999982</v>
      </c>
      <c r="AD8069" s="94">
        <f t="shared" ref="AD8069" si="5622">AC8069*Z8069</f>
        <v>123172.71119999996</v>
      </c>
      <c r="AE8069" s="190"/>
      <c r="AF8069" s="191"/>
      <c r="AG8069" s="191"/>
      <c r="AH8069" s="191"/>
      <c r="AI8069" s="186"/>
      <c r="AK8069" s="171"/>
    </row>
    <row r="8070" spans="1:41" s="102" customFormat="1" ht="19.899999999999999" customHeight="1" x14ac:dyDescent="0.25">
      <c r="A8070" s="45"/>
      <c r="B8070" s="59"/>
      <c r="C8070" s="137"/>
      <c r="D8070" s="59"/>
      <c r="E8070" s="116"/>
      <c r="F8070" s="120"/>
      <c r="G8070" s="120"/>
      <c r="H8070" s="120"/>
      <c r="I8070" s="60"/>
      <c r="J8070" s="116"/>
      <c r="K8070" s="213"/>
      <c r="L8070" s="120"/>
      <c r="M8070" s="120"/>
      <c r="N8070" s="167"/>
      <c r="O8070" s="120"/>
      <c r="P8070" s="120"/>
      <c r="Q8070" s="120"/>
      <c r="R8070" s="120"/>
      <c r="S8070" s="120"/>
      <c r="T8070" s="221"/>
      <c r="U8070" s="89"/>
      <c r="V8070" s="61"/>
      <c r="W8070" s="92" t="s">
        <v>174</v>
      </c>
      <c r="X8070" s="93" t="s">
        <v>29</v>
      </c>
      <c r="Y8070" s="93" t="s">
        <v>93</v>
      </c>
      <c r="Z8070" s="134">
        <f>VLOOKUP(W8070,Sheet2!$B:$D,3,FALSE)</f>
        <v>80</v>
      </c>
      <c r="AA8070" s="93">
        <f>4*2</f>
        <v>8</v>
      </c>
      <c r="AB8070" s="93">
        <f>AD8070/AC8068</f>
        <v>10</v>
      </c>
      <c r="AC8070" s="93">
        <f>AC8068/AA8070</f>
        <v>4.1657437499999972</v>
      </c>
      <c r="AD8070" s="94">
        <f>AC8070*Z8070</f>
        <v>333.25949999999978</v>
      </c>
      <c r="AE8070" s="190"/>
      <c r="AF8070" s="191"/>
      <c r="AG8070" s="191"/>
      <c r="AH8070" s="191"/>
      <c r="AI8070" s="186"/>
      <c r="AK8070" s="171"/>
    </row>
    <row r="8071" spans="1:41" s="102" customFormat="1" ht="19.899999999999999" customHeight="1" x14ac:dyDescent="0.25">
      <c r="A8071" s="45"/>
      <c r="B8071" s="59"/>
      <c r="C8071" s="137"/>
      <c r="D8071" s="59"/>
      <c r="E8071" s="116"/>
      <c r="F8071" s="120"/>
      <c r="G8071" s="120"/>
      <c r="H8071" s="120"/>
      <c r="I8071" s="60"/>
      <c r="J8071" s="116"/>
      <c r="K8071" s="213"/>
      <c r="L8071" s="120"/>
      <c r="M8071" s="120"/>
      <c r="N8071" s="167"/>
      <c r="O8071" s="120"/>
      <c r="P8071" s="120"/>
      <c r="Q8071" s="120"/>
      <c r="R8071" s="120"/>
      <c r="S8071" s="120"/>
      <c r="T8071" s="221"/>
      <c r="U8071" s="89"/>
      <c r="V8071" s="61"/>
      <c r="W8071" s="92" t="s">
        <v>65</v>
      </c>
      <c r="X8071" s="93" t="s">
        <v>30</v>
      </c>
      <c r="Y8071" s="93" t="s">
        <v>1011</v>
      </c>
      <c r="Z8071" s="134">
        <f>VLOOKUP(W8071,Sheet2!$B:$D,3,FALSE)</f>
        <v>1.76</v>
      </c>
      <c r="AA8071" s="93">
        <f>AA8070/15</f>
        <v>0.53333333333333333</v>
      </c>
      <c r="AB8071" s="93">
        <f>AD8071/AC8068</f>
        <v>3.3</v>
      </c>
      <c r="AC8071" s="93">
        <f>AC8068/AA8071</f>
        <v>62.486156249999958</v>
      </c>
      <c r="AD8071" s="94">
        <f t="shared" ref="AD8071" si="5623">AC8071*Z8071</f>
        <v>109.97563499999993</v>
      </c>
      <c r="AE8071" s="190"/>
      <c r="AF8071" s="191"/>
      <c r="AG8071" s="191"/>
      <c r="AH8071" s="191"/>
      <c r="AI8071" s="186"/>
      <c r="AK8071" s="171"/>
    </row>
    <row r="8072" spans="1:41" s="102" customFormat="1" ht="19.899999999999999" customHeight="1" x14ac:dyDescent="0.25">
      <c r="A8072" s="45"/>
      <c r="B8072" s="59"/>
      <c r="C8072" s="137"/>
      <c r="D8072" s="59"/>
      <c r="E8072" s="116"/>
      <c r="F8072" s="120"/>
      <c r="G8072" s="120"/>
      <c r="H8072" s="120"/>
      <c r="I8072" s="60"/>
      <c r="J8072" s="116"/>
      <c r="K8072" s="213"/>
      <c r="L8072" s="120"/>
      <c r="M8072" s="120"/>
      <c r="N8072" s="167"/>
      <c r="O8072" s="120"/>
      <c r="P8072" s="120"/>
      <c r="Q8072" s="120"/>
      <c r="R8072" s="120"/>
      <c r="S8072" s="120"/>
      <c r="T8072" s="221"/>
      <c r="U8072" s="89"/>
      <c r="V8072" s="61"/>
      <c r="W8072" s="92" t="s">
        <v>112</v>
      </c>
      <c r="X8072" s="93" t="s">
        <v>31</v>
      </c>
      <c r="Y8072" s="93" t="s">
        <v>93</v>
      </c>
      <c r="Z8072" s="134">
        <f>VLOOKUP(W8072,Sheet2!$B:$D,3,FALSE)</f>
        <v>13</v>
      </c>
      <c r="AA8072" s="93">
        <f>AA8070/2</f>
        <v>4</v>
      </c>
      <c r="AB8072" s="93">
        <f>AD8072/AC8068</f>
        <v>3.25</v>
      </c>
      <c r="AC8072" s="93">
        <f>AC8068/AA8072</f>
        <v>8.3314874999999944</v>
      </c>
      <c r="AD8072" s="94">
        <f>AC8072*Z8072</f>
        <v>108.30933749999993</v>
      </c>
      <c r="AE8072" s="190"/>
      <c r="AF8072" s="191"/>
      <c r="AG8072" s="191"/>
      <c r="AH8072" s="191"/>
      <c r="AI8072" s="186"/>
      <c r="AK8072" s="171"/>
    </row>
    <row r="8073" spans="1:41" ht="20.100000000000001" customHeight="1" x14ac:dyDescent="0.25">
      <c r="A8073" s="277" t="s">
        <v>703</v>
      </c>
      <c r="B8073" s="278"/>
      <c r="C8073" s="64" t="s">
        <v>765</v>
      </c>
      <c r="D8073" s="46" t="s">
        <v>97</v>
      </c>
      <c r="E8073" s="114">
        <v>51.499594999999999</v>
      </c>
      <c r="F8073" s="44">
        <v>4348</v>
      </c>
      <c r="G8073" s="44">
        <f t="shared" si="5545"/>
        <v>223920.23905999999</v>
      </c>
      <c r="H8073" s="44">
        <f t="shared" si="5546"/>
        <v>3782.0317254901975</v>
      </c>
      <c r="I8073" s="43">
        <f t="shared" si="5547"/>
        <v>194773.10213989633</v>
      </c>
      <c r="J8073" s="112">
        <f t="shared" si="5548"/>
        <v>51.499594999999999</v>
      </c>
      <c r="K8073" s="211">
        <f t="shared" si="5549"/>
        <v>51.499594999999999</v>
      </c>
      <c r="L8073" s="44"/>
      <c r="M8073" s="44">
        <f t="shared" si="5550"/>
        <v>51.499594999999999</v>
      </c>
      <c r="N8073" s="173">
        <f t="shared" si="5551"/>
        <v>1</v>
      </c>
      <c r="O8073" s="44">
        <f t="shared" si="5552"/>
        <v>4348</v>
      </c>
      <c r="P8073" s="44">
        <f t="shared" si="5553"/>
        <v>223920.23905999999</v>
      </c>
      <c r="Q8073" s="44">
        <f t="shared" si="5554"/>
        <v>3782.0317254901975</v>
      </c>
      <c r="R8073" s="44">
        <f t="shared" si="5555"/>
        <v>194773.10213989633</v>
      </c>
      <c r="S8073" s="123"/>
      <c r="T8073" s="219">
        <f t="shared" si="5556"/>
        <v>194773.10213989633</v>
      </c>
      <c r="U8073" s="87"/>
      <c r="V8073" s="47"/>
      <c r="W8073" s="48"/>
      <c r="X8073" s="48"/>
      <c r="Y8073" s="48"/>
      <c r="Z8073" s="135"/>
      <c r="AA8073" s="49"/>
      <c r="AB8073" s="50">
        <f t="shared" si="5557"/>
        <v>3782.0317254901975</v>
      </c>
      <c r="AC8073" s="42">
        <f t="shared" si="5558"/>
        <v>51.499594999999999</v>
      </c>
      <c r="AD8073" s="90">
        <f>AD8074+AD8084</f>
        <v>194773.10213989633</v>
      </c>
      <c r="AE8073" s="188">
        <f t="shared" ref="AE8073:AH8073" si="5624">AE8074+AE8084</f>
        <v>0</v>
      </c>
      <c r="AF8073" s="189">
        <f t="shared" si="5624"/>
        <v>0</v>
      </c>
      <c r="AG8073" s="189">
        <f t="shared" si="5624"/>
        <v>0</v>
      </c>
      <c r="AH8073" s="189">
        <f t="shared" si="5624"/>
        <v>0</v>
      </c>
      <c r="AI8073" s="161">
        <f t="shared" ref="AI8073" si="5625">SUM(AE8073:AH8073)</f>
        <v>0</v>
      </c>
      <c r="AK8073" s="169">
        <v>5</v>
      </c>
      <c r="AO8073" s="19" t="s">
        <v>63</v>
      </c>
    </row>
    <row r="8074" spans="1:41" s="103" customFormat="1" ht="19.899999999999999" customHeight="1" x14ac:dyDescent="0.25">
      <c r="A8074" s="51"/>
      <c r="B8074" s="52"/>
      <c r="C8074" s="165"/>
      <c r="D8074" s="52"/>
      <c r="E8074" s="115"/>
      <c r="F8074" s="58"/>
      <c r="G8074" s="58"/>
      <c r="H8074" s="58"/>
      <c r="I8074" s="55"/>
      <c r="J8074" s="113">
        <f>J8073</f>
        <v>51.499594999999999</v>
      </c>
      <c r="K8074" s="212">
        <f>K8073</f>
        <v>51.499594999999999</v>
      </c>
      <c r="L8074" s="58"/>
      <c r="M8074" s="58">
        <f>K8074-L8074</f>
        <v>51.499594999999999</v>
      </c>
      <c r="N8074" s="166"/>
      <c r="O8074" s="58"/>
      <c r="P8074" s="58"/>
      <c r="Q8074" s="58"/>
      <c r="R8074" s="58"/>
      <c r="S8074" s="58"/>
      <c r="T8074" s="220"/>
      <c r="U8074" s="88"/>
      <c r="V8074" s="56"/>
      <c r="W8074" s="57" t="s">
        <v>1116</v>
      </c>
      <c r="X8074" s="53"/>
      <c r="Y8074" s="91" t="s">
        <v>68</v>
      </c>
      <c r="Z8074" s="136">
        <f>AD8074/AC8074</f>
        <v>69.481725490196084</v>
      </c>
      <c r="AA8074" s="58"/>
      <c r="AB8074" s="53">
        <f>AD8074/AC8074</f>
        <v>69.481725490196084</v>
      </c>
      <c r="AC8074" s="53">
        <f>M8074+$AE$10</f>
        <v>51.499594999999999</v>
      </c>
      <c r="AD8074" s="54">
        <f>SUM(AD8075:AD8083)</f>
        <v>3578.2807226462746</v>
      </c>
      <c r="AE8074" s="184">
        <f>SUMIFS($AD$37:$AD$12971,$V$37:$V$12971,$V8074,$X$37:$X$12971,AE$13)</f>
        <v>0</v>
      </c>
      <c r="AF8074" s="185">
        <f>SUMIFS($AD$37:$AD$12971,$V$37:$V$12971,$V8074,$X$37:$X$12971,AF$13)</f>
        <v>0</v>
      </c>
      <c r="AG8074" s="185">
        <f>SUMIFS($AD$37:$AD$12971,$V$37:$V$12971,$V8074,$X$37:$X$12971,AG$13)</f>
        <v>0</v>
      </c>
      <c r="AH8074" s="187">
        <f>SUMIFS($AD$37:$AD$12971,$V$37:$V$12971,$V8074,$X$37:$X$12971,AH$13)</f>
        <v>0</v>
      </c>
      <c r="AI8074" s="161">
        <f t="shared" ref="AI8074" si="5626">SUM(AE8074:AH8074)</f>
        <v>0</v>
      </c>
      <c r="AK8074" s="172"/>
    </row>
    <row r="8075" spans="1:41" s="102" customFormat="1" ht="19.899999999999999" customHeight="1" x14ac:dyDescent="0.25">
      <c r="A8075" s="45"/>
      <c r="B8075" s="59"/>
      <c r="C8075" s="137"/>
      <c r="D8075" s="59"/>
      <c r="E8075" s="116"/>
      <c r="F8075" s="120"/>
      <c r="G8075" s="120"/>
      <c r="H8075" s="120"/>
      <c r="I8075" s="60"/>
      <c r="J8075" s="116"/>
      <c r="K8075" s="213"/>
      <c r="L8075" s="120"/>
      <c r="M8075" s="120"/>
      <c r="N8075" s="167"/>
      <c r="O8075" s="120"/>
      <c r="P8075" s="120"/>
      <c r="Q8075" s="120"/>
      <c r="R8075" s="120"/>
      <c r="S8075" s="120"/>
      <c r="T8075" s="221"/>
      <c r="U8075" s="89"/>
      <c r="V8075" s="61"/>
      <c r="W8075" s="92" t="s">
        <v>129</v>
      </c>
      <c r="X8075" s="93" t="s">
        <v>29</v>
      </c>
      <c r="Y8075" s="93" t="s">
        <v>93</v>
      </c>
      <c r="Z8075" s="134">
        <f>VLOOKUP(W8075,Sheet2!$B:$D,3,FALSE)</f>
        <v>56</v>
      </c>
      <c r="AA8075" s="93">
        <f>100/(2.9*2.5)</f>
        <v>13.793103448275861</v>
      </c>
      <c r="AB8075" s="93">
        <f t="shared" ref="AB8075" si="5627">AD8075/AC8074</f>
        <v>4.0600000000000005</v>
      </c>
      <c r="AC8075" s="93">
        <f>AC8074/AA8075</f>
        <v>3.7337206375000003</v>
      </c>
      <c r="AD8075" s="94">
        <f t="shared" ref="AD8075:AD8076" si="5628">AC8075*Z8075</f>
        <v>209.08835570000002</v>
      </c>
      <c r="AE8075" s="190"/>
      <c r="AF8075" s="191"/>
      <c r="AG8075" s="191"/>
      <c r="AH8075" s="191"/>
      <c r="AI8075" s="186"/>
      <c r="AK8075" s="171"/>
    </row>
    <row r="8076" spans="1:41" s="102" customFormat="1" ht="19.899999999999999" customHeight="1" x14ac:dyDescent="0.25">
      <c r="A8076" s="45"/>
      <c r="B8076" s="59"/>
      <c r="C8076" s="137"/>
      <c r="D8076" s="59"/>
      <c r="E8076" s="116"/>
      <c r="F8076" s="120"/>
      <c r="G8076" s="120"/>
      <c r="H8076" s="120"/>
      <c r="I8076" s="60"/>
      <c r="J8076" s="116"/>
      <c r="K8076" s="213"/>
      <c r="L8076" s="120"/>
      <c r="M8076" s="120"/>
      <c r="N8076" s="167"/>
      <c r="O8076" s="120"/>
      <c r="P8076" s="120"/>
      <c r="Q8076" s="120"/>
      <c r="R8076" s="120"/>
      <c r="S8076" s="120"/>
      <c r="T8076" s="221"/>
      <c r="U8076" s="89"/>
      <c r="V8076" s="61"/>
      <c r="W8076" s="92" t="s">
        <v>65</v>
      </c>
      <c r="X8076" s="93" t="s">
        <v>30</v>
      </c>
      <c r="Y8076" s="93" t="s">
        <v>1011</v>
      </c>
      <c r="Z8076" s="134">
        <f>VLOOKUP(W8076,Sheet2!$B:$D,3,FALSE)</f>
        <v>1.76</v>
      </c>
      <c r="AA8076" s="93">
        <f>AA8075/14</f>
        <v>0.9852216748768472</v>
      </c>
      <c r="AB8076" s="93">
        <f>AD8076/AC8074</f>
        <v>1.7864000000000002</v>
      </c>
      <c r="AC8076" s="93">
        <f>AC8074/AA8076</f>
        <v>52.272088925000006</v>
      </c>
      <c r="AD8076" s="94">
        <f t="shared" si="5628"/>
        <v>91.998876508000009</v>
      </c>
      <c r="AE8076" s="190"/>
      <c r="AF8076" s="191"/>
      <c r="AG8076" s="191"/>
      <c r="AH8076" s="191"/>
      <c r="AI8076" s="186"/>
      <c r="AK8076" s="171"/>
    </row>
    <row r="8077" spans="1:41" s="102" customFormat="1" ht="19.899999999999999" customHeight="1" x14ac:dyDescent="0.25">
      <c r="A8077" s="45"/>
      <c r="B8077" s="59"/>
      <c r="C8077" s="137"/>
      <c r="D8077" s="59"/>
      <c r="E8077" s="116"/>
      <c r="F8077" s="120"/>
      <c r="G8077" s="120"/>
      <c r="H8077" s="120"/>
      <c r="I8077" s="60"/>
      <c r="J8077" s="116"/>
      <c r="K8077" s="213"/>
      <c r="L8077" s="120"/>
      <c r="M8077" s="120"/>
      <c r="N8077" s="167"/>
      <c r="O8077" s="120"/>
      <c r="P8077" s="120"/>
      <c r="Q8077" s="120"/>
      <c r="R8077" s="120"/>
      <c r="S8077" s="120"/>
      <c r="T8077" s="221"/>
      <c r="U8077" s="89"/>
      <c r="V8077" s="61"/>
      <c r="W8077" s="92" t="s">
        <v>161</v>
      </c>
      <c r="X8077" s="93" t="s">
        <v>29</v>
      </c>
      <c r="Y8077" s="93" t="s">
        <v>93</v>
      </c>
      <c r="Z8077" s="134">
        <f>VLOOKUP(W8077,Sheet2!$B:$D,3,FALSE)</f>
        <v>48</v>
      </c>
      <c r="AA8077" s="93">
        <f>(16*0.85*1.5)/(2.9*2.5)</f>
        <v>2.8137931034482757</v>
      </c>
      <c r="AB8077" s="93">
        <f>AD8077/AC8074</f>
        <v>17.058823529411764</v>
      </c>
      <c r="AC8077" s="93">
        <f>AC8074/AA8077</f>
        <v>18.302552144607844</v>
      </c>
      <c r="AD8077" s="94">
        <f>AC8077*Z8077</f>
        <v>878.52250294117653</v>
      </c>
      <c r="AE8077" s="190"/>
      <c r="AF8077" s="191"/>
      <c r="AG8077" s="191"/>
      <c r="AH8077" s="191"/>
      <c r="AI8077" s="186"/>
      <c r="AK8077" s="171"/>
    </row>
    <row r="8078" spans="1:41" s="102" customFormat="1" ht="19.899999999999999" customHeight="1" x14ac:dyDescent="0.25">
      <c r="A8078" s="45"/>
      <c r="B8078" s="59"/>
      <c r="C8078" s="137"/>
      <c r="D8078" s="59"/>
      <c r="E8078" s="116"/>
      <c r="F8078" s="120"/>
      <c r="G8078" s="120"/>
      <c r="H8078" s="120"/>
      <c r="I8078" s="60"/>
      <c r="J8078" s="116"/>
      <c r="K8078" s="213"/>
      <c r="L8078" s="120"/>
      <c r="M8078" s="120"/>
      <c r="N8078" s="167"/>
      <c r="O8078" s="120"/>
      <c r="P8078" s="120"/>
      <c r="Q8078" s="120"/>
      <c r="R8078" s="120"/>
      <c r="S8078" s="120"/>
      <c r="T8078" s="221"/>
      <c r="U8078" s="89"/>
      <c r="V8078" s="61"/>
      <c r="W8078" s="92" t="s">
        <v>65</v>
      </c>
      <c r="X8078" s="93" t="s">
        <v>30</v>
      </c>
      <c r="Y8078" s="93" t="s">
        <v>1011</v>
      </c>
      <c r="Z8078" s="134">
        <f>VLOOKUP(W8078,Sheet2!$B:$D,3,FALSE)</f>
        <v>1.76</v>
      </c>
      <c r="AA8078" s="93">
        <f>AA8077/10</f>
        <v>0.28137931034482755</v>
      </c>
      <c r="AB8078" s="93">
        <f>AD8078/AC8074</f>
        <v>6.2549019607843146</v>
      </c>
      <c r="AC8078" s="93">
        <f>AC8074/AA8078</f>
        <v>183.02552144607844</v>
      </c>
      <c r="AD8078" s="94">
        <f>AC8078*Z8078</f>
        <v>322.12491774509806</v>
      </c>
      <c r="AE8078" s="190"/>
      <c r="AF8078" s="191"/>
      <c r="AG8078" s="191"/>
      <c r="AH8078" s="191"/>
      <c r="AI8078" s="186"/>
      <c r="AK8078" s="171"/>
    </row>
    <row r="8079" spans="1:41" s="102" customFormat="1" ht="19.899999999999999" customHeight="1" x14ac:dyDescent="0.25">
      <c r="A8079" s="45"/>
      <c r="B8079" s="59"/>
      <c r="C8079" s="137"/>
      <c r="D8079" s="59"/>
      <c r="E8079" s="116"/>
      <c r="F8079" s="120"/>
      <c r="G8079" s="120"/>
      <c r="H8079" s="120"/>
      <c r="I8079" s="60"/>
      <c r="J8079" s="116"/>
      <c r="K8079" s="213"/>
      <c r="L8079" s="120"/>
      <c r="M8079" s="120"/>
      <c r="N8079" s="167"/>
      <c r="O8079" s="120"/>
      <c r="P8079" s="120"/>
      <c r="Q8079" s="120"/>
      <c r="R8079" s="120"/>
      <c r="S8079" s="120"/>
      <c r="T8079" s="221"/>
      <c r="U8079" s="89"/>
      <c r="V8079" s="61"/>
      <c r="W8079" s="92" t="s">
        <v>1030</v>
      </c>
      <c r="X8079" s="93" t="s">
        <v>29</v>
      </c>
      <c r="Y8079" s="93" t="s">
        <v>93</v>
      </c>
      <c r="Z8079" s="134">
        <f>VLOOKUP(W8079,Sheet2!$B:$D,3,FALSE)</f>
        <v>23</v>
      </c>
      <c r="AA8079" s="93">
        <v>50</v>
      </c>
      <c r="AB8079" s="93">
        <f>AD8079/AC8074</f>
        <v>0.45999999999999996</v>
      </c>
      <c r="AC8079" s="93">
        <f>AC8074/AA8079</f>
        <v>1.0299919</v>
      </c>
      <c r="AD8079" s="94">
        <f t="shared" ref="AD8079:AD8083" si="5629">AC8079*Z8079</f>
        <v>23.689813699999998</v>
      </c>
      <c r="AE8079" s="190"/>
      <c r="AF8079" s="191"/>
      <c r="AG8079" s="191"/>
      <c r="AH8079" s="191"/>
      <c r="AI8079" s="186"/>
      <c r="AK8079" s="171"/>
    </row>
    <row r="8080" spans="1:41" s="102" customFormat="1" ht="19.899999999999999" customHeight="1" x14ac:dyDescent="0.25">
      <c r="A8080" s="45"/>
      <c r="B8080" s="59"/>
      <c r="C8080" s="137"/>
      <c r="D8080" s="59"/>
      <c r="E8080" s="116"/>
      <c r="F8080" s="120"/>
      <c r="G8080" s="120"/>
      <c r="H8080" s="120"/>
      <c r="I8080" s="60"/>
      <c r="J8080" s="116"/>
      <c r="K8080" s="213"/>
      <c r="L8080" s="120"/>
      <c r="M8080" s="120"/>
      <c r="N8080" s="167"/>
      <c r="O8080" s="120"/>
      <c r="P8080" s="120"/>
      <c r="Q8080" s="120"/>
      <c r="R8080" s="120"/>
      <c r="S8080" s="120"/>
      <c r="T8080" s="221"/>
      <c r="U8080" s="89"/>
      <c r="V8080" s="61"/>
      <c r="W8080" s="92" t="s">
        <v>65</v>
      </c>
      <c r="X8080" s="93" t="s">
        <v>30</v>
      </c>
      <c r="Y8080" s="93" t="s">
        <v>1011</v>
      </c>
      <c r="Z8080" s="134">
        <f>VLOOKUP(W8080,Sheet2!$B:$D,3,FALSE)</f>
        <v>1.76</v>
      </c>
      <c r="AA8080" s="93">
        <f>AA8079/3</f>
        <v>16.666666666666668</v>
      </c>
      <c r="AB8080" s="93">
        <f>AD8080/AC8074</f>
        <v>0.10559999999999999</v>
      </c>
      <c r="AC8080" s="93">
        <f>AC8074/AA8080</f>
        <v>3.0899756999999997</v>
      </c>
      <c r="AD8080" s="94">
        <f t="shared" si="5629"/>
        <v>5.4383572319999995</v>
      </c>
      <c r="AE8080" s="190"/>
      <c r="AF8080" s="191"/>
      <c r="AG8080" s="191"/>
      <c r="AH8080" s="191"/>
      <c r="AI8080" s="186"/>
      <c r="AK8080" s="171"/>
    </row>
    <row r="8081" spans="1:41" s="102" customFormat="1" ht="19.899999999999999" customHeight="1" x14ac:dyDescent="0.25">
      <c r="A8081" s="45"/>
      <c r="B8081" s="59"/>
      <c r="C8081" s="137"/>
      <c r="D8081" s="59"/>
      <c r="E8081" s="116"/>
      <c r="F8081" s="120"/>
      <c r="G8081" s="120"/>
      <c r="H8081" s="120"/>
      <c r="I8081" s="60"/>
      <c r="J8081" s="116"/>
      <c r="K8081" s="213"/>
      <c r="L8081" s="120"/>
      <c r="M8081" s="120"/>
      <c r="N8081" s="167"/>
      <c r="O8081" s="120"/>
      <c r="P8081" s="120"/>
      <c r="Q8081" s="120"/>
      <c r="R8081" s="120"/>
      <c r="S8081" s="120"/>
      <c r="T8081" s="221"/>
      <c r="U8081" s="89"/>
      <c r="V8081" s="61"/>
      <c r="W8081" s="92" t="s">
        <v>148</v>
      </c>
      <c r="X8081" s="93" t="s">
        <v>29</v>
      </c>
      <c r="Y8081" s="93" t="s">
        <v>93</v>
      </c>
      <c r="Z8081" s="134">
        <f>VLOOKUP(W8081,Sheet2!$B:$D,3,FALSE)</f>
        <v>48</v>
      </c>
      <c r="AA8081" s="93">
        <f>AA8075</f>
        <v>13.793103448275861</v>
      </c>
      <c r="AB8081" s="93">
        <f>AD8081/AC8074</f>
        <v>3.4800000000000004</v>
      </c>
      <c r="AC8081" s="93">
        <f>AC8074/AA8081</f>
        <v>3.7337206375000003</v>
      </c>
      <c r="AD8081" s="94">
        <f t="shared" si="5629"/>
        <v>179.21859060000003</v>
      </c>
      <c r="AE8081" s="190"/>
      <c r="AF8081" s="191"/>
      <c r="AG8081" s="191"/>
      <c r="AH8081" s="191"/>
      <c r="AI8081" s="186"/>
      <c r="AK8081" s="171"/>
    </row>
    <row r="8082" spans="1:41" s="102" customFormat="1" ht="19.899999999999999" customHeight="1" x14ac:dyDescent="0.25">
      <c r="A8082" s="45"/>
      <c r="B8082" s="59"/>
      <c r="C8082" s="137"/>
      <c r="D8082" s="59"/>
      <c r="E8082" s="116"/>
      <c r="F8082" s="120"/>
      <c r="G8082" s="120"/>
      <c r="H8082" s="120"/>
      <c r="I8082" s="60"/>
      <c r="J8082" s="116"/>
      <c r="K8082" s="213"/>
      <c r="L8082" s="120"/>
      <c r="M8082" s="120"/>
      <c r="N8082" s="167"/>
      <c r="O8082" s="120"/>
      <c r="P8082" s="120"/>
      <c r="Q8082" s="120"/>
      <c r="R8082" s="120"/>
      <c r="S8082" s="120"/>
      <c r="T8082" s="221"/>
      <c r="U8082" s="89"/>
      <c r="V8082" s="61"/>
      <c r="W8082" s="92" t="s">
        <v>65</v>
      </c>
      <c r="X8082" s="93" t="s">
        <v>30</v>
      </c>
      <c r="Y8082" s="93" t="s">
        <v>1011</v>
      </c>
      <c r="Z8082" s="134">
        <f>VLOOKUP(W8082,Sheet2!$B:$D,3,FALSE)</f>
        <v>1.76</v>
      </c>
      <c r="AA8082" s="93">
        <f>AA8081/10</f>
        <v>1.3793103448275861</v>
      </c>
      <c r="AB8082" s="93">
        <f>AD8082/AC8074</f>
        <v>1.276</v>
      </c>
      <c r="AC8082" s="93">
        <f>AC8074/AA8082</f>
        <v>37.337206375000001</v>
      </c>
      <c r="AD8082" s="94">
        <f t="shared" si="5629"/>
        <v>65.713483220000001</v>
      </c>
      <c r="AE8082" s="190"/>
      <c r="AF8082" s="191"/>
      <c r="AG8082" s="191"/>
      <c r="AH8082" s="191"/>
      <c r="AI8082" s="186"/>
      <c r="AK8082" s="171"/>
    </row>
    <row r="8083" spans="1:41" s="102" customFormat="1" ht="19.899999999999999" customHeight="1" x14ac:dyDescent="0.25">
      <c r="A8083" s="45"/>
      <c r="B8083" s="59"/>
      <c r="C8083" s="137"/>
      <c r="D8083" s="59"/>
      <c r="E8083" s="116"/>
      <c r="F8083" s="120"/>
      <c r="G8083" s="120"/>
      <c r="H8083" s="120"/>
      <c r="I8083" s="60"/>
      <c r="J8083" s="116"/>
      <c r="K8083" s="213"/>
      <c r="L8083" s="120"/>
      <c r="M8083" s="120"/>
      <c r="N8083" s="167"/>
      <c r="O8083" s="120"/>
      <c r="P8083" s="120"/>
      <c r="Q8083" s="120"/>
      <c r="R8083" s="120"/>
      <c r="S8083" s="120"/>
      <c r="T8083" s="221"/>
      <c r="U8083" s="89"/>
      <c r="V8083" s="61"/>
      <c r="W8083" s="92" t="s">
        <v>1048</v>
      </c>
      <c r="X8083" s="93" t="s">
        <v>30</v>
      </c>
      <c r="Y8083" s="93" t="s">
        <v>68</v>
      </c>
      <c r="Z8083" s="134">
        <f>VLOOKUP(W8083,Sheet2!$B:$D,3,FALSE)</f>
        <v>35</v>
      </c>
      <c r="AA8083" s="93">
        <v>1</v>
      </c>
      <c r="AB8083" s="93">
        <f>AD8083/AC8074</f>
        <v>35</v>
      </c>
      <c r="AC8083" s="93">
        <f>AC8074/AA8083</f>
        <v>51.499594999999999</v>
      </c>
      <c r="AD8083" s="94">
        <f t="shared" si="5629"/>
        <v>1802.485825</v>
      </c>
      <c r="AE8083" s="190"/>
      <c r="AF8083" s="191"/>
      <c r="AG8083" s="191"/>
      <c r="AH8083" s="191"/>
      <c r="AI8083" s="186"/>
      <c r="AK8083" s="171"/>
    </row>
    <row r="8084" spans="1:41" s="103" customFormat="1" ht="19.899999999999999" customHeight="1" x14ac:dyDescent="0.25">
      <c r="A8084" s="51"/>
      <c r="B8084" s="52"/>
      <c r="C8084" s="165"/>
      <c r="D8084" s="52"/>
      <c r="E8084" s="115"/>
      <c r="F8084" s="58"/>
      <c r="G8084" s="58"/>
      <c r="H8084" s="58"/>
      <c r="I8084" s="55"/>
      <c r="J8084" s="113">
        <f>J8073</f>
        <v>51.499594999999999</v>
      </c>
      <c r="K8084" s="212">
        <f>K8073</f>
        <v>51.499594999999999</v>
      </c>
      <c r="L8084" s="58"/>
      <c r="M8084" s="58">
        <f>K8084-L8084</f>
        <v>51.499594999999999</v>
      </c>
      <c r="N8084" s="166"/>
      <c r="O8084" s="58"/>
      <c r="P8084" s="58"/>
      <c r="Q8084" s="58"/>
      <c r="R8084" s="58"/>
      <c r="S8084" s="58"/>
      <c r="T8084" s="220"/>
      <c r="U8084" s="88"/>
      <c r="V8084" s="56"/>
      <c r="W8084" s="57" t="s">
        <v>1120</v>
      </c>
      <c r="X8084" s="53"/>
      <c r="Y8084" s="91" t="s">
        <v>68</v>
      </c>
      <c r="Z8084" s="136">
        <f>AD8084/AC8084</f>
        <v>3712.5500000000011</v>
      </c>
      <c r="AA8084" s="58"/>
      <c r="AB8084" s="53">
        <f>AD8084/AC8084</f>
        <v>3712.5500000000011</v>
      </c>
      <c r="AC8084" s="53">
        <f>M8084+$AE$10</f>
        <v>51.499594999999999</v>
      </c>
      <c r="AD8084" s="54">
        <f>SUM(AD8085:AD8088)</f>
        <v>191194.82141725006</v>
      </c>
      <c r="AE8084" s="184">
        <f>SUMIFS($AD$37:$AD$12971,$V$37:$V$12971,$V8084,$X$37:$X$12971,AE$13)</f>
        <v>0</v>
      </c>
      <c r="AF8084" s="185">
        <f>SUMIFS($AD$37:$AD$12971,$V$37:$V$12971,$V8084,$X$37:$X$12971,AF$13)</f>
        <v>0</v>
      </c>
      <c r="AG8084" s="185">
        <f>SUMIFS($AD$37:$AD$12971,$V$37:$V$12971,$V8084,$X$37:$X$12971,AG$13)</f>
        <v>0</v>
      </c>
      <c r="AH8084" s="187">
        <f>SUMIFS($AD$37:$AD$12971,$V$37:$V$12971,$V8084,$X$37:$X$12971,AH$13)</f>
        <v>0</v>
      </c>
      <c r="AI8084" s="161">
        <f t="shared" ref="AI8084" si="5630">SUM(AE8084:AH8084)</f>
        <v>0</v>
      </c>
      <c r="AK8084" s="172"/>
    </row>
    <row r="8085" spans="1:41" s="102" customFormat="1" ht="19.899999999999999" customHeight="1" x14ac:dyDescent="0.25">
      <c r="A8085" s="45"/>
      <c r="B8085" s="59"/>
      <c r="C8085" s="137"/>
      <c r="D8085" s="59"/>
      <c r="E8085" s="116"/>
      <c r="F8085" s="120"/>
      <c r="G8085" s="120"/>
      <c r="H8085" s="120"/>
      <c r="I8085" s="60"/>
      <c r="J8085" s="116"/>
      <c r="K8085" s="213"/>
      <c r="L8085" s="120"/>
      <c r="M8085" s="120"/>
      <c r="N8085" s="167"/>
      <c r="O8085" s="120"/>
      <c r="P8085" s="120"/>
      <c r="Q8085" s="120"/>
      <c r="R8085" s="120"/>
      <c r="S8085" s="120"/>
      <c r="T8085" s="221"/>
      <c r="U8085" s="89"/>
      <c r="V8085" s="61"/>
      <c r="W8085" s="92" t="s">
        <v>1105</v>
      </c>
      <c r="X8085" s="93" t="s">
        <v>30</v>
      </c>
      <c r="Y8085" s="93" t="s">
        <v>66</v>
      </c>
      <c r="Z8085" s="134">
        <f>VLOOKUP(W8085,Sheet2!$B:$D,3,FALSE)</f>
        <v>2200</v>
      </c>
      <c r="AA8085" s="93">
        <f>1/((2.1*1.3)-(1.5*0.7))</f>
        <v>0.59523809523809501</v>
      </c>
      <c r="AB8085" s="93">
        <f>AD8085/AC8084</f>
        <v>3696.0000000000014</v>
      </c>
      <c r="AC8085" s="93">
        <f>AC8084/AA8085</f>
        <v>86.519319600000031</v>
      </c>
      <c r="AD8085" s="94">
        <f t="shared" ref="AD8085" si="5631">AC8085*Z8085</f>
        <v>190342.50312000007</v>
      </c>
      <c r="AE8085" s="190"/>
      <c r="AF8085" s="191"/>
      <c r="AG8085" s="191"/>
      <c r="AH8085" s="191"/>
      <c r="AI8085" s="186"/>
      <c r="AK8085" s="171"/>
    </row>
    <row r="8086" spans="1:41" s="102" customFormat="1" ht="19.899999999999999" customHeight="1" x14ac:dyDescent="0.25">
      <c r="A8086" s="45"/>
      <c r="B8086" s="59"/>
      <c r="C8086" s="137"/>
      <c r="D8086" s="59"/>
      <c r="E8086" s="116"/>
      <c r="F8086" s="120"/>
      <c r="G8086" s="120"/>
      <c r="H8086" s="120"/>
      <c r="I8086" s="60"/>
      <c r="J8086" s="116"/>
      <c r="K8086" s="213"/>
      <c r="L8086" s="120"/>
      <c r="M8086" s="120"/>
      <c r="N8086" s="167"/>
      <c r="O8086" s="120"/>
      <c r="P8086" s="120"/>
      <c r="Q8086" s="120"/>
      <c r="R8086" s="120"/>
      <c r="S8086" s="120"/>
      <c r="T8086" s="221"/>
      <c r="U8086" s="89"/>
      <c r="V8086" s="61"/>
      <c r="W8086" s="92" t="s">
        <v>174</v>
      </c>
      <c r="X8086" s="93" t="s">
        <v>29</v>
      </c>
      <c r="Y8086" s="93" t="s">
        <v>93</v>
      </c>
      <c r="Z8086" s="134">
        <f>VLOOKUP(W8086,Sheet2!$B:$D,3,FALSE)</f>
        <v>80</v>
      </c>
      <c r="AA8086" s="93">
        <f>4*2</f>
        <v>8</v>
      </c>
      <c r="AB8086" s="93">
        <f>AD8086/AC8084</f>
        <v>10</v>
      </c>
      <c r="AC8086" s="93">
        <f>AC8084/AA8086</f>
        <v>6.4374493749999999</v>
      </c>
      <c r="AD8086" s="94">
        <f>AC8086*Z8086</f>
        <v>514.99594999999999</v>
      </c>
      <c r="AE8086" s="190"/>
      <c r="AF8086" s="191"/>
      <c r="AG8086" s="191"/>
      <c r="AH8086" s="191"/>
      <c r="AI8086" s="186"/>
      <c r="AK8086" s="171"/>
    </row>
    <row r="8087" spans="1:41" s="102" customFormat="1" ht="19.899999999999999" customHeight="1" x14ac:dyDescent="0.25">
      <c r="A8087" s="45"/>
      <c r="B8087" s="59"/>
      <c r="C8087" s="137"/>
      <c r="D8087" s="59"/>
      <c r="E8087" s="116"/>
      <c r="F8087" s="120"/>
      <c r="G8087" s="120"/>
      <c r="H8087" s="120"/>
      <c r="I8087" s="60"/>
      <c r="J8087" s="116"/>
      <c r="K8087" s="213"/>
      <c r="L8087" s="120"/>
      <c r="M8087" s="120"/>
      <c r="N8087" s="167"/>
      <c r="O8087" s="120"/>
      <c r="P8087" s="120"/>
      <c r="Q8087" s="120"/>
      <c r="R8087" s="120"/>
      <c r="S8087" s="120"/>
      <c r="T8087" s="221"/>
      <c r="U8087" s="89"/>
      <c r="V8087" s="61"/>
      <c r="W8087" s="92" t="s">
        <v>65</v>
      </c>
      <c r="X8087" s="93" t="s">
        <v>30</v>
      </c>
      <c r="Y8087" s="93" t="s">
        <v>1011</v>
      </c>
      <c r="Z8087" s="134">
        <f>VLOOKUP(W8087,Sheet2!$B:$D,3,FALSE)</f>
        <v>1.76</v>
      </c>
      <c r="AA8087" s="93">
        <f>AA8086/15</f>
        <v>0.53333333333333333</v>
      </c>
      <c r="AB8087" s="93">
        <f>AD8087/AC8084</f>
        <v>3.3000000000000003</v>
      </c>
      <c r="AC8087" s="93">
        <f>AC8084/AA8087</f>
        <v>96.561740624999999</v>
      </c>
      <c r="AD8087" s="94">
        <f t="shared" ref="AD8087" si="5632">AC8087*Z8087</f>
        <v>169.94866350000001</v>
      </c>
      <c r="AE8087" s="190"/>
      <c r="AF8087" s="191"/>
      <c r="AG8087" s="191"/>
      <c r="AH8087" s="191"/>
      <c r="AI8087" s="186"/>
      <c r="AK8087" s="171"/>
    </row>
    <row r="8088" spans="1:41" s="102" customFormat="1" ht="19.899999999999999" customHeight="1" x14ac:dyDescent="0.25">
      <c r="A8088" s="45"/>
      <c r="B8088" s="59"/>
      <c r="C8088" s="137"/>
      <c r="D8088" s="59"/>
      <c r="E8088" s="116"/>
      <c r="F8088" s="120"/>
      <c r="G8088" s="120"/>
      <c r="H8088" s="120"/>
      <c r="I8088" s="60"/>
      <c r="J8088" s="116"/>
      <c r="K8088" s="213"/>
      <c r="L8088" s="120"/>
      <c r="M8088" s="120"/>
      <c r="N8088" s="167"/>
      <c r="O8088" s="120"/>
      <c r="P8088" s="120"/>
      <c r="Q8088" s="120"/>
      <c r="R8088" s="120"/>
      <c r="S8088" s="120"/>
      <c r="T8088" s="221"/>
      <c r="U8088" s="89"/>
      <c r="V8088" s="61"/>
      <c r="W8088" s="92" t="s">
        <v>112</v>
      </c>
      <c r="X8088" s="93" t="s">
        <v>31</v>
      </c>
      <c r="Y8088" s="93" t="s">
        <v>93</v>
      </c>
      <c r="Z8088" s="134">
        <f>VLOOKUP(W8088,Sheet2!$B:$D,3,FALSE)</f>
        <v>13</v>
      </c>
      <c r="AA8088" s="93">
        <f>AA8086/2</f>
        <v>4</v>
      </c>
      <c r="AB8088" s="93">
        <f>AD8088/AC8084</f>
        <v>3.25</v>
      </c>
      <c r="AC8088" s="93">
        <f>AC8084/AA8088</f>
        <v>12.87489875</v>
      </c>
      <c r="AD8088" s="94">
        <f>AC8088*Z8088</f>
        <v>167.37368375</v>
      </c>
      <c r="AE8088" s="190"/>
      <c r="AF8088" s="191"/>
      <c r="AG8088" s="191"/>
      <c r="AH8088" s="191"/>
      <c r="AI8088" s="186"/>
      <c r="AK8088" s="171"/>
    </row>
    <row r="8089" spans="1:41" ht="20.100000000000001" customHeight="1" x14ac:dyDescent="0.25">
      <c r="A8089" s="277" t="s">
        <v>703</v>
      </c>
      <c r="B8089" s="278"/>
      <c r="C8089" s="64" t="s">
        <v>766</v>
      </c>
      <c r="D8089" s="46" t="s">
        <v>97</v>
      </c>
      <c r="E8089" s="114">
        <v>24.228449999999981</v>
      </c>
      <c r="F8089" s="44">
        <v>4514</v>
      </c>
      <c r="G8089" s="44">
        <f t="shared" si="5545"/>
        <v>109367.22329999991</v>
      </c>
      <c r="H8089" s="44">
        <f t="shared" si="5546"/>
        <v>3813.8149505882361</v>
      </c>
      <c r="I8089" s="43">
        <f t="shared" si="5547"/>
        <v>92402.82483957948</v>
      </c>
      <c r="J8089" s="112">
        <f t="shared" si="5548"/>
        <v>24.228449999999981</v>
      </c>
      <c r="K8089" s="211">
        <f t="shared" si="5549"/>
        <v>24.228449999999981</v>
      </c>
      <c r="L8089" s="44"/>
      <c r="M8089" s="44">
        <f t="shared" si="5550"/>
        <v>24.228449999999981</v>
      </c>
      <c r="N8089" s="173">
        <f t="shared" si="5551"/>
        <v>1</v>
      </c>
      <c r="O8089" s="44">
        <f t="shared" si="5552"/>
        <v>4514</v>
      </c>
      <c r="P8089" s="44">
        <f t="shared" si="5553"/>
        <v>109367.22329999991</v>
      </c>
      <c r="Q8089" s="44">
        <f t="shared" si="5554"/>
        <v>3813.8149505882361</v>
      </c>
      <c r="R8089" s="44">
        <f t="shared" si="5555"/>
        <v>92402.82483957948</v>
      </c>
      <c r="S8089" s="123"/>
      <c r="T8089" s="219">
        <f t="shared" si="5556"/>
        <v>92402.82483957948</v>
      </c>
      <c r="U8089" s="87"/>
      <c r="V8089" s="47"/>
      <c r="W8089" s="48"/>
      <c r="X8089" s="48"/>
      <c r="Y8089" s="48"/>
      <c r="Z8089" s="135"/>
      <c r="AA8089" s="49"/>
      <c r="AB8089" s="50">
        <f t="shared" si="5557"/>
        <v>3813.8149505882361</v>
      </c>
      <c r="AC8089" s="42">
        <f t="shared" si="5558"/>
        <v>24.228449999999981</v>
      </c>
      <c r="AD8089" s="90">
        <f>AD8090+AD8100</f>
        <v>92402.82483957948</v>
      </c>
      <c r="AE8089" s="188">
        <f t="shared" ref="AE8089:AH8089" si="5633">AE8090+AE8100</f>
        <v>0</v>
      </c>
      <c r="AF8089" s="189">
        <f t="shared" si="5633"/>
        <v>0</v>
      </c>
      <c r="AG8089" s="189">
        <f t="shared" si="5633"/>
        <v>0</v>
      </c>
      <c r="AH8089" s="189">
        <f t="shared" si="5633"/>
        <v>0</v>
      </c>
      <c r="AI8089" s="161">
        <f t="shared" ref="AI8089" si="5634">SUM(AE8089:AH8089)</f>
        <v>0</v>
      </c>
      <c r="AK8089" s="169">
        <v>5</v>
      </c>
      <c r="AO8089" s="19" t="s">
        <v>63</v>
      </c>
    </row>
    <row r="8090" spans="1:41" s="103" customFormat="1" ht="19.899999999999999" customHeight="1" x14ac:dyDescent="0.25">
      <c r="A8090" s="51"/>
      <c r="B8090" s="52"/>
      <c r="C8090" s="165"/>
      <c r="D8090" s="52"/>
      <c r="E8090" s="115"/>
      <c r="F8090" s="58"/>
      <c r="G8090" s="58"/>
      <c r="H8090" s="58"/>
      <c r="I8090" s="55"/>
      <c r="J8090" s="113">
        <f>J8089</f>
        <v>24.228449999999981</v>
      </c>
      <c r="K8090" s="212">
        <f>K8089</f>
        <v>24.228449999999981</v>
      </c>
      <c r="L8090" s="58"/>
      <c r="M8090" s="58">
        <f>K8090-L8090</f>
        <v>24.228449999999981</v>
      </c>
      <c r="N8090" s="166"/>
      <c r="O8090" s="58"/>
      <c r="P8090" s="58"/>
      <c r="Q8090" s="58"/>
      <c r="R8090" s="58"/>
      <c r="S8090" s="58"/>
      <c r="T8090" s="220"/>
      <c r="U8090" s="88"/>
      <c r="V8090" s="56"/>
      <c r="W8090" s="57" t="s">
        <v>1119</v>
      </c>
      <c r="X8090" s="53"/>
      <c r="Y8090" s="91" t="s">
        <v>68</v>
      </c>
      <c r="Z8090" s="136">
        <f>AD8090/AC8090</f>
        <v>101.26495058823529</v>
      </c>
      <c r="AA8090" s="58"/>
      <c r="AB8090" s="53">
        <f>AD8090/AC8090</f>
        <v>101.26495058823529</v>
      </c>
      <c r="AC8090" s="53">
        <f>M8090+$AE$10</f>
        <v>24.228449999999981</v>
      </c>
      <c r="AD8090" s="54">
        <f>SUM(AD8091:AD8099)</f>
        <v>2453.4927920795276</v>
      </c>
      <c r="AE8090" s="184">
        <f>SUMIFS($AD$37:$AD$12971,$V$37:$V$12971,$V8090,$X$37:$X$12971,AE$13)</f>
        <v>0</v>
      </c>
      <c r="AF8090" s="185">
        <f>SUMIFS($AD$37:$AD$12971,$V$37:$V$12971,$V8090,$X$37:$X$12971,AF$13)</f>
        <v>0</v>
      </c>
      <c r="AG8090" s="185">
        <f>SUMIFS($AD$37:$AD$12971,$V$37:$V$12971,$V8090,$X$37:$X$12971,AG$13)</f>
        <v>0</v>
      </c>
      <c r="AH8090" s="187">
        <f>SUMIFS($AD$37:$AD$12971,$V$37:$V$12971,$V8090,$X$37:$X$12971,AH$13)</f>
        <v>0</v>
      </c>
      <c r="AI8090" s="161">
        <f t="shared" ref="AI8090" si="5635">SUM(AE8090:AH8090)</f>
        <v>0</v>
      </c>
      <c r="AK8090" s="172"/>
    </row>
    <row r="8091" spans="1:41" s="102" customFormat="1" ht="19.899999999999999" customHeight="1" x14ac:dyDescent="0.25">
      <c r="A8091" s="45"/>
      <c r="B8091" s="59"/>
      <c r="C8091" s="137"/>
      <c r="D8091" s="59"/>
      <c r="E8091" s="116"/>
      <c r="F8091" s="120"/>
      <c r="G8091" s="120"/>
      <c r="H8091" s="120"/>
      <c r="I8091" s="60"/>
      <c r="J8091" s="116"/>
      <c r="K8091" s="213"/>
      <c r="L8091" s="120"/>
      <c r="M8091" s="120"/>
      <c r="N8091" s="167"/>
      <c r="O8091" s="120"/>
      <c r="P8091" s="120"/>
      <c r="Q8091" s="120"/>
      <c r="R8091" s="120"/>
      <c r="S8091" s="120"/>
      <c r="T8091" s="221"/>
      <c r="U8091" s="89"/>
      <c r="V8091" s="61"/>
      <c r="W8091" s="92" t="s">
        <v>129</v>
      </c>
      <c r="X8091" s="93" t="s">
        <v>29</v>
      </c>
      <c r="Y8091" s="93" t="s">
        <v>93</v>
      </c>
      <c r="Z8091" s="134">
        <f>VLOOKUP(W8091,Sheet2!$B:$D,3,FALSE)</f>
        <v>56</v>
      </c>
      <c r="AA8091" s="93">
        <f>100/(2.9*3)</f>
        <v>11.494252873563219</v>
      </c>
      <c r="AB8091" s="93">
        <f t="shared" ref="AB8091" si="5636">AD8091/AC8090</f>
        <v>4.8719999999999999</v>
      </c>
      <c r="AC8091" s="93">
        <f>AC8090/AA8091</f>
        <v>2.1078751499999981</v>
      </c>
      <c r="AD8091" s="94">
        <f t="shared" ref="AD8091:AD8092" si="5637">AC8091*Z8091</f>
        <v>118.0410083999999</v>
      </c>
      <c r="AE8091" s="190"/>
      <c r="AF8091" s="191"/>
      <c r="AG8091" s="191"/>
      <c r="AH8091" s="191"/>
      <c r="AI8091" s="186"/>
      <c r="AK8091" s="171"/>
    </row>
    <row r="8092" spans="1:41" s="102" customFormat="1" ht="19.899999999999999" customHeight="1" x14ac:dyDescent="0.25">
      <c r="A8092" s="45"/>
      <c r="B8092" s="59"/>
      <c r="C8092" s="137"/>
      <c r="D8092" s="59"/>
      <c r="E8092" s="116"/>
      <c r="F8092" s="120"/>
      <c r="G8092" s="120"/>
      <c r="H8092" s="120"/>
      <c r="I8092" s="60"/>
      <c r="J8092" s="116"/>
      <c r="K8092" s="213"/>
      <c r="L8092" s="120"/>
      <c r="M8092" s="120"/>
      <c r="N8092" s="167"/>
      <c r="O8092" s="120"/>
      <c r="P8092" s="120"/>
      <c r="Q8092" s="120"/>
      <c r="R8092" s="120"/>
      <c r="S8092" s="120"/>
      <c r="T8092" s="221"/>
      <c r="U8092" s="89"/>
      <c r="V8092" s="61"/>
      <c r="W8092" s="92" t="s">
        <v>65</v>
      </c>
      <c r="X8092" s="93" t="s">
        <v>30</v>
      </c>
      <c r="Y8092" s="93" t="s">
        <v>1011</v>
      </c>
      <c r="Z8092" s="134">
        <f>VLOOKUP(W8092,Sheet2!$B:$D,3,FALSE)</f>
        <v>1.76</v>
      </c>
      <c r="AA8092" s="93">
        <f>AA8091/14</f>
        <v>0.82101806239737285</v>
      </c>
      <c r="AB8092" s="93">
        <f>AD8092/AC8090</f>
        <v>2.1436799999999998</v>
      </c>
      <c r="AC8092" s="93">
        <f>AC8090/AA8092</f>
        <v>29.510252099999974</v>
      </c>
      <c r="AD8092" s="94">
        <f t="shared" si="5637"/>
        <v>51.938043695999951</v>
      </c>
      <c r="AE8092" s="190"/>
      <c r="AF8092" s="191"/>
      <c r="AG8092" s="191"/>
      <c r="AH8092" s="191"/>
      <c r="AI8092" s="186"/>
      <c r="AK8092" s="171"/>
    </row>
    <row r="8093" spans="1:41" s="102" customFormat="1" ht="19.899999999999999" customHeight="1" x14ac:dyDescent="0.25">
      <c r="A8093" s="45"/>
      <c r="B8093" s="59"/>
      <c r="C8093" s="137"/>
      <c r="D8093" s="59"/>
      <c r="E8093" s="116"/>
      <c r="F8093" s="120"/>
      <c r="G8093" s="120"/>
      <c r="H8093" s="120"/>
      <c r="I8093" s="60"/>
      <c r="J8093" s="116"/>
      <c r="K8093" s="213"/>
      <c r="L8093" s="120"/>
      <c r="M8093" s="120"/>
      <c r="N8093" s="167"/>
      <c r="O8093" s="120"/>
      <c r="P8093" s="120"/>
      <c r="Q8093" s="120"/>
      <c r="R8093" s="120"/>
      <c r="S8093" s="120"/>
      <c r="T8093" s="221"/>
      <c r="U8093" s="89"/>
      <c r="V8093" s="61"/>
      <c r="W8093" s="92" t="s">
        <v>161</v>
      </c>
      <c r="X8093" s="93" t="s">
        <v>29</v>
      </c>
      <c r="Y8093" s="93" t="s">
        <v>93</v>
      </c>
      <c r="Z8093" s="134">
        <f>VLOOKUP(W8093,Sheet2!$B:$D,3,FALSE)</f>
        <v>48</v>
      </c>
      <c r="AA8093" s="93">
        <f>(16*0.85*1.5)/(2.9*3)</f>
        <v>2.3448275862068968</v>
      </c>
      <c r="AB8093" s="93">
        <f>AD8093/AC8090</f>
        <v>20.470588235294112</v>
      </c>
      <c r="AC8093" s="93">
        <f>AC8090/AA8093</f>
        <v>10.332721323529402</v>
      </c>
      <c r="AD8093" s="94">
        <f>AC8093*Z8093</f>
        <v>495.97062352941128</v>
      </c>
      <c r="AE8093" s="190"/>
      <c r="AF8093" s="191"/>
      <c r="AG8093" s="191"/>
      <c r="AH8093" s="191"/>
      <c r="AI8093" s="186"/>
      <c r="AK8093" s="171"/>
    </row>
    <row r="8094" spans="1:41" s="102" customFormat="1" ht="19.899999999999999" customHeight="1" x14ac:dyDescent="0.25">
      <c r="A8094" s="45"/>
      <c r="B8094" s="59"/>
      <c r="C8094" s="137"/>
      <c r="D8094" s="59"/>
      <c r="E8094" s="116"/>
      <c r="F8094" s="120"/>
      <c r="G8094" s="120"/>
      <c r="H8094" s="120"/>
      <c r="I8094" s="60"/>
      <c r="J8094" s="116"/>
      <c r="K8094" s="213"/>
      <c r="L8094" s="120"/>
      <c r="M8094" s="120"/>
      <c r="N8094" s="167"/>
      <c r="O8094" s="120"/>
      <c r="P8094" s="120"/>
      <c r="Q8094" s="120"/>
      <c r="R8094" s="120"/>
      <c r="S8094" s="120"/>
      <c r="T8094" s="221"/>
      <c r="U8094" s="89"/>
      <c r="V8094" s="61"/>
      <c r="W8094" s="92" t="s">
        <v>65</v>
      </c>
      <c r="X8094" s="93" t="s">
        <v>30</v>
      </c>
      <c r="Y8094" s="93" t="s">
        <v>1011</v>
      </c>
      <c r="Z8094" s="134">
        <f>VLOOKUP(W8094,Sheet2!$B:$D,3,FALSE)</f>
        <v>1.76</v>
      </c>
      <c r="AA8094" s="93">
        <f>AA8093/10</f>
        <v>0.23448275862068968</v>
      </c>
      <c r="AB8094" s="93">
        <f>AD8094/AC8090</f>
        <v>7.5058823529411756</v>
      </c>
      <c r="AC8094" s="93">
        <f>AC8090/AA8094</f>
        <v>103.32721323529402</v>
      </c>
      <c r="AD8094" s="94">
        <f>AC8094*Z8094</f>
        <v>181.85589529411749</v>
      </c>
      <c r="AE8094" s="190"/>
      <c r="AF8094" s="191"/>
      <c r="AG8094" s="191"/>
      <c r="AH8094" s="191"/>
      <c r="AI8094" s="186"/>
      <c r="AK8094" s="171"/>
    </row>
    <row r="8095" spans="1:41" s="102" customFormat="1" ht="19.899999999999999" customHeight="1" x14ac:dyDescent="0.25">
      <c r="A8095" s="45"/>
      <c r="B8095" s="59"/>
      <c r="C8095" s="137"/>
      <c r="D8095" s="59"/>
      <c r="E8095" s="116"/>
      <c r="F8095" s="120"/>
      <c r="G8095" s="120"/>
      <c r="H8095" s="120"/>
      <c r="I8095" s="60"/>
      <c r="J8095" s="116"/>
      <c r="K8095" s="213"/>
      <c r="L8095" s="120"/>
      <c r="M8095" s="120"/>
      <c r="N8095" s="167"/>
      <c r="O8095" s="120"/>
      <c r="P8095" s="120"/>
      <c r="Q8095" s="120"/>
      <c r="R8095" s="120"/>
      <c r="S8095" s="120"/>
      <c r="T8095" s="221"/>
      <c r="U8095" s="89"/>
      <c r="V8095" s="61"/>
      <c r="W8095" s="92" t="s">
        <v>1030</v>
      </c>
      <c r="X8095" s="93" t="s">
        <v>29</v>
      </c>
      <c r="Y8095" s="93" t="s">
        <v>93</v>
      </c>
      <c r="Z8095" s="134">
        <f>VLOOKUP(W8095,Sheet2!$B:$D,3,FALSE)</f>
        <v>23</v>
      </c>
      <c r="AA8095" s="93">
        <v>50</v>
      </c>
      <c r="AB8095" s="93">
        <f>AD8095/AC8090</f>
        <v>0.46</v>
      </c>
      <c r="AC8095" s="93">
        <f>AC8090/AA8095</f>
        <v>0.48456899999999964</v>
      </c>
      <c r="AD8095" s="94">
        <f t="shared" ref="AD8095:AD8099" si="5638">AC8095*Z8095</f>
        <v>11.145086999999991</v>
      </c>
      <c r="AE8095" s="190"/>
      <c r="AF8095" s="191"/>
      <c r="AG8095" s="191"/>
      <c r="AH8095" s="191"/>
      <c r="AI8095" s="186"/>
      <c r="AK8095" s="171"/>
    </row>
    <row r="8096" spans="1:41" s="102" customFormat="1" ht="19.899999999999999" customHeight="1" x14ac:dyDescent="0.25">
      <c r="A8096" s="45"/>
      <c r="B8096" s="59"/>
      <c r="C8096" s="137"/>
      <c r="D8096" s="59"/>
      <c r="E8096" s="116"/>
      <c r="F8096" s="120"/>
      <c r="G8096" s="120"/>
      <c r="H8096" s="120"/>
      <c r="I8096" s="60"/>
      <c r="J8096" s="116"/>
      <c r="K8096" s="213"/>
      <c r="L8096" s="120"/>
      <c r="M8096" s="120"/>
      <c r="N8096" s="167"/>
      <c r="O8096" s="120"/>
      <c r="P8096" s="120"/>
      <c r="Q8096" s="120"/>
      <c r="R8096" s="120"/>
      <c r="S8096" s="120"/>
      <c r="T8096" s="221"/>
      <c r="U8096" s="89"/>
      <c r="V8096" s="61"/>
      <c r="W8096" s="92" t="s">
        <v>65</v>
      </c>
      <c r="X8096" s="93" t="s">
        <v>30</v>
      </c>
      <c r="Y8096" s="93" t="s">
        <v>1011</v>
      </c>
      <c r="Z8096" s="134">
        <f>VLOOKUP(W8096,Sheet2!$B:$D,3,FALSE)</f>
        <v>1.76</v>
      </c>
      <c r="AA8096" s="93">
        <f>AA8095/3</f>
        <v>16.666666666666668</v>
      </c>
      <c r="AB8096" s="93">
        <f>AD8096/AC8090</f>
        <v>0.1056</v>
      </c>
      <c r="AC8096" s="93">
        <f>AC8090/AA8096</f>
        <v>1.4537069999999988</v>
      </c>
      <c r="AD8096" s="94">
        <f t="shared" si="5638"/>
        <v>2.5585243199999979</v>
      </c>
      <c r="AE8096" s="190"/>
      <c r="AF8096" s="191"/>
      <c r="AG8096" s="191"/>
      <c r="AH8096" s="191"/>
      <c r="AI8096" s="186"/>
      <c r="AK8096" s="171"/>
    </row>
    <row r="8097" spans="1:41" s="102" customFormat="1" ht="19.899999999999999" customHeight="1" x14ac:dyDescent="0.25">
      <c r="A8097" s="45"/>
      <c r="B8097" s="59"/>
      <c r="C8097" s="137"/>
      <c r="D8097" s="59"/>
      <c r="E8097" s="116"/>
      <c r="F8097" s="120"/>
      <c r="G8097" s="120"/>
      <c r="H8097" s="120"/>
      <c r="I8097" s="60"/>
      <c r="J8097" s="116"/>
      <c r="K8097" s="213"/>
      <c r="L8097" s="120"/>
      <c r="M8097" s="120"/>
      <c r="N8097" s="167"/>
      <c r="O8097" s="120"/>
      <c r="P8097" s="120"/>
      <c r="Q8097" s="120"/>
      <c r="R8097" s="120"/>
      <c r="S8097" s="120"/>
      <c r="T8097" s="221"/>
      <c r="U8097" s="89"/>
      <c r="V8097" s="61"/>
      <c r="W8097" s="92" t="s">
        <v>148</v>
      </c>
      <c r="X8097" s="93" t="s">
        <v>29</v>
      </c>
      <c r="Y8097" s="93" t="s">
        <v>93</v>
      </c>
      <c r="Z8097" s="134">
        <f>VLOOKUP(W8097,Sheet2!$B:$D,3,FALSE)</f>
        <v>48</v>
      </c>
      <c r="AA8097" s="93">
        <f>AA8091</f>
        <v>11.494252873563219</v>
      </c>
      <c r="AB8097" s="93">
        <f>AD8097/AC8090</f>
        <v>4.1759999999999993</v>
      </c>
      <c r="AC8097" s="93">
        <f>AC8090/AA8097</f>
        <v>2.1078751499999981</v>
      </c>
      <c r="AD8097" s="94">
        <f t="shared" si="5638"/>
        <v>101.17800719999991</v>
      </c>
      <c r="AE8097" s="190"/>
      <c r="AF8097" s="191"/>
      <c r="AG8097" s="191"/>
      <c r="AH8097" s="191"/>
      <c r="AI8097" s="186"/>
      <c r="AK8097" s="171"/>
    </row>
    <row r="8098" spans="1:41" s="102" customFormat="1" ht="19.899999999999999" customHeight="1" x14ac:dyDescent="0.25">
      <c r="A8098" s="45"/>
      <c r="B8098" s="59"/>
      <c r="C8098" s="137"/>
      <c r="D8098" s="59"/>
      <c r="E8098" s="116"/>
      <c r="F8098" s="120"/>
      <c r="G8098" s="120"/>
      <c r="H8098" s="120"/>
      <c r="I8098" s="60"/>
      <c r="J8098" s="116"/>
      <c r="K8098" s="213"/>
      <c r="L8098" s="120"/>
      <c r="M8098" s="120"/>
      <c r="N8098" s="167"/>
      <c r="O8098" s="120"/>
      <c r="P8098" s="120"/>
      <c r="Q8098" s="120"/>
      <c r="R8098" s="120"/>
      <c r="S8098" s="120"/>
      <c r="T8098" s="221"/>
      <c r="U8098" s="89"/>
      <c r="V8098" s="61"/>
      <c r="W8098" s="92" t="s">
        <v>65</v>
      </c>
      <c r="X8098" s="93" t="s">
        <v>30</v>
      </c>
      <c r="Y8098" s="93" t="s">
        <v>1011</v>
      </c>
      <c r="Z8098" s="134">
        <f>VLOOKUP(W8098,Sheet2!$B:$D,3,FALSE)</f>
        <v>1.76</v>
      </c>
      <c r="AA8098" s="93">
        <f>AA8097/10</f>
        <v>1.149425287356322</v>
      </c>
      <c r="AB8098" s="93">
        <f>AD8098/AC8090</f>
        <v>1.5311999999999999</v>
      </c>
      <c r="AC8098" s="93">
        <f>AC8090/AA8098</f>
        <v>21.078751499999981</v>
      </c>
      <c r="AD8098" s="94">
        <f t="shared" si="5638"/>
        <v>37.098602639999967</v>
      </c>
      <c r="AE8098" s="190"/>
      <c r="AF8098" s="191"/>
      <c r="AG8098" s="191"/>
      <c r="AH8098" s="191"/>
      <c r="AI8098" s="186"/>
      <c r="AK8098" s="171"/>
    </row>
    <row r="8099" spans="1:41" s="102" customFormat="1" ht="19.899999999999999" customHeight="1" x14ac:dyDescent="0.25">
      <c r="A8099" s="45"/>
      <c r="B8099" s="59"/>
      <c r="C8099" s="137"/>
      <c r="D8099" s="59"/>
      <c r="E8099" s="116"/>
      <c r="F8099" s="120"/>
      <c r="G8099" s="120"/>
      <c r="H8099" s="120"/>
      <c r="I8099" s="60"/>
      <c r="J8099" s="116"/>
      <c r="K8099" s="213"/>
      <c r="L8099" s="120"/>
      <c r="M8099" s="120"/>
      <c r="N8099" s="167"/>
      <c r="O8099" s="120"/>
      <c r="P8099" s="120"/>
      <c r="Q8099" s="120"/>
      <c r="R8099" s="120"/>
      <c r="S8099" s="120"/>
      <c r="T8099" s="221"/>
      <c r="U8099" s="89"/>
      <c r="V8099" s="61"/>
      <c r="W8099" s="92" t="s">
        <v>1049</v>
      </c>
      <c r="X8099" s="93" t="s">
        <v>30</v>
      </c>
      <c r="Y8099" s="93" t="s">
        <v>68</v>
      </c>
      <c r="Z8099" s="134">
        <f>VLOOKUP(W8099,Sheet2!$B:$D,3,FALSE)</f>
        <v>60</v>
      </c>
      <c r="AA8099" s="93">
        <v>1</v>
      </c>
      <c r="AB8099" s="93">
        <f>AD8099/AC8090</f>
        <v>60.000000000000007</v>
      </c>
      <c r="AC8099" s="93">
        <f>AC8090/AA8099</f>
        <v>24.228449999999981</v>
      </c>
      <c r="AD8099" s="94">
        <f t="shared" si="5638"/>
        <v>1453.706999999999</v>
      </c>
      <c r="AE8099" s="190"/>
      <c r="AF8099" s="191"/>
      <c r="AG8099" s="191"/>
      <c r="AH8099" s="191"/>
      <c r="AI8099" s="186"/>
      <c r="AK8099" s="171"/>
    </row>
    <row r="8100" spans="1:41" s="103" customFormat="1" ht="19.899999999999999" customHeight="1" x14ac:dyDescent="0.25">
      <c r="A8100" s="51"/>
      <c r="B8100" s="52"/>
      <c r="C8100" s="165"/>
      <c r="D8100" s="52"/>
      <c r="E8100" s="115"/>
      <c r="F8100" s="58"/>
      <c r="G8100" s="58"/>
      <c r="H8100" s="58"/>
      <c r="I8100" s="55"/>
      <c r="J8100" s="113">
        <f>J8089</f>
        <v>24.228449999999981</v>
      </c>
      <c r="K8100" s="212">
        <f>K8089</f>
        <v>24.228449999999981</v>
      </c>
      <c r="L8100" s="58"/>
      <c r="M8100" s="58">
        <f>K8100-L8100</f>
        <v>24.228449999999981</v>
      </c>
      <c r="N8100" s="166"/>
      <c r="O8100" s="58"/>
      <c r="P8100" s="58"/>
      <c r="Q8100" s="58"/>
      <c r="R8100" s="58"/>
      <c r="S8100" s="58"/>
      <c r="T8100" s="220"/>
      <c r="U8100" s="88"/>
      <c r="V8100" s="56"/>
      <c r="W8100" s="57" t="s">
        <v>1120</v>
      </c>
      <c r="X8100" s="53"/>
      <c r="Y8100" s="91" t="s">
        <v>68</v>
      </c>
      <c r="Z8100" s="136">
        <f>AD8100/AC8100</f>
        <v>3712.5500000000006</v>
      </c>
      <c r="AA8100" s="58"/>
      <c r="AB8100" s="53">
        <f>AD8100/AC8100</f>
        <v>3712.5500000000006</v>
      </c>
      <c r="AC8100" s="53">
        <f>M8100+$AE$10</f>
        <v>24.228449999999981</v>
      </c>
      <c r="AD8100" s="54">
        <f>SUM(AD8101:AD8104)</f>
        <v>89949.332047499949</v>
      </c>
      <c r="AE8100" s="184">
        <f>SUMIFS($AD$37:$AD$12971,$V$37:$V$12971,$V8100,$X$37:$X$12971,AE$13)</f>
        <v>0</v>
      </c>
      <c r="AF8100" s="185">
        <f>SUMIFS($AD$37:$AD$12971,$V$37:$V$12971,$V8100,$X$37:$X$12971,AF$13)</f>
        <v>0</v>
      </c>
      <c r="AG8100" s="185">
        <f>SUMIFS($AD$37:$AD$12971,$V$37:$V$12971,$V8100,$X$37:$X$12971,AG$13)</f>
        <v>0</v>
      </c>
      <c r="AH8100" s="187">
        <f>SUMIFS($AD$37:$AD$12971,$V$37:$V$12971,$V8100,$X$37:$X$12971,AH$13)</f>
        <v>0</v>
      </c>
      <c r="AI8100" s="161">
        <f t="shared" ref="AI8100" si="5639">SUM(AE8100:AH8100)</f>
        <v>0</v>
      </c>
      <c r="AK8100" s="172"/>
    </row>
    <row r="8101" spans="1:41" s="102" customFormat="1" ht="19.899999999999999" customHeight="1" x14ac:dyDescent="0.25">
      <c r="A8101" s="45"/>
      <c r="B8101" s="59"/>
      <c r="C8101" s="137"/>
      <c r="D8101" s="59"/>
      <c r="E8101" s="116"/>
      <c r="F8101" s="120"/>
      <c r="G8101" s="120"/>
      <c r="H8101" s="120"/>
      <c r="I8101" s="60"/>
      <c r="J8101" s="116"/>
      <c r="K8101" s="213"/>
      <c r="L8101" s="120"/>
      <c r="M8101" s="120"/>
      <c r="N8101" s="167"/>
      <c r="O8101" s="120"/>
      <c r="P8101" s="120"/>
      <c r="Q8101" s="120"/>
      <c r="R8101" s="120"/>
      <c r="S8101" s="120"/>
      <c r="T8101" s="221"/>
      <c r="U8101" s="89"/>
      <c r="V8101" s="61"/>
      <c r="W8101" s="92" t="s">
        <v>1105</v>
      </c>
      <c r="X8101" s="93" t="s">
        <v>30</v>
      </c>
      <c r="Y8101" s="93" t="s">
        <v>66</v>
      </c>
      <c r="Z8101" s="134">
        <f>VLOOKUP(W8101,Sheet2!$B:$D,3,FALSE)</f>
        <v>2200</v>
      </c>
      <c r="AA8101" s="93">
        <f>1/((2.1*1.3)-(1.5*0.7))</f>
        <v>0.59523809523809501</v>
      </c>
      <c r="AB8101" s="93">
        <f>AD8101/AC8100</f>
        <v>3696.0000000000014</v>
      </c>
      <c r="AC8101" s="93">
        <f>AC8100/AA8101</f>
        <v>40.703795999999983</v>
      </c>
      <c r="AD8101" s="94">
        <f t="shared" ref="AD8101" si="5640">AC8101*Z8101</f>
        <v>89548.351199999961</v>
      </c>
      <c r="AE8101" s="190"/>
      <c r="AF8101" s="191"/>
      <c r="AG8101" s="191"/>
      <c r="AH8101" s="191"/>
      <c r="AI8101" s="186"/>
      <c r="AK8101" s="171"/>
    </row>
    <row r="8102" spans="1:41" s="102" customFormat="1" ht="19.899999999999999" customHeight="1" x14ac:dyDescent="0.25">
      <c r="A8102" s="45"/>
      <c r="B8102" s="59"/>
      <c r="C8102" s="137"/>
      <c r="D8102" s="59"/>
      <c r="E8102" s="116"/>
      <c r="F8102" s="120"/>
      <c r="G8102" s="120"/>
      <c r="H8102" s="120"/>
      <c r="I8102" s="60"/>
      <c r="J8102" s="116"/>
      <c r="K8102" s="213"/>
      <c r="L8102" s="120"/>
      <c r="M8102" s="120"/>
      <c r="N8102" s="167"/>
      <c r="O8102" s="120"/>
      <c r="P8102" s="120"/>
      <c r="Q8102" s="120"/>
      <c r="R8102" s="120"/>
      <c r="S8102" s="120"/>
      <c r="T8102" s="221"/>
      <c r="U8102" s="89"/>
      <c r="V8102" s="61"/>
      <c r="W8102" s="92" t="s">
        <v>174</v>
      </c>
      <c r="X8102" s="93" t="s">
        <v>29</v>
      </c>
      <c r="Y8102" s="93" t="s">
        <v>93</v>
      </c>
      <c r="Z8102" s="134">
        <f>VLOOKUP(W8102,Sheet2!$B:$D,3,FALSE)</f>
        <v>80</v>
      </c>
      <c r="AA8102" s="93">
        <f>4*2</f>
        <v>8</v>
      </c>
      <c r="AB8102" s="93">
        <f>AD8102/AC8100</f>
        <v>10</v>
      </c>
      <c r="AC8102" s="93">
        <f>AC8100/AA8102</f>
        <v>3.0285562499999976</v>
      </c>
      <c r="AD8102" s="94">
        <f>AC8102*Z8102</f>
        <v>242.28449999999981</v>
      </c>
      <c r="AE8102" s="190"/>
      <c r="AF8102" s="191"/>
      <c r="AG8102" s="191"/>
      <c r="AH8102" s="191"/>
      <c r="AI8102" s="186"/>
      <c r="AK8102" s="171"/>
    </row>
    <row r="8103" spans="1:41" s="102" customFormat="1" ht="19.899999999999999" customHeight="1" x14ac:dyDescent="0.25">
      <c r="A8103" s="45"/>
      <c r="B8103" s="59"/>
      <c r="C8103" s="137"/>
      <c r="D8103" s="59"/>
      <c r="E8103" s="116"/>
      <c r="F8103" s="120"/>
      <c r="G8103" s="120"/>
      <c r="H8103" s="120"/>
      <c r="I8103" s="60"/>
      <c r="J8103" s="116"/>
      <c r="K8103" s="213"/>
      <c r="L8103" s="120"/>
      <c r="M8103" s="120"/>
      <c r="N8103" s="167"/>
      <c r="O8103" s="120"/>
      <c r="P8103" s="120"/>
      <c r="Q8103" s="120"/>
      <c r="R8103" s="120"/>
      <c r="S8103" s="120"/>
      <c r="T8103" s="221"/>
      <c r="U8103" s="89"/>
      <c r="V8103" s="61"/>
      <c r="W8103" s="92" t="s">
        <v>65</v>
      </c>
      <c r="X8103" s="93" t="s">
        <v>30</v>
      </c>
      <c r="Y8103" s="93" t="s">
        <v>1011</v>
      </c>
      <c r="Z8103" s="134">
        <f>VLOOKUP(W8103,Sheet2!$B:$D,3,FALSE)</f>
        <v>1.76</v>
      </c>
      <c r="AA8103" s="93">
        <f>AA8102/15</f>
        <v>0.53333333333333333</v>
      </c>
      <c r="AB8103" s="93">
        <f>AD8103/AC8100</f>
        <v>3.3000000000000003</v>
      </c>
      <c r="AC8103" s="93">
        <f>AC8100/AA8103</f>
        <v>45.428343749999968</v>
      </c>
      <c r="AD8103" s="94">
        <f t="shared" ref="AD8103" si="5641">AC8103*Z8103</f>
        <v>79.953884999999943</v>
      </c>
      <c r="AE8103" s="190"/>
      <c r="AF8103" s="191"/>
      <c r="AG8103" s="191"/>
      <c r="AH8103" s="191"/>
      <c r="AI8103" s="186"/>
      <c r="AK8103" s="171"/>
    </row>
    <row r="8104" spans="1:41" s="102" customFormat="1" ht="19.899999999999999" customHeight="1" x14ac:dyDescent="0.25">
      <c r="A8104" s="45"/>
      <c r="B8104" s="59"/>
      <c r="C8104" s="137"/>
      <c r="D8104" s="59"/>
      <c r="E8104" s="116"/>
      <c r="F8104" s="120"/>
      <c r="G8104" s="120"/>
      <c r="H8104" s="120"/>
      <c r="I8104" s="60"/>
      <c r="J8104" s="116"/>
      <c r="K8104" s="213"/>
      <c r="L8104" s="120"/>
      <c r="M8104" s="120"/>
      <c r="N8104" s="167"/>
      <c r="O8104" s="120"/>
      <c r="P8104" s="120"/>
      <c r="Q8104" s="120"/>
      <c r="R8104" s="120"/>
      <c r="S8104" s="120"/>
      <c r="T8104" s="221"/>
      <c r="U8104" s="89"/>
      <c r="V8104" s="61"/>
      <c r="W8104" s="92" t="s">
        <v>112</v>
      </c>
      <c r="X8104" s="93" t="s">
        <v>31</v>
      </c>
      <c r="Y8104" s="93" t="s">
        <v>93</v>
      </c>
      <c r="Z8104" s="134">
        <f>VLOOKUP(W8104,Sheet2!$B:$D,3,FALSE)</f>
        <v>13</v>
      </c>
      <c r="AA8104" s="93">
        <f>AA8102/2</f>
        <v>4</v>
      </c>
      <c r="AB8104" s="93">
        <f>AD8104/AC8100</f>
        <v>3.2499999999999996</v>
      </c>
      <c r="AC8104" s="93">
        <f>AC8100/AA8104</f>
        <v>6.0571124999999952</v>
      </c>
      <c r="AD8104" s="94">
        <f>AC8104*Z8104</f>
        <v>78.742462499999931</v>
      </c>
      <c r="AE8104" s="190"/>
      <c r="AF8104" s="191"/>
      <c r="AG8104" s="191"/>
      <c r="AH8104" s="191"/>
      <c r="AI8104" s="186"/>
      <c r="AK8104" s="171"/>
    </row>
    <row r="8105" spans="1:41" ht="20.100000000000001" customHeight="1" x14ac:dyDescent="0.25">
      <c r="A8105" s="277" t="s">
        <v>703</v>
      </c>
      <c r="B8105" s="278"/>
      <c r="C8105" s="64" t="s">
        <v>768</v>
      </c>
      <c r="D8105" s="46" t="s">
        <v>97</v>
      </c>
      <c r="E8105" s="114"/>
      <c r="F8105" s="44">
        <v>0</v>
      </c>
      <c r="G8105" s="44">
        <f t="shared" si="5545"/>
        <v>0</v>
      </c>
      <c r="H8105" s="44">
        <f t="shared" si="5546"/>
        <v>0</v>
      </c>
      <c r="I8105" s="43">
        <f t="shared" si="5547"/>
        <v>0</v>
      </c>
      <c r="J8105" s="112">
        <f t="shared" si="5548"/>
        <v>0</v>
      </c>
      <c r="K8105" s="211">
        <f t="shared" si="5549"/>
        <v>0</v>
      </c>
      <c r="L8105" s="44"/>
      <c r="M8105" s="44">
        <f t="shared" si="5550"/>
        <v>0</v>
      </c>
      <c r="N8105" s="173">
        <f t="shared" si="5551"/>
        <v>0</v>
      </c>
      <c r="O8105" s="44">
        <f t="shared" si="5552"/>
        <v>0</v>
      </c>
      <c r="P8105" s="44">
        <f t="shared" si="5553"/>
        <v>0</v>
      </c>
      <c r="Q8105" s="44">
        <f t="shared" si="5554"/>
        <v>0</v>
      </c>
      <c r="R8105" s="44">
        <f t="shared" si="5555"/>
        <v>0</v>
      </c>
      <c r="S8105" s="123"/>
      <c r="T8105" s="219">
        <f t="shared" si="5556"/>
        <v>0</v>
      </c>
      <c r="U8105" s="87"/>
      <c r="V8105" s="47"/>
      <c r="W8105" s="48"/>
      <c r="X8105" s="48"/>
      <c r="Y8105" s="48"/>
      <c r="Z8105" s="135"/>
      <c r="AA8105" s="49"/>
      <c r="AB8105" s="50">
        <f t="shared" si="5557"/>
        <v>0</v>
      </c>
      <c r="AC8105" s="42">
        <f t="shared" si="5558"/>
        <v>9.9999999999999998E-20</v>
      </c>
      <c r="AD8105" s="90"/>
      <c r="AE8105" s="188"/>
      <c r="AF8105" s="189"/>
      <c r="AG8105" s="189"/>
      <c r="AH8105" s="189"/>
      <c r="AI8105" s="161"/>
    </row>
    <row r="8106" spans="1:41" ht="20.100000000000001" customHeight="1" x14ac:dyDescent="0.25">
      <c r="A8106" s="277" t="s">
        <v>703</v>
      </c>
      <c r="B8106" s="278"/>
      <c r="C8106" s="64" t="s">
        <v>769</v>
      </c>
      <c r="D8106" s="46" t="s">
        <v>97</v>
      </c>
      <c r="E8106" s="114"/>
      <c r="F8106" s="44">
        <v>0</v>
      </c>
      <c r="G8106" s="44">
        <f t="shared" si="5545"/>
        <v>0</v>
      </c>
      <c r="H8106" s="44">
        <f t="shared" si="5546"/>
        <v>0</v>
      </c>
      <c r="I8106" s="43">
        <f t="shared" si="5547"/>
        <v>0</v>
      </c>
      <c r="J8106" s="112">
        <f t="shared" si="5548"/>
        <v>0</v>
      </c>
      <c r="K8106" s="211">
        <f t="shared" si="5549"/>
        <v>0</v>
      </c>
      <c r="L8106" s="44"/>
      <c r="M8106" s="44">
        <f t="shared" si="5550"/>
        <v>0</v>
      </c>
      <c r="N8106" s="173">
        <f t="shared" si="5551"/>
        <v>0</v>
      </c>
      <c r="O8106" s="44">
        <f t="shared" si="5552"/>
        <v>0</v>
      </c>
      <c r="P8106" s="44">
        <f t="shared" si="5553"/>
        <v>0</v>
      </c>
      <c r="Q8106" s="44">
        <f t="shared" si="5554"/>
        <v>0</v>
      </c>
      <c r="R8106" s="44">
        <f t="shared" si="5555"/>
        <v>0</v>
      </c>
      <c r="S8106" s="123"/>
      <c r="T8106" s="219">
        <f t="shared" si="5556"/>
        <v>0</v>
      </c>
      <c r="U8106" s="87"/>
      <c r="V8106" s="47"/>
      <c r="W8106" s="48"/>
      <c r="X8106" s="48"/>
      <c r="Y8106" s="48"/>
      <c r="Z8106" s="135"/>
      <c r="AA8106" s="49"/>
      <c r="AB8106" s="50">
        <f t="shared" si="5557"/>
        <v>0</v>
      </c>
      <c r="AC8106" s="42">
        <f t="shared" si="5558"/>
        <v>9.9999999999999998E-20</v>
      </c>
      <c r="AD8106" s="90"/>
      <c r="AE8106" s="188"/>
      <c r="AF8106" s="189"/>
      <c r="AG8106" s="189"/>
      <c r="AH8106" s="189"/>
      <c r="AI8106" s="161"/>
    </row>
    <row r="8107" spans="1:41" ht="20.100000000000001" customHeight="1" x14ac:dyDescent="0.25">
      <c r="A8107" s="277" t="s">
        <v>703</v>
      </c>
      <c r="B8107" s="278"/>
      <c r="C8107" s="64" t="s">
        <v>770</v>
      </c>
      <c r="D8107" s="46" t="s">
        <v>97</v>
      </c>
      <c r="E8107" s="114"/>
      <c r="F8107" s="44">
        <v>0</v>
      </c>
      <c r="G8107" s="44">
        <f t="shared" si="5545"/>
        <v>0</v>
      </c>
      <c r="H8107" s="44">
        <f t="shared" si="5546"/>
        <v>0</v>
      </c>
      <c r="I8107" s="43">
        <f t="shared" si="5547"/>
        <v>0</v>
      </c>
      <c r="J8107" s="112">
        <f t="shared" si="5548"/>
        <v>0</v>
      </c>
      <c r="K8107" s="211">
        <f t="shared" si="5549"/>
        <v>0</v>
      </c>
      <c r="L8107" s="44"/>
      <c r="M8107" s="44">
        <f t="shared" si="5550"/>
        <v>0</v>
      </c>
      <c r="N8107" s="173">
        <f t="shared" si="5551"/>
        <v>0</v>
      </c>
      <c r="O8107" s="44">
        <f t="shared" si="5552"/>
        <v>0</v>
      </c>
      <c r="P8107" s="44">
        <f t="shared" si="5553"/>
        <v>0</v>
      </c>
      <c r="Q8107" s="44">
        <f t="shared" si="5554"/>
        <v>0</v>
      </c>
      <c r="R8107" s="44">
        <f t="shared" si="5555"/>
        <v>0</v>
      </c>
      <c r="S8107" s="123"/>
      <c r="T8107" s="219">
        <f t="shared" si="5556"/>
        <v>0</v>
      </c>
      <c r="U8107" s="87"/>
      <c r="V8107" s="47"/>
      <c r="W8107" s="48"/>
      <c r="X8107" s="48"/>
      <c r="Y8107" s="48"/>
      <c r="Z8107" s="135"/>
      <c r="AA8107" s="49"/>
      <c r="AB8107" s="50">
        <f t="shared" si="5557"/>
        <v>0</v>
      </c>
      <c r="AC8107" s="42">
        <f t="shared" si="5558"/>
        <v>9.9999999999999998E-20</v>
      </c>
      <c r="AD8107" s="90"/>
      <c r="AE8107" s="188"/>
      <c r="AF8107" s="189"/>
      <c r="AG8107" s="189"/>
      <c r="AH8107" s="189"/>
      <c r="AI8107" s="161"/>
    </row>
    <row r="8108" spans="1:41" ht="20.100000000000001" customHeight="1" x14ac:dyDescent="0.25">
      <c r="A8108" s="277" t="s">
        <v>703</v>
      </c>
      <c r="B8108" s="278"/>
      <c r="C8108" s="64" t="s">
        <v>774</v>
      </c>
      <c r="D8108" s="46"/>
      <c r="E8108" s="114"/>
      <c r="F8108" s="44">
        <v>0</v>
      </c>
      <c r="G8108" s="44">
        <f t="shared" si="5545"/>
        <v>0</v>
      </c>
      <c r="H8108" s="44">
        <f t="shared" si="5546"/>
        <v>0</v>
      </c>
      <c r="I8108" s="43">
        <f t="shared" si="5547"/>
        <v>0</v>
      </c>
      <c r="J8108" s="112">
        <f t="shared" si="5548"/>
        <v>0</v>
      </c>
      <c r="K8108" s="211">
        <f t="shared" si="5549"/>
        <v>0</v>
      </c>
      <c r="L8108" s="44"/>
      <c r="M8108" s="44">
        <f t="shared" si="5550"/>
        <v>0</v>
      </c>
      <c r="N8108" s="173">
        <f t="shared" si="5551"/>
        <v>0</v>
      </c>
      <c r="O8108" s="44">
        <f t="shared" si="5552"/>
        <v>0</v>
      </c>
      <c r="P8108" s="44">
        <f t="shared" si="5553"/>
        <v>0</v>
      </c>
      <c r="Q8108" s="44">
        <f t="shared" si="5554"/>
        <v>0</v>
      </c>
      <c r="R8108" s="44">
        <f t="shared" si="5555"/>
        <v>0</v>
      </c>
      <c r="S8108" s="123"/>
      <c r="T8108" s="219">
        <f t="shared" si="5556"/>
        <v>0</v>
      </c>
      <c r="U8108" s="87"/>
      <c r="V8108" s="47"/>
      <c r="W8108" s="48"/>
      <c r="X8108" s="48"/>
      <c r="Y8108" s="48"/>
      <c r="Z8108" s="135"/>
      <c r="AA8108" s="49"/>
      <c r="AB8108" s="50">
        <f t="shared" si="5557"/>
        <v>0</v>
      </c>
      <c r="AC8108" s="42">
        <f t="shared" si="5558"/>
        <v>9.9999999999999998E-20</v>
      </c>
      <c r="AD8108" s="90"/>
      <c r="AE8108" s="188"/>
      <c r="AF8108" s="189"/>
      <c r="AG8108" s="189"/>
      <c r="AH8108" s="189"/>
      <c r="AI8108" s="161"/>
    </row>
    <row r="8109" spans="1:41" ht="20.100000000000001" customHeight="1" x14ac:dyDescent="0.25">
      <c r="A8109" s="277" t="s">
        <v>703</v>
      </c>
      <c r="B8109" s="278"/>
      <c r="C8109" s="64" t="s">
        <v>763</v>
      </c>
      <c r="D8109" s="46" t="s">
        <v>97</v>
      </c>
      <c r="E8109" s="114"/>
      <c r="F8109" s="44">
        <v>0</v>
      </c>
      <c r="G8109" s="44">
        <f t="shared" si="5545"/>
        <v>0</v>
      </c>
      <c r="H8109" s="44">
        <f t="shared" si="5546"/>
        <v>0</v>
      </c>
      <c r="I8109" s="43">
        <f t="shared" si="5547"/>
        <v>0</v>
      </c>
      <c r="J8109" s="112">
        <f t="shared" si="5548"/>
        <v>0</v>
      </c>
      <c r="K8109" s="211">
        <f t="shared" si="5549"/>
        <v>0</v>
      </c>
      <c r="L8109" s="44"/>
      <c r="M8109" s="44">
        <f t="shared" si="5550"/>
        <v>0</v>
      </c>
      <c r="N8109" s="173">
        <f t="shared" si="5551"/>
        <v>0</v>
      </c>
      <c r="O8109" s="44">
        <f t="shared" si="5552"/>
        <v>0</v>
      </c>
      <c r="P8109" s="44">
        <f t="shared" si="5553"/>
        <v>0</v>
      </c>
      <c r="Q8109" s="44">
        <f t="shared" si="5554"/>
        <v>0</v>
      </c>
      <c r="R8109" s="44">
        <f t="shared" si="5555"/>
        <v>0</v>
      </c>
      <c r="S8109" s="123"/>
      <c r="T8109" s="219">
        <f t="shared" si="5556"/>
        <v>0</v>
      </c>
      <c r="U8109" s="87"/>
      <c r="V8109" s="47"/>
      <c r="W8109" s="48"/>
      <c r="X8109" s="48"/>
      <c r="Y8109" s="48"/>
      <c r="Z8109" s="135"/>
      <c r="AA8109" s="49"/>
      <c r="AB8109" s="50">
        <f t="shared" si="5557"/>
        <v>0</v>
      </c>
      <c r="AC8109" s="42">
        <f t="shared" si="5558"/>
        <v>9.9999999999999998E-20</v>
      </c>
      <c r="AD8109" s="90"/>
      <c r="AE8109" s="188"/>
      <c r="AF8109" s="189"/>
      <c r="AG8109" s="189"/>
      <c r="AH8109" s="189"/>
      <c r="AI8109" s="161"/>
    </row>
    <row r="8110" spans="1:41" ht="20.100000000000001" customHeight="1" x14ac:dyDescent="0.25">
      <c r="A8110" s="277" t="s">
        <v>703</v>
      </c>
      <c r="B8110" s="278"/>
      <c r="C8110" s="64" t="s">
        <v>764</v>
      </c>
      <c r="D8110" s="46" t="s">
        <v>97</v>
      </c>
      <c r="E8110" s="114"/>
      <c r="F8110" s="44">
        <v>0</v>
      </c>
      <c r="G8110" s="44">
        <f t="shared" si="5545"/>
        <v>0</v>
      </c>
      <c r="H8110" s="44">
        <f t="shared" si="5546"/>
        <v>0</v>
      </c>
      <c r="I8110" s="43">
        <f t="shared" si="5547"/>
        <v>0</v>
      </c>
      <c r="J8110" s="112">
        <f t="shared" si="5548"/>
        <v>0</v>
      </c>
      <c r="K8110" s="211">
        <f t="shared" si="5549"/>
        <v>0</v>
      </c>
      <c r="L8110" s="44"/>
      <c r="M8110" s="44">
        <f t="shared" si="5550"/>
        <v>0</v>
      </c>
      <c r="N8110" s="173">
        <f t="shared" si="5551"/>
        <v>0</v>
      </c>
      <c r="O8110" s="44">
        <f t="shared" si="5552"/>
        <v>0</v>
      </c>
      <c r="P8110" s="44">
        <f t="shared" si="5553"/>
        <v>0</v>
      </c>
      <c r="Q8110" s="44">
        <f t="shared" si="5554"/>
        <v>0</v>
      </c>
      <c r="R8110" s="44">
        <f t="shared" si="5555"/>
        <v>0</v>
      </c>
      <c r="S8110" s="123"/>
      <c r="T8110" s="219">
        <f t="shared" si="5556"/>
        <v>0</v>
      </c>
      <c r="U8110" s="87"/>
      <c r="V8110" s="47"/>
      <c r="W8110" s="48"/>
      <c r="X8110" s="48"/>
      <c r="Y8110" s="48"/>
      <c r="Z8110" s="135"/>
      <c r="AA8110" s="49"/>
      <c r="AB8110" s="50">
        <f t="shared" si="5557"/>
        <v>0</v>
      </c>
      <c r="AC8110" s="42">
        <f t="shared" si="5558"/>
        <v>9.9999999999999998E-20</v>
      </c>
      <c r="AD8110" s="90"/>
      <c r="AE8110" s="188"/>
      <c r="AF8110" s="189"/>
      <c r="AG8110" s="189"/>
      <c r="AH8110" s="189"/>
      <c r="AI8110" s="161"/>
    </row>
    <row r="8111" spans="1:41" ht="20.100000000000001" customHeight="1" x14ac:dyDescent="0.25">
      <c r="A8111" s="277" t="s">
        <v>703</v>
      </c>
      <c r="B8111" s="278"/>
      <c r="C8111" s="64" t="s">
        <v>765</v>
      </c>
      <c r="D8111" s="46" t="s">
        <v>97</v>
      </c>
      <c r="E8111" s="114">
        <v>13.465430000000026</v>
      </c>
      <c r="F8111" s="44">
        <v>4426</v>
      </c>
      <c r="G8111" s="44">
        <f t="shared" si="5545"/>
        <v>59597.993180000114</v>
      </c>
      <c r="H8111" s="44">
        <f t="shared" si="5546"/>
        <v>3848.0317254901975</v>
      </c>
      <c r="I8111" s="43">
        <f t="shared" si="5547"/>
        <v>51815.401837367572</v>
      </c>
      <c r="J8111" s="112">
        <f t="shared" si="5548"/>
        <v>13.465430000000026</v>
      </c>
      <c r="K8111" s="211">
        <f t="shared" si="5549"/>
        <v>13.465430000000026</v>
      </c>
      <c r="L8111" s="44"/>
      <c r="M8111" s="44">
        <f t="shared" si="5550"/>
        <v>13.465430000000026</v>
      </c>
      <c r="N8111" s="173">
        <f t="shared" si="5551"/>
        <v>1</v>
      </c>
      <c r="O8111" s="44">
        <f t="shared" si="5552"/>
        <v>4426</v>
      </c>
      <c r="P8111" s="44">
        <f t="shared" si="5553"/>
        <v>59597.993180000114</v>
      </c>
      <c r="Q8111" s="44">
        <f t="shared" si="5554"/>
        <v>3848.0317254901975</v>
      </c>
      <c r="R8111" s="44">
        <f t="shared" si="5555"/>
        <v>51815.401837367572</v>
      </c>
      <c r="S8111" s="123"/>
      <c r="T8111" s="219">
        <f t="shared" si="5556"/>
        <v>51815.401837367572</v>
      </c>
      <c r="U8111" s="87"/>
      <c r="V8111" s="47"/>
      <c r="W8111" s="48"/>
      <c r="X8111" s="48"/>
      <c r="Y8111" s="48"/>
      <c r="Z8111" s="135"/>
      <c r="AA8111" s="49"/>
      <c r="AB8111" s="50">
        <f t="shared" si="5557"/>
        <v>3848.0317254901975</v>
      </c>
      <c r="AC8111" s="42">
        <f t="shared" si="5558"/>
        <v>13.465430000000026</v>
      </c>
      <c r="AD8111" s="90">
        <f>AD8112+AD8122</f>
        <v>51815.401837367572</v>
      </c>
      <c r="AE8111" s="188">
        <f t="shared" ref="AE8111:AH8111" si="5642">AE8112+AE8122</f>
        <v>0</v>
      </c>
      <c r="AF8111" s="189">
        <f t="shared" si="5642"/>
        <v>0</v>
      </c>
      <c r="AG8111" s="189">
        <f t="shared" si="5642"/>
        <v>0</v>
      </c>
      <c r="AH8111" s="189">
        <f t="shared" si="5642"/>
        <v>0</v>
      </c>
      <c r="AI8111" s="161">
        <f t="shared" ref="AI8111" si="5643">SUM(AE8111:AH8111)</f>
        <v>0</v>
      </c>
      <c r="AK8111" s="169">
        <v>5</v>
      </c>
      <c r="AO8111" s="19" t="s">
        <v>63</v>
      </c>
    </row>
    <row r="8112" spans="1:41" s="103" customFormat="1" ht="19.899999999999999" customHeight="1" x14ac:dyDescent="0.25">
      <c r="A8112" s="51"/>
      <c r="B8112" s="52"/>
      <c r="C8112" s="165"/>
      <c r="D8112" s="52"/>
      <c r="E8112" s="115"/>
      <c r="F8112" s="58"/>
      <c r="G8112" s="58"/>
      <c r="H8112" s="58"/>
      <c r="I8112" s="55"/>
      <c r="J8112" s="113">
        <f>J8111</f>
        <v>13.465430000000026</v>
      </c>
      <c r="K8112" s="212">
        <f>K8111</f>
        <v>13.465430000000026</v>
      </c>
      <c r="L8112" s="58"/>
      <c r="M8112" s="58">
        <f>K8112-L8112</f>
        <v>13.465430000000026</v>
      </c>
      <c r="N8112" s="166"/>
      <c r="O8112" s="58"/>
      <c r="P8112" s="58"/>
      <c r="Q8112" s="58"/>
      <c r="R8112" s="58"/>
      <c r="S8112" s="58"/>
      <c r="T8112" s="220"/>
      <c r="U8112" s="88"/>
      <c r="V8112" s="56"/>
      <c r="W8112" s="57" t="s">
        <v>1116</v>
      </c>
      <c r="X8112" s="53"/>
      <c r="Y8112" s="91" t="s">
        <v>68</v>
      </c>
      <c r="Z8112" s="136">
        <f>AD8112/AC8112</f>
        <v>69.481725490196084</v>
      </c>
      <c r="AA8112" s="58"/>
      <c r="AB8112" s="53">
        <f>AD8112/AC8112</f>
        <v>69.481725490196084</v>
      </c>
      <c r="AC8112" s="53">
        <f>M8112+$AE$10</f>
        <v>13.465430000000026</v>
      </c>
      <c r="AD8112" s="54">
        <f>SUM(AD8113:AD8121)</f>
        <v>935.60131086745287</v>
      </c>
      <c r="AE8112" s="184">
        <f>SUMIFS($AD$37:$AD$12971,$V$37:$V$12971,$V8112,$X$37:$X$12971,AE$13)</f>
        <v>0</v>
      </c>
      <c r="AF8112" s="185">
        <f>SUMIFS($AD$37:$AD$12971,$V$37:$V$12971,$V8112,$X$37:$X$12971,AF$13)</f>
        <v>0</v>
      </c>
      <c r="AG8112" s="185">
        <f>SUMIFS($AD$37:$AD$12971,$V$37:$V$12971,$V8112,$X$37:$X$12971,AG$13)</f>
        <v>0</v>
      </c>
      <c r="AH8112" s="187">
        <f>SUMIFS($AD$37:$AD$12971,$V$37:$V$12971,$V8112,$X$37:$X$12971,AH$13)</f>
        <v>0</v>
      </c>
      <c r="AI8112" s="161">
        <f t="shared" ref="AI8112" si="5644">SUM(AE8112:AH8112)</f>
        <v>0</v>
      </c>
      <c r="AK8112" s="172"/>
    </row>
    <row r="8113" spans="1:37" s="102" customFormat="1" ht="19.899999999999999" customHeight="1" x14ac:dyDescent="0.25">
      <c r="A8113" s="45"/>
      <c r="B8113" s="59"/>
      <c r="C8113" s="137"/>
      <c r="D8113" s="59"/>
      <c r="E8113" s="116"/>
      <c r="F8113" s="120"/>
      <c r="G8113" s="120"/>
      <c r="H8113" s="120"/>
      <c r="I8113" s="60"/>
      <c r="J8113" s="116"/>
      <c r="K8113" s="213"/>
      <c r="L8113" s="120"/>
      <c r="M8113" s="120"/>
      <c r="N8113" s="167"/>
      <c r="O8113" s="120"/>
      <c r="P8113" s="120"/>
      <c r="Q8113" s="120"/>
      <c r="R8113" s="120"/>
      <c r="S8113" s="120"/>
      <c r="T8113" s="221"/>
      <c r="U8113" s="89"/>
      <c r="V8113" s="61"/>
      <c r="W8113" s="92" t="s">
        <v>129</v>
      </c>
      <c r="X8113" s="93" t="s">
        <v>29</v>
      </c>
      <c r="Y8113" s="93" t="s">
        <v>93</v>
      </c>
      <c r="Z8113" s="134">
        <f>VLOOKUP(W8113,Sheet2!$B:$D,3,FALSE)</f>
        <v>56</v>
      </c>
      <c r="AA8113" s="93">
        <f>100/(2.9*2.5)</f>
        <v>13.793103448275861</v>
      </c>
      <c r="AB8113" s="93">
        <f t="shared" ref="AB8113" si="5645">AD8113/AC8112</f>
        <v>4.0600000000000005</v>
      </c>
      <c r="AC8113" s="93">
        <f>AC8112/AA8113</f>
        <v>0.97624367500000198</v>
      </c>
      <c r="AD8113" s="94">
        <f t="shared" ref="AD8113:AD8114" si="5646">AC8113*Z8113</f>
        <v>54.669645800000112</v>
      </c>
      <c r="AE8113" s="190"/>
      <c r="AF8113" s="191"/>
      <c r="AG8113" s="191"/>
      <c r="AH8113" s="191"/>
      <c r="AI8113" s="186"/>
      <c r="AK8113" s="171"/>
    </row>
    <row r="8114" spans="1:37" s="102" customFormat="1" ht="19.899999999999999" customHeight="1" x14ac:dyDescent="0.25">
      <c r="A8114" s="45"/>
      <c r="B8114" s="59"/>
      <c r="C8114" s="137"/>
      <c r="D8114" s="59"/>
      <c r="E8114" s="116"/>
      <c r="F8114" s="120"/>
      <c r="G8114" s="120"/>
      <c r="H8114" s="120"/>
      <c r="I8114" s="60"/>
      <c r="J8114" s="116"/>
      <c r="K8114" s="213"/>
      <c r="L8114" s="120"/>
      <c r="M8114" s="120"/>
      <c r="N8114" s="167"/>
      <c r="O8114" s="120"/>
      <c r="P8114" s="120"/>
      <c r="Q8114" s="120"/>
      <c r="R8114" s="120"/>
      <c r="S8114" s="120"/>
      <c r="T8114" s="221"/>
      <c r="U8114" s="89"/>
      <c r="V8114" s="61"/>
      <c r="W8114" s="92" t="s">
        <v>65</v>
      </c>
      <c r="X8114" s="93" t="s">
        <v>30</v>
      </c>
      <c r="Y8114" s="93" t="s">
        <v>1011</v>
      </c>
      <c r="Z8114" s="134">
        <f>VLOOKUP(W8114,Sheet2!$B:$D,3,FALSE)</f>
        <v>1.76</v>
      </c>
      <c r="AA8114" s="93">
        <f>AA8113/14</f>
        <v>0.9852216748768472</v>
      </c>
      <c r="AB8114" s="93">
        <f>AD8114/AC8112</f>
        <v>1.7864</v>
      </c>
      <c r="AC8114" s="93">
        <f>AC8112/AA8114</f>
        <v>13.667411450000028</v>
      </c>
      <c r="AD8114" s="94">
        <f t="shared" si="5646"/>
        <v>24.054644152000048</v>
      </c>
      <c r="AE8114" s="190"/>
      <c r="AF8114" s="191"/>
      <c r="AG8114" s="191"/>
      <c r="AH8114" s="191"/>
      <c r="AI8114" s="186"/>
      <c r="AK8114" s="171"/>
    </row>
    <row r="8115" spans="1:37" s="102" customFormat="1" ht="19.899999999999999" customHeight="1" x14ac:dyDescent="0.25">
      <c r="A8115" s="45"/>
      <c r="B8115" s="59"/>
      <c r="C8115" s="137"/>
      <c r="D8115" s="59"/>
      <c r="E8115" s="116"/>
      <c r="F8115" s="120"/>
      <c r="G8115" s="120"/>
      <c r="H8115" s="120"/>
      <c r="I8115" s="60"/>
      <c r="J8115" s="116"/>
      <c r="K8115" s="213"/>
      <c r="L8115" s="120"/>
      <c r="M8115" s="120"/>
      <c r="N8115" s="167"/>
      <c r="O8115" s="120"/>
      <c r="P8115" s="120"/>
      <c r="Q8115" s="120"/>
      <c r="R8115" s="120"/>
      <c r="S8115" s="120"/>
      <c r="T8115" s="221"/>
      <c r="U8115" s="89"/>
      <c r="V8115" s="61"/>
      <c r="W8115" s="92" t="s">
        <v>161</v>
      </c>
      <c r="X8115" s="93" t="s">
        <v>29</v>
      </c>
      <c r="Y8115" s="93" t="s">
        <v>93</v>
      </c>
      <c r="Z8115" s="134">
        <f>VLOOKUP(W8115,Sheet2!$B:$D,3,FALSE)</f>
        <v>48</v>
      </c>
      <c r="AA8115" s="93">
        <f>(16*0.85*1.5)/(2.9*2.5)</f>
        <v>2.8137931034482757</v>
      </c>
      <c r="AB8115" s="93">
        <f>AD8115/AC8112</f>
        <v>17.058823529411764</v>
      </c>
      <c r="AC8115" s="93">
        <f>AC8112/AA8115</f>
        <v>4.7855082107843234</v>
      </c>
      <c r="AD8115" s="94">
        <f>AC8115*Z8115</f>
        <v>229.70439411764752</v>
      </c>
      <c r="AE8115" s="190"/>
      <c r="AF8115" s="191"/>
      <c r="AG8115" s="191"/>
      <c r="AH8115" s="191"/>
      <c r="AI8115" s="186"/>
      <c r="AK8115" s="171"/>
    </row>
    <row r="8116" spans="1:37" s="102" customFormat="1" ht="19.899999999999999" customHeight="1" x14ac:dyDescent="0.25">
      <c r="A8116" s="45"/>
      <c r="B8116" s="59"/>
      <c r="C8116" s="137"/>
      <c r="D8116" s="59"/>
      <c r="E8116" s="116"/>
      <c r="F8116" s="120"/>
      <c r="G8116" s="120"/>
      <c r="H8116" s="120"/>
      <c r="I8116" s="60"/>
      <c r="J8116" s="116"/>
      <c r="K8116" s="213"/>
      <c r="L8116" s="120"/>
      <c r="M8116" s="120"/>
      <c r="N8116" s="167"/>
      <c r="O8116" s="120"/>
      <c r="P8116" s="120"/>
      <c r="Q8116" s="120"/>
      <c r="R8116" s="120"/>
      <c r="S8116" s="120"/>
      <c r="T8116" s="221"/>
      <c r="U8116" s="89"/>
      <c r="V8116" s="61"/>
      <c r="W8116" s="92" t="s">
        <v>65</v>
      </c>
      <c r="X8116" s="93" t="s">
        <v>30</v>
      </c>
      <c r="Y8116" s="93" t="s">
        <v>1011</v>
      </c>
      <c r="Z8116" s="134">
        <f>VLOOKUP(W8116,Sheet2!$B:$D,3,FALSE)</f>
        <v>1.76</v>
      </c>
      <c r="AA8116" s="93">
        <f>AA8115/10</f>
        <v>0.28137931034482755</v>
      </c>
      <c r="AB8116" s="93">
        <f>AD8116/AC8112</f>
        <v>6.2549019607843155</v>
      </c>
      <c r="AC8116" s="93">
        <f>AC8112/AA8116</f>
        <v>47.855082107843238</v>
      </c>
      <c r="AD8116" s="94">
        <f>AC8116*Z8116</f>
        <v>84.224944509804104</v>
      </c>
      <c r="AE8116" s="190"/>
      <c r="AF8116" s="191"/>
      <c r="AG8116" s="191"/>
      <c r="AH8116" s="191"/>
      <c r="AI8116" s="186"/>
      <c r="AK8116" s="171"/>
    </row>
    <row r="8117" spans="1:37" s="102" customFormat="1" ht="19.899999999999999" customHeight="1" x14ac:dyDescent="0.25">
      <c r="A8117" s="45"/>
      <c r="B8117" s="59"/>
      <c r="C8117" s="137"/>
      <c r="D8117" s="59"/>
      <c r="E8117" s="116"/>
      <c r="F8117" s="120"/>
      <c r="G8117" s="120"/>
      <c r="H8117" s="120"/>
      <c r="I8117" s="60"/>
      <c r="J8117" s="116"/>
      <c r="K8117" s="213"/>
      <c r="L8117" s="120"/>
      <c r="M8117" s="120"/>
      <c r="N8117" s="167"/>
      <c r="O8117" s="120"/>
      <c r="P8117" s="120"/>
      <c r="Q8117" s="120"/>
      <c r="R8117" s="120"/>
      <c r="S8117" s="120"/>
      <c r="T8117" s="221"/>
      <c r="U8117" s="89"/>
      <c r="V8117" s="61"/>
      <c r="W8117" s="92" t="s">
        <v>1030</v>
      </c>
      <c r="X8117" s="93" t="s">
        <v>29</v>
      </c>
      <c r="Y8117" s="93" t="s">
        <v>93</v>
      </c>
      <c r="Z8117" s="134">
        <f>VLOOKUP(W8117,Sheet2!$B:$D,3,FALSE)</f>
        <v>23</v>
      </c>
      <c r="AA8117" s="93">
        <v>50</v>
      </c>
      <c r="AB8117" s="93">
        <f>AD8117/AC8112</f>
        <v>0.45999999999999996</v>
      </c>
      <c r="AC8117" s="93">
        <f>AC8112/AA8117</f>
        <v>0.26930860000000051</v>
      </c>
      <c r="AD8117" s="94">
        <f t="shared" ref="AD8117:AD8121" si="5647">AC8117*Z8117</f>
        <v>6.1940978000000113</v>
      </c>
      <c r="AE8117" s="190"/>
      <c r="AF8117" s="191"/>
      <c r="AG8117" s="191"/>
      <c r="AH8117" s="191"/>
      <c r="AI8117" s="186"/>
      <c r="AK8117" s="171"/>
    </row>
    <row r="8118" spans="1:37" s="102" customFormat="1" ht="19.899999999999999" customHeight="1" x14ac:dyDescent="0.25">
      <c r="A8118" s="45"/>
      <c r="B8118" s="59"/>
      <c r="C8118" s="137"/>
      <c r="D8118" s="59"/>
      <c r="E8118" s="116"/>
      <c r="F8118" s="120"/>
      <c r="G8118" s="120"/>
      <c r="H8118" s="120"/>
      <c r="I8118" s="60"/>
      <c r="J8118" s="116"/>
      <c r="K8118" s="213"/>
      <c r="L8118" s="120"/>
      <c r="M8118" s="120"/>
      <c r="N8118" s="167"/>
      <c r="O8118" s="120"/>
      <c r="P8118" s="120"/>
      <c r="Q8118" s="120"/>
      <c r="R8118" s="120"/>
      <c r="S8118" s="120"/>
      <c r="T8118" s="221"/>
      <c r="U8118" s="89"/>
      <c r="V8118" s="61"/>
      <c r="W8118" s="92" t="s">
        <v>65</v>
      </c>
      <c r="X8118" s="93" t="s">
        <v>30</v>
      </c>
      <c r="Y8118" s="93" t="s">
        <v>1011</v>
      </c>
      <c r="Z8118" s="134">
        <f>VLOOKUP(W8118,Sheet2!$B:$D,3,FALSE)</f>
        <v>1.76</v>
      </c>
      <c r="AA8118" s="93">
        <f>AA8117/3</f>
        <v>16.666666666666668</v>
      </c>
      <c r="AB8118" s="93">
        <f>AD8118/AC8112</f>
        <v>0.10559999999999999</v>
      </c>
      <c r="AC8118" s="93">
        <f>AC8112/AA8118</f>
        <v>0.80792580000000147</v>
      </c>
      <c r="AD8118" s="94">
        <f t="shared" si="5647"/>
        <v>1.4219494080000026</v>
      </c>
      <c r="AE8118" s="190"/>
      <c r="AF8118" s="191"/>
      <c r="AG8118" s="191"/>
      <c r="AH8118" s="191"/>
      <c r="AI8118" s="186"/>
      <c r="AK8118" s="171"/>
    </row>
    <row r="8119" spans="1:37" s="102" customFormat="1" ht="19.899999999999999" customHeight="1" x14ac:dyDescent="0.25">
      <c r="A8119" s="45"/>
      <c r="B8119" s="59"/>
      <c r="C8119" s="137"/>
      <c r="D8119" s="59"/>
      <c r="E8119" s="116"/>
      <c r="F8119" s="120"/>
      <c r="G8119" s="120"/>
      <c r="H8119" s="120"/>
      <c r="I8119" s="60"/>
      <c r="J8119" s="116"/>
      <c r="K8119" s="213"/>
      <c r="L8119" s="120"/>
      <c r="M8119" s="120"/>
      <c r="N8119" s="167"/>
      <c r="O8119" s="120"/>
      <c r="P8119" s="120"/>
      <c r="Q8119" s="120"/>
      <c r="R8119" s="120"/>
      <c r="S8119" s="120"/>
      <c r="T8119" s="221"/>
      <c r="U8119" s="89"/>
      <c r="V8119" s="61"/>
      <c r="W8119" s="92" t="s">
        <v>148</v>
      </c>
      <c r="X8119" s="93" t="s">
        <v>29</v>
      </c>
      <c r="Y8119" s="93" t="s">
        <v>93</v>
      </c>
      <c r="Z8119" s="134">
        <f>VLOOKUP(W8119,Sheet2!$B:$D,3,FALSE)</f>
        <v>48</v>
      </c>
      <c r="AA8119" s="93">
        <f>AA8113</f>
        <v>13.793103448275861</v>
      </c>
      <c r="AB8119" s="93">
        <f>AD8119/AC8112</f>
        <v>3.4800000000000004</v>
      </c>
      <c r="AC8119" s="93">
        <f>AC8112/AA8119</f>
        <v>0.97624367500000198</v>
      </c>
      <c r="AD8119" s="94">
        <f t="shared" si="5647"/>
        <v>46.859696400000097</v>
      </c>
      <c r="AE8119" s="190"/>
      <c r="AF8119" s="191"/>
      <c r="AG8119" s="191"/>
      <c r="AH8119" s="191"/>
      <c r="AI8119" s="186"/>
      <c r="AK8119" s="171"/>
    </row>
    <row r="8120" spans="1:37" s="102" customFormat="1" ht="19.899999999999999" customHeight="1" x14ac:dyDescent="0.25">
      <c r="A8120" s="45"/>
      <c r="B8120" s="59"/>
      <c r="C8120" s="137"/>
      <c r="D8120" s="59"/>
      <c r="E8120" s="116"/>
      <c r="F8120" s="120"/>
      <c r="G8120" s="120"/>
      <c r="H8120" s="120"/>
      <c r="I8120" s="60"/>
      <c r="J8120" s="116"/>
      <c r="K8120" s="213"/>
      <c r="L8120" s="120"/>
      <c r="M8120" s="120"/>
      <c r="N8120" s="167"/>
      <c r="O8120" s="120"/>
      <c r="P8120" s="120"/>
      <c r="Q8120" s="120"/>
      <c r="R8120" s="120"/>
      <c r="S8120" s="120"/>
      <c r="T8120" s="221"/>
      <c r="U8120" s="89"/>
      <c r="V8120" s="61"/>
      <c r="W8120" s="92" t="s">
        <v>65</v>
      </c>
      <c r="X8120" s="93" t="s">
        <v>30</v>
      </c>
      <c r="Y8120" s="93" t="s">
        <v>1011</v>
      </c>
      <c r="Z8120" s="134">
        <f>VLOOKUP(W8120,Sheet2!$B:$D,3,FALSE)</f>
        <v>1.76</v>
      </c>
      <c r="AA8120" s="93">
        <f>AA8119/10</f>
        <v>1.3793103448275861</v>
      </c>
      <c r="AB8120" s="93">
        <f>AD8120/AC8112</f>
        <v>1.2760000000000002</v>
      </c>
      <c r="AC8120" s="93">
        <f>AC8112/AA8120</f>
        <v>9.7624367500000204</v>
      </c>
      <c r="AD8120" s="94">
        <f t="shared" si="5647"/>
        <v>17.181888680000036</v>
      </c>
      <c r="AE8120" s="190"/>
      <c r="AF8120" s="191"/>
      <c r="AG8120" s="191"/>
      <c r="AH8120" s="191"/>
      <c r="AI8120" s="186"/>
      <c r="AK8120" s="171"/>
    </row>
    <row r="8121" spans="1:37" s="102" customFormat="1" ht="19.899999999999999" customHeight="1" x14ac:dyDescent="0.25">
      <c r="A8121" s="45"/>
      <c r="B8121" s="59"/>
      <c r="C8121" s="137"/>
      <c r="D8121" s="59"/>
      <c r="E8121" s="116"/>
      <c r="F8121" s="120"/>
      <c r="G8121" s="120"/>
      <c r="H8121" s="120"/>
      <c r="I8121" s="60"/>
      <c r="J8121" s="116"/>
      <c r="K8121" s="213"/>
      <c r="L8121" s="120"/>
      <c r="M8121" s="120"/>
      <c r="N8121" s="167"/>
      <c r="O8121" s="120"/>
      <c r="P8121" s="120"/>
      <c r="Q8121" s="120"/>
      <c r="R8121" s="120"/>
      <c r="S8121" s="120"/>
      <c r="T8121" s="221"/>
      <c r="U8121" s="89"/>
      <c r="V8121" s="61"/>
      <c r="W8121" s="92" t="s">
        <v>1048</v>
      </c>
      <c r="X8121" s="93" t="s">
        <v>30</v>
      </c>
      <c r="Y8121" s="93" t="s">
        <v>68</v>
      </c>
      <c r="Z8121" s="134">
        <f>VLOOKUP(W8121,Sheet2!$B:$D,3,FALSE)</f>
        <v>35</v>
      </c>
      <c r="AA8121" s="93">
        <v>1</v>
      </c>
      <c r="AB8121" s="93">
        <f>AD8121/AC8112</f>
        <v>35</v>
      </c>
      <c r="AC8121" s="93">
        <f>AC8112/AA8121</f>
        <v>13.465430000000026</v>
      </c>
      <c r="AD8121" s="94">
        <f t="shared" si="5647"/>
        <v>471.29005000000092</v>
      </c>
      <c r="AE8121" s="190"/>
      <c r="AF8121" s="191"/>
      <c r="AG8121" s="191"/>
      <c r="AH8121" s="191"/>
      <c r="AI8121" s="186"/>
      <c r="AK8121" s="171"/>
    </row>
    <row r="8122" spans="1:37" s="103" customFormat="1" ht="19.899999999999999" customHeight="1" x14ac:dyDescent="0.25">
      <c r="A8122" s="51"/>
      <c r="B8122" s="52"/>
      <c r="C8122" s="165"/>
      <c r="D8122" s="52"/>
      <c r="E8122" s="115"/>
      <c r="F8122" s="58"/>
      <c r="G8122" s="58"/>
      <c r="H8122" s="58"/>
      <c r="I8122" s="55"/>
      <c r="J8122" s="113">
        <f>J8111</f>
        <v>13.465430000000026</v>
      </c>
      <c r="K8122" s="212">
        <f>K8111</f>
        <v>13.465430000000026</v>
      </c>
      <c r="L8122" s="58"/>
      <c r="M8122" s="58">
        <f>K8122-L8122</f>
        <v>13.465430000000026</v>
      </c>
      <c r="N8122" s="166"/>
      <c r="O8122" s="58"/>
      <c r="P8122" s="58"/>
      <c r="Q8122" s="58"/>
      <c r="R8122" s="58"/>
      <c r="S8122" s="58"/>
      <c r="T8122" s="220"/>
      <c r="U8122" s="88"/>
      <c r="V8122" s="56"/>
      <c r="W8122" s="57" t="s">
        <v>1121</v>
      </c>
      <c r="X8122" s="53"/>
      <c r="Y8122" s="91" t="s">
        <v>68</v>
      </c>
      <c r="Z8122" s="136">
        <f>AD8122/AC8122</f>
        <v>3778.5500000000015</v>
      </c>
      <c r="AA8122" s="58"/>
      <c r="AB8122" s="53">
        <f>AD8122/AC8122</f>
        <v>3778.5500000000015</v>
      </c>
      <c r="AC8122" s="53">
        <f>M8122+$AE$10</f>
        <v>13.465430000000026</v>
      </c>
      <c r="AD8122" s="54">
        <f>SUM(AD8123:AD8126)</f>
        <v>50879.800526500119</v>
      </c>
      <c r="AE8122" s="184">
        <f>SUMIFS($AD$37:$AD$12971,$V$37:$V$12971,$V8122,$X$37:$X$12971,AE$13)</f>
        <v>0</v>
      </c>
      <c r="AF8122" s="185">
        <f>SUMIFS($AD$37:$AD$12971,$V$37:$V$12971,$V8122,$X$37:$X$12971,AF$13)</f>
        <v>0</v>
      </c>
      <c r="AG8122" s="185">
        <f>SUMIFS($AD$37:$AD$12971,$V$37:$V$12971,$V8122,$X$37:$X$12971,AG$13)</f>
        <v>0</v>
      </c>
      <c r="AH8122" s="187">
        <f>SUMIFS($AD$37:$AD$12971,$V$37:$V$12971,$V8122,$X$37:$X$12971,AH$13)</f>
        <v>0</v>
      </c>
      <c r="AI8122" s="161">
        <f t="shared" ref="AI8122" si="5648">SUM(AE8122:AH8122)</f>
        <v>0</v>
      </c>
      <c r="AK8122" s="172"/>
    </row>
    <row r="8123" spans="1:37" s="102" customFormat="1" ht="19.899999999999999" customHeight="1" x14ac:dyDescent="0.25">
      <c r="A8123" s="45"/>
      <c r="B8123" s="59"/>
      <c r="C8123" s="137"/>
      <c r="D8123" s="59"/>
      <c r="E8123" s="116"/>
      <c r="F8123" s="120"/>
      <c r="G8123" s="120"/>
      <c r="H8123" s="120"/>
      <c r="I8123" s="60"/>
      <c r="J8123" s="116"/>
      <c r="K8123" s="213"/>
      <c r="L8123" s="120"/>
      <c r="M8123" s="120"/>
      <c r="N8123" s="167"/>
      <c r="O8123" s="120"/>
      <c r="P8123" s="120"/>
      <c r="Q8123" s="120"/>
      <c r="R8123" s="120"/>
      <c r="S8123" s="120"/>
      <c r="T8123" s="221"/>
      <c r="U8123" s="89"/>
      <c r="V8123" s="61"/>
      <c r="W8123" s="92" t="s">
        <v>1105</v>
      </c>
      <c r="X8123" s="93" t="s">
        <v>30</v>
      </c>
      <c r="Y8123" s="93" t="s">
        <v>66</v>
      </c>
      <c r="Z8123" s="134">
        <f>VLOOKUP(W8123,Sheet2!$B:$D,3,FALSE)</f>
        <v>2200</v>
      </c>
      <c r="AA8123" s="93">
        <f>1/((2.1*1.35)-(1.5*0.75))</f>
        <v>0.58479532163742676</v>
      </c>
      <c r="AB8123" s="93">
        <f>AD8123/AC8122</f>
        <v>3762.0000000000014</v>
      </c>
      <c r="AC8123" s="93">
        <f>AC8122/AA8123</f>
        <v>23.025885300000052</v>
      </c>
      <c r="AD8123" s="94">
        <f t="shared" ref="AD8123" si="5649">AC8123*Z8123</f>
        <v>50656.947660000114</v>
      </c>
      <c r="AE8123" s="190"/>
      <c r="AF8123" s="191"/>
      <c r="AG8123" s="191"/>
      <c r="AH8123" s="191"/>
      <c r="AI8123" s="186"/>
      <c r="AK8123" s="171"/>
    </row>
    <row r="8124" spans="1:37" s="102" customFormat="1" ht="19.899999999999999" customHeight="1" x14ac:dyDescent="0.25">
      <c r="A8124" s="45"/>
      <c r="B8124" s="59"/>
      <c r="C8124" s="137"/>
      <c r="D8124" s="59"/>
      <c r="E8124" s="116"/>
      <c r="F8124" s="120"/>
      <c r="G8124" s="120"/>
      <c r="H8124" s="120"/>
      <c r="I8124" s="60"/>
      <c r="J8124" s="116"/>
      <c r="K8124" s="213"/>
      <c r="L8124" s="120"/>
      <c r="M8124" s="120"/>
      <c r="N8124" s="167"/>
      <c r="O8124" s="120"/>
      <c r="P8124" s="120"/>
      <c r="Q8124" s="120"/>
      <c r="R8124" s="120"/>
      <c r="S8124" s="120"/>
      <c r="T8124" s="221"/>
      <c r="U8124" s="89"/>
      <c r="V8124" s="61"/>
      <c r="W8124" s="92" t="s">
        <v>174</v>
      </c>
      <c r="X8124" s="93" t="s">
        <v>29</v>
      </c>
      <c r="Y8124" s="93" t="s">
        <v>93</v>
      </c>
      <c r="Z8124" s="134">
        <f>VLOOKUP(W8124,Sheet2!$B:$D,3,FALSE)</f>
        <v>80</v>
      </c>
      <c r="AA8124" s="93">
        <f>4*2</f>
        <v>8</v>
      </c>
      <c r="AB8124" s="93">
        <f>AD8124/AC8122</f>
        <v>10</v>
      </c>
      <c r="AC8124" s="93">
        <f>AC8122/AA8124</f>
        <v>1.6831787500000033</v>
      </c>
      <c r="AD8124" s="94">
        <f>AC8124*Z8124</f>
        <v>134.65430000000026</v>
      </c>
      <c r="AE8124" s="190"/>
      <c r="AF8124" s="191"/>
      <c r="AG8124" s="191"/>
      <c r="AH8124" s="191"/>
      <c r="AI8124" s="186"/>
      <c r="AK8124" s="171"/>
    </row>
    <row r="8125" spans="1:37" s="102" customFormat="1" ht="19.899999999999999" customHeight="1" x14ac:dyDescent="0.25">
      <c r="A8125" s="45"/>
      <c r="B8125" s="59"/>
      <c r="C8125" s="137"/>
      <c r="D8125" s="59"/>
      <c r="E8125" s="116"/>
      <c r="F8125" s="120"/>
      <c r="G8125" s="120"/>
      <c r="H8125" s="120"/>
      <c r="I8125" s="60"/>
      <c r="J8125" s="116"/>
      <c r="K8125" s="213"/>
      <c r="L8125" s="120"/>
      <c r="M8125" s="120"/>
      <c r="N8125" s="167"/>
      <c r="O8125" s="120"/>
      <c r="P8125" s="120"/>
      <c r="Q8125" s="120"/>
      <c r="R8125" s="120"/>
      <c r="S8125" s="120"/>
      <c r="T8125" s="221"/>
      <c r="U8125" s="89"/>
      <c r="V8125" s="61"/>
      <c r="W8125" s="92" t="s">
        <v>65</v>
      </c>
      <c r="X8125" s="93" t="s">
        <v>30</v>
      </c>
      <c r="Y8125" s="93" t="s">
        <v>1011</v>
      </c>
      <c r="Z8125" s="134">
        <f>VLOOKUP(W8125,Sheet2!$B:$D,3,FALSE)</f>
        <v>1.76</v>
      </c>
      <c r="AA8125" s="93">
        <f>AA8124/15</f>
        <v>0.53333333333333333</v>
      </c>
      <c r="AB8125" s="93">
        <f>AD8125/AC8122</f>
        <v>3.3</v>
      </c>
      <c r="AC8125" s="93">
        <f>AC8122/AA8125</f>
        <v>25.247681250000049</v>
      </c>
      <c r="AD8125" s="94">
        <f t="shared" ref="AD8125" si="5650">AC8125*Z8125</f>
        <v>44.435919000000084</v>
      </c>
      <c r="AE8125" s="190"/>
      <c r="AF8125" s="191"/>
      <c r="AG8125" s="191"/>
      <c r="AH8125" s="191"/>
      <c r="AI8125" s="186"/>
      <c r="AK8125" s="171"/>
    </row>
    <row r="8126" spans="1:37" s="102" customFormat="1" ht="19.899999999999999" customHeight="1" x14ac:dyDescent="0.25">
      <c r="A8126" s="45"/>
      <c r="B8126" s="59"/>
      <c r="C8126" s="137"/>
      <c r="D8126" s="59"/>
      <c r="E8126" s="116"/>
      <c r="F8126" s="120"/>
      <c r="G8126" s="120"/>
      <c r="H8126" s="120"/>
      <c r="I8126" s="60"/>
      <c r="J8126" s="116"/>
      <c r="K8126" s="213"/>
      <c r="L8126" s="120"/>
      <c r="M8126" s="120"/>
      <c r="N8126" s="167"/>
      <c r="O8126" s="120"/>
      <c r="P8126" s="120"/>
      <c r="Q8126" s="120"/>
      <c r="R8126" s="120"/>
      <c r="S8126" s="120"/>
      <c r="T8126" s="221"/>
      <c r="U8126" s="89"/>
      <c r="V8126" s="61"/>
      <c r="W8126" s="92" t="s">
        <v>112</v>
      </c>
      <c r="X8126" s="93" t="s">
        <v>31</v>
      </c>
      <c r="Y8126" s="93" t="s">
        <v>93</v>
      </c>
      <c r="Z8126" s="134">
        <f>VLOOKUP(W8126,Sheet2!$B:$D,3,FALSE)</f>
        <v>13</v>
      </c>
      <c r="AA8126" s="93">
        <f>AA8124/2</f>
        <v>4</v>
      </c>
      <c r="AB8126" s="93">
        <f>AD8126/AC8122</f>
        <v>3.25</v>
      </c>
      <c r="AC8126" s="93">
        <f>AC8122/AA8126</f>
        <v>3.3663575000000066</v>
      </c>
      <c r="AD8126" s="94">
        <f>AC8126*Z8126</f>
        <v>43.762647500000085</v>
      </c>
      <c r="AE8126" s="190"/>
      <c r="AF8126" s="191"/>
      <c r="AG8126" s="191"/>
      <c r="AH8126" s="191"/>
      <c r="AI8126" s="186"/>
      <c r="AK8126" s="171"/>
    </row>
    <row r="8127" spans="1:37" ht="20.100000000000001" customHeight="1" x14ac:dyDescent="0.25">
      <c r="A8127" s="277" t="s">
        <v>703</v>
      </c>
      <c r="B8127" s="278"/>
      <c r="C8127" s="64" t="s">
        <v>766</v>
      </c>
      <c r="D8127" s="46" t="s">
        <v>97</v>
      </c>
      <c r="E8127" s="114"/>
      <c r="F8127" s="44">
        <v>0</v>
      </c>
      <c r="G8127" s="44">
        <f t="shared" si="5545"/>
        <v>0</v>
      </c>
      <c r="H8127" s="44">
        <f t="shared" si="5546"/>
        <v>0</v>
      </c>
      <c r="I8127" s="43">
        <f t="shared" si="5547"/>
        <v>0</v>
      </c>
      <c r="J8127" s="112">
        <f t="shared" si="5548"/>
        <v>0</v>
      </c>
      <c r="K8127" s="211">
        <f t="shared" si="5549"/>
        <v>0</v>
      </c>
      <c r="L8127" s="44"/>
      <c r="M8127" s="44">
        <f t="shared" si="5550"/>
        <v>0</v>
      </c>
      <c r="N8127" s="173">
        <f t="shared" si="5551"/>
        <v>0</v>
      </c>
      <c r="O8127" s="44">
        <f t="shared" si="5552"/>
        <v>0</v>
      </c>
      <c r="P8127" s="44">
        <f t="shared" si="5553"/>
        <v>0</v>
      </c>
      <c r="Q8127" s="44">
        <f t="shared" si="5554"/>
        <v>0</v>
      </c>
      <c r="R8127" s="44">
        <f t="shared" si="5555"/>
        <v>0</v>
      </c>
      <c r="S8127" s="123"/>
      <c r="T8127" s="219">
        <f t="shared" si="5556"/>
        <v>0</v>
      </c>
      <c r="U8127" s="87"/>
      <c r="V8127" s="47"/>
      <c r="W8127" s="48"/>
      <c r="X8127" s="48"/>
      <c r="Y8127" s="48"/>
      <c r="Z8127" s="135"/>
      <c r="AA8127" s="49"/>
      <c r="AB8127" s="50">
        <f t="shared" si="5557"/>
        <v>0</v>
      </c>
      <c r="AC8127" s="42">
        <f t="shared" si="5558"/>
        <v>9.9999999999999998E-20</v>
      </c>
      <c r="AD8127" s="90"/>
      <c r="AE8127" s="188"/>
      <c r="AF8127" s="189"/>
      <c r="AG8127" s="189"/>
      <c r="AH8127" s="189"/>
      <c r="AI8127" s="161"/>
    </row>
    <row r="8128" spans="1:37" ht="20.100000000000001" customHeight="1" x14ac:dyDescent="0.25">
      <c r="A8128" s="277" t="s">
        <v>703</v>
      </c>
      <c r="B8128" s="278"/>
      <c r="C8128" s="64" t="s">
        <v>768</v>
      </c>
      <c r="D8128" s="46" t="s">
        <v>97</v>
      </c>
      <c r="E8128" s="114"/>
      <c r="F8128" s="44">
        <v>0</v>
      </c>
      <c r="G8128" s="44">
        <f t="shared" si="5545"/>
        <v>0</v>
      </c>
      <c r="H8128" s="44">
        <f t="shared" si="5546"/>
        <v>0</v>
      </c>
      <c r="I8128" s="43">
        <f t="shared" si="5547"/>
        <v>0</v>
      </c>
      <c r="J8128" s="112">
        <f t="shared" si="5548"/>
        <v>0</v>
      </c>
      <c r="K8128" s="211">
        <f t="shared" si="5549"/>
        <v>0</v>
      </c>
      <c r="L8128" s="44"/>
      <c r="M8128" s="44">
        <f t="shared" si="5550"/>
        <v>0</v>
      </c>
      <c r="N8128" s="173">
        <f t="shared" si="5551"/>
        <v>0</v>
      </c>
      <c r="O8128" s="44">
        <f t="shared" si="5552"/>
        <v>0</v>
      </c>
      <c r="P8128" s="44">
        <f t="shared" si="5553"/>
        <v>0</v>
      </c>
      <c r="Q8128" s="44">
        <f t="shared" si="5554"/>
        <v>0</v>
      </c>
      <c r="R8128" s="44">
        <f t="shared" si="5555"/>
        <v>0</v>
      </c>
      <c r="S8128" s="123"/>
      <c r="T8128" s="219">
        <f t="shared" si="5556"/>
        <v>0</v>
      </c>
      <c r="U8128" s="87"/>
      <c r="V8128" s="47"/>
      <c r="W8128" s="48"/>
      <c r="X8128" s="48"/>
      <c r="Y8128" s="48"/>
      <c r="Z8128" s="135"/>
      <c r="AA8128" s="49"/>
      <c r="AB8128" s="50">
        <f t="shared" si="5557"/>
        <v>0</v>
      </c>
      <c r="AC8128" s="42">
        <f t="shared" si="5558"/>
        <v>9.9999999999999998E-20</v>
      </c>
      <c r="AD8128" s="90"/>
      <c r="AE8128" s="188"/>
      <c r="AF8128" s="189"/>
      <c r="AG8128" s="189"/>
      <c r="AH8128" s="189"/>
      <c r="AI8128" s="161"/>
    </row>
    <row r="8129" spans="1:41" ht="20.100000000000001" customHeight="1" x14ac:dyDescent="0.25">
      <c r="A8129" s="277" t="s">
        <v>703</v>
      </c>
      <c r="B8129" s="278"/>
      <c r="C8129" s="64" t="s">
        <v>769</v>
      </c>
      <c r="D8129" s="46" t="s">
        <v>97</v>
      </c>
      <c r="E8129" s="114"/>
      <c r="F8129" s="44">
        <v>0</v>
      </c>
      <c r="G8129" s="44">
        <f t="shared" si="5545"/>
        <v>0</v>
      </c>
      <c r="H8129" s="44">
        <f t="shared" si="5546"/>
        <v>0</v>
      </c>
      <c r="I8129" s="43">
        <f t="shared" si="5547"/>
        <v>0</v>
      </c>
      <c r="J8129" s="112">
        <f t="shared" si="5548"/>
        <v>0</v>
      </c>
      <c r="K8129" s="211">
        <f t="shared" si="5549"/>
        <v>0</v>
      </c>
      <c r="L8129" s="44"/>
      <c r="M8129" s="44">
        <f t="shared" si="5550"/>
        <v>0</v>
      </c>
      <c r="N8129" s="173">
        <f t="shared" si="5551"/>
        <v>0</v>
      </c>
      <c r="O8129" s="44">
        <f t="shared" si="5552"/>
        <v>0</v>
      </c>
      <c r="P8129" s="44">
        <f t="shared" si="5553"/>
        <v>0</v>
      </c>
      <c r="Q8129" s="44">
        <f t="shared" si="5554"/>
        <v>0</v>
      </c>
      <c r="R8129" s="44">
        <f t="shared" si="5555"/>
        <v>0</v>
      </c>
      <c r="S8129" s="123"/>
      <c r="T8129" s="219">
        <f t="shared" si="5556"/>
        <v>0</v>
      </c>
      <c r="U8129" s="87"/>
      <c r="V8129" s="47"/>
      <c r="W8129" s="48"/>
      <c r="X8129" s="48"/>
      <c r="Y8129" s="48"/>
      <c r="Z8129" s="135"/>
      <c r="AA8129" s="49"/>
      <c r="AB8129" s="50">
        <f t="shared" si="5557"/>
        <v>0</v>
      </c>
      <c r="AC8129" s="42">
        <f t="shared" si="5558"/>
        <v>9.9999999999999998E-20</v>
      </c>
      <c r="AD8129" s="90"/>
      <c r="AE8129" s="188"/>
      <c r="AF8129" s="189"/>
      <c r="AG8129" s="189"/>
      <c r="AH8129" s="189"/>
      <c r="AI8129" s="161"/>
    </row>
    <row r="8130" spans="1:41" ht="20.100000000000001" customHeight="1" x14ac:dyDescent="0.25">
      <c r="A8130" s="277" t="s">
        <v>703</v>
      </c>
      <c r="B8130" s="278"/>
      <c r="C8130" s="64" t="s">
        <v>775</v>
      </c>
      <c r="D8130" s="46"/>
      <c r="E8130" s="114"/>
      <c r="F8130" s="44">
        <v>0</v>
      </c>
      <c r="G8130" s="44">
        <f t="shared" si="5545"/>
        <v>0</v>
      </c>
      <c r="H8130" s="44">
        <f t="shared" si="5546"/>
        <v>0</v>
      </c>
      <c r="I8130" s="43">
        <f t="shared" si="5547"/>
        <v>0</v>
      </c>
      <c r="J8130" s="112">
        <f t="shared" si="5548"/>
        <v>0</v>
      </c>
      <c r="K8130" s="211">
        <f t="shared" si="5549"/>
        <v>0</v>
      </c>
      <c r="L8130" s="44"/>
      <c r="M8130" s="44">
        <f t="shared" si="5550"/>
        <v>0</v>
      </c>
      <c r="N8130" s="173">
        <f t="shared" si="5551"/>
        <v>0</v>
      </c>
      <c r="O8130" s="44">
        <f t="shared" si="5552"/>
        <v>0</v>
      </c>
      <c r="P8130" s="44">
        <f t="shared" si="5553"/>
        <v>0</v>
      </c>
      <c r="Q8130" s="44">
        <f t="shared" si="5554"/>
        <v>0</v>
      </c>
      <c r="R8130" s="44">
        <f t="shared" si="5555"/>
        <v>0</v>
      </c>
      <c r="S8130" s="123"/>
      <c r="T8130" s="219">
        <f t="shared" si="5556"/>
        <v>0</v>
      </c>
      <c r="U8130" s="87"/>
      <c r="V8130" s="47"/>
      <c r="W8130" s="48"/>
      <c r="X8130" s="48"/>
      <c r="Y8130" s="48"/>
      <c r="Z8130" s="135"/>
      <c r="AA8130" s="49"/>
      <c r="AB8130" s="50">
        <f t="shared" si="5557"/>
        <v>0</v>
      </c>
      <c r="AC8130" s="42">
        <f t="shared" si="5558"/>
        <v>9.9999999999999998E-20</v>
      </c>
      <c r="AD8130" s="90"/>
      <c r="AE8130" s="188"/>
      <c r="AF8130" s="189"/>
      <c r="AG8130" s="189"/>
      <c r="AH8130" s="189"/>
      <c r="AI8130" s="161"/>
    </row>
    <row r="8131" spans="1:41" ht="20.100000000000001" customHeight="1" x14ac:dyDescent="0.25">
      <c r="A8131" s="277" t="s">
        <v>703</v>
      </c>
      <c r="B8131" s="278"/>
      <c r="C8131" s="64" t="s">
        <v>763</v>
      </c>
      <c r="D8131" s="46" t="s">
        <v>97</v>
      </c>
      <c r="E8131" s="114"/>
      <c r="F8131" s="44">
        <v>0</v>
      </c>
      <c r="G8131" s="44">
        <f t="shared" si="5545"/>
        <v>0</v>
      </c>
      <c r="H8131" s="44">
        <f t="shared" si="5546"/>
        <v>0</v>
      </c>
      <c r="I8131" s="43">
        <f t="shared" si="5547"/>
        <v>0</v>
      </c>
      <c r="J8131" s="112">
        <f t="shared" si="5548"/>
        <v>0</v>
      </c>
      <c r="K8131" s="211">
        <f t="shared" si="5549"/>
        <v>0</v>
      </c>
      <c r="L8131" s="44"/>
      <c r="M8131" s="44">
        <f t="shared" si="5550"/>
        <v>0</v>
      </c>
      <c r="N8131" s="173">
        <f t="shared" si="5551"/>
        <v>0</v>
      </c>
      <c r="O8131" s="44">
        <f t="shared" si="5552"/>
        <v>0</v>
      </c>
      <c r="P8131" s="44">
        <f t="shared" si="5553"/>
        <v>0</v>
      </c>
      <c r="Q8131" s="44">
        <f t="shared" si="5554"/>
        <v>0</v>
      </c>
      <c r="R8131" s="44">
        <f t="shared" si="5555"/>
        <v>0</v>
      </c>
      <c r="S8131" s="123"/>
      <c r="T8131" s="219">
        <f t="shared" si="5556"/>
        <v>0</v>
      </c>
      <c r="U8131" s="87"/>
      <c r="V8131" s="47"/>
      <c r="W8131" s="48"/>
      <c r="X8131" s="48"/>
      <c r="Y8131" s="48"/>
      <c r="Z8131" s="135"/>
      <c r="AA8131" s="49"/>
      <c r="AB8131" s="50">
        <f t="shared" si="5557"/>
        <v>0</v>
      </c>
      <c r="AC8131" s="42">
        <f t="shared" si="5558"/>
        <v>9.9999999999999998E-20</v>
      </c>
      <c r="AD8131" s="90"/>
      <c r="AE8131" s="188"/>
      <c r="AF8131" s="189"/>
      <c r="AG8131" s="189"/>
      <c r="AH8131" s="189"/>
      <c r="AI8131" s="161"/>
    </row>
    <row r="8132" spans="1:41" ht="20.100000000000001" customHeight="1" x14ac:dyDescent="0.25">
      <c r="A8132" s="277" t="s">
        <v>703</v>
      </c>
      <c r="B8132" s="278"/>
      <c r="C8132" s="64" t="s">
        <v>764</v>
      </c>
      <c r="D8132" s="46" t="s">
        <v>97</v>
      </c>
      <c r="E8132" s="114">
        <v>44.955684999999789</v>
      </c>
      <c r="F8132" s="44">
        <v>4347</v>
      </c>
      <c r="G8132" s="44">
        <f t="shared" si="5545"/>
        <v>195422.36269499909</v>
      </c>
      <c r="H8132" s="44">
        <f t="shared" si="5546"/>
        <v>3873.1841176470598</v>
      </c>
      <c r="I8132" s="43">
        <f t="shared" si="5547"/>
        <v>174121.64513994334</v>
      </c>
      <c r="J8132" s="112">
        <f t="shared" si="5548"/>
        <v>44.955684999999789</v>
      </c>
      <c r="K8132" s="211">
        <f t="shared" si="5549"/>
        <v>44.955684999999789</v>
      </c>
      <c r="L8132" s="44"/>
      <c r="M8132" s="44">
        <f t="shared" si="5550"/>
        <v>44.955684999999789</v>
      </c>
      <c r="N8132" s="173">
        <f t="shared" si="5551"/>
        <v>1</v>
      </c>
      <c r="O8132" s="44">
        <f t="shared" si="5552"/>
        <v>4347</v>
      </c>
      <c r="P8132" s="44">
        <f t="shared" si="5553"/>
        <v>195422.36269499909</v>
      </c>
      <c r="Q8132" s="44">
        <f t="shared" si="5554"/>
        <v>3873.1841176470598</v>
      </c>
      <c r="R8132" s="44">
        <f t="shared" si="5555"/>
        <v>174121.64513994334</v>
      </c>
      <c r="S8132" s="123"/>
      <c r="T8132" s="219">
        <f t="shared" si="5556"/>
        <v>174121.64513994334</v>
      </c>
      <c r="U8132" s="87"/>
      <c r="V8132" s="47"/>
      <c r="W8132" s="48"/>
      <c r="X8132" s="48"/>
      <c r="Y8132" s="48"/>
      <c r="Z8132" s="135"/>
      <c r="AA8132" s="49"/>
      <c r="AB8132" s="50">
        <f t="shared" si="5557"/>
        <v>3873.1841176470598</v>
      </c>
      <c r="AC8132" s="42">
        <f t="shared" si="5558"/>
        <v>44.955684999999789</v>
      </c>
      <c r="AD8132" s="90">
        <f>AD8133+AD8142</f>
        <v>174121.64513994334</v>
      </c>
      <c r="AE8132" s="188">
        <f t="shared" ref="AE8132:AH8132" si="5651">AE8133+AE8142</f>
        <v>0</v>
      </c>
      <c r="AF8132" s="189">
        <f t="shared" si="5651"/>
        <v>0</v>
      </c>
      <c r="AG8132" s="189">
        <f t="shared" si="5651"/>
        <v>0</v>
      </c>
      <c r="AH8132" s="189">
        <f t="shared" si="5651"/>
        <v>0</v>
      </c>
      <c r="AI8132" s="161">
        <f t="shared" ref="AI8132" si="5652">SUM(AE8132:AH8132)</f>
        <v>0</v>
      </c>
      <c r="AK8132" s="169">
        <v>5</v>
      </c>
      <c r="AO8132" s="19" t="s">
        <v>63</v>
      </c>
    </row>
    <row r="8133" spans="1:41" s="103" customFormat="1" ht="19.899999999999999" customHeight="1" x14ac:dyDescent="0.25">
      <c r="A8133" s="51"/>
      <c r="B8133" s="52"/>
      <c r="C8133" s="165"/>
      <c r="D8133" s="52"/>
      <c r="E8133" s="115"/>
      <c r="F8133" s="58"/>
      <c r="G8133" s="58"/>
      <c r="H8133" s="58"/>
      <c r="I8133" s="55"/>
      <c r="J8133" s="113">
        <f>J8132</f>
        <v>44.955684999999789</v>
      </c>
      <c r="K8133" s="212">
        <f>K8132</f>
        <v>44.955684999999789</v>
      </c>
      <c r="L8133" s="58"/>
      <c r="M8133" s="58">
        <f>K8133-L8133</f>
        <v>44.955684999999789</v>
      </c>
      <c r="N8133" s="166"/>
      <c r="O8133" s="58"/>
      <c r="P8133" s="58"/>
      <c r="Q8133" s="58"/>
      <c r="R8133" s="58"/>
      <c r="S8133" s="58"/>
      <c r="T8133" s="220"/>
      <c r="U8133" s="88"/>
      <c r="V8133" s="56"/>
      <c r="W8133" s="57" t="s">
        <v>1127</v>
      </c>
      <c r="X8133" s="53"/>
      <c r="Y8133" s="91" t="s">
        <v>68</v>
      </c>
      <c r="Z8133" s="136">
        <f>AD8133/AC8133</f>
        <v>28.634117647058826</v>
      </c>
      <c r="AA8133" s="58"/>
      <c r="AB8133" s="53">
        <f>AD8133/AC8133</f>
        <v>28.634117647058826</v>
      </c>
      <c r="AC8133" s="53">
        <f>M8133+$AE$10</f>
        <v>44.955684999999789</v>
      </c>
      <c r="AD8133" s="54">
        <f>SUM(AD8134:AD8141)</f>
        <v>1287.2663731941118</v>
      </c>
      <c r="AE8133" s="184">
        <f>SUMIFS($AD$37:$AD$12971,$V$37:$V$12971,$V8133,$X$37:$X$12971,AE$13)</f>
        <v>0</v>
      </c>
      <c r="AF8133" s="185">
        <f>SUMIFS($AD$37:$AD$12971,$V$37:$V$12971,$V8133,$X$37:$X$12971,AF$13)</f>
        <v>0</v>
      </c>
      <c r="AG8133" s="185">
        <f>SUMIFS($AD$37:$AD$12971,$V$37:$V$12971,$V8133,$X$37:$X$12971,AG$13)</f>
        <v>0</v>
      </c>
      <c r="AH8133" s="187">
        <f>SUMIFS($AD$37:$AD$12971,$V$37:$V$12971,$V8133,$X$37:$X$12971,AH$13)</f>
        <v>0</v>
      </c>
      <c r="AI8133" s="161">
        <f t="shared" ref="AI8133" si="5653">SUM(AE8133:AH8133)</f>
        <v>0</v>
      </c>
      <c r="AK8133" s="172"/>
    </row>
    <row r="8134" spans="1:41" s="102" customFormat="1" ht="19.899999999999999" customHeight="1" x14ac:dyDescent="0.25">
      <c r="A8134" s="45"/>
      <c r="B8134" s="59"/>
      <c r="C8134" s="137"/>
      <c r="D8134" s="59"/>
      <c r="E8134" s="116"/>
      <c r="F8134" s="120"/>
      <c r="G8134" s="120"/>
      <c r="H8134" s="120"/>
      <c r="I8134" s="60"/>
      <c r="J8134" s="116"/>
      <c r="K8134" s="213"/>
      <c r="L8134" s="120"/>
      <c r="M8134" s="120"/>
      <c r="N8134" s="167"/>
      <c r="O8134" s="120"/>
      <c r="P8134" s="120"/>
      <c r="Q8134" s="120"/>
      <c r="R8134" s="120"/>
      <c r="S8134" s="120"/>
      <c r="T8134" s="221"/>
      <c r="U8134" s="89"/>
      <c r="V8134" s="61"/>
      <c r="W8134" s="92" t="s">
        <v>129</v>
      </c>
      <c r="X8134" s="93" t="s">
        <v>29</v>
      </c>
      <c r="Y8134" s="93" t="s">
        <v>93</v>
      </c>
      <c r="Z8134" s="134">
        <f>VLOOKUP(W8134,Sheet2!$B:$D,3,FALSE)</f>
        <v>56</v>
      </c>
      <c r="AA8134" s="93">
        <f>100/(3*2)</f>
        <v>16.666666666666668</v>
      </c>
      <c r="AB8134" s="93">
        <f t="shared" ref="AB8134" si="5654">AD8134/AC8133</f>
        <v>3.3599999999999994</v>
      </c>
      <c r="AC8134" s="93">
        <f>AC8133/AA8134</f>
        <v>2.6973410999999872</v>
      </c>
      <c r="AD8134" s="94">
        <f t="shared" ref="AD8134:AD8135" si="5655">AC8134*Z8134</f>
        <v>151.05110159999927</v>
      </c>
      <c r="AE8134" s="190"/>
      <c r="AF8134" s="191"/>
      <c r="AG8134" s="191"/>
      <c r="AH8134" s="191"/>
      <c r="AI8134" s="186"/>
      <c r="AK8134" s="171"/>
    </row>
    <row r="8135" spans="1:41" s="102" customFormat="1" ht="19.899999999999999" customHeight="1" x14ac:dyDescent="0.25">
      <c r="A8135" s="45"/>
      <c r="B8135" s="59"/>
      <c r="C8135" s="137"/>
      <c r="D8135" s="59"/>
      <c r="E8135" s="116"/>
      <c r="F8135" s="120"/>
      <c r="G8135" s="120"/>
      <c r="H8135" s="120"/>
      <c r="I8135" s="60"/>
      <c r="J8135" s="116"/>
      <c r="K8135" s="213"/>
      <c r="L8135" s="120"/>
      <c r="M8135" s="120"/>
      <c r="N8135" s="167"/>
      <c r="O8135" s="120"/>
      <c r="P8135" s="120"/>
      <c r="Q8135" s="120"/>
      <c r="R8135" s="120"/>
      <c r="S8135" s="120"/>
      <c r="T8135" s="221"/>
      <c r="U8135" s="89"/>
      <c r="V8135" s="61"/>
      <c r="W8135" s="92" t="s">
        <v>65</v>
      </c>
      <c r="X8135" s="93" t="s">
        <v>30</v>
      </c>
      <c r="Y8135" s="93" t="s">
        <v>1011</v>
      </c>
      <c r="Z8135" s="134">
        <f>VLOOKUP(W8135,Sheet2!$B:$D,3,FALSE)</f>
        <v>1.76</v>
      </c>
      <c r="AA8135" s="93">
        <f>AA8134/14</f>
        <v>1.1904761904761905</v>
      </c>
      <c r="AB8135" s="93">
        <f>AD8135/AC8133</f>
        <v>1.4784000000000002</v>
      </c>
      <c r="AC8135" s="93">
        <f>AC8133/AA8135</f>
        <v>37.762775399999825</v>
      </c>
      <c r="AD8135" s="94">
        <f t="shared" si="5655"/>
        <v>66.462484703999692</v>
      </c>
      <c r="AE8135" s="190"/>
      <c r="AF8135" s="191"/>
      <c r="AG8135" s="191"/>
      <c r="AH8135" s="191"/>
      <c r="AI8135" s="186"/>
      <c r="AK8135" s="171"/>
    </row>
    <row r="8136" spans="1:41" s="102" customFormat="1" ht="19.899999999999999" customHeight="1" x14ac:dyDescent="0.25">
      <c r="A8136" s="45"/>
      <c r="B8136" s="59"/>
      <c r="C8136" s="137"/>
      <c r="D8136" s="59"/>
      <c r="E8136" s="116"/>
      <c r="F8136" s="120"/>
      <c r="G8136" s="120"/>
      <c r="H8136" s="120"/>
      <c r="I8136" s="60"/>
      <c r="J8136" s="116"/>
      <c r="K8136" s="213"/>
      <c r="L8136" s="120"/>
      <c r="M8136" s="120"/>
      <c r="N8136" s="167"/>
      <c r="O8136" s="120"/>
      <c r="P8136" s="120"/>
      <c r="Q8136" s="120"/>
      <c r="R8136" s="120"/>
      <c r="S8136" s="120"/>
      <c r="T8136" s="221"/>
      <c r="U8136" s="89"/>
      <c r="V8136" s="61"/>
      <c r="W8136" s="92" t="s">
        <v>161</v>
      </c>
      <c r="X8136" s="93" t="s">
        <v>29</v>
      </c>
      <c r="Y8136" s="93" t="s">
        <v>93</v>
      </c>
      <c r="Z8136" s="134">
        <f>VLOOKUP(W8136,Sheet2!$B:$D,3,FALSE)</f>
        <v>48</v>
      </c>
      <c r="AA8136" s="93">
        <f>(16*0.85*1.5)/(3*2)</f>
        <v>3.4</v>
      </c>
      <c r="AB8136" s="93">
        <f>AD8136/AC8133</f>
        <v>14.117647058823529</v>
      </c>
      <c r="AC8136" s="93">
        <f>AC8133/AA8136</f>
        <v>13.222260294117586</v>
      </c>
      <c r="AD8136" s="94">
        <f>AC8136*Z8136</f>
        <v>634.66849411764406</v>
      </c>
      <c r="AE8136" s="190"/>
      <c r="AF8136" s="191"/>
      <c r="AG8136" s="191"/>
      <c r="AH8136" s="191"/>
      <c r="AI8136" s="186"/>
      <c r="AK8136" s="171"/>
    </row>
    <row r="8137" spans="1:41" s="102" customFormat="1" ht="19.899999999999999" customHeight="1" x14ac:dyDescent="0.25">
      <c r="A8137" s="45"/>
      <c r="B8137" s="59"/>
      <c r="C8137" s="137"/>
      <c r="D8137" s="59"/>
      <c r="E8137" s="116"/>
      <c r="F8137" s="120"/>
      <c r="G8137" s="120"/>
      <c r="H8137" s="120"/>
      <c r="I8137" s="60"/>
      <c r="J8137" s="116"/>
      <c r="K8137" s="213"/>
      <c r="L8137" s="120"/>
      <c r="M8137" s="120"/>
      <c r="N8137" s="167"/>
      <c r="O8137" s="120"/>
      <c r="P8137" s="120"/>
      <c r="Q8137" s="120"/>
      <c r="R8137" s="120"/>
      <c r="S8137" s="120"/>
      <c r="T8137" s="221"/>
      <c r="U8137" s="89"/>
      <c r="V8137" s="61"/>
      <c r="W8137" s="92" t="s">
        <v>65</v>
      </c>
      <c r="X8137" s="93" t="s">
        <v>30</v>
      </c>
      <c r="Y8137" s="93" t="s">
        <v>1011</v>
      </c>
      <c r="Z8137" s="134">
        <f>VLOOKUP(W8137,Sheet2!$B:$D,3,FALSE)</f>
        <v>1.76</v>
      </c>
      <c r="AA8137" s="93">
        <f>AA8136/10</f>
        <v>0.33999999999999997</v>
      </c>
      <c r="AB8137" s="93">
        <f>AD8137/AC8133</f>
        <v>5.1764705882352944</v>
      </c>
      <c r="AC8137" s="93">
        <f>AC8133/AA8137</f>
        <v>132.22260294117586</v>
      </c>
      <c r="AD8137" s="94">
        <f>AC8137*Z8137</f>
        <v>232.71178117646951</v>
      </c>
      <c r="AE8137" s="190"/>
      <c r="AF8137" s="191"/>
      <c r="AG8137" s="191"/>
      <c r="AH8137" s="191"/>
      <c r="AI8137" s="186"/>
      <c r="AK8137" s="171"/>
    </row>
    <row r="8138" spans="1:41" s="102" customFormat="1" ht="19.899999999999999" customHeight="1" x14ac:dyDescent="0.25">
      <c r="A8138" s="45"/>
      <c r="B8138" s="59"/>
      <c r="C8138" s="137"/>
      <c r="D8138" s="59"/>
      <c r="E8138" s="116"/>
      <c r="F8138" s="120"/>
      <c r="G8138" s="120"/>
      <c r="H8138" s="120"/>
      <c r="I8138" s="60"/>
      <c r="J8138" s="116"/>
      <c r="K8138" s="213"/>
      <c r="L8138" s="120"/>
      <c r="M8138" s="120"/>
      <c r="N8138" s="167"/>
      <c r="O8138" s="120"/>
      <c r="P8138" s="120"/>
      <c r="Q8138" s="120"/>
      <c r="R8138" s="120"/>
      <c r="S8138" s="120"/>
      <c r="T8138" s="221"/>
      <c r="U8138" s="89"/>
      <c r="V8138" s="61"/>
      <c r="W8138" s="92" t="s">
        <v>1030</v>
      </c>
      <c r="X8138" s="93" t="s">
        <v>29</v>
      </c>
      <c r="Y8138" s="93" t="s">
        <v>93</v>
      </c>
      <c r="Z8138" s="134">
        <f>VLOOKUP(W8138,Sheet2!$B:$D,3,FALSE)</f>
        <v>23</v>
      </c>
      <c r="AA8138" s="93">
        <v>50</v>
      </c>
      <c r="AB8138" s="93">
        <f>AD8138/AC8133</f>
        <v>0.46</v>
      </c>
      <c r="AC8138" s="93">
        <f>AC8133/AA8138</f>
        <v>0.8991136999999958</v>
      </c>
      <c r="AD8138" s="94">
        <f t="shared" ref="AD8138:AD8141" si="5656">AC8138*Z8138</f>
        <v>20.679615099999904</v>
      </c>
      <c r="AE8138" s="190"/>
      <c r="AF8138" s="191"/>
      <c r="AG8138" s="191"/>
      <c r="AH8138" s="191"/>
      <c r="AI8138" s="186"/>
      <c r="AK8138" s="171"/>
    </row>
    <row r="8139" spans="1:41" s="102" customFormat="1" ht="19.899999999999999" customHeight="1" x14ac:dyDescent="0.25">
      <c r="A8139" s="45"/>
      <c r="B8139" s="59"/>
      <c r="C8139" s="137"/>
      <c r="D8139" s="59"/>
      <c r="E8139" s="116"/>
      <c r="F8139" s="120"/>
      <c r="G8139" s="120"/>
      <c r="H8139" s="120"/>
      <c r="I8139" s="60"/>
      <c r="J8139" s="116"/>
      <c r="K8139" s="213"/>
      <c r="L8139" s="120"/>
      <c r="M8139" s="120"/>
      <c r="N8139" s="167"/>
      <c r="O8139" s="120"/>
      <c r="P8139" s="120"/>
      <c r="Q8139" s="120"/>
      <c r="R8139" s="120"/>
      <c r="S8139" s="120"/>
      <c r="T8139" s="221"/>
      <c r="U8139" s="89"/>
      <c r="V8139" s="61"/>
      <c r="W8139" s="92" t="s">
        <v>65</v>
      </c>
      <c r="X8139" s="93" t="s">
        <v>30</v>
      </c>
      <c r="Y8139" s="93" t="s">
        <v>1011</v>
      </c>
      <c r="Z8139" s="134">
        <f>VLOOKUP(W8139,Sheet2!$B:$D,3,FALSE)</f>
        <v>1.76</v>
      </c>
      <c r="AA8139" s="93">
        <f>AA8138/3</f>
        <v>16.666666666666668</v>
      </c>
      <c r="AB8139" s="93">
        <f>AD8139/AC8133</f>
        <v>0.10559999999999999</v>
      </c>
      <c r="AC8139" s="93">
        <f>AC8133/AA8139</f>
        <v>2.6973410999999872</v>
      </c>
      <c r="AD8139" s="94">
        <f t="shared" si="5656"/>
        <v>4.7473203359999774</v>
      </c>
      <c r="AE8139" s="190"/>
      <c r="AF8139" s="191"/>
      <c r="AG8139" s="191"/>
      <c r="AH8139" s="191"/>
      <c r="AI8139" s="186"/>
      <c r="AK8139" s="171"/>
    </row>
    <row r="8140" spans="1:41" s="102" customFormat="1" ht="19.899999999999999" customHeight="1" x14ac:dyDescent="0.25">
      <c r="A8140" s="45"/>
      <c r="B8140" s="59"/>
      <c r="C8140" s="137"/>
      <c r="D8140" s="59"/>
      <c r="E8140" s="116"/>
      <c r="F8140" s="120"/>
      <c r="G8140" s="120"/>
      <c r="H8140" s="120"/>
      <c r="I8140" s="60"/>
      <c r="J8140" s="116"/>
      <c r="K8140" s="213"/>
      <c r="L8140" s="120"/>
      <c r="M8140" s="120"/>
      <c r="N8140" s="167"/>
      <c r="O8140" s="120"/>
      <c r="P8140" s="120"/>
      <c r="Q8140" s="120"/>
      <c r="R8140" s="120"/>
      <c r="S8140" s="120"/>
      <c r="T8140" s="221"/>
      <c r="U8140" s="89"/>
      <c r="V8140" s="61"/>
      <c r="W8140" s="92" t="s">
        <v>148</v>
      </c>
      <c r="X8140" s="93" t="s">
        <v>29</v>
      </c>
      <c r="Y8140" s="93" t="s">
        <v>93</v>
      </c>
      <c r="Z8140" s="134">
        <f>VLOOKUP(W8140,Sheet2!$B:$D,3,FALSE)</f>
        <v>48</v>
      </c>
      <c r="AA8140" s="93">
        <f>AA8134</f>
        <v>16.666666666666668</v>
      </c>
      <c r="AB8140" s="93">
        <f>AD8140/AC8133</f>
        <v>2.88</v>
      </c>
      <c r="AC8140" s="93">
        <f>AC8133/AA8140</f>
        <v>2.6973410999999872</v>
      </c>
      <c r="AD8140" s="94">
        <f t="shared" si="5656"/>
        <v>129.47237279999939</v>
      </c>
      <c r="AE8140" s="190"/>
      <c r="AF8140" s="191"/>
      <c r="AG8140" s="191"/>
      <c r="AH8140" s="191"/>
      <c r="AI8140" s="186"/>
      <c r="AK8140" s="171"/>
    </row>
    <row r="8141" spans="1:41" s="102" customFormat="1" ht="19.899999999999999" customHeight="1" x14ac:dyDescent="0.25">
      <c r="A8141" s="45"/>
      <c r="B8141" s="59"/>
      <c r="C8141" s="137"/>
      <c r="D8141" s="59"/>
      <c r="E8141" s="116"/>
      <c r="F8141" s="120"/>
      <c r="G8141" s="120"/>
      <c r="H8141" s="120"/>
      <c r="I8141" s="60"/>
      <c r="J8141" s="116"/>
      <c r="K8141" s="213"/>
      <c r="L8141" s="120"/>
      <c r="M8141" s="120"/>
      <c r="N8141" s="167"/>
      <c r="O8141" s="120"/>
      <c r="P8141" s="120"/>
      <c r="Q8141" s="120"/>
      <c r="R8141" s="120"/>
      <c r="S8141" s="120"/>
      <c r="T8141" s="221"/>
      <c r="U8141" s="89"/>
      <c r="V8141" s="61"/>
      <c r="W8141" s="92" t="s">
        <v>65</v>
      </c>
      <c r="X8141" s="93" t="s">
        <v>30</v>
      </c>
      <c r="Y8141" s="93" t="s">
        <v>1011</v>
      </c>
      <c r="Z8141" s="134">
        <f>VLOOKUP(W8141,Sheet2!$B:$D,3,FALSE)</f>
        <v>1.76</v>
      </c>
      <c r="AA8141" s="93">
        <f>AA8140/10</f>
        <v>1.6666666666666667</v>
      </c>
      <c r="AB8141" s="93">
        <f>AD8141/AC8133</f>
        <v>1.0559999999999998</v>
      </c>
      <c r="AC8141" s="93">
        <f>AC8133/AA8141</f>
        <v>26.973410999999871</v>
      </c>
      <c r="AD8141" s="94">
        <f t="shared" si="5656"/>
        <v>47.473203359999772</v>
      </c>
      <c r="AE8141" s="190"/>
      <c r="AF8141" s="191"/>
      <c r="AG8141" s="191"/>
      <c r="AH8141" s="191"/>
      <c r="AI8141" s="186"/>
      <c r="AK8141" s="171"/>
    </row>
    <row r="8142" spans="1:41" s="103" customFormat="1" ht="19.899999999999999" customHeight="1" x14ac:dyDescent="0.25">
      <c r="A8142" s="51"/>
      <c r="B8142" s="52"/>
      <c r="C8142" s="165"/>
      <c r="D8142" s="52"/>
      <c r="E8142" s="115"/>
      <c r="F8142" s="58"/>
      <c r="G8142" s="58"/>
      <c r="H8142" s="58"/>
      <c r="I8142" s="55"/>
      <c r="J8142" s="113">
        <f>J8132</f>
        <v>44.955684999999789</v>
      </c>
      <c r="K8142" s="212">
        <f>K8132</f>
        <v>44.955684999999789</v>
      </c>
      <c r="L8142" s="58"/>
      <c r="M8142" s="58">
        <f>K8142-L8142</f>
        <v>44.955684999999789</v>
      </c>
      <c r="N8142" s="166"/>
      <c r="O8142" s="58"/>
      <c r="P8142" s="58"/>
      <c r="Q8142" s="58"/>
      <c r="R8142" s="58"/>
      <c r="S8142" s="58"/>
      <c r="T8142" s="220"/>
      <c r="U8142" s="88"/>
      <c r="V8142" s="56"/>
      <c r="W8142" s="57" t="s">
        <v>1122</v>
      </c>
      <c r="X8142" s="53"/>
      <c r="Y8142" s="91" t="s">
        <v>68</v>
      </c>
      <c r="Z8142" s="136">
        <f>AD8142/AC8142</f>
        <v>3844.5500000000006</v>
      </c>
      <c r="AA8142" s="58"/>
      <c r="AB8142" s="53">
        <f>AD8142/AC8142</f>
        <v>3844.5500000000006</v>
      </c>
      <c r="AC8142" s="53">
        <f>M8142+$AE$10</f>
        <v>44.955684999999789</v>
      </c>
      <c r="AD8142" s="54">
        <f>SUM(AD8143:AD8146)</f>
        <v>172834.37876674923</v>
      </c>
      <c r="AE8142" s="184">
        <f>SUMIFS($AD$37:$AD$12971,$V$37:$V$12971,$V8142,$X$37:$X$12971,AE$13)</f>
        <v>0</v>
      </c>
      <c r="AF8142" s="185">
        <f>SUMIFS($AD$37:$AD$12971,$V$37:$V$12971,$V8142,$X$37:$X$12971,AF$13)</f>
        <v>0</v>
      </c>
      <c r="AG8142" s="185">
        <f>SUMIFS($AD$37:$AD$12971,$V$37:$V$12971,$V8142,$X$37:$X$12971,AG$13)</f>
        <v>0</v>
      </c>
      <c r="AH8142" s="187">
        <f>SUMIFS($AD$37:$AD$12971,$V$37:$V$12971,$V8142,$X$37:$X$12971,AH$13)</f>
        <v>0</v>
      </c>
      <c r="AI8142" s="161">
        <f t="shared" ref="AI8142" si="5657">SUM(AE8142:AH8142)</f>
        <v>0</v>
      </c>
      <c r="AK8142" s="172"/>
    </row>
    <row r="8143" spans="1:41" s="102" customFormat="1" ht="19.899999999999999" customHeight="1" x14ac:dyDescent="0.25">
      <c r="A8143" s="45"/>
      <c r="B8143" s="59"/>
      <c r="C8143" s="137"/>
      <c r="D8143" s="59"/>
      <c r="E8143" s="116"/>
      <c r="F8143" s="120"/>
      <c r="G8143" s="120"/>
      <c r="H8143" s="120"/>
      <c r="I8143" s="60"/>
      <c r="J8143" s="116"/>
      <c r="K8143" s="213"/>
      <c r="L8143" s="120"/>
      <c r="M8143" s="120"/>
      <c r="N8143" s="167"/>
      <c r="O8143" s="120"/>
      <c r="P8143" s="120"/>
      <c r="Q8143" s="120"/>
      <c r="R8143" s="120"/>
      <c r="S8143" s="120"/>
      <c r="T8143" s="221"/>
      <c r="U8143" s="89"/>
      <c r="V8143" s="61"/>
      <c r="W8143" s="92" t="s">
        <v>1105</v>
      </c>
      <c r="X8143" s="93" t="s">
        <v>30</v>
      </c>
      <c r="Y8143" s="93" t="s">
        <v>66</v>
      </c>
      <c r="Z8143" s="134">
        <f>VLOOKUP(W8143,Sheet2!$B:$D,3,FALSE)</f>
        <v>2200</v>
      </c>
      <c r="AA8143" s="93">
        <f>1/((2.2*1.3)-(1.6*0.7))</f>
        <v>0.57471264367816077</v>
      </c>
      <c r="AB8143" s="93">
        <f>AD8143/AC8142</f>
        <v>3828.0000000000009</v>
      </c>
      <c r="AC8143" s="93">
        <f>AC8142/AA8143</f>
        <v>78.222891899999652</v>
      </c>
      <c r="AD8143" s="94">
        <f t="shared" ref="AD8143" si="5658">AC8143*Z8143</f>
        <v>172090.36217999924</v>
      </c>
      <c r="AE8143" s="190"/>
      <c r="AF8143" s="191"/>
      <c r="AG8143" s="191"/>
      <c r="AH8143" s="191"/>
      <c r="AI8143" s="186"/>
      <c r="AK8143" s="171"/>
    </row>
    <row r="8144" spans="1:41" s="102" customFormat="1" ht="19.899999999999999" customHeight="1" x14ac:dyDescent="0.25">
      <c r="A8144" s="45"/>
      <c r="B8144" s="59"/>
      <c r="C8144" s="137"/>
      <c r="D8144" s="59"/>
      <c r="E8144" s="116"/>
      <c r="F8144" s="120"/>
      <c r="G8144" s="120"/>
      <c r="H8144" s="120"/>
      <c r="I8144" s="60"/>
      <c r="J8144" s="116"/>
      <c r="K8144" s="213"/>
      <c r="L8144" s="120"/>
      <c r="M8144" s="120"/>
      <c r="N8144" s="167"/>
      <c r="O8144" s="120"/>
      <c r="P8144" s="120"/>
      <c r="Q8144" s="120"/>
      <c r="R8144" s="120"/>
      <c r="S8144" s="120"/>
      <c r="T8144" s="221"/>
      <c r="U8144" s="89"/>
      <c r="V8144" s="61"/>
      <c r="W8144" s="92" t="s">
        <v>174</v>
      </c>
      <c r="X8144" s="93" t="s">
        <v>29</v>
      </c>
      <c r="Y8144" s="93" t="s">
        <v>93</v>
      </c>
      <c r="Z8144" s="134">
        <f>VLOOKUP(W8144,Sheet2!$B:$D,3,FALSE)</f>
        <v>80</v>
      </c>
      <c r="AA8144" s="93">
        <f>4*2</f>
        <v>8</v>
      </c>
      <c r="AB8144" s="93">
        <f>AD8144/AC8142</f>
        <v>10</v>
      </c>
      <c r="AC8144" s="93">
        <f>AC8142/AA8144</f>
        <v>5.6194606249999737</v>
      </c>
      <c r="AD8144" s="94">
        <f>AC8144*Z8144</f>
        <v>449.55684999999789</v>
      </c>
      <c r="AE8144" s="190"/>
      <c r="AF8144" s="191"/>
      <c r="AG8144" s="191"/>
      <c r="AH8144" s="191"/>
      <c r="AI8144" s="186"/>
      <c r="AK8144" s="171"/>
    </row>
    <row r="8145" spans="1:41" s="102" customFormat="1" ht="19.899999999999999" customHeight="1" x14ac:dyDescent="0.25">
      <c r="A8145" s="45"/>
      <c r="B8145" s="59"/>
      <c r="C8145" s="137"/>
      <c r="D8145" s="59"/>
      <c r="E8145" s="116"/>
      <c r="F8145" s="120"/>
      <c r="G8145" s="120"/>
      <c r="H8145" s="120"/>
      <c r="I8145" s="60"/>
      <c r="J8145" s="116"/>
      <c r="K8145" s="213"/>
      <c r="L8145" s="120"/>
      <c r="M8145" s="120"/>
      <c r="N8145" s="167"/>
      <c r="O8145" s="120"/>
      <c r="P8145" s="120"/>
      <c r="Q8145" s="120"/>
      <c r="R8145" s="120"/>
      <c r="S8145" s="120"/>
      <c r="T8145" s="221"/>
      <c r="U8145" s="89"/>
      <c r="V8145" s="61"/>
      <c r="W8145" s="92" t="s">
        <v>65</v>
      </c>
      <c r="X8145" s="93" t="s">
        <v>30</v>
      </c>
      <c r="Y8145" s="93" t="s">
        <v>1011</v>
      </c>
      <c r="Z8145" s="134">
        <f>VLOOKUP(W8145,Sheet2!$B:$D,3,FALSE)</f>
        <v>1.76</v>
      </c>
      <c r="AA8145" s="93">
        <f>AA8144/15</f>
        <v>0.53333333333333333</v>
      </c>
      <c r="AB8145" s="93">
        <f>AD8145/AC8142</f>
        <v>3.3000000000000003</v>
      </c>
      <c r="AC8145" s="93">
        <f>AC8142/AA8145</f>
        <v>84.291909374999605</v>
      </c>
      <c r="AD8145" s="94">
        <f t="shared" ref="AD8145" si="5659">AC8145*Z8145</f>
        <v>148.35376049999931</v>
      </c>
      <c r="AE8145" s="190"/>
      <c r="AF8145" s="191"/>
      <c r="AG8145" s="191"/>
      <c r="AH8145" s="191"/>
      <c r="AI8145" s="186"/>
      <c r="AK8145" s="171"/>
    </row>
    <row r="8146" spans="1:41" s="102" customFormat="1" ht="19.899999999999999" customHeight="1" x14ac:dyDescent="0.25">
      <c r="A8146" s="45"/>
      <c r="B8146" s="59"/>
      <c r="C8146" s="137"/>
      <c r="D8146" s="59"/>
      <c r="E8146" s="116"/>
      <c r="F8146" s="120"/>
      <c r="G8146" s="120"/>
      <c r="H8146" s="120"/>
      <c r="I8146" s="60"/>
      <c r="J8146" s="116"/>
      <c r="K8146" s="213"/>
      <c r="L8146" s="120"/>
      <c r="M8146" s="120"/>
      <c r="N8146" s="167"/>
      <c r="O8146" s="120"/>
      <c r="P8146" s="120"/>
      <c r="Q8146" s="120"/>
      <c r="R8146" s="120"/>
      <c r="S8146" s="120"/>
      <c r="T8146" s="221"/>
      <c r="U8146" s="89"/>
      <c r="V8146" s="61"/>
      <c r="W8146" s="92" t="s">
        <v>112</v>
      </c>
      <c r="X8146" s="93" t="s">
        <v>31</v>
      </c>
      <c r="Y8146" s="93" t="s">
        <v>93</v>
      </c>
      <c r="Z8146" s="134">
        <f>VLOOKUP(W8146,Sheet2!$B:$D,3,FALSE)</f>
        <v>13</v>
      </c>
      <c r="AA8146" s="93">
        <f>AA8144/2</f>
        <v>4</v>
      </c>
      <c r="AB8146" s="93">
        <f>AD8146/AC8142</f>
        <v>3.25</v>
      </c>
      <c r="AC8146" s="93">
        <f>AC8142/AA8146</f>
        <v>11.238921249999947</v>
      </c>
      <c r="AD8146" s="94">
        <f>AC8146*Z8146</f>
        <v>146.10597624999932</v>
      </c>
      <c r="AE8146" s="190"/>
      <c r="AF8146" s="191"/>
      <c r="AG8146" s="191"/>
      <c r="AH8146" s="191"/>
      <c r="AI8146" s="186"/>
      <c r="AK8146" s="171"/>
    </row>
    <row r="8147" spans="1:41" ht="20.100000000000001" customHeight="1" x14ac:dyDescent="0.25">
      <c r="A8147" s="277" t="s">
        <v>703</v>
      </c>
      <c r="B8147" s="278"/>
      <c r="C8147" s="64" t="s">
        <v>765</v>
      </c>
      <c r="D8147" s="46" t="s">
        <v>97</v>
      </c>
      <c r="E8147" s="114">
        <v>323.7622550000001</v>
      </c>
      <c r="F8147" s="44">
        <v>3784</v>
      </c>
      <c r="G8147" s="44">
        <f t="shared" si="5545"/>
        <v>1225116.3729200005</v>
      </c>
      <c r="H8147" s="44">
        <f t="shared" si="5546"/>
        <v>3915.2012470588247</v>
      </c>
      <c r="I8147" s="43">
        <f t="shared" si="5547"/>
        <v>1267594.3845265775</v>
      </c>
      <c r="J8147" s="112">
        <f t="shared" si="5548"/>
        <v>323.7622550000001</v>
      </c>
      <c r="K8147" s="211">
        <f t="shared" si="5549"/>
        <v>323.7622550000001</v>
      </c>
      <c r="L8147" s="44"/>
      <c r="M8147" s="44">
        <f t="shared" si="5550"/>
        <v>323.7622550000001</v>
      </c>
      <c r="N8147" s="173">
        <f t="shared" si="5551"/>
        <v>1</v>
      </c>
      <c r="O8147" s="44">
        <f t="shared" si="5552"/>
        <v>3784</v>
      </c>
      <c r="P8147" s="44">
        <f t="shared" si="5553"/>
        <v>1225116.3729200005</v>
      </c>
      <c r="Q8147" s="44">
        <f t="shared" si="5554"/>
        <v>3915.2012470588247</v>
      </c>
      <c r="R8147" s="44">
        <f t="shared" si="5555"/>
        <v>1267594.3845265775</v>
      </c>
      <c r="S8147" s="123"/>
      <c r="T8147" s="219">
        <f t="shared" si="5556"/>
        <v>1267594.3845265775</v>
      </c>
      <c r="U8147" s="87"/>
      <c r="V8147" s="47"/>
      <c r="W8147" s="48"/>
      <c r="X8147" s="48"/>
      <c r="Y8147" s="48"/>
      <c r="Z8147" s="135"/>
      <c r="AA8147" s="49"/>
      <c r="AB8147" s="50">
        <f t="shared" si="5557"/>
        <v>3915.2012470588247</v>
      </c>
      <c r="AC8147" s="42">
        <f t="shared" si="5558"/>
        <v>323.7622550000001</v>
      </c>
      <c r="AD8147" s="90">
        <f>AD8148+AD8158</f>
        <v>1267594.3845265775</v>
      </c>
      <c r="AE8147" s="188">
        <f t="shared" ref="AE8147:AH8147" si="5660">AE8148+AE8158</f>
        <v>0</v>
      </c>
      <c r="AF8147" s="189">
        <f t="shared" si="5660"/>
        <v>0</v>
      </c>
      <c r="AG8147" s="189">
        <f t="shared" si="5660"/>
        <v>0</v>
      </c>
      <c r="AH8147" s="189">
        <f t="shared" si="5660"/>
        <v>0</v>
      </c>
      <c r="AI8147" s="161">
        <f t="shared" ref="AI8147" si="5661">SUM(AE8147:AH8147)</f>
        <v>0</v>
      </c>
      <c r="AK8147" s="169">
        <v>5</v>
      </c>
      <c r="AO8147" s="19" t="s">
        <v>63</v>
      </c>
    </row>
    <row r="8148" spans="1:41" s="103" customFormat="1" ht="19.899999999999999" customHeight="1" x14ac:dyDescent="0.25">
      <c r="A8148" s="51"/>
      <c r="B8148" s="52"/>
      <c r="C8148" s="165"/>
      <c r="D8148" s="52"/>
      <c r="E8148" s="115"/>
      <c r="F8148" s="58"/>
      <c r="G8148" s="58"/>
      <c r="H8148" s="58"/>
      <c r="I8148" s="55"/>
      <c r="J8148" s="113">
        <f>J8147</f>
        <v>323.7622550000001</v>
      </c>
      <c r="K8148" s="212">
        <f>K8147</f>
        <v>323.7622550000001</v>
      </c>
      <c r="L8148" s="58"/>
      <c r="M8148" s="58">
        <f>K8148-L8148</f>
        <v>323.7622550000001</v>
      </c>
      <c r="N8148" s="166"/>
      <c r="O8148" s="58"/>
      <c r="P8148" s="58"/>
      <c r="Q8148" s="58"/>
      <c r="R8148" s="58"/>
      <c r="S8148" s="58"/>
      <c r="T8148" s="220"/>
      <c r="U8148" s="88"/>
      <c r="V8148" s="56"/>
      <c r="W8148" s="57" t="s">
        <v>1126</v>
      </c>
      <c r="X8148" s="53"/>
      <c r="Y8148" s="91" t="s">
        <v>68</v>
      </c>
      <c r="Z8148" s="136">
        <f>AD8148/AC8148</f>
        <v>70.651247058823529</v>
      </c>
      <c r="AA8148" s="58"/>
      <c r="AB8148" s="53">
        <f>AD8148/AC8148</f>
        <v>70.651247058823529</v>
      </c>
      <c r="AC8148" s="53">
        <f>M8148+$AE$10</f>
        <v>323.7622550000001</v>
      </c>
      <c r="AD8148" s="54">
        <f>SUM(AD8149:AD8157)</f>
        <v>22874.207066326831</v>
      </c>
      <c r="AE8148" s="184">
        <f>SUMIFS($AD$37:$AD$12971,$V$37:$V$12971,$V8148,$X$37:$X$12971,AE$13)</f>
        <v>0</v>
      </c>
      <c r="AF8148" s="185">
        <f>SUMIFS($AD$37:$AD$12971,$V$37:$V$12971,$V8148,$X$37:$X$12971,AF$13)</f>
        <v>0</v>
      </c>
      <c r="AG8148" s="185">
        <f>SUMIFS($AD$37:$AD$12971,$V$37:$V$12971,$V8148,$X$37:$X$12971,AG$13)</f>
        <v>0</v>
      </c>
      <c r="AH8148" s="187">
        <f>SUMIFS($AD$37:$AD$12971,$V$37:$V$12971,$V8148,$X$37:$X$12971,AH$13)</f>
        <v>0</v>
      </c>
      <c r="AI8148" s="161">
        <f t="shared" ref="AI8148" si="5662">SUM(AE8148:AH8148)</f>
        <v>0</v>
      </c>
      <c r="AK8148" s="172"/>
    </row>
    <row r="8149" spans="1:41" s="102" customFormat="1" ht="19.899999999999999" customHeight="1" x14ac:dyDescent="0.25">
      <c r="A8149" s="45"/>
      <c r="B8149" s="59"/>
      <c r="C8149" s="137"/>
      <c r="D8149" s="59"/>
      <c r="E8149" s="116"/>
      <c r="F8149" s="120"/>
      <c r="G8149" s="120"/>
      <c r="H8149" s="120"/>
      <c r="I8149" s="60"/>
      <c r="J8149" s="116"/>
      <c r="K8149" s="213"/>
      <c r="L8149" s="120"/>
      <c r="M8149" s="120"/>
      <c r="N8149" s="167"/>
      <c r="O8149" s="120"/>
      <c r="P8149" s="120"/>
      <c r="Q8149" s="120"/>
      <c r="R8149" s="120"/>
      <c r="S8149" s="120"/>
      <c r="T8149" s="221"/>
      <c r="U8149" s="89"/>
      <c r="V8149" s="61"/>
      <c r="W8149" s="92" t="s">
        <v>129</v>
      </c>
      <c r="X8149" s="93" t="s">
        <v>29</v>
      </c>
      <c r="Y8149" s="93" t="s">
        <v>93</v>
      </c>
      <c r="Z8149" s="134">
        <f>VLOOKUP(W8149,Sheet2!$B:$D,3,FALSE)</f>
        <v>56</v>
      </c>
      <c r="AA8149" s="93">
        <f>100/(3*2.5)</f>
        <v>13.333333333333334</v>
      </c>
      <c r="AB8149" s="93">
        <f t="shared" ref="AB8149" si="5663">AD8149/AC8148</f>
        <v>4.2</v>
      </c>
      <c r="AC8149" s="93">
        <f>AC8148/AA8149</f>
        <v>24.282169125000006</v>
      </c>
      <c r="AD8149" s="94">
        <f t="shared" ref="AD8149:AD8150" si="5664">AC8149*Z8149</f>
        <v>1359.8014710000004</v>
      </c>
      <c r="AE8149" s="190"/>
      <c r="AF8149" s="191"/>
      <c r="AG8149" s="191"/>
      <c r="AH8149" s="191"/>
      <c r="AI8149" s="186"/>
      <c r="AK8149" s="171"/>
    </row>
    <row r="8150" spans="1:41" s="102" customFormat="1" ht="19.899999999999999" customHeight="1" x14ac:dyDescent="0.25">
      <c r="A8150" s="45"/>
      <c r="B8150" s="59"/>
      <c r="C8150" s="137"/>
      <c r="D8150" s="59"/>
      <c r="E8150" s="116"/>
      <c r="F8150" s="120"/>
      <c r="G8150" s="120"/>
      <c r="H8150" s="120"/>
      <c r="I8150" s="60"/>
      <c r="J8150" s="116"/>
      <c r="K8150" s="213"/>
      <c r="L8150" s="120"/>
      <c r="M8150" s="120"/>
      <c r="N8150" s="167"/>
      <c r="O8150" s="120"/>
      <c r="P8150" s="120"/>
      <c r="Q8150" s="120"/>
      <c r="R8150" s="120"/>
      <c r="S8150" s="120"/>
      <c r="T8150" s="221"/>
      <c r="U8150" s="89"/>
      <c r="V8150" s="61"/>
      <c r="W8150" s="92" t="s">
        <v>65</v>
      </c>
      <c r="X8150" s="93" t="s">
        <v>30</v>
      </c>
      <c r="Y8150" s="93" t="s">
        <v>1011</v>
      </c>
      <c r="Z8150" s="134">
        <f>VLOOKUP(W8150,Sheet2!$B:$D,3,FALSE)</f>
        <v>1.76</v>
      </c>
      <c r="AA8150" s="93">
        <f>AA8149/14</f>
        <v>0.95238095238095244</v>
      </c>
      <c r="AB8150" s="93">
        <f>AD8150/AC8148</f>
        <v>1.8479999999999996</v>
      </c>
      <c r="AC8150" s="93">
        <f>AC8148/AA8150</f>
        <v>339.95036775000005</v>
      </c>
      <c r="AD8150" s="94">
        <f t="shared" si="5664"/>
        <v>598.31264724000005</v>
      </c>
      <c r="AE8150" s="190"/>
      <c r="AF8150" s="191"/>
      <c r="AG8150" s="191"/>
      <c r="AH8150" s="191"/>
      <c r="AI8150" s="186"/>
      <c r="AK8150" s="171"/>
    </row>
    <row r="8151" spans="1:41" s="102" customFormat="1" ht="19.899999999999999" customHeight="1" x14ac:dyDescent="0.25">
      <c r="A8151" s="45"/>
      <c r="B8151" s="59"/>
      <c r="C8151" s="137"/>
      <c r="D8151" s="59"/>
      <c r="E8151" s="116"/>
      <c r="F8151" s="120"/>
      <c r="G8151" s="120"/>
      <c r="H8151" s="120"/>
      <c r="I8151" s="60"/>
      <c r="J8151" s="116"/>
      <c r="K8151" s="213"/>
      <c r="L8151" s="120"/>
      <c r="M8151" s="120"/>
      <c r="N8151" s="167"/>
      <c r="O8151" s="120"/>
      <c r="P8151" s="120"/>
      <c r="Q8151" s="120"/>
      <c r="R8151" s="120"/>
      <c r="S8151" s="120"/>
      <c r="T8151" s="221"/>
      <c r="U8151" s="89"/>
      <c r="V8151" s="61"/>
      <c r="W8151" s="92" t="s">
        <v>161</v>
      </c>
      <c r="X8151" s="93" t="s">
        <v>29</v>
      </c>
      <c r="Y8151" s="93" t="s">
        <v>93</v>
      </c>
      <c r="Z8151" s="134">
        <f>VLOOKUP(W8151,Sheet2!$B:$D,3,FALSE)</f>
        <v>48</v>
      </c>
      <c r="AA8151" s="93">
        <f>(16*0.85*1.5)/(3*2.5)</f>
        <v>2.7199999999999998</v>
      </c>
      <c r="AB8151" s="93">
        <f>AD8151/AC8148</f>
        <v>17.647058823529413</v>
      </c>
      <c r="AC8151" s="93">
        <f>AC8148/AA8151</f>
        <v>119.03024080882358</v>
      </c>
      <c r="AD8151" s="94">
        <f>AC8151*Z8151</f>
        <v>5713.4515588235317</v>
      </c>
      <c r="AE8151" s="190"/>
      <c r="AF8151" s="191"/>
      <c r="AG8151" s="191"/>
      <c r="AH8151" s="191"/>
      <c r="AI8151" s="186"/>
      <c r="AK8151" s="171"/>
    </row>
    <row r="8152" spans="1:41" s="102" customFormat="1" ht="19.899999999999999" customHeight="1" x14ac:dyDescent="0.25">
      <c r="A8152" s="45"/>
      <c r="B8152" s="59"/>
      <c r="C8152" s="137"/>
      <c r="D8152" s="59"/>
      <c r="E8152" s="116"/>
      <c r="F8152" s="120"/>
      <c r="G8152" s="120"/>
      <c r="H8152" s="120"/>
      <c r="I8152" s="60"/>
      <c r="J8152" s="116"/>
      <c r="K8152" s="213"/>
      <c r="L8152" s="120"/>
      <c r="M8152" s="120"/>
      <c r="N8152" s="167"/>
      <c r="O8152" s="120"/>
      <c r="P8152" s="120"/>
      <c r="Q8152" s="120"/>
      <c r="R8152" s="120"/>
      <c r="S8152" s="120"/>
      <c r="T8152" s="221"/>
      <c r="U8152" s="89"/>
      <c r="V8152" s="61"/>
      <c r="W8152" s="92" t="s">
        <v>65</v>
      </c>
      <c r="X8152" s="93" t="s">
        <v>30</v>
      </c>
      <c r="Y8152" s="93" t="s">
        <v>1011</v>
      </c>
      <c r="Z8152" s="134">
        <f>VLOOKUP(W8152,Sheet2!$B:$D,3,FALSE)</f>
        <v>1.76</v>
      </c>
      <c r="AA8152" s="93">
        <f>AA8151/10</f>
        <v>0.27199999999999996</v>
      </c>
      <c r="AB8152" s="93">
        <f>AD8152/AC8148</f>
        <v>6.4705882352941178</v>
      </c>
      <c r="AC8152" s="93">
        <f>AC8148/AA8152</f>
        <v>1190.3024080882358</v>
      </c>
      <c r="AD8152" s="94">
        <f>AC8152*Z8152</f>
        <v>2094.9322382352948</v>
      </c>
      <c r="AE8152" s="190"/>
      <c r="AF8152" s="191"/>
      <c r="AG8152" s="191"/>
      <c r="AH8152" s="191"/>
      <c r="AI8152" s="186"/>
      <c r="AK8152" s="171"/>
    </row>
    <row r="8153" spans="1:41" s="102" customFormat="1" ht="19.899999999999999" customHeight="1" x14ac:dyDescent="0.25">
      <c r="A8153" s="45"/>
      <c r="B8153" s="59"/>
      <c r="C8153" s="137"/>
      <c r="D8153" s="59"/>
      <c r="E8153" s="116"/>
      <c r="F8153" s="120"/>
      <c r="G8153" s="120"/>
      <c r="H8153" s="120"/>
      <c r="I8153" s="60"/>
      <c r="J8153" s="116"/>
      <c r="K8153" s="213"/>
      <c r="L8153" s="120"/>
      <c r="M8153" s="120"/>
      <c r="N8153" s="167"/>
      <c r="O8153" s="120"/>
      <c r="P8153" s="120"/>
      <c r="Q8153" s="120"/>
      <c r="R8153" s="120"/>
      <c r="S8153" s="120"/>
      <c r="T8153" s="221"/>
      <c r="U8153" s="89"/>
      <c r="V8153" s="61"/>
      <c r="W8153" s="92" t="s">
        <v>1030</v>
      </c>
      <c r="X8153" s="93" t="s">
        <v>29</v>
      </c>
      <c r="Y8153" s="93" t="s">
        <v>93</v>
      </c>
      <c r="Z8153" s="134">
        <f>VLOOKUP(W8153,Sheet2!$B:$D,3,FALSE)</f>
        <v>23</v>
      </c>
      <c r="AA8153" s="93">
        <v>50</v>
      </c>
      <c r="AB8153" s="93">
        <f>AD8153/AC8148</f>
        <v>0.46</v>
      </c>
      <c r="AC8153" s="93">
        <f>AC8148/AA8153</f>
        <v>6.4752451000000022</v>
      </c>
      <c r="AD8153" s="94">
        <f t="shared" ref="AD8153:AD8157" si="5665">AC8153*Z8153</f>
        <v>148.93063730000006</v>
      </c>
      <c r="AE8153" s="190"/>
      <c r="AF8153" s="191"/>
      <c r="AG8153" s="191"/>
      <c r="AH8153" s="191"/>
      <c r="AI8153" s="186"/>
      <c r="AK8153" s="171"/>
    </row>
    <row r="8154" spans="1:41" s="102" customFormat="1" ht="19.899999999999999" customHeight="1" x14ac:dyDescent="0.25">
      <c r="A8154" s="45"/>
      <c r="B8154" s="59"/>
      <c r="C8154" s="137"/>
      <c r="D8154" s="59"/>
      <c r="E8154" s="116"/>
      <c r="F8154" s="120"/>
      <c r="G8154" s="120"/>
      <c r="H8154" s="120"/>
      <c r="I8154" s="60"/>
      <c r="J8154" s="116"/>
      <c r="K8154" s="213"/>
      <c r="L8154" s="120"/>
      <c r="M8154" s="120"/>
      <c r="N8154" s="167"/>
      <c r="O8154" s="120"/>
      <c r="P8154" s="120"/>
      <c r="Q8154" s="120"/>
      <c r="R8154" s="120"/>
      <c r="S8154" s="120"/>
      <c r="T8154" s="221"/>
      <c r="U8154" s="89"/>
      <c r="V8154" s="61"/>
      <c r="W8154" s="92" t="s">
        <v>65</v>
      </c>
      <c r="X8154" s="93" t="s">
        <v>30</v>
      </c>
      <c r="Y8154" s="93" t="s">
        <v>1011</v>
      </c>
      <c r="Z8154" s="134">
        <f>VLOOKUP(W8154,Sheet2!$B:$D,3,FALSE)</f>
        <v>1.76</v>
      </c>
      <c r="AA8154" s="93">
        <f>AA8153/3</f>
        <v>16.666666666666668</v>
      </c>
      <c r="AB8154" s="93">
        <f>AD8154/AC8148</f>
        <v>0.10559999999999999</v>
      </c>
      <c r="AC8154" s="93">
        <f>AC8148/AA8154</f>
        <v>19.425735300000003</v>
      </c>
      <c r="AD8154" s="94">
        <f t="shared" si="5665"/>
        <v>34.189294128000007</v>
      </c>
      <c r="AE8154" s="190"/>
      <c r="AF8154" s="191"/>
      <c r="AG8154" s="191"/>
      <c r="AH8154" s="191"/>
      <c r="AI8154" s="186"/>
      <c r="AK8154" s="171"/>
    </row>
    <row r="8155" spans="1:41" s="102" customFormat="1" ht="19.899999999999999" customHeight="1" x14ac:dyDescent="0.25">
      <c r="A8155" s="45"/>
      <c r="B8155" s="59"/>
      <c r="C8155" s="137"/>
      <c r="D8155" s="59"/>
      <c r="E8155" s="116"/>
      <c r="F8155" s="120"/>
      <c r="G8155" s="120"/>
      <c r="H8155" s="120"/>
      <c r="I8155" s="60"/>
      <c r="J8155" s="116"/>
      <c r="K8155" s="213"/>
      <c r="L8155" s="120"/>
      <c r="M8155" s="120"/>
      <c r="N8155" s="167"/>
      <c r="O8155" s="120"/>
      <c r="P8155" s="120"/>
      <c r="Q8155" s="120"/>
      <c r="R8155" s="120"/>
      <c r="S8155" s="120"/>
      <c r="T8155" s="221"/>
      <c r="U8155" s="89"/>
      <c r="V8155" s="61"/>
      <c r="W8155" s="92" t="s">
        <v>148</v>
      </c>
      <c r="X8155" s="93" t="s">
        <v>29</v>
      </c>
      <c r="Y8155" s="93" t="s">
        <v>93</v>
      </c>
      <c r="Z8155" s="134">
        <f>VLOOKUP(W8155,Sheet2!$B:$D,3,FALSE)</f>
        <v>48</v>
      </c>
      <c r="AA8155" s="93">
        <f>AA8149</f>
        <v>13.333333333333334</v>
      </c>
      <c r="AB8155" s="93">
        <f>AD8155/AC8148</f>
        <v>3.5999999999999996</v>
      </c>
      <c r="AC8155" s="93">
        <f>AC8148/AA8155</f>
        <v>24.282169125000006</v>
      </c>
      <c r="AD8155" s="94">
        <f t="shared" si="5665"/>
        <v>1165.5441180000003</v>
      </c>
      <c r="AE8155" s="190"/>
      <c r="AF8155" s="191"/>
      <c r="AG8155" s="191"/>
      <c r="AH8155" s="191"/>
      <c r="AI8155" s="186"/>
      <c r="AK8155" s="171"/>
    </row>
    <row r="8156" spans="1:41" s="102" customFormat="1" ht="19.899999999999999" customHeight="1" x14ac:dyDescent="0.25">
      <c r="A8156" s="45"/>
      <c r="B8156" s="59"/>
      <c r="C8156" s="137"/>
      <c r="D8156" s="59"/>
      <c r="E8156" s="116"/>
      <c r="F8156" s="120"/>
      <c r="G8156" s="120"/>
      <c r="H8156" s="120"/>
      <c r="I8156" s="60"/>
      <c r="J8156" s="116"/>
      <c r="K8156" s="213"/>
      <c r="L8156" s="120"/>
      <c r="M8156" s="120"/>
      <c r="N8156" s="167"/>
      <c r="O8156" s="120"/>
      <c r="P8156" s="120"/>
      <c r="Q8156" s="120"/>
      <c r="R8156" s="120"/>
      <c r="S8156" s="120"/>
      <c r="T8156" s="221"/>
      <c r="U8156" s="89"/>
      <c r="V8156" s="61"/>
      <c r="W8156" s="92" t="s">
        <v>65</v>
      </c>
      <c r="X8156" s="93" t="s">
        <v>30</v>
      </c>
      <c r="Y8156" s="93" t="s">
        <v>1011</v>
      </c>
      <c r="Z8156" s="134">
        <f>VLOOKUP(W8156,Sheet2!$B:$D,3,FALSE)</f>
        <v>1.76</v>
      </c>
      <c r="AA8156" s="93">
        <f>AA8155/10</f>
        <v>1.3333333333333335</v>
      </c>
      <c r="AB8156" s="93">
        <f>AD8156/AC8148</f>
        <v>1.3199999999999998</v>
      </c>
      <c r="AC8156" s="93">
        <f>AC8148/AA8156</f>
        <v>242.82169125000004</v>
      </c>
      <c r="AD8156" s="94">
        <f t="shared" si="5665"/>
        <v>427.36617660000007</v>
      </c>
      <c r="AE8156" s="190"/>
      <c r="AF8156" s="191"/>
      <c r="AG8156" s="191"/>
      <c r="AH8156" s="191"/>
      <c r="AI8156" s="186"/>
      <c r="AK8156" s="171"/>
    </row>
    <row r="8157" spans="1:41" s="102" customFormat="1" ht="19.899999999999999" customHeight="1" x14ac:dyDescent="0.25">
      <c r="A8157" s="45"/>
      <c r="B8157" s="59"/>
      <c r="C8157" s="137"/>
      <c r="D8157" s="59"/>
      <c r="E8157" s="116"/>
      <c r="F8157" s="120"/>
      <c r="G8157" s="120"/>
      <c r="H8157" s="120"/>
      <c r="I8157" s="60"/>
      <c r="J8157" s="116"/>
      <c r="K8157" s="213"/>
      <c r="L8157" s="120"/>
      <c r="M8157" s="120"/>
      <c r="N8157" s="167"/>
      <c r="O8157" s="120"/>
      <c r="P8157" s="120"/>
      <c r="Q8157" s="120"/>
      <c r="R8157" s="120"/>
      <c r="S8157" s="120"/>
      <c r="T8157" s="221"/>
      <c r="U8157" s="89"/>
      <c r="V8157" s="61"/>
      <c r="W8157" s="92" t="s">
        <v>1048</v>
      </c>
      <c r="X8157" s="93" t="s">
        <v>30</v>
      </c>
      <c r="Y8157" s="93" t="s">
        <v>68</v>
      </c>
      <c r="Z8157" s="134">
        <f>VLOOKUP(W8157,Sheet2!$B:$D,3,FALSE)</f>
        <v>35</v>
      </c>
      <c r="AA8157" s="93">
        <v>1</v>
      </c>
      <c r="AB8157" s="93">
        <f>AD8157/AC8148</f>
        <v>35</v>
      </c>
      <c r="AC8157" s="93">
        <f>AC8148/AA8157</f>
        <v>323.7622550000001</v>
      </c>
      <c r="AD8157" s="94">
        <f t="shared" si="5665"/>
        <v>11331.678925000004</v>
      </c>
      <c r="AE8157" s="190"/>
      <c r="AF8157" s="191"/>
      <c r="AG8157" s="191"/>
      <c r="AH8157" s="191"/>
      <c r="AI8157" s="186"/>
      <c r="AK8157" s="171"/>
    </row>
    <row r="8158" spans="1:41" s="103" customFormat="1" ht="19.899999999999999" customHeight="1" x14ac:dyDescent="0.25">
      <c r="A8158" s="51"/>
      <c r="B8158" s="52"/>
      <c r="C8158" s="165"/>
      <c r="D8158" s="52"/>
      <c r="E8158" s="115"/>
      <c r="F8158" s="58"/>
      <c r="G8158" s="58"/>
      <c r="H8158" s="58"/>
      <c r="I8158" s="55"/>
      <c r="J8158" s="113">
        <f>J8147</f>
        <v>323.7622550000001</v>
      </c>
      <c r="K8158" s="212">
        <f>K8147</f>
        <v>323.7622550000001</v>
      </c>
      <c r="L8158" s="58"/>
      <c r="M8158" s="58">
        <f>K8158-L8158</f>
        <v>323.7622550000001</v>
      </c>
      <c r="N8158" s="166"/>
      <c r="O8158" s="58"/>
      <c r="P8158" s="58"/>
      <c r="Q8158" s="58"/>
      <c r="R8158" s="58"/>
      <c r="S8158" s="58"/>
      <c r="T8158" s="220"/>
      <c r="U8158" s="88"/>
      <c r="V8158" s="56"/>
      <c r="W8158" s="57" t="s">
        <v>1122</v>
      </c>
      <c r="X8158" s="53"/>
      <c r="Y8158" s="91" t="s">
        <v>68</v>
      </c>
      <c r="Z8158" s="136">
        <f>AD8158/AC8158</f>
        <v>3844.5500000000011</v>
      </c>
      <c r="AA8158" s="58"/>
      <c r="AB8158" s="53">
        <f>AD8158/AC8158</f>
        <v>3844.5500000000011</v>
      </c>
      <c r="AC8158" s="53">
        <f>M8158+$AE$10</f>
        <v>323.7622550000001</v>
      </c>
      <c r="AD8158" s="54">
        <f>SUM(AD8159:AD8162)</f>
        <v>1244720.1774602507</v>
      </c>
      <c r="AE8158" s="184">
        <f>SUMIFS($AD$37:$AD$12971,$V$37:$V$12971,$V8158,$X$37:$X$12971,AE$13)</f>
        <v>0</v>
      </c>
      <c r="AF8158" s="185">
        <f>SUMIFS($AD$37:$AD$12971,$V$37:$V$12971,$V8158,$X$37:$X$12971,AF$13)</f>
        <v>0</v>
      </c>
      <c r="AG8158" s="185">
        <f>SUMIFS($AD$37:$AD$12971,$V$37:$V$12971,$V8158,$X$37:$X$12971,AG$13)</f>
        <v>0</v>
      </c>
      <c r="AH8158" s="187">
        <f>SUMIFS($AD$37:$AD$12971,$V$37:$V$12971,$V8158,$X$37:$X$12971,AH$13)</f>
        <v>0</v>
      </c>
      <c r="AI8158" s="161">
        <f t="shared" ref="AI8158" si="5666">SUM(AE8158:AH8158)</f>
        <v>0</v>
      </c>
      <c r="AK8158" s="172"/>
    </row>
    <row r="8159" spans="1:41" s="102" customFormat="1" ht="19.899999999999999" customHeight="1" x14ac:dyDescent="0.25">
      <c r="A8159" s="45"/>
      <c r="B8159" s="59"/>
      <c r="C8159" s="137"/>
      <c r="D8159" s="59"/>
      <c r="E8159" s="116"/>
      <c r="F8159" s="120"/>
      <c r="G8159" s="120"/>
      <c r="H8159" s="120"/>
      <c r="I8159" s="60"/>
      <c r="J8159" s="116"/>
      <c r="K8159" s="213"/>
      <c r="L8159" s="120"/>
      <c r="M8159" s="120"/>
      <c r="N8159" s="167"/>
      <c r="O8159" s="120"/>
      <c r="P8159" s="120"/>
      <c r="Q8159" s="120"/>
      <c r="R8159" s="120"/>
      <c r="S8159" s="120"/>
      <c r="T8159" s="221"/>
      <c r="U8159" s="89"/>
      <c r="V8159" s="61"/>
      <c r="W8159" s="92" t="s">
        <v>1105</v>
      </c>
      <c r="X8159" s="93" t="s">
        <v>30</v>
      </c>
      <c r="Y8159" s="93" t="s">
        <v>66</v>
      </c>
      <c r="Z8159" s="134">
        <f>VLOOKUP(W8159,Sheet2!$B:$D,3,FALSE)</f>
        <v>2200</v>
      </c>
      <c r="AA8159" s="93">
        <f>1/((2.2*1.3)-(1.6*0.7))</f>
        <v>0.57471264367816077</v>
      </c>
      <c r="AB8159" s="93">
        <f>AD8159/AC8158</f>
        <v>3828.0000000000009</v>
      </c>
      <c r="AC8159" s="93">
        <f>AC8158/AA8159</f>
        <v>563.34632370000031</v>
      </c>
      <c r="AD8159" s="94">
        <f t="shared" ref="AD8159" si="5667">AC8159*Z8159</f>
        <v>1239361.9121400006</v>
      </c>
      <c r="AE8159" s="190"/>
      <c r="AF8159" s="191"/>
      <c r="AG8159" s="191"/>
      <c r="AH8159" s="191"/>
      <c r="AI8159" s="186"/>
      <c r="AK8159" s="171"/>
    </row>
    <row r="8160" spans="1:41" s="102" customFormat="1" ht="19.899999999999999" customHeight="1" x14ac:dyDescent="0.25">
      <c r="A8160" s="45"/>
      <c r="B8160" s="59"/>
      <c r="C8160" s="137"/>
      <c r="D8160" s="59"/>
      <c r="E8160" s="116"/>
      <c r="F8160" s="120"/>
      <c r="G8160" s="120"/>
      <c r="H8160" s="120"/>
      <c r="I8160" s="60"/>
      <c r="J8160" s="116"/>
      <c r="K8160" s="213"/>
      <c r="L8160" s="120"/>
      <c r="M8160" s="120"/>
      <c r="N8160" s="167"/>
      <c r="O8160" s="120"/>
      <c r="P8160" s="120"/>
      <c r="Q8160" s="120"/>
      <c r="R8160" s="120"/>
      <c r="S8160" s="120"/>
      <c r="T8160" s="221"/>
      <c r="U8160" s="89"/>
      <c r="V8160" s="61"/>
      <c r="W8160" s="92" t="s">
        <v>174</v>
      </c>
      <c r="X8160" s="93" t="s">
        <v>29</v>
      </c>
      <c r="Y8160" s="93" t="s">
        <v>93</v>
      </c>
      <c r="Z8160" s="134">
        <f>VLOOKUP(W8160,Sheet2!$B:$D,3,FALSE)</f>
        <v>80</v>
      </c>
      <c r="AA8160" s="93">
        <f>4*2</f>
        <v>8</v>
      </c>
      <c r="AB8160" s="93">
        <f>AD8160/AC8158</f>
        <v>10</v>
      </c>
      <c r="AC8160" s="93">
        <f>AC8158/AA8160</f>
        <v>40.470281875000012</v>
      </c>
      <c r="AD8160" s="94">
        <f>AC8160*Z8160</f>
        <v>3237.622550000001</v>
      </c>
      <c r="AE8160" s="190"/>
      <c r="AF8160" s="191"/>
      <c r="AG8160" s="191"/>
      <c r="AH8160" s="191"/>
      <c r="AI8160" s="186"/>
      <c r="AK8160" s="171"/>
    </row>
    <row r="8161" spans="1:41" s="102" customFormat="1" ht="19.899999999999999" customHeight="1" x14ac:dyDescent="0.25">
      <c r="A8161" s="45"/>
      <c r="B8161" s="59"/>
      <c r="C8161" s="137"/>
      <c r="D8161" s="59"/>
      <c r="E8161" s="116"/>
      <c r="F8161" s="120"/>
      <c r="G8161" s="120"/>
      <c r="H8161" s="120"/>
      <c r="I8161" s="60"/>
      <c r="J8161" s="116"/>
      <c r="K8161" s="213"/>
      <c r="L8161" s="120"/>
      <c r="M8161" s="120"/>
      <c r="N8161" s="167"/>
      <c r="O8161" s="120"/>
      <c r="P8161" s="120"/>
      <c r="Q8161" s="120"/>
      <c r="R8161" s="120"/>
      <c r="S8161" s="120"/>
      <c r="T8161" s="221"/>
      <c r="U8161" s="89"/>
      <c r="V8161" s="61"/>
      <c r="W8161" s="92" t="s">
        <v>65</v>
      </c>
      <c r="X8161" s="93" t="s">
        <v>30</v>
      </c>
      <c r="Y8161" s="93" t="s">
        <v>1011</v>
      </c>
      <c r="Z8161" s="134">
        <f>VLOOKUP(W8161,Sheet2!$B:$D,3,FALSE)</f>
        <v>1.76</v>
      </c>
      <c r="AA8161" s="93">
        <f>AA8160/15</f>
        <v>0.53333333333333333</v>
      </c>
      <c r="AB8161" s="93">
        <f>AD8161/AC8158</f>
        <v>3.3000000000000007</v>
      </c>
      <c r="AC8161" s="93">
        <f>AC8158/AA8161</f>
        <v>607.05422812500024</v>
      </c>
      <c r="AD8161" s="94">
        <f t="shared" ref="AD8161" si="5668">AC8161*Z8161</f>
        <v>1068.4154415000005</v>
      </c>
      <c r="AE8161" s="190"/>
      <c r="AF8161" s="191"/>
      <c r="AG8161" s="191"/>
      <c r="AH8161" s="191"/>
      <c r="AI8161" s="186"/>
      <c r="AK8161" s="171"/>
    </row>
    <row r="8162" spans="1:41" s="102" customFormat="1" ht="19.899999999999999" customHeight="1" x14ac:dyDescent="0.25">
      <c r="A8162" s="45"/>
      <c r="B8162" s="59"/>
      <c r="C8162" s="137"/>
      <c r="D8162" s="59"/>
      <c r="E8162" s="116"/>
      <c r="F8162" s="120"/>
      <c r="G8162" s="120"/>
      <c r="H8162" s="120"/>
      <c r="I8162" s="60"/>
      <c r="J8162" s="116"/>
      <c r="K8162" s="213"/>
      <c r="L8162" s="120"/>
      <c r="M8162" s="120"/>
      <c r="N8162" s="167"/>
      <c r="O8162" s="120"/>
      <c r="P8162" s="120"/>
      <c r="Q8162" s="120"/>
      <c r="R8162" s="120"/>
      <c r="S8162" s="120"/>
      <c r="T8162" s="221"/>
      <c r="U8162" s="89"/>
      <c r="V8162" s="61"/>
      <c r="W8162" s="92" t="s">
        <v>112</v>
      </c>
      <c r="X8162" s="93" t="s">
        <v>31</v>
      </c>
      <c r="Y8162" s="93" t="s">
        <v>93</v>
      </c>
      <c r="Z8162" s="134">
        <f>VLOOKUP(W8162,Sheet2!$B:$D,3,FALSE)</f>
        <v>13</v>
      </c>
      <c r="AA8162" s="93">
        <f>AA8160/2</f>
        <v>4</v>
      </c>
      <c r="AB8162" s="93">
        <f>AD8162/AC8158</f>
        <v>3.2499999999999996</v>
      </c>
      <c r="AC8162" s="93">
        <f>AC8158/AA8162</f>
        <v>80.940563750000024</v>
      </c>
      <c r="AD8162" s="94">
        <f>AC8162*Z8162</f>
        <v>1052.2273287500002</v>
      </c>
      <c r="AE8162" s="190"/>
      <c r="AF8162" s="191"/>
      <c r="AG8162" s="191"/>
      <c r="AH8162" s="191"/>
      <c r="AI8162" s="186"/>
      <c r="AK8162" s="171"/>
    </row>
    <row r="8163" spans="1:41" ht="20.100000000000001" customHeight="1" x14ac:dyDescent="0.25">
      <c r="A8163" s="277" t="s">
        <v>703</v>
      </c>
      <c r="B8163" s="278"/>
      <c r="C8163" s="64" t="s">
        <v>766</v>
      </c>
      <c r="D8163" s="46" t="s">
        <v>97</v>
      </c>
      <c r="E8163" s="114">
        <v>323.00013499999955</v>
      </c>
      <c r="F8163" s="44">
        <v>3956</v>
      </c>
      <c r="G8163" s="44">
        <f t="shared" si="5545"/>
        <v>1277788.5340599981</v>
      </c>
      <c r="H8163" s="44">
        <f t="shared" si="5546"/>
        <v>3947.2183764705887</v>
      </c>
      <c r="I8163" s="43">
        <f t="shared" si="5547"/>
        <v>1274952.0684744793</v>
      </c>
      <c r="J8163" s="112">
        <f t="shared" si="5548"/>
        <v>323.00013499999955</v>
      </c>
      <c r="K8163" s="211">
        <f t="shared" si="5549"/>
        <v>323.00013499999955</v>
      </c>
      <c r="L8163" s="44"/>
      <c r="M8163" s="44">
        <f t="shared" si="5550"/>
        <v>323.00013499999955</v>
      </c>
      <c r="N8163" s="173">
        <f t="shared" si="5551"/>
        <v>1</v>
      </c>
      <c r="O8163" s="44">
        <f t="shared" si="5552"/>
        <v>3956</v>
      </c>
      <c r="P8163" s="44">
        <f t="shared" si="5553"/>
        <v>1277788.5340599981</v>
      </c>
      <c r="Q8163" s="44">
        <f t="shared" si="5554"/>
        <v>3947.2183764705887</v>
      </c>
      <c r="R8163" s="44">
        <f t="shared" si="5555"/>
        <v>1274952.0684744793</v>
      </c>
      <c r="S8163" s="123"/>
      <c r="T8163" s="219">
        <f t="shared" si="5556"/>
        <v>1274952.0684744793</v>
      </c>
      <c r="U8163" s="87"/>
      <c r="V8163" s="47"/>
      <c r="W8163" s="48"/>
      <c r="X8163" s="48"/>
      <c r="Y8163" s="48"/>
      <c r="Z8163" s="135"/>
      <c r="AA8163" s="49"/>
      <c r="AB8163" s="50">
        <f t="shared" si="5557"/>
        <v>3947.2183764705887</v>
      </c>
      <c r="AC8163" s="42">
        <f t="shared" si="5558"/>
        <v>323.00013499999955</v>
      </c>
      <c r="AD8163" s="90">
        <f>AD8164+AD8174</f>
        <v>1274952.0684744793</v>
      </c>
      <c r="AE8163" s="188">
        <f t="shared" ref="AE8163:AH8163" si="5669">AE8164+AE8174</f>
        <v>0</v>
      </c>
      <c r="AF8163" s="189">
        <f t="shared" si="5669"/>
        <v>0</v>
      </c>
      <c r="AG8163" s="189">
        <f t="shared" si="5669"/>
        <v>0</v>
      </c>
      <c r="AH8163" s="189">
        <f t="shared" si="5669"/>
        <v>0</v>
      </c>
      <c r="AI8163" s="161">
        <f t="shared" ref="AI8163:AI8195" si="5670">SUM(AE8163:AH8163)</f>
        <v>0</v>
      </c>
      <c r="AK8163" s="169">
        <v>5</v>
      </c>
      <c r="AO8163" s="19" t="s">
        <v>63</v>
      </c>
    </row>
    <row r="8164" spans="1:41" s="103" customFormat="1" ht="19.899999999999999" customHeight="1" x14ac:dyDescent="0.25">
      <c r="A8164" s="51"/>
      <c r="B8164" s="52"/>
      <c r="C8164" s="165"/>
      <c r="D8164" s="52"/>
      <c r="E8164" s="115"/>
      <c r="F8164" s="58"/>
      <c r="G8164" s="58"/>
      <c r="H8164" s="58"/>
      <c r="I8164" s="55"/>
      <c r="J8164" s="113">
        <f>J8163</f>
        <v>323.00013499999955</v>
      </c>
      <c r="K8164" s="212">
        <f>K8163</f>
        <v>323.00013499999955</v>
      </c>
      <c r="L8164" s="58"/>
      <c r="M8164" s="58">
        <f>K8164-L8164</f>
        <v>323.00013499999955</v>
      </c>
      <c r="N8164" s="166"/>
      <c r="O8164" s="58"/>
      <c r="P8164" s="58"/>
      <c r="Q8164" s="58"/>
      <c r="R8164" s="58"/>
      <c r="S8164" s="58"/>
      <c r="T8164" s="220"/>
      <c r="U8164" s="88"/>
      <c r="V8164" s="56"/>
      <c r="W8164" s="57" t="s">
        <v>1125</v>
      </c>
      <c r="X8164" s="53"/>
      <c r="Y8164" s="91" t="s">
        <v>68</v>
      </c>
      <c r="Z8164" s="136">
        <f>AD8164/AC8164</f>
        <v>102.66837647058824</v>
      </c>
      <c r="AA8164" s="58"/>
      <c r="AB8164" s="53">
        <f>AD8164/AC8164</f>
        <v>102.66837647058824</v>
      </c>
      <c r="AC8164" s="53">
        <f>M8164+$AE$10</f>
        <v>323.00013499999955</v>
      </c>
      <c r="AD8164" s="54">
        <f>SUM(AD8165:AD8173)</f>
        <v>33161.899460230779</v>
      </c>
      <c r="AE8164" s="184">
        <f>SUMIFS($AD$37:$AD$12971,$V$37:$V$12971,$V8164,$X$37:$X$12971,AE$13)</f>
        <v>0</v>
      </c>
      <c r="AF8164" s="185">
        <f>SUMIFS($AD$37:$AD$12971,$V$37:$V$12971,$V8164,$X$37:$X$12971,AF$13)</f>
        <v>0</v>
      </c>
      <c r="AG8164" s="185">
        <f>SUMIFS($AD$37:$AD$12971,$V$37:$V$12971,$V8164,$X$37:$X$12971,AG$13)</f>
        <v>0</v>
      </c>
      <c r="AH8164" s="187">
        <f>SUMIFS($AD$37:$AD$12971,$V$37:$V$12971,$V8164,$X$37:$X$12971,AH$13)</f>
        <v>0</v>
      </c>
      <c r="AI8164" s="161">
        <f t="shared" ref="AI8164" si="5671">SUM(AE8164:AH8164)</f>
        <v>0</v>
      </c>
      <c r="AK8164" s="172"/>
    </row>
    <row r="8165" spans="1:41" s="102" customFormat="1" ht="19.899999999999999" customHeight="1" x14ac:dyDescent="0.25">
      <c r="A8165" s="45"/>
      <c r="B8165" s="59"/>
      <c r="C8165" s="137"/>
      <c r="D8165" s="59"/>
      <c r="E8165" s="116"/>
      <c r="F8165" s="120"/>
      <c r="G8165" s="120"/>
      <c r="H8165" s="120"/>
      <c r="I8165" s="60"/>
      <c r="J8165" s="116"/>
      <c r="K8165" s="213"/>
      <c r="L8165" s="120"/>
      <c r="M8165" s="120"/>
      <c r="N8165" s="167"/>
      <c r="O8165" s="120"/>
      <c r="P8165" s="120"/>
      <c r="Q8165" s="120"/>
      <c r="R8165" s="120"/>
      <c r="S8165" s="120"/>
      <c r="T8165" s="221"/>
      <c r="U8165" s="89"/>
      <c r="V8165" s="61"/>
      <c r="W8165" s="92" t="s">
        <v>129</v>
      </c>
      <c r="X8165" s="93" t="s">
        <v>29</v>
      </c>
      <c r="Y8165" s="93" t="s">
        <v>93</v>
      </c>
      <c r="Z8165" s="134">
        <f>VLOOKUP(W8165,Sheet2!$B:$D,3,FALSE)</f>
        <v>56</v>
      </c>
      <c r="AA8165" s="93">
        <f>100/(3*3)</f>
        <v>11.111111111111111</v>
      </c>
      <c r="AB8165" s="93">
        <f t="shared" ref="AB8165" si="5672">AD8165/AC8164</f>
        <v>5.04</v>
      </c>
      <c r="AC8165" s="93">
        <f>AC8164/AA8165</f>
        <v>29.070012149999961</v>
      </c>
      <c r="AD8165" s="94">
        <f t="shared" ref="AD8165:AD8166" si="5673">AC8165*Z8165</f>
        <v>1627.9206803999978</v>
      </c>
      <c r="AE8165" s="190"/>
      <c r="AF8165" s="191"/>
      <c r="AG8165" s="191"/>
      <c r="AH8165" s="191"/>
      <c r="AI8165" s="186"/>
      <c r="AK8165" s="171"/>
    </row>
    <row r="8166" spans="1:41" s="102" customFormat="1" ht="19.899999999999999" customHeight="1" x14ac:dyDescent="0.25">
      <c r="A8166" s="45"/>
      <c r="B8166" s="59"/>
      <c r="C8166" s="137"/>
      <c r="D8166" s="59"/>
      <c r="E8166" s="116"/>
      <c r="F8166" s="120"/>
      <c r="G8166" s="120"/>
      <c r="H8166" s="120"/>
      <c r="I8166" s="60"/>
      <c r="J8166" s="116"/>
      <c r="K8166" s="213"/>
      <c r="L8166" s="120"/>
      <c r="M8166" s="120"/>
      <c r="N8166" s="167"/>
      <c r="O8166" s="120"/>
      <c r="P8166" s="120"/>
      <c r="Q8166" s="120"/>
      <c r="R8166" s="120"/>
      <c r="S8166" s="120"/>
      <c r="T8166" s="221"/>
      <c r="U8166" s="89"/>
      <c r="V8166" s="61"/>
      <c r="W8166" s="92" t="s">
        <v>65</v>
      </c>
      <c r="X8166" s="93" t="s">
        <v>30</v>
      </c>
      <c r="Y8166" s="93" t="s">
        <v>1011</v>
      </c>
      <c r="Z8166" s="134">
        <f>VLOOKUP(W8166,Sheet2!$B:$D,3,FALSE)</f>
        <v>1.76</v>
      </c>
      <c r="AA8166" s="93">
        <f>AA8165/14</f>
        <v>0.79365079365079361</v>
      </c>
      <c r="AB8166" s="93">
        <f>AD8166/AC8164</f>
        <v>2.2176</v>
      </c>
      <c r="AC8166" s="93">
        <f>AC8164/AA8166</f>
        <v>406.98017009999944</v>
      </c>
      <c r="AD8166" s="94">
        <f t="shared" si="5673"/>
        <v>716.28509937599904</v>
      </c>
      <c r="AE8166" s="190"/>
      <c r="AF8166" s="191"/>
      <c r="AG8166" s="191"/>
      <c r="AH8166" s="191"/>
      <c r="AI8166" s="186"/>
      <c r="AK8166" s="171"/>
    </row>
    <row r="8167" spans="1:41" s="102" customFormat="1" ht="19.899999999999999" customHeight="1" x14ac:dyDescent="0.25">
      <c r="A8167" s="45"/>
      <c r="B8167" s="59"/>
      <c r="C8167" s="137"/>
      <c r="D8167" s="59"/>
      <c r="E8167" s="116"/>
      <c r="F8167" s="120"/>
      <c r="G8167" s="120"/>
      <c r="H8167" s="120"/>
      <c r="I8167" s="60"/>
      <c r="J8167" s="116"/>
      <c r="K8167" s="213"/>
      <c r="L8167" s="120"/>
      <c r="M8167" s="120"/>
      <c r="N8167" s="167"/>
      <c r="O8167" s="120"/>
      <c r="P8167" s="120"/>
      <c r="Q8167" s="120"/>
      <c r="R8167" s="120"/>
      <c r="S8167" s="120"/>
      <c r="T8167" s="221"/>
      <c r="U8167" s="89"/>
      <c r="V8167" s="61"/>
      <c r="W8167" s="92" t="s">
        <v>161</v>
      </c>
      <c r="X8167" s="93" t="s">
        <v>29</v>
      </c>
      <c r="Y8167" s="93" t="s">
        <v>93</v>
      </c>
      <c r="Z8167" s="134">
        <f>VLOOKUP(W8167,Sheet2!$B:$D,3,FALSE)</f>
        <v>48</v>
      </c>
      <c r="AA8167" s="93">
        <f>(16*0.85*1.5)/(3*3)</f>
        <v>2.2666666666666666</v>
      </c>
      <c r="AB8167" s="93">
        <f>AD8167/AC8164</f>
        <v>21.176470588235293</v>
      </c>
      <c r="AC8167" s="93">
        <f>AC8164/AA8167</f>
        <v>142.50005955882332</v>
      </c>
      <c r="AD8167" s="94">
        <f>AC8167*Z8167</f>
        <v>6840.00285882352</v>
      </c>
      <c r="AE8167" s="190"/>
      <c r="AF8167" s="191"/>
      <c r="AG8167" s="191"/>
      <c r="AH8167" s="191"/>
      <c r="AI8167" s="186"/>
      <c r="AK8167" s="171"/>
    </row>
    <row r="8168" spans="1:41" s="102" customFormat="1" ht="19.899999999999999" customHeight="1" x14ac:dyDescent="0.25">
      <c r="A8168" s="45"/>
      <c r="B8168" s="59"/>
      <c r="C8168" s="137"/>
      <c r="D8168" s="59"/>
      <c r="E8168" s="116"/>
      <c r="F8168" s="120"/>
      <c r="G8168" s="120"/>
      <c r="H8168" s="120"/>
      <c r="I8168" s="60"/>
      <c r="J8168" s="116"/>
      <c r="K8168" s="213"/>
      <c r="L8168" s="120"/>
      <c r="M8168" s="120"/>
      <c r="N8168" s="167"/>
      <c r="O8168" s="120"/>
      <c r="P8168" s="120"/>
      <c r="Q8168" s="120"/>
      <c r="R8168" s="120"/>
      <c r="S8168" s="120"/>
      <c r="T8168" s="221"/>
      <c r="U8168" s="89"/>
      <c r="V8168" s="61"/>
      <c r="W8168" s="92" t="s">
        <v>65</v>
      </c>
      <c r="X8168" s="93" t="s">
        <v>30</v>
      </c>
      <c r="Y8168" s="93" t="s">
        <v>1011</v>
      </c>
      <c r="Z8168" s="134">
        <f>VLOOKUP(W8168,Sheet2!$B:$D,3,FALSE)</f>
        <v>1.76</v>
      </c>
      <c r="AA8168" s="93">
        <f>AA8167/10</f>
        <v>0.22666666666666666</v>
      </c>
      <c r="AB8168" s="93">
        <f>AD8168/AC8164</f>
        <v>7.764705882352942</v>
      </c>
      <c r="AC8168" s="93">
        <f>AC8164/AA8168</f>
        <v>1425.0005955882334</v>
      </c>
      <c r="AD8168" s="94">
        <f>AC8168*Z8168</f>
        <v>2508.0010482352909</v>
      </c>
      <c r="AE8168" s="190"/>
      <c r="AF8168" s="191"/>
      <c r="AG8168" s="191"/>
      <c r="AH8168" s="191"/>
      <c r="AI8168" s="186"/>
      <c r="AK8168" s="171"/>
    </row>
    <row r="8169" spans="1:41" s="102" customFormat="1" ht="19.899999999999999" customHeight="1" x14ac:dyDescent="0.25">
      <c r="A8169" s="45"/>
      <c r="B8169" s="59"/>
      <c r="C8169" s="137"/>
      <c r="D8169" s="59"/>
      <c r="E8169" s="116"/>
      <c r="F8169" s="120"/>
      <c r="G8169" s="120"/>
      <c r="H8169" s="120"/>
      <c r="I8169" s="60"/>
      <c r="J8169" s="116"/>
      <c r="K8169" s="213"/>
      <c r="L8169" s="120"/>
      <c r="M8169" s="120"/>
      <c r="N8169" s="167"/>
      <c r="O8169" s="120"/>
      <c r="P8169" s="120"/>
      <c r="Q8169" s="120"/>
      <c r="R8169" s="120"/>
      <c r="S8169" s="120"/>
      <c r="T8169" s="221"/>
      <c r="U8169" s="89"/>
      <c r="V8169" s="61"/>
      <c r="W8169" s="92" t="s">
        <v>1030</v>
      </c>
      <c r="X8169" s="93" t="s">
        <v>29</v>
      </c>
      <c r="Y8169" s="93" t="s">
        <v>93</v>
      </c>
      <c r="Z8169" s="134">
        <f>VLOOKUP(W8169,Sheet2!$B:$D,3,FALSE)</f>
        <v>23</v>
      </c>
      <c r="AA8169" s="93">
        <v>50</v>
      </c>
      <c r="AB8169" s="93">
        <f>AD8169/AC8164</f>
        <v>0.46</v>
      </c>
      <c r="AC8169" s="93">
        <f>AC8164/AA8169</f>
        <v>6.4600026999999907</v>
      </c>
      <c r="AD8169" s="94">
        <f t="shared" ref="AD8169:AD8173" si="5674">AC8169*Z8169</f>
        <v>148.58006209999979</v>
      </c>
      <c r="AE8169" s="190"/>
      <c r="AF8169" s="191"/>
      <c r="AG8169" s="191"/>
      <c r="AH8169" s="191"/>
      <c r="AI8169" s="186"/>
      <c r="AK8169" s="171"/>
    </row>
    <row r="8170" spans="1:41" s="102" customFormat="1" ht="19.899999999999999" customHeight="1" x14ac:dyDescent="0.25">
      <c r="A8170" s="45"/>
      <c r="B8170" s="59"/>
      <c r="C8170" s="137"/>
      <c r="D8170" s="59"/>
      <c r="E8170" s="116"/>
      <c r="F8170" s="120"/>
      <c r="G8170" s="120"/>
      <c r="H8170" s="120"/>
      <c r="I8170" s="60"/>
      <c r="J8170" s="116"/>
      <c r="K8170" s="213"/>
      <c r="L8170" s="120"/>
      <c r="M8170" s="120"/>
      <c r="N8170" s="167"/>
      <c r="O8170" s="120"/>
      <c r="P8170" s="120"/>
      <c r="Q8170" s="120"/>
      <c r="R8170" s="120"/>
      <c r="S8170" s="120"/>
      <c r="T8170" s="221"/>
      <c r="U8170" s="89"/>
      <c r="V8170" s="61"/>
      <c r="W8170" s="92" t="s">
        <v>65</v>
      </c>
      <c r="X8170" s="93" t="s">
        <v>30</v>
      </c>
      <c r="Y8170" s="93" t="s">
        <v>1011</v>
      </c>
      <c r="Z8170" s="134">
        <f>VLOOKUP(W8170,Sheet2!$B:$D,3,FALSE)</f>
        <v>1.76</v>
      </c>
      <c r="AA8170" s="93">
        <f>AA8169/3</f>
        <v>16.666666666666668</v>
      </c>
      <c r="AB8170" s="93">
        <f>AD8170/AC8164</f>
        <v>0.1056</v>
      </c>
      <c r="AC8170" s="93">
        <f>AC8164/AA8170</f>
        <v>19.380008099999973</v>
      </c>
      <c r="AD8170" s="94">
        <f t="shared" si="5674"/>
        <v>34.108814255999953</v>
      </c>
      <c r="AE8170" s="190"/>
      <c r="AF8170" s="191"/>
      <c r="AG8170" s="191"/>
      <c r="AH8170" s="191"/>
      <c r="AI8170" s="186"/>
      <c r="AK8170" s="171"/>
    </row>
    <row r="8171" spans="1:41" s="102" customFormat="1" ht="19.899999999999999" customHeight="1" x14ac:dyDescent="0.25">
      <c r="A8171" s="45"/>
      <c r="B8171" s="59"/>
      <c r="C8171" s="137"/>
      <c r="D8171" s="59"/>
      <c r="E8171" s="116"/>
      <c r="F8171" s="120"/>
      <c r="G8171" s="120"/>
      <c r="H8171" s="120"/>
      <c r="I8171" s="60"/>
      <c r="J8171" s="116"/>
      <c r="K8171" s="213"/>
      <c r="L8171" s="120"/>
      <c r="M8171" s="120"/>
      <c r="N8171" s="167"/>
      <c r="O8171" s="120"/>
      <c r="P8171" s="120"/>
      <c r="Q8171" s="120"/>
      <c r="R8171" s="120"/>
      <c r="S8171" s="120"/>
      <c r="T8171" s="221"/>
      <c r="U8171" s="89"/>
      <c r="V8171" s="61"/>
      <c r="W8171" s="92" t="s">
        <v>148</v>
      </c>
      <c r="X8171" s="93" t="s">
        <v>29</v>
      </c>
      <c r="Y8171" s="93" t="s">
        <v>93</v>
      </c>
      <c r="Z8171" s="134">
        <f>VLOOKUP(W8171,Sheet2!$B:$D,3,FALSE)</f>
        <v>48</v>
      </c>
      <c r="AA8171" s="93">
        <f>AA8165</f>
        <v>11.111111111111111</v>
      </c>
      <c r="AB8171" s="93">
        <f>AD8171/AC8164</f>
        <v>4.32</v>
      </c>
      <c r="AC8171" s="93">
        <f>AC8164/AA8171</f>
        <v>29.070012149999961</v>
      </c>
      <c r="AD8171" s="94">
        <f t="shared" si="5674"/>
        <v>1395.360583199998</v>
      </c>
      <c r="AE8171" s="190"/>
      <c r="AF8171" s="191"/>
      <c r="AG8171" s="191"/>
      <c r="AH8171" s="191"/>
      <c r="AI8171" s="186"/>
      <c r="AK8171" s="171"/>
    </row>
    <row r="8172" spans="1:41" s="102" customFormat="1" ht="19.899999999999999" customHeight="1" x14ac:dyDescent="0.25">
      <c r="A8172" s="45"/>
      <c r="B8172" s="59"/>
      <c r="C8172" s="137"/>
      <c r="D8172" s="59"/>
      <c r="E8172" s="116"/>
      <c r="F8172" s="120"/>
      <c r="G8172" s="120"/>
      <c r="H8172" s="120"/>
      <c r="I8172" s="60"/>
      <c r="J8172" s="116"/>
      <c r="K8172" s="213"/>
      <c r="L8172" s="120"/>
      <c r="M8172" s="120"/>
      <c r="N8172" s="167"/>
      <c r="O8172" s="120"/>
      <c r="P8172" s="120"/>
      <c r="Q8172" s="120"/>
      <c r="R8172" s="120"/>
      <c r="S8172" s="120"/>
      <c r="T8172" s="221"/>
      <c r="U8172" s="89"/>
      <c r="V8172" s="61"/>
      <c r="W8172" s="92" t="s">
        <v>65</v>
      </c>
      <c r="X8172" s="93" t="s">
        <v>30</v>
      </c>
      <c r="Y8172" s="93" t="s">
        <v>1011</v>
      </c>
      <c r="Z8172" s="134">
        <f>VLOOKUP(W8172,Sheet2!$B:$D,3,FALSE)</f>
        <v>1.76</v>
      </c>
      <c r="AA8172" s="93">
        <f>AA8171/10</f>
        <v>1.1111111111111112</v>
      </c>
      <c r="AB8172" s="93">
        <f>AD8172/AC8164</f>
        <v>1.5839999999999999</v>
      </c>
      <c r="AC8172" s="93">
        <f>AC8164/AA8172</f>
        <v>290.70012149999957</v>
      </c>
      <c r="AD8172" s="94">
        <f t="shared" si="5674"/>
        <v>511.63221383999922</v>
      </c>
      <c r="AE8172" s="190"/>
      <c r="AF8172" s="191"/>
      <c r="AG8172" s="191"/>
      <c r="AH8172" s="191"/>
      <c r="AI8172" s="186"/>
      <c r="AK8172" s="171"/>
    </row>
    <row r="8173" spans="1:41" s="102" customFormat="1" ht="19.899999999999999" customHeight="1" x14ac:dyDescent="0.25">
      <c r="A8173" s="45"/>
      <c r="B8173" s="59"/>
      <c r="C8173" s="137"/>
      <c r="D8173" s="59"/>
      <c r="E8173" s="116"/>
      <c r="F8173" s="120"/>
      <c r="G8173" s="120"/>
      <c r="H8173" s="120"/>
      <c r="I8173" s="60"/>
      <c r="J8173" s="116"/>
      <c r="K8173" s="213"/>
      <c r="L8173" s="120"/>
      <c r="M8173" s="120"/>
      <c r="N8173" s="167"/>
      <c r="O8173" s="120"/>
      <c r="P8173" s="120"/>
      <c r="Q8173" s="120"/>
      <c r="R8173" s="120"/>
      <c r="S8173" s="120"/>
      <c r="T8173" s="221"/>
      <c r="U8173" s="89"/>
      <c r="V8173" s="61"/>
      <c r="W8173" s="92" t="s">
        <v>1049</v>
      </c>
      <c r="X8173" s="93" t="s">
        <v>30</v>
      </c>
      <c r="Y8173" s="93" t="s">
        <v>68</v>
      </c>
      <c r="Z8173" s="134">
        <f>VLOOKUP(W8173,Sheet2!$B:$D,3,FALSE)</f>
        <v>60</v>
      </c>
      <c r="AA8173" s="93">
        <v>1</v>
      </c>
      <c r="AB8173" s="93">
        <f>AD8173/AC8164</f>
        <v>60</v>
      </c>
      <c r="AC8173" s="93">
        <f>AC8164/AA8173</f>
        <v>323.00013499999955</v>
      </c>
      <c r="AD8173" s="94">
        <f t="shared" si="5674"/>
        <v>19380.008099999974</v>
      </c>
      <c r="AE8173" s="190"/>
      <c r="AF8173" s="191"/>
      <c r="AG8173" s="191"/>
      <c r="AH8173" s="191"/>
      <c r="AI8173" s="186"/>
      <c r="AK8173" s="171"/>
    </row>
    <row r="8174" spans="1:41" s="103" customFormat="1" ht="19.899999999999999" customHeight="1" x14ac:dyDescent="0.25">
      <c r="A8174" s="51"/>
      <c r="B8174" s="52"/>
      <c r="C8174" s="165"/>
      <c r="D8174" s="52"/>
      <c r="E8174" s="115"/>
      <c r="F8174" s="58"/>
      <c r="G8174" s="58"/>
      <c r="H8174" s="58"/>
      <c r="I8174" s="55"/>
      <c r="J8174" s="113">
        <f>J8163</f>
        <v>323.00013499999955</v>
      </c>
      <c r="K8174" s="212">
        <f>K8163</f>
        <v>323.00013499999955</v>
      </c>
      <c r="L8174" s="58"/>
      <c r="M8174" s="58">
        <f>K8174-L8174</f>
        <v>323.00013499999955</v>
      </c>
      <c r="N8174" s="166"/>
      <c r="O8174" s="58"/>
      <c r="P8174" s="58"/>
      <c r="Q8174" s="58"/>
      <c r="R8174" s="58"/>
      <c r="S8174" s="58"/>
      <c r="T8174" s="220"/>
      <c r="U8174" s="88"/>
      <c r="V8174" s="56"/>
      <c r="W8174" s="57" t="s">
        <v>1122</v>
      </c>
      <c r="X8174" s="53"/>
      <c r="Y8174" s="91" t="s">
        <v>68</v>
      </c>
      <c r="Z8174" s="136">
        <f>AD8174/AC8174</f>
        <v>3844.5500000000006</v>
      </c>
      <c r="AA8174" s="58"/>
      <c r="AB8174" s="53">
        <f>AD8174/AC8174</f>
        <v>3844.5500000000006</v>
      </c>
      <c r="AC8174" s="53">
        <f>M8174+$AE$10</f>
        <v>323.00013499999955</v>
      </c>
      <c r="AD8174" s="54">
        <f>SUM(AD8175:AD8178)</f>
        <v>1241790.1690142485</v>
      </c>
      <c r="AE8174" s="184">
        <f>SUMIFS($AD$37:$AD$12971,$V$37:$V$12971,$V8174,$X$37:$X$12971,AE$13)</f>
        <v>0</v>
      </c>
      <c r="AF8174" s="185">
        <f>SUMIFS($AD$37:$AD$12971,$V$37:$V$12971,$V8174,$X$37:$X$12971,AF$13)</f>
        <v>0</v>
      </c>
      <c r="AG8174" s="185">
        <f>SUMIFS($AD$37:$AD$12971,$V$37:$V$12971,$V8174,$X$37:$X$12971,AG$13)</f>
        <v>0</v>
      </c>
      <c r="AH8174" s="187">
        <f>SUMIFS($AD$37:$AD$12971,$V$37:$V$12971,$V8174,$X$37:$X$12971,AH$13)</f>
        <v>0</v>
      </c>
      <c r="AI8174" s="161">
        <f t="shared" ref="AI8174" si="5675">SUM(AE8174:AH8174)</f>
        <v>0</v>
      </c>
      <c r="AK8174" s="172"/>
    </row>
    <row r="8175" spans="1:41" s="102" customFormat="1" ht="19.899999999999999" customHeight="1" x14ac:dyDescent="0.25">
      <c r="A8175" s="45"/>
      <c r="B8175" s="59"/>
      <c r="C8175" s="137"/>
      <c r="D8175" s="59"/>
      <c r="E8175" s="116"/>
      <c r="F8175" s="120"/>
      <c r="G8175" s="120"/>
      <c r="H8175" s="120"/>
      <c r="I8175" s="60"/>
      <c r="J8175" s="116"/>
      <c r="K8175" s="213"/>
      <c r="L8175" s="120"/>
      <c r="M8175" s="120"/>
      <c r="N8175" s="167"/>
      <c r="O8175" s="120"/>
      <c r="P8175" s="120"/>
      <c r="Q8175" s="120"/>
      <c r="R8175" s="120"/>
      <c r="S8175" s="120"/>
      <c r="T8175" s="221"/>
      <c r="U8175" s="89"/>
      <c r="V8175" s="61"/>
      <c r="W8175" s="92" t="s">
        <v>1105</v>
      </c>
      <c r="X8175" s="93" t="s">
        <v>30</v>
      </c>
      <c r="Y8175" s="93" t="s">
        <v>66</v>
      </c>
      <c r="Z8175" s="134">
        <f>VLOOKUP(W8175,Sheet2!$B:$D,3,FALSE)</f>
        <v>2200</v>
      </c>
      <c r="AA8175" s="93">
        <f>1/((2.2*1.3)-(1.6*0.7))</f>
        <v>0.57471264367816077</v>
      </c>
      <c r="AB8175" s="93">
        <f>AD8175/AC8174</f>
        <v>3828.0000000000009</v>
      </c>
      <c r="AC8175" s="93">
        <f>AC8174/AA8175</f>
        <v>562.02023489999931</v>
      </c>
      <c r="AD8175" s="94">
        <f t="shared" ref="AD8175" si="5676">AC8175*Z8175</f>
        <v>1236444.5167799986</v>
      </c>
      <c r="AE8175" s="190"/>
      <c r="AF8175" s="191"/>
      <c r="AG8175" s="191"/>
      <c r="AH8175" s="191"/>
      <c r="AI8175" s="186"/>
      <c r="AK8175" s="171"/>
    </row>
    <row r="8176" spans="1:41" s="102" customFormat="1" ht="19.899999999999999" customHeight="1" x14ac:dyDescent="0.25">
      <c r="A8176" s="45"/>
      <c r="B8176" s="59"/>
      <c r="C8176" s="137"/>
      <c r="D8176" s="59"/>
      <c r="E8176" s="116"/>
      <c r="F8176" s="120"/>
      <c r="G8176" s="120"/>
      <c r="H8176" s="120"/>
      <c r="I8176" s="60"/>
      <c r="J8176" s="116"/>
      <c r="K8176" s="213"/>
      <c r="L8176" s="120"/>
      <c r="M8176" s="120"/>
      <c r="N8176" s="167"/>
      <c r="O8176" s="120"/>
      <c r="P8176" s="120"/>
      <c r="Q8176" s="120"/>
      <c r="R8176" s="120"/>
      <c r="S8176" s="120"/>
      <c r="T8176" s="221"/>
      <c r="U8176" s="89"/>
      <c r="V8176" s="61"/>
      <c r="W8176" s="92" t="s">
        <v>174</v>
      </c>
      <c r="X8176" s="93" t="s">
        <v>29</v>
      </c>
      <c r="Y8176" s="93" t="s">
        <v>93</v>
      </c>
      <c r="Z8176" s="134">
        <f>VLOOKUP(W8176,Sheet2!$B:$D,3,FALSE)</f>
        <v>80</v>
      </c>
      <c r="AA8176" s="93">
        <f>4*2</f>
        <v>8</v>
      </c>
      <c r="AB8176" s="93">
        <f>AD8176/AC8174</f>
        <v>10</v>
      </c>
      <c r="AC8176" s="93">
        <f>AC8174/AA8176</f>
        <v>40.375016874999943</v>
      </c>
      <c r="AD8176" s="94">
        <f>AC8176*Z8176</f>
        <v>3230.0013499999955</v>
      </c>
      <c r="AE8176" s="190"/>
      <c r="AF8176" s="191"/>
      <c r="AG8176" s="191"/>
      <c r="AH8176" s="191"/>
      <c r="AI8176" s="186"/>
      <c r="AK8176" s="171"/>
    </row>
    <row r="8177" spans="1:41" s="102" customFormat="1" ht="19.899999999999999" customHeight="1" x14ac:dyDescent="0.25">
      <c r="A8177" s="45"/>
      <c r="B8177" s="59"/>
      <c r="C8177" s="137"/>
      <c r="D8177" s="59"/>
      <c r="E8177" s="116"/>
      <c r="F8177" s="120"/>
      <c r="G8177" s="120"/>
      <c r="H8177" s="120"/>
      <c r="I8177" s="60"/>
      <c r="J8177" s="116"/>
      <c r="K8177" s="213"/>
      <c r="L8177" s="120"/>
      <c r="M8177" s="120"/>
      <c r="N8177" s="167"/>
      <c r="O8177" s="120"/>
      <c r="P8177" s="120"/>
      <c r="Q8177" s="120"/>
      <c r="R8177" s="120"/>
      <c r="S8177" s="120"/>
      <c r="T8177" s="221"/>
      <c r="U8177" s="89"/>
      <c r="V8177" s="61"/>
      <c r="W8177" s="92" t="s">
        <v>65</v>
      </c>
      <c r="X8177" s="93" t="s">
        <v>30</v>
      </c>
      <c r="Y8177" s="93" t="s">
        <v>1011</v>
      </c>
      <c r="Z8177" s="134">
        <f>VLOOKUP(W8177,Sheet2!$B:$D,3,FALSE)</f>
        <v>1.76</v>
      </c>
      <c r="AA8177" s="93">
        <f>AA8176/15</f>
        <v>0.53333333333333333</v>
      </c>
      <c r="AB8177" s="93">
        <f>AD8177/AC8174</f>
        <v>3.3000000000000003</v>
      </c>
      <c r="AC8177" s="93">
        <f>AC8174/AA8177</f>
        <v>605.62525312499918</v>
      </c>
      <c r="AD8177" s="94">
        <f t="shared" ref="AD8177" si="5677">AC8177*Z8177</f>
        <v>1065.9004454999986</v>
      </c>
      <c r="AE8177" s="190"/>
      <c r="AF8177" s="191"/>
      <c r="AG8177" s="191"/>
      <c r="AH8177" s="191"/>
      <c r="AI8177" s="186"/>
      <c r="AK8177" s="171"/>
    </row>
    <row r="8178" spans="1:41" s="102" customFormat="1" ht="19.899999999999999" customHeight="1" x14ac:dyDescent="0.25">
      <c r="A8178" s="45"/>
      <c r="B8178" s="59"/>
      <c r="C8178" s="137"/>
      <c r="D8178" s="59"/>
      <c r="E8178" s="116"/>
      <c r="F8178" s="120"/>
      <c r="G8178" s="120"/>
      <c r="H8178" s="120"/>
      <c r="I8178" s="60"/>
      <c r="J8178" s="116"/>
      <c r="K8178" s="213"/>
      <c r="L8178" s="120"/>
      <c r="M8178" s="120"/>
      <c r="N8178" s="167"/>
      <c r="O8178" s="120"/>
      <c r="P8178" s="120"/>
      <c r="Q8178" s="120"/>
      <c r="R8178" s="120"/>
      <c r="S8178" s="120"/>
      <c r="T8178" s="221"/>
      <c r="U8178" s="89"/>
      <c r="V8178" s="61"/>
      <c r="W8178" s="92" t="s">
        <v>112</v>
      </c>
      <c r="X8178" s="93" t="s">
        <v>31</v>
      </c>
      <c r="Y8178" s="93" t="s">
        <v>93</v>
      </c>
      <c r="Z8178" s="134">
        <f>VLOOKUP(W8178,Sheet2!$B:$D,3,FALSE)</f>
        <v>13</v>
      </c>
      <c r="AA8178" s="93">
        <f>AA8176/2</f>
        <v>4</v>
      </c>
      <c r="AB8178" s="93">
        <f>AD8178/AC8174</f>
        <v>3.25</v>
      </c>
      <c r="AC8178" s="93">
        <f>AC8174/AA8178</f>
        <v>80.750033749999886</v>
      </c>
      <c r="AD8178" s="94">
        <f>AC8178*Z8178</f>
        <v>1049.7504387499985</v>
      </c>
      <c r="AE8178" s="190"/>
      <c r="AF8178" s="191"/>
      <c r="AG8178" s="191"/>
      <c r="AH8178" s="191"/>
      <c r="AI8178" s="186"/>
      <c r="AK8178" s="171"/>
    </row>
    <row r="8179" spans="1:41" ht="20.100000000000001" customHeight="1" x14ac:dyDescent="0.25">
      <c r="A8179" s="277" t="s">
        <v>703</v>
      </c>
      <c r="B8179" s="278"/>
      <c r="C8179" s="64" t="s">
        <v>768</v>
      </c>
      <c r="D8179" s="46" t="s">
        <v>97</v>
      </c>
      <c r="E8179" s="114">
        <v>75.58605</v>
      </c>
      <c r="F8179" s="44">
        <v>4145</v>
      </c>
      <c r="G8179" s="44">
        <f t="shared" si="5545"/>
        <v>313304.17725000001</v>
      </c>
      <c r="H8179" s="44">
        <f t="shared" si="5546"/>
        <v>3954.2355058823541</v>
      </c>
      <c r="I8179" s="43">
        <f t="shared" si="5547"/>
        <v>298885.04265939893</v>
      </c>
      <c r="J8179" s="112">
        <f t="shared" si="5548"/>
        <v>75.58605</v>
      </c>
      <c r="K8179" s="211">
        <f t="shared" si="5549"/>
        <v>75.58605</v>
      </c>
      <c r="L8179" s="44"/>
      <c r="M8179" s="44">
        <f t="shared" si="5550"/>
        <v>75.58605</v>
      </c>
      <c r="N8179" s="173">
        <f t="shared" si="5551"/>
        <v>1</v>
      </c>
      <c r="O8179" s="44">
        <f t="shared" si="5552"/>
        <v>4145</v>
      </c>
      <c r="P8179" s="44">
        <f t="shared" si="5553"/>
        <v>313304.17725000001</v>
      </c>
      <c r="Q8179" s="44">
        <f t="shared" si="5554"/>
        <v>3954.2355058823541</v>
      </c>
      <c r="R8179" s="44">
        <f t="shared" si="5555"/>
        <v>298885.04265939893</v>
      </c>
      <c r="S8179" s="123"/>
      <c r="T8179" s="219">
        <f t="shared" si="5556"/>
        <v>298885.04265939893</v>
      </c>
      <c r="U8179" s="87"/>
      <c r="V8179" s="47"/>
      <c r="W8179" s="48"/>
      <c r="X8179" s="48"/>
      <c r="Y8179" s="48"/>
      <c r="Z8179" s="135"/>
      <c r="AA8179" s="49"/>
      <c r="AB8179" s="50">
        <f t="shared" si="5557"/>
        <v>3954.2355058823541</v>
      </c>
      <c r="AC8179" s="42">
        <f t="shared" si="5558"/>
        <v>75.58605</v>
      </c>
      <c r="AD8179" s="90">
        <f>AD8180+AD8190</f>
        <v>298885.04265939893</v>
      </c>
      <c r="AE8179" s="188">
        <f t="shared" ref="AE8179:AH8179" si="5678">AE8180+AE8190</f>
        <v>0</v>
      </c>
      <c r="AF8179" s="189">
        <f t="shared" si="5678"/>
        <v>0</v>
      </c>
      <c r="AG8179" s="189">
        <f t="shared" si="5678"/>
        <v>0</v>
      </c>
      <c r="AH8179" s="189">
        <f t="shared" si="5678"/>
        <v>0</v>
      </c>
      <c r="AI8179" s="161">
        <f t="shared" si="5670"/>
        <v>0</v>
      </c>
      <c r="AK8179" s="169">
        <v>5</v>
      </c>
      <c r="AO8179" s="19" t="s">
        <v>63</v>
      </c>
    </row>
    <row r="8180" spans="1:41" s="103" customFormat="1" ht="19.899999999999999" customHeight="1" x14ac:dyDescent="0.25">
      <c r="A8180" s="51"/>
      <c r="B8180" s="52"/>
      <c r="C8180" s="165"/>
      <c r="D8180" s="52"/>
      <c r="E8180" s="115"/>
      <c r="F8180" s="58"/>
      <c r="G8180" s="58"/>
      <c r="H8180" s="58"/>
      <c r="I8180" s="55"/>
      <c r="J8180" s="113">
        <f>J8179</f>
        <v>75.58605</v>
      </c>
      <c r="K8180" s="212">
        <f>K8179</f>
        <v>75.58605</v>
      </c>
      <c r="L8180" s="58"/>
      <c r="M8180" s="58">
        <f>K8180-L8180</f>
        <v>75.58605</v>
      </c>
      <c r="N8180" s="166"/>
      <c r="O8180" s="58"/>
      <c r="P8180" s="58"/>
      <c r="Q8180" s="58"/>
      <c r="R8180" s="58"/>
      <c r="S8180" s="58"/>
      <c r="T8180" s="220"/>
      <c r="U8180" s="88"/>
      <c r="V8180" s="56"/>
      <c r="W8180" s="57" t="s">
        <v>1124</v>
      </c>
      <c r="X8180" s="53"/>
      <c r="Y8180" s="91" t="s">
        <v>68</v>
      </c>
      <c r="Z8180" s="136">
        <f>AD8180/AC8180</f>
        <v>109.68550588235296</v>
      </c>
      <c r="AA8180" s="58"/>
      <c r="AB8180" s="53">
        <f>AD8180/AC8180</f>
        <v>109.68550588235296</v>
      </c>
      <c r="AC8180" s="53">
        <f>M8180+$AE$10</f>
        <v>75.58605</v>
      </c>
      <c r="AD8180" s="54">
        <f>SUM(AD8181:AD8189)</f>
        <v>8290.6941318988247</v>
      </c>
      <c r="AE8180" s="184">
        <f>SUMIFS($AD$37:$AD$12971,$V$37:$V$12971,$V8180,$X$37:$X$12971,AE$13)</f>
        <v>0</v>
      </c>
      <c r="AF8180" s="185">
        <f>SUMIFS($AD$37:$AD$12971,$V$37:$V$12971,$V8180,$X$37:$X$12971,AF$13)</f>
        <v>0</v>
      </c>
      <c r="AG8180" s="185">
        <f>SUMIFS($AD$37:$AD$12971,$V$37:$V$12971,$V8180,$X$37:$X$12971,AG$13)</f>
        <v>0</v>
      </c>
      <c r="AH8180" s="187">
        <f>SUMIFS($AD$37:$AD$12971,$V$37:$V$12971,$V8180,$X$37:$X$12971,AH$13)</f>
        <v>0</v>
      </c>
      <c r="AI8180" s="161">
        <f t="shared" ref="AI8180" si="5679">SUM(AE8180:AH8180)</f>
        <v>0</v>
      </c>
      <c r="AK8180" s="172"/>
    </row>
    <row r="8181" spans="1:41" s="102" customFormat="1" ht="19.899999999999999" customHeight="1" x14ac:dyDescent="0.25">
      <c r="A8181" s="45"/>
      <c r="B8181" s="59"/>
      <c r="C8181" s="137"/>
      <c r="D8181" s="59"/>
      <c r="E8181" s="116"/>
      <c r="F8181" s="120"/>
      <c r="G8181" s="120"/>
      <c r="H8181" s="120"/>
      <c r="I8181" s="60"/>
      <c r="J8181" s="116"/>
      <c r="K8181" s="213"/>
      <c r="L8181" s="120"/>
      <c r="M8181" s="120"/>
      <c r="N8181" s="167"/>
      <c r="O8181" s="120"/>
      <c r="P8181" s="120"/>
      <c r="Q8181" s="120"/>
      <c r="R8181" s="120"/>
      <c r="S8181" s="120"/>
      <c r="T8181" s="221"/>
      <c r="U8181" s="89"/>
      <c r="V8181" s="61"/>
      <c r="W8181" s="92" t="s">
        <v>129</v>
      </c>
      <c r="X8181" s="93" t="s">
        <v>29</v>
      </c>
      <c r="Y8181" s="93" t="s">
        <v>93</v>
      </c>
      <c r="Z8181" s="134">
        <f>VLOOKUP(W8181,Sheet2!$B:$D,3,FALSE)</f>
        <v>56</v>
      </c>
      <c r="AA8181" s="93">
        <f>100/(3*3.5)</f>
        <v>9.5238095238095237</v>
      </c>
      <c r="AB8181" s="93">
        <f t="shared" ref="AB8181" si="5680">AD8181/AC8180</f>
        <v>5.8800000000000008</v>
      </c>
      <c r="AC8181" s="93">
        <f>AC8180/AA8181</f>
        <v>7.9365352500000004</v>
      </c>
      <c r="AD8181" s="94">
        <f t="shared" ref="AD8181:AD8182" si="5681">AC8181*Z8181</f>
        <v>444.44597400000004</v>
      </c>
      <c r="AE8181" s="190"/>
      <c r="AF8181" s="191"/>
      <c r="AG8181" s="191"/>
      <c r="AH8181" s="191"/>
      <c r="AI8181" s="186"/>
      <c r="AK8181" s="171"/>
    </row>
    <row r="8182" spans="1:41" s="102" customFormat="1" ht="19.899999999999999" customHeight="1" x14ac:dyDescent="0.25">
      <c r="A8182" s="45"/>
      <c r="B8182" s="59"/>
      <c r="C8182" s="137"/>
      <c r="D8182" s="59"/>
      <c r="E8182" s="116"/>
      <c r="F8182" s="120"/>
      <c r="G8182" s="120"/>
      <c r="H8182" s="120"/>
      <c r="I8182" s="60"/>
      <c r="J8182" s="116"/>
      <c r="K8182" s="213"/>
      <c r="L8182" s="120"/>
      <c r="M8182" s="120"/>
      <c r="N8182" s="167"/>
      <c r="O8182" s="120"/>
      <c r="P8182" s="120"/>
      <c r="Q8182" s="120"/>
      <c r="R8182" s="120"/>
      <c r="S8182" s="120"/>
      <c r="T8182" s="221"/>
      <c r="U8182" s="89"/>
      <c r="V8182" s="61"/>
      <c r="W8182" s="92" t="s">
        <v>65</v>
      </c>
      <c r="X8182" s="93" t="s">
        <v>30</v>
      </c>
      <c r="Y8182" s="93" t="s">
        <v>1011</v>
      </c>
      <c r="Z8182" s="134">
        <f>VLOOKUP(W8182,Sheet2!$B:$D,3,FALSE)</f>
        <v>1.76</v>
      </c>
      <c r="AA8182" s="93">
        <f>AA8181/14</f>
        <v>0.68027210884353739</v>
      </c>
      <c r="AB8182" s="93">
        <f>AD8182/AC8180</f>
        <v>2.5872000000000002</v>
      </c>
      <c r="AC8182" s="93">
        <f>AC8180/AA8182</f>
        <v>111.11149350000001</v>
      </c>
      <c r="AD8182" s="94">
        <f t="shared" si="5681"/>
        <v>195.55622856000002</v>
      </c>
      <c r="AE8182" s="190"/>
      <c r="AF8182" s="191"/>
      <c r="AG8182" s="191"/>
      <c r="AH8182" s="191"/>
      <c r="AI8182" s="186"/>
      <c r="AK8182" s="171"/>
    </row>
    <row r="8183" spans="1:41" s="102" customFormat="1" ht="19.899999999999999" customHeight="1" x14ac:dyDescent="0.25">
      <c r="A8183" s="45"/>
      <c r="B8183" s="59"/>
      <c r="C8183" s="137"/>
      <c r="D8183" s="59"/>
      <c r="E8183" s="116"/>
      <c r="F8183" s="120"/>
      <c r="G8183" s="120"/>
      <c r="H8183" s="120"/>
      <c r="I8183" s="60"/>
      <c r="J8183" s="116"/>
      <c r="K8183" s="213"/>
      <c r="L8183" s="120"/>
      <c r="M8183" s="120"/>
      <c r="N8183" s="167"/>
      <c r="O8183" s="120"/>
      <c r="P8183" s="120"/>
      <c r="Q8183" s="120"/>
      <c r="R8183" s="120"/>
      <c r="S8183" s="120"/>
      <c r="T8183" s="221"/>
      <c r="U8183" s="89"/>
      <c r="V8183" s="61"/>
      <c r="W8183" s="92" t="s">
        <v>161</v>
      </c>
      <c r="X8183" s="93" t="s">
        <v>29</v>
      </c>
      <c r="Y8183" s="93" t="s">
        <v>93</v>
      </c>
      <c r="Z8183" s="134">
        <f>VLOOKUP(W8183,Sheet2!$B:$D,3,FALSE)</f>
        <v>48</v>
      </c>
      <c r="AA8183" s="93">
        <f>(16*0.85*1.5)/(3*3.5)</f>
        <v>1.9428571428571426</v>
      </c>
      <c r="AB8183" s="93">
        <f>AD8183/AC8180</f>
        <v>24.705882352941181</v>
      </c>
      <c r="AC8183" s="93">
        <f>AC8180/AA8183</f>
        <v>38.904584558823537</v>
      </c>
      <c r="AD8183" s="94">
        <f>AC8183*Z8183</f>
        <v>1867.4200588235299</v>
      </c>
      <c r="AE8183" s="190"/>
      <c r="AF8183" s="191"/>
      <c r="AG8183" s="191"/>
      <c r="AH8183" s="191"/>
      <c r="AI8183" s="186"/>
      <c r="AK8183" s="171"/>
    </row>
    <row r="8184" spans="1:41" s="102" customFormat="1" ht="19.899999999999999" customHeight="1" x14ac:dyDescent="0.25">
      <c r="A8184" s="45"/>
      <c r="B8184" s="59"/>
      <c r="C8184" s="137"/>
      <c r="D8184" s="59"/>
      <c r="E8184" s="116"/>
      <c r="F8184" s="120"/>
      <c r="G8184" s="120"/>
      <c r="H8184" s="120"/>
      <c r="I8184" s="60"/>
      <c r="J8184" s="116"/>
      <c r="K8184" s="213"/>
      <c r="L8184" s="120"/>
      <c r="M8184" s="120"/>
      <c r="N8184" s="167"/>
      <c r="O8184" s="120"/>
      <c r="P8184" s="120"/>
      <c r="Q8184" s="120"/>
      <c r="R8184" s="120"/>
      <c r="S8184" s="120"/>
      <c r="T8184" s="221"/>
      <c r="U8184" s="89"/>
      <c r="V8184" s="61"/>
      <c r="W8184" s="92" t="s">
        <v>65</v>
      </c>
      <c r="X8184" s="93" t="s">
        <v>30</v>
      </c>
      <c r="Y8184" s="93" t="s">
        <v>1011</v>
      </c>
      <c r="Z8184" s="134">
        <f>VLOOKUP(W8184,Sheet2!$B:$D,3,FALSE)</f>
        <v>1.76</v>
      </c>
      <c r="AA8184" s="93">
        <f>AA8183/10</f>
        <v>0.19428571428571426</v>
      </c>
      <c r="AB8184" s="93">
        <f>AD8184/AC8180</f>
        <v>9.0588235294117663</v>
      </c>
      <c r="AC8184" s="93">
        <f>AC8180/AA8184</f>
        <v>389.04584558823535</v>
      </c>
      <c r="AD8184" s="94">
        <f>AC8184*Z8184</f>
        <v>684.72068823529423</v>
      </c>
      <c r="AE8184" s="190"/>
      <c r="AF8184" s="191"/>
      <c r="AG8184" s="191"/>
      <c r="AH8184" s="191"/>
      <c r="AI8184" s="186"/>
      <c r="AK8184" s="171"/>
    </row>
    <row r="8185" spans="1:41" s="102" customFormat="1" ht="19.899999999999999" customHeight="1" x14ac:dyDescent="0.25">
      <c r="A8185" s="45"/>
      <c r="B8185" s="59"/>
      <c r="C8185" s="137"/>
      <c r="D8185" s="59"/>
      <c r="E8185" s="116"/>
      <c r="F8185" s="120"/>
      <c r="G8185" s="120"/>
      <c r="H8185" s="120"/>
      <c r="I8185" s="60"/>
      <c r="J8185" s="116"/>
      <c r="K8185" s="213"/>
      <c r="L8185" s="120"/>
      <c r="M8185" s="120"/>
      <c r="N8185" s="167"/>
      <c r="O8185" s="120"/>
      <c r="P8185" s="120"/>
      <c r="Q8185" s="120"/>
      <c r="R8185" s="120"/>
      <c r="S8185" s="120"/>
      <c r="T8185" s="221"/>
      <c r="U8185" s="89"/>
      <c r="V8185" s="61"/>
      <c r="W8185" s="92" t="s">
        <v>1030</v>
      </c>
      <c r="X8185" s="93" t="s">
        <v>29</v>
      </c>
      <c r="Y8185" s="93" t="s">
        <v>93</v>
      </c>
      <c r="Z8185" s="134">
        <f>VLOOKUP(W8185,Sheet2!$B:$D,3,FALSE)</f>
        <v>23</v>
      </c>
      <c r="AA8185" s="93">
        <v>50</v>
      </c>
      <c r="AB8185" s="93">
        <f>AD8185/AC8180</f>
        <v>0.46000000000000008</v>
      </c>
      <c r="AC8185" s="93">
        <f>AC8180/AA8185</f>
        <v>1.5117210000000001</v>
      </c>
      <c r="AD8185" s="94">
        <f t="shared" ref="AD8185:AD8189" si="5682">AC8185*Z8185</f>
        <v>34.769583000000004</v>
      </c>
      <c r="AE8185" s="190"/>
      <c r="AF8185" s="191"/>
      <c r="AG8185" s="191"/>
      <c r="AH8185" s="191"/>
      <c r="AI8185" s="186"/>
      <c r="AK8185" s="171"/>
    </row>
    <row r="8186" spans="1:41" s="102" customFormat="1" ht="19.899999999999999" customHeight="1" x14ac:dyDescent="0.25">
      <c r="A8186" s="45"/>
      <c r="B8186" s="59"/>
      <c r="C8186" s="137"/>
      <c r="D8186" s="59"/>
      <c r="E8186" s="116"/>
      <c r="F8186" s="120"/>
      <c r="G8186" s="120"/>
      <c r="H8186" s="120"/>
      <c r="I8186" s="60"/>
      <c r="J8186" s="116"/>
      <c r="K8186" s="213"/>
      <c r="L8186" s="120"/>
      <c r="M8186" s="120"/>
      <c r="N8186" s="167"/>
      <c r="O8186" s="120"/>
      <c r="P8186" s="120"/>
      <c r="Q8186" s="120"/>
      <c r="R8186" s="120"/>
      <c r="S8186" s="120"/>
      <c r="T8186" s="221"/>
      <c r="U8186" s="89"/>
      <c r="V8186" s="61"/>
      <c r="W8186" s="92" t="s">
        <v>65</v>
      </c>
      <c r="X8186" s="93" t="s">
        <v>30</v>
      </c>
      <c r="Y8186" s="93" t="s">
        <v>1011</v>
      </c>
      <c r="Z8186" s="134">
        <f>VLOOKUP(W8186,Sheet2!$B:$D,3,FALSE)</f>
        <v>1.76</v>
      </c>
      <c r="AA8186" s="93">
        <f>AA8185/3</f>
        <v>16.666666666666668</v>
      </c>
      <c r="AB8186" s="93">
        <f>AD8186/AC8180</f>
        <v>0.10559999999999999</v>
      </c>
      <c r="AC8186" s="93">
        <f>AC8180/AA8186</f>
        <v>4.5351629999999998</v>
      </c>
      <c r="AD8186" s="94">
        <f t="shared" si="5682"/>
        <v>7.9818868799999994</v>
      </c>
      <c r="AE8186" s="190"/>
      <c r="AF8186" s="191"/>
      <c r="AG8186" s="191"/>
      <c r="AH8186" s="191"/>
      <c r="AI8186" s="186"/>
      <c r="AK8186" s="171"/>
    </row>
    <row r="8187" spans="1:41" s="102" customFormat="1" ht="19.899999999999999" customHeight="1" x14ac:dyDescent="0.25">
      <c r="A8187" s="45"/>
      <c r="B8187" s="59"/>
      <c r="C8187" s="137"/>
      <c r="D8187" s="59"/>
      <c r="E8187" s="116"/>
      <c r="F8187" s="120"/>
      <c r="G8187" s="120"/>
      <c r="H8187" s="120"/>
      <c r="I8187" s="60"/>
      <c r="J8187" s="116"/>
      <c r="K8187" s="213"/>
      <c r="L8187" s="120"/>
      <c r="M8187" s="120"/>
      <c r="N8187" s="167"/>
      <c r="O8187" s="120"/>
      <c r="P8187" s="120"/>
      <c r="Q8187" s="120"/>
      <c r="R8187" s="120"/>
      <c r="S8187" s="120"/>
      <c r="T8187" s="221"/>
      <c r="U8187" s="89"/>
      <c r="V8187" s="61"/>
      <c r="W8187" s="92" t="s">
        <v>148</v>
      </c>
      <c r="X8187" s="93" t="s">
        <v>29</v>
      </c>
      <c r="Y8187" s="93" t="s">
        <v>93</v>
      </c>
      <c r="Z8187" s="134">
        <f>VLOOKUP(W8187,Sheet2!$B:$D,3,FALSE)</f>
        <v>48</v>
      </c>
      <c r="AA8187" s="93">
        <f>AA8181</f>
        <v>9.5238095238095237</v>
      </c>
      <c r="AB8187" s="93">
        <f>AD8187/AC8180</f>
        <v>5.0400000000000009</v>
      </c>
      <c r="AC8187" s="93">
        <f>AC8180/AA8187</f>
        <v>7.9365352500000004</v>
      </c>
      <c r="AD8187" s="94">
        <f t="shared" si="5682"/>
        <v>380.95369200000005</v>
      </c>
      <c r="AE8187" s="190"/>
      <c r="AF8187" s="191"/>
      <c r="AG8187" s="191"/>
      <c r="AH8187" s="191"/>
      <c r="AI8187" s="186"/>
      <c r="AK8187" s="171"/>
    </row>
    <row r="8188" spans="1:41" s="102" customFormat="1" ht="19.899999999999999" customHeight="1" x14ac:dyDescent="0.25">
      <c r="A8188" s="45"/>
      <c r="B8188" s="59"/>
      <c r="C8188" s="137"/>
      <c r="D8188" s="59"/>
      <c r="E8188" s="116"/>
      <c r="F8188" s="120"/>
      <c r="G8188" s="120"/>
      <c r="H8188" s="120"/>
      <c r="I8188" s="60"/>
      <c r="J8188" s="116"/>
      <c r="K8188" s="213"/>
      <c r="L8188" s="120"/>
      <c r="M8188" s="120"/>
      <c r="N8188" s="167"/>
      <c r="O8188" s="120"/>
      <c r="P8188" s="120"/>
      <c r="Q8188" s="120"/>
      <c r="R8188" s="120"/>
      <c r="S8188" s="120"/>
      <c r="T8188" s="221"/>
      <c r="U8188" s="89"/>
      <c r="V8188" s="61"/>
      <c r="W8188" s="92" t="s">
        <v>65</v>
      </c>
      <c r="X8188" s="93" t="s">
        <v>30</v>
      </c>
      <c r="Y8188" s="93" t="s">
        <v>1011</v>
      </c>
      <c r="Z8188" s="134">
        <f>VLOOKUP(W8188,Sheet2!$B:$D,3,FALSE)</f>
        <v>1.76</v>
      </c>
      <c r="AA8188" s="93">
        <f>AA8187/10</f>
        <v>0.95238095238095233</v>
      </c>
      <c r="AB8188" s="93">
        <f>AD8188/AC8180</f>
        <v>1.8480000000000001</v>
      </c>
      <c r="AC8188" s="93">
        <f>AC8180/AA8188</f>
        <v>79.3653525</v>
      </c>
      <c r="AD8188" s="94">
        <f t="shared" si="5682"/>
        <v>139.6830204</v>
      </c>
      <c r="AE8188" s="190"/>
      <c r="AF8188" s="191"/>
      <c r="AG8188" s="191"/>
      <c r="AH8188" s="191"/>
      <c r="AI8188" s="186"/>
      <c r="AK8188" s="171"/>
    </row>
    <row r="8189" spans="1:41" s="102" customFormat="1" ht="19.899999999999999" customHeight="1" x14ac:dyDescent="0.25">
      <c r="A8189" s="45"/>
      <c r="B8189" s="59"/>
      <c r="C8189" s="137"/>
      <c r="D8189" s="59"/>
      <c r="E8189" s="116"/>
      <c r="F8189" s="120"/>
      <c r="G8189" s="120"/>
      <c r="H8189" s="120"/>
      <c r="I8189" s="60"/>
      <c r="J8189" s="116"/>
      <c r="K8189" s="213"/>
      <c r="L8189" s="120"/>
      <c r="M8189" s="120"/>
      <c r="N8189" s="167"/>
      <c r="O8189" s="120"/>
      <c r="P8189" s="120"/>
      <c r="Q8189" s="120"/>
      <c r="R8189" s="120"/>
      <c r="S8189" s="120"/>
      <c r="T8189" s="221"/>
      <c r="U8189" s="89"/>
      <c r="V8189" s="61"/>
      <c r="W8189" s="92" t="s">
        <v>1049</v>
      </c>
      <c r="X8189" s="93" t="s">
        <v>30</v>
      </c>
      <c r="Y8189" s="93" t="s">
        <v>68</v>
      </c>
      <c r="Z8189" s="134">
        <f>VLOOKUP(W8189,Sheet2!$B:$D,3,FALSE)</f>
        <v>60</v>
      </c>
      <c r="AA8189" s="93">
        <v>1</v>
      </c>
      <c r="AB8189" s="93">
        <f>AD8189/AC8180</f>
        <v>60.000000000000007</v>
      </c>
      <c r="AC8189" s="93">
        <f>AC8180/AA8189</f>
        <v>75.58605</v>
      </c>
      <c r="AD8189" s="94">
        <f t="shared" si="5682"/>
        <v>4535.1630000000005</v>
      </c>
      <c r="AE8189" s="190"/>
      <c r="AF8189" s="191"/>
      <c r="AG8189" s="191"/>
      <c r="AH8189" s="191"/>
      <c r="AI8189" s="186"/>
      <c r="AK8189" s="171"/>
    </row>
    <row r="8190" spans="1:41" s="103" customFormat="1" ht="19.899999999999999" customHeight="1" x14ac:dyDescent="0.25">
      <c r="A8190" s="51"/>
      <c r="B8190" s="52"/>
      <c r="C8190" s="165"/>
      <c r="D8190" s="52"/>
      <c r="E8190" s="115"/>
      <c r="F8190" s="58"/>
      <c r="G8190" s="58"/>
      <c r="H8190" s="58"/>
      <c r="I8190" s="55"/>
      <c r="J8190" s="113">
        <f>J8179</f>
        <v>75.58605</v>
      </c>
      <c r="K8190" s="212">
        <f>K8179</f>
        <v>75.58605</v>
      </c>
      <c r="L8190" s="58"/>
      <c r="M8190" s="58">
        <f>K8190-L8190</f>
        <v>75.58605</v>
      </c>
      <c r="N8190" s="166"/>
      <c r="O8190" s="58"/>
      <c r="P8190" s="58"/>
      <c r="Q8190" s="58"/>
      <c r="R8190" s="58"/>
      <c r="S8190" s="58"/>
      <c r="T8190" s="220"/>
      <c r="U8190" s="88"/>
      <c r="V8190" s="56"/>
      <c r="W8190" s="57" t="s">
        <v>1122</v>
      </c>
      <c r="X8190" s="53"/>
      <c r="Y8190" s="91" t="s">
        <v>68</v>
      </c>
      <c r="Z8190" s="136">
        <f>AD8190/AC8190</f>
        <v>3844.5500000000015</v>
      </c>
      <c r="AA8190" s="58"/>
      <c r="AB8190" s="53">
        <f>AD8190/AC8190</f>
        <v>3844.5500000000015</v>
      </c>
      <c r="AC8190" s="53">
        <f>M8190+$AE$10</f>
        <v>75.58605</v>
      </c>
      <c r="AD8190" s="54">
        <f>SUM(AD8191:AD8194)</f>
        <v>290594.34852750011</v>
      </c>
      <c r="AE8190" s="184">
        <f>SUMIFS($AD$37:$AD$12971,$V$37:$V$12971,$V8190,$X$37:$X$12971,AE$13)</f>
        <v>0</v>
      </c>
      <c r="AF8190" s="185">
        <f>SUMIFS($AD$37:$AD$12971,$V$37:$V$12971,$V8190,$X$37:$X$12971,AF$13)</f>
        <v>0</v>
      </c>
      <c r="AG8190" s="185">
        <f>SUMIFS($AD$37:$AD$12971,$V$37:$V$12971,$V8190,$X$37:$X$12971,AG$13)</f>
        <v>0</v>
      </c>
      <c r="AH8190" s="187">
        <f>SUMIFS($AD$37:$AD$12971,$V$37:$V$12971,$V8190,$X$37:$X$12971,AH$13)</f>
        <v>0</v>
      </c>
      <c r="AI8190" s="161">
        <f t="shared" ref="AI8190" si="5683">SUM(AE8190:AH8190)</f>
        <v>0</v>
      </c>
      <c r="AK8190" s="172"/>
    </row>
    <row r="8191" spans="1:41" s="102" customFormat="1" ht="19.899999999999999" customHeight="1" x14ac:dyDescent="0.25">
      <c r="A8191" s="45"/>
      <c r="B8191" s="59"/>
      <c r="C8191" s="137"/>
      <c r="D8191" s="59"/>
      <c r="E8191" s="116"/>
      <c r="F8191" s="120"/>
      <c r="G8191" s="120"/>
      <c r="H8191" s="120"/>
      <c r="I8191" s="60"/>
      <c r="J8191" s="116"/>
      <c r="K8191" s="213"/>
      <c r="L8191" s="120"/>
      <c r="M8191" s="120"/>
      <c r="N8191" s="167"/>
      <c r="O8191" s="120"/>
      <c r="P8191" s="120"/>
      <c r="Q8191" s="120"/>
      <c r="R8191" s="120"/>
      <c r="S8191" s="120"/>
      <c r="T8191" s="221"/>
      <c r="U8191" s="89"/>
      <c r="V8191" s="61"/>
      <c r="W8191" s="92" t="s">
        <v>1105</v>
      </c>
      <c r="X8191" s="93" t="s">
        <v>30</v>
      </c>
      <c r="Y8191" s="93" t="s">
        <v>66</v>
      </c>
      <c r="Z8191" s="134">
        <f>VLOOKUP(W8191,Sheet2!$B:$D,3,FALSE)</f>
        <v>2200</v>
      </c>
      <c r="AA8191" s="93">
        <f>1/((2.2*1.3)-(1.6*0.7))</f>
        <v>0.57471264367816077</v>
      </c>
      <c r="AB8191" s="93">
        <f>AD8191/AC8190</f>
        <v>3828.0000000000014</v>
      </c>
      <c r="AC8191" s="93">
        <f>AC8190/AA8191</f>
        <v>131.51972700000005</v>
      </c>
      <c r="AD8191" s="94">
        <f t="shared" ref="AD8191" si="5684">AC8191*Z8191</f>
        <v>289343.39940000011</v>
      </c>
      <c r="AE8191" s="190"/>
      <c r="AF8191" s="191"/>
      <c r="AG8191" s="191"/>
      <c r="AH8191" s="191"/>
      <c r="AI8191" s="186"/>
      <c r="AK8191" s="171"/>
    </row>
    <row r="8192" spans="1:41" s="102" customFormat="1" ht="19.899999999999999" customHeight="1" x14ac:dyDescent="0.25">
      <c r="A8192" s="45"/>
      <c r="B8192" s="59"/>
      <c r="C8192" s="137"/>
      <c r="D8192" s="59"/>
      <c r="E8192" s="116"/>
      <c r="F8192" s="120"/>
      <c r="G8192" s="120"/>
      <c r="H8192" s="120"/>
      <c r="I8192" s="60"/>
      <c r="J8192" s="116"/>
      <c r="K8192" s="213"/>
      <c r="L8192" s="120"/>
      <c r="M8192" s="120"/>
      <c r="N8192" s="167"/>
      <c r="O8192" s="120"/>
      <c r="P8192" s="120"/>
      <c r="Q8192" s="120"/>
      <c r="R8192" s="120"/>
      <c r="S8192" s="120"/>
      <c r="T8192" s="221"/>
      <c r="U8192" s="89"/>
      <c r="V8192" s="61"/>
      <c r="W8192" s="92" t="s">
        <v>174</v>
      </c>
      <c r="X8192" s="93" t="s">
        <v>29</v>
      </c>
      <c r="Y8192" s="93" t="s">
        <v>93</v>
      </c>
      <c r="Z8192" s="134">
        <f>VLOOKUP(W8192,Sheet2!$B:$D,3,FALSE)</f>
        <v>80</v>
      </c>
      <c r="AA8192" s="93">
        <f>4*2</f>
        <v>8</v>
      </c>
      <c r="AB8192" s="93">
        <f>AD8192/AC8190</f>
        <v>10</v>
      </c>
      <c r="AC8192" s="93">
        <f>AC8190/AA8192</f>
        <v>9.44825625</v>
      </c>
      <c r="AD8192" s="94">
        <f>AC8192*Z8192</f>
        <v>755.8605</v>
      </c>
      <c r="AE8192" s="190"/>
      <c r="AF8192" s="191"/>
      <c r="AG8192" s="191"/>
      <c r="AH8192" s="191"/>
      <c r="AI8192" s="186"/>
      <c r="AK8192" s="171"/>
    </row>
    <row r="8193" spans="1:41" s="102" customFormat="1" ht="19.899999999999999" customHeight="1" x14ac:dyDescent="0.25">
      <c r="A8193" s="45"/>
      <c r="B8193" s="59"/>
      <c r="C8193" s="137"/>
      <c r="D8193" s="59"/>
      <c r="E8193" s="116"/>
      <c r="F8193" s="120"/>
      <c r="G8193" s="120"/>
      <c r="H8193" s="120"/>
      <c r="I8193" s="60"/>
      <c r="J8193" s="116"/>
      <c r="K8193" s="213"/>
      <c r="L8193" s="120"/>
      <c r="M8193" s="120"/>
      <c r="N8193" s="167"/>
      <c r="O8193" s="120"/>
      <c r="P8193" s="120"/>
      <c r="Q8193" s="120"/>
      <c r="R8193" s="120"/>
      <c r="S8193" s="120"/>
      <c r="T8193" s="221"/>
      <c r="U8193" s="89"/>
      <c r="V8193" s="61"/>
      <c r="W8193" s="92" t="s">
        <v>65</v>
      </c>
      <c r="X8193" s="93" t="s">
        <v>30</v>
      </c>
      <c r="Y8193" s="93" t="s">
        <v>1011</v>
      </c>
      <c r="Z8193" s="134">
        <f>VLOOKUP(W8193,Sheet2!$B:$D,3,FALSE)</f>
        <v>1.76</v>
      </c>
      <c r="AA8193" s="93">
        <f>AA8192/15</f>
        <v>0.53333333333333333</v>
      </c>
      <c r="AB8193" s="93">
        <f>AD8193/AC8190</f>
        <v>3.3000000000000003</v>
      </c>
      <c r="AC8193" s="93">
        <f>AC8190/AA8193</f>
        <v>141.72384375000001</v>
      </c>
      <c r="AD8193" s="94">
        <f t="shared" ref="AD8193" si="5685">AC8193*Z8193</f>
        <v>249.43396500000003</v>
      </c>
      <c r="AE8193" s="190"/>
      <c r="AF8193" s="191"/>
      <c r="AG8193" s="191"/>
      <c r="AH8193" s="191"/>
      <c r="AI8193" s="186"/>
      <c r="AK8193" s="171"/>
    </row>
    <row r="8194" spans="1:41" s="102" customFormat="1" ht="19.899999999999999" customHeight="1" x14ac:dyDescent="0.25">
      <c r="A8194" s="45"/>
      <c r="B8194" s="59"/>
      <c r="C8194" s="137"/>
      <c r="D8194" s="59"/>
      <c r="E8194" s="116"/>
      <c r="F8194" s="120"/>
      <c r="G8194" s="120"/>
      <c r="H8194" s="120"/>
      <c r="I8194" s="60"/>
      <c r="J8194" s="116"/>
      <c r="K8194" s="213"/>
      <c r="L8194" s="120"/>
      <c r="M8194" s="120"/>
      <c r="N8194" s="167"/>
      <c r="O8194" s="120"/>
      <c r="P8194" s="120"/>
      <c r="Q8194" s="120"/>
      <c r="R8194" s="120"/>
      <c r="S8194" s="120"/>
      <c r="T8194" s="221"/>
      <c r="U8194" s="89"/>
      <c r="V8194" s="61"/>
      <c r="W8194" s="92" t="s">
        <v>112</v>
      </c>
      <c r="X8194" s="93" t="s">
        <v>31</v>
      </c>
      <c r="Y8194" s="93" t="s">
        <v>93</v>
      </c>
      <c r="Z8194" s="134">
        <f>VLOOKUP(W8194,Sheet2!$B:$D,3,FALSE)</f>
        <v>13</v>
      </c>
      <c r="AA8194" s="93">
        <f>AA8192/2</f>
        <v>4</v>
      </c>
      <c r="AB8194" s="93">
        <f>AD8194/AC8190</f>
        <v>3.25</v>
      </c>
      <c r="AC8194" s="93">
        <f>AC8190/AA8194</f>
        <v>18.8965125</v>
      </c>
      <c r="AD8194" s="94">
        <f>AC8194*Z8194</f>
        <v>245.6546625</v>
      </c>
      <c r="AE8194" s="190"/>
      <c r="AF8194" s="191"/>
      <c r="AG8194" s="191"/>
      <c r="AH8194" s="191"/>
      <c r="AI8194" s="186"/>
      <c r="AK8194" s="171"/>
    </row>
    <row r="8195" spans="1:41" ht="20.100000000000001" customHeight="1" x14ac:dyDescent="0.25">
      <c r="A8195" s="277" t="s">
        <v>703</v>
      </c>
      <c r="B8195" s="278"/>
      <c r="C8195" s="64" t="s">
        <v>769</v>
      </c>
      <c r="D8195" s="46" t="s">
        <v>97</v>
      </c>
      <c r="E8195" s="114">
        <v>42.820849999999979</v>
      </c>
      <c r="F8195" s="44">
        <v>4354</v>
      </c>
      <c r="G8195" s="44">
        <f t="shared" si="5545"/>
        <v>186441.98089999991</v>
      </c>
      <c r="H8195" s="44">
        <f t="shared" si="5546"/>
        <v>3961.252635294119</v>
      </c>
      <c r="I8195" s="43">
        <f t="shared" si="5547"/>
        <v>169624.20490803409</v>
      </c>
      <c r="J8195" s="112">
        <f t="shared" si="5548"/>
        <v>42.820849999999979</v>
      </c>
      <c r="K8195" s="211">
        <f t="shared" si="5549"/>
        <v>42.820849999999979</v>
      </c>
      <c r="L8195" s="44"/>
      <c r="M8195" s="44">
        <f t="shared" si="5550"/>
        <v>42.820849999999979</v>
      </c>
      <c r="N8195" s="173">
        <f t="shared" si="5551"/>
        <v>1</v>
      </c>
      <c r="O8195" s="44">
        <f t="shared" si="5552"/>
        <v>4354</v>
      </c>
      <c r="P8195" s="44">
        <f t="shared" si="5553"/>
        <v>186441.98089999991</v>
      </c>
      <c r="Q8195" s="44">
        <f t="shared" si="5554"/>
        <v>3961.252635294119</v>
      </c>
      <c r="R8195" s="44">
        <f t="shared" si="5555"/>
        <v>169624.20490803409</v>
      </c>
      <c r="S8195" s="123"/>
      <c r="T8195" s="219">
        <f t="shared" si="5556"/>
        <v>169624.20490803409</v>
      </c>
      <c r="U8195" s="87"/>
      <c r="V8195" s="47"/>
      <c r="W8195" s="48"/>
      <c r="X8195" s="48"/>
      <c r="Y8195" s="48"/>
      <c r="Z8195" s="135"/>
      <c r="AA8195" s="49"/>
      <c r="AB8195" s="50">
        <f t="shared" si="5557"/>
        <v>3961.252635294119</v>
      </c>
      <c r="AC8195" s="42">
        <f t="shared" si="5558"/>
        <v>42.820849999999979</v>
      </c>
      <c r="AD8195" s="90">
        <f>AD8196+AD8206</f>
        <v>169624.20490803409</v>
      </c>
      <c r="AE8195" s="188">
        <f t="shared" ref="AE8195:AH8195" si="5686">AE8196+AE8206</f>
        <v>0</v>
      </c>
      <c r="AF8195" s="189">
        <f t="shared" si="5686"/>
        <v>0</v>
      </c>
      <c r="AG8195" s="189">
        <f t="shared" si="5686"/>
        <v>0</v>
      </c>
      <c r="AH8195" s="189">
        <f t="shared" si="5686"/>
        <v>0</v>
      </c>
      <c r="AI8195" s="161">
        <f t="shared" si="5670"/>
        <v>0</v>
      </c>
      <c r="AK8195" s="169">
        <v>5</v>
      </c>
      <c r="AO8195" s="19" t="s">
        <v>63</v>
      </c>
    </row>
    <row r="8196" spans="1:41" s="103" customFormat="1" ht="19.899999999999999" customHeight="1" x14ac:dyDescent="0.25">
      <c r="A8196" s="51"/>
      <c r="B8196" s="52"/>
      <c r="C8196" s="165"/>
      <c r="D8196" s="52"/>
      <c r="E8196" s="115"/>
      <c r="F8196" s="58"/>
      <c r="G8196" s="58"/>
      <c r="H8196" s="58"/>
      <c r="I8196" s="55"/>
      <c r="J8196" s="113">
        <f>J8195</f>
        <v>42.820849999999979</v>
      </c>
      <c r="K8196" s="212">
        <f>K8195</f>
        <v>42.820849999999979</v>
      </c>
      <c r="L8196" s="58"/>
      <c r="M8196" s="58">
        <f>K8196-L8196</f>
        <v>42.820849999999979</v>
      </c>
      <c r="N8196" s="166"/>
      <c r="O8196" s="58"/>
      <c r="P8196" s="58"/>
      <c r="Q8196" s="58"/>
      <c r="R8196" s="58"/>
      <c r="S8196" s="58"/>
      <c r="T8196" s="220"/>
      <c r="U8196" s="88"/>
      <c r="V8196" s="56"/>
      <c r="W8196" s="57" t="s">
        <v>1123</v>
      </c>
      <c r="X8196" s="53"/>
      <c r="Y8196" s="91" t="s">
        <v>68</v>
      </c>
      <c r="Z8196" s="136">
        <f>AD8196/AC8196</f>
        <v>116.70263529411764</v>
      </c>
      <c r="AA8196" s="58"/>
      <c r="AB8196" s="53">
        <f>AD8196/AC8196</f>
        <v>116.70263529411764</v>
      </c>
      <c r="AC8196" s="53">
        <f>M8196+$AE$10</f>
        <v>42.820849999999979</v>
      </c>
      <c r="AD8196" s="54">
        <f>SUM(AD8197:AD8205)</f>
        <v>4997.3060405341148</v>
      </c>
      <c r="AE8196" s="184">
        <f>SUMIFS($AD$37:$AD$12971,$V$37:$V$12971,$V8196,$X$37:$X$12971,AE$13)</f>
        <v>0</v>
      </c>
      <c r="AF8196" s="185">
        <f>SUMIFS($AD$37:$AD$12971,$V$37:$V$12971,$V8196,$X$37:$X$12971,AF$13)</f>
        <v>0</v>
      </c>
      <c r="AG8196" s="185">
        <f>SUMIFS($AD$37:$AD$12971,$V$37:$V$12971,$V8196,$X$37:$X$12971,AG$13)</f>
        <v>0</v>
      </c>
      <c r="AH8196" s="187">
        <f>SUMIFS($AD$37:$AD$12971,$V$37:$V$12971,$V8196,$X$37:$X$12971,AH$13)</f>
        <v>0</v>
      </c>
      <c r="AI8196" s="161">
        <f t="shared" ref="AI8196" si="5687">SUM(AE8196:AH8196)</f>
        <v>0</v>
      </c>
      <c r="AK8196" s="172"/>
    </row>
    <row r="8197" spans="1:41" s="102" customFormat="1" ht="19.899999999999999" customHeight="1" x14ac:dyDescent="0.25">
      <c r="A8197" s="45"/>
      <c r="B8197" s="59"/>
      <c r="C8197" s="137"/>
      <c r="D8197" s="59"/>
      <c r="E8197" s="116"/>
      <c r="F8197" s="120"/>
      <c r="G8197" s="120"/>
      <c r="H8197" s="120"/>
      <c r="I8197" s="60"/>
      <c r="J8197" s="116"/>
      <c r="K8197" s="213"/>
      <c r="L8197" s="120"/>
      <c r="M8197" s="120"/>
      <c r="N8197" s="167"/>
      <c r="O8197" s="120"/>
      <c r="P8197" s="120"/>
      <c r="Q8197" s="120"/>
      <c r="R8197" s="120"/>
      <c r="S8197" s="120"/>
      <c r="T8197" s="221"/>
      <c r="U8197" s="89"/>
      <c r="V8197" s="61"/>
      <c r="W8197" s="92" t="s">
        <v>129</v>
      </c>
      <c r="X8197" s="93" t="s">
        <v>29</v>
      </c>
      <c r="Y8197" s="93" t="s">
        <v>93</v>
      </c>
      <c r="Z8197" s="134">
        <f>VLOOKUP(W8197,Sheet2!$B:$D,3,FALSE)</f>
        <v>56</v>
      </c>
      <c r="AA8197" s="93">
        <f>100/(3*4)</f>
        <v>8.3333333333333339</v>
      </c>
      <c r="AB8197" s="93">
        <f t="shared" ref="AB8197" si="5688">AD8197/AC8196</f>
        <v>6.72</v>
      </c>
      <c r="AC8197" s="93">
        <f>AC8196/AA8197</f>
        <v>5.1385019999999972</v>
      </c>
      <c r="AD8197" s="94">
        <f t="shared" ref="AD8197:AD8198" si="5689">AC8197*Z8197</f>
        <v>287.75611199999986</v>
      </c>
      <c r="AE8197" s="190"/>
      <c r="AF8197" s="191"/>
      <c r="AG8197" s="191"/>
      <c r="AH8197" s="191"/>
      <c r="AI8197" s="186"/>
      <c r="AK8197" s="171"/>
    </row>
    <row r="8198" spans="1:41" s="102" customFormat="1" ht="19.899999999999999" customHeight="1" x14ac:dyDescent="0.25">
      <c r="A8198" s="45"/>
      <c r="B8198" s="59"/>
      <c r="C8198" s="137"/>
      <c r="D8198" s="59"/>
      <c r="E8198" s="116"/>
      <c r="F8198" s="120"/>
      <c r="G8198" s="120"/>
      <c r="H8198" s="120"/>
      <c r="I8198" s="60"/>
      <c r="J8198" s="116"/>
      <c r="K8198" s="213"/>
      <c r="L8198" s="120"/>
      <c r="M8198" s="120"/>
      <c r="N8198" s="167"/>
      <c r="O8198" s="120"/>
      <c r="P8198" s="120"/>
      <c r="Q8198" s="120"/>
      <c r="R8198" s="120"/>
      <c r="S8198" s="120"/>
      <c r="T8198" s="221"/>
      <c r="U8198" s="89"/>
      <c r="V8198" s="61"/>
      <c r="W8198" s="92" t="s">
        <v>65</v>
      </c>
      <c r="X8198" s="93" t="s">
        <v>30</v>
      </c>
      <c r="Y8198" s="93" t="s">
        <v>1011</v>
      </c>
      <c r="Z8198" s="134">
        <f>VLOOKUP(W8198,Sheet2!$B:$D,3,FALSE)</f>
        <v>1.76</v>
      </c>
      <c r="AA8198" s="93">
        <f>AA8197/14</f>
        <v>0.59523809523809523</v>
      </c>
      <c r="AB8198" s="93">
        <f>AD8198/AC8196</f>
        <v>2.9567999999999999</v>
      </c>
      <c r="AC8198" s="93">
        <f>AC8196/AA8198</f>
        <v>71.939027999999965</v>
      </c>
      <c r="AD8198" s="94">
        <f t="shared" si="5689"/>
        <v>126.61268927999994</v>
      </c>
      <c r="AE8198" s="190"/>
      <c r="AF8198" s="191"/>
      <c r="AG8198" s="191"/>
      <c r="AH8198" s="191"/>
      <c r="AI8198" s="186"/>
      <c r="AK8198" s="171"/>
    </row>
    <row r="8199" spans="1:41" s="102" customFormat="1" ht="19.899999999999999" customHeight="1" x14ac:dyDescent="0.25">
      <c r="A8199" s="45"/>
      <c r="B8199" s="59"/>
      <c r="C8199" s="137"/>
      <c r="D8199" s="59"/>
      <c r="E8199" s="116"/>
      <c r="F8199" s="120"/>
      <c r="G8199" s="120"/>
      <c r="H8199" s="120"/>
      <c r="I8199" s="60"/>
      <c r="J8199" s="116"/>
      <c r="K8199" s="213"/>
      <c r="L8199" s="120"/>
      <c r="M8199" s="120"/>
      <c r="N8199" s="167"/>
      <c r="O8199" s="120"/>
      <c r="P8199" s="120"/>
      <c r="Q8199" s="120"/>
      <c r="R8199" s="120"/>
      <c r="S8199" s="120"/>
      <c r="T8199" s="221"/>
      <c r="U8199" s="89"/>
      <c r="V8199" s="61"/>
      <c r="W8199" s="92" t="s">
        <v>161</v>
      </c>
      <c r="X8199" s="93" t="s">
        <v>29</v>
      </c>
      <c r="Y8199" s="93" t="s">
        <v>93</v>
      </c>
      <c r="Z8199" s="134">
        <f>VLOOKUP(W8199,Sheet2!$B:$D,3,FALSE)</f>
        <v>48</v>
      </c>
      <c r="AA8199" s="93">
        <f>(16*0.85*1.5)/(3*4)</f>
        <v>1.7</v>
      </c>
      <c r="AB8199" s="93">
        <f>AD8199/AC8196</f>
        <v>28.235294117647058</v>
      </c>
      <c r="AC8199" s="93">
        <f>AC8196/AA8199</f>
        <v>25.188735294117635</v>
      </c>
      <c r="AD8199" s="94">
        <f>AC8199*Z8199</f>
        <v>1209.0592941176465</v>
      </c>
      <c r="AE8199" s="190"/>
      <c r="AF8199" s="191"/>
      <c r="AG8199" s="191"/>
      <c r="AH8199" s="191"/>
      <c r="AI8199" s="186"/>
      <c r="AK8199" s="171"/>
    </row>
    <row r="8200" spans="1:41" s="102" customFormat="1" ht="19.899999999999999" customHeight="1" x14ac:dyDescent="0.25">
      <c r="A8200" s="45"/>
      <c r="B8200" s="59"/>
      <c r="C8200" s="137"/>
      <c r="D8200" s="59"/>
      <c r="E8200" s="116"/>
      <c r="F8200" s="120"/>
      <c r="G8200" s="120"/>
      <c r="H8200" s="120"/>
      <c r="I8200" s="60"/>
      <c r="J8200" s="116"/>
      <c r="K8200" s="213"/>
      <c r="L8200" s="120"/>
      <c r="M8200" s="120"/>
      <c r="N8200" s="167"/>
      <c r="O8200" s="120"/>
      <c r="P8200" s="120"/>
      <c r="Q8200" s="120"/>
      <c r="R8200" s="120"/>
      <c r="S8200" s="120"/>
      <c r="T8200" s="221"/>
      <c r="U8200" s="89"/>
      <c r="V8200" s="61"/>
      <c r="W8200" s="92" t="s">
        <v>65</v>
      </c>
      <c r="X8200" s="93" t="s">
        <v>30</v>
      </c>
      <c r="Y8200" s="93" t="s">
        <v>1011</v>
      </c>
      <c r="Z8200" s="134">
        <f>VLOOKUP(W8200,Sheet2!$B:$D,3,FALSE)</f>
        <v>1.76</v>
      </c>
      <c r="AA8200" s="93">
        <f>AA8199/10</f>
        <v>0.16999999999999998</v>
      </c>
      <c r="AB8200" s="93">
        <f>AD8200/AC8196</f>
        <v>10.352941176470589</v>
      </c>
      <c r="AC8200" s="93">
        <f>AC8196/AA8200</f>
        <v>251.88735294117637</v>
      </c>
      <c r="AD8200" s="94">
        <f>AC8200*Z8200</f>
        <v>443.32174117647043</v>
      </c>
      <c r="AE8200" s="190"/>
      <c r="AF8200" s="191"/>
      <c r="AG8200" s="191"/>
      <c r="AH8200" s="191"/>
      <c r="AI8200" s="186"/>
      <c r="AK8200" s="171"/>
    </row>
    <row r="8201" spans="1:41" s="102" customFormat="1" ht="19.899999999999999" customHeight="1" x14ac:dyDescent="0.25">
      <c r="A8201" s="45"/>
      <c r="B8201" s="59"/>
      <c r="C8201" s="137"/>
      <c r="D8201" s="59"/>
      <c r="E8201" s="116"/>
      <c r="F8201" s="120"/>
      <c r="G8201" s="120"/>
      <c r="H8201" s="120"/>
      <c r="I8201" s="60"/>
      <c r="J8201" s="116"/>
      <c r="K8201" s="213"/>
      <c r="L8201" s="120"/>
      <c r="M8201" s="120"/>
      <c r="N8201" s="167"/>
      <c r="O8201" s="120"/>
      <c r="P8201" s="120"/>
      <c r="Q8201" s="120"/>
      <c r="R8201" s="120"/>
      <c r="S8201" s="120"/>
      <c r="T8201" s="221"/>
      <c r="U8201" s="89"/>
      <c r="V8201" s="61"/>
      <c r="W8201" s="92" t="s">
        <v>1030</v>
      </c>
      <c r="X8201" s="93" t="s">
        <v>29</v>
      </c>
      <c r="Y8201" s="93" t="s">
        <v>93</v>
      </c>
      <c r="Z8201" s="134">
        <f>VLOOKUP(W8201,Sheet2!$B:$D,3,FALSE)</f>
        <v>23</v>
      </c>
      <c r="AA8201" s="93">
        <v>50</v>
      </c>
      <c r="AB8201" s="93">
        <f>AD8201/AC8196</f>
        <v>0.45999999999999996</v>
      </c>
      <c r="AC8201" s="93">
        <f>AC8196/AA8201</f>
        <v>0.85641699999999954</v>
      </c>
      <c r="AD8201" s="94">
        <f t="shared" ref="AD8201:AD8205" si="5690">AC8201*Z8201</f>
        <v>19.697590999999989</v>
      </c>
      <c r="AE8201" s="190"/>
      <c r="AF8201" s="191"/>
      <c r="AG8201" s="191"/>
      <c r="AH8201" s="191"/>
      <c r="AI8201" s="186"/>
      <c r="AK8201" s="171"/>
    </row>
    <row r="8202" spans="1:41" s="102" customFormat="1" ht="19.899999999999999" customHeight="1" x14ac:dyDescent="0.25">
      <c r="A8202" s="45"/>
      <c r="B8202" s="59"/>
      <c r="C8202" s="137"/>
      <c r="D8202" s="59"/>
      <c r="E8202" s="116"/>
      <c r="F8202" s="120"/>
      <c r="G8202" s="120"/>
      <c r="H8202" s="120"/>
      <c r="I8202" s="60"/>
      <c r="J8202" s="116"/>
      <c r="K8202" s="213"/>
      <c r="L8202" s="120"/>
      <c r="M8202" s="120"/>
      <c r="N8202" s="167"/>
      <c r="O8202" s="120"/>
      <c r="P8202" s="120"/>
      <c r="Q8202" s="120"/>
      <c r="R8202" s="120"/>
      <c r="S8202" s="120"/>
      <c r="T8202" s="221"/>
      <c r="U8202" s="89"/>
      <c r="V8202" s="61"/>
      <c r="W8202" s="92" t="s">
        <v>65</v>
      </c>
      <c r="X8202" s="93" t="s">
        <v>30</v>
      </c>
      <c r="Y8202" s="93" t="s">
        <v>1011</v>
      </c>
      <c r="Z8202" s="134">
        <f>VLOOKUP(W8202,Sheet2!$B:$D,3,FALSE)</f>
        <v>1.76</v>
      </c>
      <c r="AA8202" s="93">
        <f>AA8201/3</f>
        <v>16.666666666666668</v>
      </c>
      <c r="AB8202" s="93">
        <f>AD8202/AC8196</f>
        <v>0.1056</v>
      </c>
      <c r="AC8202" s="93">
        <f>AC8196/AA8202</f>
        <v>2.5692509999999986</v>
      </c>
      <c r="AD8202" s="94">
        <f t="shared" si="5690"/>
        <v>4.5218817599999976</v>
      </c>
      <c r="AE8202" s="190"/>
      <c r="AF8202" s="191"/>
      <c r="AG8202" s="191"/>
      <c r="AH8202" s="191"/>
      <c r="AI8202" s="186"/>
      <c r="AK8202" s="171"/>
    </row>
    <row r="8203" spans="1:41" s="102" customFormat="1" ht="19.899999999999999" customHeight="1" x14ac:dyDescent="0.25">
      <c r="A8203" s="45"/>
      <c r="B8203" s="59"/>
      <c r="C8203" s="137"/>
      <c r="D8203" s="59"/>
      <c r="E8203" s="116"/>
      <c r="F8203" s="120"/>
      <c r="G8203" s="120"/>
      <c r="H8203" s="120"/>
      <c r="I8203" s="60"/>
      <c r="J8203" s="116"/>
      <c r="K8203" s="213"/>
      <c r="L8203" s="120"/>
      <c r="M8203" s="120"/>
      <c r="N8203" s="167"/>
      <c r="O8203" s="120"/>
      <c r="P8203" s="120"/>
      <c r="Q8203" s="120"/>
      <c r="R8203" s="120"/>
      <c r="S8203" s="120"/>
      <c r="T8203" s="221"/>
      <c r="U8203" s="89"/>
      <c r="V8203" s="61"/>
      <c r="W8203" s="92" t="s">
        <v>148</v>
      </c>
      <c r="X8203" s="93" t="s">
        <v>29</v>
      </c>
      <c r="Y8203" s="93" t="s">
        <v>93</v>
      </c>
      <c r="Z8203" s="134">
        <f>VLOOKUP(W8203,Sheet2!$B:$D,3,FALSE)</f>
        <v>48</v>
      </c>
      <c r="AA8203" s="93">
        <f>AA8197</f>
        <v>8.3333333333333339</v>
      </c>
      <c r="AB8203" s="93">
        <f>AD8203/AC8196</f>
        <v>5.76</v>
      </c>
      <c r="AC8203" s="93">
        <f>AC8196/AA8203</f>
        <v>5.1385019999999972</v>
      </c>
      <c r="AD8203" s="94">
        <f t="shared" si="5690"/>
        <v>246.64809599999987</v>
      </c>
      <c r="AE8203" s="190"/>
      <c r="AF8203" s="191"/>
      <c r="AG8203" s="191"/>
      <c r="AH8203" s="191"/>
      <c r="AI8203" s="186"/>
      <c r="AK8203" s="171"/>
    </row>
    <row r="8204" spans="1:41" s="102" customFormat="1" ht="19.899999999999999" customHeight="1" x14ac:dyDescent="0.25">
      <c r="A8204" s="45"/>
      <c r="B8204" s="59"/>
      <c r="C8204" s="137"/>
      <c r="D8204" s="59"/>
      <c r="E8204" s="116"/>
      <c r="F8204" s="120"/>
      <c r="G8204" s="120"/>
      <c r="H8204" s="120"/>
      <c r="I8204" s="60"/>
      <c r="J8204" s="116"/>
      <c r="K8204" s="213"/>
      <c r="L8204" s="120"/>
      <c r="M8204" s="120"/>
      <c r="N8204" s="167"/>
      <c r="O8204" s="120"/>
      <c r="P8204" s="120"/>
      <c r="Q8204" s="120"/>
      <c r="R8204" s="120"/>
      <c r="S8204" s="120"/>
      <c r="T8204" s="221"/>
      <c r="U8204" s="89"/>
      <c r="V8204" s="61"/>
      <c r="W8204" s="92" t="s">
        <v>65</v>
      </c>
      <c r="X8204" s="93" t="s">
        <v>30</v>
      </c>
      <c r="Y8204" s="93" t="s">
        <v>1011</v>
      </c>
      <c r="Z8204" s="134">
        <f>VLOOKUP(W8204,Sheet2!$B:$D,3,FALSE)</f>
        <v>1.76</v>
      </c>
      <c r="AA8204" s="93">
        <f>AA8203/10</f>
        <v>0.83333333333333337</v>
      </c>
      <c r="AB8204" s="93">
        <f>AD8204/AC8196</f>
        <v>2.1119999999999997</v>
      </c>
      <c r="AC8204" s="93">
        <f>AC8196/AA8204</f>
        <v>51.385019999999969</v>
      </c>
      <c r="AD8204" s="94">
        <f t="shared" si="5690"/>
        <v>90.437635199999946</v>
      </c>
      <c r="AE8204" s="190"/>
      <c r="AF8204" s="191"/>
      <c r="AG8204" s="191"/>
      <c r="AH8204" s="191"/>
      <c r="AI8204" s="186"/>
      <c r="AK8204" s="171"/>
    </row>
    <row r="8205" spans="1:41" s="102" customFormat="1" ht="19.899999999999999" customHeight="1" x14ac:dyDescent="0.25">
      <c r="A8205" s="45"/>
      <c r="B8205" s="59"/>
      <c r="C8205" s="137"/>
      <c r="D8205" s="59"/>
      <c r="E8205" s="116"/>
      <c r="F8205" s="120"/>
      <c r="G8205" s="120"/>
      <c r="H8205" s="120"/>
      <c r="I8205" s="60"/>
      <c r="J8205" s="116"/>
      <c r="K8205" s="213"/>
      <c r="L8205" s="120"/>
      <c r="M8205" s="120"/>
      <c r="N8205" s="167"/>
      <c r="O8205" s="120"/>
      <c r="P8205" s="120"/>
      <c r="Q8205" s="120"/>
      <c r="R8205" s="120"/>
      <c r="S8205" s="120"/>
      <c r="T8205" s="221"/>
      <c r="U8205" s="89"/>
      <c r="V8205" s="61"/>
      <c r="W8205" s="92" t="s">
        <v>1049</v>
      </c>
      <c r="X8205" s="93" t="s">
        <v>30</v>
      </c>
      <c r="Y8205" s="93" t="s">
        <v>68</v>
      </c>
      <c r="Z8205" s="134">
        <f>VLOOKUP(W8205,Sheet2!$B:$D,3,FALSE)</f>
        <v>60</v>
      </c>
      <c r="AA8205" s="93">
        <v>1</v>
      </c>
      <c r="AB8205" s="93">
        <f>AD8205/AC8196</f>
        <v>60</v>
      </c>
      <c r="AC8205" s="93">
        <f>AC8196/AA8205</f>
        <v>42.820849999999979</v>
      </c>
      <c r="AD8205" s="94">
        <f t="shared" si="5690"/>
        <v>2569.2509999999988</v>
      </c>
      <c r="AE8205" s="190"/>
      <c r="AF8205" s="191"/>
      <c r="AG8205" s="191"/>
      <c r="AH8205" s="191"/>
      <c r="AI8205" s="186"/>
      <c r="AK8205" s="171"/>
    </row>
    <row r="8206" spans="1:41" s="103" customFormat="1" ht="19.899999999999999" customHeight="1" x14ac:dyDescent="0.25">
      <c r="A8206" s="51"/>
      <c r="B8206" s="52"/>
      <c r="C8206" s="165"/>
      <c r="D8206" s="52"/>
      <c r="E8206" s="115"/>
      <c r="F8206" s="58"/>
      <c r="G8206" s="58"/>
      <c r="H8206" s="58"/>
      <c r="I8206" s="55"/>
      <c r="J8206" s="113">
        <f>J8195</f>
        <v>42.820849999999979</v>
      </c>
      <c r="K8206" s="212">
        <f>K8195</f>
        <v>42.820849999999979</v>
      </c>
      <c r="L8206" s="58"/>
      <c r="M8206" s="58">
        <f>K8206-L8206</f>
        <v>42.820849999999979</v>
      </c>
      <c r="N8206" s="166"/>
      <c r="O8206" s="58"/>
      <c r="P8206" s="58"/>
      <c r="Q8206" s="58"/>
      <c r="R8206" s="58"/>
      <c r="S8206" s="58"/>
      <c r="T8206" s="220"/>
      <c r="U8206" s="88"/>
      <c r="V8206" s="56"/>
      <c r="W8206" s="57" t="s">
        <v>1122</v>
      </c>
      <c r="X8206" s="53"/>
      <c r="Y8206" s="91" t="s">
        <v>68</v>
      </c>
      <c r="Z8206" s="136">
        <f>AD8206/AC8206</f>
        <v>3844.5500000000015</v>
      </c>
      <c r="AA8206" s="58"/>
      <c r="AB8206" s="53">
        <f>AD8206/AC8206</f>
        <v>3844.5500000000015</v>
      </c>
      <c r="AC8206" s="53">
        <f>M8206+$AE$10</f>
        <v>42.820849999999979</v>
      </c>
      <c r="AD8206" s="54">
        <f>SUM(AD8207:AD8210)</f>
        <v>164626.89886749999</v>
      </c>
      <c r="AE8206" s="184">
        <f>SUMIFS($AD$37:$AD$12971,$V$37:$V$12971,$V8206,$X$37:$X$12971,AE$13)</f>
        <v>0</v>
      </c>
      <c r="AF8206" s="185">
        <f>SUMIFS($AD$37:$AD$12971,$V$37:$V$12971,$V8206,$X$37:$X$12971,AF$13)</f>
        <v>0</v>
      </c>
      <c r="AG8206" s="185">
        <f>SUMIFS($AD$37:$AD$12971,$V$37:$V$12971,$V8206,$X$37:$X$12971,AG$13)</f>
        <v>0</v>
      </c>
      <c r="AH8206" s="187">
        <f>SUMIFS($AD$37:$AD$12971,$V$37:$V$12971,$V8206,$X$37:$X$12971,AH$13)</f>
        <v>0</v>
      </c>
      <c r="AI8206" s="161">
        <f t="shared" ref="AI8206" si="5691">SUM(AE8206:AH8206)</f>
        <v>0</v>
      </c>
      <c r="AK8206" s="172"/>
    </row>
    <row r="8207" spans="1:41" s="102" customFormat="1" ht="19.899999999999999" customHeight="1" x14ac:dyDescent="0.25">
      <c r="A8207" s="45"/>
      <c r="B8207" s="59"/>
      <c r="C8207" s="137"/>
      <c r="D8207" s="59"/>
      <c r="E8207" s="116"/>
      <c r="F8207" s="120"/>
      <c r="G8207" s="120"/>
      <c r="H8207" s="120"/>
      <c r="I8207" s="60"/>
      <c r="J8207" s="116"/>
      <c r="K8207" s="213"/>
      <c r="L8207" s="120"/>
      <c r="M8207" s="120"/>
      <c r="N8207" s="167"/>
      <c r="O8207" s="120"/>
      <c r="P8207" s="120"/>
      <c r="Q8207" s="120"/>
      <c r="R8207" s="120"/>
      <c r="S8207" s="120"/>
      <c r="T8207" s="221"/>
      <c r="U8207" s="89"/>
      <c r="V8207" s="61"/>
      <c r="W8207" s="92" t="s">
        <v>1105</v>
      </c>
      <c r="X8207" s="93" t="s">
        <v>30</v>
      </c>
      <c r="Y8207" s="93" t="s">
        <v>66</v>
      </c>
      <c r="Z8207" s="134">
        <f>VLOOKUP(W8207,Sheet2!$B:$D,3,FALSE)</f>
        <v>2200</v>
      </c>
      <c r="AA8207" s="93">
        <f>1/((2.2*1.3)-(1.6*0.7))</f>
        <v>0.57471264367816077</v>
      </c>
      <c r="AB8207" s="93">
        <f>AD8207/AC8206</f>
        <v>3828.0000000000014</v>
      </c>
      <c r="AC8207" s="93">
        <f>AC8206/AA8207</f>
        <v>74.508278999999987</v>
      </c>
      <c r="AD8207" s="94">
        <f t="shared" ref="AD8207" si="5692">AC8207*Z8207</f>
        <v>163918.21379999997</v>
      </c>
      <c r="AE8207" s="190"/>
      <c r="AF8207" s="191"/>
      <c r="AG8207" s="191"/>
      <c r="AH8207" s="191"/>
      <c r="AI8207" s="186"/>
      <c r="AK8207" s="171"/>
    </row>
    <row r="8208" spans="1:41" s="102" customFormat="1" ht="19.899999999999999" customHeight="1" x14ac:dyDescent="0.25">
      <c r="A8208" s="45"/>
      <c r="B8208" s="59"/>
      <c r="C8208" s="137"/>
      <c r="D8208" s="59"/>
      <c r="E8208" s="116"/>
      <c r="F8208" s="120"/>
      <c r="G8208" s="120"/>
      <c r="H8208" s="120"/>
      <c r="I8208" s="60"/>
      <c r="J8208" s="116"/>
      <c r="K8208" s="213"/>
      <c r="L8208" s="120"/>
      <c r="M8208" s="120"/>
      <c r="N8208" s="167"/>
      <c r="O8208" s="120"/>
      <c r="P8208" s="120"/>
      <c r="Q8208" s="120"/>
      <c r="R8208" s="120"/>
      <c r="S8208" s="120"/>
      <c r="T8208" s="221"/>
      <c r="U8208" s="89"/>
      <c r="V8208" s="61"/>
      <c r="W8208" s="92" t="s">
        <v>174</v>
      </c>
      <c r="X8208" s="93" t="s">
        <v>29</v>
      </c>
      <c r="Y8208" s="93" t="s">
        <v>93</v>
      </c>
      <c r="Z8208" s="134">
        <f>VLOOKUP(W8208,Sheet2!$B:$D,3,FALSE)</f>
        <v>80</v>
      </c>
      <c r="AA8208" s="93">
        <f>4*2</f>
        <v>8</v>
      </c>
      <c r="AB8208" s="93">
        <f>AD8208/AC8206</f>
        <v>10</v>
      </c>
      <c r="AC8208" s="93">
        <f>AC8206/AA8208</f>
        <v>5.3526062499999973</v>
      </c>
      <c r="AD8208" s="94">
        <f>AC8208*Z8208</f>
        <v>428.20849999999979</v>
      </c>
      <c r="AE8208" s="190"/>
      <c r="AF8208" s="191"/>
      <c r="AG8208" s="191"/>
      <c r="AH8208" s="191"/>
      <c r="AI8208" s="186"/>
      <c r="AK8208" s="171"/>
    </row>
    <row r="8209" spans="1:41" s="102" customFormat="1" ht="19.899999999999999" customHeight="1" x14ac:dyDescent="0.25">
      <c r="A8209" s="45"/>
      <c r="B8209" s="59"/>
      <c r="C8209" s="137"/>
      <c r="D8209" s="59"/>
      <c r="E8209" s="116"/>
      <c r="F8209" s="120"/>
      <c r="G8209" s="120"/>
      <c r="H8209" s="120"/>
      <c r="I8209" s="60"/>
      <c r="J8209" s="116"/>
      <c r="K8209" s="213"/>
      <c r="L8209" s="120"/>
      <c r="M8209" s="120"/>
      <c r="N8209" s="167"/>
      <c r="O8209" s="120"/>
      <c r="P8209" s="120"/>
      <c r="Q8209" s="120"/>
      <c r="R8209" s="120"/>
      <c r="S8209" s="120"/>
      <c r="T8209" s="221"/>
      <c r="U8209" s="89"/>
      <c r="V8209" s="61"/>
      <c r="W8209" s="92" t="s">
        <v>65</v>
      </c>
      <c r="X8209" s="93" t="s">
        <v>30</v>
      </c>
      <c r="Y8209" s="93" t="s">
        <v>1011</v>
      </c>
      <c r="Z8209" s="134">
        <f>VLOOKUP(W8209,Sheet2!$B:$D,3,FALSE)</f>
        <v>1.76</v>
      </c>
      <c r="AA8209" s="93">
        <f>AA8208/15</f>
        <v>0.53333333333333333</v>
      </c>
      <c r="AB8209" s="93">
        <f>AD8209/AC8206</f>
        <v>3.3000000000000003</v>
      </c>
      <c r="AC8209" s="93">
        <f>AC8206/AA8209</f>
        <v>80.289093749999964</v>
      </c>
      <c r="AD8209" s="94">
        <f t="shared" ref="AD8209" si="5693">AC8209*Z8209</f>
        <v>141.30880499999995</v>
      </c>
      <c r="AE8209" s="190"/>
      <c r="AF8209" s="191"/>
      <c r="AG8209" s="191"/>
      <c r="AH8209" s="191"/>
      <c r="AI8209" s="186"/>
      <c r="AK8209" s="171"/>
    </row>
    <row r="8210" spans="1:41" s="102" customFormat="1" ht="19.899999999999999" customHeight="1" x14ac:dyDescent="0.25">
      <c r="A8210" s="45"/>
      <c r="B8210" s="59"/>
      <c r="C8210" s="137"/>
      <c r="D8210" s="59"/>
      <c r="E8210" s="116"/>
      <c r="F8210" s="120"/>
      <c r="G8210" s="120"/>
      <c r="H8210" s="120"/>
      <c r="I8210" s="60"/>
      <c r="J8210" s="116"/>
      <c r="K8210" s="213"/>
      <c r="L8210" s="120"/>
      <c r="M8210" s="120"/>
      <c r="N8210" s="167"/>
      <c r="O8210" s="120"/>
      <c r="P8210" s="120"/>
      <c r="Q8210" s="120"/>
      <c r="R8210" s="120"/>
      <c r="S8210" s="120"/>
      <c r="T8210" s="221"/>
      <c r="U8210" s="89"/>
      <c r="V8210" s="61"/>
      <c r="W8210" s="92" t="s">
        <v>112</v>
      </c>
      <c r="X8210" s="93" t="s">
        <v>31</v>
      </c>
      <c r="Y8210" s="93" t="s">
        <v>93</v>
      </c>
      <c r="Z8210" s="134">
        <f>VLOOKUP(W8210,Sheet2!$B:$D,3,FALSE)</f>
        <v>13</v>
      </c>
      <c r="AA8210" s="93">
        <f>AA8208/2</f>
        <v>4</v>
      </c>
      <c r="AB8210" s="93">
        <f>AD8210/AC8206</f>
        <v>3.25</v>
      </c>
      <c r="AC8210" s="93">
        <f>AC8206/AA8210</f>
        <v>10.705212499999995</v>
      </c>
      <c r="AD8210" s="94">
        <f>AC8210*Z8210</f>
        <v>139.16776249999992</v>
      </c>
      <c r="AE8210" s="190"/>
      <c r="AF8210" s="191"/>
      <c r="AG8210" s="191"/>
      <c r="AH8210" s="191"/>
      <c r="AI8210" s="186"/>
      <c r="AK8210" s="171"/>
    </row>
    <row r="8211" spans="1:41" ht="20.100000000000001" customHeight="1" x14ac:dyDescent="0.25">
      <c r="A8211" s="277" t="s">
        <v>703</v>
      </c>
      <c r="B8211" s="278"/>
      <c r="C8211" s="64" t="s">
        <v>776</v>
      </c>
      <c r="D8211" s="46"/>
      <c r="E8211" s="114"/>
      <c r="F8211" s="44">
        <v>0</v>
      </c>
      <c r="G8211" s="44">
        <f t="shared" si="5545"/>
        <v>0</v>
      </c>
      <c r="H8211" s="44">
        <f t="shared" si="5546"/>
        <v>0</v>
      </c>
      <c r="I8211" s="43">
        <f t="shared" si="5547"/>
        <v>0</v>
      </c>
      <c r="J8211" s="112">
        <f t="shared" si="5548"/>
        <v>0</v>
      </c>
      <c r="K8211" s="211">
        <f t="shared" si="5549"/>
        <v>0</v>
      </c>
      <c r="L8211" s="44"/>
      <c r="M8211" s="44">
        <f t="shared" si="5550"/>
        <v>0</v>
      </c>
      <c r="N8211" s="173">
        <f t="shared" si="5551"/>
        <v>0</v>
      </c>
      <c r="O8211" s="44">
        <f t="shared" si="5552"/>
        <v>0</v>
      </c>
      <c r="P8211" s="44">
        <f t="shared" si="5553"/>
        <v>0</v>
      </c>
      <c r="Q8211" s="44">
        <f t="shared" si="5554"/>
        <v>0</v>
      </c>
      <c r="R8211" s="44">
        <f t="shared" si="5555"/>
        <v>0</v>
      </c>
      <c r="S8211" s="123"/>
      <c r="T8211" s="219">
        <f t="shared" si="5556"/>
        <v>0</v>
      </c>
      <c r="U8211" s="87"/>
      <c r="V8211" s="47"/>
      <c r="W8211" s="48"/>
      <c r="X8211" s="48"/>
      <c r="Y8211" s="48"/>
      <c r="Z8211" s="135"/>
      <c r="AA8211" s="49"/>
      <c r="AB8211" s="50">
        <f t="shared" si="5557"/>
        <v>0</v>
      </c>
      <c r="AC8211" s="42">
        <f t="shared" si="5558"/>
        <v>9.9999999999999998E-20</v>
      </c>
      <c r="AD8211" s="90"/>
      <c r="AE8211" s="188"/>
      <c r="AF8211" s="189"/>
      <c r="AG8211" s="189"/>
      <c r="AH8211" s="189"/>
      <c r="AI8211" s="161"/>
    </row>
    <row r="8212" spans="1:41" ht="20.100000000000001" customHeight="1" x14ac:dyDescent="0.25">
      <c r="A8212" s="277" t="s">
        <v>703</v>
      </c>
      <c r="B8212" s="278"/>
      <c r="C8212" s="64" t="s">
        <v>763</v>
      </c>
      <c r="D8212" s="46" t="s">
        <v>97</v>
      </c>
      <c r="E8212" s="114"/>
      <c r="F8212" s="44">
        <v>0</v>
      </c>
      <c r="G8212" s="44">
        <f t="shared" si="5545"/>
        <v>0</v>
      </c>
      <c r="H8212" s="44">
        <f t="shared" si="5546"/>
        <v>0</v>
      </c>
      <c r="I8212" s="43">
        <f t="shared" si="5547"/>
        <v>0</v>
      </c>
      <c r="J8212" s="112">
        <f t="shared" si="5548"/>
        <v>0</v>
      </c>
      <c r="K8212" s="211">
        <f t="shared" si="5549"/>
        <v>0</v>
      </c>
      <c r="L8212" s="44"/>
      <c r="M8212" s="44">
        <f t="shared" si="5550"/>
        <v>0</v>
      </c>
      <c r="N8212" s="173">
        <f t="shared" si="5551"/>
        <v>0</v>
      </c>
      <c r="O8212" s="44">
        <f t="shared" si="5552"/>
        <v>0</v>
      </c>
      <c r="P8212" s="44">
        <f t="shared" si="5553"/>
        <v>0</v>
      </c>
      <c r="Q8212" s="44">
        <f t="shared" si="5554"/>
        <v>0</v>
      </c>
      <c r="R8212" s="44">
        <f t="shared" si="5555"/>
        <v>0</v>
      </c>
      <c r="S8212" s="123"/>
      <c r="T8212" s="219">
        <f t="shared" si="5556"/>
        <v>0</v>
      </c>
      <c r="U8212" s="87"/>
      <c r="V8212" s="47"/>
      <c r="W8212" s="48"/>
      <c r="X8212" s="48"/>
      <c r="Y8212" s="48"/>
      <c r="Z8212" s="135"/>
      <c r="AA8212" s="49"/>
      <c r="AB8212" s="50">
        <f t="shared" si="5557"/>
        <v>0</v>
      </c>
      <c r="AC8212" s="42">
        <f t="shared" si="5558"/>
        <v>9.9999999999999998E-20</v>
      </c>
      <c r="AD8212" s="90"/>
      <c r="AE8212" s="188"/>
      <c r="AF8212" s="189"/>
      <c r="AG8212" s="189"/>
      <c r="AH8212" s="189"/>
      <c r="AI8212" s="161"/>
    </row>
    <row r="8213" spans="1:41" ht="20.100000000000001" customHeight="1" x14ac:dyDescent="0.25">
      <c r="A8213" s="277" t="s">
        <v>703</v>
      </c>
      <c r="B8213" s="278"/>
      <c r="C8213" s="64" t="s">
        <v>764</v>
      </c>
      <c r="D8213" s="46" t="s">
        <v>97</v>
      </c>
      <c r="E8213" s="114">
        <v>8.2355299999999545</v>
      </c>
      <c r="F8213" s="44">
        <v>4647</v>
      </c>
      <c r="G8213" s="44">
        <f t="shared" si="5545"/>
        <v>38270.507909999789</v>
      </c>
      <c r="H8213" s="44">
        <f t="shared" si="5546"/>
        <v>4140.9265866666683</v>
      </c>
      <c r="I8213" s="43">
        <f t="shared" si="5547"/>
        <v>34102.725132290761</v>
      </c>
      <c r="J8213" s="112">
        <f t="shared" si="5548"/>
        <v>8.2355299999999545</v>
      </c>
      <c r="K8213" s="211">
        <f t="shared" si="5549"/>
        <v>8.2355299999999545</v>
      </c>
      <c r="L8213" s="44"/>
      <c r="M8213" s="44">
        <f t="shared" si="5550"/>
        <v>8.2355299999999545</v>
      </c>
      <c r="N8213" s="173">
        <f t="shared" si="5551"/>
        <v>1</v>
      </c>
      <c r="O8213" s="44">
        <f t="shared" si="5552"/>
        <v>4647</v>
      </c>
      <c r="P8213" s="44">
        <f t="shared" si="5553"/>
        <v>38270.507909999789</v>
      </c>
      <c r="Q8213" s="44">
        <f t="shared" si="5554"/>
        <v>4140.9265866666683</v>
      </c>
      <c r="R8213" s="44">
        <f t="shared" si="5555"/>
        <v>34102.725132290761</v>
      </c>
      <c r="S8213" s="123"/>
      <c r="T8213" s="219">
        <f t="shared" si="5556"/>
        <v>34102.725132290761</v>
      </c>
      <c r="U8213" s="87"/>
      <c r="V8213" s="47"/>
      <c r="W8213" s="48"/>
      <c r="X8213" s="48"/>
      <c r="Y8213" s="48"/>
      <c r="Z8213" s="135"/>
      <c r="AA8213" s="49"/>
      <c r="AB8213" s="50">
        <f t="shared" si="5557"/>
        <v>4140.9265866666683</v>
      </c>
      <c r="AC8213" s="42">
        <f t="shared" si="5558"/>
        <v>8.2355299999999545</v>
      </c>
      <c r="AD8213" s="90">
        <f>AD8214+AD8223</f>
        <v>34102.725132290761</v>
      </c>
      <c r="AE8213" s="188">
        <f t="shared" ref="AE8213:AH8213" si="5694">AE8214+AE8223</f>
        <v>0</v>
      </c>
      <c r="AF8213" s="189">
        <f t="shared" si="5694"/>
        <v>0</v>
      </c>
      <c r="AG8213" s="189">
        <f t="shared" si="5694"/>
        <v>0</v>
      </c>
      <c r="AH8213" s="189">
        <f t="shared" si="5694"/>
        <v>0</v>
      </c>
      <c r="AI8213" s="161">
        <f t="shared" ref="AI8213:AI8228" si="5695">SUM(AE8213:AH8213)</f>
        <v>0</v>
      </c>
      <c r="AK8213" s="169">
        <v>5</v>
      </c>
      <c r="AO8213" s="19" t="s">
        <v>63</v>
      </c>
    </row>
    <row r="8214" spans="1:41" s="103" customFormat="1" ht="19.899999999999999" customHeight="1" x14ac:dyDescent="0.25">
      <c r="A8214" s="51"/>
      <c r="B8214" s="52"/>
      <c r="C8214" s="165"/>
      <c r="D8214" s="52"/>
      <c r="E8214" s="115"/>
      <c r="F8214" s="58"/>
      <c r="G8214" s="58"/>
      <c r="H8214" s="58"/>
      <c r="I8214" s="55"/>
      <c r="J8214" s="113">
        <f>J8213</f>
        <v>8.2355299999999545</v>
      </c>
      <c r="K8214" s="212">
        <f>K8213</f>
        <v>8.2355299999999545</v>
      </c>
      <c r="L8214" s="58"/>
      <c r="M8214" s="58">
        <f>K8214-L8214</f>
        <v>8.2355299999999545</v>
      </c>
      <c r="N8214" s="166"/>
      <c r="O8214" s="58"/>
      <c r="P8214" s="58"/>
      <c r="Q8214" s="58"/>
      <c r="R8214" s="58"/>
      <c r="S8214" s="58"/>
      <c r="T8214" s="220"/>
      <c r="U8214" s="88"/>
      <c r="V8214" s="56"/>
      <c r="W8214" s="57" t="s">
        <v>1136</v>
      </c>
      <c r="X8214" s="53"/>
      <c r="Y8214" s="91" t="s">
        <v>68</v>
      </c>
      <c r="Z8214" s="136">
        <f>AD8214/AC8214</f>
        <v>32.376586666666661</v>
      </c>
      <c r="AA8214" s="58"/>
      <c r="AB8214" s="53">
        <f>AD8214/AC8214</f>
        <v>32.376586666666661</v>
      </c>
      <c r="AC8214" s="53">
        <f>M8214+$AE$10</f>
        <v>8.2355299999999545</v>
      </c>
      <c r="AD8214" s="54">
        <f>SUM(AD8215:AD8222)</f>
        <v>266.63835079093184</v>
      </c>
      <c r="AE8214" s="184">
        <f>SUMIFS($AD$37:$AD$12971,$V$37:$V$12971,$V8214,$X$37:$X$12971,AE$13)</f>
        <v>0</v>
      </c>
      <c r="AF8214" s="185">
        <f>SUMIFS($AD$37:$AD$12971,$V$37:$V$12971,$V8214,$X$37:$X$12971,AF$13)</f>
        <v>0</v>
      </c>
      <c r="AG8214" s="185">
        <f>SUMIFS($AD$37:$AD$12971,$V$37:$V$12971,$V8214,$X$37:$X$12971,AG$13)</f>
        <v>0</v>
      </c>
      <c r="AH8214" s="187">
        <f>SUMIFS($AD$37:$AD$12971,$V$37:$V$12971,$V8214,$X$37:$X$12971,AH$13)</f>
        <v>0</v>
      </c>
      <c r="AI8214" s="161">
        <f t="shared" ref="AI8214" si="5696">SUM(AE8214:AH8214)</f>
        <v>0</v>
      </c>
      <c r="AK8214" s="172"/>
    </row>
    <row r="8215" spans="1:41" s="102" customFormat="1" ht="19.899999999999999" customHeight="1" x14ac:dyDescent="0.25">
      <c r="A8215" s="45"/>
      <c r="B8215" s="59"/>
      <c r="C8215" s="137"/>
      <c r="D8215" s="59"/>
      <c r="E8215" s="116"/>
      <c r="F8215" s="120"/>
      <c r="G8215" s="120"/>
      <c r="H8215" s="120"/>
      <c r="I8215" s="60"/>
      <c r="J8215" s="116"/>
      <c r="K8215" s="213"/>
      <c r="L8215" s="120"/>
      <c r="M8215" s="120"/>
      <c r="N8215" s="167"/>
      <c r="O8215" s="120"/>
      <c r="P8215" s="120"/>
      <c r="Q8215" s="120"/>
      <c r="R8215" s="120"/>
      <c r="S8215" s="120"/>
      <c r="T8215" s="221"/>
      <c r="U8215" s="89"/>
      <c r="V8215" s="61"/>
      <c r="W8215" s="92" t="s">
        <v>129</v>
      </c>
      <c r="X8215" s="93" t="s">
        <v>29</v>
      </c>
      <c r="Y8215" s="93" t="s">
        <v>93</v>
      </c>
      <c r="Z8215" s="134">
        <f>VLOOKUP(W8215,Sheet2!$B:$D,3,FALSE)</f>
        <v>56</v>
      </c>
      <c r="AA8215" s="93">
        <f>100/(3.4*2)</f>
        <v>14.705882352941178</v>
      </c>
      <c r="AB8215" s="93">
        <f t="shared" ref="AB8215" si="5697">AD8215/AC8214</f>
        <v>3.8079999999999994</v>
      </c>
      <c r="AC8215" s="93">
        <f>AC8214/AA8215</f>
        <v>0.56001603999999683</v>
      </c>
      <c r="AD8215" s="94">
        <f t="shared" ref="AD8215:AD8216" si="5698">AC8215*Z8215</f>
        <v>31.360898239999823</v>
      </c>
      <c r="AE8215" s="190"/>
      <c r="AF8215" s="191"/>
      <c r="AG8215" s="191"/>
      <c r="AH8215" s="191"/>
      <c r="AI8215" s="186"/>
      <c r="AK8215" s="171"/>
    </row>
    <row r="8216" spans="1:41" s="102" customFormat="1" ht="19.899999999999999" customHeight="1" x14ac:dyDescent="0.25">
      <c r="A8216" s="45"/>
      <c r="B8216" s="59"/>
      <c r="C8216" s="137"/>
      <c r="D8216" s="59"/>
      <c r="E8216" s="116"/>
      <c r="F8216" s="120"/>
      <c r="G8216" s="120"/>
      <c r="H8216" s="120"/>
      <c r="I8216" s="60"/>
      <c r="J8216" s="116"/>
      <c r="K8216" s="213"/>
      <c r="L8216" s="120"/>
      <c r="M8216" s="120"/>
      <c r="N8216" s="167"/>
      <c r="O8216" s="120"/>
      <c r="P8216" s="120"/>
      <c r="Q8216" s="120"/>
      <c r="R8216" s="120"/>
      <c r="S8216" s="120"/>
      <c r="T8216" s="221"/>
      <c r="U8216" s="89"/>
      <c r="V8216" s="61"/>
      <c r="W8216" s="92" t="s">
        <v>65</v>
      </c>
      <c r="X8216" s="93" t="s">
        <v>30</v>
      </c>
      <c r="Y8216" s="93" t="s">
        <v>1011</v>
      </c>
      <c r="Z8216" s="134">
        <f>VLOOKUP(W8216,Sheet2!$B:$D,3,FALSE)</f>
        <v>1.76</v>
      </c>
      <c r="AA8216" s="93">
        <f>AA8215/14</f>
        <v>1.0504201680672269</v>
      </c>
      <c r="AB8216" s="93">
        <f>AD8216/AC8214</f>
        <v>1.6755200000000001</v>
      </c>
      <c r="AC8216" s="93">
        <f>AC8214/AA8216</f>
        <v>7.8402245599999567</v>
      </c>
      <c r="AD8216" s="94">
        <f t="shared" si="5698"/>
        <v>13.798795225599925</v>
      </c>
      <c r="AE8216" s="190"/>
      <c r="AF8216" s="191"/>
      <c r="AG8216" s="191"/>
      <c r="AH8216" s="191"/>
      <c r="AI8216" s="186"/>
      <c r="AK8216" s="171"/>
    </row>
    <row r="8217" spans="1:41" s="102" customFormat="1" ht="19.899999999999999" customHeight="1" x14ac:dyDescent="0.25">
      <c r="A8217" s="45"/>
      <c r="B8217" s="59"/>
      <c r="C8217" s="137"/>
      <c r="D8217" s="59"/>
      <c r="E8217" s="116"/>
      <c r="F8217" s="120"/>
      <c r="G8217" s="120"/>
      <c r="H8217" s="120"/>
      <c r="I8217" s="60"/>
      <c r="J8217" s="116"/>
      <c r="K8217" s="213"/>
      <c r="L8217" s="120"/>
      <c r="M8217" s="120"/>
      <c r="N8217" s="167"/>
      <c r="O8217" s="120"/>
      <c r="P8217" s="120"/>
      <c r="Q8217" s="120"/>
      <c r="R8217" s="120"/>
      <c r="S8217" s="120"/>
      <c r="T8217" s="221"/>
      <c r="U8217" s="89"/>
      <c r="V8217" s="61"/>
      <c r="W8217" s="92" t="s">
        <v>161</v>
      </c>
      <c r="X8217" s="93" t="s">
        <v>29</v>
      </c>
      <c r="Y8217" s="93" t="s">
        <v>93</v>
      </c>
      <c r="Z8217" s="134">
        <f>VLOOKUP(W8217,Sheet2!$B:$D,3,FALSE)</f>
        <v>48</v>
      </c>
      <c r="AA8217" s="93">
        <f>(16*0.85*1.5)/(3.4*2)</f>
        <v>3</v>
      </c>
      <c r="AB8217" s="93">
        <f>AD8217/AC8214</f>
        <v>16</v>
      </c>
      <c r="AC8217" s="93">
        <f>AC8214/AA8217</f>
        <v>2.7451766666666515</v>
      </c>
      <c r="AD8217" s="94">
        <f>AC8217*Z8217</f>
        <v>131.76847999999927</v>
      </c>
      <c r="AE8217" s="190"/>
      <c r="AF8217" s="191"/>
      <c r="AG8217" s="191"/>
      <c r="AH8217" s="191"/>
      <c r="AI8217" s="186"/>
      <c r="AK8217" s="171"/>
    </row>
    <row r="8218" spans="1:41" s="102" customFormat="1" ht="19.899999999999999" customHeight="1" x14ac:dyDescent="0.25">
      <c r="A8218" s="45"/>
      <c r="B8218" s="59"/>
      <c r="C8218" s="137"/>
      <c r="D8218" s="59"/>
      <c r="E8218" s="116"/>
      <c r="F8218" s="120"/>
      <c r="G8218" s="120"/>
      <c r="H8218" s="120"/>
      <c r="I8218" s="60"/>
      <c r="J8218" s="116"/>
      <c r="K8218" s="213"/>
      <c r="L8218" s="120"/>
      <c r="M8218" s="120"/>
      <c r="N8218" s="167"/>
      <c r="O8218" s="120"/>
      <c r="P8218" s="120"/>
      <c r="Q8218" s="120"/>
      <c r="R8218" s="120"/>
      <c r="S8218" s="120"/>
      <c r="T8218" s="221"/>
      <c r="U8218" s="89"/>
      <c r="V8218" s="61"/>
      <c r="W8218" s="92" t="s">
        <v>65</v>
      </c>
      <c r="X8218" s="93" t="s">
        <v>30</v>
      </c>
      <c r="Y8218" s="93" t="s">
        <v>1011</v>
      </c>
      <c r="Z8218" s="134">
        <f>VLOOKUP(W8218,Sheet2!$B:$D,3,FALSE)</f>
        <v>1.76</v>
      </c>
      <c r="AA8218" s="93">
        <f>AA8217/10</f>
        <v>0.3</v>
      </c>
      <c r="AB8218" s="93">
        <f>AD8218/AC8214</f>
        <v>5.8666666666666671</v>
      </c>
      <c r="AC8218" s="93">
        <f>AC8214/AA8218</f>
        <v>27.451766666666515</v>
      </c>
      <c r="AD8218" s="94">
        <f>AC8218*Z8218</f>
        <v>48.315109333333069</v>
      </c>
      <c r="AE8218" s="190"/>
      <c r="AF8218" s="191"/>
      <c r="AG8218" s="191"/>
      <c r="AH8218" s="191"/>
      <c r="AI8218" s="186"/>
      <c r="AK8218" s="171"/>
    </row>
    <row r="8219" spans="1:41" s="102" customFormat="1" ht="19.899999999999999" customHeight="1" x14ac:dyDescent="0.25">
      <c r="A8219" s="45"/>
      <c r="B8219" s="59"/>
      <c r="C8219" s="137"/>
      <c r="D8219" s="59"/>
      <c r="E8219" s="116"/>
      <c r="F8219" s="120"/>
      <c r="G8219" s="120"/>
      <c r="H8219" s="120"/>
      <c r="I8219" s="60"/>
      <c r="J8219" s="116"/>
      <c r="K8219" s="213"/>
      <c r="L8219" s="120"/>
      <c r="M8219" s="120"/>
      <c r="N8219" s="167"/>
      <c r="O8219" s="120"/>
      <c r="P8219" s="120"/>
      <c r="Q8219" s="120"/>
      <c r="R8219" s="120"/>
      <c r="S8219" s="120"/>
      <c r="T8219" s="221"/>
      <c r="U8219" s="89"/>
      <c r="V8219" s="61"/>
      <c r="W8219" s="92" t="s">
        <v>1030</v>
      </c>
      <c r="X8219" s="93" t="s">
        <v>29</v>
      </c>
      <c r="Y8219" s="93" t="s">
        <v>93</v>
      </c>
      <c r="Z8219" s="134">
        <f>VLOOKUP(W8219,Sheet2!$B:$D,3,FALSE)</f>
        <v>23</v>
      </c>
      <c r="AA8219" s="93">
        <v>50</v>
      </c>
      <c r="AB8219" s="93">
        <f>AD8219/AC8214</f>
        <v>0.46</v>
      </c>
      <c r="AC8219" s="93">
        <f>AC8214/AA8219</f>
        <v>0.1647105999999991</v>
      </c>
      <c r="AD8219" s="94">
        <f t="shared" ref="AD8219:AD8222" si="5699">AC8219*Z8219</f>
        <v>3.7883437999999794</v>
      </c>
      <c r="AE8219" s="190"/>
      <c r="AF8219" s="191"/>
      <c r="AG8219" s="191"/>
      <c r="AH8219" s="191"/>
      <c r="AI8219" s="186"/>
      <c r="AK8219" s="171"/>
    </row>
    <row r="8220" spans="1:41" s="102" customFormat="1" ht="19.899999999999999" customHeight="1" x14ac:dyDescent="0.25">
      <c r="A8220" s="45"/>
      <c r="B8220" s="59"/>
      <c r="C8220" s="137"/>
      <c r="D8220" s="59"/>
      <c r="E8220" s="116"/>
      <c r="F8220" s="120"/>
      <c r="G8220" s="120"/>
      <c r="H8220" s="120"/>
      <c r="I8220" s="60"/>
      <c r="J8220" s="116"/>
      <c r="K8220" s="213"/>
      <c r="L8220" s="120"/>
      <c r="M8220" s="120"/>
      <c r="N8220" s="167"/>
      <c r="O8220" s="120"/>
      <c r="P8220" s="120"/>
      <c r="Q8220" s="120"/>
      <c r="R8220" s="120"/>
      <c r="S8220" s="120"/>
      <c r="T8220" s="221"/>
      <c r="U8220" s="89"/>
      <c r="V8220" s="61"/>
      <c r="W8220" s="92" t="s">
        <v>65</v>
      </c>
      <c r="X8220" s="93" t="s">
        <v>30</v>
      </c>
      <c r="Y8220" s="93" t="s">
        <v>1011</v>
      </c>
      <c r="Z8220" s="134">
        <f>VLOOKUP(W8220,Sheet2!$B:$D,3,FALSE)</f>
        <v>1.76</v>
      </c>
      <c r="AA8220" s="93">
        <f>AA8219/3</f>
        <v>16.666666666666668</v>
      </c>
      <c r="AB8220" s="93">
        <f>AD8220/AC8214</f>
        <v>0.10559999999999999</v>
      </c>
      <c r="AC8220" s="93">
        <f>AC8214/AA8220</f>
        <v>0.49413179999999723</v>
      </c>
      <c r="AD8220" s="94">
        <f t="shared" si="5699"/>
        <v>0.86967196799999513</v>
      </c>
      <c r="AE8220" s="190"/>
      <c r="AF8220" s="191"/>
      <c r="AG8220" s="191"/>
      <c r="AH8220" s="191"/>
      <c r="AI8220" s="186"/>
      <c r="AK8220" s="171"/>
    </row>
    <row r="8221" spans="1:41" s="102" customFormat="1" ht="19.899999999999999" customHeight="1" x14ac:dyDescent="0.25">
      <c r="A8221" s="45"/>
      <c r="B8221" s="59"/>
      <c r="C8221" s="137"/>
      <c r="D8221" s="59"/>
      <c r="E8221" s="116"/>
      <c r="F8221" s="120"/>
      <c r="G8221" s="120"/>
      <c r="H8221" s="120"/>
      <c r="I8221" s="60"/>
      <c r="J8221" s="116"/>
      <c r="K8221" s="213"/>
      <c r="L8221" s="120"/>
      <c r="M8221" s="120"/>
      <c r="N8221" s="167"/>
      <c r="O8221" s="120"/>
      <c r="P8221" s="120"/>
      <c r="Q8221" s="120"/>
      <c r="R8221" s="120"/>
      <c r="S8221" s="120"/>
      <c r="T8221" s="221"/>
      <c r="U8221" s="89"/>
      <c r="V8221" s="61"/>
      <c r="W8221" s="92" t="s">
        <v>148</v>
      </c>
      <c r="X8221" s="93" t="s">
        <v>29</v>
      </c>
      <c r="Y8221" s="93" t="s">
        <v>93</v>
      </c>
      <c r="Z8221" s="134">
        <f>VLOOKUP(W8221,Sheet2!$B:$D,3,FALSE)</f>
        <v>48</v>
      </c>
      <c r="AA8221" s="93">
        <f>AA8215</f>
        <v>14.705882352941178</v>
      </c>
      <c r="AB8221" s="93">
        <f>AD8221/AC8214</f>
        <v>3.2639999999999998</v>
      </c>
      <c r="AC8221" s="93">
        <f>AC8214/AA8221</f>
        <v>0.56001603999999683</v>
      </c>
      <c r="AD8221" s="94">
        <f t="shared" si="5699"/>
        <v>26.88076991999985</v>
      </c>
      <c r="AE8221" s="190"/>
      <c r="AF8221" s="191"/>
      <c r="AG8221" s="191"/>
      <c r="AH8221" s="191"/>
      <c r="AI8221" s="186"/>
      <c r="AK8221" s="171"/>
    </row>
    <row r="8222" spans="1:41" s="102" customFormat="1" ht="19.899999999999999" customHeight="1" x14ac:dyDescent="0.25">
      <c r="A8222" s="45"/>
      <c r="B8222" s="59"/>
      <c r="C8222" s="137"/>
      <c r="D8222" s="59"/>
      <c r="E8222" s="116"/>
      <c r="F8222" s="120"/>
      <c r="G8222" s="120"/>
      <c r="H8222" s="120"/>
      <c r="I8222" s="60"/>
      <c r="J8222" s="116"/>
      <c r="K8222" s="213"/>
      <c r="L8222" s="120"/>
      <c r="M8222" s="120"/>
      <c r="N8222" s="167"/>
      <c r="O8222" s="120"/>
      <c r="P8222" s="120"/>
      <c r="Q8222" s="120"/>
      <c r="R8222" s="120"/>
      <c r="S8222" s="120"/>
      <c r="T8222" s="221"/>
      <c r="U8222" s="89"/>
      <c r="V8222" s="61"/>
      <c r="W8222" s="92" t="s">
        <v>65</v>
      </c>
      <c r="X8222" s="93" t="s">
        <v>30</v>
      </c>
      <c r="Y8222" s="93" t="s">
        <v>1011</v>
      </c>
      <c r="Z8222" s="134">
        <f>VLOOKUP(W8222,Sheet2!$B:$D,3,FALSE)</f>
        <v>1.76</v>
      </c>
      <c r="AA8222" s="93">
        <f>AA8221/10</f>
        <v>1.4705882352941178</v>
      </c>
      <c r="AB8222" s="93">
        <f>AD8222/AC8214</f>
        <v>1.1968000000000001</v>
      </c>
      <c r="AC8222" s="93">
        <f>AC8214/AA8222</f>
        <v>5.600160399999969</v>
      </c>
      <c r="AD8222" s="94">
        <f t="shared" si="5699"/>
        <v>9.8562823039999454</v>
      </c>
      <c r="AE8222" s="190"/>
      <c r="AF8222" s="191"/>
      <c r="AG8222" s="191"/>
      <c r="AH8222" s="191"/>
      <c r="AI8222" s="186"/>
      <c r="AK8222" s="171"/>
    </row>
    <row r="8223" spans="1:41" s="103" customFormat="1" ht="19.899999999999999" customHeight="1" x14ac:dyDescent="0.25">
      <c r="A8223" s="51"/>
      <c r="B8223" s="52"/>
      <c r="C8223" s="165"/>
      <c r="D8223" s="52"/>
      <c r="E8223" s="115"/>
      <c r="F8223" s="58"/>
      <c r="G8223" s="58"/>
      <c r="H8223" s="58"/>
      <c r="I8223" s="55"/>
      <c r="J8223" s="113">
        <f>J8213</f>
        <v>8.2355299999999545</v>
      </c>
      <c r="K8223" s="212">
        <f>K8213</f>
        <v>8.2355299999999545</v>
      </c>
      <c r="L8223" s="58"/>
      <c r="M8223" s="58">
        <f>K8223-L8223</f>
        <v>8.2355299999999545</v>
      </c>
      <c r="N8223" s="166"/>
      <c r="O8223" s="58"/>
      <c r="P8223" s="58"/>
      <c r="Q8223" s="58"/>
      <c r="R8223" s="58"/>
      <c r="S8223" s="58"/>
      <c r="T8223" s="220"/>
      <c r="U8223" s="88"/>
      <c r="V8223" s="56"/>
      <c r="W8223" s="57" t="s">
        <v>1135</v>
      </c>
      <c r="X8223" s="53"/>
      <c r="Y8223" s="91" t="s">
        <v>68</v>
      </c>
      <c r="Z8223" s="136">
        <f>AD8223/AC8223</f>
        <v>4108.550000000002</v>
      </c>
      <c r="AA8223" s="58"/>
      <c r="AB8223" s="53">
        <f>AD8223/AC8223</f>
        <v>4108.550000000002</v>
      </c>
      <c r="AC8223" s="53">
        <f>M8223+$AE$10</f>
        <v>8.2355299999999545</v>
      </c>
      <c r="AD8223" s="54">
        <f>SUM(AD8224:AD8227)</f>
        <v>33836.086781499827</v>
      </c>
      <c r="AE8223" s="184">
        <f>SUMIFS($AD$37:$AD$12971,$V$37:$V$12971,$V8223,$X$37:$X$12971,AE$13)</f>
        <v>0</v>
      </c>
      <c r="AF8223" s="185">
        <f>SUMIFS($AD$37:$AD$12971,$V$37:$V$12971,$V8223,$X$37:$X$12971,AF$13)</f>
        <v>0</v>
      </c>
      <c r="AG8223" s="185">
        <f>SUMIFS($AD$37:$AD$12971,$V$37:$V$12971,$V8223,$X$37:$X$12971,AG$13)</f>
        <v>0</v>
      </c>
      <c r="AH8223" s="187">
        <f>SUMIFS($AD$37:$AD$12971,$V$37:$V$12971,$V8223,$X$37:$X$12971,AH$13)</f>
        <v>0</v>
      </c>
      <c r="AI8223" s="161">
        <f t="shared" ref="AI8223" si="5700">SUM(AE8223:AH8223)</f>
        <v>0</v>
      </c>
      <c r="AK8223" s="172"/>
    </row>
    <row r="8224" spans="1:41" s="102" customFormat="1" ht="19.899999999999999" customHeight="1" x14ac:dyDescent="0.25">
      <c r="A8224" s="45"/>
      <c r="B8224" s="59"/>
      <c r="C8224" s="137"/>
      <c r="D8224" s="59"/>
      <c r="E8224" s="116"/>
      <c r="F8224" s="120"/>
      <c r="G8224" s="120"/>
      <c r="H8224" s="120"/>
      <c r="I8224" s="60"/>
      <c r="J8224" s="116"/>
      <c r="K8224" s="213"/>
      <c r="L8224" s="120"/>
      <c r="M8224" s="120"/>
      <c r="N8224" s="167"/>
      <c r="O8224" s="120"/>
      <c r="P8224" s="120"/>
      <c r="Q8224" s="120"/>
      <c r="R8224" s="120"/>
      <c r="S8224" s="120"/>
      <c r="T8224" s="221"/>
      <c r="U8224" s="89"/>
      <c r="V8224" s="61"/>
      <c r="W8224" s="92" t="s">
        <v>1105</v>
      </c>
      <c r="X8224" s="93" t="s">
        <v>30</v>
      </c>
      <c r="Y8224" s="93" t="s">
        <v>66</v>
      </c>
      <c r="Z8224" s="134">
        <f>VLOOKUP(W8224,Sheet2!$B:$D,3,FALSE)</f>
        <v>2200</v>
      </c>
      <c r="AA8224" s="93">
        <f>1/((2.6*1.1)-(2*0.5))</f>
        <v>0.53763440860215039</v>
      </c>
      <c r="AB8224" s="93">
        <f>AD8224/AC8223</f>
        <v>4092.0000000000009</v>
      </c>
      <c r="AC8224" s="93">
        <f>AC8223/AA8224</f>
        <v>15.318085799999919</v>
      </c>
      <c r="AD8224" s="94">
        <f t="shared" ref="AD8224" si="5701">AC8224*Z8224</f>
        <v>33699.788759999821</v>
      </c>
      <c r="AE8224" s="190"/>
      <c r="AF8224" s="191"/>
      <c r="AG8224" s="191"/>
      <c r="AH8224" s="191"/>
      <c r="AI8224" s="186"/>
      <c r="AK8224" s="171"/>
    </row>
    <row r="8225" spans="1:41" s="102" customFormat="1" ht="19.899999999999999" customHeight="1" x14ac:dyDescent="0.25">
      <c r="A8225" s="45"/>
      <c r="B8225" s="59"/>
      <c r="C8225" s="137"/>
      <c r="D8225" s="59"/>
      <c r="E8225" s="116"/>
      <c r="F8225" s="120"/>
      <c r="G8225" s="120"/>
      <c r="H8225" s="120"/>
      <c r="I8225" s="60"/>
      <c r="J8225" s="116"/>
      <c r="K8225" s="213"/>
      <c r="L8225" s="120"/>
      <c r="M8225" s="120"/>
      <c r="N8225" s="167"/>
      <c r="O8225" s="120"/>
      <c r="P8225" s="120"/>
      <c r="Q8225" s="120"/>
      <c r="R8225" s="120"/>
      <c r="S8225" s="120"/>
      <c r="T8225" s="221"/>
      <c r="U8225" s="89"/>
      <c r="V8225" s="61"/>
      <c r="W8225" s="92" t="s">
        <v>174</v>
      </c>
      <c r="X8225" s="93" t="s">
        <v>29</v>
      </c>
      <c r="Y8225" s="93" t="s">
        <v>93</v>
      </c>
      <c r="Z8225" s="134">
        <f>VLOOKUP(W8225,Sheet2!$B:$D,3,FALSE)</f>
        <v>80</v>
      </c>
      <c r="AA8225" s="93">
        <f>4*2</f>
        <v>8</v>
      </c>
      <c r="AB8225" s="93">
        <f>AD8225/AC8223</f>
        <v>10</v>
      </c>
      <c r="AC8225" s="93">
        <f>AC8223/AA8225</f>
        <v>1.0294412499999943</v>
      </c>
      <c r="AD8225" s="94">
        <f>AC8225*Z8225</f>
        <v>82.355299999999545</v>
      </c>
      <c r="AE8225" s="190"/>
      <c r="AF8225" s="191"/>
      <c r="AG8225" s="191"/>
      <c r="AH8225" s="191"/>
      <c r="AI8225" s="186"/>
      <c r="AK8225" s="171"/>
    </row>
    <row r="8226" spans="1:41" s="102" customFormat="1" ht="19.899999999999999" customHeight="1" x14ac:dyDescent="0.25">
      <c r="A8226" s="45"/>
      <c r="B8226" s="59"/>
      <c r="C8226" s="137"/>
      <c r="D8226" s="59"/>
      <c r="E8226" s="116"/>
      <c r="F8226" s="120"/>
      <c r="G8226" s="120"/>
      <c r="H8226" s="120"/>
      <c r="I8226" s="60"/>
      <c r="J8226" s="116"/>
      <c r="K8226" s="213"/>
      <c r="L8226" s="120"/>
      <c r="M8226" s="120"/>
      <c r="N8226" s="167"/>
      <c r="O8226" s="120"/>
      <c r="P8226" s="120"/>
      <c r="Q8226" s="120"/>
      <c r="R8226" s="120"/>
      <c r="S8226" s="120"/>
      <c r="T8226" s="221"/>
      <c r="U8226" s="89"/>
      <c r="V8226" s="61"/>
      <c r="W8226" s="92" t="s">
        <v>65</v>
      </c>
      <c r="X8226" s="93" t="s">
        <v>30</v>
      </c>
      <c r="Y8226" s="93" t="s">
        <v>1011</v>
      </c>
      <c r="Z8226" s="134">
        <f>VLOOKUP(W8226,Sheet2!$B:$D,3,FALSE)</f>
        <v>1.76</v>
      </c>
      <c r="AA8226" s="93">
        <f>AA8225/15</f>
        <v>0.53333333333333333</v>
      </c>
      <c r="AB8226" s="93">
        <f>AD8226/AC8223</f>
        <v>3.3000000000000003</v>
      </c>
      <c r="AC8226" s="93">
        <f>AC8223/AA8226</f>
        <v>15.441618749999915</v>
      </c>
      <c r="AD8226" s="94">
        <f t="shared" ref="AD8226" si="5702">AC8226*Z8226</f>
        <v>27.177248999999851</v>
      </c>
      <c r="AE8226" s="190"/>
      <c r="AF8226" s="191"/>
      <c r="AG8226" s="191"/>
      <c r="AH8226" s="191"/>
      <c r="AI8226" s="186"/>
      <c r="AK8226" s="171"/>
    </row>
    <row r="8227" spans="1:41" s="102" customFormat="1" ht="19.899999999999999" customHeight="1" x14ac:dyDescent="0.25">
      <c r="A8227" s="45"/>
      <c r="B8227" s="59"/>
      <c r="C8227" s="137"/>
      <c r="D8227" s="59"/>
      <c r="E8227" s="116"/>
      <c r="F8227" s="120"/>
      <c r="G8227" s="120"/>
      <c r="H8227" s="120"/>
      <c r="I8227" s="60"/>
      <c r="J8227" s="116"/>
      <c r="K8227" s="213"/>
      <c r="L8227" s="120"/>
      <c r="M8227" s="120"/>
      <c r="N8227" s="167"/>
      <c r="O8227" s="120"/>
      <c r="P8227" s="120"/>
      <c r="Q8227" s="120"/>
      <c r="R8227" s="120"/>
      <c r="S8227" s="120"/>
      <c r="T8227" s="221"/>
      <c r="U8227" s="89"/>
      <c r="V8227" s="61"/>
      <c r="W8227" s="92" t="s">
        <v>112</v>
      </c>
      <c r="X8227" s="93" t="s">
        <v>31</v>
      </c>
      <c r="Y8227" s="93" t="s">
        <v>93</v>
      </c>
      <c r="Z8227" s="134">
        <f>VLOOKUP(W8227,Sheet2!$B:$D,3,FALSE)</f>
        <v>13</v>
      </c>
      <c r="AA8227" s="93">
        <f>AA8225/2</f>
        <v>4</v>
      </c>
      <c r="AB8227" s="93">
        <f>AD8227/AC8223</f>
        <v>3.25</v>
      </c>
      <c r="AC8227" s="93">
        <f>AC8223/AA8227</f>
        <v>2.0588824999999886</v>
      </c>
      <c r="AD8227" s="94">
        <f>AC8227*Z8227</f>
        <v>26.765472499999852</v>
      </c>
      <c r="AE8227" s="190"/>
      <c r="AF8227" s="191"/>
      <c r="AG8227" s="191"/>
      <c r="AH8227" s="191"/>
      <c r="AI8227" s="186"/>
      <c r="AK8227" s="171"/>
    </row>
    <row r="8228" spans="1:41" ht="20.100000000000001" customHeight="1" x14ac:dyDescent="0.25">
      <c r="A8228" s="277" t="s">
        <v>703</v>
      </c>
      <c r="B8228" s="278"/>
      <c r="C8228" s="64" t="s">
        <v>765</v>
      </c>
      <c r="D8228" s="46" t="s">
        <v>97</v>
      </c>
      <c r="E8228" s="114">
        <v>24.031269999999836</v>
      </c>
      <c r="F8228" s="44">
        <v>4814</v>
      </c>
      <c r="G8228" s="44">
        <f t="shared" si="5545"/>
        <v>115686.53377999921</v>
      </c>
      <c r="H8228" s="44">
        <f t="shared" si="5546"/>
        <v>4183.8793333333342</v>
      </c>
      <c r="I8228" s="43">
        <f t="shared" si="5547"/>
        <v>100543.93390675267</v>
      </c>
      <c r="J8228" s="112">
        <f t="shared" si="5548"/>
        <v>24.031269999999836</v>
      </c>
      <c r="K8228" s="211">
        <f t="shared" si="5549"/>
        <v>24.031269999999836</v>
      </c>
      <c r="L8228" s="44"/>
      <c r="M8228" s="44">
        <f t="shared" si="5550"/>
        <v>24.031269999999836</v>
      </c>
      <c r="N8228" s="173">
        <f t="shared" si="5551"/>
        <v>1</v>
      </c>
      <c r="O8228" s="44">
        <f t="shared" si="5552"/>
        <v>4814</v>
      </c>
      <c r="P8228" s="44">
        <f t="shared" si="5553"/>
        <v>115686.53377999921</v>
      </c>
      <c r="Q8228" s="44">
        <f t="shared" si="5554"/>
        <v>4183.8793333333342</v>
      </c>
      <c r="R8228" s="44">
        <f t="shared" si="5555"/>
        <v>100543.93390675267</v>
      </c>
      <c r="S8228" s="123"/>
      <c r="T8228" s="219">
        <f t="shared" si="5556"/>
        <v>100543.93390675267</v>
      </c>
      <c r="U8228" s="87"/>
      <c r="V8228" s="47"/>
      <c r="W8228" s="48"/>
      <c r="X8228" s="48"/>
      <c r="Y8228" s="48"/>
      <c r="Z8228" s="135"/>
      <c r="AA8228" s="49"/>
      <c r="AB8228" s="50">
        <f t="shared" si="5557"/>
        <v>4183.8793333333342</v>
      </c>
      <c r="AC8228" s="42">
        <f t="shared" si="5558"/>
        <v>24.031269999999836</v>
      </c>
      <c r="AD8228" s="90">
        <f>AD8229+AD8239</f>
        <v>100543.93390675267</v>
      </c>
      <c r="AE8228" s="188">
        <f t="shared" ref="AE8228:AH8228" si="5703">AE8229+AE8239</f>
        <v>0</v>
      </c>
      <c r="AF8228" s="189">
        <f t="shared" si="5703"/>
        <v>0</v>
      </c>
      <c r="AG8228" s="189">
        <f t="shared" si="5703"/>
        <v>0</v>
      </c>
      <c r="AH8228" s="189">
        <f t="shared" si="5703"/>
        <v>0</v>
      </c>
      <c r="AI8228" s="161">
        <f t="shared" si="5695"/>
        <v>0</v>
      </c>
      <c r="AK8228" s="169">
        <v>5</v>
      </c>
      <c r="AO8228" s="19" t="s">
        <v>63</v>
      </c>
    </row>
    <row r="8229" spans="1:41" s="103" customFormat="1" ht="19.899999999999999" customHeight="1" x14ac:dyDescent="0.25">
      <c r="A8229" s="51"/>
      <c r="B8229" s="52"/>
      <c r="C8229" s="165"/>
      <c r="D8229" s="52"/>
      <c r="E8229" s="115"/>
      <c r="F8229" s="58"/>
      <c r="G8229" s="58"/>
      <c r="H8229" s="58"/>
      <c r="I8229" s="55"/>
      <c r="J8229" s="113">
        <f>J8228</f>
        <v>24.031269999999836</v>
      </c>
      <c r="K8229" s="212">
        <f>K8228</f>
        <v>24.031269999999836</v>
      </c>
      <c r="L8229" s="58"/>
      <c r="M8229" s="58">
        <f>K8229-L8229</f>
        <v>24.031269999999836</v>
      </c>
      <c r="N8229" s="166"/>
      <c r="O8229" s="58"/>
      <c r="P8229" s="58"/>
      <c r="Q8229" s="58"/>
      <c r="R8229" s="58"/>
      <c r="S8229" s="58"/>
      <c r="T8229" s="220"/>
      <c r="U8229" s="88"/>
      <c r="V8229" s="56"/>
      <c r="W8229" s="57" t="s">
        <v>1133</v>
      </c>
      <c r="X8229" s="53"/>
      <c r="Y8229" s="91" t="s">
        <v>68</v>
      </c>
      <c r="Z8229" s="136">
        <f>AD8229/AC8229</f>
        <v>75.329333333333338</v>
      </c>
      <c r="AA8229" s="58"/>
      <c r="AB8229" s="53">
        <f>AD8229/AC8229</f>
        <v>75.329333333333338</v>
      </c>
      <c r="AC8229" s="53">
        <f>M8229+$AE$10</f>
        <v>24.031269999999836</v>
      </c>
      <c r="AD8229" s="54">
        <f>SUM(AD8230:AD8238)</f>
        <v>1810.2595482533211</v>
      </c>
      <c r="AE8229" s="184">
        <f>SUMIFS($AD$37:$AD$12971,$V$37:$V$12971,$V8229,$X$37:$X$12971,AE$13)</f>
        <v>0</v>
      </c>
      <c r="AF8229" s="185">
        <f>SUMIFS($AD$37:$AD$12971,$V$37:$V$12971,$V8229,$X$37:$X$12971,AF$13)</f>
        <v>0</v>
      </c>
      <c r="AG8229" s="185">
        <f>SUMIFS($AD$37:$AD$12971,$V$37:$V$12971,$V8229,$X$37:$X$12971,AG$13)</f>
        <v>0</v>
      </c>
      <c r="AH8229" s="187">
        <f>SUMIFS($AD$37:$AD$12971,$V$37:$V$12971,$V8229,$X$37:$X$12971,AH$13)</f>
        <v>0</v>
      </c>
      <c r="AI8229" s="161">
        <f t="shared" ref="AI8229" si="5704">SUM(AE8229:AH8229)</f>
        <v>0</v>
      </c>
      <c r="AK8229" s="172"/>
    </row>
    <row r="8230" spans="1:41" s="102" customFormat="1" ht="19.899999999999999" customHeight="1" x14ac:dyDescent="0.25">
      <c r="A8230" s="45"/>
      <c r="B8230" s="59"/>
      <c r="C8230" s="137"/>
      <c r="D8230" s="59"/>
      <c r="E8230" s="116"/>
      <c r="F8230" s="120"/>
      <c r="G8230" s="120"/>
      <c r="H8230" s="120"/>
      <c r="I8230" s="60"/>
      <c r="J8230" s="116"/>
      <c r="K8230" s="213"/>
      <c r="L8230" s="120"/>
      <c r="M8230" s="120"/>
      <c r="N8230" s="167"/>
      <c r="O8230" s="120"/>
      <c r="P8230" s="120"/>
      <c r="Q8230" s="120"/>
      <c r="R8230" s="120"/>
      <c r="S8230" s="120"/>
      <c r="T8230" s="221"/>
      <c r="U8230" s="89"/>
      <c r="V8230" s="61"/>
      <c r="W8230" s="92" t="s">
        <v>129</v>
      </c>
      <c r="X8230" s="93" t="s">
        <v>29</v>
      </c>
      <c r="Y8230" s="93" t="s">
        <v>93</v>
      </c>
      <c r="Z8230" s="134">
        <f>VLOOKUP(W8230,Sheet2!$B:$D,3,FALSE)</f>
        <v>56</v>
      </c>
      <c r="AA8230" s="93">
        <f>100/(3.4*2.5)</f>
        <v>11.764705882352942</v>
      </c>
      <c r="AB8230" s="93">
        <f t="shared" ref="AB8230" si="5705">AD8230/AC8229</f>
        <v>4.76</v>
      </c>
      <c r="AC8230" s="93">
        <f>AC8229/AA8230</f>
        <v>2.042657949999986</v>
      </c>
      <c r="AD8230" s="94">
        <f t="shared" ref="AD8230:AD8231" si="5706">AC8230*Z8230</f>
        <v>114.38884519999921</v>
      </c>
      <c r="AE8230" s="190"/>
      <c r="AF8230" s="191"/>
      <c r="AG8230" s="191"/>
      <c r="AH8230" s="191"/>
      <c r="AI8230" s="186"/>
      <c r="AK8230" s="171"/>
    </row>
    <row r="8231" spans="1:41" s="102" customFormat="1" ht="19.899999999999999" customHeight="1" x14ac:dyDescent="0.25">
      <c r="A8231" s="45"/>
      <c r="B8231" s="59"/>
      <c r="C8231" s="137"/>
      <c r="D8231" s="59"/>
      <c r="E8231" s="116"/>
      <c r="F8231" s="120"/>
      <c r="G8231" s="120"/>
      <c r="H8231" s="120"/>
      <c r="I8231" s="60"/>
      <c r="J8231" s="116"/>
      <c r="K8231" s="213"/>
      <c r="L8231" s="120"/>
      <c r="M8231" s="120"/>
      <c r="N8231" s="167"/>
      <c r="O8231" s="120"/>
      <c r="P8231" s="120"/>
      <c r="Q8231" s="120"/>
      <c r="R8231" s="120"/>
      <c r="S8231" s="120"/>
      <c r="T8231" s="221"/>
      <c r="U8231" s="89"/>
      <c r="V8231" s="61"/>
      <c r="W8231" s="92" t="s">
        <v>65</v>
      </c>
      <c r="X8231" s="93" t="s">
        <v>30</v>
      </c>
      <c r="Y8231" s="93" t="s">
        <v>1011</v>
      </c>
      <c r="Z8231" s="134">
        <f>VLOOKUP(W8231,Sheet2!$B:$D,3,FALSE)</f>
        <v>1.76</v>
      </c>
      <c r="AA8231" s="93">
        <f>AA8230/14</f>
        <v>0.84033613445378152</v>
      </c>
      <c r="AB8231" s="93">
        <f>AD8231/AC8229</f>
        <v>2.0943999999999998</v>
      </c>
      <c r="AC8231" s="93">
        <f>AC8229/AA8231</f>
        <v>28.597211299999802</v>
      </c>
      <c r="AD8231" s="94">
        <f t="shared" si="5706"/>
        <v>50.331091887999655</v>
      </c>
      <c r="AE8231" s="190"/>
      <c r="AF8231" s="191"/>
      <c r="AG8231" s="191"/>
      <c r="AH8231" s="191"/>
      <c r="AI8231" s="186"/>
      <c r="AK8231" s="171"/>
    </row>
    <row r="8232" spans="1:41" s="102" customFormat="1" ht="19.899999999999999" customHeight="1" x14ac:dyDescent="0.25">
      <c r="A8232" s="45"/>
      <c r="B8232" s="59"/>
      <c r="C8232" s="137"/>
      <c r="D8232" s="59"/>
      <c r="E8232" s="116"/>
      <c r="F8232" s="120"/>
      <c r="G8232" s="120"/>
      <c r="H8232" s="120"/>
      <c r="I8232" s="60"/>
      <c r="J8232" s="116"/>
      <c r="K8232" s="213"/>
      <c r="L8232" s="120"/>
      <c r="M8232" s="120"/>
      <c r="N8232" s="167"/>
      <c r="O8232" s="120"/>
      <c r="P8232" s="120"/>
      <c r="Q8232" s="120"/>
      <c r="R8232" s="120"/>
      <c r="S8232" s="120"/>
      <c r="T8232" s="221"/>
      <c r="U8232" s="89"/>
      <c r="V8232" s="61"/>
      <c r="W8232" s="92" t="s">
        <v>161</v>
      </c>
      <c r="X8232" s="93" t="s">
        <v>29</v>
      </c>
      <c r="Y8232" s="93" t="s">
        <v>93</v>
      </c>
      <c r="Z8232" s="134">
        <f>VLOOKUP(W8232,Sheet2!$B:$D,3,FALSE)</f>
        <v>48</v>
      </c>
      <c r="AA8232" s="93">
        <f>(16*0.85*1.5)/(3.4*2.5)</f>
        <v>2.4</v>
      </c>
      <c r="AB8232" s="93">
        <f>AD8232/AC8229</f>
        <v>20</v>
      </c>
      <c r="AC8232" s="93">
        <f>AC8229/AA8232</f>
        <v>10.013029166666598</v>
      </c>
      <c r="AD8232" s="94">
        <f>AC8232*Z8232</f>
        <v>480.62539999999672</v>
      </c>
      <c r="AE8232" s="190"/>
      <c r="AF8232" s="191"/>
      <c r="AG8232" s="191"/>
      <c r="AH8232" s="191"/>
      <c r="AI8232" s="186"/>
      <c r="AK8232" s="171"/>
    </row>
    <row r="8233" spans="1:41" s="102" customFormat="1" ht="19.899999999999999" customHeight="1" x14ac:dyDescent="0.25">
      <c r="A8233" s="45"/>
      <c r="B8233" s="59"/>
      <c r="C8233" s="137"/>
      <c r="D8233" s="59"/>
      <c r="E8233" s="116"/>
      <c r="F8233" s="120"/>
      <c r="G8233" s="120"/>
      <c r="H8233" s="120"/>
      <c r="I8233" s="60"/>
      <c r="J8233" s="116"/>
      <c r="K8233" s="213"/>
      <c r="L8233" s="120"/>
      <c r="M8233" s="120"/>
      <c r="N8233" s="167"/>
      <c r="O8233" s="120"/>
      <c r="P8233" s="120"/>
      <c r="Q8233" s="120"/>
      <c r="R8233" s="120"/>
      <c r="S8233" s="120"/>
      <c r="T8233" s="221"/>
      <c r="U8233" s="89"/>
      <c r="V8233" s="61"/>
      <c r="W8233" s="92" t="s">
        <v>65</v>
      </c>
      <c r="X8233" s="93" t="s">
        <v>30</v>
      </c>
      <c r="Y8233" s="93" t="s">
        <v>1011</v>
      </c>
      <c r="Z8233" s="134">
        <f>VLOOKUP(W8233,Sheet2!$B:$D,3,FALSE)</f>
        <v>1.76</v>
      </c>
      <c r="AA8233" s="93">
        <f>AA8232/10</f>
        <v>0.24</v>
      </c>
      <c r="AB8233" s="93">
        <f>AD8233/AC8229</f>
        <v>7.333333333333333</v>
      </c>
      <c r="AC8233" s="93">
        <f>AC8229/AA8233</f>
        <v>100.13029166666598</v>
      </c>
      <c r="AD8233" s="94">
        <f>AC8233*Z8233</f>
        <v>176.22931333333213</v>
      </c>
      <c r="AE8233" s="190"/>
      <c r="AF8233" s="191"/>
      <c r="AG8233" s="191"/>
      <c r="AH8233" s="191"/>
      <c r="AI8233" s="186"/>
      <c r="AK8233" s="171"/>
    </row>
    <row r="8234" spans="1:41" s="102" customFormat="1" ht="19.899999999999999" customHeight="1" x14ac:dyDescent="0.25">
      <c r="A8234" s="45"/>
      <c r="B8234" s="59"/>
      <c r="C8234" s="137"/>
      <c r="D8234" s="59"/>
      <c r="E8234" s="116"/>
      <c r="F8234" s="120"/>
      <c r="G8234" s="120"/>
      <c r="H8234" s="120"/>
      <c r="I8234" s="60"/>
      <c r="J8234" s="116"/>
      <c r="K8234" s="213"/>
      <c r="L8234" s="120"/>
      <c r="M8234" s="120"/>
      <c r="N8234" s="167"/>
      <c r="O8234" s="120"/>
      <c r="P8234" s="120"/>
      <c r="Q8234" s="120"/>
      <c r="R8234" s="120"/>
      <c r="S8234" s="120"/>
      <c r="T8234" s="221"/>
      <c r="U8234" s="89"/>
      <c r="V8234" s="61"/>
      <c r="W8234" s="92" t="s">
        <v>1030</v>
      </c>
      <c r="X8234" s="93" t="s">
        <v>29</v>
      </c>
      <c r="Y8234" s="93" t="s">
        <v>93</v>
      </c>
      <c r="Z8234" s="134">
        <f>VLOOKUP(W8234,Sheet2!$B:$D,3,FALSE)</f>
        <v>23</v>
      </c>
      <c r="AA8234" s="93">
        <v>50</v>
      </c>
      <c r="AB8234" s="93">
        <f>AD8234/AC8229</f>
        <v>0.46</v>
      </c>
      <c r="AC8234" s="93">
        <f>AC8229/AA8234</f>
        <v>0.48062539999999671</v>
      </c>
      <c r="AD8234" s="94">
        <f t="shared" ref="AD8234:AD8238" si="5707">AC8234*Z8234</f>
        <v>11.054384199999925</v>
      </c>
      <c r="AE8234" s="190"/>
      <c r="AF8234" s="191"/>
      <c r="AG8234" s="191"/>
      <c r="AH8234" s="191"/>
      <c r="AI8234" s="186"/>
      <c r="AK8234" s="171"/>
    </row>
    <row r="8235" spans="1:41" s="102" customFormat="1" ht="19.899999999999999" customHeight="1" x14ac:dyDescent="0.25">
      <c r="A8235" s="45"/>
      <c r="B8235" s="59"/>
      <c r="C8235" s="137"/>
      <c r="D8235" s="59"/>
      <c r="E8235" s="116"/>
      <c r="F8235" s="120"/>
      <c r="G8235" s="120"/>
      <c r="H8235" s="120"/>
      <c r="I8235" s="60"/>
      <c r="J8235" s="116"/>
      <c r="K8235" s="213"/>
      <c r="L8235" s="120"/>
      <c r="M8235" s="120"/>
      <c r="N8235" s="167"/>
      <c r="O8235" s="120"/>
      <c r="P8235" s="120"/>
      <c r="Q8235" s="120"/>
      <c r="R8235" s="120"/>
      <c r="S8235" s="120"/>
      <c r="T8235" s="221"/>
      <c r="U8235" s="89"/>
      <c r="V8235" s="61"/>
      <c r="W8235" s="92" t="s">
        <v>65</v>
      </c>
      <c r="X8235" s="93" t="s">
        <v>30</v>
      </c>
      <c r="Y8235" s="93" t="s">
        <v>1011</v>
      </c>
      <c r="Z8235" s="134">
        <f>VLOOKUP(W8235,Sheet2!$B:$D,3,FALSE)</f>
        <v>1.76</v>
      </c>
      <c r="AA8235" s="93">
        <f>AA8234/3</f>
        <v>16.666666666666668</v>
      </c>
      <c r="AB8235" s="93">
        <f>AD8235/AC8229</f>
        <v>0.1056</v>
      </c>
      <c r="AC8235" s="93">
        <f>AC8229/AA8235</f>
        <v>1.4418761999999901</v>
      </c>
      <c r="AD8235" s="94">
        <f t="shared" si="5707"/>
        <v>2.5377021119999825</v>
      </c>
      <c r="AE8235" s="190"/>
      <c r="AF8235" s="191"/>
      <c r="AG8235" s="191"/>
      <c r="AH8235" s="191"/>
      <c r="AI8235" s="186"/>
      <c r="AK8235" s="171"/>
    </row>
    <row r="8236" spans="1:41" s="102" customFormat="1" ht="19.899999999999999" customHeight="1" x14ac:dyDescent="0.25">
      <c r="A8236" s="45"/>
      <c r="B8236" s="59"/>
      <c r="C8236" s="137"/>
      <c r="D8236" s="59"/>
      <c r="E8236" s="116"/>
      <c r="F8236" s="120"/>
      <c r="G8236" s="120"/>
      <c r="H8236" s="120"/>
      <c r="I8236" s="60"/>
      <c r="J8236" s="116"/>
      <c r="K8236" s="213"/>
      <c r="L8236" s="120"/>
      <c r="M8236" s="120"/>
      <c r="N8236" s="167"/>
      <c r="O8236" s="120"/>
      <c r="P8236" s="120"/>
      <c r="Q8236" s="120"/>
      <c r="R8236" s="120"/>
      <c r="S8236" s="120"/>
      <c r="T8236" s="221"/>
      <c r="U8236" s="89"/>
      <c r="V8236" s="61"/>
      <c r="W8236" s="92" t="s">
        <v>148</v>
      </c>
      <c r="X8236" s="93" t="s">
        <v>29</v>
      </c>
      <c r="Y8236" s="93" t="s">
        <v>93</v>
      </c>
      <c r="Z8236" s="134">
        <f>VLOOKUP(W8236,Sheet2!$B:$D,3,FALSE)</f>
        <v>48</v>
      </c>
      <c r="AA8236" s="93">
        <f>AA8230</f>
        <v>11.764705882352942</v>
      </c>
      <c r="AB8236" s="93">
        <f>AD8236/AC8229</f>
        <v>4.0799999999999992</v>
      </c>
      <c r="AC8236" s="93">
        <f>AC8229/AA8236</f>
        <v>2.042657949999986</v>
      </c>
      <c r="AD8236" s="94">
        <f t="shared" si="5707"/>
        <v>98.047581599999319</v>
      </c>
      <c r="AE8236" s="190"/>
      <c r="AF8236" s="191"/>
      <c r="AG8236" s="191"/>
      <c r="AH8236" s="191"/>
      <c r="AI8236" s="186"/>
      <c r="AK8236" s="171"/>
    </row>
    <row r="8237" spans="1:41" s="102" customFormat="1" ht="19.899999999999999" customHeight="1" x14ac:dyDescent="0.25">
      <c r="A8237" s="45"/>
      <c r="B8237" s="59"/>
      <c r="C8237" s="137"/>
      <c r="D8237" s="59"/>
      <c r="E8237" s="116"/>
      <c r="F8237" s="120"/>
      <c r="G8237" s="120"/>
      <c r="H8237" s="120"/>
      <c r="I8237" s="60"/>
      <c r="J8237" s="116"/>
      <c r="K8237" s="213"/>
      <c r="L8237" s="120"/>
      <c r="M8237" s="120"/>
      <c r="N8237" s="167"/>
      <c r="O8237" s="120"/>
      <c r="P8237" s="120"/>
      <c r="Q8237" s="120"/>
      <c r="R8237" s="120"/>
      <c r="S8237" s="120"/>
      <c r="T8237" s="221"/>
      <c r="U8237" s="89"/>
      <c r="V8237" s="61"/>
      <c r="W8237" s="92" t="s">
        <v>65</v>
      </c>
      <c r="X8237" s="93" t="s">
        <v>30</v>
      </c>
      <c r="Y8237" s="93" t="s">
        <v>1011</v>
      </c>
      <c r="Z8237" s="134">
        <f>VLOOKUP(W8237,Sheet2!$B:$D,3,FALSE)</f>
        <v>1.76</v>
      </c>
      <c r="AA8237" s="93">
        <f>AA8236/10</f>
        <v>1.1764705882352942</v>
      </c>
      <c r="AB8237" s="93">
        <f>AD8237/AC8229</f>
        <v>1.496</v>
      </c>
      <c r="AC8237" s="93">
        <f>AC8229/AA8237</f>
        <v>20.42657949999986</v>
      </c>
      <c r="AD8237" s="94">
        <f t="shared" si="5707"/>
        <v>35.950779919999754</v>
      </c>
      <c r="AE8237" s="190"/>
      <c r="AF8237" s="191"/>
      <c r="AG8237" s="191"/>
      <c r="AH8237" s="191"/>
      <c r="AI8237" s="186"/>
      <c r="AK8237" s="171"/>
    </row>
    <row r="8238" spans="1:41" s="102" customFormat="1" ht="19.899999999999999" customHeight="1" x14ac:dyDescent="0.25">
      <c r="A8238" s="45"/>
      <c r="B8238" s="59"/>
      <c r="C8238" s="137"/>
      <c r="D8238" s="59"/>
      <c r="E8238" s="116"/>
      <c r="F8238" s="120"/>
      <c r="G8238" s="120"/>
      <c r="H8238" s="120"/>
      <c r="I8238" s="60"/>
      <c r="J8238" s="116"/>
      <c r="K8238" s="213"/>
      <c r="L8238" s="120"/>
      <c r="M8238" s="120"/>
      <c r="N8238" s="167"/>
      <c r="O8238" s="120"/>
      <c r="P8238" s="120"/>
      <c r="Q8238" s="120"/>
      <c r="R8238" s="120"/>
      <c r="S8238" s="120"/>
      <c r="T8238" s="221"/>
      <c r="U8238" s="89"/>
      <c r="V8238" s="61"/>
      <c r="W8238" s="92" t="s">
        <v>1048</v>
      </c>
      <c r="X8238" s="93" t="s">
        <v>30</v>
      </c>
      <c r="Y8238" s="93" t="s">
        <v>68</v>
      </c>
      <c r="Z8238" s="134">
        <f>VLOOKUP(W8238,Sheet2!$B:$D,3,FALSE)</f>
        <v>35</v>
      </c>
      <c r="AA8238" s="93">
        <v>1</v>
      </c>
      <c r="AB8238" s="93">
        <f>AD8238/AC8229</f>
        <v>35</v>
      </c>
      <c r="AC8238" s="93">
        <f>AC8229/AA8238</f>
        <v>24.031269999999836</v>
      </c>
      <c r="AD8238" s="94">
        <f t="shared" si="5707"/>
        <v>841.09444999999425</v>
      </c>
      <c r="AE8238" s="190"/>
      <c r="AF8238" s="191"/>
      <c r="AG8238" s="191"/>
      <c r="AH8238" s="191"/>
      <c r="AI8238" s="186"/>
      <c r="AK8238" s="171"/>
    </row>
    <row r="8239" spans="1:41" s="103" customFormat="1" ht="19.899999999999999" customHeight="1" x14ac:dyDescent="0.25">
      <c r="A8239" s="51"/>
      <c r="B8239" s="52"/>
      <c r="C8239" s="165"/>
      <c r="D8239" s="52"/>
      <c r="E8239" s="115"/>
      <c r="F8239" s="58"/>
      <c r="G8239" s="58"/>
      <c r="H8239" s="58"/>
      <c r="I8239" s="55"/>
      <c r="J8239" s="113">
        <f>J8228</f>
        <v>24.031269999999836</v>
      </c>
      <c r="K8239" s="212">
        <f>K8228</f>
        <v>24.031269999999836</v>
      </c>
      <c r="L8239" s="58"/>
      <c r="M8239" s="58">
        <f>K8239-L8239</f>
        <v>24.031269999999836</v>
      </c>
      <c r="N8239" s="166"/>
      <c r="O8239" s="58"/>
      <c r="P8239" s="58"/>
      <c r="Q8239" s="58"/>
      <c r="R8239" s="58"/>
      <c r="S8239" s="58"/>
      <c r="T8239" s="220"/>
      <c r="U8239" s="88"/>
      <c r="V8239" s="56"/>
      <c r="W8239" s="57" t="s">
        <v>1135</v>
      </c>
      <c r="X8239" s="53"/>
      <c r="Y8239" s="91" t="s">
        <v>68</v>
      </c>
      <c r="Z8239" s="136">
        <f>AD8239/AC8239</f>
        <v>4108.5500000000011</v>
      </c>
      <c r="AA8239" s="58"/>
      <c r="AB8239" s="53">
        <f>AD8239/AC8239</f>
        <v>4108.5500000000011</v>
      </c>
      <c r="AC8239" s="53">
        <f>M8239+$AE$10</f>
        <v>24.031269999999836</v>
      </c>
      <c r="AD8239" s="54">
        <f>SUM(AD8240:AD8243)</f>
        <v>98733.674358499353</v>
      </c>
      <c r="AE8239" s="184">
        <f>SUMIFS($AD$37:$AD$12971,$V$37:$V$12971,$V8239,$X$37:$X$12971,AE$13)</f>
        <v>0</v>
      </c>
      <c r="AF8239" s="185">
        <f>SUMIFS($AD$37:$AD$12971,$V$37:$V$12971,$V8239,$X$37:$X$12971,AF$13)</f>
        <v>0</v>
      </c>
      <c r="AG8239" s="185">
        <f>SUMIFS($AD$37:$AD$12971,$V$37:$V$12971,$V8239,$X$37:$X$12971,AG$13)</f>
        <v>0</v>
      </c>
      <c r="AH8239" s="187">
        <f>SUMIFS($AD$37:$AD$12971,$V$37:$V$12971,$V8239,$X$37:$X$12971,AH$13)</f>
        <v>0</v>
      </c>
      <c r="AI8239" s="161">
        <f t="shared" ref="AI8239" si="5708">SUM(AE8239:AH8239)</f>
        <v>0</v>
      </c>
      <c r="AK8239" s="172"/>
    </row>
    <row r="8240" spans="1:41" s="102" customFormat="1" ht="19.899999999999999" customHeight="1" x14ac:dyDescent="0.25">
      <c r="A8240" s="45"/>
      <c r="B8240" s="59"/>
      <c r="C8240" s="137"/>
      <c r="D8240" s="59"/>
      <c r="E8240" s="116"/>
      <c r="F8240" s="120"/>
      <c r="G8240" s="120"/>
      <c r="H8240" s="120"/>
      <c r="I8240" s="60"/>
      <c r="J8240" s="116"/>
      <c r="K8240" s="213"/>
      <c r="L8240" s="120"/>
      <c r="M8240" s="120"/>
      <c r="N8240" s="167"/>
      <c r="O8240" s="120"/>
      <c r="P8240" s="120"/>
      <c r="Q8240" s="120"/>
      <c r="R8240" s="120"/>
      <c r="S8240" s="120"/>
      <c r="T8240" s="221"/>
      <c r="U8240" s="89"/>
      <c r="V8240" s="61"/>
      <c r="W8240" s="92" t="s">
        <v>1105</v>
      </c>
      <c r="X8240" s="93" t="s">
        <v>30</v>
      </c>
      <c r="Y8240" s="93" t="s">
        <v>66</v>
      </c>
      <c r="Z8240" s="134">
        <f>VLOOKUP(W8240,Sheet2!$B:$D,3,FALSE)</f>
        <v>2200</v>
      </c>
      <c r="AA8240" s="93">
        <f>1/((2.6*1.1)-(2*0.5))</f>
        <v>0.53763440860215039</v>
      </c>
      <c r="AB8240" s="93">
        <f>AD8240/AC8239</f>
        <v>4092.0000000000014</v>
      </c>
      <c r="AC8240" s="93">
        <f>AC8239/AA8240</f>
        <v>44.698162199999707</v>
      </c>
      <c r="AD8240" s="94">
        <f t="shared" ref="AD8240" si="5709">AC8240*Z8240</f>
        <v>98335.956839999359</v>
      </c>
      <c r="AE8240" s="190"/>
      <c r="AF8240" s="191"/>
      <c r="AG8240" s="191"/>
      <c r="AH8240" s="191"/>
      <c r="AI8240" s="186"/>
      <c r="AK8240" s="171"/>
    </row>
    <row r="8241" spans="1:41" s="102" customFormat="1" ht="19.899999999999999" customHeight="1" x14ac:dyDescent="0.25">
      <c r="A8241" s="45"/>
      <c r="B8241" s="59"/>
      <c r="C8241" s="137"/>
      <c r="D8241" s="59"/>
      <c r="E8241" s="116"/>
      <c r="F8241" s="120"/>
      <c r="G8241" s="120"/>
      <c r="H8241" s="120"/>
      <c r="I8241" s="60"/>
      <c r="J8241" s="116"/>
      <c r="K8241" s="213"/>
      <c r="L8241" s="120"/>
      <c r="M8241" s="120"/>
      <c r="N8241" s="167"/>
      <c r="O8241" s="120"/>
      <c r="P8241" s="120"/>
      <c r="Q8241" s="120"/>
      <c r="R8241" s="120"/>
      <c r="S8241" s="120"/>
      <c r="T8241" s="221"/>
      <c r="U8241" s="89"/>
      <c r="V8241" s="61"/>
      <c r="W8241" s="92" t="s">
        <v>174</v>
      </c>
      <c r="X8241" s="93" t="s">
        <v>29</v>
      </c>
      <c r="Y8241" s="93" t="s">
        <v>93</v>
      </c>
      <c r="Z8241" s="134">
        <f>VLOOKUP(W8241,Sheet2!$B:$D,3,FALSE)</f>
        <v>80</v>
      </c>
      <c r="AA8241" s="93">
        <f>4*2</f>
        <v>8</v>
      </c>
      <c r="AB8241" s="93">
        <f>AD8241/AC8239</f>
        <v>10</v>
      </c>
      <c r="AC8241" s="93">
        <f>AC8239/AA8241</f>
        <v>3.0039087499999795</v>
      </c>
      <c r="AD8241" s="94">
        <f>AC8241*Z8241</f>
        <v>240.31269999999836</v>
      </c>
      <c r="AE8241" s="190"/>
      <c r="AF8241" s="191"/>
      <c r="AG8241" s="191"/>
      <c r="AH8241" s="191"/>
      <c r="AI8241" s="186"/>
      <c r="AK8241" s="171"/>
    </row>
    <row r="8242" spans="1:41" s="102" customFormat="1" ht="19.899999999999999" customHeight="1" x14ac:dyDescent="0.25">
      <c r="A8242" s="45"/>
      <c r="B8242" s="59"/>
      <c r="C8242" s="137"/>
      <c r="D8242" s="59"/>
      <c r="E8242" s="116"/>
      <c r="F8242" s="120"/>
      <c r="G8242" s="120"/>
      <c r="H8242" s="120"/>
      <c r="I8242" s="60"/>
      <c r="J8242" s="116"/>
      <c r="K8242" s="213"/>
      <c r="L8242" s="120"/>
      <c r="M8242" s="120"/>
      <c r="N8242" s="167"/>
      <c r="O8242" s="120"/>
      <c r="P8242" s="120"/>
      <c r="Q8242" s="120"/>
      <c r="R8242" s="120"/>
      <c r="S8242" s="120"/>
      <c r="T8242" s="221"/>
      <c r="U8242" s="89"/>
      <c r="V8242" s="61"/>
      <c r="W8242" s="92" t="s">
        <v>65</v>
      </c>
      <c r="X8242" s="93" t="s">
        <v>30</v>
      </c>
      <c r="Y8242" s="93" t="s">
        <v>1011</v>
      </c>
      <c r="Z8242" s="134">
        <f>VLOOKUP(W8242,Sheet2!$B:$D,3,FALSE)</f>
        <v>1.76</v>
      </c>
      <c r="AA8242" s="93">
        <f>AA8241/15</f>
        <v>0.53333333333333333</v>
      </c>
      <c r="AB8242" s="93">
        <f>AD8242/AC8239</f>
        <v>3.3</v>
      </c>
      <c r="AC8242" s="93">
        <f>AC8239/AA8242</f>
        <v>45.058631249999692</v>
      </c>
      <c r="AD8242" s="94">
        <f t="shared" ref="AD8242" si="5710">AC8242*Z8242</f>
        <v>79.303190999999458</v>
      </c>
      <c r="AE8242" s="190"/>
      <c r="AF8242" s="191"/>
      <c r="AG8242" s="191"/>
      <c r="AH8242" s="191"/>
      <c r="AI8242" s="186"/>
      <c r="AK8242" s="171"/>
    </row>
    <row r="8243" spans="1:41" s="102" customFormat="1" ht="19.899999999999999" customHeight="1" x14ac:dyDescent="0.25">
      <c r="A8243" s="45"/>
      <c r="B8243" s="59"/>
      <c r="C8243" s="137"/>
      <c r="D8243" s="59"/>
      <c r="E8243" s="116"/>
      <c r="F8243" s="120"/>
      <c r="G8243" s="120"/>
      <c r="H8243" s="120"/>
      <c r="I8243" s="60"/>
      <c r="J8243" s="116"/>
      <c r="K8243" s="213"/>
      <c r="L8243" s="120"/>
      <c r="M8243" s="120"/>
      <c r="N8243" s="167"/>
      <c r="O8243" s="120"/>
      <c r="P8243" s="120"/>
      <c r="Q8243" s="120"/>
      <c r="R8243" s="120"/>
      <c r="S8243" s="120"/>
      <c r="T8243" s="221"/>
      <c r="U8243" s="89"/>
      <c r="V8243" s="61"/>
      <c r="W8243" s="92" t="s">
        <v>112</v>
      </c>
      <c r="X8243" s="93" t="s">
        <v>31</v>
      </c>
      <c r="Y8243" s="93" t="s">
        <v>93</v>
      </c>
      <c r="Z8243" s="134">
        <f>VLOOKUP(W8243,Sheet2!$B:$D,3,FALSE)</f>
        <v>13</v>
      </c>
      <c r="AA8243" s="93">
        <f>AA8241/2</f>
        <v>4</v>
      </c>
      <c r="AB8243" s="93">
        <f>AD8243/AC8239</f>
        <v>3.25</v>
      </c>
      <c r="AC8243" s="93">
        <f>AC8239/AA8243</f>
        <v>6.007817499999959</v>
      </c>
      <c r="AD8243" s="94">
        <f>AC8243*Z8243</f>
        <v>78.101627499999466</v>
      </c>
      <c r="AE8243" s="190"/>
      <c r="AF8243" s="191"/>
      <c r="AG8243" s="191"/>
      <c r="AH8243" s="191"/>
      <c r="AI8243" s="186"/>
      <c r="AK8243" s="171"/>
    </row>
    <row r="8244" spans="1:41" ht="20.100000000000001" customHeight="1" x14ac:dyDescent="0.25">
      <c r="A8244" s="277" t="s">
        <v>703</v>
      </c>
      <c r="B8244" s="278"/>
      <c r="C8244" s="64" t="s">
        <v>766</v>
      </c>
      <c r="D8244" s="46" t="s">
        <v>97</v>
      </c>
      <c r="E8244" s="114">
        <v>1.4867749999999944</v>
      </c>
      <c r="F8244" s="44">
        <v>4999</v>
      </c>
      <c r="G8244" s="44">
        <f t="shared" si="5545"/>
        <v>7432.3882249999724</v>
      </c>
      <c r="H8244" s="44">
        <f t="shared" si="5546"/>
        <v>4216.832080000002</v>
      </c>
      <c r="I8244" s="43">
        <f t="shared" si="5547"/>
        <v>6269.4805157419796</v>
      </c>
      <c r="J8244" s="112">
        <f t="shared" si="5548"/>
        <v>1.4867749999999944</v>
      </c>
      <c r="K8244" s="211">
        <f t="shared" si="5549"/>
        <v>1.4867749999999944</v>
      </c>
      <c r="L8244" s="44"/>
      <c r="M8244" s="44">
        <f t="shared" si="5550"/>
        <v>1.4867749999999944</v>
      </c>
      <c r="N8244" s="173">
        <f t="shared" si="5551"/>
        <v>1</v>
      </c>
      <c r="O8244" s="44">
        <f t="shared" si="5552"/>
        <v>4999</v>
      </c>
      <c r="P8244" s="44">
        <f t="shared" si="5553"/>
        <v>7432.3882249999724</v>
      </c>
      <c r="Q8244" s="44">
        <f t="shared" si="5554"/>
        <v>4216.832080000002</v>
      </c>
      <c r="R8244" s="44">
        <f t="shared" si="5555"/>
        <v>6269.4805157419796</v>
      </c>
      <c r="S8244" s="123"/>
      <c r="T8244" s="219">
        <f t="shared" si="5556"/>
        <v>6269.4805157419796</v>
      </c>
      <c r="U8244" s="87"/>
      <c r="V8244" s="47"/>
      <c r="W8244" s="48"/>
      <c r="X8244" s="48"/>
      <c r="Y8244" s="48"/>
      <c r="Z8244" s="135"/>
      <c r="AA8244" s="49"/>
      <c r="AB8244" s="50">
        <f t="shared" si="5557"/>
        <v>4216.832080000002</v>
      </c>
      <c r="AC8244" s="42">
        <f t="shared" si="5558"/>
        <v>1.4867749999999944</v>
      </c>
      <c r="AD8244" s="90">
        <f>AD8245+AD8255</f>
        <v>6269.4805157419796</v>
      </c>
      <c r="AE8244" s="188">
        <f t="shared" ref="AE8244:AH8244" si="5711">AE8245+AE8255</f>
        <v>0</v>
      </c>
      <c r="AF8244" s="189">
        <f t="shared" si="5711"/>
        <v>0</v>
      </c>
      <c r="AG8244" s="189">
        <f t="shared" si="5711"/>
        <v>0</v>
      </c>
      <c r="AH8244" s="189">
        <f t="shared" si="5711"/>
        <v>0</v>
      </c>
      <c r="AI8244" s="161">
        <f t="shared" ref="AI8244" si="5712">SUM(AE8244:AH8244)</f>
        <v>0</v>
      </c>
      <c r="AK8244" s="169">
        <v>5</v>
      </c>
      <c r="AO8244" s="19" t="s">
        <v>63</v>
      </c>
    </row>
    <row r="8245" spans="1:41" s="103" customFormat="1" ht="19.899999999999999" customHeight="1" x14ac:dyDescent="0.25">
      <c r="A8245" s="51"/>
      <c r="B8245" s="52"/>
      <c r="C8245" s="165"/>
      <c r="D8245" s="52"/>
      <c r="E8245" s="115"/>
      <c r="F8245" s="58"/>
      <c r="G8245" s="58"/>
      <c r="H8245" s="58"/>
      <c r="I8245" s="55"/>
      <c r="J8245" s="113">
        <f>J8244</f>
        <v>1.4867749999999944</v>
      </c>
      <c r="K8245" s="212">
        <f>K8244</f>
        <v>1.4867749999999944</v>
      </c>
      <c r="L8245" s="58"/>
      <c r="M8245" s="58">
        <f>K8245-L8245</f>
        <v>1.4867749999999944</v>
      </c>
      <c r="N8245" s="166"/>
      <c r="O8245" s="58"/>
      <c r="P8245" s="58"/>
      <c r="Q8245" s="58"/>
      <c r="R8245" s="58"/>
      <c r="S8245" s="58"/>
      <c r="T8245" s="220"/>
      <c r="U8245" s="88"/>
      <c r="V8245" s="56"/>
      <c r="W8245" s="57" t="s">
        <v>1132</v>
      </c>
      <c r="X8245" s="53"/>
      <c r="Y8245" s="91" t="s">
        <v>68</v>
      </c>
      <c r="Z8245" s="136">
        <f>AD8245/AC8245</f>
        <v>108.28207999999999</v>
      </c>
      <c r="AA8245" s="58"/>
      <c r="AB8245" s="53">
        <f>AD8245/AC8245</f>
        <v>108.28207999999999</v>
      </c>
      <c r="AC8245" s="53">
        <f>M8245+$AE$10</f>
        <v>1.4867749999999944</v>
      </c>
      <c r="AD8245" s="54">
        <f>SUM(AD8246:AD8254)</f>
        <v>160.99108949199939</v>
      </c>
      <c r="AE8245" s="184">
        <f>SUMIFS($AD$37:$AD$12971,$V$37:$V$12971,$V8245,$X$37:$X$12971,AE$13)</f>
        <v>0</v>
      </c>
      <c r="AF8245" s="185">
        <f>SUMIFS($AD$37:$AD$12971,$V$37:$V$12971,$V8245,$X$37:$X$12971,AF$13)</f>
        <v>0</v>
      </c>
      <c r="AG8245" s="185">
        <f>SUMIFS($AD$37:$AD$12971,$V$37:$V$12971,$V8245,$X$37:$X$12971,AG$13)</f>
        <v>0</v>
      </c>
      <c r="AH8245" s="187">
        <f>SUMIFS($AD$37:$AD$12971,$V$37:$V$12971,$V8245,$X$37:$X$12971,AH$13)</f>
        <v>0</v>
      </c>
      <c r="AI8245" s="161">
        <f t="shared" ref="AI8245" si="5713">SUM(AE8245:AH8245)</f>
        <v>0</v>
      </c>
      <c r="AK8245" s="172"/>
    </row>
    <row r="8246" spans="1:41" s="102" customFormat="1" ht="19.899999999999999" customHeight="1" x14ac:dyDescent="0.25">
      <c r="A8246" s="45"/>
      <c r="B8246" s="59"/>
      <c r="C8246" s="137"/>
      <c r="D8246" s="59"/>
      <c r="E8246" s="116"/>
      <c r="F8246" s="120"/>
      <c r="G8246" s="120"/>
      <c r="H8246" s="120"/>
      <c r="I8246" s="60"/>
      <c r="J8246" s="116"/>
      <c r="K8246" s="213"/>
      <c r="L8246" s="120"/>
      <c r="M8246" s="120"/>
      <c r="N8246" s="167"/>
      <c r="O8246" s="120"/>
      <c r="P8246" s="120"/>
      <c r="Q8246" s="120"/>
      <c r="R8246" s="120"/>
      <c r="S8246" s="120"/>
      <c r="T8246" s="221"/>
      <c r="U8246" s="89"/>
      <c r="V8246" s="61"/>
      <c r="W8246" s="92" t="s">
        <v>129</v>
      </c>
      <c r="X8246" s="93" t="s">
        <v>29</v>
      </c>
      <c r="Y8246" s="93" t="s">
        <v>93</v>
      </c>
      <c r="Z8246" s="134">
        <f>VLOOKUP(W8246,Sheet2!$B:$D,3,FALSE)</f>
        <v>56</v>
      </c>
      <c r="AA8246" s="93">
        <f>100/(3.4*3)</f>
        <v>9.8039215686274517</v>
      </c>
      <c r="AB8246" s="93">
        <f t="shared" ref="AB8246" si="5714">AD8246/AC8245</f>
        <v>5.7119999999999997</v>
      </c>
      <c r="AC8246" s="93">
        <f>AC8245/AA8246</f>
        <v>0.15165104999999943</v>
      </c>
      <c r="AD8246" s="94">
        <f t="shared" ref="AD8246:AD8247" si="5715">AC8246*Z8246</f>
        <v>8.4924587999999677</v>
      </c>
      <c r="AE8246" s="190"/>
      <c r="AF8246" s="191"/>
      <c r="AG8246" s="191"/>
      <c r="AH8246" s="191"/>
      <c r="AI8246" s="186"/>
      <c r="AK8246" s="171"/>
    </row>
    <row r="8247" spans="1:41" s="102" customFormat="1" ht="19.899999999999999" customHeight="1" x14ac:dyDescent="0.25">
      <c r="A8247" s="45"/>
      <c r="B8247" s="59"/>
      <c r="C8247" s="137"/>
      <c r="D8247" s="59"/>
      <c r="E8247" s="116"/>
      <c r="F8247" s="120"/>
      <c r="G8247" s="120"/>
      <c r="H8247" s="120"/>
      <c r="I8247" s="60"/>
      <c r="J8247" s="116"/>
      <c r="K8247" s="213"/>
      <c r="L8247" s="120"/>
      <c r="M8247" s="120"/>
      <c r="N8247" s="167"/>
      <c r="O8247" s="120"/>
      <c r="P8247" s="120"/>
      <c r="Q8247" s="120"/>
      <c r="R8247" s="120"/>
      <c r="S8247" s="120"/>
      <c r="T8247" s="221"/>
      <c r="U8247" s="89"/>
      <c r="V8247" s="61"/>
      <c r="W8247" s="92" t="s">
        <v>65</v>
      </c>
      <c r="X8247" s="93" t="s">
        <v>30</v>
      </c>
      <c r="Y8247" s="93" t="s">
        <v>1011</v>
      </c>
      <c r="Z8247" s="134">
        <f>VLOOKUP(W8247,Sheet2!$B:$D,3,FALSE)</f>
        <v>1.76</v>
      </c>
      <c r="AA8247" s="93">
        <f>AA8246/14</f>
        <v>0.70028011204481799</v>
      </c>
      <c r="AB8247" s="93">
        <f>AD8247/AC8245</f>
        <v>2.51328</v>
      </c>
      <c r="AC8247" s="93">
        <f>AC8245/AA8247</f>
        <v>2.1231146999999919</v>
      </c>
      <c r="AD8247" s="94">
        <f t="shared" si="5715"/>
        <v>3.7366818719999859</v>
      </c>
      <c r="AE8247" s="190"/>
      <c r="AF8247" s="191"/>
      <c r="AG8247" s="191"/>
      <c r="AH8247" s="191"/>
      <c r="AI8247" s="186"/>
      <c r="AK8247" s="171"/>
    </row>
    <row r="8248" spans="1:41" s="102" customFormat="1" ht="19.899999999999999" customHeight="1" x14ac:dyDescent="0.25">
      <c r="A8248" s="45"/>
      <c r="B8248" s="59"/>
      <c r="C8248" s="137"/>
      <c r="D8248" s="59"/>
      <c r="E8248" s="116"/>
      <c r="F8248" s="120"/>
      <c r="G8248" s="120"/>
      <c r="H8248" s="120"/>
      <c r="I8248" s="60"/>
      <c r="J8248" s="116"/>
      <c r="K8248" s="213"/>
      <c r="L8248" s="120"/>
      <c r="M8248" s="120"/>
      <c r="N8248" s="167"/>
      <c r="O8248" s="120"/>
      <c r="P8248" s="120"/>
      <c r="Q8248" s="120"/>
      <c r="R8248" s="120"/>
      <c r="S8248" s="120"/>
      <c r="T8248" s="221"/>
      <c r="U8248" s="89"/>
      <c r="V8248" s="61"/>
      <c r="W8248" s="92" t="s">
        <v>161</v>
      </c>
      <c r="X8248" s="93" t="s">
        <v>29</v>
      </c>
      <c r="Y8248" s="93" t="s">
        <v>93</v>
      </c>
      <c r="Z8248" s="134">
        <f>VLOOKUP(W8248,Sheet2!$B:$D,3,FALSE)</f>
        <v>48</v>
      </c>
      <c r="AA8248" s="93">
        <f>(16*0.85*1.5)/(3.4*3)</f>
        <v>2</v>
      </c>
      <c r="AB8248" s="93">
        <f>AD8248/AC8245</f>
        <v>24</v>
      </c>
      <c r="AC8248" s="93">
        <f>AC8245/AA8248</f>
        <v>0.7433874999999972</v>
      </c>
      <c r="AD8248" s="94">
        <f>AC8248*Z8248</f>
        <v>35.682599999999866</v>
      </c>
      <c r="AE8248" s="190"/>
      <c r="AF8248" s="191"/>
      <c r="AG8248" s="191"/>
      <c r="AH8248" s="191"/>
      <c r="AI8248" s="186"/>
      <c r="AK8248" s="171"/>
    </row>
    <row r="8249" spans="1:41" s="102" customFormat="1" ht="19.899999999999999" customHeight="1" x14ac:dyDescent="0.25">
      <c r="A8249" s="45"/>
      <c r="B8249" s="59"/>
      <c r="C8249" s="137"/>
      <c r="D8249" s="59"/>
      <c r="E8249" s="116"/>
      <c r="F8249" s="120"/>
      <c r="G8249" s="120"/>
      <c r="H8249" s="120"/>
      <c r="I8249" s="60"/>
      <c r="J8249" s="116"/>
      <c r="K8249" s="213"/>
      <c r="L8249" s="120"/>
      <c r="M8249" s="120"/>
      <c r="N8249" s="167"/>
      <c r="O8249" s="120"/>
      <c r="P8249" s="120"/>
      <c r="Q8249" s="120"/>
      <c r="R8249" s="120"/>
      <c r="S8249" s="120"/>
      <c r="T8249" s="221"/>
      <c r="U8249" s="89"/>
      <c r="V8249" s="61"/>
      <c r="W8249" s="92" t="s">
        <v>65</v>
      </c>
      <c r="X8249" s="93" t="s">
        <v>30</v>
      </c>
      <c r="Y8249" s="93" t="s">
        <v>1011</v>
      </c>
      <c r="Z8249" s="134">
        <f>VLOOKUP(W8249,Sheet2!$B:$D,3,FALSE)</f>
        <v>1.76</v>
      </c>
      <c r="AA8249" s="93">
        <f>AA8248/10</f>
        <v>0.2</v>
      </c>
      <c r="AB8249" s="93">
        <f>AD8249/AC8245</f>
        <v>8.7999999999999989</v>
      </c>
      <c r="AC8249" s="93">
        <f>AC8245/AA8249</f>
        <v>7.433874999999972</v>
      </c>
      <c r="AD8249" s="94">
        <f>AC8249*Z8249</f>
        <v>13.08361999999995</v>
      </c>
      <c r="AE8249" s="190"/>
      <c r="AF8249" s="191"/>
      <c r="AG8249" s="191"/>
      <c r="AH8249" s="191"/>
      <c r="AI8249" s="186"/>
      <c r="AK8249" s="171"/>
    </row>
    <row r="8250" spans="1:41" s="102" customFormat="1" ht="19.899999999999999" customHeight="1" x14ac:dyDescent="0.25">
      <c r="A8250" s="45"/>
      <c r="B8250" s="59"/>
      <c r="C8250" s="137"/>
      <c r="D8250" s="59"/>
      <c r="E8250" s="116"/>
      <c r="F8250" s="120"/>
      <c r="G8250" s="120"/>
      <c r="H8250" s="120"/>
      <c r="I8250" s="60"/>
      <c r="J8250" s="116"/>
      <c r="K8250" s="213"/>
      <c r="L8250" s="120"/>
      <c r="M8250" s="120"/>
      <c r="N8250" s="167"/>
      <c r="O8250" s="120"/>
      <c r="P8250" s="120"/>
      <c r="Q8250" s="120"/>
      <c r="R8250" s="120"/>
      <c r="S8250" s="120"/>
      <c r="T8250" s="221"/>
      <c r="U8250" s="89"/>
      <c r="V8250" s="61"/>
      <c r="W8250" s="92" t="s">
        <v>1030</v>
      </c>
      <c r="X8250" s="93" t="s">
        <v>29</v>
      </c>
      <c r="Y8250" s="93" t="s">
        <v>93</v>
      </c>
      <c r="Z8250" s="134">
        <f>VLOOKUP(W8250,Sheet2!$B:$D,3,FALSE)</f>
        <v>23</v>
      </c>
      <c r="AA8250" s="93">
        <v>50</v>
      </c>
      <c r="AB8250" s="93">
        <f>AD8250/AC8245</f>
        <v>0.45999999999999996</v>
      </c>
      <c r="AC8250" s="93">
        <f>AC8245/AA8250</f>
        <v>2.9735499999999887E-2</v>
      </c>
      <c r="AD8250" s="94">
        <f t="shared" ref="AD8250:AD8254" si="5716">AC8250*Z8250</f>
        <v>0.68391649999999737</v>
      </c>
      <c r="AE8250" s="190"/>
      <c r="AF8250" s="191"/>
      <c r="AG8250" s="191"/>
      <c r="AH8250" s="191"/>
      <c r="AI8250" s="186"/>
      <c r="AK8250" s="171"/>
    </row>
    <row r="8251" spans="1:41" s="102" customFormat="1" ht="19.899999999999999" customHeight="1" x14ac:dyDescent="0.25">
      <c r="A8251" s="45"/>
      <c r="B8251" s="59"/>
      <c r="C8251" s="137"/>
      <c r="D8251" s="59"/>
      <c r="E8251" s="116"/>
      <c r="F8251" s="120"/>
      <c r="G8251" s="120"/>
      <c r="H8251" s="120"/>
      <c r="I8251" s="60"/>
      <c r="J8251" s="116"/>
      <c r="K8251" s="213"/>
      <c r="L8251" s="120"/>
      <c r="M8251" s="120"/>
      <c r="N8251" s="167"/>
      <c r="O8251" s="120"/>
      <c r="P8251" s="120"/>
      <c r="Q8251" s="120"/>
      <c r="R8251" s="120"/>
      <c r="S8251" s="120"/>
      <c r="T8251" s="221"/>
      <c r="U8251" s="89"/>
      <c r="V8251" s="61"/>
      <c r="W8251" s="92" t="s">
        <v>65</v>
      </c>
      <c r="X8251" s="93" t="s">
        <v>30</v>
      </c>
      <c r="Y8251" s="93" t="s">
        <v>1011</v>
      </c>
      <c r="Z8251" s="134">
        <f>VLOOKUP(W8251,Sheet2!$B:$D,3,FALSE)</f>
        <v>1.76</v>
      </c>
      <c r="AA8251" s="93">
        <f>AA8250/3</f>
        <v>16.666666666666668</v>
      </c>
      <c r="AB8251" s="93">
        <f>AD8251/AC8245</f>
        <v>0.1056</v>
      </c>
      <c r="AC8251" s="93">
        <f>AC8245/AA8251</f>
        <v>8.9206499999999661E-2</v>
      </c>
      <c r="AD8251" s="94">
        <f t="shared" si="5716"/>
        <v>0.15700343999999941</v>
      </c>
      <c r="AE8251" s="190"/>
      <c r="AF8251" s="191"/>
      <c r="AG8251" s="191"/>
      <c r="AH8251" s="191"/>
      <c r="AI8251" s="186"/>
      <c r="AK8251" s="171"/>
    </row>
    <row r="8252" spans="1:41" s="102" customFormat="1" ht="19.899999999999999" customHeight="1" x14ac:dyDescent="0.25">
      <c r="A8252" s="45"/>
      <c r="B8252" s="59"/>
      <c r="C8252" s="137"/>
      <c r="D8252" s="59"/>
      <c r="E8252" s="116"/>
      <c r="F8252" s="120"/>
      <c r="G8252" s="120"/>
      <c r="H8252" s="120"/>
      <c r="I8252" s="60"/>
      <c r="J8252" s="116"/>
      <c r="K8252" s="213"/>
      <c r="L8252" s="120"/>
      <c r="M8252" s="120"/>
      <c r="N8252" s="167"/>
      <c r="O8252" s="120"/>
      <c r="P8252" s="120"/>
      <c r="Q8252" s="120"/>
      <c r="R8252" s="120"/>
      <c r="S8252" s="120"/>
      <c r="T8252" s="221"/>
      <c r="U8252" s="89"/>
      <c r="V8252" s="61"/>
      <c r="W8252" s="92" t="s">
        <v>148</v>
      </c>
      <c r="X8252" s="93" t="s">
        <v>29</v>
      </c>
      <c r="Y8252" s="93" t="s">
        <v>93</v>
      </c>
      <c r="Z8252" s="134">
        <f>VLOOKUP(W8252,Sheet2!$B:$D,3,FALSE)</f>
        <v>48</v>
      </c>
      <c r="AA8252" s="93">
        <f>AA8246</f>
        <v>9.8039215686274517</v>
      </c>
      <c r="AB8252" s="93">
        <f>AD8252/AC8245</f>
        <v>4.8959999999999999</v>
      </c>
      <c r="AC8252" s="93">
        <f>AC8245/AA8252</f>
        <v>0.15165104999999943</v>
      </c>
      <c r="AD8252" s="94">
        <f t="shared" si="5716"/>
        <v>7.279250399999972</v>
      </c>
      <c r="AE8252" s="190"/>
      <c r="AF8252" s="191"/>
      <c r="AG8252" s="191"/>
      <c r="AH8252" s="191"/>
      <c r="AI8252" s="186"/>
      <c r="AK8252" s="171"/>
    </row>
    <row r="8253" spans="1:41" s="102" customFormat="1" ht="19.899999999999999" customHeight="1" x14ac:dyDescent="0.25">
      <c r="A8253" s="45"/>
      <c r="B8253" s="59"/>
      <c r="C8253" s="137"/>
      <c r="D8253" s="59"/>
      <c r="E8253" s="116"/>
      <c r="F8253" s="120"/>
      <c r="G8253" s="120"/>
      <c r="H8253" s="120"/>
      <c r="I8253" s="60"/>
      <c r="J8253" s="116"/>
      <c r="K8253" s="213"/>
      <c r="L8253" s="120"/>
      <c r="M8253" s="120"/>
      <c r="N8253" s="167"/>
      <c r="O8253" s="120"/>
      <c r="P8253" s="120"/>
      <c r="Q8253" s="120"/>
      <c r="R8253" s="120"/>
      <c r="S8253" s="120"/>
      <c r="T8253" s="221"/>
      <c r="U8253" s="89"/>
      <c r="V8253" s="61"/>
      <c r="W8253" s="92" t="s">
        <v>65</v>
      </c>
      <c r="X8253" s="93" t="s">
        <v>30</v>
      </c>
      <c r="Y8253" s="93" t="s">
        <v>1011</v>
      </c>
      <c r="Z8253" s="134">
        <f>VLOOKUP(W8253,Sheet2!$B:$D,3,FALSE)</f>
        <v>1.76</v>
      </c>
      <c r="AA8253" s="93">
        <f>AA8252/10</f>
        <v>0.98039215686274517</v>
      </c>
      <c r="AB8253" s="93">
        <f>AD8253/AC8245</f>
        <v>1.7951999999999999</v>
      </c>
      <c r="AC8253" s="93">
        <f>AC8245/AA8253</f>
        <v>1.5165104999999941</v>
      </c>
      <c r="AD8253" s="94">
        <f t="shared" si="5716"/>
        <v>2.6690584799999897</v>
      </c>
      <c r="AE8253" s="190"/>
      <c r="AF8253" s="191"/>
      <c r="AG8253" s="191"/>
      <c r="AH8253" s="191"/>
      <c r="AI8253" s="186"/>
      <c r="AK8253" s="171"/>
    </row>
    <row r="8254" spans="1:41" s="102" customFormat="1" ht="19.899999999999999" customHeight="1" x14ac:dyDescent="0.25">
      <c r="A8254" s="45"/>
      <c r="B8254" s="59"/>
      <c r="C8254" s="137"/>
      <c r="D8254" s="59"/>
      <c r="E8254" s="116"/>
      <c r="F8254" s="120"/>
      <c r="G8254" s="120"/>
      <c r="H8254" s="120"/>
      <c r="I8254" s="60"/>
      <c r="J8254" s="116"/>
      <c r="K8254" s="213"/>
      <c r="L8254" s="120"/>
      <c r="M8254" s="120"/>
      <c r="N8254" s="167"/>
      <c r="O8254" s="120"/>
      <c r="P8254" s="120"/>
      <c r="Q8254" s="120"/>
      <c r="R8254" s="120"/>
      <c r="S8254" s="120"/>
      <c r="T8254" s="221"/>
      <c r="U8254" s="89"/>
      <c r="V8254" s="61"/>
      <c r="W8254" s="92" t="s">
        <v>1049</v>
      </c>
      <c r="X8254" s="93" t="s">
        <v>30</v>
      </c>
      <c r="Y8254" s="93" t="s">
        <v>68</v>
      </c>
      <c r="Z8254" s="134">
        <f>VLOOKUP(W8254,Sheet2!$B:$D,3,FALSE)</f>
        <v>60</v>
      </c>
      <c r="AA8254" s="93">
        <v>1</v>
      </c>
      <c r="AB8254" s="93">
        <f>AD8254/AC8245</f>
        <v>60</v>
      </c>
      <c r="AC8254" s="93">
        <f>AC8245/AA8254</f>
        <v>1.4867749999999944</v>
      </c>
      <c r="AD8254" s="94">
        <f t="shared" si="5716"/>
        <v>89.206499999999664</v>
      </c>
      <c r="AE8254" s="190"/>
      <c r="AF8254" s="191"/>
      <c r="AG8254" s="191"/>
      <c r="AH8254" s="191"/>
      <c r="AI8254" s="186"/>
      <c r="AK8254" s="171"/>
    </row>
    <row r="8255" spans="1:41" s="103" customFormat="1" ht="19.899999999999999" customHeight="1" x14ac:dyDescent="0.25">
      <c r="A8255" s="51"/>
      <c r="B8255" s="52"/>
      <c r="C8255" s="165"/>
      <c r="D8255" s="52"/>
      <c r="E8255" s="115"/>
      <c r="F8255" s="58"/>
      <c r="G8255" s="58"/>
      <c r="H8255" s="58"/>
      <c r="I8255" s="55"/>
      <c r="J8255" s="113">
        <f>J8244</f>
        <v>1.4867749999999944</v>
      </c>
      <c r="K8255" s="212">
        <f>K8244</f>
        <v>1.4867749999999944</v>
      </c>
      <c r="L8255" s="58"/>
      <c r="M8255" s="58">
        <f>K8255-L8255</f>
        <v>1.4867749999999944</v>
      </c>
      <c r="N8255" s="166"/>
      <c r="O8255" s="58"/>
      <c r="P8255" s="58"/>
      <c r="Q8255" s="58"/>
      <c r="R8255" s="58"/>
      <c r="S8255" s="58"/>
      <c r="T8255" s="220"/>
      <c r="U8255" s="88"/>
      <c r="V8255" s="56"/>
      <c r="W8255" s="57" t="s">
        <v>1135</v>
      </c>
      <c r="X8255" s="53"/>
      <c r="Y8255" s="91" t="s">
        <v>68</v>
      </c>
      <c r="Z8255" s="136">
        <f>AD8255/AC8255</f>
        <v>4108.550000000002</v>
      </c>
      <c r="AA8255" s="58"/>
      <c r="AB8255" s="53">
        <f>AD8255/AC8255</f>
        <v>4108.550000000002</v>
      </c>
      <c r="AC8255" s="53">
        <f>M8255+$AE$10</f>
        <v>1.4867749999999944</v>
      </c>
      <c r="AD8255" s="54">
        <f>SUM(AD8256:AD8259)</f>
        <v>6108.4894262499802</v>
      </c>
      <c r="AE8255" s="184">
        <f>SUMIFS($AD$37:$AD$12971,$V$37:$V$12971,$V8255,$X$37:$X$12971,AE$13)</f>
        <v>0</v>
      </c>
      <c r="AF8255" s="185">
        <f>SUMIFS($AD$37:$AD$12971,$V$37:$V$12971,$V8255,$X$37:$X$12971,AF$13)</f>
        <v>0</v>
      </c>
      <c r="AG8255" s="185">
        <f>SUMIFS($AD$37:$AD$12971,$V$37:$V$12971,$V8255,$X$37:$X$12971,AG$13)</f>
        <v>0</v>
      </c>
      <c r="AH8255" s="187">
        <f>SUMIFS($AD$37:$AD$12971,$V$37:$V$12971,$V8255,$X$37:$X$12971,AH$13)</f>
        <v>0</v>
      </c>
      <c r="AI8255" s="161">
        <f t="shared" ref="AI8255" si="5717">SUM(AE8255:AH8255)</f>
        <v>0</v>
      </c>
      <c r="AK8255" s="172"/>
    </row>
    <row r="8256" spans="1:41" s="102" customFormat="1" ht="19.899999999999999" customHeight="1" x14ac:dyDescent="0.25">
      <c r="A8256" s="45"/>
      <c r="B8256" s="59"/>
      <c r="C8256" s="137"/>
      <c r="D8256" s="59"/>
      <c r="E8256" s="116"/>
      <c r="F8256" s="120"/>
      <c r="G8256" s="120"/>
      <c r="H8256" s="120"/>
      <c r="I8256" s="60"/>
      <c r="J8256" s="116"/>
      <c r="K8256" s="213"/>
      <c r="L8256" s="120"/>
      <c r="M8256" s="120"/>
      <c r="N8256" s="167"/>
      <c r="O8256" s="120"/>
      <c r="P8256" s="120"/>
      <c r="Q8256" s="120"/>
      <c r="R8256" s="120"/>
      <c r="S8256" s="120"/>
      <c r="T8256" s="221"/>
      <c r="U8256" s="89"/>
      <c r="V8256" s="61"/>
      <c r="W8256" s="92" t="s">
        <v>1105</v>
      </c>
      <c r="X8256" s="93" t="s">
        <v>30</v>
      </c>
      <c r="Y8256" s="93" t="s">
        <v>66</v>
      </c>
      <c r="Z8256" s="134">
        <f>VLOOKUP(W8256,Sheet2!$B:$D,3,FALSE)</f>
        <v>2200</v>
      </c>
      <c r="AA8256" s="93">
        <f>1/((2.6*1.1)-(2*0.5))</f>
        <v>0.53763440860215039</v>
      </c>
      <c r="AB8256" s="93">
        <f>AD8256/AC8255</f>
        <v>4092.0000000000018</v>
      </c>
      <c r="AC8256" s="93">
        <f>AC8255/AA8256</f>
        <v>2.7654014999999905</v>
      </c>
      <c r="AD8256" s="94">
        <f t="shared" ref="AD8256" si="5718">AC8256*Z8256</f>
        <v>6083.8832999999795</v>
      </c>
      <c r="AE8256" s="190"/>
      <c r="AF8256" s="191"/>
      <c r="AG8256" s="191"/>
      <c r="AH8256" s="191"/>
      <c r="AI8256" s="186"/>
      <c r="AK8256" s="171"/>
    </row>
    <row r="8257" spans="1:41" s="102" customFormat="1" ht="19.899999999999999" customHeight="1" x14ac:dyDescent="0.25">
      <c r="A8257" s="45"/>
      <c r="B8257" s="59"/>
      <c r="C8257" s="137"/>
      <c r="D8257" s="59"/>
      <c r="E8257" s="116"/>
      <c r="F8257" s="120"/>
      <c r="G8257" s="120"/>
      <c r="H8257" s="120"/>
      <c r="I8257" s="60"/>
      <c r="J8257" s="116"/>
      <c r="K8257" s="213"/>
      <c r="L8257" s="120"/>
      <c r="M8257" s="120"/>
      <c r="N8257" s="167"/>
      <c r="O8257" s="120"/>
      <c r="P8257" s="120"/>
      <c r="Q8257" s="120"/>
      <c r="R8257" s="120"/>
      <c r="S8257" s="120"/>
      <c r="T8257" s="221"/>
      <c r="U8257" s="89"/>
      <c r="V8257" s="61"/>
      <c r="W8257" s="92" t="s">
        <v>174</v>
      </c>
      <c r="X8257" s="93" t="s">
        <v>29</v>
      </c>
      <c r="Y8257" s="93" t="s">
        <v>93</v>
      </c>
      <c r="Z8257" s="134">
        <f>VLOOKUP(W8257,Sheet2!$B:$D,3,FALSE)</f>
        <v>80</v>
      </c>
      <c r="AA8257" s="93">
        <f>4*2</f>
        <v>8</v>
      </c>
      <c r="AB8257" s="93">
        <f>AD8257/AC8255</f>
        <v>10</v>
      </c>
      <c r="AC8257" s="93">
        <f>AC8255/AA8257</f>
        <v>0.1858468749999993</v>
      </c>
      <c r="AD8257" s="94">
        <f>AC8257*Z8257</f>
        <v>14.867749999999944</v>
      </c>
      <c r="AE8257" s="190"/>
      <c r="AF8257" s="191"/>
      <c r="AG8257" s="191"/>
      <c r="AH8257" s="191"/>
      <c r="AI8257" s="186"/>
      <c r="AK8257" s="171"/>
    </row>
    <row r="8258" spans="1:41" s="102" customFormat="1" ht="19.899999999999999" customHeight="1" x14ac:dyDescent="0.25">
      <c r="A8258" s="45"/>
      <c r="B8258" s="59"/>
      <c r="C8258" s="137"/>
      <c r="D8258" s="59"/>
      <c r="E8258" s="116"/>
      <c r="F8258" s="120"/>
      <c r="G8258" s="120"/>
      <c r="H8258" s="120"/>
      <c r="I8258" s="60"/>
      <c r="J8258" s="116"/>
      <c r="K8258" s="213"/>
      <c r="L8258" s="120"/>
      <c r="M8258" s="120"/>
      <c r="N8258" s="167"/>
      <c r="O8258" s="120"/>
      <c r="P8258" s="120"/>
      <c r="Q8258" s="120"/>
      <c r="R8258" s="120"/>
      <c r="S8258" s="120"/>
      <c r="T8258" s="221"/>
      <c r="U8258" s="89"/>
      <c r="V8258" s="61"/>
      <c r="W8258" s="92" t="s">
        <v>65</v>
      </c>
      <c r="X8258" s="93" t="s">
        <v>30</v>
      </c>
      <c r="Y8258" s="93" t="s">
        <v>1011</v>
      </c>
      <c r="Z8258" s="134">
        <f>VLOOKUP(W8258,Sheet2!$B:$D,3,FALSE)</f>
        <v>1.76</v>
      </c>
      <c r="AA8258" s="93">
        <f>AA8257/15</f>
        <v>0.53333333333333333</v>
      </c>
      <c r="AB8258" s="93">
        <f>AD8258/AC8255</f>
        <v>3.3000000000000003</v>
      </c>
      <c r="AC8258" s="93">
        <f>AC8255/AA8258</f>
        <v>2.7877031249999895</v>
      </c>
      <c r="AD8258" s="94">
        <f t="shared" ref="AD8258" si="5719">AC8258*Z8258</f>
        <v>4.9063574999999817</v>
      </c>
      <c r="AE8258" s="190"/>
      <c r="AF8258" s="191"/>
      <c r="AG8258" s="191"/>
      <c r="AH8258" s="191"/>
      <c r="AI8258" s="186"/>
      <c r="AK8258" s="171"/>
    </row>
    <row r="8259" spans="1:41" s="102" customFormat="1" ht="19.899999999999999" customHeight="1" x14ac:dyDescent="0.25">
      <c r="A8259" s="45"/>
      <c r="B8259" s="59"/>
      <c r="C8259" s="137"/>
      <c r="D8259" s="59"/>
      <c r="E8259" s="116"/>
      <c r="F8259" s="120"/>
      <c r="G8259" s="120"/>
      <c r="H8259" s="120"/>
      <c r="I8259" s="60"/>
      <c r="J8259" s="116"/>
      <c r="K8259" s="213"/>
      <c r="L8259" s="120"/>
      <c r="M8259" s="120"/>
      <c r="N8259" s="167"/>
      <c r="O8259" s="120"/>
      <c r="P8259" s="120"/>
      <c r="Q8259" s="120"/>
      <c r="R8259" s="120"/>
      <c r="S8259" s="120"/>
      <c r="T8259" s="221"/>
      <c r="U8259" s="89"/>
      <c r="V8259" s="61"/>
      <c r="W8259" s="92" t="s">
        <v>112</v>
      </c>
      <c r="X8259" s="93" t="s">
        <v>31</v>
      </c>
      <c r="Y8259" s="93" t="s">
        <v>93</v>
      </c>
      <c r="Z8259" s="134">
        <f>VLOOKUP(W8259,Sheet2!$B:$D,3,FALSE)</f>
        <v>13</v>
      </c>
      <c r="AA8259" s="93">
        <f>AA8257/2</f>
        <v>4</v>
      </c>
      <c r="AB8259" s="93">
        <f>AD8259/AC8255</f>
        <v>3.25</v>
      </c>
      <c r="AC8259" s="93">
        <f>AC8255/AA8259</f>
        <v>0.3716937499999986</v>
      </c>
      <c r="AD8259" s="94">
        <f>AC8259*Z8259</f>
        <v>4.8320187499999818</v>
      </c>
      <c r="AE8259" s="190"/>
      <c r="AF8259" s="191"/>
      <c r="AG8259" s="191"/>
      <c r="AH8259" s="191"/>
      <c r="AI8259" s="186"/>
      <c r="AK8259" s="171"/>
    </row>
    <row r="8260" spans="1:41" ht="20.100000000000001" customHeight="1" x14ac:dyDescent="0.25">
      <c r="A8260" s="277" t="s">
        <v>703</v>
      </c>
      <c r="B8260" s="278"/>
      <c r="C8260" s="64" t="s">
        <v>768</v>
      </c>
      <c r="D8260" s="46" t="s">
        <v>97</v>
      </c>
      <c r="E8260" s="114"/>
      <c r="F8260" s="44">
        <v>0</v>
      </c>
      <c r="G8260" s="44">
        <f t="shared" si="5545"/>
        <v>0</v>
      </c>
      <c r="H8260" s="44">
        <f t="shared" si="5546"/>
        <v>0</v>
      </c>
      <c r="I8260" s="43">
        <f t="shared" si="5547"/>
        <v>0</v>
      </c>
      <c r="J8260" s="112">
        <f t="shared" si="5548"/>
        <v>0</v>
      </c>
      <c r="K8260" s="211">
        <f t="shared" si="5549"/>
        <v>0</v>
      </c>
      <c r="L8260" s="44"/>
      <c r="M8260" s="44">
        <f t="shared" si="5550"/>
        <v>0</v>
      </c>
      <c r="N8260" s="173">
        <f t="shared" si="5551"/>
        <v>0</v>
      </c>
      <c r="O8260" s="44">
        <f t="shared" si="5552"/>
        <v>0</v>
      </c>
      <c r="P8260" s="44">
        <f t="shared" si="5553"/>
        <v>0</v>
      </c>
      <c r="Q8260" s="44">
        <f t="shared" si="5554"/>
        <v>0</v>
      </c>
      <c r="R8260" s="44">
        <f t="shared" si="5555"/>
        <v>0</v>
      </c>
      <c r="S8260" s="123"/>
      <c r="T8260" s="219">
        <f t="shared" si="5556"/>
        <v>0</v>
      </c>
      <c r="U8260" s="87"/>
      <c r="V8260" s="47"/>
      <c r="W8260" s="48"/>
      <c r="X8260" s="48"/>
      <c r="Y8260" s="48"/>
      <c r="Z8260" s="135"/>
      <c r="AA8260" s="49"/>
      <c r="AB8260" s="50">
        <f t="shared" si="5557"/>
        <v>0</v>
      </c>
      <c r="AC8260" s="42">
        <f t="shared" si="5558"/>
        <v>9.9999999999999998E-20</v>
      </c>
      <c r="AD8260" s="90"/>
      <c r="AE8260" s="188"/>
      <c r="AF8260" s="189"/>
      <c r="AG8260" s="189"/>
      <c r="AH8260" s="189"/>
      <c r="AI8260" s="161"/>
    </row>
    <row r="8261" spans="1:41" ht="20.100000000000001" customHeight="1" x14ac:dyDescent="0.25">
      <c r="A8261" s="277" t="s">
        <v>703</v>
      </c>
      <c r="B8261" s="278"/>
      <c r="C8261" s="64" t="s">
        <v>769</v>
      </c>
      <c r="D8261" s="46" t="s">
        <v>97</v>
      </c>
      <c r="E8261" s="114"/>
      <c r="F8261" s="44">
        <v>0</v>
      </c>
      <c r="G8261" s="44">
        <f t="shared" si="5545"/>
        <v>0</v>
      </c>
      <c r="H8261" s="44">
        <f t="shared" si="5546"/>
        <v>0</v>
      </c>
      <c r="I8261" s="43">
        <f t="shared" si="5547"/>
        <v>0</v>
      </c>
      <c r="J8261" s="112">
        <f t="shared" si="5548"/>
        <v>0</v>
      </c>
      <c r="K8261" s="211">
        <f t="shared" si="5549"/>
        <v>0</v>
      </c>
      <c r="L8261" s="44"/>
      <c r="M8261" s="44">
        <f t="shared" si="5550"/>
        <v>0</v>
      </c>
      <c r="N8261" s="173">
        <f t="shared" si="5551"/>
        <v>0</v>
      </c>
      <c r="O8261" s="44">
        <f t="shared" si="5552"/>
        <v>0</v>
      </c>
      <c r="P8261" s="44">
        <f t="shared" si="5553"/>
        <v>0</v>
      </c>
      <c r="Q8261" s="44">
        <f t="shared" si="5554"/>
        <v>0</v>
      </c>
      <c r="R8261" s="44">
        <f t="shared" si="5555"/>
        <v>0</v>
      </c>
      <c r="S8261" s="123"/>
      <c r="T8261" s="219">
        <f t="shared" si="5556"/>
        <v>0</v>
      </c>
      <c r="U8261" s="87"/>
      <c r="V8261" s="47"/>
      <c r="W8261" s="48"/>
      <c r="X8261" s="48"/>
      <c r="Y8261" s="48"/>
      <c r="Z8261" s="135"/>
      <c r="AA8261" s="49"/>
      <c r="AB8261" s="50">
        <f t="shared" si="5557"/>
        <v>0</v>
      </c>
      <c r="AC8261" s="42">
        <f t="shared" si="5558"/>
        <v>9.9999999999999998E-20</v>
      </c>
      <c r="AD8261" s="90"/>
      <c r="AE8261" s="188"/>
      <c r="AF8261" s="189"/>
      <c r="AG8261" s="189"/>
      <c r="AH8261" s="189"/>
      <c r="AI8261" s="161"/>
    </row>
    <row r="8262" spans="1:41" ht="20.100000000000001" customHeight="1" x14ac:dyDescent="0.25">
      <c r="A8262" s="277" t="s">
        <v>703</v>
      </c>
      <c r="B8262" s="278"/>
      <c r="C8262" s="64" t="s">
        <v>777</v>
      </c>
      <c r="D8262" s="46"/>
      <c r="E8262" s="114"/>
      <c r="F8262" s="44">
        <v>0</v>
      </c>
      <c r="G8262" s="44">
        <f t="shared" si="5545"/>
        <v>0</v>
      </c>
      <c r="H8262" s="44">
        <f t="shared" si="5546"/>
        <v>0</v>
      </c>
      <c r="I8262" s="43">
        <f t="shared" si="5547"/>
        <v>0</v>
      </c>
      <c r="J8262" s="112">
        <f t="shared" si="5548"/>
        <v>0</v>
      </c>
      <c r="K8262" s="211">
        <f t="shared" si="5549"/>
        <v>0</v>
      </c>
      <c r="L8262" s="44"/>
      <c r="M8262" s="44">
        <f t="shared" si="5550"/>
        <v>0</v>
      </c>
      <c r="N8262" s="173">
        <f t="shared" si="5551"/>
        <v>0</v>
      </c>
      <c r="O8262" s="44">
        <f t="shared" si="5552"/>
        <v>0</v>
      </c>
      <c r="P8262" s="44">
        <f t="shared" si="5553"/>
        <v>0</v>
      </c>
      <c r="Q8262" s="44">
        <f t="shared" si="5554"/>
        <v>0</v>
      </c>
      <c r="R8262" s="44">
        <f t="shared" si="5555"/>
        <v>0</v>
      </c>
      <c r="S8262" s="123"/>
      <c r="T8262" s="219">
        <f t="shared" si="5556"/>
        <v>0</v>
      </c>
      <c r="U8262" s="87"/>
      <c r="V8262" s="47"/>
      <c r="W8262" s="48"/>
      <c r="X8262" s="48"/>
      <c r="Y8262" s="48"/>
      <c r="Z8262" s="135"/>
      <c r="AA8262" s="49"/>
      <c r="AB8262" s="50">
        <f t="shared" si="5557"/>
        <v>0</v>
      </c>
      <c r="AC8262" s="42">
        <f t="shared" si="5558"/>
        <v>9.9999999999999998E-20</v>
      </c>
      <c r="AD8262" s="90"/>
      <c r="AE8262" s="188"/>
      <c r="AF8262" s="189"/>
      <c r="AG8262" s="189"/>
      <c r="AH8262" s="189"/>
      <c r="AI8262" s="161"/>
    </row>
    <row r="8263" spans="1:41" ht="20.100000000000001" customHeight="1" x14ac:dyDescent="0.25">
      <c r="A8263" s="277" t="s">
        <v>703</v>
      </c>
      <c r="B8263" s="278"/>
      <c r="C8263" s="64" t="s">
        <v>763</v>
      </c>
      <c r="D8263" s="46"/>
      <c r="E8263" s="114">
        <v>4.8594000000000008</v>
      </c>
      <c r="F8263" s="44">
        <v>4784</v>
      </c>
      <c r="G8263" s="44">
        <f t="shared" si="5545"/>
        <v>23247.369600000005</v>
      </c>
      <c r="H8263" s="44">
        <f t="shared" si="5546"/>
        <v>4396.9738400000015</v>
      </c>
      <c r="I8263" s="43">
        <f t="shared" si="5547"/>
        <v>21366.654678096013</v>
      </c>
      <c r="J8263" s="112">
        <f t="shared" si="5548"/>
        <v>4.8594000000000008</v>
      </c>
      <c r="K8263" s="211">
        <f t="shared" si="5549"/>
        <v>4.8594000000000008</v>
      </c>
      <c r="L8263" s="44"/>
      <c r="M8263" s="44">
        <f t="shared" si="5550"/>
        <v>4.8594000000000008</v>
      </c>
      <c r="N8263" s="173">
        <f t="shared" si="5551"/>
        <v>1</v>
      </c>
      <c r="O8263" s="44">
        <f t="shared" si="5552"/>
        <v>4784</v>
      </c>
      <c r="P8263" s="44">
        <f t="shared" si="5553"/>
        <v>23247.369600000005</v>
      </c>
      <c r="Q8263" s="44">
        <f t="shared" si="5554"/>
        <v>4396.9738400000015</v>
      </c>
      <c r="R8263" s="44">
        <f t="shared" si="5555"/>
        <v>21366.654678096013</v>
      </c>
      <c r="S8263" s="123"/>
      <c r="T8263" s="219">
        <f t="shared" si="5556"/>
        <v>21366.654678096013</v>
      </c>
      <c r="U8263" s="87"/>
      <c r="V8263" s="47"/>
      <c r="W8263" s="48"/>
      <c r="X8263" s="48"/>
      <c r="Y8263" s="48"/>
      <c r="Z8263" s="135"/>
      <c r="AA8263" s="49"/>
      <c r="AB8263" s="50">
        <f t="shared" si="5557"/>
        <v>4396.9738400000015</v>
      </c>
      <c r="AC8263" s="42">
        <f t="shared" si="5558"/>
        <v>4.8594000000000008</v>
      </c>
      <c r="AD8263" s="90">
        <f>AD8264+AD8273</f>
        <v>21366.654678096009</v>
      </c>
      <c r="AE8263" s="188">
        <f t="shared" ref="AE8263:AH8263" si="5720">AE8264+AE8273</f>
        <v>0</v>
      </c>
      <c r="AF8263" s="189">
        <f t="shared" si="5720"/>
        <v>0</v>
      </c>
      <c r="AG8263" s="189">
        <f t="shared" si="5720"/>
        <v>0</v>
      </c>
      <c r="AH8263" s="189">
        <f t="shared" si="5720"/>
        <v>0</v>
      </c>
      <c r="AI8263" s="161">
        <f t="shared" ref="AI8263" si="5721">SUM(AE8263:AH8263)</f>
        <v>0</v>
      </c>
      <c r="AK8263" s="169">
        <v>5</v>
      </c>
      <c r="AO8263" s="19" t="s">
        <v>63</v>
      </c>
    </row>
    <row r="8264" spans="1:41" s="103" customFormat="1" ht="19.899999999999999" customHeight="1" x14ac:dyDescent="0.25">
      <c r="A8264" s="51"/>
      <c r="B8264" s="52"/>
      <c r="C8264" s="165"/>
      <c r="D8264" s="52"/>
      <c r="E8264" s="115"/>
      <c r="F8264" s="58"/>
      <c r="G8264" s="58"/>
      <c r="H8264" s="58"/>
      <c r="I8264" s="55"/>
      <c r="J8264" s="113">
        <f>J8263</f>
        <v>4.8594000000000008</v>
      </c>
      <c r="K8264" s="212">
        <f>K8263</f>
        <v>4.8594000000000008</v>
      </c>
      <c r="L8264" s="58"/>
      <c r="M8264" s="58">
        <f>K8264-L8264</f>
        <v>4.8594000000000008</v>
      </c>
      <c r="N8264" s="166"/>
      <c r="O8264" s="58"/>
      <c r="P8264" s="58"/>
      <c r="Q8264" s="58"/>
      <c r="R8264" s="58"/>
      <c r="S8264" s="58"/>
      <c r="T8264" s="220"/>
      <c r="U8264" s="88"/>
      <c r="V8264" s="56"/>
      <c r="W8264" s="57" t="s">
        <v>1134</v>
      </c>
      <c r="X8264" s="53"/>
      <c r="Y8264" s="91" t="s">
        <v>68</v>
      </c>
      <c r="Z8264" s="136">
        <f>AD8264/AC8264</f>
        <v>24.423840000000002</v>
      </c>
      <c r="AA8264" s="58"/>
      <c r="AB8264" s="53">
        <f>AD8264/AC8264</f>
        <v>24.423840000000002</v>
      </c>
      <c r="AC8264" s="53">
        <f>M8264+$AE$10</f>
        <v>4.8594000000000008</v>
      </c>
      <c r="AD8264" s="54">
        <f>SUM(AD8265:AD8272)</f>
        <v>118.68520809600003</v>
      </c>
      <c r="AE8264" s="184">
        <f>SUMIFS($AD$37:$AD$12971,$V$37:$V$12971,$V8264,$X$37:$X$12971,AE$13)</f>
        <v>0</v>
      </c>
      <c r="AF8264" s="185">
        <f>SUMIFS($AD$37:$AD$12971,$V$37:$V$12971,$V8264,$X$37:$X$12971,AF$13)</f>
        <v>0</v>
      </c>
      <c r="AG8264" s="185">
        <f>SUMIFS($AD$37:$AD$12971,$V$37:$V$12971,$V8264,$X$37:$X$12971,AG$13)</f>
        <v>0</v>
      </c>
      <c r="AH8264" s="187">
        <f>SUMIFS($AD$37:$AD$12971,$V$37:$V$12971,$V8264,$X$37:$X$12971,AH$13)</f>
        <v>0</v>
      </c>
      <c r="AI8264" s="161">
        <f t="shared" ref="AI8264" si="5722">SUM(AE8264:AH8264)</f>
        <v>0</v>
      </c>
      <c r="AK8264" s="172"/>
    </row>
    <row r="8265" spans="1:41" s="102" customFormat="1" ht="19.899999999999999" customHeight="1" x14ac:dyDescent="0.25">
      <c r="A8265" s="45"/>
      <c r="B8265" s="59"/>
      <c r="C8265" s="137"/>
      <c r="D8265" s="59"/>
      <c r="E8265" s="116"/>
      <c r="F8265" s="120"/>
      <c r="G8265" s="120"/>
      <c r="H8265" s="120"/>
      <c r="I8265" s="60"/>
      <c r="J8265" s="116"/>
      <c r="K8265" s="213"/>
      <c r="L8265" s="120"/>
      <c r="M8265" s="120"/>
      <c r="N8265" s="167"/>
      <c r="O8265" s="120"/>
      <c r="P8265" s="120"/>
      <c r="Q8265" s="120"/>
      <c r="R8265" s="120"/>
      <c r="S8265" s="120"/>
      <c r="T8265" s="221"/>
      <c r="U8265" s="89"/>
      <c r="V8265" s="61"/>
      <c r="W8265" s="92" t="s">
        <v>129</v>
      </c>
      <c r="X8265" s="93" t="s">
        <v>29</v>
      </c>
      <c r="Y8265" s="93" t="s">
        <v>93</v>
      </c>
      <c r="Z8265" s="134">
        <f>VLOOKUP(W8265,Sheet2!$B:$D,3,FALSE)</f>
        <v>56</v>
      </c>
      <c r="AA8265" s="93">
        <f>100/(3.4*1.5)</f>
        <v>19.607843137254903</v>
      </c>
      <c r="AB8265" s="93">
        <f t="shared" ref="AB8265" si="5723">AD8265/AC8264</f>
        <v>2.8559999999999999</v>
      </c>
      <c r="AC8265" s="93">
        <f>AC8264/AA8265</f>
        <v>0.24782940000000003</v>
      </c>
      <c r="AD8265" s="94">
        <f t="shared" ref="AD8265:AD8266" si="5724">AC8265*Z8265</f>
        <v>13.878446400000001</v>
      </c>
      <c r="AE8265" s="190"/>
      <c r="AF8265" s="191"/>
      <c r="AG8265" s="191"/>
      <c r="AH8265" s="191"/>
      <c r="AI8265" s="186"/>
      <c r="AK8265" s="171"/>
    </row>
    <row r="8266" spans="1:41" s="102" customFormat="1" ht="19.899999999999999" customHeight="1" x14ac:dyDescent="0.25">
      <c r="A8266" s="45"/>
      <c r="B8266" s="59"/>
      <c r="C8266" s="137"/>
      <c r="D8266" s="59"/>
      <c r="E8266" s="116"/>
      <c r="F8266" s="120"/>
      <c r="G8266" s="120"/>
      <c r="H8266" s="120"/>
      <c r="I8266" s="60"/>
      <c r="J8266" s="116"/>
      <c r="K8266" s="213"/>
      <c r="L8266" s="120"/>
      <c r="M8266" s="120"/>
      <c r="N8266" s="167"/>
      <c r="O8266" s="120"/>
      <c r="P8266" s="120"/>
      <c r="Q8266" s="120"/>
      <c r="R8266" s="120"/>
      <c r="S8266" s="120"/>
      <c r="T8266" s="221"/>
      <c r="U8266" s="89"/>
      <c r="V8266" s="61"/>
      <c r="W8266" s="92" t="s">
        <v>65</v>
      </c>
      <c r="X8266" s="93" t="s">
        <v>30</v>
      </c>
      <c r="Y8266" s="93" t="s">
        <v>1011</v>
      </c>
      <c r="Z8266" s="134">
        <f>VLOOKUP(W8266,Sheet2!$B:$D,3,FALSE)</f>
        <v>1.76</v>
      </c>
      <c r="AA8266" s="93">
        <f>AA8265/14</f>
        <v>1.400560224089636</v>
      </c>
      <c r="AB8266" s="93">
        <f>AD8266/AC8264</f>
        <v>1.25664</v>
      </c>
      <c r="AC8266" s="93">
        <f>AC8264/AA8266</f>
        <v>3.4696116000000004</v>
      </c>
      <c r="AD8266" s="94">
        <f t="shared" si="5724"/>
        <v>6.1065164160000007</v>
      </c>
      <c r="AE8266" s="190"/>
      <c r="AF8266" s="191"/>
      <c r="AG8266" s="191"/>
      <c r="AH8266" s="191"/>
      <c r="AI8266" s="186"/>
      <c r="AK8266" s="171"/>
    </row>
    <row r="8267" spans="1:41" s="102" customFormat="1" ht="19.899999999999999" customHeight="1" x14ac:dyDescent="0.25">
      <c r="A8267" s="45"/>
      <c r="B8267" s="59"/>
      <c r="C8267" s="137"/>
      <c r="D8267" s="59"/>
      <c r="E8267" s="116"/>
      <c r="F8267" s="120"/>
      <c r="G8267" s="120"/>
      <c r="H8267" s="120"/>
      <c r="I8267" s="60"/>
      <c r="J8267" s="116"/>
      <c r="K8267" s="213"/>
      <c r="L8267" s="120"/>
      <c r="M8267" s="120"/>
      <c r="N8267" s="167"/>
      <c r="O8267" s="120"/>
      <c r="P8267" s="120"/>
      <c r="Q8267" s="120"/>
      <c r="R8267" s="120"/>
      <c r="S8267" s="120"/>
      <c r="T8267" s="221"/>
      <c r="U8267" s="89"/>
      <c r="V8267" s="61"/>
      <c r="W8267" s="92" t="s">
        <v>161</v>
      </c>
      <c r="X8267" s="93" t="s">
        <v>29</v>
      </c>
      <c r="Y8267" s="93" t="s">
        <v>93</v>
      </c>
      <c r="Z8267" s="134">
        <f>VLOOKUP(W8267,Sheet2!$B:$D,3,FALSE)</f>
        <v>48</v>
      </c>
      <c r="AA8267" s="93">
        <f>(16*0.85*1.5)/(3.4*1.5)</f>
        <v>4</v>
      </c>
      <c r="AB8267" s="93">
        <f>AD8267/AC8264</f>
        <v>12</v>
      </c>
      <c r="AC8267" s="93">
        <f>AC8264/AA8267</f>
        <v>1.2148500000000002</v>
      </c>
      <c r="AD8267" s="94">
        <f>AC8267*Z8267</f>
        <v>58.31280000000001</v>
      </c>
      <c r="AE8267" s="190"/>
      <c r="AF8267" s="191"/>
      <c r="AG8267" s="191"/>
      <c r="AH8267" s="191"/>
      <c r="AI8267" s="186"/>
      <c r="AK8267" s="171"/>
    </row>
    <row r="8268" spans="1:41" s="102" customFormat="1" ht="19.899999999999999" customHeight="1" x14ac:dyDescent="0.25">
      <c r="A8268" s="45"/>
      <c r="B8268" s="59"/>
      <c r="C8268" s="137"/>
      <c r="D8268" s="59"/>
      <c r="E8268" s="116"/>
      <c r="F8268" s="120"/>
      <c r="G8268" s="120"/>
      <c r="H8268" s="120"/>
      <c r="I8268" s="60"/>
      <c r="J8268" s="116"/>
      <c r="K8268" s="213"/>
      <c r="L8268" s="120"/>
      <c r="M8268" s="120"/>
      <c r="N8268" s="167"/>
      <c r="O8268" s="120"/>
      <c r="P8268" s="120"/>
      <c r="Q8268" s="120"/>
      <c r="R8268" s="120"/>
      <c r="S8268" s="120"/>
      <c r="T8268" s="221"/>
      <c r="U8268" s="89"/>
      <c r="V8268" s="61"/>
      <c r="W8268" s="92" t="s">
        <v>65</v>
      </c>
      <c r="X8268" s="93" t="s">
        <v>30</v>
      </c>
      <c r="Y8268" s="93" t="s">
        <v>1011</v>
      </c>
      <c r="Z8268" s="134">
        <f>VLOOKUP(W8268,Sheet2!$B:$D,3,FALSE)</f>
        <v>1.76</v>
      </c>
      <c r="AA8268" s="93">
        <f>AA8267/10</f>
        <v>0.4</v>
      </c>
      <c r="AB8268" s="93">
        <f>AD8268/AC8264</f>
        <v>4.4000000000000004</v>
      </c>
      <c r="AC8268" s="93">
        <f>AC8264/AA8268</f>
        <v>12.148500000000002</v>
      </c>
      <c r="AD8268" s="94">
        <f>AC8268*Z8268</f>
        <v>21.381360000000004</v>
      </c>
      <c r="AE8268" s="190"/>
      <c r="AF8268" s="191"/>
      <c r="AG8268" s="191"/>
      <c r="AH8268" s="191"/>
      <c r="AI8268" s="186"/>
      <c r="AK8268" s="171"/>
    </row>
    <row r="8269" spans="1:41" s="102" customFormat="1" ht="19.899999999999999" customHeight="1" x14ac:dyDescent="0.25">
      <c r="A8269" s="45"/>
      <c r="B8269" s="59"/>
      <c r="C8269" s="137"/>
      <c r="D8269" s="59"/>
      <c r="E8269" s="116"/>
      <c r="F8269" s="120"/>
      <c r="G8269" s="120"/>
      <c r="H8269" s="120"/>
      <c r="I8269" s="60"/>
      <c r="J8269" s="116"/>
      <c r="K8269" s="213"/>
      <c r="L8269" s="120"/>
      <c r="M8269" s="120"/>
      <c r="N8269" s="167"/>
      <c r="O8269" s="120"/>
      <c r="P8269" s="120"/>
      <c r="Q8269" s="120"/>
      <c r="R8269" s="120"/>
      <c r="S8269" s="120"/>
      <c r="T8269" s="221"/>
      <c r="U8269" s="89"/>
      <c r="V8269" s="61"/>
      <c r="W8269" s="92" t="s">
        <v>1030</v>
      </c>
      <c r="X8269" s="93" t="s">
        <v>29</v>
      </c>
      <c r="Y8269" s="93" t="s">
        <v>93</v>
      </c>
      <c r="Z8269" s="134">
        <f>VLOOKUP(W8269,Sheet2!$B:$D,3,FALSE)</f>
        <v>23</v>
      </c>
      <c r="AA8269" s="93">
        <v>50</v>
      </c>
      <c r="AB8269" s="93">
        <f>AD8269/AC8264</f>
        <v>0.45999999999999996</v>
      </c>
      <c r="AC8269" s="93">
        <f>AC8264/AA8269</f>
        <v>9.718800000000001E-2</v>
      </c>
      <c r="AD8269" s="94">
        <f t="shared" ref="AD8269:AD8272" si="5725">AC8269*Z8269</f>
        <v>2.2353240000000003</v>
      </c>
      <c r="AE8269" s="190"/>
      <c r="AF8269" s="191"/>
      <c r="AG8269" s="191"/>
      <c r="AH8269" s="191"/>
      <c r="AI8269" s="186"/>
      <c r="AK8269" s="171"/>
    </row>
    <row r="8270" spans="1:41" s="102" customFormat="1" ht="19.899999999999999" customHeight="1" x14ac:dyDescent="0.25">
      <c r="A8270" s="45"/>
      <c r="B8270" s="59"/>
      <c r="C8270" s="137"/>
      <c r="D8270" s="59"/>
      <c r="E8270" s="116"/>
      <c r="F8270" s="120"/>
      <c r="G8270" s="120"/>
      <c r="H8270" s="120"/>
      <c r="I8270" s="60"/>
      <c r="J8270" s="116"/>
      <c r="K8270" s="213"/>
      <c r="L8270" s="120"/>
      <c r="M8270" s="120"/>
      <c r="N8270" s="167"/>
      <c r="O8270" s="120"/>
      <c r="P8270" s="120"/>
      <c r="Q8270" s="120"/>
      <c r="R8270" s="120"/>
      <c r="S8270" s="120"/>
      <c r="T8270" s="221"/>
      <c r="U8270" s="89"/>
      <c r="V8270" s="61"/>
      <c r="W8270" s="92" t="s">
        <v>65</v>
      </c>
      <c r="X8270" s="93" t="s">
        <v>30</v>
      </c>
      <c r="Y8270" s="93" t="s">
        <v>1011</v>
      </c>
      <c r="Z8270" s="134">
        <f>VLOOKUP(W8270,Sheet2!$B:$D,3,FALSE)</f>
        <v>1.76</v>
      </c>
      <c r="AA8270" s="93">
        <f>AA8269/3</f>
        <v>16.666666666666668</v>
      </c>
      <c r="AB8270" s="93">
        <f>AD8270/AC8264</f>
        <v>0.10559999999999999</v>
      </c>
      <c r="AC8270" s="93">
        <f>AC8264/AA8270</f>
        <v>0.29156400000000005</v>
      </c>
      <c r="AD8270" s="94">
        <f t="shared" si="5725"/>
        <v>0.51315264000000005</v>
      </c>
      <c r="AE8270" s="190"/>
      <c r="AF8270" s="191"/>
      <c r="AG8270" s="191"/>
      <c r="AH8270" s="191"/>
      <c r="AI8270" s="186"/>
      <c r="AK8270" s="171"/>
    </row>
    <row r="8271" spans="1:41" s="102" customFormat="1" ht="19.899999999999999" customHeight="1" x14ac:dyDescent="0.25">
      <c r="A8271" s="45"/>
      <c r="B8271" s="59"/>
      <c r="C8271" s="137"/>
      <c r="D8271" s="59"/>
      <c r="E8271" s="116"/>
      <c r="F8271" s="120"/>
      <c r="G8271" s="120"/>
      <c r="H8271" s="120"/>
      <c r="I8271" s="60"/>
      <c r="J8271" s="116"/>
      <c r="K8271" s="213"/>
      <c r="L8271" s="120"/>
      <c r="M8271" s="120"/>
      <c r="N8271" s="167"/>
      <c r="O8271" s="120"/>
      <c r="P8271" s="120"/>
      <c r="Q8271" s="120"/>
      <c r="R8271" s="120"/>
      <c r="S8271" s="120"/>
      <c r="T8271" s="221"/>
      <c r="U8271" s="89"/>
      <c r="V8271" s="61"/>
      <c r="W8271" s="92" t="s">
        <v>148</v>
      </c>
      <c r="X8271" s="93" t="s">
        <v>29</v>
      </c>
      <c r="Y8271" s="93" t="s">
        <v>93</v>
      </c>
      <c r="Z8271" s="134">
        <f>VLOOKUP(W8271,Sheet2!$B:$D,3,FALSE)</f>
        <v>48</v>
      </c>
      <c r="AA8271" s="93">
        <f>AA8265</f>
        <v>19.607843137254903</v>
      </c>
      <c r="AB8271" s="93">
        <f>AD8271/AC8264</f>
        <v>2.4479999999999995</v>
      </c>
      <c r="AC8271" s="93">
        <f>AC8264/AA8271</f>
        <v>0.24782940000000003</v>
      </c>
      <c r="AD8271" s="94">
        <f t="shared" si="5725"/>
        <v>11.895811200000001</v>
      </c>
      <c r="AE8271" s="190"/>
      <c r="AF8271" s="191"/>
      <c r="AG8271" s="191"/>
      <c r="AH8271" s="191"/>
      <c r="AI8271" s="186"/>
      <c r="AK8271" s="171"/>
    </row>
    <row r="8272" spans="1:41" s="102" customFormat="1" ht="19.899999999999999" customHeight="1" x14ac:dyDescent="0.25">
      <c r="A8272" s="45"/>
      <c r="B8272" s="59"/>
      <c r="C8272" s="137"/>
      <c r="D8272" s="59"/>
      <c r="E8272" s="116"/>
      <c r="F8272" s="120"/>
      <c r="G8272" s="120"/>
      <c r="H8272" s="120"/>
      <c r="I8272" s="60"/>
      <c r="J8272" s="116"/>
      <c r="K8272" s="213"/>
      <c r="L8272" s="120"/>
      <c r="M8272" s="120"/>
      <c r="N8272" s="167"/>
      <c r="O8272" s="120"/>
      <c r="P8272" s="120"/>
      <c r="Q8272" s="120"/>
      <c r="R8272" s="120"/>
      <c r="S8272" s="120"/>
      <c r="T8272" s="221"/>
      <c r="U8272" s="89"/>
      <c r="V8272" s="61"/>
      <c r="W8272" s="92" t="s">
        <v>65</v>
      </c>
      <c r="X8272" s="93" t="s">
        <v>30</v>
      </c>
      <c r="Y8272" s="93" t="s">
        <v>1011</v>
      </c>
      <c r="Z8272" s="134">
        <f>VLOOKUP(W8272,Sheet2!$B:$D,3,FALSE)</f>
        <v>1.76</v>
      </c>
      <c r="AA8272" s="93">
        <f>AA8271/10</f>
        <v>1.9607843137254903</v>
      </c>
      <c r="AB8272" s="93">
        <f>AD8272/AC8264</f>
        <v>0.89760000000000006</v>
      </c>
      <c r="AC8272" s="93">
        <f>AC8264/AA8272</f>
        <v>2.4782940000000004</v>
      </c>
      <c r="AD8272" s="94">
        <f t="shared" si="5725"/>
        <v>4.361797440000001</v>
      </c>
      <c r="AE8272" s="190"/>
      <c r="AF8272" s="191"/>
      <c r="AG8272" s="191"/>
      <c r="AH8272" s="191"/>
      <c r="AI8272" s="186"/>
      <c r="AK8272" s="171"/>
    </row>
    <row r="8273" spans="1:41" s="103" customFormat="1" ht="19.899999999999999" customHeight="1" x14ac:dyDescent="0.25">
      <c r="A8273" s="51"/>
      <c r="B8273" s="52"/>
      <c r="C8273" s="165"/>
      <c r="D8273" s="52"/>
      <c r="E8273" s="115"/>
      <c r="F8273" s="58"/>
      <c r="G8273" s="58"/>
      <c r="H8273" s="58"/>
      <c r="I8273" s="55"/>
      <c r="J8273" s="113">
        <f>J8263</f>
        <v>4.8594000000000008</v>
      </c>
      <c r="K8273" s="212">
        <f>K8263</f>
        <v>4.8594000000000008</v>
      </c>
      <c r="L8273" s="58"/>
      <c r="M8273" s="58">
        <f>K8273-L8273</f>
        <v>4.8594000000000008</v>
      </c>
      <c r="N8273" s="166"/>
      <c r="O8273" s="58"/>
      <c r="P8273" s="58"/>
      <c r="Q8273" s="58"/>
      <c r="R8273" s="58"/>
      <c r="S8273" s="58"/>
      <c r="T8273" s="220"/>
      <c r="U8273" s="88"/>
      <c r="V8273" s="56"/>
      <c r="W8273" s="57" t="s">
        <v>1129</v>
      </c>
      <c r="X8273" s="53"/>
      <c r="Y8273" s="91" t="s">
        <v>68</v>
      </c>
      <c r="Z8273" s="136">
        <f>AD8273/AC8273</f>
        <v>4372.5500000000011</v>
      </c>
      <c r="AA8273" s="58"/>
      <c r="AB8273" s="53">
        <f>AD8273/AC8273</f>
        <v>4372.5500000000011</v>
      </c>
      <c r="AC8273" s="53">
        <f>M8273+$AE$10</f>
        <v>4.8594000000000008</v>
      </c>
      <c r="AD8273" s="54">
        <f>SUM(AD8274:AD8277)</f>
        <v>21247.969470000007</v>
      </c>
      <c r="AE8273" s="184">
        <f>SUMIFS($AD$37:$AD$12971,$V$37:$V$12971,$V8273,$X$37:$X$12971,AE$13)</f>
        <v>0</v>
      </c>
      <c r="AF8273" s="185">
        <f>SUMIFS($AD$37:$AD$12971,$V$37:$V$12971,$V8273,$X$37:$X$12971,AF$13)</f>
        <v>0</v>
      </c>
      <c r="AG8273" s="185">
        <f>SUMIFS($AD$37:$AD$12971,$V$37:$V$12971,$V8273,$X$37:$X$12971,AG$13)</f>
        <v>0</v>
      </c>
      <c r="AH8273" s="187">
        <f>SUMIFS($AD$37:$AD$12971,$V$37:$V$12971,$V8273,$X$37:$X$12971,AH$13)</f>
        <v>0</v>
      </c>
      <c r="AI8273" s="161">
        <f t="shared" ref="AI8273" si="5726">SUM(AE8273:AH8273)</f>
        <v>0</v>
      </c>
      <c r="AK8273" s="172"/>
    </row>
    <row r="8274" spans="1:41" s="102" customFormat="1" ht="19.899999999999999" customHeight="1" x14ac:dyDescent="0.25">
      <c r="A8274" s="45"/>
      <c r="B8274" s="59"/>
      <c r="C8274" s="137"/>
      <c r="D8274" s="59"/>
      <c r="E8274" s="116"/>
      <c r="F8274" s="120"/>
      <c r="G8274" s="120"/>
      <c r="H8274" s="120"/>
      <c r="I8274" s="60"/>
      <c r="J8274" s="116"/>
      <c r="K8274" s="213"/>
      <c r="L8274" s="120"/>
      <c r="M8274" s="120"/>
      <c r="N8274" s="167"/>
      <c r="O8274" s="120"/>
      <c r="P8274" s="120"/>
      <c r="Q8274" s="120"/>
      <c r="R8274" s="120"/>
      <c r="S8274" s="120"/>
      <c r="T8274" s="221"/>
      <c r="U8274" s="89"/>
      <c r="V8274" s="61"/>
      <c r="W8274" s="92" t="s">
        <v>1105</v>
      </c>
      <c r="X8274" s="93" t="s">
        <v>30</v>
      </c>
      <c r="Y8274" s="93" t="s">
        <v>66</v>
      </c>
      <c r="Z8274" s="134">
        <f>VLOOKUP(W8274,Sheet2!$B:$D,3,FALSE)</f>
        <v>2200</v>
      </c>
      <c r="AA8274" s="93">
        <f>1/((2.6*1.3)-(2*0.7))</f>
        <v>0.50505050505050497</v>
      </c>
      <c r="AB8274" s="93">
        <f>AD8274/AC8273</f>
        <v>4356.0000000000009</v>
      </c>
      <c r="AC8274" s="93">
        <f>AC8273/AA8274</f>
        <v>9.6216120000000025</v>
      </c>
      <c r="AD8274" s="94">
        <f t="shared" ref="AD8274" si="5727">AC8274*Z8274</f>
        <v>21167.546400000007</v>
      </c>
      <c r="AE8274" s="190"/>
      <c r="AF8274" s="191"/>
      <c r="AG8274" s="191"/>
      <c r="AH8274" s="191"/>
      <c r="AI8274" s="186"/>
      <c r="AK8274" s="171"/>
    </row>
    <row r="8275" spans="1:41" s="102" customFormat="1" ht="19.899999999999999" customHeight="1" x14ac:dyDescent="0.25">
      <c r="A8275" s="45"/>
      <c r="B8275" s="59"/>
      <c r="C8275" s="137"/>
      <c r="D8275" s="59"/>
      <c r="E8275" s="116"/>
      <c r="F8275" s="120"/>
      <c r="G8275" s="120"/>
      <c r="H8275" s="120"/>
      <c r="I8275" s="60"/>
      <c r="J8275" s="116"/>
      <c r="K8275" s="213"/>
      <c r="L8275" s="120"/>
      <c r="M8275" s="120"/>
      <c r="N8275" s="167"/>
      <c r="O8275" s="120"/>
      <c r="P8275" s="120"/>
      <c r="Q8275" s="120"/>
      <c r="R8275" s="120"/>
      <c r="S8275" s="120"/>
      <c r="T8275" s="221"/>
      <c r="U8275" s="89"/>
      <c r="V8275" s="61"/>
      <c r="W8275" s="92" t="s">
        <v>174</v>
      </c>
      <c r="X8275" s="93" t="s">
        <v>29</v>
      </c>
      <c r="Y8275" s="93" t="s">
        <v>93</v>
      </c>
      <c r="Z8275" s="134">
        <f>VLOOKUP(W8275,Sheet2!$B:$D,3,FALSE)</f>
        <v>80</v>
      </c>
      <c r="AA8275" s="93">
        <f>4*2</f>
        <v>8</v>
      </c>
      <c r="AB8275" s="93">
        <f>AD8275/AC8273</f>
        <v>10</v>
      </c>
      <c r="AC8275" s="93">
        <f>AC8273/AA8275</f>
        <v>0.6074250000000001</v>
      </c>
      <c r="AD8275" s="94">
        <f>AC8275*Z8275</f>
        <v>48.594000000000008</v>
      </c>
      <c r="AE8275" s="190"/>
      <c r="AF8275" s="191"/>
      <c r="AG8275" s="191"/>
      <c r="AH8275" s="191"/>
      <c r="AI8275" s="186"/>
      <c r="AK8275" s="171"/>
    </row>
    <row r="8276" spans="1:41" s="102" customFormat="1" ht="19.899999999999999" customHeight="1" x14ac:dyDescent="0.25">
      <c r="A8276" s="45"/>
      <c r="B8276" s="59"/>
      <c r="C8276" s="137"/>
      <c r="D8276" s="59"/>
      <c r="E8276" s="116"/>
      <c r="F8276" s="120"/>
      <c r="G8276" s="120"/>
      <c r="H8276" s="120"/>
      <c r="I8276" s="60"/>
      <c r="J8276" s="116"/>
      <c r="K8276" s="213"/>
      <c r="L8276" s="120"/>
      <c r="M8276" s="120"/>
      <c r="N8276" s="167"/>
      <c r="O8276" s="120"/>
      <c r="P8276" s="120"/>
      <c r="Q8276" s="120"/>
      <c r="R8276" s="120"/>
      <c r="S8276" s="120"/>
      <c r="T8276" s="221"/>
      <c r="U8276" s="89"/>
      <c r="V8276" s="61"/>
      <c r="W8276" s="92" t="s">
        <v>65</v>
      </c>
      <c r="X8276" s="93" t="s">
        <v>30</v>
      </c>
      <c r="Y8276" s="93" t="s">
        <v>1011</v>
      </c>
      <c r="Z8276" s="134">
        <f>VLOOKUP(W8276,Sheet2!$B:$D,3,FALSE)</f>
        <v>1.76</v>
      </c>
      <c r="AA8276" s="93">
        <f>AA8275/15</f>
        <v>0.53333333333333333</v>
      </c>
      <c r="AB8276" s="93">
        <f>AD8276/AC8273</f>
        <v>3.3000000000000003</v>
      </c>
      <c r="AC8276" s="93">
        <f>AC8273/AA8276</f>
        <v>9.1113750000000024</v>
      </c>
      <c r="AD8276" s="94">
        <f t="shared" ref="AD8276" si="5728">AC8276*Z8276</f>
        <v>16.036020000000004</v>
      </c>
      <c r="AE8276" s="190"/>
      <c r="AF8276" s="191"/>
      <c r="AG8276" s="191"/>
      <c r="AH8276" s="191"/>
      <c r="AI8276" s="186"/>
      <c r="AK8276" s="171"/>
    </row>
    <row r="8277" spans="1:41" s="102" customFormat="1" ht="19.899999999999999" customHeight="1" x14ac:dyDescent="0.25">
      <c r="A8277" s="45"/>
      <c r="B8277" s="59"/>
      <c r="C8277" s="137"/>
      <c r="D8277" s="59"/>
      <c r="E8277" s="116"/>
      <c r="F8277" s="120"/>
      <c r="G8277" s="120"/>
      <c r="H8277" s="120"/>
      <c r="I8277" s="60"/>
      <c r="J8277" s="116"/>
      <c r="K8277" s="213"/>
      <c r="L8277" s="120"/>
      <c r="M8277" s="120"/>
      <c r="N8277" s="167"/>
      <c r="O8277" s="120"/>
      <c r="P8277" s="120"/>
      <c r="Q8277" s="120"/>
      <c r="R8277" s="120"/>
      <c r="S8277" s="120"/>
      <c r="T8277" s="221"/>
      <c r="U8277" s="89"/>
      <c r="V8277" s="61"/>
      <c r="W8277" s="92" t="s">
        <v>112</v>
      </c>
      <c r="X8277" s="93" t="s">
        <v>31</v>
      </c>
      <c r="Y8277" s="93" t="s">
        <v>93</v>
      </c>
      <c r="Z8277" s="134">
        <f>VLOOKUP(W8277,Sheet2!$B:$D,3,FALSE)</f>
        <v>13</v>
      </c>
      <c r="AA8277" s="93">
        <f>AA8275/2</f>
        <v>4</v>
      </c>
      <c r="AB8277" s="93">
        <f>AD8277/AC8273</f>
        <v>3.25</v>
      </c>
      <c r="AC8277" s="93">
        <f>AC8273/AA8277</f>
        <v>1.2148500000000002</v>
      </c>
      <c r="AD8277" s="94">
        <f>AC8277*Z8277</f>
        <v>15.793050000000003</v>
      </c>
      <c r="AE8277" s="190"/>
      <c r="AF8277" s="191"/>
      <c r="AG8277" s="191"/>
      <c r="AH8277" s="191"/>
      <c r="AI8277" s="186"/>
      <c r="AK8277" s="171"/>
    </row>
    <row r="8278" spans="1:41" ht="20.100000000000001" customHeight="1" x14ac:dyDescent="0.25">
      <c r="A8278" s="277" t="s">
        <v>703</v>
      </c>
      <c r="B8278" s="278"/>
      <c r="C8278" s="64" t="s">
        <v>764</v>
      </c>
      <c r="D8278" s="46" t="s">
        <v>97</v>
      </c>
      <c r="E8278" s="114"/>
      <c r="F8278" s="44">
        <v>0</v>
      </c>
      <c r="G8278" s="44">
        <f t="shared" si="5545"/>
        <v>0</v>
      </c>
      <c r="H8278" s="44">
        <f t="shared" si="5546"/>
        <v>0</v>
      </c>
      <c r="I8278" s="43">
        <f t="shared" si="5547"/>
        <v>0</v>
      </c>
      <c r="J8278" s="112">
        <f t="shared" si="5548"/>
        <v>0</v>
      </c>
      <c r="K8278" s="211">
        <f t="shared" si="5549"/>
        <v>0</v>
      </c>
      <c r="L8278" s="44"/>
      <c r="M8278" s="44">
        <f t="shared" si="5550"/>
        <v>0</v>
      </c>
      <c r="N8278" s="173">
        <f t="shared" si="5551"/>
        <v>0</v>
      </c>
      <c r="O8278" s="44">
        <f t="shared" si="5552"/>
        <v>0</v>
      </c>
      <c r="P8278" s="44">
        <f t="shared" si="5553"/>
        <v>0</v>
      </c>
      <c r="Q8278" s="44">
        <f t="shared" si="5554"/>
        <v>0</v>
      </c>
      <c r="R8278" s="44">
        <f t="shared" si="5555"/>
        <v>0</v>
      </c>
      <c r="S8278" s="123"/>
      <c r="T8278" s="219">
        <f t="shared" si="5556"/>
        <v>0</v>
      </c>
      <c r="U8278" s="87"/>
      <c r="V8278" s="47"/>
      <c r="W8278" s="48"/>
      <c r="X8278" s="48"/>
      <c r="Y8278" s="48"/>
      <c r="Z8278" s="135"/>
      <c r="AA8278" s="49"/>
      <c r="AB8278" s="50">
        <f t="shared" si="5557"/>
        <v>0</v>
      </c>
      <c r="AC8278" s="42">
        <f t="shared" si="5558"/>
        <v>9.9999999999999998E-20</v>
      </c>
      <c r="AD8278" s="90"/>
      <c r="AE8278" s="188"/>
      <c r="AF8278" s="189"/>
      <c r="AG8278" s="189"/>
      <c r="AH8278" s="189"/>
      <c r="AI8278" s="161"/>
    </row>
    <row r="8279" spans="1:41" ht="20.100000000000001" customHeight="1" x14ac:dyDescent="0.25">
      <c r="A8279" s="277" t="s">
        <v>703</v>
      </c>
      <c r="B8279" s="278"/>
      <c r="C8279" s="64" t="s">
        <v>765</v>
      </c>
      <c r="D8279" s="46" t="s">
        <v>97</v>
      </c>
      <c r="E8279" s="114">
        <v>42.373454999999922</v>
      </c>
      <c r="F8279" s="44">
        <v>5125</v>
      </c>
      <c r="G8279" s="44">
        <f t="shared" si="5545"/>
        <v>217163.9568749996</v>
      </c>
      <c r="H8279" s="44">
        <f t="shared" si="5546"/>
        <v>4447.8793333333342</v>
      </c>
      <c r="I8279" s="43">
        <f t="shared" si="5547"/>
        <v>188472.01477642969</v>
      </c>
      <c r="J8279" s="112">
        <f t="shared" si="5548"/>
        <v>42.373454999999922</v>
      </c>
      <c r="K8279" s="211">
        <f t="shared" si="5549"/>
        <v>42.373454999999922</v>
      </c>
      <c r="L8279" s="44"/>
      <c r="M8279" s="44">
        <f t="shared" si="5550"/>
        <v>42.373454999999922</v>
      </c>
      <c r="N8279" s="173">
        <f t="shared" si="5551"/>
        <v>1</v>
      </c>
      <c r="O8279" s="44">
        <f t="shared" si="5552"/>
        <v>5125</v>
      </c>
      <c r="P8279" s="44">
        <f t="shared" si="5553"/>
        <v>217163.9568749996</v>
      </c>
      <c r="Q8279" s="44">
        <f t="shared" si="5554"/>
        <v>4447.8793333333342</v>
      </c>
      <c r="R8279" s="44">
        <f t="shared" si="5555"/>
        <v>188472.01477642969</v>
      </c>
      <c r="S8279" s="123"/>
      <c r="T8279" s="219">
        <f t="shared" si="5556"/>
        <v>188472.01477642969</v>
      </c>
      <c r="U8279" s="87"/>
      <c r="V8279" s="47"/>
      <c r="W8279" s="48"/>
      <c r="X8279" s="48"/>
      <c r="Y8279" s="48"/>
      <c r="Z8279" s="135"/>
      <c r="AA8279" s="49"/>
      <c r="AB8279" s="50">
        <f t="shared" si="5557"/>
        <v>4447.8793333333342</v>
      </c>
      <c r="AC8279" s="42">
        <f t="shared" si="5558"/>
        <v>42.373454999999922</v>
      </c>
      <c r="AD8279" s="90">
        <f>AD8280+AD8290</f>
        <v>188472.01477642969</v>
      </c>
      <c r="AE8279" s="188">
        <f t="shared" ref="AE8279:AH8279" si="5729">AE8280+AE8290</f>
        <v>0</v>
      </c>
      <c r="AF8279" s="189">
        <f t="shared" si="5729"/>
        <v>0</v>
      </c>
      <c r="AG8279" s="189">
        <f t="shared" si="5729"/>
        <v>0</v>
      </c>
      <c r="AH8279" s="189">
        <f t="shared" si="5729"/>
        <v>0</v>
      </c>
      <c r="AI8279" s="161">
        <f t="shared" ref="AI8279" si="5730">SUM(AE8279:AH8279)</f>
        <v>0</v>
      </c>
      <c r="AK8279" s="169">
        <v>5</v>
      </c>
      <c r="AO8279" s="19" t="s">
        <v>63</v>
      </c>
    </row>
    <row r="8280" spans="1:41" s="103" customFormat="1" ht="19.899999999999999" customHeight="1" x14ac:dyDescent="0.25">
      <c r="A8280" s="51"/>
      <c r="B8280" s="52"/>
      <c r="C8280" s="165"/>
      <c r="D8280" s="52"/>
      <c r="E8280" s="115"/>
      <c r="F8280" s="58"/>
      <c r="G8280" s="58"/>
      <c r="H8280" s="58"/>
      <c r="I8280" s="55"/>
      <c r="J8280" s="113">
        <f>J8279</f>
        <v>42.373454999999922</v>
      </c>
      <c r="K8280" s="212">
        <f>K8279</f>
        <v>42.373454999999922</v>
      </c>
      <c r="L8280" s="58"/>
      <c r="M8280" s="58">
        <f>K8280-L8280</f>
        <v>42.373454999999922</v>
      </c>
      <c r="N8280" s="166"/>
      <c r="O8280" s="58"/>
      <c r="P8280" s="58"/>
      <c r="Q8280" s="58"/>
      <c r="R8280" s="58"/>
      <c r="S8280" s="58"/>
      <c r="T8280" s="220"/>
      <c r="U8280" s="88"/>
      <c r="V8280" s="56"/>
      <c r="W8280" s="57" t="s">
        <v>1133</v>
      </c>
      <c r="X8280" s="53"/>
      <c r="Y8280" s="91" t="s">
        <v>68</v>
      </c>
      <c r="Z8280" s="136">
        <f>AD8280/AC8280</f>
        <v>75.329333333333338</v>
      </c>
      <c r="AA8280" s="58"/>
      <c r="AB8280" s="53">
        <f>AD8280/AC8280</f>
        <v>75.329333333333338</v>
      </c>
      <c r="AC8280" s="53">
        <f>M8280+$AE$10</f>
        <v>42.373454999999922</v>
      </c>
      <c r="AD8280" s="54">
        <f>SUM(AD8281:AD8289)</f>
        <v>3191.9641161799946</v>
      </c>
      <c r="AE8280" s="184">
        <f>SUMIFS($AD$37:$AD$12971,$V$37:$V$12971,$V8280,$X$37:$X$12971,AE$13)</f>
        <v>0</v>
      </c>
      <c r="AF8280" s="185">
        <f>SUMIFS($AD$37:$AD$12971,$V$37:$V$12971,$V8280,$X$37:$X$12971,AF$13)</f>
        <v>0</v>
      </c>
      <c r="AG8280" s="185">
        <f>SUMIFS($AD$37:$AD$12971,$V$37:$V$12971,$V8280,$X$37:$X$12971,AG$13)</f>
        <v>0</v>
      </c>
      <c r="AH8280" s="187">
        <f>SUMIFS($AD$37:$AD$12971,$V$37:$V$12971,$V8280,$X$37:$X$12971,AH$13)</f>
        <v>0</v>
      </c>
      <c r="AI8280" s="161">
        <f t="shared" ref="AI8280" si="5731">SUM(AE8280:AH8280)</f>
        <v>0</v>
      </c>
      <c r="AK8280" s="172"/>
    </row>
    <row r="8281" spans="1:41" s="102" customFormat="1" ht="19.899999999999999" customHeight="1" x14ac:dyDescent="0.25">
      <c r="A8281" s="45"/>
      <c r="B8281" s="59"/>
      <c r="C8281" s="137"/>
      <c r="D8281" s="59"/>
      <c r="E8281" s="116"/>
      <c r="F8281" s="120"/>
      <c r="G8281" s="120"/>
      <c r="H8281" s="120"/>
      <c r="I8281" s="60"/>
      <c r="J8281" s="116"/>
      <c r="K8281" s="213"/>
      <c r="L8281" s="120"/>
      <c r="M8281" s="120"/>
      <c r="N8281" s="167"/>
      <c r="O8281" s="120"/>
      <c r="P8281" s="120"/>
      <c r="Q8281" s="120"/>
      <c r="R8281" s="120"/>
      <c r="S8281" s="120"/>
      <c r="T8281" s="221"/>
      <c r="U8281" s="89"/>
      <c r="V8281" s="61"/>
      <c r="W8281" s="92" t="s">
        <v>129</v>
      </c>
      <c r="X8281" s="93" t="s">
        <v>29</v>
      </c>
      <c r="Y8281" s="93" t="s">
        <v>93</v>
      </c>
      <c r="Z8281" s="134">
        <f>VLOOKUP(W8281,Sheet2!$B:$D,3,FALSE)</f>
        <v>56</v>
      </c>
      <c r="AA8281" s="93">
        <f>100/(3.4*2.5)</f>
        <v>11.764705882352942</v>
      </c>
      <c r="AB8281" s="93">
        <f t="shared" ref="AB8281" si="5732">AD8281/AC8280</f>
        <v>4.76</v>
      </c>
      <c r="AC8281" s="93">
        <f>AC8280/AA8281</f>
        <v>3.6017436749999932</v>
      </c>
      <c r="AD8281" s="94">
        <f t="shared" ref="AD8281:AD8282" si="5733">AC8281*Z8281</f>
        <v>201.69764579999961</v>
      </c>
      <c r="AE8281" s="190"/>
      <c r="AF8281" s="191"/>
      <c r="AG8281" s="191"/>
      <c r="AH8281" s="191"/>
      <c r="AI8281" s="186"/>
      <c r="AK8281" s="171"/>
    </row>
    <row r="8282" spans="1:41" s="102" customFormat="1" ht="19.899999999999999" customHeight="1" x14ac:dyDescent="0.25">
      <c r="A8282" s="45"/>
      <c r="B8282" s="59"/>
      <c r="C8282" s="137"/>
      <c r="D8282" s="59"/>
      <c r="E8282" s="116"/>
      <c r="F8282" s="120"/>
      <c r="G8282" s="120"/>
      <c r="H8282" s="120"/>
      <c r="I8282" s="60"/>
      <c r="J8282" s="116"/>
      <c r="K8282" s="213"/>
      <c r="L8282" s="120"/>
      <c r="M8282" s="120"/>
      <c r="N8282" s="167"/>
      <c r="O8282" s="120"/>
      <c r="P8282" s="120"/>
      <c r="Q8282" s="120"/>
      <c r="R8282" s="120"/>
      <c r="S8282" s="120"/>
      <c r="T8282" s="221"/>
      <c r="U8282" s="89"/>
      <c r="V8282" s="61"/>
      <c r="W8282" s="92" t="s">
        <v>65</v>
      </c>
      <c r="X8282" s="93" t="s">
        <v>30</v>
      </c>
      <c r="Y8282" s="93" t="s">
        <v>1011</v>
      </c>
      <c r="Z8282" s="134">
        <f>VLOOKUP(W8282,Sheet2!$B:$D,3,FALSE)</f>
        <v>1.76</v>
      </c>
      <c r="AA8282" s="93">
        <f>AA8281/14</f>
        <v>0.84033613445378152</v>
      </c>
      <c r="AB8282" s="93">
        <f>AD8282/AC8280</f>
        <v>2.0943999999999998</v>
      </c>
      <c r="AC8282" s="93">
        <f>AC8280/AA8282</f>
        <v>50.424411449999909</v>
      </c>
      <c r="AD8282" s="94">
        <f t="shared" si="5733"/>
        <v>88.746964151999833</v>
      </c>
      <c r="AE8282" s="190"/>
      <c r="AF8282" s="191"/>
      <c r="AG8282" s="191"/>
      <c r="AH8282" s="191"/>
      <c r="AI8282" s="186"/>
      <c r="AK8282" s="171"/>
    </row>
    <row r="8283" spans="1:41" s="102" customFormat="1" ht="19.899999999999999" customHeight="1" x14ac:dyDescent="0.25">
      <c r="A8283" s="45"/>
      <c r="B8283" s="59"/>
      <c r="C8283" s="137"/>
      <c r="D8283" s="59"/>
      <c r="E8283" s="116"/>
      <c r="F8283" s="120"/>
      <c r="G8283" s="120"/>
      <c r="H8283" s="120"/>
      <c r="I8283" s="60"/>
      <c r="J8283" s="116"/>
      <c r="K8283" s="213"/>
      <c r="L8283" s="120"/>
      <c r="M8283" s="120"/>
      <c r="N8283" s="167"/>
      <c r="O8283" s="120"/>
      <c r="P8283" s="120"/>
      <c r="Q8283" s="120"/>
      <c r="R8283" s="120"/>
      <c r="S8283" s="120"/>
      <c r="T8283" s="221"/>
      <c r="U8283" s="89"/>
      <c r="V8283" s="61"/>
      <c r="W8283" s="92" t="s">
        <v>161</v>
      </c>
      <c r="X8283" s="93" t="s">
        <v>29</v>
      </c>
      <c r="Y8283" s="93" t="s">
        <v>93</v>
      </c>
      <c r="Z8283" s="134">
        <f>VLOOKUP(W8283,Sheet2!$B:$D,3,FALSE)</f>
        <v>48</v>
      </c>
      <c r="AA8283" s="93">
        <f>(16*0.85*1.5)/(3.4*2.5)</f>
        <v>2.4</v>
      </c>
      <c r="AB8283" s="93">
        <f>AD8283/AC8280</f>
        <v>20.000000000000004</v>
      </c>
      <c r="AC8283" s="93">
        <f>AC8280/AA8283</f>
        <v>17.65560624999997</v>
      </c>
      <c r="AD8283" s="94">
        <f>AC8283*Z8283</f>
        <v>847.46909999999855</v>
      </c>
      <c r="AE8283" s="190"/>
      <c r="AF8283" s="191"/>
      <c r="AG8283" s="191"/>
      <c r="AH8283" s="191"/>
      <c r="AI8283" s="186"/>
      <c r="AK8283" s="171"/>
    </row>
    <row r="8284" spans="1:41" s="102" customFormat="1" ht="19.899999999999999" customHeight="1" x14ac:dyDescent="0.25">
      <c r="A8284" s="45"/>
      <c r="B8284" s="59"/>
      <c r="C8284" s="137"/>
      <c r="D8284" s="59"/>
      <c r="E8284" s="116"/>
      <c r="F8284" s="120"/>
      <c r="G8284" s="120"/>
      <c r="H8284" s="120"/>
      <c r="I8284" s="60"/>
      <c r="J8284" s="116"/>
      <c r="K8284" s="213"/>
      <c r="L8284" s="120"/>
      <c r="M8284" s="120"/>
      <c r="N8284" s="167"/>
      <c r="O8284" s="120"/>
      <c r="P8284" s="120"/>
      <c r="Q8284" s="120"/>
      <c r="R8284" s="120"/>
      <c r="S8284" s="120"/>
      <c r="T8284" s="221"/>
      <c r="U8284" s="89"/>
      <c r="V8284" s="61"/>
      <c r="W8284" s="92" t="s">
        <v>65</v>
      </c>
      <c r="X8284" s="93" t="s">
        <v>30</v>
      </c>
      <c r="Y8284" s="93" t="s">
        <v>1011</v>
      </c>
      <c r="Z8284" s="134">
        <f>VLOOKUP(W8284,Sheet2!$B:$D,3,FALSE)</f>
        <v>1.76</v>
      </c>
      <c r="AA8284" s="93">
        <f>AA8283/10</f>
        <v>0.24</v>
      </c>
      <c r="AB8284" s="93">
        <f>AD8284/AC8280</f>
        <v>7.3333333333333339</v>
      </c>
      <c r="AC8284" s="93">
        <f>AC8280/AA8284</f>
        <v>176.55606249999968</v>
      </c>
      <c r="AD8284" s="94">
        <f>AC8284*Z8284</f>
        <v>310.73866999999944</v>
      </c>
      <c r="AE8284" s="190"/>
      <c r="AF8284" s="191"/>
      <c r="AG8284" s="191"/>
      <c r="AH8284" s="191"/>
      <c r="AI8284" s="186"/>
      <c r="AK8284" s="171"/>
    </row>
    <row r="8285" spans="1:41" s="102" customFormat="1" ht="19.899999999999999" customHeight="1" x14ac:dyDescent="0.25">
      <c r="A8285" s="45"/>
      <c r="B8285" s="59"/>
      <c r="C8285" s="137"/>
      <c r="D8285" s="59"/>
      <c r="E8285" s="116"/>
      <c r="F8285" s="120"/>
      <c r="G8285" s="120"/>
      <c r="H8285" s="120"/>
      <c r="I8285" s="60"/>
      <c r="J8285" s="116"/>
      <c r="K8285" s="213"/>
      <c r="L8285" s="120"/>
      <c r="M8285" s="120"/>
      <c r="N8285" s="167"/>
      <c r="O8285" s="120"/>
      <c r="P8285" s="120"/>
      <c r="Q8285" s="120"/>
      <c r="R8285" s="120"/>
      <c r="S8285" s="120"/>
      <c r="T8285" s="221"/>
      <c r="U8285" s="89"/>
      <c r="V8285" s="61"/>
      <c r="W8285" s="92" t="s">
        <v>1030</v>
      </c>
      <c r="X8285" s="93" t="s">
        <v>29</v>
      </c>
      <c r="Y8285" s="93" t="s">
        <v>93</v>
      </c>
      <c r="Z8285" s="134">
        <f>VLOOKUP(W8285,Sheet2!$B:$D,3,FALSE)</f>
        <v>23</v>
      </c>
      <c r="AA8285" s="93">
        <v>50</v>
      </c>
      <c r="AB8285" s="93">
        <f>AD8285/AC8280</f>
        <v>0.46</v>
      </c>
      <c r="AC8285" s="93">
        <f>AC8280/AA8285</f>
        <v>0.84746909999999842</v>
      </c>
      <c r="AD8285" s="94">
        <f t="shared" ref="AD8285:AD8289" si="5734">AC8285*Z8285</f>
        <v>19.491789299999965</v>
      </c>
      <c r="AE8285" s="190"/>
      <c r="AF8285" s="191"/>
      <c r="AG8285" s="191"/>
      <c r="AH8285" s="191"/>
      <c r="AI8285" s="186"/>
      <c r="AK8285" s="171"/>
    </row>
    <row r="8286" spans="1:41" s="102" customFormat="1" ht="19.899999999999999" customHeight="1" x14ac:dyDescent="0.25">
      <c r="A8286" s="45"/>
      <c r="B8286" s="59"/>
      <c r="C8286" s="137"/>
      <c r="D8286" s="59"/>
      <c r="E8286" s="116"/>
      <c r="F8286" s="120"/>
      <c r="G8286" s="120"/>
      <c r="H8286" s="120"/>
      <c r="I8286" s="60"/>
      <c r="J8286" s="116"/>
      <c r="K8286" s="213"/>
      <c r="L8286" s="120"/>
      <c r="M8286" s="120"/>
      <c r="N8286" s="167"/>
      <c r="O8286" s="120"/>
      <c r="P8286" s="120"/>
      <c r="Q8286" s="120"/>
      <c r="R8286" s="120"/>
      <c r="S8286" s="120"/>
      <c r="T8286" s="221"/>
      <c r="U8286" s="89"/>
      <c r="V8286" s="61"/>
      <c r="W8286" s="92" t="s">
        <v>65</v>
      </c>
      <c r="X8286" s="93" t="s">
        <v>30</v>
      </c>
      <c r="Y8286" s="93" t="s">
        <v>1011</v>
      </c>
      <c r="Z8286" s="134">
        <f>VLOOKUP(W8286,Sheet2!$B:$D,3,FALSE)</f>
        <v>1.76</v>
      </c>
      <c r="AA8286" s="93">
        <f>AA8285/3</f>
        <v>16.666666666666668</v>
      </c>
      <c r="AB8286" s="93">
        <f>AD8286/AC8280</f>
        <v>0.10559999999999999</v>
      </c>
      <c r="AC8286" s="93">
        <f>AC8280/AA8286</f>
        <v>2.5424072999999949</v>
      </c>
      <c r="AD8286" s="94">
        <f t="shared" si="5734"/>
        <v>4.4746368479999914</v>
      </c>
      <c r="AE8286" s="190"/>
      <c r="AF8286" s="191"/>
      <c r="AG8286" s="191"/>
      <c r="AH8286" s="191"/>
      <c r="AI8286" s="186"/>
      <c r="AK8286" s="171"/>
    </row>
    <row r="8287" spans="1:41" s="102" customFormat="1" ht="19.899999999999999" customHeight="1" x14ac:dyDescent="0.25">
      <c r="A8287" s="45"/>
      <c r="B8287" s="59"/>
      <c r="C8287" s="137"/>
      <c r="D8287" s="59"/>
      <c r="E8287" s="116"/>
      <c r="F8287" s="120"/>
      <c r="G8287" s="120"/>
      <c r="H8287" s="120"/>
      <c r="I8287" s="60"/>
      <c r="J8287" s="116"/>
      <c r="K8287" s="213"/>
      <c r="L8287" s="120"/>
      <c r="M8287" s="120"/>
      <c r="N8287" s="167"/>
      <c r="O8287" s="120"/>
      <c r="P8287" s="120"/>
      <c r="Q8287" s="120"/>
      <c r="R8287" s="120"/>
      <c r="S8287" s="120"/>
      <c r="T8287" s="221"/>
      <c r="U8287" s="89"/>
      <c r="V8287" s="61"/>
      <c r="W8287" s="92" t="s">
        <v>148</v>
      </c>
      <c r="X8287" s="93" t="s">
        <v>29</v>
      </c>
      <c r="Y8287" s="93" t="s">
        <v>93</v>
      </c>
      <c r="Z8287" s="134">
        <f>VLOOKUP(W8287,Sheet2!$B:$D,3,FALSE)</f>
        <v>48</v>
      </c>
      <c r="AA8287" s="93">
        <f>AA8281</f>
        <v>11.764705882352942</v>
      </c>
      <c r="AB8287" s="93">
        <f>AD8287/AC8280</f>
        <v>4.08</v>
      </c>
      <c r="AC8287" s="93">
        <f>AC8280/AA8287</f>
        <v>3.6017436749999932</v>
      </c>
      <c r="AD8287" s="94">
        <f t="shared" si="5734"/>
        <v>172.88369639999968</v>
      </c>
      <c r="AE8287" s="190"/>
      <c r="AF8287" s="191"/>
      <c r="AG8287" s="191"/>
      <c r="AH8287" s="191"/>
      <c r="AI8287" s="186"/>
      <c r="AK8287" s="171"/>
    </row>
    <row r="8288" spans="1:41" s="102" customFormat="1" ht="19.899999999999999" customHeight="1" x14ac:dyDescent="0.25">
      <c r="A8288" s="45"/>
      <c r="B8288" s="59"/>
      <c r="C8288" s="137"/>
      <c r="D8288" s="59"/>
      <c r="E8288" s="116"/>
      <c r="F8288" s="120"/>
      <c r="G8288" s="120"/>
      <c r="H8288" s="120"/>
      <c r="I8288" s="60"/>
      <c r="J8288" s="116"/>
      <c r="K8288" s="213"/>
      <c r="L8288" s="120"/>
      <c r="M8288" s="120"/>
      <c r="N8288" s="167"/>
      <c r="O8288" s="120"/>
      <c r="P8288" s="120"/>
      <c r="Q8288" s="120"/>
      <c r="R8288" s="120"/>
      <c r="S8288" s="120"/>
      <c r="T8288" s="221"/>
      <c r="U8288" s="89"/>
      <c r="V8288" s="61"/>
      <c r="W8288" s="92" t="s">
        <v>65</v>
      </c>
      <c r="X8288" s="93" t="s">
        <v>30</v>
      </c>
      <c r="Y8288" s="93" t="s">
        <v>1011</v>
      </c>
      <c r="Z8288" s="134">
        <f>VLOOKUP(W8288,Sheet2!$B:$D,3,FALSE)</f>
        <v>1.76</v>
      </c>
      <c r="AA8288" s="93">
        <f>AA8287/10</f>
        <v>1.1764705882352942</v>
      </c>
      <c r="AB8288" s="93">
        <f>AD8288/AC8280</f>
        <v>1.4959999999999998</v>
      </c>
      <c r="AC8288" s="93">
        <f>AC8280/AA8288</f>
        <v>36.017436749999931</v>
      </c>
      <c r="AD8288" s="94">
        <f t="shared" si="5734"/>
        <v>63.390688679999876</v>
      </c>
      <c r="AE8288" s="190"/>
      <c r="AF8288" s="191"/>
      <c r="AG8288" s="191"/>
      <c r="AH8288" s="191"/>
      <c r="AI8288" s="186"/>
      <c r="AK8288" s="171"/>
    </row>
    <row r="8289" spans="1:41" s="102" customFormat="1" ht="19.899999999999999" customHeight="1" x14ac:dyDescent="0.25">
      <c r="A8289" s="45"/>
      <c r="B8289" s="59"/>
      <c r="C8289" s="137"/>
      <c r="D8289" s="59"/>
      <c r="E8289" s="116"/>
      <c r="F8289" s="120"/>
      <c r="G8289" s="120"/>
      <c r="H8289" s="120"/>
      <c r="I8289" s="60"/>
      <c r="J8289" s="116"/>
      <c r="K8289" s="213"/>
      <c r="L8289" s="120"/>
      <c r="M8289" s="120"/>
      <c r="N8289" s="167"/>
      <c r="O8289" s="120"/>
      <c r="P8289" s="120"/>
      <c r="Q8289" s="120"/>
      <c r="R8289" s="120"/>
      <c r="S8289" s="120"/>
      <c r="T8289" s="221"/>
      <c r="U8289" s="89"/>
      <c r="V8289" s="61"/>
      <c r="W8289" s="92" t="s">
        <v>1048</v>
      </c>
      <c r="X8289" s="93" t="s">
        <v>30</v>
      </c>
      <c r="Y8289" s="93" t="s">
        <v>68</v>
      </c>
      <c r="Z8289" s="134">
        <f>VLOOKUP(W8289,Sheet2!$B:$D,3,FALSE)</f>
        <v>35</v>
      </c>
      <c r="AA8289" s="93">
        <v>1</v>
      </c>
      <c r="AB8289" s="93">
        <f>AD8289/AC8280</f>
        <v>35</v>
      </c>
      <c r="AC8289" s="93">
        <f>AC8280/AA8289</f>
        <v>42.373454999999922</v>
      </c>
      <c r="AD8289" s="94">
        <f t="shared" si="5734"/>
        <v>1483.0709249999973</v>
      </c>
      <c r="AE8289" s="190"/>
      <c r="AF8289" s="191"/>
      <c r="AG8289" s="191"/>
      <c r="AH8289" s="191"/>
      <c r="AI8289" s="186"/>
      <c r="AK8289" s="171"/>
    </row>
    <row r="8290" spans="1:41" s="103" customFormat="1" ht="19.899999999999999" customHeight="1" x14ac:dyDescent="0.25">
      <c r="A8290" s="51"/>
      <c r="B8290" s="52"/>
      <c r="C8290" s="165"/>
      <c r="D8290" s="52"/>
      <c r="E8290" s="115"/>
      <c r="F8290" s="58"/>
      <c r="G8290" s="58"/>
      <c r="H8290" s="58"/>
      <c r="I8290" s="55"/>
      <c r="J8290" s="113">
        <f>J8279</f>
        <v>42.373454999999922</v>
      </c>
      <c r="K8290" s="212">
        <f>K8279</f>
        <v>42.373454999999922</v>
      </c>
      <c r="L8290" s="58"/>
      <c r="M8290" s="58">
        <f>K8290-L8290</f>
        <v>42.373454999999922</v>
      </c>
      <c r="N8290" s="166"/>
      <c r="O8290" s="58"/>
      <c r="P8290" s="58"/>
      <c r="Q8290" s="58"/>
      <c r="R8290" s="58"/>
      <c r="S8290" s="58"/>
      <c r="T8290" s="220"/>
      <c r="U8290" s="88"/>
      <c r="V8290" s="56"/>
      <c r="W8290" s="57" t="s">
        <v>1129</v>
      </c>
      <c r="X8290" s="53"/>
      <c r="Y8290" s="91" t="s">
        <v>68</v>
      </c>
      <c r="Z8290" s="136">
        <f>AD8290/AC8290</f>
        <v>4372.5500000000011</v>
      </c>
      <c r="AA8290" s="58"/>
      <c r="AB8290" s="53">
        <f>AD8290/AC8290</f>
        <v>4372.5500000000011</v>
      </c>
      <c r="AC8290" s="53">
        <f>M8290+$AE$10</f>
        <v>42.373454999999922</v>
      </c>
      <c r="AD8290" s="54">
        <f>SUM(AD8291:AD8294)</f>
        <v>185280.05066024969</v>
      </c>
      <c r="AE8290" s="184">
        <f>SUMIFS($AD$37:$AD$12971,$V$37:$V$12971,$V8290,$X$37:$X$12971,AE$13)</f>
        <v>0</v>
      </c>
      <c r="AF8290" s="185">
        <f>SUMIFS($AD$37:$AD$12971,$V$37:$V$12971,$V8290,$X$37:$X$12971,AF$13)</f>
        <v>0</v>
      </c>
      <c r="AG8290" s="185">
        <f>SUMIFS($AD$37:$AD$12971,$V$37:$V$12971,$V8290,$X$37:$X$12971,AG$13)</f>
        <v>0</v>
      </c>
      <c r="AH8290" s="187">
        <f>SUMIFS($AD$37:$AD$12971,$V$37:$V$12971,$V8290,$X$37:$X$12971,AH$13)</f>
        <v>0</v>
      </c>
      <c r="AI8290" s="161">
        <f t="shared" ref="AI8290" si="5735">SUM(AE8290:AH8290)</f>
        <v>0</v>
      </c>
      <c r="AK8290" s="172"/>
    </row>
    <row r="8291" spans="1:41" s="102" customFormat="1" ht="19.899999999999999" customHeight="1" x14ac:dyDescent="0.25">
      <c r="A8291" s="45"/>
      <c r="B8291" s="59"/>
      <c r="C8291" s="137"/>
      <c r="D8291" s="59"/>
      <c r="E8291" s="116"/>
      <c r="F8291" s="120"/>
      <c r="G8291" s="120"/>
      <c r="H8291" s="120"/>
      <c r="I8291" s="60"/>
      <c r="J8291" s="116"/>
      <c r="K8291" s="213"/>
      <c r="L8291" s="120"/>
      <c r="M8291" s="120"/>
      <c r="N8291" s="167"/>
      <c r="O8291" s="120"/>
      <c r="P8291" s="120"/>
      <c r="Q8291" s="120"/>
      <c r="R8291" s="120"/>
      <c r="S8291" s="120"/>
      <c r="T8291" s="221"/>
      <c r="U8291" s="89"/>
      <c r="V8291" s="61"/>
      <c r="W8291" s="92" t="s">
        <v>1105</v>
      </c>
      <c r="X8291" s="93" t="s">
        <v>30</v>
      </c>
      <c r="Y8291" s="93" t="s">
        <v>66</v>
      </c>
      <c r="Z8291" s="134">
        <f>VLOOKUP(W8291,Sheet2!$B:$D,3,FALSE)</f>
        <v>2200</v>
      </c>
      <c r="AA8291" s="93">
        <f>1/((2.6*1.3)-(2*0.7))</f>
        <v>0.50505050505050497</v>
      </c>
      <c r="AB8291" s="93">
        <f>AD8291/AC8290</f>
        <v>4356.0000000000009</v>
      </c>
      <c r="AC8291" s="93">
        <f>AC8290/AA8291</f>
        <v>83.89944089999986</v>
      </c>
      <c r="AD8291" s="94">
        <f t="shared" ref="AD8291" si="5736">AC8291*Z8291</f>
        <v>184578.76997999969</v>
      </c>
      <c r="AE8291" s="190"/>
      <c r="AF8291" s="191"/>
      <c r="AG8291" s="191"/>
      <c r="AH8291" s="191"/>
      <c r="AI8291" s="186"/>
      <c r="AK8291" s="171"/>
    </row>
    <row r="8292" spans="1:41" s="102" customFormat="1" ht="19.899999999999999" customHeight="1" x14ac:dyDescent="0.25">
      <c r="A8292" s="45"/>
      <c r="B8292" s="59"/>
      <c r="C8292" s="137"/>
      <c r="D8292" s="59"/>
      <c r="E8292" s="116"/>
      <c r="F8292" s="120"/>
      <c r="G8292" s="120"/>
      <c r="H8292" s="120"/>
      <c r="I8292" s="60"/>
      <c r="J8292" s="116"/>
      <c r="K8292" s="213"/>
      <c r="L8292" s="120"/>
      <c r="M8292" s="120"/>
      <c r="N8292" s="167"/>
      <c r="O8292" s="120"/>
      <c r="P8292" s="120"/>
      <c r="Q8292" s="120"/>
      <c r="R8292" s="120"/>
      <c r="S8292" s="120"/>
      <c r="T8292" s="221"/>
      <c r="U8292" s="89"/>
      <c r="V8292" s="61"/>
      <c r="W8292" s="92" t="s">
        <v>174</v>
      </c>
      <c r="X8292" s="93" t="s">
        <v>29</v>
      </c>
      <c r="Y8292" s="93" t="s">
        <v>93</v>
      </c>
      <c r="Z8292" s="134">
        <f>VLOOKUP(W8292,Sheet2!$B:$D,3,FALSE)</f>
        <v>80</v>
      </c>
      <c r="AA8292" s="93">
        <f>4*2</f>
        <v>8</v>
      </c>
      <c r="AB8292" s="93">
        <f>AD8292/AC8290</f>
        <v>10</v>
      </c>
      <c r="AC8292" s="93">
        <f>AC8290/AA8292</f>
        <v>5.2966818749999902</v>
      </c>
      <c r="AD8292" s="94">
        <f>AC8292*Z8292</f>
        <v>423.73454999999922</v>
      </c>
      <c r="AE8292" s="190"/>
      <c r="AF8292" s="191"/>
      <c r="AG8292" s="191"/>
      <c r="AH8292" s="191"/>
      <c r="AI8292" s="186"/>
      <c r="AK8292" s="171"/>
    </row>
    <row r="8293" spans="1:41" s="102" customFormat="1" ht="19.899999999999999" customHeight="1" x14ac:dyDescent="0.25">
      <c r="A8293" s="45"/>
      <c r="B8293" s="59"/>
      <c r="C8293" s="137"/>
      <c r="D8293" s="59"/>
      <c r="E8293" s="116"/>
      <c r="F8293" s="120"/>
      <c r="G8293" s="120"/>
      <c r="H8293" s="120"/>
      <c r="I8293" s="60"/>
      <c r="J8293" s="116"/>
      <c r="K8293" s="213"/>
      <c r="L8293" s="120"/>
      <c r="M8293" s="120"/>
      <c r="N8293" s="167"/>
      <c r="O8293" s="120"/>
      <c r="P8293" s="120"/>
      <c r="Q8293" s="120"/>
      <c r="R8293" s="120"/>
      <c r="S8293" s="120"/>
      <c r="T8293" s="221"/>
      <c r="U8293" s="89"/>
      <c r="V8293" s="61"/>
      <c r="W8293" s="92" t="s">
        <v>65</v>
      </c>
      <c r="X8293" s="93" t="s">
        <v>30</v>
      </c>
      <c r="Y8293" s="93" t="s">
        <v>1011</v>
      </c>
      <c r="Z8293" s="134">
        <f>VLOOKUP(W8293,Sheet2!$B:$D,3,FALSE)</f>
        <v>1.76</v>
      </c>
      <c r="AA8293" s="93">
        <f>AA8292/15</f>
        <v>0.53333333333333333</v>
      </c>
      <c r="AB8293" s="93">
        <f>AD8293/AC8290</f>
        <v>3.3000000000000003</v>
      </c>
      <c r="AC8293" s="93">
        <f>AC8290/AA8293</f>
        <v>79.450228124999853</v>
      </c>
      <c r="AD8293" s="94">
        <f t="shared" ref="AD8293" si="5737">AC8293*Z8293</f>
        <v>139.83240149999975</v>
      </c>
      <c r="AE8293" s="190"/>
      <c r="AF8293" s="191"/>
      <c r="AG8293" s="191"/>
      <c r="AH8293" s="191"/>
      <c r="AI8293" s="186"/>
      <c r="AK8293" s="171"/>
    </row>
    <row r="8294" spans="1:41" s="102" customFormat="1" ht="19.899999999999999" customHeight="1" x14ac:dyDescent="0.25">
      <c r="A8294" s="45"/>
      <c r="B8294" s="59"/>
      <c r="C8294" s="137"/>
      <c r="D8294" s="59"/>
      <c r="E8294" s="116"/>
      <c r="F8294" s="120"/>
      <c r="G8294" s="120"/>
      <c r="H8294" s="120"/>
      <c r="I8294" s="60"/>
      <c r="J8294" s="116"/>
      <c r="K8294" s="213"/>
      <c r="L8294" s="120"/>
      <c r="M8294" s="120"/>
      <c r="N8294" s="167"/>
      <c r="O8294" s="120"/>
      <c r="P8294" s="120"/>
      <c r="Q8294" s="120"/>
      <c r="R8294" s="120"/>
      <c r="S8294" s="120"/>
      <c r="T8294" s="221"/>
      <c r="U8294" s="89"/>
      <c r="V8294" s="61"/>
      <c r="W8294" s="92" t="s">
        <v>112</v>
      </c>
      <c r="X8294" s="93" t="s">
        <v>31</v>
      </c>
      <c r="Y8294" s="93" t="s">
        <v>93</v>
      </c>
      <c r="Z8294" s="134">
        <f>VLOOKUP(W8294,Sheet2!$B:$D,3,FALSE)</f>
        <v>13</v>
      </c>
      <c r="AA8294" s="93">
        <f>AA8292/2</f>
        <v>4</v>
      </c>
      <c r="AB8294" s="93">
        <f>AD8294/AC8290</f>
        <v>3.25</v>
      </c>
      <c r="AC8294" s="93">
        <f>AC8290/AA8294</f>
        <v>10.59336374999998</v>
      </c>
      <c r="AD8294" s="94">
        <f>AC8294*Z8294</f>
        <v>137.71372874999975</v>
      </c>
      <c r="AE8294" s="190"/>
      <c r="AF8294" s="191"/>
      <c r="AG8294" s="191"/>
      <c r="AH8294" s="191"/>
      <c r="AI8294" s="186"/>
      <c r="AK8294" s="171"/>
    </row>
    <row r="8295" spans="1:41" ht="20.100000000000001" customHeight="1" x14ac:dyDescent="0.25">
      <c r="A8295" s="277" t="s">
        <v>703</v>
      </c>
      <c r="B8295" s="278"/>
      <c r="C8295" s="64" t="s">
        <v>766</v>
      </c>
      <c r="D8295" s="46" t="s">
        <v>97</v>
      </c>
      <c r="E8295" s="114">
        <v>37.109047173913041</v>
      </c>
      <c r="F8295" s="44">
        <v>5320</v>
      </c>
      <c r="G8295" s="44">
        <f t="shared" si="5545"/>
        <v>197420.13096521737</v>
      </c>
      <c r="H8295" s="44">
        <f t="shared" si="5546"/>
        <v>4480.832080000001</v>
      </c>
      <c r="I8295" s="43">
        <f t="shared" si="5547"/>
        <v>166279.40903510293</v>
      </c>
      <c r="J8295" s="112">
        <f t="shared" si="5548"/>
        <v>37.109047173913041</v>
      </c>
      <c r="K8295" s="211">
        <f t="shared" si="5549"/>
        <v>37.109047173913041</v>
      </c>
      <c r="L8295" s="44"/>
      <c r="M8295" s="44">
        <f t="shared" si="5550"/>
        <v>37.109047173913041</v>
      </c>
      <c r="N8295" s="173">
        <f t="shared" si="5551"/>
        <v>1</v>
      </c>
      <c r="O8295" s="44">
        <f t="shared" si="5552"/>
        <v>5320</v>
      </c>
      <c r="P8295" s="44">
        <f t="shared" si="5553"/>
        <v>197420.13096521737</v>
      </c>
      <c r="Q8295" s="44">
        <f t="shared" si="5554"/>
        <v>4480.832080000001</v>
      </c>
      <c r="R8295" s="44">
        <f t="shared" si="5555"/>
        <v>166279.40903510293</v>
      </c>
      <c r="S8295" s="123"/>
      <c r="T8295" s="219">
        <f t="shared" si="5556"/>
        <v>166279.40903510293</v>
      </c>
      <c r="U8295" s="87"/>
      <c r="V8295" s="47"/>
      <c r="W8295" s="48"/>
      <c r="X8295" s="48"/>
      <c r="Y8295" s="48"/>
      <c r="Z8295" s="135"/>
      <c r="AA8295" s="49"/>
      <c r="AB8295" s="50">
        <f t="shared" si="5557"/>
        <v>4480.832080000001</v>
      </c>
      <c r="AC8295" s="42">
        <f t="shared" si="5558"/>
        <v>37.109047173913041</v>
      </c>
      <c r="AD8295" s="90">
        <f>AD8296+AD8306</f>
        <v>166279.40903510293</v>
      </c>
      <c r="AE8295" s="188">
        <f t="shared" ref="AE8295:AH8295" si="5738">AE8296+AE8306</f>
        <v>0</v>
      </c>
      <c r="AF8295" s="189">
        <f t="shared" si="5738"/>
        <v>0</v>
      </c>
      <c r="AG8295" s="189">
        <f t="shared" si="5738"/>
        <v>0</v>
      </c>
      <c r="AH8295" s="189">
        <f t="shared" si="5738"/>
        <v>0</v>
      </c>
      <c r="AI8295" s="161">
        <f t="shared" ref="AI8295" si="5739">SUM(AE8295:AH8295)</f>
        <v>0</v>
      </c>
      <c r="AK8295" s="169">
        <v>5</v>
      </c>
      <c r="AO8295" s="19" t="s">
        <v>63</v>
      </c>
    </row>
    <row r="8296" spans="1:41" s="103" customFormat="1" ht="19.899999999999999" customHeight="1" x14ac:dyDescent="0.25">
      <c r="A8296" s="51"/>
      <c r="B8296" s="52"/>
      <c r="C8296" s="165"/>
      <c r="D8296" s="52"/>
      <c r="E8296" s="115"/>
      <c r="F8296" s="58"/>
      <c r="G8296" s="58"/>
      <c r="H8296" s="58"/>
      <c r="I8296" s="55"/>
      <c r="J8296" s="113">
        <f>J8295</f>
        <v>37.109047173913041</v>
      </c>
      <c r="K8296" s="212">
        <f>K8295</f>
        <v>37.109047173913041</v>
      </c>
      <c r="L8296" s="58"/>
      <c r="M8296" s="58">
        <f>K8296-L8296</f>
        <v>37.109047173913041</v>
      </c>
      <c r="N8296" s="166"/>
      <c r="O8296" s="58"/>
      <c r="P8296" s="58"/>
      <c r="Q8296" s="58"/>
      <c r="R8296" s="58"/>
      <c r="S8296" s="58"/>
      <c r="T8296" s="220"/>
      <c r="U8296" s="88"/>
      <c r="V8296" s="56"/>
      <c r="W8296" s="57" t="s">
        <v>1132</v>
      </c>
      <c r="X8296" s="53"/>
      <c r="Y8296" s="91" t="s">
        <v>68</v>
      </c>
      <c r="Z8296" s="136">
        <f>AD8296/AC8296</f>
        <v>108.28207999999999</v>
      </c>
      <c r="AA8296" s="58"/>
      <c r="AB8296" s="53">
        <f>AD8296/AC8296</f>
        <v>108.28207999999999</v>
      </c>
      <c r="AC8296" s="53">
        <f>M8296+$AE$10</f>
        <v>37.109047173913041</v>
      </c>
      <c r="AD8296" s="54">
        <f>SUM(AD8297:AD8305)</f>
        <v>4018.2448148094254</v>
      </c>
      <c r="AE8296" s="184">
        <f>SUMIFS($AD$37:$AD$12971,$V$37:$V$12971,$V8296,$X$37:$X$12971,AE$13)</f>
        <v>0</v>
      </c>
      <c r="AF8296" s="185">
        <f>SUMIFS($AD$37:$AD$12971,$V$37:$V$12971,$V8296,$X$37:$X$12971,AF$13)</f>
        <v>0</v>
      </c>
      <c r="AG8296" s="185">
        <f>SUMIFS($AD$37:$AD$12971,$V$37:$V$12971,$V8296,$X$37:$X$12971,AG$13)</f>
        <v>0</v>
      </c>
      <c r="AH8296" s="187">
        <f>SUMIFS($AD$37:$AD$12971,$V$37:$V$12971,$V8296,$X$37:$X$12971,AH$13)</f>
        <v>0</v>
      </c>
      <c r="AI8296" s="161">
        <f t="shared" ref="AI8296" si="5740">SUM(AE8296:AH8296)</f>
        <v>0</v>
      </c>
      <c r="AK8296" s="172"/>
    </row>
    <row r="8297" spans="1:41" s="102" customFormat="1" ht="19.899999999999999" customHeight="1" x14ac:dyDescent="0.25">
      <c r="A8297" s="45"/>
      <c r="B8297" s="59"/>
      <c r="C8297" s="137"/>
      <c r="D8297" s="59"/>
      <c r="E8297" s="116"/>
      <c r="F8297" s="120"/>
      <c r="G8297" s="120"/>
      <c r="H8297" s="120"/>
      <c r="I8297" s="60"/>
      <c r="J8297" s="116"/>
      <c r="K8297" s="213"/>
      <c r="L8297" s="120"/>
      <c r="M8297" s="120"/>
      <c r="N8297" s="167"/>
      <c r="O8297" s="120"/>
      <c r="P8297" s="120"/>
      <c r="Q8297" s="120"/>
      <c r="R8297" s="120"/>
      <c r="S8297" s="120"/>
      <c r="T8297" s="221"/>
      <c r="U8297" s="89"/>
      <c r="V8297" s="61"/>
      <c r="W8297" s="92" t="s">
        <v>129</v>
      </c>
      <c r="X8297" s="93" t="s">
        <v>29</v>
      </c>
      <c r="Y8297" s="93" t="s">
        <v>93</v>
      </c>
      <c r="Z8297" s="134">
        <f>VLOOKUP(W8297,Sheet2!$B:$D,3,FALSE)</f>
        <v>56</v>
      </c>
      <c r="AA8297" s="93">
        <f>100/(3.4*3)</f>
        <v>9.8039215686274517</v>
      </c>
      <c r="AB8297" s="93">
        <f t="shared" ref="AB8297" si="5741">AD8297/AC8296</f>
        <v>5.7119999999999997</v>
      </c>
      <c r="AC8297" s="93">
        <f>AC8296/AA8297</f>
        <v>3.78512281173913</v>
      </c>
      <c r="AD8297" s="94">
        <f t="shared" ref="AD8297:AD8298" si="5742">AC8297*Z8297</f>
        <v>211.96687745739129</v>
      </c>
      <c r="AE8297" s="190"/>
      <c r="AF8297" s="191"/>
      <c r="AG8297" s="191"/>
      <c r="AH8297" s="191"/>
      <c r="AI8297" s="186"/>
      <c r="AK8297" s="171"/>
    </row>
    <row r="8298" spans="1:41" s="102" customFormat="1" ht="19.899999999999999" customHeight="1" x14ac:dyDescent="0.25">
      <c r="A8298" s="45"/>
      <c r="B8298" s="59"/>
      <c r="C8298" s="137"/>
      <c r="D8298" s="59"/>
      <c r="E8298" s="116"/>
      <c r="F8298" s="120"/>
      <c r="G8298" s="120"/>
      <c r="H8298" s="120"/>
      <c r="I8298" s="60"/>
      <c r="J8298" s="116"/>
      <c r="K8298" s="213"/>
      <c r="L8298" s="120"/>
      <c r="M8298" s="120"/>
      <c r="N8298" s="167"/>
      <c r="O8298" s="120"/>
      <c r="P8298" s="120"/>
      <c r="Q8298" s="120"/>
      <c r="R8298" s="120"/>
      <c r="S8298" s="120"/>
      <c r="T8298" s="221"/>
      <c r="U8298" s="89"/>
      <c r="V8298" s="61"/>
      <c r="W8298" s="92" t="s">
        <v>65</v>
      </c>
      <c r="X8298" s="93" t="s">
        <v>30</v>
      </c>
      <c r="Y8298" s="93" t="s">
        <v>1011</v>
      </c>
      <c r="Z8298" s="134">
        <f>VLOOKUP(W8298,Sheet2!$B:$D,3,FALSE)</f>
        <v>1.76</v>
      </c>
      <c r="AA8298" s="93">
        <f>AA8297/14</f>
        <v>0.70028011204481799</v>
      </c>
      <c r="AB8298" s="93">
        <f>AD8298/AC8296</f>
        <v>2.51328</v>
      </c>
      <c r="AC8298" s="93">
        <f>AC8296/AA8298</f>
        <v>52.991719364347816</v>
      </c>
      <c r="AD8298" s="94">
        <f t="shared" si="5742"/>
        <v>93.265426081252158</v>
      </c>
      <c r="AE8298" s="190"/>
      <c r="AF8298" s="191"/>
      <c r="AG8298" s="191"/>
      <c r="AH8298" s="191"/>
      <c r="AI8298" s="186"/>
      <c r="AK8298" s="171"/>
    </row>
    <row r="8299" spans="1:41" s="102" customFormat="1" ht="19.899999999999999" customHeight="1" x14ac:dyDescent="0.25">
      <c r="A8299" s="45"/>
      <c r="B8299" s="59"/>
      <c r="C8299" s="137"/>
      <c r="D8299" s="59"/>
      <c r="E8299" s="116"/>
      <c r="F8299" s="120"/>
      <c r="G8299" s="120"/>
      <c r="H8299" s="120"/>
      <c r="I8299" s="60"/>
      <c r="J8299" s="116"/>
      <c r="K8299" s="213"/>
      <c r="L8299" s="120"/>
      <c r="M8299" s="120"/>
      <c r="N8299" s="167"/>
      <c r="O8299" s="120"/>
      <c r="P8299" s="120"/>
      <c r="Q8299" s="120"/>
      <c r="R8299" s="120"/>
      <c r="S8299" s="120"/>
      <c r="T8299" s="221"/>
      <c r="U8299" s="89"/>
      <c r="V8299" s="61"/>
      <c r="W8299" s="92" t="s">
        <v>161</v>
      </c>
      <c r="X8299" s="93" t="s">
        <v>29</v>
      </c>
      <c r="Y8299" s="93" t="s">
        <v>93</v>
      </c>
      <c r="Z8299" s="134">
        <f>VLOOKUP(W8299,Sheet2!$B:$D,3,FALSE)</f>
        <v>48</v>
      </c>
      <c r="AA8299" s="93">
        <f>(16*0.85*1.5)/(3.4*3)</f>
        <v>2</v>
      </c>
      <c r="AB8299" s="93">
        <f>AD8299/AC8296</f>
        <v>24</v>
      </c>
      <c r="AC8299" s="93">
        <f>AC8296/AA8299</f>
        <v>18.55452358695652</v>
      </c>
      <c r="AD8299" s="94">
        <f>AC8299*Z8299</f>
        <v>890.61713217391298</v>
      </c>
      <c r="AE8299" s="190"/>
      <c r="AF8299" s="191"/>
      <c r="AG8299" s="191"/>
      <c r="AH8299" s="191"/>
      <c r="AI8299" s="186"/>
      <c r="AK8299" s="171"/>
    </row>
    <row r="8300" spans="1:41" s="102" customFormat="1" ht="19.899999999999999" customHeight="1" x14ac:dyDescent="0.25">
      <c r="A8300" s="45"/>
      <c r="B8300" s="59"/>
      <c r="C8300" s="137"/>
      <c r="D8300" s="59"/>
      <c r="E8300" s="116"/>
      <c r="F8300" s="120"/>
      <c r="G8300" s="120"/>
      <c r="H8300" s="120"/>
      <c r="I8300" s="60"/>
      <c r="J8300" s="116"/>
      <c r="K8300" s="213"/>
      <c r="L8300" s="120"/>
      <c r="M8300" s="120"/>
      <c r="N8300" s="167"/>
      <c r="O8300" s="120"/>
      <c r="P8300" s="120"/>
      <c r="Q8300" s="120"/>
      <c r="R8300" s="120"/>
      <c r="S8300" s="120"/>
      <c r="T8300" s="221"/>
      <c r="U8300" s="89"/>
      <c r="V8300" s="61"/>
      <c r="W8300" s="92" t="s">
        <v>65</v>
      </c>
      <c r="X8300" s="93" t="s">
        <v>30</v>
      </c>
      <c r="Y8300" s="93" t="s">
        <v>1011</v>
      </c>
      <c r="Z8300" s="134">
        <f>VLOOKUP(W8300,Sheet2!$B:$D,3,FALSE)</f>
        <v>1.76</v>
      </c>
      <c r="AA8300" s="93">
        <f>AA8299/10</f>
        <v>0.2</v>
      </c>
      <c r="AB8300" s="93">
        <f>AD8300/AC8296</f>
        <v>8.7999999999999989</v>
      </c>
      <c r="AC8300" s="93">
        <f>AC8296/AA8300</f>
        <v>185.5452358695652</v>
      </c>
      <c r="AD8300" s="94">
        <f>AC8300*Z8300</f>
        <v>326.55961513043474</v>
      </c>
      <c r="AE8300" s="190"/>
      <c r="AF8300" s="191"/>
      <c r="AG8300" s="191"/>
      <c r="AH8300" s="191"/>
      <c r="AI8300" s="186"/>
      <c r="AK8300" s="171"/>
    </row>
    <row r="8301" spans="1:41" s="102" customFormat="1" ht="19.899999999999999" customHeight="1" x14ac:dyDescent="0.25">
      <c r="A8301" s="45"/>
      <c r="B8301" s="59"/>
      <c r="C8301" s="137"/>
      <c r="D8301" s="59"/>
      <c r="E8301" s="116"/>
      <c r="F8301" s="120"/>
      <c r="G8301" s="120"/>
      <c r="H8301" s="120"/>
      <c r="I8301" s="60"/>
      <c r="J8301" s="116"/>
      <c r="K8301" s="213"/>
      <c r="L8301" s="120"/>
      <c r="M8301" s="120"/>
      <c r="N8301" s="167"/>
      <c r="O8301" s="120"/>
      <c r="P8301" s="120"/>
      <c r="Q8301" s="120"/>
      <c r="R8301" s="120"/>
      <c r="S8301" s="120"/>
      <c r="T8301" s="221"/>
      <c r="U8301" s="89"/>
      <c r="V8301" s="61"/>
      <c r="W8301" s="92" t="s">
        <v>1030</v>
      </c>
      <c r="X8301" s="93" t="s">
        <v>29</v>
      </c>
      <c r="Y8301" s="93" t="s">
        <v>93</v>
      </c>
      <c r="Z8301" s="134">
        <f>VLOOKUP(W8301,Sheet2!$B:$D,3,FALSE)</f>
        <v>23</v>
      </c>
      <c r="AA8301" s="93">
        <v>50</v>
      </c>
      <c r="AB8301" s="93">
        <f>AD8301/AC8296</f>
        <v>0.46</v>
      </c>
      <c r="AC8301" s="93">
        <f>AC8296/AA8301</f>
        <v>0.7421809434782608</v>
      </c>
      <c r="AD8301" s="94">
        <f t="shared" ref="AD8301:AD8305" si="5743">AC8301*Z8301</f>
        <v>17.0701617</v>
      </c>
      <c r="AE8301" s="190"/>
      <c r="AF8301" s="191"/>
      <c r="AG8301" s="191"/>
      <c r="AH8301" s="191"/>
      <c r="AI8301" s="186"/>
      <c r="AK8301" s="171"/>
    </row>
    <row r="8302" spans="1:41" s="102" customFormat="1" ht="19.899999999999999" customHeight="1" x14ac:dyDescent="0.25">
      <c r="A8302" s="45"/>
      <c r="B8302" s="59"/>
      <c r="C8302" s="137"/>
      <c r="D8302" s="59"/>
      <c r="E8302" s="116"/>
      <c r="F8302" s="120"/>
      <c r="G8302" s="120"/>
      <c r="H8302" s="120"/>
      <c r="I8302" s="60"/>
      <c r="J8302" s="116"/>
      <c r="K8302" s="213"/>
      <c r="L8302" s="120"/>
      <c r="M8302" s="120"/>
      <c r="N8302" s="167"/>
      <c r="O8302" s="120"/>
      <c r="P8302" s="120"/>
      <c r="Q8302" s="120"/>
      <c r="R8302" s="120"/>
      <c r="S8302" s="120"/>
      <c r="T8302" s="221"/>
      <c r="U8302" s="89"/>
      <c r="V8302" s="61"/>
      <c r="W8302" s="92" t="s">
        <v>65</v>
      </c>
      <c r="X8302" s="93" t="s">
        <v>30</v>
      </c>
      <c r="Y8302" s="93" t="s">
        <v>1011</v>
      </c>
      <c r="Z8302" s="134">
        <f>VLOOKUP(W8302,Sheet2!$B:$D,3,FALSE)</f>
        <v>1.76</v>
      </c>
      <c r="AA8302" s="93">
        <f>AA8301/3</f>
        <v>16.666666666666668</v>
      </c>
      <c r="AB8302" s="93">
        <f>AD8302/AC8296</f>
        <v>0.10559999999999999</v>
      </c>
      <c r="AC8302" s="93">
        <f>AC8296/AA8302</f>
        <v>2.2265428304347821</v>
      </c>
      <c r="AD8302" s="94">
        <f t="shared" si="5743"/>
        <v>3.9187153815652165</v>
      </c>
      <c r="AE8302" s="190"/>
      <c r="AF8302" s="191"/>
      <c r="AG8302" s="191"/>
      <c r="AH8302" s="191"/>
      <c r="AI8302" s="186"/>
      <c r="AK8302" s="171"/>
    </row>
    <row r="8303" spans="1:41" s="102" customFormat="1" ht="19.899999999999999" customHeight="1" x14ac:dyDescent="0.25">
      <c r="A8303" s="45"/>
      <c r="B8303" s="59"/>
      <c r="C8303" s="137"/>
      <c r="D8303" s="59"/>
      <c r="E8303" s="116"/>
      <c r="F8303" s="120"/>
      <c r="G8303" s="120"/>
      <c r="H8303" s="120"/>
      <c r="I8303" s="60"/>
      <c r="J8303" s="116"/>
      <c r="K8303" s="213"/>
      <c r="L8303" s="120"/>
      <c r="M8303" s="120"/>
      <c r="N8303" s="167"/>
      <c r="O8303" s="120"/>
      <c r="P8303" s="120"/>
      <c r="Q8303" s="120"/>
      <c r="R8303" s="120"/>
      <c r="S8303" s="120"/>
      <c r="T8303" s="221"/>
      <c r="U8303" s="89"/>
      <c r="V8303" s="61"/>
      <c r="W8303" s="92" t="s">
        <v>148</v>
      </c>
      <c r="X8303" s="93" t="s">
        <v>29</v>
      </c>
      <c r="Y8303" s="93" t="s">
        <v>93</v>
      </c>
      <c r="Z8303" s="134">
        <f>VLOOKUP(W8303,Sheet2!$B:$D,3,FALSE)</f>
        <v>48</v>
      </c>
      <c r="AA8303" s="93">
        <f>AA8297</f>
        <v>9.8039215686274517</v>
      </c>
      <c r="AB8303" s="93">
        <f>AD8303/AC8296</f>
        <v>4.8959999999999999</v>
      </c>
      <c r="AC8303" s="93">
        <f>AC8296/AA8303</f>
        <v>3.78512281173913</v>
      </c>
      <c r="AD8303" s="94">
        <f t="shared" si="5743"/>
        <v>181.68589496347823</v>
      </c>
      <c r="AE8303" s="190"/>
      <c r="AF8303" s="191"/>
      <c r="AG8303" s="191"/>
      <c r="AH8303" s="191"/>
      <c r="AI8303" s="186"/>
      <c r="AK8303" s="171"/>
    </row>
    <row r="8304" spans="1:41" s="102" customFormat="1" ht="19.899999999999999" customHeight="1" x14ac:dyDescent="0.25">
      <c r="A8304" s="45"/>
      <c r="B8304" s="59"/>
      <c r="C8304" s="137"/>
      <c r="D8304" s="59"/>
      <c r="E8304" s="116"/>
      <c r="F8304" s="120"/>
      <c r="G8304" s="120"/>
      <c r="H8304" s="120"/>
      <c r="I8304" s="60"/>
      <c r="J8304" s="116"/>
      <c r="K8304" s="213"/>
      <c r="L8304" s="120"/>
      <c r="M8304" s="120"/>
      <c r="N8304" s="167"/>
      <c r="O8304" s="120"/>
      <c r="P8304" s="120"/>
      <c r="Q8304" s="120"/>
      <c r="R8304" s="120"/>
      <c r="S8304" s="120"/>
      <c r="T8304" s="221"/>
      <c r="U8304" s="89"/>
      <c r="V8304" s="61"/>
      <c r="W8304" s="92" t="s">
        <v>65</v>
      </c>
      <c r="X8304" s="93" t="s">
        <v>30</v>
      </c>
      <c r="Y8304" s="93" t="s">
        <v>1011</v>
      </c>
      <c r="Z8304" s="134">
        <f>VLOOKUP(W8304,Sheet2!$B:$D,3,FALSE)</f>
        <v>1.76</v>
      </c>
      <c r="AA8304" s="93">
        <f>AA8303/10</f>
        <v>0.98039215686274517</v>
      </c>
      <c r="AB8304" s="93">
        <f>AD8304/AC8296</f>
        <v>1.7951999999999999</v>
      </c>
      <c r="AC8304" s="93">
        <f>AC8296/AA8304</f>
        <v>37.851228117391301</v>
      </c>
      <c r="AD8304" s="94">
        <f t="shared" si="5743"/>
        <v>66.618161486608685</v>
      </c>
      <c r="AE8304" s="190"/>
      <c r="AF8304" s="191"/>
      <c r="AG8304" s="191"/>
      <c r="AH8304" s="191"/>
      <c r="AI8304" s="186"/>
      <c r="AK8304" s="171"/>
    </row>
    <row r="8305" spans="1:41" s="102" customFormat="1" ht="19.899999999999999" customHeight="1" x14ac:dyDescent="0.25">
      <c r="A8305" s="45"/>
      <c r="B8305" s="59"/>
      <c r="C8305" s="137"/>
      <c r="D8305" s="59"/>
      <c r="E8305" s="116"/>
      <c r="F8305" s="120"/>
      <c r="G8305" s="120"/>
      <c r="H8305" s="120"/>
      <c r="I8305" s="60"/>
      <c r="J8305" s="116"/>
      <c r="K8305" s="213"/>
      <c r="L8305" s="120"/>
      <c r="M8305" s="120"/>
      <c r="N8305" s="167"/>
      <c r="O8305" s="120"/>
      <c r="P8305" s="120"/>
      <c r="Q8305" s="120"/>
      <c r="R8305" s="120"/>
      <c r="S8305" s="120"/>
      <c r="T8305" s="221"/>
      <c r="U8305" s="89"/>
      <c r="V8305" s="61"/>
      <c r="W8305" s="92" t="s">
        <v>1049</v>
      </c>
      <c r="X8305" s="93" t="s">
        <v>30</v>
      </c>
      <c r="Y8305" s="93" t="s">
        <v>68</v>
      </c>
      <c r="Z8305" s="134">
        <f>VLOOKUP(W8305,Sheet2!$B:$D,3,FALSE)</f>
        <v>60</v>
      </c>
      <c r="AA8305" s="93">
        <v>1</v>
      </c>
      <c r="AB8305" s="93">
        <f>AD8305/AC8296</f>
        <v>60</v>
      </c>
      <c r="AC8305" s="93">
        <f>AC8296/AA8305</f>
        <v>37.109047173913041</v>
      </c>
      <c r="AD8305" s="94">
        <f t="shared" si="5743"/>
        <v>2226.5428304347824</v>
      </c>
      <c r="AE8305" s="190"/>
      <c r="AF8305" s="191"/>
      <c r="AG8305" s="191"/>
      <c r="AH8305" s="191"/>
      <c r="AI8305" s="186"/>
      <c r="AK8305" s="171"/>
    </row>
    <row r="8306" spans="1:41" s="103" customFormat="1" ht="19.899999999999999" customHeight="1" x14ac:dyDescent="0.25">
      <c r="A8306" s="51"/>
      <c r="B8306" s="52"/>
      <c r="C8306" s="165"/>
      <c r="D8306" s="52"/>
      <c r="E8306" s="115"/>
      <c r="F8306" s="58"/>
      <c r="G8306" s="58"/>
      <c r="H8306" s="58"/>
      <c r="I8306" s="55"/>
      <c r="J8306" s="113">
        <f>J8295</f>
        <v>37.109047173913041</v>
      </c>
      <c r="K8306" s="212">
        <f>K8295</f>
        <v>37.109047173913041</v>
      </c>
      <c r="L8306" s="58"/>
      <c r="M8306" s="58">
        <f>K8306-L8306</f>
        <v>37.109047173913041</v>
      </c>
      <c r="N8306" s="166"/>
      <c r="O8306" s="58"/>
      <c r="P8306" s="58"/>
      <c r="Q8306" s="58"/>
      <c r="R8306" s="58"/>
      <c r="S8306" s="58"/>
      <c r="T8306" s="220"/>
      <c r="U8306" s="88"/>
      <c r="V8306" s="56"/>
      <c r="W8306" s="57" t="s">
        <v>1129</v>
      </c>
      <c r="X8306" s="53"/>
      <c r="Y8306" s="91" t="s">
        <v>68</v>
      </c>
      <c r="Z8306" s="136">
        <f>AD8306/AC8306</f>
        <v>4372.5500000000011</v>
      </c>
      <c r="AA8306" s="58"/>
      <c r="AB8306" s="53">
        <f>AD8306/AC8306</f>
        <v>4372.5500000000011</v>
      </c>
      <c r="AC8306" s="53">
        <f>M8306+$AE$10</f>
        <v>37.109047173913041</v>
      </c>
      <c r="AD8306" s="54">
        <f>SUM(AD8307:AD8310)</f>
        <v>162261.16422029352</v>
      </c>
      <c r="AE8306" s="184">
        <f>SUMIFS($AD$37:$AD$12971,$V$37:$V$12971,$V8306,$X$37:$X$12971,AE$13)</f>
        <v>0</v>
      </c>
      <c r="AF8306" s="185">
        <f>SUMIFS($AD$37:$AD$12971,$V$37:$V$12971,$V8306,$X$37:$X$12971,AF$13)</f>
        <v>0</v>
      </c>
      <c r="AG8306" s="185">
        <f>SUMIFS($AD$37:$AD$12971,$V$37:$V$12971,$V8306,$X$37:$X$12971,AG$13)</f>
        <v>0</v>
      </c>
      <c r="AH8306" s="187">
        <f>SUMIFS($AD$37:$AD$12971,$V$37:$V$12971,$V8306,$X$37:$X$12971,AH$13)</f>
        <v>0</v>
      </c>
      <c r="AI8306" s="161">
        <f t="shared" ref="AI8306" si="5744">SUM(AE8306:AH8306)</f>
        <v>0</v>
      </c>
      <c r="AK8306" s="172"/>
    </row>
    <row r="8307" spans="1:41" s="102" customFormat="1" ht="19.899999999999999" customHeight="1" x14ac:dyDescent="0.25">
      <c r="A8307" s="45"/>
      <c r="B8307" s="59"/>
      <c r="C8307" s="137"/>
      <c r="D8307" s="59"/>
      <c r="E8307" s="116"/>
      <c r="F8307" s="120"/>
      <c r="G8307" s="120"/>
      <c r="H8307" s="120"/>
      <c r="I8307" s="60"/>
      <c r="J8307" s="116"/>
      <c r="K8307" s="213"/>
      <c r="L8307" s="120"/>
      <c r="M8307" s="120"/>
      <c r="N8307" s="167"/>
      <c r="O8307" s="120"/>
      <c r="P8307" s="120"/>
      <c r="Q8307" s="120"/>
      <c r="R8307" s="120"/>
      <c r="S8307" s="120"/>
      <c r="T8307" s="221"/>
      <c r="U8307" s="89"/>
      <c r="V8307" s="61"/>
      <c r="W8307" s="92" t="s">
        <v>1105</v>
      </c>
      <c r="X8307" s="93" t="s">
        <v>30</v>
      </c>
      <c r="Y8307" s="93" t="s">
        <v>66</v>
      </c>
      <c r="Z8307" s="134">
        <f>VLOOKUP(W8307,Sheet2!$B:$D,3,FALSE)</f>
        <v>2200</v>
      </c>
      <c r="AA8307" s="93">
        <f>1/((2.6*1.3)-(2*0.7))</f>
        <v>0.50505050505050497</v>
      </c>
      <c r="AB8307" s="93">
        <f>AD8307/AC8306</f>
        <v>4356.0000000000009</v>
      </c>
      <c r="AC8307" s="93">
        <f>AC8306/AA8307</f>
        <v>73.475913404347835</v>
      </c>
      <c r="AD8307" s="94">
        <f t="shared" ref="AD8307" si="5745">AC8307*Z8307</f>
        <v>161647.00948956524</v>
      </c>
      <c r="AE8307" s="190"/>
      <c r="AF8307" s="191"/>
      <c r="AG8307" s="191"/>
      <c r="AH8307" s="191"/>
      <c r="AI8307" s="186"/>
      <c r="AK8307" s="171"/>
    </row>
    <row r="8308" spans="1:41" s="102" customFormat="1" ht="19.899999999999999" customHeight="1" x14ac:dyDescent="0.25">
      <c r="A8308" s="45"/>
      <c r="B8308" s="59"/>
      <c r="C8308" s="137"/>
      <c r="D8308" s="59"/>
      <c r="E8308" s="116"/>
      <c r="F8308" s="120"/>
      <c r="G8308" s="120"/>
      <c r="H8308" s="120"/>
      <c r="I8308" s="60"/>
      <c r="J8308" s="116"/>
      <c r="K8308" s="213"/>
      <c r="L8308" s="120"/>
      <c r="M8308" s="120"/>
      <c r="N8308" s="167"/>
      <c r="O8308" s="120"/>
      <c r="P8308" s="120"/>
      <c r="Q8308" s="120"/>
      <c r="R8308" s="120"/>
      <c r="S8308" s="120"/>
      <c r="T8308" s="221"/>
      <c r="U8308" s="89"/>
      <c r="V8308" s="61"/>
      <c r="W8308" s="92" t="s">
        <v>174</v>
      </c>
      <c r="X8308" s="93" t="s">
        <v>29</v>
      </c>
      <c r="Y8308" s="93" t="s">
        <v>93</v>
      </c>
      <c r="Z8308" s="134">
        <f>VLOOKUP(W8308,Sheet2!$B:$D,3,FALSE)</f>
        <v>80</v>
      </c>
      <c r="AA8308" s="93">
        <f>4*2</f>
        <v>8</v>
      </c>
      <c r="AB8308" s="93">
        <f>AD8308/AC8306</f>
        <v>10</v>
      </c>
      <c r="AC8308" s="93">
        <f>AC8306/AA8308</f>
        <v>4.6386308967391301</v>
      </c>
      <c r="AD8308" s="94">
        <f>AC8308*Z8308</f>
        <v>371.09047173913041</v>
      </c>
      <c r="AE8308" s="190"/>
      <c r="AF8308" s="191"/>
      <c r="AG8308" s="191"/>
      <c r="AH8308" s="191"/>
      <c r="AI8308" s="186"/>
      <c r="AK8308" s="171"/>
    </row>
    <row r="8309" spans="1:41" s="102" customFormat="1" ht="19.899999999999999" customHeight="1" x14ac:dyDescent="0.25">
      <c r="A8309" s="45"/>
      <c r="B8309" s="59"/>
      <c r="C8309" s="137"/>
      <c r="D8309" s="59"/>
      <c r="E8309" s="116"/>
      <c r="F8309" s="120"/>
      <c r="G8309" s="120"/>
      <c r="H8309" s="120"/>
      <c r="I8309" s="60"/>
      <c r="J8309" s="116"/>
      <c r="K8309" s="213"/>
      <c r="L8309" s="120"/>
      <c r="M8309" s="120"/>
      <c r="N8309" s="167"/>
      <c r="O8309" s="120"/>
      <c r="P8309" s="120"/>
      <c r="Q8309" s="120"/>
      <c r="R8309" s="120"/>
      <c r="S8309" s="120"/>
      <c r="T8309" s="221"/>
      <c r="U8309" s="89"/>
      <c r="V8309" s="61"/>
      <c r="W8309" s="92" t="s">
        <v>65</v>
      </c>
      <c r="X8309" s="93" t="s">
        <v>30</v>
      </c>
      <c r="Y8309" s="93" t="s">
        <v>1011</v>
      </c>
      <c r="Z8309" s="134">
        <f>VLOOKUP(W8309,Sheet2!$B:$D,3,FALSE)</f>
        <v>1.76</v>
      </c>
      <c r="AA8309" s="93">
        <f>AA8308/15</f>
        <v>0.53333333333333333</v>
      </c>
      <c r="AB8309" s="93">
        <f>AD8309/AC8306</f>
        <v>3.3000000000000003</v>
      </c>
      <c r="AC8309" s="93">
        <f>AC8306/AA8309</f>
        <v>69.579463451086951</v>
      </c>
      <c r="AD8309" s="94">
        <f t="shared" ref="AD8309" si="5746">AC8309*Z8309</f>
        <v>122.45985567391304</v>
      </c>
      <c r="AE8309" s="190"/>
      <c r="AF8309" s="191"/>
      <c r="AG8309" s="191"/>
      <c r="AH8309" s="191"/>
      <c r="AI8309" s="186"/>
      <c r="AK8309" s="171"/>
    </row>
    <row r="8310" spans="1:41" s="102" customFormat="1" ht="19.899999999999999" customHeight="1" x14ac:dyDescent="0.25">
      <c r="A8310" s="45"/>
      <c r="B8310" s="59"/>
      <c r="C8310" s="137"/>
      <c r="D8310" s="59"/>
      <c r="E8310" s="116"/>
      <c r="F8310" s="120"/>
      <c r="G8310" s="120"/>
      <c r="H8310" s="120"/>
      <c r="I8310" s="60"/>
      <c r="J8310" s="116"/>
      <c r="K8310" s="213"/>
      <c r="L8310" s="120"/>
      <c r="M8310" s="120"/>
      <c r="N8310" s="167"/>
      <c r="O8310" s="120"/>
      <c r="P8310" s="120"/>
      <c r="Q8310" s="120"/>
      <c r="R8310" s="120"/>
      <c r="S8310" s="120"/>
      <c r="T8310" s="221"/>
      <c r="U8310" s="89"/>
      <c r="V8310" s="61"/>
      <c r="W8310" s="92" t="s">
        <v>112</v>
      </c>
      <c r="X8310" s="93" t="s">
        <v>31</v>
      </c>
      <c r="Y8310" s="93" t="s">
        <v>93</v>
      </c>
      <c r="Z8310" s="134">
        <f>VLOOKUP(W8310,Sheet2!$B:$D,3,FALSE)</f>
        <v>13</v>
      </c>
      <c r="AA8310" s="93">
        <f>AA8308/2</f>
        <v>4</v>
      </c>
      <c r="AB8310" s="93">
        <f>AD8310/AC8306</f>
        <v>3.25</v>
      </c>
      <c r="AC8310" s="93">
        <f>AC8306/AA8310</f>
        <v>9.2772617934782602</v>
      </c>
      <c r="AD8310" s="94">
        <f>AC8310*Z8310</f>
        <v>120.60440331521738</v>
      </c>
      <c r="AE8310" s="190"/>
      <c r="AF8310" s="191"/>
      <c r="AG8310" s="191"/>
      <c r="AH8310" s="191"/>
      <c r="AI8310" s="186"/>
      <c r="AK8310" s="171"/>
    </row>
    <row r="8311" spans="1:41" ht="20.100000000000001" customHeight="1" x14ac:dyDescent="0.25">
      <c r="A8311" s="277" t="s">
        <v>703</v>
      </c>
      <c r="B8311" s="278"/>
      <c r="C8311" s="64" t="s">
        <v>768</v>
      </c>
      <c r="D8311" s="46" t="s">
        <v>97</v>
      </c>
      <c r="E8311" s="114">
        <v>56.355280000000022</v>
      </c>
      <c r="F8311" s="44">
        <v>5536</v>
      </c>
      <c r="G8311" s="44">
        <f t="shared" si="5545"/>
        <v>311982.8300800001</v>
      </c>
      <c r="H8311" s="44">
        <f t="shared" si="5546"/>
        <v>4488.7848266666679</v>
      </c>
      <c r="I8311" s="43">
        <f t="shared" si="5547"/>
        <v>252966.72576655162</v>
      </c>
      <c r="J8311" s="112">
        <f t="shared" si="5548"/>
        <v>56.355280000000022</v>
      </c>
      <c r="K8311" s="211">
        <f t="shared" si="5549"/>
        <v>56.355280000000022</v>
      </c>
      <c r="L8311" s="44"/>
      <c r="M8311" s="44">
        <f t="shared" si="5550"/>
        <v>56.355280000000022</v>
      </c>
      <c r="N8311" s="173">
        <f t="shared" si="5551"/>
        <v>1</v>
      </c>
      <c r="O8311" s="44">
        <f t="shared" si="5552"/>
        <v>5536</v>
      </c>
      <c r="P8311" s="44">
        <f t="shared" si="5553"/>
        <v>311982.8300800001</v>
      </c>
      <c r="Q8311" s="44">
        <f t="shared" si="5554"/>
        <v>4488.7848266666679</v>
      </c>
      <c r="R8311" s="44">
        <f t="shared" si="5555"/>
        <v>252966.72576655162</v>
      </c>
      <c r="S8311" s="123"/>
      <c r="T8311" s="219">
        <f t="shared" si="5556"/>
        <v>252966.72576655162</v>
      </c>
      <c r="U8311" s="87"/>
      <c r="V8311" s="47"/>
      <c r="W8311" s="48"/>
      <c r="X8311" s="48"/>
      <c r="Y8311" s="48"/>
      <c r="Z8311" s="135"/>
      <c r="AA8311" s="49"/>
      <c r="AB8311" s="50">
        <f t="shared" si="5557"/>
        <v>4488.7848266666679</v>
      </c>
      <c r="AC8311" s="42">
        <f t="shared" si="5558"/>
        <v>56.355280000000022</v>
      </c>
      <c r="AD8311" s="90">
        <f>AD8312+AD8322</f>
        <v>252966.72576655162</v>
      </c>
      <c r="AE8311" s="188">
        <f t="shared" ref="AE8311:AH8311" si="5747">AE8312+AE8322</f>
        <v>0</v>
      </c>
      <c r="AF8311" s="189">
        <f t="shared" si="5747"/>
        <v>0</v>
      </c>
      <c r="AG8311" s="189">
        <f t="shared" si="5747"/>
        <v>0</v>
      </c>
      <c r="AH8311" s="189">
        <f t="shared" si="5747"/>
        <v>0</v>
      </c>
      <c r="AI8311" s="161">
        <f t="shared" ref="AI8311:AI8327" si="5748">SUM(AE8311:AH8311)</f>
        <v>0</v>
      </c>
      <c r="AK8311" s="169">
        <v>5</v>
      </c>
      <c r="AO8311" s="19" t="s">
        <v>63</v>
      </c>
    </row>
    <row r="8312" spans="1:41" s="103" customFormat="1" ht="19.899999999999999" customHeight="1" x14ac:dyDescent="0.25">
      <c r="A8312" s="51"/>
      <c r="B8312" s="52"/>
      <c r="C8312" s="165"/>
      <c r="D8312" s="52"/>
      <c r="E8312" s="115"/>
      <c r="F8312" s="58"/>
      <c r="G8312" s="58"/>
      <c r="H8312" s="58"/>
      <c r="I8312" s="55"/>
      <c r="J8312" s="113">
        <f>J8311</f>
        <v>56.355280000000022</v>
      </c>
      <c r="K8312" s="212">
        <f>K8311</f>
        <v>56.355280000000022</v>
      </c>
      <c r="L8312" s="58"/>
      <c r="M8312" s="58">
        <f>K8312-L8312</f>
        <v>56.355280000000022</v>
      </c>
      <c r="N8312" s="166"/>
      <c r="O8312" s="58"/>
      <c r="P8312" s="58"/>
      <c r="Q8312" s="58"/>
      <c r="R8312" s="58"/>
      <c r="S8312" s="58"/>
      <c r="T8312" s="220"/>
      <c r="U8312" s="88"/>
      <c r="V8312" s="56"/>
      <c r="W8312" s="57" t="s">
        <v>1131</v>
      </c>
      <c r="X8312" s="53"/>
      <c r="Y8312" s="91" t="s">
        <v>68</v>
      </c>
      <c r="Z8312" s="136">
        <f>AD8312/AC8312</f>
        <v>116.23482666666668</v>
      </c>
      <c r="AA8312" s="58"/>
      <c r="AB8312" s="53">
        <f>AD8312/AC8312</f>
        <v>116.23482666666668</v>
      </c>
      <c r="AC8312" s="53">
        <f>M8312+$AE$10</f>
        <v>56.355280000000022</v>
      </c>
      <c r="AD8312" s="54">
        <f>SUM(AD8313:AD8321)</f>
        <v>6550.4462025514695</v>
      </c>
      <c r="AE8312" s="184">
        <f>SUMIFS($AD$37:$AD$12971,$V$37:$V$12971,$V8312,$X$37:$X$12971,AE$13)</f>
        <v>0</v>
      </c>
      <c r="AF8312" s="185">
        <f>SUMIFS($AD$37:$AD$12971,$V$37:$V$12971,$V8312,$X$37:$X$12971,AF$13)</f>
        <v>0</v>
      </c>
      <c r="AG8312" s="185">
        <f>SUMIFS($AD$37:$AD$12971,$V$37:$V$12971,$V8312,$X$37:$X$12971,AG$13)</f>
        <v>0</v>
      </c>
      <c r="AH8312" s="187">
        <f>SUMIFS($AD$37:$AD$12971,$V$37:$V$12971,$V8312,$X$37:$X$12971,AH$13)</f>
        <v>0</v>
      </c>
      <c r="AI8312" s="161">
        <f t="shared" ref="AI8312" si="5749">SUM(AE8312:AH8312)</f>
        <v>0</v>
      </c>
      <c r="AK8312" s="172"/>
    </row>
    <row r="8313" spans="1:41" s="102" customFormat="1" ht="19.899999999999999" customHeight="1" x14ac:dyDescent="0.25">
      <c r="A8313" s="45"/>
      <c r="B8313" s="59"/>
      <c r="C8313" s="137"/>
      <c r="D8313" s="59"/>
      <c r="E8313" s="116"/>
      <c r="F8313" s="120"/>
      <c r="G8313" s="120"/>
      <c r="H8313" s="120"/>
      <c r="I8313" s="60"/>
      <c r="J8313" s="116"/>
      <c r="K8313" s="213"/>
      <c r="L8313" s="120"/>
      <c r="M8313" s="120"/>
      <c r="N8313" s="167"/>
      <c r="O8313" s="120"/>
      <c r="P8313" s="120"/>
      <c r="Q8313" s="120"/>
      <c r="R8313" s="120"/>
      <c r="S8313" s="120"/>
      <c r="T8313" s="221"/>
      <c r="U8313" s="89"/>
      <c r="V8313" s="61"/>
      <c r="W8313" s="92" t="s">
        <v>129</v>
      </c>
      <c r="X8313" s="93" t="s">
        <v>29</v>
      </c>
      <c r="Y8313" s="93" t="s">
        <v>93</v>
      </c>
      <c r="Z8313" s="134">
        <f>VLOOKUP(W8313,Sheet2!$B:$D,3,FALSE)</f>
        <v>56</v>
      </c>
      <c r="AA8313" s="93">
        <f>100/(3.4*3.5)</f>
        <v>8.4033613445378155</v>
      </c>
      <c r="AB8313" s="93">
        <f t="shared" ref="AB8313" si="5750">AD8313/AC8312</f>
        <v>6.6639999999999997</v>
      </c>
      <c r="AC8313" s="93">
        <f>AC8312/AA8313</f>
        <v>6.7062783200000027</v>
      </c>
      <c r="AD8313" s="94">
        <f t="shared" ref="AD8313:AD8314" si="5751">AC8313*Z8313</f>
        <v>375.55158592000015</v>
      </c>
      <c r="AE8313" s="190"/>
      <c r="AF8313" s="191"/>
      <c r="AG8313" s="191"/>
      <c r="AH8313" s="191"/>
      <c r="AI8313" s="186"/>
      <c r="AK8313" s="171"/>
    </row>
    <row r="8314" spans="1:41" s="102" customFormat="1" ht="19.899999999999999" customHeight="1" x14ac:dyDescent="0.25">
      <c r="A8314" s="45"/>
      <c r="B8314" s="59"/>
      <c r="C8314" s="137"/>
      <c r="D8314" s="59"/>
      <c r="E8314" s="116"/>
      <c r="F8314" s="120"/>
      <c r="G8314" s="120"/>
      <c r="H8314" s="120"/>
      <c r="I8314" s="60"/>
      <c r="J8314" s="116"/>
      <c r="K8314" s="213"/>
      <c r="L8314" s="120"/>
      <c r="M8314" s="120"/>
      <c r="N8314" s="167"/>
      <c r="O8314" s="120"/>
      <c r="P8314" s="120"/>
      <c r="Q8314" s="120"/>
      <c r="R8314" s="120"/>
      <c r="S8314" s="120"/>
      <c r="T8314" s="221"/>
      <c r="U8314" s="89"/>
      <c r="V8314" s="61"/>
      <c r="W8314" s="92" t="s">
        <v>65</v>
      </c>
      <c r="X8314" s="93" t="s">
        <v>30</v>
      </c>
      <c r="Y8314" s="93" t="s">
        <v>1011</v>
      </c>
      <c r="Z8314" s="134">
        <f>VLOOKUP(W8314,Sheet2!$B:$D,3,FALSE)</f>
        <v>1.76</v>
      </c>
      <c r="AA8314" s="93">
        <f>AA8313/14</f>
        <v>0.60024009603841544</v>
      </c>
      <c r="AB8314" s="93">
        <f>AD8314/AC8312</f>
        <v>2.9321599999999992</v>
      </c>
      <c r="AC8314" s="93">
        <f>AC8312/AA8314</f>
        <v>93.887896480000023</v>
      </c>
      <c r="AD8314" s="94">
        <f t="shared" si="5751"/>
        <v>165.24269780480003</v>
      </c>
      <c r="AE8314" s="190"/>
      <c r="AF8314" s="191"/>
      <c r="AG8314" s="191"/>
      <c r="AH8314" s="191"/>
      <c r="AI8314" s="186"/>
      <c r="AK8314" s="171"/>
    </row>
    <row r="8315" spans="1:41" s="102" customFormat="1" ht="19.899999999999999" customHeight="1" x14ac:dyDescent="0.25">
      <c r="A8315" s="45"/>
      <c r="B8315" s="59"/>
      <c r="C8315" s="137"/>
      <c r="D8315" s="59"/>
      <c r="E8315" s="116"/>
      <c r="F8315" s="120"/>
      <c r="G8315" s="120"/>
      <c r="H8315" s="120"/>
      <c r="I8315" s="60"/>
      <c r="J8315" s="116"/>
      <c r="K8315" s="213"/>
      <c r="L8315" s="120"/>
      <c r="M8315" s="120"/>
      <c r="N8315" s="167"/>
      <c r="O8315" s="120"/>
      <c r="P8315" s="120"/>
      <c r="Q8315" s="120"/>
      <c r="R8315" s="120"/>
      <c r="S8315" s="120"/>
      <c r="T8315" s="221"/>
      <c r="U8315" s="89"/>
      <c r="V8315" s="61"/>
      <c r="W8315" s="92" t="s">
        <v>161</v>
      </c>
      <c r="X8315" s="93" t="s">
        <v>29</v>
      </c>
      <c r="Y8315" s="93" t="s">
        <v>93</v>
      </c>
      <c r="Z8315" s="134">
        <f>VLOOKUP(W8315,Sheet2!$B:$D,3,FALSE)</f>
        <v>48</v>
      </c>
      <c r="AA8315" s="93">
        <f>(16*0.85*1.5)/(3.4*3.5)</f>
        <v>1.7142857142857142</v>
      </c>
      <c r="AB8315" s="93">
        <f>AD8315/AC8312</f>
        <v>28.000000000000004</v>
      </c>
      <c r="AC8315" s="93">
        <f>AC8312/AA8315</f>
        <v>32.873913333333348</v>
      </c>
      <c r="AD8315" s="94">
        <f>AC8315*Z8315</f>
        <v>1577.9478400000007</v>
      </c>
      <c r="AE8315" s="190"/>
      <c r="AF8315" s="191"/>
      <c r="AG8315" s="191"/>
      <c r="AH8315" s="191"/>
      <c r="AI8315" s="186"/>
      <c r="AK8315" s="171"/>
    </row>
    <row r="8316" spans="1:41" s="102" customFormat="1" ht="19.899999999999999" customHeight="1" x14ac:dyDescent="0.25">
      <c r="A8316" s="45"/>
      <c r="B8316" s="59"/>
      <c r="C8316" s="137"/>
      <c r="D8316" s="59"/>
      <c r="E8316" s="116"/>
      <c r="F8316" s="120"/>
      <c r="G8316" s="120"/>
      <c r="H8316" s="120"/>
      <c r="I8316" s="60"/>
      <c r="J8316" s="116"/>
      <c r="K8316" s="213"/>
      <c r="L8316" s="120"/>
      <c r="M8316" s="120"/>
      <c r="N8316" s="167"/>
      <c r="O8316" s="120"/>
      <c r="P8316" s="120"/>
      <c r="Q8316" s="120"/>
      <c r="R8316" s="120"/>
      <c r="S8316" s="120"/>
      <c r="T8316" s="221"/>
      <c r="U8316" s="89"/>
      <c r="V8316" s="61"/>
      <c r="W8316" s="92" t="s">
        <v>65</v>
      </c>
      <c r="X8316" s="93" t="s">
        <v>30</v>
      </c>
      <c r="Y8316" s="93" t="s">
        <v>1011</v>
      </c>
      <c r="Z8316" s="134">
        <f>VLOOKUP(W8316,Sheet2!$B:$D,3,FALSE)</f>
        <v>1.76</v>
      </c>
      <c r="AA8316" s="93">
        <f>AA8315/10</f>
        <v>0.17142857142857143</v>
      </c>
      <c r="AB8316" s="93">
        <f>AD8316/AC8312</f>
        <v>10.266666666666666</v>
      </c>
      <c r="AC8316" s="93">
        <f>AC8312/AA8316</f>
        <v>328.73913333333348</v>
      </c>
      <c r="AD8316" s="94">
        <f>AC8316*Z8316</f>
        <v>578.58087466666689</v>
      </c>
      <c r="AE8316" s="190"/>
      <c r="AF8316" s="191"/>
      <c r="AG8316" s="191"/>
      <c r="AH8316" s="191"/>
      <c r="AI8316" s="186"/>
      <c r="AK8316" s="171"/>
    </row>
    <row r="8317" spans="1:41" s="102" customFormat="1" ht="19.899999999999999" customHeight="1" x14ac:dyDescent="0.25">
      <c r="A8317" s="45"/>
      <c r="B8317" s="59"/>
      <c r="C8317" s="137"/>
      <c r="D8317" s="59"/>
      <c r="E8317" s="116"/>
      <c r="F8317" s="120"/>
      <c r="G8317" s="120"/>
      <c r="H8317" s="120"/>
      <c r="I8317" s="60"/>
      <c r="J8317" s="116"/>
      <c r="K8317" s="213"/>
      <c r="L8317" s="120"/>
      <c r="M8317" s="120"/>
      <c r="N8317" s="167"/>
      <c r="O8317" s="120"/>
      <c r="P8317" s="120"/>
      <c r="Q8317" s="120"/>
      <c r="R8317" s="120"/>
      <c r="S8317" s="120"/>
      <c r="T8317" s="221"/>
      <c r="U8317" s="89"/>
      <c r="V8317" s="61"/>
      <c r="W8317" s="92" t="s">
        <v>1030</v>
      </c>
      <c r="X8317" s="93" t="s">
        <v>29</v>
      </c>
      <c r="Y8317" s="93" t="s">
        <v>93</v>
      </c>
      <c r="Z8317" s="134">
        <f>VLOOKUP(W8317,Sheet2!$B:$D,3,FALSE)</f>
        <v>23</v>
      </c>
      <c r="AA8317" s="93">
        <v>50</v>
      </c>
      <c r="AB8317" s="93">
        <f>AD8317/AC8312</f>
        <v>0.45999999999999996</v>
      </c>
      <c r="AC8317" s="93">
        <f>AC8312/AA8317</f>
        <v>1.1271056000000004</v>
      </c>
      <c r="AD8317" s="94">
        <f t="shared" ref="AD8317:AD8321" si="5752">AC8317*Z8317</f>
        <v>25.923428800000007</v>
      </c>
      <c r="AE8317" s="190"/>
      <c r="AF8317" s="191"/>
      <c r="AG8317" s="191"/>
      <c r="AH8317" s="191"/>
      <c r="AI8317" s="186"/>
      <c r="AK8317" s="171"/>
    </row>
    <row r="8318" spans="1:41" s="102" customFormat="1" ht="19.899999999999999" customHeight="1" x14ac:dyDescent="0.25">
      <c r="A8318" s="45"/>
      <c r="B8318" s="59"/>
      <c r="C8318" s="137"/>
      <c r="D8318" s="59"/>
      <c r="E8318" s="116"/>
      <c r="F8318" s="120"/>
      <c r="G8318" s="120"/>
      <c r="H8318" s="120"/>
      <c r="I8318" s="60"/>
      <c r="J8318" s="116"/>
      <c r="K8318" s="213"/>
      <c r="L8318" s="120"/>
      <c r="M8318" s="120"/>
      <c r="N8318" s="167"/>
      <c r="O8318" s="120"/>
      <c r="P8318" s="120"/>
      <c r="Q8318" s="120"/>
      <c r="R8318" s="120"/>
      <c r="S8318" s="120"/>
      <c r="T8318" s="221"/>
      <c r="U8318" s="89"/>
      <c r="V8318" s="61"/>
      <c r="W8318" s="92" t="s">
        <v>65</v>
      </c>
      <c r="X8318" s="93" t="s">
        <v>30</v>
      </c>
      <c r="Y8318" s="93" t="s">
        <v>1011</v>
      </c>
      <c r="Z8318" s="134">
        <f>VLOOKUP(W8318,Sheet2!$B:$D,3,FALSE)</f>
        <v>1.76</v>
      </c>
      <c r="AA8318" s="93">
        <f>AA8317/3</f>
        <v>16.666666666666668</v>
      </c>
      <c r="AB8318" s="93">
        <f>AD8318/AC8312</f>
        <v>0.10559999999999999</v>
      </c>
      <c r="AC8318" s="93">
        <f>AC8312/AA8318</f>
        <v>3.3813168000000009</v>
      </c>
      <c r="AD8318" s="94">
        <f t="shared" si="5752"/>
        <v>5.9511175680000017</v>
      </c>
      <c r="AE8318" s="190"/>
      <c r="AF8318" s="191"/>
      <c r="AG8318" s="191"/>
      <c r="AH8318" s="191"/>
      <c r="AI8318" s="186"/>
      <c r="AK8318" s="171"/>
    </row>
    <row r="8319" spans="1:41" s="102" customFormat="1" ht="19.899999999999999" customHeight="1" x14ac:dyDescent="0.25">
      <c r="A8319" s="45"/>
      <c r="B8319" s="59"/>
      <c r="C8319" s="137"/>
      <c r="D8319" s="59"/>
      <c r="E8319" s="116"/>
      <c r="F8319" s="120"/>
      <c r="G8319" s="120"/>
      <c r="H8319" s="120"/>
      <c r="I8319" s="60"/>
      <c r="J8319" s="116"/>
      <c r="K8319" s="213"/>
      <c r="L8319" s="120"/>
      <c r="M8319" s="120"/>
      <c r="N8319" s="167"/>
      <c r="O8319" s="120"/>
      <c r="P8319" s="120"/>
      <c r="Q8319" s="120"/>
      <c r="R8319" s="120"/>
      <c r="S8319" s="120"/>
      <c r="T8319" s="221"/>
      <c r="U8319" s="89"/>
      <c r="V8319" s="61"/>
      <c r="W8319" s="92" t="s">
        <v>148</v>
      </c>
      <c r="X8319" s="93" t="s">
        <v>29</v>
      </c>
      <c r="Y8319" s="93" t="s">
        <v>93</v>
      </c>
      <c r="Z8319" s="134">
        <f>VLOOKUP(W8319,Sheet2!$B:$D,3,FALSE)</f>
        <v>48</v>
      </c>
      <c r="AA8319" s="93">
        <f>AA8313</f>
        <v>8.4033613445378155</v>
      </c>
      <c r="AB8319" s="93">
        <f>AD8319/AC8312</f>
        <v>5.7119999999999997</v>
      </c>
      <c r="AC8319" s="93">
        <f>AC8312/AA8319</f>
        <v>6.7062783200000027</v>
      </c>
      <c r="AD8319" s="94">
        <f t="shared" si="5752"/>
        <v>321.90135936000013</v>
      </c>
      <c r="AE8319" s="190"/>
      <c r="AF8319" s="191"/>
      <c r="AG8319" s="191"/>
      <c r="AH8319" s="191"/>
      <c r="AI8319" s="186"/>
      <c r="AK8319" s="171"/>
    </row>
    <row r="8320" spans="1:41" s="102" customFormat="1" ht="19.899999999999999" customHeight="1" x14ac:dyDescent="0.25">
      <c r="A8320" s="45"/>
      <c r="B8320" s="59"/>
      <c r="C8320" s="137"/>
      <c r="D8320" s="59"/>
      <c r="E8320" s="116"/>
      <c r="F8320" s="120"/>
      <c r="G8320" s="120"/>
      <c r="H8320" s="120"/>
      <c r="I8320" s="60"/>
      <c r="J8320" s="116"/>
      <c r="K8320" s="213"/>
      <c r="L8320" s="120"/>
      <c r="M8320" s="120"/>
      <c r="N8320" s="167"/>
      <c r="O8320" s="120"/>
      <c r="P8320" s="120"/>
      <c r="Q8320" s="120"/>
      <c r="R8320" s="120"/>
      <c r="S8320" s="120"/>
      <c r="T8320" s="221"/>
      <c r="U8320" s="89"/>
      <c r="V8320" s="61"/>
      <c r="W8320" s="92" t="s">
        <v>65</v>
      </c>
      <c r="X8320" s="93" t="s">
        <v>30</v>
      </c>
      <c r="Y8320" s="93" t="s">
        <v>1011</v>
      </c>
      <c r="Z8320" s="134">
        <f>VLOOKUP(W8320,Sheet2!$B:$D,3,FALSE)</f>
        <v>1.76</v>
      </c>
      <c r="AA8320" s="93">
        <f>AA8319/10</f>
        <v>0.84033613445378152</v>
      </c>
      <c r="AB8320" s="93">
        <f>AD8320/AC8312</f>
        <v>2.0943999999999998</v>
      </c>
      <c r="AC8320" s="93">
        <f>AC8312/AA8320</f>
        <v>67.062783200000027</v>
      </c>
      <c r="AD8320" s="94">
        <f t="shared" si="5752"/>
        <v>118.03049843200004</v>
      </c>
      <c r="AE8320" s="190"/>
      <c r="AF8320" s="191"/>
      <c r="AG8320" s="191"/>
      <c r="AH8320" s="191"/>
      <c r="AI8320" s="186"/>
      <c r="AK8320" s="171"/>
    </row>
    <row r="8321" spans="1:41" s="102" customFormat="1" ht="19.899999999999999" customHeight="1" x14ac:dyDescent="0.25">
      <c r="A8321" s="45"/>
      <c r="B8321" s="59"/>
      <c r="C8321" s="137"/>
      <c r="D8321" s="59"/>
      <c r="E8321" s="116"/>
      <c r="F8321" s="120"/>
      <c r="G8321" s="120"/>
      <c r="H8321" s="120"/>
      <c r="I8321" s="60"/>
      <c r="J8321" s="116"/>
      <c r="K8321" s="213"/>
      <c r="L8321" s="120"/>
      <c r="M8321" s="120"/>
      <c r="N8321" s="167"/>
      <c r="O8321" s="120"/>
      <c r="P8321" s="120"/>
      <c r="Q8321" s="120"/>
      <c r="R8321" s="120"/>
      <c r="S8321" s="120"/>
      <c r="T8321" s="221"/>
      <c r="U8321" s="89"/>
      <c r="V8321" s="61"/>
      <c r="W8321" s="92" t="s">
        <v>1049</v>
      </c>
      <c r="X8321" s="93" t="s">
        <v>30</v>
      </c>
      <c r="Y8321" s="93" t="s">
        <v>68</v>
      </c>
      <c r="Z8321" s="134">
        <f>VLOOKUP(W8321,Sheet2!$B:$D,3,FALSE)</f>
        <v>60</v>
      </c>
      <c r="AA8321" s="93">
        <v>1</v>
      </c>
      <c r="AB8321" s="93">
        <f>AD8321/AC8312</f>
        <v>60</v>
      </c>
      <c r="AC8321" s="93">
        <f>AC8312/AA8321</f>
        <v>56.355280000000022</v>
      </c>
      <c r="AD8321" s="94">
        <f t="shared" si="5752"/>
        <v>3381.3168000000014</v>
      </c>
      <c r="AE8321" s="190"/>
      <c r="AF8321" s="191"/>
      <c r="AG8321" s="191"/>
      <c r="AH8321" s="191"/>
      <c r="AI8321" s="186"/>
      <c r="AK8321" s="171"/>
    </row>
    <row r="8322" spans="1:41" s="103" customFormat="1" ht="19.899999999999999" customHeight="1" x14ac:dyDescent="0.25">
      <c r="A8322" s="51"/>
      <c r="B8322" s="52"/>
      <c r="C8322" s="165"/>
      <c r="D8322" s="52"/>
      <c r="E8322" s="115"/>
      <c r="F8322" s="58"/>
      <c r="G8322" s="58"/>
      <c r="H8322" s="58"/>
      <c r="I8322" s="55"/>
      <c r="J8322" s="113">
        <f>J8311</f>
        <v>56.355280000000022</v>
      </c>
      <c r="K8322" s="212">
        <f>K8311</f>
        <v>56.355280000000022</v>
      </c>
      <c r="L8322" s="58"/>
      <c r="M8322" s="58">
        <f>K8322-L8322</f>
        <v>56.355280000000022</v>
      </c>
      <c r="N8322" s="166"/>
      <c r="O8322" s="58"/>
      <c r="P8322" s="58"/>
      <c r="Q8322" s="58"/>
      <c r="R8322" s="58"/>
      <c r="S8322" s="58"/>
      <c r="T8322" s="220"/>
      <c r="U8322" s="88"/>
      <c r="V8322" s="56"/>
      <c r="W8322" s="57" t="s">
        <v>1129</v>
      </c>
      <c r="X8322" s="53"/>
      <c r="Y8322" s="91" t="s">
        <v>68</v>
      </c>
      <c r="Z8322" s="136">
        <f>AD8322/AC8322</f>
        <v>4372.5500000000011</v>
      </c>
      <c r="AA8322" s="58"/>
      <c r="AB8322" s="53">
        <f>AD8322/AC8322</f>
        <v>4372.5500000000011</v>
      </c>
      <c r="AC8322" s="53">
        <f>M8322+$AE$10</f>
        <v>56.355280000000022</v>
      </c>
      <c r="AD8322" s="54">
        <f>SUM(AD8323:AD8326)</f>
        <v>246416.27956400014</v>
      </c>
      <c r="AE8322" s="184">
        <f>SUMIFS($AD$37:$AD$12971,$V$37:$V$12971,$V8322,$X$37:$X$12971,AE$13)</f>
        <v>0</v>
      </c>
      <c r="AF8322" s="185">
        <f>SUMIFS($AD$37:$AD$12971,$V$37:$V$12971,$V8322,$X$37:$X$12971,AF$13)</f>
        <v>0</v>
      </c>
      <c r="AG8322" s="185">
        <f>SUMIFS($AD$37:$AD$12971,$V$37:$V$12971,$V8322,$X$37:$X$12971,AG$13)</f>
        <v>0</v>
      </c>
      <c r="AH8322" s="187">
        <f>SUMIFS($AD$37:$AD$12971,$V$37:$V$12971,$V8322,$X$37:$X$12971,AH$13)</f>
        <v>0</v>
      </c>
      <c r="AI8322" s="161">
        <f t="shared" ref="AI8322" si="5753">SUM(AE8322:AH8322)</f>
        <v>0</v>
      </c>
      <c r="AK8322" s="172"/>
    </row>
    <row r="8323" spans="1:41" s="102" customFormat="1" ht="19.899999999999999" customHeight="1" x14ac:dyDescent="0.25">
      <c r="A8323" s="45"/>
      <c r="B8323" s="59"/>
      <c r="C8323" s="137"/>
      <c r="D8323" s="59"/>
      <c r="E8323" s="116"/>
      <c r="F8323" s="120"/>
      <c r="G8323" s="120"/>
      <c r="H8323" s="120"/>
      <c r="I8323" s="60"/>
      <c r="J8323" s="116"/>
      <c r="K8323" s="213"/>
      <c r="L8323" s="120"/>
      <c r="M8323" s="120"/>
      <c r="N8323" s="167"/>
      <c r="O8323" s="120"/>
      <c r="P8323" s="120"/>
      <c r="Q8323" s="120"/>
      <c r="R8323" s="120"/>
      <c r="S8323" s="120"/>
      <c r="T8323" s="221"/>
      <c r="U8323" s="89"/>
      <c r="V8323" s="61"/>
      <c r="W8323" s="92" t="s">
        <v>1105</v>
      </c>
      <c r="X8323" s="93" t="s">
        <v>30</v>
      </c>
      <c r="Y8323" s="93" t="s">
        <v>66</v>
      </c>
      <c r="Z8323" s="134">
        <f>VLOOKUP(W8323,Sheet2!$B:$D,3,FALSE)</f>
        <v>2200</v>
      </c>
      <c r="AA8323" s="93">
        <f>1/((2.6*1.3)-(2*0.7))</f>
        <v>0.50505050505050497</v>
      </c>
      <c r="AB8323" s="93">
        <f>AD8323/AC8322</f>
        <v>4356.0000000000009</v>
      </c>
      <c r="AC8323" s="93">
        <f>AC8322/AA8323</f>
        <v>111.58345440000006</v>
      </c>
      <c r="AD8323" s="94">
        <f t="shared" ref="AD8323" si="5754">AC8323*Z8323</f>
        <v>245483.59968000013</v>
      </c>
      <c r="AE8323" s="190"/>
      <c r="AF8323" s="191"/>
      <c r="AG8323" s="191"/>
      <c r="AH8323" s="191"/>
      <c r="AI8323" s="186"/>
      <c r="AK8323" s="171"/>
    </row>
    <row r="8324" spans="1:41" s="102" customFormat="1" ht="19.899999999999999" customHeight="1" x14ac:dyDescent="0.25">
      <c r="A8324" s="45"/>
      <c r="B8324" s="59"/>
      <c r="C8324" s="137"/>
      <c r="D8324" s="59"/>
      <c r="E8324" s="116"/>
      <c r="F8324" s="120"/>
      <c r="G8324" s="120"/>
      <c r="H8324" s="120"/>
      <c r="I8324" s="60"/>
      <c r="J8324" s="116"/>
      <c r="K8324" s="213"/>
      <c r="L8324" s="120"/>
      <c r="M8324" s="120"/>
      <c r="N8324" s="167"/>
      <c r="O8324" s="120"/>
      <c r="P8324" s="120"/>
      <c r="Q8324" s="120"/>
      <c r="R8324" s="120"/>
      <c r="S8324" s="120"/>
      <c r="T8324" s="221"/>
      <c r="U8324" s="89"/>
      <c r="V8324" s="61"/>
      <c r="W8324" s="92" t="s">
        <v>174</v>
      </c>
      <c r="X8324" s="93" t="s">
        <v>29</v>
      </c>
      <c r="Y8324" s="93" t="s">
        <v>93</v>
      </c>
      <c r="Z8324" s="134">
        <f>VLOOKUP(W8324,Sheet2!$B:$D,3,FALSE)</f>
        <v>80</v>
      </c>
      <c r="AA8324" s="93">
        <f>4*2</f>
        <v>8</v>
      </c>
      <c r="AB8324" s="93">
        <f>AD8324/AC8322</f>
        <v>9.9999999999999982</v>
      </c>
      <c r="AC8324" s="93">
        <f>AC8322/AA8324</f>
        <v>7.0444100000000027</v>
      </c>
      <c r="AD8324" s="94">
        <f>AC8324*Z8324</f>
        <v>563.55280000000016</v>
      </c>
      <c r="AE8324" s="190"/>
      <c r="AF8324" s="191"/>
      <c r="AG8324" s="191"/>
      <c r="AH8324" s="191"/>
      <c r="AI8324" s="186"/>
      <c r="AK8324" s="171"/>
    </row>
    <row r="8325" spans="1:41" s="102" customFormat="1" ht="19.899999999999999" customHeight="1" x14ac:dyDescent="0.25">
      <c r="A8325" s="45"/>
      <c r="B8325" s="59"/>
      <c r="C8325" s="137"/>
      <c r="D8325" s="59"/>
      <c r="E8325" s="116"/>
      <c r="F8325" s="120"/>
      <c r="G8325" s="120"/>
      <c r="H8325" s="120"/>
      <c r="I8325" s="60"/>
      <c r="J8325" s="116"/>
      <c r="K8325" s="213"/>
      <c r="L8325" s="120"/>
      <c r="M8325" s="120"/>
      <c r="N8325" s="167"/>
      <c r="O8325" s="120"/>
      <c r="P8325" s="120"/>
      <c r="Q8325" s="120"/>
      <c r="R8325" s="120"/>
      <c r="S8325" s="120"/>
      <c r="T8325" s="221"/>
      <c r="U8325" s="89"/>
      <c r="V8325" s="61"/>
      <c r="W8325" s="92" t="s">
        <v>65</v>
      </c>
      <c r="X8325" s="93" t="s">
        <v>30</v>
      </c>
      <c r="Y8325" s="93" t="s">
        <v>1011</v>
      </c>
      <c r="Z8325" s="134">
        <f>VLOOKUP(W8325,Sheet2!$B:$D,3,FALSE)</f>
        <v>1.76</v>
      </c>
      <c r="AA8325" s="93">
        <f>AA8324/15</f>
        <v>0.53333333333333333</v>
      </c>
      <c r="AB8325" s="93">
        <f>AD8325/AC8322</f>
        <v>3.3000000000000003</v>
      </c>
      <c r="AC8325" s="93">
        <f>AC8322/AA8325</f>
        <v>105.66615000000004</v>
      </c>
      <c r="AD8325" s="94">
        <f t="shared" ref="AD8325" si="5755">AC8325*Z8325</f>
        <v>185.97242400000007</v>
      </c>
      <c r="AE8325" s="190"/>
      <c r="AF8325" s="191"/>
      <c r="AG8325" s="191"/>
      <c r="AH8325" s="191"/>
      <c r="AI8325" s="186"/>
      <c r="AK8325" s="171"/>
    </row>
    <row r="8326" spans="1:41" s="102" customFormat="1" ht="19.899999999999999" customHeight="1" x14ac:dyDescent="0.25">
      <c r="A8326" s="45"/>
      <c r="B8326" s="59"/>
      <c r="C8326" s="137"/>
      <c r="D8326" s="59"/>
      <c r="E8326" s="116"/>
      <c r="F8326" s="120"/>
      <c r="G8326" s="120"/>
      <c r="H8326" s="120"/>
      <c r="I8326" s="60"/>
      <c r="J8326" s="116"/>
      <c r="K8326" s="213"/>
      <c r="L8326" s="120"/>
      <c r="M8326" s="120"/>
      <c r="N8326" s="167"/>
      <c r="O8326" s="120"/>
      <c r="P8326" s="120"/>
      <c r="Q8326" s="120"/>
      <c r="R8326" s="120"/>
      <c r="S8326" s="120"/>
      <c r="T8326" s="221"/>
      <c r="U8326" s="89"/>
      <c r="V8326" s="61"/>
      <c r="W8326" s="92" t="s">
        <v>112</v>
      </c>
      <c r="X8326" s="93" t="s">
        <v>31</v>
      </c>
      <c r="Y8326" s="93" t="s">
        <v>93</v>
      </c>
      <c r="Z8326" s="134">
        <f>VLOOKUP(W8326,Sheet2!$B:$D,3,FALSE)</f>
        <v>13</v>
      </c>
      <c r="AA8326" s="93">
        <f>AA8324/2</f>
        <v>4</v>
      </c>
      <c r="AB8326" s="93">
        <f>AD8326/AC8322</f>
        <v>3.25</v>
      </c>
      <c r="AC8326" s="93">
        <f>AC8322/AA8326</f>
        <v>14.088820000000005</v>
      </c>
      <c r="AD8326" s="94">
        <f>AC8326*Z8326</f>
        <v>183.15466000000006</v>
      </c>
      <c r="AE8326" s="190"/>
      <c r="AF8326" s="191"/>
      <c r="AG8326" s="191"/>
      <c r="AH8326" s="191"/>
      <c r="AI8326" s="186"/>
      <c r="AK8326" s="171"/>
    </row>
    <row r="8327" spans="1:41" ht="20.100000000000001" customHeight="1" x14ac:dyDescent="0.25">
      <c r="A8327" s="277" t="s">
        <v>703</v>
      </c>
      <c r="B8327" s="278"/>
      <c r="C8327" s="64" t="s">
        <v>769</v>
      </c>
      <c r="D8327" s="46" t="s">
        <v>97</v>
      </c>
      <c r="E8327" s="114">
        <v>11.562899999999985</v>
      </c>
      <c r="F8327" s="44">
        <v>5773</v>
      </c>
      <c r="G8327" s="44">
        <f t="shared" si="5545"/>
        <v>66752.621699999916</v>
      </c>
      <c r="H8327" s="44">
        <f t="shared" si="5546"/>
        <v>4496.7375733333338</v>
      </c>
      <c r="I8327" s="43">
        <f t="shared" si="5547"/>
        <v>51995.326886695941</v>
      </c>
      <c r="J8327" s="112">
        <f t="shared" si="5548"/>
        <v>11.562899999999985</v>
      </c>
      <c r="K8327" s="211">
        <f t="shared" si="5549"/>
        <v>11.562899999999985</v>
      </c>
      <c r="L8327" s="44"/>
      <c r="M8327" s="44">
        <f t="shared" si="5550"/>
        <v>11.562899999999985</v>
      </c>
      <c r="N8327" s="173">
        <f t="shared" si="5551"/>
        <v>1</v>
      </c>
      <c r="O8327" s="44">
        <f t="shared" si="5552"/>
        <v>5773</v>
      </c>
      <c r="P8327" s="44">
        <f t="shared" si="5553"/>
        <v>66752.621699999916</v>
      </c>
      <c r="Q8327" s="44">
        <f t="shared" si="5554"/>
        <v>4496.7375733333338</v>
      </c>
      <c r="R8327" s="44">
        <f t="shared" si="5555"/>
        <v>51995.326886695941</v>
      </c>
      <c r="S8327" s="123"/>
      <c r="T8327" s="219">
        <f t="shared" si="5556"/>
        <v>51995.326886695941</v>
      </c>
      <c r="U8327" s="87"/>
      <c r="V8327" s="47"/>
      <c r="W8327" s="48"/>
      <c r="X8327" s="48"/>
      <c r="Y8327" s="48"/>
      <c r="Z8327" s="135"/>
      <c r="AA8327" s="49"/>
      <c r="AB8327" s="50">
        <f t="shared" si="5557"/>
        <v>4496.7375733333338</v>
      </c>
      <c r="AC8327" s="42">
        <f t="shared" si="5558"/>
        <v>11.562899999999985</v>
      </c>
      <c r="AD8327" s="90">
        <f>AD8328+AD8338</f>
        <v>51995.326886695941</v>
      </c>
      <c r="AE8327" s="188">
        <f t="shared" ref="AE8327:AH8327" si="5756">AE8328+AE8338</f>
        <v>0</v>
      </c>
      <c r="AF8327" s="189">
        <f t="shared" si="5756"/>
        <v>0</v>
      </c>
      <c r="AG8327" s="189">
        <f t="shared" si="5756"/>
        <v>0</v>
      </c>
      <c r="AH8327" s="189">
        <f t="shared" si="5756"/>
        <v>0</v>
      </c>
      <c r="AI8327" s="161">
        <f t="shared" si="5748"/>
        <v>0</v>
      </c>
      <c r="AK8327" s="169">
        <v>5</v>
      </c>
      <c r="AO8327" s="19" t="s">
        <v>63</v>
      </c>
    </row>
    <row r="8328" spans="1:41" s="103" customFormat="1" ht="19.899999999999999" customHeight="1" x14ac:dyDescent="0.25">
      <c r="A8328" s="51"/>
      <c r="B8328" s="52"/>
      <c r="C8328" s="165"/>
      <c r="D8328" s="52"/>
      <c r="E8328" s="115"/>
      <c r="F8328" s="58"/>
      <c r="G8328" s="58"/>
      <c r="H8328" s="58"/>
      <c r="I8328" s="55"/>
      <c r="J8328" s="113">
        <f>J8327</f>
        <v>11.562899999999985</v>
      </c>
      <c r="K8328" s="212">
        <f>K8327</f>
        <v>11.562899999999985</v>
      </c>
      <c r="L8328" s="58"/>
      <c r="M8328" s="58">
        <f>K8328-L8328</f>
        <v>11.562899999999985</v>
      </c>
      <c r="N8328" s="166"/>
      <c r="O8328" s="58"/>
      <c r="P8328" s="58"/>
      <c r="Q8328" s="58"/>
      <c r="R8328" s="58"/>
      <c r="S8328" s="58"/>
      <c r="T8328" s="220"/>
      <c r="U8328" s="88"/>
      <c r="V8328" s="56"/>
      <c r="W8328" s="57" t="s">
        <v>1130</v>
      </c>
      <c r="X8328" s="53"/>
      <c r="Y8328" s="91" t="s">
        <v>68</v>
      </c>
      <c r="Z8328" s="136">
        <f>AD8328/AC8328</f>
        <v>124.18757333333332</v>
      </c>
      <c r="AA8328" s="58"/>
      <c r="AB8328" s="53">
        <f>AD8328/AC8328</f>
        <v>124.18757333333332</v>
      </c>
      <c r="AC8328" s="53">
        <f>M8328+$AE$10</f>
        <v>11.562899999999985</v>
      </c>
      <c r="AD8328" s="54">
        <f>SUM(AD8329:AD8337)</f>
        <v>1435.968491695998</v>
      </c>
      <c r="AE8328" s="184">
        <f>SUMIFS($AD$37:$AD$12971,$V$37:$V$12971,$V8328,$X$37:$X$12971,AE$13)</f>
        <v>0</v>
      </c>
      <c r="AF8328" s="185">
        <f>SUMIFS($AD$37:$AD$12971,$V$37:$V$12971,$V8328,$X$37:$X$12971,AF$13)</f>
        <v>0</v>
      </c>
      <c r="AG8328" s="185">
        <f>SUMIFS($AD$37:$AD$12971,$V$37:$V$12971,$V8328,$X$37:$X$12971,AG$13)</f>
        <v>0</v>
      </c>
      <c r="AH8328" s="187">
        <f>SUMIFS($AD$37:$AD$12971,$V$37:$V$12971,$V8328,$X$37:$X$12971,AH$13)</f>
        <v>0</v>
      </c>
      <c r="AI8328" s="161">
        <f t="shared" ref="AI8328" si="5757">SUM(AE8328:AH8328)</f>
        <v>0</v>
      </c>
      <c r="AK8328" s="172"/>
    </row>
    <row r="8329" spans="1:41" s="102" customFormat="1" ht="19.899999999999999" customHeight="1" x14ac:dyDescent="0.25">
      <c r="A8329" s="45"/>
      <c r="B8329" s="59"/>
      <c r="C8329" s="137"/>
      <c r="D8329" s="59"/>
      <c r="E8329" s="116"/>
      <c r="F8329" s="120"/>
      <c r="G8329" s="120"/>
      <c r="H8329" s="120"/>
      <c r="I8329" s="60"/>
      <c r="J8329" s="116"/>
      <c r="K8329" s="213"/>
      <c r="L8329" s="120"/>
      <c r="M8329" s="120"/>
      <c r="N8329" s="167"/>
      <c r="O8329" s="120"/>
      <c r="P8329" s="120"/>
      <c r="Q8329" s="120"/>
      <c r="R8329" s="120"/>
      <c r="S8329" s="120"/>
      <c r="T8329" s="221"/>
      <c r="U8329" s="89"/>
      <c r="V8329" s="61"/>
      <c r="W8329" s="92" t="s">
        <v>129</v>
      </c>
      <c r="X8329" s="93" t="s">
        <v>29</v>
      </c>
      <c r="Y8329" s="93" t="s">
        <v>93</v>
      </c>
      <c r="Z8329" s="134">
        <f>VLOOKUP(W8329,Sheet2!$B:$D,3,FALSE)</f>
        <v>56</v>
      </c>
      <c r="AA8329" s="93">
        <f>100/(3.4*4)</f>
        <v>7.3529411764705888</v>
      </c>
      <c r="AB8329" s="93">
        <f t="shared" ref="AB8329" si="5758">AD8329/AC8328</f>
        <v>7.6159999999999997</v>
      </c>
      <c r="AC8329" s="93">
        <f>AC8328/AA8329</f>
        <v>1.5725543999999978</v>
      </c>
      <c r="AD8329" s="94">
        <f t="shared" ref="AD8329:AD8330" si="5759">AC8329*Z8329</f>
        <v>88.063046399999877</v>
      </c>
      <c r="AE8329" s="190"/>
      <c r="AF8329" s="191"/>
      <c r="AG8329" s="191"/>
      <c r="AH8329" s="191"/>
      <c r="AI8329" s="186"/>
      <c r="AK8329" s="171"/>
    </row>
    <row r="8330" spans="1:41" s="102" customFormat="1" ht="19.899999999999999" customHeight="1" x14ac:dyDescent="0.25">
      <c r="A8330" s="45"/>
      <c r="B8330" s="59"/>
      <c r="C8330" s="137"/>
      <c r="D8330" s="59"/>
      <c r="E8330" s="116"/>
      <c r="F8330" s="120"/>
      <c r="G8330" s="120"/>
      <c r="H8330" s="120"/>
      <c r="I8330" s="60"/>
      <c r="J8330" s="116"/>
      <c r="K8330" s="213"/>
      <c r="L8330" s="120"/>
      <c r="M8330" s="120"/>
      <c r="N8330" s="167"/>
      <c r="O8330" s="120"/>
      <c r="P8330" s="120"/>
      <c r="Q8330" s="120"/>
      <c r="R8330" s="120"/>
      <c r="S8330" s="120"/>
      <c r="T8330" s="221"/>
      <c r="U8330" s="89"/>
      <c r="V8330" s="61"/>
      <c r="W8330" s="92" t="s">
        <v>65</v>
      </c>
      <c r="X8330" s="93" t="s">
        <v>30</v>
      </c>
      <c r="Y8330" s="93" t="s">
        <v>1011</v>
      </c>
      <c r="Z8330" s="134">
        <f>VLOOKUP(W8330,Sheet2!$B:$D,3,FALSE)</f>
        <v>1.76</v>
      </c>
      <c r="AA8330" s="93">
        <f>AA8329/14</f>
        <v>0.52521008403361347</v>
      </c>
      <c r="AB8330" s="93">
        <f>AD8330/AC8328</f>
        <v>3.3510399999999998</v>
      </c>
      <c r="AC8330" s="93">
        <f>AC8328/AA8330</f>
        <v>22.015761599999969</v>
      </c>
      <c r="AD8330" s="94">
        <f t="shared" si="5759"/>
        <v>38.747740415999949</v>
      </c>
      <c r="AE8330" s="190"/>
      <c r="AF8330" s="191"/>
      <c r="AG8330" s="191"/>
      <c r="AH8330" s="191"/>
      <c r="AI8330" s="186"/>
      <c r="AK8330" s="171"/>
    </row>
    <row r="8331" spans="1:41" s="102" customFormat="1" ht="19.899999999999999" customHeight="1" x14ac:dyDescent="0.25">
      <c r="A8331" s="45"/>
      <c r="B8331" s="59"/>
      <c r="C8331" s="137"/>
      <c r="D8331" s="59"/>
      <c r="E8331" s="116"/>
      <c r="F8331" s="120"/>
      <c r="G8331" s="120"/>
      <c r="H8331" s="120"/>
      <c r="I8331" s="60"/>
      <c r="J8331" s="116"/>
      <c r="K8331" s="213"/>
      <c r="L8331" s="120"/>
      <c r="M8331" s="120"/>
      <c r="N8331" s="167"/>
      <c r="O8331" s="120"/>
      <c r="P8331" s="120"/>
      <c r="Q8331" s="120"/>
      <c r="R8331" s="120"/>
      <c r="S8331" s="120"/>
      <c r="T8331" s="221"/>
      <c r="U8331" s="89"/>
      <c r="V8331" s="61"/>
      <c r="W8331" s="92" t="s">
        <v>161</v>
      </c>
      <c r="X8331" s="93" t="s">
        <v>29</v>
      </c>
      <c r="Y8331" s="93" t="s">
        <v>93</v>
      </c>
      <c r="Z8331" s="134">
        <f>VLOOKUP(W8331,Sheet2!$B:$D,3,FALSE)</f>
        <v>48</v>
      </c>
      <c r="AA8331" s="93">
        <f>(16*0.85*1.5)/(3.4*4)</f>
        <v>1.5</v>
      </c>
      <c r="AB8331" s="93">
        <f>AD8331/AC8328</f>
        <v>32</v>
      </c>
      <c r="AC8331" s="93">
        <f>AC8328/AA8331</f>
        <v>7.7085999999999899</v>
      </c>
      <c r="AD8331" s="94">
        <f>AC8331*Z8331</f>
        <v>370.01279999999952</v>
      </c>
      <c r="AE8331" s="190"/>
      <c r="AF8331" s="191"/>
      <c r="AG8331" s="191"/>
      <c r="AH8331" s="191"/>
      <c r="AI8331" s="186"/>
      <c r="AK8331" s="171"/>
    </row>
    <row r="8332" spans="1:41" s="102" customFormat="1" ht="19.899999999999999" customHeight="1" x14ac:dyDescent="0.25">
      <c r="A8332" s="45"/>
      <c r="B8332" s="59"/>
      <c r="C8332" s="137"/>
      <c r="D8332" s="59"/>
      <c r="E8332" s="116"/>
      <c r="F8332" s="120"/>
      <c r="G8332" s="120"/>
      <c r="H8332" s="120"/>
      <c r="I8332" s="60"/>
      <c r="J8332" s="116"/>
      <c r="K8332" s="213"/>
      <c r="L8332" s="120"/>
      <c r="M8332" s="120"/>
      <c r="N8332" s="167"/>
      <c r="O8332" s="120"/>
      <c r="P8332" s="120"/>
      <c r="Q8332" s="120"/>
      <c r="R8332" s="120"/>
      <c r="S8332" s="120"/>
      <c r="T8332" s="221"/>
      <c r="U8332" s="89"/>
      <c r="V8332" s="61"/>
      <c r="W8332" s="92" t="s">
        <v>65</v>
      </c>
      <c r="X8332" s="93" t="s">
        <v>30</v>
      </c>
      <c r="Y8332" s="93" t="s">
        <v>1011</v>
      </c>
      <c r="Z8332" s="134">
        <f>VLOOKUP(W8332,Sheet2!$B:$D,3,FALSE)</f>
        <v>1.76</v>
      </c>
      <c r="AA8332" s="93">
        <f>AA8331/10</f>
        <v>0.15</v>
      </c>
      <c r="AB8332" s="93">
        <f>AD8332/AC8328</f>
        <v>11.733333333333333</v>
      </c>
      <c r="AC8332" s="93">
        <f>AC8328/AA8332</f>
        <v>77.085999999999899</v>
      </c>
      <c r="AD8332" s="94">
        <f>AC8332*Z8332</f>
        <v>135.67135999999982</v>
      </c>
      <c r="AE8332" s="190"/>
      <c r="AF8332" s="191"/>
      <c r="AG8332" s="191"/>
      <c r="AH8332" s="191"/>
      <c r="AI8332" s="186"/>
      <c r="AK8332" s="171"/>
    </row>
    <row r="8333" spans="1:41" s="102" customFormat="1" ht="19.899999999999999" customHeight="1" x14ac:dyDescent="0.25">
      <c r="A8333" s="45"/>
      <c r="B8333" s="59"/>
      <c r="C8333" s="137"/>
      <c r="D8333" s="59"/>
      <c r="E8333" s="116"/>
      <c r="F8333" s="120"/>
      <c r="G8333" s="120"/>
      <c r="H8333" s="120"/>
      <c r="I8333" s="60"/>
      <c r="J8333" s="116"/>
      <c r="K8333" s="213"/>
      <c r="L8333" s="120"/>
      <c r="M8333" s="120"/>
      <c r="N8333" s="167"/>
      <c r="O8333" s="120"/>
      <c r="P8333" s="120"/>
      <c r="Q8333" s="120"/>
      <c r="R8333" s="120"/>
      <c r="S8333" s="120"/>
      <c r="T8333" s="221"/>
      <c r="U8333" s="89"/>
      <c r="V8333" s="61"/>
      <c r="W8333" s="92" t="s">
        <v>1030</v>
      </c>
      <c r="X8333" s="93" t="s">
        <v>29</v>
      </c>
      <c r="Y8333" s="93" t="s">
        <v>93</v>
      </c>
      <c r="Z8333" s="134">
        <f>VLOOKUP(W8333,Sheet2!$B:$D,3,FALSE)</f>
        <v>23</v>
      </c>
      <c r="AA8333" s="93">
        <v>50</v>
      </c>
      <c r="AB8333" s="93">
        <f>AD8333/AC8328</f>
        <v>0.45999999999999996</v>
      </c>
      <c r="AC8333" s="93">
        <f>AC8328/AA8333</f>
        <v>0.23125799999999969</v>
      </c>
      <c r="AD8333" s="94">
        <f t="shared" ref="AD8333:AD8337" si="5760">AC8333*Z8333</f>
        <v>5.3189339999999925</v>
      </c>
      <c r="AE8333" s="190"/>
      <c r="AF8333" s="191"/>
      <c r="AG8333" s="191"/>
      <c r="AH8333" s="191"/>
      <c r="AI8333" s="186"/>
      <c r="AK8333" s="171"/>
    </row>
    <row r="8334" spans="1:41" s="102" customFormat="1" ht="19.899999999999999" customHeight="1" x14ac:dyDescent="0.25">
      <c r="A8334" s="45"/>
      <c r="B8334" s="59"/>
      <c r="C8334" s="137"/>
      <c r="D8334" s="59"/>
      <c r="E8334" s="116"/>
      <c r="F8334" s="120"/>
      <c r="G8334" s="120"/>
      <c r="H8334" s="120"/>
      <c r="I8334" s="60"/>
      <c r="J8334" s="116"/>
      <c r="K8334" s="213"/>
      <c r="L8334" s="120"/>
      <c r="M8334" s="120"/>
      <c r="N8334" s="167"/>
      <c r="O8334" s="120"/>
      <c r="P8334" s="120"/>
      <c r="Q8334" s="120"/>
      <c r="R8334" s="120"/>
      <c r="S8334" s="120"/>
      <c r="T8334" s="221"/>
      <c r="U8334" s="89"/>
      <c r="V8334" s="61"/>
      <c r="W8334" s="92" t="s">
        <v>65</v>
      </c>
      <c r="X8334" s="93" t="s">
        <v>30</v>
      </c>
      <c r="Y8334" s="93" t="s">
        <v>1011</v>
      </c>
      <c r="Z8334" s="134">
        <f>VLOOKUP(W8334,Sheet2!$B:$D,3,FALSE)</f>
        <v>1.76</v>
      </c>
      <c r="AA8334" s="93">
        <f>AA8333/3</f>
        <v>16.666666666666668</v>
      </c>
      <c r="AB8334" s="93">
        <f>AD8334/AC8328</f>
        <v>0.10559999999999999</v>
      </c>
      <c r="AC8334" s="93">
        <f>AC8328/AA8334</f>
        <v>0.693773999999999</v>
      </c>
      <c r="AD8334" s="94">
        <f t="shared" si="5760"/>
        <v>1.2210422399999983</v>
      </c>
      <c r="AE8334" s="190"/>
      <c r="AF8334" s="191"/>
      <c r="AG8334" s="191"/>
      <c r="AH8334" s="191"/>
      <c r="AI8334" s="186"/>
      <c r="AK8334" s="171"/>
    </row>
    <row r="8335" spans="1:41" s="102" customFormat="1" ht="19.899999999999999" customHeight="1" x14ac:dyDescent="0.25">
      <c r="A8335" s="45"/>
      <c r="B8335" s="59"/>
      <c r="C8335" s="137"/>
      <c r="D8335" s="59"/>
      <c r="E8335" s="116"/>
      <c r="F8335" s="120"/>
      <c r="G8335" s="120"/>
      <c r="H8335" s="120"/>
      <c r="I8335" s="60"/>
      <c r="J8335" s="116"/>
      <c r="K8335" s="213"/>
      <c r="L8335" s="120"/>
      <c r="M8335" s="120"/>
      <c r="N8335" s="167"/>
      <c r="O8335" s="120"/>
      <c r="P8335" s="120"/>
      <c r="Q8335" s="120"/>
      <c r="R8335" s="120"/>
      <c r="S8335" s="120"/>
      <c r="T8335" s="221"/>
      <c r="U8335" s="89"/>
      <c r="V8335" s="61"/>
      <c r="W8335" s="92" t="s">
        <v>148</v>
      </c>
      <c r="X8335" s="93" t="s">
        <v>29</v>
      </c>
      <c r="Y8335" s="93" t="s">
        <v>93</v>
      </c>
      <c r="Z8335" s="134">
        <f>VLOOKUP(W8335,Sheet2!$B:$D,3,FALSE)</f>
        <v>48</v>
      </c>
      <c r="AA8335" s="93">
        <f>AA8329</f>
        <v>7.3529411764705888</v>
      </c>
      <c r="AB8335" s="93">
        <f>AD8335/AC8328</f>
        <v>6.5279999999999996</v>
      </c>
      <c r="AC8335" s="93">
        <f>AC8328/AA8335</f>
        <v>1.5725543999999978</v>
      </c>
      <c r="AD8335" s="94">
        <f t="shared" si="5760"/>
        <v>75.482611199999894</v>
      </c>
      <c r="AE8335" s="190"/>
      <c r="AF8335" s="191"/>
      <c r="AG8335" s="191"/>
      <c r="AH8335" s="191"/>
      <c r="AI8335" s="186"/>
      <c r="AK8335" s="171"/>
    </row>
    <row r="8336" spans="1:41" s="102" customFormat="1" ht="19.899999999999999" customHeight="1" x14ac:dyDescent="0.25">
      <c r="A8336" s="45"/>
      <c r="B8336" s="59"/>
      <c r="C8336" s="137"/>
      <c r="D8336" s="59"/>
      <c r="E8336" s="116"/>
      <c r="F8336" s="120"/>
      <c r="G8336" s="120"/>
      <c r="H8336" s="120"/>
      <c r="I8336" s="60"/>
      <c r="J8336" s="116"/>
      <c r="K8336" s="213"/>
      <c r="L8336" s="120"/>
      <c r="M8336" s="120"/>
      <c r="N8336" s="167"/>
      <c r="O8336" s="120"/>
      <c r="P8336" s="120"/>
      <c r="Q8336" s="120"/>
      <c r="R8336" s="120"/>
      <c r="S8336" s="120"/>
      <c r="T8336" s="221"/>
      <c r="U8336" s="89"/>
      <c r="V8336" s="61"/>
      <c r="W8336" s="92" t="s">
        <v>65</v>
      </c>
      <c r="X8336" s="93" t="s">
        <v>30</v>
      </c>
      <c r="Y8336" s="93" t="s">
        <v>1011</v>
      </c>
      <c r="Z8336" s="134">
        <f>VLOOKUP(W8336,Sheet2!$B:$D,3,FALSE)</f>
        <v>1.76</v>
      </c>
      <c r="AA8336" s="93">
        <f>AA8335/10</f>
        <v>0.73529411764705888</v>
      </c>
      <c r="AB8336" s="93">
        <f>AD8336/AC8328</f>
        <v>2.3935999999999997</v>
      </c>
      <c r="AC8336" s="93">
        <f>AC8328/AA8336</f>
        <v>15.725543999999978</v>
      </c>
      <c r="AD8336" s="94">
        <f t="shared" si="5760"/>
        <v>27.67695743999996</v>
      </c>
      <c r="AE8336" s="190"/>
      <c r="AF8336" s="191"/>
      <c r="AG8336" s="191"/>
      <c r="AH8336" s="191"/>
      <c r="AI8336" s="186"/>
      <c r="AK8336" s="171"/>
    </row>
    <row r="8337" spans="1:41" s="102" customFormat="1" ht="19.899999999999999" customHeight="1" x14ac:dyDescent="0.25">
      <c r="A8337" s="45"/>
      <c r="B8337" s="59"/>
      <c r="C8337" s="137"/>
      <c r="D8337" s="59"/>
      <c r="E8337" s="116"/>
      <c r="F8337" s="120"/>
      <c r="G8337" s="120"/>
      <c r="H8337" s="120"/>
      <c r="I8337" s="60"/>
      <c r="J8337" s="116"/>
      <c r="K8337" s="213"/>
      <c r="L8337" s="120"/>
      <c r="M8337" s="120"/>
      <c r="N8337" s="167"/>
      <c r="O8337" s="120"/>
      <c r="P8337" s="120"/>
      <c r="Q8337" s="120"/>
      <c r="R8337" s="120"/>
      <c r="S8337" s="120"/>
      <c r="T8337" s="221"/>
      <c r="U8337" s="89"/>
      <c r="V8337" s="61"/>
      <c r="W8337" s="92" t="s">
        <v>1049</v>
      </c>
      <c r="X8337" s="93" t="s">
        <v>30</v>
      </c>
      <c r="Y8337" s="93" t="s">
        <v>68</v>
      </c>
      <c r="Z8337" s="134">
        <f>VLOOKUP(W8337,Sheet2!$B:$D,3,FALSE)</f>
        <v>60</v>
      </c>
      <c r="AA8337" s="93">
        <v>1</v>
      </c>
      <c r="AB8337" s="93">
        <f>AD8337/AC8328</f>
        <v>60</v>
      </c>
      <c r="AC8337" s="93">
        <f>AC8328/AA8337</f>
        <v>11.562899999999985</v>
      </c>
      <c r="AD8337" s="94">
        <f t="shared" si="5760"/>
        <v>693.77399999999909</v>
      </c>
      <c r="AE8337" s="190"/>
      <c r="AF8337" s="191"/>
      <c r="AG8337" s="191"/>
      <c r="AH8337" s="191"/>
      <c r="AI8337" s="186"/>
      <c r="AK8337" s="171"/>
    </row>
    <row r="8338" spans="1:41" s="103" customFormat="1" ht="19.899999999999999" customHeight="1" x14ac:dyDescent="0.25">
      <c r="A8338" s="51"/>
      <c r="B8338" s="52"/>
      <c r="C8338" s="165"/>
      <c r="D8338" s="52"/>
      <c r="E8338" s="115"/>
      <c r="F8338" s="58"/>
      <c r="G8338" s="58"/>
      <c r="H8338" s="58"/>
      <c r="I8338" s="55"/>
      <c r="J8338" s="113">
        <f>J8327</f>
        <v>11.562899999999985</v>
      </c>
      <c r="K8338" s="212">
        <f>K8327</f>
        <v>11.562899999999985</v>
      </c>
      <c r="L8338" s="58"/>
      <c r="M8338" s="58">
        <f>K8338-L8338</f>
        <v>11.562899999999985</v>
      </c>
      <c r="N8338" s="166"/>
      <c r="O8338" s="58"/>
      <c r="P8338" s="58"/>
      <c r="Q8338" s="58"/>
      <c r="R8338" s="58"/>
      <c r="S8338" s="58"/>
      <c r="T8338" s="220"/>
      <c r="U8338" s="88"/>
      <c r="V8338" s="56"/>
      <c r="W8338" s="57" t="s">
        <v>1129</v>
      </c>
      <c r="X8338" s="53"/>
      <c r="Y8338" s="91" t="s">
        <v>68</v>
      </c>
      <c r="Z8338" s="136">
        <f>AD8338/AC8338</f>
        <v>4372.5500000000011</v>
      </c>
      <c r="AA8338" s="58"/>
      <c r="AB8338" s="53">
        <f>AD8338/AC8338</f>
        <v>4372.5500000000011</v>
      </c>
      <c r="AC8338" s="53">
        <f>M8338+$AE$10</f>
        <v>11.562899999999985</v>
      </c>
      <c r="AD8338" s="54">
        <f>SUM(AD8339:AD8342)</f>
        <v>50559.358394999945</v>
      </c>
      <c r="AE8338" s="184">
        <f>SUMIFS($AD$37:$AD$12971,$V$37:$V$12971,$V8338,$X$37:$X$12971,AE$13)</f>
        <v>0</v>
      </c>
      <c r="AF8338" s="185">
        <f>SUMIFS($AD$37:$AD$12971,$V$37:$V$12971,$V8338,$X$37:$X$12971,AF$13)</f>
        <v>0</v>
      </c>
      <c r="AG8338" s="185">
        <f>SUMIFS($AD$37:$AD$12971,$V$37:$V$12971,$V8338,$X$37:$X$12971,AG$13)</f>
        <v>0</v>
      </c>
      <c r="AH8338" s="187">
        <f>SUMIFS($AD$37:$AD$12971,$V$37:$V$12971,$V8338,$X$37:$X$12971,AH$13)</f>
        <v>0</v>
      </c>
      <c r="AI8338" s="161">
        <f t="shared" ref="AI8338" si="5761">SUM(AE8338:AH8338)</f>
        <v>0</v>
      </c>
      <c r="AK8338" s="172"/>
    </row>
    <row r="8339" spans="1:41" s="102" customFormat="1" ht="19.899999999999999" customHeight="1" x14ac:dyDescent="0.25">
      <c r="A8339" s="45"/>
      <c r="B8339" s="59"/>
      <c r="C8339" s="137"/>
      <c r="D8339" s="59"/>
      <c r="E8339" s="116"/>
      <c r="F8339" s="120"/>
      <c r="G8339" s="120"/>
      <c r="H8339" s="120"/>
      <c r="I8339" s="60"/>
      <c r="J8339" s="116"/>
      <c r="K8339" s="213"/>
      <c r="L8339" s="120"/>
      <c r="M8339" s="120"/>
      <c r="N8339" s="167"/>
      <c r="O8339" s="120"/>
      <c r="P8339" s="120"/>
      <c r="Q8339" s="120"/>
      <c r="R8339" s="120"/>
      <c r="S8339" s="120"/>
      <c r="T8339" s="221"/>
      <c r="U8339" s="89"/>
      <c r="V8339" s="61"/>
      <c r="W8339" s="92" t="s">
        <v>1105</v>
      </c>
      <c r="X8339" s="93" t="s">
        <v>30</v>
      </c>
      <c r="Y8339" s="93" t="s">
        <v>66</v>
      </c>
      <c r="Z8339" s="134">
        <f>VLOOKUP(W8339,Sheet2!$B:$D,3,FALSE)</f>
        <v>2200</v>
      </c>
      <c r="AA8339" s="93">
        <f>1/((2.6*1.3)-(2*0.7))</f>
        <v>0.50505050505050497</v>
      </c>
      <c r="AB8339" s="93">
        <f>AD8339/AC8338</f>
        <v>4356</v>
      </c>
      <c r="AC8339" s="93">
        <f>AC8338/AA8339</f>
        <v>22.894541999999973</v>
      </c>
      <c r="AD8339" s="94">
        <f t="shared" ref="AD8339" si="5762">AC8339*Z8339</f>
        <v>50367.992399999937</v>
      </c>
      <c r="AE8339" s="190"/>
      <c r="AF8339" s="191"/>
      <c r="AG8339" s="191"/>
      <c r="AH8339" s="191"/>
      <c r="AI8339" s="186"/>
      <c r="AK8339" s="171"/>
    </row>
    <row r="8340" spans="1:41" s="102" customFormat="1" ht="19.899999999999999" customHeight="1" x14ac:dyDescent="0.25">
      <c r="A8340" s="45"/>
      <c r="B8340" s="59"/>
      <c r="C8340" s="137"/>
      <c r="D8340" s="59"/>
      <c r="E8340" s="116"/>
      <c r="F8340" s="120"/>
      <c r="G8340" s="120"/>
      <c r="H8340" s="120"/>
      <c r="I8340" s="60"/>
      <c r="J8340" s="116"/>
      <c r="K8340" s="213"/>
      <c r="L8340" s="120"/>
      <c r="M8340" s="120"/>
      <c r="N8340" s="167"/>
      <c r="O8340" s="120"/>
      <c r="P8340" s="120"/>
      <c r="Q8340" s="120"/>
      <c r="R8340" s="120"/>
      <c r="S8340" s="120"/>
      <c r="T8340" s="221"/>
      <c r="U8340" s="89"/>
      <c r="V8340" s="61"/>
      <c r="W8340" s="92" t="s">
        <v>174</v>
      </c>
      <c r="X8340" s="93" t="s">
        <v>29</v>
      </c>
      <c r="Y8340" s="93" t="s">
        <v>93</v>
      </c>
      <c r="Z8340" s="134">
        <f>VLOOKUP(W8340,Sheet2!$B:$D,3,FALSE)</f>
        <v>80</v>
      </c>
      <c r="AA8340" s="93">
        <f>4*2</f>
        <v>8</v>
      </c>
      <c r="AB8340" s="93">
        <f>AD8340/AC8338</f>
        <v>10</v>
      </c>
      <c r="AC8340" s="93">
        <f>AC8338/AA8340</f>
        <v>1.4453624999999981</v>
      </c>
      <c r="AD8340" s="94">
        <f>AC8340*Z8340</f>
        <v>115.62899999999985</v>
      </c>
      <c r="AE8340" s="190"/>
      <c r="AF8340" s="191"/>
      <c r="AG8340" s="191"/>
      <c r="AH8340" s="191"/>
      <c r="AI8340" s="186"/>
      <c r="AK8340" s="171"/>
    </row>
    <row r="8341" spans="1:41" s="102" customFormat="1" ht="19.899999999999999" customHeight="1" x14ac:dyDescent="0.25">
      <c r="A8341" s="45"/>
      <c r="B8341" s="59"/>
      <c r="C8341" s="137"/>
      <c r="D8341" s="59"/>
      <c r="E8341" s="116"/>
      <c r="F8341" s="120"/>
      <c r="G8341" s="120"/>
      <c r="H8341" s="120"/>
      <c r="I8341" s="60"/>
      <c r="J8341" s="116"/>
      <c r="K8341" s="213"/>
      <c r="L8341" s="120"/>
      <c r="M8341" s="120"/>
      <c r="N8341" s="167"/>
      <c r="O8341" s="120"/>
      <c r="P8341" s="120"/>
      <c r="Q8341" s="120"/>
      <c r="R8341" s="120"/>
      <c r="S8341" s="120"/>
      <c r="T8341" s="221"/>
      <c r="U8341" s="89"/>
      <c r="V8341" s="61"/>
      <c r="W8341" s="92" t="s">
        <v>65</v>
      </c>
      <c r="X8341" s="93" t="s">
        <v>30</v>
      </c>
      <c r="Y8341" s="93" t="s">
        <v>1011</v>
      </c>
      <c r="Z8341" s="134">
        <f>VLOOKUP(W8341,Sheet2!$B:$D,3,FALSE)</f>
        <v>1.76</v>
      </c>
      <c r="AA8341" s="93">
        <f>AA8340/15</f>
        <v>0.53333333333333333</v>
      </c>
      <c r="AB8341" s="93">
        <f>AD8341/AC8338</f>
        <v>3.3</v>
      </c>
      <c r="AC8341" s="93">
        <f>AC8338/AA8341</f>
        <v>21.680437499999972</v>
      </c>
      <c r="AD8341" s="94">
        <f t="shared" ref="AD8341" si="5763">AC8341*Z8341</f>
        <v>38.15756999999995</v>
      </c>
      <c r="AE8341" s="190"/>
      <c r="AF8341" s="191"/>
      <c r="AG8341" s="191"/>
      <c r="AH8341" s="191"/>
      <c r="AI8341" s="186"/>
      <c r="AK8341" s="171"/>
    </row>
    <row r="8342" spans="1:41" s="102" customFormat="1" ht="19.899999999999999" customHeight="1" x14ac:dyDescent="0.25">
      <c r="A8342" s="45"/>
      <c r="B8342" s="59"/>
      <c r="C8342" s="137"/>
      <c r="D8342" s="59"/>
      <c r="E8342" s="116"/>
      <c r="F8342" s="120"/>
      <c r="G8342" s="120"/>
      <c r="H8342" s="120"/>
      <c r="I8342" s="60"/>
      <c r="J8342" s="116"/>
      <c r="K8342" s="213"/>
      <c r="L8342" s="120"/>
      <c r="M8342" s="120"/>
      <c r="N8342" s="167"/>
      <c r="O8342" s="120"/>
      <c r="P8342" s="120"/>
      <c r="Q8342" s="120"/>
      <c r="R8342" s="120"/>
      <c r="S8342" s="120"/>
      <c r="T8342" s="221"/>
      <c r="U8342" s="89"/>
      <c r="V8342" s="61"/>
      <c r="W8342" s="92" t="s">
        <v>112</v>
      </c>
      <c r="X8342" s="93" t="s">
        <v>31</v>
      </c>
      <c r="Y8342" s="93" t="s">
        <v>93</v>
      </c>
      <c r="Z8342" s="134">
        <f>VLOOKUP(W8342,Sheet2!$B:$D,3,FALSE)</f>
        <v>13</v>
      </c>
      <c r="AA8342" s="93">
        <f>AA8340/2</f>
        <v>4</v>
      </c>
      <c r="AB8342" s="93">
        <f>AD8342/AC8338</f>
        <v>3.25</v>
      </c>
      <c r="AC8342" s="93">
        <f>AC8338/AA8342</f>
        <v>2.8907249999999962</v>
      </c>
      <c r="AD8342" s="94">
        <f>AC8342*Z8342</f>
        <v>37.579424999999951</v>
      </c>
      <c r="AE8342" s="190"/>
      <c r="AF8342" s="191"/>
      <c r="AG8342" s="191"/>
      <c r="AH8342" s="191"/>
      <c r="AI8342" s="186"/>
      <c r="AK8342" s="171"/>
    </row>
    <row r="8343" spans="1:41" ht="20.100000000000001" customHeight="1" x14ac:dyDescent="0.25">
      <c r="A8343" s="277" t="s">
        <v>703</v>
      </c>
      <c r="B8343" s="278"/>
      <c r="C8343" s="64" t="s">
        <v>778</v>
      </c>
      <c r="D8343" s="46"/>
      <c r="E8343" s="114"/>
      <c r="F8343" s="44">
        <v>0</v>
      </c>
      <c r="G8343" s="44">
        <f t="shared" si="5545"/>
        <v>0</v>
      </c>
      <c r="H8343" s="44">
        <f t="shared" si="5546"/>
        <v>0</v>
      </c>
      <c r="I8343" s="43">
        <f t="shared" si="5547"/>
        <v>0</v>
      </c>
      <c r="J8343" s="112">
        <f t="shared" si="5548"/>
        <v>0</v>
      </c>
      <c r="K8343" s="211">
        <f t="shared" si="5549"/>
        <v>0</v>
      </c>
      <c r="L8343" s="44"/>
      <c r="M8343" s="44">
        <f t="shared" si="5550"/>
        <v>0</v>
      </c>
      <c r="N8343" s="173">
        <f t="shared" si="5551"/>
        <v>0</v>
      </c>
      <c r="O8343" s="44">
        <f t="shared" si="5552"/>
        <v>0</v>
      </c>
      <c r="P8343" s="44">
        <f t="shared" si="5553"/>
        <v>0</v>
      </c>
      <c r="Q8343" s="44">
        <f t="shared" si="5554"/>
        <v>0</v>
      </c>
      <c r="R8343" s="44">
        <f t="shared" si="5555"/>
        <v>0</v>
      </c>
      <c r="S8343" s="123"/>
      <c r="T8343" s="219">
        <f t="shared" si="5556"/>
        <v>0</v>
      </c>
      <c r="U8343" s="87"/>
      <c r="V8343" s="47"/>
      <c r="W8343" s="48"/>
      <c r="X8343" s="48"/>
      <c r="Y8343" s="48"/>
      <c r="Z8343" s="135"/>
      <c r="AA8343" s="49"/>
      <c r="AB8343" s="50">
        <f t="shared" si="5557"/>
        <v>0</v>
      </c>
      <c r="AC8343" s="42">
        <f t="shared" si="5558"/>
        <v>9.9999999999999998E-20</v>
      </c>
      <c r="AD8343" s="90"/>
      <c r="AE8343" s="188"/>
      <c r="AF8343" s="189"/>
      <c r="AG8343" s="189"/>
      <c r="AH8343" s="189"/>
      <c r="AI8343" s="161"/>
    </row>
    <row r="8344" spans="1:41" ht="20.100000000000001" customHeight="1" x14ac:dyDescent="0.25">
      <c r="A8344" s="277" t="s">
        <v>703</v>
      </c>
      <c r="B8344" s="278"/>
      <c r="C8344" s="64" t="s">
        <v>763</v>
      </c>
      <c r="D8344" s="46" t="s">
        <v>97</v>
      </c>
      <c r="E8344" s="114"/>
      <c r="F8344" s="44">
        <v>0</v>
      </c>
      <c r="G8344" s="44">
        <f t="shared" si="5545"/>
        <v>0</v>
      </c>
      <c r="H8344" s="44">
        <f t="shared" si="5546"/>
        <v>0</v>
      </c>
      <c r="I8344" s="43">
        <f t="shared" si="5547"/>
        <v>0</v>
      </c>
      <c r="J8344" s="112">
        <f t="shared" si="5548"/>
        <v>0</v>
      </c>
      <c r="K8344" s="211">
        <f t="shared" si="5549"/>
        <v>0</v>
      </c>
      <c r="L8344" s="44"/>
      <c r="M8344" s="44">
        <f t="shared" si="5550"/>
        <v>0</v>
      </c>
      <c r="N8344" s="173">
        <f t="shared" si="5551"/>
        <v>0</v>
      </c>
      <c r="O8344" s="44">
        <f t="shared" si="5552"/>
        <v>0</v>
      </c>
      <c r="P8344" s="44">
        <f t="shared" si="5553"/>
        <v>0</v>
      </c>
      <c r="Q8344" s="44">
        <f t="shared" si="5554"/>
        <v>0</v>
      </c>
      <c r="R8344" s="44">
        <f t="shared" si="5555"/>
        <v>0</v>
      </c>
      <c r="S8344" s="123"/>
      <c r="T8344" s="219">
        <f t="shared" si="5556"/>
        <v>0</v>
      </c>
      <c r="U8344" s="87"/>
      <c r="V8344" s="47"/>
      <c r="W8344" s="48"/>
      <c r="X8344" s="48"/>
      <c r="Y8344" s="48"/>
      <c r="Z8344" s="135"/>
      <c r="AA8344" s="49"/>
      <c r="AB8344" s="50">
        <f t="shared" si="5557"/>
        <v>0</v>
      </c>
      <c r="AC8344" s="42">
        <f t="shared" si="5558"/>
        <v>9.9999999999999998E-20</v>
      </c>
      <c r="AD8344" s="90"/>
      <c r="AE8344" s="188"/>
      <c r="AF8344" s="189"/>
      <c r="AG8344" s="189"/>
      <c r="AH8344" s="189"/>
      <c r="AI8344" s="161"/>
    </row>
    <row r="8345" spans="1:41" ht="20.100000000000001" customHeight="1" x14ac:dyDescent="0.25">
      <c r="A8345" s="277" t="s">
        <v>703</v>
      </c>
      <c r="B8345" s="278"/>
      <c r="C8345" s="64" t="s">
        <v>764</v>
      </c>
      <c r="D8345" s="46" t="s">
        <v>97</v>
      </c>
      <c r="E8345" s="114"/>
      <c r="F8345" s="44">
        <v>0</v>
      </c>
      <c r="G8345" s="44">
        <f t="shared" si="5545"/>
        <v>0</v>
      </c>
      <c r="H8345" s="44">
        <f t="shared" si="5546"/>
        <v>0</v>
      </c>
      <c r="I8345" s="43">
        <f t="shared" si="5547"/>
        <v>0</v>
      </c>
      <c r="J8345" s="112">
        <f t="shared" si="5548"/>
        <v>0</v>
      </c>
      <c r="K8345" s="211">
        <f t="shared" si="5549"/>
        <v>0</v>
      </c>
      <c r="L8345" s="44"/>
      <c r="M8345" s="44">
        <f t="shared" si="5550"/>
        <v>0</v>
      </c>
      <c r="N8345" s="173">
        <f t="shared" si="5551"/>
        <v>0</v>
      </c>
      <c r="O8345" s="44">
        <f t="shared" si="5552"/>
        <v>0</v>
      </c>
      <c r="P8345" s="44">
        <f t="shared" si="5553"/>
        <v>0</v>
      </c>
      <c r="Q8345" s="44">
        <f t="shared" si="5554"/>
        <v>0</v>
      </c>
      <c r="R8345" s="44">
        <f t="shared" si="5555"/>
        <v>0</v>
      </c>
      <c r="S8345" s="123"/>
      <c r="T8345" s="219">
        <f t="shared" si="5556"/>
        <v>0</v>
      </c>
      <c r="U8345" s="87"/>
      <c r="V8345" s="47"/>
      <c r="W8345" s="48"/>
      <c r="X8345" s="48"/>
      <c r="Y8345" s="48"/>
      <c r="Z8345" s="135"/>
      <c r="AA8345" s="49"/>
      <c r="AB8345" s="50">
        <f t="shared" si="5557"/>
        <v>0</v>
      </c>
      <c r="AC8345" s="42">
        <f t="shared" si="5558"/>
        <v>9.9999999999999998E-20</v>
      </c>
      <c r="AD8345" s="90"/>
      <c r="AE8345" s="188"/>
      <c r="AF8345" s="189"/>
      <c r="AG8345" s="189"/>
      <c r="AH8345" s="189"/>
      <c r="AI8345" s="161"/>
    </row>
    <row r="8346" spans="1:41" ht="20.100000000000001" customHeight="1" x14ac:dyDescent="0.25">
      <c r="A8346" s="277" t="s">
        <v>703</v>
      </c>
      <c r="B8346" s="278"/>
      <c r="C8346" s="64" t="s">
        <v>765</v>
      </c>
      <c r="D8346" s="46" t="s">
        <v>97</v>
      </c>
      <c r="E8346" s="114"/>
      <c r="F8346" s="44">
        <v>0</v>
      </c>
      <c r="G8346" s="44">
        <f t="shared" si="5545"/>
        <v>0</v>
      </c>
      <c r="H8346" s="44">
        <f t="shared" si="5546"/>
        <v>0</v>
      </c>
      <c r="I8346" s="43">
        <f t="shared" si="5547"/>
        <v>0</v>
      </c>
      <c r="J8346" s="112">
        <f t="shared" si="5548"/>
        <v>0</v>
      </c>
      <c r="K8346" s="211">
        <f t="shared" si="5549"/>
        <v>0</v>
      </c>
      <c r="L8346" s="44"/>
      <c r="M8346" s="44">
        <f t="shared" si="5550"/>
        <v>0</v>
      </c>
      <c r="N8346" s="173">
        <f t="shared" si="5551"/>
        <v>0</v>
      </c>
      <c r="O8346" s="44">
        <f t="shared" si="5552"/>
        <v>0</v>
      </c>
      <c r="P8346" s="44">
        <f t="shared" si="5553"/>
        <v>0</v>
      </c>
      <c r="Q8346" s="44">
        <f t="shared" si="5554"/>
        <v>0</v>
      </c>
      <c r="R8346" s="44">
        <f t="shared" si="5555"/>
        <v>0</v>
      </c>
      <c r="S8346" s="123"/>
      <c r="T8346" s="219">
        <f t="shared" si="5556"/>
        <v>0</v>
      </c>
      <c r="U8346" s="87"/>
      <c r="V8346" s="47"/>
      <c r="W8346" s="48"/>
      <c r="X8346" s="48"/>
      <c r="Y8346" s="48"/>
      <c r="Z8346" s="135"/>
      <c r="AA8346" s="49"/>
      <c r="AB8346" s="50">
        <f t="shared" si="5557"/>
        <v>0</v>
      </c>
      <c r="AC8346" s="42">
        <f t="shared" si="5558"/>
        <v>9.9999999999999998E-20</v>
      </c>
      <c r="AD8346" s="90"/>
      <c r="AE8346" s="188"/>
      <c r="AF8346" s="189"/>
      <c r="AG8346" s="189"/>
      <c r="AH8346" s="189"/>
      <c r="AI8346" s="161"/>
    </row>
    <row r="8347" spans="1:41" ht="20.100000000000001" customHeight="1" x14ac:dyDescent="0.25">
      <c r="A8347" s="277" t="s">
        <v>703</v>
      </c>
      <c r="B8347" s="278"/>
      <c r="C8347" s="64" t="s">
        <v>766</v>
      </c>
      <c r="D8347" s="46" t="s">
        <v>97</v>
      </c>
      <c r="E8347" s="114"/>
      <c r="F8347" s="44">
        <v>0</v>
      </c>
      <c r="G8347" s="44">
        <f t="shared" si="5545"/>
        <v>0</v>
      </c>
      <c r="H8347" s="44">
        <f t="shared" si="5546"/>
        <v>0</v>
      </c>
      <c r="I8347" s="43">
        <f t="shared" si="5547"/>
        <v>0</v>
      </c>
      <c r="J8347" s="112">
        <f t="shared" si="5548"/>
        <v>0</v>
      </c>
      <c r="K8347" s="211">
        <f t="shared" si="5549"/>
        <v>0</v>
      </c>
      <c r="L8347" s="44"/>
      <c r="M8347" s="44">
        <f t="shared" si="5550"/>
        <v>0</v>
      </c>
      <c r="N8347" s="173">
        <f t="shared" si="5551"/>
        <v>0</v>
      </c>
      <c r="O8347" s="44">
        <f t="shared" si="5552"/>
        <v>0</v>
      </c>
      <c r="P8347" s="44">
        <f t="shared" si="5553"/>
        <v>0</v>
      </c>
      <c r="Q8347" s="44">
        <f t="shared" si="5554"/>
        <v>0</v>
      </c>
      <c r="R8347" s="44">
        <f t="shared" si="5555"/>
        <v>0</v>
      </c>
      <c r="S8347" s="123"/>
      <c r="T8347" s="219">
        <f t="shared" si="5556"/>
        <v>0</v>
      </c>
      <c r="U8347" s="87"/>
      <c r="V8347" s="47"/>
      <c r="W8347" s="48"/>
      <c r="X8347" s="48"/>
      <c r="Y8347" s="48"/>
      <c r="Z8347" s="135"/>
      <c r="AA8347" s="49"/>
      <c r="AB8347" s="50">
        <f t="shared" si="5557"/>
        <v>0</v>
      </c>
      <c r="AC8347" s="42">
        <f t="shared" si="5558"/>
        <v>9.9999999999999998E-20</v>
      </c>
      <c r="AD8347" s="90"/>
      <c r="AE8347" s="188"/>
      <c r="AF8347" s="189"/>
      <c r="AG8347" s="189"/>
      <c r="AH8347" s="189"/>
      <c r="AI8347" s="161"/>
    </row>
    <row r="8348" spans="1:41" ht="20.100000000000001" customHeight="1" x14ac:dyDescent="0.25">
      <c r="A8348" s="277" t="s">
        <v>703</v>
      </c>
      <c r="B8348" s="278"/>
      <c r="C8348" s="64" t="s">
        <v>768</v>
      </c>
      <c r="D8348" s="46" t="s">
        <v>97</v>
      </c>
      <c r="E8348" s="114">
        <v>6.3180000000000014</v>
      </c>
      <c r="F8348" s="44">
        <v>5033</v>
      </c>
      <c r="G8348" s="44">
        <f t="shared" si="5545"/>
        <v>31798.494000000006</v>
      </c>
      <c r="H8348" s="44">
        <f t="shared" si="5546"/>
        <v>4086.2355058823532</v>
      </c>
      <c r="I8348" s="43">
        <f t="shared" si="5547"/>
        <v>25816.835926164713</v>
      </c>
      <c r="J8348" s="112">
        <f t="shared" si="5548"/>
        <v>6.3180000000000014</v>
      </c>
      <c r="K8348" s="211">
        <f t="shared" si="5549"/>
        <v>6.3180000000000014</v>
      </c>
      <c r="L8348" s="44"/>
      <c r="M8348" s="44">
        <f t="shared" si="5550"/>
        <v>6.3180000000000014</v>
      </c>
      <c r="N8348" s="173">
        <f t="shared" si="5551"/>
        <v>1</v>
      </c>
      <c r="O8348" s="44">
        <f t="shared" si="5552"/>
        <v>5033</v>
      </c>
      <c r="P8348" s="44">
        <f t="shared" si="5553"/>
        <v>31798.494000000006</v>
      </c>
      <c r="Q8348" s="44">
        <f t="shared" si="5554"/>
        <v>4086.2355058823532</v>
      </c>
      <c r="R8348" s="44">
        <f t="shared" si="5555"/>
        <v>25816.835926164713</v>
      </c>
      <c r="S8348" s="123"/>
      <c r="T8348" s="219">
        <f t="shared" si="5556"/>
        <v>25816.835926164713</v>
      </c>
      <c r="U8348" s="87"/>
      <c r="V8348" s="47"/>
      <c r="W8348" s="48"/>
      <c r="X8348" s="48"/>
      <c r="Y8348" s="48"/>
      <c r="Z8348" s="135"/>
      <c r="AA8348" s="49"/>
      <c r="AB8348" s="50">
        <f t="shared" si="5557"/>
        <v>4086.2355058823532</v>
      </c>
      <c r="AC8348" s="42">
        <f t="shared" si="5558"/>
        <v>6.3180000000000014</v>
      </c>
      <c r="AD8348" s="90">
        <f>AD8349+AD8359</f>
        <v>25816.835926164713</v>
      </c>
      <c r="AE8348" s="188">
        <f t="shared" ref="AE8348:AH8348" si="5764">AE8349+AE8359</f>
        <v>0</v>
      </c>
      <c r="AF8348" s="189">
        <f t="shared" si="5764"/>
        <v>0</v>
      </c>
      <c r="AG8348" s="189">
        <f t="shared" si="5764"/>
        <v>0</v>
      </c>
      <c r="AH8348" s="189">
        <f t="shared" si="5764"/>
        <v>0</v>
      </c>
      <c r="AI8348" s="161">
        <f t="shared" ref="AI8348" si="5765">SUM(AE8348:AH8348)</f>
        <v>0</v>
      </c>
      <c r="AK8348" s="169">
        <v>5</v>
      </c>
      <c r="AO8348" s="19" t="s">
        <v>63</v>
      </c>
    </row>
    <row r="8349" spans="1:41" s="103" customFormat="1" ht="19.899999999999999" customHeight="1" x14ac:dyDescent="0.25">
      <c r="A8349" s="51"/>
      <c r="B8349" s="52"/>
      <c r="C8349" s="165"/>
      <c r="D8349" s="52"/>
      <c r="E8349" s="115"/>
      <c r="F8349" s="58"/>
      <c r="G8349" s="58"/>
      <c r="H8349" s="58"/>
      <c r="I8349" s="55"/>
      <c r="J8349" s="113">
        <f>J8348</f>
        <v>6.3180000000000014</v>
      </c>
      <c r="K8349" s="212">
        <f>K8348</f>
        <v>6.3180000000000014</v>
      </c>
      <c r="L8349" s="58"/>
      <c r="M8349" s="58">
        <f>K8349-L8349</f>
        <v>6.3180000000000014</v>
      </c>
      <c r="N8349" s="166"/>
      <c r="O8349" s="58"/>
      <c r="P8349" s="58"/>
      <c r="Q8349" s="58"/>
      <c r="R8349" s="58"/>
      <c r="S8349" s="58"/>
      <c r="T8349" s="220"/>
      <c r="U8349" s="88"/>
      <c r="V8349" s="56"/>
      <c r="W8349" s="57" t="s">
        <v>1124</v>
      </c>
      <c r="X8349" s="53"/>
      <c r="Y8349" s="91" t="s">
        <v>68</v>
      </c>
      <c r="Z8349" s="136">
        <f>AD8349/AC8349</f>
        <v>109.68550588235293</v>
      </c>
      <c r="AA8349" s="58"/>
      <c r="AB8349" s="53">
        <f>AD8349/AC8349</f>
        <v>109.68550588235293</v>
      </c>
      <c r="AC8349" s="53">
        <f>M8349+$AE$10</f>
        <v>6.3180000000000014</v>
      </c>
      <c r="AD8349" s="54">
        <f>SUM(AD8350:AD8358)</f>
        <v>692.99302616470595</v>
      </c>
      <c r="AE8349" s="184">
        <f>SUMIFS($AD$37:$AD$12971,$V$37:$V$12971,$V8349,$X$37:$X$12971,AE$13)</f>
        <v>0</v>
      </c>
      <c r="AF8349" s="185">
        <f>SUMIFS($AD$37:$AD$12971,$V$37:$V$12971,$V8349,$X$37:$X$12971,AF$13)</f>
        <v>0</v>
      </c>
      <c r="AG8349" s="185">
        <f>SUMIFS($AD$37:$AD$12971,$V$37:$V$12971,$V8349,$X$37:$X$12971,AG$13)</f>
        <v>0</v>
      </c>
      <c r="AH8349" s="187">
        <f>SUMIFS($AD$37:$AD$12971,$V$37:$V$12971,$V8349,$X$37:$X$12971,AH$13)</f>
        <v>0</v>
      </c>
      <c r="AI8349" s="161">
        <f t="shared" ref="AI8349" si="5766">SUM(AE8349:AH8349)</f>
        <v>0</v>
      </c>
      <c r="AK8349" s="172"/>
    </row>
    <row r="8350" spans="1:41" s="102" customFormat="1" ht="19.899999999999999" customHeight="1" x14ac:dyDescent="0.25">
      <c r="A8350" s="45"/>
      <c r="B8350" s="59"/>
      <c r="C8350" s="137"/>
      <c r="D8350" s="59"/>
      <c r="E8350" s="116"/>
      <c r="F8350" s="120"/>
      <c r="G8350" s="120"/>
      <c r="H8350" s="120"/>
      <c r="I8350" s="60"/>
      <c r="J8350" s="116"/>
      <c r="K8350" s="213"/>
      <c r="L8350" s="120"/>
      <c r="M8350" s="120"/>
      <c r="N8350" s="167"/>
      <c r="O8350" s="120"/>
      <c r="P8350" s="120"/>
      <c r="Q8350" s="120"/>
      <c r="R8350" s="120"/>
      <c r="S8350" s="120"/>
      <c r="T8350" s="221"/>
      <c r="U8350" s="89"/>
      <c r="V8350" s="61"/>
      <c r="W8350" s="92" t="s">
        <v>129</v>
      </c>
      <c r="X8350" s="93" t="s">
        <v>29</v>
      </c>
      <c r="Y8350" s="93" t="s">
        <v>93</v>
      </c>
      <c r="Z8350" s="134">
        <f>VLOOKUP(W8350,Sheet2!$B:$D,3,FALSE)</f>
        <v>56</v>
      </c>
      <c r="AA8350" s="93">
        <f>100/(3*3.5)</f>
        <v>9.5238095238095237</v>
      </c>
      <c r="AB8350" s="93">
        <f t="shared" ref="AB8350" si="5767">AD8350/AC8349</f>
        <v>5.8800000000000008</v>
      </c>
      <c r="AC8350" s="93">
        <f>AC8349/AA8350</f>
        <v>0.66339000000000015</v>
      </c>
      <c r="AD8350" s="94">
        <f t="shared" ref="AD8350:AD8351" si="5768">AC8350*Z8350</f>
        <v>37.149840000000012</v>
      </c>
      <c r="AE8350" s="190"/>
      <c r="AF8350" s="191"/>
      <c r="AG8350" s="191"/>
      <c r="AH8350" s="191"/>
      <c r="AI8350" s="186"/>
      <c r="AK8350" s="171"/>
    </row>
    <row r="8351" spans="1:41" s="102" customFormat="1" ht="19.899999999999999" customHeight="1" x14ac:dyDescent="0.25">
      <c r="A8351" s="45"/>
      <c r="B8351" s="59"/>
      <c r="C8351" s="137"/>
      <c r="D8351" s="59"/>
      <c r="E8351" s="116"/>
      <c r="F8351" s="120"/>
      <c r="G8351" s="120"/>
      <c r="H8351" s="120"/>
      <c r="I8351" s="60"/>
      <c r="J8351" s="116"/>
      <c r="K8351" s="213"/>
      <c r="L8351" s="120"/>
      <c r="M8351" s="120"/>
      <c r="N8351" s="167"/>
      <c r="O8351" s="120"/>
      <c r="P8351" s="120"/>
      <c r="Q8351" s="120"/>
      <c r="R8351" s="120"/>
      <c r="S8351" s="120"/>
      <c r="T8351" s="221"/>
      <c r="U8351" s="89"/>
      <c r="V8351" s="61"/>
      <c r="W8351" s="92" t="s">
        <v>65</v>
      </c>
      <c r="X8351" s="93" t="s">
        <v>30</v>
      </c>
      <c r="Y8351" s="93" t="s">
        <v>1011</v>
      </c>
      <c r="Z8351" s="134">
        <f>VLOOKUP(W8351,Sheet2!$B:$D,3,FALSE)</f>
        <v>1.76</v>
      </c>
      <c r="AA8351" s="93">
        <f>AA8350/14</f>
        <v>0.68027210884353739</v>
      </c>
      <c r="AB8351" s="93">
        <f>AD8351/AC8349</f>
        <v>2.5872000000000002</v>
      </c>
      <c r="AC8351" s="93">
        <f>AC8349/AA8351</f>
        <v>9.2874600000000029</v>
      </c>
      <c r="AD8351" s="94">
        <f t="shared" si="5768"/>
        <v>16.345929600000005</v>
      </c>
      <c r="AE8351" s="190"/>
      <c r="AF8351" s="191"/>
      <c r="AG8351" s="191"/>
      <c r="AH8351" s="191"/>
      <c r="AI8351" s="186"/>
      <c r="AK8351" s="171"/>
    </row>
    <row r="8352" spans="1:41" s="102" customFormat="1" ht="19.899999999999999" customHeight="1" x14ac:dyDescent="0.25">
      <c r="A8352" s="45"/>
      <c r="B8352" s="59"/>
      <c r="C8352" s="137"/>
      <c r="D8352" s="59"/>
      <c r="E8352" s="116"/>
      <c r="F8352" s="120"/>
      <c r="G8352" s="120"/>
      <c r="H8352" s="120"/>
      <c r="I8352" s="60"/>
      <c r="J8352" s="116"/>
      <c r="K8352" s="213"/>
      <c r="L8352" s="120"/>
      <c r="M8352" s="120"/>
      <c r="N8352" s="167"/>
      <c r="O8352" s="120"/>
      <c r="P8352" s="120"/>
      <c r="Q8352" s="120"/>
      <c r="R8352" s="120"/>
      <c r="S8352" s="120"/>
      <c r="T8352" s="221"/>
      <c r="U8352" s="89"/>
      <c r="V8352" s="61"/>
      <c r="W8352" s="92" t="s">
        <v>161</v>
      </c>
      <c r="X8352" s="93" t="s">
        <v>29</v>
      </c>
      <c r="Y8352" s="93" t="s">
        <v>93</v>
      </c>
      <c r="Z8352" s="134">
        <f>VLOOKUP(W8352,Sheet2!$B:$D,3,FALSE)</f>
        <v>48</v>
      </c>
      <c r="AA8352" s="93">
        <f>(16*0.85*1.5)/(3*3.5)</f>
        <v>1.9428571428571426</v>
      </c>
      <c r="AB8352" s="93">
        <f>AD8352/AC8349</f>
        <v>24.705882352941178</v>
      </c>
      <c r="AC8352" s="93">
        <f>AC8349/AA8352</f>
        <v>3.2519117647058833</v>
      </c>
      <c r="AD8352" s="94">
        <f>AC8352*Z8352</f>
        <v>156.09176470588238</v>
      </c>
      <c r="AE8352" s="190"/>
      <c r="AF8352" s="191"/>
      <c r="AG8352" s="191"/>
      <c r="AH8352" s="191"/>
      <c r="AI8352" s="186"/>
      <c r="AK8352" s="171"/>
    </row>
    <row r="8353" spans="1:41" s="102" customFormat="1" ht="19.899999999999999" customHeight="1" x14ac:dyDescent="0.25">
      <c r="A8353" s="45"/>
      <c r="B8353" s="59"/>
      <c r="C8353" s="137"/>
      <c r="D8353" s="59"/>
      <c r="E8353" s="116"/>
      <c r="F8353" s="120"/>
      <c r="G8353" s="120"/>
      <c r="H8353" s="120"/>
      <c r="I8353" s="60"/>
      <c r="J8353" s="116"/>
      <c r="K8353" s="213"/>
      <c r="L8353" s="120"/>
      <c r="M8353" s="120"/>
      <c r="N8353" s="167"/>
      <c r="O8353" s="120"/>
      <c r="P8353" s="120"/>
      <c r="Q8353" s="120"/>
      <c r="R8353" s="120"/>
      <c r="S8353" s="120"/>
      <c r="T8353" s="221"/>
      <c r="U8353" s="89"/>
      <c r="V8353" s="61"/>
      <c r="W8353" s="92" t="s">
        <v>65</v>
      </c>
      <c r="X8353" s="93" t="s">
        <v>30</v>
      </c>
      <c r="Y8353" s="93" t="s">
        <v>1011</v>
      </c>
      <c r="Z8353" s="134">
        <f>VLOOKUP(W8353,Sheet2!$B:$D,3,FALSE)</f>
        <v>1.76</v>
      </c>
      <c r="AA8353" s="93">
        <f>AA8352/10</f>
        <v>0.19428571428571426</v>
      </c>
      <c r="AB8353" s="93">
        <f>AD8353/AC8349</f>
        <v>9.0588235294117663</v>
      </c>
      <c r="AC8353" s="93">
        <f>AC8349/AA8353</f>
        <v>32.519117647058835</v>
      </c>
      <c r="AD8353" s="94">
        <f>AC8353*Z8353</f>
        <v>57.23364705882355</v>
      </c>
      <c r="AE8353" s="190"/>
      <c r="AF8353" s="191"/>
      <c r="AG8353" s="191"/>
      <c r="AH8353" s="191"/>
      <c r="AI8353" s="186"/>
      <c r="AK8353" s="171"/>
    </row>
    <row r="8354" spans="1:41" s="102" customFormat="1" ht="19.899999999999999" customHeight="1" x14ac:dyDescent="0.25">
      <c r="A8354" s="45"/>
      <c r="B8354" s="59"/>
      <c r="C8354" s="137"/>
      <c r="D8354" s="59"/>
      <c r="E8354" s="116"/>
      <c r="F8354" s="120"/>
      <c r="G8354" s="120"/>
      <c r="H8354" s="120"/>
      <c r="I8354" s="60"/>
      <c r="J8354" s="116"/>
      <c r="K8354" s="213"/>
      <c r="L8354" s="120"/>
      <c r="M8354" s="120"/>
      <c r="N8354" s="167"/>
      <c r="O8354" s="120"/>
      <c r="P8354" s="120"/>
      <c r="Q8354" s="120"/>
      <c r="R8354" s="120"/>
      <c r="S8354" s="120"/>
      <c r="T8354" s="221"/>
      <c r="U8354" s="89"/>
      <c r="V8354" s="61"/>
      <c r="W8354" s="92" t="s">
        <v>1030</v>
      </c>
      <c r="X8354" s="93" t="s">
        <v>29</v>
      </c>
      <c r="Y8354" s="93" t="s">
        <v>93</v>
      </c>
      <c r="Z8354" s="134">
        <f>VLOOKUP(W8354,Sheet2!$B:$D,3,FALSE)</f>
        <v>23</v>
      </c>
      <c r="AA8354" s="93">
        <v>50</v>
      </c>
      <c r="AB8354" s="93">
        <f>AD8354/AC8349</f>
        <v>0.46</v>
      </c>
      <c r="AC8354" s="93">
        <f>AC8349/AA8354</f>
        <v>0.12636000000000003</v>
      </c>
      <c r="AD8354" s="94">
        <f t="shared" ref="AD8354:AD8358" si="5769">AC8354*Z8354</f>
        <v>2.9062800000000006</v>
      </c>
      <c r="AE8354" s="190"/>
      <c r="AF8354" s="191"/>
      <c r="AG8354" s="191"/>
      <c r="AH8354" s="191"/>
      <c r="AI8354" s="186"/>
      <c r="AK8354" s="171"/>
    </row>
    <row r="8355" spans="1:41" s="102" customFormat="1" ht="19.899999999999999" customHeight="1" x14ac:dyDescent="0.25">
      <c r="A8355" s="45"/>
      <c r="B8355" s="59"/>
      <c r="C8355" s="137"/>
      <c r="D8355" s="59"/>
      <c r="E8355" s="116"/>
      <c r="F8355" s="120"/>
      <c r="G8355" s="120"/>
      <c r="H8355" s="120"/>
      <c r="I8355" s="60"/>
      <c r="J8355" s="116"/>
      <c r="K8355" s="213"/>
      <c r="L8355" s="120"/>
      <c r="M8355" s="120"/>
      <c r="N8355" s="167"/>
      <c r="O8355" s="120"/>
      <c r="P8355" s="120"/>
      <c r="Q8355" s="120"/>
      <c r="R8355" s="120"/>
      <c r="S8355" s="120"/>
      <c r="T8355" s="221"/>
      <c r="U8355" s="89"/>
      <c r="V8355" s="61"/>
      <c r="W8355" s="92" t="s">
        <v>65</v>
      </c>
      <c r="X8355" s="93" t="s">
        <v>30</v>
      </c>
      <c r="Y8355" s="93" t="s">
        <v>1011</v>
      </c>
      <c r="Z8355" s="134">
        <f>VLOOKUP(W8355,Sheet2!$B:$D,3,FALSE)</f>
        <v>1.76</v>
      </c>
      <c r="AA8355" s="93">
        <f>AA8354/3</f>
        <v>16.666666666666668</v>
      </c>
      <c r="AB8355" s="93">
        <f>AD8355/AC8349</f>
        <v>0.1056</v>
      </c>
      <c r="AC8355" s="93">
        <f>AC8349/AA8355</f>
        <v>0.37908000000000008</v>
      </c>
      <c r="AD8355" s="94">
        <f t="shared" si="5769"/>
        <v>0.66718080000000013</v>
      </c>
      <c r="AE8355" s="190"/>
      <c r="AF8355" s="191"/>
      <c r="AG8355" s="191"/>
      <c r="AH8355" s="191"/>
      <c r="AI8355" s="186"/>
      <c r="AK8355" s="171"/>
    </row>
    <row r="8356" spans="1:41" s="102" customFormat="1" ht="19.899999999999999" customHeight="1" x14ac:dyDescent="0.25">
      <c r="A8356" s="45"/>
      <c r="B8356" s="59"/>
      <c r="C8356" s="137"/>
      <c r="D8356" s="59"/>
      <c r="E8356" s="116"/>
      <c r="F8356" s="120"/>
      <c r="G8356" s="120"/>
      <c r="H8356" s="120"/>
      <c r="I8356" s="60"/>
      <c r="J8356" s="116"/>
      <c r="K8356" s="213"/>
      <c r="L8356" s="120"/>
      <c r="M8356" s="120"/>
      <c r="N8356" s="167"/>
      <c r="O8356" s="120"/>
      <c r="P8356" s="120"/>
      <c r="Q8356" s="120"/>
      <c r="R8356" s="120"/>
      <c r="S8356" s="120"/>
      <c r="T8356" s="221"/>
      <c r="U8356" s="89"/>
      <c r="V8356" s="61"/>
      <c r="W8356" s="92" t="s">
        <v>148</v>
      </c>
      <c r="X8356" s="93" t="s">
        <v>29</v>
      </c>
      <c r="Y8356" s="93" t="s">
        <v>93</v>
      </c>
      <c r="Z8356" s="134">
        <f>VLOOKUP(W8356,Sheet2!$B:$D,3,FALSE)</f>
        <v>48</v>
      </c>
      <c r="AA8356" s="93">
        <f>AA8350</f>
        <v>9.5238095238095237</v>
      </c>
      <c r="AB8356" s="93">
        <f>AD8356/AC8349</f>
        <v>5.04</v>
      </c>
      <c r="AC8356" s="93">
        <f>AC8349/AA8356</f>
        <v>0.66339000000000015</v>
      </c>
      <c r="AD8356" s="94">
        <f t="shared" si="5769"/>
        <v>31.842720000000007</v>
      </c>
      <c r="AE8356" s="190"/>
      <c r="AF8356" s="191"/>
      <c r="AG8356" s="191"/>
      <c r="AH8356" s="191"/>
      <c r="AI8356" s="186"/>
      <c r="AK8356" s="171"/>
    </row>
    <row r="8357" spans="1:41" s="102" customFormat="1" ht="19.899999999999999" customHeight="1" x14ac:dyDescent="0.25">
      <c r="A8357" s="45"/>
      <c r="B8357" s="59"/>
      <c r="C8357" s="137"/>
      <c r="D8357" s="59"/>
      <c r="E8357" s="116"/>
      <c r="F8357" s="120"/>
      <c r="G8357" s="120"/>
      <c r="H8357" s="120"/>
      <c r="I8357" s="60"/>
      <c r="J8357" s="116"/>
      <c r="K8357" s="213"/>
      <c r="L8357" s="120"/>
      <c r="M8357" s="120"/>
      <c r="N8357" s="167"/>
      <c r="O8357" s="120"/>
      <c r="P8357" s="120"/>
      <c r="Q8357" s="120"/>
      <c r="R8357" s="120"/>
      <c r="S8357" s="120"/>
      <c r="T8357" s="221"/>
      <c r="U8357" s="89"/>
      <c r="V8357" s="61"/>
      <c r="W8357" s="92" t="s">
        <v>65</v>
      </c>
      <c r="X8357" s="93" t="s">
        <v>30</v>
      </c>
      <c r="Y8357" s="93" t="s">
        <v>1011</v>
      </c>
      <c r="Z8357" s="134">
        <f>VLOOKUP(W8357,Sheet2!$B:$D,3,FALSE)</f>
        <v>1.76</v>
      </c>
      <c r="AA8357" s="93">
        <f>AA8356/10</f>
        <v>0.95238095238095233</v>
      </c>
      <c r="AB8357" s="93">
        <f>AD8357/AC8349</f>
        <v>1.8480000000000001</v>
      </c>
      <c r="AC8357" s="93">
        <f>AC8349/AA8357</f>
        <v>6.6339000000000015</v>
      </c>
      <c r="AD8357" s="94">
        <f t="shared" si="5769"/>
        <v>11.675664000000003</v>
      </c>
      <c r="AE8357" s="190"/>
      <c r="AF8357" s="191"/>
      <c r="AG8357" s="191"/>
      <c r="AH8357" s="191"/>
      <c r="AI8357" s="186"/>
      <c r="AK8357" s="171"/>
    </row>
    <row r="8358" spans="1:41" s="102" customFormat="1" ht="19.899999999999999" customHeight="1" x14ac:dyDescent="0.25">
      <c r="A8358" s="45"/>
      <c r="B8358" s="59"/>
      <c r="C8358" s="137"/>
      <c r="D8358" s="59"/>
      <c r="E8358" s="116"/>
      <c r="F8358" s="120"/>
      <c r="G8358" s="120"/>
      <c r="H8358" s="120"/>
      <c r="I8358" s="60"/>
      <c r="J8358" s="116"/>
      <c r="K8358" s="213"/>
      <c r="L8358" s="120"/>
      <c r="M8358" s="120"/>
      <c r="N8358" s="167"/>
      <c r="O8358" s="120"/>
      <c r="P8358" s="120"/>
      <c r="Q8358" s="120"/>
      <c r="R8358" s="120"/>
      <c r="S8358" s="120"/>
      <c r="T8358" s="221"/>
      <c r="U8358" s="89"/>
      <c r="V8358" s="61"/>
      <c r="W8358" s="92" t="s">
        <v>1049</v>
      </c>
      <c r="X8358" s="93" t="s">
        <v>30</v>
      </c>
      <c r="Y8358" s="93" t="s">
        <v>68</v>
      </c>
      <c r="Z8358" s="134">
        <f>VLOOKUP(W8358,Sheet2!$B:$D,3,FALSE)</f>
        <v>60</v>
      </c>
      <c r="AA8358" s="93">
        <v>1</v>
      </c>
      <c r="AB8358" s="93">
        <f>AD8358/AC8349</f>
        <v>60</v>
      </c>
      <c r="AC8358" s="93">
        <f>AC8349/AA8358</f>
        <v>6.3180000000000014</v>
      </c>
      <c r="AD8358" s="94">
        <f t="shared" si="5769"/>
        <v>379.0800000000001</v>
      </c>
      <c r="AE8358" s="190"/>
      <c r="AF8358" s="191"/>
      <c r="AG8358" s="191"/>
      <c r="AH8358" s="191"/>
      <c r="AI8358" s="186"/>
      <c r="AK8358" s="171"/>
    </row>
    <row r="8359" spans="1:41" s="103" customFormat="1" ht="19.899999999999999" customHeight="1" x14ac:dyDescent="0.25">
      <c r="A8359" s="51"/>
      <c r="B8359" s="52"/>
      <c r="C8359" s="165"/>
      <c r="D8359" s="52"/>
      <c r="E8359" s="115"/>
      <c r="F8359" s="58"/>
      <c r="G8359" s="58"/>
      <c r="H8359" s="58"/>
      <c r="I8359" s="55"/>
      <c r="J8359" s="113">
        <f>J8348</f>
        <v>6.3180000000000014</v>
      </c>
      <c r="K8359" s="212">
        <f>K8348</f>
        <v>6.3180000000000014</v>
      </c>
      <c r="L8359" s="58"/>
      <c r="M8359" s="58">
        <f>K8359-L8359</f>
        <v>6.3180000000000014</v>
      </c>
      <c r="N8359" s="166"/>
      <c r="O8359" s="58"/>
      <c r="P8359" s="58"/>
      <c r="Q8359" s="58"/>
      <c r="R8359" s="58"/>
      <c r="S8359" s="58"/>
      <c r="T8359" s="220"/>
      <c r="U8359" s="88"/>
      <c r="V8359" s="56"/>
      <c r="W8359" s="57" t="s">
        <v>1128</v>
      </c>
      <c r="X8359" s="53"/>
      <c r="Y8359" s="91" t="s">
        <v>68</v>
      </c>
      <c r="Z8359" s="136">
        <f>AD8359/AC8359</f>
        <v>3976.55</v>
      </c>
      <c r="AA8359" s="58"/>
      <c r="AB8359" s="53">
        <f>AD8359/AC8359</f>
        <v>3976.55</v>
      </c>
      <c r="AC8359" s="53">
        <f>M8359+$AE$10</f>
        <v>6.3180000000000014</v>
      </c>
      <c r="AD8359" s="54">
        <f>SUM(AD8360:AD8363)</f>
        <v>25123.842900000007</v>
      </c>
      <c r="AE8359" s="184">
        <f>SUMIFS($AD$37:$AD$12971,$V$37:$V$12971,$V8359,$X$37:$X$12971,AE$13)</f>
        <v>0</v>
      </c>
      <c r="AF8359" s="185">
        <f>SUMIFS($AD$37:$AD$12971,$V$37:$V$12971,$V8359,$X$37:$X$12971,AF$13)</f>
        <v>0</v>
      </c>
      <c r="AG8359" s="185">
        <f>SUMIFS($AD$37:$AD$12971,$V$37:$V$12971,$V8359,$X$37:$X$12971,AG$13)</f>
        <v>0</v>
      </c>
      <c r="AH8359" s="187">
        <f>SUMIFS($AD$37:$AD$12971,$V$37:$V$12971,$V8359,$X$37:$X$12971,AH$13)</f>
        <v>0</v>
      </c>
      <c r="AI8359" s="161">
        <f t="shared" ref="AI8359" si="5770">SUM(AE8359:AH8359)</f>
        <v>0</v>
      </c>
      <c r="AK8359" s="172"/>
    </row>
    <row r="8360" spans="1:41" s="102" customFormat="1" ht="19.899999999999999" customHeight="1" x14ac:dyDescent="0.25">
      <c r="A8360" s="45"/>
      <c r="B8360" s="59"/>
      <c r="C8360" s="137"/>
      <c r="D8360" s="59"/>
      <c r="E8360" s="116"/>
      <c r="F8360" s="120"/>
      <c r="G8360" s="120"/>
      <c r="H8360" s="120"/>
      <c r="I8360" s="60"/>
      <c r="J8360" s="116"/>
      <c r="K8360" s="213"/>
      <c r="L8360" s="120"/>
      <c r="M8360" s="120"/>
      <c r="N8360" s="167"/>
      <c r="O8360" s="120"/>
      <c r="P8360" s="120"/>
      <c r="Q8360" s="120"/>
      <c r="R8360" s="120"/>
      <c r="S8360" s="120"/>
      <c r="T8360" s="221"/>
      <c r="U8360" s="89"/>
      <c r="V8360" s="61"/>
      <c r="W8360" s="92" t="s">
        <v>1105</v>
      </c>
      <c r="X8360" s="93" t="s">
        <v>30</v>
      </c>
      <c r="Y8360" s="93" t="s">
        <v>66</v>
      </c>
      <c r="Z8360" s="134">
        <f>VLOOKUP(W8360,Sheet2!$B:$D,3,FALSE)</f>
        <v>2200</v>
      </c>
      <c r="AA8360" s="93">
        <f>1/((2.2*1.4)-(1.6*0.8))</f>
        <v>0.55555555555555558</v>
      </c>
      <c r="AB8360" s="93">
        <f>AD8360/AC8359</f>
        <v>3960</v>
      </c>
      <c r="AC8360" s="93">
        <f>AC8359/AA8360</f>
        <v>11.372400000000003</v>
      </c>
      <c r="AD8360" s="94">
        <f t="shared" ref="AD8360" si="5771">AC8360*Z8360</f>
        <v>25019.280000000006</v>
      </c>
      <c r="AE8360" s="190"/>
      <c r="AF8360" s="191"/>
      <c r="AG8360" s="191"/>
      <c r="AH8360" s="191"/>
      <c r="AI8360" s="186"/>
      <c r="AK8360" s="171"/>
    </row>
    <row r="8361" spans="1:41" s="102" customFormat="1" ht="19.899999999999999" customHeight="1" x14ac:dyDescent="0.25">
      <c r="A8361" s="45"/>
      <c r="B8361" s="59"/>
      <c r="C8361" s="137"/>
      <c r="D8361" s="59"/>
      <c r="E8361" s="116"/>
      <c r="F8361" s="120"/>
      <c r="G8361" s="120"/>
      <c r="H8361" s="120"/>
      <c r="I8361" s="60"/>
      <c r="J8361" s="116"/>
      <c r="K8361" s="213"/>
      <c r="L8361" s="120"/>
      <c r="M8361" s="120"/>
      <c r="N8361" s="167"/>
      <c r="O8361" s="120"/>
      <c r="P8361" s="120"/>
      <c r="Q8361" s="120"/>
      <c r="R8361" s="120"/>
      <c r="S8361" s="120"/>
      <c r="T8361" s="221"/>
      <c r="U8361" s="89"/>
      <c r="V8361" s="61"/>
      <c r="W8361" s="92" t="s">
        <v>174</v>
      </c>
      <c r="X8361" s="93" t="s">
        <v>29</v>
      </c>
      <c r="Y8361" s="93" t="s">
        <v>93</v>
      </c>
      <c r="Z8361" s="134">
        <f>VLOOKUP(W8361,Sheet2!$B:$D,3,FALSE)</f>
        <v>80</v>
      </c>
      <c r="AA8361" s="93">
        <f>4*2</f>
        <v>8</v>
      </c>
      <c r="AB8361" s="93">
        <f>AD8361/AC8359</f>
        <v>10</v>
      </c>
      <c r="AC8361" s="93">
        <f>AC8359/AA8361</f>
        <v>0.78975000000000017</v>
      </c>
      <c r="AD8361" s="94">
        <f>AC8361*Z8361</f>
        <v>63.180000000000014</v>
      </c>
      <c r="AE8361" s="190"/>
      <c r="AF8361" s="191"/>
      <c r="AG8361" s="191"/>
      <c r="AH8361" s="191"/>
      <c r="AI8361" s="186"/>
      <c r="AK8361" s="171"/>
    </row>
    <row r="8362" spans="1:41" s="102" customFormat="1" ht="19.899999999999999" customHeight="1" x14ac:dyDescent="0.25">
      <c r="A8362" s="45"/>
      <c r="B8362" s="59"/>
      <c r="C8362" s="137"/>
      <c r="D8362" s="59"/>
      <c r="E8362" s="116"/>
      <c r="F8362" s="120"/>
      <c r="G8362" s="120"/>
      <c r="H8362" s="120"/>
      <c r="I8362" s="60"/>
      <c r="J8362" s="116"/>
      <c r="K8362" s="213"/>
      <c r="L8362" s="120"/>
      <c r="M8362" s="120"/>
      <c r="N8362" s="167"/>
      <c r="O8362" s="120"/>
      <c r="P8362" s="120"/>
      <c r="Q8362" s="120"/>
      <c r="R8362" s="120"/>
      <c r="S8362" s="120"/>
      <c r="T8362" s="221"/>
      <c r="U8362" s="89"/>
      <c r="V8362" s="61"/>
      <c r="W8362" s="92" t="s">
        <v>65</v>
      </c>
      <c r="X8362" s="93" t="s">
        <v>30</v>
      </c>
      <c r="Y8362" s="93" t="s">
        <v>1011</v>
      </c>
      <c r="Z8362" s="134">
        <f>VLOOKUP(W8362,Sheet2!$B:$D,3,FALSE)</f>
        <v>1.76</v>
      </c>
      <c r="AA8362" s="93">
        <f>AA8361/15</f>
        <v>0.53333333333333333</v>
      </c>
      <c r="AB8362" s="93">
        <f>AD8362/AC8359</f>
        <v>3.3000000000000003</v>
      </c>
      <c r="AC8362" s="93">
        <f>AC8359/AA8362</f>
        <v>11.846250000000003</v>
      </c>
      <c r="AD8362" s="94">
        <f t="shared" ref="AD8362" si="5772">AC8362*Z8362</f>
        <v>20.849400000000006</v>
      </c>
      <c r="AE8362" s="190"/>
      <c r="AF8362" s="191"/>
      <c r="AG8362" s="191"/>
      <c r="AH8362" s="191"/>
      <c r="AI8362" s="186"/>
      <c r="AK8362" s="171"/>
    </row>
    <row r="8363" spans="1:41" s="102" customFormat="1" ht="19.899999999999999" customHeight="1" x14ac:dyDescent="0.25">
      <c r="A8363" s="45"/>
      <c r="B8363" s="59"/>
      <c r="C8363" s="137"/>
      <c r="D8363" s="59"/>
      <c r="E8363" s="116"/>
      <c r="F8363" s="120"/>
      <c r="G8363" s="120"/>
      <c r="H8363" s="120"/>
      <c r="I8363" s="60"/>
      <c r="J8363" s="116"/>
      <c r="K8363" s="213"/>
      <c r="L8363" s="120"/>
      <c r="M8363" s="120"/>
      <c r="N8363" s="167"/>
      <c r="O8363" s="120"/>
      <c r="P8363" s="120"/>
      <c r="Q8363" s="120"/>
      <c r="R8363" s="120"/>
      <c r="S8363" s="120"/>
      <c r="T8363" s="221"/>
      <c r="U8363" s="89"/>
      <c r="V8363" s="61"/>
      <c r="W8363" s="92" t="s">
        <v>112</v>
      </c>
      <c r="X8363" s="93" t="s">
        <v>31</v>
      </c>
      <c r="Y8363" s="93" t="s">
        <v>93</v>
      </c>
      <c r="Z8363" s="134">
        <f>VLOOKUP(W8363,Sheet2!$B:$D,3,FALSE)</f>
        <v>13</v>
      </c>
      <c r="AA8363" s="93">
        <f>AA8361/2</f>
        <v>4</v>
      </c>
      <c r="AB8363" s="93">
        <f>AD8363/AC8359</f>
        <v>3.25</v>
      </c>
      <c r="AC8363" s="93">
        <f>AC8359/AA8363</f>
        <v>1.5795000000000003</v>
      </c>
      <c r="AD8363" s="94">
        <f>AC8363*Z8363</f>
        <v>20.533500000000004</v>
      </c>
      <c r="AE8363" s="190"/>
      <c r="AF8363" s="191"/>
      <c r="AG8363" s="191"/>
      <c r="AH8363" s="191"/>
      <c r="AI8363" s="186"/>
      <c r="AK8363" s="171"/>
    </row>
    <row r="8364" spans="1:41" ht="20.100000000000001" customHeight="1" x14ac:dyDescent="0.25">
      <c r="A8364" s="277" t="s">
        <v>703</v>
      </c>
      <c r="B8364" s="278"/>
      <c r="C8364" s="64" t="s">
        <v>769</v>
      </c>
      <c r="D8364" s="46" t="s">
        <v>97</v>
      </c>
      <c r="E8364" s="114"/>
      <c r="F8364" s="44">
        <v>0</v>
      </c>
      <c r="G8364" s="44">
        <f t="shared" si="5545"/>
        <v>0</v>
      </c>
      <c r="H8364" s="44">
        <f t="shared" si="5546"/>
        <v>0</v>
      </c>
      <c r="I8364" s="43">
        <f t="shared" si="5547"/>
        <v>0</v>
      </c>
      <c r="J8364" s="112">
        <f t="shared" si="5548"/>
        <v>0</v>
      </c>
      <c r="K8364" s="211">
        <f t="shared" si="5549"/>
        <v>0</v>
      </c>
      <c r="L8364" s="44"/>
      <c r="M8364" s="44">
        <f t="shared" si="5550"/>
        <v>0</v>
      </c>
      <c r="N8364" s="173">
        <f t="shared" si="5551"/>
        <v>0</v>
      </c>
      <c r="O8364" s="44">
        <f t="shared" si="5552"/>
        <v>0</v>
      </c>
      <c r="P8364" s="44">
        <f t="shared" si="5553"/>
        <v>0</v>
      </c>
      <c r="Q8364" s="44">
        <f t="shared" si="5554"/>
        <v>0</v>
      </c>
      <c r="R8364" s="44">
        <f t="shared" si="5555"/>
        <v>0</v>
      </c>
      <c r="S8364" s="123"/>
      <c r="T8364" s="219">
        <f t="shared" si="5556"/>
        <v>0</v>
      </c>
      <c r="U8364" s="87"/>
      <c r="V8364" s="47"/>
      <c r="W8364" s="48"/>
      <c r="X8364" s="48"/>
      <c r="Y8364" s="48"/>
      <c r="Z8364" s="135"/>
      <c r="AA8364" s="49"/>
      <c r="AB8364" s="50">
        <f t="shared" si="5557"/>
        <v>0</v>
      </c>
      <c r="AC8364" s="42">
        <f t="shared" si="5558"/>
        <v>9.9999999999999998E-20</v>
      </c>
      <c r="AD8364" s="90"/>
      <c r="AE8364" s="188"/>
      <c r="AF8364" s="189"/>
      <c r="AG8364" s="189"/>
      <c r="AH8364" s="189"/>
      <c r="AI8364" s="161"/>
    </row>
    <row r="8365" spans="1:41" ht="20.100000000000001" customHeight="1" x14ac:dyDescent="0.25">
      <c r="A8365" s="277" t="s">
        <v>703</v>
      </c>
      <c r="B8365" s="278"/>
      <c r="C8365" s="64" t="s">
        <v>779</v>
      </c>
      <c r="D8365" s="46"/>
      <c r="E8365" s="114"/>
      <c r="F8365" s="44">
        <v>0</v>
      </c>
      <c r="G8365" s="44">
        <f t="shared" si="5545"/>
        <v>0</v>
      </c>
      <c r="H8365" s="44">
        <f t="shared" si="5546"/>
        <v>0</v>
      </c>
      <c r="I8365" s="43">
        <f t="shared" si="5547"/>
        <v>0</v>
      </c>
      <c r="J8365" s="112">
        <f t="shared" si="5548"/>
        <v>0</v>
      </c>
      <c r="K8365" s="211">
        <f t="shared" si="5549"/>
        <v>0</v>
      </c>
      <c r="L8365" s="44"/>
      <c r="M8365" s="44">
        <f t="shared" si="5550"/>
        <v>0</v>
      </c>
      <c r="N8365" s="173">
        <f t="shared" si="5551"/>
        <v>0</v>
      </c>
      <c r="O8365" s="44">
        <f t="shared" si="5552"/>
        <v>0</v>
      </c>
      <c r="P8365" s="44">
        <f t="shared" si="5553"/>
        <v>0</v>
      </c>
      <c r="Q8365" s="44">
        <f t="shared" si="5554"/>
        <v>0</v>
      </c>
      <c r="R8365" s="44">
        <f t="shared" si="5555"/>
        <v>0</v>
      </c>
      <c r="S8365" s="123"/>
      <c r="T8365" s="219">
        <f t="shared" si="5556"/>
        <v>0</v>
      </c>
      <c r="U8365" s="87"/>
      <c r="V8365" s="47"/>
      <c r="W8365" s="48"/>
      <c r="X8365" s="48"/>
      <c r="Y8365" s="48"/>
      <c r="Z8365" s="135"/>
      <c r="AA8365" s="49"/>
      <c r="AB8365" s="50">
        <f t="shared" si="5557"/>
        <v>0</v>
      </c>
      <c r="AC8365" s="42">
        <f t="shared" si="5558"/>
        <v>9.9999999999999998E-20</v>
      </c>
      <c r="AD8365" s="90"/>
      <c r="AE8365" s="188"/>
      <c r="AF8365" s="189"/>
      <c r="AG8365" s="189"/>
      <c r="AH8365" s="189"/>
      <c r="AI8365" s="161"/>
    </row>
    <row r="8366" spans="1:41" ht="20.100000000000001" customHeight="1" x14ac:dyDescent="0.25">
      <c r="A8366" s="277" t="s">
        <v>703</v>
      </c>
      <c r="B8366" s="278"/>
      <c r="C8366" s="64" t="s">
        <v>763</v>
      </c>
      <c r="D8366" s="46" t="s">
        <v>97</v>
      </c>
      <c r="E8366" s="114">
        <v>9.8584999999999923</v>
      </c>
      <c r="F8366" s="44">
        <v>4931</v>
      </c>
      <c r="G8366" s="44">
        <f t="shared" si="5545"/>
        <v>48612.263499999965</v>
      </c>
      <c r="H8366" s="44">
        <f t="shared" si="5546"/>
        <v>4528.9738399999987</v>
      </c>
      <c r="I8366" s="43">
        <f t="shared" si="5547"/>
        <v>44648.888601639956</v>
      </c>
      <c r="J8366" s="112">
        <f t="shared" si="5548"/>
        <v>9.8584999999999923</v>
      </c>
      <c r="K8366" s="211">
        <f t="shared" si="5549"/>
        <v>9.8584999999999923</v>
      </c>
      <c r="L8366" s="44"/>
      <c r="M8366" s="44">
        <f t="shared" si="5550"/>
        <v>9.8584999999999923</v>
      </c>
      <c r="N8366" s="173">
        <f t="shared" si="5551"/>
        <v>1</v>
      </c>
      <c r="O8366" s="44">
        <f t="shared" si="5552"/>
        <v>4931</v>
      </c>
      <c r="P8366" s="44">
        <f t="shared" si="5553"/>
        <v>48612.263499999965</v>
      </c>
      <c r="Q8366" s="44">
        <f t="shared" si="5554"/>
        <v>4528.9738399999987</v>
      </c>
      <c r="R8366" s="44">
        <f t="shared" si="5555"/>
        <v>44648.888601639956</v>
      </c>
      <c r="S8366" s="123"/>
      <c r="T8366" s="219">
        <f t="shared" si="5556"/>
        <v>44648.888601639956</v>
      </c>
      <c r="U8366" s="87"/>
      <c r="V8366" s="47"/>
      <c r="W8366" s="48"/>
      <c r="X8366" s="48"/>
      <c r="Y8366" s="48"/>
      <c r="Z8366" s="135"/>
      <c r="AA8366" s="49"/>
      <c r="AB8366" s="50">
        <f t="shared" si="5557"/>
        <v>4528.9738399999987</v>
      </c>
      <c r="AC8366" s="42">
        <f t="shared" si="5558"/>
        <v>9.8584999999999923</v>
      </c>
      <c r="AD8366" s="90">
        <f>AD8367+AD8376</f>
        <v>44648.888601639956</v>
      </c>
      <c r="AE8366" s="188">
        <f t="shared" ref="AE8366:AH8366" si="5773">AE8367+AE8376</f>
        <v>0</v>
      </c>
      <c r="AF8366" s="189">
        <f t="shared" si="5773"/>
        <v>0</v>
      </c>
      <c r="AG8366" s="189">
        <f t="shared" si="5773"/>
        <v>0</v>
      </c>
      <c r="AH8366" s="189">
        <f t="shared" si="5773"/>
        <v>0</v>
      </c>
      <c r="AI8366" s="161">
        <f t="shared" ref="AI8366" si="5774">SUM(AE8366:AH8366)</f>
        <v>0</v>
      </c>
      <c r="AK8366" s="169">
        <v>5</v>
      </c>
      <c r="AO8366" s="19" t="s">
        <v>63</v>
      </c>
    </row>
    <row r="8367" spans="1:41" s="103" customFormat="1" ht="19.899999999999999" customHeight="1" x14ac:dyDescent="0.25">
      <c r="A8367" s="51"/>
      <c r="B8367" s="52"/>
      <c r="C8367" s="165"/>
      <c r="D8367" s="52"/>
      <c r="E8367" s="115"/>
      <c r="F8367" s="58"/>
      <c r="G8367" s="58"/>
      <c r="H8367" s="58"/>
      <c r="I8367" s="55"/>
      <c r="J8367" s="113">
        <f>J8366</f>
        <v>9.8584999999999923</v>
      </c>
      <c r="K8367" s="212">
        <f>K8366</f>
        <v>9.8584999999999923</v>
      </c>
      <c r="L8367" s="58"/>
      <c r="M8367" s="58">
        <f>K8367-L8367</f>
        <v>9.8584999999999923</v>
      </c>
      <c r="N8367" s="166"/>
      <c r="O8367" s="58"/>
      <c r="P8367" s="58"/>
      <c r="Q8367" s="58"/>
      <c r="R8367" s="58"/>
      <c r="S8367" s="58"/>
      <c r="T8367" s="220"/>
      <c r="U8367" s="88"/>
      <c r="V8367" s="56"/>
      <c r="W8367" s="57" t="s">
        <v>1134</v>
      </c>
      <c r="X8367" s="53"/>
      <c r="Y8367" s="91" t="s">
        <v>68</v>
      </c>
      <c r="Z8367" s="136">
        <f>AD8367/AC8367</f>
        <v>24.423839999999998</v>
      </c>
      <c r="AA8367" s="58"/>
      <c r="AB8367" s="53">
        <f>AD8367/AC8367</f>
        <v>24.423839999999998</v>
      </c>
      <c r="AC8367" s="53">
        <f>M8367+$AE$10</f>
        <v>9.8584999999999923</v>
      </c>
      <c r="AD8367" s="54">
        <f>SUM(AD8368:AD8375)</f>
        <v>240.78242663999978</v>
      </c>
      <c r="AE8367" s="184">
        <f>SUMIFS($AD$37:$AD$12971,$V$37:$V$12971,$V8367,$X$37:$X$12971,AE$13)</f>
        <v>0</v>
      </c>
      <c r="AF8367" s="185">
        <f>SUMIFS($AD$37:$AD$12971,$V$37:$V$12971,$V8367,$X$37:$X$12971,AF$13)</f>
        <v>0</v>
      </c>
      <c r="AG8367" s="185">
        <f>SUMIFS($AD$37:$AD$12971,$V$37:$V$12971,$V8367,$X$37:$X$12971,AG$13)</f>
        <v>0</v>
      </c>
      <c r="AH8367" s="187">
        <f>SUMIFS($AD$37:$AD$12971,$V$37:$V$12971,$V8367,$X$37:$X$12971,AH$13)</f>
        <v>0</v>
      </c>
      <c r="AI8367" s="161">
        <f t="shared" ref="AI8367" si="5775">SUM(AE8367:AH8367)</f>
        <v>0</v>
      </c>
      <c r="AK8367" s="172"/>
    </row>
    <row r="8368" spans="1:41" s="102" customFormat="1" ht="19.899999999999999" customHeight="1" x14ac:dyDescent="0.25">
      <c r="A8368" s="45"/>
      <c r="B8368" s="59"/>
      <c r="C8368" s="137"/>
      <c r="D8368" s="59"/>
      <c r="E8368" s="116"/>
      <c r="F8368" s="120"/>
      <c r="G8368" s="120"/>
      <c r="H8368" s="120"/>
      <c r="I8368" s="60"/>
      <c r="J8368" s="116"/>
      <c r="K8368" s="213"/>
      <c r="L8368" s="120"/>
      <c r="M8368" s="120"/>
      <c r="N8368" s="167"/>
      <c r="O8368" s="120"/>
      <c r="P8368" s="120"/>
      <c r="Q8368" s="120"/>
      <c r="R8368" s="120"/>
      <c r="S8368" s="120"/>
      <c r="T8368" s="221"/>
      <c r="U8368" s="89"/>
      <c r="V8368" s="61"/>
      <c r="W8368" s="92" t="s">
        <v>129</v>
      </c>
      <c r="X8368" s="93" t="s">
        <v>29</v>
      </c>
      <c r="Y8368" s="93" t="s">
        <v>93</v>
      </c>
      <c r="Z8368" s="134">
        <f>VLOOKUP(W8368,Sheet2!$B:$D,3,FALSE)</f>
        <v>56</v>
      </c>
      <c r="AA8368" s="93">
        <f>100/(3.4*1.5)</f>
        <v>19.607843137254903</v>
      </c>
      <c r="AB8368" s="93">
        <f t="shared" ref="AB8368" si="5776">AD8368/AC8367</f>
        <v>2.8559999999999999</v>
      </c>
      <c r="AC8368" s="93">
        <f>AC8367/AA8368</f>
        <v>0.50278349999999961</v>
      </c>
      <c r="AD8368" s="94">
        <f t="shared" ref="AD8368:AD8369" si="5777">AC8368*Z8368</f>
        <v>28.155875999999978</v>
      </c>
      <c r="AE8368" s="190"/>
      <c r="AF8368" s="191"/>
      <c r="AG8368" s="191"/>
      <c r="AH8368" s="191"/>
      <c r="AI8368" s="186"/>
      <c r="AK8368" s="171"/>
    </row>
    <row r="8369" spans="1:41" s="102" customFormat="1" ht="19.899999999999999" customHeight="1" x14ac:dyDescent="0.25">
      <c r="A8369" s="45"/>
      <c r="B8369" s="59"/>
      <c r="C8369" s="137"/>
      <c r="D8369" s="59"/>
      <c r="E8369" s="116"/>
      <c r="F8369" s="120"/>
      <c r="G8369" s="120"/>
      <c r="H8369" s="120"/>
      <c r="I8369" s="60"/>
      <c r="J8369" s="116"/>
      <c r="K8369" s="213"/>
      <c r="L8369" s="120"/>
      <c r="M8369" s="120"/>
      <c r="N8369" s="167"/>
      <c r="O8369" s="120"/>
      <c r="P8369" s="120"/>
      <c r="Q8369" s="120"/>
      <c r="R8369" s="120"/>
      <c r="S8369" s="120"/>
      <c r="T8369" s="221"/>
      <c r="U8369" s="89"/>
      <c r="V8369" s="61"/>
      <c r="W8369" s="92" t="s">
        <v>65</v>
      </c>
      <c r="X8369" s="93" t="s">
        <v>30</v>
      </c>
      <c r="Y8369" s="93" t="s">
        <v>1011</v>
      </c>
      <c r="Z8369" s="134">
        <f>VLOOKUP(W8369,Sheet2!$B:$D,3,FALSE)</f>
        <v>1.76</v>
      </c>
      <c r="AA8369" s="93">
        <f>AA8368/14</f>
        <v>1.400560224089636</v>
      </c>
      <c r="AB8369" s="93">
        <f>AD8369/AC8367</f>
        <v>1.25664</v>
      </c>
      <c r="AC8369" s="93">
        <f>AC8367/AA8369</f>
        <v>7.0389689999999936</v>
      </c>
      <c r="AD8369" s="94">
        <f t="shared" si="5777"/>
        <v>12.388585439999989</v>
      </c>
      <c r="AE8369" s="190"/>
      <c r="AF8369" s="191"/>
      <c r="AG8369" s="191"/>
      <c r="AH8369" s="191"/>
      <c r="AI8369" s="186"/>
      <c r="AK8369" s="171"/>
    </row>
    <row r="8370" spans="1:41" s="102" customFormat="1" ht="19.899999999999999" customHeight="1" x14ac:dyDescent="0.25">
      <c r="A8370" s="45"/>
      <c r="B8370" s="59"/>
      <c r="C8370" s="137"/>
      <c r="D8370" s="59"/>
      <c r="E8370" s="116"/>
      <c r="F8370" s="120"/>
      <c r="G8370" s="120"/>
      <c r="H8370" s="120"/>
      <c r="I8370" s="60"/>
      <c r="J8370" s="116"/>
      <c r="K8370" s="213"/>
      <c r="L8370" s="120"/>
      <c r="M8370" s="120"/>
      <c r="N8370" s="167"/>
      <c r="O8370" s="120"/>
      <c r="P8370" s="120"/>
      <c r="Q8370" s="120"/>
      <c r="R8370" s="120"/>
      <c r="S8370" s="120"/>
      <c r="T8370" s="221"/>
      <c r="U8370" s="89"/>
      <c r="V8370" s="61"/>
      <c r="W8370" s="92" t="s">
        <v>161</v>
      </c>
      <c r="X8370" s="93" t="s">
        <v>29</v>
      </c>
      <c r="Y8370" s="93" t="s">
        <v>93</v>
      </c>
      <c r="Z8370" s="134">
        <f>VLOOKUP(W8370,Sheet2!$B:$D,3,FALSE)</f>
        <v>48</v>
      </c>
      <c r="AA8370" s="93">
        <f>(16*0.85*1.5)/(3.4*1.5)</f>
        <v>4</v>
      </c>
      <c r="AB8370" s="93">
        <f>AD8370/AC8367</f>
        <v>12</v>
      </c>
      <c r="AC8370" s="93">
        <f>AC8367/AA8370</f>
        <v>2.4646249999999981</v>
      </c>
      <c r="AD8370" s="94">
        <f>AC8370*Z8370</f>
        <v>118.30199999999991</v>
      </c>
      <c r="AE8370" s="190"/>
      <c r="AF8370" s="191"/>
      <c r="AG8370" s="191"/>
      <c r="AH8370" s="191"/>
      <c r="AI8370" s="186"/>
      <c r="AK8370" s="171"/>
    </row>
    <row r="8371" spans="1:41" s="102" customFormat="1" ht="19.899999999999999" customHeight="1" x14ac:dyDescent="0.25">
      <c r="A8371" s="45"/>
      <c r="B8371" s="59"/>
      <c r="C8371" s="137"/>
      <c r="D8371" s="59"/>
      <c r="E8371" s="116"/>
      <c r="F8371" s="120"/>
      <c r="G8371" s="120"/>
      <c r="H8371" s="120"/>
      <c r="I8371" s="60"/>
      <c r="J8371" s="116"/>
      <c r="K8371" s="213"/>
      <c r="L8371" s="120"/>
      <c r="M8371" s="120"/>
      <c r="N8371" s="167"/>
      <c r="O8371" s="120"/>
      <c r="P8371" s="120"/>
      <c r="Q8371" s="120"/>
      <c r="R8371" s="120"/>
      <c r="S8371" s="120"/>
      <c r="T8371" s="221"/>
      <c r="U8371" s="89"/>
      <c r="V8371" s="61"/>
      <c r="W8371" s="92" t="s">
        <v>65</v>
      </c>
      <c r="X8371" s="93" t="s">
        <v>30</v>
      </c>
      <c r="Y8371" s="93" t="s">
        <v>1011</v>
      </c>
      <c r="Z8371" s="134">
        <f>VLOOKUP(W8371,Sheet2!$B:$D,3,FALSE)</f>
        <v>1.76</v>
      </c>
      <c r="AA8371" s="93">
        <f>AA8370/10</f>
        <v>0.4</v>
      </c>
      <c r="AB8371" s="93">
        <f>AD8371/AC8367</f>
        <v>4.4000000000000004</v>
      </c>
      <c r="AC8371" s="93">
        <f>AC8367/AA8371</f>
        <v>24.646249999999981</v>
      </c>
      <c r="AD8371" s="94">
        <f>AC8371*Z8371</f>
        <v>43.377399999999966</v>
      </c>
      <c r="AE8371" s="190"/>
      <c r="AF8371" s="191"/>
      <c r="AG8371" s="191"/>
      <c r="AH8371" s="191"/>
      <c r="AI8371" s="186"/>
      <c r="AK8371" s="171"/>
    </row>
    <row r="8372" spans="1:41" s="102" customFormat="1" ht="19.899999999999999" customHeight="1" x14ac:dyDescent="0.25">
      <c r="A8372" s="45"/>
      <c r="B8372" s="59"/>
      <c r="C8372" s="137"/>
      <c r="D8372" s="59"/>
      <c r="E8372" s="116"/>
      <c r="F8372" s="120"/>
      <c r="G8372" s="120"/>
      <c r="H8372" s="120"/>
      <c r="I8372" s="60"/>
      <c r="J8372" s="116"/>
      <c r="K8372" s="213"/>
      <c r="L8372" s="120"/>
      <c r="M8372" s="120"/>
      <c r="N8372" s="167"/>
      <c r="O8372" s="120"/>
      <c r="P8372" s="120"/>
      <c r="Q8372" s="120"/>
      <c r="R8372" s="120"/>
      <c r="S8372" s="120"/>
      <c r="T8372" s="221"/>
      <c r="U8372" s="89"/>
      <c r="V8372" s="61"/>
      <c r="W8372" s="92" t="s">
        <v>1030</v>
      </c>
      <c r="X8372" s="93" t="s">
        <v>29</v>
      </c>
      <c r="Y8372" s="93" t="s">
        <v>93</v>
      </c>
      <c r="Z8372" s="134">
        <f>VLOOKUP(W8372,Sheet2!$B:$D,3,FALSE)</f>
        <v>23</v>
      </c>
      <c r="AA8372" s="93">
        <v>50</v>
      </c>
      <c r="AB8372" s="93">
        <f>AD8372/AC8367</f>
        <v>0.46</v>
      </c>
      <c r="AC8372" s="93">
        <f>AC8367/AA8372</f>
        <v>0.19716999999999985</v>
      </c>
      <c r="AD8372" s="94">
        <f t="shared" ref="AD8372:AD8375" si="5778">AC8372*Z8372</f>
        <v>4.5349099999999964</v>
      </c>
      <c r="AE8372" s="190"/>
      <c r="AF8372" s="191"/>
      <c r="AG8372" s="191"/>
      <c r="AH8372" s="191"/>
      <c r="AI8372" s="186"/>
      <c r="AK8372" s="171"/>
    </row>
    <row r="8373" spans="1:41" s="102" customFormat="1" ht="19.899999999999999" customHeight="1" x14ac:dyDescent="0.25">
      <c r="A8373" s="45"/>
      <c r="B8373" s="59"/>
      <c r="C8373" s="137"/>
      <c r="D8373" s="59"/>
      <c r="E8373" s="116"/>
      <c r="F8373" s="120"/>
      <c r="G8373" s="120"/>
      <c r="H8373" s="120"/>
      <c r="I8373" s="60"/>
      <c r="J8373" s="116"/>
      <c r="K8373" s="213"/>
      <c r="L8373" s="120"/>
      <c r="M8373" s="120"/>
      <c r="N8373" s="167"/>
      <c r="O8373" s="120"/>
      <c r="P8373" s="120"/>
      <c r="Q8373" s="120"/>
      <c r="R8373" s="120"/>
      <c r="S8373" s="120"/>
      <c r="T8373" s="221"/>
      <c r="U8373" s="89"/>
      <c r="V8373" s="61"/>
      <c r="W8373" s="92" t="s">
        <v>65</v>
      </c>
      <c r="X8373" s="93" t="s">
        <v>30</v>
      </c>
      <c r="Y8373" s="93" t="s">
        <v>1011</v>
      </c>
      <c r="Z8373" s="134">
        <f>VLOOKUP(W8373,Sheet2!$B:$D,3,FALSE)</f>
        <v>1.76</v>
      </c>
      <c r="AA8373" s="93">
        <f>AA8372/3</f>
        <v>16.666666666666668</v>
      </c>
      <c r="AB8373" s="93">
        <f>AD8373/AC8367</f>
        <v>0.1056</v>
      </c>
      <c r="AC8373" s="93">
        <f>AC8367/AA8373</f>
        <v>0.59150999999999954</v>
      </c>
      <c r="AD8373" s="94">
        <f t="shared" si="5778"/>
        <v>1.0410575999999991</v>
      </c>
      <c r="AE8373" s="190"/>
      <c r="AF8373" s="191"/>
      <c r="AG8373" s="191"/>
      <c r="AH8373" s="191"/>
      <c r="AI8373" s="186"/>
      <c r="AK8373" s="171"/>
    </row>
    <row r="8374" spans="1:41" s="102" customFormat="1" ht="19.899999999999999" customHeight="1" x14ac:dyDescent="0.25">
      <c r="A8374" s="45"/>
      <c r="B8374" s="59"/>
      <c r="C8374" s="137"/>
      <c r="D8374" s="59"/>
      <c r="E8374" s="116"/>
      <c r="F8374" s="120"/>
      <c r="G8374" s="120"/>
      <c r="H8374" s="120"/>
      <c r="I8374" s="60"/>
      <c r="J8374" s="116"/>
      <c r="K8374" s="213"/>
      <c r="L8374" s="120"/>
      <c r="M8374" s="120"/>
      <c r="N8374" s="167"/>
      <c r="O8374" s="120"/>
      <c r="P8374" s="120"/>
      <c r="Q8374" s="120"/>
      <c r="R8374" s="120"/>
      <c r="S8374" s="120"/>
      <c r="T8374" s="221"/>
      <c r="U8374" s="89"/>
      <c r="V8374" s="61"/>
      <c r="W8374" s="92" t="s">
        <v>148</v>
      </c>
      <c r="X8374" s="93" t="s">
        <v>29</v>
      </c>
      <c r="Y8374" s="93" t="s">
        <v>93</v>
      </c>
      <c r="Z8374" s="134">
        <f>VLOOKUP(W8374,Sheet2!$B:$D,3,FALSE)</f>
        <v>48</v>
      </c>
      <c r="AA8374" s="93">
        <f>AA8368</f>
        <v>19.607843137254903</v>
      </c>
      <c r="AB8374" s="93">
        <f>AD8374/AC8367</f>
        <v>2.448</v>
      </c>
      <c r="AC8374" s="93">
        <f>AC8367/AA8374</f>
        <v>0.50278349999999961</v>
      </c>
      <c r="AD8374" s="94">
        <f t="shared" si="5778"/>
        <v>24.133607999999981</v>
      </c>
      <c r="AE8374" s="190"/>
      <c r="AF8374" s="191"/>
      <c r="AG8374" s="191"/>
      <c r="AH8374" s="191"/>
      <c r="AI8374" s="186"/>
      <c r="AK8374" s="171"/>
    </row>
    <row r="8375" spans="1:41" s="102" customFormat="1" ht="19.899999999999999" customHeight="1" x14ac:dyDescent="0.25">
      <c r="A8375" s="45"/>
      <c r="B8375" s="59"/>
      <c r="C8375" s="137"/>
      <c r="D8375" s="59"/>
      <c r="E8375" s="116"/>
      <c r="F8375" s="120"/>
      <c r="G8375" s="120"/>
      <c r="H8375" s="120"/>
      <c r="I8375" s="60"/>
      <c r="J8375" s="116"/>
      <c r="K8375" s="213"/>
      <c r="L8375" s="120"/>
      <c r="M8375" s="120"/>
      <c r="N8375" s="167"/>
      <c r="O8375" s="120"/>
      <c r="P8375" s="120"/>
      <c r="Q8375" s="120"/>
      <c r="R8375" s="120"/>
      <c r="S8375" s="120"/>
      <c r="T8375" s="221"/>
      <c r="U8375" s="89"/>
      <c r="V8375" s="61"/>
      <c r="W8375" s="92" t="s">
        <v>65</v>
      </c>
      <c r="X8375" s="93" t="s">
        <v>30</v>
      </c>
      <c r="Y8375" s="93" t="s">
        <v>1011</v>
      </c>
      <c r="Z8375" s="134">
        <f>VLOOKUP(W8375,Sheet2!$B:$D,3,FALSE)</f>
        <v>1.76</v>
      </c>
      <c r="AA8375" s="93">
        <f>AA8374/10</f>
        <v>1.9607843137254903</v>
      </c>
      <c r="AB8375" s="93">
        <f>AD8375/AC8367</f>
        <v>0.89759999999999995</v>
      </c>
      <c r="AC8375" s="93">
        <f>AC8367/AA8375</f>
        <v>5.0278349999999961</v>
      </c>
      <c r="AD8375" s="94">
        <f t="shared" si="5778"/>
        <v>8.8489895999999924</v>
      </c>
      <c r="AE8375" s="190"/>
      <c r="AF8375" s="191"/>
      <c r="AG8375" s="191"/>
      <c r="AH8375" s="191"/>
      <c r="AI8375" s="186"/>
      <c r="AK8375" s="171"/>
    </row>
    <row r="8376" spans="1:41" s="103" customFormat="1" ht="19.899999999999999" customHeight="1" x14ac:dyDescent="0.25">
      <c r="A8376" s="51"/>
      <c r="B8376" s="52"/>
      <c r="C8376" s="165"/>
      <c r="D8376" s="52"/>
      <c r="E8376" s="115"/>
      <c r="F8376" s="58"/>
      <c r="G8376" s="58"/>
      <c r="H8376" s="58"/>
      <c r="I8376" s="55"/>
      <c r="J8376" s="113">
        <f>J8366</f>
        <v>9.8584999999999923</v>
      </c>
      <c r="K8376" s="212">
        <f>K8366</f>
        <v>9.8584999999999923</v>
      </c>
      <c r="L8376" s="58"/>
      <c r="M8376" s="58">
        <f>K8376-L8376</f>
        <v>9.8584999999999923</v>
      </c>
      <c r="N8376" s="166"/>
      <c r="O8376" s="58"/>
      <c r="P8376" s="58"/>
      <c r="Q8376" s="58"/>
      <c r="R8376" s="58"/>
      <c r="S8376" s="58"/>
      <c r="T8376" s="220"/>
      <c r="U8376" s="88"/>
      <c r="V8376" s="56"/>
      <c r="W8376" s="57" t="s">
        <v>1137</v>
      </c>
      <c r="X8376" s="53"/>
      <c r="Y8376" s="91" t="s">
        <v>68</v>
      </c>
      <c r="Z8376" s="136">
        <f>AD8376/AC8376</f>
        <v>4504.5499999999993</v>
      </c>
      <c r="AA8376" s="58"/>
      <c r="AB8376" s="53">
        <f>AD8376/AC8376</f>
        <v>4504.5499999999993</v>
      </c>
      <c r="AC8376" s="53">
        <f>M8376+$AE$10</f>
        <v>9.8584999999999923</v>
      </c>
      <c r="AD8376" s="54">
        <f>SUM(AD8377:AD8380)</f>
        <v>44408.106174999957</v>
      </c>
      <c r="AE8376" s="184">
        <f>SUMIFS($AD$37:$AD$12971,$V$37:$V$12971,$V8376,$X$37:$X$12971,AE$13)</f>
        <v>0</v>
      </c>
      <c r="AF8376" s="185">
        <f>SUMIFS($AD$37:$AD$12971,$V$37:$V$12971,$V8376,$X$37:$X$12971,AF$13)</f>
        <v>0</v>
      </c>
      <c r="AG8376" s="185">
        <f>SUMIFS($AD$37:$AD$12971,$V$37:$V$12971,$V8376,$X$37:$X$12971,AG$13)</f>
        <v>0</v>
      </c>
      <c r="AH8376" s="187">
        <f>SUMIFS($AD$37:$AD$12971,$V$37:$V$12971,$V8376,$X$37:$X$12971,AH$13)</f>
        <v>0</v>
      </c>
      <c r="AI8376" s="161">
        <f t="shared" ref="AI8376" si="5779">SUM(AE8376:AH8376)</f>
        <v>0</v>
      </c>
      <c r="AK8376" s="172"/>
    </row>
    <row r="8377" spans="1:41" s="102" customFormat="1" ht="19.899999999999999" customHeight="1" x14ac:dyDescent="0.25">
      <c r="A8377" s="45"/>
      <c r="B8377" s="59"/>
      <c r="C8377" s="137"/>
      <c r="D8377" s="59"/>
      <c r="E8377" s="116"/>
      <c r="F8377" s="120"/>
      <c r="G8377" s="120"/>
      <c r="H8377" s="120"/>
      <c r="I8377" s="60"/>
      <c r="J8377" s="116"/>
      <c r="K8377" s="213"/>
      <c r="L8377" s="120"/>
      <c r="M8377" s="120"/>
      <c r="N8377" s="167"/>
      <c r="O8377" s="120"/>
      <c r="P8377" s="120"/>
      <c r="Q8377" s="120"/>
      <c r="R8377" s="120"/>
      <c r="S8377" s="120"/>
      <c r="T8377" s="221"/>
      <c r="U8377" s="89"/>
      <c r="V8377" s="61"/>
      <c r="W8377" s="92" t="s">
        <v>1105</v>
      </c>
      <c r="X8377" s="93" t="s">
        <v>30</v>
      </c>
      <c r="Y8377" s="93" t="s">
        <v>66</v>
      </c>
      <c r="Z8377" s="134">
        <f>VLOOKUP(W8377,Sheet2!$B:$D,3,FALSE)</f>
        <v>2200</v>
      </c>
      <c r="AA8377" s="93">
        <f>1/((2.6*1.4)-(2*0.8))</f>
        <v>0.49019607843137264</v>
      </c>
      <c r="AB8377" s="93">
        <f>AD8377/AC8376</f>
        <v>4487.9999999999991</v>
      </c>
      <c r="AC8377" s="93">
        <f>AC8376/AA8377</f>
        <v>20.111339999999981</v>
      </c>
      <c r="AD8377" s="94">
        <f t="shared" ref="AD8377" si="5780">AC8377*Z8377</f>
        <v>44244.94799999996</v>
      </c>
      <c r="AE8377" s="190"/>
      <c r="AF8377" s="191"/>
      <c r="AG8377" s="191"/>
      <c r="AH8377" s="191"/>
      <c r="AI8377" s="186"/>
      <c r="AK8377" s="171"/>
    </row>
    <row r="8378" spans="1:41" s="102" customFormat="1" ht="19.899999999999999" customHeight="1" x14ac:dyDescent="0.25">
      <c r="A8378" s="45"/>
      <c r="B8378" s="59"/>
      <c r="C8378" s="137"/>
      <c r="D8378" s="59"/>
      <c r="E8378" s="116"/>
      <c r="F8378" s="120"/>
      <c r="G8378" s="120"/>
      <c r="H8378" s="120"/>
      <c r="I8378" s="60"/>
      <c r="J8378" s="116"/>
      <c r="K8378" s="213"/>
      <c r="L8378" s="120"/>
      <c r="M8378" s="120"/>
      <c r="N8378" s="167"/>
      <c r="O8378" s="120"/>
      <c r="P8378" s="120"/>
      <c r="Q8378" s="120"/>
      <c r="R8378" s="120"/>
      <c r="S8378" s="120"/>
      <c r="T8378" s="221"/>
      <c r="U8378" s="89"/>
      <c r="V8378" s="61"/>
      <c r="W8378" s="92" t="s">
        <v>174</v>
      </c>
      <c r="X8378" s="93" t="s">
        <v>29</v>
      </c>
      <c r="Y8378" s="93" t="s">
        <v>93</v>
      </c>
      <c r="Z8378" s="134">
        <f>VLOOKUP(W8378,Sheet2!$B:$D,3,FALSE)</f>
        <v>80</v>
      </c>
      <c r="AA8378" s="93">
        <f>4*2</f>
        <v>8</v>
      </c>
      <c r="AB8378" s="93">
        <f>AD8378/AC8376</f>
        <v>10</v>
      </c>
      <c r="AC8378" s="93">
        <f>AC8376/AA8378</f>
        <v>1.232312499999999</v>
      </c>
      <c r="AD8378" s="94">
        <f>AC8378*Z8378</f>
        <v>98.584999999999923</v>
      </c>
      <c r="AE8378" s="190"/>
      <c r="AF8378" s="191"/>
      <c r="AG8378" s="191"/>
      <c r="AH8378" s="191"/>
      <c r="AI8378" s="186"/>
      <c r="AK8378" s="171"/>
    </row>
    <row r="8379" spans="1:41" s="102" customFormat="1" ht="19.899999999999999" customHeight="1" x14ac:dyDescent="0.25">
      <c r="A8379" s="45"/>
      <c r="B8379" s="59"/>
      <c r="C8379" s="137"/>
      <c r="D8379" s="59"/>
      <c r="E8379" s="116"/>
      <c r="F8379" s="120"/>
      <c r="G8379" s="120"/>
      <c r="H8379" s="120"/>
      <c r="I8379" s="60"/>
      <c r="J8379" s="116"/>
      <c r="K8379" s="213"/>
      <c r="L8379" s="120"/>
      <c r="M8379" s="120"/>
      <c r="N8379" s="167"/>
      <c r="O8379" s="120"/>
      <c r="P8379" s="120"/>
      <c r="Q8379" s="120"/>
      <c r="R8379" s="120"/>
      <c r="S8379" s="120"/>
      <c r="T8379" s="221"/>
      <c r="U8379" s="89"/>
      <c r="V8379" s="61"/>
      <c r="W8379" s="92" t="s">
        <v>65</v>
      </c>
      <c r="X8379" s="93" t="s">
        <v>30</v>
      </c>
      <c r="Y8379" s="93" t="s">
        <v>1011</v>
      </c>
      <c r="Z8379" s="134">
        <f>VLOOKUP(W8379,Sheet2!$B:$D,3,FALSE)</f>
        <v>1.76</v>
      </c>
      <c r="AA8379" s="93">
        <f>AA8378/15</f>
        <v>0.53333333333333333</v>
      </c>
      <c r="AB8379" s="93">
        <f>AD8379/AC8376</f>
        <v>3.3</v>
      </c>
      <c r="AC8379" s="93">
        <f>AC8376/AA8379</f>
        <v>18.484687499999986</v>
      </c>
      <c r="AD8379" s="94">
        <f t="shared" ref="AD8379" si="5781">AC8379*Z8379</f>
        <v>32.533049999999974</v>
      </c>
      <c r="AE8379" s="190"/>
      <c r="AF8379" s="191"/>
      <c r="AG8379" s="191"/>
      <c r="AH8379" s="191"/>
      <c r="AI8379" s="186"/>
      <c r="AK8379" s="171"/>
    </row>
    <row r="8380" spans="1:41" s="102" customFormat="1" ht="19.899999999999999" customHeight="1" x14ac:dyDescent="0.25">
      <c r="A8380" s="45"/>
      <c r="B8380" s="59"/>
      <c r="C8380" s="137"/>
      <c r="D8380" s="59"/>
      <c r="E8380" s="116"/>
      <c r="F8380" s="120"/>
      <c r="G8380" s="120"/>
      <c r="H8380" s="120"/>
      <c r="I8380" s="60"/>
      <c r="J8380" s="116"/>
      <c r="K8380" s="213"/>
      <c r="L8380" s="120"/>
      <c r="M8380" s="120"/>
      <c r="N8380" s="167"/>
      <c r="O8380" s="120"/>
      <c r="P8380" s="120"/>
      <c r="Q8380" s="120"/>
      <c r="R8380" s="120"/>
      <c r="S8380" s="120"/>
      <c r="T8380" s="221"/>
      <c r="U8380" s="89"/>
      <c r="V8380" s="61"/>
      <c r="W8380" s="92" t="s">
        <v>112</v>
      </c>
      <c r="X8380" s="93" t="s">
        <v>31</v>
      </c>
      <c r="Y8380" s="93" t="s">
        <v>93</v>
      </c>
      <c r="Z8380" s="134">
        <f>VLOOKUP(W8380,Sheet2!$B:$D,3,FALSE)</f>
        <v>13</v>
      </c>
      <c r="AA8380" s="93">
        <f>AA8378/2</f>
        <v>4</v>
      </c>
      <c r="AB8380" s="93">
        <f>AD8380/AC8376</f>
        <v>3.25</v>
      </c>
      <c r="AC8380" s="93">
        <f>AC8376/AA8380</f>
        <v>2.4646249999999981</v>
      </c>
      <c r="AD8380" s="94">
        <f>AC8380*Z8380</f>
        <v>32.040124999999975</v>
      </c>
      <c r="AE8380" s="190"/>
      <c r="AF8380" s="191"/>
      <c r="AG8380" s="191"/>
      <c r="AH8380" s="191"/>
      <c r="AI8380" s="186"/>
      <c r="AK8380" s="171"/>
    </row>
    <row r="8381" spans="1:41" ht="20.100000000000001" customHeight="1" x14ac:dyDescent="0.25">
      <c r="A8381" s="277" t="s">
        <v>703</v>
      </c>
      <c r="B8381" s="278"/>
      <c r="C8381" s="64" t="s">
        <v>764</v>
      </c>
      <c r="D8381" s="46" t="s">
        <v>97</v>
      </c>
      <c r="E8381" s="114">
        <v>10.836899999999986</v>
      </c>
      <c r="F8381" s="44">
        <v>5097</v>
      </c>
      <c r="G8381" s="44">
        <f t="shared" si="5545"/>
        <v>55235.679299999931</v>
      </c>
      <c r="H8381" s="44">
        <f t="shared" si="5546"/>
        <v>4536.9265866666656</v>
      </c>
      <c r="I8381" s="43">
        <f t="shared" si="5547"/>
        <v>49166.219727047923</v>
      </c>
      <c r="J8381" s="112">
        <f t="shared" si="5548"/>
        <v>10.836899999999986</v>
      </c>
      <c r="K8381" s="211">
        <f t="shared" si="5549"/>
        <v>10.836899999999986</v>
      </c>
      <c r="L8381" s="44"/>
      <c r="M8381" s="44">
        <f t="shared" si="5550"/>
        <v>10.836899999999986</v>
      </c>
      <c r="N8381" s="173">
        <f t="shared" si="5551"/>
        <v>1</v>
      </c>
      <c r="O8381" s="44">
        <f t="shared" si="5552"/>
        <v>5097</v>
      </c>
      <c r="P8381" s="44">
        <f t="shared" si="5553"/>
        <v>55235.679299999931</v>
      </c>
      <c r="Q8381" s="44">
        <f t="shared" si="5554"/>
        <v>4536.9265866666656</v>
      </c>
      <c r="R8381" s="44">
        <f t="shared" si="5555"/>
        <v>49166.219727047923</v>
      </c>
      <c r="S8381" s="123"/>
      <c r="T8381" s="219">
        <f t="shared" si="5556"/>
        <v>49166.219727047923</v>
      </c>
      <c r="U8381" s="87"/>
      <c r="V8381" s="47"/>
      <c r="W8381" s="48"/>
      <c r="X8381" s="48"/>
      <c r="Y8381" s="48"/>
      <c r="Z8381" s="135"/>
      <c r="AA8381" s="49"/>
      <c r="AB8381" s="50">
        <f t="shared" si="5557"/>
        <v>4536.9265866666656</v>
      </c>
      <c r="AC8381" s="42">
        <f t="shared" si="5558"/>
        <v>10.836899999999986</v>
      </c>
      <c r="AD8381" s="90">
        <f>AD8382+AD8391</f>
        <v>49166.219727047923</v>
      </c>
      <c r="AE8381" s="188">
        <f t="shared" ref="AE8381:AH8381" si="5782">AE8382+AE8391</f>
        <v>0</v>
      </c>
      <c r="AF8381" s="189">
        <f t="shared" si="5782"/>
        <v>0</v>
      </c>
      <c r="AG8381" s="189">
        <f t="shared" si="5782"/>
        <v>0</v>
      </c>
      <c r="AH8381" s="189">
        <f t="shared" si="5782"/>
        <v>0</v>
      </c>
      <c r="AI8381" s="161">
        <f t="shared" ref="AI8381" si="5783">SUM(AE8381:AH8381)</f>
        <v>0</v>
      </c>
      <c r="AK8381" s="169">
        <v>5</v>
      </c>
      <c r="AO8381" s="19" t="s">
        <v>63</v>
      </c>
    </row>
    <row r="8382" spans="1:41" s="103" customFormat="1" ht="19.899999999999999" customHeight="1" x14ac:dyDescent="0.25">
      <c r="A8382" s="51"/>
      <c r="B8382" s="52"/>
      <c r="C8382" s="165"/>
      <c r="D8382" s="52"/>
      <c r="E8382" s="115"/>
      <c r="F8382" s="58"/>
      <c r="G8382" s="58"/>
      <c r="H8382" s="58"/>
      <c r="I8382" s="55"/>
      <c r="J8382" s="113">
        <f>J8381</f>
        <v>10.836899999999986</v>
      </c>
      <c r="K8382" s="212">
        <f>K8381</f>
        <v>10.836899999999986</v>
      </c>
      <c r="L8382" s="58"/>
      <c r="M8382" s="58">
        <f>K8382-L8382</f>
        <v>10.836899999999986</v>
      </c>
      <c r="N8382" s="166"/>
      <c r="O8382" s="58"/>
      <c r="P8382" s="58"/>
      <c r="Q8382" s="58"/>
      <c r="R8382" s="58"/>
      <c r="S8382" s="58"/>
      <c r="T8382" s="220"/>
      <c r="U8382" s="88"/>
      <c r="V8382" s="56"/>
      <c r="W8382" s="57" t="s">
        <v>1136</v>
      </c>
      <c r="X8382" s="53"/>
      <c r="Y8382" s="91" t="s">
        <v>68</v>
      </c>
      <c r="Z8382" s="136">
        <f>AD8382/AC8382</f>
        <v>32.376586666666675</v>
      </c>
      <c r="AA8382" s="58"/>
      <c r="AB8382" s="53">
        <f>AD8382/AC8382</f>
        <v>32.376586666666675</v>
      </c>
      <c r="AC8382" s="53">
        <f>M8382+$AE$10</f>
        <v>10.836899999999986</v>
      </c>
      <c r="AD8382" s="54">
        <f>SUM(AD8383:AD8390)</f>
        <v>350.8618320479996</v>
      </c>
      <c r="AE8382" s="184">
        <f>SUMIFS($AD$37:$AD$12971,$V$37:$V$12971,$V8382,$X$37:$X$12971,AE$13)</f>
        <v>0</v>
      </c>
      <c r="AF8382" s="185">
        <f>SUMIFS($AD$37:$AD$12971,$V$37:$V$12971,$V8382,$X$37:$X$12971,AF$13)</f>
        <v>0</v>
      </c>
      <c r="AG8382" s="185">
        <f>SUMIFS($AD$37:$AD$12971,$V$37:$V$12971,$V8382,$X$37:$X$12971,AG$13)</f>
        <v>0</v>
      </c>
      <c r="AH8382" s="187">
        <f>SUMIFS($AD$37:$AD$12971,$V$37:$V$12971,$V8382,$X$37:$X$12971,AH$13)</f>
        <v>0</v>
      </c>
      <c r="AI8382" s="161">
        <f t="shared" ref="AI8382" si="5784">SUM(AE8382:AH8382)</f>
        <v>0</v>
      </c>
      <c r="AK8382" s="172"/>
    </row>
    <row r="8383" spans="1:41" s="102" customFormat="1" ht="19.899999999999999" customHeight="1" x14ac:dyDescent="0.25">
      <c r="A8383" s="45"/>
      <c r="B8383" s="59"/>
      <c r="C8383" s="137"/>
      <c r="D8383" s="59"/>
      <c r="E8383" s="116"/>
      <c r="F8383" s="120"/>
      <c r="G8383" s="120"/>
      <c r="H8383" s="120"/>
      <c r="I8383" s="60"/>
      <c r="J8383" s="116"/>
      <c r="K8383" s="213"/>
      <c r="L8383" s="120"/>
      <c r="M8383" s="120"/>
      <c r="N8383" s="167"/>
      <c r="O8383" s="120"/>
      <c r="P8383" s="120"/>
      <c r="Q8383" s="120"/>
      <c r="R8383" s="120"/>
      <c r="S8383" s="120"/>
      <c r="T8383" s="221"/>
      <c r="U8383" s="89"/>
      <c r="V8383" s="61"/>
      <c r="W8383" s="92" t="s">
        <v>129</v>
      </c>
      <c r="X8383" s="93" t="s">
        <v>29</v>
      </c>
      <c r="Y8383" s="93" t="s">
        <v>93</v>
      </c>
      <c r="Z8383" s="134">
        <f>VLOOKUP(W8383,Sheet2!$B:$D,3,FALSE)</f>
        <v>56</v>
      </c>
      <c r="AA8383" s="93">
        <f>100/(3.4*2)</f>
        <v>14.705882352941178</v>
      </c>
      <c r="AB8383" s="93">
        <f t="shared" ref="AB8383" si="5785">AD8383/AC8382</f>
        <v>3.8079999999999998</v>
      </c>
      <c r="AC8383" s="93">
        <f>AC8382/AA8383</f>
        <v>0.73690919999999893</v>
      </c>
      <c r="AD8383" s="94">
        <f t="shared" ref="AD8383:AD8384" si="5786">AC8383*Z8383</f>
        <v>41.266915199999943</v>
      </c>
      <c r="AE8383" s="190"/>
      <c r="AF8383" s="191"/>
      <c r="AG8383" s="191"/>
      <c r="AH8383" s="191"/>
      <c r="AI8383" s="186"/>
      <c r="AK8383" s="171"/>
    </row>
    <row r="8384" spans="1:41" s="102" customFormat="1" ht="19.899999999999999" customHeight="1" x14ac:dyDescent="0.25">
      <c r="A8384" s="45"/>
      <c r="B8384" s="59"/>
      <c r="C8384" s="137"/>
      <c r="D8384" s="59"/>
      <c r="E8384" s="116"/>
      <c r="F8384" s="120"/>
      <c r="G8384" s="120"/>
      <c r="H8384" s="120"/>
      <c r="I8384" s="60"/>
      <c r="J8384" s="116"/>
      <c r="K8384" s="213"/>
      <c r="L8384" s="120"/>
      <c r="M8384" s="120"/>
      <c r="N8384" s="167"/>
      <c r="O8384" s="120"/>
      <c r="P8384" s="120"/>
      <c r="Q8384" s="120"/>
      <c r="R8384" s="120"/>
      <c r="S8384" s="120"/>
      <c r="T8384" s="221"/>
      <c r="U8384" s="89"/>
      <c r="V8384" s="61"/>
      <c r="W8384" s="92" t="s">
        <v>65</v>
      </c>
      <c r="X8384" s="93" t="s">
        <v>30</v>
      </c>
      <c r="Y8384" s="93" t="s">
        <v>1011</v>
      </c>
      <c r="Z8384" s="134">
        <f>VLOOKUP(W8384,Sheet2!$B:$D,3,FALSE)</f>
        <v>1.76</v>
      </c>
      <c r="AA8384" s="93">
        <f>AA8383/14</f>
        <v>1.0504201680672269</v>
      </c>
      <c r="AB8384" s="93">
        <f>AD8384/AC8382</f>
        <v>1.6755199999999999</v>
      </c>
      <c r="AC8384" s="93">
        <f>AC8382/AA8384</f>
        <v>10.316728799999986</v>
      </c>
      <c r="AD8384" s="94">
        <f t="shared" si="5786"/>
        <v>18.157442687999975</v>
      </c>
      <c r="AE8384" s="190"/>
      <c r="AF8384" s="191"/>
      <c r="AG8384" s="191"/>
      <c r="AH8384" s="191"/>
      <c r="AI8384" s="186"/>
      <c r="AK8384" s="171"/>
    </row>
    <row r="8385" spans="1:41" s="102" customFormat="1" ht="19.899999999999999" customHeight="1" x14ac:dyDescent="0.25">
      <c r="A8385" s="45"/>
      <c r="B8385" s="59"/>
      <c r="C8385" s="137"/>
      <c r="D8385" s="59"/>
      <c r="E8385" s="116"/>
      <c r="F8385" s="120"/>
      <c r="G8385" s="120"/>
      <c r="H8385" s="120"/>
      <c r="I8385" s="60"/>
      <c r="J8385" s="116"/>
      <c r="K8385" s="213"/>
      <c r="L8385" s="120"/>
      <c r="M8385" s="120"/>
      <c r="N8385" s="167"/>
      <c r="O8385" s="120"/>
      <c r="P8385" s="120"/>
      <c r="Q8385" s="120"/>
      <c r="R8385" s="120"/>
      <c r="S8385" s="120"/>
      <c r="T8385" s="221"/>
      <c r="U8385" s="89"/>
      <c r="V8385" s="61"/>
      <c r="W8385" s="92" t="s">
        <v>161</v>
      </c>
      <c r="X8385" s="93" t="s">
        <v>29</v>
      </c>
      <c r="Y8385" s="93" t="s">
        <v>93</v>
      </c>
      <c r="Z8385" s="134">
        <f>VLOOKUP(W8385,Sheet2!$B:$D,3,FALSE)</f>
        <v>48</v>
      </c>
      <c r="AA8385" s="93">
        <f>(16*0.85*1.5)/(3.4*2)</f>
        <v>3</v>
      </c>
      <c r="AB8385" s="93">
        <f>AD8385/AC8382</f>
        <v>16</v>
      </c>
      <c r="AC8385" s="93">
        <f>AC8382/AA8385</f>
        <v>3.6122999999999954</v>
      </c>
      <c r="AD8385" s="94">
        <f>AC8385*Z8385</f>
        <v>173.39039999999977</v>
      </c>
      <c r="AE8385" s="190"/>
      <c r="AF8385" s="191"/>
      <c r="AG8385" s="191"/>
      <c r="AH8385" s="191"/>
      <c r="AI8385" s="186"/>
      <c r="AK8385" s="171"/>
    </row>
    <row r="8386" spans="1:41" s="102" customFormat="1" ht="19.899999999999999" customHeight="1" x14ac:dyDescent="0.25">
      <c r="A8386" s="45"/>
      <c r="B8386" s="59"/>
      <c r="C8386" s="137"/>
      <c r="D8386" s="59"/>
      <c r="E8386" s="116"/>
      <c r="F8386" s="120"/>
      <c r="G8386" s="120"/>
      <c r="H8386" s="120"/>
      <c r="I8386" s="60"/>
      <c r="J8386" s="116"/>
      <c r="K8386" s="213"/>
      <c r="L8386" s="120"/>
      <c r="M8386" s="120"/>
      <c r="N8386" s="167"/>
      <c r="O8386" s="120"/>
      <c r="P8386" s="120"/>
      <c r="Q8386" s="120"/>
      <c r="R8386" s="120"/>
      <c r="S8386" s="120"/>
      <c r="T8386" s="221"/>
      <c r="U8386" s="89"/>
      <c r="V8386" s="61"/>
      <c r="W8386" s="92" t="s">
        <v>65</v>
      </c>
      <c r="X8386" s="93" t="s">
        <v>30</v>
      </c>
      <c r="Y8386" s="93" t="s">
        <v>1011</v>
      </c>
      <c r="Z8386" s="134">
        <f>VLOOKUP(W8386,Sheet2!$B:$D,3,FALSE)</f>
        <v>1.76</v>
      </c>
      <c r="AA8386" s="93">
        <f>AA8385/10</f>
        <v>0.3</v>
      </c>
      <c r="AB8386" s="93">
        <f>AD8386/AC8382</f>
        <v>5.8666666666666671</v>
      </c>
      <c r="AC8386" s="93">
        <f>AC8382/AA8386</f>
        <v>36.122999999999955</v>
      </c>
      <c r="AD8386" s="94">
        <f>AC8386*Z8386</f>
        <v>63.576479999999918</v>
      </c>
      <c r="AE8386" s="190"/>
      <c r="AF8386" s="191"/>
      <c r="AG8386" s="191"/>
      <c r="AH8386" s="191"/>
      <c r="AI8386" s="186"/>
      <c r="AK8386" s="171"/>
    </row>
    <row r="8387" spans="1:41" s="102" customFormat="1" ht="19.899999999999999" customHeight="1" x14ac:dyDescent="0.25">
      <c r="A8387" s="45"/>
      <c r="B8387" s="59"/>
      <c r="C8387" s="137"/>
      <c r="D8387" s="59"/>
      <c r="E8387" s="116"/>
      <c r="F8387" s="120"/>
      <c r="G8387" s="120"/>
      <c r="H8387" s="120"/>
      <c r="I8387" s="60"/>
      <c r="J8387" s="116"/>
      <c r="K8387" s="213"/>
      <c r="L8387" s="120"/>
      <c r="M8387" s="120"/>
      <c r="N8387" s="167"/>
      <c r="O8387" s="120"/>
      <c r="P8387" s="120"/>
      <c r="Q8387" s="120"/>
      <c r="R8387" s="120"/>
      <c r="S8387" s="120"/>
      <c r="T8387" s="221"/>
      <c r="U8387" s="89"/>
      <c r="V8387" s="61"/>
      <c r="W8387" s="92" t="s">
        <v>1030</v>
      </c>
      <c r="X8387" s="93" t="s">
        <v>29</v>
      </c>
      <c r="Y8387" s="93" t="s">
        <v>93</v>
      </c>
      <c r="Z8387" s="134">
        <f>VLOOKUP(W8387,Sheet2!$B:$D,3,FALSE)</f>
        <v>23</v>
      </c>
      <c r="AA8387" s="93">
        <v>50</v>
      </c>
      <c r="AB8387" s="93">
        <f>AD8387/AC8382</f>
        <v>0.45999999999999996</v>
      </c>
      <c r="AC8387" s="93">
        <f>AC8382/AA8387</f>
        <v>0.21673799999999971</v>
      </c>
      <c r="AD8387" s="94">
        <f t="shared" ref="AD8387:AD8390" si="5787">AC8387*Z8387</f>
        <v>4.9849739999999931</v>
      </c>
      <c r="AE8387" s="190"/>
      <c r="AF8387" s="191"/>
      <c r="AG8387" s="191"/>
      <c r="AH8387" s="191"/>
      <c r="AI8387" s="186"/>
      <c r="AK8387" s="171"/>
    </row>
    <row r="8388" spans="1:41" s="102" customFormat="1" ht="19.899999999999999" customHeight="1" x14ac:dyDescent="0.25">
      <c r="A8388" s="45"/>
      <c r="B8388" s="59"/>
      <c r="C8388" s="137"/>
      <c r="D8388" s="59"/>
      <c r="E8388" s="116"/>
      <c r="F8388" s="120"/>
      <c r="G8388" s="120"/>
      <c r="H8388" s="120"/>
      <c r="I8388" s="60"/>
      <c r="J8388" s="116"/>
      <c r="K8388" s="213"/>
      <c r="L8388" s="120"/>
      <c r="M8388" s="120"/>
      <c r="N8388" s="167"/>
      <c r="O8388" s="120"/>
      <c r="P8388" s="120"/>
      <c r="Q8388" s="120"/>
      <c r="R8388" s="120"/>
      <c r="S8388" s="120"/>
      <c r="T8388" s="221"/>
      <c r="U8388" s="89"/>
      <c r="V8388" s="61"/>
      <c r="W8388" s="92" t="s">
        <v>65</v>
      </c>
      <c r="X8388" s="93" t="s">
        <v>30</v>
      </c>
      <c r="Y8388" s="93" t="s">
        <v>1011</v>
      </c>
      <c r="Z8388" s="134">
        <f>VLOOKUP(W8388,Sheet2!$B:$D,3,FALSE)</f>
        <v>1.76</v>
      </c>
      <c r="AA8388" s="93">
        <f>AA8387/3</f>
        <v>16.666666666666668</v>
      </c>
      <c r="AB8388" s="93">
        <f>AD8388/AC8382</f>
        <v>0.10559999999999999</v>
      </c>
      <c r="AC8388" s="93">
        <f>AC8382/AA8388</f>
        <v>0.65021399999999907</v>
      </c>
      <c r="AD8388" s="94">
        <f t="shared" si="5787"/>
        <v>1.1443766399999984</v>
      </c>
      <c r="AE8388" s="190"/>
      <c r="AF8388" s="191"/>
      <c r="AG8388" s="191"/>
      <c r="AH8388" s="191"/>
      <c r="AI8388" s="186"/>
      <c r="AK8388" s="171"/>
    </row>
    <row r="8389" spans="1:41" s="102" customFormat="1" ht="19.899999999999999" customHeight="1" x14ac:dyDescent="0.25">
      <c r="A8389" s="45"/>
      <c r="B8389" s="59"/>
      <c r="C8389" s="137"/>
      <c r="D8389" s="59"/>
      <c r="E8389" s="116"/>
      <c r="F8389" s="120"/>
      <c r="G8389" s="120"/>
      <c r="H8389" s="120"/>
      <c r="I8389" s="60"/>
      <c r="J8389" s="116"/>
      <c r="K8389" s="213"/>
      <c r="L8389" s="120"/>
      <c r="M8389" s="120"/>
      <c r="N8389" s="167"/>
      <c r="O8389" s="120"/>
      <c r="P8389" s="120"/>
      <c r="Q8389" s="120"/>
      <c r="R8389" s="120"/>
      <c r="S8389" s="120"/>
      <c r="T8389" s="221"/>
      <c r="U8389" s="89"/>
      <c r="V8389" s="61"/>
      <c r="W8389" s="92" t="s">
        <v>148</v>
      </c>
      <c r="X8389" s="93" t="s">
        <v>29</v>
      </c>
      <c r="Y8389" s="93" t="s">
        <v>93</v>
      </c>
      <c r="Z8389" s="134">
        <f>VLOOKUP(W8389,Sheet2!$B:$D,3,FALSE)</f>
        <v>48</v>
      </c>
      <c r="AA8389" s="93">
        <f>AA8383</f>
        <v>14.705882352941178</v>
      </c>
      <c r="AB8389" s="93">
        <f>AD8389/AC8382</f>
        <v>3.2639999999999993</v>
      </c>
      <c r="AC8389" s="93">
        <f>AC8382/AA8389</f>
        <v>0.73690919999999893</v>
      </c>
      <c r="AD8389" s="94">
        <f t="shared" si="5787"/>
        <v>35.371641599999947</v>
      </c>
      <c r="AE8389" s="190"/>
      <c r="AF8389" s="191"/>
      <c r="AG8389" s="191"/>
      <c r="AH8389" s="191"/>
      <c r="AI8389" s="186"/>
      <c r="AK8389" s="171"/>
    </row>
    <row r="8390" spans="1:41" s="102" customFormat="1" ht="19.899999999999999" customHeight="1" x14ac:dyDescent="0.25">
      <c r="A8390" s="45"/>
      <c r="B8390" s="59"/>
      <c r="C8390" s="137"/>
      <c r="D8390" s="59"/>
      <c r="E8390" s="116"/>
      <c r="F8390" s="120"/>
      <c r="G8390" s="120"/>
      <c r="H8390" s="120"/>
      <c r="I8390" s="60"/>
      <c r="J8390" s="116"/>
      <c r="K8390" s="213"/>
      <c r="L8390" s="120"/>
      <c r="M8390" s="120"/>
      <c r="N8390" s="167"/>
      <c r="O8390" s="120"/>
      <c r="P8390" s="120"/>
      <c r="Q8390" s="120"/>
      <c r="R8390" s="120"/>
      <c r="S8390" s="120"/>
      <c r="T8390" s="221"/>
      <c r="U8390" s="89"/>
      <c r="V8390" s="61"/>
      <c r="W8390" s="92" t="s">
        <v>65</v>
      </c>
      <c r="X8390" s="93" t="s">
        <v>30</v>
      </c>
      <c r="Y8390" s="93" t="s">
        <v>1011</v>
      </c>
      <c r="Z8390" s="134">
        <f>VLOOKUP(W8390,Sheet2!$B:$D,3,FALSE)</f>
        <v>1.76</v>
      </c>
      <c r="AA8390" s="93">
        <f>AA8389/10</f>
        <v>1.4705882352941178</v>
      </c>
      <c r="AB8390" s="93">
        <f>AD8390/AC8382</f>
        <v>1.1967999999999999</v>
      </c>
      <c r="AC8390" s="93">
        <f>AC8382/AA8390</f>
        <v>7.3690919999999895</v>
      </c>
      <c r="AD8390" s="94">
        <f t="shared" si="5787"/>
        <v>12.969601919999981</v>
      </c>
      <c r="AE8390" s="190"/>
      <c r="AF8390" s="191"/>
      <c r="AG8390" s="191"/>
      <c r="AH8390" s="191"/>
      <c r="AI8390" s="186"/>
      <c r="AK8390" s="171"/>
    </row>
    <row r="8391" spans="1:41" s="103" customFormat="1" ht="19.899999999999999" customHeight="1" x14ac:dyDescent="0.25">
      <c r="A8391" s="51"/>
      <c r="B8391" s="52"/>
      <c r="C8391" s="165"/>
      <c r="D8391" s="52"/>
      <c r="E8391" s="115"/>
      <c r="F8391" s="58"/>
      <c r="G8391" s="58"/>
      <c r="H8391" s="58"/>
      <c r="I8391" s="55"/>
      <c r="J8391" s="113">
        <f>J8381</f>
        <v>10.836899999999986</v>
      </c>
      <c r="K8391" s="212">
        <f>K8381</f>
        <v>10.836899999999986</v>
      </c>
      <c r="L8391" s="58"/>
      <c r="M8391" s="58">
        <f>K8391-L8391</f>
        <v>10.836899999999986</v>
      </c>
      <c r="N8391" s="166"/>
      <c r="O8391" s="58"/>
      <c r="P8391" s="58"/>
      <c r="Q8391" s="58"/>
      <c r="R8391" s="58"/>
      <c r="S8391" s="58"/>
      <c r="T8391" s="220"/>
      <c r="U8391" s="88"/>
      <c r="V8391" s="56"/>
      <c r="W8391" s="57" t="s">
        <v>1137</v>
      </c>
      <c r="X8391" s="53"/>
      <c r="Y8391" s="91" t="s">
        <v>68</v>
      </c>
      <c r="Z8391" s="136">
        <f>AD8391/AC8391</f>
        <v>4504.5499999999984</v>
      </c>
      <c r="AA8391" s="58"/>
      <c r="AB8391" s="53">
        <f>AD8391/AC8391</f>
        <v>4504.5499999999984</v>
      </c>
      <c r="AC8391" s="53">
        <f>M8391+$AE$10</f>
        <v>10.836899999999986</v>
      </c>
      <c r="AD8391" s="54">
        <f>SUM(AD8392:AD8395)</f>
        <v>48815.357894999921</v>
      </c>
      <c r="AE8391" s="184">
        <f>SUMIFS($AD$37:$AD$12971,$V$37:$V$12971,$V8391,$X$37:$X$12971,AE$13)</f>
        <v>0</v>
      </c>
      <c r="AF8391" s="185">
        <f>SUMIFS($AD$37:$AD$12971,$V$37:$V$12971,$V8391,$X$37:$X$12971,AF$13)</f>
        <v>0</v>
      </c>
      <c r="AG8391" s="185">
        <f>SUMIFS($AD$37:$AD$12971,$V$37:$V$12971,$V8391,$X$37:$X$12971,AG$13)</f>
        <v>0</v>
      </c>
      <c r="AH8391" s="187">
        <f>SUMIFS($AD$37:$AD$12971,$V$37:$V$12971,$V8391,$X$37:$X$12971,AH$13)</f>
        <v>0</v>
      </c>
      <c r="AI8391" s="161">
        <f t="shared" ref="AI8391" si="5788">SUM(AE8391:AH8391)</f>
        <v>0</v>
      </c>
      <c r="AK8391" s="172"/>
    </row>
    <row r="8392" spans="1:41" s="102" customFormat="1" ht="19.899999999999999" customHeight="1" x14ac:dyDescent="0.25">
      <c r="A8392" s="45"/>
      <c r="B8392" s="59"/>
      <c r="C8392" s="137"/>
      <c r="D8392" s="59"/>
      <c r="E8392" s="116"/>
      <c r="F8392" s="120"/>
      <c r="G8392" s="120"/>
      <c r="H8392" s="120"/>
      <c r="I8392" s="60"/>
      <c r="J8392" s="116"/>
      <c r="K8392" s="213"/>
      <c r="L8392" s="120"/>
      <c r="M8392" s="120"/>
      <c r="N8392" s="167"/>
      <c r="O8392" s="120"/>
      <c r="P8392" s="120"/>
      <c r="Q8392" s="120"/>
      <c r="R8392" s="120"/>
      <c r="S8392" s="120"/>
      <c r="T8392" s="221"/>
      <c r="U8392" s="89"/>
      <c r="V8392" s="61"/>
      <c r="W8392" s="92" t="s">
        <v>1105</v>
      </c>
      <c r="X8392" s="93" t="s">
        <v>30</v>
      </c>
      <c r="Y8392" s="93" t="s">
        <v>66</v>
      </c>
      <c r="Z8392" s="134">
        <f>VLOOKUP(W8392,Sheet2!$B:$D,3,FALSE)</f>
        <v>2200</v>
      </c>
      <c r="AA8392" s="93">
        <f>1/((2.6*1.4)-(2*0.8))</f>
        <v>0.49019607843137264</v>
      </c>
      <c r="AB8392" s="93">
        <f>AD8392/AC8391</f>
        <v>4487.9999999999991</v>
      </c>
      <c r="AC8392" s="93">
        <f>AC8391/AA8392</f>
        <v>22.107275999999967</v>
      </c>
      <c r="AD8392" s="94">
        <f t="shared" ref="AD8392" si="5789">AC8392*Z8392</f>
        <v>48636.007199999927</v>
      </c>
      <c r="AE8392" s="190"/>
      <c r="AF8392" s="191"/>
      <c r="AG8392" s="191"/>
      <c r="AH8392" s="191"/>
      <c r="AI8392" s="186"/>
      <c r="AK8392" s="171"/>
    </row>
    <row r="8393" spans="1:41" s="102" customFormat="1" ht="19.899999999999999" customHeight="1" x14ac:dyDescent="0.25">
      <c r="A8393" s="45"/>
      <c r="B8393" s="59"/>
      <c r="C8393" s="137"/>
      <c r="D8393" s="59"/>
      <c r="E8393" s="116"/>
      <c r="F8393" s="120"/>
      <c r="G8393" s="120"/>
      <c r="H8393" s="120"/>
      <c r="I8393" s="60"/>
      <c r="J8393" s="116"/>
      <c r="K8393" s="213"/>
      <c r="L8393" s="120"/>
      <c r="M8393" s="120"/>
      <c r="N8393" s="167"/>
      <c r="O8393" s="120"/>
      <c r="P8393" s="120"/>
      <c r="Q8393" s="120"/>
      <c r="R8393" s="120"/>
      <c r="S8393" s="120"/>
      <c r="T8393" s="221"/>
      <c r="U8393" s="89"/>
      <c r="V8393" s="61"/>
      <c r="W8393" s="92" t="s">
        <v>174</v>
      </c>
      <c r="X8393" s="93" t="s">
        <v>29</v>
      </c>
      <c r="Y8393" s="93" t="s">
        <v>93</v>
      </c>
      <c r="Z8393" s="134">
        <f>VLOOKUP(W8393,Sheet2!$B:$D,3,FALSE)</f>
        <v>80</v>
      </c>
      <c r="AA8393" s="93">
        <f>4*2</f>
        <v>8</v>
      </c>
      <c r="AB8393" s="93">
        <f>AD8393/AC8391</f>
        <v>10</v>
      </c>
      <c r="AC8393" s="93">
        <f>AC8391/AA8393</f>
        <v>1.3546124999999982</v>
      </c>
      <c r="AD8393" s="94">
        <f>AC8393*Z8393</f>
        <v>108.36899999999986</v>
      </c>
      <c r="AE8393" s="190"/>
      <c r="AF8393" s="191"/>
      <c r="AG8393" s="191"/>
      <c r="AH8393" s="191"/>
      <c r="AI8393" s="186"/>
      <c r="AK8393" s="171"/>
    </row>
    <row r="8394" spans="1:41" s="102" customFormat="1" ht="19.899999999999999" customHeight="1" x14ac:dyDescent="0.25">
      <c r="A8394" s="45"/>
      <c r="B8394" s="59"/>
      <c r="C8394" s="137"/>
      <c r="D8394" s="59"/>
      <c r="E8394" s="116"/>
      <c r="F8394" s="120"/>
      <c r="G8394" s="120"/>
      <c r="H8394" s="120"/>
      <c r="I8394" s="60"/>
      <c r="J8394" s="116"/>
      <c r="K8394" s="213"/>
      <c r="L8394" s="120"/>
      <c r="M8394" s="120"/>
      <c r="N8394" s="167"/>
      <c r="O8394" s="120"/>
      <c r="P8394" s="120"/>
      <c r="Q8394" s="120"/>
      <c r="R8394" s="120"/>
      <c r="S8394" s="120"/>
      <c r="T8394" s="221"/>
      <c r="U8394" s="89"/>
      <c r="V8394" s="61"/>
      <c r="W8394" s="92" t="s">
        <v>65</v>
      </c>
      <c r="X8394" s="93" t="s">
        <v>30</v>
      </c>
      <c r="Y8394" s="93" t="s">
        <v>1011</v>
      </c>
      <c r="Z8394" s="134">
        <f>VLOOKUP(W8394,Sheet2!$B:$D,3,FALSE)</f>
        <v>1.76</v>
      </c>
      <c r="AA8394" s="93">
        <f>AA8393/15</f>
        <v>0.53333333333333333</v>
      </c>
      <c r="AB8394" s="93">
        <f>AD8394/AC8391</f>
        <v>3.3000000000000003</v>
      </c>
      <c r="AC8394" s="93">
        <f>AC8391/AA8394</f>
        <v>20.319187499999973</v>
      </c>
      <c r="AD8394" s="94">
        <f t="shared" ref="AD8394" si="5790">AC8394*Z8394</f>
        <v>35.761769999999956</v>
      </c>
      <c r="AE8394" s="190"/>
      <c r="AF8394" s="191"/>
      <c r="AG8394" s="191"/>
      <c r="AH8394" s="191"/>
      <c r="AI8394" s="186"/>
      <c r="AK8394" s="171"/>
    </row>
    <row r="8395" spans="1:41" s="102" customFormat="1" ht="19.899999999999999" customHeight="1" x14ac:dyDescent="0.25">
      <c r="A8395" s="45"/>
      <c r="B8395" s="59"/>
      <c r="C8395" s="137"/>
      <c r="D8395" s="59"/>
      <c r="E8395" s="116"/>
      <c r="F8395" s="120"/>
      <c r="G8395" s="120"/>
      <c r="H8395" s="120"/>
      <c r="I8395" s="60"/>
      <c r="J8395" s="116"/>
      <c r="K8395" s="213"/>
      <c r="L8395" s="120"/>
      <c r="M8395" s="120"/>
      <c r="N8395" s="167"/>
      <c r="O8395" s="120"/>
      <c r="P8395" s="120"/>
      <c r="Q8395" s="120"/>
      <c r="R8395" s="120"/>
      <c r="S8395" s="120"/>
      <c r="T8395" s="221"/>
      <c r="U8395" s="89"/>
      <c r="V8395" s="61"/>
      <c r="W8395" s="92" t="s">
        <v>112</v>
      </c>
      <c r="X8395" s="93" t="s">
        <v>31</v>
      </c>
      <c r="Y8395" s="93" t="s">
        <v>93</v>
      </c>
      <c r="Z8395" s="134">
        <f>VLOOKUP(W8395,Sheet2!$B:$D,3,FALSE)</f>
        <v>13</v>
      </c>
      <c r="AA8395" s="93">
        <f>AA8393/2</f>
        <v>4</v>
      </c>
      <c r="AB8395" s="93">
        <f>AD8395/AC8391</f>
        <v>3.25</v>
      </c>
      <c r="AC8395" s="93">
        <f>AC8391/AA8395</f>
        <v>2.7092249999999964</v>
      </c>
      <c r="AD8395" s="94">
        <f>AC8395*Z8395</f>
        <v>35.219924999999954</v>
      </c>
      <c r="AE8395" s="190"/>
      <c r="AF8395" s="191"/>
      <c r="AG8395" s="191"/>
      <c r="AH8395" s="191"/>
      <c r="AI8395" s="186"/>
      <c r="AK8395" s="171"/>
    </row>
    <row r="8396" spans="1:41" ht="20.100000000000001" customHeight="1" x14ac:dyDescent="0.25">
      <c r="A8396" s="277" t="s">
        <v>703</v>
      </c>
      <c r="B8396" s="278"/>
      <c r="C8396" s="64" t="s">
        <v>765</v>
      </c>
      <c r="D8396" s="46" t="s">
        <v>97</v>
      </c>
      <c r="E8396" s="114">
        <v>19.995499999999993</v>
      </c>
      <c r="F8396" s="44">
        <v>5280</v>
      </c>
      <c r="G8396" s="44">
        <f t="shared" si="5545"/>
        <v>105576.23999999996</v>
      </c>
      <c r="H8396" s="44">
        <f t="shared" si="5546"/>
        <v>4579.8793333333324</v>
      </c>
      <c r="I8396" s="43">
        <f t="shared" si="5547"/>
        <v>91576.977209666613</v>
      </c>
      <c r="J8396" s="112">
        <f t="shared" si="5548"/>
        <v>19.995499999999993</v>
      </c>
      <c r="K8396" s="211">
        <f t="shared" si="5549"/>
        <v>19.995499999999993</v>
      </c>
      <c r="L8396" s="44"/>
      <c r="M8396" s="44">
        <f t="shared" si="5550"/>
        <v>19.995499999999993</v>
      </c>
      <c r="N8396" s="173">
        <f t="shared" si="5551"/>
        <v>1</v>
      </c>
      <c r="O8396" s="44">
        <f t="shared" si="5552"/>
        <v>5280</v>
      </c>
      <c r="P8396" s="44">
        <f t="shared" si="5553"/>
        <v>105576.23999999996</v>
      </c>
      <c r="Q8396" s="44">
        <f t="shared" si="5554"/>
        <v>4579.8793333333324</v>
      </c>
      <c r="R8396" s="44">
        <f t="shared" si="5555"/>
        <v>91576.977209666613</v>
      </c>
      <c r="S8396" s="123"/>
      <c r="T8396" s="219">
        <f t="shared" si="5556"/>
        <v>91576.977209666613</v>
      </c>
      <c r="U8396" s="87"/>
      <c r="V8396" s="47"/>
      <c r="W8396" s="48"/>
      <c r="X8396" s="48"/>
      <c r="Y8396" s="48"/>
      <c r="Z8396" s="135"/>
      <c r="AA8396" s="49"/>
      <c r="AB8396" s="50">
        <f t="shared" si="5557"/>
        <v>4579.8793333333324</v>
      </c>
      <c r="AC8396" s="42">
        <f t="shared" si="5558"/>
        <v>19.995499999999993</v>
      </c>
      <c r="AD8396" s="90">
        <f>AD8397+AD8407</f>
        <v>91576.977209666613</v>
      </c>
      <c r="AE8396" s="188">
        <f t="shared" ref="AE8396:AH8396" si="5791">AE8397+AE8407</f>
        <v>0</v>
      </c>
      <c r="AF8396" s="189">
        <f t="shared" si="5791"/>
        <v>0</v>
      </c>
      <c r="AG8396" s="189">
        <f t="shared" si="5791"/>
        <v>0</v>
      </c>
      <c r="AH8396" s="189">
        <f t="shared" si="5791"/>
        <v>0</v>
      </c>
      <c r="AI8396" s="161">
        <f t="shared" ref="AI8396" si="5792">SUM(AE8396:AH8396)</f>
        <v>0</v>
      </c>
      <c r="AK8396" s="169">
        <v>5</v>
      </c>
      <c r="AO8396" s="19" t="s">
        <v>63</v>
      </c>
    </row>
    <row r="8397" spans="1:41" s="103" customFormat="1" ht="19.899999999999999" customHeight="1" x14ac:dyDescent="0.25">
      <c r="A8397" s="51"/>
      <c r="B8397" s="52"/>
      <c r="C8397" s="165"/>
      <c r="D8397" s="52"/>
      <c r="E8397" s="115"/>
      <c r="F8397" s="58"/>
      <c r="G8397" s="58"/>
      <c r="H8397" s="58"/>
      <c r="I8397" s="55"/>
      <c r="J8397" s="113">
        <f>J8396</f>
        <v>19.995499999999993</v>
      </c>
      <c r="K8397" s="212">
        <f>K8396</f>
        <v>19.995499999999993</v>
      </c>
      <c r="L8397" s="58"/>
      <c r="M8397" s="58">
        <f>K8397-L8397</f>
        <v>19.995499999999993</v>
      </c>
      <c r="N8397" s="166"/>
      <c r="O8397" s="58"/>
      <c r="P8397" s="58"/>
      <c r="Q8397" s="58"/>
      <c r="R8397" s="58"/>
      <c r="S8397" s="58"/>
      <c r="T8397" s="220"/>
      <c r="U8397" s="88"/>
      <c r="V8397" s="56"/>
      <c r="W8397" s="57" t="s">
        <v>1133</v>
      </c>
      <c r="X8397" s="53"/>
      <c r="Y8397" s="91" t="s">
        <v>68</v>
      </c>
      <c r="Z8397" s="136">
        <f>AD8397/AC8397</f>
        <v>75.329333333333338</v>
      </c>
      <c r="AA8397" s="58"/>
      <c r="AB8397" s="53">
        <f>AD8397/AC8397</f>
        <v>75.329333333333338</v>
      </c>
      <c r="AC8397" s="53">
        <f>M8397+$AE$10</f>
        <v>19.995499999999993</v>
      </c>
      <c r="AD8397" s="54">
        <f>SUM(AD8398:AD8406)</f>
        <v>1506.2476846666661</v>
      </c>
      <c r="AE8397" s="184">
        <f>SUMIFS($AD$37:$AD$12971,$V$37:$V$12971,$V8397,$X$37:$X$12971,AE$13)</f>
        <v>0</v>
      </c>
      <c r="AF8397" s="185">
        <f>SUMIFS($AD$37:$AD$12971,$V$37:$V$12971,$V8397,$X$37:$X$12971,AF$13)</f>
        <v>0</v>
      </c>
      <c r="AG8397" s="185">
        <f>SUMIFS($AD$37:$AD$12971,$V$37:$V$12971,$V8397,$X$37:$X$12971,AG$13)</f>
        <v>0</v>
      </c>
      <c r="AH8397" s="187">
        <f>SUMIFS($AD$37:$AD$12971,$V$37:$V$12971,$V8397,$X$37:$X$12971,AH$13)</f>
        <v>0</v>
      </c>
      <c r="AI8397" s="161">
        <f t="shared" ref="AI8397" si="5793">SUM(AE8397:AH8397)</f>
        <v>0</v>
      </c>
      <c r="AK8397" s="172"/>
    </row>
    <row r="8398" spans="1:41" s="102" customFormat="1" ht="19.899999999999999" customHeight="1" x14ac:dyDescent="0.25">
      <c r="A8398" s="45"/>
      <c r="B8398" s="59"/>
      <c r="C8398" s="137"/>
      <c r="D8398" s="59"/>
      <c r="E8398" s="116"/>
      <c r="F8398" s="120"/>
      <c r="G8398" s="120"/>
      <c r="H8398" s="120"/>
      <c r="I8398" s="60"/>
      <c r="J8398" s="116"/>
      <c r="K8398" s="213"/>
      <c r="L8398" s="120"/>
      <c r="M8398" s="120"/>
      <c r="N8398" s="167"/>
      <c r="O8398" s="120"/>
      <c r="P8398" s="120"/>
      <c r="Q8398" s="120"/>
      <c r="R8398" s="120"/>
      <c r="S8398" s="120"/>
      <c r="T8398" s="221"/>
      <c r="U8398" s="89"/>
      <c r="V8398" s="61"/>
      <c r="W8398" s="92" t="s">
        <v>129</v>
      </c>
      <c r="X8398" s="93" t="s">
        <v>29</v>
      </c>
      <c r="Y8398" s="93" t="s">
        <v>93</v>
      </c>
      <c r="Z8398" s="134">
        <f>VLOOKUP(W8398,Sheet2!$B:$D,3,FALSE)</f>
        <v>56</v>
      </c>
      <c r="AA8398" s="93">
        <f>100/(3.4*2.5)</f>
        <v>11.764705882352942</v>
      </c>
      <c r="AB8398" s="93">
        <f t="shared" ref="AB8398" si="5794">AD8398/AC8397</f>
        <v>4.76</v>
      </c>
      <c r="AC8398" s="93">
        <f>AC8397/AA8398</f>
        <v>1.6996174999999993</v>
      </c>
      <c r="AD8398" s="94">
        <f t="shared" ref="AD8398:AD8399" si="5795">AC8398*Z8398</f>
        <v>95.178579999999968</v>
      </c>
      <c r="AE8398" s="190"/>
      <c r="AF8398" s="191"/>
      <c r="AG8398" s="191"/>
      <c r="AH8398" s="191"/>
      <c r="AI8398" s="186"/>
      <c r="AK8398" s="171"/>
    </row>
    <row r="8399" spans="1:41" s="102" customFormat="1" ht="19.899999999999999" customHeight="1" x14ac:dyDescent="0.25">
      <c r="A8399" s="45"/>
      <c r="B8399" s="59"/>
      <c r="C8399" s="137"/>
      <c r="D8399" s="59"/>
      <c r="E8399" s="116"/>
      <c r="F8399" s="120"/>
      <c r="G8399" s="120"/>
      <c r="H8399" s="120"/>
      <c r="I8399" s="60"/>
      <c r="J8399" s="116"/>
      <c r="K8399" s="213"/>
      <c r="L8399" s="120"/>
      <c r="M8399" s="120"/>
      <c r="N8399" s="167"/>
      <c r="O8399" s="120"/>
      <c r="P8399" s="120"/>
      <c r="Q8399" s="120"/>
      <c r="R8399" s="120"/>
      <c r="S8399" s="120"/>
      <c r="T8399" s="221"/>
      <c r="U8399" s="89"/>
      <c r="V8399" s="61"/>
      <c r="W8399" s="92" t="s">
        <v>65</v>
      </c>
      <c r="X8399" s="93" t="s">
        <v>30</v>
      </c>
      <c r="Y8399" s="93" t="s">
        <v>1011</v>
      </c>
      <c r="Z8399" s="134">
        <f>VLOOKUP(W8399,Sheet2!$B:$D,3,FALSE)</f>
        <v>1.76</v>
      </c>
      <c r="AA8399" s="93">
        <f>AA8398/14</f>
        <v>0.84033613445378152</v>
      </c>
      <c r="AB8399" s="93">
        <f>AD8399/AC8397</f>
        <v>2.0944000000000003</v>
      </c>
      <c r="AC8399" s="93">
        <f>AC8397/AA8399</f>
        <v>23.794644999999992</v>
      </c>
      <c r="AD8399" s="94">
        <f t="shared" si="5795"/>
        <v>41.878575199999986</v>
      </c>
      <c r="AE8399" s="190"/>
      <c r="AF8399" s="191"/>
      <c r="AG8399" s="191"/>
      <c r="AH8399" s="191"/>
      <c r="AI8399" s="186"/>
      <c r="AK8399" s="171"/>
    </row>
    <row r="8400" spans="1:41" s="102" customFormat="1" ht="19.899999999999999" customHeight="1" x14ac:dyDescent="0.25">
      <c r="A8400" s="45"/>
      <c r="B8400" s="59"/>
      <c r="C8400" s="137"/>
      <c r="D8400" s="59"/>
      <c r="E8400" s="116"/>
      <c r="F8400" s="120"/>
      <c r="G8400" s="120"/>
      <c r="H8400" s="120"/>
      <c r="I8400" s="60"/>
      <c r="J8400" s="116"/>
      <c r="K8400" s="213"/>
      <c r="L8400" s="120"/>
      <c r="M8400" s="120"/>
      <c r="N8400" s="167"/>
      <c r="O8400" s="120"/>
      <c r="P8400" s="120"/>
      <c r="Q8400" s="120"/>
      <c r="R8400" s="120"/>
      <c r="S8400" s="120"/>
      <c r="T8400" s="221"/>
      <c r="U8400" s="89"/>
      <c r="V8400" s="61"/>
      <c r="W8400" s="92" t="s">
        <v>161</v>
      </c>
      <c r="X8400" s="93" t="s">
        <v>29</v>
      </c>
      <c r="Y8400" s="93" t="s">
        <v>93</v>
      </c>
      <c r="Z8400" s="134">
        <f>VLOOKUP(W8400,Sheet2!$B:$D,3,FALSE)</f>
        <v>48</v>
      </c>
      <c r="AA8400" s="93">
        <f>(16*0.85*1.5)/(3.4*2.5)</f>
        <v>2.4</v>
      </c>
      <c r="AB8400" s="93">
        <f>AD8400/AC8397</f>
        <v>20</v>
      </c>
      <c r="AC8400" s="93">
        <f>AC8397/AA8400</f>
        <v>8.3314583333333303</v>
      </c>
      <c r="AD8400" s="94">
        <f>AC8400*Z8400</f>
        <v>399.90999999999985</v>
      </c>
      <c r="AE8400" s="190"/>
      <c r="AF8400" s="191"/>
      <c r="AG8400" s="191"/>
      <c r="AH8400" s="191"/>
      <c r="AI8400" s="186"/>
      <c r="AK8400" s="171"/>
    </row>
    <row r="8401" spans="1:41" s="102" customFormat="1" ht="19.899999999999999" customHeight="1" x14ac:dyDescent="0.25">
      <c r="A8401" s="45"/>
      <c r="B8401" s="59"/>
      <c r="C8401" s="137"/>
      <c r="D8401" s="59"/>
      <c r="E8401" s="116"/>
      <c r="F8401" s="120"/>
      <c r="G8401" s="120"/>
      <c r="H8401" s="120"/>
      <c r="I8401" s="60"/>
      <c r="J8401" s="116"/>
      <c r="K8401" s="213"/>
      <c r="L8401" s="120"/>
      <c r="M8401" s="120"/>
      <c r="N8401" s="167"/>
      <c r="O8401" s="120"/>
      <c r="P8401" s="120"/>
      <c r="Q8401" s="120"/>
      <c r="R8401" s="120"/>
      <c r="S8401" s="120"/>
      <c r="T8401" s="221"/>
      <c r="U8401" s="89"/>
      <c r="V8401" s="61"/>
      <c r="W8401" s="92" t="s">
        <v>65</v>
      </c>
      <c r="X8401" s="93" t="s">
        <v>30</v>
      </c>
      <c r="Y8401" s="93" t="s">
        <v>1011</v>
      </c>
      <c r="Z8401" s="134">
        <f>VLOOKUP(W8401,Sheet2!$B:$D,3,FALSE)</f>
        <v>1.76</v>
      </c>
      <c r="AA8401" s="93">
        <f>AA8400/10</f>
        <v>0.24</v>
      </c>
      <c r="AB8401" s="93">
        <f>AD8401/AC8397</f>
        <v>7.333333333333333</v>
      </c>
      <c r="AC8401" s="93">
        <f>AC8397/AA8401</f>
        <v>83.314583333333303</v>
      </c>
      <c r="AD8401" s="94">
        <f>AC8401*Z8401</f>
        <v>146.63366666666661</v>
      </c>
      <c r="AE8401" s="190"/>
      <c r="AF8401" s="191"/>
      <c r="AG8401" s="191"/>
      <c r="AH8401" s="191"/>
      <c r="AI8401" s="186"/>
      <c r="AK8401" s="171"/>
    </row>
    <row r="8402" spans="1:41" s="102" customFormat="1" ht="19.899999999999999" customHeight="1" x14ac:dyDescent="0.25">
      <c r="A8402" s="45"/>
      <c r="B8402" s="59"/>
      <c r="C8402" s="137"/>
      <c r="D8402" s="59"/>
      <c r="E8402" s="116"/>
      <c r="F8402" s="120"/>
      <c r="G8402" s="120"/>
      <c r="H8402" s="120"/>
      <c r="I8402" s="60"/>
      <c r="J8402" s="116"/>
      <c r="K8402" s="213"/>
      <c r="L8402" s="120"/>
      <c r="M8402" s="120"/>
      <c r="N8402" s="167"/>
      <c r="O8402" s="120"/>
      <c r="P8402" s="120"/>
      <c r="Q8402" s="120"/>
      <c r="R8402" s="120"/>
      <c r="S8402" s="120"/>
      <c r="T8402" s="221"/>
      <c r="U8402" s="89"/>
      <c r="V8402" s="61"/>
      <c r="W8402" s="92" t="s">
        <v>1030</v>
      </c>
      <c r="X8402" s="93" t="s">
        <v>29</v>
      </c>
      <c r="Y8402" s="93" t="s">
        <v>93</v>
      </c>
      <c r="Z8402" s="134">
        <f>VLOOKUP(W8402,Sheet2!$B:$D,3,FALSE)</f>
        <v>23</v>
      </c>
      <c r="AA8402" s="93">
        <v>50</v>
      </c>
      <c r="AB8402" s="93">
        <f>AD8402/AC8397</f>
        <v>0.46000000000000008</v>
      </c>
      <c r="AC8402" s="93">
        <f>AC8397/AA8402</f>
        <v>0.39990999999999988</v>
      </c>
      <c r="AD8402" s="94">
        <f t="shared" ref="AD8402:AD8406" si="5796">AC8402*Z8402</f>
        <v>9.1979299999999977</v>
      </c>
      <c r="AE8402" s="190"/>
      <c r="AF8402" s="191"/>
      <c r="AG8402" s="191"/>
      <c r="AH8402" s="191"/>
      <c r="AI8402" s="186"/>
      <c r="AK8402" s="171"/>
    </row>
    <row r="8403" spans="1:41" s="102" customFormat="1" ht="19.899999999999999" customHeight="1" x14ac:dyDescent="0.25">
      <c r="A8403" s="45"/>
      <c r="B8403" s="59"/>
      <c r="C8403" s="137"/>
      <c r="D8403" s="59"/>
      <c r="E8403" s="116"/>
      <c r="F8403" s="120"/>
      <c r="G8403" s="120"/>
      <c r="H8403" s="120"/>
      <c r="I8403" s="60"/>
      <c r="J8403" s="116"/>
      <c r="K8403" s="213"/>
      <c r="L8403" s="120"/>
      <c r="M8403" s="120"/>
      <c r="N8403" s="167"/>
      <c r="O8403" s="120"/>
      <c r="P8403" s="120"/>
      <c r="Q8403" s="120"/>
      <c r="R8403" s="120"/>
      <c r="S8403" s="120"/>
      <c r="T8403" s="221"/>
      <c r="U8403" s="89"/>
      <c r="V8403" s="61"/>
      <c r="W8403" s="92" t="s">
        <v>65</v>
      </c>
      <c r="X8403" s="93" t="s">
        <v>30</v>
      </c>
      <c r="Y8403" s="93" t="s">
        <v>1011</v>
      </c>
      <c r="Z8403" s="134">
        <f>VLOOKUP(W8403,Sheet2!$B:$D,3,FALSE)</f>
        <v>1.76</v>
      </c>
      <c r="AA8403" s="93">
        <f>AA8402/3</f>
        <v>16.666666666666668</v>
      </c>
      <c r="AB8403" s="93">
        <f>AD8403/AC8397</f>
        <v>0.1056</v>
      </c>
      <c r="AC8403" s="93">
        <f>AC8397/AA8403</f>
        <v>1.1997299999999995</v>
      </c>
      <c r="AD8403" s="94">
        <f t="shared" si="5796"/>
        <v>2.1115247999999993</v>
      </c>
      <c r="AE8403" s="190"/>
      <c r="AF8403" s="191"/>
      <c r="AG8403" s="191"/>
      <c r="AH8403" s="191"/>
      <c r="AI8403" s="186"/>
      <c r="AK8403" s="171"/>
    </row>
    <row r="8404" spans="1:41" s="102" customFormat="1" ht="19.899999999999999" customHeight="1" x14ac:dyDescent="0.25">
      <c r="A8404" s="45"/>
      <c r="B8404" s="59"/>
      <c r="C8404" s="137"/>
      <c r="D8404" s="59"/>
      <c r="E8404" s="116"/>
      <c r="F8404" s="120"/>
      <c r="G8404" s="120"/>
      <c r="H8404" s="120"/>
      <c r="I8404" s="60"/>
      <c r="J8404" s="116"/>
      <c r="K8404" s="213"/>
      <c r="L8404" s="120"/>
      <c r="M8404" s="120"/>
      <c r="N8404" s="167"/>
      <c r="O8404" s="120"/>
      <c r="P8404" s="120"/>
      <c r="Q8404" s="120"/>
      <c r="R8404" s="120"/>
      <c r="S8404" s="120"/>
      <c r="T8404" s="221"/>
      <c r="U8404" s="89"/>
      <c r="V8404" s="61"/>
      <c r="W8404" s="92" t="s">
        <v>148</v>
      </c>
      <c r="X8404" s="93" t="s">
        <v>29</v>
      </c>
      <c r="Y8404" s="93" t="s">
        <v>93</v>
      </c>
      <c r="Z8404" s="134">
        <f>VLOOKUP(W8404,Sheet2!$B:$D,3,FALSE)</f>
        <v>48</v>
      </c>
      <c r="AA8404" s="93">
        <f>AA8398</f>
        <v>11.764705882352942</v>
      </c>
      <c r="AB8404" s="93">
        <f>AD8404/AC8397</f>
        <v>4.08</v>
      </c>
      <c r="AC8404" s="93">
        <f>AC8397/AA8404</f>
        <v>1.6996174999999993</v>
      </c>
      <c r="AD8404" s="94">
        <f t="shared" si="5796"/>
        <v>81.581639999999965</v>
      </c>
      <c r="AE8404" s="190"/>
      <c r="AF8404" s="191"/>
      <c r="AG8404" s="191"/>
      <c r="AH8404" s="191"/>
      <c r="AI8404" s="186"/>
      <c r="AK8404" s="171"/>
    </row>
    <row r="8405" spans="1:41" s="102" customFormat="1" ht="19.899999999999999" customHeight="1" x14ac:dyDescent="0.25">
      <c r="A8405" s="45"/>
      <c r="B8405" s="59"/>
      <c r="C8405" s="137"/>
      <c r="D8405" s="59"/>
      <c r="E8405" s="116"/>
      <c r="F8405" s="120"/>
      <c r="G8405" s="120"/>
      <c r="H8405" s="120"/>
      <c r="I8405" s="60"/>
      <c r="J8405" s="116"/>
      <c r="K8405" s="213"/>
      <c r="L8405" s="120"/>
      <c r="M8405" s="120"/>
      <c r="N8405" s="167"/>
      <c r="O8405" s="120"/>
      <c r="P8405" s="120"/>
      <c r="Q8405" s="120"/>
      <c r="R8405" s="120"/>
      <c r="S8405" s="120"/>
      <c r="T8405" s="221"/>
      <c r="U8405" s="89"/>
      <c r="V8405" s="61"/>
      <c r="W8405" s="92" t="s">
        <v>65</v>
      </c>
      <c r="X8405" s="93" t="s">
        <v>30</v>
      </c>
      <c r="Y8405" s="93" t="s">
        <v>1011</v>
      </c>
      <c r="Z8405" s="134">
        <f>VLOOKUP(W8405,Sheet2!$B:$D,3,FALSE)</f>
        <v>1.76</v>
      </c>
      <c r="AA8405" s="93">
        <f>AA8404/10</f>
        <v>1.1764705882352942</v>
      </c>
      <c r="AB8405" s="93">
        <f>AD8405/AC8397</f>
        <v>1.496</v>
      </c>
      <c r="AC8405" s="93">
        <f>AC8397/AA8405</f>
        <v>16.996174999999994</v>
      </c>
      <c r="AD8405" s="94">
        <f t="shared" si="5796"/>
        <v>29.913267999999988</v>
      </c>
      <c r="AE8405" s="190"/>
      <c r="AF8405" s="191"/>
      <c r="AG8405" s="191"/>
      <c r="AH8405" s="191"/>
      <c r="AI8405" s="186"/>
      <c r="AK8405" s="171"/>
    </row>
    <row r="8406" spans="1:41" s="102" customFormat="1" ht="19.899999999999999" customHeight="1" x14ac:dyDescent="0.25">
      <c r="A8406" s="45"/>
      <c r="B8406" s="59"/>
      <c r="C8406" s="137"/>
      <c r="D8406" s="59"/>
      <c r="E8406" s="116"/>
      <c r="F8406" s="120"/>
      <c r="G8406" s="120"/>
      <c r="H8406" s="120"/>
      <c r="I8406" s="60"/>
      <c r="J8406" s="116"/>
      <c r="K8406" s="213"/>
      <c r="L8406" s="120"/>
      <c r="M8406" s="120"/>
      <c r="N8406" s="167"/>
      <c r="O8406" s="120"/>
      <c r="P8406" s="120"/>
      <c r="Q8406" s="120"/>
      <c r="R8406" s="120"/>
      <c r="S8406" s="120"/>
      <c r="T8406" s="221"/>
      <c r="U8406" s="89"/>
      <c r="V8406" s="61"/>
      <c r="W8406" s="92" t="s">
        <v>1048</v>
      </c>
      <c r="X8406" s="93" t="s">
        <v>30</v>
      </c>
      <c r="Y8406" s="93" t="s">
        <v>68</v>
      </c>
      <c r="Z8406" s="134">
        <f>VLOOKUP(W8406,Sheet2!$B:$D,3,FALSE)</f>
        <v>35</v>
      </c>
      <c r="AA8406" s="93">
        <v>1</v>
      </c>
      <c r="AB8406" s="93">
        <f>AD8406/AC8397</f>
        <v>35</v>
      </c>
      <c r="AC8406" s="93">
        <f>AC8397/AA8406</f>
        <v>19.995499999999993</v>
      </c>
      <c r="AD8406" s="94">
        <f t="shared" si="5796"/>
        <v>699.84249999999975</v>
      </c>
      <c r="AE8406" s="190"/>
      <c r="AF8406" s="191"/>
      <c r="AG8406" s="191"/>
      <c r="AH8406" s="191"/>
      <c r="AI8406" s="186"/>
      <c r="AK8406" s="171"/>
    </row>
    <row r="8407" spans="1:41" s="103" customFormat="1" ht="19.899999999999999" customHeight="1" x14ac:dyDescent="0.25">
      <c r="A8407" s="51"/>
      <c r="B8407" s="52"/>
      <c r="C8407" s="165"/>
      <c r="D8407" s="52"/>
      <c r="E8407" s="115"/>
      <c r="F8407" s="58"/>
      <c r="G8407" s="58"/>
      <c r="H8407" s="58"/>
      <c r="I8407" s="55"/>
      <c r="J8407" s="113">
        <f>J8396</f>
        <v>19.995499999999993</v>
      </c>
      <c r="K8407" s="212">
        <f>K8396</f>
        <v>19.995499999999993</v>
      </c>
      <c r="L8407" s="58"/>
      <c r="M8407" s="58">
        <f>K8407-L8407</f>
        <v>19.995499999999993</v>
      </c>
      <c r="N8407" s="166"/>
      <c r="O8407" s="58"/>
      <c r="P8407" s="58"/>
      <c r="Q8407" s="58"/>
      <c r="R8407" s="58"/>
      <c r="S8407" s="58"/>
      <c r="T8407" s="220"/>
      <c r="U8407" s="88"/>
      <c r="V8407" s="56"/>
      <c r="W8407" s="57" t="s">
        <v>1137</v>
      </c>
      <c r="X8407" s="53"/>
      <c r="Y8407" s="91" t="s">
        <v>68</v>
      </c>
      <c r="Z8407" s="136">
        <f>AD8407/AC8407</f>
        <v>4504.5499999999993</v>
      </c>
      <c r="AA8407" s="58"/>
      <c r="AB8407" s="53">
        <f>AD8407/AC8407</f>
        <v>4504.5499999999993</v>
      </c>
      <c r="AC8407" s="53">
        <f>M8407+$AE$10</f>
        <v>19.995499999999993</v>
      </c>
      <c r="AD8407" s="54">
        <f>SUM(AD8408:AD8411)</f>
        <v>90070.729524999944</v>
      </c>
      <c r="AE8407" s="184">
        <f>SUMIFS($AD$37:$AD$12971,$V$37:$V$12971,$V8407,$X$37:$X$12971,AE$13)</f>
        <v>0</v>
      </c>
      <c r="AF8407" s="185">
        <f>SUMIFS($AD$37:$AD$12971,$V$37:$V$12971,$V8407,$X$37:$X$12971,AF$13)</f>
        <v>0</v>
      </c>
      <c r="AG8407" s="185">
        <f>SUMIFS($AD$37:$AD$12971,$V$37:$V$12971,$V8407,$X$37:$X$12971,AG$13)</f>
        <v>0</v>
      </c>
      <c r="AH8407" s="187">
        <f>SUMIFS($AD$37:$AD$12971,$V$37:$V$12971,$V8407,$X$37:$X$12971,AH$13)</f>
        <v>0</v>
      </c>
      <c r="AI8407" s="161">
        <f t="shared" ref="AI8407" si="5797">SUM(AE8407:AH8407)</f>
        <v>0</v>
      </c>
      <c r="AK8407" s="172"/>
    </row>
    <row r="8408" spans="1:41" s="102" customFormat="1" ht="19.899999999999999" customHeight="1" x14ac:dyDescent="0.25">
      <c r="A8408" s="45"/>
      <c r="B8408" s="59"/>
      <c r="C8408" s="137"/>
      <c r="D8408" s="59"/>
      <c r="E8408" s="116"/>
      <c r="F8408" s="120"/>
      <c r="G8408" s="120"/>
      <c r="H8408" s="120"/>
      <c r="I8408" s="60"/>
      <c r="J8408" s="116"/>
      <c r="K8408" s="213"/>
      <c r="L8408" s="120"/>
      <c r="M8408" s="120"/>
      <c r="N8408" s="167"/>
      <c r="O8408" s="120"/>
      <c r="P8408" s="120"/>
      <c r="Q8408" s="120"/>
      <c r="R8408" s="120"/>
      <c r="S8408" s="120"/>
      <c r="T8408" s="221"/>
      <c r="U8408" s="89"/>
      <c r="V8408" s="61"/>
      <c r="W8408" s="92" t="s">
        <v>1105</v>
      </c>
      <c r="X8408" s="93" t="s">
        <v>30</v>
      </c>
      <c r="Y8408" s="93" t="s">
        <v>66</v>
      </c>
      <c r="Z8408" s="134">
        <f>VLOOKUP(W8408,Sheet2!$B:$D,3,FALSE)</f>
        <v>2200</v>
      </c>
      <c r="AA8408" s="93">
        <f>1/((2.6*1.4)-(2*0.8))</f>
        <v>0.49019607843137264</v>
      </c>
      <c r="AB8408" s="93">
        <f>AD8408/AC8407</f>
        <v>4487.9999999999991</v>
      </c>
      <c r="AC8408" s="93">
        <f>AC8407/AA8408</f>
        <v>40.790819999999975</v>
      </c>
      <c r="AD8408" s="94">
        <f t="shared" ref="AD8408" si="5798">AC8408*Z8408</f>
        <v>89739.803999999946</v>
      </c>
      <c r="AE8408" s="190"/>
      <c r="AF8408" s="191"/>
      <c r="AG8408" s="191"/>
      <c r="AH8408" s="191"/>
      <c r="AI8408" s="186"/>
      <c r="AK8408" s="171"/>
    </row>
    <row r="8409" spans="1:41" s="102" customFormat="1" ht="19.899999999999999" customHeight="1" x14ac:dyDescent="0.25">
      <c r="A8409" s="45"/>
      <c r="B8409" s="59"/>
      <c r="C8409" s="137"/>
      <c r="D8409" s="59"/>
      <c r="E8409" s="116"/>
      <c r="F8409" s="120"/>
      <c r="G8409" s="120"/>
      <c r="H8409" s="120"/>
      <c r="I8409" s="60"/>
      <c r="J8409" s="116"/>
      <c r="K8409" s="213"/>
      <c r="L8409" s="120"/>
      <c r="M8409" s="120"/>
      <c r="N8409" s="167"/>
      <c r="O8409" s="120"/>
      <c r="P8409" s="120"/>
      <c r="Q8409" s="120"/>
      <c r="R8409" s="120"/>
      <c r="S8409" s="120"/>
      <c r="T8409" s="221"/>
      <c r="U8409" s="89"/>
      <c r="V8409" s="61"/>
      <c r="W8409" s="92" t="s">
        <v>174</v>
      </c>
      <c r="X8409" s="93" t="s">
        <v>29</v>
      </c>
      <c r="Y8409" s="93" t="s">
        <v>93</v>
      </c>
      <c r="Z8409" s="134">
        <f>VLOOKUP(W8409,Sheet2!$B:$D,3,FALSE)</f>
        <v>80</v>
      </c>
      <c r="AA8409" s="93">
        <f>4*2</f>
        <v>8</v>
      </c>
      <c r="AB8409" s="93">
        <f>AD8409/AC8407</f>
        <v>10</v>
      </c>
      <c r="AC8409" s="93">
        <f>AC8407/AA8409</f>
        <v>2.4994374999999991</v>
      </c>
      <c r="AD8409" s="94">
        <f>AC8409*Z8409</f>
        <v>199.95499999999993</v>
      </c>
      <c r="AE8409" s="190"/>
      <c r="AF8409" s="191"/>
      <c r="AG8409" s="191"/>
      <c r="AH8409" s="191"/>
      <c r="AI8409" s="186"/>
      <c r="AK8409" s="171"/>
    </row>
    <row r="8410" spans="1:41" s="102" customFormat="1" ht="19.899999999999999" customHeight="1" x14ac:dyDescent="0.25">
      <c r="A8410" s="45"/>
      <c r="B8410" s="59"/>
      <c r="C8410" s="137"/>
      <c r="D8410" s="59"/>
      <c r="E8410" s="116"/>
      <c r="F8410" s="120"/>
      <c r="G8410" s="120"/>
      <c r="H8410" s="120"/>
      <c r="I8410" s="60"/>
      <c r="J8410" s="116"/>
      <c r="K8410" s="213"/>
      <c r="L8410" s="120"/>
      <c r="M8410" s="120"/>
      <c r="N8410" s="167"/>
      <c r="O8410" s="120"/>
      <c r="P8410" s="120"/>
      <c r="Q8410" s="120"/>
      <c r="R8410" s="120"/>
      <c r="S8410" s="120"/>
      <c r="T8410" s="221"/>
      <c r="U8410" s="89"/>
      <c r="V8410" s="61"/>
      <c r="W8410" s="92" t="s">
        <v>65</v>
      </c>
      <c r="X8410" s="93" t="s">
        <v>30</v>
      </c>
      <c r="Y8410" s="93" t="s">
        <v>1011</v>
      </c>
      <c r="Z8410" s="134">
        <f>VLOOKUP(W8410,Sheet2!$B:$D,3,FALSE)</f>
        <v>1.76</v>
      </c>
      <c r="AA8410" s="93">
        <f>AA8409/15</f>
        <v>0.53333333333333333</v>
      </c>
      <c r="AB8410" s="93">
        <f>AD8410/AC8407</f>
        <v>3.3</v>
      </c>
      <c r="AC8410" s="93">
        <f>AC8407/AA8410</f>
        <v>37.491562499999986</v>
      </c>
      <c r="AD8410" s="94">
        <f t="shared" ref="AD8410" si="5799">AC8410*Z8410</f>
        <v>65.985149999999976</v>
      </c>
      <c r="AE8410" s="190"/>
      <c r="AF8410" s="191"/>
      <c r="AG8410" s="191"/>
      <c r="AH8410" s="191"/>
      <c r="AI8410" s="186"/>
      <c r="AK8410" s="171"/>
    </row>
    <row r="8411" spans="1:41" s="102" customFormat="1" ht="19.899999999999999" customHeight="1" x14ac:dyDescent="0.25">
      <c r="A8411" s="45"/>
      <c r="B8411" s="59"/>
      <c r="C8411" s="137"/>
      <c r="D8411" s="59"/>
      <c r="E8411" s="116"/>
      <c r="F8411" s="120"/>
      <c r="G8411" s="120"/>
      <c r="H8411" s="120"/>
      <c r="I8411" s="60"/>
      <c r="J8411" s="116"/>
      <c r="K8411" s="213"/>
      <c r="L8411" s="120"/>
      <c r="M8411" s="120"/>
      <c r="N8411" s="167"/>
      <c r="O8411" s="120"/>
      <c r="P8411" s="120"/>
      <c r="Q8411" s="120"/>
      <c r="R8411" s="120"/>
      <c r="S8411" s="120"/>
      <c r="T8411" s="221"/>
      <c r="U8411" s="89"/>
      <c r="V8411" s="61"/>
      <c r="W8411" s="92" t="s">
        <v>112</v>
      </c>
      <c r="X8411" s="93" t="s">
        <v>31</v>
      </c>
      <c r="Y8411" s="93" t="s">
        <v>93</v>
      </c>
      <c r="Z8411" s="134">
        <f>VLOOKUP(W8411,Sheet2!$B:$D,3,FALSE)</f>
        <v>13</v>
      </c>
      <c r="AA8411" s="93">
        <f>AA8409/2</f>
        <v>4</v>
      </c>
      <c r="AB8411" s="93">
        <f>AD8411/AC8407</f>
        <v>3.25</v>
      </c>
      <c r="AC8411" s="93">
        <f>AC8407/AA8411</f>
        <v>4.9988749999999982</v>
      </c>
      <c r="AD8411" s="94">
        <f>AC8411*Z8411</f>
        <v>64.985374999999976</v>
      </c>
      <c r="AE8411" s="190"/>
      <c r="AF8411" s="191"/>
      <c r="AG8411" s="191"/>
      <c r="AH8411" s="191"/>
      <c r="AI8411" s="186"/>
      <c r="AK8411" s="171"/>
    </row>
    <row r="8412" spans="1:41" ht="20.100000000000001" customHeight="1" x14ac:dyDescent="0.25">
      <c r="A8412" s="277" t="s">
        <v>703</v>
      </c>
      <c r="B8412" s="278"/>
      <c r="C8412" s="64" t="s">
        <v>766</v>
      </c>
      <c r="D8412" s="46" t="s">
        <v>97</v>
      </c>
      <c r="E8412" s="114">
        <v>43.743949999999984</v>
      </c>
      <c r="F8412" s="44">
        <v>5482</v>
      </c>
      <c r="G8412" s="44">
        <f t="shared" si="5545"/>
        <v>239804.33389999991</v>
      </c>
      <c r="H8412" s="44">
        <f t="shared" si="5546"/>
        <v>4612.8320799999992</v>
      </c>
      <c r="I8412" s="43">
        <f t="shared" si="5547"/>
        <v>201783.4958659159</v>
      </c>
      <c r="J8412" s="112">
        <f t="shared" si="5548"/>
        <v>43.743949999999984</v>
      </c>
      <c r="K8412" s="211">
        <f t="shared" si="5549"/>
        <v>43.743949999999984</v>
      </c>
      <c r="L8412" s="44"/>
      <c r="M8412" s="44">
        <f t="shared" si="5550"/>
        <v>43.743949999999984</v>
      </c>
      <c r="N8412" s="173">
        <f t="shared" si="5551"/>
        <v>1</v>
      </c>
      <c r="O8412" s="44">
        <f t="shared" si="5552"/>
        <v>5482</v>
      </c>
      <c r="P8412" s="44">
        <f t="shared" si="5553"/>
        <v>239804.33389999991</v>
      </c>
      <c r="Q8412" s="44">
        <f t="shared" si="5554"/>
        <v>4612.8320799999992</v>
      </c>
      <c r="R8412" s="44">
        <f t="shared" si="5555"/>
        <v>201783.4958659159</v>
      </c>
      <c r="S8412" s="123"/>
      <c r="T8412" s="219">
        <f t="shared" si="5556"/>
        <v>201783.4958659159</v>
      </c>
      <c r="U8412" s="87"/>
      <c r="V8412" s="47"/>
      <c r="W8412" s="48"/>
      <c r="X8412" s="48"/>
      <c r="Y8412" s="48"/>
      <c r="Z8412" s="135"/>
      <c r="AA8412" s="49"/>
      <c r="AB8412" s="50">
        <f t="shared" si="5557"/>
        <v>4612.8320799999992</v>
      </c>
      <c r="AC8412" s="42">
        <f t="shared" si="5558"/>
        <v>43.743949999999984</v>
      </c>
      <c r="AD8412" s="90">
        <f>AD8413+AD8423</f>
        <v>201783.49586591587</v>
      </c>
      <c r="AE8412" s="188">
        <f t="shared" ref="AE8412:AH8412" si="5800">AE8413+AE8423</f>
        <v>0</v>
      </c>
      <c r="AF8412" s="189">
        <f t="shared" si="5800"/>
        <v>0</v>
      </c>
      <c r="AG8412" s="189">
        <f t="shared" si="5800"/>
        <v>0</v>
      </c>
      <c r="AH8412" s="189">
        <f t="shared" si="5800"/>
        <v>0</v>
      </c>
      <c r="AI8412" s="161">
        <f t="shared" ref="AI8412" si="5801">SUM(AE8412:AH8412)</f>
        <v>0</v>
      </c>
      <c r="AK8412" s="169">
        <v>5</v>
      </c>
      <c r="AO8412" s="19" t="s">
        <v>63</v>
      </c>
    </row>
    <row r="8413" spans="1:41" s="103" customFormat="1" ht="19.899999999999999" customHeight="1" x14ac:dyDescent="0.25">
      <c r="A8413" s="51"/>
      <c r="B8413" s="52"/>
      <c r="C8413" s="165"/>
      <c r="D8413" s="52"/>
      <c r="E8413" s="115"/>
      <c r="F8413" s="58"/>
      <c r="G8413" s="58"/>
      <c r="H8413" s="58"/>
      <c r="I8413" s="55"/>
      <c r="J8413" s="113">
        <f>J8412</f>
        <v>43.743949999999984</v>
      </c>
      <c r="K8413" s="212">
        <f>K8412</f>
        <v>43.743949999999984</v>
      </c>
      <c r="L8413" s="58"/>
      <c r="M8413" s="58">
        <f>K8413-L8413</f>
        <v>43.743949999999984</v>
      </c>
      <c r="N8413" s="166"/>
      <c r="O8413" s="58"/>
      <c r="P8413" s="58"/>
      <c r="Q8413" s="58"/>
      <c r="R8413" s="58"/>
      <c r="S8413" s="58"/>
      <c r="T8413" s="220"/>
      <c r="U8413" s="88"/>
      <c r="V8413" s="56"/>
      <c r="W8413" s="57" t="s">
        <v>1132</v>
      </c>
      <c r="X8413" s="53"/>
      <c r="Y8413" s="91" t="s">
        <v>68</v>
      </c>
      <c r="Z8413" s="136">
        <f>AD8413/AC8413</f>
        <v>108.28207999999998</v>
      </c>
      <c r="AA8413" s="58"/>
      <c r="AB8413" s="53">
        <f>AD8413/AC8413</f>
        <v>108.28207999999998</v>
      </c>
      <c r="AC8413" s="53">
        <f>M8413+$AE$10</f>
        <v>43.743949999999984</v>
      </c>
      <c r="AD8413" s="54">
        <f>SUM(AD8414:AD8422)</f>
        <v>4736.6858934159973</v>
      </c>
      <c r="AE8413" s="184">
        <f>SUMIFS($AD$37:$AD$12971,$V$37:$V$12971,$V8413,$X$37:$X$12971,AE$13)</f>
        <v>0</v>
      </c>
      <c r="AF8413" s="185">
        <f>SUMIFS($AD$37:$AD$12971,$V$37:$V$12971,$V8413,$X$37:$X$12971,AF$13)</f>
        <v>0</v>
      </c>
      <c r="AG8413" s="185">
        <f>SUMIFS($AD$37:$AD$12971,$V$37:$V$12971,$V8413,$X$37:$X$12971,AG$13)</f>
        <v>0</v>
      </c>
      <c r="AH8413" s="187">
        <f>SUMIFS($AD$37:$AD$12971,$V$37:$V$12971,$V8413,$X$37:$X$12971,AH$13)</f>
        <v>0</v>
      </c>
      <c r="AI8413" s="161">
        <f t="shared" ref="AI8413" si="5802">SUM(AE8413:AH8413)</f>
        <v>0</v>
      </c>
      <c r="AK8413" s="172"/>
    </row>
    <row r="8414" spans="1:41" s="102" customFormat="1" ht="19.899999999999999" customHeight="1" x14ac:dyDescent="0.25">
      <c r="A8414" s="45"/>
      <c r="B8414" s="59"/>
      <c r="C8414" s="137"/>
      <c r="D8414" s="59"/>
      <c r="E8414" s="116"/>
      <c r="F8414" s="120"/>
      <c r="G8414" s="120"/>
      <c r="H8414" s="120"/>
      <c r="I8414" s="60"/>
      <c r="J8414" s="116"/>
      <c r="K8414" s="213"/>
      <c r="L8414" s="120"/>
      <c r="M8414" s="120"/>
      <c r="N8414" s="167"/>
      <c r="O8414" s="120"/>
      <c r="P8414" s="120"/>
      <c r="Q8414" s="120"/>
      <c r="R8414" s="120"/>
      <c r="S8414" s="120"/>
      <c r="T8414" s="221"/>
      <c r="U8414" s="89"/>
      <c r="V8414" s="61"/>
      <c r="W8414" s="92" t="s">
        <v>129</v>
      </c>
      <c r="X8414" s="93" t="s">
        <v>29</v>
      </c>
      <c r="Y8414" s="93" t="s">
        <v>93</v>
      </c>
      <c r="Z8414" s="134">
        <f>VLOOKUP(W8414,Sheet2!$B:$D,3,FALSE)</f>
        <v>56</v>
      </c>
      <c r="AA8414" s="93">
        <f>100/(3.4*3)</f>
        <v>9.8039215686274517</v>
      </c>
      <c r="AB8414" s="93">
        <f t="shared" ref="AB8414" si="5803">AD8414/AC8413</f>
        <v>5.7119999999999997</v>
      </c>
      <c r="AC8414" s="93">
        <f>AC8413/AA8414</f>
        <v>4.4618828999999982</v>
      </c>
      <c r="AD8414" s="94">
        <f t="shared" ref="AD8414:AD8415" si="5804">AC8414*Z8414</f>
        <v>249.86544239999989</v>
      </c>
      <c r="AE8414" s="190"/>
      <c r="AF8414" s="191"/>
      <c r="AG8414" s="191"/>
      <c r="AH8414" s="191"/>
      <c r="AI8414" s="186"/>
      <c r="AK8414" s="171"/>
    </row>
    <row r="8415" spans="1:41" s="102" customFormat="1" ht="19.899999999999999" customHeight="1" x14ac:dyDescent="0.25">
      <c r="A8415" s="45"/>
      <c r="B8415" s="59"/>
      <c r="C8415" s="137"/>
      <c r="D8415" s="59"/>
      <c r="E8415" s="116"/>
      <c r="F8415" s="120"/>
      <c r="G8415" s="120"/>
      <c r="H8415" s="120"/>
      <c r="I8415" s="60"/>
      <c r="J8415" s="116"/>
      <c r="K8415" s="213"/>
      <c r="L8415" s="120"/>
      <c r="M8415" s="120"/>
      <c r="N8415" s="167"/>
      <c r="O8415" s="120"/>
      <c r="P8415" s="120"/>
      <c r="Q8415" s="120"/>
      <c r="R8415" s="120"/>
      <c r="S8415" s="120"/>
      <c r="T8415" s="221"/>
      <c r="U8415" s="89"/>
      <c r="V8415" s="61"/>
      <c r="W8415" s="92" t="s">
        <v>65</v>
      </c>
      <c r="X8415" s="93" t="s">
        <v>30</v>
      </c>
      <c r="Y8415" s="93" t="s">
        <v>1011</v>
      </c>
      <c r="Z8415" s="134">
        <f>VLOOKUP(W8415,Sheet2!$B:$D,3,FALSE)</f>
        <v>1.76</v>
      </c>
      <c r="AA8415" s="93">
        <f>AA8414/14</f>
        <v>0.70028011204481799</v>
      </c>
      <c r="AB8415" s="93">
        <f>AD8415/AC8413</f>
        <v>2.51328</v>
      </c>
      <c r="AC8415" s="93">
        <f>AC8413/AA8415</f>
        <v>62.466360599999973</v>
      </c>
      <c r="AD8415" s="94">
        <f t="shared" si="5804"/>
        <v>109.94079465599995</v>
      </c>
      <c r="AE8415" s="190"/>
      <c r="AF8415" s="191"/>
      <c r="AG8415" s="191"/>
      <c r="AH8415" s="191"/>
      <c r="AI8415" s="186"/>
      <c r="AK8415" s="171"/>
    </row>
    <row r="8416" spans="1:41" s="102" customFormat="1" ht="19.899999999999999" customHeight="1" x14ac:dyDescent="0.25">
      <c r="A8416" s="45"/>
      <c r="B8416" s="59"/>
      <c r="C8416" s="137"/>
      <c r="D8416" s="59"/>
      <c r="E8416" s="116"/>
      <c r="F8416" s="120"/>
      <c r="G8416" s="120"/>
      <c r="H8416" s="120"/>
      <c r="I8416" s="60"/>
      <c r="J8416" s="116"/>
      <c r="K8416" s="213"/>
      <c r="L8416" s="120"/>
      <c r="M8416" s="120"/>
      <c r="N8416" s="167"/>
      <c r="O8416" s="120"/>
      <c r="P8416" s="120"/>
      <c r="Q8416" s="120"/>
      <c r="R8416" s="120"/>
      <c r="S8416" s="120"/>
      <c r="T8416" s="221"/>
      <c r="U8416" s="89"/>
      <c r="V8416" s="61"/>
      <c r="W8416" s="92" t="s">
        <v>161</v>
      </c>
      <c r="X8416" s="93" t="s">
        <v>29</v>
      </c>
      <c r="Y8416" s="93" t="s">
        <v>93</v>
      </c>
      <c r="Z8416" s="134">
        <f>VLOOKUP(W8416,Sheet2!$B:$D,3,FALSE)</f>
        <v>48</v>
      </c>
      <c r="AA8416" s="93">
        <f>(16*0.85*1.5)/(3.4*3)</f>
        <v>2</v>
      </c>
      <c r="AB8416" s="93">
        <f>AD8416/AC8413</f>
        <v>24</v>
      </c>
      <c r="AC8416" s="93">
        <f>AC8413/AA8416</f>
        <v>21.871974999999992</v>
      </c>
      <c r="AD8416" s="94">
        <f>AC8416*Z8416</f>
        <v>1049.8547999999996</v>
      </c>
      <c r="AE8416" s="190"/>
      <c r="AF8416" s="191"/>
      <c r="AG8416" s="191"/>
      <c r="AH8416" s="191"/>
      <c r="AI8416" s="186"/>
      <c r="AK8416" s="171"/>
    </row>
    <row r="8417" spans="1:41" s="102" customFormat="1" ht="19.899999999999999" customHeight="1" x14ac:dyDescent="0.25">
      <c r="A8417" s="45"/>
      <c r="B8417" s="59"/>
      <c r="C8417" s="137"/>
      <c r="D8417" s="59"/>
      <c r="E8417" s="116"/>
      <c r="F8417" s="120"/>
      <c r="G8417" s="120"/>
      <c r="H8417" s="120"/>
      <c r="I8417" s="60"/>
      <c r="J8417" s="116"/>
      <c r="K8417" s="213"/>
      <c r="L8417" s="120"/>
      <c r="M8417" s="120"/>
      <c r="N8417" s="167"/>
      <c r="O8417" s="120"/>
      <c r="P8417" s="120"/>
      <c r="Q8417" s="120"/>
      <c r="R8417" s="120"/>
      <c r="S8417" s="120"/>
      <c r="T8417" s="221"/>
      <c r="U8417" s="89"/>
      <c r="V8417" s="61"/>
      <c r="W8417" s="92" t="s">
        <v>65</v>
      </c>
      <c r="X8417" s="93" t="s">
        <v>30</v>
      </c>
      <c r="Y8417" s="93" t="s">
        <v>1011</v>
      </c>
      <c r="Z8417" s="134">
        <f>VLOOKUP(W8417,Sheet2!$B:$D,3,FALSE)</f>
        <v>1.76</v>
      </c>
      <c r="AA8417" s="93">
        <f>AA8416/10</f>
        <v>0.2</v>
      </c>
      <c r="AB8417" s="93">
        <f>AD8417/AC8413</f>
        <v>8.8000000000000007</v>
      </c>
      <c r="AC8417" s="93">
        <f>AC8413/AA8417</f>
        <v>218.71974999999992</v>
      </c>
      <c r="AD8417" s="94">
        <f>AC8417*Z8417</f>
        <v>384.94675999999987</v>
      </c>
      <c r="AE8417" s="190"/>
      <c r="AF8417" s="191"/>
      <c r="AG8417" s="191"/>
      <c r="AH8417" s="191"/>
      <c r="AI8417" s="186"/>
      <c r="AK8417" s="171"/>
    </row>
    <row r="8418" spans="1:41" s="102" customFormat="1" ht="19.899999999999999" customHeight="1" x14ac:dyDescent="0.25">
      <c r="A8418" s="45"/>
      <c r="B8418" s="59"/>
      <c r="C8418" s="137"/>
      <c r="D8418" s="59"/>
      <c r="E8418" s="116"/>
      <c r="F8418" s="120"/>
      <c r="G8418" s="120"/>
      <c r="H8418" s="120"/>
      <c r="I8418" s="60"/>
      <c r="J8418" s="116"/>
      <c r="K8418" s="213"/>
      <c r="L8418" s="120"/>
      <c r="M8418" s="120"/>
      <c r="N8418" s="167"/>
      <c r="O8418" s="120"/>
      <c r="P8418" s="120"/>
      <c r="Q8418" s="120"/>
      <c r="R8418" s="120"/>
      <c r="S8418" s="120"/>
      <c r="T8418" s="221"/>
      <c r="U8418" s="89"/>
      <c r="V8418" s="61"/>
      <c r="W8418" s="92" t="s">
        <v>1030</v>
      </c>
      <c r="X8418" s="93" t="s">
        <v>29</v>
      </c>
      <c r="Y8418" s="93" t="s">
        <v>93</v>
      </c>
      <c r="Z8418" s="134">
        <f>VLOOKUP(W8418,Sheet2!$B:$D,3,FALSE)</f>
        <v>23</v>
      </c>
      <c r="AA8418" s="93">
        <v>50</v>
      </c>
      <c r="AB8418" s="93">
        <f>AD8418/AC8413</f>
        <v>0.45999999999999996</v>
      </c>
      <c r="AC8418" s="93">
        <f>AC8413/AA8418</f>
        <v>0.87487899999999963</v>
      </c>
      <c r="AD8418" s="94">
        <f t="shared" ref="AD8418:AD8422" si="5805">AC8418*Z8418</f>
        <v>20.122216999999992</v>
      </c>
      <c r="AE8418" s="190"/>
      <c r="AF8418" s="191"/>
      <c r="AG8418" s="191"/>
      <c r="AH8418" s="191"/>
      <c r="AI8418" s="186"/>
      <c r="AK8418" s="171"/>
    </row>
    <row r="8419" spans="1:41" s="102" customFormat="1" ht="19.899999999999999" customHeight="1" x14ac:dyDescent="0.25">
      <c r="A8419" s="45"/>
      <c r="B8419" s="59"/>
      <c r="C8419" s="137"/>
      <c r="D8419" s="59"/>
      <c r="E8419" s="116"/>
      <c r="F8419" s="120"/>
      <c r="G8419" s="120"/>
      <c r="H8419" s="120"/>
      <c r="I8419" s="60"/>
      <c r="J8419" s="116"/>
      <c r="K8419" s="213"/>
      <c r="L8419" s="120"/>
      <c r="M8419" s="120"/>
      <c r="N8419" s="167"/>
      <c r="O8419" s="120"/>
      <c r="P8419" s="120"/>
      <c r="Q8419" s="120"/>
      <c r="R8419" s="120"/>
      <c r="S8419" s="120"/>
      <c r="T8419" s="221"/>
      <c r="U8419" s="89"/>
      <c r="V8419" s="61"/>
      <c r="W8419" s="92" t="s">
        <v>65</v>
      </c>
      <c r="X8419" s="93" t="s">
        <v>30</v>
      </c>
      <c r="Y8419" s="93" t="s">
        <v>1011</v>
      </c>
      <c r="Z8419" s="134">
        <f>VLOOKUP(W8419,Sheet2!$B:$D,3,FALSE)</f>
        <v>1.76</v>
      </c>
      <c r="AA8419" s="93">
        <f>AA8418/3</f>
        <v>16.666666666666668</v>
      </c>
      <c r="AB8419" s="93">
        <f>AD8419/AC8413</f>
        <v>0.1056</v>
      </c>
      <c r="AC8419" s="93">
        <f>AC8413/AA8419</f>
        <v>2.624636999999999</v>
      </c>
      <c r="AD8419" s="94">
        <f t="shared" si="5805"/>
        <v>4.619361119999998</v>
      </c>
      <c r="AE8419" s="190"/>
      <c r="AF8419" s="191"/>
      <c r="AG8419" s="191"/>
      <c r="AH8419" s="191"/>
      <c r="AI8419" s="186"/>
      <c r="AK8419" s="171"/>
    </row>
    <row r="8420" spans="1:41" s="102" customFormat="1" ht="19.899999999999999" customHeight="1" x14ac:dyDescent="0.25">
      <c r="A8420" s="45"/>
      <c r="B8420" s="59"/>
      <c r="C8420" s="137"/>
      <c r="D8420" s="59"/>
      <c r="E8420" s="116"/>
      <c r="F8420" s="120"/>
      <c r="G8420" s="120"/>
      <c r="H8420" s="120"/>
      <c r="I8420" s="60"/>
      <c r="J8420" s="116"/>
      <c r="K8420" s="213"/>
      <c r="L8420" s="120"/>
      <c r="M8420" s="120"/>
      <c r="N8420" s="167"/>
      <c r="O8420" s="120"/>
      <c r="P8420" s="120"/>
      <c r="Q8420" s="120"/>
      <c r="R8420" s="120"/>
      <c r="S8420" s="120"/>
      <c r="T8420" s="221"/>
      <c r="U8420" s="89"/>
      <c r="V8420" s="61"/>
      <c r="W8420" s="92" t="s">
        <v>148</v>
      </c>
      <c r="X8420" s="93" t="s">
        <v>29</v>
      </c>
      <c r="Y8420" s="93" t="s">
        <v>93</v>
      </c>
      <c r="Z8420" s="134">
        <f>VLOOKUP(W8420,Sheet2!$B:$D,3,FALSE)</f>
        <v>48</v>
      </c>
      <c r="AA8420" s="93">
        <f>AA8414</f>
        <v>9.8039215686274517</v>
      </c>
      <c r="AB8420" s="93">
        <f>AD8420/AC8413</f>
        <v>4.8959999999999999</v>
      </c>
      <c r="AC8420" s="93">
        <f>AC8413/AA8420</f>
        <v>4.4618828999999982</v>
      </c>
      <c r="AD8420" s="94">
        <f t="shared" si="5805"/>
        <v>214.1703791999999</v>
      </c>
      <c r="AE8420" s="190"/>
      <c r="AF8420" s="191"/>
      <c r="AG8420" s="191"/>
      <c r="AH8420" s="191"/>
      <c r="AI8420" s="186"/>
      <c r="AK8420" s="171"/>
    </row>
    <row r="8421" spans="1:41" s="102" customFormat="1" ht="19.899999999999999" customHeight="1" x14ac:dyDescent="0.25">
      <c r="A8421" s="45"/>
      <c r="B8421" s="59"/>
      <c r="C8421" s="137"/>
      <c r="D8421" s="59"/>
      <c r="E8421" s="116"/>
      <c r="F8421" s="120"/>
      <c r="G8421" s="120"/>
      <c r="H8421" s="120"/>
      <c r="I8421" s="60"/>
      <c r="J8421" s="116"/>
      <c r="K8421" s="213"/>
      <c r="L8421" s="120"/>
      <c r="M8421" s="120"/>
      <c r="N8421" s="167"/>
      <c r="O8421" s="120"/>
      <c r="P8421" s="120"/>
      <c r="Q8421" s="120"/>
      <c r="R8421" s="120"/>
      <c r="S8421" s="120"/>
      <c r="T8421" s="221"/>
      <c r="U8421" s="89"/>
      <c r="V8421" s="61"/>
      <c r="W8421" s="92" t="s">
        <v>65</v>
      </c>
      <c r="X8421" s="93" t="s">
        <v>30</v>
      </c>
      <c r="Y8421" s="93" t="s">
        <v>1011</v>
      </c>
      <c r="Z8421" s="134">
        <f>VLOOKUP(W8421,Sheet2!$B:$D,3,FALSE)</f>
        <v>1.76</v>
      </c>
      <c r="AA8421" s="93">
        <f>AA8420/10</f>
        <v>0.98039215686274517</v>
      </c>
      <c r="AB8421" s="93">
        <f>AD8421/AC8413</f>
        <v>1.7952000000000001</v>
      </c>
      <c r="AC8421" s="93">
        <f>AC8413/AA8421</f>
        <v>44.618828999999984</v>
      </c>
      <c r="AD8421" s="94">
        <f t="shared" si="5805"/>
        <v>78.529139039999976</v>
      </c>
      <c r="AE8421" s="190"/>
      <c r="AF8421" s="191"/>
      <c r="AG8421" s="191"/>
      <c r="AH8421" s="191"/>
      <c r="AI8421" s="186"/>
      <c r="AK8421" s="171"/>
    </row>
    <row r="8422" spans="1:41" s="102" customFormat="1" ht="19.899999999999999" customHeight="1" x14ac:dyDescent="0.25">
      <c r="A8422" s="45"/>
      <c r="B8422" s="59"/>
      <c r="C8422" s="137"/>
      <c r="D8422" s="59"/>
      <c r="E8422" s="116"/>
      <c r="F8422" s="120"/>
      <c r="G8422" s="120"/>
      <c r="H8422" s="120"/>
      <c r="I8422" s="60"/>
      <c r="J8422" s="116"/>
      <c r="K8422" s="213"/>
      <c r="L8422" s="120"/>
      <c r="M8422" s="120"/>
      <c r="N8422" s="167"/>
      <c r="O8422" s="120"/>
      <c r="P8422" s="120"/>
      <c r="Q8422" s="120"/>
      <c r="R8422" s="120"/>
      <c r="S8422" s="120"/>
      <c r="T8422" s="221"/>
      <c r="U8422" s="89"/>
      <c r="V8422" s="61"/>
      <c r="W8422" s="92" t="s">
        <v>1049</v>
      </c>
      <c r="X8422" s="93" t="s">
        <v>30</v>
      </c>
      <c r="Y8422" s="93" t="s">
        <v>68</v>
      </c>
      <c r="Z8422" s="134">
        <f>VLOOKUP(W8422,Sheet2!$B:$D,3,FALSE)</f>
        <v>60</v>
      </c>
      <c r="AA8422" s="93">
        <v>1</v>
      </c>
      <c r="AB8422" s="93">
        <f>AD8422/AC8413</f>
        <v>59.999999999999993</v>
      </c>
      <c r="AC8422" s="93">
        <f>AC8413/AA8422</f>
        <v>43.743949999999984</v>
      </c>
      <c r="AD8422" s="94">
        <f t="shared" si="5805"/>
        <v>2624.6369999999988</v>
      </c>
      <c r="AE8422" s="190"/>
      <c r="AF8422" s="191"/>
      <c r="AG8422" s="191"/>
      <c r="AH8422" s="191"/>
      <c r="AI8422" s="186"/>
      <c r="AK8422" s="171"/>
    </row>
    <row r="8423" spans="1:41" s="103" customFormat="1" ht="19.899999999999999" customHeight="1" x14ac:dyDescent="0.25">
      <c r="A8423" s="51"/>
      <c r="B8423" s="52"/>
      <c r="C8423" s="165"/>
      <c r="D8423" s="52"/>
      <c r="E8423" s="115"/>
      <c r="F8423" s="58"/>
      <c r="G8423" s="58"/>
      <c r="H8423" s="58"/>
      <c r="I8423" s="55"/>
      <c r="J8423" s="113">
        <f>J8412</f>
        <v>43.743949999999984</v>
      </c>
      <c r="K8423" s="212">
        <f>K8412</f>
        <v>43.743949999999984</v>
      </c>
      <c r="L8423" s="58"/>
      <c r="M8423" s="58">
        <f>K8423-L8423</f>
        <v>43.743949999999984</v>
      </c>
      <c r="N8423" s="166"/>
      <c r="O8423" s="58"/>
      <c r="P8423" s="58"/>
      <c r="Q8423" s="58"/>
      <c r="R8423" s="58"/>
      <c r="S8423" s="58"/>
      <c r="T8423" s="220"/>
      <c r="U8423" s="88"/>
      <c r="V8423" s="56"/>
      <c r="W8423" s="57" t="s">
        <v>1137</v>
      </c>
      <c r="X8423" s="53"/>
      <c r="Y8423" s="91" t="s">
        <v>68</v>
      </c>
      <c r="Z8423" s="136">
        <f>AD8423/AC8423</f>
        <v>4504.5499999999984</v>
      </c>
      <c r="AA8423" s="58"/>
      <c r="AB8423" s="53">
        <f>AD8423/AC8423</f>
        <v>4504.5499999999984</v>
      </c>
      <c r="AC8423" s="53">
        <f>M8423+$AE$10</f>
        <v>43.743949999999984</v>
      </c>
      <c r="AD8423" s="54">
        <f>SUM(AD8424:AD8427)</f>
        <v>197046.80997249988</v>
      </c>
      <c r="AE8423" s="184">
        <f>SUMIFS($AD$37:$AD$12971,$V$37:$V$12971,$V8423,$X$37:$X$12971,AE$13)</f>
        <v>0</v>
      </c>
      <c r="AF8423" s="185">
        <f>SUMIFS($AD$37:$AD$12971,$V$37:$V$12971,$V8423,$X$37:$X$12971,AF$13)</f>
        <v>0</v>
      </c>
      <c r="AG8423" s="185">
        <f>SUMIFS($AD$37:$AD$12971,$V$37:$V$12971,$V8423,$X$37:$X$12971,AG$13)</f>
        <v>0</v>
      </c>
      <c r="AH8423" s="187">
        <f>SUMIFS($AD$37:$AD$12971,$V$37:$V$12971,$V8423,$X$37:$X$12971,AH$13)</f>
        <v>0</v>
      </c>
      <c r="AI8423" s="161">
        <f t="shared" ref="AI8423" si="5806">SUM(AE8423:AH8423)</f>
        <v>0</v>
      </c>
      <c r="AK8423" s="172"/>
    </row>
    <row r="8424" spans="1:41" s="102" customFormat="1" ht="19.899999999999999" customHeight="1" x14ac:dyDescent="0.25">
      <c r="A8424" s="45"/>
      <c r="B8424" s="59"/>
      <c r="C8424" s="137"/>
      <c r="D8424" s="59"/>
      <c r="E8424" s="116"/>
      <c r="F8424" s="120"/>
      <c r="G8424" s="120"/>
      <c r="H8424" s="120"/>
      <c r="I8424" s="60"/>
      <c r="J8424" s="116"/>
      <c r="K8424" s="213"/>
      <c r="L8424" s="120"/>
      <c r="M8424" s="120"/>
      <c r="N8424" s="167"/>
      <c r="O8424" s="120"/>
      <c r="P8424" s="120"/>
      <c r="Q8424" s="120"/>
      <c r="R8424" s="120"/>
      <c r="S8424" s="120"/>
      <c r="T8424" s="221"/>
      <c r="U8424" s="89"/>
      <c r="V8424" s="61"/>
      <c r="W8424" s="92" t="s">
        <v>1105</v>
      </c>
      <c r="X8424" s="93" t="s">
        <v>30</v>
      </c>
      <c r="Y8424" s="93" t="s">
        <v>66</v>
      </c>
      <c r="Z8424" s="134">
        <f>VLOOKUP(W8424,Sheet2!$B:$D,3,FALSE)</f>
        <v>2200</v>
      </c>
      <c r="AA8424" s="93">
        <f>1/((2.6*1.4)-(2*0.8))</f>
        <v>0.49019607843137264</v>
      </c>
      <c r="AB8424" s="93">
        <f>AD8424/AC8423</f>
        <v>4487.9999999999991</v>
      </c>
      <c r="AC8424" s="93">
        <f>AC8423/AA8424</f>
        <v>89.237657999999954</v>
      </c>
      <c r="AD8424" s="94">
        <f t="shared" ref="AD8424" si="5807">AC8424*Z8424</f>
        <v>196322.84759999989</v>
      </c>
      <c r="AE8424" s="190"/>
      <c r="AF8424" s="191"/>
      <c r="AG8424" s="191"/>
      <c r="AH8424" s="191"/>
      <c r="AI8424" s="186"/>
      <c r="AK8424" s="171"/>
    </row>
    <row r="8425" spans="1:41" s="102" customFormat="1" ht="19.899999999999999" customHeight="1" x14ac:dyDescent="0.25">
      <c r="A8425" s="45"/>
      <c r="B8425" s="59"/>
      <c r="C8425" s="137"/>
      <c r="D8425" s="59"/>
      <c r="E8425" s="116"/>
      <c r="F8425" s="120"/>
      <c r="G8425" s="120"/>
      <c r="H8425" s="120"/>
      <c r="I8425" s="60"/>
      <c r="J8425" s="116"/>
      <c r="K8425" s="213"/>
      <c r="L8425" s="120"/>
      <c r="M8425" s="120"/>
      <c r="N8425" s="167"/>
      <c r="O8425" s="120"/>
      <c r="P8425" s="120"/>
      <c r="Q8425" s="120"/>
      <c r="R8425" s="120"/>
      <c r="S8425" s="120"/>
      <c r="T8425" s="221"/>
      <c r="U8425" s="89"/>
      <c r="V8425" s="61"/>
      <c r="W8425" s="92" t="s">
        <v>174</v>
      </c>
      <c r="X8425" s="93" t="s">
        <v>29</v>
      </c>
      <c r="Y8425" s="93" t="s">
        <v>93</v>
      </c>
      <c r="Z8425" s="134">
        <f>VLOOKUP(W8425,Sheet2!$B:$D,3,FALSE)</f>
        <v>80</v>
      </c>
      <c r="AA8425" s="93">
        <f>4*2</f>
        <v>8</v>
      </c>
      <c r="AB8425" s="93">
        <f>AD8425/AC8423</f>
        <v>10</v>
      </c>
      <c r="AC8425" s="93">
        <f>AC8423/AA8425</f>
        <v>5.467993749999998</v>
      </c>
      <c r="AD8425" s="94">
        <f>AC8425*Z8425</f>
        <v>437.43949999999984</v>
      </c>
      <c r="AE8425" s="190"/>
      <c r="AF8425" s="191"/>
      <c r="AG8425" s="191"/>
      <c r="AH8425" s="191"/>
      <c r="AI8425" s="186"/>
      <c r="AK8425" s="171"/>
    </row>
    <row r="8426" spans="1:41" s="102" customFormat="1" ht="19.899999999999999" customHeight="1" x14ac:dyDescent="0.25">
      <c r="A8426" s="45"/>
      <c r="B8426" s="59"/>
      <c r="C8426" s="137"/>
      <c r="D8426" s="59"/>
      <c r="E8426" s="116"/>
      <c r="F8426" s="120"/>
      <c r="G8426" s="120"/>
      <c r="H8426" s="120"/>
      <c r="I8426" s="60"/>
      <c r="J8426" s="116"/>
      <c r="K8426" s="213"/>
      <c r="L8426" s="120"/>
      <c r="M8426" s="120"/>
      <c r="N8426" s="167"/>
      <c r="O8426" s="120"/>
      <c r="P8426" s="120"/>
      <c r="Q8426" s="120"/>
      <c r="R8426" s="120"/>
      <c r="S8426" s="120"/>
      <c r="T8426" s="221"/>
      <c r="U8426" s="89"/>
      <c r="V8426" s="61"/>
      <c r="W8426" s="92" t="s">
        <v>65</v>
      </c>
      <c r="X8426" s="93" t="s">
        <v>30</v>
      </c>
      <c r="Y8426" s="93" t="s">
        <v>1011</v>
      </c>
      <c r="Z8426" s="134">
        <f>VLOOKUP(W8426,Sheet2!$B:$D,3,FALSE)</f>
        <v>1.76</v>
      </c>
      <c r="AA8426" s="93">
        <f>AA8425/15</f>
        <v>0.53333333333333333</v>
      </c>
      <c r="AB8426" s="93">
        <f>AD8426/AC8423</f>
        <v>3.3000000000000003</v>
      </c>
      <c r="AC8426" s="93">
        <f>AC8423/AA8426</f>
        <v>82.019906249999977</v>
      </c>
      <c r="AD8426" s="94">
        <f t="shared" ref="AD8426" si="5808">AC8426*Z8426</f>
        <v>144.35503499999996</v>
      </c>
      <c r="AE8426" s="190"/>
      <c r="AF8426" s="191"/>
      <c r="AG8426" s="191"/>
      <c r="AH8426" s="191"/>
      <c r="AI8426" s="186"/>
      <c r="AK8426" s="171"/>
    </row>
    <row r="8427" spans="1:41" s="102" customFormat="1" ht="19.899999999999999" customHeight="1" x14ac:dyDescent="0.25">
      <c r="A8427" s="45"/>
      <c r="B8427" s="59"/>
      <c r="C8427" s="137"/>
      <c r="D8427" s="59"/>
      <c r="E8427" s="116"/>
      <c r="F8427" s="120"/>
      <c r="G8427" s="120"/>
      <c r="H8427" s="120"/>
      <c r="I8427" s="60"/>
      <c r="J8427" s="116"/>
      <c r="K8427" s="213"/>
      <c r="L8427" s="120"/>
      <c r="M8427" s="120"/>
      <c r="N8427" s="167"/>
      <c r="O8427" s="120"/>
      <c r="P8427" s="120"/>
      <c r="Q8427" s="120"/>
      <c r="R8427" s="120"/>
      <c r="S8427" s="120"/>
      <c r="T8427" s="221"/>
      <c r="U8427" s="89"/>
      <c r="V8427" s="61"/>
      <c r="W8427" s="92" t="s">
        <v>112</v>
      </c>
      <c r="X8427" s="93" t="s">
        <v>31</v>
      </c>
      <c r="Y8427" s="93" t="s">
        <v>93</v>
      </c>
      <c r="Z8427" s="134">
        <f>VLOOKUP(W8427,Sheet2!$B:$D,3,FALSE)</f>
        <v>13</v>
      </c>
      <c r="AA8427" s="93">
        <f>AA8425/2</f>
        <v>4</v>
      </c>
      <c r="AB8427" s="93">
        <f>AD8427/AC8423</f>
        <v>3.2500000000000004</v>
      </c>
      <c r="AC8427" s="93">
        <f>AC8423/AA8427</f>
        <v>10.935987499999996</v>
      </c>
      <c r="AD8427" s="94">
        <f>AC8427*Z8427</f>
        <v>142.16783749999996</v>
      </c>
      <c r="AE8427" s="190"/>
      <c r="AF8427" s="191"/>
      <c r="AG8427" s="191"/>
      <c r="AH8427" s="191"/>
      <c r="AI8427" s="186"/>
      <c r="AK8427" s="171"/>
    </row>
    <row r="8428" spans="1:41" ht="20.100000000000001" customHeight="1" x14ac:dyDescent="0.25">
      <c r="A8428" s="277" t="s">
        <v>703</v>
      </c>
      <c r="B8428" s="278"/>
      <c r="C8428" s="64" t="s">
        <v>768</v>
      </c>
      <c r="D8428" s="46" t="s">
        <v>97</v>
      </c>
      <c r="E8428" s="114">
        <v>37.272959999999983</v>
      </c>
      <c r="F8428" s="44">
        <v>5705</v>
      </c>
      <c r="G8428" s="44">
        <f t="shared" si="5545"/>
        <v>212642.2367999999</v>
      </c>
      <c r="H8428" s="44">
        <f t="shared" si="5546"/>
        <v>4620.7848266666651</v>
      </c>
      <c r="I8428" s="43">
        <f t="shared" si="5547"/>
        <v>172230.32801295345</v>
      </c>
      <c r="J8428" s="112">
        <f t="shared" si="5548"/>
        <v>37.272959999999983</v>
      </c>
      <c r="K8428" s="211">
        <f t="shared" si="5549"/>
        <v>37.272959999999983</v>
      </c>
      <c r="L8428" s="44"/>
      <c r="M8428" s="44">
        <f t="shared" si="5550"/>
        <v>37.272959999999983</v>
      </c>
      <c r="N8428" s="173">
        <f t="shared" si="5551"/>
        <v>1</v>
      </c>
      <c r="O8428" s="44">
        <f t="shared" si="5552"/>
        <v>5705</v>
      </c>
      <c r="P8428" s="44">
        <f t="shared" si="5553"/>
        <v>212642.2367999999</v>
      </c>
      <c r="Q8428" s="44">
        <f t="shared" si="5554"/>
        <v>4620.7848266666651</v>
      </c>
      <c r="R8428" s="44">
        <f t="shared" si="5555"/>
        <v>172230.32801295345</v>
      </c>
      <c r="S8428" s="123"/>
      <c r="T8428" s="219">
        <f t="shared" si="5556"/>
        <v>172230.32801295345</v>
      </c>
      <c r="U8428" s="87"/>
      <c r="V8428" s="47"/>
      <c r="W8428" s="48"/>
      <c r="X8428" s="48"/>
      <c r="Y8428" s="48"/>
      <c r="Z8428" s="135"/>
      <c r="AA8428" s="49"/>
      <c r="AB8428" s="50">
        <f t="shared" si="5557"/>
        <v>4620.7848266666651</v>
      </c>
      <c r="AC8428" s="42">
        <f t="shared" si="5558"/>
        <v>37.272959999999983</v>
      </c>
      <c r="AD8428" s="90">
        <f>AD8429+AD8439</f>
        <v>172230.32801295348</v>
      </c>
      <c r="AE8428" s="188">
        <f t="shared" ref="AE8428:AH8428" si="5809">AE8429+AE8439</f>
        <v>0</v>
      </c>
      <c r="AF8428" s="189">
        <f t="shared" si="5809"/>
        <v>0</v>
      </c>
      <c r="AG8428" s="189">
        <f t="shared" si="5809"/>
        <v>0</v>
      </c>
      <c r="AH8428" s="189">
        <f t="shared" si="5809"/>
        <v>0</v>
      </c>
      <c r="AI8428" s="161">
        <f t="shared" ref="AI8428" si="5810">SUM(AE8428:AH8428)</f>
        <v>0</v>
      </c>
      <c r="AK8428" s="169">
        <v>5</v>
      </c>
      <c r="AO8428" s="19" t="s">
        <v>63</v>
      </c>
    </row>
    <row r="8429" spans="1:41" s="103" customFormat="1" ht="19.899999999999999" customHeight="1" x14ac:dyDescent="0.25">
      <c r="A8429" s="51"/>
      <c r="B8429" s="52"/>
      <c r="C8429" s="165"/>
      <c r="D8429" s="52"/>
      <c r="E8429" s="115"/>
      <c r="F8429" s="58"/>
      <c r="G8429" s="58"/>
      <c r="H8429" s="58"/>
      <c r="I8429" s="55"/>
      <c r="J8429" s="113">
        <f>J8428</f>
        <v>37.272959999999983</v>
      </c>
      <c r="K8429" s="212">
        <f>K8428</f>
        <v>37.272959999999983</v>
      </c>
      <c r="L8429" s="58"/>
      <c r="M8429" s="58">
        <f>K8429-L8429</f>
        <v>37.272959999999983</v>
      </c>
      <c r="N8429" s="166"/>
      <c r="O8429" s="58"/>
      <c r="P8429" s="58"/>
      <c r="Q8429" s="58"/>
      <c r="R8429" s="58"/>
      <c r="S8429" s="58"/>
      <c r="T8429" s="220"/>
      <c r="U8429" s="88"/>
      <c r="V8429" s="56"/>
      <c r="W8429" s="57" t="s">
        <v>1131</v>
      </c>
      <c r="X8429" s="53"/>
      <c r="Y8429" s="91" t="s">
        <v>68</v>
      </c>
      <c r="Z8429" s="136">
        <f>AD8429/AC8429</f>
        <v>116.23482666666665</v>
      </c>
      <c r="AA8429" s="58"/>
      <c r="AB8429" s="53">
        <f>AD8429/AC8429</f>
        <v>116.23482666666665</v>
      </c>
      <c r="AC8429" s="53">
        <f>M8429+$AE$10</f>
        <v>37.272959999999983</v>
      </c>
      <c r="AD8429" s="54">
        <f>SUM(AD8430:AD8438)</f>
        <v>4332.4160449535975</v>
      </c>
      <c r="AE8429" s="184">
        <f>SUMIFS($AD$37:$AD$12971,$V$37:$V$12971,$V8429,$X$37:$X$12971,AE$13)</f>
        <v>0</v>
      </c>
      <c r="AF8429" s="185">
        <f>SUMIFS($AD$37:$AD$12971,$V$37:$V$12971,$V8429,$X$37:$X$12971,AF$13)</f>
        <v>0</v>
      </c>
      <c r="AG8429" s="185">
        <f>SUMIFS($AD$37:$AD$12971,$V$37:$V$12971,$V8429,$X$37:$X$12971,AG$13)</f>
        <v>0</v>
      </c>
      <c r="AH8429" s="187">
        <f>SUMIFS($AD$37:$AD$12971,$V$37:$V$12971,$V8429,$X$37:$X$12971,AH$13)</f>
        <v>0</v>
      </c>
      <c r="AI8429" s="161">
        <f t="shared" ref="AI8429" si="5811">SUM(AE8429:AH8429)</f>
        <v>0</v>
      </c>
      <c r="AK8429" s="172"/>
    </row>
    <row r="8430" spans="1:41" s="102" customFormat="1" ht="19.899999999999999" customHeight="1" x14ac:dyDescent="0.25">
      <c r="A8430" s="45"/>
      <c r="B8430" s="59"/>
      <c r="C8430" s="137"/>
      <c r="D8430" s="59"/>
      <c r="E8430" s="116"/>
      <c r="F8430" s="120"/>
      <c r="G8430" s="120"/>
      <c r="H8430" s="120"/>
      <c r="I8430" s="60"/>
      <c r="J8430" s="116"/>
      <c r="K8430" s="213"/>
      <c r="L8430" s="120"/>
      <c r="M8430" s="120"/>
      <c r="N8430" s="167"/>
      <c r="O8430" s="120"/>
      <c r="P8430" s="120"/>
      <c r="Q8430" s="120"/>
      <c r="R8430" s="120"/>
      <c r="S8430" s="120"/>
      <c r="T8430" s="221"/>
      <c r="U8430" s="89"/>
      <c r="V8430" s="61"/>
      <c r="W8430" s="92" t="s">
        <v>129</v>
      </c>
      <c r="X8430" s="93" t="s">
        <v>29</v>
      </c>
      <c r="Y8430" s="93" t="s">
        <v>93</v>
      </c>
      <c r="Z8430" s="134">
        <f>VLOOKUP(W8430,Sheet2!$B:$D,3,FALSE)</f>
        <v>56</v>
      </c>
      <c r="AA8430" s="93">
        <f>100/(3.4*3.5)</f>
        <v>8.4033613445378155</v>
      </c>
      <c r="AB8430" s="93">
        <f t="shared" ref="AB8430" si="5812">AD8430/AC8429</f>
        <v>6.6639999999999997</v>
      </c>
      <c r="AC8430" s="93">
        <f>AC8429/AA8430</f>
        <v>4.435482239999998</v>
      </c>
      <c r="AD8430" s="94">
        <f t="shared" ref="AD8430:AD8431" si="5813">AC8430*Z8430</f>
        <v>248.38700543999988</v>
      </c>
      <c r="AE8430" s="190"/>
      <c r="AF8430" s="191"/>
      <c r="AG8430" s="191"/>
      <c r="AH8430" s="191"/>
      <c r="AI8430" s="186"/>
      <c r="AK8430" s="171"/>
    </row>
    <row r="8431" spans="1:41" s="102" customFormat="1" ht="19.899999999999999" customHeight="1" x14ac:dyDescent="0.25">
      <c r="A8431" s="45"/>
      <c r="B8431" s="59"/>
      <c r="C8431" s="137"/>
      <c r="D8431" s="59"/>
      <c r="E8431" s="116"/>
      <c r="F8431" s="120"/>
      <c r="G8431" s="120"/>
      <c r="H8431" s="120"/>
      <c r="I8431" s="60"/>
      <c r="J8431" s="116"/>
      <c r="K8431" s="213"/>
      <c r="L8431" s="120"/>
      <c r="M8431" s="120"/>
      <c r="N8431" s="167"/>
      <c r="O8431" s="120"/>
      <c r="P8431" s="120"/>
      <c r="Q8431" s="120"/>
      <c r="R8431" s="120"/>
      <c r="S8431" s="120"/>
      <c r="T8431" s="221"/>
      <c r="U8431" s="89"/>
      <c r="V8431" s="61"/>
      <c r="W8431" s="92" t="s">
        <v>65</v>
      </c>
      <c r="X8431" s="93" t="s">
        <v>30</v>
      </c>
      <c r="Y8431" s="93" t="s">
        <v>1011</v>
      </c>
      <c r="Z8431" s="134">
        <f>VLOOKUP(W8431,Sheet2!$B:$D,3,FALSE)</f>
        <v>1.76</v>
      </c>
      <c r="AA8431" s="93">
        <f>AA8430/14</f>
        <v>0.60024009603841544</v>
      </c>
      <c r="AB8431" s="93">
        <f>AD8431/AC8429</f>
        <v>2.9321599999999997</v>
      </c>
      <c r="AC8431" s="93">
        <f>AC8429/AA8431</f>
        <v>62.096751359999963</v>
      </c>
      <c r="AD8431" s="94">
        <f t="shared" si="5813"/>
        <v>109.29028239359994</v>
      </c>
      <c r="AE8431" s="190"/>
      <c r="AF8431" s="191"/>
      <c r="AG8431" s="191"/>
      <c r="AH8431" s="191"/>
      <c r="AI8431" s="186"/>
      <c r="AK8431" s="171"/>
    </row>
    <row r="8432" spans="1:41" s="102" customFormat="1" ht="19.899999999999999" customHeight="1" x14ac:dyDescent="0.25">
      <c r="A8432" s="45"/>
      <c r="B8432" s="59"/>
      <c r="C8432" s="137"/>
      <c r="D8432" s="59"/>
      <c r="E8432" s="116"/>
      <c r="F8432" s="120"/>
      <c r="G8432" s="120"/>
      <c r="H8432" s="120"/>
      <c r="I8432" s="60"/>
      <c r="J8432" s="116"/>
      <c r="K8432" s="213"/>
      <c r="L8432" s="120"/>
      <c r="M8432" s="120"/>
      <c r="N8432" s="167"/>
      <c r="O8432" s="120"/>
      <c r="P8432" s="120"/>
      <c r="Q8432" s="120"/>
      <c r="R8432" s="120"/>
      <c r="S8432" s="120"/>
      <c r="T8432" s="221"/>
      <c r="U8432" s="89"/>
      <c r="V8432" s="61"/>
      <c r="W8432" s="92" t="s">
        <v>161</v>
      </c>
      <c r="X8432" s="93" t="s">
        <v>29</v>
      </c>
      <c r="Y8432" s="93" t="s">
        <v>93</v>
      </c>
      <c r="Z8432" s="134">
        <f>VLOOKUP(W8432,Sheet2!$B:$D,3,FALSE)</f>
        <v>48</v>
      </c>
      <c r="AA8432" s="93">
        <f>(16*0.85*1.5)/(3.4*3.5)</f>
        <v>1.7142857142857142</v>
      </c>
      <c r="AB8432" s="93">
        <f>AD8432/AC8429</f>
        <v>27.999999999999996</v>
      </c>
      <c r="AC8432" s="93">
        <f>AC8429/AA8432</f>
        <v>21.74255999999999</v>
      </c>
      <c r="AD8432" s="94">
        <f>AC8432*Z8432</f>
        <v>1043.6428799999994</v>
      </c>
      <c r="AE8432" s="190"/>
      <c r="AF8432" s="191"/>
      <c r="AG8432" s="191"/>
      <c r="AH8432" s="191"/>
      <c r="AI8432" s="186"/>
      <c r="AK8432" s="171"/>
    </row>
    <row r="8433" spans="1:41" s="102" customFormat="1" ht="19.899999999999999" customHeight="1" x14ac:dyDescent="0.25">
      <c r="A8433" s="45"/>
      <c r="B8433" s="59"/>
      <c r="C8433" s="137"/>
      <c r="D8433" s="59"/>
      <c r="E8433" s="116"/>
      <c r="F8433" s="120"/>
      <c r="G8433" s="120"/>
      <c r="H8433" s="120"/>
      <c r="I8433" s="60"/>
      <c r="J8433" s="116"/>
      <c r="K8433" s="213"/>
      <c r="L8433" s="120"/>
      <c r="M8433" s="120"/>
      <c r="N8433" s="167"/>
      <c r="O8433" s="120"/>
      <c r="P8433" s="120"/>
      <c r="Q8433" s="120"/>
      <c r="R8433" s="120"/>
      <c r="S8433" s="120"/>
      <c r="T8433" s="221"/>
      <c r="U8433" s="89"/>
      <c r="V8433" s="61"/>
      <c r="W8433" s="92" t="s">
        <v>65</v>
      </c>
      <c r="X8433" s="93" t="s">
        <v>30</v>
      </c>
      <c r="Y8433" s="93" t="s">
        <v>1011</v>
      </c>
      <c r="Z8433" s="134">
        <f>VLOOKUP(W8433,Sheet2!$B:$D,3,FALSE)</f>
        <v>1.76</v>
      </c>
      <c r="AA8433" s="93">
        <f>AA8432/10</f>
        <v>0.17142857142857143</v>
      </c>
      <c r="AB8433" s="93">
        <f>AD8433/AC8429</f>
        <v>10.266666666666666</v>
      </c>
      <c r="AC8433" s="93">
        <f>AC8429/AA8433</f>
        <v>217.42559999999989</v>
      </c>
      <c r="AD8433" s="94">
        <f>AC8433*Z8433</f>
        <v>382.66905599999978</v>
      </c>
      <c r="AE8433" s="190"/>
      <c r="AF8433" s="191"/>
      <c r="AG8433" s="191"/>
      <c r="AH8433" s="191"/>
      <c r="AI8433" s="186"/>
      <c r="AK8433" s="171"/>
    </row>
    <row r="8434" spans="1:41" s="102" customFormat="1" ht="19.899999999999999" customHeight="1" x14ac:dyDescent="0.25">
      <c r="A8434" s="45"/>
      <c r="B8434" s="59"/>
      <c r="C8434" s="137"/>
      <c r="D8434" s="59"/>
      <c r="E8434" s="116"/>
      <c r="F8434" s="120"/>
      <c r="G8434" s="120"/>
      <c r="H8434" s="120"/>
      <c r="I8434" s="60"/>
      <c r="J8434" s="116"/>
      <c r="K8434" s="213"/>
      <c r="L8434" s="120"/>
      <c r="M8434" s="120"/>
      <c r="N8434" s="167"/>
      <c r="O8434" s="120"/>
      <c r="P8434" s="120"/>
      <c r="Q8434" s="120"/>
      <c r="R8434" s="120"/>
      <c r="S8434" s="120"/>
      <c r="T8434" s="221"/>
      <c r="U8434" s="89"/>
      <c r="V8434" s="61"/>
      <c r="W8434" s="92" t="s">
        <v>1030</v>
      </c>
      <c r="X8434" s="93" t="s">
        <v>29</v>
      </c>
      <c r="Y8434" s="93" t="s">
        <v>93</v>
      </c>
      <c r="Z8434" s="134">
        <f>VLOOKUP(W8434,Sheet2!$B:$D,3,FALSE)</f>
        <v>23</v>
      </c>
      <c r="AA8434" s="93">
        <v>50</v>
      </c>
      <c r="AB8434" s="93">
        <f>AD8434/AC8429</f>
        <v>0.46</v>
      </c>
      <c r="AC8434" s="93">
        <f>AC8429/AA8434</f>
        <v>0.74545919999999966</v>
      </c>
      <c r="AD8434" s="94">
        <f t="shared" ref="AD8434:AD8438" si="5814">AC8434*Z8434</f>
        <v>17.145561599999994</v>
      </c>
      <c r="AE8434" s="190"/>
      <c r="AF8434" s="191"/>
      <c r="AG8434" s="191"/>
      <c r="AH8434" s="191"/>
      <c r="AI8434" s="186"/>
      <c r="AK8434" s="171"/>
    </row>
    <row r="8435" spans="1:41" s="102" customFormat="1" ht="19.899999999999999" customHeight="1" x14ac:dyDescent="0.25">
      <c r="A8435" s="45"/>
      <c r="B8435" s="59"/>
      <c r="C8435" s="137"/>
      <c r="D8435" s="59"/>
      <c r="E8435" s="116"/>
      <c r="F8435" s="120"/>
      <c r="G8435" s="120"/>
      <c r="H8435" s="120"/>
      <c r="I8435" s="60"/>
      <c r="J8435" s="116"/>
      <c r="K8435" s="213"/>
      <c r="L8435" s="120"/>
      <c r="M8435" s="120"/>
      <c r="N8435" s="167"/>
      <c r="O8435" s="120"/>
      <c r="P8435" s="120"/>
      <c r="Q8435" s="120"/>
      <c r="R8435" s="120"/>
      <c r="S8435" s="120"/>
      <c r="T8435" s="221"/>
      <c r="U8435" s="89"/>
      <c r="V8435" s="61"/>
      <c r="W8435" s="92" t="s">
        <v>65</v>
      </c>
      <c r="X8435" s="93" t="s">
        <v>30</v>
      </c>
      <c r="Y8435" s="93" t="s">
        <v>1011</v>
      </c>
      <c r="Z8435" s="134">
        <f>VLOOKUP(W8435,Sheet2!$B:$D,3,FALSE)</f>
        <v>1.76</v>
      </c>
      <c r="AA8435" s="93">
        <f>AA8434/3</f>
        <v>16.666666666666668</v>
      </c>
      <c r="AB8435" s="93">
        <f>AD8435/AC8429</f>
        <v>0.10559999999999999</v>
      </c>
      <c r="AC8435" s="93">
        <f>AC8429/AA8435</f>
        <v>2.2363775999999986</v>
      </c>
      <c r="AD8435" s="94">
        <f t="shared" si="5814"/>
        <v>3.9360245759999977</v>
      </c>
      <c r="AE8435" s="190"/>
      <c r="AF8435" s="191"/>
      <c r="AG8435" s="191"/>
      <c r="AH8435" s="191"/>
      <c r="AI8435" s="186"/>
      <c r="AK8435" s="171"/>
    </row>
    <row r="8436" spans="1:41" s="102" customFormat="1" ht="19.899999999999999" customHeight="1" x14ac:dyDescent="0.25">
      <c r="A8436" s="45"/>
      <c r="B8436" s="59"/>
      <c r="C8436" s="137"/>
      <c r="D8436" s="59"/>
      <c r="E8436" s="116"/>
      <c r="F8436" s="120"/>
      <c r="G8436" s="120"/>
      <c r="H8436" s="120"/>
      <c r="I8436" s="60"/>
      <c r="J8436" s="116"/>
      <c r="K8436" s="213"/>
      <c r="L8436" s="120"/>
      <c r="M8436" s="120"/>
      <c r="N8436" s="167"/>
      <c r="O8436" s="120"/>
      <c r="P8436" s="120"/>
      <c r="Q8436" s="120"/>
      <c r="R8436" s="120"/>
      <c r="S8436" s="120"/>
      <c r="T8436" s="221"/>
      <c r="U8436" s="89"/>
      <c r="V8436" s="61"/>
      <c r="W8436" s="92" t="s">
        <v>148</v>
      </c>
      <c r="X8436" s="93" t="s">
        <v>29</v>
      </c>
      <c r="Y8436" s="93" t="s">
        <v>93</v>
      </c>
      <c r="Z8436" s="134">
        <f>VLOOKUP(W8436,Sheet2!$B:$D,3,FALSE)</f>
        <v>48</v>
      </c>
      <c r="AA8436" s="93">
        <f>AA8430</f>
        <v>8.4033613445378155</v>
      </c>
      <c r="AB8436" s="93">
        <f>AD8436/AC8429</f>
        <v>5.7119999999999997</v>
      </c>
      <c r="AC8436" s="93">
        <f>AC8429/AA8436</f>
        <v>4.435482239999998</v>
      </c>
      <c r="AD8436" s="94">
        <f t="shared" si="5814"/>
        <v>212.90314751999989</v>
      </c>
      <c r="AE8436" s="190"/>
      <c r="AF8436" s="191"/>
      <c r="AG8436" s="191"/>
      <c r="AH8436" s="191"/>
      <c r="AI8436" s="186"/>
      <c r="AK8436" s="171"/>
    </row>
    <row r="8437" spans="1:41" s="102" customFormat="1" ht="19.899999999999999" customHeight="1" x14ac:dyDescent="0.25">
      <c r="A8437" s="45"/>
      <c r="B8437" s="59"/>
      <c r="C8437" s="137"/>
      <c r="D8437" s="59"/>
      <c r="E8437" s="116"/>
      <c r="F8437" s="120"/>
      <c r="G8437" s="120"/>
      <c r="H8437" s="120"/>
      <c r="I8437" s="60"/>
      <c r="J8437" s="116"/>
      <c r="K8437" s="213"/>
      <c r="L8437" s="120"/>
      <c r="M8437" s="120"/>
      <c r="N8437" s="167"/>
      <c r="O8437" s="120"/>
      <c r="P8437" s="120"/>
      <c r="Q8437" s="120"/>
      <c r="R8437" s="120"/>
      <c r="S8437" s="120"/>
      <c r="T8437" s="221"/>
      <c r="U8437" s="89"/>
      <c r="V8437" s="61"/>
      <c r="W8437" s="92" t="s">
        <v>65</v>
      </c>
      <c r="X8437" s="93" t="s">
        <v>30</v>
      </c>
      <c r="Y8437" s="93" t="s">
        <v>1011</v>
      </c>
      <c r="Z8437" s="134">
        <f>VLOOKUP(W8437,Sheet2!$B:$D,3,FALSE)</f>
        <v>1.76</v>
      </c>
      <c r="AA8437" s="93">
        <f>AA8436/10</f>
        <v>0.84033613445378152</v>
      </c>
      <c r="AB8437" s="93">
        <f>AD8437/AC8429</f>
        <v>2.0943999999999998</v>
      </c>
      <c r="AC8437" s="93">
        <f>AC8429/AA8437</f>
        <v>44.354822399999982</v>
      </c>
      <c r="AD8437" s="94">
        <f t="shared" si="5814"/>
        <v>78.064487423999964</v>
      </c>
      <c r="AE8437" s="190"/>
      <c r="AF8437" s="191"/>
      <c r="AG8437" s="191"/>
      <c r="AH8437" s="191"/>
      <c r="AI8437" s="186"/>
      <c r="AK8437" s="171"/>
    </row>
    <row r="8438" spans="1:41" s="102" customFormat="1" ht="19.899999999999999" customHeight="1" x14ac:dyDescent="0.25">
      <c r="A8438" s="45"/>
      <c r="B8438" s="59"/>
      <c r="C8438" s="137"/>
      <c r="D8438" s="59"/>
      <c r="E8438" s="116"/>
      <c r="F8438" s="120"/>
      <c r="G8438" s="120"/>
      <c r="H8438" s="120"/>
      <c r="I8438" s="60"/>
      <c r="J8438" s="116"/>
      <c r="K8438" s="213"/>
      <c r="L8438" s="120"/>
      <c r="M8438" s="120"/>
      <c r="N8438" s="167"/>
      <c r="O8438" s="120"/>
      <c r="P8438" s="120"/>
      <c r="Q8438" s="120"/>
      <c r="R8438" s="120"/>
      <c r="S8438" s="120"/>
      <c r="T8438" s="221"/>
      <c r="U8438" s="89"/>
      <c r="V8438" s="61"/>
      <c r="W8438" s="92" t="s">
        <v>1049</v>
      </c>
      <c r="X8438" s="93" t="s">
        <v>30</v>
      </c>
      <c r="Y8438" s="93" t="s">
        <v>68</v>
      </c>
      <c r="Z8438" s="134">
        <f>VLOOKUP(W8438,Sheet2!$B:$D,3,FALSE)</f>
        <v>60</v>
      </c>
      <c r="AA8438" s="93">
        <v>1</v>
      </c>
      <c r="AB8438" s="93">
        <f>AD8438/AC8429</f>
        <v>60</v>
      </c>
      <c r="AC8438" s="93">
        <f>AC8429/AA8438</f>
        <v>37.272959999999983</v>
      </c>
      <c r="AD8438" s="94">
        <f t="shared" si="5814"/>
        <v>2236.3775999999989</v>
      </c>
      <c r="AE8438" s="190"/>
      <c r="AF8438" s="191"/>
      <c r="AG8438" s="191"/>
      <c r="AH8438" s="191"/>
      <c r="AI8438" s="186"/>
      <c r="AK8438" s="171"/>
    </row>
    <row r="8439" spans="1:41" s="103" customFormat="1" ht="19.899999999999999" customHeight="1" x14ac:dyDescent="0.25">
      <c r="A8439" s="51"/>
      <c r="B8439" s="52"/>
      <c r="C8439" s="165"/>
      <c r="D8439" s="52"/>
      <c r="E8439" s="115"/>
      <c r="F8439" s="58"/>
      <c r="G8439" s="58"/>
      <c r="H8439" s="58"/>
      <c r="I8439" s="55"/>
      <c r="J8439" s="113">
        <f>J8428</f>
        <v>37.272959999999983</v>
      </c>
      <c r="K8439" s="212">
        <f>K8428</f>
        <v>37.272959999999983</v>
      </c>
      <c r="L8439" s="58"/>
      <c r="M8439" s="58">
        <f>K8439-L8439</f>
        <v>37.272959999999983</v>
      </c>
      <c r="N8439" s="166"/>
      <c r="O8439" s="58"/>
      <c r="P8439" s="58"/>
      <c r="Q8439" s="58"/>
      <c r="R8439" s="58"/>
      <c r="S8439" s="58"/>
      <c r="T8439" s="220"/>
      <c r="U8439" s="88"/>
      <c r="V8439" s="56"/>
      <c r="W8439" s="57" t="s">
        <v>1137</v>
      </c>
      <c r="X8439" s="53"/>
      <c r="Y8439" s="91" t="s">
        <v>68</v>
      </c>
      <c r="Z8439" s="136">
        <f>AD8439/AC8439</f>
        <v>4504.5499999999993</v>
      </c>
      <c r="AA8439" s="58"/>
      <c r="AB8439" s="53">
        <f>AD8439/AC8439</f>
        <v>4504.5499999999993</v>
      </c>
      <c r="AC8439" s="53">
        <f>M8439+$AE$10</f>
        <v>37.272959999999983</v>
      </c>
      <c r="AD8439" s="54">
        <f>SUM(AD8440:AD8443)</f>
        <v>167897.91196799988</v>
      </c>
      <c r="AE8439" s="184">
        <f>SUMIFS($AD$37:$AD$12971,$V$37:$V$12971,$V8439,$X$37:$X$12971,AE$13)</f>
        <v>0</v>
      </c>
      <c r="AF8439" s="185">
        <f>SUMIFS($AD$37:$AD$12971,$V$37:$V$12971,$V8439,$X$37:$X$12971,AF$13)</f>
        <v>0</v>
      </c>
      <c r="AG8439" s="185">
        <f>SUMIFS($AD$37:$AD$12971,$V$37:$V$12971,$V8439,$X$37:$X$12971,AG$13)</f>
        <v>0</v>
      </c>
      <c r="AH8439" s="187">
        <f>SUMIFS($AD$37:$AD$12971,$V$37:$V$12971,$V8439,$X$37:$X$12971,AH$13)</f>
        <v>0</v>
      </c>
      <c r="AI8439" s="161">
        <f t="shared" ref="AI8439" si="5815">SUM(AE8439:AH8439)</f>
        <v>0</v>
      </c>
      <c r="AK8439" s="172"/>
    </row>
    <row r="8440" spans="1:41" s="102" customFormat="1" ht="19.899999999999999" customHeight="1" x14ac:dyDescent="0.25">
      <c r="A8440" s="45"/>
      <c r="B8440" s="59"/>
      <c r="C8440" s="137"/>
      <c r="D8440" s="59"/>
      <c r="E8440" s="116"/>
      <c r="F8440" s="120"/>
      <c r="G8440" s="120"/>
      <c r="H8440" s="120"/>
      <c r="I8440" s="60"/>
      <c r="J8440" s="116"/>
      <c r="K8440" s="213"/>
      <c r="L8440" s="120"/>
      <c r="M8440" s="120"/>
      <c r="N8440" s="167"/>
      <c r="O8440" s="120"/>
      <c r="P8440" s="120"/>
      <c r="Q8440" s="120"/>
      <c r="R8440" s="120"/>
      <c r="S8440" s="120"/>
      <c r="T8440" s="221"/>
      <c r="U8440" s="89"/>
      <c r="V8440" s="61"/>
      <c r="W8440" s="92" t="s">
        <v>1105</v>
      </c>
      <c r="X8440" s="93" t="s">
        <v>30</v>
      </c>
      <c r="Y8440" s="93" t="s">
        <v>66</v>
      </c>
      <c r="Z8440" s="134">
        <f>VLOOKUP(W8440,Sheet2!$B:$D,3,FALSE)</f>
        <v>2200</v>
      </c>
      <c r="AA8440" s="93">
        <f>1/((2.6*1.4)-(2*0.8))</f>
        <v>0.49019607843137264</v>
      </c>
      <c r="AB8440" s="93">
        <f>AD8440/AC8439</f>
        <v>4487.9999999999991</v>
      </c>
      <c r="AC8440" s="93">
        <f>AC8439/AA8440</f>
        <v>76.036838399999951</v>
      </c>
      <c r="AD8440" s="94">
        <f t="shared" ref="AD8440" si="5816">AC8440*Z8440</f>
        <v>167281.04447999989</v>
      </c>
      <c r="AE8440" s="190"/>
      <c r="AF8440" s="191"/>
      <c r="AG8440" s="191"/>
      <c r="AH8440" s="191"/>
      <c r="AI8440" s="186"/>
      <c r="AK8440" s="171"/>
    </row>
    <row r="8441" spans="1:41" s="102" customFormat="1" ht="19.899999999999999" customHeight="1" x14ac:dyDescent="0.25">
      <c r="A8441" s="45"/>
      <c r="B8441" s="59"/>
      <c r="C8441" s="137"/>
      <c r="D8441" s="59"/>
      <c r="E8441" s="116"/>
      <c r="F8441" s="120"/>
      <c r="G8441" s="120"/>
      <c r="H8441" s="120"/>
      <c r="I8441" s="60"/>
      <c r="J8441" s="116"/>
      <c r="K8441" s="213"/>
      <c r="L8441" s="120"/>
      <c r="M8441" s="120"/>
      <c r="N8441" s="167"/>
      <c r="O8441" s="120"/>
      <c r="P8441" s="120"/>
      <c r="Q8441" s="120"/>
      <c r="R8441" s="120"/>
      <c r="S8441" s="120"/>
      <c r="T8441" s="221"/>
      <c r="U8441" s="89"/>
      <c r="V8441" s="61"/>
      <c r="W8441" s="92" t="s">
        <v>174</v>
      </c>
      <c r="X8441" s="93" t="s">
        <v>29</v>
      </c>
      <c r="Y8441" s="93" t="s">
        <v>93</v>
      </c>
      <c r="Z8441" s="134">
        <f>VLOOKUP(W8441,Sheet2!$B:$D,3,FALSE)</f>
        <v>80</v>
      </c>
      <c r="AA8441" s="93">
        <f>4*2</f>
        <v>8</v>
      </c>
      <c r="AB8441" s="93">
        <f>AD8441/AC8439</f>
        <v>10</v>
      </c>
      <c r="AC8441" s="93">
        <f>AC8439/AA8441</f>
        <v>4.6591199999999979</v>
      </c>
      <c r="AD8441" s="94">
        <f>AC8441*Z8441</f>
        <v>372.72959999999983</v>
      </c>
      <c r="AE8441" s="190"/>
      <c r="AF8441" s="191"/>
      <c r="AG8441" s="191"/>
      <c r="AH8441" s="191"/>
      <c r="AI8441" s="186"/>
      <c r="AK8441" s="171"/>
    </row>
    <row r="8442" spans="1:41" s="102" customFormat="1" ht="19.899999999999999" customHeight="1" x14ac:dyDescent="0.25">
      <c r="A8442" s="45"/>
      <c r="B8442" s="59"/>
      <c r="C8442" s="137"/>
      <c r="D8442" s="59"/>
      <c r="E8442" s="116"/>
      <c r="F8442" s="120"/>
      <c r="G8442" s="120"/>
      <c r="H8442" s="120"/>
      <c r="I8442" s="60"/>
      <c r="J8442" s="116"/>
      <c r="K8442" s="213"/>
      <c r="L8442" s="120"/>
      <c r="M8442" s="120"/>
      <c r="N8442" s="167"/>
      <c r="O8442" s="120"/>
      <c r="P8442" s="120"/>
      <c r="Q8442" s="120"/>
      <c r="R8442" s="120"/>
      <c r="S8442" s="120"/>
      <c r="T8442" s="221"/>
      <c r="U8442" s="89"/>
      <c r="V8442" s="61"/>
      <c r="W8442" s="92" t="s">
        <v>65</v>
      </c>
      <c r="X8442" s="93" t="s">
        <v>30</v>
      </c>
      <c r="Y8442" s="93" t="s">
        <v>1011</v>
      </c>
      <c r="Z8442" s="134">
        <f>VLOOKUP(W8442,Sheet2!$B:$D,3,FALSE)</f>
        <v>1.76</v>
      </c>
      <c r="AA8442" s="93">
        <f>AA8441/15</f>
        <v>0.53333333333333333</v>
      </c>
      <c r="AB8442" s="93">
        <f>AD8442/AC8439</f>
        <v>3.3</v>
      </c>
      <c r="AC8442" s="93">
        <f>AC8439/AA8442</f>
        <v>69.886799999999965</v>
      </c>
      <c r="AD8442" s="94">
        <f t="shared" ref="AD8442" si="5817">AC8442*Z8442</f>
        <v>123.00076799999994</v>
      </c>
      <c r="AE8442" s="190"/>
      <c r="AF8442" s="191"/>
      <c r="AG8442" s="191"/>
      <c r="AH8442" s="191"/>
      <c r="AI8442" s="186"/>
      <c r="AK8442" s="171"/>
    </row>
    <row r="8443" spans="1:41" s="102" customFormat="1" ht="19.899999999999999" customHeight="1" x14ac:dyDescent="0.25">
      <c r="A8443" s="45"/>
      <c r="B8443" s="59"/>
      <c r="C8443" s="137"/>
      <c r="D8443" s="59"/>
      <c r="E8443" s="116"/>
      <c r="F8443" s="120"/>
      <c r="G8443" s="120"/>
      <c r="H8443" s="120"/>
      <c r="I8443" s="60"/>
      <c r="J8443" s="116"/>
      <c r="K8443" s="213"/>
      <c r="L8443" s="120"/>
      <c r="M8443" s="120"/>
      <c r="N8443" s="167"/>
      <c r="O8443" s="120"/>
      <c r="P8443" s="120"/>
      <c r="Q8443" s="120"/>
      <c r="R8443" s="120"/>
      <c r="S8443" s="120"/>
      <c r="T8443" s="221"/>
      <c r="U8443" s="89"/>
      <c r="V8443" s="61"/>
      <c r="W8443" s="92" t="s">
        <v>112</v>
      </c>
      <c r="X8443" s="93" t="s">
        <v>31</v>
      </c>
      <c r="Y8443" s="93" t="s">
        <v>93</v>
      </c>
      <c r="Z8443" s="134">
        <f>VLOOKUP(W8443,Sheet2!$B:$D,3,FALSE)</f>
        <v>13</v>
      </c>
      <c r="AA8443" s="93">
        <f>AA8441/2</f>
        <v>4</v>
      </c>
      <c r="AB8443" s="93">
        <f>AD8443/AC8439</f>
        <v>3.25</v>
      </c>
      <c r="AC8443" s="93">
        <f>AC8439/AA8443</f>
        <v>9.3182399999999959</v>
      </c>
      <c r="AD8443" s="94">
        <f>AC8443*Z8443</f>
        <v>121.13711999999995</v>
      </c>
      <c r="AE8443" s="190"/>
      <c r="AF8443" s="191"/>
      <c r="AG8443" s="191"/>
      <c r="AH8443" s="191"/>
      <c r="AI8443" s="186"/>
      <c r="AK8443" s="171"/>
    </row>
    <row r="8444" spans="1:41" ht="20.100000000000001" customHeight="1" x14ac:dyDescent="0.25">
      <c r="A8444" s="277" t="s">
        <v>703</v>
      </c>
      <c r="B8444" s="278"/>
      <c r="C8444" s="64" t="s">
        <v>769</v>
      </c>
      <c r="D8444" s="46" t="s">
        <v>97</v>
      </c>
      <c r="E8444" s="114">
        <v>6.9796949999999924</v>
      </c>
      <c r="F8444" s="44">
        <v>5949</v>
      </c>
      <c r="G8444" s="44">
        <f t="shared" si="5545"/>
        <v>41522.205554999957</v>
      </c>
      <c r="H8444" s="44">
        <f t="shared" si="5546"/>
        <v>4628.7375733333329</v>
      </c>
      <c r="I8444" s="43">
        <f t="shared" si="5547"/>
        <v>32307.176496906763</v>
      </c>
      <c r="J8444" s="112">
        <f t="shared" si="5548"/>
        <v>6.9796949999999924</v>
      </c>
      <c r="K8444" s="211">
        <f t="shared" si="5549"/>
        <v>6.9796949999999924</v>
      </c>
      <c r="L8444" s="44"/>
      <c r="M8444" s="44">
        <f t="shared" si="5550"/>
        <v>6.9796949999999924</v>
      </c>
      <c r="N8444" s="173">
        <f t="shared" si="5551"/>
        <v>1</v>
      </c>
      <c r="O8444" s="44">
        <f t="shared" si="5552"/>
        <v>5949</v>
      </c>
      <c r="P8444" s="44">
        <f t="shared" si="5553"/>
        <v>41522.205554999957</v>
      </c>
      <c r="Q8444" s="44">
        <f t="shared" si="5554"/>
        <v>4628.7375733333329</v>
      </c>
      <c r="R8444" s="44">
        <f t="shared" si="5555"/>
        <v>32307.176496906763</v>
      </c>
      <c r="S8444" s="123"/>
      <c r="T8444" s="219">
        <f t="shared" si="5556"/>
        <v>32307.176496906763</v>
      </c>
      <c r="U8444" s="87"/>
      <c r="V8444" s="47"/>
      <c r="W8444" s="48"/>
      <c r="X8444" s="48"/>
      <c r="Y8444" s="48"/>
      <c r="Z8444" s="135"/>
      <c r="AA8444" s="49"/>
      <c r="AB8444" s="50">
        <f t="shared" si="5557"/>
        <v>4628.7375733333329</v>
      </c>
      <c r="AC8444" s="42">
        <f t="shared" si="5558"/>
        <v>6.9796949999999924</v>
      </c>
      <c r="AD8444" s="90">
        <f>AD8445+AD8455</f>
        <v>32307.176496906759</v>
      </c>
      <c r="AE8444" s="188">
        <f t="shared" ref="AE8444:AH8444" si="5818">AE8445+AE8455</f>
        <v>0</v>
      </c>
      <c r="AF8444" s="189">
        <f t="shared" si="5818"/>
        <v>0</v>
      </c>
      <c r="AG8444" s="189">
        <f t="shared" si="5818"/>
        <v>0</v>
      </c>
      <c r="AH8444" s="189">
        <f t="shared" si="5818"/>
        <v>0</v>
      </c>
      <c r="AI8444" s="161">
        <f t="shared" ref="AI8444" si="5819">SUM(AE8444:AH8444)</f>
        <v>0</v>
      </c>
      <c r="AK8444" s="169">
        <v>5</v>
      </c>
      <c r="AO8444" s="19" t="s">
        <v>63</v>
      </c>
    </row>
    <row r="8445" spans="1:41" s="103" customFormat="1" ht="19.899999999999999" customHeight="1" x14ac:dyDescent="0.25">
      <c r="A8445" s="51"/>
      <c r="B8445" s="52"/>
      <c r="C8445" s="165"/>
      <c r="D8445" s="52"/>
      <c r="E8445" s="115"/>
      <c r="F8445" s="58"/>
      <c r="G8445" s="58"/>
      <c r="H8445" s="58"/>
      <c r="I8445" s="55"/>
      <c r="J8445" s="113">
        <f>J8444</f>
        <v>6.9796949999999924</v>
      </c>
      <c r="K8445" s="212">
        <f>K8444</f>
        <v>6.9796949999999924</v>
      </c>
      <c r="L8445" s="58"/>
      <c r="M8445" s="58">
        <f>K8445-L8445</f>
        <v>6.9796949999999924</v>
      </c>
      <c r="N8445" s="166"/>
      <c r="O8445" s="58"/>
      <c r="P8445" s="58"/>
      <c r="Q8445" s="58"/>
      <c r="R8445" s="58"/>
      <c r="S8445" s="58"/>
      <c r="T8445" s="220"/>
      <c r="U8445" s="88"/>
      <c r="V8445" s="56"/>
      <c r="W8445" s="57" t="s">
        <v>1130</v>
      </c>
      <c r="X8445" s="53"/>
      <c r="Y8445" s="91" t="s">
        <v>68</v>
      </c>
      <c r="Z8445" s="136">
        <f>AD8445/AC8445</f>
        <v>124.18757333333332</v>
      </c>
      <c r="AA8445" s="58"/>
      <c r="AB8445" s="53">
        <f>AD8445/AC8445</f>
        <v>124.18757333333332</v>
      </c>
      <c r="AC8445" s="53">
        <f>M8445+$AE$10</f>
        <v>6.9796949999999924</v>
      </c>
      <c r="AD8445" s="54">
        <f>SUM(AD8446:AD8454)</f>
        <v>866.79138465679898</v>
      </c>
      <c r="AE8445" s="184">
        <f>SUMIFS($AD$37:$AD$12971,$V$37:$V$12971,$V8445,$X$37:$X$12971,AE$13)</f>
        <v>0</v>
      </c>
      <c r="AF8445" s="185">
        <f>SUMIFS($AD$37:$AD$12971,$V$37:$V$12971,$V8445,$X$37:$X$12971,AF$13)</f>
        <v>0</v>
      </c>
      <c r="AG8445" s="185">
        <f>SUMIFS($AD$37:$AD$12971,$V$37:$V$12971,$V8445,$X$37:$X$12971,AG$13)</f>
        <v>0</v>
      </c>
      <c r="AH8445" s="187">
        <f>SUMIFS($AD$37:$AD$12971,$V$37:$V$12971,$V8445,$X$37:$X$12971,AH$13)</f>
        <v>0</v>
      </c>
      <c r="AI8445" s="161">
        <f t="shared" ref="AI8445" si="5820">SUM(AE8445:AH8445)</f>
        <v>0</v>
      </c>
      <c r="AK8445" s="172"/>
    </row>
    <row r="8446" spans="1:41" s="102" customFormat="1" ht="19.899999999999999" customHeight="1" x14ac:dyDescent="0.25">
      <c r="A8446" s="45"/>
      <c r="B8446" s="59"/>
      <c r="C8446" s="137"/>
      <c r="D8446" s="59"/>
      <c r="E8446" s="116"/>
      <c r="F8446" s="120"/>
      <c r="G8446" s="120"/>
      <c r="H8446" s="120"/>
      <c r="I8446" s="60"/>
      <c r="J8446" s="116"/>
      <c r="K8446" s="213"/>
      <c r="L8446" s="120"/>
      <c r="M8446" s="120"/>
      <c r="N8446" s="167"/>
      <c r="O8446" s="120"/>
      <c r="P8446" s="120"/>
      <c r="Q8446" s="120"/>
      <c r="R8446" s="120"/>
      <c r="S8446" s="120"/>
      <c r="T8446" s="221"/>
      <c r="U8446" s="89"/>
      <c r="V8446" s="61"/>
      <c r="W8446" s="92" t="s">
        <v>129</v>
      </c>
      <c r="X8446" s="93" t="s">
        <v>29</v>
      </c>
      <c r="Y8446" s="93" t="s">
        <v>93</v>
      </c>
      <c r="Z8446" s="134">
        <f>VLOOKUP(W8446,Sheet2!$B:$D,3,FALSE)</f>
        <v>56</v>
      </c>
      <c r="AA8446" s="93">
        <f>100/(3.4*4)</f>
        <v>7.3529411764705888</v>
      </c>
      <c r="AB8446" s="93">
        <f t="shared" ref="AB8446" si="5821">AD8446/AC8445</f>
        <v>7.6159999999999988</v>
      </c>
      <c r="AC8446" s="93">
        <f>AC8445/AA8446</f>
        <v>0.94923851999999886</v>
      </c>
      <c r="AD8446" s="94">
        <f t="shared" ref="AD8446:AD8447" si="5822">AC8446*Z8446</f>
        <v>53.157357119999936</v>
      </c>
      <c r="AE8446" s="190"/>
      <c r="AF8446" s="191"/>
      <c r="AG8446" s="191"/>
      <c r="AH8446" s="191"/>
      <c r="AI8446" s="186"/>
      <c r="AK8446" s="171"/>
    </row>
    <row r="8447" spans="1:41" s="102" customFormat="1" ht="19.899999999999999" customHeight="1" x14ac:dyDescent="0.25">
      <c r="A8447" s="45"/>
      <c r="B8447" s="59"/>
      <c r="C8447" s="137"/>
      <c r="D8447" s="59"/>
      <c r="E8447" s="116"/>
      <c r="F8447" s="120"/>
      <c r="G8447" s="120"/>
      <c r="H8447" s="120"/>
      <c r="I8447" s="60"/>
      <c r="J8447" s="116"/>
      <c r="K8447" s="213"/>
      <c r="L8447" s="120"/>
      <c r="M8447" s="120"/>
      <c r="N8447" s="167"/>
      <c r="O8447" s="120"/>
      <c r="P8447" s="120"/>
      <c r="Q8447" s="120"/>
      <c r="R8447" s="120"/>
      <c r="S8447" s="120"/>
      <c r="T8447" s="221"/>
      <c r="U8447" s="89"/>
      <c r="V8447" s="61"/>
      <c r="W8447" s="92" t="s">
        <v>65</v>
      </c>
      <c r="X8447" s="93" t="s">
        <v>30</v>
      </c>
      <c r="Y8447" s="93" t="s">
        <v>1011</v>
      </c>
      <c r="Z8447" s="134">
        <f>VLOOKUP(W8447,Sheet2!$B:$D,3,FALSE)</f>
        <v>1.76</v>
      </c>
      <c r="AA8447" s="93">
        <f>AA8446/14</f>
        <v>0.52521008403361347</v>
      </c>
      <c r="AB8447" s="93">
        <f>AD8447/AC8445</f>
        <v>3.3510400000000002</v>
      </c>
      <c r="AC8447" s="93">
        <f>AC8445/AA8447</f>
        <v>13.289339279999986</v>
      </c>
      <c r="AD8447" s="94">
        <f t="shared" si="5822"/>
        <v>23.389237132799977</v>
      </c>
      <c r="AE8447" s="190"/>
      <c r="AF8447" s="191"/>
      <c r="AG8447" s="191"/>
      <c r="AH8447" s="191"/>
      <c r="AI8447" s="186"/>
      <c r="AK8447" s="171"/>
    </row>
    <row r="8448" spans="1:41" s="102" customFormat="1" ht="19.899999999999999" customHeight="1" x14ac:dyDescent="0.25">
      <c r="A8448" s="45"/>
      <c r="B8448" s="59"/>
      <c r="C8448" s="137"/>
      <c r="D8448" s="59"/>
      <c r="E8448" s="116"/>
      <c r="F8448" s="120"/>
      <c r="G8448" s="120"/>
      <c r="H8448" s="120"/>
      <c r="I8448" s="60"/>
      <c r="J8448" s="116"/>
      <c r="K8448" s="213"/>
      <c r="L8448" s="120"/>
      <c r="M8448" s="120"/>
      <c r="N8448" s="167"/>
      <c r="O8448" s="120"/>
      <c r="P8448" s="120"/>
      <c r="Q8448" s="120"/>
      <c r="R8448" s="120"/>
      <c r="S8448" s="120"/>
      <c r="T8448" s="221"/>
      <c r="U8448" s="89"/>
      <c r="V8448" s="61"/>
      <c r="W8448" s="92" t="s">
        <v>161</v>
      </c>
      <c r="X8448" s="93" t="s">
        <v>29</v>
      </c>
      <c r="Y8448" s="93" t="s">
        <v>93</v>
      </c>
      <c r="Z8448" s="134">
        <f>VLOOKUP(W8448,Sheet2!$B:$D,3,FALSE)</f>
        <v>48</v>
      </c>
      <c r="AA8448" s="93">
        <f>(16*0.85*1.5)/(3.4*4)</f>
        <v>1.5</v>
      </c>
      <c r="AB8448" s="93">
        <f>AD8448/AC8445</f>
        <v>32</v>
      </c>
      <c r="AC8448" s="93">
        <f>AC8445/AA8448</f>
        <v>4.6531299999999947</v>
      </c>
      <c r="AD8448" s="94">
        <f>AC8448*Z8448</f>
        <v>223.35023999999976</v>
      </c>
      <c r="AE8448" s="190"/>
      <c r="AF8448" s="191"/>
      <c r="AG8448" s="191"/>
      <c r="AH8448" s="191"/>
      <c r="AI8448" s="186"/>
      <c r="AK8448" s="171"/>
    </row>
    <row r="8449" spans="1:41" s="102" customFormat="1" ht="19.899999999999999" customHeight="1" x14ac:dyDescent="0.25">
      <c r="A8449" s="45"/>
      <c r="B8449" s="59"/>
      <c r="C8449" s="137"/>
      <c r="D8449" s="59"/>
      <c r="E8449" s="116"/>
      <c r="F8449" s="120"/>
      <c r="G8449" s="120"/>
      <c r="H8449" s="120"/>
      <c r="I8449" s="60"/>
      <c r="J8449" s="116"/>
      <c r="K8449" s="213"/>
      <c r="L8449" s="120"/>
      <c r="M8449" s="120"/>
      <c r="N8449" s="167"/>
      <c r="O8449" s="120"/>
      <c r="P8449" s="120"/>
      <c r="Q8449" s="120"/>
      <c r="R8449" s="120"/>
      <c r="S8449" s="120"/>
      <c r="T8449" s="221"/>
      <c r="U8449" s="89"/>
      <c r="V8449" s="61"/>
      <c r="W8449" s="92" t="s">
        <v>65</v>
      </c>
      <c r="X8449" s="93" t="s">
        <v>30</v>
      </c>
      <c r="Y8449" s="93" t="s">
        <v>1011</v>
      </c>
      <c r="Z8449" s="134">
        <f>VLOOKUP(W8449,Sheet2!$B:$D,3,FALSE)</f>
        <v>1.76</v>
      </c>
      <c r="AA8449" s="93">
        <f>AA8448/10</f>
        <v>0.15</v>
      </c>
      <c r="AB8449" s="93">
        <f>AD8449/AC8445</f>
        <v>11.733333333333334</v>
      </c>
      <c r="AC8449" s="93">
        <f>AC8445/AA8449</f>
        <v>46.531299999999952</v>
      </c>
      <c r="AD8449" s="94">
        <f>AC8449*Z8449</f>
        <v>81.895087999999916</v>
      </c>
      <c r="AE8449" s="190"/>
      <c r="AF8449" s="191"/>
      <c r="AG8449" s="191"/>
      <c r="AH8449" s="191"/>
      <c r="AI8449" s="186"/>
      <c r="AK8449" s="171"/>
    </row>
    <row r="8450" spans="1:41" s="102" customFormat="1" ht="19.899999999999999" customHeight="1" x14ac:dyDescent="0.25">
      <c r="A8450" s="45"/>
      <c r="B8450" s="59"/>
      <c r="C8450" s="137"/>
      <c r="D8450" s="59"/>
      <c r="E8450" s="116"/>
      <c r="F8450" s="120"/>
      <c r="G8450" s="120"/>
      <c r="H8450" s="120"/>
      <c r="I8450" s="60"/>
      <c r="J8450" s="116"/>
      <c r="K8450" s="213"/>
      <c r="L8450" s="120"/>
      <c r="M8450" s="120"/>
      <c r="N8450" s="167"/>
      <c r="O8450" s="120"/>
      <c r="P8450" s="120"/>
      <c r="Q8450" s="120"/>
      <c r="R8450" s="120"/>
      <c r="S8450" s="120"/>
      <c r="T8450" s="221"/>
      <c r="U8450" s="89"/>
      <c r="V8450" s="61"/>
      <c r="W8450" s="92" t="s">
        <v>1030</v>
      </c>
      <c r="X8450" s="93" t="s">
        <v>29</v>
      </c>
      <c r="Y8450" s="93" t="s">
        <v>93</v>
      </c>
      <c r="Z8450" s="134">
        <f>VLOOKUP(W8450,Sheet2!$B:$D,3,FALSE)</f>
        <v>23</v>
      </c>
      <c r="AA8450" s="93">
        <v>50</v>
      </c>
      <c r="AB8450" s="93">
        <f>AD8450/AC8445</f>
        <v>0.46</v>
      </c>
      <c r="AC8450" s="93">
        <f>AC8445/AA8450</f>
        <v>0.13959389999999985</v>
      </c>
      <c r="AD8450" s="94">
        <f t="shared" ref="AD8450:AD8454" si="5823">AC8450*Z8450</f>
        <v>3.2106596999999968</v>
      </c>
      <c r="AE8450" s="190"/>
      <c r="AF8450" s="191"/>
      <c r="AG8450" s="191"/>
      <c r="AH8450" s="191"/>
      <c r="AI8450" s="186"/>
      <c r="AK8450" s="171"/>
    </row>
    <row r="8451" spans="1:41" s="102" customFormat="1" ht="19.899999999999999" customHeight="1" x14ac:dyDescent="0.25">
      <c r="A8451" s="45"/>
      <c r="B8451" s="59"/>
      <c r="C8451" s="137"/>
      <c r="D8451" s="59"/>
      <c r="E8451" s="116"/>
      <c r="F8451" s="120"/>
      <c r="G8451" s="120"/>
      <c r="H8451" s="120"/>
      <c r="I8451" s="60"/>
      <c r="J8451" s="116"/>
      <c r="K8451" s="213"/>
      <c r="L8451" s="120"/>
      <c r="M8451" s="120"/>
      <c r="N8451" s="167"/>
      <c r="O8451" s="120"/>
      <c r="P8451" s="120"/>
      <c r="Q8451" s="120"/>
      <c r="R8451" s="120"/>
      <c r="S8451" s="120"/>
      <c r="T8451" s="221"/>
      <c r="U8451" s="89"/>
      <c r="V8451" s="61"/>
      <c r="W8451" s="92" t="s">
        <v>65</v>
      </c>
      <c r="X8451" s="93" t="s">
        <v>30</v>
      </c>
      <c r="Y8451" s="93" t="s">
        <v>1011</v>
      </c>
      <c r="Z8451" s="134">
        <f>VLOOKUP(W8451,Sheet2!$B:$D,3,FALSE)</f>
        <v>1.76</v>
      </c>
      <c r="AA8451" s="93">
        <f>AA8450/3</f>
        <v>16.666666666666668</v>
      </c>
      <c r="AB8451" s="93">
        <f>AD8451/AC8445</f>
        <v>0.1056</v>
      </c>
      <c r="AC8451" s="93">
        <f>AC8445/AA8451</f>
        <v>0.41878169999999953</v>
      </c>
      <c r="AD8451" s="94">
        <f t="shared" si="5823"/>
        <v>0.73705579199999915</v>
      </c>
      <c r="AE8451" s="190"/>
      <c r="AF8451" s="191"/>
      <c r="AG8451" s="191"/>
      <c r="AH8451" s="191"/>
      <c r="AI8451" s="186"/>
      <c r="AK8451" s="171"/>
    </row>
    <row r="8452" spans="1:41" s="102" customFormat="1" ht="19.899999999999999" customHeight="1" x14ac:dyDescent="0.25">
      <c r="A8452" s="45"/>
      <c r="B8452" s="59"/>
      <c r="C8452" s="137"/>
      <c r="D8452" s="59"/>
      <c r="E8452" s="116"/>
      <c r="F8452" s="120"/>
      <c r="G8452" s="120"/>
      <c r="H8452" s="120"/>
      <c r="I8452" s="60"/>
      <c r="J8452" s="116"/>
      <c r="K8452" s="213"/>
      <c r="L8452" s="120"/>
      <c r="M8452" s="120"/>
      <c r="N8452" s="167"/>
      <c r="O8452" s="120"/>
      <c r="P8452" s="120"/>
      <c r="Q8452" s="120"/>
      <c r="R8452" s="120"/>
      <c r="S8452" s="120"/>
      <c r="T8452" s="221"/>
      <c r="U8452" s="89"/>
      <c r="V8452" s="61"/>
      <c r="W8452" s="92" t="s">
        <v>148</v>
      </c>
      <c r="X8452" s="93" t="s">
        <v>29</v>
      </c>
      <c r="Y8452" s="93" t="s">
        <v>93</v>
      </c>
      <c r="Z8452" s="134">
        <f>VLOOKUP(W8452,Sheet2!$B:$D,3,FALSE)</f>
        <v>48</v>
      </c>
      <c r="AA8452" s="93">
        <f>AA8446</f>
        <v>7.3529411764705888</v>
      </c>
      <c r="AB8452" s="93">
        <f>AD8452/AC8445</f>
        <v>6.5279999999999996</v>
      </c>
      <c r="AC8452" s="93">
        <f>AC8445/AA8452</f>
        <v>0.94923851999999886</v>
      </c>
      <c r="AD8452" s="94">
        <f t="shared" si="5823"/>
        <v>45.563448959999945</v>
      </c>
      <c r="AE8452" s="190"/>
      <c r="AF8452" s="191"/>
      <c r="AG8452" s="191"/>
      <c r="AH8452" s="191"/>
      <c r="AI8452" s="186"/>
      <c r="AK8452" s="171"/>
    </row>
    <row r="8453" spans="1:41" s="102" customFormat="1" ht="19.899999999999999" customHeight="1" x14ac:dyDescent="0.25">
      <c r="A8453" s="45"/>
      <c r="B8453" s="59"/>
      <c r="C8453" s="137"/>
      <c r="D8453" s="59"/>
      <c r="E8453" s="116"/>
      <c r="F8453" s="120"/>
      <c r="G8453" s="120"/>
      <c r="H8453" s="120"/>
      <c r="I8453" s="60"/>
      <c r="J8453" s="116"/>
      <c r="K8453" s="213"/>
      <c r="L8453" s="120"/>
      <c r="M8453" s="120"/>
      <c r="N8453" s="167"/>
      <c r="O8453" s="120"/>
      <c r="P8453" s="120"/>
      <c r="Q8453" s="120"/>
      <c r="R8453" s="120"/>
      <c r="S8453" s="120"/>
      <c r="T8453" s="221"/>
      <c r="U8453" s="89"/>
      <c r="V8453" s="61"/>
      <c r="W8453" s="92" t="s">
        <v>65</v>
      </c>
      <c r="X8453" s="93" t="s">
        <v>30</v>
      </c>
      <c r="Y8453" s="93" t="s">
        <v>1011</v>
      </c>
      <c r="Z8453" s="134">
        <f>VLOOKUP(W8453,Sheet2!$B:$D,3,FALSE)</f>
        <v>1.76</v>
      </c>
      <c r="AA8453" s="93">
        <f>AA8452/10</f>
        <v>0.73529411764705888</v>
      </c>
      <c r="AB8453" s="93">
        <f>AD8453/AC8445</f>
        <v>2.3935999999999997</v>
      </c>
      <c r="AC8453" s="93">
        <f>AC8445/AA8453</f>
        <v>9.4923851999999886</v>
      </c>
      <c r="AD8453" s="94">
        <f t="shared" si="5823"/>
        <v>16.706597951999981</v>
      </c>
      <c r="AE8453" s="190"/>
      <c r="AF8453" s="191"/>
      <c r="AG8453" s="191"/>
      <c r="AH8453" s="191"/>
      <c r="AI8453" s="186"/>
      <c r="AK8453" s="171"/>
    </row>
    <row r="8454" spans="1:41" s="102" customFormat="1" ht="19.899999999999999" customHeight="1" x14ac:dyDescent="0.25">
      <c r="A8454" s="45"/>
      <c r="B8454" s="59"/>
      <c r="C8454" s="137"/>
      <c r="D8454" s="59"/>
      <c r="E8454" s="116"/>
      <c r="F8454" s="120"/>
      <c r="G8454" s="120"/>
      <c r="H8454" s="120"/>
      <c r="I8454" s="60"/>
      <c r="J8454" s="116"/>
      <c r="K8454" s="213"/>
      <c r="L8454" s="120"/>
      <c r="M8454" s="120"/>
      <c r="N8454" s="167"/>
      <c r="O8454" s="120"/>
      <c r="P8454" s="120"/>
      <c r="Q8454" s="120"/>
      <c r="R8454" s="120"/>
      <c r="S8454" s="120"/>
      <c r="T8454" s="221"/>
      <c r="U8454" s="89"/>
      <c r="V8454" s="61"/>
      <c r="W8454" s="92" t="s">
        <v>1049</v>
      </c>
      <c r="X8454" s="93" t="s">
        <v>30</v>
      </c>
      <c r="Y8454" s="93" t="s">
        <v>68</v>
      </c>
      <c r="Z8454" s="134">
        <f>VLOOKUP(W8454,Sheet2!$B:$D,3,FALSE)</f>
        <v>60</v>
      </c>
      <c r="AA8454" s="93">
        <v>1</v>
      </c>
      <c r="AB8454" s="93">
        <f>AD8454/AC8445</f>
        <v>60</v>
      </c>
      <c r="AC8454" s="93">
        <f>AC8445/AA8454</f>
        <v>6.9796949999999924</v>
      </c>
      <c r="AD8454" s="94">
        <f t="shared" si="5823"/>
        <v>418.78169999999955</v>
      </c>
      <c r="AE8454" s="190"/>
      <c r="AF8454" s="191"/>
      <c r="AG8454" s="191"/>
      <c r="AH8454" s="191"/>
      <c r="AI8454" s="186"/>
      <c r="AK8454" s="171"/>
    </row>
    <row r="8455" spans="1:41" s="103" customFormat="1" ht="19.899999999999999" customHeight="1" x14ac:dyDescent="0.25">
      <c r="A8455" s="51"/>
      <c r="B8455" s="52"/>
      <c r="C8455" s="165"/>
      <c r="D8455" s="52"/>
      <c r="E8455" s="115"/>
      <c r="F8455" s="58"/>
      <c r="G8455" s="58"/>
      <c r="H8455" s="58"/>
      <c r="I8455" s="55"/>
      <c r="J8455" s="113">
        <f>J8444</f>
        <v>6.9796949999999924</v>
      </c>
      <c r="K8455" s="212">
        <f>K8444</f>
        <v>6.9796949999999924</v>
      </c>
      <c r="L8455" s="58"/>
      <c r="M8455" s="58">
        <f>K8455-L8455</f>
        <v>6.9796949999999924</v>
      </c>
      <c r="N8455" s="166"/>
      <c r="O8455" s="58"/>
      <c r="P8455" s="58"/>
      <c r="Q8455" s="58"/>
      <c r="R8455" s="58"/>
      <c r="S8455" s="58"/>
      <c r="T8455" s="220"/>
      <c r="U8455" s="88"/>
      <c r="V8455" s="56"/>
      <c r="W8455" s="57" t="s">
        <v>1137</v>
      </c>
      <c r="X8455" s="53"/>
      <c r="Y8455" s="91" t="s">
        <v>68</v>
      </c>
      <c r="Z8455" s="136">
        <f>AD8455/AC8455</f>
        <v>4504.5499999999993</v>
      </c>
      <c r="AA8455" s="58"/>
      <c r="AB8455" s="53">
        <f>AD8455/AC8455</f>
        <v>4504.5499999999993</v>
      </c>
      <c r="AC8455" s="53">
        <f>M8455+$AE$10</f>
        <v>6.9796949999999924</v>
      </c>
      <c r="AD8455" s="54">
        <f>SUM(AD8456:AD8459)</f>
        <v>31440.385112249958</v>
      </c>
      <c r="AE8455" s="184">
        <f>SUMIFS($AD$37:$AD$12971,$V$37:$V$12971,$V8455,$X$37:$X$12971,AE$13)</f>
        <v>0</v>
      </c>
      <c r="AF8455" s="185">
        <f>SUMIFS($AD$37:$AD$12971,$V$37:$V$12971,$V8455,$X$37:$X$12971,AF$13)</f>
        <v>0</v>
      </c>
      <c r="AG8455" s="185">
        <f>SUMIFS($AD$37:$AD$12971,$V$37:$V$12971,$V8455,$X$37:$X$12971,AG$13)</f>
        <v>0</v>
      </c>
      <c r="AH8455" s="187">
        <f>SUMIFS($AD$37:$AD$12971,$V$37:$V$12971,$V8455,$X$37:$X$12971,AH$13)</f>
        <v>0</v>
      </c>
      <c r="AI8455" s="161">
        <f t="shared" ref="AI8455" si="5824">SUM(AE8455:AH8455)</f>
        <v>0</v>
      </c>
      <c r="AK8455" s="172"/>
    </row>
    <row r="8456" spans="1:41" s="102" customFormat="1" ht="19.899999999999999" customHeight="1" x14ac:dyDescent="0.25">
      <c r="A8456" s="45"/>
      <c r="B8456" s="59"/>
      <c r="C8456" s="137"/>
      <c r="D8456" s="59"/>
      <c r="E8456" s="116"/>
      <c r="F8456" s="120"/>
      <c r="G8456" s="120"/>
      <c r="H8456" s="120"/>
      <c r="I8456" s="60"/>
      <c r="J8456" s="116"/>
      <c r="K8456" s="213"/>
      <c r="L8456" s="120"/>
      <c r="M8456" s="120"/>
      <c r="N8456" s="167"/>
      <c r="O8456" s="120"/>
      <c r="P8456" s="120"/>
      <c r="Q8456" s="120"/>
      <c r="R8456" s="120"/>
      <c r="S8456" s="120"/>
      <c r="T8456" s="221"/>
      <c r="U8456" s="89"/>
      <c r="V8456" s="61"/>
      <c r="W8456" s="92" t="s">
        <v>1105</v>
      </c>
      <c r="X8456" s="93" t="s">
        <v>30</v>
      </c>
      <c r="Y8456" s="93" t="s">
        <v>66</v>
      </c>
      <c r="Z8456" s="134">
        <f>VLOOKUP(W8456,Sheet2!$B:$D,3,FALSE)</f>
        <v>2200</v>
      </c>
      <c r="AA8456" s="93">
        <f>1/((2.6*1.4)-(2*0.8))</f>
        <v>0.49019607843137264</v>
      </c>
      <c r="AB8456" s="93">
        <f>AD8456/AC8455</f>
        <v>4487.9999999999991</v>
      </c>
      <c r="AC8456" s="93">
        <f>AC8455/AA8456</f>
        <v>14.238577799999982</v>
      </c>
      <c r="AD8456" s="94">
        <f t="shared" ref="AD8456" si="5825">AC8456*Z8456</f>
        <v>31324.871159999959</v>
      </c>
      <c r="AE8456" s="190"/>
      <c r="AF8456" s="191"/>
      <c r="AG8456" s="191"/>
      <c r="AH8456" s="191"/>
      <c r="AI8456" s="186"/>
      <c r="AK8456" s="171"/>
    </row>
    <row r="8457" spans="1:41" s="102" customFormat="1" ht="19.899999999999999" customHeight="1" x14ac:dyDescent="0.25">
      <c r="A8457" s="45"/>
      <c r="B8457" s="59"/>
      <c r="C8457" s="137"/>
      <c r="D8457" s="59"/>
      <c r="E8457" s="116"/>
      <c r="F8457" s="120"/>
      <c r="G8457" s="120"/>
      <c r="H8457" s="120"/>
      <c r="I8457" s="60"/>
      <c r="J8457" s="116"/>
      <c r="K8457" s="213"/>
      <c r="L8457" s="120"/>
      <c r="M8457" s="120"/>
      <c r="N8457" s="167"/>
      <c r="O8457" s="120"/>
      <c r="P8457" s="120"/>
      <c r="Q8457" s="120"/>
      <c r="R8457" s="120"/>
      <c r="S8457" s="120"/>
      <c r="T8457" s="221"/>
      <c r="U8457" s="89"/>
      <c r="V8457" s="61"/>
      <c r="W8457" s="92" t="s">
        <v>174</v>
      </c>
      <c r="X8457" s="93" t="s">
        <v>29</v>
      </c>
      <c r="Y8457" s="93" t="s">
        <v>93</v>
      </c>
      <c r="Z8457" s="134">
        <f>VLOOKUP(W8457,Sheet2!$B:$D,3,FALSE)</f>
        <v>80</v>
      </c>
      <c r="AA8457" s="93">
        <f>4*2</f>
        <v>8</v>
      </c>
      <c r="AB8457" s="93">
        <f>AD8457/AC8455</f>
        <v>10</v>
      </c>
      <c r="AC8457" s="93">
        <f>AC8455/AA8457</f>
        <v>0.87246187499999905</v>
      </c>
      <c r="AD8457" s="94">
        <f>AC8457*Z8457</f>
        <v>69.796949999999924</v>
      </c>
      <c r="AE8457" s="190"/>
      <c r="AF8457" s="191"/>
      <c r="AG8457" s="191"/>
      <c r="AH8457" s="191"/>
      <c r="AI8457" s="186"/>
      <c r="AK8457" s="171"/>
    </row>
    <row r="8458" spans="1:41" s="102" customFormat="1" ht="19.899999999999999" customHeight="1" x14ac:dyDescent="0.25">
      <c r="A8458" s="45"/>
      <c r="B8458" s="59"/>
      <c r="C8458" s="137"/>
      <c r="D8458" s="59"/>
      <c r="E8458" s="116"/>
      <c r="F8458" s="120"/>
      <c r="G8458" s="120"/>
      <c r="H8458" s="120"/>
      <c r="I8458" s="60"/>
      <c r="J8458" s="116"/>
      <c r="K8458" s="213"/>
      <c r="L8458" s="120"/>
      <c r="M8458" s="120"/>
      <c r="N8458" s="167"/>
      <c r="O8458" s="120"/>
      <c r="P8458" s="120"/>
      <c r="Q8458" s="120"/>
      <c r="R8458" s="120"/>
      <c r="S8458" s="120"/>
      <c r="T8458" s="221"/>
      <c r="U8458" s="89"/>
      <c r="V8458" s="61"/>
      <c r="W8458" s="92" t="s">
        <v>65</v>
      </c>
      <c r="X8458" s="93" t="s">
        <v>30</v>
      </c>
      <c r="Y8458" s="93" t="s">
        <v>1011</v>
      </c>
      <c r="Z8458" s="134">
        <f>VLOOKUP(W8458,Sheet2!$B:$D,3,FALSE)</f>
        <v>1.76</v>
      </c>
      <c r="AA8458" s="93">
        <f>AA8457/15</f>
        <v>0.53333333333333333</v>
      </c>
      <c r="AB8458" s="93">
        <f>AD8458/AC8455</f>
        <v>3.3</v>
      </c>
      <c r="AC8458" s="93">
        <f>AC8455/AA8458</f>
        <v>13.086928124999986</v>
      </c>
      <c r="AD8458" s="94">
        <f t="shared" ref="AD8458" si="5826">AC8458*Z8458</f>
        <v>23.032993499999975</v>
      </c>
      <c r="AE8458" s="190"/>
      <c r="AF8458" s="191"/>
      <c r="AG8458" s="191"/>
      <c r="AH8458" s="191"/>
      <c r="AI8458" s="186"/>
      <c r="AK8458" s="171"/>
    </row>
    <row r="8459" spans="1:41" s="102" customFormat="1" ht="19.899999999999999" customHeight="1" x14ac:dyDescent="0.25">
      <c r="A8459" s="45"/>
      <c r="B8459" s="59"/>
      <c r="C8459" s="137"/>
      <c r="D8459" s="59"/>
      <c r="E8459" s="116"/>
      <c r="F8459" s="120"/>
      <c r="G8459" s="120"/>
      <c r="H8459" s="120"/>
      <c r="I8459" s="60"/>
      <c r="J8459" s="116"/>
      <c r="K8459" s="213"/>
      <c r="L8459" s="120"/>
      <c r="M8459" s="120"/>
      <c r="N8459" s="167"/>
      <c r="O8459" s="120"/>
      <c r="P8459" s="120"/>
      <c r="Q8459" s="120"/>
      <c r="R8459" s="120"/>
      <c r="S8459" s="120"/>
      <c r="T8459" s="221"/>
      <c r="U8459" s="89"/>
      <c r="V8459" s="61"/>
      <c r="W8459" s="92" t="s">
        <v>112</v>
      </c>
      <c r="X8459" s="93" t="s">
        <v>31</v>
      </c>
      <c r="Y8459" s="93" t="s">
        <v>93</v>
      </c>
      <c r="Z8459" s="134">
        <f>VLOOKUP(W8459,Sheet2!$B:$D,3,FALSE)</f>
        <v>13</v>
      </c>
      <c r="AA8459" s="93">
        <f>AA8457/2</f>
        <v>4</v>
      </c>
      <c r="AB8459" s="93">
        <f>AD8459/AC8455</f>
        <v>3.25</v>
      </c>
      <c r="AC8459" s="93">
        <f>AC8455/AA8459</f>
        <v>1.7449237499999981</v>
      </c>
      <c r="AD8459" s="94">
        <f>AC8459*Z8459</f>
        <v>22.684008749999975</v>
      </c>
      <c r="AE8459" s="190"/>
      <c r="AF8459" s="191"/>
      <c r="AG8459" s="191"/>
      <c r="AH8459" s="191"/>
      <c r="AI8459" s="186"/>
      <c r="AK8459" s="171"/>
    </row>
    <row r="8460" spans="1:41" ht="20.100000000000001" customHeight="1" x14ac:dyDescent="0.25">
      <c r="A8460" s="277" t="s">
        <v>703</v>
      </c>
      <c r="B8460" s="278"/>
      <c r="C8460" s="64" t="s">
        <v>780</v>
      </c>
      <c r="D8460" s="46"/>
      <c r="E8460" s="114"/>
      <c r="F8460" s="44">
        <v>0</v>
      </c>
      <c r="G8460" s="44">
        <f t="shared" si="5545"/>
        <v>0</v>
      </c>
      <c r="H8460" s="44">
        <f t="shared" si="5546"/>
        <v>0</v>
      </c>
      <c r="I8460" s="43">
        <f t="shared" si="5547"/>
        <v>0</v>
      </c>
      <c r="J8460" s="112">
        <f t="shared" si="5548"/>
        <v>0</v>
      </c>
      <c r="K8460" s="211">
        <f t="shared" si="5549"/>
        <v>0</v>
      </c>
      <c r="L8460" s="44"/>
      <c r="M8460" s="44">
        <f t="shared" si="5550"/>
        <v>0</v>
      </c>
      <c r="N8460" s="173">
        <f t="shared" si="5551"/>
        <v>0</v>
      </c>
      <c r="O8460" s="44">
        <f t="shared" si="5552"/>
        <v>0</v>
      </c>
      <c r="P8460" s="44">
        <f t="shared" si="5553"/>
        <v>0</v>
      </c>
      <c r="Q8460" s="44">
        <f t="shared" si="5554"/>
        <v>0</v>
      </c>
      <c r="R8460" s="44">
        <f t="shared" si="5555"/>
        <v>0</v>
      </c>
      <c r="S8460" s="123"/>
      <c r="T8460" s="219">
        <f t="shared" si="5556"/>
        <v>0</v>
      </c>
      <c r="U8460" s="87"/>
      <c r="V8460" s="47"/>
      <c r="W8460" s="48"/>
      <c r="X8460" s="48"/>
      <c r="Y8460" s="48"/>
      <c r="Z8460" s="135"/>
      <c r="AA8460" s="49"/>
      <c r="AB8460" s="50">
        <f t="shared" si="5557"/>
        <v>0</v>
      </c>
      <c r="AC8460" s="42">
        <f t="shared" si="5558"/>
        <v>9.9999999999999998E-20</v>
      </c>
      <c r="AD8460" s="90"/>
      <c r="AE8460" s="188"/>
      <c r="AF8460" s="189"/>
      <c r="AG8460" s="189"/>
      <c r="AH8460" s="189"/>
      <c r="AI8460" s="161"/>
    </row>
    <row r="8461" spans="1:41" ht="20.100000000000001" customHeight="1" x14ac:dyDescent="0.25">
      <c r="A8461" s="277" t="s">
        <v>703</v>
      </c>
      <c r="B8461" s="278"/>
      <c r="C8461" s="64" t="s">
        <v>763</v>
      </c>
      <c r="D8461" s="46" t="s">
        <v>97</v>
      </c>
      <c r="E8461" s="114"/>
      <c r="F8461" s="44">
        <v>0</v>
      </c>
      <c r="G8461" s="44">
        <f t="shared" si="5545"/>
        <v>0</v>
      </c>
      <c r="H8461" s="44">
        <f t="shared" si="5546"/>
        <v>0</v>
      </c>
      <c r="I8461" s="43">
        <f t="shared" si="5547"/>
        <v>0</v>
      </c>
      <c r="J8461" s="112">
        <f t="shared" si="5548"/>
        <v>0</v>
      </c>
      <c r="K8461" s="211">
        <f t="shared" si="5549"/>
        <v>0</v>
      </c>
      <c r="L8461" s="44"/>
      <c r="M8461" s="44">
        <f t="shared" si="5550"/>
        <v>0</v>
      </c>
      <c r="N8461" s="173">
        <f t="shared" si="5551"/>
        <v>0</v>
      </c>
      <c r="O8461" s="44">
        <f t="shared" si="5552"/>
        <v>0</v>
      </c>
      <c r="P8461" s="44">
        <f t="shared" si="5553"/>
        <v>0</v>
      </c>
      <c r="Q8461" s="44">
        <f t="shared" si="5554"/>
        <v>0</v>
      </c>
      <c r="R8461" s="44">
        <f t="shared" si="5555"/>
        <v>0</v>
      </c>
      <c r="S8461" s="123"/>
      <c r="T8461" s="219">
        <f t="shared" si="5556"/>
        <v>0</v>
      </c>
      <c r="U8461" s="87"/>
      <c r="V8461" s="47"/>
      <c r="W8461" s="48"/>
      <c r="X8461" s="48"/>
      <c r="Y8461" s="48"/>
      <c r="Z8461" s="135"/>
      <c r="AA8461" s="49"/>
      <c r="AB8461" s="50">
        <f t="shared" si="5557"/>
        <v>0</v>
      </c>
      <c r="AC8461" s="42">
        <f t="shared" si="5558"/>
        <v>9.9999999999999998E-20</v>
      </c>
      <c r="AD8461" s="90"/>
      <c r="AE8461" s="188"/>
      <c r="AF8461" s="189"/>
      <c r="AG8461" s="189"/>
      <c r="AH8461" s="189"/>
      <c r="AI8461" s="161"/>
    </row>
    <row r="8462" spans="1:41" ht="20.100000000000001" customHeight="1" x14ac:dyDescent="0.25">
      <c r="A8462" s="277" t="s">
        <v>703</v>
      </c>
      <c r="B8462" s="278"/>
      <c r="C8462" s="64" t="s">
        <v>764</v>
      </c>
      <c r="D8462" s="46" t="s">
        <v>97</v>
      </c>
      <c r="E8462" s="114"/>
      <c r="F8462" s="44">
        <v>0</v>
      </c>
      <c r="G8462" s="44">
        <f t="shared" si="5545"/>
        <v>0</v>
      </c>
      <c r="H8462" s="44">
        <f t="shared" si="5546"/>
        <v>0</v>
      </c>
      <c r="I8462" s="43">
        <f t="shared" si="5547"/>
        <v>0</v>
      </c>
      <c r="J8462" s="112">
        <f t="shared" si="5548"/>
        <v>0</v>
      </c>
      <c r="K8462" s="211">
        <f t="shared" si="5549"/>
        <v>0</v>
      </c>
      <c r="L8462" s="44"/>
      <c r="M8462" s="44">
        <f t="shared" si="5550"/>
        <v>0</v>
      </c>
      <c r="N8462" s="173">
        <f t="shared" si="5551"/>
        <v>0</v>
      </c>
      <c r="O8462" s="44">
        <f t="shared" si="5552"/>
        <v>0</v>
      </c>
      <c r="P8462" s="44">
        <f t="shared" si="5553"/>
        <v>0</v>
      </c>
      <c r="Q8462" s="44">
        <f t="shared" si="5554"/>
        <v>0</v>
      </c>
      <c r="R8462" s="44">
        <f t="shared" si="5555"/>
        <v>0</v>
      </c>
      <c r="S8462" s="123"/>
      <c r="T8462" s="219">
        <f t="shared" si="5556"/>
        <v>0</v>
      </c>
      <c r="U8462" s="87"/>
      <c r="V8462" s="47"/>
      <c r="W8462" s="48"/>
      <c r="X8462" s="48"/>
      <c r="Y8462" s="48"/>
      <c r="Z8462" s="135"/>
      <c r="AA8462" s="49"/>
      <c r="AB8462" s="50">
        <f t="shared" si="5557"/>
        <v>0</v>
      </c>
      <c r="AC8462" s="42">
        <f t="shared" si="5558"/>
        <v>9.9999999999999998E-20</v>
      </c>
      <c r="AD8462" s="90"/>
      <c r="AE8462" s="188"/>
      <c r="AF8462" s="189"/>
      <c r="AG8462" s="189"/>
      <c r="AH8462" s="189"/>
      <c r="AI8462" s="161"/>
    </row>
    <row r="8463" spans="1:41" ht="20.100000000000001" customHeight="1" x14ac:dyDescent="0.25">
      <c r="A8463" s="277" t="s">
        <v>703</v>
      </c>
      <c r="B8463" s="278"/>
      <c r="C8463" s="64" t="s">
        <v>765</v>
      </c>
      <c r="D8463" s="46" t="s">
        <v>97</v>
      </c>
      <c r="E8463" s="114"/>
      <c r="F8463" s="44">
        <v>0</v>
      </c>
      <c r="G8463" s="44">
        <f t="shared" si="5545"/>
        <v>0</v>
      </c>
      <c r="H8463" s="44">
        <f t="shared" si="5546"/>
        <v>0</v>
      </c>
      <c r="I8463" s="43">
        <f t="shared" si="5547"/>
        <v>0</v>
      </c>
      <c r="J8463" s="112">
        <f t="shared" si="5548"/>
        <v>0</v>
      </c>
      <c r="K8463" s="211">
        <f t="shared" si="5549"/>
        <v>0</v>
      </c>
      <c r="L8463" s="44"/>
      <c r="M8463" s="44">
        <f t="shared" si="5550"/>
        <v>0</v>
      </c>
      <c r="N8463" s="173">
        <f t="shared" si="5551"/>
        <v>0</v>
      </c>
      <c r="O8463" s="44">
        <f t="shared" si="5552"/>
        <v>0</v>
      </c>
      <c r="P8463" s="44">
        <f t="shared" si="5553"/>
        <v>0</v>
      </c>
      <c r="Q8463" s="44">
        <f t="shared" si="5554"/>
        <v>0</v>
      </c>
      <c r="R8463" s="44">
        <f t="shared" si="5555"/>
        <v>0</v>
      </c>
      <c r="S8463" s="123"/>
      <c r="T8463" s="219">
        <f t="shared" si="5556"/>
        <v>0</v>
      </c>
      <c r="U8463" s="87"/>
      <c r="V8463" s="47"/>
      <c r="W8463" s="48"/>
      <c r="X8463" s="48"/>
      <c r="Y8463" s="48"/>
      <c r="Z8463" s="135"/>
      <c r="AA8463" s="49"/>
      <c r="AB8463" s="50">
        <f t="shared" si="5557"/>
        <v>0</v>
      </c>
      <c r="AC8463" s="42">
        <f t="shared" si="5558"/>
        <v>9.9999999999999998E-20</v>
      </c>
      <c r="AD8463" s="90"/>
      <c r="AE8463" s="188"/>
      <c r="AF8463" s="189"/>
      <c r="AG8463" s="189"/>
      <c r="AH8463" s="189"/>
      <c r="AI8463" s="161"/>
    </row>
    <row r="8464" spans="1:41" ht="20.100000000000001" customHeight="1" x14ac:dyDescent="0.25">
      <c r="A8464" s="277" t="s">
        <v>703</v>
      </c>
      <c r="B8464" s="278"/>
      <c r="C8464" s="64" t="s">
        <v>766</v>
      </c>
      <c r="D8464" s="46" t="s">
        <v>97</v>
      </c>
      <c r="E8464" s="114">
        <v>10.728900000000001</v>
      </c>
      <c r="F8464" s="44">
        <v>6543</v>
      </c>
      <c r="G8464" s="44">
        <f t="shared" si="5545"/>
        <v>70199.192700000014</v>
      </c>
      <c r="H8464" s="44">
        <f t="shared" si="5546"/>
        <v>5147.8492094117646</v>
      </c>
      <c r="I8464" s="43">
        <f t="shared" si="5547"/>
        <v>55230.75938285789</v>
      </c>
      <c r="J8464" s="112">
        <f t="shared" si="5548"/>
        <v>10.728900000000001</v>
      </c>
      <c r="K8464" s="211">
        <f t="shared" si="5549"/>
        <v>10.728900000000001</v>
      </c>
      <c r="L8464" s="44"/>
      <c r="M8464" s="44">
        <f t="shared" si="5550"/>
        <v>10.728900000000001</v>
      </c>
      <c r="N8464" s="173">
        <f t="shared" si="5551"/>
        <v>1</v>
      </c>
      <c r="O8464" s="44">
        <f t="shared" si="5552"/>
        <v>6543</v>
      </c>
      <c r="P8464" s="44">
        <f t="shared" si="5553"/>
        <v>70199.192700000014</v>
      </c>
      <c r="Q8464" s="44">
        <f t="shared" si="5554"/>
        <v>5147.8492094117646</v>
      </c>
      <c r="R8464" s="44">
        <f t="shared" si="5555"/>
        <v>55230.75938285789</v>
      </c>
      <c r="S8464" s="123"/>
      <c r="T8464" s="219">
        <f t="shared" si="5556"/>
        <v>55230.75938285789</v>
      </c>
      <c r="U8464" s="87"/>
      <c r="V8464" s="47"/>
      <c r="W8464" s="48"/>
      <c r="X8464" s="48"/>
      <c r="Y8464" s="48"/>
      <c r="Z8464" s="135"/>
      <c r="AA8464" s="49"/>
      <c r="AB8464" s="50">
        <f t="shared" si="5557"/>
        <v>5147.8492094117646</v>
      </c>
      <c r="AC8464" s="42">
        <f t="shared" si="5558"/>
        <v>10.728900000000001</v>
      </c>
      <c r="AD8464" s="90">
        <f>AD8465+AD8475</f>
        <v>55230.75938285789</v>
      </c>
      <c r="AE8464" s="188">
        <f t="shared" ref="AE8464:AH8464" si="5827">AE8465+AE8475</f>
        <v>0</v>
      </c>
      <c r="AF8464" s="189">
        <f t="shared" si="5827"/>
        <v>0</v>
      </c>
      <c r="AG8464" s="189">
        <f t="shared" si="5827"/>
        <v>0</v>
      </c>
      <c r="AH8464" s="189">
        <f t="shared" si="5827"/>
        <v>0</v>
      </c>
      <c r="AI8464" s="161">
        <f t="shared" ref="AI8464:AI8480" si="5828">SUM(AE8464:AH8464)</f>
        <v>0</v>
      </c>
      <c r="AK8464" s="169">
        <v>5</v>
      </c>
      <c r="AO8464" s="19" t="s">
        <v>63</v>
      </c>
    </row>
    <row r="8465" spans="1:41" s="103" customFormat="1" ht="19.899999999999999" customHeight="1" x14ac:dyDescent="0.25">
      <c r="A8465" s="51"/>
      <c r="B8465" s="52"/>
      <c r="C8465" s="165"/>
      <c r="D8465" s="52"/>
      <c r="E8465" s="115"/>
      <c r="F8465" s="58"/>
      <c r="G8465" s="58"/>
      <c r="H8465" s="58"/>
      <c r="I8465" s="55"/>
      <c r="J8465" s="113">
        <f>J8464</f>
        <v>10.728900000000001</v>
      </c>
      <c r="K8465" s="212">
        <f>K8464</f>
        <v>10.728900000000001</v>
      </c>
      <c r="L8465" s="58"/>
      <c r="M8465" s="58">
        <f>K8465-L8465</f>
        <v>10.728900000000001</v>
      </c>
      <c r="N8465" s="166"/>
      <c r="O8465" s="58"/>
      <c r="P8465" s="58"/>
      <c r="Q8465" s="58"/>
      <c r="R8465" s="58"/>
      <c r="S8465" s="58"/>
      <c r="T8465" s="220"/>
      <c r="U8465" s="88"/>
      <c r="V8465" s="56"/>
      <c r="W8465" s="57" t="s">
        <v>1140</v>
      </c>
      <c r="X8465" s="53"/>
      <c r="Y8465" s="91" t="s">
        <v>68</v>
      </c>
      <c r="Z8465" s="136">
        <f>AD8465/AC8465</f>
        <v>115.29920941176469</v>
      </c>
      <c r="AA8465" s="58"/>
      <c r="AB8465" s="53">
        <f>AD8465/AC8465</f>
        <v>115.29920941176469</v>
      </c>
      <c r="AC8465" s="53">
        <f>M8465+$AE$10</f>
        <v>10.728900000000001</v>
      </c>
      <c r="AD8465" s="54">
        <f>SUM(AD8466:AD8474)</f>
        <v>1237.0336878578823</v>
      </c>
      <c r="AE8465" s="184">
        <f>SUMIFS($AD$37:$AD$12971,$V$37:$V$12971,$V8465,$X$37:$X$12971,AE$13)</f>
        <v>0</v>
      </c>
      <c r="AF8465" s="185">
        <f>SUMIFS($AD$37:$AD$12971,$V$37:$V$12971,$V8465,$X$37:$X$12971,AF$13)</f>
        <v>0</v>
      </c>
      <c r="AG8465" s="185">
        <f>SUMIFS($AD$37:$AD$12971,$V$37:$V$12971,$V8465,$X$37:$X$12971,AG$13)</f>
        <v>0</v>
      </c>
      <c r="AH8465" s="187">
        <f>SUMIFS($AD$37:$AD$12971,$V$37:$V$12971,$V8465,$X$37:$X$12971,AH$13)</f>
        <v>0</v>
      </c>
      <c r="AI8465" s="161">
        <f t="shared" ref="AI8465" si="5829">SUM(AE8465:AH8465)</f>
        <v>0</v>
      </c>
      <c r="AK8465" s="172"/>
    </row>
    <row r="8466" spans="1:41" s="102" customFormat="1" ht="19.899999999999999" customHeight="1" x14ac:dyDescent="0.25">
      <c r="A8466" s="45"/>
      <c r="B8466" s="59"/>
      <c r="C8466" s="137"/>
      <c r="D8466" s="59"/>
      <c r="E8466" s="116"/>
      <c r="F8466" s="120"/>
      <c r="G8466" s="120"/>
      <c r="H8466" s="120"/>
      <c r="I8466" s="60"/>
      <c r="J8466" s="116"/>
      <c r="K8466" s="213"/>
      <c r="L8466" s="120"/>
      <c r="M8466" s="120"/>
      <c r="N8466" s="167"/>
      <c r="O8466" s="120"/>
      <c r="P8466" s="120"/>
      <c r="Q8466" s="120"/>
      <c r="R8466" s="120"/>
      <c r="S8466" s="120"/>
      <c r="T8466" s="221"/>
      <c r="U8466" s="89"/>
      <c r="V8466" s="61"/>
      <c r="W8466" s="92" t="s">
        <v>129</v>
      </c>
      <c r="X8466" s="93" t="s">
        <v>29</v>
      </c>
      <c r="Y8466" s="93" t="s">
        <v>93</v>
      </c>
      <c r="Z8466" s="134">
        <f>VLOOKUP(W8466,Sheet2!$B:$D,3,FALSE)</f>
        <v>56</v>
      </c>
      <c r="AA8466" s="93">
        <f>100/(3.9*3)</f>
        <v>8.5470085470085468</v>
      </c>
      <c r="AB8466" s="93">
        <f t="shared" ref="AB8466" si="5830">AD8466/AC8465</f>
        <v>6.5520000000000005</v>
      </c>
      <c r="AC8466" s="93">
        <f>AC8465/AA8466</f>
        <v>1.2552813000000003</v>
      </c>
      <c r="AD8466" s="94">
        <f t="shared" ref="AD8466:AD8467" si="5831">AC8466*Z8466</f>
        <v>70.295752800000017</v>
      </c>
      <c r="AE8466" s="190"/>
      <c r="AF8466" s="191"/>
      <c r="AG8466" s="191"/>
      <c r="AH8466" s="191"/>
      <c r="AI8466" s="186"/>
      <c r="AK8466" s="171"/>
    </row>
    <row r="8467" spans="1:41" s="102" customFormat="1" ht="19.899999999999999" customHeight="1" x14ac:dyDescent="0.25">
      <c r="A8467" s="45"/>
      <c r="B8467" s="59"/>
      <c r="C8467" s="137"/>
      <c r="D8467" s="59"/>
      <c r="E8467" s="116"/>
      <c r="F8467" s="120"/>
      <c r="G8467" s="120"/>
      <c r="H8467" s="120"/>
      <c r="I8467" s="60"/>
      <c r="J8467" s="116"/>
      <c r="K8467" s="213"/>
      <c r="L8467" s="120"/>
      <c r="M8467" s="120"/>
      <c r="N8467" s="167"/>
      <c r="O8467" s="120"/>
      <c r="P8467" s="120"/>
      <c r="Q8467" s="120"/>
      <c r="R8467" s="120"/>
      <c r="S8467" s="120"/>
      <c r="T8467" s="221"/>
      <c r="U8467" s="89"/>
      <c r="V8467" s="61"/>
      <c r="W8467" s="92" t="s">
        <v>65</v>
      </c>
      <c r="X8467" s="93" t="s">
        <v>30</v>
      </c>
      <c r="Y8467" s="93" t="s">
        <v>1011</v>
      </c>
      <c r="Z8467" s="134">
        <f>VLOOKUP(W8467,Sheet2!$B:$D,3,FALSE)</f>
        <v>1.76</v>
      </c>
      <c r="AA8467" s="93">
        <f>AA8466/14</f>
        <v>0.61050061050061044</v>
      </c>
      <c r="AB8467" s="93">
        <f>AD8467/AC8465</f>
        <v>2.8828800000000006</v>
      </c>
      <c r="AC8467" s="93">
        <f>AC8465/AA8467</f>
        <v>17.573938200000004</v>
      </c>
      <c r="AD8467" s="94">
        <f t="shared" si="5831"/>
        <v>30.930131232000008</v>
      </c>
      <c r="AE8467" s="190"/>
      <c r="AF8467" s="191"/>
      <c r="AG8467" s="191"/>
      <c r="AH8467" s="191"/>
      <c r="AI8467" s="186"/>
      <c r="AK8467" s="171"/>
    </row>
    <row r="8468" spans="1:41" s="102" customFormat="1" ht="19.899999999999999" customHeight="1" x14ac:dyDescent="0.25">
      <c r="A8468" s="45"/>
      <c r="B8468" s="59"/>
      <c r="C8468" s="137"/>
      <c r="D8468" s="59"/>
      <c r="E8468" s="116"/>
      <c r="F8468" s="120"/>
      <c r="G8468" s="120"/>
      <c r="H8468" s="120"/>
      <c r="I8468" s="60"/>
      <c r="J8468" s="116"/>
      <c r="K8468" s="213"/>
      <c r="L8468" s="120"/>
      <c r="M8468" s="120"/>
      <c r="N8468" s="167"/>
      <c r="O8468" s="120"/>
      <c r="P8468" s="120"/>
      <c r="Q8468" s="120"/>
      <c r="R8468" s="120"/>
      <c r="S8468" s="120"/>
      <c r="T8468" s="221"/>
      <c r="U8468" s="89"/>
      <c r="V8468" s="61"/>
      <c r="W8468" s="92" t="s">
        <v>161</v>
      </c>
      <c r="X8468" s="93" t="s">
        <v>29</v>
      </c>
      <c r="Y8468" s="93" t="s">
        <v>93</v>
      </c>
      <c r="Z8468" s="134">
        <f>VLOOKUP(W8468,Sheet2!$B:$D,3,FALSE)</f>
        <v>48</v>
      </c>
      <c r="AA8468" s="93">
        <f>(16*0.85*1.5)/(3.9*3)</f>
        <v>1.7435897435897436</v>
      </c>
      <c r="AB8468" s="93">
        <f>AD8468/AC8465</f>
        <v>27.529411764705884</v>
      </c>
      <c r="AC8468" s="93">
        <f>AC8465/AA8468</f>
        <v>6.1533397058823533</v>
      </c>
      <c r="AD8468" s="94">
        <f>AC8468*Z8468</f>
        <v>295.36030588235298</v>
      </c>
      <c r="AE8468" s="190"/>
      <c r="AF8468" s="191"/>
      <c r="AG8468" s="191"/>
      <c r="AH8468" s="191"/>
      <c r="AI8468" s="186"/>
      <c r="AK8468" s="171"/>
    </row>
    <row r="8469" spans="1:41" s="102" customFormat="1" ht="19.899999999999999" customHeight="1" x14ac:dyDescent="0.25">
      <c r="A8469" s="45"/>
      <c r="B8469" s="59"/>
      <c r="C8469" s="137"/>
      <c r="D8469" s="59"/>
      <c r="E8469" s="116"/>
      <c r="F8469" s="120"/>
      <c r="G8469" s="120"/>
      <c r="H8469" s="120"/>
      <c r="I8469" s="60"/>
      <c r="J8469" s="116"/>
      <c r="K8469" s="213"/>
      <c r="L8469" s="120"/>
      <c r="M8469" s="120"/>
      <c r="N8469" s="167"/>
      <c r="O8469" s="120"/>
      <c r="P8469" s="120"/>
      <c r="Q8469" s="120"/>
      <c r="R8469" s="120"/>
      <c r="S8469" s="120"/>
      <c r="T8469" s="221"/>
      <c r="U8469" s="89"/>
      <c r="V8469" s="61"/>
      <c r="W8469" s="92" t="s">
        <v>65</v>
      </c>
      <c r="X8469" s="93" t="s">
        <v>30</v>
      </c>
      <c r="Y8469" s="93" t="s">
        <v>1011</v>
      </c>
      <c r="Z8469" s="134">
        <f>VLOOKUP(W8469,Sheet2!$B:$D,3,FALSE)</f>
        <v>1.76</v>
      </c>
      <c r="AA8469" s="93">
        <f>AA8468/10</f>
        <v>0.17435897435897435</v>
      </c>
      <c r="AB8469" s="93">
        <f>AD8469/AC8465</f>
        <v>10.094117647058825</v>
      </c>
      <c r="AC8469" s="93">
        <f>AC8465/AA8469</f>
        <v>61.533397058823539</v>
      </c>
      <c r="AD8469" s="94">
        <f>AC8469*Z8469</f>
        <v>108.29877882352943</v>
      </c>
      <c r="AE8469" s="190"/>
      <c r="AF8469" s="191"/>
      <c r="AG8469" s="191"/>
      <c r="AH8469" s="191"/>
      <c r="AI8469" s="186"/>
      <c r="AK8469" s="171"/>
    </row>
    <row r="8470" spans="1:41" s="102" customFormat="1" ht="19.899999999999999" customHeight="1" x14ac:dyDescent="0.25">
      <c r="A8470" s="45"/>
      <c r="B8470" s="59"/>
      <c r="C8470" s="137"/>
      <c r="D8470" s="59"/>
      <c r="E8470" s="116"/>
      <c r="F8470" s="120"/>
      <c r="G8470" s="120"/>
      <c r="H8470" s="120"/>
      <c r="I8470" s="60"/>
      <c r="J8470" s="116"/>
      <c r="K8470" s="213"/>
      <c r="L8470" s="120"/>
      <c r="M8470" s="120"/>
      <c r="N8470" s="167"/>
      <c r="O8470" s="120"/>
      <c r="P8470" s="120"/>
      <c r="Q8470" s="120"/>
      <c r="R8470" s="120"/>
      <c r="S8470" s="120"/>
      <c r="T8470" s="221"/>
      <c r="U8470" s="89"/>
      <c r="V8470" s="61"/>
      <c r="W8470" s="92" t="s">
        <v>1030</v>
      </c>
      <c r="X8470" s="93" t="s">
        <v>29</v>
      </c>
      <c r="Y8470" s="93" t="s">
        <v>93</v>
      </c>
      <c r="Z8470" s="134">
        <f>VLOOKUP(W8470,Sheet2!$B:$D,3,FALSE)</f>
        <v>23</v>
      </c>
      <c r="AA8470" s="93">
        <v>50</v>
      </c>
      <c r="AB8470" s="93">
        <f>AD8470/AC8465</f>
        <v>0.46</v>
      </c>
      <c r="AC8470" s="93">
        <f>AC8465/AA8470</f>
        <v>0.21457800000000002</v>
      </c>
      <c r="AD8470" s="94">
        <f t="shared" ref="AD8470:AD8474" si="5832">AC8470*Z8470</f>
        <v>4.9352940000000007</v>
      </c>
      <c r="AE8470" s="190"/>
      <c r="AF8470" s="191"/>
      <c r="AG8470" s="191"/>
      <c r="AH8470" s="191"/>
      <c r="AI8470" s="186"/>
      <c r="AK8470" s="171"/>
    </row>
    <row r="8471" spans="1:41" s="102" customFormat="1" ht="19.899999999999999" customHeight="1" x14ac:dyDescent="0.25">
      <c r="A8471" s="45"/>
      <c r="B8471" s="59"/>
      <c r="C8471" s="137"/>
      <c r="D8471" s="59"/>
      <c r="E8471" s="116"/>
      <c r="F8471" s="120"/>
      <c r="G8471" s="120"/>
      <c r="H8471" s="120"/>
      <c r="I8471" s="60"/>
      <c r="J8471" s="116"/>
      <c r="K8471" s="213"/>
      <c r="L8471" s="120"/>
      <c r="M8471" s="120"/>
      <c r="N8471" s="167"/>
      <c r="O8471" s="120"/>
      <c r="P8471" s="120"/>
      <c r="Q8471" s="120"/>
      <c r="R8471" s="120"/>
      <c r="S8471" s="120"/>
      <c r="T8471" s="221"/>
      <c r="U8471" s="89"/>
      <c r="V8471" s="61"/>
      <c r="W8471" s="92" t="s">
        <v>65</v>
      </c>
      <c r="X8471" s="93" t="s">
        <v>30</v>
      </c>
      <c r="Y8471" s="93" t="s">
        <v>1011</v>
      </c>
      <c r="Z8471" s="134">
        <f>VLOOKUP(W8471,Sheet2!$B:$D,3,FALSE)</f>
        <v>1.76</v>
      </c>
      <c r="AA8471" s="93">
        <f>AA8470/3</f>
        <v>16.666666666666668</v>
      </c>
      <c r="AB8471" s="93">
        <f>AD8471/AC8465</f>
        <v>0.10559999999999999</v>
      </c>
      <c r="AC8471" s="93">
        <f>AC8465/AA8471</f>
        <v>0.64373400000000003</v>
      </c>
      <c r="AD8471" s="94">
        <f t="shared" si="5832"/>
        <v>1.13297184</v>
      </c>
      <c r="AE8471" s="190"/>
      <c r="AF8471" s="191"/>
      <c r="AG8471" s="191"/>
      <c r="AH8471" s="191"/>
      <c r="AI8471" s="186"/>
      <c r="AK8471" s="171"/>
    </row>
    <row r="8472" spans="1:41" s="102" customFormat="1" ht="19.899999999999999" customHeight="1" x14ac:dyDescent="0.25">
      <c r="A8472" s="45"/>
      <c r="B8472" s="59"/>
      <c r="C8472" s="137"/>
      <c r="D8472" s="59"/>
      <c r="E8472" s="116"/>
      <c r="F8472" s="120"/>
      <c r="G8472" s="120"/>
      <c r="H8472" s="120"/>
      <c r="I8472" s="60"/>
      <c r="J8472" s="116"/>
      <c r="K8472" s="213"/>
      <c r="L8472" s="120"/>
      <c r="M8472" s="120"/>
      <c r="N8472" s="167"/>
      <c r="O8472" s="120"/>
      <c r="P8472" s="120"/>
      <c r="Q8472" s="120"/>
      <c r="R8472" s="120"/>
      <c r="S8472" s="120"/>
      <c r="T8472" s="221"/>
      <c r="U8472" s="89"/>
      <c r="V8472" s="61"/>
      <c r="W8472" s="92" t="s">
        <v>148</v>
      </c>
      <c r="X8472" s="93" t="s">
        <v>29</v>
      </c>
      <c r="Y8472" s="93" t="s">
        <v>93</v>
      </c>
      <c r="Z8472" s="134">
        <f>VLOOKUP(W8472,Sheet2!$B:$D,3,FALSE)</f>
        <v>48</v>
      </c>
      <c r="AA8472" s="93">
        <f>AA8466</f>
        <v>8.5470085470085468</v>
      </c>
      <c r="AB8472" s="93">
        <f>AD8472/AC8465</f>
        <v>5.6160000000000005</v>
      </c>
      <c r="AC8472" s="93">
        <f>AC8465/AA8472</f>
        <v>1.2552813000000003</v>
      </c>
      <c r="AD8472" s="94">
        <f t="shared" si="5832"/>
        <v>60.253502400000016</v>
      </c>
      <c r="AE8472" s="190"/>
      <c r="AF8472" s="191"/>
      <c r="AG8472" s="191"/>
      <c r="AH8472" s="191"/>
      <c r="AI8472" s="186"/>
      <c r="AK8472" s="171"/>
    </row>
    <row r="8473" spans="1:41" s="102" customFormat="1" ht="19.899999999999999" customHeight="1" x14ac:dyDescent="0.25">
      <c r="A8473" s="45"/>
      <c r="B8473" s="59"/>
      <c r="C8473" s="137"/>
      <c r="D8473" s="59"/>
      <c r="E8473" s="116"/>
      <c r="F8473" s="120"/>
      <c r="G8473" s="120"/>
      <c r="H8473" s="120"/>
      <c r="I8473" s="60"/>
      <c r="J8473" s="116"/>
      <c r="K8473" s="213"/>
      <c r="L8473" s="120"/>
      <c r="M8473" s="120"/>
      <c r="N8473" s="167"/>
      <c r="O8473" s="120"/>
      <c r="P8473" s="120"/>
      <c r="Q8473" s="120"/>
      <c r="R8473" s="120"/>
      <c r="S8473" s="120"/>
      <c r="T8473" s="221"/>
      <c r="U8473" s="89"/>
      <c r="V8473" s="61"/>
      <c r="W8473" s="92" t="s">
        <v>65</v>
      </c>
      <c r="X8473" s="93" t="s">
        <v>30</v>
      </c>
      <c r="Y8473" s="93" t="s">
        <v>1011</v>
      </c>
      <c r="Z8473" s="134">
        <f>VLOOKUP(W8473,Sheet2!$B:$D,3,FALSE)</f>
        <v>1.76</v>
      </c>
      <c r="AA8473" s="93">
        <f>AA8472/10</f>
        <v>0.85470085470085466</v>
      </c>
      <c r="AB8473" s="93">
        <f>AD8473/AC8465</f>
        <v>2.0592000000000001</v>
      </c>
      <c r="AC8473" s="93">
        <f>AC8465/AA8473</f>
        <v>12.552813000000002</v>
      </c>
      <c r="AD8473" s="94">
        <f t="shared" si="5832"/>
        <v>22.092950880000004</v>
      </c>
      <c r="AE8473" s="190"/>
      <c r="AF8473" s="191"/>
      <c r="AG8473" s="191"/>
      <c r="AH8473" s="191"/>
      <c r="AI8473" s="186"/>
      <c r="AK8473" s="171"/>
    </row>
    <row r="8474" spans="1:41" s="102" customFormat="1" ht="19.899999999999999" customHeight="1" x14ac:dyDescent="0.25">
      <c r="A8474" s="45"/>
      <c r="B8474" s="59"/>
      <c r="C8474" s="137"/>
      <c r="D8474" s="59"/>
      <c r="E8474" s="116"/>
      <c r="F8474" s="120"/>
      <c r="G8474" s="120"/>
      <c r="H8474" s="120"/>
      <c r="I8474" s="60"/>
      <c r="J8474" s="116"/>
      <c r="K8474" s="213"/>
      <c r="L8474" s="120"/>
      <c r="M8474" s="120"/>
      <c r="N8474" s="167"/>
      <c r="O8474" s="120"/>
      <c r="P8474" s="120"/>
      <c r="Q8474" s="120"/>
      <c r="R8474" s="120"/>
      <c r="S8474" s="120"/>
      <c r="T8474" s="221"/>
      <c r="U8474" s="89"/>
      <c r="V8474" s="61"/>
      <c r="W8474" s="92" t="s">
        <v>1049</v>
      </c>
      <c r="X8474" s="93" t="s">
        <v>30</v>
      </c>
      <c r="Y8474" s="93" t="s">
        <v>68</v>
      </c>
      <c r="Z8474" s="134">
        <f>VLOOKUP(W8474,Sheet2!$B:$D,3,FALSE)</f>
        <v>60</v>
      </c>
      <c r="AA8474" s="93">
        <v>1</v>
      </c>
      <c r="AB8474" s="93">
        <f>AD8474/AC8465</f>
        <v>60</v>
      </c>
      <c r="AC8474" s="93">
        <f>AC8465/AA8474</f>
        <v>10.728900000000001</v>
      </c>
      <c r="AD8474" s="94">
        <f t="shared" si="5832"/>
        <v>643.73400000000004</v>
      </c>
      <c r="AE8474" s="190"/>
      <c r="AF8474" s="191"/>
      <c r="AG8474" s="191"/>
      <c r="AH8474" s="191"/>
      <c r="AI8474" s="186"/>
      <c r="AK8474" s="171"/>
    </row>
    <row r="8475" spans="1:41" s="103" customFormat="1" ht="19.899999999999999" customHeight="1" x14ac:dyDescent="0.25">
      <c r="A8475" s="51"/>
      <c r="B8475" s="52"/>
      <c r="C8475" s="165"/>
      <c r="D8475" s="52"/>
      <c r="E8475" s="115"/>
      <c r="F8475" s="58"/>
      <c r="G8475" s="58"/>
      <c r="H8475" s="58"/>
      <c r="I8475" s="55"/>
      <c r="J8475" s="113">
        <f>J8464</f>
        <v>10.728900000000001</v>
      </c>
      <c r="K8475" s="212">
        <f>K8464</f>
        <v>10.728900000000001</v>
      </c>
      <c r="L8475" s="58"/>
      <c r="M8475" s="58">
        <f>K8475-L8475</f>
        <v>10.728900000000001</v>
      </c>
      <c r="N8475" s="166"/>
      <c r="O8475" s="58"/>
      <c r="P8475" s="58"/>
      <c r="Q8475" s="58"/>
      <c r="R8475" s="58"/>
      <c r="S8475" s="58"/>
      <c r="T8475" s="220"/>
      <c r="U8475" s="88"/>
      <c r="V8475" s="56"/>
      <c r="W8475" s="57" t="s">
        <v>1138</v>
      </c>
      <c r="X8475" s="53"/>
      <c r="Y8475" s="91" t="s">
        <v>68</v>
      </c>
      <c r="Z8475" s="136">
        <f>AD8475/AC8475</f>
        <v>5032.55</v>
      </c>
      <c r="AA8475" s="58"/>
      <c r="AB8475" s="53">
        <f>AD8475/AC8475</f>
        <v>5032.55</v>
      </c>
      <c r="AC8475" s="53">
        <f>M8475+$AE$10</f>
        <v>10.728900000000001</v>
      </c>
      <c r="AD8475" s="54">
        <f>SUM(AD8476:AD8479)</f>
        <v>53993.725695000008</v>
      </c>
      <c r="AE8475" s="184">
        <f>SUMIFS($AD$37:$AD$12971,$V$37:$V$12971,$V8475,$X$37:$X$12971,AE$13)</f>
        <v>0</v>
      </c>
      <c r="AF8475" s="185">
        <f>SUMIFS($AD$37:$AD$12971,$V$37:$V$12971,$V8475,$X$37:$X$12971,AF$13)</f>
        <v>0</v>
      </c>
      <c r="AG8475" s="185">
        <f>SUMIFS($AD$37:$AD$12971,$V$37:$V$12971,$V8475,$X$37:$X$12971,AG$13)</f>
        <v>0</v>
      </c>
      <c r="AH8475" s="187">
        <f>SUMIFS($AD$37:$AD$12971,$V$37:$V$12971,$V8475,$X$37:$X$12971,AH$13)</f>
        <v>0</v>
      </c>
      <c r="AI8475" s="161">
        <f t="shared" ref="AI8475" si="5833">SUM(AE8475:AH8475)</f>
        <v>0</v>
      </c>
      <c r="AK8475" s="172"/>
    </row>
    <row r="8476" spans="1:41" s="102" customFormat="1" ht="19.899999999999999" customHeight="1" x14ac:dyDescent="0.25">
      <c r="A8476" s="45"/>
      <c r="B8476" s="59"/>
      <c r="C8476" s="137"/>
      <c r="D8476" s="59"/>
      <c r="E8476" s="116"/>
      <c r="F8476" s="120"/>
      <c r="G8476" s="120"/>
      <c r="H8476" s="120"/>
      <c r="I8476" s="60"/>
      <c r="J8476" s="116"/>
      <c r="K8476" s="213"/>
      <c r="L8476" s="120"/>
      <c r="M8476" s="120"/>
      <c r="N8476" s="167"/>
      <c r="O8476" s="120"/>
      <c r="P8476" s="120"/>
      <c r="Q8476" s="120"/>
      <c r="R8476" s="120"/>
      <c r="S8476" s="120"/>
      <c r="T8476" s="221"/>
      <c r="U8476" s="89"/>
      <c r="V8476" s="61"/>
      <c r="W8476" s="92" t="s">
        <v>1105</v>
      </c>
      <c r="X8476" s="93" t="s">
        <v>30</v>
      </c>
      <c r="Y8476" s="93" t="s">
        <v>66</v>
      </c>
      <c r="Z8476" s="134">
        <f>VLOOKUP(W8476,Sheet2!$B:$D,3,FALSE)</f>
        <v>2200</v>
      </c>
      <c r="AA8476" s="93">
        <f>1/((3.1*1.3)-(2.5*0.7))</f>
        <v>0.43859649122807015</v>
      </c>
      <c r="AB8476" s="93">
        <f>AD8476/AC8475</f>
        <v>5016</v>
      </c>
      <c r="AC8476" s="93">
        <f>AC8475/AA8476</f>
        <v>24.461892000000002</v>
      </c>
      <c r="AD8476" s="94">
        <f t="shared" ref="AD8476" si="5834">AC8476*Z8476</f>
        <v>53816.162400000008</v>
      </c>
      <c r="AE8476" s="190"/>
      <c r="AF8476" s="191"/>
      <c r="AG8476" s="191"/>
      <c r="AH8476" s="191"/>
      <c r="AI8476" s="186"/>
      <c r="AK8476" s="171"/>
    </row>
    <row r="8477" spans="1:41" s="102" customFormat="1" ht="19.899999999999999" customHeight="1" x14ac:dyDescent="0.25">
      <c r="A8477" s="45"/>
      <c r="B8477" s="59"/>
      <c r="C8477" s="137"/>
      <c r="D8477" s="59"/>
      <c r="E8477" s="116"/>
      <c r="F8477" s="120"/>
      <c r="G8477" s="120"/>
      <c r="H8477" s="120"/>
      <c r="I8477" s="60"/>
      <c r="J8477" s="116"/>
      <c r="K8477" s="213"/>
      <c r="L8477" s="120"/>
      <c r="M8477" s="120"/>
      <c r="N8477" s="167"/>
      <c r="O8477" s="120"/>
      <c r="P8477" s="120"/>
      <c r="Q8477" s="120"/>
      <c r="R8477" s="120"/>
      <c r="S8477" s="120"/>
      <c r="T8477" s="221"/>
      <c r="U8477" s="89"/>
      <c r="V8477" s="61"/>
      <c r="W8477" s="92" t="s">
        <v>174</v>
      </c>
      <c r="X8477" s="93" t="s">
        <v>29</v>
      </c>
      <c r="Y8477" s="93" t="s">
        <v>93</v>
      </c>
      <c r="Z8477" s="134">
        <f>VLOOKUP(W8477,Sheet2!$B:$D,3,FALSE)</f>
        <v>80</v>
      </c>
      <c r="AA8477" s="93">
        <f>4*2</f>
        <v>8</v>
      </c>
      <c r="AB8477" s="93">
        <f>AD8477/AC8475</f>
        <v>10</v>
      </c>
      <c r="AC8477" s="93">
        <f>AC8475/AA8477</f>
        <v>1.3411125000000002</v>
      </c>
      <c r="AD8477" s="94">
        <f>AC8477*Z8477</f>
        <v>107.28900000000002</v>
      </c>
      <c r="AE8477" s="190"/>
      <c r="AF8477" s="191"/>
      <c r="AG8477" s="191"/>
      <c r="AH8477" s="191"/>
      <c r="AI8477" s="186"/>
      <c r="AK8477" s="171"/>
    </row>
    <row r="8478" spans="1:41" s="102" customFormat="1" ht="19.899999999999999" customHeight="1" x14ac:dyDescent="0.25">
      <c r="A8478" s="45"/>
      <c r="B8478" s="59"/>
      <c r="C8478" s="137"/>
      <c r="D8478" s="59"/>
      <c r="E8478" s="116"/>
      <c r="F8478" s="120"/>
      <c r="G8478" s="120"/>
      <c r="H8478" s="120"/>
      <c r="I8478" s="60"/>
      <c r="J8478" s="116"/>
      <c r="K8478" s="213"/>
      <c r="L8478" s="120"/>
      <c r="M8478" s="120"/>
      <c r="N8478" s="167"/>
      <c r="O8478" s="120"/>
      <c r="P8478" s="120"/>
      <c r="Q8478" s="120"/>
      <c r="R8478" s="120"/>
      <c r="S8478" s="120"/>
      <c r="T8478" s="221"/>
      <c r="U8478" s="89"/>
      <c r="V8478" s="61"/>
      <c r="W8478" s="92" t="s">
        <v>65</v>
      </c>
      <c r="X8478" s="93" t="s">
        <v>30</v>
      </c>
      <c r="Y8478" s="93" t="s">
        <v>1011</v>
      </c>
      <c r="Z8478" s="134">
        <f>VLOOKUP(W8478,Sheet2!$B:$D,3,FALSE)</f>
        <v>1.76</v>
      </c>
      <c r="AA8478" s="93">
        <f>AA8477/15</f>
        <v>0.53333333333333333</v>
      </c>
      <c r="AB8478" s="93">
        <f>AD8478/AC8475</f>
        <v>3.3000000000000003</v>
      </c>
      <c r="AC8478" s="93">
        <f>AC8475/AA8478</f>
        <v>20.116687500000001</v>
      </c>
      <c r="AD8478" s="94">
        <f t="shared" ref="AD8478" si="5835">AC8478*Z8478</f>
        <v>35.405370000000005</v>
      </c>
      <c r="AE8478" s="190"/>
      <c r="AF8478" s="191"/>
      <c r="AG8478" s="191"/>
      <c r="AH8478" s="191"/>
      <c r="AI8478" s="186"/>
      <c r="AK8478" s="171"/>
    </row>
    <row r="8479" spans="1:41" s="102" customFormat="1" ht="19.899999999999999" customHeight="1" x14ac:dyDescent="0.25">
      <c r="A8479" s="45"/>
      <c r="B8479" s="59"/>
      <c r="C8479" s="137"/>
      <c r="D8479" s="59"/>
      <c r="E8479" s="116"/>
      <c r="F8479" s="120"/>
      <c r="G8479" s="120"/>
      <c r="H8479" s="120"/>
      <c r="I8479" s="60"/>
      <c r="J8479" s="116"/>
      <c r="K8479" s="213"/>
      <c r="L8479" s="120"/>
      <c r="M8479" s="120"/>
      <c r="N8479" s="167"/>
      <c r="O8479" s="120"/>
      <c r="P8479" s="120"/>
      <c r="Q8479" s="120"/>
      <c r="R8479" s="120"/>
      <c r="S8479" s="120"/>
      <c r="T8479" s="221"/>
      <c r="U8479" s="89"/>
      <c r="V8479" s="61"/>
      <c r="W8479" s="92" t="s">
        <v>112</v>
      </c>
      <c r="X8479" s="93" t="s">
        <v>31</v>
      </c>
      <c r="Y8479" s="93" t="s">
        <v>93</v>
      </c>
      <c r="Z8479" s="134">
        <f>VLOOKUP(W8479,Sheet2!$B:$D,3,FALSE)</f>
        <v>13</v>
      </c>
      <c r="AA8479" s="93">
        <f>AA8477/2</f>
        <v>4</v>
      </c>
      <c r="AB8479" s="93">
        <f>AD8479/AC8475</f>
        <v>3.25</v>
      </c>
      <c r="AC8479" s="93">
        <f>AC8475/AA8479</f>
        <v>2.6822250000000003</v>
      </c>
      <c r="AD8479" s="94">
        <f>AC8479*Z8479</f>
        <v>34.868925000000004</v>
      </c>
      <c r="AE8479" s="190"/>
      <c r="AF8479" s="191"/>
      <c r="AG8479" s="191"/>
      <c r="AH8479" s="191"/>
      <c r="AI8479" s="186"/>
      <c r="AK8479" s="171"/>
    </row>
    <row r="8480" spans="1:41" ht="20.100000000000001" customHeight="1" x14ac:dyDescent="0.25">
      <c r="A8480" s="277" t="s">
        <v>703</v>
      </c>
      <c r="B8480" s="278"/>
      <c r="C8480" s="64" t="s">
        <v>768</v>
      </c>
      <c r="D8480" s="46" t="s">
        <v>97</v>
      </c>
      <c r="E8480" s="114">
        <v>6.5639199999999995</v>
      </c>
      <c r="F8480" s="44">
        <v>6809</v>
      </c>
      <c r="G8480" s="44">
        <f t="shared" si="5545"/>
        <v>44693.73128</v>
      </c>
      <c r="H8480" s="44">
        <f t="shared" si="5546"/>
        <v>5156.9714776470582</v>
      </c>
      <c r="I8480" s="43">
        <f t="shared" si="5547"/>
        <v>33849.948221557075</v>
      </c>
      <c r="J8480" s="112">
        <f t="shared" si="5548"/>
        <v>6.5639199999999995</v>
      </c>
      <c r="K8480" s="211">
        <f t="shared" si="5549"/>
        <v>6.5639199999999995</v>
      </c>
      <c r="L8480" s="44"/>
      <c r="M8480" s="44">
        <f t="shared" si="5550"/>
        <v>6.5639199999999995</v>
      </c>
      <c r="N8480" s="173">
        <f t="shared" si="5551"/>
        <v>1</v>
      </c>
      <c r="O8480" s="44">
        <f t="shared" si="5552"/>
        <v>6809</v>
      </c>
      <c r="P8480" s="44">
        <f t="shared" si="5553"/>
        <v>44693.73128</v>
      </c>
      <c r="Q8480" s="44">
        <f t="shared" si="5554"/>
        <v>5156.9714776470582</v>
      </c>
      <c r="R8480" s="44">
        <f t="shared" si="5555"/>
        <v>33849.948221557075</v>
      </c>
      <c r="S8480" s="123"/>
      <c r="T8480" s="219">
        <f t="shared" si="5556"/>
        <v>33849.948221557075</v>
      </c>
      <c r="U8480" s="87"/>
      <c r="V8480" s="47"/>
      <c r="W8480" s="48"/>
      <c r="X8480" s="48"/>
      <c r="Y8480" s="48"/>
      <c r="Z8480" s="135"/>
      <c r="AA8480" s="49"/>
      <c r="AB8480" s="50">
        <f t="shared" si="5557"/>
        <v>5156.9714776470582</v>
      </c>
      <c r="AC8480" s="42">
        <f t="shared" si="5558"/>
        <v>6.5639199999999995</v>
      </c>
      <c r="AD8480" s="90">
        <f>AD8481+AD8491</f>
        <v>33849.948221557075</v>
      </c>
      <c r="AE8480" s="188">
        <f t="shared" ref="AE8480:AH8480" si="5836">AE8481+AE8491</f>
        <v>0</v>
      </c>
      <c r="AF8480" s="189">
        <f t="shared" si="5836"/>
        <v>0</v>
      </c>
      <c r="AG8480" s="189">
        <f t="shared" si="5836"/>
        <v>0</v>
      </c>
      <c r="AH8480" s="189">
        <f t="shared" si="5836"/>
        <v>0</v>
      </c>
      <c r="AI8480" s="161">
        <f t="shared" si="5828"/>
        <v>0</v>
      </c>
      <c r="AK8480" s="169">
        <v>5</v>
      </c>
      <c r="AO8480" s="19" t="s">
        <v>63</v>
      </c>
    </row>
    <row r="8481" spans="1:37" s="103" customFormat="1" ht="19.899999999999999" customHeight="1" x14ac:dyDescent="0.25">
      <c r="A8481" s="51"/>
      <c r="B8481" s="52"/>
      <c r="C8481" s="165"/>
      <c r="D8481" s="52"/>
      <c r="E8481" s="115"/>
      <c r="F8481" s="58"/>
      <c r="G8481" s="58"/>
      <c r="H8481" s="58"/>
      <c r="I8481" s="55"/>
      <c r="J8481" s="113">
        <f>J8480</f>
        <v>6.5639199999999995</v>
      </c>
      <c r="K8481" s="212">
        <f>K8480</f>
        <v>6.5639199999999995</v>
      </c>
      <c r="L8481" s="58"/>
      <c r="M8481" s="58">
        <f>K8481-L8481</f>
        <v>6.5639199999999995</v>
      </c>
      <c r="N8481" s="166"/>
      <c r="O8481" s="58"/>
      <c r="P8481" s="58"/>
      <c r="Q8481" s="58"/>
      <c r="R8481" s="58"/>
      <c r="S8481" s="58"/>
      <c r="T8481" s="220"/>
      <c r="U8481" s="88"/>
      <c r="V8481" s="56"/>
      <c r="W8481" s="57" t="s">
        <v>1139</v>
      </c>
      <c r="X8481" s="53"/>
      <c r="Y8481" s="91" t="s">
        <v>68</v>
      </c>
      <c r="Z8481" s="136">
        <f>AD8481/AC8481</f>
        <v>124.42147764705884</v>
      </c>
      <c r="AA8481" s="58"/>
      <c r="AB8481" s="53">
        <f>AD8481/AC8481</f>
        <v>124.42147764705884</v>
      </c>
      <c r="AC8481" s="53">
        <f>M8481+$AE$10</f>
        <v>6.5639199999999995</v>
      </c>
      <c r="AD8481" s="54">
        <f>SUM(AD8482:AD8490)</f>
        <v>816.69262555708235</v>
      </c>
      <c r="AE8481" s="184">
        <f>SUMIFS($AD$37:$AD$12971,$V$37:$V$12971,$V8481,$X$37:$X$12971,AE$13)</f>
        <v>0</v>
      </c>
      <c r="AF8481" s="185">
        <f>SUMIFS($AD$37:$AD$12971,$V$37:$V$12971,$V8481,$X$37:$X$12971,AF$13)</f>
        <v>0</v>
      </c>
      <c r="AG8481" s="185">
        <f>SUMIFS($AD$37:$AD$12971,$V$37:$V$12971,$V8481,$X$37:$X$12971,AG$13)</f>
        <v>0</v>
      </c>
      <c r="AH8481" s="187">
        <f>SUMIFS($AD$37:$AD$12971,$V$37:$V$12971,$V8481,$X$37:$X$12971,AH$13)</f>
        <v>0</v>
      </c>
      <c r="AI8481" s="161">
        <f t="shared" ref="AI8481" si="5837">SUM(AE8481:AH8481)</f>
        <v>0</v>
      </c>
      <c r="AK8481" s="172"/>
    </row>
    <row r="8482" spans="1:37" s="102" customFormat="1" ht="19.899999999999999" customHeight="1" x14ac:dyDescent="0.25">
      <c r="A8482" s="45"/>
      <c r="B8482" s="59"/>
      <c r="C8482" s="137"/>
      <c r="D8482" s="59"/>
      <c r="E8482" s="116"/>
      <c r="F8482" s="120"/>
      <c r="G8482" s="120"/>
      <c r="H8482" s="120"/>
      <c r="I8482" s="60"/>
      <c r="J8482" s="116"/>
      <c r="K8482" s="213"/>
      <c r="L8482" s="120"/>
      <c r="M8482" s="120"/>
      <c r="N8482" s="167"/>
      <c r="O8482" s="120"/>
      <c r="P8482" s="120"/>
      <c r="Q8482" s="120"/>
      <c r="R8482" s="120"/>
      <c r="S8482" s="120"/>
      <c r="T8482" s="221"/>
      <c r="U8482" s="89"/>
      <c r="V8482" s="61"/>
      <c r="W8482" s="92" t="s">
        <v>129</v>
      </c>
      <c r="X8482" s="93" t="s">
        <v>29</v>
      </c>
      <c r="Y8482" s="93" t="s">
        <v>93</v>
      </c>
      <c r="Z8482" s="134">
        <f>VLOOKUP(W8482,Sheet2!$B:$D,3,FALSE)</f>
        <v>56</v>
      </c>
      <c r="AA8482" s="93">
        <f>100/(3.9*3.5)</f>
        <v>7.3260073260073257</v>
      </c>
      <c r="AB8482" s="93">
        <f t="shared" ref="AB8482" si="5838">AD8482/AC8481</f>
        <v>7.6440000000000001</v>
      </c>
      <c r="AC8482" s="93">
        <f>AC8481/AA8482</f>
        <v>0.89597507999999992</v>
      </c>
      <c r="AD8482" s="94">
        <f t="shared" ref="AD8482:AD8483" si="5839">AC8482*Z8482</f>
        <v>50.174604479999999</v>
      </c>
      <c r="AE8482" s="190"/>
      <c r="AF8482" s="191"/>
      <c r="AG8482" s="191"/>
      <c r="AH8482" s="191"/>
      <c r="AI8482" s="186"/>
      <c r="AK8482" s="171"/>
    </row>
    <row r="8483" spans="1:37" s="102" customFormat="1" ht="19.899999999999999" customHeight="1" x14ac:dyDescent="0.25">
      <c r="A8483" s="45"/>
      <c r="B8483" s="59"/>
      <c r="C8483" s="137"/>
      <c r="D8483" s="59"/>
      <c r="E8483" s="116"/>
      <c r="F8483" s="120"/>
      <c r="G8483" s="120"/>
      <c r="H8483" s="120"/>
      <c r="I8483" s="60"/>
      <c r="J8483" s="116"/>
      <c r="K8483" s="213"/>
      <c r="L8483" s="120"/>
      <c r="M8483" s="120"/>
      <c r="N8483" s="167"/>
      <c r="O8483" s="120"/>
      <c r="P8483" s="120"/>
      <c r="Q8483" s="120"/>
      <c r="R8483" s="120"/>
      <c r="S8483" s="120"/>
      <c r="T8483" s="221"/>
      <c r="U8483" s="89"/>
      <c r="V8483" s="61"/>
      <c r="W8483" s="92" t="s">
        <v>65</v>
      </c>
      <c r="X8483" s="93" t="s">
        <v>30</v>
      </c>
      <c r="Y8483" s="93" t="s">
        <v>1011</v>
      </c>
      <c r="Z8483" s="134">
        <f>VLOOKUP(W8483,Sheet2!$B:$D,3,FALSE)</f>
        <v>1.76</v>
      </c>
      <c r="AA8483" s="93">
        <f>AA8482/14</f>
        <v>0.52328623757195181</v>
      </c>
      <c r="AB8483" s="93">
        <f>AD8483/AC8481</f>
        <v>3.3633600000000001</v>
      </c>
      <c r="AC8483" s="93">
        <f>AC8481/AA8483</f>
        <v>12.54365112</v>
      </c>
      <c r="AD8483" s="94">
        <f t="shared" si="5839"/>
        <v>22.076825971199998</v>
      </c>
      <c r="AE8483" s="190"/>
      <c r="AF8483" s="191"/>
      <c r="AG8483" s="191"/>
      <c r="AH8483" s="191"/>
      <c r="AI8483" s="186"/>
      <c r="AK8483" s="171"/>
    </row>
    <row r="8484" spans="1:37" s="102" customFormat="1" ht="19.899999999999999" customHeight="1" x14ac:dyDescent="0.25">
      <c r="A8484" s="45"/>
      <c r="B8484" s="59"/>
      <c r="C8484" s="137"/>
      <c r="D8484" s="59"/>
      <c r="E8484" s="116"/>
      <c r="F8484" s="120"/>
      <c r="G8484" s="120"/>
      <c r="H8484" s="120"/>
      <c r="I8484" s="60"/>
      <c r="J8484" s="116"/>
      <c r="K8484" s="213"/>
      <c r="L8484" s="120"/>
      <c r="M8484" s="120"/>
      <c r="N8484" s="167"/>
      <c r="O8484" s="120"/>
      <c r="P8484" s="120"/>
      <c r="Q8484" s="120"/>
      <c r="R8484" s="120"/>
      <c r="S8484" s="120"/>
      <c r="T8484" s="221"/>
      <c r="U8484" s="89"/>
      <c r="V8484" s="61"/>
      <c r="W8484" s="92" t="s">
        <v>161</v>
      </c>
      <c r="X8484" s="93" t="s">
        <v>29</v>
      </c>
      <c r="Y8484" s="93" t="s">
        <v>93</v>
      </c>
      <c r="Z8484" s="134">
        <f>VLOOKUP(W8484,Sheet2!$B:$D,3,FALSE)</f>
        <v>48</v>
      </c>
      <c r="AA8484" s="93">
        <f>(16*0.85*1.5)/(3.9*3.5)</f>
        <v>1.4945054945054943</v>
      </c>
      <c r="AB8484" s="93">
        <f>AD8484/AC8481</f>
        <v>32.117647058823536</v>
      </c>
      <c r="AC8484" s="93">
        <f>AC8481/AA8484</f>
        <v>4.3920347058823532</v>
      </c>
      <c r="AD8484" s="94">
        <f>AC8484*Z8484</f>
        <v>210.81766588235297</v>
      </c>
      <c r="AE8484" s="190"/>
      <c r="AF8484" s="191"/>
      <c r="AG8484" s="191"/>
      <c r="AH8484" s="191"/>
      <c r="AI8484" s="186"/>
      <c r="AK8484" s="171"/>
    </row>
    <row r="8485" spans="1:37" s="102" customFormat="1" ht="19.899999999999999" customHeight="1" x14ac:dyDescent="0.25">
      <c r="A8485" s="45"/>
      <c r="B8485" s="59"/>
      <c r="C8485" s="137"/>
      <c r="D8485" s="59"/>
      <c r="E8485" s="116"/>
      <c r="F8485" s="120"/>
      <c r="G8485" s="120"/>
      <c r="H8485" s="120"/>
      <c r="I8485" s="60"/>
      <c r="J8485" s="116"/>
      <c r="K8485" s="213"/>
      <c r="L8485" s="120"/>
      <c r="M8485" s="120"/>
      <c r="N8485" s="167"/>
      <c r="O8485" s="120"/>
      <c r="P8485" s="120"/>
      <c r="Q8485" s="120"/>
      <c r="R8485" s="120"/>
      <c r="S8485" s="120"/>
      <c r="T8485" s="221"/>
      <c r="U8485" s="89"/>
      <c r="V8485" s="61"/>
      <c r="W8485" s="92" t="s">
        <v>65</v>
      </c>
      <c r="X8485" s="93" t="s">
        <v>30</v>
      </c>
      <c r="Y8485" s="93" t="s">
        <v>1011</v>
      </c>
      <c r="Z8485" s="134">
        <f>VLOOKUP(W8485,Sheet2!$B:$D,3,FALSE)</f>
        <v>1.76</v>
      </c>
      <c r="AA8485" s="93">
        <f>AA8484/10</f>
        <v>0.14945054945054942</v>
      </c>
      <c r="AB8485" s="93">
        <f>AD8485/AC8481</f>
        <v>11.776470588235297</v>
      </c>
      <c r="AC8485" s="93">
        <f>AC8481/AA8485</f>
        <v>43.920347058823538</v>
      </c>
      <c r="AD8485" s="94">
        <f>AC8485*Z8485</f>
        <v>77.299810823529427</v>
      </c>
      <c r="AE8485" s="190"/>
      <c r="AF8485" s="191"/>
      <c r="AG8485" s="191"/>
      <c r="AH8485" s="191"/>
      <c r="AI8485" s="186"/>
      <c r="AK8485" s="171"/>
    </row>
    <row r="8486" spans="1:37" s="102" customFormat="1" ht="19.899999999999999" customHeight="1" x14ac:dyDescent="0.25">
      <c r="A8486" s="45"/>
      <c r="B8486" s="59"/>
      <c r="C8486" s="137"/>
      <c r="D8486" s="59"/>
      <c r="E8486" s="116"/>
      <c r="F8486" s="120"/>
      <c r="G8486" s="120"/>
      <c r="H8486" s="120"/>
      <c r="I8486" s="60"/>
      <c r="J8486" s="116"/>
      <c r="K8486" s="213"/>
      <c r="L8486" s="120"/>
      <c r="M8486" s="120"/>
      <c r="N8486" s="167"/>
      <c r="O8486" s="120"/>
      <c r="P8486" s="120"/>
      <c r="Q8486" s="120"/>
      <c r="R8486" s="120"/>
      <c r="S8486" s="120"/>
      <c r="T8486" s="221"/>
      <c r="U8486" s="89"/>
      <c r="V8486" s="61"/>
      <c r="W8486" s="92" t="s">
        <v>1030</v>
      </c>
      <c r="X8486" s="93" t="s">
        <v>29</v>
      </c>
      <c r="Y8486" s="93" t="s">
        <v>93</v>
      </c>
      <c r="Z8486" s="134">
        <f>VLOOKUP(W8486,Sheet2!$B:$D,3,FALSE)</f>
        <v>23</v>
      </c>
      <c r="AA8486" s="93">
        <v>50</v>
      </c>
      <c r="AB8486" s="93">
        <f>AD8486/AC8481</f>
        <v>0.45999999999999996</v>
      </c>
      <c r="AC8486" s="93">
        <f>AC8481/AA8486</f>
        <v>0.13127839999999999</v>
      </c>
      <c r="AD8486" s="94">
        <f t="shared" ref="AD8486:AD8490" si="5840">AC8486*Z8486</f>
        <v>3.0194031999999997</v>
      </c>
      <c r="AE8486" s="190"/>
      <c r="AF8486" s="191"/>
      <c r="AG8486" s="191"/>
      <c r="AH8486" s="191"/>
      <c r="AI8486" s="186"/>
      <c r="AK8486" s="171"/>
    </row>
    <row r="8487" spans="1:37" s="102" customFormat="1" ht="19.899999999999999" customHeight="1" x14ac:dyDescent="0.25">
      <c r="A8487" s="45"/>
      <c r="B8487" s="59"/>
      <c r="C8487" s="137"/>
      <c r="D8487" s="59"/>
      <c r="E8487" s="116"/>
      <c r="F8487" s="120"/>
      <c r="G8487" s="120"/>
      <c r="H8487" s="120"/>
      <c r="I8487" s="60"/>
      <c r="J8487" s="116"/>
      <c r="K8487" s="213"/>
      <c r="L8487" s="120"/>
      <c r="M8487" s="120"/>
      <c r="N8487" s="167"/>
      <c r="O8487" s="120"/>
      <c r="P8487" s="120"/>
      <c r="Q8487" s="120"/>
      <c r="R8487" s="120"/>
      <c r="S8487" s="120"/>
      <c r="T8487" s="221"/>
      <c r="U8487" s="89"/>
      <c r="V8487" s="61"/>
      <c r="W8487" s="92" t="s">
        <v>65</v>
      </c>
      <c r="X8487" s="93" t="s">
        <v>30</v>
      </c>
      <c r="Y8487" s="93" t="s">
        <v>1011</v>
      </c>
      <c r="Z8487" s="134">
        <f>VLOOKUP(W8487,Sheet2!$B:$D,3,FALSE)</f>
        <v>1.76</v>
      </c>
      <c r="AA8487" s="93">
        <f>AA8486/3</f>
        <v>16.666666666666668</v>
      </c>
      <c r="AB8487" s="93">
        <f>AD8487/AC8481</f>
        <v>0.10559999999999999</v>
      </c>
      <c r="AC8487" s="93">
        <f>AC8481/AA8487</f>
        <v>0.39383519999999994</v>
      </c>
      <c r="AD8487" s="94">
        <f t="shared" si="5840"/>
        <v>0.69314995199999985</v>
      </c>
      <c r="AE8487" s="190"/>
      <c r="AF8487" s="191"/>
      <c r="AG8487" s="191"/>
      <c r="AH8487" s="191"/>
      <c r="AI8487" s="186"/>
      <c r="AK8487" s="171"/>
    </row>
    <row r="8488" spans="1:37" s="102" customFormat="1" ht="19.899999999999999" customHeight="1" x14ac:dyDescent="0.25">
      <c r="A8488" s="45"/>
      <c r="B8488" s="59"/>
      <c r="C8488" s="137"/>
      <c r="D8488" s="59"/>
      <c r="E8488" s="116"/>
      <c r="F8488" s="120"/>
      <c r="G8488" s="120"/>
      <c r="H8488" s="120"/>
      <c r="I8488" s="60"/>
      <c r="J8488" s="116"/>
      <c r="K8488" s="213"/>
      <c r="L8488" s="120"/>
      <c r="M8488" s="120"/>
      <c r="N8488" s="167"/>
      <c r="O8488" s="120"/>
      <c r="P8488" s="120"/>
      <c r="Q8488" s="120"/>
      <c r="R8488" s="120"/>
      <c r="S8488" s="120"/>
      <c r="T8488" s="221"/>
      <c r="U8488" s="89"/>
      <c r="V8488" s="61"/>
      <c r="W8488" s="92" t="s">
        <v>148</v>
      </c>
      <c r="X8488" s="93" t="s">
        <v>29</v>
      </c>
      <c r="Y8488" s="93" t="s">
        <v>93</v>
      </c>
      <c r="Z8488" s="134">
        <f>VLOOKUP(W8488,Sheet2!$B:$D,3,FALSE)</f>
        <v>48</v>
      </c>
      <c r="AA8488" s="93">
        <f>AA8482</f>
        <v>7.3260073260073257</v>
      </c>
      <c r="AB8488" s="93">
        <f>AD8488/AC8481</f>
        <v>6.5519999999999996</v>
      </c>
      <c r="AC8488" s="93">
        <f>AC8481/AA8488</f>
        <v>0.89597507999999992</v>
      </c>
      <c r="AD8488" s="94">
        <f t="shared" si="5840"/>
        <v>43.006803839999996</v>
      </c>
      <c r="AE8488" s="190"/>
      <c r="AF8488" s="191"/>
      <c r="AG8488" s="191"/>
      <c r="AH8488" s="191"/>
      <c r="AI8488" s="186"/>
      <c r="AK8488" s="171"/>
    </row>
    <row r="8489" spans="1:37" s="102" customFormat="1" ht="19.899999999999999" customHeight="1" x14ac:dyDescent="0.25">
      <c r="A8489" s="45"/>
      <c r="B8489" s="59"/>
      <c r="C8489" s="137"/>
      <c r="D8489" s="59"/>
      <c r="E8489" s="116"/>
      <c r="F8489" s="120"/>
      <c r="G8489" s="120"/>
      <c r="H8489" s="120"/>
      <c r="I8489" s="60"/>
      <c r="J8489" s="116"/>
      <c r="K8489" s="213"/>
      <c r="L8489" s="120"/>
      <c r="M8489" s="120"/>
      <c r="N8489" s="167"/>
      <c r="O8489" s="120"/>
      <c r="P8489" s="120"/>
      <c r="Q8489" s="120"/>
      <c r="R8489" s="120"/>
      <c r="S8489" s="120"/>
      <c r="T8489" s="221"/>
      <c r="U8489" s="89"/>
      <c r="V8489" s="61"/>
      <c r="W8489" s="92" t="s">
        <v>65</v>
      </c>
      <c r="X8489" s="93" t="s">
        <v>30</v>
      </c>
      <c r="Y8489" s="93" t="s">
        <v>1011</v>
      </c>
      <c r="Z8489" s="134">
        <f>VLOOKUP(W8489,Sheet2!$B:$D,3,FALSE)</f>
        <v>1.76</v>
      </c>
      <c r="AA8489" s="93">
        <f>AA8488/10</f>
        <v>0.73260073260073255</v>
      </c>
      <c r="AB8489" s="93">
        <f>AD8489/AC8481</f>
        <v>2.4024000000000001</v>
      </c>
      <c r="AC8489" s="93">
        <f>AC8481/AA8489</f>
        <v>8.9597508000000001</v>
      </c>
      <c r="AD8489" s="94">
        <f t="shared" si="5840"/>
        <v>15.769161408</v>
      </c>
      <c r="AE8489" s="190"/>
      <c r="AF8489" s="191"/>
      <c r="AG8489" s="191"/>
      <c r="AH8489" s="191"/>
      <c r="AI8489" s="186"/>
      <c r="AK8489" s="171"/>
    </row>
    <row r="8490" spans="1:37" s="102" customFormat="1" ht="19.899999999999999" customHeight="1" x14ac:dyDescent="0.25">
      <c r="A8490" s="45"/>
      <c r="B8490" s="59"/>
      <c r="C8490" s="137"/>
      <c r="D8490" s="59"/>
      <c r="E8490" s="116"/>
      <c r="F8490" s="120"/>
      <c r="G8490" s="120"/>
      <c r="H8490" s="120"/>
      <c r="I8490" s="60"/>
      <c r="J8490" s="116"/>
      <c r="K8490" s="213"/>
      <c r="L8490" s="120"/>
      <c r="M8490" s="120"/>
      <c r="N8490" s="167"/>
      <c r="O8490" s="120"/>
      <c r="P8490" s="120"/>
      <c r="Q8490" s="120"/>
      <c r="R8490" s="120"/>
      <c r="S8490" s="120"/>
      <c r="T8490" s="221"/>
      <c r="U8490" s="89"/>
      <c r="V8490" s="61"/>
      <c r="W8490" s="92" t="s">
        <v>1049</v>
      </c>
      <c r="X8490" s="93" t="s">
        <v>30</v>
      </c>
      <c r="Y8490" s="93" t="s">
        <v>68</v>
      </c>
      <c r="Z8490" s="134">
        <f>VLOOKUP(W8490,Sheet2!$B:$D,3,FALSE)</f>
        <v>60</v>
      </c>
      <c r="AA8490" s="93">
        <v>1</v>
      </c>
      <c r="AB8490" s="93">
        <f>AD8490/AC8481</f>
        <v>60</v>
      </c>
      <c r="AC8490" s="93">
        <f>AC8481/AA8490</f>
        <v>6.5639199999999995</v>
      </c>
      <c r="AD8490" s="94">
        <f t="shared" si="5840"/>
        <v>393.83519999999999</v>
      </c>
      <c r="AE8490" s="190"/>
      <c r="AF8490" s="191"/>
      <c r="AG8490" s="191"/>
      <c r="AH8490" s="191"/>
      <c r="AI8490" s="186"/>
      <c r="AK8490" s="171"/>
    </row>
    <row r="8491" spans="1:37" s="103" customFormat="1" ht="19.899999999999999" customHeight="1" x14ac:dyDescent="0.25">
      <c r="A8491" s="51"/>
      <c r="B8491" s="52"/>
      <c r="C8491" s="165"/>
      <c r="D8491" s="52"/>
      <c r="E8491" s="115"/>
      <c r="F8491" s="58"/>
      <c r="G8491" s="58"/>
      <c r="H8491" s="58"/>
      <c r="I8491" s="55"/>
      <c r="J8491" s="113">
        <f>J8480</f>
        <v>6.5639199999999995</v>
      </c>
      <c r="K8491" s="212">
        <f>K8480</f>
        <v>6.5639199999999995</v>
      </c>
      <c r="L8491" s="58"/>
      <c r="M8491" s="58">
        <f>K8491-L8491</f>
        <v>6.5639199999999995</v>
      </c>
      <c r="N8491" s="166"/>
      <c r="O8491" s="58"/>
      <c r="P8491" s="58"/>
      <c r="Q8491" s="58"/>
      <c r="R8491" s="58"/>
      <c r="S8491" s="58"/>
      <c r="T8491" s="220"/>
      <c r="U8491" s="88"/>
      <c r="V8491" s="56"/>
      <c r="W8491" s="57" t="s">
        <v>1138</v>
      </c>
      <c r="X8491" s="53"/>
      <c r="Y8491" s="91" t="s">
        <v>68</v>
      </c>
      <c r="Z8491" s="136">
        <f>AD8491/AC8491</f>
        <v>5032.5499999999993</v>
      </c>
      <c r="AA8491" s="58"/>
      <c r="AB8491" s="53">
        <f>AD8491/AC8491</f>
        <v>5032.5499999999993</v>
      </c>
      <c r="AC8491" s="53">
        <f>M8491+$AE$10</f>
        <v>6.5639199999999995</v>
      </c>
      <c r="AD8491" s="54">
        <f>SUM(AD8492:AD8495)</f>
        <v>33033.255595999995</v>
      </c>
      <c r="AE8491" s="184">
        <f>SUMIFS($AD$37:$AD$12971,$V$37:$V$12971,$V8491,$X$37:$X$12971,AE$13)</f>
        <v>0</v>
      </c>
      <c r="AF8491" s="185">
        <f>SUMIFS($AD$37:$AD$12971,$V$37:$V$12971,$V8491,$X$37:$X$12971,AF$13)</f>
        <v>0</v>
      </c>
      <c r="AG8491" s="185">
        <f>SUMIFS($AD$37:$AD$12971,$V$37:$V$12971,$V8491,$X$37:$X$12971,AG$13)</f>
        <v>0</v>
      </c>
      <c r="AH8491" s="187">
        <f>SUMIFS($AD$37:$AD$12971,$V$37:$V$12971,$V8491,$X$37:$X$12971,AH$13)</f>
        <v>0</v>
      </c>
      <c r="AI8491" s="161">
        <f t="shared" ref="AI8491" si="5841">SUM(AE8491:AH8491)</f>
        <v>0</v>
      </c>
      <c r="AK8491" s="172"/>
    </row>
    <row r="8492" spans="1:37" s="102" customFormat="1" ht="19.899999999999999" customHeight="1" x14ac:dyDescent="0.25">
      <c r="A8492" s="45"/>
      <c r="B8492" s="59"/>
      <c r="C8492" s="137"/>
      <c r="D8492" s="59"/>
      <c r="E8492" s="116"/>
      <c r="F8492" s="120"/>
      <c r="G8492" s="120"/>
      <c r="H8492" s="120"/>
      <c r="I8492" s="60"/>
      <c r="J8492" s="116"/>
      <c r="K8492" s="213"/>
      <c r="L8492" s="120"/>
      <c r="M8492" s="120"/>
      <c r="N8492" s="167"/>
      <c r="O8492" s="120"/>
      <c r="P8492" s="120"/>
      <c r="Q8492" s="120"/>
      <c r="R8492" s="120"/>
      <c r="S8492" s="120"/>
      <c r="T8492" s="221"/>
      <c r="U8492" s="89"/>
      <c r="V8492" s="61"/>
      <c r="W8492" s="92" t="s">
        <v>1105</v>
      </c>
      <c r="X8492" s="93" t="s">
        <v>30</v>
      </c>
      <c r="Y8492" s="93" t="s">
        <v>66</v>
      </c>
      <c r="Z8492" s="134">
        <f>VLOOKUP(W8492,Sheet2!$B:$D,3,FALSE)</f>
        <v>2200</v>
      </c>
      <c r="AA8492" s="93">
        <f>1/((3.1*1.3)-(2.5*0.7))</f>
        <v>0.43859649122807015</v>
      </c>
      <c r="AB8492" s="93">
        <f>AD8492/AC8491</f>
        <v>5016</v>
      </c>
      <c r="AC8492" s="93">
        <f>AC8491/AA8492</f>
        <v>14.965737600000001</v>
      </c>
      <c r="AD8492" s="94">
        <f t="shared" ref="AD8492" si="5842">AC8492*Z8492</f>
        <v>32924.622719999999</v>
      </c>
      <c r="AE8492" s="190"/>
      <c r="AF8492" s="191"/>
      <c r="AG8492" s="191"/>
      <c r="AH8492" s="191"/>
      <c r="AI8492" s="186"/>
      <c r="AK8492" s="171"/>
    </row>
    <row r="8493" spans="1:37" s="102" customFormat="1" ht="19.899999999999999" customHeight="1" x14ac:dyDescent="0.25">
      <c r="A8493" s="45"/>
      <c r="B8493" s="59"/>
      <c r="C8493" s="137"/>
      <c r="D8493" s="59"/>
      <c r="E8493" s="116"/>
      <c r="F8493" s="120"/>
      <c r="G8493" s="120"/>
      <c r="H8493" s="120"/>
      <c r="I8493" s="60"/>
      <c r="J8493" s="116"/>
      <c r="K8493" s="213"/>
      <c r="L8493" s="120"/>
      <c r="M8493" s="120"/>
      <c r="N8493" s="167"/>
      <c r="O8493" s="120"/>
      <c r="P8493" s="120"/>
      <c r="Q8493" s="120"/>
      <c r="R8493" s="120"/>
      <c r="S8493" s="120"/>
      <c r="T8493" s="221"/>
      <c r="U8493" s="89"/>
      <c r="V8493" s="61"/>
      <c r="W8493" s="92" t="s">
        <v>174</v>
      </c>
      <c r="X8493" s="93" t="s">
        <v>29</v>
      </c>
      <c r="Y8493" s="93" t="s">
        <v>93</v>
      </c>
      <c r="Z8493" s="134">
        <f>VLOOKUP(W8493,Sheet2!$B:$D,3,FALSE)</f>
        <v>80</v>
      </c>
      <c r="AA8493" s="93">
        <f>4*2</f>
        <v>8</v>
      </c>
      <c r="AB8493" s="93">
        <f>AD8493/AC8491</f>
        <v>9.9999999999999982</v>
      </c>
      <c r="AC8493" s="93">
        <f>AC8491/AA8493</f>
        <v>0.82048999999999994</v>
      </c>
      <c r="AD8493" s="94">
        <f>AC8493*Z8493</f>
        <v>65.639199999999988</v>
      </c>
      <c r="AE8493" s="190"/>
      <c r="AF8493" s="191"/>
      <c r="AG8493" s="191"/>
      <c r="AH8493" s="191"/>
      <c r="AI8493" s="186"/>
      <c r="AK8493" s="171"/>
    </row>
    <row r="8494" spans="1:37" s="102" customFormat="1" ht="19.899999999999999" customHeight="1" x14ac:dyDescent="0.25">
      <c r="A8494" s="45"/>
      <c r="B8494" s="59"/>
      <c r="C8494" s="137"/>
      <c r="D8494" s="59"/>
      <c r="E8494" s="116"/>
      <c r="F8494" s="120"/>
      <c r="G8494" s="120"/>
      <c r="H8494" s="120"/>
      <c r="I8494" s="60"/>
      <c r="J8494" s="116"/>
      <c r="K8494" s="213"/>
      <c r="L8494" s="120"/>
      <c r="M8494" s="120"/>
      <c r="N8494" s="167"/>
      <c r="O8494" s="120"/>
      <c r="P8494" s="120"/>
      <c r="Q8494" s="120"/>
      <c r="R8494" s="120"/>
      <c r="S8494" s="120"/>
      <c r="T8494" s="221"/>
      <c r="U8494" s="89"/>
      <c r="V8494" s="61"/>
      <c r="W8494" s="92" t="s">
        <v>65</v>
      </c>
      <c r="X8494" s="93" t="s">
        <v>30</v>
      </c>
      <c r="Y8494" s="93" t="s">
        <v>1011</v>
      </c>
      <c r="Z8494" s="134">
        <f>VLOOKUP(W8494,Sheet2!$B:$D,3,FALSE)</f>
        <v>1.76</v>
      </c>
      <c r="AA8494" s="93">
        <f>AA8493/15</f>
        <v>0.53333333333333333</v>
      </c>
      <c r="AB8494" s="93">
        <f>AD8494/AC8491</f>
        <v>3.3000000000000003</v>
      </c>
      <c r="AC8494" s="93">
        <f>AC8491/AA8494</f>
        <v>12.30735</v>
      </c>
      <c r="AD8494" s="94">
        <f t="shared" ref="AD8494" si="5843">AC8494*Z8494</f>
        <v>21.660936</v>
      </c>
      <c r="AE8494" s="190"/>
      <c r="AF8494" s="191"/>
      <c r="AG8494" s="191"/>
      <c r="AH8494" s="191"/>
      <c r="AI8494" s="186"/>
      <c r="AK8494" s="171"/>
    </row>
    <row r="8495" spans="1:37" s="102" customFormat="1" ht="19.899999999999999" customHeight="1" x14ac:dyDescent="0.25">
      <c r="A8495" s="45"/>
      <c r="B8495" s="59"/>
      <c r="C8495" s="137"/>
      <c r="D8495" s="59"/>
      <c r="E8495" s="116"/>
      <c r="F8495" s="120"/>
      <c r="G8495" s="120"/>
      <c r="H8495" s="120"/>
      <c r="I8495" s="60"/>
      <c r="J8495" s="116"/>
      <c r="K8495" s="213"/>
      <c r="L8495" s="120"/>
      <c r="M8495" s="120"/>
      <c r="N8495" s="167"/>
      <c r="O8495" s="120"/>
      <c r="P8495" s="120"/>
      <c r="Q8495" s="120"/>
      <c r="R8495" s="120"/>
      <c r="S8495" s="120"/>
      <c r="T8495" s="221"/>
      <c r="U8495" s="89"/>
      <c r="V8495" s="61"/>
      <c r="W8495" s="92" t="s">
        <v>112</v>
      </c>
      <c r="X8495" s="93" t="s">
        <v>31</v>
      </c>
      <c r="Y8495" s="93" t="s">
        <v>93</v>
      </c>
      <c r="Z8495" s="134">
        <f>VLOOKUP(W8495,Sheet2!$B:$D,3,FALSE)</f>
        <v>13</v>
      </c>
      <c r="AA8495" s="93">
        <f>AA8493/2</f>
        <v>4</v>
      </c>
      <c r="AB8495" s="93">
        <f>AD8495/AC8491</f>
        <v>3.25</v>
      </c>
      <c r="AC8495" s="93">
        <f>AC8491/AA8495</f>
        <v>1.6409799999999999</v>
      </c>
      <c r="AD8495" s="94">
        <f>AC8495*Z8495</f>
        <v>21.332739999999998</v>
      </c>
      <c r="AE8495" s="190"/>
      <c r="AF8495" s="191"/>
      <c r="AG8495" s="191"/>
      <c r="AH8495" s="191"/>
      <c r="AI8495" s="186"/>
      <c r="AK8495" s="171"/>
    </row>
    <row r="8496" spans="1:37" ht="20.100000000000001" customHeight="1" x14ac:dyDescent="0.25">
      <c r="A8496" s="277" t="s">
        <v>703</v>
      </c>
      <c r="B8496" s="278"/>
      <c r="C8496" s="64" t="s">
        <v>769</v>
      </c>
      <c r="D8496" s="46"/>
      <c r="E8496" s="114"/>
      <c r="F8496" s="44">
        <v>0</v>
      </c>
      <c r="G8496" s="44">
        <f t="shared" si="5545"/>
        <v>0</v>
      </c>
      <c r="H8496" s="44">
        <f t="shared" si="5546"/>
        <v>0</v>
      </c>
      <c r="I8496" s="43">
        <f t="shared" si="5547"/>
        <v>0</v>
      </c>
      <c r="J8496" s="112">
        <f t="shared" si="5548"/>
        <v>0</v>
      </c>
      <c r="K8496" s="211">
        <f t="shared" si="5549"/>
        <v>0</v>
      </c>
      <c r="L8496" s="44"/>
      <c r="M8496" s="44">
        <f t="shared" si="5550"/>
        <v>0</v>
      </c>
      <c r="N8496" s="173">
        <f t="shared" si="5551"/>
        <v>0</v>
      </c>
      <c r="O8496" s="44">
        <f t="shared" si="5552"/>
        <v>0</v>
      </c>
      <c r="P8496" s="44">
        <f t="shared" si="5553"/>
        <v>0</v>
      </c>
      <c r="Q8496" s="44">
        <f t="shared" si="5554"/>
        <v>0</v>
      </c>
      <c r="R8496" s="44">
        <f t="shared" si="5555"/>
        <v>0</v>
      </c>
      <c r="S8496" s="123"/>
      <c r="T8496" s="219">
        <f t="shared" si="5556"/>
        <v>0</v>
      </c>
      <c r="U8496" s="87"/>
      <c r="V8496" s="47"/>
      <c r="W8496" s="48"/>
      <c r="X8496" s="48"/>
      <c r="Y8496" s="48"/>
      <c r="Z8496" s="135"/>
      <c r="AA8496" s="49"/>
      <c r="AB8496" s="50">
        <f t="shared" si="5557"/>
        <v>0</v>
      </c>
      <c r="AC8496" s="42">
        <f t="shared" si="5558"/>
        <v>9.9999999999999998E-20</v>
      </c>
      <c r="AD8496" s="90"/>
      <c r="AE8496" s="188"/>
      <c r="AF8496" s="189"/>
      <c r="AG8496" s="189"/>
      <c r="AH8496" s="189"/>
      <c r="AI8496" s="161"/>
    </row>
    <row r="8497" spans="1:41" s="102" customFormat="1" ht="20.100000000000001" customHeight="1" x14ac:dyDescent="0.25">
      <c r="A8497" s="45" t="s">
        <v>703</v>
      </c>
      <c r="B8497" s="276"/>
      <c r="C8497" s="286" t="s">
        <v>781</v>
      </c>
      <c r="D8497" s="59"/>
      <c r="E8497" s="116"/>
      <c r="F8497" s="120"/>
      <c r="G8497" s="120"/>
      <c r="H8497" s="120"/>
      <c r="I8497" s="60"/>
      <c r="J8497" s="116"/>
      <c r="K8497" s="213"/>
      <c r="L8497" s="120"/>
      <c r="M8497" s="120"/>
      <c r="N8497" s="167"/>
      <c r="O8497" s="120"/>
      <c r="P8497" s="120"/>
      <c r="Q8497" s="120"/>
      <c r="R8497" s="120"/>
      <c r="S8497" s="120"/>
      <c r="T8497" s="221"/>
      <c r="U8497" s="89"/>
      <c r="V8497" s="61"/>
      <c r="W8497" s="92"/>
      <c r="X8497" s="38"/>
      <c r="Y8497" s="93"/>
      <c r="Z8497" s="134"/>
      <c r="AA8497" s="93"/>
      <c r="AB8497" s="93"/>
      <c r="AC8497" s="93"/>
      <c r="AD8497" s="94"/>
      <c r="AE8497" s="190"/>
      <c r="AF8497" s="191"/>
      <c r="AG8497" s="191"/>
      <c r="AH8497" s="191"/>
      <c r="AI8497" s="186"/>
      <c r="AK8497" s="171"/>
    </row>
    <row r="8498" spans="1:41" ht="20.100000000000001" customHeight="1" x14ac:dyDescent="0.25">
      <c r="A8498" s="277" t="s">
        <v>703</v>
      </c>
      <c r="B8498" s="278"/>
      <c r="C8498" s="64" t="s">
        <v>782</v>
      </c>
      <c r="D8498" s="46"/>
      <c r="E8498" s="114"/>
      <c r="F8498" s="44">
        <v>0</v>
      </c>
      <c r="G8498" s="44">
        <f t="shared" si="5545"/>
        <v>0</v>
      </c>
      <c r="H8498" s="44">
        <f t="shared" si="5546"/>
        <v>0</v>
      </c>
      <c r="I8498" s="43">
        <f t="shared" si="5547"/>
        <v>0</v>
      </c>
      <c r="J8498" s="112">
        <f t="shared" si="5548"/>
        <v>0</v>
      </c>
      <c r="K8498" s="211">
        <f t="shared" si="5549"/>
        <v>0</v>
      </c>
      <c r="L8498" s="44"/>
      <c r="M8498" s="44">
        <f t="shared" si="5550"/>
        <v>0</v>
      </c>
      <c r="N8498" s="173">
        <f t="shared" si="5551"/>
        <v>0</v>
      </c>
      <c r="O8498" s="44">
        <f t="shared" si="5552"/>
        <v>0</v>
      </c>
      <c r="P8498" s="44">
        <f t="shared" si="5553"/>
        <v>0</v>
      </c>
      <c r="Q8498" s="44">
        <f t="shared" si="5554"/>
        <v>0</v>
      </c>
      <c r="R8498" s="44">
        <f t="shared" si="5555"/>
        <v>0</v>
      </c>
      <c r="S8498" s="123"/>
      <c r="T8498" s="219">
        <f t="shared" si="5556"/>
        <v>0</v>
      </c>
      <c r="U8498" s="87"/>
      <c r="V8498" s="47"/>
      <c r="W8498" s="48"/>
      <c r="X8498" s="48"/>
      <c r="Y8498" s="48"/>
      <c r="Z8498" s="135"/>
      <c r="AA8498" s="49"/>
      <c r="AB8498" s="50">
        <f t="shared" si="5557"/>
        <v>0</v>
      </c>
      <c r="AC8498" s="42">
        <f t="shared" si="5558"/>
        <v>9.9999999999999998E-20</v>
      </c>
      <c r="AD8498" s="90"/>
      <c r="AE8498" s="188"/>
      <c r="AF8498" s="189"/>
      <c r="AG8498" s="189"/>
      <c r="AH8498" s="189"/>
      <c r="AI8498" s="161"/>
    </row>
    <row r="8499" spans="1:41" ht="20.100000000000001" customHeight="1" x14ac:dyDescent="0.25">
      <c r="A8499" s="277" t="s">
        <v>703</v>
      </c>
      <c r="B8499" s="278"/>
      <c r="C8499" s="64" t="s">
        <v>763</v>
      </c>
      <c r="D8499" s="46" t="s">
        <v>97</v>
      </c>
      <c r="E8499" s="114"/>
      <c r="F8499" s="44">
        <v>0</v>
      </c>
      <c r="G8499" s="44">
        <f t="shared" si="5545"/>
        <v>0</v>
      </c>
      <c r="H8499" s="44">
        <f t="shared" si="5546"/>
        <v>0</v>
      </c>
      <c r="I8499" s="43">
        <f t="shared" si="5547"/>
        <v>0</v>
      </c>
      <c r="J8499" s="112">
        <f t="shared" si="5548"/>
        <v>0</v>
      </c>
      <c r="K8499" s="211">
        <f t="shared" si="5549"/>
        <v>0</v>
      </c>
      <c r="L8499" s="44"/>
      <c r="M8499" s="44">
        <f t="shared" si="5550"/>
        <v>0</v>
      </c>
      <c r="N8499" s="173">
        <f t="shared" si="5551"/>
        <v>0</v>
      </c>
      <c r="O8499" s="44">
        <f t="shared" si="5552"/>
        <v>0</v>
      </c>
      <c r="P8499" s="44">
        <f t="shared" si="5553"/>
        <v>0</v>
      </c>
      <c r="Q8499" s="44">
        <f t="shared" si="5554"/>
        <v>0</v>
      </c>
      <c r="R8499" s="44">
        <f t="shared" si="5555"/>
        <v>0</v>
      </c>
      <c r="S8499" s="123"/>
      <c r="T8499" s="219">
        <f t="shared" si="5556"/>
        <v>0</v>
      </c>
      <c r="U8499" s="87"/>
      <c r="V8499" s="47"/>
      <c r="W8499" s="48"/>
      <c r="X8499" s="48"/>
      <c r="Y8499" s="48"/>
      <c r="Z8499" s="135"/>
      <c r="AA8499" s="49"/>
      <c r="AB8499" s="50">
        <f t="shared" si="5557"/>
        <v>0</v>
      </c>
      <c r="AC8499" s="42">
        <f t="shared" si="5558"/>
        <v>9.9999999999999998E-20</v>
      </c>
      <c r="AD8499" s="90"/>
      <c r="AE8499" s="188"/>
      <c r="AF8499" s="189"/>
      <c r="AG8499" s="189"/>
      <c r="AH8499" s="189"/>
      <c r="AI8499" s="161"/>
    </row>
    <row r="8500" spans="1:41" ht="20.100000000000001" customHeight="1" x14ac:dyDescent="0.25">
      <c r="A8500" s="277" t="s">
        <v>703</v>
      </c>
      <c r="B8500" s="278"/>
      <c r="C8500" s="64" t="s">
        <v>764</v>
      </c>
      <c r="D8500" s="46" t="s">
        <v>97</v>
      </c>
      <c r="E8500" s="114"/>
      <c r="F8500" s="44">
        <v>0</v>
      </c>
      <c r="G8500" s="44">
        <f t="shared" si="5545"/>
        <v>0</v>
      </c>
      <c r="H8500" s="44">
        <f t="shared" si="5546"/>
        <v>0</v>
      </c>
      <c r="I8500" s="43">
        <f t="shared" si="5547"/>
        <v>0</v>
      </c>
      <c r="J8500" s="112">
        <f t="shared" si="5548"/>
        <v>0</v>
      </c>
      <c r="K8500" s="211">
        <f t="shared" si="5549"/>
        <v>0</v>
      </c>
      <c r="L8500" s="44"/>
      <c r="M8500" s="44">
        <f t="shared" si="5550"/>
        <v>0</v>
      </c>
      <c r="N8500" s="173">
        <f t="shared" si="5551"/>
        <v>0</v>
      </c>
      <c r="O8500" s="44">
        <f t="shared" si="5552"/>
        <v>0</v>
      </c>
      <c r="P8500" s="44">
        <f t="shared" si="5553"/>
        <v>0</v>
      </c>
      <c r="Q8500" s="44">
        <f t="shared" si="5554"/>
        <v>0</v>
      </c>
      <c r="R8500" s="44">
        <f t="shared" si="5555"/>
        <v>0</v>
      </c>
      <c r="S8500" s="123"/>
      <c r="T8500" s="219">
        <f t="shared" si="5556"/>
        <v>0</v>
      </c>
      <c r="U8500" s="87"/>
      <c r="V8500" s="47"/>
      <c r="W8500" s="48"/>
      <c r="X8500" s="48"/>
      <c r="Y8500" s="48"/>
      <c r="Z8500" s="135"/>
      <c r="AA8500" s="49"/>
      <c r="AB8500" s="50">
        <f t="shared" si="5557"/>
        <v>0</v>
      </c>
      <c r="AC8500" s="42">
        <f t="shared" si="5558"/>
        <v>9.9999999999999998E-20</v>
      </c>
      <c r="AD8500" s="90"/>
      <c r="AE8500" s="188"/>
      <c r="AF8500" s="189"/>
      <c r="AG8500" s="189"/>
      <c r="AH8500" s="189"/>
      <c r="AI8500" s="161"/>
    </row>
    <row r="8501" spans="1:41" ht="20.100000000000001" customHeight="1" x14ac:dyDescent="0.25">
      <c r="A8501" s="277" t="s">
        <v>703</v>
      </c>
      <c r="B8501" s="278"/>
      <c r="C8501" s="64" t="s">
        <v>765</v>
      </c>
      <c r="D8501" s="46" t="s">
        <v>97</v>
      </c>
      <c r="E8501" s="114"/>
      <c r="F8501" s="44">
        <v>0</v>
      </c>
      <c r="G8501" s="44">
        <f t="shared" si="5545"/>
        <v>0</v>
      </c>
      <c r="H8501" s="44">
        <f t="shared" si="5546"/>
        <v>0</v>
      </c>
      <c r="I8501" s="43">
        <f t="shared" si="5547"/>
        <v>0</v>
      </c>
      <c r="J8501" s="112">
        <f t="shared" si="5548"/>
        <v>0</v>
      </c>
      <c r="K8501" s="211">
        <f t="shared" si="5549"/>
        <v>0</v>
      </c>
      <c r="L8501" s="44"/>
      <c r="M8501" s="44">
        <f t="shared" si="5550"/>
        <v>0</v>
      </c>
      <c r="N8501" s="173">
        <f t="shared" si="5551"/>
        <v>0</v>
      </c>
      <c r="O8501" s="44">
        <f t="shared" si="5552"/>
        <v>0</v>
      </c>
      <c r="P8501" s="44">
        <f t="shared" si="5553"/>
        <v>0</v>
      </c>
      <c r="Q8501" s="44">
        <f t="shared" si="5554"/>
        <v>0</v>
      </c>
      <c r="R8501" s="44">
        <f t="shared" si="5555"/>
        <v>0</v>
      </c>
      <c r="S8501" s="123"/>
      <c r="T8501" s="219">
        <f t="shared" si="5556"/>
        <v>0</v>
      </c>
      <c r="U8501" s="87"/>
      <c r="V8501" s="47"/>
      <c r="W8501" s="48"/>
      <c r="X8501" s="48"/>
      <c r="Y8501" s="48"/>
      <c r="Z8501" s="135"/>
      <c r="AA8501" s="49"/>
      <c r="AB8501" s="50">
        <f t="shared" si="5557"/>
        <v>0</v>
      </c>
      <c r="AC8501" s="42">
        <f t="shared" si="5558"/>
        <v>9.9999999999999998E-20</v>
      </c>
      <c r="AD8501" s="90"/>
      <c r="AE8501" s="188"/>
      <c r="AF8501" s="189"/>
      <c r="AG8501" s="189"/>
      <c r="AH8501" s="189"/>
      <c r="AI8501" s="161"/>
    </row>
    <row r="8502" spans="1:41" ht="20.100000000000001" customHeight="1" x14ac:dyDescent="0.25">
      <c r="A8502" s="277" t="s">
        <v>703</v>
      </c>
      <c r="B8502" s="278"/>
      <c r="C8502" s="64" t="s">
        <v>766</v>
      </c>
      <c r="D8502" s="46" t="s">
        <v>97</v>
      </c>
      <c r="E8502" s="114">
        <v>9.2248500000000035</v>
      </c>
      <c r="F8502" s="44">
        <v>6704</v>
      </c>
      <c r="G8502" s="44">
        <f t="shared" si="5545"/>
        <v>61843.394400000027</v>
      </c>
      <c r="H8502" s="44">
        <f t="shared" si="5546"/>
        <v>5279.8492094117646</v>
      </c>
      <c r="I8502" s="43">
        <f t="shared" si="5547"/>
        <v>48705.816979442134</v>
      </c>
      <c r="J8502" s="112">
        <f t="shared" si="5548"/>
        <v>9.2248500000000035</v>
      </c>
      <c r="K8502" s="211">
        <f t="shared" si="5549"/>
        <v>9.2248500000000035</v>
      </c>
      <c r="L8502" s="44"/>
      <c r="M8502" s="44">
        <f t="shared" si="5550"/>
        <v>9.2248500000000035</v>
      </c>
      <c r="N8502" s="173">
        <f t="shared" si="5551"/>
        <v>1</v>
      </c>
      <c r="O8502" s="44">
        <f t="shared" si="5552"/>
        <v>6704</v>
      </c>
      <c r="P8502" s="44">
        <f t="shared" si="5553"/>
        <v>61843.394400000027</v>
      </c>
      <c r="Q8502" s="44">
        <f t="shared" si="5554"/>
        <v>5279.8492094117646</v>
      </c>
      <c r="R8502" s="44">
        <f t="shared" si="5555"/>
        <v>48705.816979442134</v>
      </c>
      <c r="S8502" s="123"/>
      <c r="T8502" s="219">
        <f t="shared" si="5556"/>
        <v>48705.816979442134</v>
      </c>
      <c r="U8502" s="87"/>
      <c r="V8502" s="47"/>
      <c r="W8502" s="48"/>
      <c r="X8502" s="48"/>
      <c r="Y8502" s="48"/>
      <c r="Z8502" s="135"/>
      <c r="AA8502" s="49"/>
      <c r="AB8502" s="50">
        <f t="shared" si="5557"/>
        <v>5279.8492094117646</v>
      </c>
      <c r="AC8502" s="42">
        <f t="shared" si="5558"/>
        <v>9.2248500000000035</v>
      </c>
      <c r="AD8502" s="90">
        <f>AD8503+AD8513</f>
        <v>48705.816979442134</v>
      </c>
      <c r="AE8502" s="188">
        <f t="shared" ref="AE8502:AH8502" si="5844">AE8503+AE8513</f>
        <v>0</v>
      </c>
      <c r="AF8502" s="189">
        <f t="shared" si="5844"/>
        <v>0</v>
      </c>
      <c r="AG8502" s="189">
        <f t="shared" si="5844"/>
        <v>0</v>
      </c>
      <c r="AH8502" s="189">
        <f t="shared" si="5844"/>
        <v>0</v>
      </c>
      <c r="AI8502" s="161">
        <f t="shared" ref="AI8502" si="5845">SUM(AE8502:AH8502)</f>
        <v>0</v>
      </c>
      <c r="AK8502" s="169">
        <v>5</v>
      </c>
      <c r="AO8502" s="19" t="s">
        <v>63</v>
      </c>
    </row>
    <row r="8503" spans="1:41" s="103" customFormat="1" ht="19.899999999999999" customHeight="1" x14ac:dyDescent="0.25">
      <c r="A8503" s="51"/>
      <c r="B8503" s="52"/>
      <c r="C8503" s="165"/>
      <c r="D8503" s="52"/>
      <c r="E8503" s="115"/>
      <c r="F8503" s="58"/>
      <c r="G8503" s="58"/>
      <c r="H8503" s="58"/>
      <c r="I8503" s="55"/>
      <c r="J8503" s="113">
        <f>J8502</f>
        <v>9.2248500000000035</v>
      </c>
      <c r="K8503" s="212">
        <f>K8502</f>
        <v>9.2248500000000035</v>
      </c>
      <c r="L8503" s="58"/>
      <c r="M8503" s="58">
        <f>K8503-L8503</f>
        <v>9.2248500000000035</v>
      </c>
      <c r="N8503" s="166"/>
      <c r="O8503" s="58"/>
      <c r="P8503" s="58"/>
      <c r="Q8503" s="58"/>
      <c r="R8503" s="58"/>
      <c r="S8503" s="58"/>
      <c r="T8503" s="220"/>
      <c r="U8503" s="88"/>
      <c r="V8503" s="56"/>
      <c r="W8503" s="57" t="s">
        <v>1140</v>
      </c>
      <c r="X8503" s="53"/>
      <c r="Y8503" s="91" t="s">
        <v>68</v>
      </c>
      <c r="Z8503" s="136">
        <f>AD8503/AC8503</f>
        <v>115.29920941176471</v>
      </c>
      <c r="AA8503" s="58"/>
      <c r="AB8503" s="53">
        <f>AD8503/AC8503</f>
        <v>115.29920941176471</v>
      </c>
      <c r="AC8503" s="53">
        <f>M8503+$AE$10</f>
        <v>9.2248500000000035</v>
      </c>
      <c r="AD8503" s="54">
        <f>SUM(AD8504:AD8512)</f>
        <v>1063.6179119421181</v>
      </c>
      <c r="AE8503" s="184">
        <f>SUMIFS($AD$37:$AD$12971,$V$37:$V$12971,$V8503,$X$37:$X$12971,AE$13)</f>
        <v>0</v>
      </c>
      <c r="AF8503" s="185">
        <f>SUMIFS($AD$37:$AD$12971,$V$37:$V$12971,$V8503,$X$37:$X$12971,AF$13)</f>
        <v>0</v>
      </c>
      <c r="AG8503" s="185">
        <f>SUMIFS($AD$37:$AD$12971,$V$37:$V$12971,$V8503,$X$37:$X$12971,AG$13)</f>
        <v>0</v>
      </c>
      <c r="AH8503" s="187">
        <f>SUMIFS($AD$37:$AD$12971,$V$37:$V$12971,$V8503,$X$37:$X$12971,AH$13)</f>
        <v>0</v>
      </c>
      <c r="AI8503" s="161">
        <f t="shared" ref="AI8503" si="5846">SUM(AE8503:AH8503)</f>
        <v>0</v>
      </c>
      <c r="AK8503" s="172"/>
    </row>
    <row r="8504" spans="1:41" s="102" customFormat="1" ht="19.899999999999999" customHeight="1" x14ac:dyDescent="0.25">
      <c r="A8504" s="45"/>
      <c r="B8504" s="59"/>
      <c r="C8504" s="137"/>
      <c r="D8504" s="59"/>
      <c r="E8504" s="116"/>
      <c r="F8504" s="120"/>
      <c r="G8504" s="120"/>
      <c r="H8504" s="120"/>
      <c r="I8504" s="60"/>
      <c r="J8504" s="116"/>
      <c r="K8504" s="213"/>
      <c r="L8504" s="120"/>
      <c r="M8504" s="120"/>
      <c r="N8504" s="167"/>
      <c r="O8504" s="120"/>
      <c r="P8504" s="120"/>
      <c r="Q8504" s="120"/>
      <c r="R8504" s="120"/>
      <c r="S8504" s="120"/>
      <c r="T8504" s="221"/>
      <c r="U8504" s="89"/>
      <c r="V8504" s="61"/>
      <c r="W8504" s="92" t="s">
        <v>129</v>
      </c>
      <c r="X8504" s="93" t="s">
        <v>29</v>
      </c>
      <c r="Y8504" s="93" t="s">
        <v>93</v>
      </c>
      <c r="Z8504" s="134">
        <f>VLOOKUP(W8504,Sheet2!$B:$D,3,FALSE)</f>
        <v>56</v>
      </c>
      <c r="AA8504" s="93">
        <f>100/(3.9*3)</f>
        <v>8.5470085470085468</v>
      </c>
      <c r="AB8504" s="93">
        <f t="shared" ref="AB8504" si="5847">AD8504/AC8503</f>
        <v>6.5520000000000005</v>
      </c>
      <c r="AC8504" s="93">
        <f>AC8503/AA8504</f>
        <v>1.0793074500000004</v>
      </c>
      <c r="AD8504" s="94">
        <f t="shared" ref="AD8504:AD8505" si="5848">AC8504*Z8504</f>
        <v>60.441217200000025</v>
      </c>
      <c r="AE8504" s="190"/>
      <c r="AF8504" s="191"/>
      <c r="AG8504" s="191"/>
      <c r="AH8504" s="191"/>
      <c r="AI8504" s="186"/>
      <c r="AK8504" s="171"/>
    </row>
    <row r="8505" spans="1:41" s="102" customFormat="1" ht="19.899999999999999" customHeight="1" x14ac:dyDescent="0.25">
      <c r="A8505" s="45"/>
      <c r="B8505" s="59"/>
      <c r="C8505" s="137"/>
      <c r="D8505" s="59"/>
      <c r="E8505" s="116"/>
      <c r="F8505" s="120"/>
      <c r="G8505" s="120"/>
      <c r="H8505" s="120"/>
      <c r="I8505" s="60"/>
      <c r="J8505" s="116"/>
      <c r="K8505" s="213"/>
      <c r="L8505" s="120"/>
      <c r="M8505" s="120"/>
      <c r="N8505" s="167"/>
      <c r="O8505" s="120"/>
      <c r="P8505" s="120"/>
      <c r="Q8505" s="120"/>
      <c r="R8505" s="120"/>
      <c r="S8505" s="120"/>
      <c r="T8505" s="221"/>
      <c r="U8505" s="89"/>
      <c r="V8505" s="61"/>
      <c r="W8505" s="92" t="s">
        <v>65</v>
      </c>
      <c r="X8505" s="93" t="s">
        <v>30</v>
      </c>
      <c r="Y8505" s="93" t="s">
        <v>1011</v>
      </c>
      <c r="Z8505" s="134">
        <f>VLOOKUP(W8505,Sheet2!$B:$D,3,FALSE)</f>
        <v>1.76</v>
      </c>
      <c r="AA8505" s="93">
        <f>AA8504/14</f>
        <v>0.61050061050061044</v>
      </c>
      <c r="AB8505" s="93">
        <f>AD8505/AC8503</f>
        <v>2.8828800000000001</v>
      </c>
      <c r="AC8505" s="93">
        <f>AC8503/AA8505</f>
        <v>15.110304300000008</v>
      </c>
      <c r="AD8505" s="94">
        <f t="shared" si="5848"/>
        <v>26.594135568000013</v>
      </c>
      <c r="AE8505" s="190"/>
      <c r="AF8505" s="191"/>
      <c r="AG8505" s="191"/>
      <c r="AH8505" s="191"/>
      <c r="AI8505" s="186"/>
      <c r="AK8505" s="171"/>
    </row>
    <row r="8506" spans="1:41" s="102" customFormat="1" ht="19.899999999999999" customHeight="1" x14ac:dyDescent="0.25">
      <c r="A8506" s="45"/>
      <c r="B8506" s="59"/>
      <c r="C8506" s="137"/>
      <c r="D8506" s="59"/>
      <c r="E8506" s="116"/>
      <c r="F8506" s="120"/>
      <c r="G8506" s="120"/>
      <c r="H8506" s="120"/>
      <c r="I8506" s="60"/>
      <c r="J8506" s="116"/>
      <c r="K8506" s="213"/>
      <c r="L8506" s="120"/>
      <c r="M8506" s="120"/>
      <c r="N8506" s="167"/>
      <c r="O8506" s="120"/>
      <c r="P8506" s="120"/>
      <c r="Q8506" s="120"/>
      <c r="R8506" s="120"/>
      <c r="S8506" s="120"/>
      <c r="T8506" s="221"/>
      <c r="U8506" s="89"/>
      <c r="V8506" s="61"/>
      <c r="W8506" s="92" t="s">
        <v>161</v>
      </c>
      <c r="X8506" s="93" t="s">
        <v>29</v>
      </c>
      <c r="Y8506" s="93" t="s">
        <v>93</v>
      </c>
      <c r="Z8506" s="134">
        <f>VLOOKUP(W8506,Sheet2!$B:$D,3,FALSE)</f>
        <v>48</v>
      </c>
      <c r="AA8506" s="93">
        <f>(16*0.85*1.5)/(3.9*3)</f>
        <v>1.7435897435897436</v>
      </c>
      <c r="AB8506" s="93">
        <f>AD8506/AC8503</f>
        <v>27.52941176470588</v>
      </c>
      <c r="AC8506" s="93">
        <f>AC8503/AA8506</f>
        <v>5.2907227941176487</v>
      </c>
      <c r="AD8506" s="94">
        <f>AC8506*Z8506</f>
        <v>253.95469411764714</v>
      </c>
      <c r="AE8506" s="190"/>
      <c r="AF8506" s="191"/>
      <c r="AG8506" s="191"/>
      <c r="AH8506" s="191"/>
      <c r="AI8506" s="186"/>
      <c r="AK8506" s="171"/>
    </row>
    <row r="8507" spans="1:41" s="102" customFormat="1" ht="19.899999999999999" customHeight="1" x14ac:dyDescent="0.25">
      <c r="A8507" s="45"/>
      <c r="B8507" s="59"/>
      <c r="C8507" s="137"/>
      <c r="D8507" s="59"/>
      <c r="E8507" s="116"/>
      <c r="F8507" s="120"/>
      <c r="G8507" s="120"/>
      <c r="H8507" s="120"/>
      <c r="I8507" s="60"/>
      <c r="J8507" s="116"/>
      <c r="K8507" s="213"/>
      <c r="L8507" s="120"/>
      <c r="M8507" s="120"/>
      <c r="N8507" s="167"/>
      <c r="O8507" s="120"/>
      <c r="P8507" s="120"/>
      <c r="Q8507" s="120"/>
      <c r="R8507" s="120"/>
      <c r="S8507" s="120"/>
      <c r="T8507" s="221"/>
      <c r="U8507" s="89"/>
      <c r="V8507" s="61"/>
      <c r="W8507" s="92" t="s">
        <v>65</v>
      </c>
      <c r="X8507" s="93" t="s">
        <v>30</v>
      </c>
      <c r="Y8507" s="93" t="s">
        <v>1011</v>
      </c>
      <c r="Z8507" s="134">
        <f>VLOOKUP(W8507,Sheet2!$B:$D,3,FALSE)</f>
        <v>1.76</v>
      </c>
      <c r="AA8507" s="93">
        <f>AA8506/10</f>
        <v>0.17435897435897435</v>
      </c>
      <c r="AB8507" s="93">
        <f>AD8507/AC8503</f>
        <v>10.094117647058825</v>
      </c>
      <c r="AC8507" s="93">
        <f>AC8503/AA8507</f>
        <v>52.907227941176494</v>
      </c>
      <c r="AD8507" s="94">
        <f>AC8507*Z8507</f>
        <v>93.116721176470634</v>
      </c>
      <c r="AE8507" s="190"/>
      <c r="AF8507" s="191"/>
      <c r="AG8507" s="191"/>
      <c r="AH8507" s="191"/>
      <c r="AI8507" s="186"/>
      <c r="AK8507" s="171"/>
    </row>
    <row r="8508" spans="1:41" s="102" customFormat="1" ht="19.899999999999999" customHeight="1" x14ac:dyDescent="0.25">
      <c r="A8508" s="45"/>
      <c r="B8508" s="59"/>
      <c r="C8508" s="137"/>
      <c r="D8508" s="59"/>
      <c r="E8508" s="116"/>
      <c r="F8508" s="120"/>
      <c r="G8508" s="120"/>
      <c r="H8508" s="120"/>
      <c r="I8508" s="60"/>
      <c r="J8508" s="116"/>
      <c r="K8508" s="213"/>
      <c r="L8508" s="120"/>
      <c r="M8508" s="120"/>
      <c r="N8508" s="167"/>
      <c r="O8508" s="120"/>
      <c r="P8508" s="120"/>
      <c r="Q8508" s="120"/>
      <c r="R8508" s="120"/>
      <c r="S8508" s="120"/>
      <c r="T8508" s="221"/>
      <c r="U8508" s="89"/>
      <c r="V8508" s="61"/>
      <c r="W8508" s="92" t="s">
        <v>1030</v>
      </c>
      <c r="X8508" s="93" t="s">
        <v>29</v>
      </c>
      <c r="Y8508" s="93" t="s">
        <v>93</v>
      </c>
      <c r="Z8508" s="134">
        <f>VLOOKUP(W8508,Sheet2!$B:$D,3,FALSE)</f>
        <v>23</v>
      </c>
      <c r="AA8508" s="93">
        <v>50</v>
      </c>
      <c r="AB8508" s="93">
        <f>AD8508/AC8503</f>
        <v>0.46</v>
      </c>
      <c r="AC8508" s="93">
        <f>AC8503/AA8508</f>
        <v>0.18449700000000008</v>
      </c>
      <c r="AD8508" s="94">
        <f t="shared" ref="AD8508:AD8512" si="5849">AC8508*Z8508</f>
        <v>4.243431000000002</v>
      </c>
      <c r="AE8508" s="190"/>
      <c r="AF8508" s="191"/>
      <c r="AG8508" s="191"/>
      <c r="AH8508" s="191"/>
      <c r="AI8508" s="186"/>
      <c r="AK8508" s="171"/>
    </row>
    <row r="8509" spans="1:41" s="102" customFormat="1" ht="19.899999999999999" customHeight="1" x14ac:dyDescent="0.25">
      <c r="A8509" s="45"/>
      <c r="B8509" s="59"/>
      <c r="C8509" s="137"/>
      <c r="D8509" s="59"/>
      <c r="E8509" s="116"/>
      <c r="F8509" s="120"/>
      <c r="G8509" s="120"/>
      <c r="H8509" s="120"/>
      <c r="I8509" s="60"/>
      <c r="J8509" s="116"/>
      <c r="K8509" s="213"/>
      <c r="L8509" s="120"/>
      <c r="M8509" s="120"/>
      <c r="N8509" s="167"/>
      <c r="O8509" s="120"/>
      <c r="P8509" s="120"/>
      <c r="Q8509" s="120"/>
      <c r="R8509" s="120"/>
      <c r="S8509" s="120"/>
      <c r="T8509" s="221"/>
      <c r="U8509" s="89"/>
      <c r="V8509" s="61"/>
      <c r="W8509" s="92" t="s">
        <v>65</v>
      </c>
      <c r="X8509" s="93" t="s">
        <v>30</v>
      </c>
      <c r="Y8509" s="93" t="s">
        <v>1011</v>
      </c>
      <c r="Z8509" s="134">
        <f>VLOOKUP(W8509,Sheet2!$B:$D,3,FALSE)</f>
        <v>1.76</v>
      </c>
      <c r="AA8509" s="93">
        <f>AA8508/3</f>
        <v>16.666666666666668</v>
      </c>
      <c r="AB8509" s="93">
        <f>AD8509/AC8503</f>
        <v>0.1056</v>
      </c>
      <c r="AC8509" s="93">
        <f>AC8503/AA8509</f>
        <v>0.55349100000000018</v>
      </c>
      <c r="AD8509" s="94">
        <f t="shared" si="5849"/>
        <v>0.97414416000000037</v>
      </c>
      <c r="AE8509" s="190"/>
      <c r="AF8509" s="191"/>
      <c r="AG8509" s="191"/>
      <c r="AH8509" s="191"/>
      <c r="AI8509" s="186"/>
      <c r="AK8509" s="171"/>
    </row>
    <row r="8510" spans="1:41" s="102" customFormat="1" ht="19.899999999999999" customHeight="1" x14ac:dyDescent="0.25">
      <c r="A8510" s="45"/>
      <c r="B8510" s="59"/>
      <c r="C8510" s="137"/>
      <c r="D8510" s="59"/>
      <c r="E8510" s="116"/>
      <c r="F8510" s="120"/>
      <c r="G8510" s="120"/>
      <c r="H8510" s="120"/>
      <c r="I8510" s="60"/>
      <c r="J8510" s="116"/>
      <c r="K8510" s="213"/>
      <c r="L8510" s="120"/>
      <c r="M8510" s="120"/>
      <c r="N8510" s="167"/>
      <c r="O8510" s="120"/>
      <c r="P8510" s="120"/>
      <c r="Q8510" s="120"/>
      <c r="R8510" s="120"/>
      <c r="S8510" s="120"/>
      <c r="T8510" s="221"/>
      <c r="U8510" s="89"/>
      <c r="V8510" s="61"/>
      <c r="W8510" s="92" t="s">
        <v>148</v>
      </c>
      <c r="X8510" s="93" t="s">
        <v>29</v>
      </c>
      <c r="Y8510" s="93" t="s">
        <v>93</v>
      </c>
      <c r="Z8510" s="134">
        <f>VLOOKUP(W8510,Sheet2!$B:$D,3,FALSE)</f>
        <v>48</v>
      </c>
      <c r="AA8510" s="93">
        <f>AA8504</f>
        <v>8.5470085470085468</v>
      </c>
      <c r="AB8510" s="93">
        <f>AD8510/AC8503</f>
        <v>5.6159999999999997</v>
      </c>
      <c r="AC8510" s="93">
        <f>AC8503/AA8510</f>
        <v>1.0793074500000004</v>
      </c>
      <c r="AD8510" s="94">
        <f t="shared" si="5849"/>
        <v>51.806757600000019</v>
      </c>
      <c r="AE8510" s="190"/>
      <c r="AF8510" s="191"/>
      <c r="AG8510" s="191"/>
      <c r="AH8510" s="191"/>
      <c r="AI8510" s="186"/>
      <c r="AK8510" s="171"/>
    </row>
    <row r="8511" spans="1:41" s="102" customFormat="1" ht="19.899999999999999" customHeight="1" x14ac:dyDescent="0.25">
      <c r="A8511" s="45"/>
      <c r="B8511" s="59"/>
      <c r="C8511" s="137"/>
      <c r="D8511" s="59"/>
      <c r="E8511" s="116"/>
      <c r="F8511" s="120"/>
      <c r="G8511" s="120"/>
      <c r="H8511" s="120"/>
      <c r="I8511" s="60"/>
      <c r="J8511" s="116"/>
      <c r="K8511" s="213"/>
      <c r="L8511" s="120"/>
      <c r="M8511" s="120"/>
      <c r="N8511" s="167"/>
      <c r="O8511" s="120"/>
      <c r="P8511" s="120"/>
      <c r="Q8511" s="120"/>
      <c r="R8511" s="120"/>
      <c r="S8511" s="120"/>
      <c r="T8511" s="221"/>
      <c r="U8511" s="89"/>
      <c r="V8511" s="61"/>
      <c r="W8511" s="92" t="s">
        <v>65</v>
      </c>
      <c r="X8511" s="93" t="s">
        <v>30</v>
      </c>
      <c r="Y8511" s="93" t="s">
        <v>1011</v>
      </c>
      <c r="Z8511" s="134">
        <f>VLOOKUP(W8511,Sheet2!$B:$D,3,FALSE)</f>
        <v>1.76</v>
      </c>
      <c r="AA8511" s="93">
        <f>AA8510/10</f>
        <v>0.85470085470085466</v>
      </c>
      <c r="AB8511" s="93">
        <f>AD8511/AC8503</f>
        <v>2.0592000000000001</v>
      </c>
      <c r="AC8511" s="93">
        <f>AC8503/AA8511</f>
        <v>10.793074500000005</v>
      </c>
      <c r="AD8511" s="94">
        <f t="shared" si="5849"/>
        <v>18.99581112000001</v>
      </c>
      <c r="AE8511" s="190"/>
      <c r="AF8511" s="191"/>
      <c r="AG8511" s="191"/>
      <c r="AH8511" s="191"/>
      <c r="AI8511" s="186"/>
      <c r="AK8511" s="171"/>
    </row>
    <row r="8512" spans="1:41" s="102" customFormat="1" ht="19.899999999999999" customHeight="1" x14ac:dyDescent="0.25">
      <c r="A8512" s="45"/>
      <c r="B8512" s="59"/>
      <c r="C8512" s="137"/>
      <c r="D8512" s="59"/>
      <c r="E8512" s="116"/>
      <c r="F8512" s="120"/>
      <c r="G8512" s="120"/>
      <c r="H8512" s="120"/>
      <c r="I8512" s="60"/>
      <c r="J8512" s="116"/>
      <c r="K8512" s="213"/>
      <c r="L8512" s="120"/>
      <c r="M8512" s="120"/>
      <c r="N8512" s="167"/>
      <c r="O8512" s="120"/>
      <c r="P8512" s="120"/>
      <c r="Q8512" s="120"/>
      <c r="R8512" s="120"/>
      <c r="S8512" s="120"/>
      <c r="T8512" s="221"/>
      <c r="U8512" s="89"/>
      <c r="V8512" s="61"/>
      <c r="W8512" s="92" t="s">
        <v>1049</v>
      </c>
      <c r="X8512" s="93" t="s">
        <v>30</v>
      </c>
      <c r="Y8512" s="93" t="s">
        <v>68</v>
      </c>
      <c r="Z8512" s="134">
        <f>VLOOKUP(W8512,Sheet2!$B:$D,3,FALSE)</f>
        <v>60</v>
      </c>
      <c r="AA8512" s="93">
        <v>1</v>
      </c>
      <c r="AB8512" s="93">
        <f>AD8512/AC8503</f>
        <v>60</v>
      </c>
      <c r="AC8512" s="93">
        <f>AC8503/AA8512</f>
        <v>9.2248500000000035</v>
      </c>
      <c r="AD8512" s="94">
        <f t="shared" si="5849"/>
        <v>553.49100000000021</v>
      </c>
      <c r="AE8512" s="190"/>
      <c r="AF8512" s="191"/>
      <c r="AG8512" s="191"/>
      <c r="AH8512" s="191"/>
      <c r="AI8512" s="186"/>
      <c r="AK8512" s="171"/>
    </row>
    <row r="8513" spans="1:41" s="103" customFormat="1" ht="19.899999999999999" customHeight="1" x14ac:dyDescent="0.25">
      <c r="A8513" s="51"/>
      <c r="B8513" s="52"/>
      <c r="C8513" s="165"/>
      <c r="D8513" s="52"/>
      <c r="E8513" s="115"/>
      <c r="F8513" s="58"/>
      <c r="G8513" s="58"/>
      <c r="H8513" s="58"/>
      <c r="I8513" s="55"/>
      <c r="J8513" s="113">
        <f>J8502</f>
        <v>9.2248500000000035</v>
      </c>
      <c r="K8513" s="212">
        <f>K8502</f>
        <v>9.2248500000000035</v>
      </c>
      <c r="L8513" s="58"/>
      <c r="M8513" s="58">
        <f>K8513-L8513</f>
        <v>9.2248500000000035</v>
      </c>
      <c r="N8513" s="166"/>
      <c r="O8513" s="58"/>
      <c r="P8513" s="58"/>
      <c r="Q8513" s="58"/>
      <c r="R8513" s="58"/>
      <c r="S8513" s="58"/>
      <c r="T8513" s="220"/>
      <c r="U8513" s="88"/>
      <c r="V8513" s="56"/>
      <c r="W8513" s="57" t="s">
        <v>1141</v>
      </c>
      <c r="X8513" s="53"/>
      <c r="Y8513" s="91" t="s">
        <v>68</v>
      </c>
      <c r="Z8513" s="136">
        <f>AD8513/AC8513</f>
        <v>5164.5499999999993</v>
      </c>
      <c r="AA8513" s="58"/>
      <c r="AB8513" s="53">
        <f>AD8513/AC8513</f>
        <v>5164.5499999999993</v>
      </c>
      <c r="AC8513" s="53">
        <f>M8513+$AE$10</f>
        <v>9.2248500000000035</v>
      </c>
      <c r="AD8513" s="54">
        <f>SUM(AD8514:AD8517)</f>
        <v>47642.199067500012</v>
      </c>
      <c r="AE8513" s="184">
        <f>SUMIFS($AD$37:$AD$12971,$V$37:$V$12971,$V8513,$X$37:$X$12971,AE$13)</f>
        <v>0</v>
      </c>
      <c r="AF8513" s="185">
        <f>SUMIFS($AD$37:$AD$12971,$V$37:$V$12971,$V8513,$X$37:$X$12971,AF$13)</f>
        <v>0</v>
      </c>
      <c r="AG8513" s="185">
        <f>SUMIFS($AD$37:$AD$12971,$V$37:$V$12971,$V8513,$X$37:$X$12971,AG$13)</f>
        <v>0</v>
      </c>
      <c r="AH8513" s="187">
        <f>SUMIFS($AD$37:$AD$12971,$V$37:$V$12971,$V8513,$X$37:$X$12971,AH$13)</f>
        <v>0</v>
      </c>
      <c r="AI8513" s="161">
        <f t="shared" ref="AI8513" si="5850">SUM(AE8513:AH8513)</f>
        <v>0</v>
      </c>
      <c r="AK8513" s="172"/>
    </row>
    <row r="8514" spans="1:41" s="102" customFormat="1" ht="19.899999999999999" customHeight="1" x14ac:dyDescent="0.25">
      <c r="A8514" s="45"/>
      <c r="B8514" s="59"/>
      <c r="C8514" s="137"/>
      <c r="D8514" s="59"/>
      <c r="E8514" s="116"/>
      <c r="F8514" s="120"/>
      <c r="G8514" s="120"/>
      <c r="H8514" s="120"/>
      <c r="I8514" s="60"/>
      <c r="J8514" s="116"/>
      <c r="K8514" s="213"/>
      <c r="L8514" s="120"/>
      <c r="M8514" s="120"/>
      <c r="N8514" s="167"/>
      <c r="O8514" s="120"/>
      <c r="P8514" s="120"/>
      <c r="Q8514" s="120"/>
      <c r="R8514" s="120"/>
      <c r="S8514" s="120"/>
      <c r="T8514" s="221"/>
      <c r="U8514" s="89"/>
      <c r="V8514" s="61"/>
      <c r="W8514" s="92" t="s">
        <v>1105</v>
      </c>
      <c r="X8514" s="93" t="s">
        <v>30</v>
      </c>
      <c r="Y8514" s="93" t="s">
        <v>66</v>
      </c>
      <c r="Z8514" s="134">
        <f>VLOOKUP(W8514,Sheet2!$B:$D,3,FALSE)</f>
        <v>2200</v>
      </c>
      <c r="AA8514" s="93">
        <f>1/((3.1*1.4)-(2.5*0.8))</f>
        <v>0.42735042735042739</v>
      </c>
      <c r="AB8514" s="93">
        <f>AD8514/AC8513</f>
        <v>5147.9999999999991</v>
      </c>
      <c r="AC8514" s="93">
        <f>AC8513/AA8514</f>
        <v>21.586149000000006</v>
      </c>
      <c r="AD8514" s="94">
        <f t="shared" ref="AD8514" si="5851">AC8514*Z8514</f>
        <v>47489.527800000011</v>
      </c>
      <c r="AE8514" s="190"/>
      <c r="AF8514" s="191"/>
      <c r="AG8514" s="191"/>
      <c r="AH8514" s="191"/>
      <c r="AI8514" s="186"/>
      <c r="AK8514" s="171"/>
    </row>
    <row r="8515" spans="1:41" s="102" customFormat="1" ht="19.899999999999999" customHeight="1" x14ac:dyDescent="0.25">
      <c r="A8515" s="45"/>
      <c r="B8515" s="59"/>
      <c r="C8515" s="137"/>
      <c r="D8515" s="59"/>
      <c r="E8515" s="116"/>
      <c r="F8515" s="120"/>
      <c r="G8515" s="120"/>
      <c r="H8515" s="120"/>
      <c r="I8515" s="60"/>
      <c r="J8515" s="116"/>
      <c r="K8515" s="213"/>
      <c r="L8515" s="120"/>
      <c r="M8515" s="120"/>
      <c r="N8515" s="167"/>
      <c r="O8515" s="120"/>
      <c r="P8515" s="120"/>
      <c r="Q8515" s="120"/>
      <c r="R8515" s="120"/>
      <c r="S8515" s="120"/>
      <c r="T8515" s="221"/>
      <c r="U8515" s="89"/>
      <c r="V8515" s="61"/>
      <c r="W8515" s="92" t="s">
        <v>174</v>
      </c>
      <c r="X8515" s="93" t="s">
        <v>29</v>
      </c>
      <c r="Y8515" s="93" t="s">
        <v>93</v>
      </c>
      <c r="Z8515" s="134">
        <f>VLOOKUP(W8515,Sheet2!$B:$D,3,FALSE)</f>
        <v>80</v>
      </c>
      <c r="AA8515" s="93">
        <f>4*2</f>
        <v>8</v>
      </c>
      <c r="AB8515" s="93">
        <f>AD8515/AC8513</f>
        <v>10</v>
      </c>
      <c r="AC8515" s="93">
        <f>AC8513/AA8515</f>
        <v>1.1531062500000004</v>
      </c>
      <c r="AD8515" s="94">
        <f>AC8515*Z8515</f>
        <v>92.248500000000035</v>
      </c>
      <c r="AE8515" s="190"/>
      <c r="AF8515" s="191"/>
      <c r="AG8515" s="191"/>
      <c r="AH8515" s="191"/>
      <c r="AI8515" s="186"/>
      <c r="AK8515" s="171"/>
    </row>
    <row r="8516" spans="1:41" s="102" customFormat="1" ht="19.899999999999999" customHeight="1" x14ac:dyDescent="0.25">
      <c r="A8516" s="45"/>
      <c r="B8516" s="59"/>
      <c r="C8516" s="137"/>
      <c r="D8516" s="59"/>
      <c r="E8516" s="116"/>
      <c r="F8516" s="120"/>
      <c r="G8516" s="120"/>
      <c r="H8516" s="120"/>
      <c r="I8516" s="60"/>
      <c r="J8516" s="116"/>
      <c r="K8516" s="213"/>
      <c r="L8516" s="120"/>
      <c r="M8516" s="120"/>
      <c r="N8516" s="167"/>
      <c r="O8516" s="120"/>
      <c r="P8516" s="120"/>
      <c r="Q8516" s="120"/>
      <c r="R8516" s="120"/>
      <c r="S8516" s="120"/>
      <c r="T8516" s="221"/>
      <c r="U8516" s="89"/>
      <c r="V8516" s="61"/>
      <c r="W8516" s="92" t="s">
        <v>65</v>
      </c>
      <c r="X8516" s="93" t="s">
        <v>30</v>
      </c>
      <c r="Y8516" s="93" t="s">
        <v>1011</v>
      </c>
      <c r="Z8516" s="134">
        <f>VLOOKUP(W8516,Sheet2!$B:$D,3,FALSE)</f>
        <v>1.76</v>
      </c>
      <c r="AA8516" s="93">
        <f>AA8515/15</f>
        <v>0.53333333333333333</v>
      </c>
      <c r="AB8516" s="93">
        <f>AD8516/AC8513</f>
        <v>3.3000000000000003</v>
      </c>
      <c r="AC8516" s="93">
        <f>AC8513/AA8516</f>
        <v>17.296593750000007</v>
      </c>
      <c r="AD8516" s="94">
        <f t="shared" ref="AD8516" si="5852">AC8516*Z8516</f>
        <v>30.442005000000012</v>
      </c>
      <c r="AE8516" s="190"/>
      <c r="AF8516" s="191"/>
      <c r="AG8516" s="191"/>
      <c r="AH8516" s="191"/>
      <c r="AI8516" s="186"/>
      <c r="AK8516" s="171"/>
    </row>
    <row r="8517" spans="1:41" s="102" customFormat="1" ht="19.899999999999999" customHeight="1" x14ac:dyDescent="0.25">
      <c r="A8517" s="45"/>
      <c r="B8517" s="59"/>
      <c r="C8517" s="137"/>
      <c r="D8517" s="59"/>
      <c r="E8517" s="116"/>
      <c r="F8517" s="120"/>
      <c r="G8517" s="120"/>
      <c r="H8517" s="120"/>
      <c r="I8517" s="60"/>
      <c r="J8517" s="116"/>
      <c r="K8517" s="213"/>
      <c r="L8517" s="120"/>
      <c r="M8517" s="120"/>
      <c r="N8517" s="167"/>
      <c r="O8517" s="120"/>
      <c r="P8517" s="120"/>
      <c r="Q8517" s="120"/>
      <c r="R8517" s="120"/>
      <c r="S8517" s="120"/>
      <c r="T8517" s="221"/>
      <c r="U8517" s="89"/>
      <c r="V8517" s="61"/>
      <c r="W8517" s="92" t="s">
        <v>112</v>
      </c>
      <c r="X8517" s="93" t="s">
        <v>31</v>
      </c>
      <c r="Y8517" s="93" t="s">
        <v>93</v>
      </c>
      <c r="Z8517" s="134">
        <f>VLOOKUP(W8517,Sheet2!$B:$D,3,FALSE)</f>
        <v>13</v>
      </c>
      <c r="AA8517" s="93">
        <f>AA8515/2</f>
        <v>4</v>
      </c>
      <c r="AB8517" s="93">
        <f>AD8517/AC8513</f>
        <v>3.25</v>
      </c>
      <c r="AC8517" s="93">
        <f>AC8513/AA8517</f>
        <v>2.3062125000000009</v>
      </c>
      <c r="AD8517" s="94">
        <f>AC8517*Z8517</f>
        <v>29.980762500000012</v>
      </c>
      <c r="AE8517" s="190"/>
      <c r="AF8517" s="191"/>
      <c r="AG8517" s="191"/>
      <c r="AH8517" s="191"/>
      <c r="AI8517" s="186"/>
      <c r="AK8517" s="171"/>
    </row>
    <row r="8518" spans="1:41" ht="20.100000000000001" customHeight="1" x14ac:dyDescent="0.25">
      <c r="A8518" s="277" t="s">
        <v>703</v>
      </c>
      <c r="B8518" s="278"/>
      <c r="C8518" s="64" t="s">
        <v>768</v>
      </c>
      <c r="D8518" s="46" t="s">
        <v>97</v>
      </c>
      <c r="E8518" s="114">
        <v>15.961275000000001</v>
      </c>
      <c r="F8518" s="44">
        <v>6976</v>
      </c>
      <c r="G8518" s="44">
        <f t="shared" si="5545"/>
        <v>111345.85440000001</v>
      </c>
      <c r="H8518" s="44">
        <f t="shared" si="5546"/>
        <v>5288.9714776470573</v>
      </c>
      <c r="I8518" s="43">
        <f t="shared" si="5547"/>
        <v>84418.728221881043</v>
      </c>
      <c r="J8518" s="112">
        <f t="shared" si="5548"/>
        <v>15.961275000000001</v>
      </c>
      <c r="K8518" s="211">
        <f t="shared" si="5549"/>
        <v>15.961275000000001</v>
      </c>
      <c r="L8518" s="44"/>
      <c r="M8518" s="44">
        <f t="shared" si="5550"/>
        <v>15.961275000000001</v>
      </c>
      <c r="N8518" s="173">
        <f t="shared" si="5551"/>
        <v>1</v>
      </c>
      <c r="O8518" s="44">
        <f t="shared" si="5552"/>
        <v>6976</v>
      </c>
      <c r="P8518" s="44">
        <f t="shared" si="5553"/>
        <v>111345.85440000001</v>
      </c>
      <c r="Q8518" s="44">
        <f t="shared" si="5554"/>
        <v>5288.9714776470573</v>
      </c>
      <c r="R8518" s="44">
        <f t="shared" si="5555"/>
        <v>84418.728221881043</v>
      </c>
      <c r="S8518" s="123"/>
      <c r="T8518" s="219">
        <f t="shared" si="5556"/>
        <v>84418.728221881043</v>
      </c>
      <c r="U8518" s="87"/>
      <c r="V8518" s="47"/>
      <c r="W8518" s="48"/>
      <c r="X8518" s="48"/>
      <c r="Y8518" s="48"/>
      <c r="Z8518" s="135"/>
      <c r="AA8518" s="49"/>
      <c r="AB8518" s="50">
        <f t="shared" si="5557"/>
        <v>5288.9714776470573</v>
      </c>
      <c r="AC8518" s="42">
        <f t="shared" si="5558"/>
        <v>15.961275000000001</v>
      </c>
      <c r="AD8518" s="90">
        <f>AD8519+AD8529</f>
        <v>84418.728221881043</v>
      </c>
      <c r="AE8518" s="188">
        <f t="shared" ref="AE8518" si="5853">AE8519+AE8529</f>
        <v>0</v>
      </c>
      <c r="AF8518" s="189">
        <f t="shared" ref="AF8518" si="5854">AF8519+AF8529</f>
        <v>0</v>
      </c>
      <c r="AG8518" s="189">
        <f t="shared" ref="AG8518" si="5855">AG8519+AG8529</f>
        <v>0</v>
      </c>
      <c r="AH8518" s="189">
        <f t="shared" ref="AH8518" si="5856">AH8519+AH8529</f>
        <v>0</v>
      </c>
      <c r="AI8518" s="161">
        <f t="shared" ref="AI8518" si="5857">SUM(AE8518:AH8518)</f>
        <v>0</v>
      </c>
      <c r="AK8518" s="169">
        <v>5</v>
      </c>
      <c r="AO8518" s="19" t="s">
        <v>63</v>
      </c>
    </row>
    <row r="8519" spans="1:41" s="103" customFormat="1" ht="19.899999999999999" customHeight="1" x14ac:dyDescent="0.25">
      <c r="A8519" s="51"/>
      <c r="B8519" s="52"/>
      <c r="C8519" s="165"/>
      <c r="D8519" s="52"/>
      <c r="E8519" s="115"/>
      <c r="F8519" s="58"/>
      <c r="G8519" s="58"/>
      <c r="H8519" s="58"/>
      <c r="I8519" s="55"/>
      <c r="J8519" s="113">
        <f>J8518</f>
        <v>15.961275000000001</v>
      </c>
      <c r="K8519" s="212">
        <f>K8518</f>
        <v>15.961275000000001</v>
      </c>
      <c r="L8519" s="58"/>
      <c r="M8519" s="58">
        <f>K8519-L8519</f>
        <v>15.961275000000001</v>
      </c>
      <c r="N8519" s="166"/>
      <c r="O8519" s="58"/>
      <c r="P8519" s="58"/>
      <c r="Q8519" s="58"/>
      <c r="R8519" s="58"/>
      <c r="S8519" s="58"/>
      <c r="T8519" s="220"/>
      <c r="U8519" s="88"/>
      <c r="V8519" s="56"/>
      <c r="W8519" s="57" t="s">
        <v>1139</v>
      </c>
      <c r="X8519" s="53"/>
      <c r="Y8519" s="91" t="s">
        <v>68</v>
      </c>
      <c r="Z8519" s="136">
        <f>AD8519/AC8519</f>
        <v>124.42147764705884</v>
      </c>
      <c r="AA8519" s="58"/>
      <c r="AB8519" s="53">
        <f>AD8519/AC8519</f>
        <v>124.42147764705884</v>
      </c>
      <c r="AC8519" s="53">
        <f>M8519+$AE$10</f>
        <v>15.961275000000001</v>
      </c>
      <c r="AD8519" s="54">
        <f>SUM(AD8520:AD8528)</f>
        <v>1985.9254206310591</v>
      </c>
      <c r="AE8519" s="184">
        <f>SUMIFS($AD$37:$AD$12971,$V$37:$V$12971,$V8519,$X$37:$X$12971,AE$13)</f>
        <v>0</v>
      </c>
      <c r="AF8519" s="185">
        <f>SUMIFS($AD$37:$AD$12971,$V$37:$V$12971,$V8519,$X$37:$X$12971,AF$13)</f>
        <v>0</v>
      </c>
      <c r="AG8519" s="185">
        <f>SUMIFS($AD$37:$AD$12971,$V$37:$V$12971,$V8519,$X$37:$X$12971,AG$13)</f>
        <v>0</v>
      </c>
      <c r="AH8519" s="187">
        <f>SUMIFS($AD$37:$AD$12971,$V$37:$V$12971,$V8519,$X$37:$X$12971,AH$13)</f>
        <v>0</v>
      </c>
      <c r="AI8519" s="161">
        <f t="shared" ref="AI8519" si="5858">SUM(AE8519:AH8519)</f>
        <v>0</v>
      </c>
      <c r="AK8519" s="172"/>
    </row>
    <row r="8520" spans="1:41" s="102" customFormat="1" ht="19.899999999999999" customHeight="1" x14ac:dyDescent="0.25">
      <c r="A8520" s="45"/>
      <c r="B8520" s="59"/>
      <c r="C8520" s="137"/>
      <c r="D8520" s="59"/>
      <c r="E8520" s="116"/>
      <c r="F8520" s="120"/>
      <c r="G8520" s="120"/>
      <c r="H8520" s="120"/>
      <c r="I8520" s="60"/>
      <c r="J8520" s="116"/>
      <c r="K8520" s="213"/>
      <c r="L8520" s="120"/>
      <c r="M8520" s="120"/>
      <c r="N8520" s="167"/>
      <c r="O8520" s="120"/>
      <c r="P8520" s="120"/>
      <c r="Q8520" s="120"/>
      <c r="R8520" s="120"/>
      <c r="S8520" s="120"/>
      <c r="T8520" s="221"/>
      <c r="U8520" s="89"/>
      <c r="V8520" s="61"/>
      <c r="W8520" s="92" t="s">
        <v>129</v>
      </c>
      <c r="X8520" s="93" t="s">
        <v>29</v>
      </c>
      <c r="Y8520" s="93" t="s">
        <v>93</v>
      </c>
      <c r="Z8520" s="134">
        <f>VLOOKUP(W8520,Sheet2!$B:$D,3,FALSE)</f>
        <v>56</v>
      </c>
      <c r="AA8520" s="93">
        <f>100/(3.9*3.5)</f>
        <v>7.3260073260073257</v>
      </c>
      <c r="AB8520" s="93">
        <f t="shared" ref="AB8520" si="5859">AD8520/AC8519</f>
        <v>7.6440000000000001</v>
      </c>
      <c r="AC8520" s="93">
        <f>AC8519/AA8520</f>
        <v>2.1787140375000003</v>
      </c>
      <c r="AD8520" s="94">
        <f t="shared" ref="AD8520:AD8521" si="5860">AC8520*Z8520</f>
        <v>122.00798610000001</v>
      </c>
      <c r="AE8520" s="190"/>
      <c r="AF8520" s="191"/>
      <c r="AG8520" s="191"/>
      <c r="AH8520" s="191"/>
      <c r="AI8520" s="186"/>
      <c r="AK8520" s="171"/>
    </row>
    <row r="8521" spans="1:41" s="102" customFormat="1" ht="19.899999999999999" customHeight="1" x14ac:dyDescent="0.25">
      <c r="A8521" s="45"/>
      <c r="B8521" s="59"/>
      <c r="C8521" s="137"/>
      <c r="D8521" s="59"/>
      <c r="E8521" s="116"/>
      <c r="F8521" s="120"/>
      <c r="G8521" s="120"/>
      <c r="H8521" s="120"/>
      <c r="I8521" s="60"/>
      <c r="J8521" s="116"/>
      <c r="K8521" s="213"/>
      <c r="L8521" s="120"/>
      <c r="M8521" s="120"/>
      <c r="N8521" s="167"/>
      <c r="O8521" s="120"/>
      <c r="P8521" s="120"/>
      <c r="Q8521" s="120"/>
      <c r="R8521" s="120"/>
      <c r="S8521" s="120"/>
      <c r="T8521" s="221"/>
      <c r="U8521" s="89"/>
      <c r="V8521" s="61"/>
      <c r="W8521" s="92" t="s">
        <v>65</v>
      </c>
      <c r="X8521" s="93" t="s">
        <v>30</v>
      </c>
      <c r="Y8521" s="93" t="s">
        <v>1011</v>
      </c>
      <c r="Z8521" s="134">
        <f>VLOOKUP(W8521,Sheet2!$B:$D,3,FALSE)</f>
        <v>1.76</v>
      </c>
      <c r="AA8521" s="93">
        <f>AA8520/14</f>
        <v>0.52328623757195181</v>
      </c>
      <c r="AB8521" s="93">
        <f>AD8521/AC8519</f>
        <v>3.3633600000000001</v>
      </c>
      <c r="AC8521" s="93">
        <f>AC8519/AA8521</f>
        <v>30.501996525000003</v>
      </c>
      <c r="AD8521" s="94">
        <f t="shared" si="5860"/>
        <v>53.683513884000007</v>
      </c>
      <c r="AE8521" s="190"/>
      <c r="AF8521" s="191"/>
      <c r="AG8521" s="191"/>
      <c r="AH8521" s="191"/>
      <c r="AI8521" s="186"/>
      <c r="AK8521" s="171"/>
    </row>
    <row r="8522" spans="1:41" s="102" customFormat="1" ht="19.899999999999999" customHeight="1" x14ac:dyDescent="0.25">
      <c r="A8522" s="45"/>
      <c r="B8522" s="59"/>
      <c r="C8522" s="137"/>
      <c r="D8522" s="59"/>
      <c r="E8522" s="116"/>
      <c r="F8522" s="120"/>
      <c r="G8522" s="120"/>
      <c r="H8522" s="120"/>
      <c r="I8522" s="60"/>
      <c r="J8522" s="116"/>
      <c r="K8522" s="213"/>
      <c r="L8522" s="120"/>
      <c r="M8522" s="120"/>
      <c r="N8522" s="167"/>
      <c r="O8522" s="120"/>
      <c r="P8522" s="120"/>
      <c r="Q8522" s="120"/>
      <c r="R8522" s="120"/>
      <c r="S8522" s="120"/>
      <c r="T8522" s="221"/>
      <c r="U8522" s="89"/>
      <c r="V8522" s="61"/>
      <c r="W8522" s="92" t="s">
        <v>161</v>
      </c>
      <c r="X8522" s="93" t="s">
        <v>29</v>
      </c>
      <c r="Y8522" s="93" t="s">
        <v>93</v>
      </c>
      <c r="Z8522" s="134">
        <f>VLOOKUP(W8522,Sheet2!$B:$D,3,FALSE)</f>
        <v>48</v>
      </c>
      <c r="AA8522" s="93">
        <f>(16*0.85*1.5)/(3.9*3.5)</f>
        <v>1.4945054945054943</v>
      </c>
      <c r="AB8522" s="93">
        <f>AD8522/AC8519</f>
        <v>32.117647058823536</v>
      </c>
      <c r="AC8522" s="93">
        <f>AC8519/AA8522</f>
        <v>10.679970772058825</v>
      </c>
      <c r="AD8522" s="94">
        <f>AC8522*Z8522</f>
        <v>512.63859705882362</v>
      </c>
      <c r="AE8522" s="190"/>
      <c r="AF8522" s="191"/>
      <c r="AG8522" s="191"/>
      <c r="AH8522" s="191"/>
      <c r="AI8522" s="186"/>
      <c r="AK8522" s="171"/>
    </row>
    <row r="8523" spans="1:41" s="102" customFormat="1" ht="19.899999999999999" customHeight="1" x14ac:dyDescent="0.25">
      <c r="A8523" s="45"/>
      <c r="B8523" s="59"/>
      <c r="C8523" s="137"/>
      <c r="D8523" s="59"/>
      <c r="E8523" s="116"/>
      <c r="F8523" s="120"/>
      <c r="G8523" s="120"/>
      <c r="H8523" s="120"/>
      <c r="I8523" s="60"/>
      <c r="J8523" s="116"/>
      <c r="K8523" s="213"/>
      <c r="L8523" s="120"/>
      <c r="M8523" s="120"/>
      <c r="N8523" s="167"/>
      <c r="O8523" s="120"/>
      <c r="P8523" s="120"/>
      <c r="Q8523" s="120"/>
      <c r="R8523" s="120"/>
      <c r="S8523" s="120"/>
      <c r="T8523" s="221"/>
      <c r="U8523" s="89"/>
      <c r="V8523" s="61"/>
      <c r="W8523" s="92" t="s">
        <v>65</v>
      </c>
      <c r="X8523" s="93" t="s">
        <v>30</v>
      </c>
      <c r="Y8523" s="93" t="s">
        <v>1011</v>
      </c>
      <c r="Z8523" s="134">
        <f>VLOOKUP(W8523,Sheet2!$B:$D,3,FALSE)</f>
        <v>1.76</v>
      </c>
      <c r="AA8523" s="93">
        <f>AA8522/10</f>
        <v>0.14945054945054942</v>
      </c>
      <c r="AB8523" s="93">
        <f>AD8523/AC8519</f>
        <v>11.776470588235297</v>
      </c>
      <c r="AC8523" s="93">
        <f>AC8519/AA8523</f>
        <v>106.79970772058826</v>
      </c>
      <c r="AD8523" s="94">
        <f>AC8523*Z8523</f>
        <v>187.96748558823535</v>
      </c>
      <c r="AE8523" s="190"/>
      <c r="AF8523" s="191"/>
      <c r="AG8523" s="191"/>
      <c r="AH8523" s="191"/>
      <c r="AI8523" s="186"/>
      <c r="AK8523" s="171"/>
    </row>
    <row r="8524" spans="1:41" s="102" customFormat="1" ht="19.899999999999999" customHeight="1" x14ac:dyDescent="0.25">
      <c r="A8524" s="45"/>
      <c r="B8524" s="59"/>
      <c r="C8524" s="137"/>
      <c r="D8524" s="59"/>
      <c r="E8524" s="116"/>
      <c r="F8524" s="120"/>
      <c r="G8524" s="120"/>
      <c r="H8524" s="120"/>
      <c r="I8524" s="60"/>
      <c r="J8524" s="116"/>
      <c r="K8524" s="213"/>
      <c r="L8524" s="120"/>
      <c r="M8524" s="120"/>
      <c r="N8524" s="167"/>
      <c r="O8524" s="120"/>
      <c r="P8524" s="120"/>
      <c r="Q8524" s="120"/>
      <c r="R8524" s="120"/>
      <c r="S8524" s="120"/>
      <c r="T8524" s="221"/>
      <c r="U8524" s="89"/>
      <c r="V8524" s="61"/>
      <c r="W8524" s="92" t="s">
        <v>1030</v>
      </c>
      <c r="X8524" s="93" t="s">
        <v>29</v>
      </c>
      <c r="Y8524" s="93" t="s">
        <v>93</v>
      </c>
      <c r="Z8524" s="134">
        <f>VLOOKUP(W8524,Sheet2!$B:$D,3,FALSE)</f>
        <v>23</v>
      </c>
      <c r="AA8524" s="93">
        <v>50</v>
      </c>
      <c r="AB8524" s="93">
        <f>AD8524/AC8519</f>
        <v>0.45999999999999996</v>
      </c>
      <c r="AC8524" s="93">
        <f>AC8519/AA8524</f>
        <v>0.3192255</v>
      </c>
      <c r="AD8524" s="94">
        <f t="shared" ref="AD8524:AD8528" si="5861">AC8524*Z8524</f>
        <v>7.3421864999999995</v>
      </c>
      <c r="AE8524" s="190"/>
      <c r="AF8524" s="191"/>
      <c r="AG8524" s="191"/>
      <c r="AH8524" s="191"/>
      <c r="AI8524" s="186"/>
      <c r="AK8524" s="171"/>
    </row>
    <row r="8525" spans="1:41" s="102" customFormat="1" ht="19.899999999999999" customHeight="1" x14ac:dyDescent="0.25">
      <c r="A8525" s="45"/>
      <c r="B8525" s="59"/>
      <c r="C8525" s="137"/>
      <c r="D8525" s="59"/>
      <c r="E8525" s="116"/>
      <c r="F8525" s="120"/>
      <c r="G8525" s="120"/>
      <c r="H8525" s="120"/>
      <c r="I8525" s="60"/>
      <c r="J8525" s="116"/>
      <c r="K8525" s="213"/>
      <c r="L8525" s="120"/>
      <c r="M8525" s="120"/>
      <c r="N8525" s="167"/>
      <c r="O8525" s="120"/>
      <c r="P8525" s="120"/>
      <c r="Q8525" s="120"/>
      <c r="R8525" s="120"/>
      <c r="S8525" s="120"/>
      <c r="T8525" s="221"/>
      <c r="U8525" s="89"/>
      <c r="V8525" s="61"/>
      <c r="W8525" s="92" t="s">
        <v>65</v>
      </c>
      <c r="X8525" s="93" t="s">
        <v>30</v>
      </c>
      <c r="Y8525" s="93" t="s">
        <v>1011</v>
      </c>
      <c r="Z8525" s="134">
        <f>VLOOKUP(W8525,Sheet2!$B:$D,3,FALSE)</f>
        <v>1.76</v>
      </c>
      <c r="AA8525" s="93">
        <f>AA8524/3</f>
        <v>16.666666666666668</v>
      </c>
      <c r="AB8525" s="93">
        <f>AD8525/AC8519</f>
        <v>0.1056</v>
      </c>
      <c r="AC8525" s="93">
        <f>AC8519/AA8525</f>
        <v>0.95767649999999993</v>
      </c>
      <c r="AD8525" s="94">
        <f t="shared" si="5861"/>
        <v>1.6855106399999999</v>
      </c>
      <c r="AE8525" s="190"/>
      <c r="AF8525" s="191"/>
      <c r="AG8525" s="191"/>
      <c r="AH8525" s="191"/>
      <c r="AI8525" s="186"/>
      <c r="AK8525" s="171"/>
    </row>
    <row r="8526" spans="1:41" s="102" customFormat="1" ht="19.899999999999999" customHeight="1" x14ac:dyDescent="0.25">
      <c r="A8526" s="45"/>
      <c r="B8526" s="59"/>
      <c r="C8526" s="137"/>
      <c r="D8526" s="59"/>
      <c r="E8526" s="116"/>
      <c r="F8526" s="120"/>
      <c r="G8526" s="120"/>
      <c r="H8526" s="120"/>
      <c r="I8526" s="60"/>
      <c r="J8526" s="116"/>
      <c r="K8526" s="213"/>
      <c r="L8526" s="120"/>
      <c r="M8526" s="120"/>
      <c r="N8526" s="167"/>
      <c r="O8526" s="120"/>
      <c r="P8526" s="120"/>
      <c r="Q8526" s="120"/>
      <c r="R8526" s="120"/>
      <c r="S8526" s="120"/>
      <c r="T8526" s="221"/>
      <c r="U8526" s="89"/>
      <c r="V8526" s="61"/>
      <c r="W8526" s="92" t="s">
        <v>148</v>
      </c>
      <c r="X8526" s="93" t="s">
        <v>29</v>
      </c>
      <c r="Y8526" s="93" t="s">
        <v>93</v>
      </c>
      <c r="Z8526" s="134">
        <f>VLOOKUP(W8526,Sheet2!$B:$D,3,FALSE)</f>
        <v>48</v>
      </c>
      <c r="AA8526" s="93">
        <f>AA8520</f>
        <v>7.3260073260073257</v>
      </c>
      <c r="AB8526" s="93">
        <f>AD8526/AC8519</f>
        <v>6.5520000000000005</v>
      </c>
      <c r="AC8526" s="93">
        <f>AC8519/AA8526</f>
        <v>2.1787140375000003</v>
      </c>
      <c r="AD8526" s="94">
        <f t="shared" si="5861"/>
        <v>104.57827380000001</v>
      </c>
      <c r="AE8526" s="190"/>
      <c r="AF8526" s="191"/>
      <c r="AG8526" s="191"/>
      <c r="AH8526" s="191"/>
      <c r="AI8526" s="186"/>
      <c r="AK8526" s="171"/>
    </row>
    <row r="8527" spans="1:41" s="102" customFormat="1" ht="19.899999999999999" customHeight="1" x14ac:dyDescent="0.25">
      <c r="A8527" s="45"/>
      <c r="B8527" s="59"/>
      <c r="C8527" s="137"/>
      <c r="D8527" s="59"/>
      <c r="E8527" s="116"/>
      <c r="F8527" s="120"/>
      <c r="G8527" s="120"/>
      <c r="H8527" s="120"/>
      <c r="I8527" s="60"/>
      <c r="J8527" s="116"/>
      <c r="K8527" s="213"/>
      <c r="L8527" s="120"/>
      <c r="M8527" s="120"/>
      <c r="N8527" s="167"/>
      <c r="O8527" s="120"/>
      <c r="P8527" s="120"/>
      <c r="Q8527" s="120"/>
      <c r="R8527" s="120"/>
      <c r="S8527" s="120"/>
      <c r="T8527" s="221"/>
      <c r="U8527" s="89"/>
      <c r="V8527" s="61"/>
      <c r="W8527" s="92" t="s">
        <v>65</v>
      </c>
      <c r="X8527" s="93" t="s">
        <v>30</v>
      </c>
      <c r="Y8527" s="93" t="s">
        <v>1011</v>
      </c>
      <c r="Z8527" s="134">
        <f>VLOOKUP(W8527,Sheet2!$B:$D,3,FALSE)</f>
        <v>1.76</v>
      </c>
      <c r="AA8527" s="93">
        <f>AA8526/10</f>
        <v>0.73260073260073255</v>
      </c>
      <c r="AB8527" s="93">
        <f>AD8527/AC8519</f>
        <v>2.4024000000000005</v>
      </c>
      <c r="AC8527" s="93">
        <f>AC8519/AA8527</f>
        <v>21.787140375000003</v>
      </c>
      <c r="AD8527" s="94">
        <f t="shared" si="5861"/>
        <v>38.345367060000008</v>
      </c>
      <c r="AE8527" s="190"/>
      <c r="AF8527" s="191"/>
      <c r="AG8527" s="191"/>
      <c r="AH8527" s="191"/>
      <c r="AI8527" s="186"/>
      <c r="AK8527" s="171"/>
    </row>
    <row r="8528" spans="1:41" s="102" customFormat="1" ht="19.899999999999999" customHeight="1" x14ac:dyDescent="0.25">
      <c r="A8528" s="45"/>
      <c r="B8528" s="59"/>
      <c r="C8528" s="137"/>
      <c r="D8528" s="59"/>
      <c r="E8528" s="116"/>
      <c r="F8528" s="120"/>
      <c r="G8528" s="120"/>
      <c r="H8528" s="120"/>
      <c r="I8528" s="60"/>
      <c r="J8528" s="116"/>
      <c r="K8528" s="213"/>
      <c r="L8528" s="120"/>
      <c r="M8528" s="120"/>
      <c r="N8528" s="167"/>
      <c r="O8528" s="120"/>
      <c r="P8528" s="120"/>
      <c r="Q8528" s="120"/>
      <c r="R8528" s="120"/>
      <c r="S8528" s="120"/>
      <c r="T8528" s="221"/>
      <c r="U8528" s="89"/>
      <c r="V8528" s="61"/>
      <c r="W8528" s="92" t="s">
        <v>1049</v>
      </c>
      <c r="X8528" s="93" t="s">
        <v>30</v>
      </c>
      <c r="Y8528" s="93" t="s">
        <v>68</v>
      </c>
      <c r="Z8528" s="134">
        <f>VLOOKUP(W8528,Sheet2!$B:$D,3,FALSE)</f>
        <v>60</v>
      </c>
      <c r="AA8528" s="93">
        <v>1</v>
      </c>
      <c r="AB8528" s="93">
        <f>AD8528/AC8519</f>
        <v>60</v>
      </c>
      <c r="AC8528" s="93">
        <f>AC8519/AA8528</f>
        <v>15.961275000000001</v>
      </c>
      <c r="AD8528" s="94">
        <f t="shared" si="5861"/>
        <v>957.67650000000003</v>
      </c>
      <c r="AE8528" s="190"/>
      <c r="AF8528" s="191"/>
      <c r="AG8528" s="191"/>
      <c r="AH8528" s="191"/>
      <c r="AI8528" s="186"/>
      <c r="AK8528" s="171"/>
    </row>
    <row r="8529" spans="1:41" s="103" customFormat="1" ht="19.899999999999999" customHeight="1" x14ac:dyDescent="0.25">
      <c r="A8529" s="51"/>
      <c r="B8529" s="52"/>
      <c r="C8529" s="165"/>
      <c r="D8529" s="52"/>
      <c r="E8529" s="115"/>
      <c r="F8529" s="58"/>
      <c r="G8529" s="58"/>
      <c r="H8529" s="58"/>
      <c r="I8529" s="55"/>
      <c r="J8529" s="113">
        <f>J8518</f>
        <v>15.961275000000001</v>
      </c>
      <c r="K8529" s="212">
        <f>K8518</f>
        <v>15.961275000000001</v>
      </c>
      <c r="L8529" s="58"/>
      <c r="M8529" s="58">
        <f>K8529-L8529</f>
        <v>15.961275000000001</v>
      </c>
      <c r="N8529" s="166"/>
      <c r="O8529" s="58"/>
      <c r="P8529" s="58"/>
      <c r="Q8529" s="58"/>
      <c r="R8529" s="58"/>
      <c r="S8529" s="58"/>
      <c r="T8529" s="220"/>
      <c r="U8529" s="88"/>
      <c r="V8529" s="56"/>
      <c r="W8529" s="57" t="s">
        <v>1141</v>
      </c>
      <c r="X8529" s="53"/>
      <c r="Y8529" s="91" t="s">
        <v>68</v>
      </c>
      <c r="Z8529" s="136">
        <f>AD8529/AC8529</f>
        <v>5164.5499999999993</v>
      </c>
      <c r="AA8529" s="58"/>
      <c r="AB8529" s="53">
        <f>AD8529/AC8529</f>
        <v>5164.5499999999993</v>
      </c>
      <c r="AC8529" s="53">
        <f>M8529+$AE$10</f>
        <v>15.961275000000001</v>
      </c>
      <c r="AD8529" s="54">
        <f>SUM(AD8530:AD8533)</f>
        <v>82432.802801249985</v>
      </c>
      <c r="AE8529" s="184">
        <f>SUMIFS($AD$37:$AD$12971,$V$37:$V$12971,$V8529,$X$37:$X$12971,AE$13)</f>
        <v>0</v>
      </c>
      <c r="AF8529" s="185">
        <f>SUMIFS($AD$37:$AD$12971,$V$37:$V$12971,$V8529,$X$37:$X$12971,AF$13)</f>
        <v>0</v>
      </c>
      <c r="AG8529" s="185">
        <f>SUMIFS($AD$37:$AD$12971,$V$37:$V$12971,$V8529,$X$37:$X$12971,AG$13)</f>
        <v>0</v>
      </c>
      <c r="AH8529" s="187">
        <f>SUMIFS($AD$37:$AD$12971,$V$37:$V$12971,$V8529,$X$37:$X$12971,AH$13)</f>
        <v>0</v>
      </c>
      <c r="AI8529" s="161">
        <f t="shared" ref="AI8529" si="5862">SUM(AE8529:AH8529)</f>
        <v>0</v>
      </c>
      <c r="AK8529" s="172"/>
    </row>
    <row r="8530" spans="1:41" s="102" customFormat="1" ht="19.899999999999999" customHeight="1" x14ac:dyDescent="0.25">
      <c r="A8530" s="45"/>
      <c r="B8530" s="59"/>
      <c r="C8530" s="137"/>
      <c r="D8530" s="59"/>
      <c r="E8530" s="116"/>
      <c r="F8530" s="120"/>
      <c r="G8530" s="120"/>
      <c r="H8530" s="120"/>
      <c r="I8530" s="60"/>
      <c r="J8530" s="116"/>
      <c r="K8530" s="213"/>
      <c r="L8530" s="120"/>
      <c r="M8530" s="120"/>
      <c r="N8530" s="167"/>
      <c r="O8530" s="120"/>
      <c r="P8530" s="120"/>
      <c r="Q8530" s="120"/>
      <c r="R8530" s="120"/>
      <c r="S8530" s="120"/>
      <c r="T8530" s="221"/>
      <c r="U8530" s="89"/>
      <c r="V8530" s="61"/>
      <c r="W8530" s="92" t="s">
        <v>1105</v>
      </c>
      <c r="X8530" s="93" t="s">
        <v>30</v>
      </c>
      <c r="Y8530" s="93" t="s">
        <v>66</v>
      </c>
      <c r="Z8530" s="134">
        <f>VLOOKUP(W8530,Sheet2!$B:$D,3,FALSE)</f>
        <v>2200</v>
      </c>
      <c r="AA8530" s="93">
        <f>1/((3.1*1.4)-(2.5*0.8))</f>
        <v>0.42735042735042739</v>
      </c>
      <c r="AB8530" s="93">
        <f>AD8530/AC8529</f>
        <v>5147.9999999999991</v>
      </c>
      <c r="AC8530" s="93">
        <f>AC8529/AA8530</f>
        <v>37.349383499999995</v>
      </c>
      <c r="AD8530" s="94">
        <f t="shared" ref="AD8530" si="5863">AC8530*Z8530</f>
        <v>82168.643699999986</v>
      </c>
      <c r="AE8530" s="190"/>
      <c r="AF8530" s="191"/>
      <c r="AG8530" s="191"/>
      <c r="AH8530" s="191"/>
      <c r="AI8530" s="186"/>
      <c r="AK8530" s="171"/>
    </row>
    <row r="8531" spans="1:41" s="102" customFormat="1" ht="19.899999999999999" customHeight="1" x14ac:dyDescent="0.25">
      <c r="A8531" s="45"/>
      <c r="B8531" s="59"/>
      <c r="C8531" s="137"/>
      <c r="D8531" s="59"/>
      <c r="E8531" s="116"/>
      <c r="F8531" s="120"/>
      <c r="G8531" s="120"/>
      <c r="H8531" s="120"/>
      <c r="I8531" s="60"/>
      <c r="J8531" s="116"/>
      <c r="K8531" s="213"/>
      <c r="L8531" s="120"/>
      <c r="M8531" s="120"/>
      <c r="N8531" s="167"/>
      <c r="O8531" s="120"/>
      <c r="P8531" s="120"/>
      <c r="Q8531" s="120"/>
      <c r="R8531" s="120"/>
      <c r="S8531" s="120"/>
      <c r="T8531" s="221"/>
      <c r="U8531" s="89"/>
      <c r="V8531" s="61"/>
      <c r="W8531" s="92" t="s">
        <v>174</v>
      </c>
      <c r="X8531" s="93" t="s">
        <v>29</v>
      </c>
      <c r="Y8531" s="93" t="s">
        <v>93</v>
      </c>
      <c r="Z8531" s="134">
        <f>VLOOKUP(W8531,Sheet2!$B:$D,3,FALSE)</f>
        <v>80</v>
      </c>
      <c r="AA8531" s="93">
        <f>4*2</f>
        <v>8</v>
      </c>
      <c r="AB8531" s="93">
        <f>AD8531/AC8529</f>
        <v>10</v>
      </c>
      <c r="AC8531" s="93">
        <f>AC8529/AA8531</f>
        <v>1.9951593750000001</v>
      </c>
      <c r="AD8531" s="94">
        <f>AC8531*Z8531</f>
        <v>159.61275000000001</v>
      </c>
      <c r="AE8531" s="190"/>
      <c r="AF8531" s="191"/>
      <c r="AG8531" s="191"/>
      <c r="AH8531" s="191"/>
      <c r="AI8531" s="186"/>
      <c r="AK8531" s="171"/>
    </row>
    <row r="8532" spans="1:41" s="102" customFormat="1" ht="19.899999999999999" customHeight="1" x14ac:dyDescent="0.25">
      <c r="A8532" s="45"/>
      <c r="B8532" s="59"/>
      <c r="C8532" s="137"/>
      <c r="D8532" s="59"/>
      <c r="E8532" s="116"/>
      <c r="F8532" s="120"/>
      <c r="G8532" s="120"/>
      <c r="H8532" s="120"/>
      <c r="I8532" s="60"/>
      <c r="J8532" s="116"/>
      <c r="K8532" s="213"/>
      <c r="L8532" s="120"/>
      <c r="M8532" s="120"/>
      <c r="N8532" s="167"/>
      <c r="O8532" s="120"/>
      <c r="P8532" s="120"/>
      <c r="Q8532" s="120"/>
      <c r="R8532" s="120"/>
      <c r="S8532" s="120"/>
      <c r="T8532" s="221"/>
      <c r="U8532" s="89"/>
      <c r="V8532" s="61"/>
      <c r="W8532" s="92" t="s">
        <v>65</v>
      </c>
      <c r="X8532" s="93" t="s">
        <v>30</v>
      </c>
      <c r="Y8532" s="93" t="s">
        <v>1011</v>
      </c>
      <c r="Z8532" s="134">
        <f>VLOOKUP(W8532,Sheet2!$B:$D,3,FALSE)</f>
        <v>1.76</v>
      </c>
      <c r="AA8532" s="93">
        <f>AA8531/15</f>
        <v>0.53333333333333333</v>
      </c>
      <c r="AB8532" s="93">
        <f>AD8532/AC8529</f>
        <v>3.3</v>
      </c>
      <c r="AC8532" s="93">
        <f>AC8529/AA8532</f>
        <v>29.927390625000001</v>
      </c>
      <c r="AD8532" s="94">
        <f t="shared" ref="AD8532" si="5864">AC8532*Z8532</f>
        <v>52.672207499999999</v>
      </c>
      <c r="AE8532" s="190"/>
      <c r="AF8532" s="191"/>
      <c r="AG8532" s="191"/>
      <c r="AH8532" s="191"/>
      <c r="AI8532" s="186"/>
      <c r="AK8532" s="171"/>
    </row>
    <row r="8533" spans="1:41" s="102" customFormat="1" ht="19.899999999999999" customHeight="1" x14ac:dyDescent="0.25">
      <c r="A8533" s="45"/>
      <c r="B8533" s="59"/>
      <c r="C8533" s="137"/>
      <c r="D8533" s="59"/>
      <c r="E8533" s="116"/>
      <c r="F8533" s="120"/>
      <c r="G8533" s="120"/>
      <c r="H8533" s="120"/>
      <c r="I8533" s="60"/>
      <c r="J8533" s="116"/>
      <c r="K8533" s="213"/>
      <c r="L8533" s="120"/>
      <c r="M8533" s="120"/>
      <c r="N8533" s="167"/>
      <c r="O8533" s="120"/>
      <c r="P8533" s="120"/>
      <c r="Q8533" s="120"/>
      <c r="R8533" s="120"/>
      <c r="S8533" s="120"/>
      <c r="T8533" s="221"/>
      <c r="U8533" s="89"/>
      <c r="V8533" s="61"/>
      <c r="W8533" s="92" t="s">
        <v>112</v>
      </c>
      <c r="X8533" s="93" t="s">
        <v>31</v>
      </c>
      <c r="Y8533" s="93" t="s">
        <v>93</v>
      </c>
      <c r="Z8533" s="134">
        <f>VLOOKUP(W8533,Sheet2!$B:$D,3,FALSE)</f>
        <v>13</v>
      </c>
      <c r="AA8533" s="93">
        <f>AA8531/2</f>
        <v>4</v>
      </c>
      <c r="AB8533" s="93">
        <f>AD8533/AC8529</f>
        <v>3.25</v>
      </c>
      <c r="AC8533" s="93">
        <f>AC8529/AA8533</f>
        <v>3.9903187500000001</v>
      </c>
      <c r="AD8533" s="94">
        <f>AC8533*Z8533</f>
        <v>51.874143750000002</v>
      </c>
      <c r="AE8533" s="190"/>
      <c r="AF8533" s="191"/>
      <c r="AG8533" s="191"/>
      <c r="AH8533" s="191"/>
      <c r="AI8533" s="186"/>
      <c r="AK8533" s="171"/>
    </row>
    <row r="8534" spans="1:41" ht="20.100000000000001" customHeight="1" x14ac:dyDescent="0.25">
      <c r="A8534" s="277" t="s">
        <v>703</v>
      </c>
      <c r="B8534" s="278"/>
      <c r="C8534" s="64" t="s">
        <v>769</v>
      </c>
      <c r="D8534" s="46" t="s">
        <v>97</v>
      </c>
      <c r="E8534" s="114"/>
      <c r="F8534" s="44">
        <v>0</v>
      </c>
      <c r="G8534" s="44">
        <f t="shared" si="5545"/>
        <v>0</v>
      </c>
      <c r="H8534" s="44">
        <f t="shared" si="5546"/>
        <v>0</v>
      </c>
      <c r="I8534" s="43">
        <f t="shared" si="5547"/>
        <v>0</v>
      </c>
      <c r="J8534" s="112">
        <f t="shared" si="5548"/>
        <v>0</v>
      </c>
      <c r="K8534" s="211">
        <f t="shared" si="5549"/>
        <v>0</v>
      </c>
      <c r="L8534" s="44"/>
      <c r="M8534" s="44">
        <f t="shared" si="5550"/>
        <v>0</v>
      </c>
      <c r="N8534" s="173">
        <f t="shared" si="5551"/>
        <v>0</v>
      </c>
      <c r="O8534" s="44">
        <f t="shared" si="5552"/>
        <v>0</v>
      </c>
      <c r="P8534" s="44">
        <f t="shared" si="5553"/>
        <v>0</v>
      </c>
      <c r="Q8534" s="44">
        <f t="shared" si="5554"/>
        <v>0</v>
      </c>
      <c r="R8534" s="44">
        <f t="shared" si="5555"/>
        <v>0</v>
      </c>
      <c r="S8534" s="123"/>
      <c r="T8534" s="219">
        <f t="shared" si="5556"/>
        <v>0</v>
      </c>
      <c r="U8534" s="87"/>
      <c r="V8534" s="47"/>
      <c r="W8534" s="48"/>
      <c r="X8534" s="48"/>
      <c r="Y8534" s="48"/>
      <c r="Z8534" s="135"/>
      <c r="AA8534" s="49"/>
      <c r="AB8534" s="50">
        <f t="shared" si="5557"/>
        <v>0</v>
      </c>
      <c r="AC8534" s="42">
        <f t="shared" si="5558"/>
        <v>9.9999999999999998E-20</v>
      </c>
      <c r="AD8534" s="90"/>
      <c r="AE8534" s="188"/>
      <c r="AF8534" s="189"/>
      <c r="AG8534" s="189"/>
      <c r="AH8534" s="189"/>
      <c r="AI8534" s="161"/>
    </row>
    <row r="8535" spans="1:41" ht="20.100000000000001" customHeight="1" x14ac:dyDescent="0.25">
      <c r="A8535" s="277" t="s">
        <v>703</v>
      </c>
      <c r="B8535" s="278"/>
      <c r="C8535" s="64" t="s">
        <v>783</v>
      </c>
      <c r="D8535" s="46"/>
      <c r="E8535" s="114"/>
      <c r="F8535" s="44">
        <v>0</v>
      </c>
      <c r="G8535" s="44">
        <f t="shared" si="5545"/>
        <v>0</v>
      </c>
      <c r="H8535" s="44">
        <f t="shared" si="5546"/>
        <v>0</v>
      </c>
      <c r="I8535" s="43">
        <f t="shared" si="5547"/>
        <v>0</v>
      </c>
      <c r="J8535" s="112">
        <f t="shared" si="5548"/>
        <v>0</v>
      </c>
      <c r="K8535" s="211">
        <f t="shared" si="5549"/>
        <v>0</v>
      </c>
      <c r="L8535" s="44"/>
      <c r="M8535" s="44">
        <f t="shared" si="5550"/>
        <v>0</v>
      </c>
      <c r="N8535" s="173">
        <f t="shared" si="5551"/>
        <v>0</v>
      </c>
      <c r="O8535" s="44">
        <f t="shared" si="5552"/>
        <v>0</v>
      </c>
      <c r="P8535" s="44">
        <f t="shared" si="5553"/>
        <v>0</v>
      </c>
      <c r="Q8535" s="44">
        <f t="shared" si="5554"/>
        <v>0</v>
      </c>
      <c r="R8535" s="44">
        <f t="shared" si="5555"/>
        <v>0</v>
      </c>
      <c r="S8535" s="123"/>
      <c r="T8535" s="219">
        <f t="shared" si="5556"/>
        <v>0</v>
      </c>
      <c r="U8535" s="87"/>
      <c r="V8535" s="47"/>
      <c r="W8535" s="48"/>
      <c r="X8535" s="48"/>
      <c r="Y8535" s="48"/>
      <c r="Z8535" s="135"/>
      <c r="AA8535" s="49"/>
      <c r="AB8535" s="50">
        <f t="shared" si="5557"/>
        <v>0</v>
      </c>
      <c r="AC8535" s="42">
        <f t="shared" si="5558"/>
        <v>9.9999999999999998E-20</v>
      </c>
      <c r="AD8535" s="90"/>
      <c r="AE8535" s="188"/>
      <c r="AF8535" s="189"/>
      <c r="AG8535" s="189"/>
      <c r="AH8535" s="189"/>
      <c r="AI8535" s="161"/>
    </row>
    <row r="8536" spans="1:41" ht="20.100000000000001" customHeight="1" x14ac:dyDescent="0.25">
      <c r="A8536" s="277" t="s">
        <v>703</v>
      </c>
      <c r="B8536" s="278"/>
      <c r="C8536" s="64" t="s">
        <v>763</v>
      </c>
      <c r="D8536" s="46" t="s">
        <v>97</v>
      </c>
      <c r="E8536" s="114">
        <v>2.2799999999999976</v>
      </c>
      <c r="F8536" s="44">
        <v>6815</v>
      </c>
      <c r="G8536" s="44">
        <f t="shared" si="5545"/>
        <v>15538.199999999984</v>
      </c>
      <c r="H8536" s="44">
        <f t="shared" si="5546"/>
        <v>5459.9909694117659</v>
      </c>
      <c r="I8536" s="43">
        <f t="shared" si="5547"/>
        <v>12448.779410258812</v>
      </c>
      <c r="J8536" s="112">
        <f t="shared" si="5548"/>
        <v>2.2799999999999976</v>
      </c>
      <c r="K8536" s="211">
        <f t="shared" si="5549"/>
        <v>2.2799999999999976</v>
      </c>
      <c r="L8536" s="44"/>
      <c r="M8536" s="44">
        <f t="shared" si="5550"/>
        <v>2.2799999999999976</v>
      </c>
      <c r="N8536" s="173">
        <f t="shared" si="5551"/>
        <v>1</v>
      </c>
      <c r="O8536" s="44">
        <f t="shared" si="5552"/>
        <v>6815</v>
      </c>
      <c r="P8536" s="44">
        <f t="shared" si="5553"/>
        <v>15538.199999999984</v>
      </c>
      <c r="Q8536" s="44">
        <f t="shared" si="5554"/>
        <v>5459.9909694117659</v>
      </c>
      <c r="R8536" s="44">
        <f t="shared" si="5555"/>
        <v>12448.779410258812</v>
      </c>
      <c r="S8536" s="123"/>
      <c r="T8536" s="219">
        <f t="shared" si="5556"/>
        <v>12448.779410258812</v>
      </c>
      <c r="U8536" s="87"/>
      <c r="V8536" s="47"/>
      <c r="W8536" s="48"/>
      <c r="X8536" s="48"/>
      <c r="Y8536" s="48"/>
      <c r="Z8536" s="135"/>
      <c r="AA8536" s="49"/>
      <c r="AB8536" s="50">
        <f t="shared" si="5557"/>
        <v>5459.9909694117659</v>
      </c>
      <c r="AC8536" s="42">
        <f t="shared" si="5558"/>
        <v>2.2799999999999976</v>
      </c>
      <c r="AD8536" s="90">
        <f>AD8537+AD8546</f>
        <v>12448.779410258812</v>
      </c>
      <c r="AE8536" s="188">
        <f t="shared" ref="AE8536:AH8536" si="5865">AE8537+AE8546</f>
        <v>0</v>
      </c>
      <c r="AF8536" s="189">
        <f t="shared" si="5865"/>
        <v>0</v>
      </c>
      <c r="AG8536" s="189">
        <f t="shared" si="5865"/>
        <v>0</v>
      </c>
      <c r="AH8536" s="189">
        <f t="shared" si="5865"/>
        <v>0</v>
      </c>
      <c r="AI8536" s="161">
        <f t="shared" ref="AI8536" si="5866">SUM(AE8536:AH8536)</f>
        <v>0</v>
      </c>
      <c r="AK8536" s="169">
        <v>5</v>
      </c>
      <c r="AO8536" s="19" t="s">
        <v>63</v>
      </c>
    </row>
    <row r="8537" spans="1:41" s="103" customFormat="1" ht="19.899999999999999" customHeight="1" x14ac:dyDescent="0.25">
      <c r="A8537" s="51"/>
      <c r="B8537" s="52"/>
      <c r="C8537" s="165"/>
      <c r="D8537" s="52"/>
      <c r="E8537" s="115"/>
      <c r="F8537" s="58"/>
      <c r="G8537" s="58"/>
      <c r="H8537" s="58"/>
      <c r="I8537" s="55"/>
      <c r="J8537" s="113">
        <f>J8536</f>
        <v>2.2799999999999976</v>
      </c>
      <c r="K8537" s="212">
        <f>K8536</f>
        <v>2.2799999999999976</v>
      </c>
      <c r="L8537" s="58"/>
      <c r="M8537" s="58">
        <f>K8537-L8537</f>
        <v>2.2799999999999976</v>
      </c>
      <c r="N8537" s="166"/>
      <c r="O8537" s="58"/>
      <c r="P8537" s="58"/>
      <c r="Q8537" s="58"/>
      <c r="R8537" s="58"/>
      <c r="S8537" s="58"/>
      <c r="T8537" s="220"/>
      <c r="U8537" s="88"/>
      <c r="V8537" s="56"/>
      <c r="W8537" s="57" t="s">
        <v>1147</v>
      </c>
      <c r="X8537" s="53"/>
      <c r="Y8537" s="91" t="s">
        <v>68</v>
      </c>
      <c r="Z8537" s="136">
        <f>AD8537/AC8537</f>
        <v>31.440969411764719</v>
      </c>
      <c r="AA8537" s="58"/>
      <c r="AB8537" s="53">
        <f>AD8537/AC8537</f>
        <v>31.440969411764719</v>
      </c>
      <c r="AC8537" s="53">
        <f>M8537+$AE$10</f>
        <v>2.2799999999999976</v>
      </c>
      <c r="AD8537" s="54">
        <f>SUM(AD8538:AD8545)</f>
        <v>71.685410258823481</v>
      </c>
      <c r="AE8537" s="184">
        <f>SUMIFS($AD$37:$AD$12971,$V$37:$V$12971,$V8537,$X$37:$X$12971,AE$13)</f>
        <v>0</v>
      </c>
      <c r="AF8537" s="185">
        <f>SUMIFS($AD$37:$AD$12971,$V$37:$V$12971,$V8537,$X$37:$X$12971,AF$13)</f>
        <v>0</v>
      </c>
      <c r="AG8537" s="185">
        <f>SUMIFS($AD$37:$AD$12971,$V$37:$V$12971,$V8537,$X$37:$X$12971,AG$13)</f>
        <v>0</v>
      </c>
      <c r="AH8537" s="187">
        <f>SUMIFS($AD$37:$AD$12971,$V$37:$V$12971,$V8537,$X$37:$X$12971,AH$13)</f>
        <v>0</v>
      </c>
      <c r="AI8537" s="161">
        <f t="shared" ref="AI8537" si="5867">SUM(AE8537:AH8537)</f>
        <v>0</v>
      </c>
      <c r="AK8537" s="172"/>
    </row>
    <row r="8538" spans="1:41" s="102" customFormat="1" ht="19.899999999999999" customHeight="1" x14ac:dyDescent="0.25">
      <c r="A8538" s="45"/>
      <c r="B8538" s="59"/>
      <c r="C8538" s="137"/>
      <c r="D8538" s="59"/>
      <c r="E8538" s="116"/>
      <c r="F8538" s="120"/>
      <c r="G8538" s="120"/>
      <c r="H8538" s="120"/>
      <c r="I8538" s="60"/>
      <c r="J8538" s="116"/>
      <c r="K8538" s="213"/>
      <c r="L8538" s="120"/>
      <c r="M8538" s="120"/>
      <c r="N8538" s="167"/>
      <c r="O8538" s="120"/>
      <c r="P8538" s="120"/>
      <c r="Q8538" s="120"/>
      <c r="R8538" s="120"/>
      <c r="S8538" s="120"/>
      <c r="T8538" s="221"/>
      <c r="U8538" s="89"/>
      <c r="V8538" s="61"/>
      <c r="W8538" s="92" t="s">
        <v>129</v>
      </c>
      <c r="X8538" s="93" t="s">
        <v>29</v>
      </c>
      <c r="Y8538" s="93" t="s">
        <v>93</v>
      </c>
      <c r="Z8538" s="134">
        <f>VLOOKUP(W8538,Sheet2!$B:$D,3,FALSE)</f>
        <v>56</v>
      </c>
      <c r="AA8538" s="93">
        <f>100/(4.4*1.5)</f>
        <v>15.15151515151515</v>
      </c>
      <c r="AB8538" s="93">
        <f t="shared" ref="AB8538" si="5868">AD8538/AC8537</f>
        <v>3.6960000000000002</v>
      </c>
      <c r="AC8538" s="93">
        <f>AC8537/AA8538</f>
        <v>0.15047999999999986</v>
      </c>
      <c r="AD8538" s="94">
        <f t="shared" ref="AD8538:AD8539" si="5869">AC8538*Z8538</f>
        <v>8.4268799999999917</v>
      </c>
      <c r="AE8538" s="190"/>
      <c r="AF8538" s="191"/>
      <c r="AG8538" s="191"/>
      <c r="AH8538" s="191"/>
      <c r="AI8538" s="186"/>
      <c r="AK8538" s="171"/>
    </row>
    <row r="8539" spans="1:41" s="102" customFormat="1" ht="19.899999999999999" customHeight="1" x14ac:dyDescent="0.25">
      <c r="A8539" s="45"/>
      <c r="B8539" s="59"/>
      <c r="C8539" s="137"/>
      <c r="D8539" s="59"/>
      <c r="E8539" s="116"/>
      <c r="F8539" s="120"/>
      <c r="G8539" s="120"/>
      <c r="H8539" s="120"/>
      <c r="I8539" s="60"/>
      <c r="J8539" s="116"/>
      <c r="K8539" s="213"/>
      <c r="L8539" s="120"/>
      <c r="M8539" s="120"/>
      <c r="N8539" s="167"/>
      <c r="O8539" s="120"/>
      <c r="P8539" s="120"/>
      <c r="Q8539" s="120"/>
      <c r="R8539" s="120"/>
      <c r="S8539" s="120"/>
      <c r="T8539" s="221"/>
      <c r="U8539" s="89"/>
      <c r="V8539" s="61"/>
      <c r="W8539" s="92" t="s">
        <v>65</v>
      </c>
      <c r="X8539" s="93" t="s">
        <v>30</v>
      </c>
      <c r="Y8539" s="93" t="s">
        <v>1011</v>
      </c>
      <c r="Z8539" s="134">
        <f>VLOOKUP(W8539,Sheet2!$B:$D,3,FALSE)</f>
        <v>1.76</v>
      </c>
      <c r="AA8539" s="93">
        <f>AA8538/14</f>
        <v>1.0822510822510822</v>
      </c>
      <c r="AB8539" s="93">
        <f>AD8539/AC8537</f>
        <v>1.6262400000000001</v>
      </c>
      <c r="AC8539" s="93">
        <f>AC8537/AA8539</f>
        <v>2.1067199999999979</v>
      </c>
      <c r="AD8539" s="94">
        <f t="shared" si="5869"/>
        <v>3.7078271999999965</v>
      </c>
      <c r="AE8539" s="190"/>
      <c r="AF8539" s="191"/>
      <c r="AG8539" s="191"/>
      <c r="AH8539" s="191"/>
      <c r="AI8539" s="186"/>
      <c r="AK8539" s="171"/>
    </row>
    <row r="8540" spans="1:41" s="102" customFormat="1" ht="19.899999999999999" customHeight="1" x14ac:dyDescent="0.25">
      <c r="A8540" s="45"/>
      <c r="B8540" s="59"/>
      <c r="C8540" s="137"/>
      <c r="D8540" s="59"/>
      <c r="E8540" s="116"/>
      <c r="F8540" s="120"/>
      <c r="G8540" s="120"/>
      <c r="H8540" s="120"/>
      <c r="I8540" s="60"/>
      <c r="J8540" s="116"/>
      <c r="K8540" s="213"/>
      <c r="L8540" s="120"/>
      <c r="M8540" s="120"/>
      <c r="N8540" s="167"/>
      <c r="O8540" s="120"/>
      <c r="P8540" s="120"/>
      <c r="Q8540" s="120"/>
      <c r="R8540" s="120"/>
      <c r="S8540" s="120"/>
      <c r="T8540" s="221"/>
      <c r="U8540" s="89"/>
      <c r="V8540" s="61"/>
      <c r="W8540" s="92" t="s">
        <v>161</v>
      </c>
      <c r="X8540" s="93" t="s">
        <v>29</v>
      </c>
      <c r="Y8540" s="93" t="s">
        <v>93</v>
      </c>
      <c r="Z8540" s="134">
        <f>VLOOKUP(W8540,Sheet2!$B:$D,3,FALSE)</f>
        <v>48</v>
      </c>
      <c r="AA8540" s="93">
        <f>(16*0.85*1.5)/(4.4*1.5)</f>
        <v>3.0909090909090904</v>
      </c>
      <c r="AB8540" s="93">
        <f>AD8540/AC8537</f>
        <v>15.529411764705886</v>
      </c>
      <c r="AC8540" s="93">
        <f>AC8537/AA8540</f>
        <v>0.73764705882352877</v>
      </c>
      <c r="AD8540" s="94">
        <f>AC8540*Z8540</f>
        <v>35.407058823529383</v>
      </c>
      <c r="AE8540" s="190"/>
      <c r="AF8540" s="191"/>
      <c r="AG8540" s="191"/>
      <c r="AH8540" s="191"/>
      <c r="AI8540" s="186"/>
      <c r="AK8540" s="171"/>
    </row>
    <row r="8541" spans="1:41" s="102" customFormat="1" ht="19.899999999999999" customHeight="1" x14ac:dyDescent="0.25">
      <c r="A8541" s="45"/>
      <c r="B8541" s="59"/>
      <c r="C8541" s="137"/>
      <c r="D8541" s="59"/>
      <c r="E8541" s="116"/>
      <c r="F8541" s="120"/>
      <c r="G8541" s="120"/>
      <c r="H8541" s="120"/>
      <c r="I8541" s="60"/>
      <c r="J8541" s="116"/>
      <c r="K8541" s="213"/>
      <c r="L8541" s="120"/>
      <c r="M8541" s="120"/>
      <c r="N8541" s="167"/>
      <c r="O8541" s="120"/>
      <c r="P8541" s="120"/>
      <c r="Q8541" s="120"/>
      <c r="R8541" s="120"/>
      <c r="S8541" s="120"/>
      <c r="T8541" s="221"/>
      <c r="U8541" s="89"/>
      <c r="V8541" s="61"/>
      <c r="W8541" s="92" t="s">
        <v>65</v>
      </c>
      <c r="X8541" s="93" t="s">
        <v>30</v>
      </c>
      <c r="Y8541" s="93" t="s">
        <v>1011</v>
      </c>
      <c r="Z8541" s="134">
        <f>VLOOKUP(W8541,Sheet2!$B:$D,3,FALSE)</f>
        <v>1.76</v>
      </c>
      <c r="AA8541" s="93">
        <f>AA8540/10</f>
        <v>0.30909090909090903</v>
      </c>
      <c r="AB8541" s="93">
        <f>AD8541/AC8537</f>
        <v>5.6941176470588246</v>
      </c>
      <c r="AC8541" s="93">
        <f>AC8537/AA8541</f>
        <v>7.3764705882352875</v>
      </c>
      <c r="AD8541" s="94">
        <f>AC8541*Z8541</f>
        <v>12.982588235294106</v>
      </c>
      <c r="AE8541" s="190"/>
      <c r="AF8541" s="191"/>
      <c r="AG8541" s="191"/>
      <c r="AH8541" s="191"/>
      <c r="AI8541" s="186"/>
      <c r="AK8541" s="171"/>
    </row>
    <row r="8542" spans="1:41" s="102" customFormat="1" ht="19.899999999999999" customHeight="1" x14ac:dyDescent="0.25">
      <c r="A8542" s="45"/>
      <c r="B8542" s="59"/>
      <c r="C8542" s="137"/>
      <c r="D8542" s="59"/>
      <c r="E8542" s="116"/>
      <c r="F8542" s="120"/>
      <c r="G8542" s="120"/>
      <c r="H8542" s="120"/>
      <c r="I8542" s="60"/>
      <c r="J8542" s="116"/>
      <c r="K8542" s="213"/>
      <c r="L8542" s="120"/>
      <c r="M8542" s="120"/>
      <c r="N8542" s="167"/>
      <c r="O8542" s="120"/>
      <c r="P8542" s="120"/>
      <c r="Q8542" s="120"/>
      <c r="R8542" s="120"/>
      <c r="S8542" s="120"/>
      <c r="T8542" s="221"/>
      <c r="U8542" s="89"/>
      <c r="V8542" s="61"/>
      <c r="W8542" s="92" t="s">
        <v>1030</v>
      </c>
      <c r="X8542" s="93" t="s">
        <v>29</v>
      </c>
      <c r="Y8542" s="93" t="s">
        <v>93</v>
      </c>
      <c r="Z8542" s="134">
        <f>VLOOKUP(W8542,Sheet2!$B:$D,3,FALSE)</f>
        <v>23</v>
      </c>
      <c r="AA8542" s="93">
        <v>50</v>
      </c>
      <c r="AB8542" s="93">
        <f>AD8542/AC8537</f>
        <v>0.45999999999999996</v>
      </c>
      <c r="AC8542" s="93">
        <f>AC8537/AA8542</f>
        <v>4.5599999999999953E-2</v>
      </c>
      <c r="AD8542" s="94">
        <f t="shared" ref="AD8542:AD8545" si="5870">AC8542*Z8542</f>
        <v>1.0487999999999988</v>
      </c>
      <c r="AE8542" s="190"/>
      <c r="AF8542" s="191"/>
      <c r="AG8542" s="191"/>
      <c r="AH8542" s="191"/>
      <c r="AI8542" s="186"/>
      <c r="AK8542" s="171"/>
    </row>
    <row r="8543" spans="1:41" s="102" customFormat="1" ht="19.899999999999999" customHeight="1" x14ac:dyDescent="0.25">
      <c r="A8543" s="45"/>
      <c r="B8543" s="59"/>
      <c r="C8543" s="137"/>
      <c r="D8543" s="59"/>
      <c r="E8543" s="116"/>
      <c r="F8543" s="120"/>
      <c r="G8543" s="120"/>
      <c r="H8543" s="120"/>
      <c r="I8543" s="60"/>
      <c r="J8543" s="116"/>
      <c r="K8543" s="213"/>
      <c r="L8543" s="120"/>
      <c r="M8543" s="120"/>
      <c r="N8543" s="167"/>
      <c r="O8543" s="120"/>
      <c r="P8543" s="120"/>
      <c r="Q8543" s="120"/>
      <c r="R8543" s="120"/>
      <c r="S8543" s="120"/>
      <c r="T8543" s="221"/>
      <c r="U8543" s="89"/>
      <c r="V8543" s="61"/>
      <c r="W8543" s="92" t="s">
        <v>65</v>
      </c>
      <c r="X8543" s="93" t="s">
        <v>30</v>
      </c>
      <c r="Y8543" s="93" t="s">
        <v>1011</v>
      </c>
      <c r="Z8543" s="134">
        <f>VLOOKUP(W8543,Sheet2!$B:$D,3,FALSE)</f>
        <v>1.76</v>
      </c>
      <c r="AA8543" s="93">
        <f>AA8542/3</f>
        <v>16.666666666666668</v>
      </c>
      <c r="AB8543" s="93">
        <f>AD8543/AC8537</f>
        <v>0.10559999999999999</v>
      </c>
      <c r="AC8543" s="93">
        <f>AC8537/AA8543</f>
        <v>0.13679999999999984</v>
      </c>
      <c r="AD8543" s="94">
        <f t="shared" si="5870"/>
        <v>0.2407679999999997</v>
      </c>
      <c r="AE8543" s="190"/>
      <c r="AF8543" s="191"/>
      <c r="AG8543" s="191"/>
      <c r="AH8543" s="191"/>
      <c r="AI8543" s="186"/>
      <c r="AK8543" s="171"/>
    </row>
    <row r="8544" spans="1:41" s="102" customFormat="1" ht="19.899999999999999" customHeight="1" x14ac:dyDescent="0.25">
      <c r="A8544" s="45"/>
      <c r="B8544" s="59"/>
      <c r="C8544" s="137"/>
      <c r="D8544" s="59"/>
      <c r="E8544" s="116"/>
      <c r="F8544" s="120"/>
      <c r="G8544" s="120"/>
      <c r="H8544" s="120"/>
      <c r="I8544" s="60"/>
      <c r="J8544" s="116"/>
      <c r="K8544" s="213"/>
      <c r="L8544" s="120"/>
      <c r="M8544" s="120"/>
      <c r="N8544" s="167"/>
      <c r="O8544" s="120"/>
      <c r="P8544" s="120"/>
      <c r="Q8544" s="120"/>
      <c r="R8544" s="120"/>
      <c r="S8544" s="120"/>
      <c r="T8544" s="221"/>
      <c r="U8544" s="89"/>
      <c r="V8544" s="61"/>
      <c r="W8544" s="92" t="s">
        <v>148</v>
      </c>
      <c r="X8544" s="93" t="s">
        <v>29</v>
      </c>
      <c r="Y8544" s="93" t="s">
        <v>93</v>
      </c>
      <c r="Z8544" s="134">
        <f>VLOOKUP(W8544,Sheet2!$B:$D,3,FALSE)</f>
        <v>48</v>
      </c>
      <c r="AA8544" s="93">
        <f>AA8538</f>
        <v>15.15151515151515</v>
      </c>
      <c r="AB8544" s="93">
        <f>AD8544/AC8537</f>
        <v>3.1680000000000006</v>
      </c>
      <c r="AC8544" s="93">
        <f>AC8537/AA8544</f>
        <v>0.15047999999999986</v>
      </c>
      <c r="AD8544" s="94">
        <f t="shared" si="5870"/>
        <v>7.2230399999999939</v>
      </c>
      <c r="AE8544" s="190"/>
      <c r="AF8544" s="191"/>
      <c r="AG8544" s="191"/>
      <c r="AH8544" s="191"/>
      <c r="AI8544" s="186"/>
      <c r="AK8544" s="171"/>
    </row>
    <row r="8545" spans="1:41" s="102" customFormat="1" ht="19.899999999999999" customHeight="1" x14ac:dyDescent="0.25">
      <c r="A8545" s="45"/>
      <c r="B8545" s="59"/>
      <c r="C8545" s="137"/>
      <c r="D8545" s="59"/>
      <c r="E8545" s="116"/>
      <c r="F8545" s="120"/>
      <c r="G8545" s="120"/>
      <c r="H8545" s="120"/>
      <c r="I8545" s="60"/>
      <c r="J8545" s="116"/>
      <c r="K8545" s="213"/>
      <c r="L8545" s="120"/>
      <c r="M8545" s="120"/>
      <c r="N8545" s="167"/>
      <c r="O8545" s="120"/>
      <c r="P8545" s="120"/>
      <c r="Q8545" s="120"/>
      <c r="R8545" s="120"/>
      <c r="S8545" s="120"/>
      <c r="T8545" s="221"/>
      <c r="U8545" s="89"/>
      <c r="V8545" s="61"/>
      <c r="W8545" s="92" t="s">
        <v>65</v>
      </c>
      <c r="X8545" s="93" t="s">
        <v>30</v>
      </c>
      <c r="Y8545" s="93" t="s">
        <v>1011</v>
      </c>
      <c r="Z8545" s="134">
        <f>VLOOKUP(W8545,Sheet2!$B:$D,3,FALSE)</f>
        <v>1.76</v>
      </c>
      <c r="AA8545" s="93">
        <f>AA8544/10</f>
        <v>1.5151515151515151</v>
      </c>
      <c r="AB8545" s="93">
        <f>AD8545/AC8537</f>
        <v>1.1616</v>
      </c>
      <c r="AC8545" s="93">
        <f>AC8537/AA8545</f>
        <v>1.5047999999999984</v>
      </c>
      <c r="AD8545" s="94">
        <f t="shared" si="5870"/>
        <v>2.648447999999997</v>
      </c>
      <c r="AE8545" s="190"/>
      <c r="AF8545" s="191"/>
      <c r="AG8545" s="191"/>
      <c r="AH8545" s="191"/>
      <c r="AI8545" s="186"/>
      <c r="AK8545" s="171"/>
    </row>
    <row r="8546" spans="1:41" s="103" customFormat="1" ht="19.899999999999999" customHeight="1" x14ac:dyDescent="0.25">
      <c r="A8546" s="51"/>
      <c r="B8546" s="52"/>
      <c r="C8546" s="165"/>
      <c r="D8546" s="52"/>
      <c r="E8546" s="115"/>
      <c r="F8546" s="58"/>
      <c r="G8546" s="58"/>
      <c r="H8546" s="58"/>
      <c r="I8546" s="55"/>
      <c r="J8546" s="113">
        <f>J8536</f>
        <v>2.2799999999999976</v>
      </c>
      <c r="K8546" s="212">
        <f>K8536</f>
        <v>2.2799999999999976</v>
      </c>
      <c r="L8546" s="58"/>
      <c r="M8546" s="58">
        <f>K8546-L8546</f>
        <v>2.2799999999999976</v>
      </c>
      <c r="N8546" s="166"/>
      <c r="O8546" s="58"/>
      <c r="P8546" s="58"/>
      <c r="Q8546" s="58"/>
      <c r="R8546" s="58"/>
      <c r="S8546" s="58"/>
      <c r="T8546" s="220"/>
      <c r="U8546" s="88"/>
      <c r="V8546" s="56"/>
      <c r="W8546" s="57" t="s">
        <v>1146</v>
      </c>
      <c r="X8546" s="53"/>
      <c r="Y8546" s="91" t="s">
        <v>68</v>
      </c>
      <c r="Z8546" s="136">
        <f>AD8546/AC8546</f>
        <v>5428.55</v>
      </c>
      <c r="AA8546" s="58"/>
      <c r="AB8546" s="53">
        <f>AD8546/AC8546</f>
        <v>5428.55</v>
      </c>
      <c r="AC8546" s="53">
        <f>M8546+$AE$10</f>
        <v>2.2799999999999976</v>
      </c>
      <c r="AD8546" s="54">
        <f>SUM(AD8547:AD8550)</f>
        <v>12377.093999999988</v>
      </c>
      <c r="AE8546" s="184">
        <f>SUMIFS($AD$37:$AD$12971,$V$37:$V$12971,$V8546,$X$37:$X$12971,AE$13)</f>
        <v>0</v>
      </c>
      <c r="AF8546" s="185">
        <f>SUMIFS($AD$37:$AD$12971,$V$37:$V$12971,$V8546,$X$37:$X$12971,AF$13)</f>
        <v>0</v>
      </c>
      <c r="AG8546" s="185">
        <f>SUMIFS($AD$37:$AD$12971,$V$37:$V$12971,$V8546,$X$37:$X$12971,AG$13)</f>
        <v>0</v>
      </c>
      <c r="AH8546" s="187">
        <f>SUMIFS($AD$37:$AD$12971,$V$37:$V$12971,$V8546,$X$37:$X$12971,AH$13)</f>
        <v>0</v>
      </c>
      <c r="AI8546" s="161">
        <f t="shared" ref="AI8546" si="5871">SUM(AE8546:AH8546)</f>
        <v>0</v>
      </c>
      <c r="AK8546" s="172"/>
    </row>
    <row r="8547" spans="1:41" s="102" customFormat="1" ht="19.899999999999999" customHeight="1" x14ac:dyDescent="0.25">
      <c r="A8547" s="45"/>
      <c r="B8547" s="59"/>
      <c r="C8547" s="137"/>
      <c r="D8547" s="59"/>
      <c r="E8547" s="116"/>
      <c r="F8547" s="120"/>
      <c r="G8547" s="120"/>
      <c r="H8547" s="120"/>
      <c r="I8547" s="60"/>
      <c r="J8547" s="116"/>
      <c r="K8547" s="213"/>
      <c r="L8547" s="120"/>
      <c r="M8547" s="120"/>
      <c r="N8547" s="167"/>
      <c r="O8547" s="120"/>
      <c r="P8547" s="120"/>
      <c r="Q8547" s="120"/>
      <c r="R8547" s="120"/>
      <c r="S8547" s="120"/>
      <c r="T8547" s="221"/>
      <c r="U8547" s="89"/>
      <c r="V8547" s="61"/>
      <c r="W8547" s="92" t="s">
        <v>1105</v>
      </c>
      <c r="X8547" s="93" t="s">
        <v>30</v>
      </c>
      <c r="Y8547" s="93" t="s">
        <v>66</v>
      </c>
      <c r="Z8547" s="134">
        <f>VLOOKUP(W8547,Sheet2!$B:$D,3,FALSE)</f>
        <v>2200</v>
      </c>
      <c r="AA8547" s="93">
        <f>1/((3.6*1.1)-(3*0.5))</f>
        <v>0.40650406504065034</v>
      </c>
      <c r="AB8547" s="93">
        <f>AD8547/AC8546</f>
        <v>5412.0000000000009</v>
      </c>
      <c r="AC8547" s="93">
        <f>AC8546/AA8547</f>
        <v>5.6087999999999951</v>
      </c>
      <c r="AD8547" s="94">
        <f t="shared" ref="AD8547" si="5872">AC8547*Z8547</f>
        <v>12339.35999999999</v>
      </c>
      <c r="AE8547" s="190"/>
      <c r="AF8547" s="191"/>
      <c r="AG8547" s="191"/>
      <c r="AH8547" s="191"/>
      <c r="AI8547" s="186"/>
      <c r="AK8547" s="171"/>
    </row>
    <row r="8548" spans="1:41" s="102" customFormat="1" ht="19.899999999999999" customHeight="1" x14ac:dyDescent="0.25">
      <c r="A8548" s="45"/>
      <c r="B8548" s="59"/>
      <c r="C8548" s="137"/>
      <c r="D8548" s="59"/>
      <c r="E8548" s="116"/>
      <c r="F8548" s="120"/>
      <c r="G8548" s="120"/>
      <c r="H8548" s="120"/>
      <c r="I8548" s="60"/>
      <c r="J8548" s="116"/>
      <c r="K8548" s="213"/>
      <c r="L8548" s="120"/>
      <c r="M8548" s="120"/>
      <c r="N8548" s="167"/>
      <c r="O8548" s="120"/>
      <c r="P8548" s="120"/>
      <c r="Q8548" s="120"/>
      <c r="R8548" s="120"/>
      <c r="S8548" s="120"/>
      <c r="T8548" s="221"/>
      <c r="U8548" s="89"/>
      <c r="V8548" s="61"/>
      <c r="W8548" s="92" t="s">
        <v>174</v>
      </c>
      <c r="X8548" s="93" t="s">
        <v>29</v>
      </c>
      <c r="Y8548" s="93" t="s">
        <v>93</v>
      </c>
      <c r="Z8548" s="134">
        <f>VLOOKUP(W8548,Sheet2!$B:$D,3,FALSE)</f>
        <v>80</v>
      </c>
      <c r="AA8548" s="93">
        <f>4*2</f>
        <v>8</v>
      </c>
      <c r="AB8548" s="93">
        <f>AD8548/AC8546</f>
        <v>10</v>
      </c>
      <c r="AC8548" s="93">
        <f>AC8546/AA8548</f>
        <v>0.2849999999999997</v>
      </c>
      <c r="AD8548" s="94">
        <f>AC8548*Z8548</f>
        <v>22.799999999999976</v>
      </c>
      <c r="AE8548" s="190"/>
      <c r="AF8548" s="191"/>
      <c r="AG8548" s="191"/>
      <c r="AH8548" s="191"/>
      <c r="AI8548" s="186"/>
      <c r="AK8548" s="171"/>
    </row>
    <row r="8549" spans="1:41" s="102" customFormat="1" ht="19.899999999999999" customHeight="1" x14ac:dyDescent="0.25">
      <c r="A8549" s="45"/>
      <c r="B8549" s="59"/>
      <c r="C8549" s="137"/>
      <c r="D8549" s="59"/>
      <c r="E8549" s="116"/>
      <c r="F8549" s="120"/>
      <c r="G8549" s="120"/>
      <c r="H8549" s="120"/>
      <c r="I8549" s="60"/>
      <c r="J8549" s="116"/>
      <c r="K8549" s="213"/>
      <c r="L8549" s="120"/>
      <c r="M8549" s="120"/>
      <c r="N8549" s="167"/>
      <c r="O8549" s="120"/>
      <c r="P8549" s="120"/>
      <c r="Q8549" s="120"/>
      <c r="R8549" s="120"/>
      <c r="S8549" s="120"/>
      <c r="T8549" s="221"/>
      <c r="U8549" s="89"/>
      <c r="V8549" s="61"/>
      <c r="W8549" s="92" t="s">
        <v>65</v>
      </c>
      <c r="X8549" s="93" t="s">
        <v>30</v>
      </c>
      <c r="Y8549" s="93" t="s">
        <v>1011</v>
      </c>
      <c r="Z8549" s="134">
        <f>VLOOKUP(W8549,Sheet2!$B:$D,3,FALSE)</f>
        <v>1.76</v>
      </c>
      <c r="AA8549" s="93">
        <f>AA8548/15</f>
        <v>0.53333333333333333</v>
      </c>
      <c r="AB8549" s="93">
        <f>AD8549/AC8546</f>
        <v>3.3000000000000003</v>
      </c>
      <c r="AC8549" s="93">
        <f>AC8546/AA8549</f>
        <v>4.2749999999999959</v>
      </c>
      <c r="AD8549" s="94">
        <f t="shared" ref="AD8549" si="5873">AC8549*Z8549</f>
        <v>7.5239999999999929</v>
      </c>
      <c r="AE8549" s="190"/>
      <c r="AF8549" s="191"/>
      <c r="AG8549" s="191"/>
      <c r="AH8549" s="191"/>
      <c r="AI8549" s="186"/>
      <c r="AK8549" s="171"/>
    </row>
    <row r="8550" spans="1:41" s="102" customFormat="1" ht="19.899999999999999" customHeight="1" x14ac:dyDescent="0.25">
      <c r="A8550" s="45"/>
      <c r="B8550" s="59"/>
      <c r="C8550" s="137"/>
      <c r="D8550" s="59"/>
      <c r="E8550" s="116"/>
      <c r="F8550" s="120"/>
      <c r="G8550" s="120"/>
      <c r="H8550" s="120"/>
      <c r="I8550" s="60"/>
      <c r="J8550" s="116"/>
      <c r="K8550" s="213"/>
      <c r="L8550" s="120"/>
      <c r="M8550" s="120"/>
      <c r="N8550" s="167"/>
      <c r="O8550" s="120"/>
      <c r="P8550" s="120"/>
      <c r="Q8550" s="120"/>
      <c r="R8550" s="120"/>
      <c r="S8550" s="120"/>
      <c r="T8550" s="221"/>
      <c r="U8550" s="89"/>
      <c r="V8550" s="61"/>
      <c r="W8550" s="92" t="s">
        <v>112</v>
      </c>
      <c r="X8550" s="93" t="s">
        <v>31</v>
      </c>
      <c r="Y8550" s="93" t="s">
        <v>93</v>
      </c>
      <c r="Z8550" s="134">
        <f>VLOOKUP(W8550,Sheet2!$B:$D,3,FALSE)</f>
        <v>13</v>
      </c>
      <c r="AA8550" s="93">
        <f>AA8548/2</f>
        <v>4</v>
      </c>
      <c r="AB8550" s="93">
        <f>AD8550/AC8546</f>
        <v>3.25</v>
      </c>
      <c r="AC8550" s="93">
        <f>AC8546/AA8550</f>
        <v>0.5699999999999994</v>
      </c>
      <c r="AD8550" s="94">
        <f>AC8550*Z8550</f>
        <v>7.4099999999999921</v>
      </c>
      <c r="AE8550" s="190"/>
      <c r="AF8550" s="191"/>
      <c r="AG8550" s="191"/>
      <c r="AH8550" s="191"/>
      <c r="AI8550" s="186"/>
      <c r="AK8550" s="171"/>
    </row>
    <row r="8551" spans="1:41" ht="20.100000000000001" customHeight="1" x14ac:dyDescent="0.25">
      <c r="A8551" s="277" t="s">
        <v>703</v>
      </c>
      <c r="B8551" s="278"/>
      <c r="C8551" s="64" t="s">
        <v>784</v>
      </c>
      <c r="D8551" s="46"/>
      <c r="E8551" s="114"/>
      <c r="F8551" s="44">
        <v>0</v>
      </c>
      <c r="G8551" s="44">
        <f t="shared" si="5545"/>
        <v>0</v>
      </c>
      <c r="H8551" s="44">
        <f t="shared" si="5546"/>
        <v>0</v>
      </c>
      <c r="I8551" s="43">
        <f t="shared" si="5547"/>
        <v>0</v>
      </c>
      <c r="J8551" s="112">
        <f t="shared" si="5548"/>
        <v>0</v>
      </c>
      <c r="K8551" s="211">
        <f t="shared" si="5549"/>
        <v>0</v>
      </c>
      <c r="L8551" s="44"/>
      <c r="M8551" s="44">
        <f t="shared" si="5550"/>
        <v>0</v>
      </c>
      <c r="N8551" s="173">
        <f t="shared" si="5551"/>
        <v>0</v>
      </c>
      <c r="O8551" s="44">
        <f t="shared" si="5552"/>
        <v>0</v>
      </c>
      <c r="P8551" s="44">
        <f t="shared" si="5553"/>
        <v>0</v>
      </c>
      <c r="Q8551" s="44">
        <f t="shared" si="5554"/>
        <v>0</v>
      </c>
      <c r="R8551" s="44">
        <f t="shared" si="5555"/>
        <v>0</v>
      </c>
      <c r="S8551" s="123"/>
      <c r="T8551" s="219">
        <f t="shared" si="5556"/>
        <v>0</v>
      </c>
      <c r="U8551" s="87"/>
      <c r="V8551" s="47"/>
      <c r="W8551" s="48"/>
      <c r="X8551" s="48"/>
      <c r="Y8551" s="48"/>
      <c r="Z8551" s="135"/>
      <c r="AA8551" s="49"/>
      <c r="AB8551" s="50">
        <f t="shared" si="5557"/>
        <v>0</v>
      </c>
      <c r="AC8551" s="42">
        <f t="shared" si="5558"/>
        <v>9.9999999999999998E-20</v>
      </c>
      <c r="AD8551" s="90"/>
      <c r="AE8551" s="188"/>
      <c r="AF8551" s="189"/>
      <c r="AG8551" s="189"/>
      <c r="AH8551" s="189"/>
      <c r="AI8551" s="161"/>
    </row>
    <row r="8552" spans="1:41" ht="20.100000000000001" customHeight="1" x14ac:dyDescent="0.25">
      <c r="A8552" s="277" t="s">
        <v>703</v>
      </c>
      <c r="B8552" s="278"/>
      <c r="C8552" s="64" t="s">
        <v>763</v>
      </c>
      <c r="D8552" s="46" t="s">
        <v>97</v>
      </c>
      <c r="E8552" s="114">
        <v>4.1039999999999992</v>
      </c>
      <c r="F8552" s="44">
        <v>4206</v>
      </c>
      <c r="G8552" s="44">
        <f t="shared" si="5545"/>
        <v>17261.423999999995</v>
      </c>
      <c r="H8552" s="44">
        <f t="shared" si="5546"/>
        <v>3867.570414117647</v>
      </c>
      <c r="I8552" s="43">
        <f t="shared" si="5547"/>
        <v>15872.508979538821</v>
      </c>
      <c r="J8552" s="112">
        <f t="shared" si="5548"/>
        <v>4.1039999999999992</v>
      </c>
      <c r="K8552" s="211">
        <f t="shared" si="5549"/>
        <v>4.1039999999999992</v>
      </c>
      <c r="L8552" s="44"/>
      <c r="M8552" s="44">
        <f t="shared" si="5550"/>
        <v>4.1039999999999992</v>
      </c>
      <c r="N8552" s="173">
        <f t="shared" si="5551"/>
        <v>1</v>
      </c>
      <c r="O8552" s="44">
        <f t="shared" si="5552"/>
        <v>4206</v>
      </c>
      <c r="P8552" s="44">
        <f t="shared" si="5553"/>
        <v>17261.423999999995</v>
      </c>
      <c r="Q8552" s="44">
        <f t="shared" si="5554"/>
        <v>3867.570414117647</v>
      </c>
      <c r="R8552" s="44">
        <f t="shared" si="5555"/>
        <v>15872.508979538821</v>
      </c>
      <c r="S8552" s="123"/>
      <c r="T8552" s="219">
        <f t="shared" si="5556"/>
        <v>15872.508979538821</v>
      </c>
      <c r="U8552" s="87"/>
      <c r="V8552" s="47"/>
      <c r="W8552" s="48"/>
      <c r="X8552" s="48"/>
      <c r="Y8552" s="48"/>
      <c r="Z8552" s="135"/>
      <c r="AA8552" s="49"/>
      <c r="AB8552" s="50">
        <f t="shared" si="5557"/>
        <v>3867.570414117647</v>
      </c>
      <c r="AC8552" s="42">
        <f t="shared" si="5558"/>
        <v>4.1039999999999992</v>
      </c>
      <c r="AD8552" s="90">
        <f>AD8553+AD8562</f>
        <v>15872.508979538821</v>
      </c>
      <c r="AE8552" s="188">
        <f t="shared" ref="AE8552:AH8552" si="5874">AE8553+AE8562</f>
        <v>0</v>
      </c>
      <c r="AF8552" s="189">
        <f t="shared" si="5874"/>
        <v>0</v>
      </c>
      <c r="AG8552" s="189">
        <f t="shared" si="5874"/>
        <v>0</v>
      </c>
      <c r="AH8552" s="189">
        <f t="shared" si="5874"/>
        <v>0</v>
      </c>
      <c r="AI8552" s="161">
        <f t="shared" ref="AI8552" si="5875">SUM(AE8552:AH8552)</f>
        <v>0</v>
      </c>
      <c r="AK8552" s="169">
        <v>5</v>
      </c>
      <c r="AO8552" s="19" t="s">
        <v>63</v>
      </c>
    </row>
    <row r="8553" spans="1:41" s="103" customFormat="1" ht="19.899999999999999" customHeight="1" x14ac:dyDescent="0.25">
      <c r="A8553" s="51"/>
      <c r="B8553" s="52"/>
      <c r="C8553" s="165"/>
      <c r="D8553" s="52"/>
      <c r="E8553" s="115"/>
      <c r="F8553" s="58"/>
      <c r="G8553" s="58"/>
      <c r="H8553" s="58"/>
      <c r="I8553" s="55"/>
      <c r="J8553" s="113">
        <f>J8552</f>
        <v>4.1039999999999992</v>
      </c>
      <c r="K8553" s="212">
        <f>K8552</f>
        <v>4.1039999999999992</v>
      </c>
      <c r="L8553" s="58"/>
      <c r="M8553" s="58">
        <f>K8553-L8553</f>
        <v>4.1039999999999992</v>
      </c>
      <c r="N8553" s="166"/>
      <c r="O8553" s="58"/>
      <c r="P8553" s="58"/>
      <c r="Q8553" s="58"/>
      <c r="R8553" s="58"/>
      <c r="S8553" s="58"/>
      <c r="T8553" s="220"/>
      <c r="U8553" s="88"/>
      <c r="V8553" s="56"/>
      <c r="W8553" s="57" t="s">
        <v>1145</v>
      </c>
      <c r="X8553" s="53"/>
      <c r="Y8553" s="91" t="s">
        <v>68</v>
      </c>
      <c r="Z8553" s="136">
        <f>AD8553/AC8553</f>
        <v>23.020414117647064</v>
      </c>
      <c r="AA8553" s="58"/>
      <c r="AB8553" s="53">
        <f>AD8553/AC8553</f>
        <v>23.020414117647064</v>
      </c>
      <c r="AC8553" s="53">
        <f>M8553+$AE$10</f>
        <v>4.1039999999999992</v>
      </c>
      <c r="AD8553" s="54">
        <f>SUM(AD8554:AD8561)</f>
        <v>94.475779538823531</v>
      </c>
      <c r="AE8553" s="184">
        <f>SUMIFS($AD$37:$AD$12971,$V$37:$V$12971,$V8553,$X$37:$X$12971,AE$13)</f>
        <v>0</v>
      </c>
      <c r="AF8553" s="185">
        <f>SUMIFS($AD$37:$AD$12971,$V$37:$V$12971,$V8553,$X$37:$X$12971,AF$13)</f>
        <v>0</v>
      </c>
      <c r="AG8553" s="185">
        <f>SUMIFS($AD$37:$AD$12971,$V$37:$V$12971,$V8553,$X$37:$X$12971,AG$13)</f>
        <v>0</v>
      </c>
      <c r="AH8553" s="187">
        <f>SUMIFS($AD$37:$AD$12971,$V$37:$V$12971,$V8553,$X$37:$X$12971,AH$13)</f>
        <v>0</v>
      </c>
      <c r="AI8553" s="161">
        <f t="shared" ref="AI8553" si="5876">SUM(AE8553:AH8553)</f>
        <v>0</v>
      </c>
      <c r="AK8553" s="172"/>
    </row>
    <row r="8554" spans="1:41" s="102" customFormat="1" ht="19.899999999999999" customHeight="1" x14ac:dyDescent="0.25">
      <c r="A8554" s="45"/>
      <c r="B8554" s="59"/>
      <c r="C8554" s="137"/>
      <c r="D8554" s="59"/>
      <c r="E8554" s="116"/>
      <c r="F8554" s="120"/>
      <c r="G8554" s="120"/>
      <c r="H8554" s="120"/>
      <c r="I8554" s="60"/>
      <c r="J8554" s="116"/>
      <c r="K8554" s="213"/>
      <c r="L8554" s="120"/>
      <c r="M8554" s="120"/>
      <c r="N8554" s="167"/>
      <c r="O8554" s="120"/>
      <c r="P8554" s="120"/>
      <c r="Q8554" s="120"/>
      <c r="R8554" s="120"/>
      <c r="S8554" s="120"/>
      <c r="T8554" s="221"/>
      <c r="U8554" s="89"/>
      <c r="V8554" s="61"/>
      <c r="W8554" s="92" t="s">
        <v>129</v>
      </c>
      <c r="X8554" s="93" t="s">
        <v>29</v>
      </c>
      <c r="Y8554" s="93" t="s">
        <v>93</v>
      </c>
      <c r="Z8554" s="134">
        <f>VLOOKUP(W8554,Sheet2!$B:$D,3,FALSE)</f>
        <v>56</v>
      </c>
      <c r="AA8554" s="93">
        <f>100/(3.2*1.5)</f>
        <v>20.833333333333329</v>
      </c>
      <c r="AB8554" s="93">
        <f t="shared" ref="AB8554" si="5877">AD8554/AC8553</f>
        <v>2.6880000000000006</v>
      </c>
      <c r="AC8554" s="93">
        <f>AC8553/AA8554</f>
        <v>0.196992</v>
      </c>
      <c r="AD8554" s="94">
        <f t="shared" ref="AD8554:AD8555" si="5878">AC8554*Z8554</f>
        <v>11.031552</v>
      </c>
      <c r="AE8554" s="190"/>
      <c r="AF8554" s="191"/>
      <c r="AG8554" s="191"/>
      <c r="AH8554" s="191"/>
      <c r="AI8554" s="186"/>
      <c r="AK8554" s="171"/>
    </row>
    <row r="8555" spans="1:41" s="102" customFormat="1" ht="19.899999999999999" customHeight="1" x14ac:dyDescent="0.25">
      <c r="A8555" s="45"/>
      <c r="B8555" s="59"/>
      <c r="C8555" s="137"/>
      <c r="D8555" s="59"/>
      <c r="E8555" s="116"/>
      <c r="F8555" s="120"/>
      <c r="G8555" s="120"/>
      <c r="H8555" s="120"/>
      <c r="I8555" s="60"/>
      <c r="J8555" s="116"/>
      <c r="K8555" s="213"/>
      <c r="L8555" s="120"/>
      <c r="M8555" s="120"/>
      <c r="N8555" s="167"/>
      <c r="O8555" s="120"/>
      <c r="P8555" s="120"/>
      <c r="Q8555" s="120"/>
      <c r="R8555" s="120"/>
      <c r="S8555" s="120"/>
      <c r="T8555" s="221"/>
      <c r="U8555" s="89"/>
      <c r="V8555" s="61"/>
      <c r="W8555" s="92" t="s">
        <v>65</v>
      </c>
      <c r="X8555" s="93" t="s">
        <v>30</v>
      </c>
      <c r="Y8555" s="93" t="s">
        <v>1011</v>
      </c>
      <c r="Z8555" s="134">
        <f>VLOOKUP(W8555,Sheet2!$B:$D,3,FALSE)</f>
        <v>1.76</v>
      </c>
      <c r="AA8555" s="93">
        <f>AA8554/14</f>
        <v>1.4880952380952377</v>
      </c>
      <c r="AB8555" s="93">
        <f>AD8555/AC8553</f>
        <v>1.1827200000000004</v>
      </c>
      <c r="AC8555" s="93">
        <f>AC8553/AA8555</f>
        <v>2.7578880000000003</v>
      </c>
      <c r="AD8555" s="94">
        <f t="shared" si="5878"/>
        <v>4.8538828800000005</v>
      </c>
      <c r="AE8555" s="190"/>
      <c r="AF8555" s="191"/>
      <c r="AG8555" s="191"/>
      <c r="AH8555" s="191"/>
      <c r="AI8555" s="186"/>
      <c r="AK8555" s="171"/>
    </row>
    <row r="8556" spans="1:41" s="102" customFormat="1" ht="19.899999999999999" customHeight="1" x14ac:dyDescent="0.25">
      <c r="A8556" s="45"/>
      <c r="B8556" s="59"/>
      <c r="C8556" s="137"/>
      <c r="D8556" s="59"/>
      <c r="E8556" s="116"/>
      <c r="F8556" s="120"/>
      <c r="G8556" s="120"/>
      <c r="H8556" s="120"/>
      <c r="I8556" s="60"/>
      <c r="J8556" s="116"/>
      <c r="K8556" s="213"/>
      <c r="L8556" s="120"/>
      <c r="M8556" s="120"/>
      <c r="N8556" s="167"/>
      <c r="O8556" s="120"/>
      <c r="P8556" s="120"/>
      <c r="Q8556" s="120"/>
      <c r="R8556" s="120"/>
      <c r="S8556" s="120"/>
      <c r="T8556" s="221"/>
      <c r="U8556" s="89"/>
      <c r="V8556" s="61"/>
      <c r="W8556" s="92" t="s">
        <v>161</v>
      </c>
      <c r="X8556" s="93" t="s">
        <v>29</v>
      </c>
      <c r="Y8556" s="93" t="s">
        <v>93</v>
      </c>
      <c r="Z8556" s="134">
        <f>VLOOKUP(W8556,Sheet2!$B:$D,3,FALSE)</f>
        <v>48</v>
      </c>
      <c r="AA8556" s="93">
        <f>(16*0.85*1.5)/(3.2*1.5)</f>
        <v>4.2499999999999991</v>
      </c>
      <c r="AB8556" s="93">
        <f>AD8556/AC8553</f>
        <v>11.294117647058826</v>
      </c>
      <c r="AC8556" s="93">
        <f>AC8553/AA8556</f>
        <v>0.96564705882352941</v>
      </c>
      <c r="AD8556" s="94">
        <f>AC8556*Z8556</f>
        <v>46.351058823529414</v>
      </c>
      <c r="AE8556" s="190"/>
      <c r="AF8556" s="191"/>
      <c r="AG8556" s="191"/>
      <c r="AH8556" s="191"/>
      <c r="AI8556" s="186"/>
      <c r="AK8556" s="171"/>
    </row>
    <row r="8557" spans="1:41" s="102" customFormat="1" ht="19.899999999999999" customHeight="1" x14ac:dyDescent="0.25">
      <c r="A8557" s="45"/>
      <c r="B8557" s="59"/>
      <c r="C8557" s="137"/>
      <c r="D8557" s="59"/>
      <c r="E8557" s="116"/>
      <c r="F8557" s="120"/>
      <c r="G8557" s="120"/>
      <c r="H8557" s="120"/>
      <c r="I8557" s="60"/>
      <c r="J8557" s="116"/>
      <c r="K8557" s="213"/>
      <c r="L8557" s="120"/>
      <c r="M8557" s="120"/>
      <c r="N8557" s="167"/>
      <c r="O8557" s="120"/>
      <c r="P8557" s="120"/>
      <c r="Q8557" s="120"/>
      <c r="R8557" s="120"/>
      <c r="S8557" s="120"/>
      <c r="T8557" s="221"/>
      <c r="U8557" s="89"/>
      <c r="V8557" s="61"/>
      <c r="W8557" s="92" t="s">
        <v>65</v>
      </c>
      <c r="X8557" s="93" t="s">
        <v>30</v>
      </c>
      <c r="Y8557" s="93" t="s">
        <v>1011</v>
      </c>
      <c r="Z8557" s="134">
        <f>VLOOKUP(W8557,Sheet2!$B:$D,3,FALSE)</f>
        <v>1.76</v>
      </c>
      <c r="AA8557" s="93">
        <f>AA8556/10</f>
        <v>0.42499999999999993</v>
      </c>
      <c r="AB8557" s="93">
        <f>AD8557/AC8553</f>
        <v>4.1411764705882366</v>
      </c>
      <c r="AC8557" s="93">
        <f>AC8553/AA8557</f>
        <v>9.6564705882352939</v>
      </c>
      <c r="AD8557" s="94">
        <f>AC8557*Z8557</f>
        <v>16.995388235294119</v>
      </c>
      <c r="AE8557" s="190"/>
      <c r="AF8557" s="191"/>
      <c r="AG8557" s="191"/>
      <c r="AH8557" s="191"/>
      <c r="AI8557" s="186"/>
      <c r="AK8557" s="171"/>
    </row>
    <row r="8558" spans="1:41" s="102" customFormat="1" ht="19.899999999999999" customHeight="1" x14ac:dyDescent="0.25">
      <c r="A8558" s="45"/>
      <c r="B8558" s="59"/>
      <c r="C8558" s="137"/>
      <c r="D8558" s="59"/>
      <c r="E8558" s="116"/>
      <c r="F8558" s="120"/>
      <c r="G8558" s="120"/>
      <c r="H8558" s="120"/>
      <c r="I8558" s="60"/>
      <c r="J8558" s="116"/>
      <c r="K8558" s="213"/>
      <c r="L8558" s="120"/>
      <c r="M8558" s="120"/>
      <c r="N8558" s="167"/>
      <c r="O8558" s="120"/>
      <c r="P8558" s="120"/>
      <c r="Q8558" s="120"/>
      <c r="R8558" s="120"/>
      <c r="S8558" s="120"/>
      <c r="T8558" s="221"/>
      <c r="U8558" s="89"/>
      <c r="V8558" s="61"/>
      <c r="W8558" s="92" t="s">
        <v>1030</v>
      </c>
      <c r="X8558" s="93" t="s">
        <v>29</v>
      </c>
      <c r="Y8558" s="93" t="s">
        <v>93</v>
      </c>
      <c r="Z8558" s="134">
        <f>VLOOKUP(W8558,Sheet2!$B:$D,3,FALSE)</f>
        <v>23</v>
      </c>
      <c r="AA8558" s="93">
        <v>50</v>
      </c>
      <c r="AB8558" s="93">
        <f>AD8558/AC8553</f>
        <v>0.46</v>
      </c>
      <c r="AC8558" s="93">
        <f>AC8553/AA8558</f>
        <v>8.2079999999999986E-2</v>
      </c>
      <c r="AD8558" s="94">
        <f t="shared" ref="AD8558:AD8561" si="5879">AC8558*Z8558</f>
        <v>1.8878399999999997</v>
      </c>
      <c r="AE8558" s="190"/>
      <c r="AF8558" s="191"/>
      <c r="AG8558" s="191"/>
      <c r="AH8558" s="191"/>
      <c r="AI8558" s="186"/>
      <c r="AK8558" s="171"/>
    </row>
    <row r="8559" spans="1:41" s="102" customFormat="1" ht="19.899999999999999" customHeight="1" x14ac:dyDescent="0.25">
      <c r="A8559" s="45"/>
      <c r="B8559" s="59"/>
      <c r="C8559" s="137"/>
      <c r="D8559" s="59"/>
      <c r="E8559" s="116"/>
      <c r="F8559" s="120"/>
      <c r="G8559" s="120"/>
      <c r="H8559" s="120"/>
      <c r="I8559" s="60"/>
      <c r="J8559" s="116"/>
      <c r="K8559" s="213"/>
      <c r="L8559" s="120"/>
      <c r="M8559" s="120"/>
      <c r="N8559" s="167"/>
      <c r="O8559" s="120"/>
      <c r="P8559" s="120"/>
      <c r="Q8559" s="120"/>
      <c r="R8559" s="120"/>
      <c r="S8559" s="120"/>
      <c r="T8559" s="221"/>
      <c r="U8559" s="89"/>
      <c r="V8559" s="61"/>
      <c r="W8559" s="92" t="s">
        <v>65</v>
      </c>
      <c r="X8559" s="93" t="s">
        <v>30</v>
      </c>
      <c r="Y8559" s="93" t="s">
        <v>1011</v>
      </c>
      <c r="Z8559" s="134">
        <f>VLOOKUP(W8559,Sheet2!$B:$D,3,FALSE)</f>
        <v>1.76</v>
      </c>
      <c r="AA8559" s="93">
        <f>AA8558/3</f>
        <v>16.666666666666668</v>
      </c>
      <c r="AB8559" s="93">
        <f>AD8559/AC8553</f>
        <v>0.1056</v>
      </c>
      <c r="AC8559" s="93">
        <f>AC8553/AA8559</f>
        <v>0.24623999999999993</v>
      </c>
      <c r="AD8559" s="94">
        <f t="shared" si="5879"/>
        <v>0.43338239999999989</v>
      </c>
      <c r="AE8559" s="190"/>
      <c r="AF8559" s="191"/>
      <c r="AG8559" s="191"/>
      <c r="AH8559" s="191"/>
      <c r="AI8559" s="186"/>
      <c r="AK8559" s="171"/>
    </row>
    <row r="8560" spans="1:41" s="102" customFormat="1" ht="19.899999999999999" customHeight="1" x14ac:dyDescent="0.25">
      <c r="A8560" s="45"/>
      <c r="B8560" s="59"/>
      <c r="C8560" s="137"/>
      <c r="D8560" s="59"/>
      <c r="E8560" s="116"/>
      <c r="F8560" s="120"/>
      <c r="G8560" s="120"/>
      <c r="H8560" s="120"/>
      <c r="I8560" s="60"/>
      <c r="J8560" s="116"/>
      <c r="K8560" s="213"/>
      <c r="L8560" s="120"/>
      <c r="M8560" s="120"/>
      <c r="N8560" s="167"/>
      <c r="O8560" s="120"/>
      <c r="P8560" s="120"/>
      <c r="Q8560" s="120"/>
      <c r="R8560" s="120"/>
      <c r="S8560" s="120"/>
      <c r="T8560" s="221"/>
      <c r="U8560" s="89"/>
      <c r="V8560" s="61"/>
      <c r="W8560" s="92" t="s">
        <v>148</v>
      </c>
      <c r="X8560" s="93" t="s">
        <v>29</v>
      </c>
      <c r="Y8560" s="93" t="s">
        <v>93</v>
      </c>
      <c r="Z8560" s="134">
        <f>VLOOKUP(W8560,Sheet2!$B:$D,3,FALSE)</f>
        <v>48</v>
      </c>
      <c r="AA8560" s="93">
        <f>AA8554</f>
        <v>20.833333333333329</v>
      </c>
      <c r="AB8560" s="93">
        <f>AD8560/AC8553</f>
        <v>2.3040000000000003</v>
      </c>
      <c r="AC8560" s="93">
        <f>AC8553/AA8560</f>
        <v>0.196992</v>
      </c>
      <c r="AD8560" s="94">
        <f t="shared" si="5879"/>
        <v>9.4556159999999991</v>
      </c>
      <c r="AE8560" s="190"/>
      <c r="AF8560" s="191"/>
      <c r="AG8560" s="191"/>
      <c r="AH8560" s="191"/>
      <c r="AI8560" s="186"/>
      <c r="AK8560" s="171"/>
    </row>
    <row r="8561" spans="1:41" s="102" customFormat="1" ht="19.899999999999999" customHeight="1" x14ac:dyDescent="0.25">
      <c r="A8561" s="45"/>
      <c r="B8561" s="59"/>
      <c r="C8561" s="137"/>
      <c r="D8561" s="59"/>
      <c r="E8561" s="116"/>
      <c r="F8561" s="120"/>
      <c r="G8561" s="120"/>
      <c r="H8561" s="120"/>
      <c r="I8561" s="60"/>
      <c r="J8561" s="116"/>
      <c r="K8561" s="213"/>
      <c r="L8561" s="120"/>
      <c r="M8561" s="120"/>
      <c r="N8561" s="167"/>
      <c r="O8561" s="120"/>
      <c r="P8561" s="120"/>
      <c r="Q8561" s="120"/>
      <c r="R8561" s="120"/>
      <c r="S8561" s="120"/>
      <c r="T8561" s="221"/>
      <c r="U8561" s="89"/>
      <c r="V8561" s="61"/>
      <c r="W8561" s="92" t="s">
        <v>65</v>
      </c>
      <c r="X8561" s="93" t="s">
        <v>30</v>
      </c>
      <c r="Y8561" s="93" t="s">
        <v>1011</v>
      </c>
      <c r="Z8561" s="134">
        <f>VLOOKUP(W8561,Sheet2!$B:$D,3,FALSE)</f>
        <v>1.76</v>
      </c>
      <c r="AA8561" s="93">
        <f>AA8560/10</f>
        <v>2.083333333333333</v>
      </c>
      <c r="AB8561" s="93">
        <f>AD8561/AC8553</f>
        <v>0.84480000000000022</v>
      </c>
      <c r="AC8561" s="93">
        <f>AC8553/AA8561</f>
        <v>1.9699199999999999</v>
      </c>
      <c r="AD8561" s="94">
        <f t="shared" si="5879"/>
        <v>3.4670592</v>
      </c>
      <c r="AE8561" s="190"/>
      <c r="AF8561" s="191"/>
      <c r="AG8561" s="191"/>
      <c r="AH8561" s="191"/>
      <c r="AI8561" s="186"/>
      <c r="AK8561" s="171"/>
    </row>
    <row r="8562" spans="1:41" s="103" customFormat="1" ht="19.899999999999999" customHeight="1" x14ac:dyDescent="0.25">
      <c r="A8562" s="51"/>
      <c r="B8562" s="52"/>
      <c r="C8562" s="165"/>
      <c r="D8562" s="52"/>
      <c r="E8562" s="115"/>
      <c r="F8562" s="58"/>
      <c r="G8562" s="58"/>
      <c r="H8562" s="58"/>
      <c r="I8562" s="55"/>
      <c r="J8562" s="113">
        <f>J8552</f>
        <v>4.1039999999999992</v>
      </c>
      <c r="K8562" s="212">
        <f>K8552</f>
        <v>4.1039999999999992</v>
      </c>
      <c r="L8562" s="58"/>
      <c r="M8562" s="58">
        <f>K8562-L8562</f>
        <v>4.1039999999999992</v>
      </c>
      <c r="N8562" s="166"/>
      <c r="O8562" s="58"/>
      <c r="P8562" s="58"/>
      <c r="Q8562" s="58"/>
      <c r="R8562" s="58"/>
      <c r="S8562" s="58"/>
      <c r="T8562" s="220"/>
      <c r="U8562" s="88"/>
      <c r="V8562" s="56"/>
      <c r="W8562" s="57" t="s">
        <v>1144</v>
      </c>
      <c r="X8562" s="53"/>
      <c r="Y8562" s="91" t="s">
        <v>68</v>
      </c>
      <c r="Z8562" s="136">
        <f>AD8562/AC8562</f>
        <v>3844.55</v>
      </c>
      <c r="AA8562" s="58"/>
      <c r="AB8562" s="53">
        <f>AD8562/AC8562</f>
        <v>3844.55</v>
      </c>
      <c r="AC8562" s="53">
        <f>M8562+$AE$10</f>
        <v>4.1039999999999992</v>
      </c>
      <c r="AD8562" s="54">
        <f>SUM(AD8563:AD8566)</f>
        <v>15778.033199999998</v>
      </c>
      <c r="AE8562" s="184">
        <f>SUMIFS($AD$37:$AD$12971,$V$37:$V$12971,$V8562,$X$37:$X$12971,AE$13)</f>
        <v>0</v>
      </c>
      <c r="AF8562" s="185">
        <f>SUMIFS($AD$37:$AD$12971,$V$37:$V$12971,$V8562,$X$37:$X$12971,AF$13)</f>
        <v>0</v>
      </c>
      <c r="AG8562" s="185">
        <f>SUMIFS($AD$37:$AD$12971,$V$37:$V$12971,$V8562,$X$37:$X$12971,AG$13)</f>
        <v>0</v>
      </c>
      <c r="AH8562" s="187">
        <f>SUMIFS($AD$37:$AD$12971,$V$37:$V$12971,$V8562,$X$37:$X$12971,AH$13)</f>
        <v>0</v>
      </c>
      <c r="AI8562" s="161">
        <f t="shared" ref="AI8562" si="5880">SUM(AE8562:AH8562)</f>
        <v>0</v>
      </c>
      <c r="AK8562" s="172"/>
    </row>
    <row r="8563" spans="1:41" s="102" customFormat="1" ht="19.899999999999999" customHeight="1" x14ac:dyDescent="0.25">
      <c r="A8563" s="45"/>
      <c r="B8563" s="59"/>
      <c r="C8563" s="137"/>
      <c r="D8563" s="59"/>
      <c r="E8563" s="116"/>
      <c r="F8563" s="120"/>
      <c r="G8563" s="120"/>
      <c r="H8563" s="120"/>
      <c r="I8563" s="60"/>
      <c r="J8563" s="116"/>
      <c r="K8563" s="213"/>
      <c r="L8563" s="120"/>
      <c r="M8563" s="120"/>
      <c r="N8563" s="167"/>
      <c r="O8563" s="120"/>
      <c r="P8563" s="120"/>
      <c r="Q8563" s="120"/>
      <c r="R8563" s="120"/>
      <c r="S8563" s="120"/>
      <c r="T8563" s="221"/>
      <c r="U8563" s="89"/>
      <c r="V8563" s="61"/>
      <c r="W8563" s="92" t="s">
        <v>1105</v>
      </c>
      <c r="X8563" s="93" t="s">
        <v>30</v>
      </c>
      <c r="Y8563" s="93" t="s">
        <v>66</v>
      </c>
      <c r="Z8563" s="134">
        <f>VLOOKUP(W8563,Sheet2!$B:$D,3,FALSE)</f>
        <v>2200</v>
      </c>
      <c r="AA8563" s="93">
        <f>1/((2.4*1.1)-(1.8*0.5))</f>
        <v>0.57471264367816088</v>
      </c>
      <c r="AB8563" s="93">
        <f>AD8563/AC8562</f>
        <v>3828</v>
      </c>
      <c r="AC8563" s="93">
        <f>AC8562/AA8563</f>
        <v>7.1409599999999989</v>
      </c>
      <c r="AD8563" s="94">
        <f t="shared" ref="AD8563" si="5881">AC8563*Z8563</f>
        <v>15710.111999999997</v>
      </c>
      <c r="AE8563" s="190"/>
      <c r="AF8563" s="191"/>
      <c r="AG8563" s="191"/>
      <c r="AH8563" s="191"/>
      <c r="AI8563" s="186"/>
      <c r="AK8563" s="171"/>
    </row>
    <row r="8564" spans="1:41" s="102" customFormat="1" ht="19.899999999999999" customHeight="1" x14ac:dyDescent="0.25">
      <c r="A8564" s="45"/>
      <c r="B8564" s="59"/>
      <c r="C8564" s="137"/>
      <c r="D8564" s="59"/>
      <c r="E8564" s="116"/>
      <c r="F8564" s="120"/>
      <c r="G8564" s="120"/>
      <c r="H8564" s="120"/>
      <c r="I8564" s="60"/>
      <c r="J8564" s="116"/>
      <c r="K8564" s="213"/>
      <c r="L8564" s="120"/>
      <c r="M8564" s="120"/>
      <c r="N8564" s="167"/>
      <c r="O8564" s="120"/>
      <c r="P8564" s="120"/>
      <c r="Q8564" s="120"/>
      <c r="R8564" s="120"/>
      <c r="S8564" s="120"/>
      <c r="T8564" s="221"/>
      <c r="U8564" s="89"/>
      <c r="V8564" s="61"/>
      <c r="W8564" s="92" t="s">
        <v>174</v>
      </c>
      <c r="X8564" s="93" t="s">
        <v>29</v>
      </c>
      <c r="Y8564" s="93" t="s">
        <v>93</v>
      </c>
      <c r="Z8564" s="134">
        <f>VLOOKUP(W8564,Sheet2!$B:$D,3,FALSE)</f>
        <v>80</v>
      </c>
      <c r="AA8564" s="93">
        <f>4*2</f>
        <v>8</v>
      </c>
      <c r="AB8564" s="93">
        <f>AD8564/AC8562</f>
        <v>10</v>
      </c>
      <c r="AC8564" s="93">
        <f>AC8562/AA8564</f>
        <v>0.5129999999999999</v>
      </c>
      <c r="AD8564" s="94">
        <f>AC8564*Z8564</f>
        <v>41.039999999999992</v>
      </c>
      <c r="AE8564" s="190"/>
      <c r="AF8564" s="191"/>
      <c r="AG8564" s="191"/>
      <c r="AH8564" s="191"/>
      <c r="AI8564" s="186"/>
      <c r="AK8564" s="171"/>
    </row>
    <row r="8565" spans="1:41" s="102" customFormat="1" ht="19.899999999999999" customHeight="1" x14ac:dyDescent="0.25">
      <c r="A8565" s="45"/>
      <c r="B8565" s="59"/>
      <c r="C8565" s="137"/>
      <c r="D8565" s="59"/>
      <c r="E8565" s="116"/>
      <c r="F8565" s="120"/>
      <c r="G8565" s="120"/>
      <c r="H8565" s="120"/>
      <c r="I8565" s="60"/>
      <c r="J8565" s="116"/>
      <c r="K8565" s="213"/>
      <c r="L8565" s="120"/>
      <c r="M8565" s="120"/>
      <c r="N8565" s="167"/>
      <c r="O8565" s="120"/>
      <c r="P8565" s="120"/>
      <c r="Q8565" s="120"/>
      <c r="R8565" s="120"/>
      <c r="S8565" s="120"/>
      <c r="T8565" s="221"/>
      <c r="U8565" s="89"/>
      <c r="V8565" s="61"/>
      <c r="W8565" s="92" t="s">
        <v>65</v>
      </c>
      <c r="X8565" s="93" t="s">
        <v>30</v>
      </c>
      <c r="Y8565" s="93" t="s">
        <v>1011</v>
      </c>
      <c r="Z8565" s="134">
        <f>VLOOKUP(W8565,Sheet2!$B:$D,3,FALSE)</f>
        <v>1.76</v>
      </c>
      <c r="AA8565" s="93">
        <f>AA8564/15</f>
        <v>0.53333333333333333</v>
      </c>
      <c r="AB8565" s="93">
        <f>AD8565/AC8562</f>
        <v>3.3</v>
      </c>
      <c r="AC8565" s="93">
        <f>AC8562/AA8565</f>
        <v>7.6949999999999985</v>
      </c>
      <c r="AD8565" s="94">
        <f t="shared" ref="AD8565" si="5882">AC8565*Z8565</f>
        <v>13.543199999999997</v>
      </c>
      <c r="AE8565" s="190"/>
      <c r="AF8565" s="191"/>
      <c r="AG8565" s="191"/>
      <c r="AH8565" s="191"/>
      <c r="AI8565" s="186"/>
      <c r="AK8565" s="171"/>
    </row>
    <row r="8566" spans="1:41" s="102" customFormat="1" ht="19.899999999999999" customHeight="1" x14ac:dyDescent="0.25">
      <c r="A8566" s="45"/>
      <c r="B8566" s="59"/>
      <c r="C8566" s="137"/>
      <c r="D8566" s="59"/>
      <c r="E8566" s="116"/>
      <c r="F8566" s="120"/>
      <c r="G8566" s="120"/>
      <c r="H8566" s="120"/>
      <c r="I8566" s="60"/>
      <c r="J8566" s="116"/>
      <c r="K8566" s="213"/>
      <c r="L8566" s="120"/>
      <c r="M8566" s="120"/>
      <c r="N8566" s="167"/>
      <c r="O8566" s="120"/>
      <c r="P8566" s="120"/>
      <c r="Q8566" s="120"/>
      <c r="R8566" s="120"/>
      <c r="S8566" s="120"/>
      <c r="T8566" s="221"/>
      <c r="U8566" s="89"/>
      <c r="V8566" s="61"/>
      <c r="W8566" s="92" t="s">
        <v>112</v>
      </c>
      <c r="X8566" s="93" t="s">
        <v>31</v>
      </c>
      <c r="Y8566" s="93" t="s">
        <v>93</v>
      </c>
      <c r="Z8566" s="134">
        <f>VLOOKUP(W8566,Sheet2!$B:$D,3,FALSE)</f>
        <v>13</v>
      </c>
      <c r="AA8566" s="93">
        <f>AA8564/2</f>
        <v>4</v>
      </c>
      <c r="AB8566" s="93">
        <f>AD8566/AC8562</f>
        <v>3.25</v>
      </c>
      <c r="AC8566" s="93">
        <f>AC8562/AA8566</f>
        <v>1.0259999999999998</v>
      </c>
      <c r="AD8566" s="94">
        <f>AC8566*Z8566</f>
        <v>13.337999999999997</v>
      </c>
      <c r="AE8566" s="190"/>
      <c r="AF8566" s="191"/>
      <c r="AG8566" s="191"/>
      <c r="AH8566" s="191"/>
      <c r="AI8566" s="186"/>
      <c r="AK8566" s="171"/>
    </row>
    <row r="8567" spans="1:41" ht="20.100000000000001" customHeight="1" x14ac:dyDescent="0.25">
      <c r="A8567" s="277" t="s">
        <v>703</v>
      </c>
      <c r="B8567" s="278"/>
      <c r="C8567" s="64" t="s">
        <v>785</v>
      </c>
      <c r="D8567" s="46"/>
      <c r="E8567" s="114"/>
      <c r="F8567" s="44">
        <v>0</v>
      </c>
      <c r="G8567" s="44">
        <f t="shared" si="5545"/>
        <v>0</v>
      </c>
      <c r="H8567" s="44">
        <f t="shared" si="5546"/>
        <v>0</v>
      </c>
      <c r="I8567" s="43">
        <f t="shared" si="5547"/>
        <v>0</v>
      </c>
      <c r="J8567" s="112">
        <f t="shared" si="5548"/>
        <v>0</v>
      </c>
      <c r="K8567" s="211">
        <f t="shared" si="5549"/>
        <v>0</v>
      </c>
      <c r="L8567" s="44"/>
      <c r="M8567" s="44">
        <f t="shared" si="5550"/>
        <v>0</v>
      </c>
      <c r="N8567" s="173">
        <f t="shared" si="5551"/>
        <v>0</v>
      </c>
      <c r="O8567" s="44">
        <f t="shared" si="5552"/>
        <v>0</v>
      </c>
      <c r="P8567" s="44">
        <f t="shared" si="5553"/>
        <v>0</v>
      </c>
      <c r="Q8567" s="44">
        <f t="shared" si="5554"/>
        <v>0</v>
      </c>
      <c r="R8567" s="44">
        <f t="shared" si="5555"/>
        <v>0</v>
      </c>
      <c r="S8567" s="123"/>
      <c r="T8567" s="219">
        <f t="shared" si="5556"/>
        <v>0</v>
      </c>
      <c r="U8567" s="87"/>
      <c r="V8567" s="47"/>
      <c r="W8567" s="48"/>
      <c r="X8567" s="48"/>
      <c r="Y8567" s="48"/>
      <c r="Z8567" s="135"/>
      <c r="AA8567" s="49"/>
      <c r="AB8567" s="50">
        <f t="shared" si="5557"/>
        <v>0</v>
      </c>
      <c r="AC8567" s="42">
        <f t="shared" si="5558"/>
        <v>9.9999999999999998E-20</v>
      </c>
      <c r="AD8567" s="90"/>
      <c r="AE8567" s="188"/>
      <c r="AF8567" s="189"/>
      <c r="AG8567" s="189"/>
      <c r="AH8567" s="189"/>
      <c r="AI8567" s="161"/>
    </row>
    <row r="8568" spans="1:41" ht="20.100000000000001" customHeight="1" x14ac:dyDescent="0.25">
      <c r="A8568" s="277" t="s">
        <v>703</v>
      </c>
      <c r="B8568" s="278"/>
      <c r="C8568" s="64" t="s">
        <v>763</v>
      </c>
      <c r="D8568" s="46"/>
      <c r="E8568" s="114"/>
      <c r="F8568" s="44">
        <v>0</v>
      </c>
      <c r="G8568" s="44">
        <f t="shared" si="5545"/>
        <v>0</v>
      </c>
      <c r="H8568" s="44">
        <f t="shared" si="5546"/>
        <v>0</v>
      </c>
      <c r="I8568" s="43">
        <f t="shared" si="5547"/>
        <v>0</v>
      </c>
      <c r="J8568" s="112">
        <f t="shared" si="5548"/>
        <v>0</v>
      </c>
      <c r="K8568" s="211">
        <f t="shared" si="5549"/>
        <v>0</v>
      </c>
      <c r="L8568" s="44"/>
      <c r="M8568" s="44">
        <f t="shared" si="5550"/>
        <v>0</v>
      </c>
      <c r="N8568" s="173">
        <f t="shared" si="5551"/>
        <v>0</v>
      </c>
      <c r="O8568" s="44">
        <f t="shared" si="5552"/>
        <v>0</v>
      </c>
      <c r="P8568" s="44">
        <f t="shared" si="5553"/>
        <v>0</v>
      </c>
      <c r="Q8568" s="44">
        <f t="shared" si="5554"/>
        <v>0</v>
      </c>
      <c r="R8568" s="44">
        <f t="shared" si="5555"/>
        <v>0</v>
      </c>
      <c r="S8568" s="123"/>
      <c r="T8568" s="219">
        <f t="shared" si="5556"/>
        <v>0</v>
      </c>
      <c r="U8568" s="87"/>
      <c r="V8568" s="47"/>
      <c r="W8568" s="48"/>
      <c r="X8568" s="48"/>
      <c r="Y8568" s="48"/>
      <c r="Z8568" s="135"/>
      <c r="AA8568" s="49"/>
      <c r="AB8568" s="50">
        <f t="shared" si="5557"/>
        <v>0</v>
      </c>
      <c r="AC8568" s="42">
        <f t="shared" si="5558"/>
        <v>9.9999999999999998E-20</v>
      </c>
      <c r="AD8568" s="90"/>
      <c r="AE8568" s="188"/>
      <c r="AF8568" s="189"/>
      <c r="AG8568" s="189"/>
      <c r="AH8568" s="189"/>
      <c r="AI8568" s="161"/>
    </row>
    <row r="8569" spans="1:41" ht="20.100000000000001" customHeight="1" x14ac:dyDescent="0.25">
      <c r="A8569" s="277" t="s">
        <v>703</v>
      </c>
      <c r="B8569" s="278"/>
      <c r="C8569" s="64" t="s">
        <v>764</v>
      </c>
      <c r="D8569" s="46" t="s">
        <v>97</v>
      </c>
      <c r="E8569" s="114">
        <v>29.427300000000002</v>
      </c>
      <c r="F8569" s="44">
        <v>4796</v>
      </c>
      <c r="G8569" s="44">
        <f t="shared" si="5545"/>
        <v>141133.33080000003</v>
      </c>
      <c r="H8569" s="44">
        <f t="shared" si="5546"/>
        <v>4272.9265866666674</v>
      </c>
      <c r="I8569" s="43">
        <f t="shared" si="5547"/>
        <v>125740.69254381603</v>
      </c>
      <c r="J8569" s="112">
        <f t="shared" si="5548"/>
        <v>29.427300000000002</v>
      </c>
      <c r="K8569" s="211">
        <f t="shared" si="5549"/>
        <v>29.427300000000002</v>
      </c>
      <c r="L8569" s="44"/>
      <c r="M8569" s="44">
        <f t="shared" si="5550"/>
        <v>29.427300000000002</v>
      </c>
      <c r="N8569" s="173">
        <f t="shared" si="5551"/>
        <v>1</v>
      </c>
      <c r="O8569" s="44">
        <f t="shared" si="5552"/>
        <v>4796</v>
      </c>
      <c r="P8569" s="44">
        <f t="shared" si="5553"/>
        <v>141133.33080000003</v>
      </c>
      <c r="Q8569" s="44">
        <f t="shared" si="5554"/>
        <v>4272.9265866666674</v>
      </c>
      <c r="R8569" s="44">
        <f t="shared" si="5555"/>
        <v>125740.69254381603</v>
      </c>
      <c r="S8569" s="123"/>
      <c r="T8569" s="219">
        <f t="shared" si="5556"/>
        <v>125740.69254381603</v>
      </c>
      <c r="U8569" s="87"/>
      <c r="V8569" s="47"/>
      <c r="W8569" s="48"/>
      <c r="X8569" s="48"/>
      <c r="Y8569" s="48"/>
      <c r="Z8569" s="135"/>
      <c r="AA8569" s="49"/>
      <c r="AB8569" s="50">
        <f t="shared" si="5557"/>
        <v>4272.9265866666674</v>
      </c>
      <c r="AC8569" s="42">
        <f t="shared" si="5558"/>
        <v>29.427300000000002</v>
      </c>
      <c r="AD8569" s="90">
        <f>AD8570+AD8579</f>
        <v>125740.69254381603</v>
      </c>
      <c r="AE8569" s="188">
        <f t="shared" ref="AE8569:AH8569" si="5883">AE8570+AE8579</f>
        <v>0</v>
      </c>
      <c r="AF8569" s="189">
        <f t="shared" si="5883"/>
        <v>0</v>
      </c>
      <c r="AG8569" s="189">
        <f t="shared" si="5883"/>
        <v>0</v>
      </c>
      <c r="AH8569" s="189">
        <f t="shared" si="5883"/>
        <v>0</v>
      </c>
      <c r="AI8569" s="161">
        <f t="shared" ref="AI8569" si="5884">SUM(AE8569:AH8569)</f>
        <v>0</v>
      </c>
      <c r="AK8569" s="169">
        <v>5</v>
      </c>
      <c r="AO8569" s="19" t="s">
        <v>63</v>
      </c>
    </row>
    <row r="8570" spans="1:41" s="103" customFormat="1" ht="19.899999999999999" customHeight="1" x14ac:dyDescent="0.25">
      <c r="A8570" s="51"/>
      <c r="B8570" s="52"/>
      <c r="C8570" s="165"/>
      <c r="D8570" s="52"/>
      <c r="E8570" s="115"/>
      <c r="F8570" s="58"/>
      <c r="G8570" s="58"/>
      <c r="H8570" s="58"/>
      <c r="I8570" s="55"/>
      <c r="J8570" s="113">
        <f>J8569</f>
        <v>29.427300000000002</v>
      </c>
      <c r="K8570" s="212">
        <f>K8569</f>
        <v>29.427300000000002</v>
      </c>
      <c r="L8570" s="58"/>
      <c r="M8570" s="58">
        <f>K8570-L8570</f>
        <v>29.427300000000002</v>
      </c>
      <c r="N8570" s="166"/>
      <c r="O8570" s="58"/>
      <c r="P8570" s="58"/>
      <c r="Q8570" s="58"/>
      <c r="R8570" s="58"/>
      <c r="S8570" s="58"/>
      <c r="T8570" s="220"/>
      <c r="U8570" s="88"/>
      <c r="V8570" s="56"/>
      <c r="W8570" s="57" t="s">
        <v>1136</v>
      </c>
      <c r="X8570" s="53"/>
      <c r="Y8570" s="91" t="s">
        <v>68</v>
      </c>
      <c r="Z8570" s="136">
        <f>AD8570/AC8570</f>
        <v>32.376586666666668</v>
      </c>
      <c r="AA8570" s="58"/>
      <c r="AB8570" s="53">
        <f>AD8570/AC8570</f>
        <v>32.376586666666668</v>
      </c>
      <c r="AC8570" s="53">
        <f>M8570+$AE$10</f>
        <v>29.427300000000002</v>
      </c>
      <c r="AD8570" s="54">
        <f>SUM(AD8571:AD8578)</f>
        <v>952.75552881600015</v>
      </c>
      <c r="AE8570" s="184">
        <f>SUMIFS($AD$37:$AD$12971,$V$37:$V$12971,$V8570,$X$37:$X$12971,AE$13)</f>
        <v>0</v>
      </c>
      <c r="AF8570" s="185">
        <f>SUMIFS($AD$37:$AD$12971,$V$37:$V$12971,$V8570,$X$37:$X$12971,AF$13)</f>
        <v>0</v>
      </c>
      <c r="AG8570" s="185">
        <f>SUMIFS($AD$37:$AD$12971,$V$37:$V$12971,$V8570,$X$37:$X$12971,AG$13)</f>
        <v>0</v>
      </c>
      <c r="AH8570" s="187">
        <f>SUMIFS($AD$37:$AD$12971,$V$37:$V$12971,$V8570,$X$37:$X$12971,AH$13)</f>
        <v>0</v>
      </c>
      <c r="AI8570" s="161">
        <f t="shared" ref="AI8570" si="5885">SUM(AE8570:AH8570)</f>
        <v>0</v>
      </c>
      <c r="AK8570" s="172"/>
    </row>
    <row r="8571" spans="1:41" s="102" customFormat="1" ht="19.899999999999999" customHeight="1" x14ac:dyDescent="0.25">
      <c r="A8571" s="45"/>
      <c r="B8571" s="59"/>
      <c r="C8571" s="137"/>
      <c r="D8571" s="59"/>
      <c r="E8571" s="116"/>
      <c r="F8571" s="120"/>
      <c r="G8571" s="120"/>
      <c r="H8571" s="120"/>
      <c r="I8571" s="60"/>
      <c r="J8571" s="116"/>
      <c r="K8571" s="213"/>
      <c r="L8571" s="120"/>
      <c r="M8571" s="120"/>
      <c r="N8571" s="167"/>
      <c r="O8571" s="120"/>
      <c r="P8571" s="120"/>
      <c r="Q8571" s="120"/>
      <c r="R8571" s="120"/>
      <c r="S8571" s="120"/>
      <c r="T8571" s="221"/>
      <c r="U8571" s="89"/>
      <c r="V8571" s="61"/>
      <c r="W8571" s="92" t="s">
        <v>129</v>
      </c>
      <c r="X8571" s="93" t="s">
        <v>29</v>
      </c>
      <c r="Y8571" s="93" t="s">
        <v>93</v>
      </c>
      <c r="Z8571" s="134">
        <f>VLOOKUP(W8571,Sheet2!$B:$D,3,FALSE)</f>
        <v>56</v>
      </c>
      <c r="AA8571" s="93">
        <f>100/(3.4*2)</f>
        <v>14.705882352941178</v>
      </c>
      <c r="AB8571" s="93">
        <f t="shared" ref="AB8571" si="5886">AD8571/AC8570</f>
        <v>3.8079999999999998</v>
      </c>
      <c r="AC8571" s="93">
        <f>AC8570/AA8571</f>
        <v>2.0010564</v>
      </c>
      <c r="AD8571" s="94">
        <f t="shared" ref="AD8571:AD8572" si="5887">AC8571*Z8571</f>
        <v>112.0591584</v>
      </c>
      <c r="AE8571" s="190"/>
      <c r="AF8571" s="191"/>
      <c r="AG8571" s="191"/>
      <c r="AH8571" s="191"/>
      <c r="AI8571" s="186"/>
      <c r="AK8571" s="171"/>
    </row>
    <row r="8572" spans="1:41" s="102" customFormat="1" ht="19.899999999999999" customHeight="1" x14ac:dyDescent="0.25">
      <c r="A8572" s="45"/>
      <c r="B8572" s="59"/>
      <c r="C8572" s="137"/>
      <c r="D8572" s="59"/>
      <c r="E8572" s="116"/>
      <c r="F8572" s="120"/>
      <c r="G8572" s="120"/>
      <c r="H8572" s="120"/>
      <c r="I8572" s="60"/>
      <c r="J8572" s="116"/>
      <c r="K8572" s="213"/>
      <c r="L8572" s="120"/>
      <c r="M8572" s="120"/>
      <c r="N8572" s="167"/>
      <c r="O8572" s="120"/>
      <c r="P8572" s="120"/>
      <c r="Q8572" s="120"/>
      <c r="R8572" s="120"/>
      <c r="S8572" s="120"/>
      <c r="T8572" s="221"/>
      <c r="U8572" s="89"/>
      <c r="V8572" s="61"/>
      <c r="W8572" s="92" t="s">
        <v>65</v>
      </c>
      <c r="X8572" s="93" t="s">
        <v>30</v>
      </c>
      <c r="Y8572" s="93" t="s">
        <v>1011</v>
      </c>
      <c r="Z8572" s="134">
        <f>VLOOKUP(W8572,Sheet2!$B:$D,3,FALSE)</f>
        <v>1.76</v>
      </c>
      <c r="AA8572" s="93">
        <f>AA8571/14</f>
        <v>1.0504201680672269</v>
      </c>
      <c r="AB8572" s="93">
        <f>AD8572/AC8570</f>
        <v>1.6755199999999999</v>
      </c>
      <c r="AC8572" s="93">
        <f>AC8570/AA8572</f>
        <v>28.0147896</v>
      </c>
      <c r="AD8572" s="94">
        <f t="shared" si="5887"/>
        <v>49.306029696000003</v>
      </c>
      <c r="AE8572" s="190"/>
      <c r="AF8572" s="191"/>
      <c r="AG8572" s="191"/>
      <c r="AH8572" s="191"/>
      <c r="AI8572" s="186"/>
      <c r="AK8572" s="171"/>
    </row>
    <row r="8573" spans="1:41" s="102" customFormat="1" ht="19.899999999999999" customHeight="1" x14ac:dyDescent="0.25">
      <c r="A8573" s="45"/>
      <c r="B8573" s="59"/>
      <c r="C8573" s="137"/>
      <c r="D8573" s="59"/>
      <c r="E8573" s="116"/>
      <c r="F8573" s="120"/>
      <c r="G8573" s="120"/>
      <c r="H8573" s="120"/>
      <c r="I8573" s="60"/>
      <c r="J8573" s="116"/>
      <c r="K8573" s="213"/>
      <c r="L8573" s="120"/>
      <c r="M8573" s="120"/>
      <c r="N8573" s="167"/>
      <c r="O8573" s="120"/>
      <c r="P8573" s="120"/>
      <c r="Q8573" s="120"/>
      <c r="R8573" s="120"/>
      <c r="S8573" s="120"/>
      <c r="T8573" s="221"/>
      <c r="U8573" s="89"/>
      <c r="V8573" s="61"/>
      <c r="W8573" s="92" t="s">
        <v>161</v>
      </c>
      <c r="X8573" s="93" t="s">
        <v>29</v>
      </c>
      <c r="Y8573" s="93" t="s">
        <v>93</v>
      </c>
      <c r="Z8573" s="134">
        <f>VLOOKUP(W8573,Sheet2!$B:$D,3,FALSE)</f>
        <v>48</v>
      </c>
      <c r="AA8573" s="93">
        <f>(16*0.85*1.5)/(3.4*2)</f>
        <v>3</v>
      </c>
      <c r="AB8573" s="93">
        <f>AD8573/AC8570</f>
        <v>16</v>
      </c>
      <c r="AC8573" s="93">
        <f>AC8570/AA8573</f>
        <v>9.8091000000000008</v>
      </c>
      <c r="AD8573" s="94">
        <f>AC8573*Z8573</f>
        <v>470.83680000000004</v>
      </c>
      <c r="AE8573" s="190"/>
      <c r="AF8573" s="191"/>
      <c r="AG8573" s="191"/>
      <c r="AH8573" s="191"/>
      <c r="AI8573" s="186"/>
      <c r="AK8573" s="171"/>
    </row>
    <row r="8574" spans="1:41" s="102" customFormat="1" ht="19.899999999999999" customHeight="1" x14ac:dyDescent="0.25">
      <c r="A8574" s="45"/>
      <c r="B8574" s="59"/>
      <c r="C8574" s="137"/>
      <c r="D8574" s="59"/>
      <c r="E8574" s="116"/>
      <c r="F8574" s="120"/>
      <c r="G8574" s="120"/>
      <c r="H8574" s="120"/>
      <c r="I8574" s="60"/>
      <c r="J8574" s="116"/>
      <c r="K8574" s="213"/>
      <c r="L8574" s="120"/>
      <c r="M8574" s="120"/>
      <c r="N8574" s="167"/>
      <c r="O8574" s="120"/>
      <c r="P8574" s="120"/>
      <c r="Q8574" s="120"/>
      <c r="R8574" s="120"/>
      <c r="S8574" s="120"/>
      <c r="T8574" s="221"/>
      <c r="U8574" s="89"/>
      <c r="V8574" s="61"/>
      <c r="W8574" s="92" t="s">
        <v>65</v>
      </c>
      <c r="X8574" s="93" t="s">
        <v>30</v>
      </c>
      <c r="Y8574" s="93" t="s">
        <v>1011</v>
      </c>
      <c r="Z8574" s="134">
        <f>VLOOKUP(W8574,Sheet2!$B:$D,3,FALSE)</f>
        <v>1.76</v>
      </c>
      <c r="AA8574" s="93">
        <f>AA8573/10</f>
        <v>0.3</v>
      </c>
      <c r="AB8574" s="93">
        <f>AD8574/AC8570</f>
        <v>5.8666666666666663</v>
      </c>
      <c r="AC8574" s="93">
        <f>AC8570/AA8574</f>
        <v>98.091000000000008</v>
      </c>
      <c r="AD8574" s="94">
        <f>AC8574*Z8574</f>
        <v>172.64016000000001</v>
      </c>
      <c r="AE8574" s="190"/>
      <c r="AF8574" s="191"/>
      <c r="AG8574" s="191"/>
      <c r="AH8574" s="191"/>
      <c r="AI8574" s="186"/>
      <c r="AK8574" s="171"/>
    </row>
    <row r="8575" spans="1:41" s="102" customFormat="1" ht="19.899999999999999" customHeight="1" x14ac:dyDescent="0.25">
      <c r="A8575" s="45"/>
      <c r="B8575" s="59"/>
      <c r="C8575" s="137"/>
      <c r="D8575" s="59"/>
      <c r="E8575" s="116"/>
      <c r="F8575" s="120"/>
      <c r="G8575" s="120"/>
      <c r="H8575" s="120"/>
      <c r="I8575" s="60"/>
      <c r="J8575" s="116"/>
      <c r="K8575" s="213"/>
      <c r="L8575" s="120"/>
      <c r="M8575" s="120"/>
      <c r="N8575" s="167"/>
      <c r="O8575" s="120"/>
      <c r="P8575" s="120"/>
      <c r="Q8575" s="120"/>
      <c r="R8575" s="120"/>
      <c r="S8575" s="120"/>
      <c r="T8575" s="221"/>
      <c r="U8575" s="89"/>
      <c r="V8575" s="61"/>
      <c r="W8575" s="92" t="s">
        <v>1030</v>
      </c>
      <c r="X8575" s="93" t="s">
        <v>29</v>
      </c>
      <c r="Y8575" s="93" t="s">
        <v>93</v>
      </c>
      <c r="Z8575" s="134">
        <f>VLOOKUP(W8575,Sheet2!$B:$D,3,FALSE)</f>
        <v>23</v>
      </c>
      <c r="AA8575" s="93">
        <v>50</v>
      </c>
      <c r="AB8575" s="93">
        <f>AD8575/AC8570</f>
        <v>0.45999999999999996</v>
      </c>
      <c r="AC8575" s="93">
        <f>AC8570/AA8575</f>
        <v>0.58854600000000001</v>
      </c>
      <c r="AD8575" s="94">
        <f t="shared" ref="AD8575:AD8578" si="5888">AC8575*Z8575</f>
        <v>13.536557999999999</v>
      </c>
      <c r="AE8575" s="190"/>
      <c r="AF8575" s="191"/>
      <c r="AG8575" s="191"/>
      <c r="AH8575" s="191"/>
      <c r="AI8575" s="186"/>
      <c r="AK8575" s="171"/>
    </row>
    <row r="8576" spans="1:41" s="102" customFormat="1" ht="19.899999999999999" customHeight="1" x14ac:dyDescent="0.25">
      <c r="A8576" s="45"/>
      <c r="B8576" s="59"/>
      <c r="C8576" s="137"/>
      <c r="D8576" s="59"/>
      <c r="E8576" s="116"/>
      <c r="F8576" s="120"/>
      <c r="G8576" s="120"/>
      <c r="H8576" s="120"/>
      <c r="I8576" s="60"/>
      <c r="J8576" s="116"/>
      <c r="K8576" s="213"/>
      <c r="L8576" s="120"/>
      <c r="M8576" s="120"/>
      <c r="N8576" s="167"/>
      <c r="O8576" s="120"/>
      <c r="P8576" s="120"/>
      <c r="Q8576" s="120"/>
      <c r="R8576" s="120"/>
      <c r="S8576" s="120"/>
      <c r="T8576" s="221"/>
      <c r="U8576" s="89"/>
      <c r="V8576" s="61"/>
      <c r="W8576" s="92" t="s">
        <v>65</v>
      </c>
      <c r="X8576" s="93" t="s">
        <v>30</v>
      </c>
      <c r="Y8576" s="93" t="s">
        <v>1011</v>
      </c>
      <c r="Z8576" s="134">
        <f>VLOOKUP(W8576,Sheet2!$B:$D,3,FALSE)</f>
        <v>1.76</v>
      </c>
      <c r="AA8576" s="93">
        <f>AA8575/3</f>
        <v>16.666666666666668</v>
      </c>
      <c r="AB8576" s="93">
        <f>AD8576/AC8570</f>
        <v>0.10559999999999999</v>
      </c>
      <c r="AC8576" s="93">
        <f>AC8570/AA8576</f>
        <v>1.765638</v>
      </c>
      <c r="AD8576" s="94">
        <f t="shared" si="5888"/>
        <v>3.1075228799999999</v>
      </c>
      <c r="AE8576" s="190"/>
      <c r="AF8576" s="191"/>
      <c r="AG8576" s="191"/>
      <c r="AH8576" s="191"/>
      <c r="AI8576" s="186"/>
      <c r="AK8576" s="171"/>
    </row>
    <row r="8577" spans="1:41" s="102" customFormat="1" ht="19.899999999999999" customHeight="1" x14ac:dyDescent="0.25">
      <c r="A8577" s="45"/>
      <c r="B8577" s="59"/>
      <c r="C8577" s="137"/>
      <c r="D8577" s="59"/>
      <c r="E8577" s="116"/>
      <c r="F8577" s="120"/>
      <c r="G8577" s="120"/>
      <c r="H8577" s="120"/>
      <c r="I8577" s="60"/>
      <c r="J8577" s="116"/>
      <c r="K8577" s="213"/>
      <c r="L8577" s="120"/>
      <c r="M8577" s="120"/>
      <c r="N8577" s="167"/>
      <c r="O8577" s="120"/>
      <c r="P8577" s="120"/>
      <c r="Q8577" s="120"/>
      <c r="R8577" s="120"/>
      <c r="S8577" s="120"/>
      <c r="T8577" s="221"/>
      <c r="U8577" s="89"/>
      <c r="V8577" s="61"/>
      <c r="W8577" s="92" t="s">
        <v>148</v>
      </c>
      <c r="X8577" s="93" t="s">
        <v>29</v>
      </c>
      <c r="Y8577" s="93" t="s">
        <v>93</v>
      </c>
      <c r="Z8577" s="134">
        <f>VLOOKUP(W8577,Sheet2!$B:$D,3,FALSE)</f>
        <v>48</v>
      </c>
      <c r="AA8577" s="93">
        <f>AA8571</f>
        <v>14.705882352941178</v>
      </c>
      <c r="AB8577" s="93">
        <f>AD8577/AC8570</f>
        <v>3.2639999999999998</v>
      </c>
      <c r="AC8577" s="93">
        <f>AC8570/AA8577</f>
        <v>2.0010564</v>
      </c>
      <c r="AD8577" s="94">
        <f t="shared" si="5888"/>
        <v>96.050707200000005</v>
      </c>
      <c r="AE8577" s="190"/>
      <c r="AF8577" s="191"/>
      <c r="AG8577" s="191"/>
      <c r="AH8577" s="191"/>
      <c r="AI8577" s="186"/>
      <c r="AK8577" s="171"/>
    </row>
    <row r="8578" spans="1:41" s="102" customFormat="1" ht="19.899999999999999" customHeight="1" x14ac:dyDescent="0.25">
      <c r="A8578" s="45"/>
      <c r="B8578" s="59"/>
      <c r="C8578" s="137"/>
      <c r="D8578" s="59"/>
      <c r="E8578" s="116"/>
      <c r="F8578" s="120"/>
      <c r="G8578" s="120"/>
      <c r="H8578" s="120"/>
      <c r="I8578" s="60"/>
      <c r="J8578" s="116"/>
      <c r="K8578" s="213"/>
      <c r="L8578" s="120"/>
      <c r="M8578" s="120"/>
      <c r="N8578" s="167"/>
      <c r="O8578" s="120"/>
      <c r="P8578" s="120"/>
      <c r="Q8578" s="120"/>
      <c r="R8578" s="120"/>
      <c r="S8578" s="120"/>
      <c r="T8578" s="221"/>
      <c r="U8578" s="89"/>
      <c r="V8578" s="61"/>
      <c r="W8578" s="92" t="s">
        <v>65</v>
      </c>
      <c r="X8578" s="93" t="s">
        <v>30</v>
      </c>
      <c r="Y8578" s="93" t="s">
        <v>1011</v>
      </c>
      <c r="Z8578" s="134">
        <f>VLOOKUP(W8578,Sheet2!$B:$D,3,FALSE)</f>
        <v>1.76</v>
      </c>
      <c r="AA8578" s="93">
        <f>AA8577/10</f>
        <v>1.4705882352941178</v>
      </c>
      <c r="AB8578" s="93">
        <f>AD8578/AC8570</f>
        <v>1.1967999999999999</v>
      </c>
      <c r="AC8578" s="93">
        <f>AC8570/AA8578</f>
        <v>20.010563999999999</v>
      </c>
      <c r="AD8578" s="94">
        <f t="shared" si="5888"/>
        <v>35.218592639999997</v>
      </c>
      <c r="AE8578" s="190"/>
      <c r="AF8578" s="191"/>
      <c r="AG8578" s="191"/>
      <c r="AH8578" s="191"/>
      <c r="AI8578" s="186"/>
      <c r="AK8578" s="171"/>
    </row>
    <row r="8579" spans="1:41" s="103" customFormat="1" ht="19.899999999999999" customHeight="1" x14ac:dyDescent="0.25">
      <c r="A8579" s="51"/>
      <c r="B8579" s="52"/>
      <c r="C8579" s="165"/>
      <c r="D8579" s="52"/>
      <c r="E8579" s="115"/>
      <c r="F8579" s="58"/>
      <c r="G8579" s="58"/>
      <c r="H8579" s="58"/>
      <c r="I8579" s="55"/>
      <c r="J8579" s="113">
        <f>J8569</f>
        <v>29.427300000000002</v>
      </c>
      <c r="K8579" s="212">
        <f>K8569</f>
        <v>29.427300000000002</v>
      </c>
      <c r="L8579" s="58"/>
      <c r="M8579" s="58">
        <f>K8579-L8579</f>
        <v>29.427300000000002</v>
      </c>
      <c r="N8579" s="166"/>
      <c r="O8579" s="58"/>
      <c r="P8579" s="58"/>
      <c r="Q8579" s="58"/>
      <c r="R8579" s="58"/>
      <c r="S8579" s="58"/>
      <c r="T8579" s="220"/>
      <c r="U8579" s="88"/>
      <c r="V8579" s="56"/>
      <c r="W8579" s="57" t="s">
        <v>1143</v>
      </c>
      <c r="X8579" s="53"/>
      <c r="Y8579" s="91" t="s">
        <v>68</v>
      </c>
      <c r="Z8579" s="136">
        <f>AD8579/AC8579</f>
        <v>4240.5500000000011</v>
      </c>
      <c r="AA8579" s="58"/>
      <c r="AB8579" s="53">
        <f>AD8579/AC8579</f>
        <v>4240.5500000000011</v>
      </c>
      <c r="AC8579" s="53">
        <f>M8579+$AE$10</f>
        <v>29.427300000000002</v>
      </c>
      <c r="AD8579" s="54">
        <f>SUM(AD8580:AD8583)</f>
        <v>124787.93701500003</v>
      </c>
      <c r="AE8579" s="184">
        <f>SUMIFS($AD$37:$AD$12971,$V$37:$V$12971,$V8579,$X$37:$X$12971,AE$13)</f>
        <v>0</v>
      </c>
      <c r="AF8579" s="185">
        <f>SUMIFS($AD$37:$AD$12971,$V$37:$V$12971,$V8579,$X$37:$X$12971,AF$13)</f>
        <v>0</v>
      </c>
      <c r="AG8579" s="185">
        <f>SUMIFS($AD$37:$AD$12971,$V$37:$V$12971,$V8579,$X$37:$X$12971,AG$13)</f>
        <v>0</v>
      </c>
      <c r="AH8579" s="187">
        <f>SUMIFS($AD$37:$AD$12971,$V$37:$V$12971,$V8579,$X$37:$X$12971,AH$13)</f>
        <v>0</v>
      </c>
      <c r="AI8579" s="161">
        <f t="shared" ref="AI8579" si="5889">SUM(AE8579:AH8579)</f>
        <v>0</v>
      </c>
      <c r="AK8579" s="172"/>
    </row>
    <row r="8580" spans="1:41" s="102" customFormat="1" ht="19.899999999999999" customHeight="1" x14ac:dyDescent="0.25">
      <c r="A8580" s="45"/>
      <c r="B8580" s="59"/>
      <c r="C8580" s="137"/>
      <c r="D8580" s="59"/>
      <c r="E8580" s="116"/>
      <c r="F8580" s="120"/>
      <c r="G8580" s="120"/>
      <c r="H8580" s="120"/>
      <c r="I8580" s="60"/>
      <c r="J8580" s="116"/>
      <c r="K8580" s="213"/>
      <c r="L8580" s="120"/>
      <c r="M8580" s="120"/>
      <c r="N8580" s="167"/>
      <c r="O8580" s="120"/>
      <c r="P8580" s="120"/>
      <c r="Q8580" s="120"/>
      <c r="R8580" s="120"/>
      <c r="S8580" s="120"/>
      <c r="T8580" s="221"/>
      <c r="U8580" s="89"/>
      <c r="V8580" s="61"/>
      <c r="W8580" s="92" t="s">
        <v>1105</v>
      </c>
      <c r="X8580" s="93" t="s">
        <v>30</v>
      </c>
      <c r="Y8580" s="93" t="s">
        <v>66</v>
      </c>
      <c r="Z8580" s="134">
        <f>VLOOKUP(W8580,Sheet2!$B:$D,3,FALSE)</f>
        <v>2200</v>
      </c>
      <c r="AA8580" s="93">
        <f>1/((2.6*1.2)-(2*0.6))</f>
        <v>0.52083333333333326</v>
      </c>
      <c r="AB8580" s="93">
        <f>AD8580/AC8579</f>
        <v>4224.0000000000009</v>
      </c>
      <c r="AC8580" s="93">
        <f>AC8579/AA8580</f>
        <v>56.500416000000016</v>
      </c>
      <c r="AD8580" s="94">
        <f t="shared" ref="AD8580" si="5890">AC8580*Z8580</f>
        <v>124300.91520000003</v>
      </c>
      <c r="AE8580" s="190"/>
      <c r="AF8580" s="191"/>
      <c r="AG8580" s="191"/>
      <c r="AH8580" s="191"/>
      <c r="AI8580" s="186"/>
      <c r="AK8580" s="171"/>
    </row>
    <row r="8581" spans="1:41" s="102" customFormat="1" ht="19.899999999999999" customHeight="1" x14ac:dyDescent="0.25">
      <c r="A8581" s="45"/>
      <c r="B8581" s="59"/>
      <c r="C8581" s="137"/>
      <c r="D8581" s="59"/>
      <c r="E8581" s="116"/>
      <c r="F8581" s="120"/>
      <c r="G8581" s="120"/>
      <c r="H8581" s="120"/>
      <c r="I8581" s="60"/>
      <c r="J8581" s="116"/>
      <c r="K8581" s="213"/>
      <c r="L8581" s="120"/>
      <c r="M8581" s="120"/>
      <c r="N8581" s="167"/>
      <c r="O8581" s="120"/>
      <c r="P8581" s="120"/>
      <c r="Q8581" s="120"/>
      <c r="R8581" s="120"/>
      <c r="S8581" s="120"/>
      <c r="T8581" s="221"/>
      <c r="U8581" s="89"/>
      <c r="V8581" s="61"/>
      <c r="W8581" s="92" t="s">
        <v>174</v>
      </c>
      <c r="X8581" s="93" t="s">
        <v>29</v>
      </c>
      <c r="Y8581" s="93" t="s">
        <v>93</v>
      </c>
      <c r="Z8581" s="134">
        <f>VLOOKUP(W8581,Sheet2!$B:$D,3,FALSE)</f>
        <v>80</v>
      </c>
      <c r="AA8581" s="93">
        <f>4*2</f>
        <v>8</v>
      </c>
      <c r="AB8581" s="93">
        <f>AD8581/AC8579</f>
        <v>10</v>
      </c>
      <c r="AC8581" s="93">
        <f>AC8579/AA8581</f>
        <v>3.6784125000000003</v>
      </c>
      <c r="AD8581" s="94">
        <f>AC8581*Z8581</f>
        <v>294.27300000000002</v>
      </c>
      <c r="AE8581" s="190"/>
      <c r="AF8581" s="191"/>
      <c r="AG8581" s="191"/>
      <c r="AH8581" s="191"/>
      <c r="AI8581" s="186"/>
      <c r="AK8581" s="171"/>
    </row>
    <row r="8582" spans="1:41" s="102" customFormat="1" ht="19.899999999999999" customHeight="1" x14ac:dyDescent="0.25">
      <c r="A8582" s="45"/>
      <c r="B8582" s="59"/>
      <c r="C8582" s="137"/>
      <c r="D8582" s="59"/>
      <c r="E8582" s="116"/>
      <c r="F8582" s="120"/>
      <c r="G8582" s="120"/>
      <c r="H8582" s="120"/>
      <c r="I8582" s="60"/>
      <c r="J8582" s="116"/>
      <c r="K8582" s="213"/>
      <c r="L8582" s="120"/>
      <c r="M8582" s="120"/>
      <c r="N8582" s="167"/>
      <c r="O8582" s="120"/>
      <c r="P8582" s="120"/>
      <c r="Q8582" s="120"/>
      <c r="R8582" s="120"/>
      <c r="S8582" s="120"/>
      <c r="T8582" s="221"/>
      <c r="U8582" s="89"/>
      <c r="V8582" s="61"/>
      <c r="W8582" s="92" t="s">
        <v>65</v>
      </c>
      <c r="X8582" s="93" t="s">
        <v>30</v>
      </c>
      <c r="Y8582" s="93" t="s">
        <v>1011</v>
      </c>
      <c r="Z8582" s="134">
        <f>VLOOKUP(W8582,Sheet2!$B:$D,3,FALSE)</f>
        <v>1.76</v>
      </c>
      <c r="AA8582" s="93">
        <f>AA8581/15</f>
        <v>0.53333333333333333</v>
      </c>
      <c r="AB8582" s="93">
        <f>AD8582/AC8579</f>
        <v>3.3000000000000003</v>
      </c>
      <c r="AC8582" s="93">
        <f>AC8579/AA8582</f>
        <v>55.176187500000005</v>
      </c>
      <c r="AD8582" s="94">
        <f t="shared" ref="AD8582" si="5891">AC8582*Z8582</f>
        <v>97.110090000000014</v>
      </c>
      <c r="AE8582" s="190"/>
      <c r="AF8582" s="191"/>
      <c r="AG8582" s="191"/>
      <c r="AH8582" s="191"/>
      <c r="AI8582" s="186"/>
      <c r="AK8582" s="171"/>
    </row>
    <row r="8583" spans="1:41" s="102" customFormat="1" ht="19.899999999999999" customHeight="1" x14ac:dyDescent="0.25">
      <c r="A8583" s="45"/>
      <c r="B8583" s="59"/>
      <c r="C8583" s="137"/>
      <c r="D8583" s="59"/>
      <c r="E8583" s="116"/>
      <c r="F8583" s="120"/>
      <c r="G8583" s="120"/>
      <c r="H8583" s="120"/>
      <c r="I8583" s="60"/>
      <c r="J8583" s="116"/>
      <c r="K8583" s="213"/>
      <c r="L8583" s="120"/>
      <c r="M8583" s="120"/>
      <c r="N8583" s="167"/>
      <c r="O8583" s="120"/>
      <c r="P8583" s="120"/>
      <c r="Q8583" s="120"/>
      <c r="R8583" s="120"/>
      <c r="S8583" s="120"/>
      <c r="T8583" s="221"/>
      <c r="U8583" s="89"/>
      <c r="V8583" s="61"/>
      <c r="W8583" s="92" t="s">
        <v>112</v>
      </c>
      <c r="X8583" s="93" t="s">
        <v>31</v>
      </c>
      <c r="Y8583" s="93" t="s">
        <v>93</v>
      </c>
      <c r="Z8583" s="134">
        <f>VLOOKUP(W8583,Sheet2!$B:$D,3,FALSE)</f>
        <v>13</v>
      </c>
      <c r="AA8583" s="93">
        <f>AA8581/2</f>
        <v>4</v>
      </c>
      <c r="AB8583" s="93">
        <f>AD8583/AC8579</f>
        <v>3.25</v>
      </c>
      <c r="AC8583" s="93">
        <f>AC8579/AA8583</f>
        <v>7.3568250000000006</v>
      </c>
      <c r="AD8583" s="94">
        <f>AC8583*Z8583</f>
        <v>95.638725000000008</v>
      </c>
      <c r="AE8583" s="190"/>
      <c r="AF8583" s="191"/>
      <c r="AG8583" s="191"/>
      <c r="AH8583" s="191"/>
      <c r="AI8583" s="186"/>
      <c r="AK8583" s="171"/>
    </row>
    <row r="8584" spans="1:41" ht="20.100000000000001" customHeight="1" x14ac:dyDescent="0.25">
      <c r="A8584" s="277" t="s">
        <v>703</v>
      </c>
      <c r="B8584" s="278"/>
      <c r="C8584" s="64" t="s">
        <v>786</v>
      </c>
      <c r="D8584" s="46"/>
      <c r="E8584" s="114"/>
      <c r="F8584" s="44">
        <v>0</v>
      </c>
      <c r="G8584" s="44">
        <f t="shared" si="5545"/>
        <v>0</v>
      </c>
      <c r="H8584" s="44">
        <f t="shared" si="5546"/>
        <v>0</v>
      </c>
      <c r="I8584" s="43">
        <f t="shared" si="5547"/>
        <v>0</v>
      </c>
      <c r="J8584" s="112">
        <f t="shared" si="5548"/>
        <v>0</v>
      </c>
      <c r="K8584" s="211">
        <f t="shared" si="5549"/>
        <v>0</v>
      </c>
      <c r="L8584" s="44"/>
      <c r="M8584" s="44">
        <f t="shared" si="5550"/>
        <v>0</v>
      </c>
      <c r="N8584" s="173">
        <f t="shared" si="5551"/>
        <v>0</v>
      </c>
      <c r="O8584" s="44">
        <f t="shared" si="5552"/>
        <v>0</v>
      </c>
      <c r="P8584" s="44">
        <f t="shared" si="5553"/>
        <v>0</v>
      </c>
      <c r="Q8584" s="44">
        <f t="shared" si="5554"/>
        <v>0</v>
      </c>
      <c r="R8584" s="44">
        <f t="shared" si="5555"/>
        <v>0</v>
      </c>
      <c r="S8584" s="123"/>
      <c r="T8584" s="219">
        <f t="shared" si="5556"/>
        <v>0</v>
      </c>
      <c r="U8584" s="87"/>
      <c r="V8584" s="47"/>
      <c r="W8584" s="48"/>
      <c r="X8584" s="48"/>
      <c r="Y8584" s="48"/>
      <c r="Z8584" s="135"/>
      <c r="AA8584" s="49"/>
      <c r="AB8584" s="50">
        <f t="shared" si="5557"/>
        <v>0</v>
      </c>
      <c r="AC8584" s="42">
        <f t="shared" si="5558"/>
        <v>9.9999999999999998E-20</v>
      </c>
      <c r="AD8584" s="90"/>
      <c r="AE8584" s="188"/>
      <c r="AF8584" s="189"/>
      <c r="AG8584" s="189"/>
      <c r="AH8584" s="189"/>
      <c r="AI8584" s="161"/>
    </row>
    <row r="8585" spans="1:41" ht="20.100000000000001" customHeight="1" x14ac:dyDescent="0.25">
      <c r="A8585" s="277" t="s">
        <v>703</v>
      </c>
      <c r="B8585" s="278"/>
      <c r="C8585" s="64" t="s">
        <v>764</v>
      </c>
      <c r="D8585" s="46"/>
      <c r="E8585" s="114"/>
      <c r="F8585" s="44">
        <v>0</v>
      </c>
      <c r="G8585" s="44">
        <f t="shared" si="5545"/>
        <v>0</v>
      </c>
      <c r="H8585" s="44">
        <f t="shared" si="5546"/>
        <v>0</v>
      </c>
      <c r="I8585" s="43">
        <f t="shared" si="5547"/>
        <v>0</v>
      </c>
      <c r="J8585" s="112">
        <f t="shared" si="5548"/>
        <v>0</v>
      </c>
      <c r="K8585" s="211">
        <f t="shared" si="5549"/>
        <v>0</v>
      </c>
      <c r="L8585" s="44"/>
      <c r="M8585" s="44">
        <f t="shared" si="5550"/>
        <v>0</v>
      </c>
      <c r="N8585" s="173">
        <f t="shared" si="5551"/>
        <v>0</v>
      </c>
      <c r="O8585" s="44">
        <f t="shared" si="5552"/>
        <v>0</v>
      </c>
      <c r="P8585" s="44">
        <f t="shared" si="5553"/>
        <v>0</v>
      </c>
      <c r="Q8585" s="44">
        <f t="shared" si="5554"/>
        <v>0</v>
      </c>
      <c r="R8585" s="44">
        <f t="shared" si="5555"/>
        <v>0</v>
      </c>
      <c r="S8585" s="123"/>
      <c r="T8585" s="219">
        <f t="shared" si="5556"/>
        <v>0</v>
      </c>
      <c r="U8585" s="87"/>
      <c r="V8585" s="47"/>
      <c r="W8585" s="48"/>
      <c r="X8585" s="48"/>
      <c r="Y8585" s="48"/>
      <c r="Z8585" s="135"/>
      <c r="AA8585" s="49"/>
      <c r="AB8585" s="50">
        <f t="shared" si="5557"/>
        <v>0</v>
      </c>
      <c r="AC8585" s="42">
        <f t="shared" si="5558"/>
        <v>9.9999999999999998E-20</v>
      </c>
      <c r="AD8585" s="90"/>
      <c r="AE8585" s="188"/>
      <c r="AF8585" s="189"/>
      <c r="AG8585" s="189"/>
      <c r="AH8585" s="189"/>
      <c r="AI8585" s="161"/>
    </row>
    <row r="8586" spans="1:41" ht="20.100000000000001" customHeight="1" x14ac:dyDescent="0.25">
      <c r="A8586" s="277" t="s">
        <v>703</v>
      </c>
      <c r="B8586" s="278"/>
      <c r="C8586" s="64" t="s">
        <v>765</v>
      </c>
      <c r="D8586" s="46" t="s">
        <v>97</v>
      </c>
      <c r="E8586" s="114">
        <v>4.5678750000000008</v>
      </c>
      <c r="F8586" s="44">
        <v>5204</v>
      </c>
      <c r="G8586" s="44">
        <f t="shared" si="5545"/>
        <v>23771.221500000003</v>
      </c>
      <c r="H8586" s="44">
        <f t="shared" si="5546"/>
        <v>4513.8793333333333</v>
      </c>
      <c r="I8586" s="43">
        <f t="shared" si="5547"/>
        <v>20618.836559750005</v>
      </c>
      <c r="J8586" s="112">
        <f t="shared" si="5548"/>
        <v>4.5678750000000008</v>
      </c>
      <c r="K8586" s="211">
        <f t="shared" si="5549"/>
        <v>4.5678750000000008</v>
      </c>
      <c r="L8586" s="44"/>
      <c r="M8586" s="44">
        <f t="shared" si="5550"/>
        <v>4.5678750000000008</v>
      </c>
      <c r="N8586" s="173">
        <f t="shared" si="5551"/>
        <v>1</v>
      </c>
      <c r="O8586" s="44">
        <f t="shared" si="5552"/>
        <v>5204</v>
      </c>
      <c r="P8586" s="44">
        <f t="shared" si="5553"/>
        <v>23771.221500000003</v>
      </c>
      <c r="Q8586" s="44">
        <f t="shared" si="5554"/>
        <v>4513.8793333333333</v>
      </c>
      <c r="R8586" s="44">
        <f t="shared" si="5555"/>
        <v>20618.836559750005</v>
      </c>
      <c r="S8586" s="123"/>
      <c r="T8586" s="219">
        <f t="shared" si="5556"/>
        <v>20618.836559750005</v>
      </c>
      <c r="U8586" s="87"/>
      <c r="V8586" s="47"/>
      <c r="W8586" s="48"/>
      <c r="X8586" s="48"/>
      <c r="Y8586" s="48"/>
      <c r="Z8586" s="135"/>
      <c r="AA8586" s="49"/>
      <c r="AB8586" s="50">
        <f t="shared" si="5557"/>
        <v>4513.8793333333333</v>
      </c>
      <c r="AC8586" s="42">
        <f t="shared" si="5558"/>
        <v>4.5678750000000008</v>
      </c>
      <c r="AD8586" s="90">
        <f>AD8587+AD8597</f>
        <v>20618.836559750005</v>
      </c>
      <c r="AE8586" s="188">
        <f t="shared" ref="AE8586" si="5892">AE8587+AE8597</f>
        <v>0</v>
      </c>
      <c r="AF8586" s="189">
        <f t="shared" ref="AF8586" si="5893">AF8587+AF8597</f>
        <v>0</v>
      </c>
      <c r="AG8586" s="189">
        <f t="shared" ref="AG8586" si="5894">AG8587+AG8597</f>
        <v>0</v>
      </c>
      <c r="AH8586" s="189">
        <f t="shared" ref="AH8586" si="5895">AH8587+AH8597</f>
        <v>0</v>
      </c>
      <c r="AI8586" s="161">
        <f t="shared" ref="AI8586" si="5896">SUM(AE8586:AH8586)</f>
        <v>0</v>
      </c>
      <c r="AK8586" s="169">
        <v>5</v>
      </c>
      <c r="AO8586" s="19" t="s">
        <v>63</v>
      </c>
    </row>
    <row r="8587" spans="1:41" s="103" customFormat="1" ht="19.899999999999999" customHeight="1" x14ac:dyDescent="0.25">
      <c r="A8587" s="51"/>
      <c r="B8587" s="52"/>
      <c r="C8587" s="165"/>
      <c r="D8587" s="52"/>
      <c r="E8587" s="115"/>
      <c r="F8587" s="58"/>
      <c r="G8587" s="58"/>
      <c r="H8587" s="58"/>
      <c r="I8587" s="55"/>
      <c r="J8587" s="113">
        <f>J8586</f>
        <v>4.5678750000000008</v>
      </c>
      <c r="K8587" s="212">
        <f>K8586</f>
        <v>4.5678750000000008</v>
      </c>
      <c r="L8587" s="58"/>
      <c r="M8587" s="58">
        <f>K8587-L8587</f>
        <v>4.5678750000000008</v>
      </c>
      <c r="N8587" s="166"/>
      <c r="O8587" s="58"/>
      <c r="P8587" s="58"/>
      <c r="Q8587" s="58"/>
      <c r="R8587" s="58"/>
      <c r="S8587" s="58"/>
      <c r="T8587" s="220"/>
      <c r="U8587" s="88"/>
      <c r="V8587" s="56"/>
      <c r="W8587" s="57" t="s">
        <v>1133</v>
      </c>
      <c r="X8587" s="53"/>
      <c r="Y8587" s="91" t="s">
        <v>68</v>
      </c>
      <c r="Z8587" s="136">
        <f>AD8587/AC8587</f>
        <v>75.329333333333324</v>
      </c>
      <c r="AA8587" s="58"/>
      <c r="AB8587" s="53">
        <f>AD8587/AC8587</f>
        <v>75.329333333333324</v>
      </c>
      <c r="AC8587" s="53">
        <f>M8587+$AE$10</f>
        <v>4.5678750000000008</v>
      </c>
      <c r="AD8587" s="54">
        <f>SUM(AD8588:AD8596)</f>
        <v>344.09497850000002</v>
      </c>
      <c r="AE8587" s="184">
        <f>SUMIFS($AD$37:$AD$12971,$V$37:$V$12971,$V8587,$X$37:$X$12971,AE$13)</f>
        <v>0</v>
      </c>
      <c r="AF8587" s="185">
        <f>SUMIFS($AD$37:$AD$12971,$V$37:$V$12971,$V8587,$X$37:$X$12971,AF$13)</f>
        <v>0</v>
      </c>
      <c r="AG8587" s="185">
        <f>SUMIFS($AD$37:$AD$12971,$V$37:$V$12971,$V8587,$X$37:$X$12971,AG$13)</f>
        <v>0</v>
      </c>
      <c r="AH8587" s="187">
        <f>SUMIFS($AD$37:$AD$12971,$V$37:$V$12971,$V8587,$X$37:$X$12971,AH$13)</f>
        <v>0</v>
      </c>
      <c r="AI8587" s="161">
        <f t="shared" ref="AI8587" si="5897">SUM(AE8587:AH8587)</f>
        <v>0</v>
      </c>
      <c r="AK8587" s="172"/>
    </row>
    <row r="8588" spans="1:41" s="102" customFormat="1" ht="19.899999999999999" customHeight="1" x14ac:dyDescent="0.25">
      <c r="A8588" s="45"/>
      <c r="B8588" s="59"/>
      <c r="C8588" s="137"/>
      <c r="D8588" s="59"/>
      <c r="E8588" s="116"/>
      <c r="F8588" s="120"/>
      <c r="G8588" s="120"/>
      <c r="H8588" s="120"/>
      <c r="I8588" s="60"/>
      <c r="J8588" s="116"/>
      <c r="K8588" s="213"/>
      <c r="L8588" s="120"/>
      <c r="M8588" s="120"/>
      <c r="N8588" s="167"/>
      <c r="O8588" s="120"/>
      <c r="P8588" s="120"/>
      <c r="Q8588" s="120"/>
      <c r="R8588" s="120"/>
      <c r="S8588" s="120"/>
      <c r="T8588" s="221"/>
      <c r="U8588" s="89"/>
      <c r="V8588" s="61"/>
      <c r="W8588" s="92" t="s">
        <v>129</v>
      </c>
      <c r="X8588" s="93" t="s">
        <v>29</v>
      </c>
      <c r="Y8588" s="93" t="s">
        <v>93</v>
      </c>
      <c r="Z8588" s="134">
        <f>VLOOKUP(W8588,Sheet2!$B:$D,3,FALSE)</f>
        <v>56</v>
      </c>
      <c r="AA8588" s="93">
        <f>100/(3.4*2.5)</f>
        <v>11.764705882352942</v>
      </c>
      <c r="AB8588" s="93">
        <f t="shared" ref="AB8588" si="5898">AD8588/AC8587</f>
        <v>4.7599999999999989</v>
      </c>
      <c r="AC8588" s="93">
        <f>AC8587/AA8588</f>
        <v>0.38826937500000003</v>
      </c>
      <c r="AD8588" s="94">
        <f t="shared" ref="AD8588:AD8589" si="5899">AC8588*Z8588</f>
        <v>21.743085000000001</v>
      </c>
      <c r="AE8588" s="190"/>
      <c r="AF8588" s="191"/>
      <c r="AG8588" s="191"/>
      <c r="AH8588" s="191"/>
      <c r="AI8588" s="186"/>
      <c r="AK8588" s="171"/>
    </row>
    <row r="8589" spans="1:41" s="102" customFormat="1" ht="19.899999999999999" customHeight="1" x14ac:dyDescent="0.25">
      <c r="A8589" s="45"/>
      <c r="B8589" s="59"/>
      <c r="C8589" s="137"/>
      <c r="D8589" s="59"/>
      <c r="E8589" s="116"/>
      <c r="F8589" s="120"/>
      <c r="G8589" s="120"/>
      <c r="H8589" s="120"/>
      <c r="I8589" s="60"/>
      <c r="J8589" s="116"/>
      <c r="K8589" s="213"/>
      <c r="L8589" s="120"/>
      <c r="M8589" s="120"/>
      <c r="N8589" s="167"/>
      <c r="O8589" s="120"/>
      <c r="P8589" s="120"/>
      <c r="Q8589" s="120"/>
      <c r="R8589" s="120"/>
      <c r="S8589" s="120"/>
      <c r="T8589" s="221"/>
      <c r="U8589" s="89"/>
      <c r="V8589" s="61"/>
      <c r="W8589" s="92" t="s">
        <v>65</v>
      </c>
      <c r="X8589" s="93" t="s">
        <v>30</v>
      </c>
      <c r="Y8589" s="93" t="s">
        <v>1011</v>
      </c>
      <c r="Z8589" s="134">
        <f>VLOOKUP(W8589,Sheet2!$B:$D,3,FALSE)</f>
        <v>1.76</v>
      </c>
      <c r="AA8589" s="93">
        <f>AA8588/14</f>
        <v>0.84033613445378152</v>
      </c>
      <c r="AB8589" s="93">
        <f>AD8589/AC8587</f>
        <v>2.0943999999999998</v>
      </c>
      <c r="AC8589" s="93">
        <f>AC8587/AA8589</f>
        <v>5.4357712500000011</v>
      </c>
      <c r="AD8589" s="94">
        <f t="shared" si="5899"/>
        <v>9.5669574000000015</v>
      </c>
      <c r="AE8589" s="190"/>
      <c r="AF8589" s="191"/>
      <c r="AG8589" s="191"/>
      <c r="AH8589" s="191"/>
      <c r="AI8589" s="186"/>
      <c r="AK8589" s="171"/>
    </row>
    <row r="8590" spans="1:41" s="102" customFormat="1" ht="19.899999999999999" customHeight="1" x14ac:dyDescent="0.25">
      <c r="A8590" s="45"/>
      <c r="B8590" s="59"/>
      <c r="C8590" s="137"/>
      <c r="D8590" s="59"/>
      <c r="E8590" s="116"/>
      <c r="F8590" s="120"/>
      <c r="G8590" s="120"/>
      <c r="H8590" s="120"/>
      <c r="I8590" s="60"/>
      <c r="J8590" s="116"/>
      <c r="K8590" s="213"/>
      <c r="L8590" s="120"/>
      <c r="M8590" s="120"/>
      <c r="N8590" s="167"/>
      <c r="O8590" s="120"/>
      <c r="P8590" s="120"/>
      <c r="Q8590" s="120"/>
      <c r="R8590" s="120"/>
      <c r="S8590" s="120"/>
      <c r="T8590" s="221"/>
      <c r="U8590" s="89"/>
      <c r="V8590" s="61"/>
      <c r="W8590" s="92" t="s">
        <v>161</v>
      </c>
      <c r="X8590" s="93" t="s">
        <v>29</v>
      </c>
      <c r="Y8590" s="93" t="s">
        <v>93</v>
      </c>
      <c r="Z8590" s="134">
        <f>VLOOKUP(W8590,Sheet2!$B:$D,3,FALSE)</f>
        <v>48</v>
      </c>
      <c r="AA8590" s="93">
        <f>(16*0.85*1.5)/(3.4*2.5)</f>
        <v>2.4</v>
      </c>
      <c r="AB8590" s="93">
        <f>AD8590/AC8587</f>
        <v>20</v>
      </c>
      <c r="AC8590" s="93">
        <f>AC8587/AA8590</f>
        <v>1.9032812500000005</v>
      </c>
      <c r="AD8590" s="94">
        <f>AC8590*Z8590</f>
        <v>91.357500000000016</v>
      </c>
      <c r="AE8590" s="190"/>
      <c r="AF8590" s="191"/>
      <c r="AG8590" s="191"/>
      <c r="AH8590" s="191"/>
      <c r="AI8590" s="186"/>
      <c r="AK8590" s="171"/>
    </row>
    <row r="8591" spans="1:41" s="102" customFormat="1" ht="19.899999999999999" customHeight="1" x14ac:dyDescent="0.25">
      <c r="A8591" s="45"/>
      <c r="B8591" s="59"/>
      <c r="C8591" s="137"/>
      <c r="D8591" s="59"/>
      <c r="E8591" s="116"/>
      <c r="F8591" s="120"/>
      <c r="G8591" s="120"/>
      <c r="H8591" s="120"/>
      <c r="I8591" s="60"/>
      <c r="J8591" s="116"/>
      <c r="K8591" s="213"/>
      <c r="L8591" s="120"/>
      <c r="M8591" s="120"/>
      <c r="N8591" s="167"/>
      <c r="O8591" s="120"/>
      <c r="P8591" s="120"/>
      <c r="Q8591" s="120"/>
      <c r="R8591" s="120"/>
      <c r="S8591" s="120"/>
      <c r="T8591" s="221"/>
      <c r="U8591" s="89"/>
      <c r="V8591" s="61"/>
      <c r="W8591" s="92" t="s">
        <v>65</v>
      </c>
      <c r="X8591" s="93" t="s">
        <v>30</v>
      </c>
      <c r="Y8591" s="93" t="s">
        <v>1011</v>
      </c>
      <c r="Z8591" s="134">
        <f>VLOOKUP(W8591,Sheet2!$B:$D,3,FALSE)</f>
        <v>1.76</v>
      </c>
      <c r="AA8591" s="93">
        <f>AA8590/10</f>
        <v>0.24</v>
      </c>
      <c r="AB8591" s="93">
        <f>AD8591/AC8587</f>
        <v>7.3333333333333348</v>
      </c>
      <c r="AC8591" s="93">
        <f>AC8587/AA8591</f>
        <v>19.032812500000006</v>
      </c>
      <c r="AD8591" s="94">
        <f>AC8591*Z8591</f>
        <v>33.497750000000011</v>
      </c>
      <c r="AE8591" s="190"/>
      <c r="AF8591" s="191"/>
      <c r="AG8591" s="191"/>
      <c r="AH8591" s="191"/>
      <c r="AI8591" s="186"/>
      <c r="AK8591" s="171"/>
    </row>
    <row r="8592" spans="1:41" s="102" customFormat="1" ht="19.899999999999999" customHeight="1" x14ac:dyDescent="0.25">
      <c r="A8592" s="45"/>
      <c r="B8592" s="59"/>
      <c r="C8592" s="137"/>
      <c r="D8592" s="59"/>
      <c r="E8592" s="116"/>
      <c r="F8592" s="120"/>
      <c r="G8592" s="120"/>
      <c r="H8592" s="120"/>
      <c r="I8592" s="60"/>
      <c r="J8592" s="116"/>
      <c r="K8592" s="213"/>
      <c r="L8592" s="120"/>
      <c r="M8592" s="120"/>
      <c r="N8592" s="167"/>
      <c r="O8592" s="120"/>
      <c r="P8592" s="120"/>
      <c r="Q8592" s="120"/>
      <c r="R8592" s="120"/>
      <c r="S8592" s="120"/>
      <c r="T8592" s="221"/>
      <c r="U8592" s="89"/>
      <c r="V8592" s="61"/>
      <c r="W8592" s="92" t="s">
        <v>1030</v>
      </c>
      <c r="X8592" s="93" t="s">
        <v>29</v>
      </c>
      <c r="Y8592" s="93" t="s">
        <v>93</v>
      </c>
      <c r="Z8592" s="134">
        <f>VLOOKUP(W8592,Sheet2!$B:$D,3,FALSE)</f>
        <v>23</v>
      </c>
      <c r="AA8592" s="93">
        <v>50</v>
      </c>
      <c r="AB8592" s="93">
        <f>AD8592/AC8587</f>
        <v>0.46</v>
      </c>
      <c r="AC8592" s="93">
        <f>AC8587/AA8592</f>
        <v>9.1357500000000022E-2</v>
      </c>
      <c r="AD8592" s="94">
        <f t="shared" ref="AD8592:AD8596" si="5900">AC8592*Z8592</f>
        <v>2.1012225000000004</v>
      </c>
      <c r="AE8592" s="190"/>
      <c r="AF8592" s="191"/>
      <c r="AG8592" s="191"/>
      <c r="AH8592" s="191"/>
      <c r="AI8592" s="186"/>
      <c r="AK8592" s="171"/>
    </row>
    <row r="8593" spans="1:41" s="102" customFormat="1" ht="19.899999999999999" customHeight="1" x14ac:dyDescent="0.25">
      <c r="A8593" s="45"/>
      <c r="B8593" s="59"/>
      <c r="C8593" s="137"/>
      <c r="D8593" s="59"/>
      <c r="E8593" s="116"/>
      <c r="F8593" s="120"/>
      <c r="G8593" s="120"/>
      <c r="H8593" s="120"/>
      <c r="I8593" s="60"/>
      <c r="J8593" s="116"/>
      <c r="K8593" s="213"/>
      <c r="L8593" s="120"/>
      <c r="M8593" s="120"/>
      <c r="N8593" s="167"/>
      <c r="O8593" s="120"/>
      <c r="P8593" s="120"/>
      <c r="Q8593" s="120"/>
      <c r="R8593" s="120"/>
      <c r="S8593" s="120"/>
      <c r="T8593" s="221"/>
      <c r="U8593" s="89"/>
      <c r="V8593" s="61"/>
      <c r="W8593" s="92" t="s">
        <v>65</v>
      </c>
      <c r="X8593" s="93" t="s">
        <v>30</v>
      </c>
      <c r="Y8593" s="93" t="s">
        <v>1011</v>
      </c>
      <c r="Z8593" s="134">
        <f>VLOOKUP(W8593,Sheet2!$B:$D,3,FALSE)</f>
        <v>1.76</v>
      </c>
      <c r="AA8593" s="93">
        <f>AA8592/3</f>
        <v>16.666666666666668</v>
      </c>
      <c r="AB8593" s="93">
        <f>AD8593/AC8587</f>
        <v>0.10560000000000001</v>
      </c>
      <c r="AC8593" s="93">
        <f>AC8587/AA8593</f>
        <v>0.27407250000000005</v>
      </c>
      <c r="AD8593" s="94">
        <f t="shared" si="5900"/>
        <v>0.48236760000000012</v>
      </c>
      <c r="AE8593" s="190"/>
      <c r="AF8593" s="191"/>
      <c r="AG8593" s="191"/>
      <c r="AH8593" s="191"/>
      <c r="AI8593" s="186"/>
      <c r="AK8593" s="171"/>
    </row>
    <row r="8594" spans="1:41" s="102" customFormat="1" ht="19.899999999999999" customHeight="1" x14ac:dyDescent="0.25">
      <c r="A8594" s="45"/>
      <c r="B8594" s="59"/>
      <c r="C8594" s="137"/>
      <c r="D8594" s="59"/>
      <c r="E8594" s="116"/>
      <c r="F8594" s="120"/>
      <c r="G8594" s="120"/>
      <c r="H8594" s="120"/>
      <c r="I8594" s="60"/>
      <c r="J8594" s="116"/>
      <c r="K8594" s="213"/>
      <c r="L8594" s="120"/>
      <c r="M8594" s="120"/>
      <c r="N8594" s="167"/>
      <c r="O8594" s="120"/>
      <c r="P8594" s="120"/>
      <c r="Q8594" s="120"/>
      <c r="R8594" s="120"/>
      <c r="S8594" s="120"/>
      <c r="T8594" s="221"/>
      <c r="U8594" s="89"/>
      <c r="V8594" s="61"/>
      <c r="W8594" s="92" t="s">
        <v>148</v>
      </c>
      <c r="X8594" s="93" t="s">
        <v>29</v>
      </c>
      <c r="Y8594" s="93" t="s">
        <v>93</v>
      </c>
      <c r="Z8594" s="134">
        <f>VLOOKUP(W8594,Sheet2!$B:$D,3,FALSE)</f>
        <v>48</v>
      </c>
      <c r="AA8594" s="93">
        <f>AA8588</f>
        <v>11.764705882352942</v>
      </c>
      <c r="AB8594" s="93">
        <f>AD8594/AC8587</f>
        <v>4.0799999999999992</v>
      </c>
      <c r="AC8594" s="93">
        <f>AC8587/AA8594</f>
        <v>0.38826937500000003</v>
      </c>
      <c r="AD8594" s="94">
        <f t="shared" si="5900"/>
        <v>18.63693</v>
      </c>
      <c r="AE8594" s="190"/>
      <c r="AF8594" s="191"/>
      <c r="AG8594" s="191"/>
      <c r="AH8594" s="191"/>
      <c r="AI8594" s="186"/>
      <c r="AK8594" s="171"/>
    </row>
    <row r="8595" spans="1:41" s="102" customFormat="1" ht="19.899999999999999" customHeight="1" x14ac:dyDescent="0.25">
      <c r="A8595" s="45"/>
      <c r="B8595" s="59"/>
      <c r="C8595" s="137"/>
      <c r="D8595" s="59"/>
      <c r="E8595" s="116"/>
      <c r="F8595" s="120"/>
      <c r="G8595" s="120"/>
      <c r="H8595" s="120"/>
      <c r="I8595" s="60"/>
      <c r="J8595" s="116"/>
      <c r="K8595" s="213"/>
      <c r="L8595" s="120"/>
      <c r="M8595" s="120"/>
      <c r="N8595" s="167"/>
      <c r="O8595" s="120"/>
      <c r="P8595" s="120"/>
      <c r="Q8595" s="120"/>
      <c r="R8595" s="120"/>
      <c r="S8595" s="120"/>
      <c r="T8595" s="221"/>
      <c r="U8595" s="89"/>
      <c r="V8595" s="61"/>
      <c r="W8595" s="92" t="s">
        <v>65</v>
      </c>
      <c r="X8595" s="93" t="s">
        <v>30</v>
      </c>
      <c r="Y8595" s="93" t="s">
        <v>1011</v>
      </c>
      <c r="Z8595" s="134">
        <f>VLOOKUP(W8595,Sheet2!$B:$D,3,FALSE)</f>
        <v>1.76</v>
      </c>
      <c r="AA8595" s="93">
        <f>AA8594/10</f>
        <v>1.1764705882352942</v>
      </c>
      <c r="AB8595" s="93">
        <f>AD8595/AC8587</f>
        <v>1.496</v>
      </c>
      <c r="AC8595" s="93">
        <f>AC8587/AA8595</f>
        <v>3.8826937500000005</v>
      </c>
      <c r="AD8595" s="94">
        <f t="shared" si="5900"/>
        <v>6.8335410000000012</v>
      </c>
      <c r="AE8595" s="190"/>
      <c r="AF8595" s="191"/>
      <c r="AG8595" s="191"/>
      <c r="AH8595" s="191"/>
      <c r="AI8595" s="186"/>
      <c r="AK8595" s="171"/>
    </row>
    <row r="8596" spans="1:41" s="102" customFormat="1" ht="19.899999999999999" customHeight="1" x14ac:dyDescent="0.25">
      <c r="A8596" s="45"/>
      <c r="B8596" s="59"/>
      <c r="C8596" s="137"/>
      <c r="D8596" s="59"/>
      <c r="E8596" s="116"/>
      <c r="F8596" s="120"/>
      <c r="G8596" s="120"/>
      <c r="H8596" s="120"/>
      <c r="I8596" s="60"/>
      <c r="J8596" s="116"/>
      <c r="K8596" s="213"/>
      <c r="L8596" s="120"/>
      <c r="M8596" s="120"/>
      <c r="N8596" s="167"/>
      <c r="O8596" s="120"/>
      <c r="P8596" s="120"/>
      <c r="Q8596" s="120"/>
      <c r="R8596" s="120"/>
      <c r="S8596" s="120"/>
      <c r="T8596" s="221"/>
      <c r="U8596" s="89"/>
      <c r="V8596" s="61"/>
      <c r="W8596" s="92" t="s">
        <v>1048</v>
      </c>
      <c r="X8596" s="93" t="s">
        <v>30</v>
      </c>
      <c r="Y8596" s="93" t="s">
        <v>68</v>
      </c>
      <c r="Z8596" s="134">
        <f>VLOOKUP(W8596,Sheet2!$B:$D,3,FALSE)</f>
        <v>35</v>
      </c>
      <c r="AA8596" s="93">
        <v>1</v>
      </c>
      <c r="AB8596" s="93">
        <f>AD8596/AC8587</f>
        <v>35</v>
      </c>
      <c r="AC8596" s="93">
        <f>AC8587/AA8596</f>
        <v>4.5678750000000008</v>
      </c>
      <c r="AD8596" s="94">
        <f t="shared" si="5900"/>
        <v>159.87562500000001</v>
      </c>
      <c r="AE8596" s="190"/>
      <c r="AF8596" s="191"/>
      <c r="AG8596" s="191"/>
      <c r="AH8596" s="191"/>
      <c r="AI8596" s="186"/>
      <c r="AK8596" s="171"/>
    </row>
    <row r="8597" spans="1:41" s="103" customFormat="1" ht="19.899999999999999" customHeight="1" x14ac:dyDescent="0.25">
      <c r="A8597" s="51"/>
      <c r="B8597" s="52"/>
      <c r="C8597" s="165"/>
      <c r="D8597" s="52"/>
      <c r="E8597" s="115"/>
      <c r="F8597" s="58"/>
      <c r="G8597" s="58"/>
      <c r="H8597" s="58"/>
      <c r="I8597" s="55"/>
      <c r="J8597" s="113">
        <f>J8586</f>
        <v>4.5678750000000008</v>
      </c>
      <c r="K8597" s="212">
        <f>K8586</f>
        <v>4.5678750000000008</v>
      </c>
      <c r="L8597" s="58"/>
      <c r="M8597" s="58">
        <f>K8597-L8597</f>
        <v>4.5678750000000008</v>
      </c>
      <c r="N8597" s="166"/>
      <c r="O8597" s="58"/>
      <c r="P8597" s="58"/>
      <c r="Q8597" s="58"/>
      <c r="R8597" s="58"/>
      <c r="S8597" s="58"/>
      <c r="T8597" s="220"/>
      <c r="U8597" s="88"/>
      <c r="V8597" s="56"/>
      <c r="W8597" s="57" t="s">
        <v>1142</v>
      </c>
      <c r="X8597" s="53"/>
      <c r="Y8597" s="91" t="s">
        <v>68</v>
      </c>
      <c r="Z8597" s="136">
        <f>AD8597/AC8597</f>
        <v>4438.55</v>
      </c>
      <c r="AA8597" s="58"/>
      <c r="AB8597" s="53">
        <f>AD8597/AC8597</f>
        <v>4438.55</v>
      </c>
      <c r="AC8597" s="53">
        <f>M8597+$AE$10</f>
        <v>4.5678750000000008</v>
      </c>
      <c r="AD8597" s="54">
        <f>SUM(AD8598:AD8601)</f>
        <v>20274.741581250004</v>
      </c>
      <c r="AE8597" s="184">
        <f>SUMIFS($AD$37:$AD$12971,$V$37:$V$12971,$V8597,$X$37:$X$12971,AE$13)</f>
        <v>0</v>
      </c>
      <c r="AF8597" s="185">
        <f>SUMIFS($AD$37:$AD$12971,$V$37:$V$12971,$V8597,$X$37:$X$12971,AF$13)</f>
        <v>0</v>
      </c>
      <c r="AG8597" s="185">
        <f>SUMIFS($AD$37:$AD$12971,$V$37:$V$12971,$V8597,$X$37:$X$12971,AG$13)</f>
        <v>0</v>
      </c>
      <c r="AH8597" s="187">
        <f>SUMIFS($AD$37:$AD$12971,$V$37:$V$12971,$V8597,$X$37:$X$12971,AH$13)</f>
        <v>0</v>
      </c>
      <c r="AI8597" s="161">
        <f t="shared" ref="AI8597" si="5901">SUM(AE8597:AH8597)</f>
        <v>0</v>
      </c>
      <c r="AK8597" s="172"/>
    </row>
    <row r="8598" spans="1:41" s="102" customFormat="1" ht="19.899999999999999" customHeight="1" x14ac:dyDescent="0.25">
      <c r="A8598" s="45"/>
      <c r="B8598" s="59"/>
      <c r="C8598" s="137"/>
      <c r="D8598" s="59"/>
      <c r="E8598" s="116"/>
      <c r="F8598" s="120"/>
      <c r="G8598" s="120"/>
      <c r="H8598" s="120"/>
      <c r="I8598" s="60"/>
      <c r="J8598" s="116"/>
      <c r="K8598" s="213"/>
      <c r="L8598" s="120"/>
      <c r="M8598" s="120"/>
      <c r="N8598" s="167"/>
      <c r="O8598" s="120"/>
      <c r="P8598" s="120"/>
      <c r="Q8598" s="120"/>
      <c r="R8598" s="120"/>
      <c r="S8598" s="120"/>
      <c r="T8598" s="221"/>
      <c r="U8598" s="89"/>
      <c r="V8598" s="61"/>
      <c r="W8598" s="92" t="s">
        <v>1105</v>
      </c>
      <c r="X8598" s="93" t="s">
        <v>30</v>
      </c>
      <c r="Y8598" s="93" t="s">
        <v>66</v>
      </c>
      <c r="Z8598" s="134">
        <f>VLOOKUP(W8598,Sheet2!$B:$D,3,FALSE)</f>
        <v>2200</v>
      </c>
      <c r="AA8598" s="93">
        <f>1/((2.6*1.35)-(2*0.75))</f>
        <v>0.49751243781094523</v>
      </c>
      <c r="AB8598" s="93">
        <f>AD8598/AC8597</f>
        <v>4422</v>
      </c>
      <c r="AC8598" s="93">
        <f>AC8597/AA8598</f>
        <v>9.181428750000002</v>
      </c>
      <c r="AD8598" s="94">
        <f t="shared" ref="AD8598" si="5902">AC8598*Z8598</f>
        <v>20199.143250000005</v>
      </c>
      <c r="AE8598" s="190"/>
      <c r="AF8598" s="191"/>
      <c r="AG8598" s="191"/>
      <c r="AH8598" s="191"/>
      <c r="AI8598" s="186"/>
      <c r="AK8598" s="171"/>
    </row>
    <row r="8599" spans="1:41" s="102" customFormat="1" ht="19.899999999999999" customHeight="1" x14ac:dyDescent="0.25">
      <c r="A8599" s="45"/>
      <c r="B8599" s="59"/>
      <c r="C8599" s="137"/>
      <c r="D8599" s="59"/>
      <c r="E8599" s="116"/>
      <c r="F8599" s="120"/>
      <c r="G8599" s="120"/>
      <c r="H8599" s="120"/>
      <c r="I8599" s="60"/>
      <c r="J8599" s="116"/>
      <c r="K8599" s="213"/>
      <c r="L8599" s="120"/>
      <c r="M8599" s="120"/>
      <c r="N8599" s="167"/>
      <c r="O8599" s="120"/>
      <c r="P8599" s="120"/>
      <c r="Q8599" s="120"/>
      <c r="R8599" s="120"/>
      <c r="S8599" s="120"/>
      <c r="T8599" s="221"/>
      <c r="U8599" s="89"/>
      <c r="V8599" s="61"/>
      <c r="W8599" s="92" t="s">
        <v>174</v>
      </c>
      <c r="X8599" s="93" t="s">
        <v>29</v>
      </c>
      <c r="Y8599" s="93" t="s">
        <v>93</v>
      </c>
      <c r="Z8599" s="134">
        <f>VLOOKUP(W8599,Sheet2!$B:$D,3,FALSE)</f>
        <v>80</v>
      </c>
      <c r="AA8599" s="93">
        <f>4*2</f>
        <v>8</v>
      </c>
      <c r="AB8599" s="93">
        <f>AD8599/AC8597</f>
        <v>10</v>
      </c>
      <c r="AC8599" s="93">
        <f>AC8597/AA8599</f>
        <v>0.5709843750000001</v>
      </c>
      <c r="AD8599" s="94">
        <f>AC8599*Z8599</f>
        <v>45.678750000000008</v>
      </c>
      <c r="AE8599" s="190"/>
      <c r="AF8599" s="191"/>
      <c r="AG8599" s="191"/>
      <c r="AH8599" s="191"/>
      <c r="AI8599" s="186"/>
      <c r="AK8599" s="171"/>
    </row>
    <row r="8600" spans="1:41" s="102" customFormat="1" ht="19.899999999999999" customHeight="1" x14ac:dyDescent="0.25">
      <c r="A8600" s="45"/>
      <c r="B8600" s="59"/>
      <c r="C8600" s="137"/>
      <c r="D8600" s="59"/>
      <c r="E8600" s="116"/>
      <c r="F8600" s="120"/>
      <c r="G8600" s="120"/>
      <c r="H8600" s="120"/>
      <c r="I8600" s="60"/>
      <c r="J8600" s="116"/>
      <c r="K8600" s="213"/>
      <c r="L8600" s="120"/>
      <c r="M8600" s="120"/>
      <c r="N8600" s="167"/>
      <c r="O8600" s="120"/>
      <c r="P8600" s="120"/>
      <c r="Q8600" s="120"/>
      <c r="R8600" s="120"/>
      <c r="S8600" s="120"/>
      <c r="T8600" s="221"/>
      <c r="U8600" s="89"/>
      <c r="V8600" s="61"/>
      <c r="W8600" s="92" t="s">
        <v>65</v>
      </c>
      <c r="X8600" s="93" t="s">
        <v>30</v>
      </c>
      <c r="Y8600" s="93" t="s">
        <v>1011</v>
      </c>
      <c r="Z8600" s="134">
        <f>VLOOKUP(W8600,Sheet2!$B:$D,3,FALSE)</f>
        <v>1.76</v>
      </c>
      <c r="AA8600" s="93">
        <f>AA8599/15</f>
        <v>0.53333333333333333</v>
      </c>
      <c r="AB8600" s="93">
        <f>AD8600/AC8597</f>
        <v>3.3000000000000003</v>
      </c>
      <c r="AC8600" s="93">
        <f>AC8597/AA8600</f>
        <v>8.5647656250000015</v>
      </c>
      <c r="AD8600" s="94">
        <f t="shared" ref="AD8600" si="5903">AC8600*Z8600</f>
        <v>15.073987500000003</v>
      </c>
      <c r="AE8600" s="190"/>
      <c r="AF8600" s="191"/>
      <c r="AG8600" s="191"/>
      <c r="AH8600" s="191"/>
      <c r="AI8600" s="186"/>
      <c r="AK8600" s="171"/>
    </row>
    <row r="8601" spans="1:41" s="102" customFormat="1" ht="19.899999999999999" customHeight="1" x14ac:dyDescent="0.25">
      <c r="A8601" s="45"/>
      <c r="B8601" s="59"/>
      <c r="C8601" s="137"/>
      <c r="D8601" s="59"/>
      <c r="E8601" s="116"/>
      <c r="F8601" s="120"/>
      <c r="G8601" s="120"/>
      <c r="H8601" s="120"/>
      <c r="I8601" s="60"/>
      <c r="J8601" s="116"/>
      <c r="K8601" s="213"/>
      <c r="L8601" s="120"/>
      <c r="M8601" s="120"/>
      <c r="N8601" s="167"/>
      <c r="O8601" s="120"/>
      <c r="P8601" s="120"/>
      <c r="Q8601" s="120"/>
      <c r="R8601" s="120"/>
      <c r="S8601" s="120"/>
      <c r="T8601" s="221"/>
      <c r="U8601" s="89"/>
      <c r="V8601" s="61"/>
      <c r="W8601" s="92" t="s">
        <v>112</v>
      </c>
      <c r="X8601" s="93" t="s">
        <v>31</v>
      </c>
      <c r="Y8601" s="93" t="s">
        <v>93</v>
      </c>
      <c r="Z8601" s="134">
        <f>VLOOKUP(W8601,Sheet2!$B:$D,3,FALSE)</f>
        <v>13</v>
      </c>
      <c r="AA8601" s="93">
        <f>AA8599/2</f>
        <v>4</v>
      </c>
      <c r="AB8601" s="93">
        <f>AD8601/AC8597</f>
        <v>3.25</v>
      </c>
      <c r="AC8601" s="93">
        <f>AC8597/AA8601</f>
        <v>1.1419687500000002</v>
      </c>
      <c r="AD8601" s="94">
        <f>AC8601*Z8601</f>
        <v>14.845593750000003</v>
      </c>
      <c r="AE8601" s="190"/>
      <c r="AF8601" s="191"/>
      <c r="AG8601" s="191"/>
      <c r="AH8601" s="191"/>
      <c r="AI8601" s="186"/>
      <c r="AK8601" s="171"/>
    </row>
    <row r="8602" spans="1:41" ht="20.100000000000001" customHeight="1" x14ac:dyDescent="0.25">
      <c r="A8602" s="277" t="s">
        <v>703</v>
      </c>
      <c r="B8602" s="278"/>
      <c r="C8602" s="64" t="s">
        <v>766</v>
      </c>
      <c r="D8602" s="46" t="s">
        <v>97</v>
      </c>
      <c r="E8602" s="114">
        <v>15.302874999999972</v>
      </c>
      <c r="F8602" s="44">
        <v>5402</v>
      </c>
      <c r="G8602" s="44">
        <f t="shared" si="5545"/>
        <v>82666.130749999851</v>
      </c>
      <c r="H8602" s="44">
        <f t="shared" si="5546"/>
        <v>4546.8320800000001</v>
      </c>
      <c r="I8602" s="43">
        <f t="shared" si="5547"/>
        <v>69579.602966229868</v>
      </c>
      <c r="J8602" s="112">
        <f t="shared" si="5548"/>
        <v>15.302874999999972</v>
      </c>
      <c r="K8602" s="211">
        <f t="shared" si="5549"/>
        <v>15.302874999999972</v>
      </c>
      <c r="L8602" s="44"/>
      <c r="M8602" s="44">
        <f t="shared" si="5550"/>
        <v>15.302874999999972</v>
      </c>
      <c r="N8602" s="173">
        <f t="shared" si="5551"/>
        <v>1</v>
      </c>
      <c r="O8602" s="44">
        <f t="shared" si="5552"/>
        <v>5402</v>
      </c>
      <c r="P8602" s="44">
        <f t="shared" si="5553"/>
        <v>82666.130749999851</v>
      </c>
      <c r="Q8602" s="44">
        <f t="shared" si="5554"/>
        <v>4546.8320800000001</v>
      </c>
      <c r="R8602" s="44">
        <f t="shared" si="5555"/>
        <v>69579.602966229868</v>
      </c>
      <c r="S8602" s="123"/>
      <c r="T8602" s="219">
        <f t="shared" si="5556"/>
        <v>69579.602966229868</v>
      </c>
      <c r="U8602" s="87"/>
      <c r="V8602" s="47"/>
      <c r="W8602" s="48"/>
      <c r="X8602" s="48"/>
      <c r="Y8602" s="48"/>
      <c r="Z8602" s="135"/>
      <c r="AA8602" s="49"/>
      <c r="AB8602" s="50">
        <f t="shared" si="5557"/>
        <v>4546.8320800000001</v>
      </c>
      <c r="AC8602" s="42">
        <f t="shared" si="5558"/>
        <v>15.302874999999972</v>
      </c>
      <c r="AD8602" s="90">
        <f>AD8603+AD8613</f>
        <v>69579.602966229868</v>
      </c>
      <c r="AE8602" s="188">
        <f t="shared" ref="AE8602:AH8602" si="5904">AE8603+AE8613</f>
        <v>0</v>
      </c>
      <c r="AF8602" s="189">
        <f t="shared" si="5904"/>
        <v>0</v>
      </c>
      <c r="AG8602" s="189">
        <f t="shared" si="5904"/>
        <v>0</v>
      </c>
      <c r="AH8602" s="189">
        <f t="shared" si="5904"/>
        <v>0</v>
      </c>
      <c r="AI8602" s="161">
        <f t="shared" ref="AI8602" si="5905">SUM(AE8602:AH8602)</f>
        <v>0</v>
      </c>
      <c r="AK8602" s="169">
        <v>5</v>
      </c>
      <c r="AO8602" s="19" t="s">
        <v>63</v>
      </c>
    </row>
    <row r="8603" spans="1:41" s="103" customFormat="1" ht="19.899999999999999" customHeight="1" x14ac:dyDescent="0.25">
      <c r="A8603" s="51"/>
      <c r="B8603" s="52"/>
      <c r="C8603" s="165"/>
      <c r="D8603" s="52"/>
      <c r="E8603" s="115"/>
      <c r="F8603" s="58"/>
      <c r="G8603" s="58"/>
      <c r="H8603" s="58"/>
      <c r="I8603" s="55"/>
      <c r="J8603" s="113">
        <f>J8602</f>
        <v>15.302874999999972</v>
      </c>
      <c r="K8603" s="212">
        <f>K8602</f>
        <v>15.302874999999972</v>
      </c>
      <c r="L8603" s="58"/>
      <c r="M8603" s="58">
        <f>K8603-L8603</f>
        <v>15.302874999999972</v>
      </c>
      <c r="N8603" s="166"/>
      <c r="O8603" s="58"/>
      <c r="P8603" s="58"/>
      <c r="Q8603" s="58"/>
      <c r="R8603" s="58"/>
      <c r="S8603" s="58"/>
      <c r="T8603" s="220"/>
      <c r="U8603" s="88"/>
      <c r="V8603" s="56"/>
      <c r="W8603" s="57" t="s">
        <v>1132</v>
      </c>
      <c r="X8603" s="53"/>
      <c r="Y8603" s="91" t="s">
        <v>68</v>
      </c>
      <c r="Z8603" s="136">
        <f>AD8603/AC8603</f>
        <v>108.28207999999999</v>
      </c>
      <c r="AA8603" s="58"/>
      <c r="AB8603" s="53">
        <f>AD8603/AC8603</f>
        <v>108.28207999999999</v>
      </c>
      <c r="AC8603" s="53">
        <f>M8603+$AE$10</f>
        <v>15.302874999999972</v>
      </c>
      <c r="AD8603" s="54">
        <f>SUM(AD8604:AD8612)</f>
        <v>1657.0271349799968</v>
      </c>
      <c r="AE8603" s="184">
        <f>SUMIFS($AD$37:$AD$12971,$V$37:$V$12971,$V8603,$X$37:$X$12971,AE$13)</f>
        <v>0</v>
      </c>
      <c r="AF8603" s="185">
        <f>SUMIFS($AD$37:$AD$12971,$V$37:$V$12971,$V8603,$X$37:$X$12971,AF$13)</f>
        <v>0</v>
      </c>
      <c r="AG8603" s="185">
        <f>SUMIFS($AD$37:$AD$12971,$V$37:$V$12971,$V8603,$X$37:$X$12971,AG$13)</f>
        <v>0</v>
      </c>
      <c r="AH8603" s="187">
        <f>SUMIFS($AD$37:$AD$12971,$V$37:$V$12971,$V8603,$X$37:$X$12971,AH$13)</f>
        <v>0</v>
      </c>
      <c r="AI8603" s="161">
        <f t="shared" ref="AI8603" si="5906">SUM(AE8603:AH8603)</f>
        <v>0</v>
      </c>
      <c r="AK8603" s="172"/>
    </row>
    <row r="8604" spans="1:41" s="102" customFormat="1" ht="19.899999999999999" customHeight="1" x14ac:dyDescent="0.25">
      <c r="A8604" s="45"/>
      <c r="B8604" s="59"/>
      <c r="C8604" s="137"/>
      <c r="D8604" s="59"/>
      <c r="E8604" s="116"/>
      <c r="F8604" s="120"/>
      <c r="G8604" s="120"/>
      <c r="H8604" s="120"/>
      <c r="I8604" s="60"/>
      <c r="J8604" s="116"/>
      <c r="K8604" s="213"/>
      <c r="L8604" s="120"/>
      <c r="M8604" s="120"/>
      <c r="N8604" s="167"/>
      <c r="O8604" s="120"/>
      <c r="P8604" s="120"/>
      <c r="Q8604" s="120"/>
      <c r="R8604" s="120"/>
      <c r="S8604" s="120"/>
      <c r="T8604" s="221"/>
      <c r="U8604" s="89"/>
      <c r="V8604" s="61"/>
      <c r="W8604" s="92" t="s">
        <v>129</v>
      </c>
      <c r="X8604" s="93" t="s">
        <v>29</v>
      </c>
      <c r="Y8604" s="93" t="s">
        <v>93</v>
      </c>
      <c r="Z8604" s="134">
        <f>VLOOKUP(W8604,Sheet2!$B:$D,3,FALSE)</f>
        <v>56</v>
      </c>
      <c r="AA8604" s="93">
        <f>100/(3.4*3)</f>
        <v>9.8039215686274517</v>
      </c>
      <c r="AB8604" s="93">
        <f t="shared" ref="AB8604" si="5907">AD8604/AC8603</f>
        <v>5.7119999999999989</v>
      </c>
      <c r="AC8604" s="93">
        <f>AC8603/AA8604</f>
        <v>1.560893249999997</v>
      </c>
      <c r="AD8604" s="94">
        <f t="shared" ref="AD8604:AD8605" si="5908">AC8604*Z8604</f>
        <v>87.410021999999827</v>
      </c>
      <c r="AE8604" s="190"/>
      <c r="AF8604" s="191"/>
      <c r="AG8604" s="191"/>
      <c r="AH8604" s="191"/>
      <c r="AI8604" s="186"/>
      <c r="AK8604" s="171"/>
    </row>
    <row r="8605" spans="1:41" s="102" customFormat="1" ht="19.899999999999999" customHeight="1" x14ac:dyDescent="0.25">
      <c r="A8605" s="45"/>
      <c r="B8605" s="59"/>
      <c r="C8605" s="137"/>
      <c r="D8605" s="59"/>
      <c r="E8605" s="116"/>
      <c r="F8605" s="120"/>
      <c r="G8605" s="120"/>
      <c r="H8605" s="120"/>
      <c r="I8605" s="60"/>
      <c r="J8605" s="116"/>
      <c r="K8605" s="213"/>
      <c r="L8605" s="120"/>
      <c r="M8605" s="120"/>
      <c r="N8605" s="167"/>
      <c r="O8605" s="120"/>
      <c r="P8605" s="120"/>
      <c r="Q8605" s="120"/>
      <c r="R8605" s="120"/>
      <c r="S8605" s="120"/>
      <c r="T8605" s="221"/>
      <c r="U8605" s="89"/>
      <c r="V8605" s="61"/>
      <c r="W8605" s="92" t="s">
        <v>65</v>
      </c>
      <c r="X8605" s="93" t="s">
        <v>30</v>
      </c>
      <c r="Y8605" s="93" t="s">
        <v>1011</v>
      </c>
      <c r="Z8605" s="134">
        <f>VLOOKUP(W8605,Sheet2!$B:$D,3,FALSE)</f>
        <v>1.76</v>
      </c>
      <c r="AA8605" s="93">
        <f>AA8604/14</f>
        <v>0.70028011204481799</v>
      </c>
      <c r="AB8605" s="93">
        <f>AD8605/AC8603</f>
        <v>2.51328</v>
      </c>
      <c r="AC8605" s="93">
        <f>AC8603/AA8605</f>
        <v>21.852505499999957</v>
      </c>
      <c r="AD8605" s="94">
        <f t="shared" si="5908"/>
        <v>38.460409679999927</v>
      </c>
      <c r="AE8605" s="190"/>
      <c r="AF8605" s="191"/>
      <c r="AG8605" s="191"/>
      <c r="AH8605" s="191"/>
      <c r="AI8605" s="186"/>
      <c r="AK8605" s="171"/>
    </row>
    <row r="8606" spans="1:41" s="102" customFormat="1" ht="19.899999999999999" customHeight="1" x14ac:dyDescent="0.25">
      <c r="A8606" s="45"/>
      <c r="B8606" s="59"/>
      <c r="C8606" s="137"/>
      <c r="D8606" s="59"/>
      <c r="E8606" s="116"/>
      <c r="F8606" s="120"/>
      <c r="G8606" s="120"/>
      <c r="H8606" s="120"/>
      <c r="I8606" s="60"/>
      <c r="J8606" s="116"/>
      <c r="K8606" s="213"/>
      <c r="L8606" s="120"/>
      <c r="M8606" s="120"/>
      <c r="N8606" s="167"/>
      <c r="O8606" s="120"/>
      <c r="P8606" s="120"/>
      <c r="Q8606" s="120"/>
      <c r="R8606" s="120"/>
      <c r="S8606" s="120"/>
      <c r="T8606" s="221"/>
      <c r="U8606" s="89"/>
      <c r="V8606" s="61"/>
      <c r="W8606" s="92" t="s">
        <v>161</v>
      </c>
      <c r="X8606" s="93" t="s">
        <v>29</v>
      </c>
      <c r="Y8606" s="93" t="s">
        <v>93</v>
      </c>
      <c r="Z8606" s="134">
        <f>VLOOKUP(W8606,Sheet2!$B:$D,3,FALSE)</f>
        <v>48</v>
      </c>
      <c r="AA8606" s="93">
        <f>(16*0.85*1.5)/(3.4*3)</f>
        <v>2</v>
      </c>
      <c r="AB8606" s="93">
        <f>AD8606/AC8603</f>
        <v>24</v>
      </c>
      <c r="AC8606" s="93">
        <f>AC8603/AA8606</f>
        <v>7.6514374999999859</v>
      </c>
      <c r="AD8606" s="94">
        <f>AC8606*Z8606</f>
        <v>367.26899999999932</v>
      </c>
      <c r="AE8606" s="190"/>
      <c r="AF8606" s="191"/>
      <c r="AG8606" s="191"/>
      <c r="AH8606" s="191"/>
      <c r="AI8606" s="186"/>
      <c r="AK8606" s="171"/>
    </row>
    <row r="8607" spans="1:41" s="102" customFormat="1" ht="19.899999999999999" customHeight="1" x14ac:dyDescent="0.25">
      <c r="A8607" s="45"/>
      <c r="B8607" s="59"/>
      <c r="C8607" s="137"/>
      <c r="D8607" s="59"/>
      <c r="E8607" s="116"/>
      <c r="F8607" s="120"/>
      <c r="G8607" s="120"/>
      <c r="H8607" s="120"/>
      <c r="I8607" s="60"/>
      <c r="J8607" s="116"/>
      <c r="K8607" s="213"/>
      <c r="L8607" s="120"/>
      <c r="M8607" s="120"/>
      <c r="N8607" s="167"/>
      <c r="O8607" s="120"/>
      <c r="P8607" s="120"/>
      <c r="Q8607" s="120"/>
      <c r="R8607" s="120"/>
      <c r="S8607" s="120"/>
      <c r="T8607" s="221"/>
      <c r="U8607" s="89"/>
      <c r="V8607" s="61"/>
      <c r="W8607" s="92" t="s">
        <v>65</v>
      </c>
      <c r="X8607" s="93" t="s">
        <v>30</v>
      </c>
      <c r="Y8607" s="93" t="s">
        <v>1011</v>
      </c>
      <c r="Z8607" s="134">
        <f>VLOOKUP(W8607,Sheet2!$B:$D,3,FALSE)</f>
        <v>1.76</v>
      </c>
      <c r="AA8607" s="93">
        <f>AA8606/10</f>
        <v>0.2</v>
      </c>
      <c r="AB8607" s="93">
        <f>AD8607/AC8603</f>
        <v>8.7999999999999989</v>
      </c>
      <c r="AC8607" s="93">
        <f>AC8603/AA8607</f>
        <v>76.514374999999859</v>
      </c>
      <c r="AD8607" s="94">
        <f>AC8607*Z8607</f>
        <v>134.66529999999975</v>
      </c>
      <c r="AE8607" s="190"/>
      <c r="AF8607" s="191"/>
      <c r="AG8607" s="191"/>
      <c r="AH8607" s="191"/>
      <c r="AI8607" s="186"/>
      <c r="AK8607" s="171"/>
    </row>
    <row r="8608" spans="1:41" s="102" customFormat="1" ht="19.899999999999999" customHeight="1" x14ac:dyDescent="0.25">
      <c r="A8608" s="45"/>
      <c r="B8608" s="59"/>
      <c r="C8608" s="137"/>
      <c r="D8608" s="59"/>
      <c r="E8608" s="116"/>
      <c r="F8608" s="120"/>
      <c r="G8608" s="120"/>
      <c r="H8608" s="120"/>
      <c r="I8608" s="60"/>
      <c r="J8608" s="116"/>
      <c r="K8608" s="213"/>
      <c r="L8608" s="120"/>
      <c r="M8608" s="120"/>
      <c r="N8608" s="167"/>
      <c r="O8608" s="120"/>
      <c r="P8608" s="120"/>
      <c r="Q8608" s="120"/>
      <c r="R8608" s="120"/>
      <c r="S8608" s="120"/>
      <c r="T8608" s="221"/>
      <c r="U8608" s="89"/>
      <c r="V8608" s="61"/>
      <c r="W8608" s="92" t="s">
        <v>1030</v>
      </c>
      <c r="X8608" s="93" t="s">
        <v>29</v>
      </c>
      <c r="Y8608" s="93" t="s">
        <v>93</v>
      </c>
      <c r="Z8608" s="134">
        <f>VLOOKUP(W8608,Sheet2!$B:$D,3,FALSE)</f>
        <v>23</v>
      </c>
      <c r="AA8608" s="93">
        <v>50</v>
      </c>
      <c r="AB8608" s="93">
        <f>AD8608/AC8603</f>
        <v>0.45999999999999996</v>
      </c>
      <c r="AC8608" s="93">
        <f>AC8603/AA8608</f>
        <v>0.30605749999999943</v>
      </c>
      <c r="AD8608" s="94">
        <f t="shared" ref="AD8608:AD8612" si="5909">AC8608*Z8608</f>
        <v>7.0393224999999866</v>
      </c>
      <c r="AE8608" s="190"/>
      <c r="AF8608" s="191"/>
      <c r="AG8608" s="191"/>
      <c r="AH8608" s="191"/>
      <c r="AI8608" s="186"/>
      <c r="AK8608" s="171"/>
    </row>
    <row r="8609" spans="1:37" s="102" customFormat="1" ht="19.899999999999999" customHeight="1" x14ac:dyDescent="0.25">
      <c r="A8609" s="45"/>
      <c r="B8609" s="59"/>
      <c r="C8609" s="137"/>
      <c r="D8609" s="59"/>
      <c r="E8609" s="116"/>
      <c r="F8609" s="120"/>
      <c r="G8609" s="120"/>
      <c r="H8609" s="120"/>
      <c r="I8609" s="60"/>
      <c r="J8609" s="116"/>
      <c r="K8609" s="213"/>
      <c r="L8609" s="120"/>
      <c r="M8609" s="120"/>
      <c r="N8609" s="167"/>
      <c r="O8609" s="120"/>
      <c r="P8609" s="120"/>
      <c r="Q8609" s="120"/>
      <c r="R8609" s="120"/>
      <c r="S8609" s="120"/>
      <c r="T8609" s="221"/>
      <c r="U8609" s="89"/>
      <c r="V8609" s="61"/>
      <c r="W8609" s="92" t="s">
        <v>65</v>
      </c>
      <c r="X8609" s="93" t="s">
        <v>30</v>
      </c>
      <c r="Y8609" s="93" t="s">
        <v>1011</v>
      </c>
      <c r="Z8609" s="134">
        <f>VLOOKUP(W8609,Sheet2!$B:$D,3,FALSE)</f>
        <v>1.76</v>
      </c>
      <c r="AA8609" s="93">
        <f>AA8608/3</f>
        <v>16.666666666666668</v>
      </c>
      <c r="AB8609" s="93">
        <f>AD8609/AC8603</f>
        <v>0.1056</v>
      </c>
      <c r="AC8609" s="93">
        <f>AC8603/AA8609</f>
        <v>0.91817249999999828</v>
      </c>
      <c r="AD8609" s="94">
        <f t="shared" si="5909"/>
        <v>1.615983599999997</v>
      </c>
      <c r="AE8609" s="190"/>
      <c r="AF8609" s="191"/>
      <c r="AG8609" s="191"/>
      <c r="AH8609" s="191"/>
      <c r="AI8609" s="186"/>
      <c r="AK8609" s="171"/>
    </row>
    <row r="8610" spans="1:37" s="102" customFormat="1" ht="19.899999999999999" customHeight="1" x14ac:dyDescent="0.25">
      <c r="A8610" s="45"/>
      <c r="B8610" s="59"/>
      <c r="C8610" s="137"/>
      <c r="D8610" s="59"/>
      <c r="E8610" s="116"/>
      <c r="F8610" s="120"/>
      <c r="G8610" s="120"/>
      <c r="H8610" s="120"/>
      <c r="I8610" s="60"/>
      <c r="J8610" s="116"/>
      <c r="K8610" s="213"/>
      <c r="L8610" s="120"/>
      <c r="M8610" s="120"/>
      <c r="N8610" s="167"/>
      <c r="O8610" s="120"/>
      <c r="P8610" s="120"/>
      <c r="Q8610" s="120"/>
      <c r="R8610" s="120"/>
      <c r="S8610" s="120"/>
      <c r="T8610" s="221"/>
      <c r="U8610" s="89"/>
      <c r="V8610" s="61"/>
      <c r="W8610" s="92" t="s">
        <v>148</v>
      </c>
      <c r="X8610" s="93" t="s">
        <v>29</v>
      </c>
      <c r="Y8610" s="93" t="s">
        <v>93</v>
      </c>
      <c r="Z8610" s="134">
        <f>VLOOKUP(W8610,Sheet2!$B:$D,3,FALSE)</f>
        <v>48</v>
      </c>
      <c r="AA8610" s="93">
        <f>AA8604</f>
        <v>9.8039215686274517</v>
      </c>
      <c r="AB8610" s="93">
        <f>AD8610/AC8603</f>
        <v>4.8959999999999999</v>
      </c>
      <c r="AC8610" s="93">
        <f>AC8603/AA8610</f>
        <v>1.560893249999997</v>
      </c>
      <c r="AD8610" s="94">
        <f t="shared" si="5909"/>
        <v>74.92287599999986</v>
      </c>
      <c r="AE8610" s="190"/>
      <c r="AF8610" s="191"/>
      <c r="AG8610" s="191"/>
      <c r="AH8610" s="191"/>
      <c r="AI8610" s="186"/>
      <c r="AK8610" s="171"/>
    </row>
    <row r="8611" spans="1:37" s="102" customFormat="1" ht="19.899999999999999" customHeight="1" x14ac:dyDescent="0.25">
      <c r="A8611" s="45"/>
      <c r="B8611" s="59"/>
      <c r="C8611" s="137"/>
      <c r="D8611" s="59"/>
      <c r="E8611" s="116"/>
      <c r="F8611" s="120"/>
      <c r="G8611" s="120"/>
      <c r="H8611" s="120"/>
      <c r="I8611" s="60"/>
      <c r="J8611" s="116"/>
      <c r="K8611" s="213"/>
      <c r="L8611" s="120"/>
      <c r="M8611" s="120"/>
      <c r="N8611" s="167"/>
      <c r="O8611" s="120"/>
      <c r="P8611" s="120"/>
      <c r="Q8611" s="120"/>
      <c r="R8611" s="120"/>
      <c r="S8611" s="120"/>
      <c r="T8611" s="221"/>
      <c r="U8611" s="89"/>
      <c r="V8611" s="61"/>
      <c r="W8611" s="92" t="s">
        <v>65</v>
      </c>
      <c r="X8611" s="93" t="s">
        <v>30</v>
      </c>
      <c r="Y8611" s="93" t="s">
        <v>1011</v>
      </c>
      <c r="Z8611" s="134">
        <f>VLOOKUP(W8611,Sheet2!$B:$D,3,FALSE)</f>
        <v>1.76</v>
      </c>
      <c r="AA8611" s="93">
        <f>AA8610/10</f>
        <v>0.98039215686274517</v>
      </c>
      <c r="AB8611" s="93">
        <f>AD8611/AC8603</f>
        <v>1.7951999999999999</v>
      </c>
      <c r="AC8611" s="93">
        <f>AC8603/AA8611</f>
        <v>15.60893249999997</v>
      </c>
      <c r="AD8611" s="94">
        <f t="shared" si="5909"/>
        <v>27.471721199999948</v>
      </c>
      <c r="AE8611" s="190"/>
      <c r="AF8611" s="191"/>
      <c r="AG8611" s="191"/>
      <c r="AH8611" s="191"/>
      <c r="AI8611" s="186"/>
      <c r="AK8611" s="171"/>
    </row>
    <row r="8612" spans="1:37" s="102" customFormat="1" ht="19.899999999999999" customHeight="1" x14ac:dyDescent="0.25">
      <c r="A8612" s="45"/>
      <c r="B8612" s="59"/>
      <c r="C8612" s="137"/>
      <c r="D8612" s="59"/>
      <c r="E8612" s="116"/>
      <c r="F8612" s="120"/>
      <c r="G8612" s="120"/>
      <c r="H8612" s="120"/>
      <c r="I8612" s="60"/>
      <c r="J8612" s="116"/>
      <c r="K8612" s="213"/>
      <c r="L8612" s="120"/>
      <c r="M8612" s="120"/>
      <c r="N8612" s="167"/>
      <c r="O8612" s="120"/>
      <c r="P8612" s="120"/>
      <c r="Q8612" s="120"/>
      <c r="R8612" s="120"/>
      <c r="S8612" s="120"/>
      <c r="T8612" s="221"/>
      <c r="U8612" s="89"/>
      <c r="V8612" s="61"/>
      <c r="W8612" s="92" t="s">
        <v>1049</v>
      </c>
      <c r="X8612" s="93" t="s">
        <v>30</v>
      </c>
      <c r="Y8612" s="93" t="s">
        <v>68</v>
      </c>
      <c r="Z8612" s="134">
        <f>VLOOKUP(W8612,Sheet2!$B:$D,3,FALSE)</f>
        <v>60</v>
      </c>
      <c r="AA8612" s="93">
        <v>1</v>
      </c>
      <c r="AB8612" s="93">
        <f>AD8612/AC8603</f>
        <v>60</v>
      </c>
      <c r="AC8612" s="93">
        <f>AC8603/AA8612</f>
        <v>15.302874999999972</v>
      </c>
      <c r="AD8612" s="94">
        <f t="shared" si="5909"/>
        <v>918.17249999999831</v>
      </c>
      <c r="AE8612" s="190"/>
      <c r="AF8612" s="191"/>
      <c r="AG8612" s="191"/>
      <c r="AH8612" s="191"/>
      <c r="AI8612" s="186"/>
      <c r="AK8612" s="171"/>
    </row>
    <row r="8613" spans="1:37" s="103" customFormat="1" ht="19.899999999999999" customHeight="1" x14ac:dyDescent="0.25">
      <c r="A8613" s="51"/>
      <c r="B8613" s="52"/>
      <c r="C8613" s="165"/>
      <c r="D8613" s="52"/>
      <c r="E8613" s="115"/>
      <c r="F8613" s="58"/>
      <c r="G8613" s="58"/>
      <c r="H8613" s="58"/>
      <c r="I8613" s="55"/>
      <c r="J8613" s="113">
        <f>J8602</f>
        <v>15.302874999999972</v>
      </c>
      <c r="K8613" s="212">
        <f>K8602</f>
        <v>15.302874999999972</v>
      </c>
      <c r="L8613" s="58"/>
      <c r="M8613" s="58">
        <f>K8613-L8613</f>
        <v>15.302874999999972</v>
      </c>
      <c r="N8613" s="166"/>
      <c r="O8613" s="58"/>
      <c r="P8613" s="58"/>
      <c r="Q8613" s="58"/>
      <c r="R8613" s="58"/>
      <c r="S8613" s="58"/>
      <c r="T8613" s="220"/>
      <c r="U8613" s="88"/>
      <c r="V8613" s="56"/>
      <c r="W8613" s="57" t="s">
        <v>1142</v>
      </c>
      <c r="X8613" s="53"/>
      <c r="Y8613" s="91" t="s">
        <v>68</v>
      </c>
      <c r="Z8613" s="136">
        <f>AD8613/AC8613</f>
        <v>4438.5499999999993</v>
      </c>
      <c r="AA8613" s="58"/>
      <c r="AB8613" s="53">
        <f>AD8613/AC8613</f>
        <v>4438.5499999999993</v>
      </c>
      <c r="AC8613" s="53">
        <f>M8613+$AE$10</f>
        <v>15.302874999999972</v>
      </c>
      <c r="AD8613" s="54">
        <f>SUM(AD8614:AD8617)</f>
        <v>67922.575831249866</v>
      </c>
      <c r="AE8613" s="184">
        <f>SUMIFS($AD$37:$AD$12971,$V$37:$V$12971,$V8613,$X$37:$X$12971,AE$13)</f>
        <v>0</v>
      </c>
      <c r="AF8613" s="185">
        <f>SUMIFS($AD$37:$AD$12971,$V$37:$V$12971,$V8613,$X$37:$X$12971,AF$13)</f>
        <v>0</v>
      </c>
      <c r="AG8613" s="185">
        <f>SUMIFS($AD$37:$AD$12971,$V$37:$V$12971,$V8613,$X$37:$X$12971,AG$13)</f>
        <v>0</v>
      </c>
      <c r="AH8613" s="187">
        <f>SUMIFS($AD$37:$AD$12971,$V$37:$V$12971,$V8613,$X$37:$X$12971,AH$13)</f>
        <v>0</v>
      </c>
      <c r="AI8613" s="161">
        <f t="shared" ref="AI8613" si="5910">SUM(AE8613:AH8613)</f>
        <v>0</v>
      </c>
      <c r="AK8613" s="172"/>
    </row>
    <row r="8614" spans="1:37" s="102" customFormat="1" ht="19.899999999999999" customHeight="1" x14ac:dyDescent="0.25">
      <c r="A8614" s="45"/>
      <c r="B8614" s="59"/>
      <c r="C8614" s="137"/>
      <c r="D8614" s="59"/>
      <c r="E8614" s="116"/>
      <c r="F8614" s="120"/>
      <c r="G8614" s="120"/>
      <c r="H8614" s="120"/>
      <c r="I8614" s="60"/>
      <c r="J8614" s="116"/>
      <c r="K8614" s="213"/>
      <c r="L8614" s="120"/>
      <c r="M8614" s="120"/>
      <c r="N8614" s="167"/>
      <c r="O8614" s="120"/>
      <c r="P8614" s="120"/>
      <c r="Q8614" s="120"/>
      <c r="R8614" s="120"/>
      <c r="S8614" s="120"/>
      <c r="T8614" s="221"/>
      <c r="U8614" s="89"/>
      <c r="V8614" s="61"/>
      <c r="W8614" s="92" t="s">
        <v>1105</v>
      </c>
      <c r="X8614" s="93" t="s">
        <v>30</v>
      </c>
      <c r="Y8614" s="93" t="s">
        <v>66</v>
      </c>
      <c r="Z8614" s="134">
        <f>VLOOKUP(W8614,Sheet2!$B:$D,3,FALSE)</f>
        <v>2200</v>
      </c>
      <c r="AA8614" s="93">
        <f>1/((2.6*1.35)-(2*0.75))</f>
        <v>0.49751243781094523</v>
      </c>
      <c r="AB8614" s="93">
        <f>AD8614/AC8613</f>
        <v>4422</v>
      </c>
      <c r="AC8614" s="93">
        <f>AC8613/AA8614</f>
        <v>30.758778749999944</v>
      </c>
      <c r="AD8614" s="94">
        <f t="shared" ref="AD8614" si="5911">AC8614*Z8614</f>
        <v>67669.313249999876</v>
      </c>
      <c r="AE8614" s="190"/>
      <c r="AF8614" s="191"/>
      <c r="AG8614" s="191"/>
      <c r="AH8614" s="191"/>
      <c r="AI8614" s="186"/>
      <c r="AK8614" s="171"/>
    </row>
    <row r="8615" spans="1:37" s="102" customFormat="1" ht="19.899999999999999" customHeight="1" x14ac:dyDescent="0.25">
      <c r="A8615" s="45"/>
      <c r="B8615" s="59"/>
      <c r="C8615" s="137"/>
      <c r="D8615" s="59"/>
      <c r="E8615" s="116"/>
      <c r="F8615" s="120"/>
      <c r="G8615" s="120"/>
      <c r="H8615" s="120"/>
      <c r="I8615" s="60"/>
      <c r="J8615" s="116"/>
      <c r="K8615" s="213"/>
      <c r="L8615" s="120"/>
      <c r="M8615" s="120"/>
      <c r="N8615" s="167"/>
      <c r="O8615" s="120"/>
      <c r="P8615" s="120"/>
      <c r="Q8615" s="120"/>
      <c r="R8615" s="120"/>
      <c r="S8615" s="120"/>
      <c r="T8615" s="221"/>
      <c r="U8615" s="89"/>
      <c r="V8615" s="61"/>
      <c r="W8615" s="92" t="s">
        <v>174</v>
      </c>
      <c r="X8615" s="93" t="s">
        <v>29</v>
      </c>
      <c r="Y8615" s="93" t="s">
        <v>93</v>
      </c>
      <c r="Z8615" s="134">
        <f>VLOOKUP(W8615,Sheet2!$B:$D,3,FALSE)</f>
        <v>80</v>
      </c>
      <c r="AA8615" s="93">
        <f>4*2</f>
        <v>8</v>
      </c>
      <c r="AB8615" s="93">
        <f>AD8615/AC8613</f>
        <v>10</v>
      </c>
      <c r="AC8615" s="93">
        <f>AC8613/AA8615</f>
        <v>1.9128593749999965</v>
      </c>
      <c r="AD8615" s="94">
        <f>AC8615*Z8615</f>
        <v>153.02874999999972</v>
      </c>
      <c r="AE8615" s="190"/>
      <c r="AF8615" s="191"/>
      <c r="AG8615" s="191"/>
      <c r="AH8615" s="191"/>
      <c r="AI8615" s="186"/>
      <c r="AK8615" s="171"/>
    </row>
    <row r="8616" spans="1:37" s="102" customFormat="1" ht="19.899999999999999" customHeight="1" x14ac:dyDescent="0.25">
      <c r="A8616" s="45"/>
      <c r="B8616" s="59"/>
      <c r="C8616" s="137"/>
      <c r="D8616" s="59"/>
      <c r="E8616" s="116"/>
      <c r="F8616" s="120"/>
      <c r="G8616" s="120"/>
      <c r="H8616" s="120"/>
      <c r="I8616" s="60"/>
      <c r="J8616" s="116"/>
      <c r="K8616" s="213"/>
      <c r="L8616" s="120"/>
      <c r="M8616" s="120"/>
      <c r="N8616" s="167"/>
      <c r="O8616" s="120"/>
      <c r="P8616" s="120"/>
      <c r="Q8616" s="120"/>
      <c r="R8616" s="120"/>
      <c r="S8616" s="120"/>
      <c r="T8616" s="221"/>
      <c r="U8616" s="89"/>
      <c r="V8616" s="61"/>
      <c r="W8616" s="92" t="s">
        <v>65</v>
      </c>
      <c r="X8616" s="93" t="s">
        <v>30</v>
      </c>
      <c r="Y8616" s="93" t="s">
        <v>1011</v>
      </c>
      <c r="Z8616" s="134">
        <f>VLOOKUP(W8616,Sheet2!$B:$D,3,FALSE)</f>
        <v>1.76</v>
      </c>
      <c r="AA8616" s="93">
        <f>AA8615/15</f>
        <v>0.53333333333333333</v>
      </c>
      <c r="AB8616" s="93">
        <f>AD8616/AC8613</f>
        <v>3.3000000000000003</v>
      </c>
      <c r="AC8616" s="93">
        <f>AC8613/AA8616</f>
        <v>28.692890624999947</v>
      </c>
      <c r="AD8616" s="94">
        <f t="shared" ref="AD8616" si="5912">AC8616*Z8616</f>
        <v>50.499487499999908</v>
      </c>
      <c r="AE8616" s="190"/>
      <c r="AF8616" s="191"/>
      <c r="AG8616" s="191"/>
      <c r="AH8616" s="191"/>
      <c r="AI8616" s="186"/>
      <c r="AK8616" s="171"/>
    </row>
    <row r="8617" spans="1:37" s="102" customFormat="1" ht="19.899999999999999" customHeight="1" x14ac:dyDescent="0.25">
      <c r="A8617" s="45"/>
      <c r="B8617" s="59"/>
      <c r="C8617" s="137"/>
      <c r="D8617" s="59"/>
      <c r="E8617" s="116"/>
      <c r="F8617" s="120"/>
      <c r="G8617" s="120"/>
      <c r="H8617" s="120"/>
      <c r="I8617" s="60"/>
      <c r="J8617" s="116"/>
      <c r="K8617" s="213"/>
      <c r="L8617" s="120"/>
      <c r="M8617" s="120"/>
      <c r="N8617" s="167"/>
      <c r="O8617" s="120"/>
      <c r="P8617" s="120"/>
      <c r="Q8617" s="120"/>
      <c r="R8617" s="120"/>
      <c r="S8617" s="120"/>
      <c r="T8617" s="221"/>
      <c r="U8617" s="89"/>
      <c r="V8617" s="61"/>
      <c r="W8617" s="92" t="s">
        <v>112</v>
      </c>
      <c r="X8617" s="93" t="s">
        <v>31</v>
      </c>
      <c r="Y8617" s="93" t="s">
        <v>93</v>
      </c>
      <c r="Z8617" s="134">
        <f>VLOOKUP(W8617,Sheet2!$B:$D,3,FALSE)</f>
        <v>13</v>
      </c>
      <c r="AA8617" s="93">
        <f>AA8615/2</f>
        <v>4</v>
      </c>
      <c r="AB8617" s="93">
        <f>AD8617/AC8613</f>
        <v>3.25</v>
      </c>
      <c r="AC8617" s="93">
        <f>AC8613/AA8617</f>
        <v>3.825718749999993</v>
      </c>
      <c r="AD8617" s="94">
        <f>AC8617*Z8617</f>
        <v>49.734343749999908</v>
      </c>
      <c r="AE8617" s="190"/>
      <c r="AF8617" s="191"/>
      <c r="AG8617" s="191"/>
      <c r="AH8617" s="191"/>
      <c r="AI8617" s="186"/>
      <c r="AK8617" s="171"/>
    </row>
    <row r="8618" spans="1:37" ht="20.100000000000001" customHeight="1" x14ac:dyDescent="0.25">
      <c r="A8618" s="277" t="s">
        <v>703</v>
      </c>
      <c r="B8618" s="278"/>
      <c r="C8618" s="64" t="s">
        <v>787</v>
      </c>
      <c r="D8618" s="46"/>
      <c r="E8618" s="114"/>
      <c r="F8618" s="44">
        <v>0</v>
      </c>
      <c r="G8618" s="44">
        <f t="shared" si="5545"/>
        <v>0</v>
      </c>
      <c r="H8618" s="44">
        <f t="shared" si="5546"/>
        <v>0</v>
      </c>
      <c r="I8618" s="43">
        <f t="shared" si="5547"/>
        <v>0</v>
      </c>
      <c r="J8618" s="112">
        <f t="shared" si="5548"/>
        <v>0</v>
      </c>
      <c r="K8618" s="211">
        <f t="shared" si="5549"/>
        <v>0</v>
      </c>
      <c r="L8618" s="44"/>
      <c r="M8618" s="44">
        <f t="shared" si="5550"/>
        <v>0</v>
      </c>
      <c r="N8618" s="173">
        <f t="shared" si="5551"/>
        <v>0</v>
      </c>
      <c r="O8618" s="44">
        <f t="shared" si="5552"/>
        <v>0</v>
      </c>
      <c r="P8618" s="44">
        <f t="shared" si="5553"/>
        <v>0</v>
      </c>
      <c r="Q8618" s="44">
        <f t="shared" si="5554"/>
        <v>0</v>
      </c>
      <c r="R8618" s="44">
        <f t="shared" si="5555"/>
        <v>0</v>
      </c>
      <c r="S8618" s="123"/>
      <c r="T8618" s="219">
        <f t="shared" si="5556"/>
        <v>0</v>
      </c>
      <c r="U8618" s="87"/>
      <c r="V8618" s="47"/>
      <c r="W8618" s="48"/>
      <c r="X8618" s="48"/>
      <c r="Y8618" s="48"/>
      <c r="Z8618" s="135"/>
      <c r="AA8618" s="49"/>
      <c r="AB8618" s="50">
        <f t="shared" si="5557"/>
        <v>0</v>
      </c>
      <c r="AC8618" s="42">
        <f t="shared" si="5558"/>
        <v>9.9999999999999998E-20</v>
      </c>
      <c r="AD8618" s="90"/>
      <c r="AE8618" s="188"/>
      <c r="AF8618" s="189"/>
      <c r="AG8618" s="189"/>
      <c r="AH8618" s="189"/>
      <c r="AI8618" s="161"/>
    </row>
    <row r="8619" spans="1:37" ht="20.100000000000001" customHeight="1" x14ac:dyDescent="0.25">
      <c r="A8619" s="277" t="s">
        <v>703</v>
      </c>
      <c r="B8619" s="278"/>
      <c r="C8619" s="64" t="s">
        <v>763</v>
      </c>
      <c r="D8619" s="46"/>
      <c r="E8619" s="114"/>
      <c r="F8619" s="44">
        <v>0</v>
      </c>
      <c r="G8619" s="44">
        <f t="shared" si="5545"/>
        <v>0</v>
      </c>
      <c r="H8619" s="44">
        <f t="shared" si="5546"/>
        <v>0</v>
      </c>
      <c r="I8619" s="43">
        <f t="shared" si="5547"/>
        <v>0</v>
      </c>
      <c r="J8619" s="112">
        <f t="shared" si="5548"/>
        <v>0</v>
      </c>
      <c r="K8619" s="211">
        <f t="shared" si="5549"/>
        <v>0</v>
      </c>
      <c r="L8619" s="44"/>
      <c r="M8619" s="44">
        <f t="shared" si="5550"/>
        <v>0</v>
      </c>
      <c r="N8619" s="173">
        <f t="shared" si="5551"/>
        <v>0</v>
      </c>
      <c r="O8619" s="44">
        <f t="shared" si="5552"/>
        <v>0</v>
      </c>
      <c r="P8619" s="44">
        <f t="shared" si="5553"/>
        <v>0</v>
      </c>
      <c r="Q8619" s="44">
        <f t="shared" si="5554"/>
        <v>0</v>
      </c>
      <c r="R8619" s="44">
        <f t="shared" si="5555"/>
        <v>0</v>
      </c>
      <c r="S8619" s="123"/>
      <c r="T8619" s="219">
        <f t="shared" si="5556"/>
        <v>0</v>
      </c>
      <c r="U8619" s="87"/>
      <c r="V8619" s="47"/>
      <c r="W8619" s="48"/>
      <c r="X8619" s="48"/>
      <c r="Y8619" s="48"/>
      <c r="Z8619" s="135"/>
      <c r="AA8619" s="49"/>
      <c r="AB8619" s="50">
        <f t="shared" si="5557"/>
        <v>0</v>
      </c>
      <c r="AC8619" s="42">
        <f t="shared" si="5558"/>
        <v>9.9999999999999998E-20</v>
      </c>
      <c r="AD8619" s="90"/>
      <c r="AE8619" s="188"/>
      <c r="AF8619" s="189"/>
      <c r="AG8619" s="189"/>
      <c r="AH8619" s="189"/>
      <c r="AI8619" s="161"/>
    </row>
    <row r="8620" spans="1:37" ht="20.100000000000001" customHeight="1" x14ac:dyDescent="0.25">
      <c r="A8620" s="277" t="s">
        <v>703</v>
      </c>
      <c r="B8620" s="278"/>
      <c r="C8620" s="64" t="s">
        <v>788</v>
      </c>
      <c r="D8620" s="46"/>
      <c r="E8620" s="114"/>
      <c r="F8620" s="44">
        <v>0</v>
      </c>
      <c r="G8620" s="44">
        <f t="shared" si="5545"/>
        <v>0</v>
      </c>
      <c r="H8620" s="44">
        <f t="shared" si="5546"/>
        <v>0</v>
      </c>
      <c r="I8620" s="43">
        <f t="shared" si="5547"/>
        <v>0</v>
      </c>
      <c r="J8620" s="112">
        <f t="shared" si="5548"/>
        <v>0</v>
      </c>
      <c r="K8620" s="211">
        <f t="shared" si="5549"/>
        <v>0</v>
      </c>
      <c r="L8620" s="44"/>
      <c r="M8620" s="44">
        <f t="shared" si="5550"/>
        <v>0</v>
      </c>
      <c r="N8620" s="173">
        <f t="shared" si="5551"/>
        <v>0</v>
      </c>
      <c r="O8620" s="44">
        <f t="shared" si="5552"/>
        <v>0</v>
      </c>
      <c r="P8620" s="44">
        <f t="shared" si="5553"/>
        <v>0</v>
      </c>
      <c r="Q8620" s="44">
        <f t="shared" si="5554"/>
        <v>0</v>
      </c>
      <c r="R8620" s="44">
        <f t="shared" si="5555"/>
        <v>0</v>
      </c>
      <c r="S8620" s="123"/>
      <c r="T8620" s="219">
        <f t="shared" si="5556"/>
        <v>0</v>
      </c>
      <c r="U8620" s="87"/>
      <c r="V8620" s="47"/>
      <c r="W8620" s="48"/>
      <c r="X8620" s="48"/>
      <c r="Y8620" s="48"/>
      <c r="Z8620" s="135"/>
      <c r="AA8620" s="49"/>
      <c r="AB8620" s="50">
        <f t="shared" si="5557"/>
        <v>0</v>
      </c>
      <c r="AC8620" s="42">
        <f t="shared" si="5558"/>
        <v>9.9999999999999998E-20</v>
      </c>
      <c r="AD8620" s="90"/>
      <c r="AE8620" s="188"/>
      <c r="AF8620" s="189"/>
      <c r="AG8620" s="189"/>
      <c r="AH8620" s="189"/>
      <c r="AI8620" s="161"/>
    </row>
    <row r="8621" spans="1:37" ht="20.100000000000001" customHeight="1" x14ac:dyDescent="0.25">
      <c r="A8621" s="277" t="s">
        <v>703</v>
      </c>
      <c r="B8621" s="278"/>
      <c r="C8621" s="64" t="s">
        <v>766</v>
      </c>
      <c r="D8621" s="46"/>
      <c r="E8621" s="114"/>
      <c r="F8621" s="44">
        <v>0</v>
      </c>
      <c r="G8621" s="44">
        <f t="shared" si="5545"/>
        <v>0</v>
      </c>
      <c r="H8621" s="44">
        <f t="shared" si="5546"/>
        <v>0</v>
      </c>
      <c r="I8621" s="43">
        <f t="shared" si="5547"/>
        <v>0</v>
      </c>
      <c r="J8621" s="112">
        <f t="shared" si="5548"/>
        <v>0</v>
      </c>
      <c r="K8621" s="211">
        <f t="shared" si="5549"/>
        <v>0</v>
      </c>
      <c r="L8621" s="44"/>
      <c r="M8621" s="44">
        <f t="shared" si="5550"/>
        <v>0</v>
      </c>
      <c r="N8621" s="173">
        <f t="shared" si="5551"/>
        <v>0</v>
      </c>
      <c r="O8621" s="44">
        <f t="shared" si="5552"/>
        <v>0</v>
      </c>
      <c r="P8621" s="44">
        <f t="shared" si="5553"/>
        <v>0</v>
      </c>
      <c r="Q8621" s="44">
        <f t="shared" si="5554"/>
        <v>0</v>
      </c>
      <c r="R8621" s="44">
        <f t="shared" si="5555"/>
        <v>0</v>
      </c>
      <c r="S8621" s="123"/>
      <c r="T8621" s="219">
        <f t="shared" si="5556"/>
        <v>0</v>
      </c>
      <c r="U8621" s="87"/>
      <c r="V8621" s="47"/>
      <c r="W8621" s="48"/>
      <c r="X8621" s="48"/>
      <c r="Y8621" s="48"/>
      <c r="Z8621" s="135"/>
      <c r="AA8621" s="49"/>
      <c r="AB8621" s="50">
        <f t="shared" si="5557"/>
        <v>0</v>
      </c>
      <c r="AC8621" s="42">
        <f t="shared" si="5558"/>
        <v>9.9999999999999998E-20</v>
      </c>
      <c r="AD8621" s="90"/>
      <c r="AE8621" s="188"/>
      <c r="AF8621" s="189"/>
      <c r="AG8621" s="189"/>
      <c r="AH8621" s="189"/>
      <c r="AI8621" s="161"/>
    </row>
    <row r="8622" spans="1:37" ht="20.100000000000001" customHeight="1" x14ac:dyDescent="0.25">
      <c r="A8622" s="277" t="s">
        <v>703</v>
      </c>
      <c r="B8622" s="278"/>
      <c r="C8622" s="64" t="s">
        <v>789</v>
      </c>
      <c r="D8622" s="46"/>
      <c r="E8622" s="114"/>
      <c r="F8622" s="44">
        <v>0</v>
      </c>
      <c r="G8622" s="44">
        <f t="shared" si="5545"/>
        <v>0</v>
      </c>
      <c r="H8622" s="44">
        <f t="shared" si="5546"/>
        <v>0</v>
      </c>
      <c r="I8622" s="43">
        <f t="shared" si="5547"/>
        <v>0</v>
      </c>
      <c r="J8622" s="112">
        <f t="shared" si="5548"/>
        <v>0</v>
      </c>
      <c r="K8622" s="211">
        <f t="shared" si="5549"/>
        <v>0</v>
      </c>
      <c r="L8622" s="44"/>
      <c r="M8622" s="44">
        <f t="shared" si="5550"/>
        <v>0</v>
      </c>
      <c r="N8622" s="173">
        <f t="shared" si="5551"/>
        <v>0</v>
      </c>
      <c r="O8622" s="44">
        <f t="shared" si="5552"/>
        <v>0</v>
      </c>
      <c r="P8622" s="44">
        <f t="shared" si="5553"/>
        <v>0</v>
      </c>
      <c r="Q8622" s="44">
        <f t="shared" si="5554"/>
        <v>0</v>
      </c>
      <c r="R8622" s="44">
        <f t="shared" si="5555"/>
        <v>0</v>
      </c>
      <c r="S8622" s="123"/>
      <c r="T8622" s="219">
        <f t="shared" si="5556"/>
        <v>0</v>
      </c>
      <c r="U8622" s="87"/>
      <c r="V8622" s="47"/>
      <c r="W8622" s="48"/>
      <c r="X8622" s="48"/>
      <c r="Y8622" s="48"/>
      <c r="Z8622" s="135"/>
      <c r="AA8622" s="49"/>
      <c r="AB8622" s="50">
        <f t="shared" si="5557"/>
        <v>0</v>
      </c>
      <c r="AC8622" s="42">
        <f t="shared" si="5558"/>
        <v>9.9999999999999998E-20</v>
      </c>
      <c r="AD8622" s="90"/>
      <c r="AE8622" s="188"/>
      <c r="AF8622" s="189"/>
      <c r="AG8622" s="189"/>
      <c r="AH8622" s="189"/>
      <c r="AI8622" s="161"/>
    </row>
    <row r="8623" spans="1:37" ht="20.100000000000001" customHeight="1" x14ac:dyDescent="0.25">
      <c r="A8623" s="277" t="s">
        <v>703</v>
      </c>
      <c r="B8623" s="278"/>
      <c r="C8623" s="64" t="s">
        <v>764</v>
      </c>
      <c r="D8623" s="46"/>
      <c r="E8623" s="114"/>
      <c r="F8623" s="44">
        <v>0</v>
      </c>
      <c r="G8623" s="44">
        <f t="shared" si="5545"/>
        <v>0</v>
      </c>
      <c r="H8623" s="44">
        <f t="shared" si="5546"/>
        <v>0</v>
      </c>
      <c r="I8623" s="43">
        <f t="shared" si="5547"/>
        <v>0</v>
      </c>
      <c r="J8623" s="112">
        <f t="shared" si="5548"/>
        <v>0</v>
      </c>
      <c r="K8623" s="211">
        <f t="shared" si="5549"/>
        <v>0</v>
      </c>
      <c r="L8623" s="44"/>
      <c r="M8623" s="44">
        <f t="shared" si="5550"/>
        <v>0</v>
      </c>
      <c r="N8623" s="173">
        <f t="shared" si="5551"/>
        <v>0</v>
      </c>
      <c r="O8623" s="44">
        <f t="shared" si="5552"/>
        <v>0</v>
      </c>
      <c r="P8623" s="44">
        <f t="shared" si="5553"/>
        <v>0</v>
      </c>
      <c r="Q8623" s="44">
        <f t="shared" si="5554"/>
        <v>0</v>
      </c>
      <c r="R8623" s="44">
        <f t="shared" si="5555"/>
        <v>0</v>
      </c>
      <c r="S8623" s="123"/>
      <c r="T8623" s="219">
        <f t="shared" si="5556"/>
        <v>0</v>
      </c>
      <c r="U8623" s="87"/>
      <c r="V8623" s="47"/>
      <c r="W8623" s="48"/>
      <c r="X8623" s="48"/>
      <c r="Y8623" s="48"/>
      <c r="Z8623" s="135"/>
      <c r="AA8623" s="49"/>
      <c r="AB8623" s="50">
        <f t="shared" si="5557"/>
        <v>0</v>
      </c>
      <c r="AC8623" s="42">
        <f t="shared" si="5558"/>
        <v>9.9999999999999998E-20</v>
      </c>
      <c r="AD8623" s="90"/>
      <c r="AE8623" s="188"/>
      <c r="AF8623" s="189"/>
      <c r="AG8623" s="189"/>
      <c r="AH8623" s="189"/>
      <c r="AI8623" s="161"/>
    </row>
    <row r="8624" spans="1:37" ht="20.100000000000001" customHeight="1" x14ac:dyDescent="0.25">
      <c r="A8624" s="277" t="s">
        <v>703</v>
      </c>
      <c r="B8624" s="278"/>
      <c r="C8624" s="64" t="s">
        <v>766</v>
      </c>
      <c r="D8624" s="46"/>
      <c r="E8624" s="114"/>
      <c r="F8624" s="44">
        <v>0</v>
      </c>
      <c r="G8624" s="44">
        <f t="shared" si="5545"/>
        <v>0</v>
      </c>
      <c r="H8624" s="44">
        <f t="shared" si="5546"/>
        <v>0</v>
      </c>
      <c r="I8624" s="43">
        <f t="shared" si="5547"/>
        <v>0</v>
      </c>
      <c r="J8624" s="112">
        <f t="shared" si="5548"/>
        <v>0</v>
      </c>
      <c r="K8624" s="211">
        <f t="shared" si="5549"/>
        <v>0</v>
      </c>
      <c r="L8624" s="44"/>
      <c r="M8624" s="44">
        <f t="shared" si="5550"/>
        <v>0</v>
      </c>
      <c r="N8624" s="173">
        <f t="shared" si="5551"/>
        <v>0</v>
      </c>
      <c r="O8624" s="44">
        <f t="shared" si="5552"/>
        <v>0</v>
      </c>
      <c r="P8624" s="44">
        <f t="shared" si="5553"/>
        <v>0</v>
      </c>
      <c r="Q8624" s="44">
        <f t="shared" si="5554"/>
        <v>0</v>
      </c>
      <c r="R8624" s="44">
        <f t="shared" si="5555"/>
        <v>0</v>
      </c>
      <c r="S8624" s="123"/>
      <c r="T8624" s="219">
        <f t="shared" si="5556"/>
        <v>0</v>
      </c>
      <c r="U8624" s="87"/>
      <c r="V8624" s="47"/>
      <c r="W8624" s="48"/>
      <c r="X8624" s="48"/>
      <c r="Y8624" s="48"/>
      <c r="Z8624" s="135"/>
      <c r="AA8624" s="49"/>
      <c r="AB8624" s="50">
        <f t="shared" si="5557"/>
        <v>0</v>
      </c>
      <c r="AC8624" s="42">
        <f t="shared" si="5558"/>
        <v>9.9999999999999998E-20</v>
      </c>
      <c r="AD8624" s="90"/>
      <c r="AE8624" s="188"/>
      <c r="AF8624" s="189"/>
      <c r="AG8624" s="189"/>
      <c r="AH8624" s="189"/>
      <c r="AI8624" s="161"/>
    </row>
    <row r="8625" spans="1:41" ht="20.100000000000001" customHeight="1" x14ac:dyDescent="0.25">
      <c r="A8625" s="277" t="s">
        <v>703</v>
      </c>
      <c r="B8625" s="278"/>
      <c r="C8625" s="64" t="s">
        <v>790</v>
      </c>
      <c r="D8625" s="46"/>
      <c r="E8625" s="114"/>
      <c r="F8625" s="44">
        <v>0</v>
      </c>
      <c r="G8625" s="44">
        <f t="shared" si="5545"/>
        <v>0</v>
      </c>
      <c r="H8625" s="44">
        <f t="shared" si="5546"/>
        <v>0</v>
      </c>
      <c r="I8625" s="43">
        <f t="shared" si="5547"/>
        <v>0</v>
      </c>
      <c r="J8625" s="112">
        <f t="shared" si="5548"/>
        <v>0</v>
      </c>
      <c r="K8625" s="211">
        <f t="shared" si="5549"/>
        <v>0</v>
      </c>
      <c r="L8625" s="44"/>
      <c r="M8625" s="44">
        <f t="shared" si="5550"/>
        <v>0</v>
      </c>
      <c r="N8625" s="173">
        <f t="shared" si="5551"/>
        <v>0</v>
      </c>
      <c r="O8625" s="44">
        <f t="shared" si="5552"/>
        <v>0</v>
      </c>
      <c r="P8625" s="44">
        <f t="shared" si="5553"/>
        <v>0</v>
      </c>
      <c r="Q8625" s="44">
        <f t="shared" si="5554"/>
        <v>0</v>
      </c>
      <c r="R8625" s="44">
        <f t="shared" si="5555"/>
        <v>0</v>
      </c>
      <c r="S8625" s="123"/>
      <c r="T8625" s="219">
        <f t="shared" si="5556"/>
        <v>0</v>
      </c>
      <c r="U8625" s="87"/>
      <c r="V8625" s="47"/>
      <c r="W8625" s="48"/>
      <c r="X8625" s="48"/>
      <c r="Y8625" s="48"/>
      <c r="Z8625" s="135"/>
      <c r="AA8625" s="49"/>
      <c r="AB8625" s="50">
        <f t="shared" si="5557"/>
        <v>0</v>
      </c>
      <c r="AC8625" s="42">
        <f t="shared" si="5558"/>
        <v>9.9999999999999998E-20</v>
      </c>
      <c r="AD8625" s="90"/>
      <c r="AE8625" s="188"/>
      <c r="AF8625" s="189"/>
      <c r="AG8625" s="189"/>
      <c r="AH8625" s="189"/>
      <c r="AI8625" s="161"/>
    </row>
    <row r="8626" spans="1:41" ht="20.100000000000001" customHeight="1" x14ac:dyDescent="0.25">
      <c r="A8626" s="277" t="s">
        <v>703</v>
      </c>
      <c r="B8626" s="278"/>
      <c r="C8626" s="64" t="s">
        <v>766</v>
      </c>
      <c r="D8626" s="46"/>
      <c r="E8626" s="114"/>
      <c r="F8626" s="44">
        <v>0</v>
      </c>
      <c r="G8626" s="44">
        <f t="shared" si="5545"/>
        <v>0</v>
      </c>
      <c r="H8626" s="44">
        <f t="shared" si="5546"/>
        <v>0</v>
      </c>
      <c r="I8626" s="43">
        <f t="shared" si="5547"/>
        <v>0</v>
      </c>
      <c r="J8626" s="112">
        <f t="shared" si="5548"/>
        <v>0</v>
      </c>
      <c r="K8626" s="211">
        <f t="shared" si="5549"/>
        <v>0</v>
      </c>
      <c r="L8626" s="44"/>
      <c r="M8626" s="44">
        <f t="shared" si="5550"/>
        <v>0</v>
      </c>
      <c r="N8626" s="173">
        <f t="shared" si="5551"/>
        <v>0</v>
      </c>
      <c r="O8626" s="44">
        <f t="shared" si="5552"/>
        <v>0</v>
      </c>
      <c r="P8626" s="44">
        <f t="shared" si="5553"/>
        <v>0</v>
      </c>
      <c r="Q8626" s="44">
        <f t="shared" si="5554"/>
        <v>0</v>
      </c>
      <c r="R8626" s="44">
        <f t="shared" si="5555"/>
        <v>0</v>
      </c>
      <c r="S8626" s="123"/>
      <c r="T8626" s="219">
        <f t="shared" si="5556"/>
        <v>0</v>
      </c>
      <c r="U8626" s="87"/>
      <c r="V8626" s="47"/>
      <c r="W8626" s="48"/>
      <c r="X8626" s="48"/>
      <c r="Y8626" s="48"/>
      <c r="Z8626" s="135"/>
      <c r="AA8626" s="49"/>
      <c r="AB8626" s="50">
        <f t="shared" si="5557"/>
        <v>0</v>
      </c>
      <c r="AC8626" s="42">
        <f t="shared" si="5558"/>
        <v>9.9999999999999998E-20</v>
      </c>
      <c r="AD8626" s="90"/>
      <c r="AE8626" s="188"/>
      <c r="AF8626" s="189"/>
      <c r="AG8626" s="189"/>
      <c r="AH8626" s="189"/>
      <c r="AI8626" s="161"/>
    </row>
    <row r="8627" spans="1:41" ht="20.100000000000001" customHeight="1" x14ac:dyDescent="0.25">
      <c r="A8627" s="277" t="s">
        <v>703</v>
      </c>
      <c r="B8627" s="278"/>
      <c r="C8627" s="64" t="s">
        <v>791</v>
      </c>
      <c r="D8627" s="46"/>
      <c r="E8627" s="114"/>
      <c r="F8627" s="44">
        <v>0</v>
      </c>
      <c r="G8627" s="44">
        <f t="shared" si="5545"/>
        <v>0</v>
      </c>
      <c r="H8627" s="44">
        <f t="shared" si="5546"/>
        <v>0</v>
      </c>
      <c r="I8627" s="43">
        <f t="shared" si="5547"/>
        <v>0</v>
      </c>
      <c r="J8627" s="112">
        <f t="shared" si="5548"/>
        <v>0</v>
      </c>
      <c r="K8627" s="211">
        <f t="shared" si="5549"/>
        <v>0</v>
      </c>
      <c r="L8627" s="44"/>
      <c r="M8627" s="44">
        <f t="shared" si="5550"/>
        <v>0</v>
      </c>
      <c r="N8627" s="173">
        <f t="shared" si="5551"/>
        <v>0</v>
      </c>
      <c r="O8627" s="44">
        <f t="shared" si="5552"/>
        <v>0</v>
      </c>
      <c r="P8627" s="44">
        <f t="shared" si="5553"/>
        <v>0</v>
      </c>
      <c r="Q8627" s="44">
        <f t="shared" si="5554"/>
        <v>0</v>
      </c>
      <c r="R8627" s="44">
        <f t="shared" si="5555"/>
        <v>0</v>
      </c>
      <c r="S8627" s="123"/>
      <c r="T8627" s="219">
        <f t="shared" si="5556"/>
        <v>0</v>
      </c>
      <c r="U8627" s="87"/>
      <c r="V8627" s="47"/>
      <c r="W8627" s="48"/>
      <c r="X8627" s="48"/>
      <c r="Y8627" s="48"/>
      <c r="Z8627" s="135"/>
      <c r="AA8627" s="49"/>
      <c r="AB8627" s="50">
        <f t="shared" si="5557"/>
        <v>0</v>
      </c>
      <c r="AC8627" s="42">
        <f t="shared" si="5558"/>
        <v>9.9999999999999998E-20</v>
      </c>
      <c r="AD8627" s="90"/>
      <c r="AE8627" s="188"/>
      <c r="AF8627" s="189"/>
      <c r="AG8627" s="189"/>
      <c r="AH8627" s="189"/>
      <c r="AI8627" s="161"/>
    </row>
    <row r="8628" spans="1:41" ht="20.100000000000001" customHeight="1" x14ac:dyDescent="0.25">
      <c r="A8628" s="277" t="s">
        <v>703</v>
      </c>
      <c r="B8628" s="278"/>
      <c r="C8628" s="64" t="s">
        <v>765</v>
      </c>
      <c r="D8628" s="46"/>
      <c r="E8628" s="114"/>
      <c r="F8628" s="44">
        <v>0</v>
      </c>
      <c r="G8628" s="44">
        <f t="shared" si="5545"/>
        <v>0</v>
      </c>
      <c r="H8628" s="44">
        <f t="shared" si="5546"/>
        <v>0</v>
      </c>
      <c r="I8628" s="43">
        <f t="shared" si="5547"/>
        <v>0</v>
      </c>
      <c r="J8628" s="112">
        <f t="shared" si="5548"/>
        <v>0</v>
      </c>
      <c r="K8628" s="211">
        <f t="shared" si="5549"/>
        <v>0</v>
      </c>
      <c r="L8628" s="44"/>
      <c r="M8628" s="44">
        <f t="shared" si="5550"/>
        <v>0</v>
      </c>
      <c r="N8628" s="173">
        <f t="shared" si="5551"/>
        <v>0</v>
      </c>
      <c r="O8628" s="44">
        <f t="shared" si="5552"/>
        <v>0</v>
      </c>
      <c r="P8628" s="44">
        <f t="shared" si="5553"/>
        <v>0</v>
      </c>
      <c r="Q8628" s="44">
        <f t="shared" si="5554"/>
        <v>0</v>
      </c>
      <c r="R8628" s="44">
        <f t="shared" si="5555"/>
        <v>0</v>
      </c>
      <c r="S8628" s="123"/>
      <c r="T8628" s="219">
        <f t="shared" si="5556"/>
        <v>0</v>
      </c>
      <c r="U8628" s="87"/>
      <c r="V8628" s="47"/>
      <c r="W8628" s="48"/>
      <c r="X8628" s="48"/>
      <c r="Y8628" s="48"/>
      <c r="Z8628" s="135"/>
      <c r="AA8628" s="49"/>
      <c r="AB8628" s="50">
        <f t="shared" si="5557"/>
        <v>0</v>
      </c>
      <c r="AC8628" s="42">
        <f t="shared" si="5558"/>
        <v>9.9999999999999998E-20</v>
      </c>
      <c r="AD8628" s="90"/>
      <c r="AE8628" s="188"/>
      <c r="AF8628" s="189"/>
      <c r="AG8628" s="189"/>
      <c r="AH8628" s="189"/>
      <c r="AI8628" s="161"/>
    </row>
    <row r="8629" spans="1:41" ht="20.100000000000001" customHeight="1" x14ac:dyDescent="0.25">
      <c r="A8629" s="277" t="s">
        <v>703</v>
      </c>
      <c r="B8629" s="278"/>
      <c r="C8629" s="64" t="s">
        <v>679</v>
      </c>
      <c r="D8629" s="46" t="s">
        <v>201</v>
      </c>
      <c r="E8629" s="114"/>
      <c r="F8629" s="44">
        <v>0</v>
      </c>
      <c r="G8629" s="44">
        <f t="shared" si="5545"/>
        <v>0</v>
      </c>
      <c r="H8629" s="44">
        <f t="shared" si="5546"/>
        <v>0</v>
      </c>
      <c r="I8629" s="43">
        <f t="shared" si="5547"/>
        <v>0</v>
      </c>
      <c r="J8629" s="112">
        <f t="shared" si="5548"/>
        <v>0</v>
      </c>
      <c r="K8629" s="211">
        <f t="shared" si="5549"/>
        <v>0</v>
      </c>
      <c r="L8629" s="44"/>
      <c r="M8629" s="44">
        <f t="shared" si="5550"/>
        <v>0</v>
      </c>
      <c r="N8629" s="173">
        <f t="shared" si="5551"/>
        <v>0</v>
      </c>
      <c r="O8629" s="44">
        <f t="shared" si="5552"/>
        <v>0</v>
      </c>
      <c r="P8629" s="44">
        <f t="shared" si="5553"/>
        <v>0</v>
      </c>
      <c r="Q8629" s="44">
        <f t="shared" si="5554"/>
        <v>0</v>
      </c>
      <c r="R8629" s="44">
        <f t="shared" si="5555"/>
        <v>0</v>
      </c>
      <c r="S8629" s="123"/>
      <c r="T8629" s="219">
        <f t="shared" si="5556"/>
        <v>0</v>
      </c>
      <c r="U8629" s="87"/>
      <c r="V8629" s="47"/>
      <c r="W8629" s="48"/>
      <c r="X8629" s="48"/>
      <c r="Y8629" s="48"/>
      <c r="Z8629" s="135"/>
      <c r="AA8629" s="49"/>
      <c r="AB8629" s="50">
        <f t="shared" si="5557"/>
        <v>0</v>
      </c>
      <c r="AC8629" s="42">
        <f t="shared" si="5558"/>
        <v>9.9999999999999998E-20</v>
      </c>
      <c r="AD8629" s="90"/>
      <c r="AE8629" s="188"/>
      <c r="AF8629" s="189"/>
      <c r="AG8629" s="189"/>
      <c r="AH8629" s="189"/>
      <c r="AI8629" s="161"/>
    </row>
    <row r="8630" spans="1:41" ht="20.100000000000001" customHeight="1" x14ac:dyDescent="0.25">
      <c r="A8630" s="277" t="s">
        <v>703</v>
      </c>
      <c r="B8630" s="278"/>
      <c r="C8630" s="64" t="s">
        <v>792</v>
      </c>
      <c r="D8630" s="46"/>
      <c r="E8630" s="114"/>
      <c r="F8630" s="44">
        <v>0</v>
      </c>
      <c r="G8630" s="44">
        <f t="shared" si="5545"/>
        <v>0</v>
      </c>
      <c r="H8630" s="44">
        <f t="shared" si="5546"/>
        <v>0</v>
      </c>
      <c r="I8630" s="43">
        <f t="shared" si="5547"/>
        <v>0</v>
      </c>
      <c r="J8630" s="112">
        <f t="shared" si="5548"/>
        <v>0</v>
      </c>
      <c r="K8630" s="211">
        <f t="shared" si="5549"/>
        <v>0</v>
      </c>
      <c r="L8630" s="44"/>
      <c r="M8630" s="44">
        <f t="shared" si="5550"/>
        <v>0</v>
      </c>
      <c r="N8630" s="173">
        <f t="shared" si="5551"/>
        <v>0</v>
      </c>
      <c r="O8630" s="44">
        <f t="shared" si="5552"/>
        <v>0</v>
      </c>
      <c r="P8630" s="44">
        <f t="shared" si="5553"/>
        <v>0</v>
      </c>
      <c r="Q8630" s="44">
        <f t="shared" si="5554"/>
        <v>0</v>
      </c>
      <c r="R8630" s="44">
        <f t="shared" si="5555"/>
        <v>0</v>
      </c>
      <c r="S8630" s="123"/>
      <c r="T8630" s="219">
        <f t="shared" si="5556"/>
        <v>0</v>
      </c>
      <c r="U8630" s="87"/>
      <c r="V8630" s="47"/>
      <c r="W8630" s="48"/>
      <c r="X8630" s="48"/>
      <c r="Y8630" s="48"/>
      <c r="Z8630" s="135"/>
      <c r="AA8630" s="49"/>
      <c r="AB8630" s="50">
        <f t="shared" si="5557"/>
        <v>0</v>
      </c>
      <c r="AC8630" s="42">
        <f t="shared" si="5558"/>
        <v>9.9999999999999998E-20</v>
      </c>
      <c r="AD8630" s="90"/>
      <c r="AE8630" s="188"/>
      <c r="AF8630" s="189"/>
      <c r="AG8630" s="189"/>
      <c r="AH8630" s="189"/>
      <c r="AI8630" s="161"/>
    </row>
    <row r="8631" spans="1:41" s="102" customFormat="1" ht="90" x14ac:dyDescent="0.25">
      <c r="A8631" s="45" t="s">
        <v>703</v>
      </c>
      <c r="B8631" s="276"/>
      <c r="C8631" s="286" t="s">
        <v>793</v>
      </c>
      <c r="D8631" s="59"/>
      <c r="E8631" s="116"/>
      <c r="F8631" s="120"/>
      <c r="G8631" s="120"/>
      <c r="H8631" s="120"/>
      <c r="I8631" s="60"/>
      <c r="J8631" s="116"/>
      <c r="K8631" s="213"/>
      <c r="L8631" s="120"/>
      <c r="M8631" s="120"/>
      <c r="N8631" s="167"/>
      <c r="O8631" s="120"/>
      <c r="P8631" s="120"/>
      <c r="Q8631" s="120"/>
      <c r="R8631" s="120"/>
      <c r="S8631" s="120"/>
      <c r="T8631" s="221"/>
      <c r="U8631" s="89"/>
      <c r="V8631" s="61"/>
      <c r="W8631" s="92"/>
      <c r="X8631" s="38"/>
      <c r="Y8631" s="93"/>
      <c r="Z8631" s="134"/>
      <c r="AA8631" s="93"/>
      <c r="AB8631" s="93"/>
      <c r="AC8631" s="93"/>
      <c r="AD8631" s="94"/>
      <c r="AE8631" s="190"/>
      <c r="AF8631" s="191"/>
      <c r="AG8631" s="191"/>
      <c r="AH8631" s="191"/>
      <c r="AI8631" s="186"/>
      <c r="AK8631" s="171"/>
    </row>
    <row r="8632" spans="1:41" s="102" customFormat="1" ht="20.100000000000001" customHeight="1" x14ac:dyDescent="0.25">
      <c r="A8632" s="45" t="s">
        <v>703</v>
      </c>
      <c r="B8632" s="276"/>
      <c r="C8632" s="286" t="s">
        <v>794</v>
      </c>
      <c r="D8632" s="59"/>
      <c r="E8632" s="116"/>
      <c r="F8632" s="120"/>
      <c r="G8632" s="120"/>
      <c r="H8632" s="120"/>
      <c r="I8632" s="60"/>
      <c r="J8632" s="116"/>
      <c r="K8632" s="213"/>
      <c r="L8632" s="120"/>
      <c r="M8632" s="120"/>
      <c r="N8632" s="167"/>
      <c r="O8632" s="120"/>
      <c r="P8632" s="120"/>
      <c r="Q8632" s="120"/>
      <c r="R8632" s="120"/>
      <c r="S8632" s="120"/>
      <c r="T8632" s="221"/>
      <c r="U8632" s="89"/>
      <c r="V8632" s="61"/>
      <c r="W8632" s="92"/>
      <c r="X8632" s="38"/>
      <c r="Y8632" s="93"/>
      <c r="Z8632" s="134"/>
      <c r="AA8632" s="93"/>
      <c r="AB8632" s="93"/>
      <c r="AC8632" s="93"/>
      <c r="AD8632" s="94"/>
      <c r="AE8632" s="190"/>
      <c r="AF8632" s="191"/>
      <c r="AG8632" s="191"/>
      <c r="AH8632" s="191"/>
      <c r="AI8632" s="186"/>
      <c r="AK8632" s="171"/>
    </row>
    <row r="8633" spans="1:41" ht="20.100000000000001" customHeight="1" x14ac:dyDescent="0.25">
      <c r="A8633" s="277" t="s">
        <v>703</v>
      </c>
      <c r="B8633" s="278"/>
      <c r="C8633" s="64" t="s">
        <v>795</v>
      </c>
      <c r="D8633" s="46" t="s">
        <v>97</v>
      </c>
      <c r="E8633" s="114">
        <v>395.1</v>
      </c>
      <c r="F8633" s="44">
        <v>1856</v>
      </c>
      <c r="G8633" s="44">
        <f t="shared" si="5545"/>
        <v>733305.60000000009</v>
      </c>
      <c r="H8633" s="44">
        <f t="shared" si="5546"/>
        <v>2291.0392470588235</v>
      </c>
      <c r="I8633" s="43">
        <f t="shared" si="5547"/>
        <v>905189.60651294119</v>
      </c>
      <c r="J8633" s="112">
        <f t="shared" si="5548"/>
        <v>395.1</v>
      </c>
      <c r="K8633" s="211">
        <f t="shared" si="5549"/>
        <v>395.1</v>
      </c>
      <c r="L8633" s="44"/>
      <c r="M8633" s="44">
        <f t="shared" si="5550"/>
        <v>395.1</v>
      </c>
      <c r="N8633" s="173">
        <f t="shared" si="5551"/>
        <v>1</v>
      </c>
      <c r="O8633" s="44">
        <f t="shared" si="5552"/>
        <v>1856</v>
      </c>
      <c r="P8633" s="44">
        <f t="shared" si="5553"/>
        <v>733305.60000000009</v>
      </c>
      <c r="Q8633" s="44">
        <f t="shared" si="5554"/>
        <v>2291.0392470588235</v>
      </c>
      <c r="R8633" s="44">
        <f t="shared" si="5555"/>
        <v>905189.60651294119</v>
      </c>
      <c r="S8633" s="123"/>
      <c r="T8633" s="219">
        <f t="shared" si="5556"/>
        <v>905189.60651294119</v>
      </c>
      <c r="U8633" s="87"/>
      <c r="V8633" s="47"/>
      <c r="W8633" s="48"/>
      <c r="X8633" s="48"/>
      <c r="Y8633" s="48"/>
      <c r="Z8633" s="135"/>
      <c r="AA8633" s="49"/>
      <c r="AB8633" s="50">
        <f t="shared" si="5557"/>
        <v>2291.0392470588235</v>
      </c>
      <c r="AC8633" s="42">
        <f t="shared" si="5558"/>
        <v>395.1</v>
      </c>
      <c r="AD8633" s="90">
        <f>AD8634+AD8639+AD8648+AD8650</f>
        <v>905189.60651294119</v>
      </c>
      <c r="AE8633" s="188">
        <f t="shared" ref="AE8633:AH8633" si="5913">AE8634+AE8639+AE8648+AE8650</f>
        <v>0</v>
      </c>
      <c r="AF8633" s="189">
        <f t="shared" si="5913"/>
        <v>0</v>
      </c>
      <c r="AG8633" s="189">
        <f t="shared" si="5913"/>
        <v>0</v>
      </c>
      <c r="AH8633" s="189">
        <f t="shared" si="5913"/>
        <v>0</v>
      </c>
      <c r="AI8633" s="161">
        <f t="shared" ref="AI8633" si="5914">SUM(AE8633:AH8633)</f>
        <v>0</v>
      </c>
      <c r="AK8633" s="169">
        <v>5</v>
      </c>
      <c r="AO8633" s="19" t="s">
        <v>63</v>
      </c>
    </row>
    <row r="8634" spans="1:41" s="103" customFormat="1" ht="19.899999999999999" customHeight="1" x14ac:dyDescent="0.25">
      <c r="A8634" s="51"/>
      <c r="B8634" s="52"/>
      <c r="C8634" s="165"/>
      <c r="D8634" s="52"/>
      <c r="E8634" s="115"/>
      <c r="F8634" s="58"/>
      <c r="G8634" s="58"/>
      <c r="H8634" s="58"/>
      <c r="I8634" s="55"/>
      <c r="J8634" s="113">
        <f>J8633</f>
        <v>395.1</v>
      </c>
      <c r="K8634" s="212">
        <f>K8633</f>
        <v>395.1</v>
      </c>
      <c r="L8634" s="58"/>
      <c r="M8634" s="58">
        <f>K8634-L8634</f>
        <v>395.1</v>
      </c>
      <c r="N8634" s="166"/>
      <c r="O8634" s="58"/>
      <c r="P8634" s="58"/>
      <c r="Q8634" s="58"/>
      <c r="R8634" s="58"/>
      <c r="S8634" s="58"/>
      <c r="T8634" s="220"/>
      <c r="U8634" s="88"/>
      <c r="V8634" s="56"/>
      <c r="W8634" s="57" t="s">
        <v>1484</v>
      </c>
      <c r="X8634" s="53"/>
      <c r="Y8634" s="91" t="s">
        <v>68</v>
      </c>
      <c r="Z8634" s="136">
        <f>AD8634/AC8634</f>
        <v>15.727199999999998</v>
      </c>
      <c r="AA8634" s="58"/>
      <c r="AB8634" s="53">
        <f>AD8634/AC8634</f>
        <v>15.727199999999998</v>
      </c>
      <c r="AC8634" s="53">
        <f>M8634+$AE$10</f>
        <v>395.1</v>
      </c>
      <c r="AD8634" s="54">
        <f>SUM(AD8635:AD8638)</f>
        <v>6213.8167199999998</v>
      </c>
      <c r="AE8634" s="184">
        <f>SUMIFS($AD$37:$AD$12971,$V$37:$V$12971,$V8634,$X$37:$X$12971,AE$13)</f>
        <v>0</v>
      </c>
      <c r="AF8634" s="185">
        <f>SUMIFS($AD$37:$AD$12971,$V$37:$V$12971,$V8634,$X$37:$X$12971,AF$13)</f>
        <v>0</v>
      </c>
      <c r="AG8634" s="185">
        <f>SUMIFS($AD$37:$AD$12971,$V$37:$V$12971,$V8634,$X$37:$X$12971,AG$13)</f>
        <v>0</v>
      </c>
      <c r="AH8634" s="187">
        <f>SUMIFS($AD$37:$AD$12971,$V$37:$V$12971,$V8634,$X$37:$X$12971,AH$13)</f>
        <v>0</v>
      </c>
      <c r="AI8634" s="161">
        <f t="shared" ref="AI8634" si="5915">SUM(AE8634:AH8634)</f>
        <v>0</v>
      </c>
      <c r="AK8634" s="172"/>
    </row>
    <row r="8635" spans="1:41" s="102" customFormat="1" ht="19.899999999999999" customHeight="1" x14ac:dyDescent="0.25">
      <c r="A8635" s="45"/>
      <c r="B8635" s="59"/>
      <c r="C8635" s="137"/>
      <c r="D8635" s="59"/>
      <c r="E8635" s="116"/>
      <c r="F8635" s="120"/>
      <c r="G8635" s="120"/>
      <c r="H8635" s="120"/>
      <c r="I8635" s="60"/>
      <c r="J8635" s="116"/>
      <c r="K8635" s="213"/>
      <c r="L8635" s="120"/>
      <c r="M8635" s="120"/>
      <c r="N8635" s="167"/>
      <c r="O8635" s="120"/>
      <c r="P8635" s="120"/>
      <c r="Q8635" s="120"/>
      <c r="R8635" s="120"/>
      <c r="S8635" s="120"/>
      <c r="T8635" s="221"/>
      <c r="U8635" s="89"/>
      <c r="V8635" s="61"/>
      <c r="W8635" s="92" t="s">
        <v>129</v>
      </c>
      <c r="X8635" s="93" t="s">
        <v>29</v>
      </c>
      <c r="Y8635" s="93" t="s">
        <v>93</v>
      </c>
      <c r="Z8635" s="134">
        <f>VLOOKUP(W8635,Sheet2!$B:$D,3,FALSE)</f>
        <v>56</v>
      </c>
      <c r="AA8635" s="93">
        <f>120/(3.4*1.5)</f>
        <v>23.529411764705884</v>
      </c>
      <c r="AB8635" s="93">
        <f t="shared" ref="AB8635" si="5916">AD8635/AC8634</f>
        <v>2.38</v>
      </c>
      <c r="AC8635" s="93">
        <f>AC8634/AA8635</f>
        <v>16.79175</v>
      </c>
      <c r="AD8635" s="94">
        <f t="shared" ref="AD8635:AD8636" si="5917">AC8635*Z8635</f>
        <v>940.33799999999997</v>
      </c>
      <c r="AE8635" s="190"/>
      <c r="AF8635" s="191"/>
      <c r="AG8635" s="191"/>
      <c r="AH8635" s="191"/>
      <c r="AI8635" s="186"/>
      <c r="AK8635" s="171"/>
    </row>
    <row r="8636" spans="1:41" s="102" customFormat="1" ht="19.899999999999999" customHeight="1" x14ac:dyDescent="0.25">
      <c r="A8636" s="45"/>
      <c r="B8636" s="59"/>
      <c r="C8636" s="137"/>
      <c r="D8636" s="59"/>
      <c r="E8636" s="116"/>
      <c r="F8636" s="120"/>
      <c r="G8636" s="120"/>
      <c r="H8636" s="120"/>
      <c r="I8636" s="60"/>
      <c r="J8636" s="116"/>
      <c r="K8636" s="213"/>
      <c r="L8636" s="120"/>
      <c r="M8636" s="120"/>
      <c r="N8636" s="167"/>
      <c r="O8636" s="120"/>
      <c r="P8636" s="120"/>
      <c r="Q8636" s="120"/>
      <c r="R8636" s="120"/>
      <c r="S8636" s="120"/>
      <c r="T8636" s="221"/>
      <c r="U8636" s="89"/>
      <c r="V8636" s="61"/>
      <c r="W8636" s="92" t="s">
        <v>65</v>
      </c>
      <c r="X8636" s="93" t="s">
        <v>30</v>
      </c>
      <c r="Y8636" s="93" t="s">
        <v>1011</v>
      </c>
      <c r="Z8636" s="134">
        <f>VLOOKUP(W8636,Sheet2!$B:$D,3,FALSE)</f>
        <v>1.76</v>
      </c>
      <c r="AA8636" s="93">
        <f>AA8635/14</f>
        <v>1.680672268907563</v>
      </c>
      <c r="AB8636" s="93">
        <f>AD8636/AC8634</f>
        <v>1.0472000000000001</v>
      </c>
      <c r="AC8636" s="93">
        <f>AC8634/AA8636</f>
        <v>235.08450000000002</v>
      </c>
      <c r="AD8636" s="94">
        <f t="shared" si="5917"/>
        <v>413.74872000000005</v>
      </c>
      <c r="AE8636" s="190"/>
      <c r="AF8636" s="191"/>
      <c r="AG8636" s="191"/>
      <c r="AH8636" s="191"/>
      <c r="AI8636" s="186"/>
      <c r="AK8636" s="171"/>
    </row>
    <row r="8637" spans="1:41" s="102" customFormat="1" ht="19.899999999999999" customHeight="1" x14ac:dyDescent="0.25">
      <c r="A8637" s="45"/>
      <c r="B8637" s="59"/>
      <c r="C8637" s="137"/>
      <c r="D8637" s="59"/>
      <c r="E8637" s="116"/>
      <c r="F8637" s="120"/>
      <c r="G8637" s="120"/>
      <c r="H8637" s="120"/>
      <c r="I8637" s="60"/>
      <c r="J8637" s="116"/>
      <c r="K8637" s="213"/>
      <c r="L8637" s="120"/>
      <c r="M8637" s="120"/>
      <c r="N8637" s="167"/>
      <c r="O8637" s="120"/>
      <c r="P8637" s="120"/>
      <c r="Q8637" s="120"/>
      <c r="R8637" s="120"/>
      <c r="S8637" s="120"/>
      <c r="T8637" s="221"/>
      <c r="U8637" s="89"/>
      <c r="V8637" s="61"/>
      <c r="W8637" s="92" t="s">
        <v>161</v>
      </c>
      <c r="X8637" s="93" t="s">
        <v>29</v>
      </c>
      <c r="Y8637" s="93" t="s">
        <v>93</v>
      </c>
      <c r="Z8637" s="134">
        <f>VLOOKUP(W8637,Sheet2!$B:$D,3,FALSE)</f>
        <v>48</v>
      </c>
      <c r="AA8637" s="93">
        <f>(16*0.85*2)/(3.4*1.5)</f>
        <v>5.3333333333333339</v>
      </c>
      <c r="AB8637" s="93">
        <f>AD8637/AC8634</f>
        <v>8.9999999999999982</v>
      </c>
      <c r="AC8637" s="93">
        <f>AC8634/AA8637</f>
        <v>74.081249999999997</v>
      </c>
      <c r="AD8637" s="94">
        <f>AC8637*Z8637</f>
        <v>3555.8999999999996</v>
      </c>
      <c r="AE8637" s="190"/>
      <c r="AF8637" s="191"/>
      <c r="AG8637" s="191"/>
      <c r="AH8637" s="191"/>
      <c r="AI8637" s="186"/>
      <c r="AK8637" s="171"/>
    </row>
    <row r="8638" spans="1:41" s="102" customFormat="1" ht="19.899999999999999" customHeight="1" x14ac:dyDescent="0.25">
      <c r="A8638" s="45"/>
      <c r="B8638" s="59"/>
      <c r="C8638" s="137"/>
      <c r="D8638" s="59"/>
      <c r="E8638" s="116"/>
      <c r="F8638" s="120"/>
      <c r="G8638" s="120"/>
      <c r="H8638" s="120"/>
      <c r="I8638" s="60"/>
      <c r="J8638" s="116"/>
      <c r="K8638" s="213"/>
      <c r="L8638" s="120"/>
      <c r="M8638" s="120"/>
      <c r="N8638" s="167"/>
      <c r="O8638" s="120"/>
      <c r="P8638" s="120"/>
      <c r="Q8638" s="120"/>
      <c r="R8638" s="120"/>
      <c r="S8638" s="120"/>
      <c r="T8638" s="221"/>
      <c r="U8638" s="89"/>
      <c r="V8638" s="61"/>
      <c r="W8638" s="92" t="s">
        <v>65</v>
      </c>
      <c r="X8638" s="93" t="s">
        <v>30</v>
      </c>
      <c r="Y8638" s="93" t="s">
        <v>1011</v>
      </c>
      <c r="Z8638" s="134">
        <f>VLOOKUP(W8638,Sheet2!$B:$D,3,FALSE)</f>
        <v>1.76</v>
      </c>
      <c r="AA8638" s="93">
        <f>AA8637/10</f>
        <v>0.53333333333333344</v>
      </c>
      <c r="AB8638" s="93">
        <f>AD8638/AC8634</f>
        <v>3.2999999999999989</v>
      </c>
      <c r="AC8638" s="93">
        <f>AC8634/AA8638</f>
        <v>740.81249999999989</v>
      </c>
      <c r="AD8638" s="94">
        <f>AC8638*Z8638</f>
        <v>1303.8299999999997</v>
      </c>
      <c r="AE8638" s="190"/>
      <c r="AF8638" s="191"/>
      <c r="AG8638" s="191"/>
      <c r="AH8638" s="191"/>
      <c r="AI8638" s="186"/>
      <c r="AK8638" s="171"/>
    </row>
    <row r="8639" spans="1:41" s="103" customFormat="1" ht="19.899999999999999" customHeight="1" x14ac:dyDescent="0.25">
      <c r="A8639" s="51"/>
      <c r="B8639" s="52"/>
      <c r="C8639" s="165"/>
      <c r="D8639" s="52"/>
      <c r="E8639" s="115"/>
      <c r="F8639" s="58"/>
      <c r="G8639" s="58"/>
      <c r="H8639" s="58"/>
      <c r="I8639" s="55"/>
      <c r="J8639" s="113">
        <f>J8633</f>
        <v>395.1</v>
      </c>
      <c r="K8639" s="212">
        <f>K8633</f>
        <v>395.1</v>
      </c>
      <c r="L8639" s="58"/>
      <c r="M8639" s="58">
        <f>K8639-L8639</f>
        <v>395.1</v>
      </c>
      <c r="N8639" s="166"/>
      <c r="O8639" s="58"/>
      <c r="P8639" s="58"/>
      <c r="Q8639" s="58"/>
      <c r="R8639" s="58"/>
      <c r="S8639" s="58"/>
      <c r="T8639" s="220"/>
      <c r="U8639" s="88"/>
      <c r="V8639" s="56"/>
      <c r="W8639" s="57" t="s">
        <v>1483</v>
      </c>
      <c r="X8639" s="53"/>
      <c r="Y8639" s="91" t="s">
        <v>68</v>
      </c>
      <c r="Z8639" s="136">
        <f>AD8639/AC8639</f>
        <v>2219.9899999999998</v>
      </c>
      <c r="AA8639" s="58"/>
      <c r="AB8639" s="53">
        <f>AD8639/AC8639</f>
        <v>2219.9899999999998</v>
      </c>
      <c r="AC8639" s="53">
        <f>M8639+$AE$10</f>
        <v>395.1</v>
      </c>
      <c r="AD8639" s="54">
        <f>SUM(AD8640:AD8647)</f>
        <v>877118.049</v>
      </c>
      <c r="AE8639" s="184">
        <f>SUMIFS($AD$37:$AD$12971,$V$37:$V$12971,$V8639,$X$37:$X$12971,AE$13)</f>
        <v>0</v>
      </c>
      <c r="AF8639" s="185">
        <f>SUMIFS($AD$37:$AD$12971,$V$37:$V$12971,$V8639,$X$37:$X$12971,AF$13)</f>
        <v>0</v>
      </c>
      <c r="AG8639" s="185">
        <f>SUMIFS($AD$37:$AD$12971,$V$37:$V$12971,$V8639,$X$37:$X$12971,AG$13)</f>
        <v>0</v>
      </c>
      <c r="AH8639" s="187">
        <f>SUMIFS($AD$37:$AD$12971,$V$37:$V$12971,$V8639,$X$37:$X$12971,AH$13)</f>
        <v>0</v>
      </c>
      <c r="AI8639" s="161">
        <f t="shared" ref="AI8639" si="5918">SUM(AE8639:AH8639)</f>
        <v>0</v>
      </c>
      <c r="AK8639" s="172"/>
    </row>
    <row r="8640" spans="1:41" s="102" customFormat="1" ht="19.899999999999999" customHeight="1" x14ac:dyDescent="0.25">
      <c r="A8640" s="45"/>
      <c r="B8640" s="59"/>
      <c r="C8640" s="137"/>
      <c r="D8640" s="59"/>
      <c r="E8640" s="116"/>
      <c r="F8640" s="120"/>
      <c r="G8640" s="120"/>
      <c r="H8640" s="120"/>
      <c r="I8640" s="60"/>
      <c r="J8640" s="116"/>
      <c r="K8640" s="213"/>
      <c r="L8640" s="120"/>
      <c r="M8640" s="120"/>
      <c r="N8640" s="167"/>
      <c r="O8640" s="120"/>
      <c r="P8640" s="120"/>
      <c r="Q8640" s="120"/>
      <c r="R8640" s="120"/>
      <c r="S8640" s="120"/>
      <c r="T8640" s="221"/>
      <c r="U8640" s="89"/>
      <c r="V8640" s="61"/>
      <c r="W8640" s="92" t="s">
        <v>1032</v>
      </c>
      <c r="X8640" s="93" t="s">
        <v>30</v>
      </c>
      <c r="Y8640" s="93" t="s">
        <v>66</v>
      </c>
      <c r="Z8640" s="134">
        <f>VLOOKUP(W8640,Sheet2!$B:$D,3,FALSE)</f>
        <v>250</v>
      </c>
      <c r="AA8640" s="93">
        <f>1/(2.5*0.075)</f>
        <v>5.333333333333333</v>
      </c>
      <c r="AB8640" s="93">
        <f t="shared" ref="AB8640" si="5919">AD8640/AC8639</f>
        <v>46.875000000000007</v>
      </c>
      <c r="AC8640" s="93">
        <f>AC8639/AA8640</f>
        <v>74.081250000000011</v>
      </c>
      <c r="AD8640" s="94">
        <f t="shared" ref="AD8640:AD8642" si="5920">AC8640*Z8640</f>
        <v>18520.312500000004</v>
      </c>
      <c r="AE8640" s="190"/>
      <c r="AF8640" s="191"/>
      <c r="AG8640" s="191"/>
      <c r="AH8640" s="191"/>
      <c r="AI8640" s="186"/>
      <c r="AK8640" s="171"/>
    </row>
    <row r="8641" spans="1:37" s="102" customFormat="1" ht="19.899999999999999" customHeight="1" x14ac:dyDescent="0.25">
      <c r="A8641" s="45"/>
      <c r="B8641" s="59"/>
      <c r="C8641" s="137"/>
      <c r="D8641" s="59"/>
      <c r="E8641" s="116"/>
      <c r="F8641" s="120"/>
      <c r="G8641" s="120"/>
      <c r="H8641" s="120"/>
      <c r="I8641" s="60"/>
      <c r="J8641" s="116"/>
      <c r="K8641" s="213"/>
      <c r="L8641" s="120"/>
      <c r="M8641" s="120"/>
      <c r="N8641" s="167"/>
      <c r="O8641" s="120"/>
      <c r="P8641" s="120"/>
      <c r="Q8641" s="120"/>
      <c r="R8641" s="120"/>
      <c r="S8641" s="120"/>
      <c r="T8641" s="221"/>
      <c r="U8641" s="89"/>
      <c r="V8641" s="61"/>
      <c r="W8641" s="92" t="s">
        <v>1353</v>
      </c>
      <c r="X8641" s="93" t="s">
        <v>30</v>
      </c>
      <c r="Y8641" s="93" t="s">
        <v>66</v>
      </c>
      <c r="Z8641" s="134">
        <f>VLOOKUP(W8641,Sheet2!$B:$D,3,FALSE)</f>
        <v>350</v>
      </c>
      <c r="AA8641" s="93">
        <f>1/((2.4*1.2)-(3.14*0.6*0.6*2/4))</f>
        <v>0.43200276481769484</v>
      </c>
      <c r="AB8641" s="93">
        <f>AD8641/AC8639</f>
        <v>810.18</v>
      </c>
      <c r="AC8641" s="93">
        <f>AC8639/AA8641</f>
        <v>914.57748000000004</v>
      </c>
      <c r="AD8641" s="94">
        <f t="shared" si="5920"/>
        <v>320102.11800000002</v>
      </c>
      <c r="AE8641" s="190"/>
      <c r="AF8641" s="191"/>
      <c r="AG8641" s="191"/>
      <c r="AH8641" s="191"/>
      <c r="AI8641" s="186"/>
      <c r="AK8641" s="171"/>
    </row>
    <row r="8642" spans="1:37" s="102" customFormat="1" ht="19.899999999999999" customHeight="1" x14ac:dyDescent="0.25">
      <c r="A8642" s="45"/>
      <c r="B8642" s="59"/>
      <c r="C8642" s="137"/>
      <c r="D8642" s="59"/>
      <c r="E8642" s="116"/>
      <c r="F8642" s="120"/>
      <c r="G8642" s="120"/>
      <c r="H8642" s="120"/>
      <c r="I8642" s="60"/>
      <c r="J8642" s="116"/>
      <c r="K8642" s="213"/>
      <c r="L8642" s="120"/>
      <c r="M8642" s="120"/>
      <c r="N8642" s="167"/>
      <c r="O8642" s="120"/>
      <c r="P8642" s="120"/>
      <c r="Q8642" s="120"/>
      <c r="R8642" s="120"/>
      <c r="S8642" s="120"/>
      <c r="T8642" s="221"/>
      <c r="U8642" s="89"/>
      <c r="V8642" s="61"/>
      <c r="W8642" s="92" t="s">
        <v>99</v>
      </c>
      <c r="X8642" s="93" t="s">
        <v>30</v>
      </c>
      <c r="Y8642" s="93" t="s">
        <v>67</v>
      </c>
      <c r="Z8642" s="134">
        <f>VLOOKUP(W8642,Sheet2!$B:$D,3,FALSE)</f>
        <v>2500</v>
      </c>
      <c r="AA8642" s="93">
        <f>AA8641/0.07</f>
        <v>6.1714680688242112</v>
      </c>
      <c r="AB8642" s="93">
        <f>AD8642/AC8639</f>
        <v>405.09000000000009</v>
      </c>
      <c r="AC8642" s="93">
        <f>AC8639/AA8642</f>
        <v>64.020423600000015</v>
      </c>
      <c r="AD8642" s="94">
        <f t="shared" si="5920"/>
        <v>160051.05900000004</v>
      </c>
      <c r="AE8642" s="190"/>
      <c r="AF8642" s="191"/>
      <c r="AG8642" s="191"/>
      <c r="AH8642" s="191"/>
      <c r="AI8642" s="186"/>
      <c r="AK8642" s="171"/>
    </row>
    <row r="8643" spans="1:37" s="102" customFormat="1" ht="19.899999999999999" customHeight="1" x14ac:dyDescent="0.25">
      <c r="A8643" s="45"/>
      <c r="B8643" s="59"/>
      <c r="C8643" s="137"/>
      <c r="D8643" s="59"/>
      <c r="E8643" s="116"/>
      <c r="F8643" s="120"/>
      <c r="G8643" s="120"/>
      <c r="H8643" s="120"/>
      <c r="I8643" s="60"/>
      <c r="J8643" s="116"/>
      <c r="K8643" s="213"/>
      <c r="L8643" s="120"/>
      <c r="M8643" s="120"/>
      <c r="N8643" s="167"/>
      <c r="O8643" s="120"/>
      <c r="P8643" s="120"/>
      <c r="Q8643" s="120"/>
      <c r="R8643" s="120"/>
      <c r="S8643" s="120"/>
      <c r="T8643" s="221"/>
      <c r="U8643" s="89"/>
      <c r="V8643" s="61"/>
      <c r="W8643" s="92" t="s">
        <v>1354</v>
      </c>
      <c r="X8643" s="93" t="s">
        <v>32</v>
      </c>
      <c r="Y8643" s="93" t="s">
        <v>66</v>
      </c>
      <c r="Z8643" s="134">
        <f>VLOOKUP(W8643,Sheet2!$B:$D,3,FALSE)</f>
        <v>150</v>
      </c>
      <c r="AA8643" s="93">
        <f>AA8640</f>
        <v>5.333333333333333</v>
      </c>
      <c r="AB8643" s="93">
        <f>AD8643/AC8639</f>
        <v>28.125000000000004</v>
      </c>
      <c r="AC8643" s="93">
        <f>AC8639/AA8643</f>
        <v>74.081250000000011</v>
      </c>
      <c r="AD8643" s="94">
        <f>AC8643*Z8643</f>
        <v>11112.187500000002</v>
      </c>
      <c r="AE8643" s="190"/>
      <c r="AF8643" s="191"/>
      <c r="AG8643" s="191"/>
      <c r="AH8643" s="191"/>
      <c r="AI8643" s="186"/>
      <c r="AK8643" s="171"/>
    </row>
    <row r="8644" spans="1:37" s="102" customFormat="1" ht="19.899999999999999" customHeight="1" x14ac:dyDescent="0.25">
      <c r="A8644" s="45"/>
      <c r="B8644" s="59"/>
      <c r="C8644" s="137"/>
      <c r="D8644" s="59"/>
      <c r="E8644" s="116"/>
      <c r="F8644" s="120"/>
      <c r="G8644" s="120"/>
      <c r="H8644" s="120"/>
      <c r="I8644" s="60"/>
      <c r="J8644" s="116"/>
      <c r="K8644" s="213"/>
      <c r="L8644" s="120"/>
      <c r="M8644" s="120"/>
      <c r="N8644" s="167"/>
      <c r="O8644" s="120"/>
      <c r="P8644" s="120"/>
      <c r="Q8644" s="120"/>
      <c r="R8644" s="120"/>
      <c r="S8644" s="120"/>
      <c r="T8644" s="221"/>
      <c r="U8644" s="89"/>
      <c r="V8644" s="61"/>
      <c r="W8644" s="92" t="s">
        <v>1035</v>
      </c>
      <c r="X8644" s="93" t="s">
        <v>32</v>
      </c>
      <c r="Y8644" s="93" t="s">
        <v>66</v>
      </c>
      <c r="Z8644" s="134">
        <f>VLOOKUP(W8644,Sheet2!$B:$D,3,FALSE)</f>
        <v>150</v>
      </c>
      <c r="AA8644" s="93">
        <f>AA8641</f>
        <v>0.43200276481769484</v>
      </c>
      <c r="AB8644" s="93">
        <f>AD8644/AC8639</f>
        <v>347.21999999999997</v>
      </c>
      <c r="AC8644" s="93">
        <f>AC8639/AA8644</f>
        <v>914.57748000000004</v>
      </c>
      <c r="AD8644" s="94">
        <f>AC8644*Z8644</f>
        <v>137186.622</v>
      </c>
      <c r="AE8644" s="190"/>
      <c r="AF8644" s="191"/>
      <c r="AG8644" s="191"/>
      <c r="AH8644" s="191"/>
      <c r="AI8644" s="186"/>
      <c r="AK8644" s="171"/>
    </row>
    <row r="8645" spans="1:37" s="102" customFormat="1" ht="19.899999999999999" customHeight="1" x14ac:dyDescent="0.25">
      <c r="A8645" s="45"/>
      <c r="B8645" s="59"/>
      <c r="C8645" s="137"/>
      <c r="D8645" s="59"/>
      <c r="E8645" s="116"/>
      <c r="F8645" s="120"/>
      <c r="G8645" s="120"/>
      <c r="H8645" s="120"/>
      <c r="I8645" s="60"/>
      <c r="J8645" s="116"/>
      <c r="K8645" s="213"/>
      <c r="L8645" s="120"/>
      <c r="M8645" s="120"/>
      <c r="N8645" s="167"/>
      <c r="O8645" s="120"/>
      <c r="P8645" s="120"/>
      <c r="Q8645" s="120"/>
      <c r="R8645" s="120"/>
      <c r="S8645" s="120"/>
      <c r="T8645" s="221"/>
      <c r="U8645" s="89"/>
      <c r="V8645" s="61"/>
      <c r="W8645" s="92" t="s">
        <v>1058</v>
      </c>
      <c r="X8645" s="93" t="s">
        <v>30</v>
      </c>
      <c r="Y8645" s="93" t="s">
        <v>68</v>
      </c>
      <c r="Z8645" s="134">
        <f>VLOOKUP(W8645,Sheet2!$B:$D,3,FALSE)</f>
        <v>290</v>
      </c>
      <c r="AA8645" s="93">
        <v>0.5</v>
      </c>
      <c r="AB8645" s="93">
        <f>AD8645/AC8639</f>
        <v>580</v>
      </c>
      <c r="AC8645" s="93">
        <f>AC8639/AA8645</f>
        <v>790.2</v>
      </c>
      <c r="AD8645" s="94">
        <f>AC8645*Z8645</f>
        <v>229158</v>
      </c>
      <c r="AE8645" s="190"/>
      <c r="AF8645" s="191"/>
      <c r="AG8645" s="191"/>
      <c r="AH8645" s="191"/>
      <c r="AI8645" s="186"/>
      <c r="AK8645" s="171"/>
    </row>
    <row r="8646" spans="1:37" s="102" customFormat="1" ht="19.899999999999999" customHeight="1" x14ac:dyDescent="0.25">
      <c r="A8646" s="45"/>
      <c r="B8646" s="59"/>
      <c r="C8646" s="137"/>
      <c r="D8646" s="59"/>
      <c r="E8646" s="116"/>
      <c r="F8646" s="120"/>
      <c r="G8646" s="120"/>
      <c r="H8646" s="120"/>
      <c r="I8646" s="60"/>
      <c r="J8646" s="116"/>
      <c r="K8646" s="213"/>
      <c r="L8646" s="120"/>
      <c r="M8646" s="120"/>
      <c r="N8646" s="167"/>
      <c r="O8646" s="120"/>
      <c r="P8646" s="120"/>
      <c r="Q8646" s="120"/>
      <c r="R8646" s="120"/>
      <c r="S8646" s="120"/>
      <c r="T8646" s="221"/>
      <c r="U8646" s="89"/>
      <c r="V8646" s="61"/>
      <c r="W8646" s="92" t="s">
        <v>107</v>
      </c>
      <c r="X8646" s="93" t="s">
        <v>31</v>
      </c>
      <c r="Y8646" s="93" t="s">
        <v>93</v>
      </c>
      <c r="Z8646" s="134">
        <f>VLOOKUP(W8646,Sheet2!$B:$D,3,FALSE)</f>
        <v>17</v>
      </c>
      <c r="AA8646" s="93">
        <v>12</v>
      </c>
      <c r="AB8646" s="93">
        <f>AD8646/AC8639</f>
        <v>1.4166666666666667</v>
      </c>
      <c r="AC8646" s="93">
        <f>AC8639/AA8646</f>
        <v>32.925000000000004</v>
      </c>
      <c r="AD8646" s="94">
        <f>AC8646*Z8646</f>
        <v>559.72500000000002</v>
      </c>
      <c r="AE8646" s="190"/>
      <c r="AF8646" s="191"/>
      <c r="AG8646" s="191"/>
      <c r="AH8646" s="191"/>
      <c r="AI8646" s="186"/>
      <c r="AK8646" s="171"/>
    </row>
    <row r="8647" spans="1:37" s="102" customFormat="1" ht="19.899999999999999" customHeight="1" x14ac:dyDescent="0.25">
      <c r="A8647" s="45"/>
      <c r="B8647" s="59"/>
      <c r="C8647" s="137"/>
      <c r="D8647" s="59"/>
      <c r="E8647" s="116"/>
      <c r="F8647" s="120"/>
      <c r="G8647" s="120"/>
      <c r="H8647" s="120"/>
      <c r="I8647" s="60"/>
      <c r="J8647" s="116"/>
      <c r="K8647" s="213"/>
      <c r="L8647" s="120"/>
      <c r="M8647" s="120"/>
      <c r="N8647" s="167"/>
      <c r="O8647" s="120"/>
      <c r="P8647" s="120"/>
      <c r="Q8647" s="120"/>
      <c r="R8647" s="120"/>
      <c r="S8647" s="120"/>
      <c r="T8647" s="221"/>
      <c r="U8647" s="89"/>
      <c r="V8647" s="61"/>
      <c r="W8647" s="92" t="s">
        <v>112</v>
      </c>
      <c r="X8647" s="93" t="s">
        <v>31</v>
      </c>
      <c r="Y8647" s="93" t="s">
        <v>93</v>
      </c>
      <c r="Z8647" s="134">
        <f>VLOOKUP(W8647,Sheet2!$B:$D,3,FALSE)</f>
        <v>13</v>
      </c>
      <c r="AA8647" s="93">
        <f>AA8646</f>
        <v>12</v>
      </c>
      <c r="AB8647" s="93">
        <f>AD8647/AC8639</f>
        <v>1.0833333333333333</v>
      </c>
      <c r="AC8647" s="93">
        <f>AC8639/AA8647</f>
        <v>32.925000000000004</v>
      </c>
      <c r="AD8647" s="94">
        <f>AC8647*Z8647</f>
        <v>428.02500000000003</v>
      </c>
      <c r="AE8647" s="190"/>
      <c r="AF8647" s="191"/>
      <c r="AG8647" s="191"/>
      <c r="AH8647" s="191"/>
      <c r="AI8647" s="186"/>
      <c r="AK8647" s="171"/>
    </row>
    <row r="8648" spans="1:37" s="103" customFormat="1" ht="19.899999999999999" customHeight="1" x14ac:dyDescent="0.25">
      <c r="A8648" s="51"/>
      <c r="B8648" s="52"/>
      <c r="C8648" s="165"/>
      <c r="D8648" s="52"/>
      <c r="E8648" s="115"/>
      <c r="F8648" s="58"/>
      <c r="G8648" s="58"/>
      <c r="H8648" s="58"/>
      <c r="I8648" s="55"/>
      <c r="J8648" s="113">
        <f>J8633</f>
        <v>395.1</v>
      </c>
      <c r="K8648" s="212">
        <f>K8633</f>
        <v>395.1</v>
      </c>
      <c r="L8648" s="58"/>
      <c r="M8648" s="58">
        <f>K8648-L8648</f>
        <v>395.1</v>
      </c>
      <c r="N8648" s="166"/>
      <c r="O8648" s="58"/>
      <c r="P8648" s="58"/>
      <c r="Q8648" s="58"/>
      <c r="R8648" s="58"/>
      <c r="S8648" s="58"/>
      <c r="T8648" s="220"/>
      <c r="U8648" s="88"/>
      <c r="V8648" s="56"/>
      <c r="W8648" s="57" t="s">
        <v>1482</v>
      </c>
      <c r="X8648" s="53"/>
      <c r="Y8648" s="91" t="s">
        <v>35</v>
      </c>
      <c r="Z8648" s="136">
        <f>AD8648/AC8648</f>
        <v>47.999999999999993</v>
      </c>
      <c r="AA8648" s="58"/>
      <c r="AB8648" s="53">
        <f>AD8648/AC8648</f>
        <v>47.999999999999993</v>
      </c>
      <c r="AC8648" s="53">
        <f>M8648+$AE$10</f>
        <v>395.1</v>
      </c>
      <c r="AD8648" s="54">
        <f>SUM(AD8649:AD8649)</f>
        <v>18964.8</v>
      </c>
      <c r="AE8648" s="184">
        <f>SUMIFS($AD$37:$AD$12971,$V$37:$V$12971,$V8648,$X$37:$X$12971,AE$13)</f>
        <v>0</v>
      </c>
      <c r="AF8648" s="185">
        <f>SUMIFS($AD$37:$AD$12971,$V$37:$V$12971,$V8648,$X$37:$X$12971,AF$13)</f>
        <v>0</v>
      </c>
      <c r="AG8648" s="185">
        <f>SUMIFS($AD$37:$AD$12971,$V$37:$V$12971,$V8648,$X$37:$X$12971,AG$13)</f>
        <v>0</v>
      </c>
      <c r="AH8648" s="187">
        <f>SUMIFS($AD$37:$AD$12971,$V$37:$V$12971,$V8648,$X$37:$X$12971,AH$13)</f>
        <v>0</v>
      </c>
      <c r="AI8648" s="161">
        <f t="shared" ref="AI8648" si="5921">SUM(AE8648:AH8648)</f>
        <v>0</v>
      </c>
      <c r="AK8648" s="172"/>
    </row>
    <row r="8649" spans="1:37" s="102" customFormat="1" ht="19.899999999999999" customHeight="1" x14ac:dyDescent="0.25">
      <c r="A8649" s="45"/>
      <c r="B8649" s="59"/>
      <c r="C8649" s="137"/>
      <c r="D8649" s="59"/>
      <c r="E8649" s="116"/>
      <c r="F8649" s="120"/>
      <c r="G8649" s="120"/>
      <c r="H8649" s="120"/>
      <c r="I8649" s="60"/>
      <c r="J8649" s="116"/>
      <c r="K8649" s="213"/>
      <c r="L8649" s="120"/>
      <c r="M8649" s="120"/>
      <c r="N8649" s="167"/>
      <c r="O8649" s="120"/>
      <c r="P8649" s="120"/>
      <c r="Q8649" s="120"/>
      <c r="R8649" s="120"/>
      <c r="S8649" s="120"/>
      <c r="T8649" s="221"/>
      <c r="U8649" s="89"/>
      <c r="V8649" s="61"/>
      <c r="W8649" s="92" t="s">
        <v>124</v>
      </c>
      <c r="X8649" s="93" t="s">
        <v>32</v>
      </c>
      <c r="Y8649" s="93" t="s">
        <v>64</v>
      </c>
      <c r="Z8649" s="134">
        <f>VLOOKUP(W8649,Sheet2!$B:$D,3,FALSE)</f>
        <v>10</v>
      </c>
      <c r="AA8649" s="93">
        <f>1/4.8</f>
        <v>0.20833333333333334</v>
      </c>
      <c r="AB8649" s="93">
        <f t="shared" ref="AB8649" si="5922">AD8649/AC8648</f>
        <v>47.999999999999993</v>
      </c>
      <c r="AC8649" s="93">
        <f>AC8648/AA8649</f>
        <v>1896.48</v>
      </c>
      <c r="AD8649" s="94">
        <f t="shared" ref="AD8649" si="5923">AC8649*Z8649</f>
        <v>18964.8</v>
      </c>
      <c r="AE8649" s="190"/>
      <c r="AF8649" s="191"/>
      <c r="AG8649" s="191"/>
      <c r="AH8649" s="191"/>
      <c r="AI8649" s="186"/>
      <c r="AK8649" s="171"/>
    </row>
    <row r="8650" spans="1:37" s="103" customFormat="1" ht="19.899999999999999" customHeight="1" x14ac:dyDescent="0.25">
      <c r="A8650" s="51"/>
      <c r="B8650" s="52"/>
      <c r="C8650" s="165"/>
      <c r="D8650" s="52"/>
      <c r="E8650" s="115"/>
      <c r="F8650" s="58"/>
      <c r="G8650" s="58"/>
      <c r="H8650" s="58"/>
      <c r="I8650" s="55"/>
      <c r="J8650" s="113">
        <f>J8633</f>
        <v>395.1</v>
      </c>
      <c r="K8650" s="212">
        <f>K8633</f>
        <v>395.1</v>
      </c>
      <c r="L8650" s="58"/>
      <c r="M8650" s="58">
        <f>K8650-L8650</f>
        <v>395.1</v>
      </c>
      <c r="N8650" s="166"/>
      <c r="O8650" s="58"/>
      <c r="P8650" s="58"/>
      <c r="Q8650" s="58"/>
      <c r="R8650" s="58"/>
      <c r="S8650" s="58"/>
      <c r="T8650" s="220"/>
      <c r="U8650" s="88"/>
      <c r="V8650" s="56"/>
      <c r="W8650" s="57" t="s">
        <v>1272</v>
      </c>
      <c r="X8650" s="53"/>
      <c r="Y8650" s="91" t="s">
        <v>35</v>
      </c>
      <c r="Z8650" s="136">
        <f>AD8650/AC8650</f>
        <v>7.3220470588235287</v>
      </c>
      <c r="AA8650" s="58"/>
      <c r="AB8650" s="53">
        <f>AD8650/AC8650</f>
        <v>7.3220470588235287</v>
      </c>
      <c r="AC8650" s="53">
        <f>M8650+$AE$10</f>
        <v>395.1</v>
      </c>
      <c r="AD8650" s="54">
        <f>SUM(AD8651:AD8658)</f>
        <v>2892.9407929411764</v>
      </c>
      <c r="AE8650" s="184">
        <f>SUMIFS($AD$37:$AD$12971,$V$37:$V$12971,$V8650,$X$37:$X$12971,AE$13)</f>
        <v>0</v>
      </c>
      <c r="AF8650" s="185">
        <f>SUMIFS($AD$37:$AD$12971,$V$37:$V$12971,$V8650,$X$37:$X$12971,AF$13)</f>
        <v>0</v>
      </c>
      <c r="AG8650" s="185">
        <f>SUMIFS($AD$37:$AD$12971,$V$37:$V$12971,$V8650,$X$37:$X$12971,AG$13)</f>
        <v>0</v>
      </c>
      <c r="AH8650" s="187">
        <f>SUMIFS($AD$37:$AD$12971,$V$37:$V$12971,$V8650,$X$37:$X$12971,AH$13)</f>
        <v>0</v>
      </c>
      <c r="AI8650" s="161">
        <f t="shared" ref="AI8650" si="5924">SUM(AE8650:AH8650)</f>
        <v>0</v>
      </c>
      <c r="AK8650" s="172"/>
    </row>
    <row r="8651" spans="1:37" s="102" customFormat="1" ht="19.899999999999999" customHeight="1" x14ac:dyDescent="0.25">
      <c r="A8651" s="45"/>
      <c r="B8651" s="59"/>
      <c r="C8651" s="137"/>
      <c r="D8651" s="59"/>
      <c r="E8651" s="116"/>
      <c r="F8651" s="120"/>
      <c r="G8651" s="120"/>
      <c r="H8651" s="120"/>
      <c r="I8651" s="60"/>
      <c r="J8651" s="116"/>
      <c r="K8651" s="213"/>
      <c r="L8651" s="120"/>
      <c r="M8651" s="120"/>
      <c r="N8651" s="167"/>
      <c r="O8651" s="120"/>
      <c r="P8651" s="120"/>
      <c r="Q8651" s="120"/>
      <c r="R8651" s="120"/>
      <c r="S8651" s="120"/>
      <c r="T8651" s="221"/>
      <c r="U8651" s="89"/>
      <c r="V8651" s="61"/>
      <c r="W8651" s="92" t="s">
        <v>134</v>
      </c>
      <c r="X8651" s="93" t="s">
        <v>29</v>
      </c>
      <c r="Y8651" s="93" t="s">
        <v>93</v>
      </c>
      <c r="Z8651" s="134">
        <f>VLOOKUP(W8651,Sheet2!$B:$D,3,FALSE)</f>
        <v>65.599999999999994</v>
      </c>
      <c r="AA8651" s="93">
        <f>120/(1.5*0.5*2)</f>
        <v>80</v>
      </c>
      <c r="AB8651" s="93">
        <f>AD8651/AC8650</f>
        <v>0.82000000000000006</v>
      </c>
      <c r="AC8651" s="93">
        <f>AC8650/AA8651</f>
        <v>4.9387500000000006</v>
      </c>
      <c r="AD8651" s="94">
        <f t="shared" ref="AD8651:AD8652" si="5925">AC8651*Z8651</f>
        <v>323.98200000000003</v>
      </c>
      <c r="AE8651" s="190"/>
      <c r="AF8651" s="191"/>
      <c r="AG8651" s="191"/>
      <c r="AH8651" s="191"/>
      <c r="AI8651" s="186"/>
      <c r="AK8651" s="171"/>
    </row>
    <row r="8652" spans="1:37" s="102" customFormat="1" ht="19.899999999999999" customHeight="1" x14ac:dyDescent="0.25">
      <c r="A8652" s="45"/>
      <c r="B8652" s="59"/>
      <c r="C8652" s="137"/>
      <c r="D8652" s="59"/>
      <c r="E8652" s="116"/>
      <c r="F8652" s="120"/>
      <c r="G8652" s="120"/>
      <c r="H8652" s="120"/>
      <c r="I8652" s="60"/>
      <c r="J8652" s="116"/>
      <c r="K8652" s="213"/>
      <c r="L8652" s="120"/>
      <c r="M8652" s="120"/>
      <c r="N8652" s="167"/>
      <c r="O8652" s="120"/>
      <c r="P8652" s="120"/>
      <c r="Q8652" s="120"/>
      <c r="R8652" s="120"/>
      <c r="S8652" s="120"/>
      <c r="T8652" s="221"/>
      <c r="U8652" s="89"/>
      <c r="V8652" s="61"/>
      <c r="W8652" s="92" t="s">
        <v>65</v>
      </c>
      <c r="X8652" s="93" t="s">
        <v>30</v>
      </c>
      <c r="Y8652" s="93" t="s">
        <v>1011</v>
      </c>
      <c r="Z8652" s="134">
        <f>VLOOKUP(W8652,Sheet2!$B:$D,3,FALSE)</f>
        <v>1.76</v>
      </c>
      <c r="AA8652" s="93">
        <f>AA8651/9</f>
        <v>8.8888888888888893</v>
      </c>
      <c r="AB8652" s="93">
        <f>AD8652/AC8650</f>
        <v>0.19800000000000001</v>
      </c>
      <c r="AC8652" s="93">
        <f>AC8650/AA8652</f>
        <v>44.448750000000004</v>
      </c>
      <c r="AD8652" s="94">
        <f t="shared" si="5925"/>
        <v>78.229800000000012</v>
      </c>
      <c r="AE8652" s="190"/>
      <c r="AF8652" s="191"/>
      <c r="AG8652" s="191"/>
      <c r="AH8652" s="191"/>
      <c r="AI8652" s="186"/>
      <c r="AK8652" s="171"/>
    </row>
    <row r="8653" spans="1:37" s="102" customFormat="1" ht="19.899999999999999" customHeight="1" x14ac:dyDescent="0.25">
      <c r="A8653" s="45"/>
      <c r="B8653" s="59"/>
      <c r="C8653" s="137"/>
      <c r="D8653" s="59"/>
      <c r="E8653" s="116"/>
      <c r="F8653" s="120"/>
      <c r="G8653" s="120"/>
      <c r="H8653" s="120"/>
      <c r="I8653" s="60"/>
      <c r="J8653" s="116"/>
      <c r="K8653" s="213"/>
      <c r="L8653" s="120"/>
      <c r="M8653" s="120"/>
      <c r="N8653" s="167"/>
      <c r="O8653" s="120"/>
      <c r="P8653" s="120"/>
      <c r="Q8653" s="120"/>
      <c r="R8653" s="120"/>
      <c r="S8653" s="120"/>
      <c r="T8653" s="221"/>
      <c r="U8653" s="89"/>
      <c r="V8653" s="61"/>
      <c r="W8653" s="92" t="s">
        <v>161</v>
      </c>
      <c r="X8653" s="93" t="s">
        <v>29</v>
      </c>
      <c r="Y8653" s="93" t="s">
        <v>93</v>
      </c>
      <c r="Z8653" s="134">
        <f>VLOOKUP(W8653,Sheet2!$B:$D,3,FALSE)</f>
        <v>48</v>
      </c>
      <c r="AA8653" s="93">
        <f>(16*0.85*2)/(1.5*0.5*2)</f>
        <v>18.133333333333333</v>
      </c>
      <c r="AB8653" s="93">
        <f>AD8653/AC8650</f>
        <v>2.6470588235294121</v>
      </c>
      <c r="AC8653" s="93">
        <f>AC8650/AA8653</f>
        <v>21.788602941176471</v>
      </c>
      <c r="AD8653" s="94">
        <f>AC8653*Z8653</f>
        <v>1045.8529411764707</v>
      </c>
      <c r="AE8653" s="190"/>
      <c r="AF8653" s="191"/>
      <c r="AG8653" s="191"/>
      <c r="AH8653" s="191"/>
      <c r="AI8653" s="186"/>
      <c r="AK8653" s="171"/>
    </row>
    <row r="8654" spans="1:37" s="102" customFormat="1" ht="19.899999999999999" customHeight="1" x14ac:dyDescent="0.25">
      <c r="A8654" s="45"/>
      <c r="B8654" s="59"/>
      <c r="C8654" s="137"/>
      <c r="D8654" s="59"/>
      <c r="E8654" s="116"/>
      <c r="F8654" s="120"/>
      <c r="G8654" s="120"/>
      <c r="H8654" s="120"/>
      <c r="I8654" s="60"/>
      <c r="J8654" s="116"/>
      <c r="K8654" s="213"/>
      <c r="L8654" s="120"/>
      <c r="M8654" s="120"/>
      <c r="N8654" s="167"/>
      <c r="O8654" s="120"/>
      <c r="P8654" s="120"/>
      <c r="Q8654" s="120"/>
      <c r="R8654" s="120"/>
      <c r="S8654" s="120"/>
      <c r="T8654" s="221"/>
      <c r="U8654" s="89"/>
      <c r="V8654" s="61"/>
      <c r="W8654" s="92" t="s">
        <v>65</v>
      </c>
      <c r="X8654" s="93" t="s">
        <v>30</v>
      </c>
      <c r="Y8654" s="93" t="s">
        <v>1011</v>
      </c>
      <c r="Z8654" s="134">
        <f>VLOOKUP(W8654,Sheet2!$B:$D,3,FALSE)</f>
        <v>1.76</v>
      </c>
      <c r="AA8654" s="93">
        <f>AA8653/10</f>
        <v>1.8133333333333332</v>
      </c>
      <c r="AB8654" s="93">
        <f>AD8654/AC8650</f>
        <v>0.97058823529411764</v>
      </c>
      <c r="AC8654" s="93">
        <f>AC8650/AA8654</f>
        <v>217.88602941176472</v>
      </c>
      <c r="AD8654" s="94">
        <f>AC8654*Z8654</f>
        <v>383.4794117647059</v>
      </c>
      <c r="AE8654" s="190"/>
      <c r="AF8654" s="191"/>
      <c r="AG8654" s="191"/>
      <c r="AH8654" s="191"/>
      <c r="AI8654" s="186"/>
      <c r="AK8654" s="171"/>
    </row>
    <row r="8655" spans="1:37" s="102" customFormat="1" ht="19.899999999999999" customHeight="1" x14ac:dyDescent="0.25">
      <c r="A8655" s="45"/>
      <c r="B8655" s="59"/>
      <c r="C8655" s="137"/>
      <c r="D8655" s="59"/>
      <c r="E8655" s="116"/>
      <c r="F8655" s="120"/>
      <c r="G8655" s="120"/>
      <c r="H8655" s="120"/>
      <c r="I8655" s="60"/>
      <c r="J8655" s="116"/>
      <c r="K8655" s="213"/>
      <c r="L8655" s="120"/>
      <c r="M8655" s="120"/>
      <c r="N8655" s="167"/>
      <c r="O8655" s="120"/>
      <c r="P8655" s="120"/>
      <c r="Q8655" s="120"/>
      <c r="R8655" s="120"/>
      <c r="S8655" s="120"/>
      <c r="T8655" s="221"/>
      <c r="U8655" s="89"/>
      <c r="V8655" s="61"/>
      <c r="W8655" s="92" t="s">
        <v>173</v>
      </c>
      <c r="X8655" s="93" t="s">
        <v>29</v>
      </c>
      <c r="Y8655" s="93" t="s">
        <v>93</v>
      </c>
      <c r="Z8655" s="134">
        <f>VLOOKUP(W8655,Sheet2!$B:$D,3,FALSE)</f>
        <v>36</v>
      </c>
      <c r="AA8655" s="93">
        <f>50/(1.5*0.5*2)</f>
        <v>33.333333333333336</v>
      </c>
      <c r="AB8655" s="93">
        <f>AD8655/AC8650</f>
        <v>1.0799999999999998</v>
      </c>
      <c r="AC8655" s="93">
        <f>AC8650/AA8655</f>
        <v>11.853</v>
      </c>
      <c r="AD8655" s="94">
        <f>AC8655*Z8655</f>
        <v>426.70799999999997</v>
      </c>
      <c r="AE8655" s="190"/>
      <c r="AF8655" s="191"/>
      <c r="AG8655" s="191"/>
      <c r="AH8655" s="191"/>
      <c r="AI8655" s="186"/>
      <c r="AK8655" s="171"/>
    </row>
    <row r="8656" spans="1:37" s="102" customFormat="1" ht="19.899999999999999" customHeight="1" x14ac:dyDescent="0.25">
      <c r="A8656" s="45"/>
      <c r="B8656" s="59"/>
      <c r="C8656" s="137"/>
      <c r="D8656" s="59"/>
      <c r="E8656" s="116"/>
      <c r="F8656" s="120"/>
      <c r="G8656" s="120"/>
      <c r="H8656" s="120"/>
      <c r="I8656" s="60"/>
      <c r="J8656" s="116"/>
      <c r="K8656" s="213"/>
      <c r="L8656" s="120"/>
      <c r="M8656" s="120"/>
      <c r="N8656" s="167"/>
      <c r="O8656" s="120"/>
      <c r="P8656" s="120"/>
      <c r="Q8656" s="120"/>
      <c r="R8656" s="120"/>
      <c r="S8656" s="120"/>
      <c r="T8656" s="221"/>
      <c r="U8656" s="89"/>
      <c r="V8656" s="61"/>
      <c r="W8656" s="92" t="s">
        <v>65</v>
      </c>
      <c r="X8656" s="93" t="s">
        <v>30</v>
      </c>
      <c r="Y8656" s="93" t="s">
        <v>1011</v>
      </c>
      <c r="Z8656" s="134">
        <f>VLOOKUP(W8656,Sheet2!$B:$D,3,FALSE)</f>
        <v>1.76</v>
      </c>
      <c r="AA8656" s="93">
        <f>AA8655/9</f>
        <v>3.7037037037037042</v>
      </c>
      <c r="AB8656" s="93">
        <f>AD8656/AC8650</f>
        <v>0.47519999999999996</v>
      </c>
      <c r="AC8656" s="93">
        <f>AC8650/AA8656</f>
        <v>106.67699999999999</v>
      </c>
      <c r="AD8656" s="94">
        <f>AC8656*Z8656</f>
        <v>187.75152</v>
      </c>
      <c r="AE8656" s="190"/>
      <c r="AF8656" s="191"/>
      <c r="AG8656" s="191"/>
      <c r="AH8656" s="191"/>
      <c r="AI8656" s="186"/>
      <c r="AK8656" s="171"/>
    </row>
    <row r="8657" spans="1:41" s="102" customFormat="1" ht="19.899999999999999" customHeight="1" x14ac:dyDescent="0.25">
      <c r="A8657" s="45"/>
      <c r="B8657" s="59"/>
      <c r="C8657" s="137"/>
      <c r="D8657" s="59"/>
      <c r="E8657" s="116"/>
      <c r="F8657" s="120"/>
      <c r="G8657" s="120"/>
      <c r="H8657" s="120"/>
      <c r="I8657" s="60"/>
      <c r="J8657" s="116"/>
      <c r="K8657" s="213"/>
      <c r="L8657" s="120"/>
      <c r="M8657" s="120"/>
      <c r="N8657" s="167"/>
      <c r="O8657" s="120"/>
      <c r="P8657" s="120"/>
      <c r="Q8657" s="120"/>
      <c r="R8657" s="120"/>
      <c r="S8657" s="120"/>
      <c r="T8657" s="221"/>
      <c r="U8657" s="89"/>
      <c r="V8657" s="61"/>
      <c r="W8657" s="92" t="s">
        <v>1030</v>
      </c>
      <c r="X8657" s="93" t="s">
        <v>29</v>
      </c>
      <c r="Y8657" s="93" t="s">
        <v>93</v>
      </c>
      <c r="Z8657" s="134">
        <f>VLOOKUP(W8657,Sheet2!$B:$D,3,FALSE)</f>
        <v>23</v>
      </c>
      <c r="AA8657" s="93">
        <v>25</v>
      </c>
      <c r="AB8657" s="93">
        <f>AD8657/AC8650</f>
        <v>0.92</v>
      </c>
      <c r="AC8657" s="93">
        <f>AC8650/AA8657</f>
        <v>15.804</v>
      </c>
      <c r="AD8657" s="94">
        <f t="shared" ref="AD8657:AD8658" si="5926">AC8657*Z8657</f>
        <v>363.49200000000002</v>
      </c>
      <c r="AE8657" s="190"/>
      <c r="AF8657" s="191"/>
      <c r="AG8657" s="191"/>
      <c r="AH8657" s="191"/>
      <c r="AI8657" s="186"/>
      <c r="AK8657" s="171"/>
    </row>
    <row r="8658" spans="1:41" s="102" customFormat="1" ht="19.899999999999999" customHeight="1" x14ac:dyDescent="0.25">
      <c r="A8658" s="45"/>
      <c r="B8658" s="59"/>
      <c r="C8658" s="137"/>
      <c r="D8658" s="59"/>
      <c r="E8658" s="116"/>
      <c r="F8658" s="120"/>
      <c r="G8658" s="120"/>
      <c r="H8658" s="120"/>
      <c r="I8658" s="60"/>
      <c r="J8658" s="116"/>
      <c r="K8658" s="213"/>
      <c r="L8658" s="120"/>
      <c r="M8658" s="120"/>
      <c r="N8658" s="167"/>
      <c r="O8658" s="120"/>
      <c r="P8658" s="120"/>
      <c r="Q8658" s="120"/>
      <c r="R8658" s="120"/>
      <c r="S8658" s="120"/>
      <c r="T8658" s="221"/>
      <c r="U8658" s="89"/>
      <c r="V8658" s="61"/>
      <c r="W8658" s="92" t="s">
        <v>65</v>
      </c>
      <c r="X8658" s="93" t="s">
        <v>30</v>
      </c>
      <c r="Y8658" s="93" t="s">
        <v>1011</v>
      </c>
      <c r="Z8658" s="134">
        <f>VLOOKUP(W8658,Sheet2!$B:$D,3,FALSE)</f>
        <v>1.76</v>
      </c>
      <c r="AA8658" s="93">
        <f>AA8657/3</f>
        <v>8.3333333333333339</v>
      </c>
      <c r="AB8658" s="93">
        <f>AD8658/AC8650</f>
        <v>0.2112</v>
      </c>
      <c r="AC8658" s="93">
        <f>AC8650/AA8658</f>
        <v>47.411999999999999</v>
      </c>
      <c r="AD8658" s="94">
        <f t="shared" si="5926"/>
        <v>83.445120000000003</v>
      </c>
      <c r="AE8658" s="190"/>
      <c r="AF8658" s="191"/>
      <c r="AG8658" s="191"/>
      <c r="AH8658" s="191"/>
      <c r="AI8658" s="186"/>
      <c r="AK8658" s="171"/>
    </row>
    <row r="8659" spans="1:41" s="102" customFormat="1" ht="90" x14ac:dyDescent="0.25">
      <c r="A8659" s="45" t="s">
        <v>703</v>
      </c>
      <c r="B8659" s="276"/>
      <c r="C8659" s="286" t="s">
        <v>793</v>
      </c>
      <c r="D8659" s="59"/>
      <c r="E8659" s="116"/>
      <c r="F8659" s="120"/>
      <c r="G8659" s="120"/>
      <c r="H8659" s="120"/>
      <c r="I8659" s="60"/>
      <c r="J8659" s="116"/>
      <c r="K8659" s="213"/>
      <c r="L8659" s="120"/>
      <c r="M8659" s="120"/>
      <c r="N8659" s="167"/>
      <c r="O8659" s="120"/>
      <c r="P8659" s="120"/>
      <c r="Q8659" s="120"/>
      <c r="R8659" s="120"/>
      <c r="S8659" s="120"/>
      <c r="T8659" s="221"/>
      <c r="U8659" s="89"/>
      <c r="V8659" s="61"/>
      <c r="W8659" s="92"/>
      <c r="X8659" s="38"/>
      <c r="Y8659" s="93"/>
      <c r="Z8659" s="134"/>
      <c r="AA8659" s="93"/>
      <c r="AB8659" s="93"/>
      <c r="AC8659" s="93"/>
      <c r="AD8659" s="94"/>
      <c r="AE8659" s="190"/>
      <c r="AF8659" s="191"/>
      <c r="AG8659" s="191"/>
      <c r="AH8659" s="191"/>
      <c r="AI8659" s="186"/>
      <c r="AK8659" s="171"/>
    </row>
    <row r="8660" spans="1:41" s="102" customFormat="1" ht="20.100000000000001" customHeight="1" x14ac:dyDescent="0.25">
      <c r="A8660" s="45" t="s">
        <v>703</v>
      </c>
      <c r="B8660" s="276"/>
      <c r="C8660" s="286" t="s">
        <v>796</v>
      </c>
      <c r="D8660" s="59"/>
      <c r="E8660" s="116"/>
      <c r="F8660" s="120"/>
      <c r="G8660" s="120"/>
      <c r="H8660" s="120"/>
      <c r="I8660" s="60"/>
      <c r="J8660" s="116"/>
      <c r="K8660" s="213"/>
      <c r="L8660" s="120"/>
      <c r="M8660" s="120"/>
      <c r="N8660" s="167"/>
      <c r="O8660" s="120"/>
      <c r="P8660" s="120"/>
      <c r="Q8660" s="120"/>
      <c r="R8660" s="120"/>
      <c r="S8660" s="120"/>
      <c r="T8660" s="221"/>
      <c r="U8660" s="89"/>
      <c r="V8660" s="61"/>
      <c r="W8660" s="92"/>
      <c r="X8660" s="38"/>
      <c r="Y8660" s="93"/>
      <c r="Z8660" s="134"/>
      <c r="AA8660" s="93"/>
      <c r="AB8660" s="93"/>
      <c r="AC8660" s="93"/>
      <c r="AD8660" s="94"/>
      <c r="AE8660" s="190"/>
      <c r="AF8660" s="191"/>
      <c r="AG8660" s="191"/>
      <c r="AH8660" s="191"/>
      <c r="AI8660" s="186"/>
      <c r="AK8660" s="171"/>
    </row>
    <row r="8661" spans="1:41" ht="20.100000000000001" customHeight="1" x14ac:dyDescent="0.25">
      <c r="A8661" s="277" t="s">
        <v>703</v>
      </c>
      <c r="B8661" s="278"/>
      <c r="C8661" s="64" t="s">
        <v>797</v>
      </c>
      <c r="D8661" s="46" t="s">
        <v>97</v>
      </c>
      <c r="E8661" s="114"/>
      <c r="F8661" s="44">
        <v>0</v>
      </c>
      <c r="G8661" s="44">
        <f t="shared" si="5545"/>
        <v>0</v>
      </c>
      <c r="H8661" s="44">
        <f t="shared" si="5546"/>
        <v>0</v>
      </c>
      <c r="I8661" s="43">
        <f t="shared" si="5547"/>
        <v>0</v>
      </c>
      <c r="J8661" s="112">
        <f t="shared" si="5548"/>
        <v>0</v>
      </c>
      <c r="K8661" s="211">
        <f t="shared" si="5549"/>
        <v>0</v>
      </c>
      <c r="L8661" s="44"/>
      <c r="M8661" s="44">
        <f t="shared" si="5550"/>
        <v>0</v>
      </c>
      <c r="N8661" s="173">
        <f t="shared" si="5551"/>
        <v>0</v>
      </c>
      <c r="O8661" s="44">
        <f t="shared" si="5552"/>
        <v>0</v>
      </c>
      <c r="P8661" s="44">
        <f t="shared" si="5553"/>
        <v>0</v>
      </c>
      <c r="Q8661" s="44">
        <f t="shared" si="5554"/>
        <v>0</v>
      </c>
      <c r="R8661" s="44">
        <f t="shared" si="5555"/>
        <v>0</v>
      </c>
      <c r="S8661" s="123"/>
      <c r="T8661" s="219">
        <f t="shared" si="5556"/>
        <v>0</v>
      </c>
      <c r="U8661" s="87"/>
      <c r="V8661" s="47"/>
      <c r="W8661" s="48"/>
      <c r="X8661" s="48"/>
      <c r="Y8661" s="48"/>
      <c r="Z8661" s="135"/>
      <c r="AA8661" s="49"/>
      <c r="AB8661" s="50">
        <f t="shared" si="5557"/>
        <v>0</v>
      </c>
      <c r="AC8661" s="42">
        <f t="shared" si="5558"/>
        <v>9.9999999999999998E-20</v>
      </c>
      <c r="AD8661" s="90"/>
      <c r="AE8661" s="188"/>
      <c r="AF8661" s="189"/>
      <c r="AG8661" s="189"/>
      <c r="AH8661" s="189"/>
      <c r="AI8661" s="161"/>
    </row>
    <row r="8662" spans="1:41" ht="20.100000000000001" customHeight="1" x14ac:dyDescent="0.25">
      <c r="A8662" s="277" t="s">
        <v>703</v>
      </c>
      <c r="B8662" s="278"/>
      <c r="C8662" s="64" t="s">
        <v>798</v>
      </c>
      <c r="D8662" s="46"/>
      <c r="E8662" s="114"/>
      <c r="F8662" s="44">
        <v>0</v>
      </c>
      <c r="G8662" s="44">
        <f t="shared" si="5545"/>
        <v>0</v>
      </c>
      <c r="H8662" s="44">
        <f t="shared" si="5546"/>
        <v>0</v>
      </c>
      <c r="I8662" s="43">
        <f t="shared" si="5547"/>
        <v>0</v>
      </c>
      <c r="J8662" s="112">
        <f t="shared" si="5548"/>
        <v>0</v>
      </c>
      <c r="K8662" s="211">
        <f t="shared" si="5549"/>
        <v>0</v>
      </c>
      <c r="L8662" s="44"/>
      <c r="M8662" s="44">
        <f t="shared" si="5550"/>
        <v>0</v>
      </c>
      <c r="N8662" s="173">
        <f t="shared" si="5551"/>
        <v>0</v>
      </c>
      <c r="O8662" s="44">
        <f t="shared" si="5552"/>
        <v>0</v>
      </c>
      <c r="P8662" s="44">
        <f t="shared" si="5553"/>
        <v>0</v>
      </c>
      <c r="Q8662" s="44">
        <f t="shared" si="5554"/>
        <v>0</v>
      </c>
      <c r="R8662" s="44">
        <f t="shared" si="5555"/>
        <v>0</v>
      </c>
      <c r="S8662" s="123"/>
      <c r="T8662" s="219">
        <f t="shared" si="5556"/>
        <v>0</v>
      </c>
      <c r="U8662" s="87"/>
      <c r="V8662" s="47"/>
      <c r="W8662" s="48"/>
      <c r="X8662" s="48"/>
      <c r="Y8662" s="48"/>
      <c r="Z8662" s="135"/>
      <c r="AA8662" s="49"/>
      <c r="AB8662" s="50">
        <f t="shared" si="5557"/>
        <v>0</v>
      </c>
      <c r="AC8662" s="42">
        <f t="shared" si="5558"/>
        <v>9.9999999999999998E-20</v>
      </c>
      <c r="AD8662" s="90"/>
      <c r="AE8662" s="188"/>
      <c r="AF8662" s="189"/>
      <c r="AG8662" s="189"/>
      <c r="AH8662" s="189"/>
      <c r="AI8662" s="161"/>
    </row>
    <row r="8663" spans="1:41" s="102" customFormat="1" ht="90" x14ac:dyDescent="0.25">
      <c r="A8663" s="45" t="s">
        <v>703</v>
      </c>
      <c r="B8663" s="276"/>
      <c r="C8663" s="286" t="s">
        <v>799</v>
      </c>
      <c r="D8663" s="59"/>
      <c r="E8663" s="116"/>
      <c r="F8663" s="120"/>
      <c r="G8663" s="120"/>
      <c r="H8663" s="120"/>
      <c r="I8663" s="60"/>
      <c r="J8663" s="116"/>
      <c r="K8663" s="213"/>
      <c r="L8663" s="120"/>
      <c r="M8663" s="120"/>
      <c r="N8663" s="167"/>
      <c r="O8663" s="120"/>
      <c r="P8663" s="120"/>
      <c r="Q8663" s="120"/>
      <c r="R8663" s="120"/>
      <c r="S8663" s="120"/>
      <c r="T8663" s="221"/>
      <c r="U8663" s="89"/>
      <c r="V8663" s="61"/>
      <c r="W8663" s="92"/>
      <c r="X8663" s="38"/>
      <c r="Y8663" s="93"/>
      <c r="Z8663" s="134"/>
      <c r="AA8663" s="93"/>
      <c r="AB8663" s="93"/>
      <c r="AC8663" s="93"/>
      <c r="AD8663" s="94"/>
      <c r="AE8663" s="190"/>
      <c r="AF8663" s="191"/>
      <c r="AG8663" s="191"/>
      <c r="AH8663" s="191"/>
      <c r="AI8663" s="186"/>
      <c r="AK8663" s="171"/>
    </row>
    <row r="8664" spans="1:41" s="102" customFormat="1" ht="20.100000000000001" customHeight="1" x14ac:dyDescent="0.25">
      <c r="A8664" s="45" t="s">
        <v>703</v>
      </c>
      <c r="B8664" s="276"/>
      <c r="C8664" s="286" t="s">
        <v>800</v>
      </c>
      <c r="D8664" s="59"/>
      <c r="E8664" s="116"/>
      <c r="F8664" s="120"/>
      <c r="G8664" s="120"/>
      <c r="H8664" s="120"/>
      <c r="I8664" s="60"/>
      <c r="J8664" s="116"/>
      <c r="K8664" s="213"/>
      <c r="L8664" s="120"/>
      <c r="M8664" s="120"/>
      <c r="N8664" s="167"/>
      <c r="O8664" s="120"/>
      <c r="P8664" s="120"/>
      <c r="Q8664" s="120"/>
      <c r="R8664" s="120"/>
      <c r="S8664" s="120"/>
      <c r="T8664" s="221"/>
      <c r="U8664" s="89"/>
      <c r="V8664" s="61"/>
      <c r="W8664" s="92"/>
      <c r="X8664" s="38"/>
      <c r="Y8664" s="93"/>
      <c r="Z8664" s="134"/>
      <c r="AA8664" s="93"/>
      <c r="AB8664" s="93"/>
      <c r="AC8664" s="93"/>
      <c r="AD8664" s="94"/>
      <c r="AE8664" s="190"/>
      <c r="AF8664" s="191"/>
      <c r="AG8664" s="191"/>
      <c r="AH8664" s="191"/>
      <c r="AI8664" s="186"/>
      <c r="AK8664" s="171"/>
    </row>
    <row r="8665" spans="1:41" ht="20.100000000000001" customHeight="1" x14ac:dyDescent="0.25">
      <c r="A8665" s="277" t="s">
        <v>703</v>
      </c>
      <c r="B8665" s="278"/>
      <c r="C8665" s="64" t="s">
        <v>801</v>
      </c>
      <c r="D8665" s="46" t="s">
        <v>97</v>
      </c>
      <c r="E8665" s="114"/>
      <c r="F8665" s="44">
        <v>0</v>
      </c>
      <c r="G8665" s="44">
        <f t="shared" si="5545"/>
        <v>0</v>
      </c>
      <c r="H8665" s="44">
        <f t="shared" si="5546"/>
        <v>0</v>
      </c>
      <c r="I8665" s="43">
        <f t="shared" si="5547"/>
        <v>0</v>
      </c>
      <c r="J8665" s="112">
        <f t="shared" si="5548"/>
        <v>0</v>
      </c>
      <c r="K8665" s="211">
        <f t="shared" si="5549"/>
        <v>0</v>
      </c>
      <c r="L8665" s="44"/>
      <c r="M8665" s="44">
        <f t="shared" si="5550"/>
        <v>0</v>
      </c>
      <c r="N8665" s="173">
        <f t="shared" si="5551"/>
        <v>0</v>
      </c>
      <c r="O8665" s="44">
        <f t="shared" si="5552"/>
        <v>0</v>
      </c>
      <c r="P8665" s="44">
        <f t="shared" si="5553"/>
        <v>0</v>
      </c>
      <c r="Q8665" s="44">
        <f t="shared" si="5554"/>
        <v>0</v>
      </c>
      <c r="R8665" s="44">
        <f t="shared" si="5555"/>
        <v>0</v>
      </c>
      <c r="S8665" s="123"/>
      <c r="T8665" s="219">
        <f t="shared" si="5556"/>
        <v>0</v>
      </c>
      <c r="U8665" s="87"/>
      <c r="V8665" s="47"/>
      <c r="W8665" s="48"/>
      <c r="X8665" s="48"/>
      <c r="Y8665" s="48"/>
      <c r="Z8665" s="135"/>
      <c r="AA8665" s="49"/>
      <c r="AB8665" s="50">
        <f t="shared" si="5557"/>
        <v>0</v>
      </c>
      <c r="AC8665" s="42">
        <f t="shared" si="5558"/>
        <v>9.9999999999999998E-20</v>
      </c>
      <c r="AD8665" s="90"/>
      <c r="AE8665" s="188"/>
      <c r="AF8665" s="189"/>
      <c r="AG8665" s="189"/>
      <c r="AH8665" s="189"/>
      <c r="AI8665" s="161"/>
    </row>
    <row r="8666" spans="1:41" ht="20.100000000000001" customHeight="1" x14ac:dyDescent="0.25">
      <c r="A8666" s="277" t="s">
        <v>703</v>
      </c>
      <c r="B8666" s="278"/>
      <c r="C8666" s="64" t="s">
        <v>802</v>
      </c>
      <c r="D8666" s="46" t="s">
        <v>97</v>
      </c>
      <c r="E8666" s="114">
        <v>7.6440000000000019</v>
      </c>
      <c r="F8666" s="44">
        <v>7733</v>
      </c>
      <c r="G8666" s="44">
        <f t="shared" si="5545"/>
        <v>59111.052000000018</v>
      </c>
      <c r="H8666" s="44">
        <f t="shared" si="5546"/>
        <v>5279.8492094117646</v>
      </c>
      <c r="I8666" s="43">
        <f t="shared" si="5547"/>
        <v>40359.167356743535</v>
      </c>
      <c r="J8666" s="112">
        <f t="shared" si="5548"/>
        <v>7.6440000000000019</v>
      </c>
      <c r="K8666" s="211">
        <f t="shared" si="5549"/>
        <v>7.6440000000000019</v>
      </c>
      <c r="L8666" s="44"/>
      <c r="M8666" s="44">
        <f t="shared" si="5550"/>
        <v>7.6440000000000019</v>
      </c>
      <c r="N8666" s="173">
        <f t="shared" si="5551"/>
        <v>1</v>
      </c>
      <c r="O8666" s="44">
        <f t="shared" si="5552"/>
        <v>7733</v>
      </c>
      <c r="P8666" s="44">
        <f t="shared" si="5553"/>
        <v>59111.052000000018</v>
      </c>
      <c r="Q8666" s="44">
        <f t="shared" si="5554"/>
        <v>5279.8492094117646</v>
      </c>
      <c r="R8666" s="44">
        <f t="shared" si="5555"/>
        <v>40359.167356743535</v>
      </c>
      <c r="S8666" s="123"/>
      <c r="T8666" s="219">
        <f t="shared" si="5556"/>
        <v>40359.167356743535</v>
      </c>
      <c r="U8666" s="87"/>
      <c r="V8666" s="47"/>
      <c r="W8666" s="48"/>
      <c r="X8666" s="48"/>
      <c r="Y8666" s="48"/>
      <c r="Z8666" s="135"/>
      <c r="AA8666" s="49"/>
      <c r="AB8666" s="50">
        <f t="shared" si="5557"/>
        <v>5279.8492094117646</v>
      </c>
      <c r="AC8666" s="42">
        <f t="shared" si="5558"/>
        <v>7.6440000000000019</v>
      </c>
      <c r="AD8666" s="90">
        <f>AD8667+AD8677</f>
        <v>40359.167356743535</v>
      </c>
      <c r="AE8666" s="188">
        <f t="shared" ref="AE8666:AH8666" si="5927">AE8667+AE8677</f>
        <v>0</v>
      </c>
      <c r="AF8666" s="189">
        <f t="shared" si="5927"/>
        <v>0</v>
      </c>
      <c r="AG8666" s="189">
        <f t="shared" si="5927"/>
        <v>0</v>
      </c>
      <c r="AH8666" s="189">
        <f t="shared" si="5927"/>
        <v>0</v>
      </c>
      <c r="AI8666" s="161">
        <f t="shared" ref="AI8666:AI8667" si="5928">SUM(AE8666:AH8666)</f>
        <v>0</v>
      </c>
      <c r="AK8666" s="169">
        <v>5</v>
      </c>
      <c r="AO8666" s="19" t="s">
        <v>63</v>
      </c>
    </row>
    <row r="8667" spans="1:41" s="103" customFormat="1" ht="19.899999999999999" customHeight="1" x14ac:dyDescent="0.25">
      <c r="A8667" s="51"/>
      <c r="B8667" s="52"/>
      <c r="C8667" s="165"/>
      <c r="D8667" s="52"/>
      <c r="E8667" s="115"/>
      <c r="F8667" s="58"/>
      <c r="G8667" s="58"/>
      <c r="H8667" s="58"/>
      <c r="I8667" s="55"/>
      <c r="J8667" s="113">
        <f>J8666</f>
        <v>7.6440000000000019</v>
      </c>
      <c r="K8667" s="212">
        <f>K8666</f>
        <v>7.6440000000000019</v>
      </c>
      <c r="L8667" s="58"/>
      <c r="M8667" s="58">
        <f>K8667-L8667</f>
        <v>7.6440000000000019</v>
      </c>
      <c r="N8667" s="166"/>
      <c r="O8667" s="58"/>
      <c r="P8667" s="58"/>
      <c r="Q8667" s="58"/>
      <c r="R8667" s="58"/>
      <c r="S8667" s="58"/>
      <c r="T8667" s="220"/>
      <c r="U8667" s="88"/>
      <c r="V8667" s="56"/>
      <c r="W8667" s="57" t="s">
        <v>1140</v>
      </c>
      <c r="X8667" s="53"/>
      <c r="Y8667" s="91" t="s">
        <v>68</v>
      </c>
      <c r="Z8667" s="136">
        <f>AD8667/AC8667</f>
        <v>115.29920941176469</v>
      </c>
      <c r="AA8667" s="58"/>
      <c r="AB8667" s="53">
        <f>AD8667/AC8667</f>
        <v>115.29920941176469</v>
      </c>
      <c r="AC8667" s="53">
        <f>M8667+$AE$10</f>
        <v>7.6440000000000019</v>
      </c>
      <c r="AD8667" s="54">
        <f>SUM(AD8668:AD8676)</f>
        <v>881.34715674352958</v>
      </c>
      <c r="AE8667" s="184">
        <f>SUMIFS($AD$37:$AD$12971,$V$37:$V$12971,$V8667,$X$37:$X$12971,AE$13)</f>
        <v>0</v>
      </c>
      <c r="AF8667" s="185">
        <f>SUMIFS($AD$37:$AD$12971,$V$37:$V$12971,$V8667,$X$37:$X$12971,AF$13)</f>
        <v>0</v>
      </c>
      <c r="AG8667" s="185">
        <f>SUMIFS($AD$37:$AD$12971,$V$37:$V$12971,$V8667,$X$37:$X$12971,AG$13)</f>
        <v>0</v>
      </c>
      <c r="AH8667" s="187">
        <f>SUMIFS($AD$37:$AD$12971,$V$37:$V$12971,$V8667,$X$37:$X$12971,AH$13)</f>
        <v>0</v>
      </c>
      <c r="AI8667" s="161">
        <f t="shared" si="5928"/>
        <v>0</v>
      </c>
      <c r="AK8667" s="172"/>
    </row>
    <row r="8668" spans="1:41" s="102" customFormat="1" ht="19.899999999999999" customHeight="1" x14ac:dyDescent="0.25">
      <c r="A8668" s="45"/>
      <c r="B8668" s="59"/>
      <c r="C8668" s="137"/>
      <c r="D8668" s="59"/>
      <c r="E8668" s="116"/>
      <c r="F8668" s="120"/>
      <c r="G8668" s="120"/>
      <c r="H8668" s="120"/>
      <c r="I8668" s="60"/>
      <c r="J8668" s="116"/>
      <c r="K8668" s="213"/>
      <c r="L8668" s="120"/>
      <c r="M8668" s="120"/>
      <c r="N8668" s="167"/>
      <c r="O8668" s="120"/>
      <c r="P8668" s="120"/>
      <c r="Q8668" s="120"/>
      <c r="R8668" s="120"/>
      <c r="S8668" s="120"/>
      <c r="T8668" s="221"/>
      <c r="U8668" s="89"/>
      <c r="V8668" s="61"/>
      <c r="W8668" s="92" t="s">
        <v>129</v>
      </c>
      <c r="X8668" s="93" t="s">
        <v>29</v>
      </c>
      <c r="Y8668" s="93" t="s">
        <v>93</v>
      </c>
      <c r="Z8668" s="134">
        <f>VLOOKUP(W8668,Sheet2!$B:$D,3,FALSE)</f>
        <v>56</v>
      </c>
      <c r="AA8668" s="93">
        <f>100/(3.9*3)</f>
        <v>8.5470085470085468</v>
      </c>
      <c r="AB8668" s="93">
        <f t="shared" ref="AB8668" si="5929">AD8668/AC8667</f>
        <v>6.5520000000000005</v>
      </c>
      <c r="AC8668" s="93">
        <f>AC8667/AA8668</f>
        <v>0.89434800000000025</v>
      </c>
      <c r="AD8668" s="94">
        <f t="shared" ref="AD8668:AD8669" si="5930">AC8668*Z8668</f>
        <v>50.083488000000017</v>
      </c>
      <c r="AE8668" s="190"/>
      <c r="AF8668" s="191"/>
      <c r="AG8668" s="191"/>
      <c r="AH8668" s="191"/>
      <c r="AI8668" s="186"/>
      <c r="AK8668" s="171"/>
    </row>
    <row r="8669" spans="1:41" s="102" customFormat="1" ht="19.899999999999999" customHeight="1" x14ac:dyDescent="0.25">
      <c r="A8669" s="45"/>
      <c r="B8669" s="59"/>
      <c r="C8669" s="137"/>
      <c r="D8669" s="59"/>
      <c r="E8669" s="116"/>
      <c r="F8669" s="120"/>
      <c r="G8669" s="120"/>
      <c r="H8669" s="120"/>
      <c r="I8669" s="60"/>
      <c r="J8669" s="116"/>
      <c r="K8669" s="213"/>
      <c r="L8669" s="120"/>
      <c r="M8669" s="120"/>
      <c r="N8669" s="167"/>
      <c r="O8669" s="120"/>
      <c r="P8669" s="120"/>
      <c r="Q8669" s="120"/>
      <c r="R8669" s="120"/>
      <c r="S8669" s="120"/>
      <c r="T8669" s="221"/>
      <c r="U8669" s="89"/>
      <c r="V8669" s="61"/>
      <c r="W8669" s="92" t="s">
        <v>65</v>
      </c>
      <c r="X8669" s="93" t="s">
        <v>30</v>
      </c>
      <c r="Y8669" s="93" t="s">
        <v>1011</v>
      </c>
      <c r="Z8669" s="134">
        <f>VLOOKUP(W8669,Sheet2!$B:$D,3,FALSE)</f>
        <v>1.76</v>
      </c>
      <c r="AA8669" s="93">
        <f>AA8668/14</f>
        <v>0.61050061050061044</v>
      </c>
      <c r="AB8669" s="93">
        <f>AD8669/AC8667</f>
        <v>2.8828800000000006</v>
      </c>
      <c r="AC8669" s="93">
        <f>AC8667/AA8669</f>
        <v>12.520872000000004</v>
      </c>
      <c r="AD8669" s="94">
        <f t="shared" si="5930"/>
        <v>22.036734720000009</v>
      </c>
      <c r="AE8669" s="190"/>
      <c r="AF8669" s="191"/>
      <c r="AG8669" s="191"/>
      <c r="AH8669" s="191"/>
      <c r="AI8669" s="186"/>
      <c r="AK8669" s="171"/>
    </row>
    <row r="8670" spans="1:41" s="102" customFormat="1" ht="19.899999999999999" customHeight="1" x14ac:dyDescent="0.25">
      <c r="A8670" s="45"/>
      <c r="B8670" s="59"/>
      <c r="C8670" s="137"/>
      <c r="D8670" s="59"/>
      <c r="E8670" s="116"/>
      <c r="F8670" s="120"/>
      <c r="G8670" s="120"/>
      <c r="H8670" s="120"/>
      <c r="I8670" s="60"/>
      <c r="J8670" s="116"/>
      <c r="K8670" s="213"/>
      <c r="L8670" s="120"/>
      <c r="M8670" s="120"/>
      <c r="N8670" s="167"/>
      <c r="O8670" s="120"/>
      <c r="P8670" s="120"/>
      <c r="Q8670" s="120"/>
      <c r="R8670" s="120"/>
      <c r="S8670" s="120"/>
      <c r="T8670" s="221"/>
      <c r="U8670" s="89"/>
      <c r="V8670" s="61"/>
      <c r="W8670" s="92" t="s">
        <v>161</v>
      </c>
      <c r="X8670" s="93" t="s">
        <v>29</v>
      </c>
      <c r="Y8670" s="93" t="s">
        <v>93</v>
      </c>
      <c r="Z8670" s="134">
        <f>VLOOKUP(W8670,Sheet2!$B:$D,3,FALSE)</f>
        <v>48</v>
      </c>
      <c r="AA8670" s="93">
        <f>(16*0.85*1.5)/(3.9*3)</f>
        <v>1.7435897435897436</v>
      </c>
      <c r="AB8670" s="93">
        <f>AD8670/AC8667</f>
        <v>27.529411764705884</v>
      </c>
      <c r="AC8670" s="93">
        <f>AC8667/AA8670</f>
        <v>4.3840588235294131</v>
      </c>
      <c r="AD8670" s="94">
        <f>AC8670*Z8670</f>
        <v>210.43482352941183</v>
      </c>
      <c r="AE8670" s="190"/>
      <c r="AF8670" s="191"/>
      <c r="AG8670" s="191"/>
      <c r="AH8670" s="191"/>
      <c r="AI8670" s="186"/>
      <c r="AK8670" s="171"/>
    </row>
    <row r="8671" spans="1:41" s="102" customFormat="1" ht="19.899999999999999" customHeight="1" x14ac:dyDescent="0.25">
      <c r="A8671" s="45"/>
      <c r="B8671" s="59"/>
      <c r="C8671" s="137"/>
      <c r="D8671" s="59"/>
      <c r="E8671" s="116"/>
      <c r="F8671" s="120"/>
      <c r="G8671" s="120"/>
      <c r="H8671" s="120"/>
      <c r="I8671" s="60"/>
      <c r="J8671" s="116"/>
      <c r="K8671" s="213"/>
      <c r="L8671" s="120"/>
      <c r="M8671" s="120"/>
      <c r="N8671" s="167"/>
      <c r="O8671" s="120"/>
      <c r="P8671" s="120"/>
      <c r="Q8671" s="120"/>
      <c r="R8671" s="120"/>
      <c r="S8671" s="120"/>
      <c r="T8671" s="221"/>
      <c r="U8671" s="89"/>
      <c r="V8671" s="61"/>
      <c r="W8671" s="92" t="s">
        <v>65</v>
      </c>
      <c r="X8671" s="93" t="s">
        <v>30</v>
      </c>
      <c r="Y8671" s="93" t="s">
        <v>1011</v>
      </c>
      <c r="Z8671" s="134">
        <f>VLOOKUP(W8671,Sheet2!$B:$D,3,FALSE)</f>
        <v>1.76</v>
      </c>
      <c r="AA8671" s="93">
        <f>AA8670/10</f>
        <v>0.17435897435897435</v>
      </c>
      <c r="AB8671" s="93">
        <f>AD8671/AC8667</f>
        <v>10.094117647058825</v>
      </c>
      <c r="AC8671" s="93">
        <f>AC8667/AA8671</f>
        <v>43.840588235294128</v>
      </c>
      <c r="AD8671" s="94">
        <f>AC8671*Z8671</f>
        <v>77.159435294117671</v>
      </c>
      <c r="AE8671" s="190"/>
      <c r="AF8671" s="191"/>
      <c r="AG8671" s="191"/>
      <c r="AH8671" s="191"/>
      <c r="AI8671" s="186"/>
      <c r="AK8671" s="171"/>
    </row>
    <row r="8672" spans="1:41" s="102" customFormat="1" ht="19.899999999999999" customHeight="1" x14ac:dyDescent="0.25">
      <c r="A8672" s="45"/>
      <c r="B8672" s="59"/>
      <c r="C8672" s="137"/>
      <c r="D8672" s="59"/>
      <c r="E8672" s="116"/>
      <c r="F8672" s="120"/>
      <c r="G8672" s="120"/>
      <c r="H8672" s="120"/>
      <c r="I8672" s="60"/>
      <c r="J8672" s="116"/>
      <c r="K8672" s="213"/>
      <c r="L8672" s="120"/>
      <c r="M8672" s="120"/>
      <c r="N8672" s="167"/>
      <c r="O8672" s="120"/>
      <c r="P8672" s="120"/>
      <c r="Q8672" s="120"/>
      <c r="R8672" s="120"/>
      <c r="S8672" s="120"/>
      <c r="T8672" s="221"/>
      <c r="U8672" s="89"/>
      <c r="V8672" s="61"/>
      <c r="W8672" s="92" t="s">
        <v>1030</v>
      </c>
      <c r="X8672" s="93" t="s">
        <v>29</v>
      </c>
      <c r="Y8672" s="93" t="s">
        <v>93</v>
      </c>
      <c r="Z8672" s="134">
        <f>VLOOKUP(W8672,Sheet2!$B:$D,3,FALSE)</f>
        <v>23</v>
      </c>
      <c r="AA8672" s="93">
        <v>50</v>
      </c>
      <c r="AB8672" s="93">
        <f>AD8672/AC8667</f>
        <v>0.46</v>
      </c>
      <c r="AC8672" s="93">
        <f>AC8667/AA8672</f>
        <v>0.15288000000000004</v>
      </c>
      <c r="AD8672" s="94">
        <f t="shared" ref="AD8672:AD8676" si="5931">AC8672*Z8672</f>
        <v>3.5162400000000011</v>
      </c>
      <c r="AE8672" s="190"/>
      <c r="AF8672" s="191"/>
      <c r="AG8672" s="191"/>
      <c r="AH8672" s="191"/>
      <c r="AI8672" s="186"/>
      <c r="AK8672" s="171"/>
    </row>
    <row r="8673" spans="1:41" s="102" customFormat="1" ht="19.899999999999999" customHeight="1" x14ac:dyDescent="0.25">
      <c r="A8673" s="45"/>
      <c r="B8673" s="59"/>
      <c r="C8673" s="137"/>
      <c r="D8673" s="59"/>
      <c r="E8673" s="116"/>
      <c r="F8673" s="120"/>
      <c r="G8673" s="120"/>
      <c r="H8673" s="120"/>
      <c r="I8673" s="60"/>
      <c r="J8673" s="116"/>
      <c r="K8673" s="213"/>
      <c r="L8673" s="120"/>
      <c r="M8673" s="120"/>
      <c r="N8673" s="167"/>
      <c r="O8673" s="120"/>
      <c r="P8673" s="120"/>
      <c r="Q8673" s="120"/>
      <c r="R8673" s="120"/>
      <c r="S8673" s="120"/>
      <c r="T8673" s="221"/>
      <c r="U8673" s="89"/>
      <c r="V8673" s="61"/>
      <c r="W8673" s="92" t="s">
        <v>65</v>
      </c>
      <c r="X8673" s="93" t="s">
        <v>30</v>
      </c>
      <c r="Y8673" s="93" t="s">
        <v>1011</v>
      </c>
      <c r="Z8673" s="134">
        <f>VLOOKUP(W8673,Sheet2!$B:$D,3,FALSE)</f>
        <v>1.76</v>
      </c>
      <c r="AA8673" s="93">
        <f>AA8672/3</f>
        <v>16.666666666666668</v>
      </c>
      <c r="AB8673" s="93">
        <f>AD8673/AC8667</f>
        <v>0.1056</v>
      </c>
      <c r="AC8673" s="93">
        <f>AC8667/AA8673</f>
        <v>0.4586400000000001</v>
      </c>
      <c r="AD8673" s="94">
        <f t="shared" si="5931"/>
        <v>0.80720640000000021</v>
      </c>
      <c r="AE8673" s="190"/>
      <c r="AF8673" s="191"/>
      <c r="AG8673" s="191"/>
      <c r="AH8673" s="191"/>
      <c r="AI8673" s="186"/>
      <c r="AK8673" s="171"/>
    </row>
    <row r="8674" spans="1:41" s="102" customFormat="1" ht="19.899999999999999" customHeight="1" x14ac:dyDescent="0.25">
      <c r="A8674" s="45"/>
      <c r="B8674" s="59"/>
      <c r="C8674" s="137"/>
      <c r="D8674" s="59"/>
      <c r="E8674" s="116"/>
      <c r="F8674" s="120"/>
      <c r="G8674" s="120"/>
      <c r="H8674" s="120"/>
      <c r="I8674" s="60"/>
      <c r="J8674" s="116"/>
      <c r="K8674" s="213"/>
      <c r="L8674" s="120"/>
      <c r="M8674" s="120"/>
      <c r="N8674" s="167"/>
      <c r="O8674" s="120"/>
      <c r="P8674" s="120"/>
      <c r="Q8674" s="120"/>
      <c r="R8674" s="120"/>
      <c r="S8674" s="120"/>
      <c r="T8674" s="221"/>
      <c r="U8674" s="89"/>
      <c r="V8674" s="61"/>
      <c r="W8674" s="92" t="s">
        <v>148</v>
      </c>
      <c r="X8674" s="93" t="s">
        <v>29</v>
      </c>
      <c r="Y8674" s="93" t="s">
        <v>93</v>
      </c>
      <c r="Z8674" s="134">
        <f>VLOOKUP(W8674,Sheet2!$B:$D,3,FALSE)</f>
        <v>48</v>
      </c>
      <c r="AA8674" s="93">
        <f>AA8668</f>
        <v>8.5470085470085468</v>
      </c>
      <c r="AB8674" s="93">
        <f>AD8674/AC8667</f>
        <v>5.6159999999999997</v>
      </c>
      <c r="AC8674" s="93">
        <f>AC8667/AA8674</f>
        <v>0.89434800000000025</v>
      </c>
      <c r="AD8674" s="94">
        <f t="shared" si="5931"/>
        <v>42.92870400000001</v>
      </c>
      <c r="AE8674" s="190"/>
      <c r="AF8674" s="191"/>
      <c r="AG8674" s="191"/>
      <c r="AH8674" s="191"/>
      <c r="AI8674" s="186"/>
      <c r="AK8674" s="171"/>
    </row>
    <row r="8675" spans="1:41" s="102" customFormat="1" ht="19.899999999999999" customHeight="1" x14ac:dyDescent="0.25">
      <c r="A8675" s="45"/>
      <c r="B8675" s="59"/>
      <c r="C8675" s="137"/>
      <c r="D8675" s="59"/>
      <c r="E8675" s="116"/>
      <c r="F8675" s="120"/>
      <c r="G8675" s="120"/>
      <c r="H8675" s="120"/>
      <c r="I8675" s="60"/>
      <c r="J8675" s="116"/>
      <c r="K8675" s="213"/>
      <c r="L8675" s="120"/>
      <c r="M8675" s="120"/>
      <c r="N8675" s="167"/>
      <c r="O8675" s="120"/>
      <c r="P8675" s="120"/>
      <c r="Q8675" s="120"/>
      <c r="R8675" s="120"/>
      <c r="S8675" s="120"/>
      <c r="T8675" s="221"/>
      <c r="U8675" s="89"/>
      <c r="V8675" s="61"/>
      <c r="W8675" s="92" t="s">
        <v>65</v>
      </c>
      <c r="X8675" s="93" t="s">
        <v>30</v>
      </c>
      <c r="Y8675" s="93" t="s">
        <v>1011</v>
      </c>
      <c r="Z8675" s="134">
        <f>VLOOKUP(W8675,Sheet2!$B:$D,3,FALSE)</f>
        <v>1.76</v>
      </c>
      <c r="AA8675" s="93">
        <f>AA8674/10</f>
        <v>0.85470085470085466</v>
      </c>
      <c r="AB8675" s="93">
        <f>AD8675/AC8667</f>
        <v>2.0592000000000001</v>
      </c>
      <c r="AC8675" s="93">
        <f>AC8667/AA8675</f>
        <v>8.9434800000000028</v>
      </c>
      <c r="AD8675" s="94">
        <f t="shared" si="5931"/>
        <v>15.740524800000005</v>
      </c>
      <c r="AE8675" s="190"/>
      <c r="AF8675" s="191"/>
      <c r="AG8675" s="191"/>
      <c r="AH8675" s="191"/>
      <c r="AI8675" s="186"/>
      <c r="AK8675" s="171"/>
    </row>
    <row r="8676" spans="1:41" s="102" customFormat="1" ht="19.899999999999999" customHeight="1" x14ac:dyDescent="0.25">
      <c r="A8676" s="45"/>
      <c r="B8676" s="59"/>
      <c r="C8676" s="137"/>
      <c r="D8676" s="59"/>
      <c r="E8676" s="116"/>
      <c r="F8676" s="120"/>
      <c r="G8676" s="120"/>
      <c r="H8676" s="120"/>
      <c r="I8676" s="60"/>
      <c r="J8676" s="116"/>
      <c r="K8676" s="213"/>
      <c r="L8676" s="120"/>
      <c r="M8676" s="120"/>
      <c r="N8676" s="167"/>
      <c r="O8676" s="120"/>
      <c r="P8676" s="120"/>
      <c r="Q8676" s="120"/>
      <c r="R8676" s="120"/>
      <c r="S8676" s="120"/>
      <c r="T8676" s="221"/>
      <c r="U8676" s="89"/>
      <c r="V8676" s="61"/>
      <c r="W8676" s="92" t="s">
        <v>1049</v>
      </c>
      <c r="X8676" s="93" t="s">
        <v>30</v>
      </c>
      <c r="Y8676" s="93" t="s">
        <v>68</v>
      </c>
      <c r="Z8676" s="134">
        <f>VLOOKUP(W8676,Sheet2!$B:$D,3,FALSE)</f>
        <v>60</v>
      </c>
      <c r="AA8676" s="93">
        <v>1</v>
      </c>
      <c r="AB8676" s="93">
        <f>AD8676/AC8667</f>
        <v>60</v>
      </c>
      <c r="AC8676" s="93">
        <f>AC8667/AA8676</f>
        <v>7.6440000000000019</v>
      </c>
      <c r="AD8676" s="94">
        <f t="shared" si="5931"/>
        <v>458.6400000000001</v>
      </c>
      <c r="AE8676" s="190"/>
      <c r="AF8676" s="191"/>
      <c r="AG8676" s="191"/>
      <c r="AH8676" s="191"/>
      <c r="AI8676" s="186"/>
      <c r="AK8676" s="171"/>
    </row>
    <row r="8677" spans="1:41" s="103" customFormat="1" ht="19.899999999999999" customHeight="1" x14ac:dyDescent="0.25">
      <c r="A8677" s="51"/>
      <c r="B8677" s="52"/>
      <c r="C8677" s="165"/>
      <c r="D8677" s="52"/>
      <c r="E8677" s="115"/>
      <c r="F8677" s="58"/>
      <c r="G8677" s="58"/>
      <c r="H8677" s="58"/>
      <c r="I8677" s="55"/>
      <c r="J8677" s="113">
        <f>J8666</f>
        <v>7.6440000000000019</v>
      </c>
      <c r="K8677" s="212">
        <f>K8666</f>
        <v>7.6440000000000019</v>
      </c>
      <c r="L8677" s="58"/>
      <c r="M8677" s="58">
        <f>K8677-L8677</f>
        <v>7.6440000000000019</v>
      </c>
      <c r="N8677" s="166"/>
      <c r="O8677" s="58"/>
      <c r="P8677" s="58"/>
      <c r="Q8677" s="58"/>
      <c r="R8677" s="58"/>
      <c r="S8677" s="58"/>
      <c r="T8677" s="220"/>
      <c r="U8677" s="88"/>
      <c r="V8677" s="56"/>
      <c r="W8677" s="57" t="s">
        <v>1141</v>
      </c>
      <c r="X8677" s="53"/>
      <c r="Y8677" s="91" t="s">
        <v>68</v>
      </c>
      <c r="Z8677" s="136">
        <f>AD8677/AC8677</f>
        <v>5164.55</v>
      </c>
      <c r="AA8677" s="58"/>
      <c r="AB8677" s="53">
        <f>AD8677/AC8677</f>
        <v>5164.55</v>
      </c>
      <c r="AC8677" s="53">
        <f>M8677+$AE$10</f>
        <v>7.6440000000000019</v>
      </c>
      <c r="AD8677" s="54">
        <f>SUM(AD8678:AD8681)</f>
        <v>39477.820200000009</v>
      </c>
      <c r="AE8677" s="184">
        <f>SUMIFS($AD$37:$AD$12971,$V$37:$V$12971,$V8677,$X$37:$X$12971,AE$13)</f>
        <v>0</v>
      </c>
      <c r="AF8677" s="185">
        <f>SUMIFS($AD$37:$AD$12971,$V$37:$V$12971,$V8677,$X$37:$X$12971,AF$13)</f>
        <v>0</v>
      </c>
      <c r="AG8677" s="185">
        <f>SUMIFS($AD$37:$AD$12971,$V$37:$V$12971,$V8677,$X$37:$X$12971,AG$13)</f>
        <v>0</v>
      </c>
      <c r="AH8677" s="187">
        <f>SUMIFS($AD$37:$AD$12971,$V$37:$V$12971,$V8677,$X$37:$X$12971,AH$13)</f>
        <v>0</v>
      </c>
      <c r="AI8677" s="161">
        <f t="shared" ref="AI8677" si="5932">SUM(AE8677:AH8677)</f>
        <v>0</v>
      </c>
      <c r="AK8677" s="172"/>
    </row>
    <row r="8678" spans="1:41" s="102" customFormat="1" ht="19.899999999999999" customHeight="1" x14ac:dyDescent="0.25">
      <c r="A8678" s="45"/>
      <c r="B8678" s="59"/>
      <c r="C8678" s="137"/>
      <c r="D8678" s="59"/>
      <c r="E8678" s="116"/>
      <c r="F8678" s="120"/>
      <c r="G8678" s="120"/>
      <c r="H8678" s="120"/>
      <c r="I8678" s="60"/>
      <c r="J8678" s="116"/>
      <c r="K8678" s="213"/>
      <c r="L8678" s="120"/>
      <c r="M8678" s="120"/>
      <c r="N8678" s="167"/>
      <c r="O8678" s="120"/>
      <c r="P8678" s="120"/>
      <c r="Q8678" s="120"/>
      <c r="R8678" s="120"/>
      <c r="S8678" s="120"/>
      <c r="T8678" s="221"/>
      <c r="U8678" s="89"/>
      <c r="V8678" s="61"/>
      <c r="W8678" s="92" t="s">
        <v>1105</v>
      </c>
      <c r="X8678" s="93" t="s">
        <v>30</v>
      </c>
      <c r="Y8678" s="93" t="s">
        <v>66</v>
      </c>
      <c r="Z8678" s="134">
        <f>VLOOKUP(W8678,Sheet2!$B:$D,3,FALSE)</f>
        <v>2200</v>
      </c>
      <c r="AA8678" s="93">
        <f>1/((3.1*1.4)-(2.5*0.8))</f>
        <v>0.42735042735042739</v>
      </c>
      <c r="AB8678" s="93">
        <f>AD8678/AC8677</f>
        <v>5147.9999999999991</v>
      </c>
      <c r="AC8678" s="93">
        <f>AC8677/AA8678</f>
        <v>17.886960000000002</v>
      </c>
      <c r="AD8678" s="94">
        <f t="shared" ref="AD8678" si="5933">AC8678*Z8678</f>
        <v>39351.312000000005</v>
      </c>
      <c r="AE8678" s="190"/>
      <c r="AF8678" s="191"/>
      <c r="AG8678" s="191"/>
      <c r="AH8678" s="191"/>
      <c r="AI8678" s="186"/>
      <c r="AK8678" s="171"/>
    </row>
    <row r="8679" spans="1:41" s="102" customFormat="1" ht="19.899999999999999" customHeight="1" x14ac:dyDescent="0.25">
      <c r="A8679" s="45"/>
      <c r="B8679" s="59"/>
      <c r="C8679" s="137"/>
      <c r="D8679" s="59"/>
      <c r="E8679" s="116"/>
      <c r="F8679" s="120"/>
      <c r="G8679" s="120"/>
      <c r="H8679" s="120"/>
      <c r="I8679" s="60"/>
      <c r="J8679" s="116"/>
      <c r="K8679" s="213"/>
      <c r="L8679" s="120"/>
      <c r="M8679" s="120"/>
      <c r="N8679" s="167"/>
      <c r="O8679" s="120"/>
      <c r="P8679" s="120"/>
      <c r="Q8679" s="120"/>
      <c r="R8679" s="120"/>
      <c r="S8679" s="120"/>
      <c r="T8679" s="221"/>
      <c r="U8679" s="89"/>
      <c r="V8679" s="61"/>
      <c r="W8679" s="92" t="s">
        <v>174</v>
      </c>
      <c r="X8679" s="93" t="s">
        <v>29</v>
      </c>
      <c r="Y8679" s="93" t="s">
        <v>93</v>
      </c>
      <c r="Z8679" s="134">
        <f>VLOOKUP(W8679,Sheet2!$B:$D,3,FALSE)</f>
        <v>80</v>
      </c>
      <c r="AA8679" s="93">
        <f>4*2</f>
        <v>8</v>
      </c>
      <c r="AB8679" s="93">
        <f>AD8679/AC8677</f>
        <v>10.000000000000002</v>
      </c>
      <c r="AC8679" s="93">
        <f>AC8677/AA8679</f>
        <v>0.95550000000000024</v>
      </c>
      <c r="AD8679" s="94">
        <f>AC8679*Z8679</f>
        <v>76.440000000000026</v>
      </c>
      <c r="AE8679" s="190"/>
      <c r="AF8679" s="191"/>
      <c r="AG8679" s="191"/>
      <c r="AH8679" s="191"/>
      <c r="AI8679" s="186"/>
      <c r="AK8679" s="171"/>
    </row>
    <row r="8680" spans="1:41" s="102" customFormat="1" ht="19.899999999999999" customHeight="1" x14ac:dyDescent="0.25">
      <c r="A8680" s="45"/>
      <c r="B8680" s="59"/>
      <c r="C8680" s="137"/>
      <c r="D8680" s="59"/>
      <c r="E8680" s="116"/>
      <c r="F8680" s="120"/>
      <c r="G8680" s="120"/>
      <c r="H8680" s="120"/>
      <c r="I8680" s="60"/>
      <c r="J8680" s="116"/>
      <c r="K8680" s="213"/>
      <c r="L8680" s="120"/>
      <c r="M8680" s="120"/>
      <c r="N8680" s="167"/>
      <c r="O8680" s="120"/>
      <c r="P8680" s="120"/>
      <c r="Q8680" s="120"/>
      <c r="R8680" s="120"/>
      <c r="S8680" s="120"/>
      <c r="T8680" s="221"/>
      <c r="U8680" s="89"/>
      <c r="V8680" s="61"/>
      <c r="W8680" s="92" t="s">
        <v>65</v>
      </c>
      <c r="X8680" s="93" t="s">
        <v>30</v>
      </c>
      <c r="Y8680" s="93" t="s">
        <v>1011</v>
      </c>
      <c r="Z8680" s="134">
        <f>VLOOKUP(W8680,Sheet2!$B:$D,3,FALSE)</f>
        <v>1.76</v>
      </c>
      <c r="AA8680" s="93">
        <f>AA8679/15</f>
        <v>0.53333333333333333</v>
      </c>
      <c r="AB8680" s="93">
        <f>AD8680/AC8677</f>
        <v>3.3</v>
      </c>
      <c r="AC8680" s="93">
        <f>AC8677/AA8680</f>
        <v>14.332500000000003</v>
      </c>
      <c r="AD8680" s="94">
        <f t="shared" ref="AD8680" si="5934">AC8680*Z8680</f>
        <v>25.225200000000005</v>
      </c>
      <c r="AE8680" s="190"/>
      <c r="AF8680" s="191"/>
      <c r="AG8680" s="191"/>
      <c r="AH8680" s="191"/>
      <c r="AI8680" s="186"/>
      <c r="AK8680" s="171"/>
    </row>
    <row r="8681" spans="1:41" s="102" customFormat="1" ht="19.899999999999999" customHeight="1" x14ac:dyDescent="0.25">
      <c r="A8681" s="45"/>
      <c r="B8681" s="59"/>
      <c r="C8681" s="137"/>
      <c r="D8681" s="59"/>
      <c r="E8681" s="116"/>
      <c r="F8681" s="120"/>
      <c r="G8681" s="120"/>
      <c r="H8681" s="120"/>
      <c r="I8681" s="60"/>
      <c r="J8681" s="116"/>
      <c r="K8681" s="213"/>
      <c r="L8681" s="120"/>
      <c r="M8681" s="120"/>
      <c r="N8681" s="167"/>
      <c r="O8681" s="120"/>
      <c r="P8681" s="120"/>
      <c r="Q8681" s="120"/>
      <c r="R8681" s="120"/>
      <c r="S8681" s="120"/>
      <c r="T8681" s="221"/>
      <c r="U8681" s="89"/>
      <c r="V8681" s="61"/>
      <c r="W8681" s="92" t="s">
        <v>112</v>
      </c>
      <c r="X8681" s="93" t="s">
        <v>31</v>
      </c>
      <c r="Y8681" s="93" t="s">
        <v>93</v>
      </c>
      <c r="Z8681" s="134">
        <f>VLOOKUP(W8681,Sheet2!$B:$D,3,FALSE)</f>
        <v>13</v>
      </c>
      <c r="AA8681" s="93">
        <f>AA8679/2</f>
        <v>4</v>
      </c>
      <c r="AB8681" s="93">
        <f>AD8681/AC8677</f>
        <v>3.25</v>
      </c>
      <c r="AC8681" s="93">
        <f>AC8677/AA8681</f>
        <v>1.9110000000000005</v>
      </c>
      <c r="AD8681" s="94">
        <f>AC8681*Z8681</f>
        <v>24.843000000000007</v>
      </c>
      <c r="AE8681" s="190"/>
      <c r="AF8681" s="191"/>
      <c r="AG8681" s="191"/>
      <c r="AH8681" s="191"/>
      <c r="AI8681" s="186"/>
      <c r="AK8681" s="171"/>
    </row>
    <row r="8682" spans="1:41" s="102" customFormat="1" ht="20.100000000000001" customHeight="1" x14ac:dyDescent="0.25">
      <c r="A8682" s="45" t="s">
        <v>703</v>
      </c>
      <c r="B8682" s="276"/>
      <c r="C8682" s="286" t="s">
        <v>803</v>
      </c>
      <c r="D8682" s="59"/>
      <c r="E8682" s="116"/>
      <c r="F8682" s="120">
        <v>0</v>
      </c>
      <c r="G8682" s="120">
        <f t="shared" si="5545"/>
        <v>0</v>
      </c>
      <c r="H8682" s="120">
        <f t="shared" si="5546"/>
        <v>0</v>
      </c>
      <c r="I8682" s="60">
        <f t="shared" si="5547"/>
        <v>0</v>
      </c>
      <c r="J8682" s="116">
        <f t="shared" si="5548"/>
        <v>0</v>
      </c>
      <c r="K8682" s="213">
        <f t="shared" si="5549"/>
        <v>0</v>
      </c>
      <c r="L8682" s="120"/>
      <c r="M8682" s="120">
        <f t="shared" si="5550"/>
        <v>0</v>
      </c>
      <c r="N8682" s="167">
        <f t="shared" si="5551"/>
        <v>0</v>
      </c>
      <c r="O8682" s="120">
        <f t="shared" si="5552"/>
        <v>0</v>
      </c>
      <c r="P8682" s="120">
        <f t="shared" si="5553"/>
        <v>0</v>
      </c>
      <c r="Q8682" s="120">
        <f t="shared" si="5554"/>
        <v>0</v>
      </c>
      <c r="R8682" s="120">
        <f t="shared" si="5555"/>
        <v>0</v>
      </c>
      <c r="S8682" s="120"/>
      <c r="T8682" s="221">
        <f t="shared" si="5556"/>
        <v>0</v>
      </c>
      <c r="U8682" s="89"/>
      <c r="V8682" s="61"/>
      <c r="W8682" s="92"/>
      <c r="X8682" s="38"/>
      <c r="Y8682" s="93"/>
      <c r="Z8682" s="134"/>
      <c r="AA8682" s="93"/>
      <c r="AB8682" s="93"/>
      <c r="AC8682" s="93"/>
      <c r="AD8682" s="94"/>
      <c r="AE8682" s="190"/>
      <c r="AF8682" s="191"/>
      <c r="AG8682" s="191"/>
      <c r="AH8682" s="191"/>
      <c r="AI8682" s="186"/>
      <c r="AK8682" s="171"/>
    </row>
    <row r="8683" spans="1:41" s="102" customFormat="1" ht="135" x14ac:dyDescent="0.25">
      <c r="A8683" s="45" t="s">
        <v>703</v>
      </c>
      <c r="B8683" s="276"/>
      <c r="C8683" s="286" t="s">
        <v>804</v>
      </c>
      <c r="D8683" s="59"/>
      <c r="E8683" s="116"/>
      <c r="F8683" s="120"/>
      <c r="G8683" s="120"/>
      <c r="H8683" s="120"/>
      <c r="I8683" s="60"/>
      <c r="J8683" s="116"/>
      <c r="K8683" s="213"/>
      <c r="L8683" s="120"/>
      <c r="M8683" s="120"/>
      <c r="N8683" s="167"/>
      <c r="O8683" s="120"/>
      <c r="P8683" s="120"/>
      <c r="Q8683" s="120"/>
      <c r="R8683" s="120"/>
      <c r="S8683" s="120"/>
      <c r="T8683" s="221"/>
      <c r="U8683" s="89"/>
      <c r="V8683" s="61"/>
      <c r="W8683" s="92"/>
      <c r="X8683" s="38"/>
      <c r="Y8683" s="93"/>
      <c r="Z8683" s="134"/>
      <c r="AA8683" s="93"/>
      <c r="AB8683" s="93"/>
      <c r="AC8683" s="93"/>
      <c r="AD8683" s="94"/>
      <c r="AE8683" s="190"/>
      <c r="AF8683" s="191"/>
      <c r="AG8683" s="191"/>
      <c r="AH8683" s="191"/>
      <c r="AI8683" s="186"/>
      <c r="AK8683" s="171"/>
    </row>
    <row r="8684" spans="1:41" s="102" customFormat="1" ht="20.100000000000001" customHeight="1" x14ac:dyDescent="0.25">
      <c r="A8684" s="45" t="s">
        <v>703</v>
      </c>
      <c r="B8684" s="276"/>
      <c r="C8684" s="286" t="s">
        <v>805</v>
      </c>
      <c r="D8684" s="59"/>
      <c r="E8684" s="116"/>
      <c r="F8684" s="120"/>
      <c r="G8684" s="120"/>
      <c r="H8684" s="120"/>
      <c r="I8684" s="60"/>
      <c r="J8684" s="116"/>
      <c r="K8684" s="213"/>
      <c r="L8684" s="120"/>
      <c r="M8684" s="120"/>
      <c r="N8684" s="167"/>
      <c r="O8684" s="120"/>
      <c r="P8684" s="120"/>
      <c r="Q8684" s="120"/>
      <c r="R8684" s="120"/>
      <c r="S8684" s="120"/>
      <c r="T8684" s="221"/>
      <c r="U8684" s="89"/>
      <c r="V8684" s="61"/>
      <c r="W8684" s="92"/>
      <c r="X8684" s="38"/>
      <c r="Y8684" s="93"/>
      <c r="Z8684" s="134"/>
      <c r="AA8684" s="93"/>
      <c r="AB8684" s="93"/>
      <c r="AC8684" s="93"/>
      <c r="AD8684" s="94"/>
      <c r="AE8684" s="190"/>
      <c r="AF8684" s="191"/>
      <c r="AG8684" s="191"/>
      <c r="AH8684" s="191"/>
      <c r="AI8684" s="186"/>
      <c r="AK8684" s="171"/>
    </row>
    <row r="8685" spans="1:41" s="102" customFormat="1" ht="20.100000000000001" customHeight="1" x14ac:dyDescent="0.25">
      <c r="A8685" s="45" t="s">
        <v>703</v>
      </c>
      <c r="B8685" s="276"/>
      <c r="C8685" s="286" t="s">
        <v>806</v>
      </c>
      <c r="D8685" s="59"/>
      <c r="E8685" s="116"/>
      <c r="F8685" s="120"/>
      <c r="G8685" s="120"/>
      <c r="H8685" s="120"/>
      <c r="I8685" s="60"/>
      <c r="J8685" s="116"/>
      <c r="K8685" s="213"/>
      <c r="L8685" s="120"/>
      <c r="M8685" s="120"/>
      <c r="N8685" s="167"/>
      <c r="O8685" s="120"/>
      <c r="P8685" s="120"/>
      <c r="Q8685" s="120"/>
      <c r="R8685" s="120"/>
      <c r="S8685" s="120"/>
      <c r="T8685" s="221"/>
      <c r="U8685" s="89"/>
      <c r="V8685" s="61"/>
      <c r="W8685" s="92"/>
      <c r="X8685" s="38"/>
      <c r="Y8685" s="93"/>
      <c r="Z8685" s="134"/>
      <c r="AA8685" s="93"/>
      <c r="AB8685" s="93"/>
      <c r="AC8685" s="93"/>
      <c r="AD8685" s="94"/>
      <c r="AE8685" s="190"/>
      <c r="AF8685" s="191"/>
      <c r="AG8685" s="191"/>
      <c r="AH8685" s="191"/>
      <c r="AI8685" s="186"/>
      <c r="AK8685" s="171"/>
    </row>
    <row r="8686" spans="1:41" s="102" customFormat="1" ht="20.100000000000001" customHeight="1" x14ac:dyDescent="0.25">
      <c r="A8686" s="45" t="s">
        <v>703</v>
      </c>
      <c r="B8686" s="276"/>
      <c r="C8686" s="286" t="s">
        <v>807</v>
      </c>
      <c r="D8686" s="59"/>
      <c r="E8686" s="116"/>
      <c r="F8686" s="120"/>
      <c r="G8686" s="120"/>
      <c r="H8686" s="120"/>
      <c r="I8686" s="60"/>
      <c r="J8686" s="116"/>
      <c r="K8686" s="213"/>
      <c r="L8686" s="120"/>
      <c r="M8686" s="120"/>
      <c r="N8686" s="167"/>
      <c r="O8686" s="120"/>
      <c r="P8686" s="120"/>
      <c r="Q8686" s="120"/>
      <c r="R8686" s="120"/>
      <c r="S8686" s="120"/>
      <c r="T8686" s="221"/>
      <c r="U8686" s="89"/>
      <c r="V8686" s="61"/>
      <c r="W8686" s="92"/>
      <c r="X8686" s="38"/>
      <c r="Y8686" s="93"/>
      <c r="Z8686" s="134"/>
      <c r="AA8686" s="93"/>
      <c r="AB8686" s="93"/>
      <c r="AC8686" s="93"/>
      <c r="AD8686" s="94"/>
      <c r="AE8686" s="190"/>
      <c r="AF8686" s="191"/>
      <c r="AG8686" s="191"/>
      <c r="AH8686" s="191"/>
      <c r="AI8686" s="186"/>
      <c r="AK8686" s="171"/>
    </row>
    <row r="8687" spans="1:41" ht="20.100000000000001" customHeight="1" x14ac:dyDescent="0.25">
      <c r="A8687" s="277" t="s">
        <v>703</v>
      </c>
      <c r="B8687" s="278"/>
      <c r="C8687" s="64" t="s">
        <v>809</v>
      </c>
      <c r="D8687" s="46" t="s">
        <v>215</v>
      </c>
      <c r="E8687" s="114">
        <v>2</v>
      </c>
      <c r="F8687" s="44">
        <v>11392</v>
      </c>
      <c r="G8687" s="44">
        <f t="shared" si="5545"/>
        <v>22784</v>
      </c>
      <c r="H8687" s="44">
        <f t="shared" si="5546"/>
        <v>6056.6049403733341</v>
      </c>
      <c r="I8687" s="43">
        <f t="shared" si="5547"/>
        <v>12113.209880746668</v>
      </c>
      <c r="J8687" s="112">
        <f t="shared" si="5548"/>
        <v>2</v>
      </c>
      <c r="K8687" s="211">
        <f t="shared" si="5549"/>
        <v>2</v>
      </c>
      <c r="L8687" s="44"/>
      <c r="M8687" s="44">
        <f t="shared" si="5550"/>
        <v>2</v>
      </c>
      <c r="N8687" s="173">
        <f t="shared" si="5551"/>
        <v>1</v>
      </c>
      <c r="O8687" s="44">
        <f t="shared" si="5552"/>
        <v>11392</v>
      </c>
      <c r="P8687" s="44">
        <f t="shared" si="5553"/>
        <v>22784</v>
      </c>
      <c r="Q8687" s="44">
        <f t="shared" si="5554"/>
        <v>6056.6049403733341</v>
      </c>
      <c r="R8687" s="44">
        <f t="shared" si="5555"/>
        <v>12113.209880746668</v>
      </c>
      <c r="S8687" s="123"/>
      <c r="T8687" s="219">
        <f t="shared" si="5556"/>
        <v>12113.209880746668</v>
      </c>
      <c r="U8687" s="87"/>
      <c r="V8687" s="47"/>
      <c r="W8687" s="48"/>
      <c r="X8687" s="48"/>
      <c r="Y8687" s="48"/>
      <c r="Z8687" s="135"/>
      <c r="AA8687" s="49"/>
      <c r="AB8687" s="50">
        <f t="shared" si="5557"/>
        <v>6056.6049403733341</v>
      </c>
      <c r="AC8687" s="42">
        <f t="shared" si="5558"/>
        <v>2</v>
      </c>
      <c r="AD8687" s="90">
        <f>AD8688+AD8693+AD8700+AD8707</f>
        <v>12113.209880746668</v>
      </c>
      <c r="AE8687" s="188">
        <f t="shared" ref="AE8687:AH8687" si="5935">AE8688+AE8693+AE8700+AE8707</f>
        <v>0</v>
      </c>
      <c r="AF8687" s="189">
        <f t="shared" si="5935"/>
        <v>0</v>
      </c>
      <c r="AG8687" s="189">
        <f t="shared" si="5935"/>
        <v>0</v>
      </c>
      <c r="AH8687" s="189">
        <f t="shared" si="5935"/>
        <v>0</v>
      </c>
      <c r="AI8687" s="161">
        <f t="shared" ref="AI8687" si="5936">SUM(AE8687:AH8687)</f>
        <v>0</v>
      </c>
      <c r="AK8687" s="169">
        <v>5</v>
      </c>
      <c r="AO8687" s="19" t="s">
        <v>63</v>
      </c>
    </row>
    <row r="8688" spans="1:41" s="103" customFormat="1" ht="19.899999999999999" customHeight="1" x14ac:dyDescent="0.25">
      <c r="A8688" s="51"/>
      <c r="B8688" s="52"/>
      <c r="C8688" s="165"/>
      <c r="D8688" s="52"/>
      <c r="E8688" s="115"/>
      <c r="F8688" s="58"/>
      <c r="G8688" s="58"/>
      <c r="H8688" s="58"/>
      <c r="I8688" s="55"/>
      <c r="J8688" s="113">
        <f>J8687</f>
        <v>2</v>
      </c>
      <c r="K8688" s="212">
        <f>K8687</f>
        <v>2</v>
      </c>
      <c r="L8688" s="58"/>
      <c r="M8688" s="58">
        <f>K8688-L8688</f>
        <v>2</v>
      </c>
      <c r="N8688" s="166"/>
      <c r="O8688" s="58"/>
      <c r="P8688" s="58"/>
      <c r="Q8688" s="58"/>
      <c r="R8688" s="58"/>
      <c r="S8688" s="58"/>
      <c r="T8688" s="220"/>
      <c r="U8688" s="88"/>
      <c r="V8688" s="56"/>
      <c r="W8688" s="57" t="s">
        <v>1485</v>
      </c>
      <c r="X8688" s="53"/>
      <c r="Y8688" s="91" t="s">
        <v>35</v>
      </c>
      <c r="Z8688" s="136">
        <f>AD8688/AC8688</f>
        <v>50.276078431372554</v>
      </c>
      <c r="AA8688" s="58"/>
      <c r="AB8688" s="53">
        <f>AD8688/AC8688</f>
        <v>50.276078431372554</v>
      </c>
      <c r="AC8688" s="53">
        <f>M8688+$AE$10</f>
        <v>2</v>
      </c>
      <c r="AD8688" s="54">
        <f>SUM(AD8689:AD8692)</f>
        <v>100.55215686274511</v>
      </c>
      <c r="AE8688" s="184">
        <f>SUMIFS($AD$37:$AD$12971,$V$37:$V$12971,$V8688,$X$37:$X$12971,AE$13)</f>
        <v>0</v>
      </c>
      <c r="AF8688" s="185">
        <f>SUMIFS($AD$37:$AD$12971,$V$37:$V$12971,$V8688,$X$37:$X$12971,AF$13)</f>
        <v>0</v>
      </c>
      <c r="AG8688" s="185">
        <f>SUMIFS($AD$37:$AD$12971,$V$37:$V$12971,$V8688,$X$37:$X$12971,AG$13)</f>
        <v>0</v>
      </c>
      <c r="AH8688" s="187">
        <f>SUMIFS($AD$37:$AD$12971,$V$37:$V$12971,$V8688,$X$37:$X$12971,AH$13)</f>
        <v>0</v>
      </c>
      <c r="AI8688" s="161">
        <f t="shared" ref="AI8688" si="5937">SUM(AE8688:AH8688)</f>
        <v>0</v>
      </c>
      <c r="AK8688" s="172"/>
    </row>
    <row r="8689" spans="1:37" s="102" customFormat="1" ht="19.899999999999999" customHeight="1" x14ac:dyDescent="0.25">
      <c r="A8689" s="45"/>
      <c r="B8689" s="59"/>
      <c r="C8689" s="137"/>
      <c r="D8689" s="59"/>
      <c r="E8689" s="116"/>
      <c r="F8689" s="120"/>
      <c r="G8689" s="120"/>
      <c r="H8689" s="120"/>
      <c r="I8689" s="60"/>
      <c r="J8689" s="116"/>
      <c r="K8689" s="213"/>
      <c r="L8689" s="120"/>
      <c r="M8689" s="120"/>
      <c r="N8689" s="167"/>
      <c r="O8689" s="120"/>
      <c r="P8689" s="120"/>
      <c r="Q8689" s="120"/>
      <c r="R8689" s="120"/>
      <c r="S8689" s="120"/>
      <c r="T8689" s="221"/>
      <c r="U8689" s="89"/>
      <c r="V8689" s="61"/>
      <c r="W8689" s="92" t="s">
        <v>129</v>
      </c>
      <c r="X8689" s="93" t="s">
        <v>29</v>
      </c>
      <c r="Y8689" s="93" t="s">
        <v>93</v>
      </c>
      <c r="Z8689" s="134">
        <f>VLOOKUP(W8689,Sheet2!$B:$D,3,FALSE)</f>
        <v>56</v>
      </c>
      <c r="AA8689" s="93">
        <f>100/(2.5*2.5*2)</f>
        <v>8</v>
      </c>
      <c r="AB8689" s="93">
        <f t="shared" ref="AB8689" si="5938">AD8689/AC8688</f>
        <v>7</v>
      </c>
      <c r="AC8689" s="93">
        <f>AC8688/AA8689</f>
        <v>0.25</v>
      </c>
      <c r="AD8689" s="94">
        <f t="shared" ref="AD8689:AD8690" si="5939">AC8689*Z8689</f>
        <v>14</v>
      </c>
      <c r="AE8689" s="190"/>
      <c r="AF8689" s="191"/>
      <c r="AG8689" s="191"/>
      <c r="AH8689" s="191"/>
      <c r="AI8689" s="186"/>
      <c r="AK8689" s="171"/>
    </row>
    <row r="8690" spans="1:37" s="102" customFormat="1" ht="19.899999999999999" customHeight="1" x14ac:dyDescent="0.25">
      <c r="A8690" s="45"/>
      <c r="B8690" s="59"/>
      <c r="C8690" s="137"/>
      <c r="D8690" s="59"/>
      <c r="E8690" s="116"/>
      <c r="F8690" s="120"/>
      <c r="G8690" s="120"/>
      <c r="H8690" s="120"/>
      <c r="I8690" s="60"/>
      <c r="J8690" s="116"/>
      <c r="K8690" s="213"/>
      <c r="L8690" s="120"/>
      <c r="M8690" s="120"/>
      <c r="N8690" s="167"/>
      <c r="O8690" s="120"/>
      <c r="P8690" s="120"/>
      <c r="Q8690" s="120"/>
      <c r="R8690" s="120"/>
      <c r="S8690" s="120"/>
      <c r="T8690" s="221"/>
      <c r="U8690" s="89"/>
      <c r="V8690" s="61"/>
      <c r="W8690" s="92" t="s">
        <v>65</v>
      </c>
      <c r="X8690" s="93" t="s">
        <v>30</v>
      </c>
      <c r="Y8690" s="93" t="s">
        <v>1011</v>
      </c>
      <c r="Z8690" s="134">
        <f>VLOOKUP(W8690,Sheet2!$B:$D,3,FALSE)</f>
        <v>1.76</v>
      </c>
      <c r="AA8690" s="93">
        <f>AA8689/14</f>
        <v>0.5714285714285714</v>
      </c>
      <c r="AB8690" s="93">
        <f>AD8690/AC8688</f>
        <v>3.08</v>
      </c>
      <c r="AC8690" s="93">
        <f>AC8688/AA8690</f>
        <v>3.5</v>
      </c>
      <c r="AD8690" s="94">
        <f t="shared" si="5939"/>
        <v>6.16</v>
      </c>
      <c r="AE8690" s="190"/>
      <c r="AF8690" s="191"/>
      <c r="AG8690" s="191"/>
      <c r="AH8690" s="191"/>
      <c r="AI8690" s="186"/>
      <c r="AK8690" s="171"/>
    </row>
    <row r="8691" spans="1:37" s="102" customFormat="1" ht="19.899999999999999" customHeight="1" x14ac:dyDescent="0.25">
      <c r="A8691" s="45"/>
      <c r="B8691" s="59"/>
      <c r="C8691" s="137"/>
      <c r="D8691" s="59"/>
      <c r="E8691" s="116"/>
      <c r="F8691" s="120"/>
      <c r="G8691" s="120"/>
      <c r="H8691" s="120"/>
      <c r="I8691" s="60"/>
      <c r="J8691" s="116"/>
      <c r="K8691" s="213"/>
      <c r="L8691" s="120"/>
      <c r="M8691" s="120"/>
      <c r="N8691" s="167"/>
      <c r="O8691" s="120"/>
      <c r="P8691" s="120"/>
      <c r="Q8691" s="120"/>
      <c r="R8691" s="120"/>
      <c r="S8691" s="120"/>
      <c r="T8691" s="221"/>
      <c r="U8691" s="89"/>
      <c r="V8691" s="61"/>
      <c r="W8691" s="92" t="s">
        <v>161</v>
      </c>
      <c r="X8691" s="93" t="s">
        <v>29</v>
      </c>
      <c r="Y8691" s="93" t="s">
        <v>93</v>
      </c>
      <c r="Z8691" s="134">
        <f>VLOOKUP(W8691,Sheet2!$B:$D,3,FALSE)</f>
        <v>48</v>
      </c>
      <c r="AA8691" s="93">
        <f>(16*0.85*1.5)/(2.5*2.5*2)</f>
        <v>1.6319999999999999</v>
      </c>
      <c r="AB8691" s="93">
        <f>AD8691/AC8688</f>
        <v>29.411764705882355</v>
      </c>
      <c r="AC8691" s="93">
        <f>AC8688/AA8691</f>
        <v>1.2254901960784315</v>
      </c>
      <c r="AD8691" s="94">
        <f>AC8691*Z8691</f>
        <v>58.82352941176471</v>
      </c>
      <c r="AE8691" s="190"/>
      <c r="AF8691" s="191"/>
      <c r="AG8691" s="191"/>
      <c r="AH8691" s="191"/>
      <c r="AI8691" s="186"/>
      <c r="AK8691" s="171"/>
    </row>
    <row r="8692" spans="1:37" s="102" customFormat="1" ht="19.899999999999999" customHeight="1" x14ac:dyDescent="0.25">
      <c r="A8692" s="45"/>
      <c r="B8692" s="59"/>
      <c r="C8692" s="137"/>
      <c r="D8692" s="59"/>
      <c r="E8692" s="116"/>
      <c r="F8692" s="120"/>
      <c r="G8692" s="120"/>
      <c r="H8692" s="120"/>
      <c r="I8692" s="60"/>
      <c r="J8692" s="116"/>
      <c r="K8692" s="213"/>
      <c r="L8692" s="120"/>
      <c r="M8692" s="120"/>
      <c r="N8692" s="167"/>
      <c r="O8692" s="120"/>
      <c r="P8692" s="120"/>
      <c r="Q8692" s="120"/>
      <c r="R8692" s="120"/>
      <c r="S8692" s="120"/>
      <c r="T8692" s="221"/>
      <c r="U8692" s="89"/>
      <c r="V8692" s="61"/>
      <c r="W8692" s="92" t="s">
        <v>65</v>
      </c>
      <c r="X8692" s="93" t="s">
        <v>30</v>
      </c>
      <c r="Y8692" s="93" t="s">
        <v>1011</v>
      </c>
      <c r="Z8692" s="134">
        <f>VLOOKUP(W8692,Sheet2!$B:$D,3,FALSE)</f>
        <v>1.76</v>
      </c>
      <c r="AA8692" s="93">
        <f>AA8691/10</f>
        <v>0.16319999999999998</v>
      </c>
      <c r="AB8692" s="93">
        <f>AD8692/AC8688</f>
        <v>10.784313725490197</v>
      </c>
      <c r="AC8692" s="93">
        <f>AC8688/AA8692</f>
        <v>12.254901960784315</v>
      </c>
      <c r="AD8692" s="94">
        <f>AC8692*Z8692</f>
        <v>21.568627450980394</v>
      </c>
      <c r="AE8692" s="190"/>
      <c r="AF8692" s="191"/>
      <c r="AG8692" s="191"/>
      <c r="AH8692" s="191"/>
      <c r="AI8692" s="186"/>
      <c r="AK8692" s="171"/>
    </row>
    <row r="8693" spans="1:37" s="103" customFormat="1" ht="19.899999999999999" customHeight="1" x14ac:dyDescent="0.25">
      <c r="A8693" s="51"/>
      <c r="B8693" s="52"/>
      <c r="C8693" s="165"/>
      <c r="D8693" s="52"/>
      <c r="E8693" s="115"/>
      <c r="F8693" s="58"/>
      <c r="G8693" s="58"/>
      <c r="H8693" s="58"/>
      <c r="I8693" s="55"/>
      <c r="J8693" s="113">
        <f>J8687</f>
        <v>2</v>
      </c>
      <c r="K8693" s="212">
        <f>K8687</f>
        <v>2</v>
      </c>
      <c r="L8693" s="58"/>
      <c r="M8693" s="58">
        <f>K8693-L8693</f>
        <v>2</v>
      </c>
      <c r="N8693" s="166"/>
      <c r="O8693" s="58"/>
      <c r="P8693" s="58"/>
      <c r="Q8693" s="58"/>
      <c r="R8693" s="58"/>
      <c r="S8693" s="58"/>
      <c r="T8693" s="220"/>
      <c r="U8693" s="88"/>
      <c r="V8693" s="56"/>
      <c r="W8693" s="57" t="s">
        <v>1486</v>
      </c>
      <c r="X8693" s="53"/>
      <c r="Y8693" s="91" t="s">
        <v>35</v>
      </c>
      <c r="Z8693" s="136">
        <f>AD8693/AC8693</f>
        <v>1432.6960000000001</v>
      </c>
      <c r="AA8693" s="58"/>
      <c r="AB8693" s="53">
        <f>AD8693/AC8693</f>
        <v>1432.6960000000001</v>
      </c>
      <c r="AC8693" s="53">
        <f>M8693+$AE$10</f>
        <v>2</v>
      </c>
      <c r="AD8693" s="54">
        <f>SUM(AD8694:AD8699)</f>
        <v>2865.3920000000003</v>
      </c>
      <c r="AE8693" s="184">
        <f>SUMIFS($AD$37:$AD$12971,$V$37:$V$12971,$V8693,$X$37:$X$12971,AE$13)</f>
        <v>0</v>
      </c>
      <c r="AF8693" s="185">
        <f>SUMIFS($AD$37:$AD$12971,$V$37:$V$12971,$V8693,$X$37:$X$12971,AF$13)</f>
        <v>0</v>
      </c>
      <c r="AG8693" s="185">
        <f>SUMIFS($AD$37:$AD$12971,$V$37:$V$12971,$V8693,$X$37:$X$12971,AG$13)</f>
        <v>0</v>
      </c>
      <c r="AH8693" s="187">
        <f>SUMIFS($AD$37:$AD$12971,$V$37:$V$12971,$V8693,$X$37:$X$12971,AH$13)</f>
        <v>0</v>
      </c>
      <c r="AI8693" s="161">
        <f t="shared" ref="AI8693" si="5940">SUM(AE8693:AH8693)</f>
        <v>0</v>
      </c>
      <c r="AK8693" s="172"/>
    </row>
    <row r="8694" spans="1:37" s="102" customFormat="1" ht="19.899999999999999" customHeight="1" x14ac:dyDescent="0.25">
      <c r="A8694" s="45"/>
      <c r="B8694" s="59"/>
      <c r="C8694" s="137"/>
      <c r="D8694" s="59"/>
      <c r="E8694" s="116"/>
      <c r="F8694" s="120"/>
      <c r="G8694" s="120"/>
      <c r="H8694" s="120"/>
      <c r="I8694" s="60"/>
      <c r="J8694" s="116"/>
      <c r="K8694" s="213"/>
      <c r="L8694" s="120"/>
      <c r="M8694" s="120"/>
      <c r="N8694" s="167"/>
      <c r="O8694" s="120"/>
      <c r="P8694" s="120"/>
      <c r="Q8694" s="120"/>
      <c r="R8694" s="120"/>
      <c r="S8694" s="120"/>
      <c r="T8694" s="221"/>
      <c r="U8694" s="89"/>
      <c r="V8694" s="61"/>
      <c r="W8694" s="92" t="s">
        <v>1032</v>
      </c>
      <c r="X8694" s="93" t="s">
        <v>30</v>
      </c>
      <c r="Y8694" s="93" t="s">
        <v>66</v>
      </c>
      <c r="Z8694" s="134">
        <f>VLOOKUP(W8694,Sheet2!$B:$D,3,FALSE)</f>
        <v>250</v>
      </c>
      <c r="AA8694" s="93">
        <f>1/(2.1*2.1*0.1)</f>
        <v>2.2675736961451243</v>
      </c>
      <c r="AB8694" s="93">
        <f>AD8694/AC8700</f>
        <v>110.25000000000001</v>
      </c>
      <c r="AC8694" s="93">
        <f>AC8700/AA8694</f>
        <v>0.88200000000000012</v>
      </c>
      <c r="AD8694" s="94">
        <f t="shared" ref="AD8694:AD8696" si="5941">AC8694*Z8694</f>
        <v>220.50000000000003</v>
      </c>
      <c r="AE8694" s="190"/>
      <c r="AF8694" s="191"/>
      <c r="AG8694" s="191"/>
      <c r="AH8694" s="191"/>
      <c r="AI8694" s="186"/>
      <c r="AK8694" s="171"/>
    </row>
    <row r="8695" spans="1:37" s="102" customFormat="1" ht="19.899999999999999" customHeight="1" x14ac:dyDescent="0.25">
      <c r="A8695" s="45"/>
      <c r="B8695" s="59"/>
      <c r="C8695" s="137"/>
      <c r="D8695" s="59"/>
      <c r="E8695" s="116"/>
      <c r="F8695" s="120"/>
      <c r="G8695" s="120"/>
      <c r="H8695" s="120"/>
      <c r="I8695" s="60"/>
      <c r="J8695" s="116"/>
      <c r="K8695" s="213"/>
      <c r="L8695" s="120"/>
      <c r="M8695" s="120"/>
      <c r="N8695" s="167"/>
      <c r="O8695" s="120"/>
      <c r="P8695" s="120"/>
      <c r="Q8695" s="120"/>
      <c r="R8695" s="120"/>
      <c r="S8695" s="120"/>
      <c r="T8695" s="221"/>
      <c r="U8695" s="89"/>
      <c r="V8695" s="61"/>
      <c r="W8695" s="92" t="s">
        <v>1353</v>
      </c>
      <c r="X8695" s="93" t="s">
        <v>30</v>
      </c>
      <c r="Y8695" s="93" t="s">
        <v>66</v>
      </c>
      <c r="Z8695" s="134">
        <f>VLOOKUP(W8695,Sheet2!$B:$D,3,FALSE)</f>
        <v>350</v>
      </c>
      <c r="AA8695" s="93">
        <f>1/(2*2*0.3)</f>
        <v>0.83333333333333337</v>
      </c>
      <c r="AB8695" s="93">
        <f>AD8695/AC8700</f>
        <v>420</v>
      </c>
      <c r="AC8695" s="93">
        <f>AC8700/AA8695</f>
        <v>2.4</v>
      </c>
      <c r="AD8695" s="94">
        <f t="shared" si="5941"/>
        <v>840</v>
      </c>
      <c r="AE8695" s="190"/>
      <c r="AF8695" s="191"/>
      <c r="AG8695" s="191"/>
      <c r="AH8695" s="191"/>
      <c r="AI8695" s="186"/>
      <c r="AK8695" s="171"/>
    </row>
    <row r="8696" spans="1:37" s="102" customFormat="1" ht="19.899999999999999" customHeight="1" x14ac:dyDescent="0.25">
      <c r="A8696" s="45"/>
      <c r="B8696" s="59"/>
      <c r="C8696" s="137"/>
      <c r="D8696" s="59"/>
      <c r="E8696" s="116"/>
      <c r="F8696" s="120"/>
      <c r="G8696" s="120"/>
      <c r="H8696" s="120"/>
      <c r="I8696" s="60"/>
      <c r="J8696" s="116"/>
      <c r="K8696" s="213"/>
      <c r="L8696" s="120"/>
      <c r="M8696" s="120"/>
      <c r="N8696" s="167"/>
      <c r="O8696" s="120"/>
      <c r="P8696" s="120"/>
      <c r="Q8696" s="120"/>
      <c r="R8696" s="120"/>
      <c r="S8696" s="120"/>
      <c r="T8696" s="221"/>
      <c r="U8696" s="89"/>
      <c r="V8696" s="61"/>
      <c r="W8696" s="92" t="s">
        <v>99</v>
      </c>
      <c r="X8696" s="93" t="s">
        <v>30</v>
      </c>
      <c r="Y8696" s="93" t="s">
        <v>67</v>
      </c>
      <c r="Z8696" s="134">
        <f>VLOOKUP(W8696,Sheet2!$B:$D,3,FALSE)</f>
        <v>2500</v>
      </c>
      <c r="AA8696" s="93">
        <f>AA8695/0.08</f>
        <v>10.416666666666666</v>
      </c>
      <c r="AB8696" s="93">
        <f>AD8696/AC8700</f>
        <v>240</v>
      </c>
      <c r="AC8696" s="93">
        <f>AC8700/AA8696</f>
        <v>0.192</v>
      </c>
      <c r="AD8696" s="94">
        <f t="shared" si="5941"/>
        <v>480</v>
      </c>
      <c r="AE8696" s="190"/>
      <c r="AF8696" s="191"/>
      <c r="AG8696" s="191"/>
      <c r="AH8696" s="191"/>
      <c r="AI8696" s="186"/>
      <c r="AK8696" s="171"/>
    </row>
    <row r="8697" spans="1:37" s="102" customFormat="1" ht="19.899999999999999" customHeight="1" x14ac:dyDescent="0.25">
      <c r="A8697" s="45"/>
      <c r="B8697" s="59"/>
      <c r="C8697" s="137"/>
      <c r="D8697" s="59"/>
      <c r="E8697" s="116"/>
      <c r="F8697" s="120"/>
      <c r="G8697" s="120"/>
      <c r="H8697" s="120"/>
      <c r="I8697" s="60"/>
      <c r="J8697" s="116"/>
      <c r="K8697" s="213"/>
      <c r="L8697" s="120"/>
      <c r="M8697" s="120"/>
      <c r="N8697" s="167"/>
      <c r="O8697" s="120"/>
      <c r="P8697" s="120"/>
      <c r="Q8697" s="120"/>
      <c r="R8697" s="120"/>
      <c r="S8697" s="120"/>
      <c r="T8697" s="221"/>
      <c r="U8697" s="89"/>
      <c r="V8697" s="61"/>
      <c r="W8697" s="92" t="s">
        <v>1354</v>
      </c>
      <c r="X8697" s="93" t="s">
        <v>32</v>
      </c>
      <c r="Y8697" s="93" t="s">
        <v>66</v>
      </c>
      <c r="Z8697" s="134">
        <f>VLOOKUP(W8697,Sheet2!$B:$D,3,FALSE)</f>
        <v>150</v>
      </c>
      <c r="AA8697" s="93">
        <f>AA8694</f>
        <v>2.2675736961451243</v>
      </c>
      <c r="AB8697" s="93">
        <f>AD8697/AC8700</f>
        <v>66.150000000000006</v>
      </c>
      <c r="AC8697" s="93">
        <f>AC8700/AA8697</f>
        <v>0.88200000000000012</v>
      </c>
      <c r="AD8697" s="94">
        <f>AC8697*Z8697</f>
        <v>132.30000000000001</v>
      </c>
      <c r="AE8697" s="190"/>
      <c r="AF8697" s="191"/>
      <c r="AG8697" s="191"/>
      <c r="AH8697" s="191"/>
      <c r="AI8697" s="186"/>
      <c r="AK8697" s="171"/>
    </row>
    <row r="8698" spans="1:37" s="102" customFormat="1" ht="19.899999999999999" customHeight="1" x14ac:dyDescent="0.25">
      <c r="A8698" s="45"/>
      <c r="B8698" s="59"/>
      <c r="C8698" s="137"/>
      <c r="D8698" s="59"/>
      <c r="E8698" s="116"/>
      <c r="F8698" s="120"/>
      <c r="G8698" s="120"/>
      <c r="H8698" s="120"/>
      <c r="I8698" s="60"/>
      <c r="J8698" s="116"/>
      <c r="K8698" s="213"/>
      <c r="L8698" s="120"/>
      <c r="M8698" s="120"/>
      <c r="N8698" s="167"/>
      <c r="O8698" s="120"/>
      <c r="P8698" s="120"/>
      <c r="Q8698" s="120"/>
      <c r="R8698" s="120"/>
      <c r="S8698" s="120"/>
      <c r="T8698" s="221"/>
      <c r="U8698" s="89"/>
      <c r="V8698" s="61"/>
      <c r="W8698" s="92" t="s">
        <v>1355</v>
      </c>
      <c r="X8698" s="93" t="s">
        <v>32</v>
      </c>
      <c r="Y8698" s="93" t="s">
        <v>66</v>
      </c>
      <c r="Z8698" s="134">
        <f>VLOOKUP(W8698,Sheet2!$B:$D,3,FALSE)</f>
        <v>450</v>
      </c>
      <c r="AA8698" s="93">
        <f>AA8695</f>
        <v>0.83333333333333337</v>
      </c>
      <c r="AB8698" s="93">
        <f>AD8698/AC8700</f>
        <v>540</v>
      </c>
      <c r="AC8698" s="93">
        <f>AC8700/AA8698</f>
        <v>2.4</v>
      </c>
      <c r="AD8698" s="94">
        <f>AC8698*Z8698</f>
        <v>1080</v>
      </c>
      <c r="AE8698" s="190"/>
      <c r="AF8698" s="191"/>
      <c r="AG8698" s="191"/>
      <c r="AH8698" s="191"/>
      <c r="AI8698" s="186"/>
      <c r="AK8698" s="171"/>
    </row>
    <row r="8699" spans="1:37" s="102" customFormat="1" ht="19.899999999999999" customHeight="1" x14ac:dyDescent="0.25">
      <c r="A8699" s="45"/>
      <c r="B8699" s="59"/>
      <c r="C8699" s="137"/>
      <c r="D8699" s="59"/>
      <c r="E8699" s="116"/>
      <c r="F8699" s="120"/>
      <c r="G8699" s="120"/>
      <c r="H8699" s="120"/>
      <c r="I8699" s="60"/>
      <c r="J8699" s="116"/>
      <c r="K8699" s="213"/>
      <c r="L8699" s="120"/>
      <c r="M8699" s="120"/>
      <c r="N8699" s="167"/>
      <c r="O8699" s="120"/>
      <c r="P8699" s="120"/>
      <c r="Q8699" s="120"/>
      <c r="R8699" s="120"/>
      <c r="S8699" s="120"/>
      <c r="T8699" s="221"/>
      <c r="U8699" s="89"/>
      <c r="V8699" s="61"/>
      <c r="W8699" s="92" t="s">
        <v>124</v>
      </c>
      <c r="X8699" s="93" t="s">
        <v>32</v>
      </c>
      <c r="Y8699" s="93" t="s">
        <v>64</v>
      </c>
      <c r="Z8699" s="134">
        <f>VLOOKUP(W8699,Sheet2!$B:$D,3,FALSE)</f>
        <v>10</v>
      </c>
      <c r="AA8699" s="93">
        <f>1/((2.6*2.6)-(3.14*1.2*1.2/4))</f>
        <v>0.17763251385533604</v>
      </c>
      <c r="AB8699" s="93">
        <f t="shared" ref="AB8699" si="5942">AD8699/AC8693</f>
        <v>56.296000000000006</v>
      </c>
      <c r="AC8699" s="93">
        <f>AC8693/AA8699</f>
        <v>11.259200000000002</v>
      </c>
      <c r="AD8699" s="94">
        <f t="shared" ref="AD8699" si="5943">AC8699*Z8699</f>
        <v>112.59200000000001</v>
      </c>
      <c r="AE8699" s="190"/>
      <c r="AF8699" s="191"/>
      <c r="AG8699" s="191"/>
      <c r="AH8699" s="191"/>
      <c r="AI8699" s="186"/>
      <c r="AK8699" s="171"/>
    </row>
    <row r="8700" spans="1:37" s="103" customFormat="1" ht="19.899999999999999" customHeight="1" x14ac:dyDescent="0.25">
      <c r="A8700" s="51"/>
      <c r="B8700" s="52"/>
      <c r="C8700" s="165"/>
      <c r="D8700" s="52"/>
      <c r="E8700" s="115"/>
      <c r="F8700" s="58"/>
      <c r="G8700" s="58"/>
      <c r="H8700" s="58"/>
      <c r="I8700" s="55"/>
      <c r="J8700" s="113">
        <f>J8687</f>
        <v>2</v>
      </c>
      <c r="K8700" s="212">
        <f>K8687</f>
        <v>2</v>
      </c>
      <c r="L8700" s="58"/>
      <c r="M8700" s="58">
        <f>K8700-L8700</f>
        <v>2</v>
      </c>
      <c r="N8700" s="166"/>
      <c r="O8700" s="58"/>
      <c r="P8700" s="58"/>
      <c r="Q8700" s="58"/>
      <c r="R8700" s="58"/>
      <c r="S8700" s="58"/>
      <c r="T8700" s="220"/>
      <c r="U8700" s="88"/>
      <c r="V8700" s="56"/>
      <c r="W8700" s="57" t="s">
        <v>1275</v>
      </c>
      <c r="X8700" s="53"/>
      <c r="Y8700" s="91" t="s">
        <v>35</v>
      </c>
      <c r="Z8700" s="136">
        <f>AD8700/AC8700</f>
        <v>4362.8</v>
      </c>
      <c r="AA8700" s="58"/>
      <c r="AB8700" s="53">
        <f>AD8700/AC8700</f>
        <v>4362.8</v>
      </c>
      <c r="AC8700" s="53">
        <f>M8700+$AE$10</f>
        <v>2</v>
      </c>
      <c r="AD8700" s="54">
        <f>SUM(AD8701:AD8706)</f>
        <v>8725.6</v>
      </c>
      <c r="AE8700" s="184">
        <f>SUMIFS($AD$37:$AD$12971,$V$37:$V$12971,$V8700,$X$37:$X$12971,AE$13)</f>
        <v>0</v>
      </c>
      <c r="AF8700" s="185">
        <f>SUMIFS($AD$37:$AD$12971,$V$37:$V$12971,$V8700,$X$37:$X$12971,AF$13)</f>
        <v>0</v>
      </c>
      <c r="AG8700" s="185">
        <f>SUMIFS($AD$37:$AD$12971,$V$37:$V$12971,$V8700,$X$37:$X$12971,AG$13)</f>
        <v>0</v>
      </c>
      <c r="AH8700" s="187">
        <f>SUMIFS($AD$37:$AD$12971,$V$37:$V$12971,$V8700,$X$37:$X$12971,AH$13)</f>
        <v>0</v>
      </c>
      <c r="AI8700" s="161">
        <f t="shared" ref="AI8700" si="5944">SUM(AE8700:AH8700)</f>
        <v>0</v>
      </c>
      <c r="AK8700" s="172"/>
    </row>
    <row r="8701" spans="1:37" s="102" customFormat="1" ht="19.899999999999999" customHeight="1" x14ac:dyDescent="0.25">
      <c r="A8701" s="45"/>
      <c r="B8701" s="59"/>
      <c r="C8701" s="137"/>
      <c r="D8701" s="59"/>
      <c r="E8701" s="116"/>
      <c r="F8701" s="120"/>
      <c r="G8701" s="120"/>
      <c r="H8701" s="120"/>
      <c r="I8701" s="60"/>
      <c r="J8701" s="116"/>
      <c r="K8701" s="213"/>
      <c r="L8701" s="120"/>
      <c r="M8701" s="120"/>
      <c r="N8701" s="167"/>
      <c r="O8701" s="120"/>
      <c r="P8701" s="120"/>
      <c r="Q8701" s="120"/>
      <c r="R8701" s="120"/>
      <c r="S8701" s="120"/>
      <c r="T8701" s="221"/>
      <c r="U8701" s="89"/>
      <c r="V8701" s="61"/>
      <c r="W8701" s="92" t="s">
        <v>1488</v>
      </c>
      <c r="X8701" s="93" t="s">
        <v>30</v>
      </c>
      <c r="Y8701" s="93" t="s">
        <v>35</v>
      </c>
      <c r="Z8701" s="134">
        <f>VLOOKUP(W8701,Sheet2!$B:$D,3,FALSE)</f>
        <v>2590</v>
      </c>
      <c r="AA8701" s="93">
        <v>1</v>
      </c>
      <c r="AB8701" s="93">
        <f>AD8701/AC8700</f>
        <v>2590</v>
      </c>
      <c r="AC8701" s="93">
        <f>AC8700/AA8701</f>
        <v>2</v>
      </c>
      <c r="AD8701" s="94">
        <f t="shared" ref="AD8701:AD8702" si="5945">AC8701*Z8701</f>
        <v>5180</v>
      </c>
      <c r="AE8701" s="190"/>
      <c r="AF8701" s="191"/>
      <c r="AG8701" s="191"/>
      <c r="AH8701" s="191"/>
      <c r="AI8701" s="186"/>
      <c r="AK8701" s="171"/>
    </row>
    <row r="8702" spans="1:37" s="102" customFormat="1" ht="19.899999999999999" customHeight="1" x14ac:dyDescent="0.25">
      <c r="A8702" s="45"/>
      <c r="B8702" s="59"/>
      <c r="C8702" s="137"/>
      <c r="D8702" s="59"/>
      <c r="E8702" s="116"/>
      <c r="F8702" s="120"/>
      <c r="G8702" s="120"/>
      <c r="H8702" s="120"/>
      <c r="I8702" s="60"/>
      <c r="J8702" s="116"/>
      <c r="K8702" s="213"/>
      <c r="L8702" s="120"/>
      <c r="M8702" s="120"/>
      <c r="N8702" s="167"/>
      <c r="O8702" s="120"/>
      <c r="P8702" s="120"/>
      <c r="Q8702" s="120"/>
      <c r="R8702" s="120"/>
      <c r="S8702" s="120"/>
      <c r="T8702" s="221"/>
      <c r="U8702" s="89"/>
      <c r="V8702" s="61"/>
      <c r="W8702" s="92" t="s">
        <v>174</v>
      </c>
      <c r="X8702" s="93" t="s">
        <v>29</v>
      </c>
      <c r="Y8702" s="93" t="s">
        <v>93</v>
      </c>
      <c r="Z8702" s="134">
        <f>VLOOKUP(W8702,Sheet2!$B:$D,3,FALSE)</f>
        <v>80</v>
      </c>
      <c r="AA8702" s="93">
        <f>1/2</f>
        <v>0.5</v>
      </c>
      <c r="AB8702" s="93">
        <f>AD8702/AC8700</f>
        <v>160</v>
      </c>
      <c r="AC8702" s="93">
        <f>AC8700/AA8702</f>
        <v>4</v>
      </c>
      <c r="AD8702" s="94">
        <f t="shared" si="5945"/>
        <v>320</v>
      </c>
      <c r="AE8702" s="190"/>
      <c r="AF8702" s="191"/>
      <c r="AG8702" s="191"/>
      <c r="AH8702" s="191"/>
      <c r="AI8702" s="186"/>
      <c r="AK8702" s="171"/>
    </row>
    <row r="8703" spans="1:37" s="102" customFormat="1" ht="19.899999999999999" customHeight="1" x14ac:dyDescent="0.25">
      <c r="A8703" s="45"/>
      <c r="B8703" s="59"/>
      <c r="C8703" s="137"/>
      <c r="D8703" s="59"/>
      <c r="E8703" s="116"/>
      <c r="F8703" s="120"/>
      <c r="G8703" s="120"/>
      <c r="H8703" s="120"/>
      <c r="I8703" s="60"/>
      <c r="J8703" s="116"/>
      <c r="K8703" s="213"/>
      <c r="L8703" s="120"/>
      <c r="M8703" s="120"/>
      <c r="N8703" s="167"/>
      <c r="O8703" s="120"/>
      <c r="P8703" s="120"/>
      <c r="Q8703" s="120"/>
      <c r="R8703" s="120"/>
      <c r="S8703" s="120"/>
      <c r="T8703" s="221"/>
      <c r="U8703" s="89"/>
      <c r="V8703" s="61"/>
      <c r="W8703" s="92" t="s">
        <v>65</v>
      </c>
      <c r="X8703" s="93" t="s">
        <v>30</v>
      </c>
      <c r="Y8703" s="93" t="s">
        <v>93</v>
      </c>
      <c r="Z8703" s="134">
        <f>VLOOKUP(W8703,Sheet2!$B:$D,3,FALSE)</f>
        <v>1.76</v>
      </c>
      <c r="AA8703" s="93">
        <f>AA8702/15</f>
        <v>3.3333333333333333E-2</v>
      </c>
      <c r="AB8703" s="93">
        <f>AD8703/AC8700</f>
        <v>52.8</v>
      </c>
      <c r="AC8703" s="93">
        <f>AC8700/AA8703</f>
        <v>60</v>
      </c>
      <c r="AD8703" s="94">
        <f>AC8703*Z8703</f>
        <v>105.6</v>
      </c>
      <c r="AE8703" s="190"/>
      <c r="AF8703" s="191"/>
      <c r="AG8703" s="191"/>
      <c r="AH8703" s="191"/>
      <c r="AI8703" s="186"/>
      <c r="AK8703" s="171"/>
    </row>
    <row r="8704" spans="1:37" s="102" customFormat="1" ht="19.899999999999999" customHeight="1" x14ac:dyDescent="0.25">
      <c r="A8704" s="45"/>
      <c r="B8704" s="59"/>
      <c r="C8704" s="137"/>
      <c r="D8704" s="59"/>
      <c r="E8704" s="116"/>
      <c r="F8704" s="120"/>
      <c r="G8704" s="120"/>
      <c r="H8704" s="120"/>
      <c r="I8704" s="60"/>
      <c r="J8704" s="116"/>
      <c r="K8704" s="213"/>
      <c r="L8704" s="120"/>
      <c r="M8704" s="120"/>
      <c r="N8704" s="167"/>
      <c r="O8704" s="120"/>
      <c r="P8704" s="120"/>
      <c r="Q8704" s="120"/>
      <c r="R8704" s="120"/>
      <c r="S8704" s="120"/>
      <c r="T8704" s="221"/>
      <c r="U8704" s="89"/>
      <c r="V8704" s="61"/>
      <c r="W8704" s="92" t="s">
        <v>1487</v>
      </c>
      <c r="X8704" s="93" t="s">
        <v>32</v>
      </c>
      <c r="Y8704" s="93" t="s">
        <v>1349</v>
      </c>
      <c r="Z8704" s="134">
        <f>VLOOKUP(W8704,Sheet2!$B:$D,3,FALSE)</f>
        <v>1500</v>
      </c>
      <c r="AA8704" s="93">
        <v>1</v>
      </c>
      <c r="AB8704" s="93">
        <f>AD8704/AC8700</f>
        <v>1500</v>
      </c>
      <c r="AC8704" s="93">
        <f>AC8700/AA8704</f>
        <v>2</v>
      </c>
      <c r="AD8704" s="94">
        <f>AC8704*Z8704</f>
        <v>3000</v>
      </c>
      <c r="AE8704" s="190"/>
      <c r="AF8704" s="191"/>
      <c r="AG8704" s="191"/>
      <c r="AH8704" s="191"/>
      <c r="AI8704" s="186"/>
      <c r="AK8704" s="171"/>
    </row>
    <row r="8705" spans="1:41" s="102" customFormat="1" ht="19.899999999999999" customHeight="1" x14ac:dyDescent="0.25">
      <c r="A8705" s="45"/>
      <c r="B8705" s="59"/>
      <c r="C8705" s="137"/>
      <c r="D8705" s="59"/>
      <c r="E8705" s="116"/>
      <c r="F8705" s="120"/>
      <c r="G8705" s="120"/>
      <c r="H8705" s="120"/>
      <c r="I8705" s="60"/>
      <c r="J8705" s="116"/>
      <c r="K8705" s="213"/>
      <c r="L8705" s="120"/>
      <c r="M8705" s="120"/>
      <c r="N8705" s="167"/>
      <c r="O8705" s="120"/>
      <c r="P8705" s="120"/>
      <c r="Q8705" s="120"/>
      <c r="R8705" s="120"/>
      <c r="S8705" s="120"/>
      <c r="T8705" s="221"/>
      <c r="U8705" s="89"/>
      <c r="V8705" s="61"/>
      <c r="W8705" s="92" t="s">
        <v>107</v>
      </c>
      <c r="X8705" s="93" t="s">
        <v>31</v>
      </c>
      <c r="Y8705" s="93" t="s">
        <v>93</v>
      </c>
      <c r="Z8705" s="134">
        <f>VLOOKUP(W8705,Sheet2!$B:$D,3,FALSE)</f>
        <v>17</v>
      </c>
      <c r="AA8705" s="93">
        <f>AA8702</f>
        <v>0.5</v>
      </c>
      <c r="AB8705" s="93">
        <f>AD8705/AC8700</f>
        <v>34</v>
      </c>
      <c r="AC8705" s="93">
        <f>AC8700/AA8705</f>
        <v>4</v>
      </c>
      <c r="AD8705" s="94">
        <f>AC8705*Z8705</f>
        <v>68</v>
      </c>
      <c r="AE8705" s="190"/>
      <c r="AF8705" s="191"/>
      <c r="AG8705" s="191"/>
      <c r="AH8705" s="191"/>
      <c r="AI8705" s="186"/>
      <c r="AK8705" s="171"/>
    </row>
    <row r="8706" spans="1:41" s="102" customFormat="1" ht="19.899999999999999" customHeight="1" x14ac:dyDescent="0.25">
      <c r="A8706" s="45"/>
      <c r="B8706" s="59"/>
      <c r="C8706" s="137"/>
      <c r="D8706" s="59"/>
      <c r="E8706" s="116"/>
      <c r="F8706" s="120"/>
      <c r="G8706" s="120"/>
      <c r="H8706" s="120"/>
      <c r="I8706" s="60"/>
      <c r="J8706" s="116"/>
      <c r="K8706" s="213"/>
      <c r="L8706" s="120"/>
      <c r="M8706" s="120"/>
      <c r="N8706" s="167"/>
      <c r="O8706" s="120"/>
      <c r="P8706" s="120"/>
      <c r="Q8706" s="120"/>
      <c r="R8706" s="120"/>
      <c r="S8706" s="120"/>
      <c r="T8706" s="221"/>
      <c r="U8706" s="89"/>
      <c r="V8706" s="61"/>
      <c r="W8706" s="92" t="s">
        <v>112</v>
      </c>
      <c r="X8706" s="93" t="s">
        <v>31</v>
      </c>
      <c r="Y8706" s="93" t="s">
        <v>93</v>
      </c>
      <c r="Z8706" s="134">
        <f>VLOOKUP(W8706,Sheet2!$B:$D,3,FALSE)</f>
        <v>13</v>
      </c>
      <c r="AA8706" s="93">
        <f>AA8705</f>
        <v>0.5</v>
      </c>
      <c r="AB8706" s="93">
        <f>AD8706/AC8700</f>
        <v>26</v>
      </c>
      <c r="AC8706" s="93">
        <f>AC8700/AA8706</f>
        <v>4</v>
      </c>
      <c r="AD8706" s="94">
        <f>AC8706*Z8706</f>
        <v>52</v>
      </c>
      <c r="AE8706" s="190"/>
      <c r="AF8706" s="191"/>
      <c r="AG8706" s="191"/>
      <c r="AH8706" s="191"/>
      <c r="AI8706" s="186"/>
      <c r="AK8706" s="171"/>
    </row>
    <row r="8707" spans="1:41" s="103" customFormat="1" ht="19.899999999999999" customHeight="1" x14ac:dyDescent="0.25">
      <c r="A8707" s="51"/>
      <c r="B8707" s="52"/>
      <c r="C8707" s="165"/>
      <c r="D8707" s="52"/>
      <c r="E8707" s="115"/>
      <c r="F8707" s="58"/>
      <c r="G8707" s="58"/>
      <c r="H8707" s="58"/>
      <c r="I8707" s="55"/>
      <c r="J8707" s="113">
        <f>J8687</f>
        <v>2</v>
      </c>
      <c r="K8707" s="212">
        <f>K8687</f>
        <v>2</v>
      </c>
      <c r="L8707" s="58"/>
      <c r="M8707" s="58">
        <f>K8707-L8707</f>
        <v>2</v>
      </c>
      <c r="N8707" s="166"/>
      <c r="O8707" s="58"/>
      <c r="P8707" s="58"/>
      <c r="Q8707" s="58"/>
      <c r="R8707" s="58"/>
      <c r="S8707" s="58"/>
      <c r="T8707" s="220"/>
      <c r="U8707" s="88"/>
      <c r="V8707" s="56"/>
      <c r="W8707" s="57" t="s">
        <v>1272</v>
      </c>
      <c r="X8707" s="53"/>
      <c r="Y8707" s="91" t="s">
        <v>35</v>
      </c>
      <c r="Z8707" s="136">
        <f>AD8707/AC8707</f>
        <v>210.8328619419608</v>
      </c>
      <c r="AA8707" s="58"/>
      <c r="AB8707" s="53">
        <f>AD8707/AC8707</f>
        <v>210.8328619419608</v>
      </c>
      <c r="AC8707" s="53">
        <f>M8707+$AE$10</f>
        <v>2</v>
      </c>
      <c r="AD8707" s="54">
        <f>SUM(AD8708:AD8716)</f>
        <v>421.6657238839216</v>
      </c>
      <c r="AE8707" s="184">
        <f>SUMIFS($AD$37:$AD$12971,$V$37:$V$12971,$V8707,$X$37:$X$12971,AE$13)</f>
        <v>0</v>
      </c>
      <c r="AF8707" s="185">
        <f>SUMIFS($AD$37:$AD$12971,$V$37:$V$12971,$V8707,$X$37:$X$12971,AF$13)</f>
        <v>0</v>
      </c>
      <c r="AG8707" s="185">
        <f>SUMIFS($AD$37:$AD$12971,$V$37:$V$12971,$V8707,$X$37:$X$12971,AG$13)</f>
        <v>0</v>
      </c>
      <c r="AH8707" s="187">
        <f>SUMIFS($AD$37:$AD$12971,$V$37:$V$12971,$V8707,$X$37:$X$12971,AH$13)</f>
        <v>0</v>
      </c>
      <c r="AI8707" s="161">
        <f t="shared" ref="AI8707" si="5946">SUM(AE8707:AH8707)</f>
        <v>0</v>
      </c>
      <c r="AK8707" s="172"/>
    </row>
    <row r="8708" spans="1:41" s="102" customFormat="1" ht="19.899999999999999" customHeight="1" x14ac:dyDescent="0.25">
      <c r="A8708" s="45"/>
      <c r="B8708" s="59"/>
      <c r="C8708" s="137"/>
      <c r="D8708" s="59"/>
      <c r="E8708" s="116"/>
      <c r="F8708" s="120"/>
      <c r="G8708" s="120"/>
      <c r="H8708" s="120"/>
      <c r="I8708" s="60"/>
      <c r="J8708" s="116"/>
      <c r="K8708" s="213"/>
      <c r="L8708" s="120"/>
      <c r="M8708" s="120"/>
      <c r="N8708" s="167"/>
      <c r="O8708" s="120"/>
      <c r="P8708" s="120"/>
      <c r="Q8708" s="120"/>
      <c r="R8708" s="120"/>
      <c r="S8708" s="120"/>
      <c r="T8708" s="221"/>
      <c r="U8708" s="89"/>
      <c r="V8708" s="61"/>
      <c r="W8708" s="92" t="s">
        <v>1273</v>
      </c>
      <c r="X8708" s="93" t="s">
        <v>30</v>
      </c>
      <c r="Y8708" s="93" t="s">
        <v>66</v>
      </c>
      <c r="Z8708" s="134">
        <f>VLOOKUP(W8708,Sheet2!$B:$D,3,FALSE)</f>
        <v>10</v>
      </c>
      <c r="AA8708" s="93">
        <f>1/((2.5*2.5*2)-(3.14/4*1.2*1.2*2))</f>
        <v>9.7663879990624258E-2</v>
      </c>
      <c r="AB8708" s="93">
        <f>AD8708/AC8707</f>
        <v>102.392</v>
      </c>
      <c r="AC8708" s="93">
        <f>AC8707/AA8708</f>
        <v>20.478400000000001</v>
      </c>
      <c r="AD8708" s="94">
        <f t="shared" ref="AD8708:AD8710" si="5947">AC8708*Z8708</f>
        <v>204.78399999999999</v>
      </c>
      <c r="AE8708" s="190"/>
      <c r="AF8708" s="191"/>
      <c r="AG8708" s="191"/>
      <c r="AH8708" s="191"/>
      <c r="AI8708" s="186"/>
      <c r="AK8708" s="171"/>
    </row>
    <row r="8709" spans="1:41" s="102" customFormat="1" ht="19.899999999999999" customHeight="1" x14ac:dyDescent="0.25">
      <c r="A8709" s="45"/>
      <c r="B8709" s="59"/>
      <c r="C8709" s="137"/>
      <c r="D8709" s="59"/>
      <c r="E8709" s="116"/>
      <c r="F8709" s="120"/>
      <c r="G8709" s="120"/>
      <c r="H8709" s="120"/>
      <c r="I8709" s="60"/>
      <c r="J8709" s="116"/>
      <c r="K8709" s="213"/>
      <c r="L8709" s="120"/>
      <c r="M8709" s="120"/>
      <c r="N8709" s="167"/>
      <c r="O8709" s="120"/>
      <c r="P8709" s="120"/>
      <c r="Q8709" s="120"/>
      <c r="R8709" s="120"/>
      <c r="S8709" s="120"/>
      <c r="T8709" s="221"/>
      <c r="U8709" s="89"/>
      <c r="V8709" s="61"/>
      <c r="W8709" s="92" t="s">
        <v>134</v>
      </c>
      <c r="X8709" s="93" t="s">
        <v>29</v>
      </c>
      <c r="Y8709" s="93" t="s">
        <v>93</v>
      </c>
      <c r="Z8709" s="134">
        <f>VLOOKUP(W8709,Sheet2!$B:$D,3,FALSE)</f>
        <v>65.599999999999994</v>
      </c>
      <c r="AA8709" s="93">
        <f>100/((2.5*2.5*2)-(3.14/4*1.2*1.2*2))</f>
        <v>9.7663879990624256</v>
      </c>
      <c r="AB8709" s="93">
        <f t="shared" ref="AB8709" si="5948">AD8709/AC8707</f>
        <v>6.7169151999999999</v>
      </c>
      <c r="AC8709" s="93">
        <f>AC8707/AA8709</f>
        <v>0.20478400000000002</v>
      </c>
      <c r="AD8709" s="94">
        <f t="shared" si="5947"/>
        <v>13.4338304</v>
      </c>
      <c r="AE8709" s="190"/>
      <c r="AF8709" s="191"/>
      <c r="AG8709" s="191"/>
      <c r="AH8709" s="191"/>
      <c r="AI8709" s="186"/>
      <c r="AK8709" s="171"/>
    </row>
    <row r="8710" spans="1:41" s="102" customFormat="1" ht="19.899999999999999" customHeight="1" x14ac:dyDescent="0.25">
      <c r="A8710" s="45"/>
      <c r="B8710" s="59"/>
      <c r="C8710" s="137"/>
      <c r="D8710" s="59"/>
      <c r="E8710" s="116"/>
      <c r="F8710" s="120"/>
      <c r="G8710" s="120"/>
      <c r="H8710" s="120"/>
      <c r="I8710" s="60"/>
      <c r="J8710" s="116"/>
      <c r="K8710" s="213"/>
      <c r="L8710" s="120"/>
      <c r="M8710" s="120"/>
      <c r="N8710" s="167"/>
      <c r="O8710" s="120"/>
      <c r="P8710" s="120"/>
      <c r="Q8710" s="120"/>
      <c r="R8710" s="120"/>
      <c r="S8710" s="120"/>
      <c r="T8710" s="221"/>
      <c r="U8710" s="89"/>
      <c r="V8710" s="61"/>
      <c r="W8710" s="92" t="s">
        <v>65</v>
      </c>
      <c r="X8710" s="93" t="s">
        <v>30</v>
      </c>
      <c r="Y8710" s="93" t="s">
        <v>1011</v>
      </c>
      <c r="Z8710" s="134">
        <f>VLOOKUP(W8710,Sheet2!$B:$D,3,FALSE)</f>
        <v>1.76</v>
      </c>
      <c r="AA8710" s="93">
        <f>AA8709/9</f>
        <v>1.0851542221180472</v>
      </c>
      <c r="AB8710" s="93">
        <f>AD8710/AC8707</f>
        <v>1.6218892800000002</v>
      </c>
      <c r="AC8710" s="93">
        <f>AC8707/AA8710</f>
        <v>1.8430560000000002</v>
      </c>
      <c r="AD8710" s="94">
        <f t="shared" si="5947"/>
        <v>3.2437785600000004</v>
      </c>
      <c r="AE8710" s="190"/>
      <c r="AF8710" s="191"/>
      <c r="AG8710" s="191"/>
      <c r="AH8710" s="191"/>
      <c r="AI8710" s="186"/>
      <c r="AK8710" s="171"/>
    </row>
    <row r="8711" spans="1:41" s="102" customFormat="1" ht="19.899999999999999" customHeight="1" x14ac:dyDescent="0.25">
      <c r="A8711" s="45"/>
      <c r="B8711" s="59"/>
      <c r="C8711" s="137"/>
      <c r="D8711" s="59"/>
      <c r="E8711" s="116"/>
      <c r="F8711" s="120"/>
      <c r="G8711" s="120"/>
      <c r="H8711" s="120"/>
      <c r="I8711" s="60"/>
      <c r="J8711" s="116"/>
      <c r="K8711" s="213"/>
      <c r="L8711" s="120"/>
      <c r="M8711" s="120"/>
      <c r="N8711" s="167"/>
      <c r="O8711" s="120"/>
      <c r="P8711" s="120"/>
      <c r="Q8711" s="120"/>
      <c r="R8711" s="120"/>
      <c r="S8711" s="120"/>
      <c r="T8711" s="221"/>
      <c r="U8711" s="89"/>
      <c r="V8711" s="61"/>
      <c r="W8711" s="92" t="s">
        <v>161</v>
      </c>
      <c r="X8711" s="93" t="s">
        <v>29</v>
      </c>
      <c r="Y8711" s="93" t="s">
        <v>93</v>
      </c>
      <c r="Z8711" s="134">
        <f>VLOOKUP(W8711,Sheet2!$B:$D,3,FALSE)</f>
        <v>48</v>
      </c>
      <c r="AA8711" s="93">
        <f>(16*0.85*1.5)/((2.5*2.5*2)-(3.14/4*1.2*1.2*2))</f>
        <v>1.9923431518087349</v>
      </c>
      <c r="AB8711" s="93">
        <f>AD8711/AC8707</f>
        <v>24.09223529411765</v>
      </c>
      <c r="AC8711" s="93">
        <f>AC8707/AA8711</f>
        <v>1.0038431372549022</v>
      </c>
      <c r="AD8711" s="94">
        <f>AC8711*Z8711</f>
        <v>48.1844705882353</v>
      </c>
      <c r="AE8711" s="190"/>
      <c r="AF8711" s="191"/>
      <c r="AG8711" s="191"/>
      <c r="AH8711" s="191"/>
      <c r="AI8711" s="186"/>
      <c r="AK8711" s="171"/>
    </row>
    <row r="8712" spans="1:41" s="102" customFormat="1" ht="19.899999999999999" customHeight="1" x14ac:dyDescent="0.25">
      <c r="A8712" s="45"/>
      <c r="B8712" s="59"/>
      <c r="C8712" s="137"/>
      <c r="D8712" s="59"/>
      <c r="E8712" s="116"/>
      <c r="F8712" s="120"/>
      <c r="G8712" s="120"/>
      <c r="H8712" s="120"/>
      <c r="I8712" s="60"/>
      <c r="J8712" s="116"/>
      <c r="K8712" s="213"/>
      <c r="L8712" s="120"/>
      <c r="M8712" s="120"/>
      <c r="N8712" s="167"/>
      <c r="O8712" s="120"/>
      <c r="P8712" s="120"/>
      <c r="Q8712" s="120"/>
      <c r="R8712" s="120"/>
      <c r="S8712" s="120"/>
      <c r="T8712" s="221"/>
      <c r="U8712" s="89"/>
      <c r="V8712" s="61"/>
      <c r="W8712" s="92" t="s">
        <v>65</v>
      </c>
      <c r="X8712" s="93" t="s">
        <v>30</v>
      </c>
      <c r="Y8712" s="93" t="s">
        <v>1011</v>
      </c>
      <c r="Z8712" s="134">
        <f>VLOOKUP(W8712,Sheet2!$B:$D,3,FALSE)</f>
        <v>1.76</v>
      </c>
      <c r="AA8712" s="93">
        <f>AA8711/10</f>
        <v>0.19923431518087348</v>
      </c>
      <c r="AB8712" s="93">
        <f>AD8712/AC8707</f>
        <v>8.8338196078431377</v>
      </c>
      <c r="AC8712" s="93">
        <f>AC8707/AA8712</f>
        <v>10.03843137254902</v>
      </c>
      <c r="AD8712" s="94">
        <f>AC8712*Z8712</f>
        <v>17.667639215686275</v>
      </c>
      <c r="AE8712" s="190"/>
      <c r="AF8712" s="191"/>
      <c r="AG8712" s="191"/>
      <c r="AH8712" s="191"/>
      <c r="AI8712" s="186"/>
      <c r="AK8712" s="171"/>
    </row>
    <row r="8713" spans="1:41" s="102" customFormat="1" ht="19.899999999999999" customHeight="1" x14ac:dyDescent="0.25">
      <c r="A8713" s="45"/>
      <c r="B8713" s="59"/>
      <c r="C8713" s="137"/>
      <c r="D8713" s="59"/>
      <c r="E8713" s="116"/>
      <c r="F8713" s="120"/>
      <c r="G8713" s="120"/>
      <c r="H8713" s="120"/>
      <c r="I8713" s="60"/>
      <c r="J8713" s="116"/>
      <c r="K8713" s="213"/>
      <c r="L8713" s="120"/>
      <c r="M8713" s="120"/>
      <c r="N8713" s="167"/>
      <c r="O8713" s="120"/>
      <c r="P8713" s="120"/>
      <c r="Q8713" s="120"/>
      <c r="R8713" s="120"/>
      <c r="S8713" s="120"/>
      <c r="T8713" s="221"/>
      <c r="U8713" s="89"/>
      <c r="V8713" s="61"/>
      <c r="W8713" s="92" t="s">
        <v>173</v>
      </c>
      <c r="X8713" s="93" t="s">
        <v>29</v>
      </c>
      <c r="Y8713" s="93" t="s">
        <v>93</v>
      </c>
      <c r="Z8713" s="134">
        <f>VLOOKUP(W8713,Sheet2!$B:$D,3,FALSE)</f>
        <v>36</v>
      </c>
      <c r="AA8713" s="93">
        <f>50/((2.5*2.5*2)-(3.14/4*1.2*1.2*2))</f>
        <v>4.8831939995312128</v>
      </c>
      <c r="AB8713" s="93">
        <f>AD8713/AC8707</f>
        <v>7.372224000000001</v>
      </c>
      <c r="AC8713" s="93">
        <f>AC8707/AA8713</f>
        <v>0.40956800000000004</v>
      </c>
      <c r="AD8713" s="94">
        <f>AC8713*Z8713</f>
        <v>14.744448000000002</v>
      </c>
      <c r="AE8713" s="190"/>
      <c r="AF8713" s="191"/>
      <c r="AG8713" s="191"/>
      <c r="AH8713" s="191"/>
      <c r="AI8713" s="186"/>
      <c r="AK8713" s="171"/>
    </row>
    <row r="8714" spans="1:41" s="102" customFormat="1" ht="19.899999999999999" customHeight="1" x14ac:dyDescent="0.25">
      <c r="A8714" s="45"/>
      <c r="B8714" s="59"/>
      <c r="C8714" s="137"/>
      <c r="D8714" s="59"/>
      <c r="E8714" s="116"/>
      <c r="F8714" s="120"/>
      <c r="G8714" s="120"/>
      <c r="H8714" s="120"/>
      <c r="I8714" s="60"/>
      <c r="J8714" s="116"/>
      <c r="K8714" s="213"/>
      <c r="L8714" s="120"/>
      <c r="M8714" s="120"/>
      <c r="N8714" s="167"/>
      <c r="O8714" s="120"/>
      <c r="P8714" s="120"/>
      <c r="Q8714" s="120"/>
      <c r="R8714" s="120"/>
      <c r="S8714" s="120"/>
      <c r="T8714" s="221"/>
      <c r="U8714" s="89"/>
      <c r="V8714" s="61"/>
      <c r="W8714" s="92" t="s">
        <v>65</v>
      </c>
      <c r="X8714" s="93" t="s">
        <v>30</v>
      </c>
      <c r="Y8714" s="93" t="s">
        <v>1011</v>
      </c>
      <c r="Z8714" s="134">
        <f>VLOOKUP(W8714,Sheet2!$B:$D,3,FALSE)</f>
        <v>1.76</v>
      </c>
      <c r="AA8714" s="93">
        <f>AA8713/9</f>
        <v>0.54257711105902362</v>
      </c>
      <c r="AB8714" s="93">
        <f>AD8714/AC8707</f>
        <v>3.2437785600000004</v>
      </c>
      <c r="AC8714" s="93">
        <f>AC8707/AA8714</f>
        <v>3.6861120000000005</v>
      </c>
      <c r="AD8714" s="94">
        <f>AC8714*Z8714</f>
        <v>6.4875571200000008</v>
      </c>
      <c r="AE8714" s="190"/>
      <c r="AF8714" s="191"/>
      <c r="AG8714" s="191"/>
      <c r="AH8714" s="191"/>
      <c r="AI8714" s="186"/>
      <c r="AK8714" s="171"/>
    </row>
    <row r="8715" spans="1:41" s="102" customFormat="1" ht="19.899999999999999" customHeight="1" x14ac:dyDescent="0.25">
      <c r="A8715" s="45"/>
      <c r="B8715" s="59"/>
      <c r="C8715" s="137"/>
      <c r="D8715" s="59"/>
      <c r="E8715" s="116"/>
      <c r="F8715" s="120"/>
      <c r="G8715" s="120"/>
      <c r="H8715" s="120"/>
      <c r="I8715" s="60"/>
      <c r="J8715" s="116"/>
      <c r="K8715" s="213"/>
      <c r="L8715" s="120"/>
      <c r="M8715" s="120"/>
      <c r="N8715" s="167"/>
      <c r="O8715" s="120"/>
      <c r="P8715" s="120"/>
      <c r="Q8715" s="120"/>
      <c r="R8715" s="120"/>
      <c r="S8715" s="120"/>
      <c r="T8715" s="221"/>
      <c r="U8715" s="89"/>
      <c r="V8715" s="61"/>
      <c r="W8715" s="92" t="s">
        <v>1030</v>
      </c>
      <c r="X8715" s="93" t="s">
        <v>29</v>
      </c>
      <c r="Y8715" s="93" t="s">
        <v>93</v>
      </c>
      <c r="Z8715" s="134">
        <f>VLOOKUP(W8715,Sheet2!$B:$D,3,FALSE)</f>
        <v>23</v>
      </c>
      <c r="AA8715" s="93">
        <f>1/(2*1)</f>
        <v>0.5</v>
      </c>
      <c r="AB8715" s="93">
        <f>AD8715/AC8707</f>
        <v>46</v>
      </c>
      <c r="AC8715" s="93">
        <f>AC8707/AA8715</f>
        <v>4</v>
      </c>
      <c r="AD8715" s="94">
        <f t="shared" ref="AD8715:AD8716" si="5949">AC8715*Z8715</f>
        <v>92</v>
      </c>
      <c r="AE8715" s="190"/>
      <c r="AF8715" s="191"/>
      <c r="AG8715" s="191"/>
      <c r="AH8715" s="191"/>
      <c r="AI8715" s="186"/>
      <c r="AK8715" s="171"/>
    </row>
    <row r="8716" spans="1:41" s="102" customFormat="1" ht="19.899999999999999" customHeight="1" x14ac:dyDescent="0.25">
      <c r="A8716" s="45"/>
      <c r="B8716" s="59"/>
      <c r="C8716" s="137"/>
      <c r="D8716" s="59"/>
      <c r="E8716" s="116"/>
      <c r="F8716" s="120"/>
      <c r="G8716" s="120"/>
      <c r="H8716" s="120"/>
      <c r="I8716" s="60"/>
      <c r="J8716" s="116"/>
      <c r="K8716" s="213"/>
      <c r="L8716" s="120"/>
      <c r="M8716" s="120"/>
      <c r="N8716" s="167"/>
      <c r="O8716" s="120"/>
      <c r="P8716" s="120"/>
      <c r="Q8716" s="120"/>
      <c r="R8716" s="120"/>
      <c r="S8716" s="120"/>
      <c r="T8716" s="221"/>
      <c r="U8716" s="89"/>
      <c r="V8716" s="61"/>
      <c r="W8716" s="92" t="s">
        <v>65</v>
      </c>
      <c r="X8716" s="93" t="s">
        <v>30</v>
      </c>
      <c r="Y8716" s="93" t="s">
        <v>1011</v>
      </c>
      <c r="Z8716" s="134">
        <f>VLOOKUP(W8716,Sheet2!$B:$D,3,FALSE)</f>
        <v>1.76</v>
      </c>
      <c r="AA8716" s="93">
        <f>AA8715/3</f>
        <v>0.16666666666666666</v>
      </c>
      <c r="AB8716" s="93">
        <f>AD8716/AC8707</f>
        <v>10.56</v>
      </c>
      <c r="AC8716" s="93">
        <f>AC8707/AA8716</f>
        <v>12</v>
      </c>
      <c r="AD8716" s="94">
        <f t="shared" si="5949"/>
        <v>21.12</v>
      </c>
      <c r="AE8716" s="190"/>
      <c r="AF8716" s="191"/>
      <c r="AG8716" s="191"/>
      <c r="AH8716" s="191"/>
      <c r="AI8716" s="186"/>
      <c r="AK8716" s="171"/>
    </row>
    <row r="8717" spans="1:41" ht="20.100000000000001" customHeight="1" x14ac:dyDescent="0.25">
      <c r="A8717" s="277" t="s">
        <v>703</v>
      </c>
      <c r="B8717" s="278"/>
      <c r="C8717" s="64" t="s">
        <v>811</v>
      </c>
      <c r="D8717" s="46" t="s">
        <v>215</v>
      </c>
      <c r="E8717" s="114">
        <v>4.8</v>
      </c>
      <c r="F8717" s="44">
        <v>14728</v>
      </c>
      <c r="G8717" s="44">
        <f t="shared" si="5545"/>
        <v>70694.399999999994</v>
      </c>
      <c r="H8717" s="44">
        <f t="shared" si="5546"/>
        <v>6631.8821754666678</v>
      </c>
      <c r="I8717" s="43">
        <f t="shared" si="5547"/>
        <v>31833.034442240005</v>
      </c>
      <c r="J8717" s="112">
        <f t="shared" si="5548"/>
        <v>4.8</v>
      </c>
      <c r="K8717" s="211">
        <f t="shared" si="5549"/>
        <v>4.8</v>
      </c>
      <c r="L8717" s="44"/>
      <c r="M8717" s="44">
        <f t="shared" si="5550"/>
        <v>4.8</v>
      </c>
      <c r="N8717" s="173">
        <f t="shared" si="5551"/>
        <v>1</v>
      </c>
      <c r="O8717" s="44">
        <f t="shared" si="5552"/>
        <v>14728</v>
      </c>
      <c r="P8717" s="44">
        <f t="shared" si="5553"/>
        <v>70694.399999999994</v>
      </c>
      <c r="Q8717" s="44">
        <f t="shared" si="5554"/>
        <v>6631.8821754666678</v>
      </c>
      <c r="R8717" s="44">
        <f t="shared" si="5555"/>
        <v>31833.034442240005</v>
      </c>
      <c r="S8717" s="123"/>
      <c r="T8717" s="219">
        <f t="shared" si="5556"/>
        <v>31833.034442240005</v>
      </c>
      <c r="U8717" s="87"/>
      <c r="V8717" s="47"/>
      <c r="W8717" s="48"/>
      <c r="X8717" s="48"/>
      <c r="Y8717" s="48"/>
      <c r="Z8717" s="135"/>
      <c r="AA8717" s="49"/>
      <c r="AB8717" s="50">
        <f t="shared" si="5557"/>
        <v>6631.8821754666678</v>
      </c>
      <c r="AC8717" s="42">
        <f t="shared" si="5558"/>
        <v>4.8</v>
      </c>
      <c r="AD8717" s="90">
        <f>AD8718+AD8723+AD8730+AD8737</f>
        <v>31833.034442240005</v>
      </c>
      <c r="AE8717" s="188">
        <f t="shared" ref="AE8717" si="5950">AE8718+AE8723+AE8730+AE8737</f>
        <v>0</v>
      </c>
      <c r="AF8717" s="189">
        <f t="shared" ref="AF8717" si="5951">AF8718+AF8723+AF8730+AF8737</f>
        <v>0</v>
      </c>
      <c r="AG8717" s="189">
        <f t="shared" ref="AG8717" si="5952">AG8718+AG8723+AG8730+AG8737</f>
        <v>0</v>
      </c>
      <c r="AH8717" s="189">
        <f t="shared" ref="AH8717" si="5953">AH8718+AH8723+AH8730+AH8737</f>
        <v>0</v>
      </c>
      <c r="AI8717" s="161">
        <f t="shared" ref="AI8717:AI8718" si="5954">SUM(AE8717:AH8717)</f>
        <v>0</v>
      </c>
      <c r="AK8717" s="169">
        <v>5</v>
      </c>
      <c r="AO8717" s="19" t="s">
        <v>63</v>
      </c>
    </row>
    <row r="8718" spans="1:41" s="103" customFormat="1" ht="19.899999999999999" customHeight="1" x14ac:dyDescent="0.25">
      <c r="A8718" s="51"/>
      <c r="B8718" s="52"/>
      <c r="C8718" s="165"/>
      <c r="D8718" s="52"/>
      <c r="E8718" s="115"/>
      <c r="F8718" s="58"/>
      <c r="G8718" s="58"/>
      <c r="H8718" s="58"/>
      <c r="I8718" s="55"/>
      <c r="J8718" s="113">
        <f>J8717</f>
        <v>4.8</v>
      </c>
      <c r="K8718" s="212">
        <f>K8717</f>
        <v>4.8</v>
      </c>
      <c r="L8718" s="58"/>
      <c r="M8718" s="58">
        <f>K8718-L8718</f>
        <v>4.8</v>
      </c>
      <c r="N8718" s="166"/>
      <c r="O8718" s="58"/>
      <c r="P8718" s="58"/>
      <c r="Q8718" s="58"/>
      <c r="R8718" s="58"/>
      <c r="S8718" s="58"/>
      <c r="T8718" s="220"/>
      <c r="U8718" s="88"/>
      <c r="V8718" s="56"/>
      <c r="W8718" s="57" t="s">
        <v>1504</v>
      </c>
      <c r="X8718" s="53"/>
      <c r="Y8718" s="91" t="s">
        <v>35</v>
      </c>
      <c r="Z8718" s="136">
        <f>AD8718/AC8718</f>
        <v>62.845098039215692</v>
      </c>
      <c r="AA8718" s="58"/>
      <c r="AB8718" s="53">
        <f>AD8718/AC8718</f>
        <v>62.845098039215692</v>
      </c>
      <c r="AC8718" s="53">
        <f>M8718+$AE$10</f>
        <v>4.8</v>
      </c>
      <c r="AD8718" s="54">
        <f>SUM(AD8719:AD8722)</f>
        <v>301.65647058823532</v>
      </c>
      <c r="AE8718" s="184">
        <f>SUMIFS($AD$37:$AD$12971,$V$37:$V$12971,$V8718,$X$37:$X$12971,AE$13)</f>
        <v>0</v>
      </c>
      <c r="AF8718" s="185">
        <f>SUMIFS($AD$37:$AD$12971,$V$37:$V$12971,$V8718,$X$37:$X$12971,AF$13)</f>
        <v>0</v>
      </c>
      <c r="AG8718" s="185">
        <f>SUMIFS($AD$37:$AD$12971,$V$37:$V$12971,$V8718,$X$37:$X$12971,AG$13)</f>
        <v>0</v>
      </c>
      <c r="AH8718" s="187">
        <f>SUMIFS($AD$37:$AD$12971,$V$37:$V$12971,$V8718,$X$37:$X$12971,AH$13)</f>
        <v>0</v>
      </c>
      <c r="AI8718" s="161">
        <f t="shared" si="5954"/>
        <v>0</v>
      </c>
      <c r="AK8718" s="172"/>
    </row>
    <row r="8719" spans="1:41" s="102" customFormat="1" ht="19.899999999999999" customHeight="1" x14ac:dyDescent="0.25">
      <c r="A8719" s="45"/>
      <c r="B8719" s="59"/>
      <c r="C8719" s="137"/>
      <c r="D8719" s="59"/>
      <c r="E8719" s="116"/>
      <c r="F8719" s="120"/>
      <c r="G8719" s="120"/>
      <c r="H8719" s="120"/>
      <c r="I8719" s="60"/>
      <c r="J8719" s="116"/>
      <c r="K8719" s="213"/>
      <c r="L8719" s="120"/>
      <c r="M8719" s="120"/>
      <c r="N8719" s="167"/>
      <c r="O8719" s="120"/>
      <c r="P8719" s="120"/>
      <c r="Q8719" s="120"/>
      <c r="R8719" s="120"/>
      <c r="S8719" s="120"/>
      <c r="T8719" s="221"/>
      <c r="U8719" s="89"/>
      <c r="V8719" s="61"/>
      <c r="W8719" s="92" t="s">
        <v>129</v>
      </c>
      <c r="X8719" s="93" t="s">
        <v>29</v>
      </c>
      <c r="Y8719" s="93" t="s">
        <v>93</v>
      </c>
      <c r="Z8719" s="134">
        <f>VLOOKUP(W8719,Sheet2!$B:$D,3,FALSE)</f>
        <v>56</v>
      </c>
      <c r="AA8719" s="93">
        <f>100/(2.5*2.5*2.5)</f>
        <v>6.4</v>
      </c>
      <c r="AB8719" s="93">
        <f t="shared" ref="AB8719" si="5955">AD8719/AC8718</f>
        <v>8.7499999999999982</v>
      </c>
      <c r="AC8719" s="93">
        <f>AC8718/AA8719</f>
        <v>0.74999999999999989</v>
      </c>
      <c r="AD8719" s="94">
        <f t="shared" ref="AD8719:AD8720" si="5956">AC8719*Z8719</f>
        <v>41.999999999999993</v>
      </c>
      <c r="AE8719" s="190"/>
      <c r="AF8719" s="191"/>
      <c r="AG8719" s="191"/>
      <c r="AH8719" s="191"/>
      <c r="AI8719" s="186"/>
      <c r="AK8719" s="171"/>
    </row>
    <row r="8720" spans="1:41" s="102" customFormat="1" ht="19.899999999999999" customHeight="1" x14ac:dyDescent="0.25">
      <c r="A8720" s="45"/>
      <c r="B8720" s="59"/>
      <c r="C8720" s="137"/>
      <c r="D8720" s="59"/>
      <c r="E8720" s="116"/>
      <c r="F8720" s="120"/>
      <c r="G8720" s="120"/>
      <c r="H8720" s="120"/>
      <c r="I8720" s="60"/>
      <c r="J8720" s="116"/>
      <c r="K8720" s="213"/>
      <c r="L8720" s="120"/>
      <c r="M8720" s="120"/>
      <c r="N8720" s="167"/>
      <c r="O8720" s="120"/>
      <c r="P8720" s="120"/>
      <c r="Q8720" s="120"/>
      <c r="R8720" s="120"/>
      <c r="S8720" s="120"/>
      <c r="T8720" s="221"/>
      <c r="U8720" s="89"/>
      <c r="V8720" s="61"/>
      <c r="W8720" s="92" t="s">
        <v>65</v>
      </c>
      <c r="X8720" s="93" t="s">
        <v>30</v>
      </c>
      <c r="Y8720" s="93" t="s">
        <v>1011</v>
      </c>
      <c r="Z8720" s="134">
        <f>VLOOKUP(W8720,Sheet2!$B:$D,3,FALSE)</f>
        <v>1.76</v>
      </c>
      <c r="AA8720" s="93">
        <f>AA8719/14</f>
        <v>0.45714285714285718</v>
      </c>
      <c r="AB8720" s="93">
        <f>AD8720/AC8718</f>
        <v>3.8499999999999996</v>
      </c>
      <c r="AC8720" s="93">
        <f>AC8718/AA8720</f>
        <v>10.499999999999998</v>
      </c>
      <c r="AD8720" s="94">
        <f t="shared" si="5956"/>
        <v>18.479999999999997</v>
      </c>
      <c r="AE8720" s="190"/>
      <c r="AF8720" s="191"/>
      <c r="AG8720" s="191"/>
      <c r="AH8720" s="191"/>
      <c r="AI8720" s="186"/>
      <c r="AK8720" s="171"/>
    </row>
    <row r="8721" spans="1:37" s="102" customFormat="1" ht="19.899999999999999" customHeight="1" x14ac:dyDescent="0.25">
      <c r="A8721" s="45"/>
      <c r="B8721" s="59"/>
      <c r="C8721" s="137"/>
      <c r="D8721" s="59"/>
      <c r="E8721" s="116"/>
      <c r="F8721" s="120"/>
      <c r="G8721" s="120"/>
      <c r="H8721" s="120"/>
      <c r="I8721" s="60"/>
      <c r="J8721" s="116"/>
      <c r="K8721" s="213"/>
      <c r="L8721" s="120"/>
      <c r="M8721" s="120"/>
      <c r="N8721" s="167"/>
      <c r="O8721" s="120"/>
      <c r="P8721" s="120"/>
      <c r="Q8721" s="120"/>
      <c r="R8721" s="120"/>
      <c r="S8721" s="120"/>
      <c r="T8721" s="221"/>
      <c r="U8721" s="89"/>
      <c r="V8721" s="61"/>
      <c r="W8721" s="92" t="s">
        <v>161</v>
      </c>
      <c r="X8721" s="93" t="s">
        <v>29</v>
      </c>
      <c r="Y8721" s="93" t="s">
        <v>93</v>
      </c>
      <c r="Z8721" s="134">
        <f>VLOOKUP(W8721,Sheet2!$B:$D,3,FALSE)</f>
        <v>48</v>
      </c>
      <c r="AA8721" s="93">
        <f>(16*0.85*1.5)/(2.5*2.5*2.5)</f>
        <v>1.3055999999999999</v>
      </c>
      <c r="AB8721" s="93">
        <f>AD8721/AC8718</f>
        <v>36.764705882352949</v>
      </c>
      <c r="AC8721" s="93">
        <f>AC8718/AA8721</f>
        <v>3.6764705882352944</v>
      </c>
      <c r="AD8721" s="94">
        <f>AC8721*Z8721</f>
        <v>176.47058823529414</v>
      </c>
      <c r="AE8721" s="190"/>
      <c r="AF8721" s="191"/>
      <c r="AG8721" s="191"/>
      <c r="AH8721" s="191"/>
      <c r="AI8721" s="186"/>
      <c r="AK8721" s="171"/>
    </row>
    <row r="8722" spans="1:37" s="102" customFormat="1" ht="19.899999999999999" customHeight="1" x14ac:dyDescent="0.25">
      <c r="A8722" s="45"/>
      <c r="B8722" s="59"/>
      <c r="C8722" s="137"/>
      <c r="D8722" s="59"/>
      <c r="E8722" s="116"/>
      <c r="F8722" s="120"/>
      <c r="G8722" s="120"/>
      <c r="H8722" s="120"/>
      <c r="I8722" s="60"/>
      <c r="J8722" s="116"/>
      <c r="K8722" s="213"/>
      <c r="L8722" s="120"/>
      <c r="M8722" s="120"/>
      <c r="N8722" s="167"/>
      <c r="O8722" s="120"/>
      <c r="P8722" s="120"/>
      <c r="Q8722" s="120"/>
      <c r="R8722" s="120"/>
      <c r="S8722" s="120"/>
      <c r="T8722" s="221"/>
      <c r="U8722" s="89"/>
      <c r="V8722" s="61"/>
      <c r="W8722" s="92" t="s">
        <v>65</v>
      </c>
      <c r="X8722" s="93" t="s">
        <v>30</v>
      </c>
      <c r="Y8722" s="93" t="s">
        <v>1011</v>
      </c>
      <c r="Z8722" s="134">
        <f>VLOOKUP(W8722,Sheet2!$B:$D,3,FALSE)</f>
        <v>1.76</v>
      </c>
      <c r="AA8722" s="93">
        <f>AA8721/10</f>
        <v>0.13055999999999998</v>
      </c>
      <c r="AB8722" s="93">
        <f>AD8722/AC8718</f>
        <v>13.480392156862745</v>
      </c>
      <c r="AC8722" s="93">
        <f>AC8718/AA8722</f>
        <v>36.764705882352942</v>
      </c>
      <c r="AD8722" s="94">
        <f>AC8722*Z8722</f>
        <v>64.705882352941174</v>
      </c>
      <c r="AE8722" s="190"/>
      <c r="AF8722" s="191"/>
      <c r="AG8722" s="191"/>
      <c r="AH8722" s="191"/>
      <c r="AI8722" s="186"/>
      <c r="AK8722" s="171"/>
    </row>
    <row r="8723" spans="1:37" s="103" customFormat="1" ht="19.899999999999999" customHeight="1" x14ac:dyDescent="0.25">
      <c r="A8723" s="51"/>
      <c r="B8723" s="52"/>
      <c r="C8723" s="165"/>
      <c r="D8723" s="52"/>
      <c r="E8723" s="115"/>
      <c r="F8723" s="58"/>
      <c r="G8723" s="58"/>
      <c r="H8723" s="58"/>
      <c r="I8723" s="55"/>
      <c r="J8723" s="113">
        <f>J8717</f>
        <v>4.8</v>
      </c>
      <c r="K8723" s="212">
        <f>K8717</f>
        <v>4.8</v>
      </c>
      <c r="L8723" s="58"/>
      <c r="M8723" s="58">
        <f>K8723-L8723</f>
        <v>4.8</v>
      </c>
      <c r="N8723" s="166"/>
      <c r="O8723" s="58"/>
      <c r="P8723" s="58"/>
      <c r="Q8723" s="58"/>
      <c r="R8723" s="58"/>
      <c r="S8723" s="58"/>
      <c r="T8723" s="220"/>
      <c r="U8723" s="88"/>
      <c r="V8723" s="56"/>
      <c r="W8723" s="57" t="s">
        <v>1486</v>
      </c>
      <c r="X8723" s="53"/>
      <c r="Y8723" s="91" t="s">
        <v>35</v>
      </c>
      <c r="Z8723" s="136">
        <f>AD8723/AC8723</f>
        <v>1432.6960000000001</v>
      </c>
      <c r="AA8723" s="58"/>
      <c r="AB8723" s="53">
        <f>AD8723/AC8723</f>
        <v>1432.6960000000001</v>
      </c>
      <c r="AC8723" s="53">
        <f>M8723+$AE$10</f>
        <v>4.8</v>
      </c>
      <c r="AD8723" s="54">
        <f>SUM(AD8724:AD8729)</f>
        <v>6876.9408000000003</v>
      </c>
      <c r="AE8723" s="184">
        <f>SUMIFS($AD$37:$AD$12971,$V$37:$V$12971,$V8723,$X$37:$X$12971,AE$13)</f>
        <v>0</v>
      </c>
      <c r="AF8723" s="185">
        <f>SUMIFS($AD$37:$AD$12971,$V$37:$V$12971,$V8723,$X$37:$X$12971,AF$13)</f>
        <v>0</v>
      </c>
      <c r="AG8723" s="185">
        <f>SUMIFS($AD$37:$AD$12971,$V$37:$V$12971,$V8723,$X$37:$X$12971,AG$13)</f>
        <v>0</v>
      </c>
      <c r="AH8723" s="187">
        <f>SUMIFS($AD$37:$AD$12971,$V$37:$V$12971,$V8723,$X$37:$X$12971,AH$13)</f>
        <v>0</v>
      </c>
      <c r="AI8723" s="161">
        <f t="shared" ref="AI8723" si="5957">SUM(AE8723:AH8723)</f>
        <v>0</v>
      </c>
      <c r="AK8723" s="172"/>
    </row>
    <row r="8724" spans="1:37" s="102" customFormat="1" ht="19.899999999999999" customHeight="1" x14ac:dyDescent="0.25">
      <c r="A8724" s="45"/>
      <c r="B8724" s="59"/>
      <c r="C8724" s="137"/>
      <c r="D8724" s="59"/>
      <c r="E8724" s="116"/>
      <c r="F8724" s="120"/>
      <c r="G8724" s="120"/>
      <c r="H8724" s="120"/>
      <c r="I8724" s="60"/>
      <c r="J8724" s="116"/>
      <c r="K8724" s="213"/>
      <c r="L8724" s="120"/>
      <c r="M8724" s="120"/>
      <c r="N8724" s="167"/>
      <c r="O8724" s="120"/>
      <c r="P8724" s="120"/>
      <c r="Q8724" s="120"/>
      <c r="R8724" s="120"/>
      <c r="S8724" s="120"/>
      <c r="T8724" s="221"/>
      <c r="U8724" s="89"/>
      <c r="V8724" s="61"/>
      <c r="W8724" s="92" t="s">
        <v>1032</v>
      </c>
      <c r="X8724" s="93" t="s">
        <v>30</v>
      </c>
      <c r="Y8724" s="93" t="s">
        <v>66</v>
      </c>
      <c r="Z8724" s="134">
        <f>VLOOKUP(W8724,Sheet2!$B:$D,3,FALSE)</f>
        <v>250</v>
      </c>
      <c r="AA8724" s="93">
        <f>1/(2.1*2.1*0.1)</f>
        <v>2.2675736961451243</v>
      </c>
      <c r="AB8724" s="93">
        <f>AD8724/AC8730</f>
        <v>110.25000000000004</v>
      </c>
      <c r="AC8724" s="93">
        <f>AC8730/AA8724</f>
        <v>2.1168000000000005</v>
      </c>
      <c r="AD8724" s="94">
        <f t="shared" ref="AD8724:AD8726" si="5958">AC8724*Z8724</f>
        <v>529.20000000000016</v>
      </c>
      <c r="AE8724" s="190"/>
      <c r="AF8724" s="191"/>
      <c r="AG8724" s="191"/>
      <c r="AH8724" s="191"/>
      <c r="AI8724" s="186"/>
      <c r="AK8724" s="171"/>
    </row>
    <row r="8725" spans="1:37" s="102" customFormat="1" ht="19.899999999999999" customHeight="1" x14ac:dyDescent="0.25">
      <c r="A8725" s="45"/>
      <c r="B8725" s="59"/>
      <c r="C8725" s="137"/>
      <c r="D8725" s="59"/>
      <c r="E8725" s="116"/>
      <c r="F8725" s="120"/>
      <c r="G8725" s="120"/>
      <c r="H8725" s="120"/>
      <c r="I8725" s="60"/>
      <c r="J8725" s="116"/>
      <c r="K8725" s="213"/>
      <c r="L8725" s="120"/>
      <c r="M8725" s="120"/>
      <c r="N8725" s="167"/>
      <c r="O8725" s="120"/>
      <c r="P8725" s="120"/>
      <c r="Q8725" s="120"/>
      <c r="R8725" s="120"/>
      <c r="S8725" s="120"/>
      <c r="T8725" s="221"/>
      <c r="U8725" s="89"/>
      <c r="V8725" s="61"/>
      <c r="W8725" s="92" t="s">
        <v>1353</v>
      </c>
      <c r="X8725" s="93" t="s">
        <v>30</v>
      </c>
      <c r="Y8725" s="93" t="s">
        <v>66</v>
      </c>
      <c r="Z8725" s="134">
        <f>VLOOKUP(W8725,Sheet2!$B:$D,3,FALSE)</f>
        <v>350</v>
      </c>
      <c r="AA8725" s="93">
        <f>1/(2*2*0.3)</f>
        <v>0.83333333333333337</v>
      </c>
      <c r="AB8725" s="93">
        <f>AD8725/AC8730</f>
        <v>420</v>
      </c>
      <c r="AC8725" s="93">
        <f>AC8730/AA8725</f>
        <v>5.76</v>
      </c>
      <c r="AD8725" s="94">
        <f t="shared" si="5958"/>
        <v>2016</v>
      </c>
      <c r="AE8725" s="190"/>
      <c r="AF8725" s="191"/>
      <c r="AG8725" s="191"/>
      <c r="AH8725" s="191"/>
      <c r="AI8725" s="186"/>
      <c r="AK8725" s="171"/>
    </row>
    <row r="8726" spans="1:37" s="102" customFormat="1" ht="19.899999999999999" customHeight="1" x14ac:dyDescent="0.25">
      <c r="A8726" s="45"/>
      <c r="B8726" s="59"/>
      <c r="C8726" s="137"/>
      <c r="D8726" s="59"/>
      <c r="E8726" s="116"/>
      <c r="F8726" s="120"/>
      <c r="G8726" s="120"/>
      <c r="H8726" s="120"/>
      <c r="I8726" s="60"/>
      <c r="J8726" s="116"/>
      <c r="K8726" s="213"/>
      <c r="L8726" s="120"/>
      <c r="M8726" s="120"/>
      <c r="N8726" s="167"/>
      <c r="O8726" s="120"/>
      <c r="P8726" s="120"/>
      <c r="Q8726" s="120"/>
      <c r="R8726" s="120"/>
      <c r="S8726" s="120"/>
      <c r="T8726" s="221"/>
      <c r="U8726" s="89"/>
      <c r="V8726" s="61"/>
      <c r="W8726" s="92" t="s">
        <v>99</v>
      </c>
      <c r="X8726" s="93" t="s">
        <v>30</v>
      </c>
      <c r="Y8726" s="93" t="s">
        <v>67</v>
      </c>
      <c r="Z8726" s="134">
        <f>VLOOKUP(W8726,Sheet2!$B:$D,3,FALSE)</f>
        <v>2500</v>
      </c>
      <c r="AA8726" s="93">
        <f>AA8725/0.08</f>
        <v>10.416666666666666</v>
      </c>
      <c r="AB8726" s="93">
        <f>AD8726/AC8730</f>
        <v>240</v>
      </c>
      <c r="AC8726" s="93">
        <f>AC8730/AA8726</f>
        <v>0.46079999999999999</v>
      </c>
      <c r="AD8726" s="94">
        <f t="shared" si="5958"/>
        <v>1152</v>
      </c>
      <c r="AE8726" s="190"/>
      <c r="AF8726" s="191"/>
      <c r="AG8726" s="191"/>
      <c r="AH8726" s="191"/>
      <c r="AI8726" s="186"/>
      <c r="AK8726" s="171"/>
    </row>
    <row r="8727" spans="1:37" s="102" customFormat="1" ht="19.899999999999999" customHeight="1" x14ac:dyDescent="0.25">
      <c r="A8727" s="45"/>
      <c r="B8727" s="59"/>
      <c r="C8727" s="137"/>
      <c r="D8727" s="59"/>
      <c r="E8727" s="116"/>
      <c r="F8727" s="120"/>
      <c r="G8727" s="120"/>
      <c r="H8727" s="120"/>
      <c r="I8727" s="60"/>
      <c r="J8727" s="116"/>
      <c r="K8727" s="213"/>
      <c r="L8727" s="120"/>
      <c r="M8727" s="120"/>
      <c r="N8727" s="167"/>
      <c r="O8727" s="120"/>
      <c r="P8727" s="120"/>
      <c r="Q8727" s="120"/>
      <c r="R8727" s="120"/>
      <c r="S8727" s="120"/>
      <c r="T8727" s="221"/>
      <c r="U8727" s="89"/>
      <c r="V8727" s="61"/>
      <c r="W8727" s="92" t="s">
        <v>1354</v>
      </c>
      <c r="X8727" s="93" t="s">
        <v>32</v>
      </c>
      <c r="Y8727" s="93" t="s">
        <v>66</v>
      </c>
      <c r="Z8727" s="134">
        <f>VLOOKUP(W8727,Sheet2!$B:$D,3,FALSE)</f>
        <v>150</v>
      </c>
      <c r="AA8727" s="93">
        <f>AA8724</f>
        <v>2.2675736961451243</v>
      </c>
      <c r="AB8727" s="93">
        <f>AD8727/AC8730</f>
        <v>66.15000000000002</v>
      </c>
      <c r="AC8727" s="93">
        <f>AC8730/AA8727</f>
        <v>2.1168000000000005</v>
      </c>
      <c r="AD8727" s="94">
        <f>AC8727*Z8727</f>
        <v>317.5200000000001</v>
      </c>
      <c r="AE8727" s="190"/>
      <c r="AF8727" s="191"/>
      <c r="AG8727" s="191"/>
      <c r="AH8727" s="191"/>
      <c r="AI8727" s="186"/>
      <c r="AK8727" s="171"/>
    </row>
    <row r="8728" spans="1:37" s="102" customFormat="1" ht="19.899999999999999" customHeight="1" x14ac:dyDescent="0.25">
      <c r="A8728" s="45"/>
      <c r="B8728" s="59"/>
      <c r="C8728" s="137"/>
      <c r="D8728" s="59"/>
      <c r="E8728" s="116"/>
      <c r="F8728" s="120"/>
      <c r="G8728" s="120"/>
      <c r="H8728" s="120"/>
      <c r="I8728" s="60"/>
      <c r="J8728" s="116"/>
      <c r="K8728" s="213"/>
      <c r="L8728" s="120"/>
      <c r="M8728" s="120"/>
      <c r="N8728" s="167"/>
      <c r="O8728" s="120"/>
      <c r="P8728" s="120"/>
      <c r="Q8728" s="120"/>
      <c r="R8728" s="120"/>
      <c r="S8728" s="120"/>
      <c r="T8728" s="221"/>
      <c r="U8728" s="89"/>
      <c r="V8728" s="61"/>
      <c r="W8728" s="92" t="s">
        <v>1355</v>
      </c>
      <c r="X8728" s="93" t="s">
        <v>32</v>
      </c>
      <c r="Y8728" s="93" t="s">
        <v>66</v>
      </c>
      <c r="Z8728" s="134">
        <f>VLOOKUP(W8728,Sheet2!$B:$D,3,FALSE)</f>
        <v>450</v>
      </c>
      <c r="AA8728" s="93">
        <f>AA8725</f>
        <v>0.83333333333333337</v>
      </c>
      <c r="AB8728" s="93">
        <f>AD8728/AC8730</f>
        <v>540</v>
      </c>
      <c r="AC8728" s="93">
        <f>AC8730/AA8728</f>
        <v>5.76</v>
      </c>
      <c r="AD8728" s="94">
        <f>AC8728*Z8728</f>
        <v>2592</v>
      </c>
      <c r="AE8728" s="190"/>
      <c r="AF8728" s="191"/>
      <c r="AG8728" s="191"/>
      <c r="AH8728" s="191"/>
      <c r="AI8728" s="186"/>
      <c r="AK8728" s="171"/>
    </row>
    <row r="8729" spans="1:37" s="102" customFormat="1" ht="19.899999999999999" customHeight="1" x14ac:dyDescent="0.25">
      <c r="A8729" s="45"/>
      <c r="B8729" s="59"/>
      <c r="C8729" s="137"/>
      <c r="D8729" s="59"/>
      <c r="E8729" s="116"/>
      <c r="F8729" s="120"/>
      <c r="G8729" s="120"/>
      <c r="H8729" s="120"/>
      <c r="I8729" s="60"/>
      <c r="J8729" s="116"/>
      <c r="K8729" s="213"/>
      <c r="L8729" s="120"/>
      <c r="M8729" s="120"/>
      <c r="N8729" s="167"/>
      <c r="O8729" s="120"/>
      <c r="P8729" s="120"/>
      <c r="Q8729" s="120"/>
      <c r="R8729" s="120"/>
      <c r="S8729" s="120"/>
      <c r="T8729" s="221"/>
      <c r="U8729" s="89"/>
      <c r="V8729" s="61"/>
      <c r="W8729" s="92" t="s">
        <v>124</v>
      </c>
      <c r="X8729" s="93" t="s">
        <v>32</v>
      </c>
      <c r="Y8729" s="93" t="s">
        <v>64</v>
      </c>
      <c r="Z8729" s="134">
        <f>VLOOKUP(W8729,Sheet2!$B:$D,3,FALSE)</f>
        <v>10</v>
      </c>
      <c r="AA8729" s="93">
        <f>1/((2.6*2.6)-(3.14*1.2*1.2/4))</f>
        <v>0.17763251385533604</v>
      </c>
      <c r="AB8729" s="93">
        <f t="shared" ref="AB8729" si="5959">AD8729/AC8723</f>
        <v>56.296000000000014</v>
      </c>
      <c r="AC8729" s="93">
        <f>AC8723/AA8729</f>
        <v>27.022080000000006</v>
      </c>
      <c r="AD8729" s="94">
        <f t="shared" ref="AD8729" si="5960">AC8729*Z8729</f>
        <v>270.22080000000005</v>
      </c>
      <c r="AE8729" s="190"/>
      <c r="AF8729" s="191"/>
      <c r="AG8729" s="191"/>
      <c r="AH8729" s="191"/>
      <c r="AI8729" s="186"/>
      <c r="AK8729" s="171"/>
    </row>
    <row r="8730" spans="1:37" s="103" customFormat="1" ht="19.899999999999999" customHeight="1" x14ac:dyDescent="0.25">
      <c r="A8730" s="51"/>
      <c r="B8730" s="52"/>
      <c r="C8730" s="165"/>
      <c r="D8730" s="52"/>
      <c r="E8730" s="115"/>
      <c r="F8730" s="58"/>
      <c r="G8730" s="58"/>
      <c r="H8730" s="58"/>
      <c r="I8730" s="55"/>
      <c r="J8730" s="113">
        <f>J8717</f>
        <v>4.8</v>
      </c>
      <c r="K8730" s="212">
        <f>K8717</f>
        <v>4.8</v>
      </c>
      <c r="L8730" s="58"/>
      <c r="M8730" s="58">
        <f>K8730-L8730</f>
        <v>4.8</v>
      </c>
      <c r="N8730" s="166"/>
      <c r="O8730" s="58"/>
      <c r="P8730" s="58"/>
      <c r="Q8730" s="58"/>
      <c r="R8730" s="58"/>
      <c r="S8730" s="58"/>
      <c r="T8730" s="220"/>
      <c r="U8730" s="88"/>
      <c r="V8730" s="56"/>
      <c r="W8730" s="57" t="s">
        <v>1275</v>
      </c>
      <c r="X8730" s="53"/>
      <c r="Y8730" s="91" t="s">
        <v>35</v>
      </c>
      <c r="Z8730" s="136">
        <f>AD8730/AC8730</f>
        <v>4872.8000000000011</v>
      </c>
      <c r="AA8730" s="58"/>
      <c r="AB8730" s="53">
        <f>AD8730/AC8730</f>
        <v>4872.8000000000011</v>
      </c>
      <c r="AC8730" s="53">
        <f>M8730+$AE$10</f>
        <v>4.8</v>
      </c>
      <c r="AD8730" s="54">
        <f>SUM(AD8731:AD8736)</f>
        <v>23389.440000000002</v>
      </c>
      <c r="AE8730" s="184">
        <f>SUMIFS($AD$37:$AD$12971,$V$37:$V$12971,$V8730,$X$37:$X$12971,AE$13)</f>
        <v>0</v>
      </c>
      <c r="AF8730" s="185">
        <f>SUMIFS($AD$37:$AD$12971,$V$37:$V$12971,$V8730,$X$37:$X$12971,AF$13)</f>
        <v>0</v>
      </c>
      <c r="AG8730" s="185">
        <f>SUMIFS($AD$37:$AD$12971,$V$37:$V$12971,$V8730,$X$37:$X$12971,AG$13)</f>
        <v>0</v>
      </c>
      <c r="AH8730" s="187">
        <f>SUMIFS($AD$37:$AD$12971,$V$37:$V$12971,$V8730,$X$37:$X$12971,AH$13)</f>
        <v>0</v>
      </c>
      <c r="AI8730" s="161">
        <f t="shared" ref="AI8730" si="5961">SUM(AE8730:AH8730)</f>
        <v>0</v>
      </c>
      <c r="AK8730" s="172"/>
    </row>
    <row r="8731" spans="1:37" s="102" customFormat="1" ht="19.899999999999999" customHeight="1" x14ac:dyDescent="0.25">
      <c r="A8731" s="45"/>
      <c r="B8731" s="59"/>
      <c r="C8731" s="137"/>
      <c r="D8731" s="59"/>
      <c r="E8731" s="116"/>
      <c r="F8731" s="120"/>
      <c r="G8731" s="120"/>
      <c r="H8731" s="120"/>
      <c r="I8731" s="60"/>
      <c r="J8731" s="116"/>
      <c r="K8731" s="213"/>
      <c r="L8731" s="120"/>
      <c r="M8731" s="120"/>
      <c r="N8731" s="167"/>
      <c r="O8731" s="120"/>
      <c r="P8731" s="120"/>
      <c r="Q8731" s="120"/>
      <c r="R8731" s="120"/>
      <c r="S8731" s="120"/>
      <c r="T8731" s="221"/>
      <c r="U8731" s="89"/>
      <c r="V8731" s="61"/>
      <c r="W8731" s="92" t="s">
        <v>1489</v>
      </c>
      <c r="X8731" s="93" t="s">
        <v>30</v>
      </c>
      <c r="Y8731" s="93" t="s">
        <v>35</v>
      </c>
      <c r="Z8731" s="134">
        <f>VLOOKUP(W8731,Sheet2!$B:$D,3,FALSE)</f>
        <v>3100</v>
      </c>
      <c r="AA8731" s="93">
        <v>1</v>
      </c>
      <c r="AB8731" s="93">
        <f>AD8731/AC8730</f>
        <v>3100</v>
      </c>
      <c r="AC8731" s="93">
        <f>AC8730/AA8731</f>
        <v>4.8</v>
      </c>
      <c r="AD8731" s="94">
        <f t="shared" ref="AD8731:AD8732" si="5962">AC8731*Z8731</f>
        <v>14880</v>
      </c>
      <c r="AE8731" s="190"/>
      <c r="AF8731" s="191"/>
      <c r="AG8731" s="191"/>
      <c r="AH8731" s="191"/>
      <c r="AI8731" s="186"/>
      <c r="AK8731" s="171"/>
    </row>
    <row r="8732" spans="1:37" s="102" customFormat="1" ht="19.899999999999999" customHeight="1" x14ac:dyDescent="0.25">
      <c r="A8732" s="45"/>
      <c r="B8732" s="59"/>
      <c r="C8732" s="137"/>
      <c r="D8732" s="59"/>
      <c r="E8732" s="116"/>
      <c r="F8732" s="120"/>
      <c r="G8732" s="120"/>
      <c r="H8732" s="120"/>
      <c r="I8732" s="60"/>
      <c r="J8732" s="116"/>
      <c r="K8732" s="213"/>
      <c r="L8732" s="120"/>
      <c r="M8732" s="120"/>
      <c r="N8732" s="167"/>
      <c r="O8732" s="120"/>
      <c r="P8732" s="120"/>
      <c r="Q8732" s="120"/>
      <c r="R8732" s="120"/>
      <c r="S8732" s="120"/>
      <c r="T8732" s="221"/>
      <c r="U8732" s="89"/>
      <c r="V8732" s="61"/>
      <c r="W8732" s="92" t="s">
        <v>174</v>
      </c>
      <c r="X8732" s="93" t="s">
        <v>29</v>
      </c>
      <c r="Y8732" s="93" t="s">
        <v>93</v>
      </c>
      <c r="Z8732" s="134">
        <f>VLOOKUP(W8732,Sheet2!$B:$D,3,FALSE)</f>
        <v>80</v>
      </c>
      <c r="AA8732" s="93">
        <f>1/2</f>
        <v>0.5</v>
      </c>
      <c r="AB8732" s="93">
        <f>AD8732/AC8730</f>
        <v>160</v>
      </c>
      <c r="AC8732" s="93">
        <f>AC8730/AA8732</f>
        <v>9.6</v>
      </c>
      <c r="AD8732" s="94">
        <f t="shared" si="5962"/>
        <v>768</v>
      </c>
      <c r="AE8732" s="190"/>
      <c r="AF8732" s="191"/>
      <c r="AG8732" s="191"/>
      <c r="AH8732" s="191"/>
      <c r="AI8732" s="186"/>
      <c r="AK8732" s="171"/>
    </row>
    <row r="8733" spans="1:37" s="102" customFormat="1" ht="19.899999999999999" customHeight="1" x14ac:dyDescent="0.25">
      <c r="A8733" s="45"/>
      <c r="B8733" s="59"/>
      <c r="C8733" s="137"/>
      <c r="D8733" s="59"/>
      <c r="E8733" s="116"/>
      <c r="F8733" s="120"/>
      <c r="G8733" s="120"/>
      <c r="H8733" s="120"/>
      <c r="I8733" s="60"/>
      <c r="J8733" s="116"/>
      <c r="K8733" s="213"/>
      <c r="L8733" s="120"/>
      <c r="M8733" s="120"/>
      <c r="N8733" s="167"/>
      <c r="O8733" s="120"/>
      <c r="P8733" s="120"/>
      <c r="Q8733" s="120"/>
      <c r="R8733" s="120"/>
      <c r="S8733" s="120"/>
      <c r="T8733" s="221"/>
      <c r="U8733" s="89"/>
      <c r="V8733" s="61"/>
      <c r="W8733" s="92" t="s">
        <v>65</v>
      </c>
      <c r="X8733" s="93" t="s">
        <v>30</v>
      </c>
      <c r="Y8733" s="93" t="s">
        <v>93</v>
      </c>
      <c r="Z8733" s="134">
        <f>VLOOKUP(W8733,Sheet2!$B:$D,3,FALSE)</f>
        <v>1.76</v>
      </c>
      <c r="AA8733" s="93">
        <f>AA8732/15</f>
        <v>3.3333333333333333E-2</v>
      </c>
      <c r="AB8733" s="93">
        <f>AD8733/AC8730</f>
        <v>52.800000000000004</v>
      </c>
      <c r="AC8733" s="93">
        <f>AC8730/AA8733</f>
        <v>144</v>
      </c>
      <c r="AD8733" s="94">
        <f>AC8733*Z8733</f>
        <v>253.44</v>
      </c>
      <c r="AE8733" s="190"/>
      <c r="AF8733" s="191"/>
      <c r="AG8733" s="191"/>
      <c r="AH8733" s="191"/>
      <c r="AI8733" s="186"/>
      <c r="AK8733" s="171"/>
    </row>
    <row r="8734" spans="1:37" s="102" customFormat="1" ht="19.899999999999999" customHeight="1" x14ac:dyDescent="0.25">
      <c r="A8734" s="45"/>
      <c r="B8734" s="59"/>
      <c r="C8734" s="137"/>
      <c r="D8734" s="59"/>
      <c r="E8734" s="116"/>
      <c r="F8734" s="120"/>
      <c r="G8734" s="120"/>
      <c r="H8734" s="120"/>
      <c r="I8734" s="60"/>
      <c r="J8734" s="116"/>
      <c r="K8734" s="213"/>
      <c r="L8734" s="120"/>
      <c r="M8734" s="120"/>
      <c r="N8734" s="167"/>
      <c r="O8734" s="120"/>
      <c r="P8734" s="120"/>
      <c r="Q8734" s="120"/>
      <c r="R8734" s="120"/>
      <c r="S8734" s="120"/>
      <c r="T8734" s="221"/>
      <c r="U8734" s="89"/>
      <c r="V8734" s="61"/>
      <c r="W8734" s="92" t="s">
        <v>1487</v>
      </c>
      <c r="X8734" s="93" t="s">
        <v>32</v>
      </c>
      <c r="Y8734" s="93" t="s">
        <v>1349</v>
      </c>
      <c r="Z8734" s="134">
        <f>VLOOKUP(W8734,Sheet2!$B:$D,3,FALSE)</f>
        <v>1500</v>
      </c>
      <c r="AA8734" s="93">
        <v>1</v>
      </c>
      <c r="AB8734" s="93">
        <f>AD8734/AC8730</f>
        <v>1500</v>
      </c>
      <c r="AC8734" s="93">
        <f>AC8730/AA8734</f>
        <v>4.8</v>
      </c>
      <c r="AD8734" s="94">
        <f>AC8734*Z8734</f>
        <v>7200</v>
      </c>
      <c r="AE8734" s="190"/>
      <c r="AF8734" s="191"/>
      <c r="AG8734" s="191"/>
      <c r="AH8734" s="191"/>
      <c r="AI8734" s="186"/>
      <c r="AK8734" s="171"/>
    </row>
    <row r="8735" spans="1:37" s="102" customFormat="1" ht="19.899999999999999" customHeight="1" x14ac:dyDescent="0.25">
      <c r="A8735" s="45"/>
      <c r="B8735" s="59"/>
      <c r="C8735" s="137"/>
      <c r="D8735" s="59"/>
      <c r="E8735" s="116"/>
      <c r="F8735" s="120"/>
      <c r="G8735" s="120"/>
      <c r="H8735" s="120"/>
      <c r="I8735" s="60"/>
      <c r="J8735" s="116"/>
      <c r="K8735" s="213"/>
      <c r="L8735" s="120"/>
      <c r="M8735" s="120"/>
      <c r="N8735" s="167"/>
      <c r="O8735" s="120"/>
      <c r="P8735" s="120"/>
      <c r="Q8735" s="120"/>
      <c r="R8735" s="120"/>
      <c r="S8735" s="120"/>
      <c r="T8735" s="221"/>
      <c r="U8735" s="89"/>
      <c r="V8735" s="61"/>
      <c r="W8735" s="92" t="s">
        <v>107</v>
      </c>
      <c r="X8735" s="93" t="s">
        <v>31</v>
      </c>
      <c r="Y8735" s="93" t="s">
        <v>93</v>
      </c>
      <c r="Z8735" s="134">
        <f>VLOOKUP(W8735,Sheet2!$B:$D,3,FALSE)</f>
        <v>17</v>
      </c>
      <c r="AA8735" s="93">
        <f>AA8732</f>
        <v>0.5</v>
      </c>
      <c r="AB8735" s="93">
        <f>AD8735/AC8730</f>
        <v>34</v>
      </c>
      <c r="AC8735" s="93">
        <f>AC8730/AA8735</f>
        <v>9.6</v>
      </c>
      <c r="AD8735" s="94">
        <f>AC8735*Z8735</f>
        <v>163.19999999999999</v>
      </c>
      <c r="AE8735" s="190"/>
      <c r="AF8735" s="191"/>
      <c r="AG8735" s="191"/>
      <c r="AH8735" s="191"/>
      <c r="AI8735" s="186"/>
      <c r="AK8735" s="171"/>
    </row>
    <row r="8736" spans="1:37" s="102" customFormat="1" ht="19.899999999999999" customHeight="1" x14ac:dyDescent="0.25">
      <c r="A8736" s="45"/>
      <c r="B8736" s="59"/>
      <c r="C8736" s="137"/>
      <c r="D8736" s="59"/>
      <c r="E8736" s="116"/>
      <c r="F8736" s="120"/>
      <c r="G8736" s="120"/>
      <c r="H8736" s="120"/>
      <c r="I8736" s="60"/>
      <c r="J8736" s="116"/>
      <c r="K8736" s="213"/>
      <c r="L8736" s="120"/>
      <c r="M8736" s="120"/>
      <c r="N8736" s="167"/>
      <c r="O8736" s="120"/>
      <c r="P8736" s="120"/>
      <c r="Q8736" s="120"/>
      <c r="R8736" s="120"/>
      <c r="S8736" s="120"/>
      <c r="T8736" s="221"/>
      <c r="U8736" s="89"/>
      <c r="V8736" s="61"/>
      <c r="W8736" s="92" t="s">
        <v>112</v>
      </c>
      <c r="X8736" s="93" t="s">
        <v>31</v>
      </c>
      <c r="Y8736" s="93" t="s">
        <v>93</v>
      </c>
      <c r="Z8736" s="134">
        <f>VLOOKUP(W8736,Sheet2!$B:$D,3,FALSE)</f>
        <v>13</v>
      </c>
      <c r="AA8736" s="93">
        <f>AA8735</f>
        <v>0.5</v>
      </c>
      <c r="AB8736" s="93">
        <f>AD8736/AC8730</f>
        <v>26</v>
      </c>
      <c r="AC8736" s="93">
        <f>AC8730/AA8736</f>
        <v>9.6</v>
      </c>
      <c r="AD8736" s="94">
        <f>AC8736*Z8736</f>
        <v>124.8</v>
      </c>
      <c r="AE8736" s="190"/>
      <c r="AF8736" s="191"/>
      <c r="AG8736" s="191"/>
      <c r="AH8736" s="191"/>
      <c r="AI8736" s="186"/>
      <c r="AK8736" s="171"/>
    </row>
    <row r="8737" spans="1:41" s="103" customFormat="1" ht="19.899999999999999" customHeight="1" x14ac:dyDescent="0.25">
      <c r="A8737" s="51"/>
      <c r="B8737" s="52"/>
      <c r="C8737" s="165"/>
      <c r="D8737" s="52"/>
      <c r="E8737" s="115"/>
      <c r="F8737" s="58"/>
      <c r="G8737" s="58"/>
      <c r="H8737" s="58"/>
      <c r="I8737" s="55"/>
      <c r="J8737" s="113">
        <f>J8717</f>
        <v>4.8</v>
      </c>
      <c r="K8737" s="212">
        <f>K8717</f>
        <v>4.8</v>
      </c>
      <c r="L8737" s="58"/>
      <c r="M8737" s="58">
        <f>K8737-L8737</f>
        <v>4.8</v>
      </c>
      <c r="N8737" s="166"/>
      <c r="O8737" s="58"/>
      <c r="P8737" s="58"/>
      <c r="Q8737" s="58"/>
      <c r="R8737" s="58"/>
      <c r="S8737" s="58"/>
      <c r="T8737" s="220"/>
      <c r="U8737" s="88"/>
      <c r="V8737" s="56"/>
      <c r="W8737" s="57" t="s">
        <v>1272</v>
      </c>
      <c r="X8737" s="53"/>
      <c r="Y8737" s="91" t="s">
        <v>35</v>
      </c>
      <c r="Z8737" s="136">
        <f>AD8737/AC8737</f>
        <v>263.54107742745094</v>
      </c>
      <c r="AA8737" s="58"/>
      <c r="AB8737" s="53">
        <f>AD8737/AC8737</f>
        <v>263.54107742745094</v>
      </c>
      <c r="AC8737" s="53">
        <f>M8737+$AE$10</f>
        <v>4.8</v>
      </c>
      <c r="AD8737" s="54">
        <f>SUM(AD8738:AD8746)</f>
        <v>1264.9971716517643</v>
      </c>
      <c r="AE8737" s="184">
        <f>SUMIFS($AD$37:$AD$12971,$V$37:$V$12971,$V8737,$X$37:$X$12971,AE$13)</f>
        <v>0</v>
      </c>
      <c r="AF8737" s="185">
        <f>SUMIFS($AD$37:$AD$12971,$V$37:$V$12971,$V8737,$X$37:$X$12971,AF$13)</f>
        <v>0</v>
      </c>
      <c r="AG8737" s="185">
        <f>SUMIFS($AD$37:$AD$12971,$V$37:$V$12971,$V8737,$X$37:$X$12971,AG$13)</f>
        <v>0</v>
      </c>
      <c r="AH8737" s="187">
        <f>SUMIFS($AD$37:$AD$12971,$V$37:$V$12971,$V8737,$X$37:$X$12971,AH$13)</f>
        <v>0</v>
      </c>
      <c r="AI8737" s="161">
        <f t="shared" ref="AI8737" si="5963">SUM(AE8737:AH8737)</f>
        <v>0</v>
      </c>
      <c r="AK8737" s="172"/>
    </row>
    <row r="8738" spans="1:41" s="102" customFormat="1" ht="19.899999999999999" customHeight="1" x14ac:dyDescent="0.25">
      <c r="A8738" s="45"/>
      <c r="B8738" s="59"/>
      <c r="C8738" s="137"/>
      <c r="D8738" s="59"/>
      <c r="E8738" s="116"/>
      <c r="F8738" s="120"/>
      <c r="G8738" s="120"/>
      <c r="H8738" s="120"/>
      <c r="I8738" s="60"/>
      <c r="J8738" s="116"/>
      <c r="K8738" s="213"/>
      <c r="L8738" s="120"/>
      <c r="M8738" s="120"/>
      <c r="N8738" s="167"/>
      <c r="O8738" s="120"/>
      <c r="P8738" s="120"/>
      <c r="Q8738" s="120"/>
      <c r="R8738" s="120"/>
      <c r="S8738" s="120"/>
      <c r="T8738" s="221"/>
      <c r="U8738" s="89"/>
      <c r="V8738" s="61"/>
      <c r="W8738" s="92" t="s">
        <v>1273</v>
      </c>
      <c r="X8738" s="93" t="s">
        <v>30</v>
      </c>
      <c r="Y8738" s="93" t="s">
        <v>66</v>
      </c>
      <c r="Z8738" s="134">
        <f>VLOOKUP(W8738,Sheet2!$B:$D,3,FALSE)</f>
        <v>10</v>
      </c>
      <c r="AA8738" s="93">
        <f>1/((2.5*2.5*2.5)-(3.14/4*1.2*1.2*2.5))</f>
        <v>7.8131103992499423E-2</v>
      </c>
      <c r="AB8738" s="93">
        <f>AD8738/AC8737</f>
        <v>127.98999999999998</v>
      </c>
      <c r="AC8738" s="93">
        <f>AC8737/AA8738</f>
        <v>61.435199999999988</v>
      </c>
      <c r="AD8738" s="94">
        <f t="shared" ref="AD8738:AD8740" si="5964">AC8738*Z8738</f>
        <v>614.35199999999986</v>
      </c>
      <c r="AE8738" s="190"/>
      <c r="AF8738" s="191"/>
      <c r="AG8738" s="191"/>
      <c r="AH8738" s="191"/>
      <c r="AI8738" s="186"/>
      <c r="AK8738" s="171"/>
    </row>
    <row r="8739" spans="1:41" s="102" customFormat="1" ht="19.899999999999999" customHeight="1" x14ac:dyDescent="0.25">
      <c r="A8739" s="45"/>
      <c r="B8739" s="59"/>
      <c r="C8739" s="137"/>
      <c r="D8739" s="59"/>
      <c r="E8739" s="116"/>
      <c r="F8739" s="120"/>
      <c r="G8739" s="120"/>
      <c r="H8739" s="120"/>
      <c r="I8739" s="60"/>
      <c r="J8739" s="116"/>
      <c r="K8739" s="213"/>
      <c r="L8739" s="120"/>
      <c r="M8739" s="120"/>
      <c r="N8739" s="167"/>
      <c r="O8739" s="120"/>
      <c r="P8739" s="120"/>
      <c r="Q8739" s="120"/>
      <c r="R8739" s="120"/>
      <c r="S8739" s="120"/>
      <c r="T8739" s="221"/>
      <c r="U8739" s="89"/>
      <c r="V8739" s="61"/>
      <c r="W8739" s="92" t="s">
        <v>134</v>
      </c>
      <c r="X8739" s="93" t="s">
        <v>29</v>
      </c>
      <c r="Y8739" s="93" t="s">
        <v>93</v>
      </c>
      <c r="Z8739" s="134">
        <f>VLOOKUP(W8739,Sheet2!$B:$D,3,FALSE)</f>
        <v>65.599999999999994</v>
      </c>
      <c r="AA8739" s="93">
        <f>100/((2.5*2.5*2.5)-(3.14/4*1.2*1.2*2.5))</f>
        <v>7.8131103992499416</v>
      </c>
      <c r="AB8739" s="93">
        <f t="shared" ref="AB8739" si="5965">AD8739/AC8737</f>
        <v>8.3961439999999996</v>
      </c>
      <c r="AC8739" s="93">
        <f>AC8737/AA8739</f>
        <v>0.61435200000000001</v>
      </c>
      <c r="AD8739" s="94">
        <f t="shared" si="5964"/>
        <v>40.301491199999994</v>
      </c>
      <c r="AE8739" s="190"/>
      <c r="AF8739" s="191"/>
      <c r="AG8739" s="191"/>
      <c r="AH8739" s="191"/>
      <c r="AI8739" s="186"/>
      <c r="AK8739" s="171"/>
    </row>
    <row r="8740" spans="1:41" s="102" customFormat="1" ht="19.899999999999999" customHeight="1" x14ac:dyDescent="0.25">
      <c r="A8740" s="45"/>
      <c r="B8740" s="59"/>
      <c r="C8740" s="137"/>
      <c r="D8740" s="59"/>
      <c r="E8740" s="116"/>
      <c r="F8740" s="120"/>
      <c r="G8740" s="120"/>
      <c r="H8740" s="120"/>
      <c r="I8740" s="60"/>
      <c r="J8740" s="116"/>
      <c r="K8740" s="213"/>
      <c r="L8740" s="120"/>
      <c r="M8740" s="120"/>
      <c r="N8740" s="167"/>
      <c r="O8740" s="120"/>
      <c r="P8740" s="120"/>
      <c r="Q8740" s="120"/>
      <c r="R8740" s="120"/>
      <c r="S8740" s="120"/>
      <c r="T8740" s="221"/>
      <c r="U8740" s="89"/>
      <c r="V8740" s="61"/>
      <c r="W8740" s="92" t="s">
        <v>65</v>
      </c>
      <c r="X8740" s="93" t="s">
        <v>30</v>
      </c>
      <c r="Y8740" s="93" t="s">
        <v>1011</v>
      </c>
      <c r="Z8740" s="134">
        <f>VLOOKUP(W8740,Sheet2!$B:$D,3,FALSE)</f>
        <v>1.76</v>
      </c>
      <c r="AA8740" s="93">
        <f>AA8739/9</f>
        <v>0.86812337769443793</v>
      </c>
      <c r="AB8740" s="93">
        <f>AD8740/AC8737</f>
        <v>2.0273615999999999</v>
      </c>
      <c r="AC8740" s="93">
        <f>AC8737/AA8740</f>
        <v>5.5291679999999994</v>
      </c>
      <c r="AD8740" s="94">
        <f t="shared" si="5964"/>
        <v>9.731335679999999</v>
      </c>
      <c r="AE8740" s="190"/>
      <c r="AF8740" s="191"/>
      <c r="AG8740" s="191"/>
      <c r="AH8740" s="191"/>
      <c r="AI8740" s="186"/>
      <c r="AK8740" s="171"/>
    </row>
    <row r="8741" spans="1:41" s="102" customFormat="1" ht="19.899999999999999" customHeight="1" x14ac:dyDescent="0.25">
      <c r="A8741" s="45"/>
      <c r="B8741" s="59"/>
      <c r="C8741" s="137"/>
      <c r="D8741" s="59"/>
      <c r="E8741" s="116"/>
      <c r="F8741" s="120"/>
      <c r="G8741" s="120"/>
      <c r="H8741" s="120"/>
      <c r="I8741" s="60"/>
      <c r="J8741" s="116"/>
      <c r="K8741" s="213"/>
      <c r="L8741" s="120"/>
      <c r="M8741" s="120"/>
      <c r="N8741" s="167"/>
      <c r="O8741" s="120"/>
      <c r="P8741" s="120"/>
      <c r="Q8741" s="120"/>
      <c r="R8741" s="120"/>
      <c r="S8741" s="120"/>
      <c r="T8741" s="221"/>
      <c r="U8741" s="89"/>
      <c r="V8741" s="61"/>
      <c r="W8741" s="92" t="s">
        <v>161</v>
      </c>
      <c r="X8741" s="93" t="s">
        <v>29</v>
      </c>
      <c r="Y8741" s="93" t="s">
        <v>93</v>
      </c>
      <c r="Z8741" s="134">
        <f>VLOOKUP(W8741,Sheet2!$B:$D,3,FALSE)</f>
        <v>48</v>
      </c>
      <c r="AA8741" s="93">
        <f>(16*0.85*1.5)/((2.5*2.5*2.5)-(3.14/4*1.2*1.2*2.5))</f>
        <v>1.593874521446988</v>
      </c>
      <c r="AB8741" s="93">
        <f>AD8741/AC8737</f>
        <v>30.115294117647061</v>
      </c>
      <c r="AC8741" s="93">
        <f>AC8737/AA8741</f>
        <v>3.0115294117647058</v>
      </c>
      <c r="AD8741" s="94">
        <f>AC8741*Z8741</f>
        <v>144.55341176470588</v>
      </c>
      <c r="AE8741" s="190"/>
      <c r="AF8741" s="191"/>
      <c r="AG8741" s="191"/>
      <c r="AH8741" s="191"/>
      <c r="AI8741" s="186"/>
      <c r="AK8741" s="171"/>
    </row>
    <row r="8742" spans="1:41" s="102" customFormat="1" ht="19.899999999999999" customHeight="1" x14ac:dyDescent="0.25">
      <c r="A8742" s="45"/>
      <c r="B8742" s="59"/>
      <c r="C8742" s="137"/>
      <c r="D8742" s="59"/>
      <c r="E8742" s="116"/>
      <c r="F8742" s="120"/>
      <c r="G8742" s="120"/>
      <c r="H8742" s="120"/>
      <c r="I8742" s="60"/>
      <c r="J8742" s="116"/>
      <c r="K8742" s="213"/>
      <c r="L8742" s="120"/>
      <c r="M8742" s="120"/>
      <c r="N8742" s="167"/>
      <c r="O8742" s="120"/>
      <c r="P8742" s="120"/>
      <c r="Q8742" s="120"/>
      <c r="R8742" s="120"/>
      <c r="S8742" s="120"/>
      <c r="T8742" s="221"/>
      <c r="U8742" s="89"/>
      <c r="V8742" s="61"/>
      <c r="W8742" s="92" t="s">
        <v>65</v>
      </c>
      <c r="X8742" s="93" t="s">
        <v>30</v>
      </c>
      <c r="Y8742" s="93" t="s">
        <v>1011</v>
      </c>
      <c r="Z8742" s="134">
        <f>VLOOKUP(W8742,Sheet2!$B:$D,3,FALSE)</f>
        <v>1.76</v>
      </c>
      <c r="AA8742" s="93">
        <f>AA8741/10</f>
        <v>0.15938745214469879</v>
      </c>
      <c r="AB8742" s="93">
        <f>AD8742/AC8737</f>
        <v>11.042274509803923</v>
      </c>
      <c r="AC8742" s="93">
        <f>AC8737/AA8742</f>
        <v>30.115294117647061</v>
      </c>
      <c r="AD8742" s="94">
        <f>AC8742*Z8742</f>
        <v>53.00291764705883</v>
      </c>
      <c r="AE8742" s="190"/>
      <c r="AF8742" s="191"/>
      <c r="AG8742" s="191"/>
      <c r="AH8742" s="191"/>
      <c r="AI8742" s="186"/>
      <c r="AK8742" s="171"/>
    </row>
    <row r="8743" spans="1:41" s="102" customFormat="1" ht="19.899999999999999" customHeight="1" x14ac:dyDescent="0.25">
      <c r="A8743" s="45"/>
      <c r="B8743" s="59"/>
      <c r="C8743" s="137"/>
      <c r="D8743" s="59"/>
      <c r="E8743" s="116"/>
      <c r="F8743" s="120"/>
      <c r="G8743" s="120"/>
      <c r="H8743" s="120"/>
      <c r="I8743" s="60"/>
      <c r="J8743" s="116"/>
      <c r="K8743" s="213"/>
      <c r="L8743" s="120"/>
      <c r="M8743" s="120"/>
      <c r="N8743" s="167"/>
      <c r="O8743" s="120"/>
      <c r="P8743" s="120"/>
      <c r="Q8743" s="120"/>
      <c r="R8743" s="120"/>
      <c r="S8743" s="120"/>
      <c r="T8743" s="221"/>
      <c r="U8743" s="89"/>
      <c r="V8743" s="61"/>
      <c r="W8743" s="92" t="s">
        <v>173</v>
      </c>
      <c r="X8743" s="93" t="s">
        <v>29</v>
      </c>
      <c r="Y8743" s="93" t="s">
        <v>93</v>
      </c>
      <c r="Z8743" s="134">
        <f>VLOOKUP(W8743,Sheet2!$B:$D,3,FALSE)</f>
        <v>36</v>
      </c>
      <c r="AA8743" s="93">
        <f>50/((2.5*2.5*2.5)-(3.14/4*1.2*1.2*2.5))</f>
        <v>3.9065551996249708</v>
      </c>
      <c r="AB8743" s="93">
        <f>AD8743/AC8737</f>
        <v>9.2152800000000017</v>
      </c>
      <c r="AC8743" s="93">
        <f>AC8737/AA8743</f>
        <v>1.228704</v>
      </c>
      <c r="AD8743" s="94">
        <f>AC8743*Z8743</f>
        <v>44.233344000000002</v>
      </c>
      <c r="AE8743" s="190"/>
      <c r="AF8743" s="191"/>
      <c r="AG8743" s="191"/>
      <c r="AH8743" s="191"/>
      <c r="AI8743" s="186"/>
      <c r="AK8743" s="171"/>
    </row>
    <row r="8744" spans="1:41" s="102" customFormat="1" ht="19.899999999999999" customHeight="1" x14ac:dyDescent="0.25">
      <c r="A8744" s="45"/>
      <c r="B8744" s="59"/>
      <c r="C8744" s="137"/>
      <c r="D8744" s="59"/>
      <c r="E8744" s="116"/>
      <c r="F8744" s="120"/>
      <c r="G8744" s="120"/>
      <c r="H8744" s="120"/>
      <c r="I8744" s="60"/>
      <c r="J8744" s="116"/>
      <c r="K8744" s="213"/>
      <c r="L8744" s="120"/>
      <c r="M8744" s="120"/>
      <c r="N8744" s="167"/>
      <c r="O8744" s="120"/>
      <c r="P8744" s="120"/>
      <c r="Q8744" s="120"/>
      <c r="R8744" s="120"/>
      <c r="S8744" s="120"/>
      <c r="T8744" s="221"/>
      <c r="U8744" s="89"/>
      <c r="V8744" s="61"/>
      <c r="W8744" s="92" t="s">
        <v>65</v>
      </c>
      <c r="X8744" s="93" t="s">
        <v>30</v>
      </c>
      <c r="Y8744" s="93" t="s">
        <v>1011</v>
      </c>
      <c r="Z8744" s="134">
        <f>VLOOKUP(W8744,Sheet2!$B:$D,3,FALSE)</f>
        <v>1.76</v>
      </c>
      <c r="AA8744" s="93">
        <f>AA8743/9</f>
        <v>0.43406168884721896</v>
      </c>
      <c r="AB8744" s="93">
        <f>AD8744/AC8737</f>
        <v>4.0547231999999997</v>
      </c>
      <c r="AC8744" s="93">
        <f>AC8737/AA8744</f>
        <v>11.058335999999999</v>
      </c>
      <c r="AD8744" s="94">
        <f>AC8744*Z8744</f>
        <v>19.462671359999998</v>
      </c>
      <c r="AE8744" s="190"/>
      <c r="AF8744" s="191"/>
      <c r="AG8744" s="191"/>
      <c r="AH8744" s="191"/>
      <c r="AI8744" s="186"/>
      <c r="AK8744" s="171"/>
    </row>
    <row r="8745" spans="1:41" s="102" customFormat="1" ht="19.899999999999999" customHeight="1" x14ac:dyDescent="0.25">
      <c r="A8745" s="45"/>
      <c r="B8745" s="59"/>
      <c r="C8745" s="137"/>
      <c r="D8745" s="59"/>
      <c r="E8745" s="116"/>
      <c r="F8745" s="120"/>
      <c r="G8745" s="120"/>
      <c r="H8745" s="120"/>
      <c r="I8745" s="60"/>
      <c r="J8745" s="116"/>
      <c r="K8745" s="213"/>
      <c r="L8745" s="120"/>
      <c r="M8745" s="120"/>
      <c r="N8745" s="167"/>
      <c r="O8745" s="120"/>
      <c r="P8745" s="120"/>
      <c r="Q8745" s="120"/>
      <c r="R8745" s="120"/>
      <c r="S8745" s="120"/>
      <c r="T8745" s="221"/>
      <c r="U8745" s="89"/>
      <c r="V8745" s="61"/>
      <c r="W8745" s="92" t="s">
        <v>1030</v>
      </c>
      <c r="X8745" s="93" t="s">
        <v>29</v>
      </c>
      <c r="Y8745" s="93" t="s">
        <v>93</v>
      </c>
      <c r="Z8745" s="134">
        <f>VLOOKUP(W8745,Sheet2!$B:$D,3,FALSE)</f>
        <v>23</v>
      </c>
      <c r="AA8745" s="93">
        <f>1/(2.5*1)</f>
        <v>0.4</v>
      </c>
      <c r="AB8745" s="93">
        <f>AD8745/AC8737</f>
        <v>57.499999999999993</v>
      </c>
      <c r="AC8745" s="93">
        <f>AC8737/AA8745</f>
        <v>11.999999999999998</v>
      </c>
      <c r="AD8745" s="94">
        <f t="shared" ref="AD8745:AD8746" si="5966">AC8745*Z8745</f>
        <v>275.99999999999994</v>
      </c>
      <c r="AE8745" s="190"/>
      <c r="AF8745" s="191"/>
      <c r="AG8745" s="191"/>
      <c r="AH8745" s="191"/>
      <c r="AI8745" s="186"/>
      <c r="AK8745" s="171"/>
    </row>
    <row r="8746" spans="1:41" s="102" customFormat="1" ht="19.899999999999999" customHeight="1" x14ac:dyDescent="0.25">
      <c r="A8746" s="45"/>
      <c r="B8746" s="59"/>
      <c r="C8746" s="137"/>
      <c r="D8746" s="59"/>
      <c r="E8746" s="116"/>
      <c r="F8746" s="120"/>
      <c r="G8746" s="120"/>
      <c r="H8746" s="120"/>
      <c r="I8746" s="60"/>
      <c r="J8746" s="116"/>
      <c r="K8746" s="213"/>
      <c r="L8746" s="120"/>
      <c r="M8746" s="120"/>
      <c r="N8746" s="167"/>
      <c r="O8746" s="120"/>
      <c r="P8746" s="120"/>
      <c r="Q8746" s="120"/>
      <c r="R8746" s="120"/>
      <c r="S8746" s="120"/>
      <c r="T8746" s="221"/>
      <c r="U8746" s="89"/>
      <c r="V8746" s="61"/>
      <c r="W8746" s="92" t="s">
        <v>65</v>
      </c>
      <c r="X8746" s="93" t="s">
        <v>30</v>
      </c>
      <c r="Y8746" s="93" t="s">
        <v>1011</v>
      </c>
      <c r="Z8746" s="134">
        <f>VLOOKUP(W8746,Sheet2!$B:$D,3,FALSE)</f>
        <v>1.76</v>
      </c>
      <c r="AA8746" s="93">
        <f>AA8745/3</f>
        <v>0.13333333333333333</v>
      </c>
      <c r="AB8746" s="93">
        <f>AD8746/AC8737</f>
        <v>13.200000000000001</v>
      </c>
      <c r="AC8746" s="93">
        <f>AC8737/AA8746</f>
        <v>36</v>
      </c>
      <c r="AD8746" s="94">
        <f t="shared" si="5966"/>
        <v>63.36</v>
      </c>
      <c r="AE8746" s="190"/>
      <c r="AF8746" s="191"/>
      <c r="AG8746" s="191"/>
      <c r="AH8746" s="191"/>
      <c r="AI8746" s="186"/>
      <c r="AK8746" s="171"/>
    </row>
    <row r="8747" spans="1:41" ht="20.100000000000001" customHeight="1" x14ac:dyDescent="0.25">
      <c r="A8747" s="277" t="s">
        <v>703</v>
      </c>
      <c r="B8747" s="278"/>
      <c r="C8747" s="64" t="s">
        <v>813</v>
      </c>
      <c r="D8747" s="46" t="s">
        <v>215</v>
      </c>
      <c r="E8747" s="114">
        <v>7.125</v>
      </c>
      <c r="F8747" s="44">
        <v>18316</v>
      </c>
      <c r="G8747" s="44">
        <f t="shared" si="5545"/>
        <v>130501.5</v>
      </c>
      <c r="H8747" s="44">
        <f t="shared" si="5546"/>
        <v>7197.1594105599997</v>
      </c>
      <c r="I8747" s="43">
        <f t="shared" si="5547"/>
        <v>51279.760800240001</v>
      </c>
      <c r="J8747" s="112">
        <f t="shared" si="5548"/>
        <v>7.125</v>
      </c>
      <c r="K8747" s="211">
        <f t="shared" si="5549"/>
        <v>7.125</v>
      </c>
      <c r="L8747" s="44"/>
      <c r="M8747" s="44">
        <f t="shared" si="5550"/>
        <v>7.125</v>
      </c>
      <c r="N8747" s="173">
        <f t="shared" si="5551"/>
        <v>1</v>
      </c>
      <c r="O8747" s="44">
        <f t="shared" si="5552"/>
        <v>18316</v>
      </c>
      <c r="P8747" s="44">
        <f t="shared" si="5553"/>
        <v>130501.5</v>
      </c>
      <c r="Q8747" s="44">
        <f t="shared" si="5554"/>
        <v>7197.1594105599997</v>
      </c>
      <c r="R8747" s="44">
        <f t="shared" si="5555"/>
        <v>51279.760800240001</v>
      </c>
      <c r="S8747" s="123"/>
      <c r="T8747" s="219">
        <f t="shared" si="5556"/>
        <v>51279.760800240001</v>
      </c>
      <c r="U8747" s="87"/>
      <c r="V8747" s="47"/>
      <c r="W8747" s="48"/>
      <c r="X8747" s="48"/>
      <c r="Y8747" s="48"/>
      <c r="Z8747" s="135"/>
      <c r="AA8747" s="49"/>
      <c r="AB8747" s="50">
        <f t="shared" si="5557"/>
        <v>7197.1594105599997</v>
      </c>
      <c r="AC8747" s="42">
        <f t="shared" si="5558"/>
        <v>7.125</v>
      </c>
      <c r="AD8747" s="90">
        <f>AD8748+AD8753+AD8760+AD8767</f>
        <v>51279.760800240001</v>
      </c>
      <c r="AE8747" s="188">
        <f t="shared" ref="AE8747" si="5967">AE8748+AE8753+AE8760+AE8767</f>
        <v>0</v>
      </c>
      <c r="AF8747" s="189">
        <f t="shared" ref="AF8747" si="5968">AF8748+AF8753+AF8760+AF8767</f>
        <v>0</v>
      </c>
      <c r="AG8747" s="189">
        <f t="shared" ref="AG8747" si="5969">AG8748+AG8753+AG8760+AG8767</f>
        <v>0</v>
      </c>
      <c r="AH8747" s="189">
        <f t="shared" ref="AH8747" si="5970">AH8748+AH8753+AH8760+AH8767</f>
        <v>0</v>
      </c>
      <c r="AI8747" s="161">
        <f t="shared" ref="AI8747:AI8748" si="5971">SUM(AE8747:AH8747)</f>
        <v>0</v>
      </c>
      <c r="AK8747" s="169">
        <v>5</v>
      </c>
      <c r="AO8747" s="19" t="s">
        <v>63</v>
      </c>
    </row>
    <row r="8748" spans="1:41" s="103" customFormat="1" ht="19.899999999999999" customHeight="1" x14ac:dyDescent="0.25">
      <c r="A8748" s="51"/>
      <c r="B8748" s="52"/>
      <c r="C8748" s="165"/>
      <c r="D8748" s="52"/>
      <c r="E8748" s="115"/>
      <c r="F8748" s="58"/>
      <c r="G8748" s="58"/>
      <c r="H8748" s="58"/>
      <c r="I8748" s="55"/>
      <c r="J8748" s="113">
        <f>J8747</f>
        <v>7.125</v>
      </c>
      <c r="K8748" s="212">
        <f>K8747</f>
        <v>7.125</v>
      </c>
      <c r="L8748" s="58"/>
      <c r="M8748" s="58">
        <f>K8748-L8748</f>
        <v>7.125</v>
      </c>
      <c r="N8748" s="166"/>
      <c r="O8748" s="58"/>
      <c r="P8748" s="58"/>
      <c r="Q8748" s="58"/>
      <c r="R8748" s="58"/>
      <c r="S8748" s="58"/>
      <c r="T8748" s="220"/>
      <c r="U8748" s="88"/>
      <c r="V8748" s="56"/>
      <c r="W8748" s="57" t="s">
        <v>1505</v>
      </c>
      <c r="X8748" s="53"/>
      <c r="Y8748" s="91" t="s">
        <v>35</v>
      </c>
      <c r="Z8748" s="136">
        <f>AD8748/AC8748</f>
        <v>75.414117647058831</v>
      </c>
      <c r="AA8748" s="58"/>
      <c r="AB8748" s="53">
        <f>AD8748/AC8748</f>
        <v>75.414117647058831</v>
      </c>
      <c r="AC8748" s="53">
        <f>M8748+$AE$10</f>
        <v>7.125</v>
      </c>
      <c r="AD8748" s="54">
        <f>SUM(AD8749:AD8752)</f>
        <v>537.32558823529416</v>
      </c>
      <c r="AE8748" s="184">
        <f>SUMIFS($AD$37:$AD$12971,$V$37:$V$12971,$V8748,$X$37:$X$12971,AE$13)</f>
        <v>0</v>
      </c>
      <c r="AF8748" s="185">
        <f>SUMIFS($AD$37:$AD$12971,$V$37:$V$12971,$V8748,$X$37:$X$12971,AF$13)</f>
        <v>0</v>
      </c>
      <c r="AG8748" s="185">
        <f>SUMIFS($AD$37:$AD$12971,$V$37:$V$12971,$V8748,$X$37:$X$12971,AG$13)</f>
        <v>0</v>
      </c>
      <c r="AH8748" s="187">
        <f>SUMIFS($AD$37:$AD$12971,$V$37:$V$12971,$V8748,$X$37:$X$12971,AH$13)</f>
        <v>0</v>
      </c>
      <c r="AI8748" s="161">
        <f t="shared" si="5971"/>
        <v>0</v>
      </c>
      <c r="AK8748" s="172"/>
    </row>
    <row r="8749" spans="1:41" s="102" customFormat="1" ht="19.899999999999999" customHeight="1" x14ac:dyDescent="0.25">
      <c r="A8749" s="45"/>
      <c r="B8749" s="59"/>
      <c r="C8749" s="137"/>
      <c r="D8749" s="59"/>
      <c r="E8749" s="116"/>
      <c r="F8749" s="120"/>
      <c r="G8749" s="120"/>
      <c r="H8749" s="120"/>
      <c r="I8749" s="60"/>
      <c r="J8749" s="116"/>
      <c r="K8749" s="213"/>
      <c r="L8749" s="120"/>
      <c r="M8749" s="120"/>
      <c r="N8749" s="167"/>
      <c r="O8749" s="120"/>
      <c r="P8749" s="120"/>
      <c r="Q8749" s="120"/>
      <c r="R8749" s="120"/>
      <c r="S8749" s="120"/>
      <c r="T8749" s="221"/>
      <c r="U8749" s="89"/>
      <c r="V8749" s="61"/>
      <c r="W8749" s="92" t="s">
        <v>129</v>
      </c>
      <c r="X8749" s="93" t="s">
        <v>29</v>
      </c>
      <c r="Y8749" s="93" t="s">
        <v>93</v>
      </c>
      <c r="Z8749" s="134">
        <f>VLOOKUP(W8749,Sheet2!$B:$D,3,FALSE)</f>
        <v>56</v>
      </c>
      <c r="AA8749" s="93">
        <f>100/(2.5*2.5*3)</f>
        <v>5.333333333333333</v>
      </c>
      <c r="AB8749" s="93">
        <f t="shared" ref="AB8749" si="5972">AD8749/AC8748</f>
        <v>10.5</v>
      </c>
      <c r="AC8749" s="93">
        <f>AC8748/AA8749</f>
        <v>1.3359375</v>
      </c>
      <c r="AD8749" s="94">
        <f t="shared" ref="AD8749:AD8750" si="5973">AC8749*Z8749</f>
        <v>74.8125</v>
      </c>
      <c r="AE8749" s="190"/>
      <c r="AF8749" s="191"/>
      <c r="AG8749" s="191"/>
      <c r="AH8749" s="191"/>
      <c r="AI8749" s="186"/>
      <c r="AK8749" s="171"/>
    </row>
    <row r="8750" spans="1:41" s="102" customFormat="1" ht="19.899999999999999" customHeight="1" x14ac:dyDescent="0.25">
      <c r="A8750" s="45"/>
      <c r="B8750" s="59"/>
      <c r="C8750" s="137"/>
      <c r="D8750" s="59"/>
      <c r="E8750" s="116"/>
      <c r="F8750" s="120"/>
      <c r="G8750" s="120"/>
      <c r="H8750" s="120"/>
      <c r="I8750" s="60"/>
      <c r="J8750" s="116"/>
      <c r="K8750" s="213"/>
      <c r="L8750" s="120"/>
      <c r="M8750" s="120"/>
      <c r="N8750" s="167"/>
      <c r="O8750" s="120"/>
      <c r="P8750" s="120"/>
      <c r="Q8750" s="120"/>
      <c r="R8750" s="120"/>
      <c r="S8750" s="120"/>
      <c r="T8750" s="221"/>
      <c r="U8750" s="89"/>
      <c r="V8750" s="61"/>
      <c r="W8750" s="92" t="s">
        <v>65</v>
      </c>
      <c r="X8750" s="93" t="s">
        <v>30</v>
      </c>
      <c r="Y8750" s="93" t="s">
        <v>1011</v>
      </c>
      <c r="Z8750" s="134">
        <f>VLOOKUP(W8750,Sheet2!$B:$D,3,FALSE)</f>
        <v>1.76</v>
      </c>
      <c r="AA8750" s="93">
        <f>AA8749/14</f>
        <v>0.38095238095238093</v>
      </c>
      <c r="AB8750" s="93">
        <f>AD8750/AC8748</f>
        <v>4.6199999999999992</v>
      </c>
      <c r="AC8750" s="93">
        <f>AC8748/AA8750</f>
        <v>18.703125</v>
      </c>
      <c r="AD8750" s="94">
        <f t="shared" si="5973"/>
        <v>32.917499999999997</v>
      </c>
      <c r="AE8750" s="190"/>
      <c r="AF8750" s="191"/>
      <c r="AG8750" s="191"/>
      <c r="AH8750" s="191"/>
      <c r="AI8750" s="186"/>
      <c r="AK8750" s="171"/>
    </row>
    <row r="8751" spans="1:41" s="102" customFormat="1" ht="19.899999999999999" customHeight="1" x14ac:dyDescent="0.25">
      <c r="A8751" s="45"/>
      <c r="B8751" s="59"/>
      <c r="C8751" s="137"/>
      <c r="D8751" s="59"/>
      <c r="E8751" s="116"/>
      <c r="F8751" s="120"/>
      <c r="G8751" s="120"/>
      <c r="H8751" s="120"/>
      <c r="I8751" s="60"/>
      <c r="J8751" s="116"/>
      <c r="K8751" s="213"/>
      <c r="L8751" s="120"/>
      <c r="M8751" s="120"/>
      <c r="N8751" s="167"/>
      <c r="O8751" s="120"/>
      <c r="P8751" s="120"/>
      <c r="Q8751" s="120"/>
      <c r="R8751" s="120"/>
      <c r="S8751" s="120"/>
      <c r="T8751" s="221"/>
      <c r="U8751" s="89"/>
      <c r="V8751" s="61"/>
      <c r="W8751" s="92" t="s">
        <v>161</v>
      </c>
      <c r="X8751" s="93" t="s">
        <v>29</v>
      </c>
      <c r="Y8751" s="93" t="s">
        <v>93</v>
      </c>
      <c r="Z8751" s="134">
        <f>VLOOKUP(W8751,Sheet2!$B:$D,3,FALSE)</f>
        <v>48</v>
      </c>
      <c r="AA8751" s="93">
        <f>(16*0.85*1.5)/(2.5*2.5*3)</f>
        <v>1.0879999999999999</v>
      </c>
      <c r="AB8751" s="93">
        <f>AD8751/AC8748</f>
        <v>44.117647058823536</v>
      </c>
      <c r="AC8751" s="93">
        <f>AC8748/AA8751</f>
        <v>6.5487132352941186</v>
      </c>
      <c r="AD8751" s="94">
        <f>AC8751*Z8751</f>
        <v>314.33823529411768</v>
      </c>
      <c r="AE8751" s="190"/>
      <c r="AF8751" s="191"/>
      <c r="AG8751" s="191"/>
      <c r="AH8751" s="191"/>
      <c r="AI8751" s="186"/>
      <c r="AK8751" s="171"/>
    </row>
    <row r="8752" spans="1:41" s="102" customFormat="1" ht="19.899999999999999" customHeight="1" x14ac:dyDescent="0.25">
      <c r="A8752" s="45"/>
      <c r="B8752" s="59"/>
      <c r="C8752" s="137"/>
      <c r="D8752" s="59"/>
      <c r="E8752" s="116"/>
      <c r="F8752" s="120"/>
      <c r="G8752" s="120"/>
      <c r="H8752" s="120"/>
      <c r="I8752" s="60"/>
      <c r="J8752" s="116"/>
      <c r="K8752" s="213"/>
      <c r="L8752" s="120"/>
      <c r="M8752" s="120"/>
      <c r="N8752" s="167"/>
      <c r="O8752" s="120"/>
      <c r="P8752" s="120"/>
      <c r="Q8752" s="120"/>
      <c r="R8752" s="120"/>
      <c r="S8752" s="120"/>
      <c r="T8752" s="221"/>
      <c r="U8752" s="89"/>
      <c r="V8752" s="61"/>
      <c r="W8752" s="92" t="s">
        <v>65</v>
      </c>
      <c r="X8752" s="93" t="s">
        <v>30</v>
      </c>
      <c r="Y8752" s="93" t="s">
        <v>1011</v>
      </c>
      <c r="Z8752" s="134">
        <f>VLOOKUP(W8752,Sheet2!$B:$D,3,FALSE)</f>
        <v>1.76</v>
      </c>
      <c r="AA8752" s="93">
        <f>AA8751/10</f>
        <v>0.10879999999999998</v>
      </c>
      <c r="AB8752" s="93">
        <f>AD8752/AC8748</f>
        <v>16.176470588235297</v>
      </c>
      <c r="AC8752" s="93">
        <f>AC8748/AA8752</f>
        <v>65.487132352941188</v>
      </c>
      <c r="AD8752" s="94">
        <f>AC8752*Z8752</f>
        <v>115.25735294117649</v>
      </c>
      <c r="AE8752" s="190"/>
      <c r="AF8752" s="191"/>
      <c r="AG8752" s="191"/>
      <c r="AH8752" s="191"/>
      <c r="AI8752" s="186"/>
      <c r="AK8752" s="171"/>
    </row>
    <row r="8753" spans="1:37" s="103" customFormat="1" ht="19.899999999999999" customHeight="1" x14ac:dyDescent="0.25">
      <c r="A8753" s="51"/>
      <c r="B8753" s="52"/>
      <c r="C8753" s="165"/>
      <c r="D8753" s="52"/>
      <c r="E8753" s="115"/>
      <c r="F8753" s="58"/>
      <c r="G8753" s="58"/>
      <c r="H8753" s="58"/>
      <c r="I8753" s="55"/>
      <c r="J8753" s="113">
        <f>J8747</f>
        <v>7.125</v>
      </c>
      <c r="K8753" s="212">
        <f>K8747</f>
        <v>7.125</v>
      </c>
      <c r="L8753" s="58"/>
      <c r="M8753" s="58">
        <f>K8753-L8753</f>
        <v>7.125</v>
      </c>
      <c r="N8753" s="166"/>
      <c r="O8753" s="58"/>
      <c r="P8753" s="58"/>
      <c r="Q8753" s="58"/>
      <c r="R8753" s="58"/>
      <c r="S8753" s="58"/>
      <c r="T8753" s="220"/>
      <c r="U8753" s="88"/>
      <c r="V8753" s="56"/>
      <c r="W8753" s="57" t="s">
        <v>1486</v>
      </c>
      <c r="X8753" s="53"/>
      <c r="Y8753" s="91" t="s">
        <v>35</v>
      </c>
      <c r="Z8753" s="136">
        <f>AD8753/AC8753</f>
        <v>1432.6960000000001</v>
      </c>
      <c r="AA8753" s="58"/>
      <c r="AB8753" s="53">
        <f>AD8753/AC8753</f>
        <v>1432.6960000000001</v>
      </c>
      <c r="AC8753" s="53">
        <f>M8753+$AE$10</f>
        <v>7.125</v>
      </c>
      <c r="AD8753" s="54">
        <f>SUM(AD8754:AD8759)</f>
        <v>10207.959000000001</v>
      </c>
      <c r="AE8753" s="184">
        <f>SUMIFS($AD$37:$AD$12971,$V$37:$V$12971,$V8753,$X$37:$X$12971,AE$13)</f>
        <v>0</v>
      </c>
      <c r="AF8753" s="185">
        <f>SUMIFS($AD$37:$AD$12971,$V$37:$V$12971,$V8753,$X$37:$X$12971,AF$13)</f>
        <v>0</v>
      </c>
      <c r="AG8753" s="185">
        <f>SUMIFS($AD$37:$AD$12971,$V$37:$V$12971,$V8753,$X$37:$X$12971,AG$13)</f>
        <v>0</v>
      </c>
      <c r="AH8753" s="187">
        <f>SUMIFS($AD$37:$AD$12971,$V$37:$V$12971,$V8753,$X$37:$X$12971,AH$13)</f>
        <v>0</v>
      </c>
      <c r="AI8753" s="161">
        <f t="shared" ref="AI8753" si="5974">SUM(AE8753:AH8753)</f>
        <v>0</v>
      </c>
      <c r="AK8753" s="172"/>
    </row>
    <row r="8754" spans="1:37" s="102" customFormat="1" ht="19.899999999999999" customHeight="1" x14ac:dyDescent="0.25">
      <c r="A8754" s="45"/>
      <c r="B8754" s="59"/>
      <c r="C8754" s="137"/>
      <c r="D8754" s="59"/>
      <c r="E8754" s="116"/>
      <c r="F8754" s="120"/>
      <c r="G8754" s="120"/>
      <c r="H8754" s="120"/>
      <c r="I8754" s="60"/>
      <c r="J8754" s="116"/>
      <c r="K8754" s="213"/>
      <c r="L8754" s="120"/>
      <c r="M8754" s="120"/>
      <c r="N8754" s="167"/>
      <c r="O8754" s="120"/>
      <c r="P8754" s="120"/>
      <c r="Q8754" s="120"/>
      <c r="R8754" s="120"/>
      <c r="S8754" s="120"/>
      <c r="T8754" s="221"/>
      <c r="U8754" s="89"/>
      <c r="V8754" s="61"/>
      <c r="W8754" s="92" t="s">
        <v>1032</v>
      </c>
      <c r="X8754" s="93" t="s">
        <v>30</v>
      </c>
      <c r="Y8754" s="93" t="s">
        <v>66</v>
      </c>
      <c r="Z8754" s="134">
        <f>VLOOKUP(W8754,Sheet2!$B:$D,3,FALSE)</f>
        <v>250</v>
      </c>
      <c r="AA8754" s="93">
        <f>1/(2.1*2.1*0.1)</f>
        <v>2.2675736961451243</v>
      </c>
      <c r="AB8754" s="93">
        <f>AD8754/AC8760</f>
        <v>110.25000000000001</v>
      </c>
      <c r="AC8754" s="93">
        <f>AC8760/AA8754</f>
        <v>3.1421250000000005</v>
      </c>
      <c r="AD8754" s="94">
        <f t="shared" ref="AD8754:AD8756" si="5975">AC8754*Z8754</f>
        <v>785.53125000000011</v>
      </c>
      <c r="AE8754" s="190"/>
      <c r="AF8754" s="191"/>
      <c r="AG8754" s="191"/>
      <c r="AH8754" s="191"/>
      <c r="AI8754" s="186"/>
      <c r="AK8754" s="171"/>
    </row>
    <row r="8755" spans="1:37" s="102" customFormat="1" ht="19.899999999999999" customHeight="1" x14ac:dyDescent="0.25">
      <c r="A8755" s="45"/>
      <c r="B8755" s="59"/>
      <c r="C8755" s="137"/>
      <c r="D8755" s="59"/>
      <c r="E8755" s="116"/>
      <c r="F8755" s="120"/>
      <c r="G8755" s="120"/>
      <c r="H8755" s="120"/>
      <c r="I8755" s="60"/>
      <c r="J8755" s="116"/>
      <c r="K8755" s="213"/>
      <c r="L8755" s="120"/>
      <c r="M8755" s="120"/>
      <c r="N8755" s="167"/>
      <c r="O8755" s="120"/>
      <c r="P8755" s="120"/>
      <c r="Q8755" s="120"/>
      <c r="R8755" s="120"/>
      <c r="S8755" s="120"/>
      <c r="T8755" s="221"/>
      <c r="U8755" s="89"/>
      <c r="V8755" s="61"/>
      <c r="W8755" s="92" t="s">
        <v>1353</v>
      </c>
      <c r="X8755" s="93" t="s">
        <v>30</v>
      </c>
      <c r="Y8755" s="93" t="s">
        <v>66</v>
      </c>
      <c r="Z8755" s="134">
        <f>VLOOKUP(W8755,Sheet2!$B:$D,3,FALSE)</f>
        <v>350</v>
      </c>
      <c r="AA8755" s="93">
        <f>1/(2*2*0.3)</f>
        <v>0.83333333333333337</v>
      </c>
      <c r="AB8755" s="93">
        <f>AD8755/AC8760</f>
        <v>419.99999999999994</v>
      </c>
      <c r="AC8755" s="93">
        <f>AC8760/AA8755</f>
        <v>8.5499999999999989</v>
      </c>
      <c r="AD8755" s="94">
        <f t="shared" si="5975"/>
        <v>2992.4999999999995</v>
      </c>
      <c r="AE8755" s="190"/>
      <c r="AF8755" s="191"/>
      <c r="AG8755" s="191"/>
      <c r="AH8755" s="191"/>
      <c r="AI8755" s="186"/>
      <c r="AK8755" s="171"/>
    </row>
    <row r="8756" spans="1:37" s="102" customFormat="1" ht="19.899999999999999" customHeight="1" x14ac:dyDescent="0.25">
      <c r="A8756" s="45"/>
      <c r="B8756" s="59"/>
      <c r="C8756" s="137"/>
      <c r="D8756" s="59"/>
      <c r="E8756" s="116"/>
      <c r="F8756" s="120"/>
      <c r="G8756" s="120"/>
      <c r="H8756" s="120"/>
      <c r="I8756" s="60"/>
      <c r="J8756" s="116"/>
      <c r="K8756" s="213"/>
      <c r="L8756" s="120"/>
      <c r="M8756" s="120"/>
      <c r="N8756" s="167"/>
      <c r="O8756" s="120"/>
      <c r="P8756" s="120"/>
      <c r="Q8756" s="120"/>
      <c r="R8756" s="120"/>
      <c r="S8756" s="120"/>
      <c r="T8756" s="221"/>
      <c r="U8756" s="89"/>
      <c r="V8756" s="61"/>
      <c r="W8756" s="92" t="s">
        <v>99</v>
      </c>
      <c r="X8756" s="93" t="s">
        <v>30</v>
      </c>
      <c r="Y8756" s="93" t="s">
        <v>67</v>
      </c>
      <c r="Z8756" s="134">
        <f>VLOOKUP(W8756,Sheet2!$B:$D,3,FALSE)</f>
        <v>2500</v>
      </c>
      <c r="AA8756" s="93">
        <f>AA8755/0.08</f>
        <v>10.416666666666666</v>
      </c>
      <c r="AB8756" s="93">
        <f>AD8756/AC8760</f>
        <v>240.00000000000003</v>
      </c>
      <c r="AC8756" s="93">
        <f>AC8760/AA8756</f>
        <v>0.68400000000000005</v>
      </c>
      <c r="AD8756" s="94">
        <f t="shared" si="5975"/>
        <v>1710.0000000000002</v>
      </c>
      <c r="AE8756" s="190"/>
      <c r="AF8756" s="191"/>
      <c r="AG8756" s="191"/>
      <c r="AH8756" s="191"/>
      <c r="AI8756" s="186"/>
      <c r="AK8756" s="171"/>
    </row>
    <row r="8757" spans="1:37" s="102" customFormat="1" ht="19.899999999999999" customHeight="1" x14ac:dyDescent="0.25">
      <c r="A8757" s="45"/>
      <c r="B8757" s="59"/>
      <c r="C8757" s="137"/>
      <c r="D8757" s="59"/>
      <c r="E8757" s="116"/>
      <c r="F8757" s="120"/>
      <c r="G8757" s="120"/>
      <c r="H8757" s="120"/>
      <c r="I8757" s="60"/>
      <c r="J8757" s="116"/>
      <c r="K8757" s="213"/>
      <c r="L8757" s="120"/>
      <c r="M8757" s="120"/>
      <c r="N8757" s="167"/>
      <c r="O8757" s="120"/>
      <c r="P8757" s="120"/>
      <c r="Q8757" s="120"/>
      <c r="R8757" s="120"/>
      <c r="S8757" s="120"/>
      <c r="T8757" s="221"/>
      <c r="U8757" s="89"/>
      <c r="V8757" s="61"/>
      <c r="W8757" s="92" t="s">
        <v>1354</v>
      </c>
      <c r="X8757" s="93" t="s">
        <v>32</v>
      </c>
      <c r="Y8757" s="93" t="s">
        <v>66</v>
      </c>
      <c r="Z8757" s="134">
        <f>VLOOKUP(W8757,Sheet2!$B:$D,3,FALSE)</f>
        <v>150</v>
      </c>
      <c r="AA8757" s="93">
        <f>AA8754</f>
        <v>2.2675736961451243</v>
      </c>
      <c r="AB8757" s="93">
        <f>AD8757/AC8760</f>
        <v>66.150000000000006</v>
      </c>
      <c r="AC8757" s="93">
        <f>AC8760/AA8757</f>
        <v>3.1421250000000005</v>
      </c>
      <c r="AD8757" s="94">
        <f>AC8757*Z8757</f>
        <v>471.31875000000008</v>
      </c>
      <c r="AE8757" s="190"/>
      <c r="AF8757" s="191"/>
      <c r="AG8757" s="191"/>
      <c r="AH8757" s="191"/>
      <c r="AI8757" s="186"/>
      <c r="AK8757" s="171"/>
    </row>
    <row r="8758" spans="1:37" s="102" customFormat="1" ht="19.899999999999999" customHeight="1" x14ac:dyDescent="0.25">
      <c r="A8758" s="45"/>
      <c r="B8758" s="59"/>
      <c r="C8758" s="137"/>
      <c r="D8758" s="59"/>
      <c r="E8758" s="116"/>
      <c r="F8758" s="120"/>
      <c r="G8758" s="120"/>
      <c r="H8758" s="120"/>
      <c r="I8758" s="60"/>
      <c r="J8758" s="116"/>
      <c r="K8758" s="213"/>
      <c r="L8758" s="120"/>
      <c r="M8758" s="120"/>
      <c r="N8758" s="167"/>
      <c r="O8758" s="120"/>
      <c r="P8758" s="120"/>
      <c r="Q8758" s="120"/>
      <c r="R8758" s="120"/>
      <c r="S8758" s="120"/>
      <c r="T8758" s="221"/>
      <c r="U8758" s="89"/>
      <c r="V8758" s="61"/>
      <c r="W8758" s="92" t="s">
        <v>1355</v>
      </c>
      <c r="X8758" s="93" t="s">
        <v>32</v>
      </c>
      <c r="Y8758" s="93" t="s">
        <v>66</v>
      </c>
      <c r="Z8758" s="134">
        <f>VLOOKUP(W8758,Sheet2!$B:$D,3,FALSE)</f>
        <v>450</v>
      </c>
      <c r="AA8758" s="93">
        <f>AA8755</f>
        <v>0.83333333333333337</v>
      </c>
      <c r="AB8758" s="93">
        <f>AD8758/AC8760</f>
        <v>539.99999999999989</v>
      </c>
      <c r="AC8758" s="93">
        <f>AC8760/AA8758</f>
        <v>8.5499999999999989</v>
      </c>
      <c r="AD8758" s="94">
        <f>AC8758*Z8758</f>
        <v>3847.4999999999995</v>
      </c>
      <c r="AE8758" s="190"/>
      <c r="AF8758" s="191"/>
      <c r="AG8758" s="191"/>
      <c r="AH8758" s="191"/>
      <c r="AI8758" s="186"/>
      <c r="AK8758" s="171"/>
    </row>
    <row r="8759" spans="1:37" s="102" customFormat="1" ht="19.899999999999999" customHeight="1" x14ac:dyDescent="0.25">
      <c r="A8759" s="45"/>
      <c r="B8759" s="59"/>
      <c r="C8759" s="137"/>
      <c r="D8759" s="59"/>
      <c r="E8759" s="116"/>
      <c r="F8759" s="120"/>
      <c r="G8759" s="120"/>
      <c r="H8759" s="120"/>
      <c r="I8759" s="60"/>
      <c r="J8759" s="116"/>
      <c r="K8759" s="213"/>
      <c r="L8759" s="120"/>
      <c r="M8759" s="120"/>
      <c r="N8759" s="167"/>
      <c r="O8759" s="120"/>
      <c r="P8759" s="120"/>
      <c r="Q8759" s="120"/>
      <c r="R8759" s="120"/>
      <c r="S8759" s="120"/>
      <c r="T8759" s="221"/>
      <c r="U8759" s="89"/>
      <c r="V8759" s="61"/>
      <c r="W8759" s="92" t="s">
        <v>124</v>
      </c>
      <c r="X8759" s="93" t="s">
        <v>32</v>
      </c>
      <c r="Y8759" s="93" t="s">
        <v>64</v>
      </c>
      <c r="Z8759" s="134">
        <f>VLOOKUP(W8759,Sheet2!$B:$D,3,FALSE)</f>
        <v>10</v>
      </c>
      <c r="AA8759" s="93">
        <f>1/((2.6*2.6)-(3.14*1.2*1.2/4))</f>
        <v>0.17763251385533604</v>
      </c>
      <c r="AB8759" s="93">
        <f t="shared" ref="AB8759" si="5976">AD8759/AC8753</f>
        <v>56.296000000000014</v>
      </c>
      <c r="AC8759" s="93">
        <f>AC8753/AA8759</f>
        <v>40.110900000000008</v>
      </c>
      <c r="AD8759" s="94">
        <f t="shared" ref="AD8759" si="5977">AC8759*Z8759</f>
        <v>401.10900000000009</v>
      </c>
      <c r="AE8759" s="190"/>
      <c r="AF8759" s="191"/>
      <c r="AG8759" s="191"/>
      <c r="AH8759" s="191"/>
      <c r="AI8759" s="186"/>
      <c r="AK8759" s="171"/>
    </row>
    <row r="8760" spans="1:37" s="103" customFormat="1" ht="19.899999999999999" customHeight="1" x14ac:dyDescent="0.25">
      <c r="A8760" s="51"/>
      <c r="B8760" s="52"/>
      <c r="C8760" s="165"/>
      <c r="D8760" s="52"/>
      <c r="E8760" s="115"/>
      <c r="F8760" s="58"/>
      <c r="G8760" s="58"/>
      <c r="H8760" s="58"/>
      <c r="I8760" s="55"/>
      <c r="J8760" s="113">
        <f>J8747</f>
        <v>7.125</v>
      </c>
      <c r="K8760" s="212">
        <f>K8747</f>
        <v>7.125</v>
      </c>
      <c r="L8760" s="58"/>
      <c r="M8760" s="58">
        <f>K8760-L8760</f>
        <v>7.125</v>
      </c>
      <c r="N8760" s="166"/>
      <c r="O8760" s="58"/>
      <c r="P8760" s="58"/>
      <c r="Q8760" s="58"/>
      <c r="R8760" s="58"/>
      <c r="S8760" s="58"/>
      <c r="T8760" s="220"/>
      <c r="U8760" s="88"/>
      <c r="V8760" s="56"/>
      <c r="W8760" s="57" t="s">
        <v>1275</v>
      </c>
      <c r="X8760" s="53"/>
      <c r="Y8760" s="91" t="s">
        <v>35</v>
      </c>
      <c r="Z8760" s="136">
        <f>AD8760/AC8760</f>
        <v>5372.7999999999993</v>
      </c>
      <c r="AA8760" s="58"/>
      <c r="AB8760" s="53">
        <f>AD8760/AC8760</f>
        <v>5372.7999999999993</v>
      </c>
      <c r="AC8760" s="53">
        <f>M8760+$AE$10</f>
        <v>7.125</v>
      </c>
      <c r="AD8760" s="54">
        <f>SUM(AD8761:AD8766)</f>
        <v>38281.199999999997</v>
      </c>
      <c r="AE8760" s="184">
        <f>SUMIFS($AD$37:$AD$12971,$V$37:$V$12971,$V8760,$X$37:$X$12971,AE$13)</f>
        <v>0</v>
      </c>
      <c r="AF8760" s="185">
        <f>SUMIFS($AD$37:$AD$12971,$V$37:$V$12971,$V8760,$X$37:$X$12971,AF$13)</f>
        <v>0</v>
      </c>
      <c r="AG8760" s="185">
        <f>SUMIFS($AD$37:$AD$12971,$V$37:$V$12971,$V8760,$X$37:$X$12971,AG$13)</f>
        <v>0</v>
      </c>
      <c r="AH8760" s="187">
        <f>SUMIFS($AD$37:$AD$12971,$V$37:$V$12971,$V8760,$X$37:$X$12971,AH$13)</f>
        <v>0</v>
      </c>
      <c r="AI8760" s="161">
        <f t="shared" ref="AI8760" si="5978">SUM(AE8760:AH8760)</f>
        <v>0</v>
      </c>
      <c r="AK8760" s="172"/>
    </row>
    <row r="8761" spans="1:37" s="102" customFormat="1" ht="19.899999999999999" customHeight="1" x14ac:dyDescent="0.25">
      <c r="A8761" s="45"/>
      <c r="B8761" s="59"/>
      <c r="C8761" s="137"/>
      <c r="D8761" s="59"/>
      <c r="E8761" s="116"/>
      <c r="F8761" s="120"/>
      <c r="G8761" s="120"/>
      <c r="H8761" s="120"/>
      <c r="I8761" s="60"/>
      <c r="J8761" s="116"/>
      <c r="K8761" s="213"/>
      <c r="L8761" s="120"/>
      <c r="M8761" s="120"/>
      <c r="N8761" s="167"/>
      <c r="O8761" s="120"/>
      <c r="P8761" s="120"/>
      <c r="Q8761" s="120"/>
      <c r="R8761" s="120"/>
      <c r="S8761" s="120"/>
      <c r="T8761" s="221"/>
      <c r="U8761" s="89"/>
      <c r="V8761" s="61"/>
      <c r="W8761" s="92" t="s">
        <v>1490</v>
      </c>
      <c r="X8761" s="93" t="s">
        <v>30</v>
      </c>
      <c r="Y8761" s="93" t="s">
        <v>35</v>
      </c>
      <c r="Z8761" s="134">
        <f>VLOOKUP(W8761,Sheet2!$B:$D,3,FALSE)</f>
        <v>3600</v>
      </c>
      <c r="AA8761" s="93">
        <v>1</v>
      </c>
      <c r="AB8761" s="93">
        <f>AD8761/AC8760</f>
        <v>3600</v>
      </c>
      <c r="AC8761" s="93">
        <f>AC8760/AA8761</f>
        <v>7.125</v>
      </c>
      <c r="AD8761" s="94">
        <f t="shared" ref="AD8761:AD8762" si="5979">AC8761*Z8761</f>
        <v>25650</v>
      </c>
      <c r="AE8761" s="190"/>
      <c r="AF8761" s="191"/>
      <c r="AG8761" s="191"/>
      <c r="AH8761" s="191"/>
      <c r="AI8761" s="186"/>
      <c r="AK8761" s="171"/>
    </row>
    <row r="8762" spans="1:37" s="102" customFormat="1" ht="19.899999999999999" customHeight="1" x14ac:dyDescent="0.25">
      <c r="A8762" s="45"/>
      <c r="B8762" s="59"/>
      <c r="C8762" s="137"/>
      <c r="D8762" s="59"/>
      <c r="E8762" s="116"/>
      <c r="F8762" s="120"/>
      <c r="G8762" s="120"/>
      <c r="H8762" s="120"/>
      <c r="I8762" s="60"/>
      <c r="J8762" s="116"/>
      <c r="K8762" s="213"/>
      <c r="L8762" s="120"/>
      <c r="M8762" s="120"/>
      <c r="N8762" s="167"/>
      <c r="O8762" s="120"/>
      <c r="P8762" s="120"/>
      <c r="Q8762" s="120"/>
      <c r="R8762" s="120"/>
      <c r="S8762" s="120"/>
      <c r="T8762" s="221"/>
      <c r="U8762" s="89"/>
      <c r="V8762" s="61"/>
      <c r="W8762" s="92" t="s">
        <v>174</v>
      </c>
      <c r="X8762" s="93" t="s">
        <v>29</v>
      </c>
      <c r="Y8762" s="93" t="s">
        <v>93</v>
      </c>
      <c r="Z8762" s="134">
        <f>VLOOKUP(W8762,Sheet2!$B:$D,3,FALSE)</f>
        <v>80</v>
      </c>
      <c r="AA8762" s="93">
        <f>1/2</f>
        <v>0.5</v>
      </c>
      <c r="AB8762" s="93">
        <f>AD8762/AC8760</f>
        <v>160</v>
      </c>
      <c r="AC8762" s="93">
        <f>AC8760/AA8762</f>
        <v>14.25</v>
      </c>
      <c r="AD8762" s="94">
        <f t="shared" si="5979"/>
        <v>1140</v>
      </c>
      <c r="AE8762" s="190"/>
      <c r="AF8762" s="191"/>
      <c r="AG8762" s="191"/>
      <c r="AH8762" s="191"/>
      <c r="AI8762" s="186"/>
      <c r="AK8762" s="171"/>
    </row>
    <row r="8763" spans="1:37" s="102" customFormat="1" ht="19.899999999999999" customHeight="1" x14ac:dyDescent="0.25">
      <c r="A8763" s="45"/>
      <c r="B8763" s="59"/>
      <c r="C8763" s="137"/>
      <c r="D8763" s="59"/>
      <c r="E8763" s="116"/>
      <c r="F8763" s="120"/>
      <c r="G8763" s="120"/>
      <c r="H8763" s="120"/>
      <c r="I8763" s="60"/>
      <c r="J8763" s="116"/>
      <c r="K8763" s="213"/>
      <c r="L8763" s="120"/>
      <c r="M8763" s="120"/>
      <c r="N8763" s="167"/>
      <c r="O8763" s="120"/>
      <c r="P8763" s="120"/>
      <c r="Q8763" s="120"/>
      <c r="R8763" s="120"/>
      <c r="S8763" s="120"/>
      <c r="T8763" s="221"/>
      <c r="U8763" s="89"/>
      <c r="V8763" s="61"/>
      <c r="W8763" s="92" t="s">
        <v>65</v>
      </c>
      <c r="X8763" s="93" t="s">
        <v>30</v>
      </c>
      <c r="Y8763" s="93" t="s">
        <v>93</v>
      </c>
      <c r="Z8763" s="134">
        <f>VLOOKUP(W8763,Sheet2!$B:$D,3,FALSE)</f>
        <v>1.76</v>
      </c>
      <c r="AA8763" s="93">
        <f>AA8762/15</f>
        <v>3.3333333333333333E-2</v>
      </c>
      <c r="AB8763" s="93">
        <f>AD8763/AC8760</f>
        <v>52.8</v>
      </c>
      <c r="AC8763" s="93">
        <f>AC8760/AA8763</f>
        <v>213.75</v>
      </c>
      <c r="AD8763" s="94">
        <f>AC8763*Z8763</f>
        <v>376.2</v>
      </c>
      <c r="AE8763" s="190"/>
      <c r="AF8763" s="191"/>
      <c r="AG8763" s="191"/>
      <c r="AH8763" s="191"/>
      <c r="AI8763" s="186"/>
      <c r="AK8763" s="171"/>
    </row>
    <row r="8764" spans="1:37" s="102" customFormat="1" ht="19.899999999999999" customHeight="1" x14ac:dyDescent="0.25">
      <c r="A8764" s="45"/>
      <c r="B8764" s="59"/>
      <c r="C8764" s="137"/>
      <c r="D8764" s="59"/>
      <c r="E8764" s="116"/>
      <c r="F8764" s="120"/>
      <c r="G8764" s="120"/>
      <c r="H8764" s="120"/>
      <c r="I8764" s="60"/>
      <c r="J8764" s="116"/>
      <c r="K8764" s="213"/>
      <c r="L8764" s="120"/>
      <c r="M8764" s="120"/>
      <c r="N8764" s="167"/>
      <c r="O8764" s="120"/>
      <c r="P8764" s="120"/>
      <c r="Q8764" s="120"/>
      <c r="R8764" s="120"/>
      <c r="S8764" s="120"/>
      <c r="T8764" s="221"/>
      <c r="U8764" s="89"/>
      <c r="V8764" s="61"/>
      <c r="W8764" s="92" t="s">
        <v>1487</v>
      </c>
      <c r="X8764" s="93" t="s">
        <v>32</v>
      </c>
      <c r="Y8764" s="93" t="s">
        <v>1349</v>
      </c>
      <c r="Z8764" s="134">
        <f>VLOOKUP(W8764,Sheet2!$B:$D,3,FALSE)</f>
        <v>1500</v>
      </c>
      <c r="AA8764" s="93">
        <v>1</v>
      </c>
      <c r="AB8764" s="93">
        <f>AD8764/AC8760</f>
        <v>1500</v>
      </c>
      <c r="AC8764" s="93">
        <f>AC8760/AA8764</f>
        <v>7.125</v>
      </c>
      <c r="AD8764" s="94">
        <f>AC8764*Z8764</f>
        <v>10687.5</v>
      </c>
      <c r="AE8764" s="190"/>
      <c r="AF8764" s="191"/>
      <c r="AG8764" s="191"/>
      <c r="AH8764" s="191"/>
      <c r="AI8764" s="186"/>
      <c r="AK8764" s="171"/>
    </row>
    <row r="8765" spans="1:37" s="102" customFormat="1" ht="19.899999999999999" customHeight="1" x14ac:dyDescent="0.25">
      <c r="A8765" s="45"/>
      <c r="B8765" s="59"/>
      <c r="C8765" s="137"/>
      <c r="D8765" s="59"/>
      <c r="E8765" s="116"/>
      <c r="F8765" s="120"/>
      <c r="G8765" s="120"/>
      <c r="H8765" s="120"/>
      <c r="I8765" s="60"/>
      <c r="J8765" s="116"/>
      <c r="K8765" s="213"/>
      <c r="L8765" s="120"/>
      <c r="M8765" s="120"/>
      <c r="N8765" s="167"/>
      <c r="O8765" s="120"/>
      <c r="P8765" s="120"/>
      <c r="Q8765" s="120"/>
      <c r="R8765" s="120"/>
      <c r="S8765" s="120"/>
      <c r="T8765" s="221"/>
      <c r="U8765" s="89"/>
      <c r="V8765" s="61"/>
      <c r="W8765" s="92" t="s">
        <v>107</v>
      </c>
      <c r="X8765" s="93" t="s">
        <v>31</v>
      </c>
      <c r="Y8765" s="93" t="s">
        <v>93</v>
      </c>
      <c r="Z8765" s="134">
        <f>VLOOKUP(W8765,Sheet2!$B:$D,3,FALSE)</f>
        <v>17</v>
      </c>
      <c r="AA8765" s="93">
        <f>AA8762</f>
        <v>0.5</v>
      </c>
      <c r="AB8765" s="93">
        <f>AD8765/AC8760</f>
        <v>34</v>
      </c>
      <c r="AC8765" s="93">
        <f>AC8760/AA8765</f>
        <v>14.25</v>
      </c>
      <c r="AD8765" s="94">
        <f>AC8765*Z8765</f>
        <v>242.25</v>
      </c>
      <c r="AE8765" s="190"/>
      <c r="AF8765" s="191"/>
      <c r="AG8765" s="191"/>
      <c r="AH8765" s="191"/>
      <c r="AI8765" s="186"/>
      <c r="AK8765" s="171"/>
    </row>
    <row r="8766" spans="1:37" s="102" customFormat="1" ht="19.899999999999999" customHeight="1" x14ac:dyDescent="0.25">
      <c r="A8766" s="45"/>
      <c r="B8766" s="59"/>
      <c r="C8766" s="137"/>
      <c r="D8766" s="59"/>
      <c r="E8766" s="116"/>
      <c r="F8766" s="120"/>
      <c r="G8766" s="120"/>
      <c r="H8766" s="120"/>
      <c r="I8766" s="60"/>
      <c r="J8766" s="116"/>
      <c r="K8766" s="213"/>
      <c r="L8766" s="120"/>
      <c r="M8766" s="120"/>
      <c r="N8766" s="167"/>
      <c r="O8766" s="120"/>
      <c r="P8766" s="120"/>
      <c r="Q8766" s="120"/>
      <c r="R8766" s="120"/>
      <c r="S8766" s="120"/>
      <c r="T8766" s="221"/>
      <c r="U8766" s="89"/>
      <c r="V8766" s="61"/>
      <c r="W8766" s="92" t="s">
        <v>112</v>
      </c>
      <c r="X8766" s="93" t="s">
        <v>31</v>
      </c>
      <c r="Y8766" s="93" t="s">
        <v>93</v>
      </c>
      <c r="Z8766" s="134">
        <f>VLOOKUP(W8766,Sheet2!$B:$D,3,FALSE)</f>
        <v>13</v>
      </c>
      <c r="AA8766" s="93">
        <f>AA8765</f>
        <v>0.5</v>
      </c>
      <c r="AB8766" s="93">
        <f>AD8766/AC8760</f>
        <v>26</v>
      </c>
      <c r="AC8766" s="93">
        <f>AC8760/AA8766</f>
        <v>14.25</v>
      </c>
      <c r="AD8766" s="94">
        <f>AC8766*Z8766</f>
        <v>185.25</v>
      </c>
      <c r="AE8766" s="190"/>
      <c r="AF8766" s="191"/>
      <c r="AG8766" s="191"/>
      <c r="AH8766" s="191"/>
      <c r="AI8766" s="186"/>
      <c r="AK8766" s="171"/>
    </row>
    <row r="8767" spans="1:37" s="103" customFormat="1" ht="19.899999999999999" customHeight="1" x14ac:dyDescent="0.25">
      <c r="A8767" s="51"/>
      <c r="B8767" s="52"/>
      <c r="C8767" s="165"/>
      <c r="D8767" s="52"/>
      <c r="E8767" s="115"/>
      <c r="F8767" s="58"/>
      <c r="G8767" s="58"/>
      <c r="H8767" s="58"/>
      <c r="I8767" s="55"/>
      <c r="J8767" s="113">
        <f>J8747</f>
        <v>7.125</v>
      </c>
      <c r="K8767" s="212">
        <f>K8747</f>
        <v>7.125</v>
      </c>
      <c r="L8767" s="58"/>
      <c r="M8767" s="58">
        <f>K8767-L8767</f>
        <v>7.125</v>
      </c>
      <c r="N8767" s="166"/>
      <c r="O8767" s="58"/>
      <c r="P8767" s="58"/>
      <c r="Q8767" s="58"/>
      <c r="R8767" s="58"/>
      <c r="S8767" s="58"/>
      <c r="T8767" s="220"/>
      <c r="U8767" s="88"/>
      <c r="V8767" s="56"/>
      <c r="W8767" s="57" t="s">
        <v>1272</v>
      </c>
      <c r="X8767" s="53"/>
      <c r="Y8767" s="91" t="s">
        <v>35</v>
      </c>
      <c r="Z8767" s="136">
        <f>AD8767/AC8767</f>
        <v>316.2492929129412</v>
      </c>
      <c r="AA8767" s="58"/>
      <c r="AB8767" s="53">
        <f>AD8767/AC8767</f>
        <v>316.2492929129412</v>
      </c>
      <c r="AC8767" s="53">
        <f>M8767+$AE$10</f>
        <v>7.125</v>
      </c>
      <c r="AD8767" s="54">
        <f>SUM(AD8768:AD8776)</f>
        <v>2253.2762120047059</v>
      </c>
      <c r="AE8767" s="184">
        <f>SUMIFS($AD$37:$AD$12971,$V$37:$V$12971,$V8767,$X$37:$X$12971,AE$13)</f>
        <v>0</v>
      </c>
      <c r="AF8767" s="185">
        <f>SUMIFS($AD$37:$AD$12971,$V$37:$V$12971,$V8767,$X$37:$X$12971,AF$13)</f>
        <v>0</v>
      </c>
      <c r="AG8767" s="185">
        <f>SUMIFS($AD$37:$AD$12971,$V$37:$V$12971,$V8767,$X$37:$X$12971,AG$13)</f>
        <v>0</v>
      </c>
      <c r="AH8767" s="187">
        <f>SUMIFS($AD$37:$AD$12971,$V$37:$V$12971,$V8767,$X$37:$X$12971,AH$13)</f>
        <v>0</v>
      </c>
      <c r="AI8767" s="161">
        <f t="shared" ref="AI8767" si="5980">SUM(AE8767:AH8767)</f>
        <v>0</v>
      </c>
      <c r="AK8767" s="172"/>
    </row>
    <row r="8768" spans="1:37" s="102" customFormat="1" ht="19.899999999999999" customHeight="1" x14ac:dyDescent="0.25">
      <c r="A8768" s="45"/>
      <c r="B8768" s="59"/>
      <c r="C8768" s="137"/>
      <c r="D8768" s="59"/>
      <c r="E8768" s="116"/>
      <c r="F8768" s="120"/>
      <c r="G8768" s="120"/>
      <c r="H8768" s="120"/>
      <c r="I8768" s="60"/>
      <c r="J8768" s="116"/>
      <c r="K8768" s="213"/>
      <c r="L8768" s="120"/>
      <c r="M8768" s="120"/>
      <c r="N8768" s="167"/>
      <c r="O8768" s="120"/>
      <c r="P8768" s="120"/>
      <c r="Q8768" s="120"/>
      <c r="R8768" s="120"/>
      <c r="S8768" s="120"/>
      <c r="T8768" s="221"/>
      <c r="U8768" s="89"/>
      <c r="V8768" s="61"/>
      <c r="W8768" s="92" t="s">
        <v>1273</v>
      </c>
      <c r="X8768" s="93" t="s">
        <v>30</v>
      </c>
      <c r="Y8768" s="93" t="s">
        <v>66</v>
      </c>
      <c r="Z8768" s="134">
        <f>VLOOKUP(W8768,Sheet2!$B:$D,3,FALSE)</f>
        <v>10</v>
      </c>
      <c r="AA8768" s="93">
        <f>1/((2.5*2.5*3)-(3.14/4*1.2*1.2*3))</f>
        <v>6.5109253327082839E-2</v>
      </c>
      <c r="AB8768" s="93">
        <f>AD8768/AC8767</f>
        <v>153.58800000000002</v>
      </c>
      <c r="AC8768" s="93">
        <f>AC8767/AA8768</f>
        <v>109.43145000000001</v>
      </c>
      <c r="AD8768" s="94">
        <f t="shared" ref="AD8768:AD8770" si="5981">AC8768*Z8768</f>
        <v>1094.3145000000002</v>
      </c>
      <c r="AE8768" s="190"/>
      <c r="AF8768" s="191"/>
      <c r="AG8768" s="191"/>
      <c r="AH8768" s="191"/>
      <c r="AI8768" s="186"/>
      <c r="AK8768" s="171"/>
    </row>
    <row r="8769" spans="1:41" s="102" customFormat="1" ht="19.899999999999999" customHeight="1" x14ac:dyDescent="0.25">
      <c r="A8769" s="45"/>
      <c r="B8769" s="59"/>
      <c r="C8769" s="137"/>
      <c r="D8769" s="59"/>
      <c r="E8769" s="116"/>
      <c r="F8769" s="120"/>
      <c r="G8769" s="120"/>
      <c r="H8769" s="120"/>
      <c r="I8769" s="60"/>
      <c r="J8769" s="116"/>
      <c r="K8769" s="213"/>
      <c r="L8769" s="120"/>
      <c r="M8769" s="120"/>
      <c r="N8769" s="167"/>
      <c r="O8769" s="120"/>
      <c r="P8769" s="120"/>
      <c r="Q8769" s="120"/>
      <c r="R8769" s="120"/>
      <c r="S8769" s="120"/>
      <c r="T8769" s="221"/>
      <c r="U8769" s="89"/>
      <c r="V8769" s="61"/>
      <c r="W8769" s="92" t="s">
        <v>134</v>
      </c>
      <c r="X8769" s="93" t="s">
        <v>29</v>
      </c>
      <c r="Y8769" s="93" t="s">
        <v>93</v>
      </c>
      <c r="Z8769" s="134">
        <f>VLOOKUP(W8769,Sheet2!$B:$D,3,FALSE)</f>
        <v>65.599999999999994</v>
      </c>
      <c r="AA8769" s="93">
        <f>100/((2.5*2.5*3)-(3.14/4*1.2*1.2*3))</f>
        <v>6.5109253327082843</v>
      </c>
      <c r="AB8769" s="93">
        <f t="shared" ref="AB8769" si="5982">AD8769/AC8767</f>
        <v>10.0753728</v>
      </c>
      <c r="AC8769" s="93">
        <f>AC8767/AA8769</f>
        <v>1.0943145000000001</v>
      </c>
      <c r="AD8769" s="94">
        <f t="shared" si="5981"/>
        <v>71.787031200000001</v>
      </c>
      <c r="AE8769" s="190"/>
      <c r="AF8769" s="191"/>
      <c r="AG8769" s="191"/>
      <c r="AH8769" s="191"/>
      <c r="AI8769" s="186"/>
      <c r="AK8769" s="171"/>
    </row>
    <row r="8770" spans="1:41" s="102" customFormat="1" ht="19.899999999999999" customHeight="1" x14ac:dyDescent="0.25">
      <c r="A8770" s="45"/>
      <c r="B8770" s="59"/>
      <c r="C8770" s="137"/>
      <c r="D8770" s="59"/>
      <c r="E8770" s="116"/>
      <c r="F8770" s="120"/>
      <c r="G8770" s="120"/>
      <c r="H8770" s="120"/>
      <c r="I8770" s="60"/>
      <c r="J8770" s="116"/>
      <c r="K8770" s="213"/>
      <c r="L8770" s="120"/>
      <c r="M8770" s="120"/>
      <c r="N8770" s="167"/>
      <c r="O8770" s="120"/>
      <c r="P8770" s="120"/>
      <c r="Q8770" s="120"/>
      <c r="R8770" s="120"/>
      <c r="S8770" s="120"/>
      <c r="T8770" s="221"/>
      <c r="U8770" s="89"/>
      <c r="V8770" s="61"/>
      <c r="W8770" s="92" t="s">
        <v>65</v>
      </c>
      <c r="X8770" s="93" t="s">
        <v>30</v>
      </c>
      <c r="Y8770" s="93" t="s">
        <v>1011</v>
      </c>
      <c r="Z8770" s="134">
        <f>VLOOKUP(W8770,Sheet2!$B:$D,3,FALSE)</f>
        <v>1.76</v>
      </c>
      <c r="AA8770" s="93">
        <f>AA8769/9</f>
        <v>0.72343614807869827</v>
      </c>
      <c r="AB8770" s="93">
        <f>AD8770/AC8767</f>
        <v>2.4328339199999998</v>
      </c>
      <c r="AC8770" s="93">
        <f>AC8767/AA8770</f>
        <v>9.8488305</v>
      </c>
      <c r="AD8770" s="94">
        <f t="shared" si="5981"/>
        <v>17.333941679999999</v>
      </c>
      <c r="AE8770" s="190"/>
      <c r="AF8770" s="191"/>
      <c r="AG8770" s="191"/>
      <c r="AH8770" s="191"/>
      <c r="AI8770" s="186"/>
      <c r="AK8770" s="171"/>
    </row>
    <row r="8771" spans="1:41" s="102" customFormat="1" ht="19.899999999999999" customHeight="1" x14ac:dyDescent="0.25">
      <c r="A8771" s="45"/>
      <c r="B8771" s="59"/>
      <c r="C8771" s="137"/>
      <c r="D8771" s="59"/>
      <c r="E8771" s="116"/>
      <c r="F8771" s="120"/>
      <c r="G8771" s="120"/>
      <c r="H8771" s="120"/>
      <c r="I8771" s="60"/>
      <c r="J8771" s="116"/>
      <c r="K8771" s="213"/>
      <c r="L8771" s="120"/>
      <c r="M8771" s="120"/>
      <c r="N8771" s="167"/>
      <c r="O8771" s="120"/>
      <c r="P8771" s="120"/>
      <c r="Q8771" s="120"/>
      <c r="R8771" s="120"/>
      <c r="S8771" s="120"/>
      <c r="T8771" s="221"/>
      <c r="U8771" s="89"/>
      <c r="V8771" s="61"/>
      <c r="W8771" s="92" t="s">
        <v>161</v>
      </c>
      <c r="X8771" s="93" t="s">
        <v>29</v>
      </c>
      <c r="Y8771" s="93" t="s">
        <v>93</v>
      </c>
      <c r="Z8771" s="134">
        <f>VLOOKUP(W8771,Sheet2!$B:$D,3,FALSE)</f>
        <v>48</v>
      </c>
      <c r="AA8771" s="93">
        <f>(16*0.85*1.5)/((2.5*2.5*3)-(3.14/4*1.2*1.2*3))</f>
        <v>1.32822876787249</v>
      </c>
      <c r="AB8771" s="93">
        <f>AD8771/AC8767</f>
        <v>36.138352941176478</v>
      </c>
      <c r="AC8771" s="93">
        <f>AC8767/AA8771</f>
        <v>5.3642867647058825</v>
      </c>
      <c r="AD8771" s="94">
        <f>AC8771*Z8771</f>
        <v>257.48576470588239</v>
      </c>
      <c r="AE8771" s="190"/>
      <c r="AF8771" s="191"/>
      <c r="AG8771" s="191"/>
      <c r="AH8771" s="191"/>
      <c r="AI8771" s="186"/>
      <c r="AK8771" s="171"/>
    </row>
    <row r="8772" spans="1:41" s="102" customFormat="1" ht="19.899999999999999" customHeight="1" x14ac:dyDescent="0.25">
      <c r="A8772" s="45"/>
      <c r="B8772" s="59"/>
      <c r="C8772" s="137"/>
      <c r="D8772" s="59"/>
      <c r="E8772" s="116"/>
      <c r="F8772" s="120"/>
      <c r="G8772" s="120"/>
      <c r="H8772" s="120"/>
      <c r="I8772" s="60"/>
      <c r="J8772" s="116"/>
      <c r="K8772" s="213"/>
      <c r="L8772" s="120"/>
      <c r="M8772" s="120"/>
      <c r="N8772" s="167"/>
      <c r="O8772" s="120"/>
      <c r="P8772" s="120"/>
      <c r="Q8772" s="120"/>
      <c r="R8772" s="120"/>
      <c r="S8772" s="120"/>
      <c r="T8772" s="221"/>
      <c r="U8772" s="89"/>
      <c r="V8772" s="61"/>
      <c r="W8772" s="92" t="s">
        <v>65</v>
      </c>
      <c r="X8772" s="93" t="s">
        <v>30</v>
      </c>
      <c r="Y8772" s="93" t="s">
        <v>1011</v>
      </c>
      <c r="Z8772" s="134">
        <f>VLOOKUP(W8772,Sheet2!$B:$D,3,FALSE)</f>
        <v>1.76</v>
      </c>
      <c r="AA8772" s="93">
        <f>AA8771/10</f>
        <v>0.13282287678724899</v>
      </c>
      <c r="AB8772" s="93">
        <f>AD8772/AC8767</f>
        <v>13.250729411764707</v>
      </c>
      <c r="AC8772" s="93">
        <f>AC8767/AA8772</f>
        <v>53.642867647058829</v>
      </c>
      <c r="AD8772" s="94">
        <f>AC8772*Z8772</f>
        <v>94.411447058823541</v>
      </c>
      <c r="AE8772" s="190"/>
      <c r="AF8772" s="191"/>
      <c r="AG8772" s="191"/>
      <c r="AH8772" s="191"/>
      <c r="AI8772" s="186"/>
      <c r="AK8772" s="171"/>
    </row>
    <row r="8773" spans="1:41" s="102" customFormat="1" ht="19.899999999999999" customHeight="1" x14ac:dyDescent="0.25">
      <c r="A8773" s="45"/>
      <c r="B8773" s="59"/>
      <c r="C8773" s="137"/>
      <c r="D8773" s="59"/>
      <c r="E8773" s="116"/>
      <c r="F8773" s="120"/>
      <c r="G8773" s="120"/>
      <c r="H8773" s="120"/>
      <c r="I8773" s="60"/>
      <c r="J8773" s="116"/>
      <c r="K8773" s="213"/>
      <c r="L8773" s="120"/>
      <c r="M8773" s="120"/>
      <c r="N8773" s="167"/>
      <c r="O8773" s="120"/>
      <c r="P8773" s="120"/>
      <c r="Q8773" s="120"/>
      <c r="R8773" s="120"/>
      <c r="S8773" s="120"/>
      <c r="T8773" s="221"/>
      <c r="U8773" s="89"/>
      <c r="V8773" s="61"/>
      <c r="W8773" s="92" t="s">
        <v>173</v>
      </c>
      <c r="X8773" s="93" t="s">
        <v>29</v>
      </c>
      <c r="Y8773" s="93" t="s">
        <v>93</v>
      </c>
      <c r="Z8773" s="134">
        <f>VLOOKUP(W8773,Sheet2!$B:$D,3,FALSE)</f>
        <v>36</v>
      </c>
      <c r="AA8773" s="93">
        <f>50/((2.5*2.5*3)-(3.14/4*1.2*1.2*3))</f>
        <v>3.2554626663541422</v>
      </c>
      <c r="AB8773" s="93">
        <f>AD8773/AC8767</f>
        <v>11.058336000000001</v>
      </c>
      <c r="AC8773" s="93">
        <f>AC8767/AA8773</f>
        <v>2.1886290000000002</v>
      </c>
      <c r="AD8773" s="94">
        <f>AC8773*Z8773</f>
        <v>78.790644</v>
      </c>
      <c r="AE8773" s="190"/>
      <c r="AF8773" s="191"/>
      <c r="AG8773" s="191"/>
      <c r="AH8773" s="191"/>
      <c r="AI8773" s="186"/>
      <c r="AK8773" s="171"/>
    </row>
    <row r="8774" spans="1:41" s="102" customFormat="1" ht="19.899999999999999" customHeight="1" x14ac:dyDescent="0.25">
      <c r="A8774" s="45"/>
      <c r="B8774" s="59"/>
      <c r="C8774" s="137"/>
      <c r="D8774" s="59"/>
      <c r="E8774" s="116"/>
      <c r="F8774" s="120"/>
      <c r="G8774" s="120"/>
      <c r="H8774" s="120"/>
      <c r="I8774" s="60"/>
      <c r="J8774" s="116"/>
      <c r="K8774" s="213"/>
      <c r="L8774" s="120"/>
      <c r="M8774" s="120"/>
      <c r="N8774" s="167"/>
      <c r="O8774" s="120"/>
      <c r="P8774" s="120"/>
      <c r="Q8774" s="120"/>
      <c r="R8774" s="120"/>
      <c r="S8774" s="120"/>
      <c r="T8774" s="221"/>
      <c r="U8774" s="89"/>
      <c r="V8774" s="61"/>
      <c r="W8774" s="92" t="s">
        <v>65</v>
      </c>
      <c r="X8774" s="93" t="s">
        <v>30</v>
      </c>
      <c r="Y8774" s="93" t="s">
        <v>1011</v>
      </c>
      <c r="Z8774" s="134">
        <f>VLOOKUP(W8774,Sheet2!$B:$D,3,FALSE)</f>
        <v>1.76</v>
      </c>
      <c r="AA8774" s="93">
        <f>AA8773/9</f>
        <v>0.36171807403934914</v>
      </c>
      <c r="AB8774" s="93">
        <f>AD8774/AC8767</f>
        <v>4.8656678399999995</v>
      </c>
      <c r="AC8774" s="93">
        <f>AC8767/AA8774</f>
        <v>19.697661</v>
      </c>
      <c r="AD8774" s="94">
        <f>AC8774*Z8774</f>
        <v>34.667883359999998</v>
      </c>
      <c r="AE8774" s="190"/>
      <c r="AF8774" s="191"/>
      <c r="AG8774" s="191"/>
      <c r="AH8774" s="191"/>
      <c r="AI8774" s="186"/>
      <c r="AK8774" s="171"/>
    </row>
    <row r="8775" spans="1:41" s="102" customFormat="1" ht="19.899999999999999" customHeight="1" x14ac:dyDescent="0.25">
      <c r="A8775" s="45"/>
      <c r="B8775" s="59"/>
      <c r="C8775" s="137"/>
      <c r="D8775" s="59"/>
      <c r="E8775" s="116"/>
      <c r="F8775" s="120"/>
      <c r="G8775" s="120"/>
      <c r="H8775" s="120"/>
      <c r="I8775" s="60"/>
      <c r="J8775" s="116"/>
      <c r="K8775" s="213"/>
      <c r="L8775" s="120"/>
      <c r="M8775" s="120"/>
      <c r="N8775" s="167"/>
      <c r="O8775" s="120"/>
      <c r="P8775" s="120"/>
      <c r="Q8775" s="120"/>
      <c r="R8775" s="120"/>
      <c r="S8775" s="120"/>
      <c r="T8775" s="221"/>
      <c r="U8775" s="89"/>
      <c r="V8775" s="61"/>
      <c r="W8775" s="92" t="s">
        <v>1030</v>
      </c>
      <c r="X8775" s="93" t="s">
        <v>29</v>
      </c>
      <c r="Y8775" s="93" t="s">
        <v>93</v>
      </c>
      <c r="Z8775" s="134">
        <f>VLOOKUP(W8775,Sheet2!$B:$D,3,FALSE)</f>
        <v>23</v>
      </c>
      <c r="AA8775" s="93">
        <f>1/(3*1)</f>
        <v>0.33333333333333331</v>
      </c>
      <c r="AB8775" s="93">
        <f>AD8775/AC8767</f>
        <v>69</v>
      </c>
      <c r="AC8775" s="93">
        <f>AC8767/AA8775</f>
        <v>21.375</v>
      </c>
      <c r="AD8775" s="94">
        <f t="shared" ref="AD8775:AD8776" si="5983">AC8775*Z8775</f>
        <v>491.625</v>
      </c>
      <c r="AE8775" s="190"/>
      <c r="AF8775" s="191"/>
      <c r="AG8775" s="191"/>
      <c r="AH8775" s="191"/>
      <c r="AI8775" s="186"/>
      <c r="AK8775" s="171"/>
    </row>
    <row r="8776" spans="1:41" s="102" customFormat="1" ht="19.899999999999999" customHeight="1" x14ac:dyDescent="0.25">
      <c r="A8776" s="45"/>
      <c r="B8776" s="59"/>
      <c r="C8776" s="137"/>
      <c r="D8776" s="59"/>
      <c r="E8776" s="116"/>
      <c r="F8776" s="120"/>
      <c r="G8776" s="120"/>
      <c r="H8776" s="120"/>
      <c r="I8776" s="60"/>
      <c r="J8776" s="116"/>
      <c r="K8776" s="213"/>
      <c r="L8776" s="120"/>
      <c r="M8776" s="120"/>
      <c r="N8776" s="167"/>
      <c r="O8776" s="120"/>
      <c r="P8776" s="120"/>
      <c r="Q8776" s="120"/>
      <c r="R8776" s="120"/>
      <c r="S8776" s="120"/>
      <c r="T8776" s="221"/>
      <c r="U8776" s="89"/>
      <c r="V8776" s="61"/>
      <c r="W8776" s="92" t="s">
        <v>65</v>
      </c>
      <c r="X8776" s="93" t="s">
        <v>30</v>
      </c>
      <c r="Y8776" s="93" t="s">
        <v>1011</v>
      </c>
      <c r="Z8776" s="134">
        <f>VLOOKUP(W8776,Sheet2!$B:$D,3,FALSE)</f>
        <v>1.76</v>
      </c>
      <c r="AA8776" s="93">
        <f>AA8775/3</f>
        <v>0.1111111111111111</v>
      </c>
      <c r="AB8776" s="93">
        <f>AD8776/AC8767</f>
        <v>15.84</v>
      </c>
      <c r="AC8776" s="93">
        <f>AC8767/AA8776</f>
        <v>64.125</v>
      </c>
      <c r="AD8776" s="94">
        <f t="shared" si="5983"/>
        <v>112.86</v>
      </c>
      <c r="AE8776" s="190"/>
      <c r="AF8776" s="191"/>
      <c r="AG8776" s="191"/>
      <c r="AH8776" s="191"/>
      <c r="AI8776" s="186"/>
      <c r="AK8776" s="171"/>
    </row>
    <row r="8777" spans="1:41" ht="20.100000000000001" customHeight="1" x14ac:dyDescent="0.25">
      <c r="A8777" s="277" t="s">
        <v>703</v>
      </c>
      <c r="B8777" s="278"/>
      <c r="C8777" s="64" t="s">
        <v>815</v>
      </c>
      <c r="D8777" s="46" t="s">
        <v>215</v>
      </c>
      <c r="E8777" s="114">
        <v>1.4999999999999991</v>
      </c>
      <c r="F8777" s="44">
        <v>22092</v>
      </c>
      <c r="G8777" s="44">
        <f t="shared" si="5545"/>
        <v>33137.999999999978</v>
      </c>
      <c r="H8777" s="44">
        <f t="shared" si="5546"/>
        <v>8162.4366456533344</v>
      </c>
      <c r="I8777" s="43">
        <f t="shared" si="5547"/>
        <v>12243.654968479994</v>
      </c>
      <c r="J8777" s="112">
        <f t="shared" si="5548"/>
        <v>1.4999999999999991</v>
      </c>
      <c r="K8777" s="211">
        <f t="shared" si="5549"/>
        <v>1.4999999999999991</v>
      </c>
      <c r="L8777" s="44"/>
      <c r="M8777" s="44">
        <f t="shared" si="5550"/>
        <v>1.4999999999999991</v>
      </c>
      <c r="N8777" s="173">
        <f t="shared" si="5551"/>
        <v>1</v>
      </c>
      <c r="O8777" s="44">
        <f t="shared" si="5552"/>
        <v>22092</v>
      </c>
      <c r="P8777" s="44">
        <f t="shared" si="5553"/>
        <v>33137.999999999978</v>
      </c>
      <c r="Q8777" s="44">
        <f t="shared" si="5554"/>
        <v>8162.4366456533344</v>
      </c>
      <c r="R8777" s="44">
        <f t="shared" si="5555"/>
        <v>12243.654968479994</v>
      </c>
      <c r="S8777" s="123"/>
      <c r="T8777" s="219">
        <f t="shared" si="5556"/>
        <v>12243.654968479994</v>
      </c>
      <c r="U8777" s="87"/>
      <c r="V8777" s="47"/>
      <c r="W8777" s="48"/>
      <c r="X8777" s="48"/>
      <c r="Y8777" s="48"/>
      <c r="Z8777" s="135"/>
      <c r="AA8777" s="49"/>
      <c r="AB8777" s="50">
        <f t="shared" si="5557"/>
        <v>8162.4366456533344</v>
      </c>
      <c r="AC8777" s="42">
        <f t="shared" si="5558"/>
        <v>1.4999999999999991</v>
      </c>
      <c r="AD8777" s="90">
        <f>AD8778+AD8783+AD8790+AD8797</f>
        <v>12243.654968479994</v>
      </c>
      <c r="AE8777" s="188">
        <f t="shared" ref="AE8777" si="5984">AE8778+AE8783+AE8790+AE8797</f>
        <v>0</v>
      </c>
      <c r="AF8777" s="189">
        <f t="shared" ref="AF8777" si="5985">AF8778+AF8783+AF8790+AF8797</f>
        <v>0</v>
      </c>
      <c r="AG8777" s="189">
        <f t="shared" ref="AG8777" si="5986">AG8778+AG8783+AG8790+AG8797</f>
        <v>0</v>
      </c>
      <c r="AH8777" s="189">
        <f t="shared" ref="AH8777" si="5987">AH8778+AH8783+AH8790+AH8797</f>
        <v>0</v>
      </c>
      <c r="AI8777" s="161">
        <f t="shared" ref="AI8777:AI8778" si="5988">SUM(AE8777:AH8777)</f>
        <v>0</v>
      </c>
      <c r="AK8777" s="169">
        <v>5</v>
      </c>
      <c r="AO8777" s="19" t="s">
        <v>63</v>
      </c>
    </row>
    <row r="8778" spans="1:41" s="103" customFormat="1" ht="19.899999999999999" customHeight="1" x14ac:dyDescent="0.25">
      <c r="A8778" s="51"/>
      <c r="B8778" s="52"/>
      <c r="C8778" s="165"/>
      <c r="D8778" s="52"/>
      <c r="E8778" s="115"/>
      <c r="F8778" s="58"/>
      <c r="G8778" s="58"/>
      <c r="H8778" s="58"/>
      <c r="I8778" s="55"/>
      <c r="J8778" s="113">
        <f>J8777</f>
        <v>1.4999999999999991</v>
      </c>
      <c r="K8778" s="212">
        <f>K8777</f>
        <v>1.4999999999999991</v>
      </c>
      <c r="L8778" s="58"/>
      <c r="M8778" s="58">
        <f>K8778-L8778</f>
        <v>1.4999999999999991</v>
      </c>
      <c r="N8778" s="166"/>
      <c r="O8778" s="58"/>
      <c r="P8778" s="58"/>
      <c r="Q8778" s="58"/>
      <c r="R8778" s="58"/>
      <c r="S8778" s="58"/>
      <c r="T8778" s="220"/>
      <c r="U8778" s="88"/>
      <c r="V8778" s="56"/>
      <c r="W8778" s="57" t="s">
        <v>1506</v>
      </c>
      <c r="X8778" s="53"/>
      <c r="Y8778" s="91" t="s">
        <v>35</v>
      </c>
      <c r="Z8778" s="136">
        <f>AD8778/AC8778</f>
        <v>87.98313725490199</v>
      </c>
      <c r="AA8778" s="58"/>
      <c r="AB8778" s="53">
        <f>AD8778/AC8778</f>
        <v>87.98313725490199</v>
      </c>
      <c r="AC8778" s="53">
        <f>M8778+$AE$10</f>
        <v>1.4999999999999991</v>
      </c>
      <c r="AD8778" s="54">
        <f>SUM(AD8779:AD8782)</f>
        <v>131.97470588235291</v>
      </c>
      <c r="AE8778" s="184">
        <f>SUMIFS($AD$37:$AD$12971,$V$37:$V$12971,$V8778,$X$37:$X$12971,AE$13)</f>
        <v>0</v>
      </c>
      <c r="AF8778" s="185">
        <f>SUMIFS($AD$37:$AD$12971,$V$37:$V$12971,$V8778,$X$37:$X$12971,AF$13)</f>
        <v>0</v>
      </c>
      <c r="AG8778" s="185">
        <f>SUMIFS($AD$37:$AD$12971,$V$37:$V$12971,$V8778,$X$37:$X$12971,AG$13)</f>
        <v>0</v>
      </c>
      <c r="AH8778" s="187">
        <f>SUMIFS($AD$37:$AD$12971,$V$37:$V$12971,$V8778,$X$37:$X$12971,AH$13)</f>
        <v>0</v>
      </c>
      <c r="AI8778" s="161">
        <f t="shared" si="5988"/>
        <v>0</v>
      </c>
      <c r="AK8778" s="172"/>
    </row>
    <row r="8779" spans="1:41" s="102" customFormat="1" ht="19.899999999999999" customHeight="1" x14ac:dyDescent="0.25">
      <c r="A8779" s="45"/>
      <c r="B8779" s="59"/>
      <c r="C8779" s="137"/>
      <c r="D8779" s="59"/>
      <c r="E8779" s="116"/>
      <c r="F8779" s="120"/>
      <c r="G8779" s="120"/>
      <c r="H8779" s="120"/>
      <c r="I8779" s="60"/>
      <c r="J8779" s="116"/>
      <c r="K8779" s="213"/>
      <c r="L8779" s="120"/>
      <c r="M8779" s="120"/>
      <c r="N8779" s="167"/>
      <c r="O8779" s="120"/>
      <c r="P8779" s="120"/>
      <c r="Q8779" s="120"/>
      <c r="R8779" s="120"/>
      <c r="S8779" s="120"/>
      <c r="T8779" s="221"/>
      <c r="U8779" s="89"/>
      <c r="V8779" s="61"/>
      <c r="W8779" s="92" t="s">
        <v>129</v>
      </c>
      <c r="X8779" s="93" t="s">
        <v>29</v>
      </c>
      <c r="Y8779" s="93" t="s">
        <v>93</v>
      </c>
      <c r="Z8779" s="134">
        <f>VLOOKUP(W8779,Sheet2!$B:$D,3,FALSE)</f>
        <v>56</v>
      </c>
      <c r="AA8779" s="93">
        <f>100/(2.5*2.5*3.5)</f>
        <v>4.5714285714285712</v>
      </c>
      <c r="AB8779" s="93">
        <f t="shared" ref="AB8779" si="5989">AD8779/AC8778</f>
        <v>12.25</v>
      </c>
      <c r="AC8779" s="93">
        <f>AC8778/AA8779</f>
        <v>0.32812499999999983</v>
      </c>
      <c r="AD8779" s="94">
        <f t="shared" ref="AD8779:AD8780" si="5990">AC8779*Z8779</f>
        <v>18.374999999999989</v>
      </c>
      <c r="AE8779" s="190"/>
      <c r="AF8779" s="191"/>
      <c r="AG8779" s="191"/>
      <c r="AH8779" s="191"/>
      <c r="AI8779" s="186"/>
      <c r="AK8779" s="171"/>
    </row>
    <row r="8780" spans="1:41" s="102" customFormat="1" ht="19.899999999999999" customHeight="1" x14ac:dyDescent="0.25">
      <c r="A8780" s="45"/>
      <c r="B8780" s="59"/>
      <c r="C8780" s="137"/>
      <c r="D8780" s="59"/>
      <c r="E8780" s="116"/>
      <c r="F8780" s="120"/>
      <c r="G8780" s="120"/>
      <c r="H8780" s="120"/>
      <c r="I8780" s="60"/>
      <c r="J8780" s="116"/>
      <c r="K8780" s="213"/>
      <c r="L8780" s="120"/>
      <c r="M8780" s="120"/>
      <c r="N8780" s="167"/>
      <c r="O8780" s="120"/>
      <c r="P8780" s="120"/>
      <c r="Q8780" s="120"/>
      <c r="R8780" s="120"/>
      <c r="S8780" s="120"/>
      <c r="T8780" s="221"/>
      <c r="U8780" s="89"/>
      <c r="V8780" s="61"/>
      <c r="W8780" s="92" t="s">
        <v>65</v>
      </c>
      <c r="X8780" s="93" t="s">
        <v>30</v>
      </c>
      <c r="Y8780" s="93" t="s">
        <v>1011</v>
      </c>
      <c r="Z8780" s="134">
        <f>VLOOKUP(W8780,Sheet2!$B:$D,3,FALSE)</f>
        <v>1.76</v>
      </c>
      <c r="AA8780" s="93">
        <f>AA8779/14</f>
        <v>0.32653061224489793</v>
      </c>
      <c r="AB8780" s="93">
        <f>AD8780/AC8778</f>
        <v>5.3900000000000006</v>
      </c>
      <c r="AC8780" s="93">
        <f>AC8778/AA8780</f>
        <v>4.5937499999999973</v>
      </c>
      <c r="AD8780" s="94">
        <f t="shared" si="5990"/>
        <v>8.0849999999999955</v>
      </c>
      <c r="AE8780" s="190"/>
      <c r="AF8780" s="191"/>
      <c r="AG8780" s="191"/>
      <c r="AH8780" s="191"/>
      <c r="AI8780" s="186"/>
      <c r="AK8780" s="171"/>
    </row>
    <row r="8781" spans="1:41" s="102" customFormat="1" ht="19.899999999999999" customHeight="1" x14ac:dyDescent="0.25">
      <c r="A8781" s="45"/>
      <c r="B8781" s="59"/>
      <c r="C8781" s="137"/>
      <c r="D8781" s="59"/>
      <c r="E8781" s="116"/>
      <c r="F8781" s="120"/>
      <c r="G8781" s="120"/>
      <c r="H8781" s="120"/>
      <c r="I8781" s="60"/>
      <c r="J8781" s="116"/>
      <c r="K8781" s="213"/>
      <c r="L8781" s="120"/>
      <c r="M8781" s="120"/>
      <c r="N8781" s="167"/>
      <c r="O8781" s="120"/>
      <c r="P8781" s="120"/>
      <c r="Q8781" s="120"/>
      <c r="R8781" s="120"/>
      <c r="S8781" s="120"/>
      <c r="T8781" s="221"/>
      <c r="U8781" s="89"/>
      <c r="V8781" s="61"/>
      <c r="W8781" s="92" t="s">
        <v>161</v>
      </c>
      <c r="X8781" s="93" t="s">
        <v>29</v>
      </c>
      <c r="Y8781" s="93" t="s">
        <v>93</v>
      </c>
      <c r="Z8781" s="134">
        <f>VLOOKUP(W8781,Sheet2!$B:$D,3,FALSE)</f>
        <v>48</v>
      </c>
      <c r="AA8781" s="93">
        <f>(16*0.85*1.5)/(2.5*2.5*3.5)</f>
        <v>0.9325714285714285</v>
      </c>
      <c r="AB8781" s="93">
        <f>AD8781/AC8778</f>
        <v>51.47058823529413</v>
      </c>
      <c r="AC8781" s="93">
        <f>AC8778/AA8781</f>
        <v>1.6084558823529405</v>
      </c>
      <c r="AD8781" s="94">
        <f>AC8781*Z8781</f>
        <v>77.205882352941146</v>
      </c>
      <c r="AE8781" s="190"/>
      <c r="AF8781" s="191"/>
      <c r="AG8781" s="191"/>
      <c r="AH8781" s="191"/>
      <c r="AI8781" s="186"/>
      <c r="AK8781" s="171"/>
    </row>
    <row r="8782" spans="1:41" s="102" customFormat="1" ht="19.899999999999999" customHeight="1" x14ac:dyDescent="0.25">
      <c r="A8782" s="45"/>
      <c r="B8782" s="59"/>
      <c r="C8782" s="137"/>
      <c r="D8782" s="59"/>
      <c r="E8782" s="116"/>
      <c r="F8782" s="120"/>
      <c r="G8782" s="120"/>
      <c r="H8782" s="120"/>
      <c r="I8782" s="60"/>
      <c r="J8782" s="116"/>
      <c r="K8782" s="213"/>
      <c r="L8782" s="120"/>
      <c r="M8782" s="120"/>
      <c r="N8782" s="167"/>
      <c r="O8782" s="120"/>
      <c r="P8782" s="120"/>
      <c r="Q8782" s="120"/>
      <c r="R8782" s="120"/>
      <c r="S8782" s="120"/>
      <c r="T8782" s="221"/>
      <c r="U8782" s="89"/>
      <c r="V8782" s="61"/>
      <c r="W8782" s="92" t="s">
        <v>65</v>
      </c>
      <c r="X8782" s="93" t="s">
        <v>30</v>
      </c>
      <c r="Y8782" s="93" t="s">
        <v>1011</v>
      </c>
      <c r="Z8782" s="134">
        <f>VLOOKUP(W8782,Sheet2!$B:$D,3,FALSE)</f>
        <v>1.76</v>
      </c>
      <c r="AA8782" s="93">
        <f>AA8781/10</f>
        <v>9.3257142857142844E-2</v>
      </c>
      <c r="AB8782" s="93">
        <f>AD8782/AC8778</f>
        <v>18.872549019607845</v>
      </c>
      <c r="AC8782" s="93">
        <f>AC8778/AA8782</f>
        <v>16.084558823529406</v>
      </c>
      <c r="AD8782" s="94">
        <f>AC8782*Z8782</f>
        <v>28.308823529411754</v>
      </c>
      <c r="AE8782" s="190"/>
      <c r="AF8782" s="191"/>
      <c r="AG8782" s="191"/>
      <c r="AH8782" s="191"/>
      <c r="AI8782" s="186"/>
      <c r="AK8782" s="171"/>
    </row>
    <row r="8783" spans="1:41" s="103" customFormat="1" ht="19.899999999999999" customHeight="1" x14ac:dyDescent="0.25">
      <c r="A8783" s="51"/>
      <c r="B8783" s="52"/>
      <c r="C8783" s="165"/>
      <c r="D8783" s="52"/>
      <c r="E8783" s="115"/>
      <c r="F8783" s="58"/>
      <c r="G8783" s="58"/>
      <c r="H8783" s="58"/>
      <c r="I8783" s="55"/>
      <c r="J8783" s="113">
        <f>J8777</f>
        <v>1.4999999999999991</v>
      </c>
      <c r="K8783" s="212">
        <f>K8777</f>
        <v>1.4999999999999991</v>
      </c>
      <c r="L8783" s="58"/>
      <c r="M8783" s="58">
        <f>K8783-L8783</f>
        <v>1.4999999999999991</v>
      </c>
      <c r="N8783" s="166"/>
      <c r="O8783" s="58"/>
      <c r="P8783" s="58"/>
      <c r="Q8783" s="58"/>
      <c r="R8783" s="58"/>
      <c r="S8783" s="58"/>
      <c r="T8783" s="220"/>
      <c r="U8783" s="88"/>
      <c r="V8783" s="56"/>
      <c r="W8783" s="57" t="s">
        <v>1486</v>
      </c>
      <c r="X8783" s="53"/>
      <c r="Y8783" s="91" t="s">
        <v>35</v>
      </c>
      <c r="Z8783" s="136">
        <f>AD8783/AC8783</f>
        <v>1432.6959999999999</v>
      </c>
      <c r="AA8783" s="58"/>
      <c r="AB8783" s="53">
        <f>AD8783/AC8783</f>
        <v>1432.6959999999999</v>
      </c>
      <c r="AC8783" s="53">
        <f>M8783+$AE$10</f>
        <v>1.4999999999999991</v>
      </c>
      <c r="AD8783" s="54">
        <f>SUM(AD8784:AD8789)</f>
        <v>2149.0439999999985</v>
      </c>
      <c r="AE8783" s="184">
        <f>SUMIFS($AD$37:$AD$12971,$V$37:$V$12971,$V8783,$X$37:$X$12971,AE$13)</f>
        <v>0</v>
      </c>
      <c r="AF8783" s="185">
        <f>SUMIFS($AD$37:$AD$12971,$V$37:$V$12971,$V8783,$X$37:$X$12971,AF$13)</f>
        <v>0</v>
      </c>
      <c r="AG8783" s="185">
        <f>SUMIFS($AD$37:$AD$12971,$V$37:$V$12971,$V8783,$X$37:$X$12971,AG$13)</f>
        <v>0</v>
      </c>
      <c r="AH8783" s="187">
        <f>SUMIFS($AD$37:$AD$12971,$V$37:$V$12971,$V8783,$X$37:$X$12971,AH$13)</f>
        <v>0</v>
      </c>
      <c r="AI8783" s="161">
        <f t="shared" ref="AI8783" si="5991">SUM(AE8783:AH8783)</f>
        <v>0</v>
      </c>
      <c r="AK8783" s="172"/>
    </row>
    <row r="8784" spans="1:41" s="102" customFormat="1" ht="19.899999999999999" customHeight="1" x14ac:dyDescent="0.25">
      <c r="A8784" s="45"/>
      <c r="B8784" s="59"/>
      <c r="C8784" s="137"/>
      <c r="D8784" s="59"/>
      <c r="E8784" s="116"/>
      <c r="F8784" s="120"/>
      <c r="G8784" s="120"/>
      <c r="H8784" s="120"/>
      <c r="I8784" s="60"/>
      <c r="J8784" s="116"/>
      <c r="K8784" s="213"/>
      <c r="L8784" s="120"/>
      <c r="M8784" s="120"/>
      <c r="N8784" s="167"/>
      <c r="O8784" s="120"/>
      <c r="P8784" s="120"/>
      <c r="Q8784" s="120"/>
      <c r="R8784" s="120"/>
      <c r="S8784" s="120"/>
      <c r="T8784" s="221"/>
      <c r="U8784" s="89"/>
      <c r="V8784" s="61"/>
      <c r="W8784" s="92" t="s">
        <v>1032</v>
      </c>
      <c r="X8784" s="93" t="s">
        <v>30</v>
      </c>
      <c r="Y8784" s="93" t="s">
        <v>66</v>
      </c>
      <c r="Z8784" s="134">
        <f>VLOOKUP(W8784,Sheet2!$B:$D,3,FALSE)</f>
        <v>250</v>
      </c>
      <c r="AA8784" s="93">
        <f>1/(2.1*2.1*0.1)</f>
        <v>2.2675736961451243</v>
      </c>
      <c r="AB8784" s="93">
        <f>AD8784/AC8790</f>
        <v>110.25000000000003</v>
      </c>
      <c r="AC8784" s="93">
        <f>AC8790/AA8784</f>
        <v>0.66149999999999975</v>
      </c>
      <c r="AD8784" s="94">
        <f t="shared" ref="AD8784:AD8786" si="5992">AC8784*Z8784</f>
        <v>165.37499999999994</v>
      </c>
      <c r="AE8784" s="190"/>
      <c r="AF8784" s="191"/>
      <c r="AG8784" s="191"/>
      <c r="AH8784" s="191"/>
      <c r="AI8784" s="186"/>
      <c r="AK8784" s="171"/>
    </row>
    <row r="8785" spans="1:37" s="102" customFormat="1" ht="19.899999999999999" customHeight="1" x14ac:dyDescent="0.25">
      <c r="A8785" s="45"/>
      <c r="B8785" s="59"/>
      <c r="C8785" s="137"/>
      <c r="D8785" s="59"/>
      <c r="E8785" s="116"/>
      <c r="F8785" s="120"/>
      <c r="G8785" s="120"/>
      <c r="H8785" s="120"/>
      <c r="I8785" s="60"/>
      <c r="J8785" s="116"/>
      <c r="K8785" s="213"/>
      <c r="L8785" s="120"/>
      <c r="M8785" s="120"/>
      <c r="N8785" s="167"/>
      <c r="O8785" s="120"/>
      <c r="P8785" s="120"/>
      <c r="Q8785" s="120"/>
      <c r="R8785" s="120"/>
      <c r="S8785" s="120"/>
      <c r="T8785" s="221"/>
      <c r="U8785" s="89"/>
      <c r="V8785" s="61"/>
      <c r="W8785" s="92" t="s">
        <v>1353</v>
      </c>
      <c r="X8785" s="93" t="s">
        <v>30</v>
      </c>
      <c r="Y8785" s="93" t="s">
        <v>66</v>
      </c>
      <c r="Z8785" s="134">
        <f>VLOOKUP(W8785,Sheet2!$B:$D,3,FALSE)</f>
        <v>350</v>
      </c>
      <c r="AA8785" s="93">
        <f>1/(2*2*0.3)</f>
        <v>0.83333333333333337</v>
      </c>
      <c r="AB8785" s="93">
        <f>AD8785/AC8790</f>
        <v>420</v>
      </c>
      <c r="AC8785" s="93">
        <f>AC8790/AA8785</f>
        <v>1.7999999999999989</v>
      </c>
      <c r="AD8785" s="94">
        <f t="shared" si="5992"/>
        <v>629.99999999999966</v>
      </c>
      <c r="AE8785" s="190"/>
      <c r="AF8785" s="191"/>
      <c r="AG8785" s="191"/>
      <c r="AH8785" s="191"/>
      <c r="AI8785" s="186"/>
      <c r="AK8785" s="171"/>
    </row>
    <row r="8786" spans="1:37" s="102" customFormat="1" ht="19.899999999999999" customHeight="1" x14ac:dyDescent="0.25">
      <c r="A8786" s="45"/>
      <c r="B8786" s="59"/>
      <c r="C8786" s="137"/>
      <c r="D8786" s="59"/>
      <c r="E8786" s="116"/>
      <c r="F8786" s="120"/>
      <c r="G8786" s="120"/>
      <c r="H8786" s="120"/>
      <c r="I8786" s="60"/>
      <c r="J8786" s="116"/>
      <c r="K8786" s="213"/>
      <c r="L8786" s="120"/>
      <c r="M8786" s="120"/>
      <c r="N8786" s="167"/>
      <c r="O8786" s="120"/>
      <c r="P8786" s="120"/>
      <c r="Q8786" s="120"/>
      <c r="R8786" s="120"/>
      <c r="S8786" s="120"/>
      <c r="T8786" s="221"/>
      <c r="U8786" s="89"/>
      <c r="V8786" s="61"/>
      <c r="W8786" s="92" t="s">
        <v>99</v>
      </c>
      <c r="X8786" s="93" t="s">
        <v>30</v>
      </c>
      <c r="Y8786" s="93" t="s">
        <v>67</v>
      </c>
      <c r="Z8786" s="134">
        <f>VLOOKUP(W8786,Sheet2!$B:$D,3,FALSE)</f>
        <v>2500</v>
      </c>
      <c r="AA8786" s="93">
        <f>AA8785/0.08</f>
        <v>10.416666666666666</v>
      </c>
      <c r="AB8786" s="93">
        <f>AD8786/AC8790</f>
        <v>240.00000000000003</v>
      </c>
      <c r="AC8786" s="93">
        <f>AC8790/AA8786</f>
        <v>0.14399999999999993</v>
      </c>
      <c r="AD8786" s="94">
        <f t="shared" si="5992"/>
        <v>359.99999999999983</v>
      </c>
      <c r="AE8786" s="190"/>
      <c r="AF8786" s="191"/>
      <c r="AG8786" s="191"/>
      <c r="AH8786" s="191"/>
      <c r="AI8786" s="186"/>
      <c r="AK8786" s="171"/>
    </row>
    <row r="8787" spans="1:37" s="102" customFormat="1" ht="19.899999999999999" customHeight="1" x14ac:dyDescent="0.25">
      <c r="A8787" s="45"/>
      <c r="B8787" s="59"/>
      <c r="C8787" s="137"/>
      <c r="D8787" s="59"/>
      <c r="E8787" s="116"/>
      <c r="F8787" s="120"/>
      <c r="G8787" s="120"/>
      <c r="H8787" s="120"/>
      <c r="I8787" s="60"/>
      <c r="J8787" s="116"/>
      <c r="K8787" s="213"/>
      <c r="L8787" s="120"/>
      <c r="M8787" s="120"/>
      <c r="N8787" s="167"/>
      <c r="O8787" s="120"/>
      <c r="P8787" s="120"/>
      <c r="Q8787" s="120"/>
      <c r="R8787" s="120"/>
      <c r="S8787" s="120"/>
      <c r="T8787" s="221"/>
      <c r="U8787" s="89"/>
      <c r="V8787" s="61"/>
      <c r="W8787" s="92" t="s">
        <v>1354</v>
      </c>
      <c r="X8787" s="93" t="s">
        <v>32</v>
      </c>
      <c r="Y8787" s="93" t="s">
        <v>66</v>
      </c>
      <c r="Z8787" s="134">
        <f>VLOOKUP(W8787,Sheet2!$B:$D,3,FALSE)</f>
        <v>150</v>
      </c>
      <c r="AA8787" s="93">
        <f>AA8784</f>
        <v>2.2675736961451243</v>
      </c>
      <c r="AB8787" s="93">
        <f>AD8787/AC8790</f>
        <v>66.15000000000002</v>
      </c>
      <c r="AC8787" s="93">
        <f>AC8790/AA8787</f>
        <v>0.66149999999999975</v>
      </c>
      <c r="AD8787" s="94">
        <f>AC8787*Z8787</f>
        <v>99.224999999999966</v>
      </c>
      <c r="AE8787" s="190"/>
      <c r="AF8787" s="191"/>
      <c r="AG8787" s="191"/>
      <c r="AH8787" s="191"/>
      <c r="AI8787" s="186"/>
      <c r="AK8787" s="171"/>
    </row>
    <row r="8788" spans="1:37" s="102" customFormat="1" ht="19.899999999999999" customHeight="1" x14ac:dyDescent="0.25">
      <c r="A8788" s="45"/>
      <c r="B8788" s="59"/>
      <c r="C8788" s="137"/>
      <c r="D8788" s="59"/>
      <c r="E8788" s="116"/>
      <c r="F8788" s="120"/>
      <c r="G8788" s="120"/>
      <c r="H8788" s="120"/>
      <c r="I8788" s="60"/>
      <c r="J8788" s="116"/>
      <c r="K8788" s="213"/>
      <c r="L8788" s="120"/>
      <c r="M8788" s="120"/>
      <c r="N8788" s="167"/>
      <c r="O8788" s="120"/>
      <c r="P8788" s="120"/>
      <c r="Q8788" s="120"/>
      <c r="R8788" s="120"/>
      <c r="S8788" s="120"/>
      <c r="T8788" s="221"/>
      <c r="U8788" s="89"/>
      <c r="V8788" s="61"/>
      <c r="W8788" s="92" t="s">
        <v>1355</v>
      </c>
      <c r="X8788" s="93" t="s">
        <v>32</v>
      </c>
      <c r="Y8788" s="93" t="s">
        <v>66</v>
      </c>
      <c r="Z8788" s="134">
        <f>VLOOKUP(W8788,Sheet2!$B:$D,3,FALSE)</f>
        <v>450</v>
      </c>
      <c r="AA8788" s="93">
        <f>AA8785</f>
        <v>0.83333333333333337</v>
      </c>
      <c r="AB8788" s="93">
        <f>AD8788/AC8790</f>
        <v>540</v>
      </c>
      <c r="AC8788" s="93">
        <f>AC8790/AA8788</f>
        <v>1.7999999999999989</v>
      </c>
      <c r="AD8788" s="94">
        <f>AC8788*Z8788</f>
        <v>809.99999999999955</v>
      </c>
      <c r="AE8788" s="190"/>
      <c r="AF8788" s="191"/>
      <c r="AG8788" s="191"/>
      <c r="AH8788" s="191"/>
      <c r="AI8788" s="186"/>
      <c r="AK8788" s="171"/>
    </row>
    <row r="8789" spans="1:37" s="102" customFormat="1" ht="19.899999999999999" customHeight="1" x14ac:dyDescent="0.25">
      <c r="A8789" s="45"/>
      <c r="B8789" s="59"/>
      <c r="C8789" s="137"/>
      <c r="D8789" s="59"/>
      <c r="E8789" s="116"/>
      <c r="F8789" s="120"/>
      <c r="G8789" s="120"/>
      <c r="H8789" s="120"/>
      <c r="I8789" s="60"/>
      <c r="J8789" s="116"/>
      <c r="K8789" s="213"/>
      <c r="L8789" s="120"/>
      <c r="M8789" s="120"/>
      <c r="N8789" s="167"/>
      <c r="O8789" s="120"/>
      <c r="P8789" s="120"/>
      <c r="Q8789" s="120"/>
      <c r="R8789" s="120"/>
      <c r="S8789" s="120"/>
      <c r="T8789" s="221"/>
      <c r="U8789" s="89"/>
      <c r="V8789" s="61"/>
      <c r="W8789" s="92" t="s">
        <v>124</v>
      </c>
      <c r="X8789" s="93" t="s">
        <v>32</v>
      </c>
      <c r="Y8789" s="93" t="s">
        <v>64</v>
      </c>
      <c r="Z8789" s="134">
        <f>VLOOKUP(W8789,Sheet2!$B:$D,3,FALSE)</f>
        <v>10</v>
      </c>
      <c r="AA8789" s="93">
        <f>1/((2.6*2.6)-(3.14*1.2*1.2/4))</f>
        <v>0.17763251385533604</v>
      </c>
      <c r="AB8789" s="93">
        <f t="shared" ref="AB8789" si="5993">AD8789/AC8783</f>
        <v>56.296000000000006</v>
      </c>
      <c r="AC8789" s="93">
        <f>AC8783/AA8789</f>
        <v>8.4443999999999964</v>
      </c>
      <c r="AD8789" s="94">
        <f t="shared" ref="AD8789" si="5994">AC8789*Z8789</f>
        <v>84.44399999999996</v>
      </c>
      <c r="AE8789" s="190"/>
      <c r="AF8789" s="191"/>
      <c r="AG8789" s="191"/>
      <c r="AH8789" s="191"/>
      <c r="AI8789" s="186"/>
      <c r="AK8789" s="171"/>
    </row>
    <row r="8790" spans="1:37" s="103" customFormat="1" ht="19.899999999999999" customHeight="1" x14ac:dyDescent="0.25">
      <c r="A8790" s="51"/>
      <c r="B8790" s="52"/>
      <c r="C8790" s="165"/>
      <c r="D8790" s="52"/>
      <c r="E8790" s="115"/>
      <c r="F8790" s="58"/>
      <c r="G8790" s="58"/>
      <c r="H8790" s="58"/>
      <c r="I8790" s="55"/>
      <c r="J8790" s="113">
        <f>J8777</f>
        <v>1.4999999999999991</v>
      </c>
      <c r="K8790" s="212">
        <f>K8777</f>
        <v>1.4999999999999991</v>
      </c>
      <c r="L8790" s="58"/>
      <c r="M8790" s="58">
        <f>K8790-L8790</f>
        <v>1.4999999999999991</v>
      </c>
      <c r="N8790" s="166"/>
      <c r="O8790" s="58"/>
      <c r="P8790" s="58"/>
      <c r="Q8790" s="58"/>
      <c r="R8790" s="58"/>
      <c r="S8790" s="58"/>
      <c r="T8790" s="220"/>
      <c r="U8790" s="88"/>
      <c r="V8790" s="56"/>
      <c r="W8790" s="57" t="s">
        <v>1275</v>
      </c>
      <c r="X8790" s="53"/>
      <c r="Y8790" s="91" t="s">
        <v>35</v>
      </c>
      <c r="Z8790" s="136">
        <f>AD8790/AC8790</f>
        <v>6272.8</v>
      </c>
      <c r="AA8790" s="58"/>
      <c r="AB8790" s="53">
        <f>AD8790/AC8790</f>
        <v>6272.8</v>
      </c>
      <c r="AC8790" s="53">
        <f>M8790+$AE$10</f>
        <v>1.4999999999999991</v>
      </c>
      <c r="AD8790" s="54">
        <f>SUM(AD8791:AD8796)</f>
        <v>9409.1999999999953</v>
      </c>
      <c r="AE8790" s="184">
        <f>SUMIFS($AD$37:$AD$12971,$V$37:$V$12971,$V8790,$X$37:$X$12971,AE$13)</f>
        <v>0</v>
      </c>
      <c r="AF8790" s="185">
        <f>SUMIFS($AD$37:$AD$12971,$V$37:$V$12971,$V8790,$X$37:$X$12971,AF$13)</f>
        <v>0</v>
      </c>
      <c r="AG8790" s="185">
        <f>SUMIFS($AD$37:$AD$12971,$V$37:$V$12971,$V8790,$X$37:$X$12971,AG$13)</f>
        <v>0</v>
      </c>
      <c r="AH8790" s="187">
        <f>SUMIFS($AD$37:$AD$12971,$V$37:$V$12971,$V8790,$X$37:$X$12971,AH$13)</f>
        <v>0</v>
      </c>
      <c r="AI8790" s="161">
        <f t="shared" ref="AI8790" si="5995">SUM(AE8790:AH8790)</f>
        <v>0</v>
      </c>
      <c r="AK8790" s="172"/>
    </row>
    <row r="8791" spans="1:37" s="102" customFormat="1" ht="19.899999999999999" customHeight="1" x14ac:dyDescent="0.25">
      <c r="A8791" s="45"/>
      <c r="B8791" s="59"/>
      <c r="C8791" s="137"/>
      <c r="D8791" s="59"/>
      <c r="E8791" s="116"/>
      <c r="F8791" s="120"/>
      <c r="G8791" s="120"/>
      <c r="H8791" s="120"/>
      <c r="I8791" s="60"/>
      <c r="J8791" s="116"/>
      <c r="K8791" s="213"/>
      <c r="L8791" s="120"/>
      <c r="M8791" s="120"/>
      <c r="N8791" s="167"/>
      <c r="O8791" s="120"/>
      <c r="P8791" s="120"/>
      <c r="Q8791" s="120"/>
      <c r="R8791" s="120"/>
      <c r="S8791" s="120"/>
      <c r="T8791" s="221"/>
      <c r="U8791" s="89"/>
      <c r="V8791" s="61"/>
      <c r="W8791" s="92" t="s">
        <v>1491</v>
      </c>
      <c r="X8791" s="93" t="s">
        <v>30</v>
      </c>
      <c r="Y8791" s="93" t="s">
        <v>35</v>
      </c>
      <c r="Z8791" s="134">
        <f>VLOOKUP(W8791,Sheet2!$B:$D,3,FALSE)</f>
        <v>4500</v>
      </c>
      <c r="AA8791" s="93">
        <v>1</v>
      </c>
      <c r="AB8791" s="93">
        <f>AD8791/AC8790</f>
        <v>4500</v>
      </c>
      <c r="AC8791" s="93">
        <f>AC8790/AA8791</f>
        <v>1.4999999999999991</v>
      </c>
      <c r="AD8791" s="94">
        <f t="shared" ref="AD8791:AD8792" si="5996">AC8791*Z8791</f>
        <v>6749.9999999999964</v>
      </c>
      <c r="AE8791" s="190"/>
      <c r="AF8791" s="191"/>
      <c r="AG8791" s="191"/>
      <c r="AH8791" s="191"/>
      <c r="AI8791" s="186"/>
      <c r="AK8791" s="171"/>
    </row>
    <row r="8792" spans="1:37" s="102" customFormat="1" ht="19.899999999999999" customHeight="1" x14ac:dyDescent="0.25">
      <c r="A8792" s="45"/>
      <c r="B8792" s="59"/>
      <c r="C8792" s="137"/>
      <c r="D8792" s="59"/>
      <c r="E8792" s="116"/>
      <c r="F8792" s="120"/>
      <c r="G8792" s="120"/>
      <c r="H8792" s="120"/>
      <c r="I8792" s="60"/>
      <c r="J8792" s="116"/>
      <c r="K8792" s="213"/>
      <c r="L8792" s="120"/>
      <c r="M8792" s="120"/>
      <c r="N8792" s="167"/>
      <c r="O8792" s="120"/>
      <c r="P8792" s="120"/>
      <c r="Q8792" s="120"/>
      <c r="R8792" s="120"/>
      <c r="S8792" s="120"/>
      <c r="T8792" s="221"/>
      <c r="U8792" s="89"/>
      <c r="V8792" s="61"/>
      <c r="W8792" s="92" t="s">
        <v>174</v>
      </c>
      <c r="X8792" s="93" t="s">
        <v>29</v>
      </c>
      <c r="Y8792" s="93" t="s">
        <v>93</v>
      </c>
      <c r="Z8792" s="134">
        <f>VLOOKUP(W8792,Sheet2!$B:$D,3,FALSE)</f>
        <v>80</v>
      </c>
      <c r="AA8792" s="93">
        <f>1/2</f>
        <v>0.5</v>
      </c>
      <c r="AB8792" s="93">
        <f>AD8792/AC8790</f>
        <v>160</v>
      </c>
      <c r="AC8792" s="93">
        <f>AC8790/AA8792</f>
        <v>2.9999999999999982</v>
      </c>
      <c r="AD8792" s="94">
        <f t="shared" si="5996"/>
        <v>239.99999999999986</v>
      </c>
      <c r="AE8792" s="190"/>
      <c r="AF8792" s="191"/>
      <c r="AG8792" s="191"/>
      <c r="AH8792" s="191"/>
      <c r="AI8792" s="186"/>
      <c r="AK8792" s="171"/>
    </row>
    <row r="8793" spans="1:37" s="102" customFormat="1" ht="19.899999999999999" customHeight="1" x14ac:dyDescent="0.25">
      <c r="A8793" s="45"/>
      <c r="B8793" s="59"/>
      <c r="C8793" s="137"/>
      <c r="D8793" s="59"/>
      <c r="E8793" s="116"/>
      <c r="F8793" s="120"/>
      <c r="G8793" s="120"/>
      <c r="H8793" s="120"/>
      <c r="I8793" s="60"/>
      <c r="J8793" s="116"/>
      <c r="K8793" s="213"/>
      <c r="L8793" s="120"/>
      <c r="M8793" s="120"/>
      <c r="N8793" s="167"/>
      <c r="O8793" s="120"/>
      <c r="P8793" s="120"/>
      <c r="Q8793" s="120"/>
      <c r="R8793" s="120"/>
      <c r="S8793" s="120"/>
      <c r="T8793" s="221"/>
      <c r="U8793" s="89"/>
      <c r="V8793" s="61"/>
      <c r="W8793" s="92" t="s">
        <v>65</v>
      </c>
      <c r="X8793" s="93" t="s">
        <v>30</v>
      </c>
      <c r="Y8793" s="93" t="s">
        <v>93</v>
      </c>
      <c r="Z8793" s="134">
        <f>VLOOKUP(W8793,Sheet2!$B:$D,3,FALSE)</f>
        <v>1.76</v>
      </c>
      <c r="AA8793" s="93">
        <f>AA8792/15</f>
        <v>3.3333333333333333E-2</v>
      </c>
      <c r="AB8793" s="93">
        <f>AD8793/AC8790</f>
        <v>52.8</v>
      </c>
      <c r="AC8793" s="93">
        <f>AC8790/AA8793</f>
        <v>44.999999999999972</v>
      </c>
      <c r="AD8793" s="94">
        <f>AC8793*Z8793</f>
        <v>79.199999999999946</v>
      </c>
      <c r="AE8793" s="190"/>
      <c r="AF8793" s="191"/>
      <c r="AG8793" s="191"/>
      <c r="AH8793" s="191"/>
      <c r="AI8793" s="186"/>
      <c r="AK8793" s="171"/>
    </row>
    <row r="8794" spans="1:37" s="102" customFormat="1" ht="19.899999999999999" customHeight="1" x14ac:dyDescent="0.25">
      <c r="A8794" s="45"/>
      <c r="B8794" s="59"/>
      <c r="C8794" s="137"/>
      <c r="D8794" s="59"/>
      <c r="E8794" s="116"/>
      <c r="F8794" s="120"/>
      <c r="G8794" s="120"/>
      <c r="H8794" s="120"/>
      <c r="I8794" s="60"/>
      <c r="J8794" s="116"/>
      <c r="K8794" s="213"/>
      <c r="L8794" s="120"/>
      <c r="M8794" s="120"/>
      <c r="N8794" s="167"/>
      <c r="O8794" s="120"/>
      <c r="P8794" s="120"/>
      <c r="Q8794" s="120"/>
      <c r="R8794" s="120"/>
      <c r="S8794" s="120"/>
      <c r="T8794" s="221"/>
      <c r="U8794" s="89"/>
      <c r="V8794" s="61"/>
      <c r="W8794" s="92" t="s">
        <v>1487</v>
      </c>
      <c r="X8794" s="93" t="s">
        <v>32</v>
      </c>
      <c r="Y8794" s="93" t="s">
        <v>1349</v>
      </c>
      <c r="Z8794" s="134">
        <f>VLOOKUP(W8794,Sheet2!$B:$D,3,FALSE)</f>
        <v>1500</v>
      </c>
      <c r="AA8794" s="93">
        <v>1</v>
      </c>
      <c r="AB8794" s="93">
        <f>AD8794/AC8790</f>
        <v>1500</v>
      </c>
      <c r="AC8794" s="93">
        <f>AC8790/AA8794</f>
        <v>1.4999999999999991</v>
      </c>
      <c r="AD8794" s="94">
        <f>AC8794*Z8794</f>
        <v>2249.9999999999986</v>
      </c>
      <c r="AE8794" s="190"/>
      <c r="AF8794" s="191"/>
      <c r="AG8794" s="191"/>
      <c r="AH8794" s="191"/>
      <c r="AI8794" s="186"/>
      <c r="AK8794" s="171"/>
    </row>
    <row r="8795" spans="1:37" s="102" customFormat="1" ht="19.899999999999999" customHeight="1" x14ac:dyDescent="0.25">
      <c r="A8795" s="45"/>
      <c r="B8795" s="59"/>
      <c r="C8795" s="137"/>
      <c r="D8795" s="59"/>
      <c r="E8795" s="116"/>
      <c r="F8795" s="120"/>
      <c r="G8795" s="120"/>
      <c r="H8795" s="120"/>
      <c r="I8795" s="60"/>
      <c r="J8795" s="116"/>
      <c r="K8795" s="213"/>
      <c r="L8795" s="120"/>
      <c r="M8795" s="120"/>
      <c r="N8795" s="167"/>
      <c r="O8795" s="120"/>
      <c r="P8795" s="120"/>
      <c r="Q8795" s="120"/>
      <c r="R8795" s="120"/>
      <c r="S8795" s="120"/>
      <c r="T8795" s="221"/>
      <c r="U8795" s="89"/>
      <c r="V8795" s="61"/>
      <c r="W8795" s="92" t="s">
        <v>107</v>
      </c>
      <c r="X8795" s="93" t="s">
        <v>31</v>
      </c>
      <c r="Y8795" s="93" t="s">
        <v>93</v>
      </c>
      <c r="Z8795" s="134">
        <f>VLOOKUP(W8795,Sheet2!$B:$D,3,FALSE)</f>
        <v>17</v>
      </c>
      <c r="AA8795" s="93">
        <f>AA8792</f>
        <v>0.5</v>
      </c>
      <c r="AB8795" s="93">
        <f>AD8795/AC8790</f>
        <v>34</v>
      </c>
      <c r="AC8795" s="93">
        <f>AC8790/AA8795</f>
        <v>2.9999999999999982</v>
      </c>
      <c r="AD8795" s="94">
        <f>AC8795*Z8795</f>
        <v>50.999999999999972</v>
      </c>
      <c r="AE8795" s="190"/>
      <c r="AF8795" s="191"/>
      <c r="AG8795" s="191"/>
      <c r="AH8795" s="191"/>
      <c r="AI8795" s="186"/>
      <c r="AK8795" s="171"/>
    </row>
    <row r="8796" spans="1:37" s="102" customFormat="1" ht="19.899999999999999" customHeight="1" x14ac:dyDescent="0.25">
      <c r="A8796" s="45"/>
      <c r="B8796" s="59"/>
      <c r="C8796" s="137"/>
      <c r="D8796" s="59"/>
      <c r="E8796" s="116"/>
      <c r="F8796" s="120"/>
      <c r="G8796" s="120"/>
      <c r="H8796" s="120"/>
      <c r="I8796" s="60"/>
      <c r="J8796" s="116"/>
      <c r="K8796" s="213"/>
      <c r="L8796" s="120"/>
      <c r="M8796" s="120"/>
      <c r="N8796" s="167"/>
      <c r="O8796" s="120"/>
      <c r="P8796" s="120"/>
      <c r="Q8796" s="120"/>
      <c r="R8796" s="120"/>
      <c r="S8796" s="120"/>
      <c r="T8796" s="221"/>
      <c r="U8796" s="89"/>
      <c r="V8796" s="61"/>
      <c r="W8796" s="92" t="s">
        <v>112</v>
      </c>
      <c r="X8796" s="93" t="s">
        <v>31</v>
      </c>
      <c r="Y8796" s="93" t="s">
        <v>93</v>
      </c>
      <c r="Z8796" s="134">
        <f>VLOOKUP(W8796,Sheet2!$B:$D,3,FALSE)</f>
        <v>13</v>
      </c>
      <c r="AA8796" s="93">
        <f>AA8795</f>
        <v>0.5</v>
      </c>
      <c r="AB8796" s="93">
        <f>AD8796/AC8790</f>
        <v>26</v>
      </c>
      <c r="AC8796" s="93">
        <f>AC8790/AA8796</f>
        <v>2.9999999999999982</v>
      </c>
      <c r="AD8796" s="94">
        <f>AC8796*Z8796</f>
        <v>38.999999999999979</v>
      </c>
      <c r="AE8796" s="190"/>
      <c r="AF8796" s="191"/>
      <c r="AG8796" s="191"/>
      <c r="AH8796" s="191"/>
      <c r="AI8796" s="186"/>
      <c r="AK8796" s="171"/>
    </row>
    <row r="8797" spans="1:37" s="103" customFormat="1" ht="19.899999999999999" customHeight="1" x14ac:dyDescent="0.25">
      <c r="A8797" s="51"/>
      <c r="B8797" s="52"/>
      <c r="C8797" s="165"/>
      <c r="D8797" s="52"/>
      <c r="E8797" s="115"/>
      <c r="F8797" s="58"/>
      <c r="G8797" s="58"/>
      <c r="H8797" s="58"/>
      <c r="I8797" s="55"/>
      <c r="J8797" s="113">
        <f>J8777</f>
        <v>1.4999999999999991</v>
      </c>
      <c r="K8797" s="212">
        <f>K8777</f>
        <v>1.4999999999999991</v>
      </c>
      <c r="L8797" s="58"/>
      <c r="M8797" s="58">
        <f>K8797-L8797</f>
        <v>1.4999999999999991</v>
      </c>
      <c r="N8797" s="166"/>
      <c r="O8797" s="58"/>
      <c r="P8797" s="58"/>
      <c r="Q8797" s="58"/>
      <c r="R8797" s="58"/>
      <c r="S8797" s="58"/>
      <c r="T8797" s="220"/>
      <c r="U8797" s="88"/>
      <c r="V8797" s="56"/>
      <c r="W8797" s="57" t="s">
        <v>1272</v>
      </c>
      <c r="X8797" s="53"/>
      <c r="Y8797" s="91" t="s">
        <v>35</v>
      </c>
      <c r="Z8797" s="136">
        <f>AD8797/AC8797</f>
        <v>368.95750839843146</v>
      </c>
      <c r="AA8797" s="58"/>
      <c r="AB8797" s="53">
        <f>AD8797/AC8797</f>
        <v>368.95750839843146</v>
      </c>
      <c r="AC8797" s="53">
        <f>M8797+$AE$10</f>
        <v>1.4999999999999991</v>
      </c>
      <c r="AD8797" s="54">
        <f>SUM(AD8798:AD8806)</f>
        <v>553.43626259764687</v>
      </c>
      <c r="AE8797" s="184">
        <f>SUMIFS($AD$37:$AD$12971,$V$37:$V$12971,$V8797,$X$37:$X$12971,AE$13)</f>
        <v>0</v>
      </c>
      <c r="AF8797" s="185">
        <f>SUMIFS($AD$37:$AD$12971,$V$37:$V$12971,$V8797,$X$37:$X$12971,AF$13)</f>
        <v>0</v>
      </c>
      <c r="AG8797" s="185">
        <f>SUMIFS($AD$37:$AD$12971,$V$37:$V$12971,$V8797,$X$37:$X$12971,AG$13)</f>
        <v>0</v>
      </c>
      <c r="AH8797" s="187">
        <f>SUMIFS($AD$37:$AD$12971,$V$37:$V$12971,$V8797,$X$37:$X$12971,AH$13)</f>
        <v>0</v>
      </c>
      <c r="AI8797" s="161">
        <f t="shared" ref="AI8797" si="5997">SUM(AE8797:AH8797)</f>
        <v>0</v>
      </c>
      <c r="AK8797" s="172"/>
    </row>
    <row r="8798" spans="1:37" s="102" customFormat="1" ht="19.899999999999999" customHeight="1" x14ac:dyDescent="0.25">
      <c r="A8798" s="45"/>
      <c r="B8798" s="59"/>
      <c r="C8798" s="137"/>
      <c r="D8798" s="59"/>
      <c r="E8798" s="116"/>
      <c r="F8798" s="120"/>
      <c r="G8798" s="120"/>
      <c r="H8798" s="120"/>
      <c r="I8798" s="60"/>
      <c r="J8798" s="116"/>
      <c r="K8798" s="213"/>
      <c r="L8798" s="120"/>
      <c r="M8798" s="120"/>
      <c r="N8798" s="167"/>
      <c r="O8798" s="120"/>
      <c r="P8798" s="120"/>
      <c r="Q8798" s="120"/>
      <c r="R8798" s="120"/>
      <c r="S8798" s="120"/>
      <c r="T8798" s="221"/>
      <c r="U8798" s="89"/>
      <c r="V8798" s="61"/>
      <c r="W8798" s="92" t="s">
        <v>1273</v>
      </c>
      <c r="X8798" s="93" t="s">
        <v>30</v>
      </c>
      <c r="Y8798" s="93" t="s">
        <v>66</v>
      </c>
      <c r="Z8798" s="134">
        <f>VLOOKUP(W8798,Sheet2!$B:$D,3,FALSE)</f>
        <v>10</v>
      </c>
      <c r="AA8798" s="93">
        <f>1/((2.5*2.5*3.5)-(3.14/4*1.2*1.2*3.5))</f>
        <v>5.5807931423213865E-2</v>
      </c>
      <c r="AB8798" s="93">
        <f>AD8798/AC8797</f>
        <v>179.18600000000004</v>
      </c>
      <c r="AC8798" s="93">
        <f>AC8797/AA8798</f>
        <v>26.877899999999986</v>
      </c>
      <c r="AD8798" s="94">
        <f t="shared" ref="AD8798:AD8800" si="5998">AC8798*Z8798</f>
        <v>268.77899999999988</v>
      </c>
      <c r="AE8798" s="190"/>
      <c r="AF8798" s="191"/>
      <c r="AG8798" s="191"/>
      <c r="AH8798" s="191"/>
      <c r="AI8798" s="186"/>
      <c r="AK8798" s="171"/>
    </row>
    <row r="8799" spans="1:37" s="102" customFormat="1" ht="19.899999999999999" customHeight="1" x14ac:dyDescent="0.25">
      <c r="A8799" s="45"/>
      <c r="B8799" s="59"/>
      <c r="C8799" s="137"/>
      <c r="D8799" s="59"/>
      <c r="E8799" s="116"/>
      <c r="F8799" s="120"/>
      <c r="G8799" s="120"/>
      <c r="H8799" s="120"/>
      <c r="I8799" s="60"/>
      <c r="J8799" s="116"/>
      <c r="K8799" s="213"/>
      <c r="L8799" s="120"/>
      <c r="M8799" s="120"/>
      <c r="N8799" s="167"/>
      <c r="O8799" s="120"/>
      <c r="P8799" s="120"/>
      <c r="Q8799" s="120"/>
      <c r="R8799" s="120"/>
      <c r="S8799" s="120"/>
      <c r="T8799" s="221"/>
      <c r="U8799" s="89"/>
      <c r="V8799" s="61"/>
      <c r="W8799" s="92" t="s">
        <v>134</v>
      </c>
      <c r="X8799" s="93" t="s">
        <v>29</v>
      </c>
      <c r="Y8799" s="93" t="s">
        <v>93</v>
      </c>
      <c r="Z8799" s="134">
        <f>VLOOKUP(W8799,Sheet2!$B:$D,3,FALSE)</f>
        <v>65.599999999999994</v>
      </c>
      <c r="AA8799" s="93">
        <f>100/((2.5*2.5*3.5)-(3.14/4*1.2*1.2*3.5))</f>
        <v>5.5807931423213866</v>
      </c>
      <c r="AB8799" s="93">
        <f t="shared" ref="AB8799" si="5999">AD8799/AC8797</f>
        <v>11.754601599999999</v>
      </c>
      <c r="AC8799" s="93">
        <f>AC8797/AA8799</f>
        <v>0.26877899999999982</v>
      </c>
      <c r="AD8799" s="94">
        <f t="shared" si="5998"/>
        <v>17.631902399999987</v>
      </c>
      <c r="AE8799" s="190"/>
      <c r="AF8799" s="191"/>
      <c r="AG8799" s="191"/>
      <c r="AH8799" s="191"/>
      <c r="AI8799" s="186"/>
      <c r="AK8799" s="171"/>
    </row>
    <row r="8800" spans="1:37" s="102" customFormat="1" ht="19.899999999999999" customHeight="1" x14ac:dyDescent="0.25">
      <c r="A8800" s="45"/>
      <c r="B8800" s="59"/>
      <c r="C8800" s="137"/>
      <c r="D8800" s="59"/>
      <c r="E8800" s="116"/>
      <c r="F8800" s="120"/>
      <c r="G8800" s="120"/>
      <c r="H8800" s="120"/>
      <c r="I8800" s="60"/>
      <c r="J8800" s="116"/>
      <c r="K8800" s="213"/>
      <c r="L8800" s="120"/>
      <c r="M8800" s="120"/>
      <c r="N8800" s="167"/>
      <c r="O8800" s="120"/>
      <c r="P8800" s="120"/>
      <c r="Q8800" s="120"/>
      <c r="R8800" s="120"/>
      <c r="S8800" s="120"/>
      <c r="T8800" s="221"/>
      <c r="U8800" s="89"/>
      <c r="V8800" s="61"/>
      <c r="W8800" s="92" t="s">
        <v>65</v>
      </c>
      <c r="X8800" s="93" t="s">
        <v>30</v>
      </c>
      <c r="Y8800" s="93" t="s">
        <v>1011</v>
      </c>
      <c r="Z8800" s="134">
        <f>VLOOKUP(W8800,Sheet2!$B:$D,3,FALSE)</f>
        <v>1.76</v>
      </c>
      <c r="AA8800" s="93">
        <f>AA8799/9</f>
        <v>0.62008812692459847</v>
      </c>
      <c r="AB8800" s="93">
        <f>AD8800/AC8797</f>
        <v>2.8383062400000001</v>
      </c>
      <c r="AC8800" s="93">
        <f>AC8797/AA8800</f>
        <v>2.4190109999999989</v>
      </c>
      <c r="AD8800" s="94">
        <f t="shared" si="5998"/>
        <v>4.2574593599999977</v>
      </c>
      <c r="AE8800" s="190"/>
      <c r="AF8800" s="191"/>
      <c r="AG8800" s="191"/>
      <c r="AH8800" s="191"/>
      <c r="AI8800" s="186"/>
      <c r="AK8800" s="171"/>
    </row>
    <row r="8801" spans="1:41" s="102" customFormat="1" ht="19.899999999999999" customHeight="1" x14ac:dyDescent="0.25">
      <c r="A8801" s="45"/>
      <c r="B8801" s="59"/>
      <c r="C8801" s="137"/>
      <c r="D8801" s="59"/>
      <c r="E8801" s="116"/>
      <c r="F8801" s="120"/>
      <c r="G8801" s="120"/>
      <c r="H8801" s="120"/>
      <c r="I8801" s="60"/>
      <c r="J8801" s="116"/>
      <c r="K8801" s="213"/>
      <c r="L8801" s="120"/>
      <c r="M8801" s="120"/>
      <c r="N8801" s="167"/>
      <c r="O8801" s="120"/>
      <c r="P8801" s="120"/>
      <c r="Q8801" s="120"/>
      <c r="R8801" s="120"/>
      <c r="S8801" s="120"/>
      <c r="T8801" s="221"/>
      <c r="U8801" s="89"/>
      <c r="V8801" s="61"/>
      <c r="W8801" s="92" t="s">
        <v>161</v>
      </c>
      <c r="X8801" s="93" t="s">
        <v>29</v>
      </c>
      <c r="Y8801" s="93" t="s">
        <v>93</v>
      </c>
      <c r="Z8801" s="134">
        <f>VLOOKUP(W8801,Sheet2!$B:$D,3,FALSE)</f>
        <v>48</v>
      </c>
      <c r="AA8801" s="93">
        <f>(16*0.85*1.5)/((2.5*2.5*3.5)-(3.14/4*1.2*1.2*3.5))</f>
        <v>1.1384818010335627</v>
      </c>
      <c r="AB8801" s="93">
        <f>AD8801/AC8797</f>
        <v>42.161411764705896</v>
      </c>
      <c r="AC8801" s="93">
        <f>AC8797/AA8801</f>
        <v>1.3175441176470584</v>
      </c>
      <c r="AD8801" s="94">
        <f>AC8801*Z8801</f>
        <v>63.242117647058805</v>
      </c>
      <c r="AE8801" s="190"/>
      <c r="AF8801" s="191"/>
      <c r="AG8801" s="191"/>
      <c r="AH8801" s="191"/>
      <c r="AI8801" s="186"/>
      <c r="AK8801" s="171"/>
    </row>
    <row r="8802" spans="1:41" s="102" customFormat="1" ht="19.899999999999999" customHeight="1" x14ac:dyDescent="0.25">
      <c r="A8802" s="45"/>
      <c r="B8802" s="59"/>
      <c r="C8802" s="137"/>
      <c r="D8802" s="59"/>
      <c r="E8802" s="116"/>
      <c r="F8802" s="120"/>
      <c r="G8802" s="120"/>
      <c r="H8802" s="120"/>
      <c r="I8802" s="60"/>
      <c r="J8802" s="116"/>
      <c r="K8802" s="213"/>
      <c r="L8802" s="120"/>
      <c r="M8802" s="120"/>
      <c r="N8802" s="167"/>
      <c r="O8802" s="120"/>
      <c r="P8802" s="120"/>
      <c r="Q8802" s="120"/>
      <c r="R8802" s="120"/>
      <c r="S8802" s="120"/>
      <c r="T8802" s="221"/>
      <c r="U8802" s="89"/>
      <c r="V8802" s="61"/>
      <c r="W8802" s="92" t="s">
        <v>65</v>
      </c>
      <c r="X8802" s="93" t="s">
        <v>30</v>
      </c>
      <c r="Y8802" s="93" t="s">
        <v>1011</v>
      </c>
      <c r="Z8802" s="134">
        <f>VLOOKUP(W8802,Sheet2!$B:$D,3,FALSE)</f>
        <v>1.76</v>
      </c>
      <c r="AA8802" s="93">
        <f>AA8801/10</f>
        <v>0.11384818010335626</v>
      </c>
      <c r="AB8802" s="93">
        <f>AD8802/AC8797</f>
        <v>15.459184313725494</v>
      </c>
      <c r="AC8802" s="93">
        <f>AC8797/AA8802</f>
        <v>13.175441176470583</v>
      </c>
      <c r="AD8802" s="94">
        <f>AC8802*Z8802</f>
        <v>23.188776470588227</v>
      </c>
      <c r="AE8802" s="190"/>
      <c r="AF8802" s="191"/>
      <c r="AG8802" s="191"/>
      <c r="AH8802" s="191"/>
      <c r="AI8802" s="186"/>
      <c r="AK8802" s="171"/>
    </row>
    <row r="8803" spans="1:41" s="102" customFormat="1" ht="19.899999999999999" customHeight="1" x14ac:dyDescent="0.25">
      <c r="A8803" s="45"/>
      <c r="B8803" s="59"/>
      <c r="C8803" s="137"/>
      <c r="D8803" s="59"/>
      <c r="E8803" s="116"/>
      <c r="F8803" s="120"/>
      <c r="G8803" s="120"/>
      <c r="H8803" s="120"/>
      <c r="I8803" s="60"/>
      <c r="J8803" s="116"/>
      <c r="K8803" s="213"/>
      <c r="L8803" s="120"/>
      <c r="M8803" s="120"/>
      <c r="N8803" s="167"/>
      <c r="O8803" s="120"/>
      <c r="P8803" s="120"/>
      <c r="Q8803" s="120"/>
      <c r="R8803" s="120"/>
      <c r="S8803" s="120"/>
      <c r="T8803" s="221"/>
      <c r="U8803" s="89"/>
      <c r="V8803" s="61"/>
      <c r="W8803" s="92" t="s">
        <v>173</v>
      </c>
      <c r="X8803" s="93" t="s">
        <v>29</v>
      </c>
      <c r="Y8803" s="93" t="s">
        <v>93</v>
      </c>
      <c r="Z8803" s="134">
        <f>VLOOKUP(W8803,Sheet2!$B:$D,3,FALSE)</f>
        <v>36</v>
      </c>
      <c r="AA8803" s="93">
        <f>50/((2.5*2.5*3.5)-(3.14/4*1.2*1.2*3.5))</f>
        <v>2.7903965711606933</v>
      </c>
      <c r="AB8803" s="93">
        <f>AD8803/AC8797</f>
        <v>12.901392</v>
      </c>
      <c r="AC8803" s="93">
        <f>AC8797/AA8803</f>
        <v>0.53755799999999965</v>
      </c>
      <c r="AD8803" s="94">
        <f>AC8803*Z8803</f>
        <v>19.352087999999988</v>
      </c>
      <c r="AE8803" s="190"/>
      <c r="AF8803" s="191"/>
      <c r="AG8803" s="191"/>
      <c r="AH8803" s="191"/>
      <c r="AI8803" s="186"/>
      <c r="AK8803" s="171"/>
    </row>
    <row r="8804" spans="1:41" s="102" customFormat="1" ht="19.899999999999999" customHeight="1" x14ac:dyDescent="0.25">
      <c r="A8804" s="45"/>
      <c r="B8804" s="59"/>
      <c r="C8804" s="137"/>
      <c r="D8804" s="59"/>
      <c r="E8804" s="116"/>
      <c r="F8804" s="120"/>
      <c r="G8804" s="120"/>
      <c r="H8804" s="120"/>
      <c r="I8804" s="60"/>
      <c r="J8804" s="116"/>
      <c r="K8804" s="213"/>
      <c r="L8804" s="120"/>
      <c r="M8804" s="120"/>
      <c r="N8804" s="167"/>
      <c r="O8804" s="120"/>
      <c r="P8804" s="120"/>
      <c r="Q8804" s="120"/>
      <c r="R8804" s="120"/>
      <c r="S8804" s="120"/>
      <c r="T8804" s="221"/>
      <c r="U8804" s="89"/>
      <c r="V8804" s="61"/>
      <c r="W8804" s="92" t="s">
        <v>65</v>
      </c>
      <c r="X8804" s="93" t="s">
        <v>30</v>
      </c>
      <c r="Y8804" s="93" t="s">
        <v>1011</v>
      </c>
      <c r="Z8804" s="134">
        <f>VLOOKUP(W8804,Sheet2!$B:$D,3,FALSE)</f>
        <v>1.76</v>
      </c>
      <c r="AA8804" s="93">
        <f>AA8803/9</f>
        <v>0.31004406346229924</v>
      </c>
      <c r="AB8804" s="93">
        <f>AD8804/AC8797</f>
        <v>5.6766124800000002</v>
      </c>
      <c r="AC8804" s="93">
        <f>AC8797/AA8804</f>
        <v>4.8380219999999978</v>
      </c>
      <c r="AD8804" s="94">
        <f>AC8804*Z8804</f>
        <v>8.5149187199999954</v>
      </c>
      <c r="AE8804" s="190"/>
      <c r="AF8804" s="191"/>
      <c r="AG8804" s="191"/>
      <c r="AH8804" s="191"/>
      <c r="AI8804" s="186"/>
      <c r="AK8804" s="171"/>
    </row>
    <row r="8805" spans="1:41" s="102" customFormat="1" ht="19.899999999999999" customHeight="1" x14ac:dyDescent="0.25">
      <c r="A8805" s="45"/>
      <c r="B8805" s="59"/>
      <c r="C8805" s="137"/>
      <c r="D8805" s="59"/>
      <c r="E8805" s="116"/>
      <c r="F8805" s="120"/>
      <c r="G8805" s="120"/>
      <c r="H8805" s="120"/>
      <c r="I8805" s="60"/>
      <c r="J8805" s="116"/>
      <c r="K8805" s="213"/>
      <c r="L8805" s="120"/>
      <c r="M8805" s="120"/>
      <c r="N8805" s="167"/>
      <c r="O8805" s="120"/>
      <c r="P8805" s="120"/>
      <c r="Q8805" s="120"/>
      <c r="R8805" s="120"/>
      <c r="S8805" s="120"/>
      <c r="T8805" s="221"/>
      <c r="U8805" s="89"/>
      <c r="V8805" s="61"/>
      <c r="W8805" s="92" t="s">
        <v>1030</v>
      </c>
      <c r="X8805" s="93" t="s">
        <v>29</v>
      </c>
      <c r="Y8805" s="93" t="s">
        <v>93</v>
      </c>
      <c r="Z8805" s="134">
        <f>VLOOKUP(W8805,Sheet2!$B:$D,3,FALSE)</f>
        <v>23</v>
      </c>
      <c r="AA8805" s="93">
        <f>1/(3.5*1)</f>
        <v>0.2857142857142857</v>
      </c>
      <c r="AB8805" s="93">
        <f>AD8805/AC8797</f>
        <v>80.500000000000014</v>
      </c>
      <c r="AC8805" s="93">
        <f>AC8797/AA8805</f>
        <v>5.2499999999999973</v>
      </c>
      <c r="AD8805" s="94">
        <f t="shared" ref="AD8805:AD8806" si="6000">AC8805*Z8805</f>
        <v>120.74999999999994</v>
      </c>
      <c r="AE8805" s="190"/>
      <c r="AF8805" s="191"/>
      <c r="AG8805" s="191"/>
      <c r="AH8805" s="191"/>
      <c r="AI8805" s="186"/>
      <c r="AK8805" s="171"/>
    </row>
    <row r="8806" spans="1:41" s="102" customFormat="1" ht="19.899999999999999" customHeight="1" x14ac:dyDescent="0.25">
      <c r="A8806" s="45"/>
      <c r="B8806" s="59"/>
      <c r="C8806" s="137"/>
      <c r="D8806" s="59"/>
      <c r="E8806" s="116"/>
      <c r="F8806" s="120"/>
      <c r="G8806" s="120"/>
      <c r="H8806" s="120"/>
      <c r="I8806" s="60"/>
      <c r="J8806" s="116"/>
      <c r="K8806" s="213"/>
      <c r="L8806" s="120"/>
      <c r="M8806" s="120"/>
      <c r="N8806" s="167"/>
      <c r="O8806" s="120"/>
      <c r="P8806" s="120"/>
      <c r="Q8806" s="120"/>
      <c r="R8806" s="120"/>
      <c r="S8806" s="120"/>
      <c r="T8806" s="221"/>
      <c r="U8806" s="89"/>
      <c r="V8806" s="61"/>
      <c r="W8806" s="92" t="s">
        <v>65</v>
      </c>
      <c r="X8806" s="93" t="s">
        <v>30</v>
      </c>
      <c r="Y8806" s="93" t="s">
        <v>1011</v>
      </c>
      <c r="Z8806" s="134">
        <f>VLOOKUP(W8806,Sheet2!$B:$D,3,FALSE)</f>
        <v>1.76</v>
      </c>
      <c r="AA8806" s="93">
        <f>AA8805/3</f>
        <v>9.5238095238095233E-2</v>
      </c>
      <c r="AB8806" s="93">
        <f>AD8806/AC8797</f>
        <v>18.48</v>
      </c>
      <c r="AC8806" s="93">
        <f>AC8797/AA8806</f>
        <v>15.749999999999991</v>
      </c>
      <c r="AD8806" s="94">
        <f t="shared" si="6000"/>
        <v>27.719999999999985</v>
      </c>
      <c r="AE8806" s="190"/>
      <c r="AF8806" s="191"/>
      <c r="AG8806" s="191"/>
      <c r="AH8806" s="191"/>
      <c r="AI8806" s="186"/>
      <c r="AK8806" s="171"/>
    </row>
    <row r="8807" spans="1:41" ht="20.100000000000001" customHeight="1" x14ac:dyDescent="0.25">
      <c r="A8807" s="277" t="s">
        <v>703</v>
      </c>
      <c r="B8807" s="278"/>
      <c r="C8807" s="64" t="s">
        <v>817</v>
      </c>
      <c r="D8807" s="46" t="s">
        <v>215</v>
      </c>
      <c r="E8807" s="114">
        <v>0.27499999999999991</v>
      </c>
      <c r="F8807" s="44">
        <v>25743</v>
      </c>
      <c r="G8807" s="44">
        <f t="shared" si="5545"/>
        <v>7079.324999999998</v>
      </c>
      <c r="H8807" s="44">
        <f t="shared" si="5546"/>
        <v>9077.713880746669</v>
      </c>
      <c r="I8807" s="43">
        <f t="shared" si="5547"/>
        <v>2496.3713172053331</v>
      </c>
      <c r="J8807" s="112">
        <f t="shared" si="5548"/>
        <v>0.27499999999999991</v>
      </c>
      <c r="K8807" s="211">
        <f t="shared" si="5549"/>
        <v>0.27499999999999991</v>
      </c>
      <c r="L8807" s="44"/>
      <c r="M8807" s="44">
        <f t="shared" si="5550"/>
        <v>0.27499999999999991</v>
      </c>
      <c r="N8807" s="173">
        <f t="shared" si="5551"/>
        <v>1</v>
      </c>
      <c r="O8807" s="44">
        <f t="shared" si="5552"/>
        <v>25743</v>
      </c>
      <c r="P8807" s="44">
        <f t="shared" si="5553"/>
        <v>7079.324999999998</v>
      </c>
      <c r="Q8807" s="44">
        <f t="shared" si="5554"/>
        <v>9077.713880746669</v>
      </c>
      <c r="R8807" s="44">
        <f t="shared" si="5555"/>
        <v>2496.3713172053331</v>
      </c>
      <c r="S8807" s="123"/>
      <c r="T8807" s="219">
        <f t="shared" si="5556"/>
        <v>2496.3713172053331</v>
      </c>
      <c r="U8807" s="87"/>
      <c r="V8807" s="47"/>
      <c r="W8807" s="48"/>
      <c r="X8807" s="48"/>
      <c r="Y8807" s="48"/>
      <c r="Z8807" s="135"/>
      <c r="AA8807" s="49"/>
      <c r="AB8807" s="50">
        <f t="shared" si="5557"/>
        <v>9077.713880746669</v>
      </c>
      <c r="AC8807" s="42">
        <f t="shared" si="5558"/>
        <v>0.27499999999999991</v>
      </c>
      <c r="AD8807" s="90">
        <f>AD8808+AD8813+AD8820+AD8827</f>
        <v>2496.3713172053331</v>
      </c>
      <c r="AE8807" s="188">
        <f t="shared" ref="AE8807" si="6001">AE8808+AE8813+AE8820+AE8827</f>
        <v>0</v>
      </c>
      <c r="AF8807" s="189">
        <f t="shared" ref="AF8807" si="6002">AF8808+AF8813+AF8820+AF8827</f>
        <v>0</v>
      </c>
      <c r="AG8807" s="189">
        <f t="shared" ref="AG8807" si="6003">AG8808+AG8813+AG8820+AG8827</f>
        <v>0</v>
      </c>
      <c r="AH8807" s="189">
        <f t="shared" ref="AH8807" si="6004">AH8808+AH8813+AH8820+AH8827</f>
        <v>0</v>
      </c>
      <c r="AI8807" s="161">
        <f t="shared" ref="AI8807:AI8808" si="6005">SUM(AE8807:AH8807)</f>
        <v>0</v>
      </c>
      <c r="AK8807" s="169">
        <v>5</v>
      </c>
      <c r="AO8807" s="19" t="s">
        <v>63</v>
      </c>
    </row>
    <row r="8808" spans="1:41" s="103" customFormat="1" ht="19.899999999999999" customHeight="1" x14ac:dyDescent="0.25">
      <c r="A8808" s="51"/>
      <c r="B8808" s="52"/>
      <c r="C8808" s="165"/>
      <c r="D8808" s="52"/>
      <c r="E8808" s="115"/>
      <c r="F8808" s="58"/>
      <c r="G8808" s="58"/>
      <c r="H8808" s="58"/>
      <c r="I8808" s="55"/>
      <c r="J8808" s="113">
        <f>J8807</f>
        <v>0.27499999999999991</v>
      </c>
      <c r="K8808" s="212">
        <f>K8807</f>
        <v>0.27499999999999991</v>
      </c>
      <c r="L8808" s="58"/>
      <c r="M8808" s="58">
        <f>K8808-L8808</f>
        <v>0.27499999999999991</v>
      </c>
      <c r="N8808" s="166"/>
      <c r="O8808" s="58"/>
      <c r="P8808" s="58"/>
      <c r="Q8808" s="58"/>
      <c r="R8808" s="58"/>
      <c r="S8808" s="58"/>
      <c r="T8808" s="220"/>
      <c r="U8808" s="88"/>
      <c r="V8808" s="56"/>
      <c r="W8808" s="57" t="s">
        <v>1507</v>
      </c>
      <c r="X8808" s="53"/>
      <c r="Y8808" s="91" t="s">
        <v>35</v>
      </c>
      <c r="Z8808" s="136">
        <f>AD8808/AC8808</f>
        <v>100.55215686274509</v>
      </c>
      <c r="AA8808" s="58"/>
      <c r="AB8808" s="53">
        <f>AD8808/AC8808</f>
        <v>100.55215686274509</v>
      </c>
      <c r="AC8808" s="53">
        <f>M8808+$AE$10</f>
        <v>0.27499999999999991</v>
      </c>
      <c r="AD8808" s="54">
        <f>SUM(AD8809:AD8812)</f>
        <v>27.651843137254893</v>
      </c>
      <c r="AE8808" s="184">
        <f>SUMIFS($AD$37:$AD$12971,$V$37:$V$12971,$V8808,$X$37:$X$12971,AE$13)</f>
        <v>0</v>
      </c>
      <c r="AF8808" s="185">
        <f>SUMIFS($AD$37:$AD$12971,$V$37:$V$12971,$V8808,$X$37:$X$12971,AF$13)</f>
        <v>0</v>
      </c>
      <c r="AG8808" s="185">
        <f>SUMIFS($AD$37:$AD$12971,$V$37:$V$12971,$V8808,$X$37:$X$12971,AG$13)</f>
        <v>0</v>
      </c>
      <c r="AH8808" s="187">
        <f>SUMIFS($AD$37:$AD$12971,$V$37:$V$12971,$V8808,$X$37:$X$12971,AH$13)</f>
        <v>0</v>
      </c>
      <c r="AI8808" s="161">
        <f t="shared" si="6005"/>
        <v>0</v>
      </c>
      <c r="AK8808" s="172"/>
    </row>
    <row r="8809" spans="1:41" s="102" customFormat="1" ht="19.899999999999999" customHeight="1" x14ac:dyDescent="0.25">
      <c r="A8809" s="45"/>
      <c r="B8809" s="59"/>
      <c r="C8809" s="137"/>
      <c r="D8809" s="59"/>
      <c r="E8809" s="116"/>
      <c r="F8809" s="120"/>
      <c r="G8809" s="120"/>
      <c r="H8809" s="120"/>
      <c r="I8809" s="60"/>
      <c r="J8809" s="116"/>
      <c r="K8809" s="213"/>
      <c r="L8809" s="120"/>
      <c r="M8809" s="120"/>
      <c r="N8809" s="167"/>
      <c r="O8809" s="120"/>
      <c r="P8809" s="120"/>
      <c r="Q8809" s="120"/>
      <c r="R8809" s="120"/>
      <c r="S8809" s="120"/>
      <c r="T8809" s="221"/>
      <c r="U8809" s="89"/>
      <c r="V8809" s="61"/>
      <c r="W8809" s="92" t="s">
        <v>129</v>
      </c>
      <c r="X8809" s="93" t="s">
        <v>29</v>
      </c>
      <c r="Y8809" s="93" t="s">
        <v>93</v>
      </c>
      <c r="Z8809" s="134">
        <f>VLOOKUP(W8809,Sheet2!$B:$D,3,FALSE)</f>
        <v>56</v>
      </c>
      <c r="AA8809" s="93">
        <f>100/(2.5*2.5*4)</f>
        <v>4</v>
      </c>
      <c r="AB8809" s="93">
        <f t="shared" ref="AB8809" si="6006">AD8809/AC8808</f>
        <v>14</v>
      </c>
      <c r="AC8809" s="93">
        <f>AC8808/AA8809</f>
        <v>6.8749999999999978E-2</v>
      </c>
      <c r="AD8809" s="94">
        <f t="shared" ref="AD8809:AD8810" si="6007">AC8809*Z8809</f>
        <v>3.8499999999999988</v>
      </c>
      <c r="AE8809" s="190"/>
      <c r="AF8809" s="191"/>
      <c r="AG8809" s="191"/>
      <c r="AH8809" s="191"/>
      <c r="AI8809" s="186"/>
      <c r="AK8809" s="171"/>
    </row>
    <row r="8810" spans="1:41" s="102" customFormat="1" ht="19.899999999999999" customHeight="1" x14ac:dyDescent="0.25">
      <c r="A8810" s="45"/>
      <c r="B8810" s="59"/>
      <c r="C8810" s="137"/>
      <c r="D8810" s="59"/>
      <c r="E8810" s="116"/>
      <c r="F8810" s="120"/>
      <c r="G8810" s="120"/>
      <c r="H8810" s="120"/>
      <c r="I8810" s="60"/>
      <c r="J8810" s="116"/>
      <c r="K8810" s="213"/>
      <c r="L8810" s="120"/>
      <c r="M8810" s="120"/>
      <c r="N8810" s="167"/>
      <c r="O8810" s="120"/>
      <c r="P8810" s="120"/>
      <c r="Q8810" s="120"/>
      <c r="R8810" s="120"/>
      <c r="S8810" s="120"/>
      <c r="T8810" s="221"/>
      <c r="U8810" s="89"/>
      <c r="V8810" s="61"/>
      <c r="W8810" s="92" t="s">
        <v>65</v>
      </c>
      <c r="X8810" s="93" t="s">
        <v>30</v>
      </c>
      <c r="Y8810" s="93" t="s">
        <v>1011</v>
      </c>
      <c r="Z8810" s="134">
        <f>VLOOKUP(W8810,Sheet2!$B:$D,3,FALSE)</f>
        <v>1.76</v>
      </c>
      <c r="AA8810" s="93">
        <f>AA8809/14</f>
        <v>0.2857142857142857</v>
      </c>
      <c r="AB8810" s="93">
        <f>AD8810/AC8808</f>
        <v>6.16</v>
      </c>
      <c r="AC8810" s="93">
        <f>AC8808/AA8810</f>
        <v>0.96249999999999969</v>
      </c>
      <c r="AD8810" s="94">
        <f t="shared" si="6007"/>
        <v>1.6939999999999995</v>
      </c>
      <c r="AE8810" s="190"/>
      <c r="AF8810" s="191"/>
      <c r="AG8810" s="191"/>
      <c r="AH8810" s="191"/>
      <c r="AI8810" s="186"/>
      <c r="AK8810" s="171"/>
    </row>
    <row r="8811" spans="1:41" s="102" customFormat="1" ht="19.899999999999999" customHeight="1" x14ac:dyDescent="0.25">
      <c r="A8811" s="45"/>
      <c r="B8811" s="59"/>
      <c r="C8811" s="137"/>
      <c r="D8811" s="59"/>
      <c r="E8811" s="116"/>
      <c r="F8811" s="120"/>
      <c r="G8811" s="120"/>
      <c r="H8811" s="120"/>
      <c r="I8811" s="60"/>
      <c r="J8811" s="116"/>
      <c r="K8811" s="213"/>
      <c r="L8811" s="120"/>
      <c r="M8811" s="120"/>
      <c r="N8811" s="167"/>
      <c r="O8811" s="120"/>
      <c r="P8811" s="120"/>
      <c r="Q8811" s="120"/>
      <c r="R8811" s="120"/>
      <c r="S8811" s="120"/>
      <c r="T8811" s="221"/>
      <c r="U8811" s="89"/>
      <c r="V8811" s="61"/>
      <c r="W8811" s="92" t="s">
        <v>161</v>
      </c>
      <c r="X8811" s="93" t="s">
        <v>29</v>
      </c>
      <c r="Y8811" s="93" t="s">
        <v>93</v>
      </c>
      <c r="Z8811" s="134">
        <f>VLOOKUP(W8811,Sheet2!$B:$D,3,FALSE)</f>
        <v>48</v>
      </c>
      <c r="AA8811" s="93">
        <f>(16*0.85*1.5)/(2.5*2.5*4)</f>
        <v>0.81599999999999995</v>
      </c>
      <c r="AB8811" s="93">
        <f>AD8811/AC8808</f>
        <v>58.82352941176471</v>
      </c>
      <c r="AC8811" s="93">
        <f>AC8808/AA8811</f>
        <v>0.33700980392156854</v>
      </c>
      <c r="AD8811" s="94">
        <f>AC8811*Z8811</f>
        <v>16.17647058823529</v>
      </c>
      <c r="AE8811" s="190"/>
      <c r="AF8811" s="191"/>
      <c r="AG8811" s="191"/>
      <c r="AH8811" s="191"/>
      <c r="AI8811" s="186"/>
      <c r="AK8811" s="171"/>
    </row>
    <row r="8812" spans="1:41" s="102" customFormat="1" ht="19.899999999999999" customHeight="1" x14ac:dyDescent="0.25">
      <c r="A8812" s="45"/>
      <c r="B8812" s="59"/>
      <c r="C8812" s="137"/>
      <c r="D8812" s="59"/>
      <c r="E8812" s="116"/>
      <c r="F8812" s="120"/>
      <c r="G8812" s="120"/>
      <c r="H8812" s="120"/>
      <c r="I8812" s="60"/>
      <c r="J8812" s="116"/>
      <c r="K8812" s="213"/>
      <c r="L8812" s="120"/>
      <c r="M8812" s="120"/>
      <c r="N8812" s="167"/>
      <c r="O8812" s="120"/>
      <c r="P8812" s="120"/>
      <c r="Q8812" s="120"/>
      <c r="R8812" s="120"/>
      <c r="S8812" s="120"/>
      <c r="T8812" s="221"/>
      <c r="U8812" s="89"/>
      <c r="V8812" s="61"/>
      <c r="W8812" s="92" t="s">
        <v>65</v>
      </c>
      <c r="X8812" s="93" t="s">
        <v>30</v>
      </c>
      <c r="Y8812" s="93" t="s">
        <v>1011</v>
      </c>
      <c r="Z8812" s="134">
        <f>VLOOKUP(W8812,Sheet2!$B:$D,3,FALSE)</f>
        <v>1.76</v>
      </c>
      <c r="AA8812" s="93">
        <f>AA8811/10</f>
        <v>8.1599999999999992E-2</v>
      </c>
      <c r="AB8812" s="93">
        <f>AD8812/AC8808</f>
        <v>21.568627450980394</v>
      </c>
      <c r="AC8812" s="93">
        <f>AC8808/AA8812</f>
        <v>3.3700980392156854</v>
      </c>
      <c r="AD8812" s="94">
        <f>AC8812*Z8812</f>
        <v>5.9313725490196063</v>
      </c>
      <c r="AE8812" s="190"/>
      <c r="AF8812" s="191"/>
      <c r="AG8812" s="191"/>
      <c r="AH8812" s="191"/>
      <c r="AI8812" s="186"/>
      <c r="AK8812" s="171"/>
    </row>
    <row r="8813" spans="1:41" s="103" customFormat="1" ht="19.899999999999999" customHeight="1" x14ac:dyDescent="0.25">
      <c r="A8813" s="51"/>
      <c r="B8813" s="52"/>
      <c r="C8813" s="165"/>
      <c r="D8813" s="52"/>
      <c r="E8813" s="115"/>
      <c r="F8813" s="58"/>
      <c r="G8813" s="58"/>
      <c r="H8813" s="58"/>
      <c r="I8813" s="55"/>
      <c r="J8813" s="113">
        <f>J8807</f>
        <v>0.27499999999999991</v>
      </c>
      <c r="K8813" s="212">
        <f>K8807</f>
        <v>0.27499999999999991</v>
      </c>
      <c r="L8813" s="58"/>
      <c r="M8813" s="58">
        <f>K8813-L8813</f>
        <v>0.27499999999999991</v>
      </c>
      <c r="N8813" s="166"/>
      <c r="O8813" s="58"/>
      <c r="P8813" s="58"/>
      <c r="Q8813" s="58"/>
      <c r="R8813" s="58"/>
      <c r="S8813" s="58"/>
      <c r="T8813" s="220"/>
      <c r="U8813" s="88"/>
      <c r="V8813" s="56"/>
      <c r="W8813" s="57" t="s">
        <v>1486</v>
      </c>
      <c r="X8813" s="53"/>
      <c r="Y8813" s="91" t="s">
        <v>35</v>
      </c>
      <c r="Z8813" s="136">
        <f>AD8813/AC8813</f>
        <v>1432.6960000000001</v>
      </c>
      <c r="AA8813" s="58"/>
      <c r="AB8813" s="53">
        <f>AD8813/AC8813</f>
        <v>1432.6960000000001</v>
      </c>
      <c r="AC8813" s="53">
        <f>M8813+$AE$10</f>
        <v>0.27499999999999991</v>
      </c>
      <c r="AD8813" s="54">
        <f>SUM(AD8814:AD8819)</f>
        <v>393.99139999999989</v>
      </c>
      <c r="AE8813" s="184">
        <f>SUMIFS($AD$37:$AD$12971,$V$37:$V$12971,$V8813,$X$37:$X$12971,AE$13)</f>
        <v>0</v>
      </c>
      <c r="AF8813" s="185">
        <f>SUMIFS($AD$37:$AD$12971,$V$37:$V$12971,$V8813,$X$37:$X$12971,AF$13)</f>
        <v>0</v>
      </c>
      <c r="AG8813" s="185">
        <f>SUMIFS($AD$37:$AD$12971,$V$37:$V$12971,$V8813,$X$37:$X$12971,AG$13)</f>
        <v>0</v>
      </c>
      <c r="AH8813" s="187">
        <f>SUMIFS($AD$37:$AD$12971,$V$37:$V$12971,$V8813,$X$37:$X$12971,AH$13)</f>
        <v>0</v>
      </c>
      <c r="AI8813" s="161">
        <f t="shared" ref="AI8813" si="6008">SUM(AE8813:AH8813)</f>
        <v>0</v>
      </c>
      <c r="AK8813" s="172"/>
    </row>
    <row r="8814" spans="1:41" s="102" customFormat="1" ht="19.899999999999999" customHeight="1" x14ac:dyDescent="0.25">
      <c r="A8814" s="45"/>
      <c r="B8814" s="59"/>
      <c r="C8814" s="137"/>
      <c r="D8814" s="59"/>
      <c r="E8814" s="116"/>
      <c r="F8814" s="120"/>
      <c r="G8814" s="120"/>
      <c r="H8814" s="120"/>
      <c r="I8814" s="60"/>
      <c r="J8814" s="116"/>
      <c r="K8814" s="213"/>
      <c r="L8814" s="120"/>
      <c r="M8814" s="120"/>
      <c r="N8814" s="167"/>
      <c r="O8814" s="120"/>
      <c r="P8814" s="120"/>
      <c r="Q8814" s="120"/>
      <c r="R8814" s="120"/>
      <c r="S8814" s="120"/>
      <c r="T8814" s="221"/>
      <c r="U8814" s="89"/>
      <c r="V8814" s="61"/>
      <c r="W8814" s="92" t="s">
        <v>1032</v>
      </c>
      <c r="X8814" s="93" t="s">
        <v>30</v>
      </c>
      <c r="Y8814" s="93" t="s">
        <v>66</v>
      </c>
      <c r="Z8814" s="134">
        <f>VLOOKUP(W8814,Sheet2!$B:$D,3,FALSE)</f>
        <v>250</v>
      </c>
      <c r="AA8814" s="93">
        <f>1/(2.1*2.1*0.1)</f>
        <v>2.2675736961451243</v>
      </c>
      <c r="AB8814" s="93">
        <f>AD8814/AC8820</f>
        <v>110.25000000000001</v>
      </c>
      <c r="AC8814" s="93">
        <f>AC8820/AA8814</f>
        <v>0.12127499999999998</v>
      </c>
      <c r="AD8814" s="94">
        <f t="shared" ref="AD8814:AD8816" si="6009">AC8814*Z8814</f>
        <v>30.318749999999994</v>
      </c>
      <c r="AE8814" s="190"/>
      <c r="AF8814" s="191"/>
      <c r="AG8814" s="191"/>
      <c r="AH8814" s="191"/>
      <c r="AI8814" s="186"/>
      <c r="AK8814" s="171"/>
    </row>
    <row r="8815" spans="1:41" s="102" customFormat="1" ht="19.899999999999999" customHeight="1" x14ac:dyDescent="0.25">
      <c r="A8815" s="45"/>
      <c r="B8815" s="59"/>
      <c r="C8815" s="137"/>
      <c r="D8815" s="59"/>
      <c r="E8815" s="116"/>
      <c r="F8815" s="120"/>
      <c r="G8815" s="120"/>
      <c r="H8815" s="120"/>
      <c r="I8815" s="60"/>
      <c r="J8815" s="116"/>
      <c r="K8815" s="213"/>
      <c r="L8815" s="120"/>
      <c r="M8815" s="120"/>
      <c r="N8815" s="167"/>
      <c r="O8815" s="120"/>
      <c r="P8815" s="120"/>
      <c r="Q8815" s="120"/>
      <c r="R8815" s="120"/>
      <c r="S8815" s="120"/>
      <c r="T8815" s="221"/>
      <c r="U8815" s="89"/>
      <c r="V8815" s="61"/>
      <c r="W8815" s="92" t="s">
        <v>1353</v>
      </c>
      <c r="X8815" s="93" t="s">
        <v>30</v>
      </c>
      <c r="Y8815" s="93" t="s">
        <v>66</v>
      </c>
      <c r="Z8815" s="134">
        <f>VLOOKUP(W8815,Sheet2!$B:$D,3,FALSE)</f>
        <v>350</v>
      </c>
      <c r="AA8815" s="93">
        <f>1/(2*2*0.3)</f>
        <v>0.83333333333333337</v>
      </c>
      <c r="AB8815" s="93">
        <f>AD8815/AC8820</f>
        <v>420.00000000000006</v>
      </c>
      <c r="AC8815" s="93">
        <f>AC8820/AA8815</f>
        <v>0.3299999999999999</v>
      </c>
      <c r="AD8815" s="94">
        <f t="shared" si="6009"/>
        <v>115.49999999999997</v>
      </c>
      <c r="AE8815" s="190"/>
      <c r="AF8815" s="191"/>
      <c r="AG8815" s="191"/>
      <c r="AH8815" s="191"/>
      <c r="AI8815" s="186"/>
      <c r="AK8815" s="171"/>
    </row>
    <row r="8816" spans="1:41" s="102" customFormat="1" ht="19.899999999999999" customHeight="1" x14ac:dyDescent="0.25">
      <c r="A8816" s="45"/>
      <c r="B8816" s="59"/>
      <c r="C8816" s="137"/>
      <c r="D8816" s="59"/>
      <c r="E8816" s="116"/>
      <c r="F8816" s="120"/>
      <c r="G8816" s="120"/>
      <c r="H8816" s="120"/>
      <c r="I8816" s="60"/>
      <c r="J8816" s="116"/>
      <c r="K8816" s="213"/>
      <c r="L8816" s="120"/>
      <c r="M8816" s="120"/>
      <c r="N8816" s="167"/>
      <c r="O8816" s="120"/>
      <c r="P8816" s="120"/>
      <c r="Q8816" s="120"/>
      <c r="R8816" s="120"/>
      <c r="S8816" s="120"/>
      <c r="T8816" s="221"/>
      <c r="U8816" s="89"/>
      <c r="V8816" s="61"/>
      <c r="W8816" s="92" t="s">
        <v>99</v>
      </c>
      <c r="X8816" s="93" t="s">
        <v>30</v>
      </c>
      <c r="Y8816" s="93" t="s">
        <v>67</v>
      </c>
      <c r="Z8816" s="134">
        <f>VLOOKUP(W8816,Sheet2!$B:$D,3,FALSE)</f>
        <v>2500</v>
      </c>
      <c r="AA8816" s="93">
        <f>AA8815/0.08</f>
        <v>10.416666666666666</v>
      </c>
      <c r="AB8816" s="93">
        <f>AD8816/AC8820</f>
        <v>240.00000000000003</v>
      </c>
      <c r="AC8816" s="93">
        <f>AC8820/AA8816</f>
        <v>2.6399999999999993E-2</v>
      </c>
      <c r="AD8816" s="94">
        <f t="shared" si="6009"/>
        <v>65.999999999999986</v>
      </c>
      <c r="AE8816" s="190"/>
      <c r="AF8816" s="191"/>
      <c r="AG8816" s="191"/>
      <c r="AH8816" s="191"/>
      <c r="AI8816" s="186"/>
      <c r="AK8816" s="171"/>
    </row>
    <row r="8817" spans="1:37" s="102" customFormat="1" ht="19.899999999999999" customHeight="1" x14ac:dyDescent="0.25">
      <c r="A8817" s="45"/>
      <c r="B8817" s="59"/>
      <c r="C8817" s="137"/>
      <c r="D8817" s="59"/>
      <c r="E8817" s="116"/>
      <c r="F8817" s="120"/>
      <c r="G8817" s="120"/>
      <c r="H8817" s="120"/>
      <c r="I8817" s="60"/>
      <c r="J8817" s="116"/>
      <c r="K8817" s="213"/>
      <c r="L8817" s="120"/>
      <c r="M8817" s="120"/>
      <c r="N8817" s="167"/>
      <c r="O8817" s="120"/>
      <c r="P8817" s="120"/>
      <c r="Q8817" s="120"/>
      <c r="R8817" s="120"/>
      <c r="S8817" s="120"/>
      <c r="T8817" s="221"/>
      <c r="U8817" s="89"/>
      <c r="V8817" s="61"/>
      <c r="W8817" s="92" t="s">
        <v>1354</v>
      </c>
      <c r="X8817" s="93" t="s">
        <v>32</v>
      </c>
      <c r="Y8817" s="93" t="s">
        <v>66</v>
      </c>
      <c r="Z8817" s="134">
        <f>VLOOKUP(W8817,Sheet2!$B:$D,3,FALSE)</f>
        <v>150</v>
      </c>
      <c r="AA8817" s="93">
        <f>AA8814</f>
        <v>2.2675736961451243</v>
      </c>
      <c r="AB8817" s="93">
        <f>AD8817/AC8820</f>
        <v>66.150000000000006</v>
      </c>
      <c r="AC8817" s="93">
        <f>AC8820/AA8817</f>
        <v>0.12127499999999998</v>
      </c>
      <c r="AD8817" s="94">
        <f>AC8817*Z8817</f>
        <v>18.191249999999997</v>
      </c>
      <c r="AE8817" s="190"/>
      <c r="AF8817" s="191"/>
      <c r="AG8817" s="191"/>
      <c r="AH8817" s="191"/>
      <c r="AI8817" s="186"/>
      <c r="AK8817" s="171"/>
    </row>
    <row r="8818" spans="1:37" s="102" customFormat="1" ht="19.899999999999999" customHeight="1" x14ac:dyDescent="0.25">
      <c r="A8818" s="45"/>
      <c r="B8818" s="59"/>
      <c r="C8818" s="137"/>
      <c r="D8818" s="59"/>
      <c r="E8818" s="116"/>
      <c r="F8818" s="120"/>
      <c r="G8818" s="120"/>
      <c r="H8818" s="120"/>
      <c r="I8818" s="60"/>
      <c r="J8818" s="116"/>
      <c r="K8818" s="213"/>
      <c r="L8818" s="120"/>
      <c r="M8818" s="120"/>
      <c r="N8818" s="167"/>
      <c r="O8818" s="120"/>
      <c r="P8818" s="120"/>
      <c r="Q8818" s="120"/>
      <c r="R8818" s="120"/>
      <c r="S8818" s="120"/>
      <c r="T8818" s="221"/>
      <c r="U8818" s="89"/>
      <c r="V8818" s="61"/>
      <c r="W8818" s="92" t="s">
        <v>1355</v>
      </c>
      <c r="X8818" s="93" t="s">
        <v>32</v>
      </c>
      <c r="Y8818" s="93" t="s">
        <v>66</v>
      </c>
      <c r="Z8818" s="134">
        <f>VLOOKUP(W8818,Sheet2!$B:$D,3,FALSE)</f>
        <v>450</v>
      </c>
      <c r="AA8818" s="93">
        <f>AA8815</f>
        <v>0.83333333333333337</v>
      </c>
      <c r="AB8818" s="93">
        <f>AD8818/AC8820</f>
        <v>540</v>
      </c>
      <c r="AC8818" s="93">
        <f>AC8820/AA8818</f>
        <v>0.3299999999999999</v>
      </c>
      <c r="AD8818" s="94">
        <f>AC8818*Z8818</f>
        <v>148.49999999999994</v>
      </c>
      <c r="AE8818" s="190"/>
      <c r="AF8818" s="191"/>
      <c r="AG8818" s="191"/>
      <c r="AH8818" s="191"/>
      <c r="AI8818" s="186"/>
      <c r="AK8818" s="171"/>
    </row>
    <row r="8819" spans="1:37" s="102" customFormat="1" ht="19.899999999999999" customHeight="1" x14ac:dyDescent="0.25">
      <c r="A8819" s="45"/>
      <c r="B8819" s="59"/>
      <c r="C8819" s="137"/>
      <c r="D8819" s="59"/>
      <c r="E8819" s="116"/>
      <c r="F8819" s="120"/>
      <c r="G8819" s="120"/>
      <c r="H8819" s="120"/>
      <c r="I8819" s="60"/>
      <c r="J8819" s="116"/>
      <c r="K8819" s="213"/>
      <c r="L8819" s="120"/>
      <c r="M8819" s="120"/>
      <c r="N8819" s="167"/>
      <c r="O8819" s="120"/>
      <c r="P8819" s="120"/>
      <c r="Q8819" s="120"/>
      <c r="R8819" s="120"/>
      <c r="S8819" s="120"/>
      <c r="T8819" s="221"/>
      <c r="U8819" s="89"/>
      <c r="V8819" s="61"/>
      <c r="W8819" s="92" t="s">
        <v>124</v>
      </c>
      <c r="X8819" s="93" t="s">
        <v>32</v>
      </c>
      <c r="Y8819" s="93" t="s">
        <v>64</v>
      </c>
      <c r="Z8819" s="134">
        <f>VLOOKUP(W8819,Sheet2!$B:$D,3,FALSE)</f>
        <v>10</v>
      </c>
      <c r="AA8819" s="93">
        <f>1/((2.6*2.6)-(3.14*1.2*1.2/4))</f>
        <v>0.17763251385533604</v>
      </c>
      <c r="AB8819" s="93">
        <f t="shared" ref="AB8819" si="6010">AD8819/AC8813</f>
        <v>56.296000000000014</v>
      </c>
      <c r="AC8819" s="93">
        <f>AC8813/AA8819</f>
        <v>1.5481399999999998</v>
      </c>
      <c r="AD8819" s="94">
        <f t="shared" ref="AD8819" si="6011">AC8819*Z8819</f>
        <v>15.481399999999999</v>
      </c>
      <c r="AE8819" s="190"/>
      <c r="AF8819" s="191"/>
      <c r="AG8819" s="191"/>
      <c r="AH8819" s="191"/>
      <c r="AI8819" s="186"/>
      <c r="AK8819" s="171"/>
    </row>
    <row r="8820" spans="1:37" s="103" customFormat="1" ht="19.899999999999999" customHeight="1" x14ac:dyDescent="0.25">
      <c r="A8820" s="51"/>
      <c r="B8820" s="52"/>
      <c r="C8820" s="165"/>
      <c r="D8820" s="52"/>
      <c r="E8820" s="115"/>
      <c r="F8820" s="58"/>
      <c r="G8820" s="58"/>
      <c r="H8820" s="58"/>
      <c r="I8820" s="55"/>
      <c r="J8820" s="113">
        <f>J8807</f>
        <v>0.27499999999999991</v>
      </c>
      <c r="K8820" s="212">
        <f>K8807</f>
        <v>0.27499999999999991</v>
      </c>
      <c r="L8820" s="58"/>
      <c r="M8820" s="58">
        <f>K8820-L8820</f>
        <v>0.27499999999999991</v>
      </c>
      <c r="N8820" s="166"/>
      <c r="O8820" s="58"/>
      <c r="P8820" s="58"/>
      <c r="Q8820" s="58"/>
      <c r="R8820" s="58"/>
      <c r="S8820" s="58"/>
      <c r="T8820" s="220"/>
      <c r="U8820" s="88"/>
      <c r="V8820" s="56"/>
      <c r="W8820" s="57" t="s">
        <v>1275</v>
      </c>
      <c r="X8820" s="53"/>
      <c r="Y8820" s="91" t="s">
        <v>35</v>
      </c>
      <c r="Z8820" s="136">
        <f>AD8820/AC8820</f>
        <v>7122.8</v>
      </c>
      <c r="AA8820" s="58"/>
      <c r="AB8820" s="53">
        <f>AD8820/AC8820</f>
        <v>7122.8</v>
      </c>
      <c r="AC8820" s="53">
        <f>M8820+$AE$10</f>
        <v>0.27499999999999991</v>
      </c>
      <c r="AD8820" s="54">
        <f>SUM(AD8821:AD8826)</f>
        <v>1958.7699999999995</v>
      </c>
      <c r="AE8820" s="184">
        <f>SUMIFS($AD$37:$AD$12971,$V$37:$V$12971,$V8820,$X$37:$X$12971,AE$13)</f>
        <v>0</v>
      </c>
      <c r="AF8820" s="185">
        <f>SUMIFS($AD$37:$AD$12971,$V$37:$V$12971,$V8820,$X$37:$X$12971,AF$13)</f>
        <v>0</v>
      </c>
      <c r="AG8820" s="185">
        <f>SUMIFS($AD$37:$AD$12971,$V$37:$V$12971,$V8820,$X$37:$X$12971,AG$13)</f>
        <v>0</v>
      </c>
      <c r="AH8820" s="187">
        <f>SUMIFS($AD$37:$AD$12971,$V$37:$V$12971,$V8820,$X$37:$X$12971,AH$13)</f>
        <v>0</v>
      </c>
      <c r="AI8820" s="161">
        <f t="shared" ref="AI8820" si="6012">SUM(AE8820:AH8820)</f>
        <v>0</v>
      </c>
      <c r="AK8820" s="172"/>
    </row>
    <row r="8821" spans="1:37" s="102" customFormat="1" ht="19.899999999999999" customHeight="1" x14ac:dyDescent="0.25">
      <c r="A8821" s="45"/>
      <c r="B8821" s="59"/>
      <c r="C8821" s="137"/>
      <c r="D8821" s="59"/>
      <c r="E8821" s="116"/>
      <c r="F8821" s="120"/>
      <c r="G8821" s="120"/>
      <c r="H8821" s="120"/>
      <c r="I8821" s="60"/>
      <c r="J8821" s="116"/>
      <c r="K8821" s="213"/>
      <c r="L8821" s="120"/>
      <c r="M8821" s="120"/>
      <c r="N8821" s="167"/>
      <c r="O8821" s="120"/>
      <c r="P8821" s="120"/>
      <c r="Q8821" s="120"/>
      <c r="R8821" s="120"/>
      <c r="S8821" s="120"/>
      <c r="T8821" s="221"/>
      <c r="U8821" s="89"/>
      <c r="V8821" s="61"/>
      <c r="W8821" s="92" t="s">
        <v>1492</v>
      </c>
      <c r="X8821" s="93" t="s">
        <v>30</v>
      </c>
      <c r="Y8821" s="93" t="s">
        <v>35</v>
      </c>
      <c r="Z8821" s="134">
        <f>VLOOKUP(W8821,Sheet2!$B:$D,3,FALSE)</f>
        <v>5350</v>
      </c>
      <c r="AA8821" s="93">
        <v>1</v>
      </c>
      <c r="AB8821" s="93">
        <f>AD8821/AC8820</f>
        <v>5350</v>
      </c>
      <c r="AC8821" s="93">
        <f>AC8820/AA8821</f>
        <v>0.27499999999999991</v>
      </c>
      <c r="AD8821" s="94">
        <f t="shared" ref="AD8821:AD8822" si="6013">AC8821*Z8821</f>
        <v>1471.2499999999995</v>
      </c>
      <c r="AE8821" s="190"/>
      <c r="AF8821" s="191"/>
      <c r="AG8821" s="191"/>
      <c r="AH8821" s="191"/>
      <c r="AI8821" s="186"/>
      <c r="AK8821" s="171"/>
    </row>
    <row r="8822" spans="1:37" s="102" customFormat="1" ht="19.899999999999999" customHeight="1" x14ac:dyDescent="0.25">
      <c r="A8822" s="45"/>
      <c r="B8822" s="59"/>
      <c r="C8822" s="137"/>
      <c r="D8822" s="59"/>
      <c r="E8822" s="116"/>
      <c r="F8822" s="120"/>
      <c r="G8822" s="120"/>
      <c r="H8822" s="120"/>
      <c r="I8822" s="60"/>
      <c r="J8822" s="116"/>
      <c r="K8822" s="213"/>
      <c r="L8822" s="120"/>
      <c r="M8822" s="120"/>
      <c r="N8822" s="167"/>
      <c r="O8822" s="120"/>
      <c r="P8822" s="120"/>
      <c r="Q8822" s="120"/>
      <c r="R8822" s="120"/>
      <c r="S8822" s="120"/>
      <c r="T8822" s="221"/>
      <c r="U8822" s="89"/>
      <c r="V8822" s="61"/>
      <c r="W8822" s="92" t="s">
        <v>174</v>
      </c>
      <c r="X8822" s="93" t="s">
        <v>29</v>
      </c>
      <c r="Y8822" s="93" t="s">
        <v>93</v>
      </c>
      <c r="Z8822" s="134">
        <f>VLOOKUP(W8822,Sheet2!$B:$D,3,FALSE)</f>
        <v>80</v>
      </c>
      <c r="AA8822" s="93">
        <f>1/2</f>
        <v>0.5</v>
      </c>
      <c r="AB8822" s="93">
        <f>AD8822/AC8820</f>
        <v>160</v>
      </c>
      <c r="AC8822" s="93">
        <f>AC8820/AA8822</f>
        <v>0.54999999999999982</v>
      </c>
      <c r="AD8822" s="94">
        <f t="shared" si="6013"/>
        <v>43.999999999999986</v>
      </c>
      <c r="AE8822" s="190"/>
      <c r="AF8822" s="191"/>
      <c r="AG8822" s="191"/>
      <c r="AH8822" s="191"/>
      <c r="AI8822" s="186"/>
      <c r="AK8822" s="171"/>
    </row>
    <row r="8823" spans="1:37" s="102" customFormat="1" ht="19.899999999999999" customHeight="1" x14ac:dyDescent="0.25">
      <c r="A8823" s="45"/>
      <c r="B8823" s="59"/>
      <c r="C8823" s="137"/>
      <c r="D8823" s="59"/>
      <c r="E8823" s="116"/>
      <c r="F8823" s="120"/>
      <c r="G8823" s="120"/>
      <c r="H8823" s="120"/>
      <c r="I8823" s="60"/>
      <c r="J8823" s="116"/>
      <c r="K8823" s="213"/>
      <c r="L8823" s="120"/>
      <c r="M8823" s="120"/>
      <c r="N8823" s="167"/>
      <c r="O8823" s="120"/>
      <c r="P8823" s="120"/>
      <c r="Q8823" s="120"/>
      <c r="R8823" s="120"/>
      <c r="S8823" s="120"/>
      <c r="T8823" s="221"/>
      <c r="U8823" s="89"/>
      <c r="V8823" s="61"/>
      <c r="W8823" s="92" t="s">
        <v>65</v>
      </c>
      <c r="X8823" s="93" t="s">
        <v>30</v>
      </c>
      <c r="Y8823" s="93" t="s">
        <v>93</v>
      </c>
      <c r="Z8823" s="134">
        <f>VLOOKUP(W8823,Sheet2!$B:$D,3,FALSE)</f>
        <v>1.76</v>
      </c>
      <c r="AA8823" s="93">
        <f>AA8822/15</f>
        <v>3.3333333333333333E-2</v>
      </c>
      <c r="AB8823" s="93">
        <f>AD8823/AC8820</f>
        <v>52.800000000000011</v>
      </c>
      <c r="AC8823" s="93">
        <f>AC8820/AA8823</f>
        <v>8.2499999999999982</v>
      </c>
      <c r="AD8823" s="94">
        <f>AC8823*Z8823</f>
        <v>14.519999999999998</v>
      </c>
      <c r="AE8823" s="190"/>
      <c r="AF8823" s="191"/>
      <c r="AG8823" s="191"/>
      <c r="AH8823" s="191"/>
      <c r="AI8823" s="186"/>
      <c r="AK8823" s="171"/>
    </row>
    <row r="8824" spans="1:37" s="102" customFormat="1" ht="19.899999999999999" customHeight="1" x14ac:dyDescent="0.25">
      <c r="A8824" s="45"/>
      <c r="B8824" s="59"/>
      <c r="C8824" s="137"/>
      <c r="D8824" s="59"/>
      <c r="E8824" s="116"/>
      <c r="F8824" s="120"/>
      <c r="G8824" s="120"/>
      <c r="H8824" s="120"/>
      <c r="I8824" s="60"/>
      <c r="J8824" s="116"/>
      <c r="K8824" s="213"/>
      <c r="L8824" s="120"/>
      <c r="M8824" s="120"/>
      <c r="N8824" s="167"/>
      <c r="O8824" s="120"/>
      <c r="P8824" s="120"/>
      <c r="Q8824" s="120"/>
      <c r="R8824" s="120"/>
      <c r="S8824" s="120"/>
      <c r="T8824" s="221"/>
      <c r="U8824" s="89"/>
      <c r="V8824" s="61"/>
      <c r="W8824" s="92" t="s">
        <v>1487</v>
      </c>
      <c r="X8824" s="93" t="s">
        <v>32</v>
      </c>
      <c r="Y8824" s="93" t="s">
        <v>1349</v>
      </c>
      <c r="Z8824" s="134">
        <f>VLOOKUP(W8824,Sheet2!$B:$D,3,FALSE)</f>
        <v>1500</v>
      </c>
      <c r="AA8824" s="93">
        <v>1</v>
      </c>
      <c r="AB8824" s="93">
        <f>AD8824/AC8820</f>
        <v>1500</v>
      </c>
      <c r="AC8824" s="93">
        <f>AC8820/AA8824</f>
        <v>0.27499999999999991</v>
      </c>
      <c r="AD8824" s="94">
        <f>AC8824*Z8824</f>
        <v>412.49999999999989</v>
      </c>
      <c r="AE8824" s="190"/>
      <c r="AF8824" s="191"/>
      <c r="AG8824" s="191"/>
      <c r="AH8824" s="191"/>
      <c r="AI8824" s="186"/>
      <c r="AK8824" s="171"/>
    </row>
    <row r="8825" spans="1:37" s="102" customFormat="1" ht="19.899999999999999" customHeight="1" x14ac:dyDescent="0.25">
      <c r="A8825" s="45"/>
      <c r="B8825" s="59"/>
      <c r="C8825" s="137"/>
      <c r="D8825" s="59"/>
      <c r="E8825" s="116"/>
      <c r="F8825" s="120"/>
      <c r="G8825" s="120"/>
      <c r="H8825" s="120"/>
      <c r="I8825" s="60"/>
      <c r="J8825" s="116"/>
      <c r="K8825" s="213"/>
      <c r="L8825" s="120"/>
      <c r="M8825" s="120"/>
      <c r="N8825" s="167"/>
      <c r="O8825" s="120"/>
      <c r="P8825" s="120"/>
      <c r="Q8825" s="120"/>
      <c r="R8825" s="120"/>
      <c r="S8825" s="120"/>
      <c r="T8825" s="221"/>
      <c r="U8825" s="89"/>
      <c r="V8825" s="61"/>
      <c r="W8825" s="92" t="s">
        <v>107</v>
      </c>
      <c r="X8825" s="93" t="s">
        <v>31</v>
      </c>
      <c r="Y8825" s="93" t="s">
        <v>93</v>
      </c>
      <c r="Z8825" s="134">
        <f>VLOOKUP(W8825,Sheet2!$B:$D,3,FALSE)</f>
        <v>17</v>
      </c>
      <c r="AA8825" s="93">
        <f>AA8822</f>
        <v>0.5</v>
      </c>
      <c r="AB8825" s="93">
        <f>AD8825/AC8820</f>
        <v>34</v>
      </c>
      <c r="AC8825" s="93">
        <f>AC8820/AA8825</f>
        <v>0.54999999999999982</v>
      </c>
      <c r="AD8825" s="94">
        <f>AC8825*Z8825</f>
        <v>9.3499999999999979</v>
      </c>
      <c r="AE8825" s="190"/>
      <c r="AF8825" s="191"/>
      <c r="AG8825" s="191"/>
      <c r="AH8825" s="191"/>
      <c r="AI8825" s="186"/>
      <c r="AK8825" s="171"/>
    </row>
    <row r="8826" spans="1:37" s="102" customFormat="1" ht="19.899999999999999" customHeight="1" x14ac:dyDescent="0.25">
      <c r="A8826" s="45"/>
      <c r="B8826" s="59"/>
      <c r="C8826" s="137"/>
      <c r="D8826" s="59"/>
      <c r="E8826" s="116"/>
      <c r="F8826" s="120"/>
      <c r="G8826" s="120"/>
      <c r="H8826" s="120"/>
      <c r="I8826" s="60"/>
      <c r="J8826" s="116"/>
      <c r="K8826" s="213"/>
      <c r="L8826" s="120"/>
      <c r="M8826" s="120"/>
      <c r="N8826" s="167"/>
      <c r="O8826" s="120"/>
      <c r="P8826" s="120"/>
      <c r="Q8826" s="120"/>
      <c r="R8826" s="120"/>
      <c r="S8826" s="120"/>
      <c r="T8826" s="221"/>
      <c r="U8826" s="89"/>
      <c r="V8826" s="61"/>
      <c r="W8826" s="92" t="s">
        <v>112</v>
      </c>
      <c r="X8826" s="93" t="s">
        <v>31</v>
      </c>
      <c r="Y8826" s="93" t="s">
        <v>93</v>
      </c>
      <c r="Z8826" s="134">
        <f>VLOOKUP(W8826,Sheet2!$B:$D,3,FALSE)</f>
        <v>13</v>
      </c>
      <c r="AA8826" s="93">
        <f>AA8825</f>
        <v>0.5</v>
      </c>
      <c r="AB8826" s="93">
        <f>AD8826/AC8820</f>
        <v>26</v>
      </c>
      <c r="AC8826" s="93">
        <f>AC8820/AA8826</f>
        <v>0.54999999999999982</v>
      </c>
      <c r="AD8826" s="94">
        <f>AC8826*Z8826</f>
        <v>7.1499999999999977</v>
      </c>
      <c r="AE8826" s="190"/>
      <c r="AF8826" s="191"/>
      <c r="AG8826" s="191"/>
      <c r="AH8826" s="191"/>
      <c r="AI8826" s="186"/>
      <c r="AK8826" s="171"/>
    </row>
    <row r="8827" spans="1:37" s="103" customFormat="1" ht="19.899999999999999" customHeight="1" x14ac:dyDescent="0.25">
      <c r="A8827" s="51"/>
      <c r="B8827" s="52"/>
      <c r="C8827" s="165"/>
      <c r="D8827" s="52"/>
      <c r="E8827" s="115"/>
      <c r="F8827" s="58"/>
      <c r="G8827" s="58"/>
      <c r="H8827" s="58"/>
      <c r="I8827" s="55"/>
      <c r="J8827" s="113">
        <f>J8807</f>
        <v>0.27499999999999991</v>
      </c>
      <c r="K8827" s="212">
        <f>K8807</f>
        <v>0.27499999999999991</v>
      </c>
      <c r="L8827" s="58"/>
      <c r="M8827" s="58">
        <f>K8827-L8827</f>
        <v>0.27499999999999991</v>
      </c>
      <c r="N8827" s="166"/>
      <c r="O8827" s="58"/>
      <c r="P8827" s="58"/>
      <c r="Q8827" s="58"/>
      <c r="R8827" s="58"/>
      <c r="S8827" s="58"/>
      <c r="T8827" s="220"/>
      <c r="U8827" s="88"/>
      <c r="V8827" s="56"/>
      <c r="W8827" s="57" t="s">
        <v>1272</v>
      </c>
      <c r="X8827" s="53"/>
      <c r="Y8827" s="91" t="s">
        <v>35</v>
      </c>
      <c r="Z8827" s="136">
        <f>AD8827/AC8827</f>
        <v>421.66572388392154</v>
      </c>
      <c r="AA8827" s="58"/>
      <c r="AB8827" s="53">
        <f>AD8827/AC8827</f>
        <v>421.66572388392154</v>
      </c>
      <c r="AC8827" s="53">
        <f>M8827+$AE$10</f>
        <v>0.27499999999999991</v>
      </c>
      <c r="AD8827" s="54">
        <f>SUM(AD8828:AD8836)</f>
        <v>115.95807406807839</v>
      </c>
      <c r="AE8827" s="184">
        <f>SUMIFS($AD$37:$AD$12971,$V$37:$V$12971,$V8827,$X$37:$X$12971,AE$13)</f>
        <v>0</v>
      </c>
      <c r="AF8827" s="185">
        <f>SUMIFS($AD$37:$AD$12971,$V$37:$V$12971,$V8827,$X$37:$X$12971,AF$13)</f>
        <v>0</v>
      </c>
      <c r="AG8827" s="185">
        <f>SUMIFS($AD$37:$AD$12971,$V$37:$V$12971,$V8827,$X$37:$X$12971,AG$13)</f>
        <v>0</v>
      </c>
      <c r="AH8827" s="187">
        <f>SUMIFS($AD$37:$AD$12971,$V$37:$V$12971,$V8827,$X$37:$X$12971,AH$13)</f>
        <v>0</v>
      </c>
      <c r="AI8827" s="161">
        <f t="shared" ref="AI8827" si="6014">SUM(AE8827:AH8827)</f>
        <v>0</v>
      </c>
      <c r="AK8827" s="172"/>
    </row>
    <row r="8828" spans="1:37" s="102" customFormat="1" ht="19.899999999999999" customHeight="1" x14ac:dyDescent="0.25">
      <c r="A8828" s="45"/>
      <c r="B8828" s="59"/>
      <c r="C8828" s="137"/>
      <c r="D8828" s="59"/>
      <c r="E8828" s="116"/>
      <c r="F8828" s="120"/>
      <c r="G8828" s="120"/>
      <c r="H8828" s="120"/>
      <c r="I8828" s="60"/>
      <c r="J8828" s="116"/>
      <c r="K8828" s="213"/>
      <c r="L8828" s="120"/>
      <c r="M8828" s="120"/>
      <c r="N8828" s="167"/>
      <c r="O8828" s="120"/>
      <c r="P8828" s="120"/>
      <c r="Q8828" s="120"/>
      <c r="R8828" s="120"/>
      <c r="S8828" s="120"/>
      <c r="T8828" s="221"/>
      <c r="U8828" s="89"/>
      <c r="V8828" s="61"/>
      <c r="W8828" s="92" t="s">
        <v>1273</v>
      </c>
      <c r="X8828" s="93" t="s">
        <v>30</v>
      </c>
      <c r="Y8828" s="93" t="s">
        <v>66</v>
      </c>
      <c r="Z8828" s="134">
        <f>VLOOKUP(W8828,Sheet2!$B:$D,3,FALSE)</f>
        <v>10</v>
      </c>
      <c r="AA8828" s="93">
        <f>1/((2.5*2.5*4)-(3.14/4*1.2*1.2*4))</f>
        <v>4.8831939995312129E-2</v>
      </c>
      <c r="AB8828" s="93">
        <f>AD8828/AC8827</f>
        <v>204.78400000000002</v>
      </c>
      <c r="AC8828" s="93">
        <f>AC8827/AA8828</f>
        <v>5.6315599999999986</v>
      </c>
      <c r="AD8828" s="94">
        <f t="shared" ref="AD8828:AD8830" si="6015">AC8828*Z8828</f>
        <v>56.315599999999989</v>
      </c>
      <c r="AE8828" s="190"/>
      <c r="AF8828" s="191"/>
      <c r="AG8828" s="191"/>
      <c r="AH8828" s="191"/>
      <c r="AI8828" s="186"/>
      <c r="AK8828" s="171"/>
    </row>
    <row r="8829" spans="1:37" s="102" customFormat="1" ht="19.899999999999999" customHeight="1" x14ac:dyDescent="0.25">
      <c r="A8829" s="45"/>
      <c r="B8829" s="59"/>
      <c r="C8829" s="137"/>
      <c r="D8829" s="59"/>
      <c r="E8829" s="116"/>
      <c r="F8829" s="120"/>
      <c r="G8829" s="120"/>
      <c r="H8829" s="120"/>
      <c r="I8829" s="60"/>
      <c r="J8829" s="116"/>
      <c r="K8829" s="213"/>
      <c r="L8829" s="120"/>
      <c r="M8829" s="120"/>
      <c r="N8829" s="167"/>
      <c r="O8829" s="120"/>
      <c r="P8829" s="120"/>
      <c r="Q8829" s="120"/>
      <c r="R8829" s="120"/>
      <c r="S8829" s="120"/>
      <c r="T8829" s="221"/>
      <c r="U8829" s="89"/>
      <c r="V8829" s="61"/>
      <c r="W8829" s="92" t="s">
        <v>134</v>
      </c>
      <c r="X8829" s="93" t="s">
        <v>29</v>
      </c>
      <c r="Y8829" s="93" t="s">
        <v>93</v>
      </c>
      <c r="Z8829" s="134">
        <f>VLOOKUP(W8829,Sheet2!$B:$D,3,FALSE)</f>
        <v>65.599999999999994</v>
      </c>
      <c r="AA8829" s="93">
        <f>100/((2.5*2.5*4)-(3.14/4*1.2*1.2*4))</f>
        <v>4.8831939995312128</v>
      </c>
      <c r="AB8829" s="93">
        <f t="shared" ref="AB8829" si="6016">AD8829/AC8827</f>
        <v>13.4338304</v>
      </c>
      <c r="AC8829" s="93">
        <f>AC8827/AA8829</f>
        <v>5.6315599999999987E-2</v>
      </c>
      <c r="AD8829" s="94">
        <f t="shared" si="6015"/>
        <v>3.6943033599999988</v>
      </c>
      <c r="AE8829" s="190"/>
      <c r="AF8829" s="191"/>
      <c r="AG8829" s="191"/>
      <c r="AH8829" s="191"/>
      <c r="AI8829" s="186"/>
      <c r="AK8829" s="171"/>
    </row>
    <row r="8830" spans="1:37" s="102" customFormat="1" ht="19.899999999999999" customHeight="1" x14ac:dyDescent="0.25">
      <c r="A8830" s="45"/>
      <c r="B8830" s="59"/>
      <c r="C8830" s="137"/>
      <c r="D8830" s="59"/>
      <c r="E8830" s="116"/>
      <c r="F8830" s="120"/>
      <c r="G8830" s="120"/>
      <c r="H8830" s="120"/>
      <c r="I8830" s="60"/>
      <c r="J8830" s="116"/>
      <c r="K8830" s="213"/>
      <c r="L8830" s="120"/>
      <c r="M8830" s="120"/>
      <c r="N8830" s="167"/>
      <c r="O8830" s="120"/>
      <c r="P8830" s="120"/>
      <c r="Q8830" s="120"/>
      <c r="R8830" s="120"/>
      <c r="S8830" s="120"/>
      <c r="T8830" s="221"/>
      <c r="U8830" s="89"/>
      <c r="V8830" s="61"/>
      <c r="W8830" s="92" t="s">
        <v>65</v>
      </c>
      <c r="X8830" s="93" t="s">
        <v>30</v>
      </c>
      <c r="Y8830" s="93" t="s">
        <v>1011</v>
      </c>
      <c r="Z8830" s="134">
        <f>VLOOKUP(W8830,Sheet2!$B:$D,3,FALSE)</f>
        <v>1.76</v>
      </c>
      <c r="AA8830" s="93">
        <f>AA8829/9</f>
        <v>0.54257711105902362</v>
      </c>
      <c r="AB8830" s="93">
        <f>AD8830/AC8827</f>
        <v>3.2437785600000009</v>
      </c>
      <c r="AC8830" s="93">
        <f>AC8827/AA8830</f>
        <v>0.50684039999999997</v>
      </c>
      <c r="AD8830" s="94">
        <f t="shared" si="6015"/>
        <v>0.89203910399999997</v>
      </c>
      <c r="AE8830" s="190"/>
      <c r="AF8830" s="191"/>
      <c r="AG8830" s="191"/>
      <c r="AH8830" s="191"/>
      <c r="AI8830" s="186"/>
      <c r="AK8830" s="171"/>
    </row>
    <row r="8831" spans="1:37" s="102" customFormat="1" ht="19.899999999999999" customHeight="1" x14ac:dyDescent="0.25">
      <c r="A8831" s="45"/>
      <c r="B8831" s="59"/>
      <c r="C8831" s="137"/>
      <c r="D8831" s="59"/>
      <c r="E8831" s="116"/>
      <c r="F8831" s="120"/>
      <c r="G8831" s="120"/>
      <c r="H8831" s="120"/>
      <c r="I8831" s="60"/>
      <c r="J8831" s="116"/>
      <c r="K8831" s="213"/>
      <c r="L8831" s="120"/>
      <c r="M8831" s="120"/>
      <c r="N8831" s="167"/>
      <c r="O8831" s="120"/>
      <c r="P8831" s="120"/>
      <c r="Q8831" s="120"/>
      <c r="R8831" s="120"/>
      <c r="S8831" s="120"/>
      <c r="T8831" s="221"/>
      <c r="U8831" s="89"/>
      <c r="V8831" s="61"/>
      <c r="W8831" s="92" t="s">
        <v>161</v>
      </c>
      <c r="X8831" s="93" t="s">
        <v>29</v>
      </c>
      <c r="Y8831" s="93" t="s">
        <v>93</v>
      </c>
      <c r="Z8831" s="134">
        <f>VLOOKUP(W8831,Sheet2!$B:$D,3,FALSE)</f>
        <v>48</v>
      </c>
      <c r="AA8831" s="93">
        <f>(16*0.85*1.5)/((2.5*2.5*4)-(3.14/4*1.2*1.2*4))</f>
        <v>0.99617157590436745</v>
      </c>
      <c r="AB8831" s="93">
        <f>AD8831/AC8827</f>
        <v>48.1844705882353</v>
      </c>
      <c r="AC8831" s="93">
        <f>AC8827/AA8831</f>
        <v>0.276056862745098</v>
      </c>
      <c r="AD8831" s="94">
        <f>AC8831*Z8831</f>
        <v>13.250729411764704</v>
      </c>
      <c r="AE8831" s="190"/>
      <c r="AF8831" s="191"/>
      <c r="AG8831" s="191"/>
      <c r="AH8831" s="191"/>
      <c r="AI8831" s="186"/>
      <c r="AK8831" s="171"/>
    </row>
    <row r="8832" spans="1:37" s="102" customFormat="1" ht="19.899999999999999" customHeight="1" x14ac:dyDescent="0.25">
      <c r="A8832" s="45"/>
      <c r="B8832" s="59"/>
      <c r="C8832" s="137"/>
      <c r="D8832" s="59"/>
      <c r="E8832" s="116"/>
      <c r="F8832" s="120"/>
      <c r="G8832" s="120"/>
      <c r="H8832" s="120"/>
      <c r="I8832" s="60"/>
      <c r="J8832" s="116"/>
      <c r="K8832" s="213"/>
      <c r="L8832" s="120"/>
      <c r="M8832" s="120"/>
      <c r="N8832" s="167"/>
      <c r="O8832" s="120"/>
      <c r="P8832" s="120"/>
      <c r="Q8832" s="120"/>
      <c r="R8832" s="120"/>
      <c r="S8832" s="120"/>
      <c r="T8832" s="221"/>
      <c r="U8832" s="89"/>
      <c r="V8832" s="61"/>
      <c r="W8832" s="92" t="s">
        <v>65</v>
      </c>
      <c r="X8832" s="93" t="s">
        <v>30</v>
      </c>
      <c r="Y8832" s="93" t="s">
        <v>1011</v>
      </c>
      <c r="Z8832" s="134">
        <f>VLOOKUP(W8832,Sheet2!$B:$D,3,FALSE)</f>
        <v>1.76</v>
      </c>
      <c r="AA8832" s="93">
        <f>AA8831/10</f>
        <v>9.9617157590436739E-2</v>
      </c>
      <c r="AB8832" s="93">
        <f>AD8832/AC8827</f>
        <v>17.667639215686275</v>
      </c>
      <c r="AC8832" s="93">
        <f>AC8827/AA8832</f>
        <v>2.7605686274509798</v>
      </c>
      <c r="AD8832" s="94">
        <f>AC8832*Z8832</f>
        <v>4.8586007843137242</v>
      </c>
      <c r="AE8832" s="190"/>
      <c r="AF8832" s="191"/>
      <c r="AG8832" s="191"/>
      <c r="AH8832" s="191"/>
      <c r="AI8832" s="186"/>
      <c r="AK8832" s="171"/>
    </row>
    <row r="8833" spans="1:41" s="102" customFormat="1" ht="19.899999999999999" customHeight="1" x14ac:dyDescent="0.25">
      <c r="A8833" s="45"/>
      <c r="B8833" s="59"/>
      <c r="C8833" s="137"/>
      <c r="D8833" s="59"/>
      <c r="E8833" s="116"/>
      <c r="F8833" s="120"/>
      <c r="G8833" s="120"/>
      <c r="H8833" s="120"/>
      <c r="I8833" s="60"/>
      <c r="J8833" s="116"/>
      <c r="K8833" s="213"/>
      <c r="L8833" s="120"/>
      <c r="M8833" s="120"/>
      <c r="N8833" s="167"/>
      <c r="O8833" s="120"/>
      <c r="P8833" s="120"/>
      <c r="Q8833" s="120"/>
      <c r="R8833" s="120"/>
      <c r="S8833" s="120"/>
      <c r="T8833" s="221"/>
      <c r="U8833" s="89"/>
      <c r="V8833" s="61"/>
      <c r="W8833" s="92" t="s">
        <v>173</v>
      </c>
      <c r="X8833" s="93" t="s">
        <v>29</v>
      </c>
      <c r="Y8833" s="93" t="s">
        <v>93</v>
      </c>
      <c r="Z8833" s="134">
        <f>VLOOKUP(W8833,Sheet2!$B:$D,3,FALSE)</f>
        <v>36</v>
      </c>
      <c r="AA8833" s="93">
        <f>50/((2.5*2.5*4)-(3.14/4*1.2*1.2*4))</f>
        <v>2.4415969997656064</v>
      </c>
      <c r="AB8833" s="93">
        <f>AD8833/AC8827</f>
        <v>14.744448</v>
      </c>
      <c r="AC8833" s="93">
        <f>AC8827/AA8833</f>
        <v>0.11263119999999997</v>
      </c>
      <c r="AD8833" s="94">
        <f>AC8833*Z8833</f>
        <v>4.0547231999999989</v>
      </c>
      <c r="AE8833" s="190"/>
      <c r="AF8833" s="191"/>
      <c r="AG8833" s="191"/>
      <c r="AH8833" s="191"/>
      <c r="AI8833" s="186"/>
      <c r="AK8833" s="171"/>
    </row>
    <row r="8834" spans="1:41" s="102" customFormat="1" ht="19.899999999999999" customHeight="1" x14ac:dyDescent="0.25">
      <c r="A8834" s="45"/>
      <c r="B8834" s="59"/>
      <c r="C8834" s="137"/>
      <c r="D8834" s="59"/>
      <c r="E8834" s="116"/>
      <c r="F8834" s="120"/>
      <c r="G8834" s="120"/>
      <c r="H8834" s="120"/>
      <c r="I8834" s="60"/>
      <c r="J8834" s="116"/>
      <c r="K8834" s="213"/>
      <c r="L8834" s="120"/>
      <c r="M8834" s="120"/>
      <c r="N8834" s="167"/>
      <c r="O8834" s="120"/>
      <c r="P8834" s="120"/>
      <c r="Q8834" s="120"/>
      <c r="R8834" s="120"/>
      <c r="S8834" s="120"/>
      <c r="T8834" s="221"/>
      <c r="U8834" s="89"/>
      <c r="V8834" s="61"/>
      <c r="W8834" s="92" t="s">
        <v>65</v>
      </c>
      <c r="X8834" s="93" t="s">
        <v>30</v>
      </c>
      <c r="Y8834" s="93" t="s">
        <v>1011</v>
      </c>
      <c r="Z8834" s="134">
        <f>VLOOKUP(W8834,Sheet2!$B:$D,3,FALSE)</f>
        <v>1.76</v>
      </c>
      <c r="AA8834" s="93">
        <f>AA8833/9</f>
        <v>0.27128855552951181</v>
      </c>
      <c r="AB8834" s="93">
        <f>AD8834/AC8827</f>
        <v>6.4875571200000017</v>
      </c>
      <c r="AC8834" s="93">
        <f>AC8827/AA8834</f>
        <v>1.0136807999999999</v>
      </c>
      <c r="AD8834" s="94">
        <f>AC8834*Z8834</f>
        <v>1.7840782079999999</v>
      </c>
      <c r="AE8834" s="190"/>
      <c r="AF8834" s="191"/>
      <c r="AG8834" s="191"/>
      <c r="AH8834" s="191"/>
      <c r="AI8834" s="186"/>
      <c r="AK8834" s="171"/>
    </row>
    <row r="8835" spans="1:41" s="102" customFormat="1" ht="19.899999999999999" customHeight="1" x14ac:dyDescent="0.25">
      <c r="A8835" s="45"/>
      <c r="B8835" s="59"/>
      <c r="C8835" s="137"/>
      <c r="D8835" s="59"/>
      <c r="E8835" s="116"/>
      <c r="F8835" s="120"/>
      <c r="G8835" s="120"/>
      <c r="H8835" s="120"/>
      <c r="I8835" s="60"/>
      <c r="J8835" s="116"/>
      <c r="K8835" s="213"/>
      <c r="L8835" s="120"/>
      <c r="M8835" s="120"/>
      <c r="N8835" s="167"/>
      <c r="O8835" s="120"/>
      <c r="P8835" s="120"/>
      <c r="Q8835" s="120"/>
      <c r="R8835" s="120"/>
      <c r="S8835" s="120"/>
      <c r="T8835" s="221"/>
      <c r="U8835" s="89"/>
      <c r="V8835" s="61">
        <f>AB8835/Z8835</f>
        <v>4</v>
      </c>
      <c r="W8835" s="92" t="s">
        <v>1030</v>
      </c>
      <c r="X8835" s="93" t="s">
        <v>29</v>
      </c>
      <c r="Y8835" s="93" t="s">
        <v>93</v>
      </c>
      <c r="Z8835" s="134">
        <f>VLOOKUP(W8835,Sheet2!$B:$D,3,FALSE)</f>
        <v>23</v>
      </c>
      <c r="AA8835" s="93">
        <f>1/(4*1)</f>
        <v>0.25</v>
      </c>
      <c r="AB8835" s="93">
        <f>AD8835/AC8827</f>
        <v>92</v>
      </c>
      <c r="AC8835" s="93">
        <f>AC8827/AA8835</f>
        <v>1.0999999999999996</v>
      </c>
      <c r="AD8835" s="94">
        <f t="shared" ref="AD8835:AD8836" si="6017">AC8835*Z8835</f>
        <v>25.29999999999999</v>
      </c>
      <c r="AE8835" s="190"/>
      <c r="AF8835" s="191"/>
      <c r="AG8835" s="191"/>
      <c r="AH8835" s="191"/>
      <c r="AI8835" s="186"/>
      <c r="AK8835" s="171"/>
    </row>
    <row r="8836" spans="1:41" s="102" customFormat="1" ht="19.899999999999999" customHeight="1" x14ac:dyDescent="0.25">
      <c r="A8836" s="45"/>
      <c r="B8836" s="59"/>
      <c r="C8836" s="137"/>
      <c r="D8836" s="59"/>
      <c r="E8836" s="116"/>
      <c r="F8836" s="120"/>
      <c r="G8836" s="120"/>
      <c r="H8836" s="120"/>
      <c r="I8836" s="60"/>
      <c r="J8836" s="116"/>
      <c r="K8836" s="213"/>
      <c r="L8836" s="120"/>
      <c r="M8836" s="120"/>
      <c r="N8836" s="167"/>
      <c r="O8836" s="120"/>
      <c r="P8836" s="120"/>
      <c r="Q8836" s="120"/>
      <c r="R8836" s="120"/>
      <c r="S8836" s="120"/>
      <c r="T8836" s="221"/>
      <c r="U8836" s="89"/>
      <c r="V8836" s="61"/>
      <c r="W8836" s="92" t="s">
        <v>65</v>
      </c>
      <c r="X8836" s="93" t="s">
        <v>30</v>
      </c>
      <c r="Y8836" s="93" t="s">
        <v>1011</v>
      </c>
      <c r="Z8836" s="134">
        <f>VLOOKUP(W8836,Sheet2!$B:$D,3,FALSE)</f>
        <v>1.76</v>
      </c>
      <c r="AA8836" s="93">
        <f>AA8835/3</f>
        <v>8.3333333333333329E-2</v>
      </c>
      <c r="AB8836" s="93">
        <f>AD8836/AC8827</f>
        <v>21.12</v>
      </c>
      <c r="AC8836" s="93">
        <f>AC8827/AA8836</f>
        <v>3.2999999999999989</v>
      </c>
      <c r="AD8836" s="94">
        <f t="shared" si="6017"/>
        <v>5.8079999999999981</v>
      </c>
      <c r="AE8836" s="190"/>
      <c r="AF8836" s="191"/>
      <c r="AG8836" s="191"/>
      <c r="AH8836" s="191"/>
      <c r="AI8836" s="186"/>
      <c r="AK8836" s="171"/>
    </row>
    <row r="8837" spans="1:41" ht="20.100000000000001" customHeight="1" x14ac:dyDescent="0.25">
      <c r="A8837" s="277" t="s">
        <v>703</v>
      </c>
      <c r="B8837" s="278"/>
      <c r="C8837" s="64" t="s">
        <v>819</v>
      </c>
      <c r="D8837" s="46" t="s">
        <v>215</v>
      </c>
      <c r="E8837" s="114">
        <v>0.19999999999999973</v>
      </c>
      <c r="F8837" s="44">
        <v>32099</v>
      </c>
      <c r="G8837" s="44">
        <f t="shared" si="5545"/>
        <v>6419.7999999999911</v>
      </c>
      <c r="H8837" s="44">
        <f t="shared" si="5546"/>
        <v>10092.991115839999</v>
      </c>
      <c r="I8837" s="43">
        <f t="shared" si="5547"/>
        <v>2018.598223167997</v>
      </c>
      <c r="J8837" s="112">
        <f t="shared" si="5548"/>
        <v>0.19999999999999973</v>
      </c>
      <c r="K8837" s="211">
        <f t="shared" si="5549"/>
        <v>0.19999999999999973</v>
      </c>
      <c r="L8837" s="44"/>
      <c r="M8837" s="44">
        <f t="shared" si="5550"/>
        <v>0.19999999999999973</v>
      </c>
      <c r="N8837" s="173">
        <f t="shared" si="5551"/>
        <v>1</v>
      </c>
      <c r="O8837" s="44">
        <f t="shared" si="5552"/>
        <v>32099</v>
      </c>
      <c r="P8837" s="44">
        <f t="shared" si="5553"/>
        <v>6419.7999999999911</v>
      </c>
      <c r="Q8837" s="44">
        <f t="shared" si="5554"/>
        <v>10092.991115839999</v>
      </c>
      <c r="R8837" s="44">
        <f t="shared" si="5555"/>
        <v>2018.598223167997</v>
      </c>
      <c r="S8837" s="123"/>
      <c r="T8837" s="219">
        <f t="shared" si="5556"/>
        <v>2018.598223167997</v>
      </c>
      <c r="U8837" s="87"/>
      <c r="V8837" s="47"/>
      <c r="W8837" s="48"/>
      <c r="X8837" s="48"/>
      <c r="Y8837" s="48"/>
      <c r="Z8837" s="135"/>
      <c r="AA8837" s="49"/>
      <c r="AB8837" s="50">
        <f t="shared" si="5557"/>
        <v>10092.991115839999</v>
      </c>
      <c r="AC8837" s="42">
        <f t="shared" si="5558"/>
        <v>0.19999999999999973</v>
      </c>
      <c r="AD8837" s="90">
        <f>AD8838+AD8843+AD8850+AD8857</f>
        <v>2018.5982231679973</v>
      </c>
      <c r="AE8837" s="188">
        <f t="shared" ref="AE8837" si="6018">AE8838+AE8843+AE8850+AE8857</f>
        <v>0</v>
      </c>
      <c r="AF8837" s="189">
        <f t="shared" ref="AF8837" si="6019">AF8838+AF8843+AF8850+AF8857</f>
        <v>0</v>
      </c>
      <c r="AG8837" s="189">
        <f t="shared" ref="AG8837" si="6020">AG8838+AG8843+AG8850+AG8857</f>
        <v>0</v>
      </c>
      <c r="AH8837" s="189">
        <f t="shared" ref="AH8837" si="6021">AH8838+AH8843+AH8850+AH8857</f>
        <v>0</v>
      </c>
      <c r="AI8837" s="161">
        <f t="shared" ref="AI8837:AI8838" si="6022">SUM(AE8837:AH8837)</f>
        <v>0</v>
      </c>
      <c r="AK8837" s="169">
        <v>5</v>
      </c>
      <c r="AO8837" s="19" t="s">
        <v>63</v>
      </c>
    </row>
    <row r="8838" spans="1:41" s="103" customFormat="1" ht="19.899999999999999" customHeight="1" x14ac:dyDescent="0.25">
      <c r="A8838" s="51"/>
      <c r="B8838" s="52"/>
      <c r="C8838" s="165"/>
      <c r="D8838" s="52"/>
      <c r="E8838" s="115"/>
      <c r="F8838" s="58"/>
      <c r="G8838" s="58"/>
      <c r="H8838" s="58"/>
      <c r="I8838" s="55"/>
      <c r="J8838" s="113">
        <f>J8837</f>
        <v>0.19999999999999973</v>
      </c>
      <c r="K8838" s="212">
        <f>K8837</f>
        <v>0.19999999999999973</v>
      </c>
      <c r="L8838" s="58"/>
      <c r="M8838" s="58">
        <f>K8838-L8838</f>
        <v>0.19999999999999973</v>
      </c>
      <c r="N8838" s="166"/>
      <c r="O8838" s="58"/>
      <c r="P8838" s="58"/>
      <c r="Q8838" s="58"/>
      <c r="R8838" s="58"/>
      <c r="S8838" s="58"/>
      <c r="T8838" s="220"/>
      <c r="U8838" s="88"/>
      <c r="V8838" s="56"/>
      <c r="W8838" s="57" t="s">
        <v>1508</v>
      </c>
      <c r="X8838" s="53"/>
      <c r="Y8838" s="91" t="s">
        <v>35</v>
      </c>
      <c r="Z8838" s="136">
        <f>AD8838/AC8838</f>
        <v>113.12117647058824</v>
      </c>
      <c r="AA8838" s="58"/>
      <c r="AB8838" s="53">
        <f>AD8838/AC8838</f>
        <v>113.12117647058824</v>
      </c>
      <c r="AC8838" s="53">
        <f>M8838+$AE$10</f>
        <v>0.19999999999999973</v>
      </c>
      <c r="AD8838" s="54">
        <f>SUM(AD8839:AD8842)</f>
        <v>22.624235294117618</v>
      </c>
      <c r="AE8838" s="184">
        <f>SUMIFS($AD$37:$AD$12971,$V$37:$V$12971,$V8838,$X$37:$X$12971,AE$13)</f>
        <v>0</v>
      </c>
      <c r="AF8838" s="185">
        <f>SUMIFS($AD$37:$AD$12971,$V$37:$V$12971,$V8838,$X$37:$X$12971,AF$13)</f>
        <v>0</v>
      </c>
      <c r="AG8838" s="185">
        <f>SUMIFS($AD$37:$AD$12971,$V$37:$V$12971,$V8838,$X$37:$X$12971,AG$13)</f>
        <v>0</v>
      </c>
      <c r="AH8838" s="187">
        <f>SUMIFS($AD$37:$AD$12971,$V$37:$V$12971,$V8838,$X$37:$X$12971,AH$13)</f>
        <v>0</v>
      </c>
      <c r="AI8838" s="161">
        <f t="shared" si="6022"/>
        <v>0</v>
      </c>
      <c r="AK8838" s="172"/>
    </row>
    <row r="8839" spans="1:41" s="102" customFormat="1" ht="19.899999999999999" customHeight="1" x14ac:dyDescent="0.25">
      <c r="A8839" s="45"/>
      <c r="B8839" s="59"/>
      <c r="C8839" s="137"/>
      <c r="D8839" s="59"/>
      <c r="E8839" s="116"/>
      <c r="F8839" s="120"/>
      <c r="G8839" s="120"/>
      <c r="H8839" s="120"/>
      <c r="I8839" s="60"/>
      <c r="J8839" s="116"/>
      <c r="K8839" s="213"/>
      <c r="L8839" s="120"/>
      <c r="M8839" s="120"/>
      <c r="N8839" s="167"/>
      <c r="O8839" s="120"/>
      <c r="P8839" s="120"/>
      <c r="Q8839" s="120"/>
      <c r="R8839" s="120"/>
      <c r="S8839" s="120"/>
      <c r="T8839" s="221"/>
      <c r="U8839" s="89"/>
      <c r="V8839" s="61"/>
      <c r="W8839" s="92" t="s">
        <v>129</v>
      </c>
      <c r="X8839" s="93" t="s">
        <v>29</v>
      </c>
      <c r="Y8839" s="93" t="s">
        <v>93</v>
      </c>
      <c r="Z8839" s="134">
        <f>VLOOKUP(W8839,Sheet2!$B:$D,3,FALSE)</f>
        <v>56</v>
      </c>
      <c r="AA8839" s="93">
        <f>100/(2.5*2.5*4.5)</f>
        <v>3.5555555555555554</v>
      </c>
      <c r="AB8839" s="93">
        <f t="shared" ref="AB8839" si="6023">AD8839/AC8838</f>
        <v>15.75</v>
      </c>
      <c r="AC8839" s="93">
        <f>AC8838/AA8839</f>
        <v>5.6249999999999925E-2</v>
      </c>
      <c r="AD8839" s="94">
        <f t="shared" ref="AD8839:AD8840" si="6024">AC8839*Z8839</f>
        <v>3.1499999999999959</v>
      </c>
      <c r="AE8839" s="190"/>
      <c r="AF8839" s="191"/>
      <c r="AG8839" s="191"/>
      <c r="AH8839" s="191"/>
      <c r="AI8839" s="186"/>
      <c r="AK8839" s="171"/>
    </row>
    <row r="8840" spans="1:41" s="102" customFormat="1" ht="19.899999999999999" customHeight="1" x14ac:dyDescent="0.25">
      <c r="A8840" s="45"/>
      <c r="B8840" s="59"/>
      <c r="C8840" s="137"/>
      <c r="D8840" s="59"/>
      <c r="E8840" s="116"/>
      <c r="F8840" s="120"/>
      <c r="G8840" s="120"/>
      <c r="H8840" s="120"/>
      <c r="I8840" s="60"/>
      <c r="J8840" s="116"/>
      <c r="K8840" s="213"/>
      <c r="L8840" s="120"/>
      <c r="M8840" s="120"/>
      <c r="N8840" s="167"/>
      <c r="O8840" s="120"/>
      <c r="P8840" s="120"/>
      <c r="Q8840" s="120"/>
      <c r="R8840" s="120"/>
      <c r="S8840" s="120"/>
      <c r="T8840" s="221"/>
      <c r="U8840" s="89"/>
      <c r="V8840" s="61"/>
      <c r="W8840" s="92" t="s">
        <v>65</v>
      </c>
      <c r="X8840" s="93" t="s">
        <v>30</v>
      </c>
      <c r="Y8840" s="93" t="s">
        <v>1011</v>
      </c>
      <c r="Z8840" s="134">
        <f>VLOOKUP(W8840,Sheet2!$B:$D,3,FALSE)</f>
        <v>1.76</v>
      </c>
      <c r="AA8840" s="93">
        <f>AA8839/14</f>
        <v>0.25396825396825395</v>
      </c>
      <c r="AB8840" s="93">
        <f>AD8840/AC8838</f>
        <v>6.93</v>
      </c>
      <c r="AC8840" s="93">
        <f>AC8838/AA8840</f>
        <v>0.78749999999999898</v>
      </c>
      <c r="AD8840" s="94">
        <f t="shared" si="6024"/>
        <v>1.3859999999999981</v>
      </c>
      <c r="AE8840" s="190"/>
      <c r="AF8840" s="191"/>
      <c r="AG8840" s="191"/>
      <c r="AH8840" s="191"/>
      <c r="AI8840" s="186"/>
      <c r="AK8840" s="171"/>
    </row>
    <row r="8841" spans="1:41" s="102" customFormat="1" ht="19.899999999999999" customHeight="1" x14ac:dyDescent="0.25">
      <c r="A8841" s="45"/>
      <c r="B8841" s="59"/>
      <c r="C8841" s="137"/>
      <c r="D8841" s="59"/>
      <c r="E8841" s="116"/>
      <c r="F8841" s="120"/>
      <c r="G8841" s="120"/>
      <c r="H8841" s="120"/>
      <c r="I8841" s="60"/>
      <c r="J8841" s="116"/>
      <c r="K8841" s="213"/>
      <c r="L8841" s="120"/>
      <c r="M8841" s="120"/>
      <c r="N8841" s="167"/>
      <c r="O8841" s="120"/>
      <c r="P8841" s="120"/>
      <c r="Q8841" s="120"/>
      <c r="R8841" s="120"/>
      <c r="S8841" s="120"/>
      <c r="T8841" s="221"/>
      <c r="U8841" s="89"/>
      <c r="V8841" s="61"/>
      <c r="W8841" s="92" t="s">
        <v>161</v>
      </c>
      <c r="X8841" s="93" t="s">
        <v>29</v>
      </c>
      <c r="Y8841" s="93" t="s">
        <v>93</v>
      </c>
      <c r="Z8841" s="134">
        <f>VLOOKUP(W8841,Sheet2!$B:$D,3,FALSE)</f>
        <v>48</v>
      </c>
      <c r="AA8841" s="93">
        <f>(16*0.85*1.5)/(2.5*2.5*4.5)</f>
        <v>0.72533333333333327</v>
      </c>
      <c r="AB8841" s="93">
        <f>AD8841/AC8838</f>
        <v>66.17647058823529</v>
      </c>
      <c r="AC8841" s="93">
        <f>AC8838/AA8841</f>
        <v>0.27573529411764669</v>
      </c>
      <c r="AD8841" s="94">
        <f>AC8841*Z8841</f>
        <v>13.23529411764704</v>
      </c>
      <c r="AE8841" s="190"/>
      <c r="AF8841" s="191"/>
      <c r="AG8841" s="191"/>
      <c r="AH8841" s="191"/>
      <c r="AI8841" s="186"/>
      <c r="AK8841" s="171"/>
    </row>
    <row r="8842" spans="1:41" s="102" customFormat="1" ht="19.899999999999999" customHeight="1" x14ac:dyDescent="0.25">
      <c r="A8842" s="45"/>
      <c r="B8842" s="59"/>
      <c r="C8842" s="137"/>
      <c r="D8842" s="59"/>
      <c r="E8842" s="116"/>
      <c r="F8842" s="120"/>
      <c r="G8842" s="120"/>
      <c r="H8842" s="120"/>
      <c r="I8842" s="60"/>
      <c r="J8842" s="116"/>
      <c r="K8842" s="213"/>
      <c r="L8842" s="120"/>
      <c r="M8842" s="120"/>
      <c r="N8842" s="167"/>
      <c r="O8842" s="120"/>
      <c r="P8842" s="120"/>
      <c r="Q8842" s="120"/>
      <c r="R8842" s="120"/>
      <c r="S8842" s="120"/>
      <c r="T8842" s="221"/>
      <c r="U8842" s="89"/>
      <c r="V8842" s="61"/>
      <c r="W8842" s="92" t="s">
        <v>65</v>
      </c>
      <c r="X8842" s="93" t="s">
        <v>30</v>
      </c>
      <c r="Y8842" s="93" t="s">
        <v>1011</v>
      </c>
      <c r="Z8842" s="134">
        <f>VLOOKUP(W8842,Sheet2!$B:$D,3,FALSE)</f>
        <v>1.76</v>
      </c>
      <c r="AA8842" s="93">
        <f>AA8841/10</f>
        <v>7.2533333333333325E-2</v>
      </c>
      <c r="AB8842" s="93">
        <f>AD8842/AC8838</f>
        <v>24.264705882352946</v>
      </c>
      <c r="AC8842" s="93">
        <f>AC8838/AA8842</f>
        <v>2.7573529411764675</v>
      </c>
      <c r="AD8842" s="94">
        <f>AC8842*Z8842</f>
        <v>4.8529411764705825</v>
      </c>
      <c r="AE8842" s="190"/>
      <c r="AF8842" s="191"/>
      <c r="AG8842" s="191"/>
      <c r="AH8842" s="191"/>
      <c r="AI8842" s="186"/>
      <c r="AK8842" s="171"/>
    </row>
    <row r="8843" spans="1:41" s="103" customFormat="1" ht="19.899999999999999" customHeight="1" x14ac:dyDescent="0.25">
      <c r="A8843" s="51"/>
      <c r="B8843" s="52"/>
      <c r="C8843" s="165"/>
      <c r="D8843" s="52"/>
      <c r="E8843" s="115"/>
      <c r="F8843" s="58"/>
      <c r="G8843" s="58"/>
      <c r="H8843" s="58"/>
      <c r="I8843" s="55"/>
      <c r="J8843" s="113">
        <f>J8837</f>
        <v>0.19999999999999973</v>
      </c>
      <c r="K8843" s="212">
        <f>K8837</f>
        <v>0.19999999999999973</v>
      </c>
      <c r="L8843" s="58"/>
      <c r="M8843" s="58">
        <f>K8843-L8843</f>
        <v>0.19999999999999973</v>
      </c>
      <c r="N8843" s="166"/>
      <c r="O8843" s="58"/>
      <c r="P8843" s="58"/>
      <c r="Q8843" s="58"/>
      <c r="R8843" s="58"/>
      <c r="S8843" s="58"/>
      <c r="T8843" s="220"/>
      <c r="U8843" s="88"/>
      <c r="V8843" s="56"/>
      <c r="W8843" s="57" t="s">
        <v>1486</v>
      </c>
      <c r="X8843" s="53"/>
      <c r="Y8843" s="91" t="s">
        <v>35</v>
      </c>
      <c r="Z8843" s="136">
        <f>AD8843/AC8843</f>
        <v>1432.6959999999999</v>
      </c>
      <c r="AA8843" s="58"/>
      <c r="AB8843" s="53">
        <f>AD8843/AC8843</f>
        <v>1432.6959999999999</v>
      </c>
      <c r="AC8843" s="53">
        <f>M8843+$AE$10</f>
        <v>0.19999999999999973</v>
      </c>
      <c r="AD8843" s="54">
        <f>SUM(AD8844:AD8849)</f>
        <v>286.5391999999996</v>
      </c>
      <c r="AE8843" s="184">
        <f>SUMIFS($AD$37:$AD$12971,$V$37:$V$12971,$V8843,$X$37:$X$12971,AE$13)</f>
        <v>0</v>
      </c>
      <c r="AF8843" s="185">
        <f>SUMIFS($AD$37:$AD$12971,$V$37:$V$12971,$V8843,$X$37:$X$12971,AF$13)</f>
        <v>0</v>
      </c>
      <c r="AG8843" s="185">
        <f>SUMIFS($AD$37:$AD$12971,$V$37:$V$12971,$V8843,$X$37:$X$12971,AG$13)</f>
        <v>0</v>
      </c>
      <c r="AH8843" s="187">
        <f>SUMIFS($AD$37:$AD$12971,$V$37:$V$12971,$V8843,$X$37:$X$12971,AH$13)</f>
        <v>0</v>
      </c>
      <c r="AI8843" s="161">
        <f t="shared" ref="AI8843" si="6025">SUM(AE8843:AH8843)</f>
        <v>0</v>
      </c>
      <c r="AK8843" s="172"/>
    </row>
    <row r="8844" spans="1:41" s="102" customFormat="1" ht="19.899999999999999" customHeight="1" x14ac:dyDescent="0.25">
      <c r="A8844" s="45"/>
      <c r="B8844" s="59"/>
      <c r="C8844" s="137"/>
      <c r="D8844" s="59"/>
      <c r="E8844" s="116"/>
      <c r="F8844" s="120"/>
      <c r="G8844" s="120"/>
      <c r="H8844" s="120"/>
      <c r="I8844" s="60"/>
      <c r="J8844" s="116"/>
      <c r="K8844" s="213"/>
      <c r="L8844" s="120"/>
      <c r="M8844" s="120"/>
      <c r="N8844" s="167"/>
      <c r="O8844" s="120"/>
      <c r="P8844" s="120"/>
      <c r="Q8844" s="120"/>
      <c r="R8844" s="120"/>
      <c r="S8844" s="120"/>
      <c r="T8844" s="221"/>
      <c r="U8844" s="89"/>
      <c r="V8844" s="61"/>
      <c r="W8844" s="92" t="s">
        <v>1032</v>
      </c>
      <c r="X8844" s="93" t="s">
        <v>30</v>
      </c>
      <c r="Y8844" s="93" t="s">
        <v>66</v>
      </c>
      <c r="Z8844" s="134">
        <f>VLOOKUP(W8844,Sheet2!$B:$D,3,FALSE)</f>
        <v>250</v>
      </c>
      <c r="AA8844" s="93">
        <f>1/(2.1*2.1*0.1)</f>
        <v>2.2675736961451243</v>
      </c>
      <c r="AB8844" s="93">
        <f>AD8844/AC8850</f>
        <v>110.25000000000003</v>
      </c>
      <c r="AC8844" s="93">
        <f>AC8850/AA8844</f>
        <v>8.8199999999999903E-2</v>
      </c>
      <c r="AD8844" s="94">
        <f t="shared" ref="AD8844:AD8846" si="6026">AC8844*Z8844</f>
        <v>22.049999999999976</v>
      </c>
      <c r="AE8844" s="190"/>
      <c r="AF8844" s="191"/>
      <c r="AG8844" s="191"/>
      <c r="AH8844" s="191"/>
      <c r="AI8844" s="186"/>
      <c r="AK8844" s="171"/>
    </row>
    <row r="8845" spans="1:41" s="102" customFormat="1" ht="19.899999999999999" customHeight="1" x14ac:dyDescent="0.25">
      <c r="A8845" s="45"/>
      <c r="B8845" s="59"/>
      <c r="C8845" s="137"/>
      <c r="D8845" s="59"/>
      <c r="E8845" s="116"/>
      <c r="F8845" s="120"/>
      <c r="G8845" s="120"/>
      <c r="H8845" s="120"/>
      <c r="I8845" s="60"/>
      <c r="J8845" s="116"/>
      <c r="K8845" s="213"/>
      <c r="L8845" s="120"/>
      <c r="M8845" s="120"/>
      <c r="N8845" s="167"/>
      <c r="O8845" s="120"/>
      <c r="P8845" s="120"/>
      <c r="Q8845" s="120"/>
      <c r="R8845" s="120"/>
      <c r="S8845" s="120"/>
      <c r="T8845" s="221"/>
      <c r="U8845" s="89"/>
      <c r="V8845" s="61"/>
      <c r="W8845" s="92" t="s">
        <v>1353</v>
      </c>
      <c r="X8845" s="93" t="s">
        <v>30</v>
      </c>
      <c r="Y8845" s="93" t="s">
        <v>66</v>
      </c>
      <c r="Z8845" s="134">
        <f>VLOOKUP(W8845,Sheet2!$B:$D,3,FALSE)</f>
        <v>350</v>
      </c>
      <c r="AA8845" s="93">
        <f>1/(2*2*0.3)</f>
        <v>0.83333333333333337</v>
      </c>
      <c r="AB8845" s="93">
        <f>AD8845/AC8850</f>
        <v>420</v>
      </c>
      <c r="AC8845" s="93">
        <f>AC8850/AA8845</f>
        <v>0.23999999999999966</v>
      </c>
      <c r="AD8845" s="94">
        <f t="shared" si="6026"/>
        <v>83.999999999999886</v>
      </c>
      <c r="AE8845" s="190"/>
      <c r="AF8845" s="191"/>
      <c r="AG8845" s="191"/>
      <c r="AH8845" s="191"/>
      <c r="AI8845" s="186"/>
      <c r="AK8845" s="171"/>
    </row>
    <row r="8846" spans="1:41" s="102" customFormat="1" ht="19.899999999999999" customHeight="1" x14ac:dyDescent="0.25">
      <c r="A8846" s="45"/>
      <c r="B8846" s="59"/>
      <c r="C8846" s="137"/>
      <c r="D8846" s="59"/>
      <c r="E8846" s="116"/>
      <c r="F8846" s="120"/>
      <c r="G8846" s="120"/>
      <c r="H8846" s="120"/>
      <c r="I8846" s="60"/>
      <c r="J8846" s="116"/>
      <c r="K8846" s="213"/>
      <c r="L8846" s="120"/>
      <c r="M8846" s="120"/>
      <c r="N8846" s="167"/>
      <c r="O8846" s="120"/>
      <c r="P8846" s="120"/>
      <c r="Q8846" s="120"/>
      <c r="R8846" s="120"/>
      <c r="S8846" s="120"/>
      <c r="T8846" s="221"/>
      <c r="U8846" s="89"/>
      <c r="V8846" s="61"/>
      <c r="W8846" s="92" t="s">
        <v>99</v>
      </c>
      <c r="X8846" s="93" t="s">
        <v>30</v>
      </c>
      <c r="Y8846" s="93" t="s">
        <v>67</v>
      </c>
      <c r="Z8846" s="134">
        <f>VLOOKUP(W8846,Sheet2!$B:$D,3,FALSE)</f>
        <v>2500</v>
      </c>
      <c r="AA8846" s="93">
        <f>AA8845/0.08</f>
        <v>10.416666666666666</v>
      </c>
      <c r="AB8846" s="93">
        <f>AD8846/AC8850</f>
        <v>240</v>
      </c>
      <c r="AC8846" s="93">
        <f>AC8850/AA8846</f>
        <v>1.9199999999999974E-2</v>
      </c>
      <c r="AD8846" s="94">
        <f t="shared" si="6026"/>
        <v>47.999999999999936</v>
      </c>
      <c r="AE8846" s="190"/>
      <c r="AF8846" s="191"/>
      <c r="AG8846" s="191"/>
      <c r="AH8846" s="191"/>
      <c r="AI8846" s="186"/>
      <c r="AK8846" s="171"/>
    </row>
    <row r="8847" spans="1:41" s="102" customFormat="1" ht="19.899999999999999" customHeight="1" x14ac:dyDescent="0.25">
      <c r="A8847" s="45"/>
      <c r="B8847" s="59"/>
      <c r="C8847" s="137"/>
      <c r="D8847" s="59"/>
      <c r="E8847" s="116"/>
      <c r="F8847" s="120"/>
      <c r="G8847" s="120"/>
      <c r="H8847" s="120"/>
      <c r="I8847" s="60"/>
      <c r="J8847" s="116"/>
      <c r="K8847" s="213"/>
      <c r="L8847" s="120"/>
      <c r="M8847" s="120"/>
      <c r="N8847" s="167"/>
      <c r="O8847" s="120"/>
      <c r="P8847" s="120"/>
      <c r="Q8847" s="120"/>
      <c r="R8847" s="120"/>
      <c r="S8847" s="120"/>
      <c r="T8847" s="221"/>
      <c r="U8847" s="89"/>
      <c r="V8847" s="61"/>
      <c r="W8847" s="92" t="s">
        <v>1354</v>
      </c>
      <c r="X8847" s="93" t="s">
        <v>32</v>
      </c>
      <c r="Y8847" s="93" t="s">
        <v>66</v>
      </c>
      <c r="Z8847" s="134">
        <f>VLOOKUP(W8847,Sheet2!$B:$D,3,FALSE)</f>
        <v>150</v>
      </c>
      <c r="AA8847" s="93">
        <f>AA8844</f>
        <v>2.2675736961451243</v>
      </c>
      <c r="AB8847" s="93">
        <f>AD8847/AC8850</f>
        <v>66.15000000000002</v>
      </c>
      <c r="AC8847" s="93">
        <f>AC8850/AA8847</f>
        <v>8.8199999999999903E-2</v>
      </c>
      <c r="AD8847" s="94">
        <f>AC8847*Z8847</f>
        <v>13.229999999999986</v>
      </c>
      <c r="AE8847" s="190"/>
      <c r="AF8847" s="191"/>
      <c r="AG8847" s="191"/>
      <c r="AH8847" s="191"/>
      <c r="AI8847" s="186"/>
      <c r="AK8847" s="171"/>
    </row>
    <row r="8848" spans="1:41" s="102" customFormat="1" ht="19.899999999999999" customHeight="1" x14ac:dyDescent="0.25">
      <c r="A8848" s="45"/>
      <c r="B8848" s="59"/>
      <c r="C8848" s="137"/>
      <c r="D8848" s="59"/>
      <c r="E8848" s="116"/>
      <c r="F8848" s="120"/>
      <c r="G8848" s="120"/>
      <c r="H8848" s="120"/>
      <c r="I8848" s="60"/>
      <c r="J8848" s="116"/>
      <c r="K8848" s="213"/>
      <c r="L8848" s="120"/>
      <c r="M8848" s="120"/>
      <c r="N8848" s="167"/>
      <c r="O8848" s="120"/>
      <c r="P8848" s="120"/>
      <c r="Q8848" s="120"/>
      <c r="R8848" s="120"/>
      <c r="S8848" s="120"/>
      <c r="T8848" s="221"/>
      <c r="U8848" s="89"/>
      <c r="V8848" s="61"/>
      <c r="W8848" s="92" t="s">
        <v>1355</v>
      </c>
      <c r="X8848" s="93" t="s">
        <v>32</v>
      </c>
      <c r="Y8848" s="93" t="s">
        <v>66</v>
      </c>
      <c r="Z8848" s="134">
        <f>VLOOKUP(W8848,Sheet2!$B:$D,3,FALSE)</f>
        <v>450</v>
      </c>
      <c r="AA8848" s="93">
        <f>AA8845</f>
        <v>0.83333333333333337</v>
      </c>
      <c r="AB8848" s="93">
        <f>AD8848/AC8850</f>
        <v>539.99999999999989</v>
      </c>
      <c r="AC8848" s="93">
        <f>AC8850/AA8848</f>
        <v>0.23999999999999966</v>
      </c>
      <c r="AD8848" s="94">
        <f>AC8848*Z8848</f>
        <v>107.99999999999984</v>
      </c>
      <c r="AE8848" s="190"/>
      <c r="AF8848" s="191"/>
      <c r="AG8848" s="191"/>
      <c r="AH8848" s="191"/>
      <c r="AI8848" s="186"/>
      <c r="AK8848" s="171"/>
    </row>
    <row r="8849" spans="1:37" s="102" customFormat="1" ht="19.899999999999999" customHeight="1" x14ac:dyDescent="0.25">
      <c r="A8849" s="45"/>
      <c r="B8849" s="59"/>
      <c r="C8849" s="137"/>
      <c r="D8849" s="59"/>
      <c r="E8849" s="116"/>
      <c r="F8849" s="120"/>
      <c r="G8849" s="120"/>
      <c r="H8849" s="120"/>
      <c r="I8849" s="60"/>
      <c r="J8849" s="116"/>
      <c r="K8849" s="213"/>
      <c r="L8849" s="120"/>
      <c r="M8849" s="120"/>
      <c r="N8849" s="167"/>
      <c r="O8849" s="120"/>
      <c r="P8849" s="120"/>
      <c r="Q8849" s="120"/>
      <c r="R8849" s="120"/>
      <c r="S8849" s="120"/>
      <c r="T8849" s="221"/>
      <c r="U8849" s="89"/>
      <c r="V8849" s="61"/>
      <c r="W8849" s="92" t="s">
        <v>124</v>
      </c>
      <c r="X8849" s="93" t="s">
        <v>32</v>
      </c>
      <c r="Y8849" s="93" t="s">
        <v>64</v>
      </c>
      <c r="Z8849" s="134">
        <f>VLOOKUP(W8849,Sheet2!$B:$D,3,FALSE)</f>
        <v>10</v>
      </c>
      <c r="AA8849" s="93">
        <f>1/((2.6*2.6)-(3.14*1.2*1.2/4))</f>
        <v>0.17763251385533604</v>
      </c>
      <c r="AB8849" s="93">
        <f t="shared" ref="AB8849" si="6027">AD8849/AC8843</f>
        <v>56.296000000000014</v>
      </c>
      <c r="AC8849" s="93">
        <f>AC8843/AA8849</f>
        <v>1.1259199999999987</v>
      </c>
      <c r="AD8849" s="94">
        <f t="shared" ref="AD8849" si="6028">AC8849*Z8849</f>
        <v>11.259199999999987</v>
      </c>
      <c r="AE8849" s="190"/>
      <c r="AF8849" s="191"/>
      <c r="AG8849" s="191"/>
      <c r="AH8849" s="191"/>
      <c r="AI8849" s="186"/>
      <c r="AK8849" s="171"/>
    </row>
    <row r="8850" spans="1:37" s="103" customFormat="1" ht="19.899999999999999" customHeight="1" x14ac:dyDescent="0.25">
      <c r="A8850" s="51"/>
      <c r="B8850" s="52"/>
      <c r="C8850" s="165"/>
      <c r="D8850" s="52"/>
      <c r="E8850" s="115"/>
      <c r="F8850" s="58"/>
      <c r="G8850" s="58"/>
      <c r="H8850" s="58"/>
      <c r="I8850" s="55"/>
      <c r="J8850" s="113">
        <f>J8837</f>
        <v>0.19999999999999973</v>
      </c>
      <c r="K8850" s="212">
        <f>K8837</f>
        <v>0.19999999999999973</v>
      </c>
      <c r="L8850" s="58"/>
      <c r="M8850" s="58">
        <f>K8850-L8850</f>
        <v>0.19999999999999973</v>
      </c>
      <c r="N8850" s="166"/>
      <c r="O8850" s="58"/>
      <c r="P8850" s="58"/>
      <c r="Q8850" s="58"/>
      <c r="R8850" s="58"/>
      <c r="S8850" s="58"/>
      <c r="T8850" s="220"/>
      <c r="U8850" s="88"/>
      <c r="V8850" s="56"/>
      <c r="W8850" s="57" t="s">
        <v>1275</v>
      </c>
      <c r="X8850" s="53"/>
      <c r="Y8850" s="91" t="s">
        <v>35</v>
      </c>
      <c r="Z8850" s="136">
        <f>AD8850/AC8850</f>
        <v>8072.8</v>
      </c>
      <c r="AA8850" s="58"/>
      <c r="AB8850" s="53">
        <f>AD8850/AC8850</f>
        <v>8072.8</v>
      </c>
      <c r="AC8850" s="53">
        <f>M8850+$AE$10</f>
        <v>0.19999999999999973</v>
      </c>
      <c r="AD8850" s="54">
        <f>SUM(AD8851:AD8856)</f>
        <v>1614.5599999999979</v>
      </c>
      <c r="AE8850" s="184">
        <f>SUMIFS($AD$37:$AD$12971,$V$37:$V$12971,$V8850,$X$37:$X$12971,AE$13)</f>
        <v>0</v>
      </c>
      <c r="AF8850" s="185">
        <f>SUMIFS($AD$37:$AD$12971,$V$37:$V$12971,$V8850,$X$37:$X$12971,AF$13)</f>
        <v>0</v>
      </c>
      <c r="AG8850" s="185">
        <f>SUMIFS($AD$37:$AD$12971,$V$37:$V$12971,$V8850,$X$37:$X$12971,AG$13)</f>
        <v>0</v>
      </c>
      <c r="AH8850" s="187">
        <f>SUMIFS($AD$37:$AD$12971,$V$37:$V$12971,$V8850,$X$37:$X$12971,AH$13)</f>
        <v>0</v>
      </c>
      <c r="AI8850" s="161">
        <f t="shared" ref="AI8850" si="6029">SUM(AE8850:AH8850)</f>
        <v>0</v>
      </c>
      <c r="AK8850" s="172"/>
    </row>
    <row r="8851" spans="1:37" s="102" customFormat="1" ht="19.899999999999999" customHeight="1" x14ac:dyDescent="0.25">
      <c r="A8851" s="45"/>
      <c r="B8851" s="59"/>
      <c r="C8851" s="137"/>
      <c r="D8851" s="59"/>
      <c r="E8851" s="116"/>
      <c r="F8851" s="120"/>
      <c r="G8851" s="120"/>
      <c r="H8851" s="120"/>
      <c r="I8851" s="60"/>
      <c r="J8851" s="116"/>
      <c r="K8851" s="213"/>
      <c r="L8851" s="120"/>
      <c r="M8851" s="120"/>
      <c r="N8851" s="167"/>
      <c r="O8851" s="120"/>
      <c r="P8851" s="120"/>
      <c r="Q8851" s="120"/>
      <c r="R8851" s="120"/>
      <c r="S8851" s="120"/>
      <c r="T8851" s="221"/>
      <c r="U8851" s="89"/>
      <c r="V8851" s="61"/>
      <c r="W8851" s="92" t="s">
        <v>1493</v>
      </c>
      <c r="X8851" s="93" t="s">
        <v>30</v>
      </c>
      <c r="Y8851" s="93" t="s">
        <v>35</v>
      </c>
      <c r="Z8851" s="134">
        <f>VLOOKUP(W8851,Sheet2!$B:$D,3,FALSE)</f>
        <v>6300</v>
      </c>
      <c r="AA8851" s="93">
        <v>1</v>
      </c>
      <c r="AB8851" s="93">
        <f>AD8851/AC8850</f>
        <v>6300</v>
      </c>
      <c r="AC8851" s="93">
        <f>AC8850/AA8851</f>
        <v>0.19999999999999973</v>
      </c>
      <c r="AD8851" s="94">
        <f t="shared" ref="AD8851:AD8852" si="6030">AC8851*Z8851</f>
        <v>1259.9999999999984</v>
      </c>
      <c r="AE8851" s="190"/>
      <c r="AF8851" s="191"/>
      <c r="AG8851" s="191"/>
      <c r="AH8851" s="191"/>
      <c r="AI8851" s="186"/>
      <c r="AK8851" s="171"/>
    </row>
    <row r="8852" spans="1:37" s="102" customFormat="1" ht="19.899999999999999" customHeight="1" x14ac:dyDescent="0.25">
      <c r="A8852" s="45"/>
      <c r="B8852" s="59"/>
      <c r="C8852" s="137"/>
      <c r="D8852" s="59"/>
      <c r="E8852" s="116"/>
      <c r="F8852" s="120"/>
      <c r="G8852" s="120"/>
      <c r="H8852" s="120"/>
      <c r="I8852" s="60"/>
      <c r="J8852" s="116"/>
      <c r="K8852" s="213"/>
      <c r="L8852" s="120"/>
      <c r="M8852" s="120"/>
      <c r="N8852" s="167"/>
      <c r="O8852" s="120"/>
      <c r="P8852" s="120"/>
      <c r="Q8852" s="120"/>
      <c r="R8852" s="120"/>
      <c r="S8852" s="120"/>
      <c r="T8852" s="221"/>
      <c r="U8852" s="89"/>
      <c r="V8852" s="61"/>
      <c r="W8852" s="92" t="s">
        <v>174</v>
      </c>
      <c r="X8852" s="93" t="s">
        <v>29</v>
      </c>
      <c r="Y8852" s="93" t="s">
        <v>93</v>
      </c>
      <c r="Z8852" s="134">
        <f>VLOOKUP(W8852,Sheet2!$B:$D,3,FALSE)</f>
        <v>80</v>
      </c>
      <c r="AA8852" s="93">
        <f>1/2</f>
        <v>0.5</v>
      </c>
      <c r="AB8852" s="93">
        <f>AD8852/AC8850</f>
        <v>160</v>
      </c>
      <c r="AC8852" s="93">
        <f>AC8850/AA8852</f>
        <v>0.39999999999999947</v>
      </c>
      <c r="AD8852" s="94">
        <f t="shared" si="6030"/>
        <v>31.999999999999957</v>
      </c>
      <c r="AE8852" s="190"/>
      <c r="AF8852" s="191"/>
      <c r="AG8852" s="191"/>
      <c r="AH8852" s="191"/>
      <c r="AI8852" s="186"/>
      <c r="AK8852" s="171"/>
    </row>
    <row r="8853" spans="1:37" s="102" customFormat="1" ht="19.899999999999999" customHeight="1" x14ac:dyDescent="0.25">
      <c r="A8853" s="45"/>
      <c r="B8853" s="59"/>
      <c r="C8853" s="137"/>
      <c r="D8853" s="59"/>
      <c r="E8853" s="116"/>
      <c r="F8853" s="120"/>
      <c r="G8853" s="120"/>
      <c r="H8853" s="120"/>
      <c r="I8853" s="60"/>
      <c r="J8853" s="116"/>
      <c r="K8853" s="213"/>
      <c r="L8853" s="120"/>
      <c r="M8853" s="120"/>
      <c r="N8853" s="167"/>
      <c r="O8853" s="120"/>
      <c r="P8853" s="120"/>
      <c r="Q8853" s="120"/>
      <c r="R8853" s="120"/>
      <c r="S8853" s="120"/>
      <c r="T8853" s="221"/>
      <c r="U8853" s="89"/>
      <c r="V8853" s="61"/>
      <c r="W8853" s="92" t="s">
        <v>65</v>
      </c>
      <c r="X8853" s="93" t="s">
        <v>30</v>
      </c>
      <c r="Y8853" s="93" t="s">
        <v>93</v>
      </c>
      <c r="Z8853" s="134">
        <f>VLOOKUP(W8853,Sheet2!$B:$D,3,FALSE)</f>
        <v>1.76</v>
      </c>
      <c r="AA8853" s="93">
        <f>AA8852/15</f>
        <v>3.3333333333333333E-2</v>
      </c>
      <c r="AB8853" s="93">
        <f>AD8853/AC8850</f>
        <v>52.800000000000004</v>
      </c>
      <c r="AC8853" s="93">
        <f>AC8850/AA8853</f>
        <v>5.999999999999992</v>
      </c>
      <c r="AD8853" s="94">
        <f>AC8853*Z8853</f>
        <v>10.559999999999986</v>
      </c>
      <c r="AE8853" s="190"/>
      <c r="AF8853" s="191"/>
      <c r="AG8853" s="191"/>
      <c r="AH8853" s="191"/>
      <c r="AI8853" s="186"/>
      <c r="AK8853" s="171"/>
    </row>
    <row r="8854" spans="1:37" s="102" customFormat="1" ht="19.899999999999999" customHeight="1" x14ac:dyDescent="0.25">
      <c r="A8854" s="45"/>
      <c r="B8854" s="59"/>
      <c r="C8854" s="137"/>
      <c r="D8854" s="59"/>
      <c r="E8854" s="116"/>
      <c r="F8854" s="120"/>
      <c r="G8854" s="120"/>
      <c r="H8854" s="120"/>
      <c r="I8854" s="60"/>
      <c r="J8854" s="116"/>
      <c r="K8854" s="213"/>
      <c r="L8854" s="120"/>
      <c r="M8854" s="120"/>
      <c r="N8854" s="167"/>
      <c r="O8854" s="120"/>
      <c r="P8854" s="120"/>
      <c r="Q8854" s="120"/>
      <c r="R8854" s="120"/>
      <c r="S8854" s="120"/>
      <c r="T8854" s="221"/>
      <c r="U8854" s="89"/>
      <c r="V8854" s="61"/>
      <c r="W8854" s="92" t="s">
        <v>1487</v>
      </c>
      <c r="X8854" s="93" t="s">
        <v>32</v>
      </c>
      <c r="Y8854" s="93" t="s">
        <v>1349</v>
      </c>
      <c r="Z8854" s="134">
        <f>VLOOKUP(W8854,Sheet2!$B:$D,3,FALSE)</f>
        <v>1500</v>
      </c>
      <c r="AA8854" s="93">
        <v>1</v>
      </c>
      <c r="AB8854" s="93">
        <f>AD8854/AC8850</f>
        <v>1500</v>
      </c>
      <c r="AC8854" s="93">
        <f>AC8850/AA8854</f>
        <v>0.19999999999999973</v>
      </c>
      <c r="AD8854" s="94">
        <f>AC8854*Z8854</f>
        <v>299.9999999999996</v>
      </c>
      <c r="AE8854" s="190"/>
      <c r="AF8854" s="191"/>
      <c r="AG8854" s="191"/>
      <c r="AH8854" s="191"/>
      <c r="AI8854" s="186"/>
      <c r="AK8854" s="171"/>
    </row>
    <row r="8855" spans="1:37" s="102" customFormat="1" ht="19.899999999999999" customHeight="1" x14ac:dyDescent="0.25">
      <c r="A8855" s="45"/>
      <c r="B8855" s="59"/>
      <c r="C8855" s="137"/>
      <c r="D8855" s="59"/>
      <c r="E8855" s="116"/>
      <c r="F8855" s="120"/>
      <c r="G8855" s="120"/>
      <c r="H8855" s="120"/>
      <c r="I8855" s="60"/>
      <c r="J8855" s="116"/>
      <c r="K8855" s="213"/>
      <c r="L8855" s="120"/>
      <c r="M8855" s="120"/>
      <c r="N8855" s="167"/>
      <c r="O8855" s="120"/>
      <c r="P8855" s="120"/>
      <c r="Q8855" s="120"/>
      <c r="R8855" s="120"/>
      <c r="S8855" s="120"/>
      <c r="T8855" s="221"/>
      <c r="U8855" s="89"/>
      <c r="V8855" s="61"/>
      <c r="W8855" s="92" t="s">
        <v>107</v>
      </c>
      <c r="X8855" s="93" t="s">
        <v>31</v>
      </c>
      <c r="Y8855" s="93" t="s">
        <v>93</v>
      </c>
      <c r="Z8855" s="134">
        <f>VLOOKUP(W8855,Sheet2!$B:$D,3,FALSE)</f>
        <v>17</v>
      </c>
      <c r="AA8855" s="93">
        <f>AA8852</f>
        <v>0.5</v>
      </c>
      <c r="AB8855" s="93">
        <f>AD8855/AC8850</f>
        <v>34</v>
      </c>
      <c r="AC8855" s="93">
        <f>AC8850/AA8855</f>
        <v>0.39999999999999947</v>
      </c>
      <c r="AD8855" s="94">
        <f>AC8855*Z8855</f>
        <v>6.7999999999999909</v>
      </c>
      <c r="AE8855" s="190"/>
      <c r="AF8855" s="191"/>
      <c r="AG8855" s="191"/>
      <c r="AH8855" s="191"/>
      <c r="AI8855" s="186"/>
      <c r="AK8855" s="171"/>
    </row>
    <row r="8856" spans="1:37" s="102" customFormat="1" ht="19.899999999999999" customHeight="1" x14ac:dyDescent="0.25">
      <c r="A8856" s="45"/>
      <c r="B8856" s="59"/>
      <c r="C8856" s="137"/>
      <c r="D8856" s="59"/>
      <c r="E8856" s="116"/>
      <c r="F8856" s="120"/>
      <c r="G8856" s="120"/>
      <c r="H8856" s="120"/>
      <c r="I8856" s="60"/>
      <c r="J8856" s="116"/>
      <c r="K8856" s="213"/>
      <c r="L8856" s="120"/>
      <c r="M8856" s="120"/>
      <c r="N8856" s="167"/>
      <c r="O8856" s="120"/>
      <c r="P8856" s="120"/>
      <c r="Q8856" s="120"/>
      <c r="R8856" s="120"/>
      <c r="S8856" s="120"/>
      <c r="T8856" s="221"/>
      <c r="U8856" s="89"/>
      <c r="V8856" s="61"/>
      <c r="W8856" s="92" t="s">
        <v>112</v>
      </c>
      <c r="X8856" s="93" t="s">
        <v>31</v>
      </c>
      <c r="Y8856" s="93" t="s">
        <v>93</v>
      </c>
      <c r="Z8856" s="134">
        <f>VLOOKUP(W8856,Sheet2!$B:$D,3,FALSE)</f>
        <v>13</v>
      </c>
      <c r="AA8856" s="93">
        <f>AA8855</f>
        <v>0.5</v>
      </c>
      <c r="AB8856" s="93">
        <f>AD8856/AC8850</f>
        <v>26</v>
      </c>
      <c r="AC8856" s="93">
        <f>AC8850/AA8856</f>
        <v>0.39999999999999947</v>
      </c>
      <c r="AD8856" s="94">
        <f>AC8856*Z8856</f>
        <v>5.1999999999999931</v>
      </c>
      <c r="AE8856" s="190"/>
      <c r="AF8856" s="191"/>
      <c r="AG8856" s="191"/>
      <c r="AH8856" s="191"/>
      <c r="AI8856" s="186"/>
      <c r="AK8856" s="171"/>
    </row>
    <row r="8857" spans="1:37" s="103" customFormat="1" ht="19.899999999999999" customHeight="1" x14ac:dyDescent="0.25">
      <c r="A8857" s="51"/>
      <c r="B8857" s="52"/>
      <c r="C8857" s="165"/>
      <c r="D8857" s="52"/>
      <c r="E8857" s="115"/>
      <c r="F8857" s="58"/>
      <c r="G8857" s="58"/>
      <c r="H8857" s="58"/>
      <c r="I8857" s="55"/>
      <c r="J8857" s="113">
        <f>J8837</f>
        <v>0.19999999999999973</v>
      </c>
      <c r="K8857" s="212">
        <f>K8837</f>
        <v>0.19999999999999973</v>
      </c>
      <c r="L8857" s="58"/>
      <c r="M8857" s="58">
        <f>K8857-L8857</f>
        <v>0.19999999999999973</v>
      </c>
      <c r="N8857" s="166"/>
      <c r="O8857" s="58"/>
      <c r="P8857" s="58"/>
      <c r="Q8857" s="58"/>
      <c r="R8857" s="58"/>
      <c r="S8857" s="58"/>
      <c r="T8857" s="220"/>
      <c r="U8857" s="88"/>
      <c r="V8857" s="56"/>
      <c r="W8857" s="57" t="s">
        <v>1272</v>
      </c>
      <c r="X8857" s="53"/>
      <c r="Y8857" s="91" t="s">
        <v>35</v>
      </c>
      <c r="Z8857" s="136">
        <f>AD8857/AC8857</f>
        <v>474.37393936941174</v>
      </c>
      <c r="AA8857" s="58"/>
      <c r="AB8857" s="53">
        <f>AD8857/AC8857</f>
        <v>474.37393936941174</v>
      </c>
      <c r="AC8857" s="53">
        <f>M8857+$AE$10</f>
        <v>0.19999999999999973</v>
      </c>
      <c r="AD8857" s="54">
        <f>SUM(AD8858:AD8866)</f>
        <v>94.874787873882227</v>
      </c>
      <c r="AE8857" s="184">
        <f>SUMIFS($AD$37:$AD$12971,$V$37:$V$12971,$V8857,$X$37:$X$12971,AE$13)</f>
        <v>0</v>
      </c>
      <c r="AF8857" s="185">
        <f>SUMIFS($AD$37:$AD$12971,$V$37:$V$12971,$V8857,$X$37:$X$12971,AF$13)</f>
        <v>0</v>
      </c>
      <c r="AG8857" s="185">
        <f>SUMIFS($AD$37:$AD$12971,$V$37:$V$12971,$V8857,$X$37:$X$12971,AG$13)</f>
        <v>0</v>
      </c>
      <c r="AH8857" s="187">
        <f>SUMIFS($AD$37:$AD$12971,$V$37:$V$12971,$V8857,$X$37:$X$12971,AH$13)</f>
        <v>0</v>
      </c>
      <c r="AI8857" s="161">
        <f t="shared" ref="AI8857" si="6031">SUM(AE8857:AH8857)</f>
        <v>0</v>
      </c>
      <c r="AK8857" s="172"/>
    </row>
    <row r="8858" spans="1:37" s="102" customFormat="1" ht="19.899999999999999" customHeight="1" x14ac:dyDescent="0.25">
      <c r="A8858" s="45"/>
      <c r="B8858" s="59"/>
      <c r="C8858" s="137"/>
      <c r="D8858" s="59"/>
      <c r="E8858" s="116"/>
      <c r="F8858" s="120"/>
      <c r="G8858" s="120"/>
      <c r="H8858" s="120"/>
      <c r="I8858" s="60"/>
      <c r="J8858" s="116"/>
      <c r="K8858" s="213"/>
      <c r="L8858" s="120"/>
      <c r="M8858" s="120"/>
      <c r="N8858" s="167"/>
      <c r="O8858" s="120"/>
      <c r="P8858" s="120"/>
      <c r="Q8858" s="120"/>
      <c r="R8858" s="120"/>
      <c r="S8858" s="120"/>
      <c r="T8858" s="221"/>
      <c r="U8858" s="89"/>
      <c r="V8858" s="61"/>
      <c r="W8858" s="92" t="s">
        <v>1273</v>
      </c>
      <c r="X8858" s="93" t="s">
        <v>30</v>
      </c>
      <c r="Y8858" s="93" t="s">
        <v>66</v>
      </c>
      <c r="Z8858" s="134">
        <f>VLOOKUP(W8858,Sheet2!$B:$D,3,FALSE)</f>
        <v>10</v>
      </c>
      <c r="AA8858" s="93">
        <f>1/((2.5*2.5*4.5)-(3.14/4*1.2*1.2*4.5))</f>
        <v>4.3406168884721895E-2</v>
      </c>
      <c r="AB8858" s="93">
        <f>AD8858/AC8857</f>
        <v>230.38199999999998</v>
      </c>
      <c r="AC8858" s="93">
        <f>AC8857/AA8858</f>
        <v>4.6076399999999937</v>
      </c>
      <c r="AD8858" s="94">
        <f t="shared" ref="AD8858:AD8860" si="6032">AC8858*Z8858</f>
        <v>46.076399999999936</v>
      </c>
      <c r="AE8858" s="190"/>
      <c r="AF8858" s="191"/>
      <c r="AG8858" s="191"/>
      <c r="AH8858" s="191"/>
      <c r="AI8858" s="186"/>
      <c r="AK8858" s="171"/>
    </row>
    <row r="8859" spans="1:37" s="102" customFormat="1" ht="19.899999999999999" customHeight="1" x14ac:dyDescent="0.25">
      <c r="A8859" s="45"/>
      <c r="B8859" s="59"/>
      <c r="C8859" s="137"/>
      <c r="D8859" s="59"/>
      <c r="E8859" s="116"/>
      <c r="F8859" s="120"/>
      <c r="G8859" s="120"/>
      <c r="H8859" s="120"/>
      <c r="I8859" s="60"/>
      <c r="J8859" s="116"/>
      <c r="K8859" s="213"/>
      <c r="L8859" s="120"/>
      <c r="M8859" s="120"/>
      <c r="N8859" s="167"/>
      <c r="O8859" s="120"/>
      <c r="P8859" s="120"/>
      <c r="Q8859" s="120"/>
      <c r="R8859" s="120"/>
      <c r="S8859" s="120"/>
      <c r="T8859" s="221"/>
      <c r="U8859" s="89"/>
      <c r="V8859" s="61"/>
      <c r="W8859" s="92" t="s">
        <v>134</v>
      </c>
      <c r="X8859" s="93" t="s">
        <v>29</v>
      </c>
      <c r="Y8859" s="93" t="s">
        <v>93</v>
      </c>
      <c r="Z8859" s="134">
        <f>VLOOKUP(W8859,Sheet2!$B:$D,3,FALSE)</f>
        <v>65.599999999999994</v>
      </c>
      <c r="AA8859" s="93">
        <f>100/((2.5*2.5*4.5)-(3.14/4*1.2*1.2*4.5))</f>
        <v>4.3406168884721898</v>
      </c>
      <c r="AB8859" s="93">
        <f t="shared" ref="AB8859" si="6033">AD8859/AC8857</f>
        <v>15.113059199999997</v>
      </c>
      <c r="AC8859" s="93">
        <f>AC8857/AA8859</f>
        <v>4.6076399999999934E-2</v>
      </c>
      <c r="AD8859" s="94">
        <f t="shared" si="6032"/>
        <v>3.0226118399999953</v>
      </c>
      <c r="AE8859" s="190"/>
      <c r="AF8859" s="191"/>
      <c r="AG8859" s="191"/>
      <c r="AH8859" s="191"/>
      <c r="AI8859" s="186"/>
      <c r="AK8859" s="171"/>
    </row>
    <row r="8860" spans="1:37" s="102" customFormat="1" ht="19.899999999999999" customHeight="1" x14ac:dyDescent="0.25">
      <c r="A8860" s="45"/>
      <c r="B8860" s="59"/>
      <c r="C8860" s="137"/>
      <c r="D8860" s="59"/>
      <c r="E8860" s="116"/>
      <c r="F8860" s="120"/>
      <c r="G8860" s="120"/>
      <c r="H8860" s="120"/>
      <c r="I8860" s="60"/>
      <c r="J8860" s="116"/>
      <c r="K8860" s="213"/>
      <c r="L8860" s="120"/>
      <c r="M8860" s="120"/>
      <c r="N8860" s="167"/>
      <c r="O8860" s="120"/>
      <c r="P8860" s="120"/>
      <c r="Q8860" s="120"/>
      <c r="R8860" s="120"/>
      <c r="S8860" s="120"/>
      <c r="T8860" s="221"/>
      <c r="U8860" s="89"/>
      <c r="V8860" s="61"/>
      <c r="W8860" s="92" t="s">
        <v>65</v>
      </c>
      <c r="X8860" s="93" t="s">
        <v>30</v>
      </c>
      <c r="Y8860" s="93" t="s">
        <v>1011</v>
      </c>
      <c r="Z8860" s="134">
        <f>VLOOKUP(W8860,Sheet2!$B:$D,3,FALSE)</f>
        <v>1.76</v>
      </c>
      <c r="AA8860" s="93">
        <f>AA8859/9</f>
        <v>0.48229076538579885</v>
      </c>
      <c r="AB8860" s="93">
        <f>AD8860/AC8857</f>
        <v>3.6492508799999999</v>
      </c>
      <c r="AC8860" s="93">
        <f>AC8857/AA8860</f>
        <v>0.41468759999999943</v>
      </c>
      <c r="AD8860" s="94">
        <f t="shared" si="6032"/>
        <v>0.72985017599999902</v>
      </c>
      <c r="AE8860" s="190"/>
      <c r="AF8860" s="191"/>
      <c r="AG8860" s="191"/>
      <c r="AH8860" s="191"/>
      <c r="AI8860" s="186"/>
      <c r="AK8860" s="171"/>
    </row>
    <row r="8861" spans="1:37" s="102" customFormat="1" ht="19.899999999999999" customHeight="1" x14ac:dyDescent="0.25">
      <c r="A8861" s="45"/>
      <c r="B8861" s="59"/>
      <c r="C8861" s="137"/>
      <c r="D8861" s="59"/>
      <c r="E8861" s="116"/>
      <c r="F8861" s="120"/>
      <c r="G8861" s="120"/>
      <c r="H8861" s="120"/>
      <c r="I8861" s="60"/>
      <c r="J8861" s="116"/>
      <c r="K8861" s="213"/>
      <c r="L8861" s="120"/>
      <c r="M8861" s="120"/>
      <c r="N8861" s="167"/>
      <c r="O8861" s="120"/>
      <c r="P8861" s="120"/>
      <c r="Q8861" s="120"/>
      <c r="R8861" s="120"/>
      <c r="S8861" s="120"/>
      <c r="T8861" s="221"/>
      <c r="U8861" s="89"/>
      <c r="V8861" s="61"/>
      <c r="W8861" s="92" t="s">
        <v>161</v>
      </c>
      <c r="X8861" s="93" t="s">
        <v>29</v>
      </c>
      <c r="Y8861" s="93" t="s">
        <v>93</v>
      </c>
      <c r="Z8861" s="134">
        <f>VLOOKUP(W8861,Sheet2!$B:$D,3,FALSE)</f>
        <v>48</v>
      </c>
      <c r="AA8861" s="93">
        <f>(16*0.85*1.5)/((2.5*2.5*4.5)-(3.14/4*1.2*1.2*4.5))</f>
        <v>0.88548584524832663</v>
      </c>
      <c r="AB8861" s="93">
        <f>AD8861/AC8857</f>
        <v>54.20752941176471</v>
      </c>
      <c r="AC8861" s="93">
        <f>AC8857/AA8861</f>
        <v>0.22586470588235266</v>
      </c>
      <c r="AD8861" s="94">
        <f>AC8861*Z8861</f>
        <v>10.841505882352928</v>
      </c>
      <c r="AE8861" s="190"/>
      <c r="AF8861" s="191"/>
      <c r="AG8861" s="191"/>
      <c r="AH8861" s="191"/>
      <c r="AI8861" s="186"/>
      <c r="AK8861" s="171"/>
    </row>
    <row r="8862" spans="1:37" s="102" customFormat="1" ht="19.899999999999999" customHeight="1" x14ac:dyDescent="0.25">
      <c r="A8862" s="45"/>
      <c r="B8862" s="59"/>
      <c r="C8862" s="137"/>
      <c r="D8862" s="59"/>
      <c r="E8862" s="116"/>
      <c r="F8862" s="120"/>
      <c r="G8862" s="120"/>
      <c r="H8862" s="120"/>
      <c r="I8862" s="60"/>
      <c r="J8862" s="116"/>
      <c r="K8862" s="213"/>
      <c r="L8862" s="120"/>
      <c r="M8862" s="120"/>
      <c r="N8862" s="167"/>
      <c r="O8862" s="120"/>
      <c r="P8862" s="120"/>
      <c r="Q8862" s="120"/>
      <c r="R8862" s="120"/>
      <c r="S8862" s="120"/>
      <c r="T8862" s="221"/>
      <c r="U8862" s="89"/>
      <c r="V8862" s="61"/>
      <c r="W8862" s="92" t="s">
        <v>65</v>
      </c>
      <c r="X8862" s="93" t="s">
        <v>30</v>
      </c>
      <c r="Y8862" s="93" t="s">
        <v>1011</v>
      </c>
      <c r="Z8862" s="134">
        <f>VLOOKUP(W8862,Sheet2!$B:$D,3,FALSE)</f>
        <v>1.76</v>
      </c>
      <c r="AA8862" s="93">
        <f>AA8861/10</f>
        <v>8.8548584524832663E-2</v>
      </c>
      <c r="AB8862" s="93">
        <f>AD8862/AC8857</f>
        <v>19.876094117647057</v>
      </c>
      <c r="AC8862" s="93">
        <f>AC8857/AA8862</f>
        <v>2.2586470588235263</v>
      </c>
      <c r="AD8862" s="94">
        <f>AC8862*Z8862</f>
        <v>3.9752188235294064</v>
      </c>
      <c r="AE8862" s="190"/>
      <c r="AF8862" s="191"/>
      <c r="AG8862" s="191"/>
      <c r="AH8862" s="191"/>
      <c r="AI8862" s="186"/>
      <c r="AK8862" s="171"/>
    </row>
    <row r="8863" spans="1:37" s="102" customFormat="1" ht="19.899999999999999" customHeight="1" x14ac:dyDescent="0.25">
      <c r="A8863" s="45"/>
      <c r="B8863" s="59"/>
      <c r="C8863" s="137"/>
      <c r="D8863" s="59"/>
      <c r="E8863" s="116"/>
      <c r="F8863" s="120"/>
      <c r="G8863" s="120"/>
      <c r="H8863" s="120"/>
      <c r="I8863" s="60"/>
      <c r="J8863" s="116"/>
      <c r="K8863" s="213"/>
      <c r="L8863" s="120"/>
      <c r="M8863" s="120"/>
      <c r="N8863" s="167"/>
      <c r="O8863" s="120"/>
      <c r="P8863" s="120"/>
      <c r="Q8863" s="120"/>
      <c r="R8863" s="120"/>
      <c r="S8863" s="120"/>
      <c r="T8863" s="221"/>
      <c r="U8863" s="89"/>
      <c r="V8863" s="61"/>
      <c r="W8863" s="92" t="s">
        <v>173</v>
      </c>
      <c r="X8863" s="93" t="s">
        <v>29</v>
      </c>
      <c r="Y8863" s="93" t="s">
        <v>93</v>
      </c>
      <c r="Z8863" s="134">
        <f>VLOOKUP(W8863,Sheet2!$B:$D,3,FALSE)</f>
        <v>36</v>
      </c>
      <c r="AA8863" s="93">
        <f>50/((2.5*2.5*4.5)-(3.14/4*1.2*1.2*4.5))</f>
        <v>2.1703084442360949</v>
      </c>
      <c r="AB8863" s="93">
        <f>AD8863/AC8857</f>
        <v>16.587503999999996</v>
      </c>
      <c r="AC8863" s="93">
        <f>AC8857/AA8863</f>
        <v>9.2152799999999868E-2</v>
      </c>
      <c r="AD8863" s="94">
        <f>AC8863*Z8863</f>
        <v>3.317500799999995</v>
      </c>
      <c r="AE8863" s="190"/>
      <c r="AF8863" s="191"/>
      <c r="AG8863" s="191"/>
      <c r="AH8863" s="191"/>
      <c r="AI8863" s="186"/>
      <c r="AK8863" s="171"/>
    </row>
    <row r="8864" spans="1:37" s="102" customFormat="1" ht="19.899999999999999" customHeight="1" x14ac:dyDescent="0.25">
      <c r="A8864" s="45"/>
      <c r="B8864" s="59"/>
      <c r="C8864" s="137"/>
      <c r="D8864" s="59"/>
      <c r="E8864" s="116"/>
      <c r="F8864" s="120"/>
      <c r="G8864" s="120"/>
      <c r="H8864" s="120"/>
      <c r="I8864" s="60"/>
      <c r="J8864" s="116"/>
      <c r="K8864" s="213"/>
      <c r="L8864" s="120"/>
      <c r="M8864" s="120"/>
      <c r="N8864" s="167"/>
      <c r="O8864" s="120"/>
      <c r="P8864" s="120"/>
      <c r="Q8864" s="120"/>
      <c r="R8864" s="120"/>
      <c r="S8864" s="120"/>
      <c r="T8864" s="221"/>
      <c r="U8864" s="89"/>
      <c r="V8864" s="61"/>
      <c r="W8864" s="92" t="s">
        <v>65</v>
      </c>
      <c r="X8864" s="93" t="s">
        <v>30</v>
      </c>
      <c r="Y8864" s="93" t="s">
        <v>1011</v>
      </c>
      <c r="Z8864" s="134">
        <f>VLOOKUP(W8864,Sheet2!$B:$D,3,FALSE)</f>
        <v>1.76</v>
      </c>
      <c r="AA8864" s="93">
        <f>AA8863/9</f>
        <v>0.24114538269289942</v>
      </c>
      <c r="AB8864" s="93">
        <f>AD8864/AC8857</f>
        <v>7.2985017599999997</v>
      </c>
      <c r="AC8864" s="93">
        <f>AC8857/AA8864</f>
        <v>0.82937519999999887</v>
      </c>
      <c r="AD8864" s="94">
        <f>AC8864*Z8864</f>
        <v>1.459700351999998</v>
      </c>
      <c r="AE8864" s="190"/>
      <c r="AF8864" s="191"/>
      <c r="AG8864" s="191"/>
      <c r="AH8864" s="191"/>
      <c r="AI8864" s="186"/>
      <c r="AK8864" s="171"/>
    </row>
    <row r="8865" spans="1:41" s="102" customFormat="1" ht="19.899999999999999" customHeight="1" x14ac:dyDescent="0.25">
      <c r="A8865" s="45"/>
      <c r="B8865" s="59"/>
      <c r="C8865" s="137"/>
      <c r="D8865" s="59"/>
      <c r="E8865" s="116"/>
      <c r="F8865" s="120"/>
      <c r="G8865" s="120"/>
      <c r="H8865" s="120"/>
      <c r="I8865" s="60"/>
      <c r="J8865" s="116"/>
      <c r="K8865" s="213"/>
      <c r="L8865" s="120"/>
      <c r="M8865" s="120"/>
      <c r="N8865" s="167"/>
      <c r="O8865" s="120"/>
      <c r="P8865" s="120"/>
      <c r="Q8865" s="120"/>
      <c r="R8865" s="120"/>
      <c r="S8865" s="120"/>
      <c r="T8865" s="221"/>
      <c r="U8865" s="89"/>
      <c r="V8865" s="61">
        <f>AB8865/Z8865</f>
        <v>4.4999999999999991</v>
      </c>
      <c r="W8865" s="92" t="s">
        <v>1030</v>
      </c>
      <c r="X8865" s="93" t="s">
        <v>29</v>
      </c>
      <c r="Y8865" s="93" t="s">
        <v>93</v>
      </c>
      <c r="Z8865" s="134">
        <f>VLOOKUP(W8865,Sheet2!$B:$D,3,FALSE)</f>
        <v>23</v>
      </c>
      <c r="AA8865" s="93">
        <f>1/(4.5*1)</f>
        <v>0.22222222222222221</v>
      </c>
      <c r="AB8865" s="93">
        <f>AD8865/AC8857</f>
        <v>103.49999999999999</v>
      </c>
      <c r="AC8865" s="93">
        <f>AC8857/AA8865</f>
        <v>0.8999999999999988</v>
      </c>
      <c r="AD8865" s="94">
        <f t="shared" ref="AD8865:AD8866" si="6034">AC8865*Z8865</f>
        <v>20.699999999999971</v>
      </c>
      <c r="AE8865" s="190"/>
      <c r="AF8865" s="191"/>
      <c r="AG8865" s="191"/>
      <c r="AH8865" s="191"/>
      <c r="AI8865" s="186"/>
      <c r="AK8865" s="171"/>
    </row>
    <row r="8866" spans="1:41" s="102" customFormat="1" ht="19.899999999999999" customHeight="1" x14ac:dyDescent="0.25">
      <c r="A8866" s="45"/>
      <c r="B8866" s="59"/>
      <c r="C8866" s="137"/>
      <c r="D8866" s="59"/>
      <c r="E8866" s="116"/>
      <c r="F8866" s="120"/>
      <c r="G8866" s="120"/>
      <c r="H8866" s="120"/>
      <c r="I8866" s="60"/>
      <c r="J8866" s="116"/>
      <c r="K8866" s="213"/>
      <c r="L8866" s="120"/>
      <c r="M8866" s="120"/>
      <c r="N8866" s="167"/>
      <c r="O8866" s="120"/>
      <c r="P8866" s="120"/>
      <c r="Q8866" s="120"/>
      <c r="R8866" s="120"/>
      <c r="S8866" s="120"/>
      <c r="T8866" s="221"/>
      <c r="U8866" s="89"/>
      <c r="V8866" s="61"/>
      <c r="W8866" s="92" t="s">
        <v>65</v>
      </c>
      <c r="X8866" s="93" t="s">
        <v>30</v>
      </c>
      <c r="Y8866" s="93" t="s">
        <v>1011</v>
      </c>
      <c r="Z8866" s="134">
        <f>VLOOKUP(W8866,Sheet2!$B:$D,3,FALSE)</f>
        <v>1.76</v>
      </c>
      <c r="AA8866" s="93">
        <f>AA8865/3</f>
        <v>7.407407407407407E-2</v>
      </c>
      <c r="AB8866" s="93">
        <f>AD8866/AC8857</f>
        <v>23.760000000000005</v>
      </c>
      <c r="AC8866" s="93">
        <f>AC8857/AA8866</f>
        <v>2.6999999999999966</v>
      </c>
      <c r="AD8866" s="94">
        <f t="shared" si="6034"/>
        <v>4.7519999999999945</v>
      </c>
      <c r="AE8866" s="190"/>
      <c r="AF8866" s="191"/>
      <c r="AG8866" s="191"/>
      <c r="AH8866" s="191"/>
      <c r="AI8866" s="186"/>
      <c r="AK8866" s="171"/>
    </row>
    <row r="8867" spans="1:41" ht="20.100000000000001" customHeight="1" x14ac:dyDescent="0.25">
      <c r="A8867" s="277" t="s">
        <v>703</v>
      </c>
      <c r="B8867" s="278"/>
      <c r="C8867" s="64" t="s">
        <v>820</v>
      </c>
      <c r="D8867" s="46" t="s">
        <v>215</v>
      </c>
      <c r="E8867" s="114"/>
      <c r="F8867" s="44">
        <v>0</v>
      </c>
      <c r="G8867" s="44">
        <f t="shared" si="5545"/>
        <v>0</v>
      </c>
      <c r="H8867" s="44">
        <f t="shared" si="5546"/>
        <v>0</v>
      </c>
      <c r="I8867" s="43">
        <f t="shared" si="5547"/>
        <v>0</v>
      </c>
      <c r="J8867" s="112">
        <f t="shared" si="5548"/>
        <v>0</v>
      </c>
      <c r="K8867" s="211">
        <f t="shared" si="5549"/>
        <v>0</v>
      </c>
      <c r="L8867" s="44"/>
      <c r="M8867" s="44">
        <f t="shared" si="5550"/>
        <v>0</v>
      </c>
      <c r="N8867" s="173">
        <f t="shared" si="5551"/>
        <v>0</v>
      </c>
      <c r="O8867" s="44">
        <f t="shared" si="5552"/>
        <v>0</v>
      </c>
      <c r="P8867" s="44">
        <f t="shared" si="5553"/>
        <v>0</v>
      </c>
      <c r="Q8867" s="44">
        <f t="shared" si="5554"/>
        <v>0</v>
      </c>
      <c r="R8867" s="44">
        <f t="shared" si="5555"/>
        <v>0</v>
      </c>
      <c r="S8867" s="123"/>
      <c r="T8867" s="219">
        <f t="shared" si="5556"/>
        <v>0</v>
      </c>
      <c r="U8867" s="87"/>
      <c r="V8867" s="47"/>
      <c r="W8867" s="48"/>
      <c r="X8867" s="48"/>
      <c r="Y8867" s="48"/>
      <c r="Z8867" s="135"/>
      <c r="AA8867" s="49"/>
      <c r="AB8867" s="50">
        <f t="shared" si="5557"/>
        <v>0</v>
      </c>
      <c r="AC8867" s="42">
        <f t="shared" si="5558"/>
        <v>9.9999999999999998E-20</v>
      </c>
      <c r="AD8867" s="90"/>
      <c r="AE8867" s="188"/>
      <c r="AF8867" s="189"/>
      <c r="AG8867" s="189"/>
      <c r="AH8867" s="189"/>
      <c r="AI8867" s="161"/>
    </row>
    <row r="8868" spans="1:41" ht="20.100000000000001" customHeight="1" x14ac:dyDescent="0.25">
      <c r="A8868" s="277" t="s">
        <v>703</v>
      </c>
      <c r="B8868" s="278"/>
      <c r="C8868" s="64" t="s">
        <v>821</v>
      </c>
      <c r="D8868" s="46" t="s">
        <v>215</v>
      </c>
      <c r="E8868" s="114"/>
      <c r="F8868" s="44">
        <v>0</v>
      </c>
      <c r="G8868" s="44">
        <f t="shared" si="5545"/>
        <v>0</v>
      </c>
      <c r="H8868" s="44">
        <f t="shared" si="5546"/>
        <v>0</v>
      </c>
      <c r="I8868" s="43">
        <f t="shared" si="5547"/>
        <v>0</v>
      </c>
      <c r="J8868" s="112">
        <f t="shared" si="5548"/>
        <v>0</v>
      </c>
      <c r="K8868" s="211">
        <f t="shared" si="5549"/>
        <v>0</v>
      </c>
      <c r="L8868" s="44"/>
      <c r="M8868" s="44">
        <f t="shared" si="5550"/>
        <v>0</v>
      </c>
      <c r="N8868" s="173">
        <f t="shared" si="5551"/>
        <v>0</v>
      </c>
      <c r="O8868" s="44">
        <f t="shared" si="5552"/>
        <v>0</v>
      </c>
      <c r="P8868" s="44">
        <f t="shared" si="5553"/>
        <v>0</v>
      </c>
      <c r="Q8868" s="44">
        <f t="shared" si="5554"/>
        <v>0</v>
      </c>
      <c r="R8868" s="44">
        <f t="shared" si="5555"/>
        <v>0</v>
      </c>
      <c r="S8868" s="123"/>
      <c r="T8868" s="219">
        <f t="shared" si="5556"/>
        <v>0</v>
      </c>
      <c r="U8868" s="87"/>
      <c r="V8868" s="47"/>
      <c r="W8868" s="48"/>
      <c r="X8868" s="48"/>
      <c r="Y8868" s="48"/>
      <c r="Z8868" s="135"/>
      <c r="AA8868" s="49"/>
      <c r="AB8868" s="50">
        <f t="shared" si="5557"/>
        <v>0</v>
      </c>
      <c r="AC8868" s="42">
        <f t="shared" si="5558"/>
        <v>9.9999999999999998E-20</v>
      </c>
      <c r="AD8868" s="90"/>
      <c r="AE8868" s="188"/>
      <c r="AF8868" s="189"/>
      <c r="AG8868" s="189"/>
      <c r="AH8868" s="189"/>
      <c r="AI8868" s="161"/>
    </row>
    <row r="8869" spans="1:41" ht="20.100000000000001" customHeight="1" x14ac:dyDescent="0.25">
      <c r="A8869" s="277" t="s">
        <v>703</v>
      </c>
      <c r="B8869" s="278"/>
      <c r="C8869" s="64" t="s">
        <v>822</v>
      </c>
      <c r="D8869" s="46" t="s">
        <v>215</v>
      </c>
      <c r="E8869" s="114"/>
      <c r="F8869" s="44">
        <v>0</v>
      </c>
      <c r="G8869" s="44">
        <f t="shared" si="5545"/>
        <v>0</v>
      </c>
      <c r="H8869" s="44">
        <f t="shared" si="5546"/>
        <v>0</v>
      </c>
      <c r="I8869" s="43">
        <f t="shared" si="5547"/>
        <v>0</v>
      </c>
      <c r="J8869" s="112">
        <f t="shared" si="5548"/>
        <v>0</v>
      </c>
      <c r="K8869" s="211">
        <f t="shared" si="5549"/>
        <v>0</v>
      </c>
      <c r="L8869" s="44"/>
      <c r="M8869" s="44">
        <f t="shared" si="5550"/>
        <v>0</v>
      </c>
      <c r="N8869" s="173">
        <f t="shared" si="5551"/>
        <v>0</v>
      </c>
      <c r="O8869" s="44">
        <f t="shared" si="5552"/>
        <v>0</v>
      </c>
      <c r="P8869" s="44">
        <f t="shared" si="5553"/>
        <v>0</v>
      </c>
      <c r="Q8869" s="44">
        <f t="shared" si="5554"/>
        <v>0</v>
      </c>
      <c r="R8869" s="44">
        <f t="shared" si="5555"/>
        <v>0</v>
      </c>
      <c r="S8869" s="123"/>
      <c r="T8869" s="219">
        <f t="shared" si="5556"/>
        <v>0</v>
      </c>
      <c r="U8869" s="87"/>
      <c r="V8869" s="47"/>
      <c r="W8869" s="48"/>
      <c r="X8869" s="48"/>
      <c r="Y8869" s="48"/>
      <c r="Z8869" s="135"/>
      <c r="AA8869" s="49"/>
      <c r="AB8869" s="50">
        <f t="shared" si="5557"/>
        <v>0</v>
      </c>
      <c r="AC8869" s="42">
        <f t="shared" si="5558"/>
        <v>9.9999999999999998E-20</v>
      </c>
      <c r="AD8869" s="90"/>
      <c r="AE8869" s="188"/>
      <c r="AF8869" s="189"/>
      <c r="AG8869" s="189"/>
      <c r="AH8869" s="189"/>
      <c r="AI8869" s="161"/>
    </row>
    <row r="8870" spans="1:41" ht="20.100000000000001" customHeight="1" x14ac:dyDescent="0.25">
      <c r="A8870" s="277" t="s">
        <v>703</v>
      </c>
      <c r="B8870" s="278"/>
      <c r="C8870" s="64" t="s">
        <v>823</v>
      </c>
      <c r="D8870" s="46" t="s">
        <v>215</v>
      </c>
      <c r="E8870" s="114"/>
      <c r="F8870" s="44">
        <v>0</v>
      </c>
      <c r="G8870" s="44">
        <f t="shared" si="5545"/>
        <v>0</v>
      </c>
      <c r="H8870" s="44">
        <f t="shared" si="5546"/>
        <v>0</v>
      </c>
      <c r="I8870" s="43">
        <f t="shared" si="5547"/>
        <v>0</v>
      </c>
      <c r="J8870" s="112">
        <f t="shared" si="5548"/>
        <v>0</v>
      </c>
      <c r="K8870" s="211">
        <f t="shared" si="5549"/>
        <v>0</v>
      </c>
      <c r="L8870" s="44"/>
      <c r="M8870" s="44">
        <f t="shared" si="5550"/>
        <v>0</v>
      </c>
      <c r="N8870" s="173">
        <f t="shared" si="5551"/>
        <v>0</v>
      </c>
      <c r="O8870" s="44">
        <f t="shared" si="5552"/>
        <v>0</v>
      </c>
      <c r="P8870" s="44">
        <f t="shared" si="5553"/>
        <v>0</v>
      </c>
      <c r="Q8870" s="44">
        <f t="shared" si="5554"/>
        <v>0</v>
      </c>
      <c r="R8870" s="44">
        <f t="shared" si="5555"/>
        <v>0</v>
      </c>
      <c r="S8870" s="123"/>
      <c r="T8870" s="219">
        <f t="shared" si="5556"/>
        <v>0</v>
      </c>
      <c r="U8870" s="87"/>
      <c r="V8870" s="47"/>
      <c r="W8870" s="48"/>
      <c r="X8870" s="48"/>
      <c r="Y8870" s="48"/>
      <c r="Z8870" s="135"/>
      <c r="AA8870" s="49"/>
      <c r="AB8870" s="50">
        <f t="shared" si="5557"/>
        <v>0</v>
      </c>
      <c r="AC8870" s="42">
        <f t="shared" si="5558"/>
        <v>9.9999999999999998E-20</v>
      </c>
      <c r="AD8870" s="90"/>
      <c r="AE8870" s="188"/>
      <c r="AF8870" s="189"/>
      <c r="AG8870" s="189"/>
      <c r="AH8870" s="189"/>
      <c r="AI8870" s="161"/>
    </row>
    <row r="8871" spans="1:41" ht="20.100000000000001" customHeight="1" x14ac:dyDescent="0.25">
      <c r="A8871" s="277" t="s">
        <v>703</v>
      </c>
      <c r="B8871" s="278"/>
      <c r="C8871" s="64" t="s">
        <v>824</v>
      </c>
      <c r="D8871" s="46" t="s">
        <v>215</v>
      </c>
      <c r="E8871" s="114"/>
      <c r="F8871" s="44">
        <v>0</v>
      </c>
      <c r="G8871" s="44">
        <f t="shared" si="5545"/>
        <v>0</v>
      </c>
      <c r="H8871" s="44">
        <f t="shared" si="5546"/>
        <v>0</v>
      </c>
      <c r="I8871" s="43">
        <f t="shared" si="5547"/>
        <v>0</v>
      </c>
      <c r="J8871" s="112">
        <f t="shared" si="5548"/>
        <v>0</v>
      </c>
      <c r="K8871" s="211">
        <f t="shared" si="5549"/>
        <v>0</v>
      </c>
      <c r="L8871" s="44"/>
      <c r="M8871" s="44">
        <f t="shared" si="5550"/>
        <v>0</v>
      </c>
      <c r="N8871" s="173">
        <f t="shared" si="5551"/>
        <v>0</v>
      </c>
      <c r="O8871" s="44">
        <f t="shared" si="5552"/>
        <v>0</v>
      </c>
      <c r="P8871" s="44">
        <f t="shared" si="5553"/>
        <v>0</v>
      </c>
      <c r="Q8871" s="44">
        <f t="shared" si="5554"/>
        <v>0</v>
      </c>
      <c r="R8871" s="44">
        <f t="shared" si="5555"/>
        <v>0</v>
      </c>
      <c r="S8871" s="123"/>
      <c r="T8871" s="219">
        <f t="shared" si="5556"/>
        <v>0</v>
      </c>
      <c r="U8871" s="87"/>
      <c r="V8871" s="47"/>
      <c r="W8871" s="48"/>
      <c r="X8871" s="48"/>
      <c r="Y8871" s="48"/>
      <c r="Z8871" s="135"/>
      <c r="AA8871" s="49"/>
      <c r="AB8871" s="50">
        <f t="shared" si="5557"/>
        <v>0</v>
      </c>
      <c r="AC8871" s="42">
        <f t="shared" si="5558"/>
        <v>9.9999999999999998E-20</v>
      </c>
      <c r="AD8871" s="90"/>
      <c r="AE8871" s="188"/>
      <c r="AF8871" s="189"/>
      <c r="AG8871" s="189"/>
      <c r="AH8871" s="189"/>
      <c r="AI8871" s="161"/>
    </row>
    <row r="8872" spans="1:41" ht="20.100000000000001" customHeight="1" x14ac:dyDescent="0.25">
      <c r="A8872" s="277" t="s">
        <v>703</v>
      </c>
      <c r="B8872" s="278"/>
      <c r="C8872" s="64" t="s">
        <v>825</v>
      </c>
      <c r="D8872" s="46" t="s">
        <v>215</v>
      </c>
      <c r="E8872" s="114"/>
      <c r="F8872" s="44">
        <v>0</v>
      </c>
      <c r="G8872" s="44">
        <f t="shared" si="5545"/>
        <v>0</v>
      </c>
      <c r="H8872" s="44">
        <f t="shared" si="5546"/>
        <v>0</v>
      </c>
      <c r="I8872" s="43">
        <f t="shared" si="5547"/>
        <v>0</v>
      </c>
      <c r="J8872" s="112">
        <f t="shared" si="5548"/>
        <v>0</v>
      </c>
      <c r="K8872" s="211">
        <f t="shared" si="5549"/>
        <v>0</v>
      </c>
      <c r="L8872" s="44"/>
      <c r="M8872" s="44">
        <f t="shared" si="5550"/>
        <v>0</v>
      </c>
      <c r="N8872" s="173">
        <f t="shared" si="5551"/>
        <v>0</v>
      </c>
      <c r="O8872" s="44">
        <f t="shared" si="5552"/>
        <v>0</v>
      </c>
      <c r="P8872" s="44">
        <f t="shared" si="5553"/>
        <v>0</v>
      </c>
      <c r="Q8872" s="44">
        <f t="shared" si="5554"/>
        <v>0</v>
      </c>
      <c r="R8872" s="44">
        <f t="shared" si="5555"/>
        <v>0</v>
      </c>
      <c r="S8872" s="123"/>
      <c r="T8872" s="219">
        <f t="shared" si="5556"/>
        <v>0</v>
      </c>
      <c r="U8872" s="87"/>
      <c r="V8872" s="47"/>
      <c r="W8872" s="48"/>
      <c r="X8872" s="48"/>
      <c r="Y8872" s="48"/>
      <c r="Z8872" s="135"/>
      <c r="AA8872" s="49"/>
      <c r="AB8872" s="50">
        <f t="shared" si="5557"/>
        <v>0</v>
      </c>
      <c r="AC8872" s="42">
        <f t="shared" si="5558"/>
        <v>9.9999999999999998E-20</v>
      </c>
      <c r="AD8872" s="90"/>
      <c r="AE8872" s="188"/>
      <c r="AF8872" s="189"/>
      <c r="AG8872" s="189"/>
      <c r="AH8872" s="189"/>
      <c r="AI8872" s="161"/>
    </row>
    <row r="8873" spans="1:41" s="102" customFormat="1" ht="20.100000000000001" customHeight="1" x14ac:dyDescent="0.25">
      <c r="A8873" s="45" t="s">
        <v>703</v>
      </c>
      <c r="B8873" s="276"/>
      <c r="C8873" s="286" t="s">
        <v>826</v>
      </c>
      <c r="D8873" s="59"/>
      <c r="E8873" s="116"/>
      <c r="F8873" s="120"/>
      <c r="G8873" s="120"/>
      <c r="H8873" s="120"/>
      <c r="I8873" s="60"/>
      <c r="J8873" s="116"/>
      <c r="K8873" s="213"/>
      <c r="L8873" s="120"/>
      <c r="M8873" s="120"/>
      <c r="N8873" s="167"/>
      <c r="O8873" s="120"/>
      <c r="P8873" s="120"/>
      <c r="Q8873" s="120"/>
      <c r="R8873" s="120"/>
      <c r="S8873" s="120"/>
      <c r="T8873" s="221"/>
      <c r="U8873" s="89"/>
      <c r="V8873" s="61"/>
      <c r="W8873" s="92"/>
      <c r="X8873" s="38"/>
      <c r="Y8873" s="93"/>
      <c r="Z8873" s="134"/>
      <c r="AA8873" s="93"/>
      <c r="AB8873" s="93"/>
      <c r="AC8873" s="93"/>
      <c r="AD8873" s="94"/>
      <c r="AE8873" s="190"/>
      <c r="AF8873" s="191"/>
      <c r="AG8873" s="191"/>
      <c r="AH8873" s="191"/>
      <c r="AI8873" s="186"/>
      <c r="AK8873" s="171"/>
    </row>
    <row r="8874" spans="1:41" ht="20.100000000000001" customHeight="1" x14ac:dyDescent="0.25">
      <c r="A8874" s="277" t="s">
        <v>703</v>
      </c>
      <c r="B8874" s="278"/>
      <c r="C8874" s="64" t="s">
        <v>809</v>
      </c>
      <c r="D8874" s="46" t="s">
        <v>215</v>
      </c>
      <c r="E8874" s="114">
        <v>1.7999999999999998</v>
      </c>
      <c r="F8874" s="44">
        <v>18448</v>
      </c>
      <c r="G8874" s="44">
        <f t="shared" si="5545"/>
        <v>33206.399999999994</v>
      </c>
      <c r="H8874" s="44">
        <f t="shared" si="5546"/>
        <v>7473.5752301176462</v>
      </c>
      <c r="I8874" s="43">
        <f t="shared" si="5547"/>
        <v>13452.435414211763</v>
      </c>
      <c r="J8874" s="112">
        <f t="shared" si="5548"/>
        <v>1.7999999999999998</v>
      </c>
      <c r="K8874" s="211">
        <f t="shared" si="5549"/>
        <v>1.7999999999999998</v>
      </c>
      <c r="L8874" s="44"/>
      <c r="M8874" s="44">
        <f t="shared" si="5550"/>
        <v>1.7999999999999998</v>
      </c>
      <c r="N8874" s="173">
        <f t="shared" si="5551"/>
        <v>1</v>
      </c>
      <c r="O8874" s="44">
        <f t="shared" si="5552"/>
        <v>18448</v>
      </c>
      <c r="P8874" s="44">
        <f t="shared" si="5553"/>
        <v>33206.399999999994</v>
      </c>
      <c r="Q8874" s="44">
        <f t="shared" si="5554"/>
        <v>7473.5752301176462</v>
      </c>
      <c r="R8874" s="44">
        <f t="shared" si="5555"/>
        <v>13452.435414211763</v>
      </c>
      <c r="S8874" s="123"/>
      <c r="T8874" s="219">
        <f t="shared" si="5556"/>
        <v>13452.435414211763</v>
      </c>
      <c r="U8874" s="87"/>
      <c r="V8874" s="47"/>
      <c r="W8874" s="48"/>
      <c r="X8874" s="48"/>
      <c r="Y8874" s="48"/>
      <c r="Z8874" s="135"/>
      <c r="AA8874" s="49"/>
      <c r="AB8874" s="50">
        <f t="shared" si="5557"/>
        <v>7473.5752301176462</v>
      </c>
      <c r="AC8874" s="42">
        <f t="shared" si="5558"/>
        <v>1.7999999999999998</v>
      </c>
      <c r="AD8874" s="90">
        <f>AD8875+AD8880+AD8887+AD8894</f>
        <v>13452.435414211763</v>
      </c>
      <c r="AE8874" s="188">
        <f t="shared" ref="AE8874" si="6035">AE8875+AE8880+AE8887+AE8894</f>
        <v>0</v>
      </c>
      <c r="AF8874" s="189">
        <f t="shared" ref="AF8874" si="6036">AF8875+AF8880+AF8887+AF8894</f>
        <v>0</v>
      </c>
      <c r="AG8874" s="189">
        <f t="shared" ref="AG8874" si="6037">AG8875+AG8880+AG8887+AG8894</f>
        <v>0</v>
      </c>
      <c r="AH8874" s="189">
        <f t="shared" ref="AH8874" si="6038">AH8875+AH8880+AH8887+AH8894</f>
        <v>0</v>
      </c>
      <c r="AI8874" s="161">
        <f t="shared" ref="AI8874:AI8875" si="6039">SUM(AE8874:AH8874)</f>
        <v>0</v>
      </c>
      <c r="AK8874" s="169">
        <v>5</v>
      </c>
      <c r="AO8874" s="19" t="s">
        <v>63</v>
      </c>
    </row>
    <row r="8875" spans="1:41" s="103" customFormat="1" ht="19.899999999999999" customHeight="1" x14ac:dyDescent="0.25">
      <c r="A8875" s="51"/>
      <c r="B8875" s="52"/>
      <c r="C8875" s="165"/>
      <c r="D8875" s="52"/>
      <c r="E8875" s="115"/>
      <c r="F8875" s="58"/>
      <c r="G8875" s="58"/>
      <c r="H8875" s="58"/>
      <c r="I8875" s="55"/>
      <c r="J8875" s="113">
        <f>J8874</f>
        <v>1.7999999999999998</v>
      </c>
      <c r="K8875" s="212">
        <f>K8874</f>
        <v>1.7999999999999998</v>
      </c>
      <c r="L8875" s="58"/>
      <c r="M8875" s="58">
        <f>K8875-L8875</f>
        <v>1.7999999999999998</v>
      </c>
      <c r="N8875" s="166"/>
      <c r="O8875" s="58"/>
      <c r="P8875" s="58"/>
      <c r="Q8875" s="58"/>
      <c r="R8875" s="58"/>
      <c r="S8875" s="58"/>
      <c r="T8875" s="220"/>
      <c r="U8875" s="88"/>
      <c r="V8875" s="56"/>
      <c r="W8875" s="57" t="s">
        <v>1509</v>
      </c>
      <c r="X8875" s="53"/>
      <c r="Y8875" s="91" t="s">
        <v>35</v>
      </c>
      <c r="Z8875" s="136">
        <f>AD8875/AC8875</f>
        <v>72.397552941176471</v>
      </c>
      <c r="AA8875" s="58"/>
      <c r="AB8875" s="53">
        <f>AD8875/AC8875</f>
        <v>72.397552941176471</v>
      </c>
      <c r="AC8875" s="53">
        <f>M8875+$AE$10</f>
        <v>1.7999999999999998</v>
      </c>
      <c r="AD8875" s="54">
        <f>SUM(AD8876:AD8879)</f>
        <v>130.31559529411763</v>
      </c>
      <c r="AE8875" s="184">
        <f>SUMIFS($AD$37:$AD$12971,$V$37:$V$12971,$V8875,$X$37:$X$12971,AE$13)</f>
        <v>0</v>
      </c>
      <c r="AF8875" s="185">
        <f>SUMIFS($AD$37:$AD$12971,$V$37:$V$12971,$V8875,$X$37:$X$12971,AF$13)</f>
        <v>0</v>
      </c>
      <c r="AG8875" s="185">
        <f>SUMIFS($AD$37:$AD$12971,$V$37:$V$12971,$V8875,$X$37:$X$12971,AG$13)</f>
        <v>0</v>
      </c>
      <c r="AH8875" s="187">
        <f>SUMIFS($AD$37:$AD$12971,$V$37:$V$12971,$V8875,$X$37:$X$12971,AH$13)</f>
        <v>0</v>
      </c>
      <c r="AI8875" s="161">
        <f t="shared" si="6039"/>
        <v>0</v>
      </c>
      <c r="AK8875" s="172"/>
    </row>
    <row r="8876" spans="1:41" s="102" customFormat="1" ht="19.899999999999999" customHeight="1" x14ac:dyDescent="0.25">
      <c r="A8876" s="45"/>
      <c r="B8876" s="59"/>
      <c r="C8876" s="137"/>
      <c r="D8876" s="59"/>
      <c r="E8876" s="116"/>
      <c r="F8876" s="120"/>
      <c r="G8876" s="120"/>
      <c r="H8876" s="120"/>
      <c r="I8876" s="60"/>
      <c r="J8876" s="116"/>
      <c r="K8876" s="213"/>
      <c r="L8876" s="120"/>
      <c r="M8876" s="120"/>
      <c r="N8876" s="167"/>
      <c r="O8876" s="120"/>
      <c r="P8876" s="120"/>
      <c r="Q8876" s="120"/>
      <c r="R8876" s="120"/>
      <c r="S8876" s="120"/>
      <c r="T8876" s="221"/>
      <c r="U8876" s="89"/>
      <c r="V8876" s="61"/>
      <c r="W8876" s="92" t="s">
        <v>129</v>
      </c>
      <c r="X8876" s="93" t="s">
        <v>29</v>
      </c>
      <c r="Y8876" s="93" t="s">
        <v>93</v>
      </c>
      <c r="Z8876" s="134">
        <f>VLOOKUP(W8876,Sheet2!$B:$D,3,FALSE)</f>
        <v>56</v>
      </c>
      <c r="AA8876" s="93">
        <f>100/(3*3*2)</f>
        <v>5.5555555555555554</v>
      </c>
      <c r="AB8876" s="93">
        <f t="shared" ref="AB8876" si="6040">AD8876/AC8875</f>
        <v>10.08</v>
      </c>
      <c r="AC8876" s="93">
        <f>AC8875/AA8876</f>
        <v>0.32399999999999995</v>
      </c>
      <c r="AD8876" s="94">
        <f t="shared" ref="AD8876:AD8877" si="6041">AC8876*Z8876</f>
        <v>18.143999999999998</v>
      </c>
      <c r="AE8876" s="190"/>
      <c r="AF8876" s="191"/>
      <c r="AG8876" s="191"/>
      <c r="AH8876" s="191"/>
      <c r="AI8876" s="186"/>
      <c r="AK8876" s="171"/>
    </row>
    <row r="8877" spans="1:41" s="102" customFormat="1" ht="19.899999999999999" customHeight="1" x14ac:dyDescent="0.25">
      <c r="A8877" s="45"/>
      <c r="B8877" s="59"/>
      <c r="C8877" s="137"/>
      <c r="D8877" s="59"/>
      <c r="E8877" s="116"/>
      <c r="F8877" s="120"/>
      <c r="G8877" s="120"/>
      <c r="H8877" s="120"/>
      <c r="I8877" s="60"/>
      <c r="J8877" s="116"/>
      <c r="K8877" s="213"/>
      <c r="L8877" s="120"/>
      <c r="M8877" s="120"/>
      <c r="N8877" s="167"/>
      <c r="O8877" s="120"/>
      <c r="P8877" s="120"/>
      <c r="Q8877" s="120"/>
      <c r="R8877" s="120"/>
      <c r="S8877" s="120"/>
      <c r="T8877" s="221"/>
      <c r="U8877" s="89"/>
      <c r="V8877" s="61"/>
      <c r="W8877" s="92" t="s">
        <v>65</v>
      </c>
      <c r="X8877" s="93" t="s">
        <v>30</v>
      </c>
      <c r="Y8877" s="93" t="s">
        <v>1011</v>
      </c>
      <c r="Z8877" s="134">
        <f>VLOOKUP(W8877,Sheet2!$B:$D,3,FALSE)</f>
        <v>1.76</v>
      </c>
      <c r="AA8877" s="93">
        <f>AA8876/14</f>
        <v>0.3968253968253968</v>
      </c>
      <c r="AB8877" s="93">
        <f>AD8877/AC8875</f>
        <v>4.4352</v>
      </c>
      <c r="AC8877" s="93">
        <f>AC8875/AA8877</f>
        <v>4.5359999999999996</v>
      </c>
      <c r="AD8877" s="94">
        <f t="shared" si="6041"/>
        <v>7.9833599999999993</v>
      </c>
      <c r="AE8877" s="190"/>
      <c r="AF8877" s="191"/>
      <c r="AG8877" s="191"/>
      <c r="AH8877" s="191"/>
      <c r="AI8877" s="186"/>
      <c r="AK8877" s="171"/>
    </row>
    <row r="8878" spans="1:41" s="102" customFormat="1" ht="19.899999999999999" customHeight="1" x14ac:dyDescent="0.25">
      <c r="A8878" s="45"/>
      <c r="B8878" s="59"/>
      <c r="C8878" s="137"/>
      <c r="D8878" s="59"/>
      <c r="E8878" s="116"/>
      <c r="F8878" s="120"/>
      <c r="G8878" s="120"/>
      <c r="H8878" s="120"/>
      <c r="I8878" s="60"/>
      <c r="J8878" s="116"/>
      <c r="K8878" s="213"/>
      <c r="L8878" s="120"/>
      <c r="M8878" s="120"/>
      <c r="N8878" s="167"/>
      <c r="O8878" s="120"/>
      <c r="P8878" s="120"/>
      <c r="Q8878" s="120"/>
      <c r="R8878" s="120"/>
      <c r="S8878" s="120"/>
      <c r="T8878" s="221"/>
      <c r="U8878" s="89"/>
      <c r="V8878" s="61"/>
      <c r="W8878" s="92" t="s">
        <v>161</v>
      </c>
      <c r="X8878" s="93" t="s">
        <v>29</v>
      </c>
      <c r="Y8878" s="93" t="s">
        <v>93</v>
      </c>
      <c r="Z8878" s="134">
        <f>VLOOKUP(W8878,Sheet2!$B:$D,3,FALSE)</f>
        <v>48</v>
      </c>
      <c r="AA8878" s="93">
        <f>(16*0.85*1.5)/(3*3*2)</f>
        <v>1.1333333333333333</v>
      </c>
      <c r="AB8878" s="93">
        <f>AD8878/AC8875</f>
        <v>42.352941176470594</v>
      </c>
      <c r="AC8878" s="93">
        <f>AC8875/AA8878</f>
        <v>1.588235294117647</v>
      </c>
      <c r="AD8878" s="94">
        <f>AC8878*Z8878</f>
        <v>76.235294117647058</v>
      </c>
      <c r="AE8878" s="190"/>
      <c r="AF8878" s="191"/>
      <c r="AG8878" s="191"/>
      <c r="AH8878" s="191"/>
      <c r="AI8878" s="186"/>
      <c r="AK8878" s="171"/>
    </row>
    <row r="8879" spans="1:41" s="102" customFormat="1" ht="19.899999999999999" customHeight="1" x14ac:dyDescent="0.25">
      <c r="A8879" s="45"/>
      <c r="B8879" s="59"/>
      <c r="C8879" s="137"/>
      <c r="D8879" s="59"/>
      <c r="E8879" s="116"/>
      <c r="F8879" s="120"/>
      <c r="G8879" s="120"/>
      <c r="H8879" s="120"/>
      <c r="I8879" s="60"/>
      <c r="J8879" s="116"/>
      <c r="K8879" s="213"/>
      <c r="L8879" s="120"/>
      <c r="M8879" s="120"/>
      <c r="N8879" s="167"/>
      <c r="O8879" s="120"/>
      <c r="P8879" s="120"/>
      <c r="Q8879" s="120"/>
      <c r="R8879" s="120"/>
      <c r="S8879" s="120"/>
      <c r="T8879" s="221"/>
      <c r="U8879" s="89"/>
      <c r="V8879" s="61"/>
      <c r="W8879" s="92" t="s">
        <v>65</v>
      </c>
      <c r="X8879" s="93" t="s">
        <v>30</v>
      </c>
      <c r="Y8879" s="93" t="s">
        <v>1011</v>
      </c>
      <c r="Z8879" s="134">
        <f>VLOOKUP(W8879,Sheet2!$B:$D,3,FALSE)</f>
        <v>1.76</v>
      </c>
      <c r="AA8879" s="93">
        <f>AA8878/10</f>
        <v>0.11333333333333333</v>
      </c>
      <c r="AB8879" s="93">
        <f>AD8879/AC8875</f>
        <v>15.529411764705882</v>
      </c>
      <c r="AC8879" s="93">
        <f>AC8875/AA8879</f>
        <v>15.882352941176469</v>
      </c>
      <c r="AD8879" s="94">
        <f>AC8879*Z8879</f>
        <v>27.952941176470585</v>
      </c>
      <c r="AE8879" s="190"/>
      <c r="AF8879" s="191"/>
      <c r="AG8879" s="191"/>
      <c r="AH8879" s="191"/>
      <c r="AI8879" s="186"/>
      <c r="AK8879" s="171"/>
    </row>
    <row r="8880" spans="1:41" s="103" customFormat="1" ht="19.899999999999999" customHeight="1" x14ac:dyDescent="0.25">
      <c r="A8880" s="51"/>
      <c r="B8880" s="52"/>
      <c r="C8880" s="165"/>
      <c r="D8880" s="52"/>
      <c r="E8880" s="115"/>
      <c r="F8880" s="58"/>
      <c r="G8880" s="58"/>
      <c r="H8880" s="58"/>
      <c r="I8880" s="55"/>
      <c r="J8880" s="113">
        <f>J8874</f>
        <v>1.7999999999999998</v>
      </c>
      <c r="K8880" s="212">
        <f>K8874</f>
        <v>1.7999999999999998</v>
      </c>
      <c r="L8880" s="58"/>
      <c r="M8880" s="58">
        <f>K8880-L8880</f>
        <v>1.7999999999999998</v>
      </c>
      <c r="N8880" s="166"/>
      <c r="O8880" s="58"/>
      <c r="P8880" s="58"/>
      <c r="Q8880" s="58"/>
      <c r="R8880" s="58"/>
      <c r="S8880" s="58"/>
      <c r="T8880" s="220"/>
      <c r="U8880" s="88"/>
      <c r="V8880" s="56"/>
      <c r="W8880" s="57" t="s">
        <v>1486</v>
      </c>
      <c r="X8880" s="53"/>
      <c r="Y8880" s="91" t="s">
        <v>35</v>
      </c>
      <c r="Z8880" s="136">
        <f>AD8880/AC8880</f>
        <v>1883.8375000000001</v>
      </c>
      <c r="AA8880" s="58"/>
      <c r="AB8880" s="53">
        <f>AD8880/AC8880</f>
        <v>1883.8375000000001</v>
      </c>
      <c r="AC8880" s="53">
        <f>M8880+$AE$10</f>
        <v>1.7999999999999998</v>
      </c>
      <c r="AD8880" s="54">
        <f>SUM(AD8881:AD8886)</f>
        <v>3390.9074999999998</v>
      </c>
      <c r="AE8880" s="184">
        <f>SUMIFS($AD$37:$AD$12971,$V$37:$V$12971,$V8880,$X$37:$X$12971,AE$13)</f>
        <v>0</v>
      </c>
      <c r="AF8880" s="185">
        <f>SUMIFS($AD$37:$AD$12971,$V$37:$V$12971,$V8880,$X$37:$X$12971,AF$13)</f>
        <v>0</v>
      </c>
      <c r="AG8880" s="185">
        <f>SUMIFS($AD$37:$AD$12971,$V$37:$V$12971,$V8880,$X$37:$X$12971,AG$13)</f>
        <v>0</v>
      </c>
      <c r="AH8880" s="187">
        <f>SUMIFS($AD$37:$AD$12971,$V$37:$V$12971,$V8880,$X$37:$X$12971,AH$13)</f>
        <v>0</v>
      </c>
      <c r="AI8880" s="161">
        <f t="shared" ref="AI8880" si="6042">SUM(AE8880:AH8880)</f>
        <v>0</v>
      </c>
      <c r="AK8880" s="172"/>
    </row>
    <row r="8881" spans="1:37" s="102" customFormat="1" ht="19.899999999999999" customHeight="1" x14ac:dyDescent="0.25">
      <c r="A8881" s="45"/>
      <c r="B8881" s="59"/>
      <c r="C8881" s="137"/>
      <c r="D8881" s="59"/>
      <c r="E8881" s="116"/>
      <c r="F8881" s="120"/>
      <c r="G8881" s="120"/>
      <c r="H8881" s="120"/>
      <c r="I8881" s="60"/>
      <c r="J8881" s="116"/>
      <c r="K8881" s="213"/>
      <c r="L8881" s="120"/>
      <c r="M8881" s="120"/>
      <c r="N8881" s="167"/>
      <c r="O8881" s="120"/>
      <c r="P8881" s="120"/>
      <c r="Q8881" s="120"/>
      <c r="R8881" s="120"/>
      <c r="S8881" s="120"/>
      <c r="T8881" s="221"/>
      <c r="U8881" s="89"/>
      <c r="V8881" s="61"/>
      <c r="W8881" s="92" t="s">
        <v>1032</v>
      </c>
      <c r="X8881" s="93" t="s">
        <v>30</v>
      </c>
      <c r="Y8881" s="93" t="s">
        <v>66</v>
      </c>
      <c r="Z8881" s="134">
        <f>VLOOKUP(W8881,Sheet2!$B:$D,3,FALSE)</f>
        <v>250</v>
      </c>
      <c r="AA8881" s="93">
        <f>1/(2.4*2.4*0.1)</f>
        <v>1.7361111111111112</v>
      </c>
      <c r="AB8881" s="93">
        <f>AD8881/AC8887</f>
        <v>144</v>
      </c>
      <c r="AC8881" s="93">
        <f>AC8887/AA8881</f>
        <v>1.0367999999999999</v>
      </c>
      <c r="AD8881" s="94">
        <f t="shared" ref="AD8881:AD8883" si="6043">AC8881*Z8881</f>
        <v>259.2</v>
      </c>
      <c r="AE8881" s="190"/>
      <c r="AF8881" s="191"/>
      <c r="AG8881" s="191"/>
      <c r="AH8881" s="191"/>
      <c r="AI8881" s="186"/>
      <c r="AK8881" s="171"/>
    </row>
    <row r="8882" spans="1:37" s="102" customFormat="1" ht="19.899999999999999" customHeight="1" x14ac:dyDescent="0.25">
      <c r="A8882" s="45"/>
      <c r="B8882" s="59"/>
      <c r="C8882" s="137"/>
      <c r="D8882" s="59"/>
      <c r="E8882" s="116"/>
      <c r="F8882" s="120"/>
      <c r="G8882" s="120"/>
      <c r="H8882" s="120"/>
      <c r="I8882" s="60"/>
      <c r="J8882" s="116"/>
      <c r="K8882" s="213"/>
      <c r="L8882" s="120"/>
      <c r="M8882" s="120"/>
      <c r="N8882" s="167"/>
      <c r="O8882" s="120"/>
      <c r="P8882" s="120"/>
      <c r="Q8882" s="120"/>
      <c r="R8882" s="120"/>
      <c r="S8882" s="120"/>
      <c r="T8882" s="221"/>
      <c r="U8882" s="89"/>
      <c r="V8882" s="61"/>
      <c r="W8882" s="92" t="s">
        <v>1353</v>
      </c>
      <c r="X8882" s="93" t="s">
        <v>30</v>
      </c>
      <c r="Y8882" s="93" t="s">
        <v>66</v>
      </c>
      <c r="Z8882" s="134">
        <f>VLOOKUP(W8882,Sheet2!$B:$D,3,FALSE)</f>
        <v>350</v>
      </c>
      <c r="AA8882" s="93">
        <f>1/(2.3*2.3*0.3)</f>
        <v>0.63011972274732209</v>
      </c>
      <c r="AB8882" s="93">
        <f>AD8882/AC8887</f>
        <v>555.44999999999993</v>
      </c>
      <c r="AC8882" s="93">
        <f>AC8887/AA8882</f>
        <v>2.8565999999999994</v>
      </c>
      <c r="AD8882" s="94">
        <f t="shared" si="6043"/>
        <v>999.80999999999983</v>
      </c>
      <c r="AE8882" s="190"/>
      <c r="AF8882" s="191"/>
      <c r="AG8882" s="191"/>
      <c r="AH8882" s="191"/>
      <c r="AI8882" s="186"/>
      <c r="AK8882" s="171"/>
    </row>
    <row r="8883" spans="1:37" s="102" customFormat="1" ht="19.899999999999999" customHeight="1" x14ac:dyDescent="0.25">
      <c r="A8883" s="45"/>
      <c r="B8883" s="59"/>
      <c r="C8883" s="137"/>
      <c r="D8883" s="59"/>
      <c r="E8883" s="116"/>
      <c r="F8883" s="120"/>
      <c r="G8883" s="120"/>
      <c r="H8883" s="120"/>
      <c r="I8883" s="60"/>
      <c r="J8883" s="116"/>
      <c r="K8883" s="213"/>
      <c r="L8883" s="120"/>
      <c r="M8883" s="120"/>
      <c r="N8883" s="167"/>
      <c r="O8883" s="120"/>
      <c r="P8883" s="120"/>
      <c r="Q8883" s="120"/>
      <c r="R8883" s="120"/>
      <c r="S8883" s="120"/>
      <c r="T8883" s="221"/>
      <c r="U8883" s="89"/>
      <c r="V8883" s="61"/>
      <c r="W8883" s="92" t="s">
        <v>99</v>
      </c>
      <c r="X8883" s="93" t="s">
        <v>30</v>
      </c>
      <c r="Y8883" s="93" t="s">
        <v>67</v>
      </c>
      <c r="Z8883" s="134">
        <f>VLOOKUP(W8883,Sheet2!$B:$D,3,FALSE)</f>
        <v>2500</v>
      </c>
      <c r="AA8883" s="93">
        <f>AA8882/0.08</f>
        <v>7.8764965343415261</v>
      </c>
      <c r="AB8883" s="93">
        <f>AD8883/AC8887</f>
        <v>317.39999999999998</v>
      </c>
      <c r="AC8883" s="93">
        <f>AC8887/AA8883</f>
        <v>0.22852799999999995</v>
      </c>
      <c r="AD8883" s="94">
        <f t="shared" si="6043"/>
        <v>571.31999999999994</v>
      </c>
      <c r="AE8883" s="190"/>
      <c r="AF8883" s="191"/>
      <c r="AG8883" s="191"/>
      <c r="AH8883" s="191"/>
      <c r="AI8883" s="186"/>
      <c r="AK8883" s="171"/>
    </row>
    <row r="8884" spans="1:37" s="102" customFormat="1" ht="19.899999999999999" customHeight="1" x14ac:dyDescent="0.25">
      <c r="A8884" s="45"/>
      <c r="B8884" s="59"/>
      <c r="C8884" s="137"/>
      <c r="D8884" s="59"/>
      <c r="E8884" s="116"/>
      <c r="F8884" s="120"/>
      <c r="G8884" s="120"/>
      <c r="H8884" s="120"/>
      <c r="I8884" s="60"/>
      <c r="J8884" s="116"/>
      <c r="K8884" s="213"/>
      <c r="L8884" s="120"/>
      <c r="M8884" s="120"/>
      <c r="N8884" s="167"/>
      <c r="O8884" s="120"/>
      <c r="P8884" s="120"/>
      <c r="Q8884" s="120"/>
      <c r="R8884" s="120"/>
      <c r="S8884" s="120"/>
      <c r="T8884" s="221"/>
      <c r="U8884" s="89"/>
      <c r="V8884" s="61"/>
      <c r="W8884" s="92" t="s">
        <v>1354</v>
      </c>
      <c r="X8884" s="93" t="s">
        <v>32</v>
      </c>
      <c r="Y8884" s="93" t="s">
        <v>66</v>
      </c>
      <c r="Z8884" s="134">
        <f>VLOOKUP(W8884,Sheet2!$B:$D,3,FALSE)</f>
        <v>150</v>
      </c>
      <c r="AA8884" s="93">
        <f>AA8881</f>
        <v>1.7361111111111112</v>
      </c>
      <c r="AB8884" s="93">
        <f>AD8884/AC8887</f>
        <v>86.399999999999991</v>
      </c>
      <c r="AC8884" s="93">
        <f>AC8887/AA8884</f>
        <v>1.0367999999999999</v>
      </c>
      <c r="AD8884" s="94">
        <f>AC8884*Z8884</f>
        <v>155.51999999999998</v>
      </c>
      <c r="AE8884" s="190"/>
      <c r="AF8884" s="191"/>
      <c r="AG8884" s="191"/>
      <c r="AH8884" s="191"/>
      <c r="AI8884" s="186"/>
      <c r="AK8884" s="171"/>
    </row>
    <row r="8885" spans="1:37" s="102" customFormat="1" ht="19.899999999999999" customHeight="1" x14ac:dyDescent="0.25">
      <c r="A8885" s="45"/>
      <c r="B8885" s="59"/>
      <c r="C8885" s="137"/>
      <c r="D8885" s="59"/>
      <c r="E8885" s="116"/>
      <c r="F8885" s="120"/>
      <c r="G8885" s="120"/>
      <c r="H8885" s="120"/>
      <c r="I8885" s="60"/>
      <c r="J8885" s="116"/>
      <c r="K8885" s="213"/>
      <c r="L8885" s="120"/>
      <c r="M8885" s="120"/>
      <c r="N8885" s="167"/>
      <c r="O8885" s="120"/>
      <c r="P8885" s="120"/>
      <c r="Q8885" s="120"/>
      <c r="R8885" s="120"/>
      <c r="S8885" s="120"/>
      <c r="T8885" s="221"/>
      <c r="U8885" s="89"/>
      <c r="V8885" s="61"/>
      <c r="W8885" s="92" t="s">
        <v>1355</v>
      </c>
      <c r="X8885" s="93" t="s">
        <v>32</v>
      </c>
      <c r="Y8885" s="93" t="s">
        <v>66</v>
      </c>
      <c r="Z8885" s="134">
        <f>VLOOKUP(W8885,Sheet2!$B:$D,3,FALSE)</f>
        <v>450</v>
      </c>
      <c r="AA8885" s="93">
        <f>AA8882</f>
        <v>0.63011972274732209</v>
      </c>
      <c r="AB8885" s="93">
        <f>AD8885/AC8887</f>
        <v>714.15</v>
      </c>
      <c r="AC8885" s="93">
        <f>AC8887/AA8885</f>
        <v>2.8565999999999994</v>
      </c>
      <c r="AD8885" s="94">
        <f>AC8885*Z8885</f>
        <v>1285.4699999999998</v>
      </c>
      <c r="AE8885" s="190"/>
      <c r="AF8885" s="191"/>
      <c r="AG8885" s="191"/>
      <c r="AH8885" s="191"/>
      <c r="AI8885" s="186"/>
      <c r="AK8885" s="171"/>
    </row>
    <row r="8886" spans="1:37" s="102" customFormat="1" ht="19.899999999999999" customHeight="1" x14ac:dyDescent="0.25">
      <c r="A8886" s="45"/>
      <c r="B8886" s="59"/>
      <c r="C8886" s="137"/>
      <c r="D8886" s="59"/>
      <c r="E8886" s="116"/>
      <c r="F8886" s="120"/>
      <c r="G8886" s="120"/>
      <c r="H8886" s="120"/>
      <c r="I8886" s="60"/>
      <c r="J8886" s="116"/>
      <c r="K8886" s="213"/>
      <c r="L8886" s="120"/>
      <c r="M8886" s="120"/>
      <c r="N8886" s="167"/>
      <c r="O8886" s="120"/>
      <c r="P8886" s="120"/>
      <c r="Q8886" s="120"/>
      <c r="R8886" s="120"/>
      <c r="S8886" s="120"/>
      <c r="T8886" s="221"/>
      <c r="U8886" s="89"/>
      <c r="V8886" s="61"/>
      <c r="W8886" s="92" t="s">
        <v>124</v>
      </c>
      <c r="X8886" s="93" t="s">
        <v>32</v>
      </c>
      <c r="Y8886" s="93" t="s">
        <v>64</v>
      </c>
      <c r="Z8886" s="134">
        <f>VLOOKUP(W8886,Sheet2!$B:$D,3,FALSE)</f>
        <v>10</v>
      </c>
      <c r="AA8886" s="93">
        <f>1/((2.9*2.9)-(3.14*1.5*1.5/4))</f>
        <v>0.15051740357478832</v>
      </c>
      <c r="AB8886" s="93">
        <f t="shared" ref="AB8886" si="6044">AD8886/AC8880</f>
        <v>66.437500000000014</v>
      </c>
      <c r="AC8886" s="93">
        <f>AC8880/AA8886</f>
        <v>11.95875</v>
      </c>
      <c r="AD8886" s="94">
        <f t="shared" ref="AD8886" si="6045">AC8886*Z8886</f>
        <v>119.58750000000001</v>
      </c>
      <c r="AE8886" s="190"/>
      <c r="AF8886" s="191"/>
      <c r="AG8886" s="191"/>
      <c r="AH8886" s="191"/>
      <c r="AI8886" s="186"/>
      <c r="AK8886" s="171"/>
    </row>
    <row r="8887" spans="1:37" s="103" customFormat="1" ht="19.899999999999999" customHeight="1" x14ac:dyDescent="0.25">
      <c r="A8887" s="51"/>
      <c r="B8887" s="52"/>
      <c r="C8887" s="165"/>
      <c r="D8887" s="52"/>
      <c r="E8887" s="115"/>
      <c r="F8887" s="58"/>
      <c r="G8887" s="58"/>
      <c r="H8887" s="58"/>
      <c r="I8887" s="55"/>
      <c r="J8887" s="113">
        <f>J8874</f>
        <v>1.7999999999999998</v>
      </c>
      <c r="K8887" s="212">
        <f>K8874</f>
        <v>1.7999999999999998</v>
      </c>
      <c r="L8887" s="58"/>
      <c r="M8887" s="58">
        <f>K8887-L8887</f>
        <v>1.7999999999999998</v>
      </c>
      <c r="N8887" s="166"/>
      <c r="O8887" s="58"/>
      <c r="P8887" s="58"/>
      <c r="Q8887" s="58"/>
      <c r="R8887" s="58"/>
      <c r="S8887" s="58"/>
      <c r="T8887" s="220"/>
      <c r="U8887" s="88"/>
      <c r="V8887" s="56"/>
      <c r="W8887" s="57" t="s">
        <v>1275</v>
      </c>
      <c r="X8887" s="53"/>
      <c r="Y8887" s="91" t="s">
        <v>35</v>
      </c>
      <c r="Z8887" s="136">
        <f>AD8887/AC8887</f>
        <v>5242.8</v>
      </c>
      <c r="AA8887" s="58"/>
      <c r="AB8887" s="53">
        <f>AD8887/AC8887</f>
        <v>5242.8</v>
      </c>
      <c r="AC8887" s="53">
        <f>M8887+$AE$10</f>
        <v>1.7999999999999998</v>
      </c>
      <c r="AD8887" s="54">
        <f>SUM(AD8888:AD8893)</f>
        <v>9437.0399999999991</v>
      </c>
      <c r="AE8887" s="184">
        <f>SUMIFS($AD$37:$AD$12971,$V$37:$V$12971,$V8887,$X$37:$X$12971,AE$13)</f>
        <v>0</v>
      </c>
      <c r="AF8887" s="185">
        <f>SUMIFS($AD$37:$AD$12971,$V$37:$V$12971,$V8887,$X$37:$X$12971,AF$13)</f>
        <v>0</v>
      </c>
      <c r="AG8887" s="185">
        <f>SUMIFS($AD$37:$AD$12971,$V$37:$V$12971,$V8887,$X$37:$X$12971,AG$13)</f>
        <v>0</v>
      </c>
      <c r="AH8887" s="187">
        <f>SUMIFS($AD$37:$AD$12971,$V$37:$V$12971,$V8887,$X$37:$X$12971,AH$13)</f>
        <v>0</v>
      </c>
      <c r="AI8887" s="161">
        <f t="shared" ref="AI8887" si="6046">SUM(AE8887:AH8887)</f>
        <v>0</v>
      </c>
      <c r="AK8887" s="172"/>
    </row>
    <row r="8888" spans="1:37" s="102" customFormat="1" ht="19.899999999999999" customHeight="1" x14ac:dyDescent="0.25">
      <c r="A8888" s="45"/>
      <c r="B8888" s="59"/>
      <c r="C8888" s="137"/>
      <c r="D8888" s="59"/>
      <c r="E8888" s="116"/>
      <c r="F8888" s="120"/>
      <c r="G8888" s="120"/>
      <c r="H8888" s="120"/>
      <c r="I8888" s="60"/>
      <c r="J8888" s="116"/>
      <c r="K8888" s="213"/>
      <c r="L8888" s="120"/>
      <c r="M8888" s="120"/>
      <c r="N8888" s="167"/>
      <c r="O8888" s="120"/>
      <c r="P8888" s="120"/>
      <c r="Q8888" s="120"/>
      <c r="R8888" s="120"/>
      <c r="S8888" s="120"/>
      <c r="T8888" s="221"/>
      <c r="U8888" s="89"/>
      <c r="V8888" s="61"/>
      <c r="W8888" s="92" t="s">
        <v>1494</v>
      </c>
      <c r="X8888" s="93" t="s">
        <v>30</v>
      </c>
      <c r="Y8888" s="93" t="s">
        <v>35</v>
      </c>
      <c r="Z8888" s="134">
        <f>VLOOKUP(W8888,Sheet2!$B:$D,3,FALSE)</f>
        <v>3470</v>
      </c>
      <c r="AA8888" s="93">
        <v>1</v>
      </c>
      <c r="AB8888" s="93">
        <f>AD8888/AC8887</f>
        <v>3470</v>
      </c>
      <c r="AC8888" s="93">
        <f>AC8887/AA8888</f>
        <v>1.7999999999999998</v>
      </c>
      <c r="AD8888" s="94">
        <f t="shared" ref="AD8888:AD8889" si="6047">AC8888*Z8888</f>
        <v>6245.9999999999991</v>
      </c>
      <c r="AE8888" s="190"/>
      <c r="AF8888" s="191"/>
      <c r="AG8888" s="191"/>
      <c r="AH8888" s="191"/>
      <c r="AI8888" s="186"/>
      <c r="AK8888" s="171"/>
    </row>
    <row r="8889" spans="1:37" s="102" customFormat="1" ht="19.899999999999999" customHeight="1" x14ac:dyDescent="0.25">
      <c r="A8889" s="45"/>
      <c r="B8889" s="59"/>
      <c r="C8889" s="137"/>
      <c r="D8889" s="59"/>
      <c r="E8889" s="116"/>
      <c r="F8889" s="120"/>
      <c r="G8889" s="120"/>
      <c r="H8889" s="120"/>
      <c r="I8889" s="60"/>
      <c r="J8889" s="116"/>
      <c r="K8889" s="213"/>
      <c r="L8889" s="120"/>
      <c r="M8889" s="120"/>
      <c r="N8889" s="167"/>
      <c r="O8889" s="120"/>
      <c r="P8889" s="120"/>
      <c r="Q8889" s="120"/>
      <c r="R8889" s="120"/>
      <c r="S8889" s="120"/>
      <c r="T8889" s="221"/>
      <c r="U8889" s="89"/>
      <c r="V8889" s="61"/>
      <c r="W8889" s="92" t="s">
        <v>174</v>
      </c>
      <c r="X8889" s="93" t="s">
        <v>29</v>
      </c>
      <c r="Y8889" s="93" t="s">
        <v>93</v>
      </c>
      <c r="Z8889" s="134">
        <f>VLOOKUP(W8889,Sheet2!$B:$D,3,FALSE)</f>
        <v>80</v>
      </c>
      <c r="AA8889" s="93">
        <f>1/2</f>
        <v>0.5</v>
      </c>
      <c r="AB8889" s="93">
        <f>AD8889/AC8887</f>
        <v>160.00000000000003</v>
      </c>
      <c r="AC8889" s="93">
        <f>AC8887/AA8889</f>
        <v>3.5999999999999996</v>
      </c>
      <c r="AD8889" s="94">
        <f t="shared" si="6047"/>
        <v>288</v>
      </c>
      <c r="AE8889" s="190"/>
      <c r="AF8889" s="191"/>
      <c r="AG8889" s="191"/>
      <c r="AH8889" s="191"/>
      <c r="AI8889" s="186"/>
      <c r="AK8889" s="171"/>
    </row>
    <row r="8890" spans="1:37" s="102" customFormat="1" ht="19.899999999999999" customHeight="1" x14ac:dyDescent="0.25">
      <c r="A8890" s="45"/>
      <c r="B8890" s="59"/>
      <c r="C8890" s="137"/>
      <c r="D8890" s="59"/>
      <c r="E8890" s="116"/>
      <c r="F8890" s="120"/>
      <c r="G8890" s="120"/>
      <c r="H8890" s="120"/>
      <c r="I8890" s="60"/>
      <c r="J8890" s="116"/>
      <c r="K8890" s="213"/>
      <c r="L8890" s="120"/>
      <c r="M8890" s="120"/>
      <c r="N8890" s="167"/>
      <c r="O8890" s="120"/>
      <c r="P8890" s="120"/>
      <c r="Q8890" s="120"/>
      <c r="R8890" s="120"/>
      <c r="S8890" s="120"/>
      <c r="T8890" s="221"/>
      <c r="U8890" s="89"/>
      <c r="V8890" s="61"/>
      <c r="W8890" s="92" t="s">
        <v>65</v>
      </c>
      <c r="X8890" s="93" t="s">
        <v>30</v>
      </c>
      <c r="Y8890" s="93" t="s">
        <v>93</v>
      </c>
      <c r="Z8890" s="134">
        <f>VLOOKUP(W8890,Sheet2!$B:$D,3,FALSE)</f>
        <v>1.76</v>
      </c>
      <c r="AA8890" s="93">
        <f>AA8889/15</f>
        <v>3.3333333333333333E-2</v>
      </c>
      <c r="AB8890" s="93">
        <f>AD8890/AC8887</f>
        <v>52.800000000000004</v>
      </c>
      <c r="AC8890" s="93">
        <f>AC8887/AA8890</f>
        <v>53.999999999999993</v>
      </c>
      <c r="AD8890" s="94">
        <f>AC8890*Z8890</f>
        <v>95.039999999999992</v>
      </c>
      <c r="AE8890" s="190"/>
      <c r="AF8890" s="191"/>
      <c r="AG8890" s="191"/>
      <c r="AH8890" s="191"/>
      <c r="AI8890" s="186"/>
      <c r="AK8890" s="171"/>
    </row>
    <row r="8891" spans="1:37" s="102" customFormat="1" ht="19.899999999999999" customHeight="1" x14ac:dyDescent="0.25">
      <c r="A8891" s="45"/>
      <c r="B8891" s="59"/>
      <c r="C8891" s="137"/>
      <c r="D8891" s="59"/>
      <c r="E8891" s="116"/>
      <c r="F8891" s="120"/>
      <c r="G8891" s="120"/>
      <c r="H8891" s="120"/>
      <c r="I8891" s="60"/>
      <c r="J8891" s="116"/>
      <c r="K8891" s="213"/>
      <c r="L8891" s="120"/>
      <c r="M8891" s="120"/>
      <c r="N8891" s="167"/>
      <c r="O8891" s="120"/>
      <c r="P8891" s="120"/>
      <c r="Q8891" s="120"/>
      <c r="R8891" s="120"/>
      <c r="S8891" s="120"/>
      <c r="T8891" s="221"/>
      <c r="U8891" s="89"/>
      <c r="V8891" s="61"/>
      <c r="W8891" s="92" t="s">
        <v>1487</v>
      </c>
      <c r="X8891" s="93" t="s">
        <v>32</v>
      </c>
      <c r="Y8891" s="93" t="s">
        <v>1349</v>
      </c>
      <c r="Z8891" s="134">
        <f>VLOOKUP(W8891,Sheet2!$B:$D,3,FALSE)</f>
        <v>1500</v>
      </c>
      <c r="AA8891" s="93">
        <v>1</v>
      </c>
      <c r="AB8891" s="93">
        <f>AD8891/AC8887</f>
        <v>1500</v>
      </c>
      <c r="AC8891" s="93">
        <f>AC8887/AA8891</f>
        <v>1.7999999999999998</v>
      </c>
      <c r="AD8891" s="94">
        <f>AC8891*Z8891</f>
        <v>2699.9999999999995</v>
      </c>
      <c r="AE8891" s="190"/>
      <c r="AF8891" s="191"/>
      <c r="AG8891" s="191"/>
      <c r="AH8891" s="191"/>
      <c r="AI8891" s="186"/>
      <c r="AK8891" s="171"/>
    </row>
    <row r="8892" spans="1:37" s="102" customFormat="1" ht="19.899999999999999" customHeight="1" x14ac:dyDescent="0.25">
      <c r="A8892" s="45"/>
      <c r="B8892" s="59"/>
      <c r="C8892" s="137"/>
      <c r="D8892" s="59"/>
      <c r="E8892" s="116"/>
      <c r="F8892" s="120"/>
      <c r="G8892" s="120"/>
      <c r="H8892" s="120"/>
      <c r="I8892" s="60"/>
      <c r="J8892" s="116"/>
      <c r="K8892" s="213"/>
      <c r="L8892" s="120"/>
      <c r="M8892" s="120"/>
      <c r="N8892" s="167"/>
      <c r="O8892" s="120"/>
      <c r="P8892" s="120"/>
      <c r="Q8892" s="120"/>
      <c r="R8892" s="120"/>
      <c r="S8892" s="120"/>
      <c r="T8892" s="221"/>
      <c r="U8892" s="89"/>
      <c r="V8892" s="61"/>
      <c r="W8892" s="92" t="s">
        <v>107</v>
      </c>
      <c r="X8892" s="93" t="s">
        <v>31</v>
      </c>
      <c r="Y8892" s="93" t="s">
        <v>93</v>
      </c>
      <c r="Z8892" s="134">
        <f>VLOOKUP(W8892,Sheet2!$B:$D,3,FALSE)</f>
        <v>17</v>
      </c>
      <c r="AA8892" s="93">
        <f>AA8889</f>
        <v>0.5</v>
      </c>
      <c r="AB8892" s="93">
        <f>AD8892/AC8887</f>
        <v>34</v>
      </c>
      <c r="AC8892" s="93">
        <f>AC8887/AA8892</f>
        <v>3.5999999999999996</v>
      </c>
      <c r="AD8892" s="94">
        <f>AC8892*Z8892</f>
        <v>61.199999999999996</v>
      </c>
      <c r="AE8892" s="190"/>
      <c r="AF8892" s="191"/>
      <c r="AG8892" s="191"/>
      <c r="AH8892" s="191"/>
      <c r="AI8892" s="186"/>
      <c r="AK8892" s="171"/>
    </row>
    <row r="8893" spans="1:37" s="102" customFormat="1" ht="19.899999999999999" customHeight="1" x14ac:dyDescent="0.25">
      <c r="A8893" s="45"/>
      <c r="B8893" s="59"/>
      <c r="C8893" s="137"/>
      <c r="D8893" s="59"/>
      <c r="E8893" s="116"/>
      <c r="F8893" s="120"/>
      <c r="G8893" s="120"/>
      <c r="H8893" s="120"/>
      <c r="I8893" s="60"/>
      <c r="J8893" s="116"/>
      <c r="K8893" s="213"/>
      <c r="L8893" s="120"/>
      <c r="M8893" s="120"/>
      <c r="N8893" s="167"/>
      <c r="O8893" s="120"/>
      <c r="P8893" s="120"/>
      <c r="Q8893" s="120"/>
      <c r="R8893" s="120"/>
      <c r="S8893" s="120"/>
      <c r="T8893" s="221"/>
      <c r="U8893" s="89"/>
      <c r="V8893" s="61"/>
      <c r="W8893" s="92" t="s">
        <v>112</v>
      </c>
      <c r="X8893" s="93" t="s">
        <v>31</v>
      </c>
      <c r="Y8893" s="93" t="s">
        <v>93</v>
      </c>
      <c r="Z8893" s="134">
        <f>VLOOKUP(W8893,Sheet2!$B:$D,3,FALSE)</f>
        <v>13</v>
      </c>
      <c r="AA8893" s="93">
        <f>AA8892</f>
        <v>0.5</v>
      </c>
      <c r="AB8893" s="93">
        <f>AD8893/AC8887</f>
        <v>26</v>
      </c>
      <c r="AC8893" s="93">
        <f>AC8887/AA8893</f>
        <v>3.5999999999999996</v>
      </c>
      <c r="AD8893" s="94">
        <f>AC8893*Z8893</f>
        <v>46.8</v>
      </c>
      <c r="AE8893" s="190"/>
      <c r="AF8893" s="191"/>
      <c r="AG8893" s="191"/>
      <c r="AH8893" s="191"/>
      <c r="AI8893" s="186"/>
      <c r="AK8893" s="171"/>
    </row>
    <row r="8894" spans="1:37" s="103" customFormat="1" ht="19.899999999999999" customHeight="1" x14ac:dyDescent="0.25">
      <c r="A8894" s="51"/>
      <c r="B8894" s="52"/>
      <c r="C8894" s="165"/>
      <c r="D8894" s="52"/>
      <c r="E8894" s="115"/>
      <c r="F8894" s="58"/>
      <c r="G8894" s="58"/>
      <c r="H8894" s="58"/>
      <c r="I8894" s="55"/>
      <c r="J8894" s="113">
        <f>J8874</f>
        <v>1.7999999999999998</v>
      </c>
      <c r="K8894" s="212">
        <f>K8874</f>
        <v>1.7999999999999998</v>
      </c>
      <c r="L8894" s="58"/>
      <c r="M8894" s="58">
        <f>K8894-L8894</f>
        <v>1.7999999999999998</v>
      </c>
      <c r="N8894" s="166"/>
      <c r="O8894" s="58"/>
      <c r="P8894" s="58"/>
      <c r="Q8894" s="58"/>
      <c r="R8894" s="58"/>
      <c r="S8894" s="58"/>
      <c r="T8894" s="220"/>
      <c r="U8894" s="88"/>
      <c r="V8894" s="56"/>
      <c r="W8894" s="57" t="s">
        <v>1272</v>
      </c>
      <c r="X8894" s="53"/>
      <c r="Y8894" s="91" t="s">
        <v>35</v>
      </c>
      <c r="Z8894" s="136">
        <f>AD8894/AC8894</f>
        <v>274.54017717647065</v>
      </c>
      <c r="AA8894" s="58"/>
      <c r="AB8894" s="53">
        <f>AD8894/AC8894</f>
        <v>274.54017717647065</v>
      </c>
      <c r="AC8894" s="53">
        <f>M8894+$AE$10</f>
        <v>1.7999999999999998</v>
      </c>
      <c r="AD8894" s="54">
        <f>SUM(AD8895:AD8903)</f>
        <v>494.17231891764709</v>
      </c>
      <c r="AE8894" s="184">
        <f>SUMIFS($AD$37:$AD$12971,$V$37:$V$12971,$V8894,$X$37:$X$12971,AE$13)</f>
        <v>0</v>
      </c>
      <c r="AF8894" s="185">
        <f>SUMIFS($AD$37:$AD$12971,$V$37:$V$12971,$V8894,$X$37:$X$12971,AF$13)</f>
        <v>0</v>
      </c>
      <c r="AG8894" s="185">
        <f>SUMIFS($AD$37:$AD$12971,$V$37:$V$12971,$V8894,$X$37:$X$12971,AG$13)</f>
        <v>0</v>
      </c>
      <c r="AH8894" s="187">
        <f>SUMIFS($AD$37:$AD$12971,$V$37:$V$12971,$V8894,$X$37:$X$12971,AH$13)</f>
        <v>0</v>
      </c>
      <c r="AI8894" s="161">
        <f t="shared" ref="AI8894" si="6048">SUM(AE8894:AH8894)</f>
        <v>0</v>
      </c>
      <c r="AK8894" s="172"/>
    </row>
    <row r="8895" spans="1:37" s="102" customFormat="1" ht="19.899999999999999" customHeight="1" x14ac:dyDescent="0.25">
      <c r="A8895" s="45"/>
      <c r="B8895" s="59"/>
      <c r="C8895" s="137"/>
      <c r="D8895" s="59"/>
      <c r="E8895" s="116"/>
      <c r="F8895" s="120"/>
      <c r="G8895" s="120"/>
      <c r="H8895" s="120"/>
      <c r="I8895" s="60"/>
      <c r="J8895" s="116"/>
      <c r="K8895" s="213"/>
      <c r="L8895" s="120"/>
      <c r="M8895" s="120"/>
      <c r="N8895" s="167"/>
      <c r="O8895" s="120"/>
      <c r="P8895" s="120"/>
      <c r="Q8895" s="120"/>
      <c r="R8895" s="120"/>
      <c r="S8895" s="120"/>
      <c r="T8895" s="221"/>
      <c r="U8895" s="89"/>
      <c r="V8895" s="61"/>
      <c r="W8895" s="92" t="s">
        <v>1273</v>
      </c>
      <c r="X8895" s="93" t="s">
        <v>30</v>
      </c>
      <c r="Y8895" s="93" t="s">
        <v>66</v>
      </c>
      <c r="Z8895" s="134">
        <f>VLOOKUP(W8895,Sheet2!$B:$D,3,FALSE)</f>
        <v>10</v>
      </c>
      <c r="AA8895" s="93">
        <f>1/((3*3*2)-(3.14/4*1.5*1.5*2))</f>
        <v>6.9120442370831162E-2</v>
      </c>
      <c r="AB8895" s="93">
        <f>AD8895/AC8894</f>
        <v>144.67500000000004</v>
      </c>
      <c r="AC8895" s="93">
        <f>AC8894/AA8895</f>
        <v>26.041500000000003</v>
      </c>
      <c r="AD8895" s="94">
        <f t="shared" ref="AD8895:AD8897" si="6049">AC8895*Z8895</f>
        <v>260.41500000000002</v>
      </c>
      <c r="AE8895" s="190"/>
      <c r="AF8895" s="191"/>
      <c r="AG8895" s="191"/>
      <c r="AH8895" s="191"/>
      <c r="AI8895" s="186"/>
      <c r="AK8895" s="171"/>
    </row>
    <row r="8896" spans="1:37" s="102" customFormat="1" ht="19.899999999999999" customHeight="1" x14ac:dyDescent="0.25">
      <c r="A8896" s="45"/>
      <c r="B8896" s="59"/>
      <c r="C8896" s="137"/>
      <c r="D8896" s="59"/>
      <c r="E8896" s="116"/>
      <c r="F8896" s="120"/>
      <c r="G8896" s="120"/>
      <c r="H8896" s="120"/>
      <c r="I8896" s="60"/>
      <c r="J8896" s="116"/>
      <c r="K8896" s="213"/>
      <c r="L8896" s="120"/>
      <c r="M8896" s="120"/>
      <c r="N8896" s="167"/>
      <c r="O8896" s="120"/>
      <c r="P8896" s="120"/>
      <c r="Q8896" s="120"/>
      <c r="R8896" s="120"/>
      <c r="S8896" s="120"/>
      <c r="T8896" s="221"/>
      <c r="U8896" s="89"/>
      <c r="V8896" s="61"/>
      <c r="W8896" s="92" t="s">
        <v>134</v>
      </c>
      <c r="X8896" s="93" t="s">
        <v>29</v>
      </c>
      <c r="Y8896" s="93" t="s">
        <v>93</v>
      </c>
      <c r="Z8896" s="134">
        <f>VLOOKUP(W8896,Sheet2!$B:$D,3,FALSE)</f>
        <v>65.599999999999994</v>
      </c>
      <c r="AA8896" s="93">
        <f>100/((3*3*2)-(3.14/4*1.5*1.5*2))</f>
        <v>6.9120442370831165</v>
      </c>
      <c r="AB8896" s="93">
        <f t="shared" ref="AB8896" si="6050">AD8896/AC8894</f>
        <v>9.4906799999999993</v>
      </c>
      <c r="AC8896" s="93">
        <f>AC8894/AA8896</f>
        <v>0.26041500000000001</v>
      </c>
      <c r="AD8896" s="94">
        <f t="shared" si="6049"/>
        <v>17.083223999999998</v>
      </c>
      <c r="AE8896" s="190"/>
      <c r="AF8896" s="191"/>
      <c r="AG8896" s="191"/>
      <c r="AH8896" s="191"/>
      <c r="AI8896" s="186"/>
      <c r="AK8896" s="171"/>
    </row>
    <row r="8897" spans="1:41" s="102" customFormat="1" ht="19.899999999999999" customHeight="1" x14ac:dyDescent="0.25">
      <c r="A8897" s="45"/>
      <c r="B8897" s="59"/>
      <c r="C8897" s="137"/>
      <c r="D8897" s="59"/>
      <c r="E8897" s="116"/>
      <c r="F8897" s="120"/>
      <c r="G8897" s="120"/>
      <c r="H8897" s="120"/>
      <c r="I8897" s="60"/>
      <c r="J8897" s="116"/>
      <c r="K8897" s="213"/>
      <c r="L8897" s="120"/>
      <c r="M8897" s="120"/>
      <c r="N8897" s="167"/>
      <c r="O8897" s="120"/>
      <c r="P8897" s="120"/>
      <c r="Q8897" s="120"/>
      <c r="R8897" s="120"/>
      <c r="S8897" s="120"/>
      <c r="T8897" s="221"/>
      <c r="U8897" s="89"/>
      <c r="V8897" s="61"/>
      <c r="W8897" s="92" t="s">
        <v>65</v>
      </c>
      <c r="X8897" s="93" t="s">
        <v>30</v>
      </c>
      <c r="Y8897" s="93" t="s">
        <v>1011</v>
      </c>
      <c r="Z8897" s="134">
        <f>VLOOKUP(W8897,Sheet2!$B:$D,3,FALSE)</f>
        <v>1.76</v>
      </c>
      <c r="AA8897" s="93">
        <f>AA8896/9</f>
        <v>0.76800491523145742</v>
      </c>
      <c r="AB8897" s="93">
        <f>AD8897/AC8894</f>
        <v>2.2916520000000005</v>
      </c>
      <c r="AC8897" s="93">
        <f>AC8894/AA8897</f>
        <v>2.3437350000000001</v>
      </c>
      <c r="AD8897" s="94">
        <f t="shared" si="6049"/>
        <v>4.1249736000000006</v>
      </c>
      <c r="AE8897" s="190"/>
      <c r="AF8897" s="191"/>
      <c r="AG8897" s="191"/>
      <c r="AH8897" s="191"/>
      <c r="AI8897" s="186"/>
      <c r="AK8897" s="171"/>
    </row>
    <row r="8898" spans="1:41" s="102" customFormat="1" ht="19.899999999999999" customHeight="1" x14ac:dyDescent="0.25">
      <c r="A8898" s="45"/>
      <c r="B8898" s="59"/>
      <c r="C8898" s="137"/>
      <c r="D8898" s="59"/>
      <c r="E8898" s="116"/>
      <c r="F8898" s="120"/>
      <c r="G8898" s="120"/>
      <c r="H8898" s="120"/>
      <c r="I8898" s="60"/>
      <c r="J8898" s="116"/>
      <c r="K8898" s="213"/>
      <c r="L8898" s="120"/>
      <c r="M8898" s="120"/>
      <c r="N8898" s="167"/>
      <c r="O8898" s="120"/>
      <c r="P8898" s="120"/>
      <c r="Q8898" s="120"/>
      <c r="R8898" s="120"/>
      <c r="S8898" s="120"/>
      <c r="T8898" s="221"/>
      <c r="U8898" s="89"/>
      <c r="V8898" s="61"/>
      <c r="W8898" s="92" t="s">
        <v>161</v>
      </c>
      <c r="X8898" s="93" t="s">
        <v>29</v>
      </c>
      <c r="Y8898" s="93" t="s">
        <v>93</v>
      </c>
      <c r="Z8898" s="134">
        <f>VLOOKUP(W8898,Sheet2!$B:$D,3,FALSE)</f>
        <v>48</v>
      </c>
      <c r="AA8898" s="93">
        <f>(16*0.85*1.5)/((3*3*2)-(3.14/4*1.5*1.5*2))</f>
        <v>1.4100570243649557</v>
      </c>
      <c r="AB8898" s="93">
        <f>AD8898/AC8894</f>
        <v>34.04117647058824</v>
      </c>
      <c r="AC8898" s="93">
        <f>AC8894/AA8898</f>
        <v>1.2765441176470589</v>
      </c>
      <c r="AD8898" s="94">
        <f>AC8898*Z8898</f>
        <v>61.27411764705883</v>
      </c>
      <c r="AE8898" s="190"/>
      <c r="AF8898" s="191"/>
      <c r="AG8898" s="191"/>
      <c r="AH8898" s="191"/>
      <c r="AI8898" s="186"/>
      <c r="AK8898" s="171"/>
    </row>
    <row r="8899" spans="1:41" s="102" customFormat="1" ht="19.899999999999999" customHeight="1" x14ac:dyDescent="0.25">
      <c r="A8899" s="45"/>
      <c r="B8899" s="59"/>
      <c r="C8899" s="137"/>
      <c r="D8899" s="59"/>
      <c r="E8899" s="116"/>
      <c r="F8899" s="120"/>
      <c r="G8899" s="120"/>
      <c r="H8899" s="120"/>
      <c r="I8899" s="60"/>
      <c r="J8899" s="116"/>
      <c r="K8899" s="213"/>
      <c r="L8899" s="120"/>
      <c r="M8899" s="120"/>
      <c r="N8899" s="167"/>
      <c r="O8899" s="120"/>
      <c r="P8899" s="120"/>
      <c r="Q8899" s="120"/>
      <c r="R8899" s="120"/>
      <c r="S8899" s="120"/>
      <c r="T8899" s="221"/>
      <c r="U8899" s="89"/>
      <c r="V8899" s="61"/>
      <c r="W8899" s="92" t="s">
        <v>65</v>
      </c>
      <c r="X8899" s="93" t="s">
        <v>30</v>
      </c>
      <c r="Y8899" s="93" t="s">
        <v>1011</v>
      </c>
      <c r="Z8899" s="134">
        <f>VLOOKUP(W8899,Sheet2!$B:$D,3,FALSE)</f>
        <v>1.76</v>
      </c>
      <c r="AA8899" s="93">
        <f>AA8898/10</f>
        <v>0.14100570243649557</v>
      </c>
      <c r="AB8899" s="93">
        <f>AD8899/AC8894</f>
        <v>12.481764705882354</v>
      </c>
      <c r="AC8899" s="93">
        <f>AC8894/AA8899</f>
        <v>12.765441176470588</v>
      </c>
      <c r="AD8899" s="94">
        <f>AC8899*Z8899</f>
        <v>22.467176470588235</v>
      </c>
      <c r="AE8899" s="190"/>
      <c r="AF8899" s="191"/>
      <c r="AG8899" s="191"/>
      <c r="AH8899" s="191"/>
      <c r="AI8899" s="186"/>
      <c r="AK8899" s="171"/>
    </row>
    <row r="8900" spans="1:41" s="102" customFormat="1" ht="19.899999999999999" customHeight="1" x14ac:dyDescent="0.25">
      <c r="A8900" s="45"/>
      <c r="B8900" s="59"/>
      <c r="C8900" s="137"/>
      <c r="D8900" s="59"/>
      <c r="E8900" s="116"/>
      <c r="F8900" s="120"/>
      <c r="G8900" s="120"/>
      <c r="H8900" s="120"/>
      <c r="I8900" s="60"/>
      <c r="J8900" s="116"/>
      <c r="K8900" s="213"/>
      <c r="L8900" s="120"/>
      <c r="M8900" s="120"/>
      <c r="N8900" s="167"/>
      <c r="O8900" s="120"/>
      <c r="P8900" s="120"/>
      <c r="Q8900" s="120"/>
      <c r="R8900" s="120"/>
      <c r="S8900" s="120"/>
      <c r="T8900" s="221"/>
      <c r="U8900" s="89"/>
      <c r="V8900" s="61"/>
      <c r="W8900" s="92" t="s">
        <v>173</v>
      </c>
      <c r="X8900" s="93" t="s">
        <v>29</v>
      </c>
      <c r="Y8900" s="93" t="s">
        <v>93</v>
      </c>
      <c r="Z8900" s="134">
        <f>VLOOKUP(W8900,Sheet2!$B:$D,3,FALSE)</f>
        <v>36</v>
      </c>
      <c r="AA8900" s="93">
        <f>50/((3*3*2)-(3.14/4*1.5*1.5*2))</f>
        <v>3.4560221185415583</v>
      </c>
      <c r="AB8900" s="93">
        <f>AD8900/AC8894</f>
        <v>10.416600000000001</v>
      </c>
      <c r="AC8900" s="93">
        <f>AC8894/AA8900</f>
        <v>0.52083000000000002</v>
      </c>
      <c r="AD8900" s="94">
        <f>AC8900*Z8900</f>
        <v>18.749880000000001</v>
      </c>
      <c r="AE8900" s="190"/>
      <c r="AF8900" s="191"/>
      <c r="AG8900" s="191"/>
      <c r="AH8900" s="191"/>
      <c r="AI8900" s="186"/>
      <c r="AK8900" s="171"/>
    </row>
    <row r="8901" spans="1:41" s="102" customFormat="1" ht="19.899999999999999" customHeight="1" x14ac:dyDescent="0.25">
      <c r="A8901" s="45"/>
      <c r="B8901" s="59"/>
      <c r="C8901" s="137"/>
      <c r="D8901" s="59"/>
      <c r="E8901" s="116"/>
      <c r="F8901" s="120"/>
      <c r="G8901" s="120"/>
      <c r="H8901" s="120"/>
      <c r="I8901" s="60"/>
      <c r="J8901" s="116"/>
      <c r="K8901" s="213"/>
      <c r="L8901" s="120"/>
      <c r="M8901" s="120"/>
      <c r="N8901" s="167"/>
      <c r="O8901" s="120"/>
      <c r="P8901" s="120"/>
      <c r="Q8901" s="120"/>
      <c r="R8901" s="120"/>
      <c r="S8901" s="120"/>
      <c r="T8901" s="221"/>
      <c r="U8901" s="89"/>
      <c r="V8901" s="61"/>
      <c r="W8901" s="92" t="s">
        <v>65</v>
      </c>
      <c r="X8901" s="93" t="s">
        <v>30</v>
      </c>
      <c r="Y8901" s="93" t="s">
        <v>1011</v>
      </c>
      <c r="Z8901" s="134">
        <f>VLOOKUP(W8901,Sheet2!$B:$D,3,FALSE)</f>
        <v>1.76</v>
      </c>
      <c r="AA8901" s="93">
        <f>AA8900/9</f>
        <v>0.38400245761572871</v>
      </c>
      <c r="AB8901" s="93">
        <f>AD8901/AC8894</f>
        <v>4.5833040000000009</v>
      </c>
      <c r="AC8901" s="93">
        <f>AC8894/AA8901</f>
        <v>4.6874700000000002</v>
      </c>
      <c r="AD8901" s="94">
        <f>AC8901*Z8901</f>
        <v>8.2499472000000011</v>
      </c>
      <c r="AE8901" s="190"/>
      <c r="AF8901" s="191"/>
      <c r="AG8901" s="191"/>
      <c r="AH8901" s="191"/>
      <c r="AI8901" s="186"/>
      <c r="AK8901" s="171"/>
    </row>
    <row r="8902" spans="1:41" s="102" customFormat="1" ht="19.899999999999999" customHeight="1" x14ac:dyDescent="0.25">
      <c r="A8902" s="45"/>
      <c r="B8902" s="59"/>
      <c r="C8902" s="137"/>
      <c r="D8902" s="59"/>
      <c r="E8902" s="116"/>
      <c r="F8902" s="120"/>
      <c r="G8902" s="120"/>
      <c r="H8902" s="120"/>
      <c r="I8902" s="60"/>
      <c r="J8902" s="116"/>
      <c r="K8902" s="213"/>
      <c r="L8902" s="120"/>
      <c r="M8902" s="120"/>
      <c r="N8902" s="167"/>
      <c r="O8902" s="120"/>
      <c r="P8902" s="120"/>
      <c r="Q8902" s="120"/>
      <c r="R8902" s="120"/>
      <c r="S8902" s="120"/>
      <c r="T8902" s="221"/>
      <c r="U8902" s="89"/>
      <c r="V8902" s="61"/>
      <c r="W8902" s="92" t="s">
        <v>1030</v>
      </c>
      <c r="X8902" s="93" t="s">
        <v>29</v>
      </c>
      <c r="Y8902" s="93" t="s">
        <v>93</v>
      </c>
      <c r="Z8902" s="134">
        <f>VLOOKUP(W8902,Sheet2!$B:$D,3,FALSE)</f>
        <v>23</v>
      </c>
      <c r="AA8902" s="93">
        <f>1/(2*1)</f>
        <v>0.5</v>
      </c>
      <c r="AB8902" s="93">
        <f>AD8902/AC8894</f>
        <v>46</v>
      </c>
      <c r="AC8902" s="93">
        <f>AC8894/AA8902</f>
        <v>3.5999999999999996</v>
      </c>
      <c r="AD8902" s="94">
        <f t="shared" ref="AD8902:AD8903" si="6051">AC8902*Z8902</f>
        <v>82.8</v>
      </c>
      <c r="AE8902" s="190"/>
      <c r="AF8902" s="191"/>
      <c r="AG8902" s="191"/>
      <c r="AH8902" s="191"/>
      <c r="AI8902" s="186"/>
      <c r="AK8902" s="171"/>
    </row>
    <row r="8903" spans="1:41" s="102" customFormat="1" ht="19.899999999999999" customHeight="1" x14ac:dyDescent="0.25">
      <c r="A8903" s="45"/>
      <c r="B8903" s="59"/>
      <c r="C8903" s="137"/>
      <c r="D8903" s="59"/>
      <c r="E8903" s="116"/>
      <c r="F8903" s="120"/>
      <c r="G8903" s="120"/>
      <c r="H8903" s="120"/>
      <c r="I8903" s="60"/>
      <c r="J8903" s="116"/>
      <c r="K8903" s="213"/>
      <c r="L8903" s="120"/>
      <c r="M8903" s="120"/>
      <c r="N8903" s="167"/>
      <c r="O8903" s="120"/>
      <c r="P8903" s="120"/>
      <c r="Q8903" s="120"/>
      <c r="R8903" s="120"/>
      <c r="S8903" s="120"/>
      <c r="T8903" s="221"/>
      <c r="U8903" s="89"/>
      <c r="V8903" s="61"/>
      <c r="W8903" s="92" t="s">
        <v>65</v>
      </c>
      <c r="X8903" s="93" t="s">
        <v>30</v>
      </c>
      <c r="Y8903" s="93" t="s">
        <v>1011</v>
      </c>
      <c r="Z8903" s="134">
        <f>VLOOKUP(W8903,Sheet2!$B:$D,3,FALSE)</f>
        <v>1.76</v>
      </c>
      <c r="AA8903" s="93">
        <f>AA8902/3</f>
        <v>0.16666666666666666</v>
      </c>
      <c r="AB8903" s="93">
        <f>AD8903/AC8894</f>
        <v>10.56</v>
      </c>
      <c r="AC8903" s="93">
        <f>AC8894/AA8903</f>
        <v>10.799999999999999</v>
      </c>
      <c r="AD8903" s="94">
        <f t="shared" si="6051"/>
        <v>19.007999999999999</v>
      </c>
      <c r="AE8903" s="190"/>
      <c r="AF8903" s="191"/>
      <c r="AG8903" s="191"/>
      <c r="AH8903" s="191"/>
      <c r="AI8903" s="186"/>
      <c r="AK8903" s="171"/>
    </row>
    <row r="8904" spans="1:41" ht="20.100000000000001" customHeight="1" x14ac:dyDescent="0.25">
      <c r="A8904" s="277" t="s">
        <v>703</v>
      </c>
      <c r="B8904" s="278"/>
      <c r="C8904" s="64" t="s">
        <v>811</v>
      </c>
      <c r="D8904" s="46" t="s">
        <v>215</v>
      </c>
      <c r="E8904" s="114">
        <v>9.4050000000000047</v>
      </c>
      <c r="F8904" s="44">
        <v>24547</v>
      </c>
      <c r="G8904" s="44">
        <f t="shared" si="5545"/>
        <v>230864.53500000012</v>
      </c>
      <c r="H8904" s="44">
        <f t="shared" si="5546"/>
        <v>8320.3096626470597</v>
      </c>
      <c r="I8904" s="43">
        <f t="shared" si="5547"/>
        <v>78252.512377195642</v>
      </c>
      <c r="J8904" s="112">
        <f t="shared" si="5548"/>
        <v>9.4050000000000047</v>
      </c>
      <c r="K8904" s="211">
        <f t="shared" si="5549"/>
        <v>9.4050000000000047</v>
      </c>
      <c r="L8904" s="44"/>
      <c r="M8904" s="44">
        <f t="shared" si="5550"/>
        <v>9.4050000000000047</v>
      </c>
      <c r="N8904" s="173">
        <f t="shared" si="5551"/>
        <v>1</v>
      </c>
      <c r="O8904" s="44">
        <f t="shared" si="5552"/>
        <v>24547</v>
      </c>
      <c r="P8904" s="44">
        <f t="shared" si="5553"/>
        <v>230864.53500000012</v>
      </c>
      <c r="Q8904" s="44">
        <f t="shared" si="5554"/>
        <v>8320.3096626470597</v>
      </c>
      <c r="R8904" s="44">
        <f t="shared" si="5555"/>
        <v>78252.512377195642</v>
      </c>
      <c r="S8904" s="123"/>
      <c r="T8904" s="219">
        <f t="shared" si="5556"/>
        <v>78252.512377195642</v>
      </c>
      <c r="U8904" s="87"/>
      <c r="V8904" s="47"/>
      <c r="W8904" s="48"/>
      <c r="X8904" s="48"/>
      <c r="Y8904" s="48"/>
      <c r="Z8904" s="135"/>
      <c r="AA8904" s="49"/>
      <c r="AB8904" s="50">
        <f t="shared" si="5557"/>
        <v>8320.3096626470597</v>
      </c>
      <c r="AC8904" s="42">
        <f t="shared" si="5558"/>
        <v>9.4050000000000047</v>
      </c>
      <c r="AD8904" s="90">
        <f>AD8905+AD8910+AD8917+AD8924</f>
        <v>78252.512377195628</v>
      </c>
      <c r="AE8904" s="188">
        <f t="shared" ref="AE8904" si="6052">AE8905+AE8910+AE8917+AE8924</f>
        <v>0</v>
      </c>
      <c r="AF8904" s="189">
        <f t="shared" ref="AF8904" si="6053">AF8905+AF8910+AF8917+AF8924</f>
        <v>0</v>
      </c>
      <c r="AG8904" s="189">
        <f t="shared" ref="AG8904" si="6054">AG8905+AG8910+AG8917+AG8924</f>
        <v>0</v>
      </c>
      <c r="AH8904" s="189">
        <f t="shared" ref="AH8904" si="6055">AH8905+AH8910+AH8917+AH8924</f>
        <v>0</v>
      </c>
      <c r="AI8904" s="161">
        <f t="shared" ref="AI8904:AI8934" si="6056">SUM(AE8904:AH8904)</f>
        <v>0</v>
      </c>
      <c r="AK8904" s="169">
        <v>5</v>
      </c>
      <c r="AO8904" s="19" t="s">
        <v>63</v>
      </c>
    </row>
    <row r="8905" spans="1:41" s="103" customFormat="1" ht="19.899999999999999" customHeight="1" x14ac:dyDescent="0.25">
      <c r="A8905" s="51"/>
      <c r="B8905" s="52"/>
      <c r="C8905" s="165"/>
      <c r="D8905" s="52"/>
      <c r="E8905" s="115"/>
      <c r="F8905" s="58"/>
      <c r="G8905" s="58"/>
      <c r="H8905" s="58"/>
      <c r="I8905" s="55"/>
      <c r="J8905" s="113">
        <f>J8904</f>
        <v>9.4050000000000047</v>
      </c>
      <c r="K8905" s="212">
        <f>K8904</f>
        <v>9.4050000000000047</v>
      </c>
      <c r="L8905" s="58"/>
      <c r="M8905" s="58">
        <f>K8905-L8905</f>
        <v>9.4050000000000047</v>
      </c>
      <c r="N8905" s="166"/>
      <c r="O8905" s="58"/>
      <c r="P8905" s="58"/>
      <c r="Q8905" s="58"/>
      <c r="R8905" s="58"/>
      <c r="S8905" s="58"/>
      <c r="T8905" s="220"/>
      <c r="U8905" s="88"/>
      <c r="V8905" s="56"/>
      <c r="W8905" s="57" t="s">
        <v>1510</v>
      </c>
      <c r="X8905" s="53"/>
      <c r="Y8905" s="91" t="s">
        <v>35</v>
      </c>
      <c r="Z8905" s="136">
        <f>AD8905/AC8905</f>
        <v>90.4969411764706</v>
      </c>
      <c r="AA8905" s="58"/>
      <c r="AB8905" s="53">
        <f>AD8905/AC8905</f>
        <v>90.4969411764706</v>
      </c>
      <c r="AC8905" s="53">
        <f>M8905+$AE$10</f>
        <v>9.4050000000000047</v>
      </c>
      <c r="AD8905" s="54">
        <f>SUM(AD8906:AD8909)</f>
        <v>851.12373176470646</v>
      </c>
      <c r="AE8905" s="184">
        <f>SUMIFS($AD$37:$AD$12971,$V$37:$V$12971,$V8905,$X$37:$X$12971,AE$13)</f>
        <v>0</v>
      </c>
      <c r="AF8905" s="185">
        <f>SUMIFS($AD$37:$AD$12971,$V$37:$V$12971,$V8905,$X$37:$X$12971,AF$13)</f>
        <v>0</v>
      </c>
      <c r="AG8905" s="185">
        <f>SUMIFS($AD$37:$AD$12971,$V$37:$V$12971,$V8905,$X$37:$X$12971,AG$13)</f>
        <v>0</v>
      </c>
      <c r="AH8905" s="187">
        <f>SUMIFS($AD$37:$AD$12971,$V$37:$V$12971,$V8905,$X$37:$X$12971,AH$13)</f>
        <v>0</v>
      </c>
      <c r="AI8905" s="161">
        <f t="shared" si="6056"/>
        <v>0</v>
      </c>
      <c r="AK8905" s="172"/>
    </row>
    <row r="8906" spans="1:41" s="102" customFormat="1" ht="19.899999999999999" customHeight="1" x14ac:dyDescent="0.25">
      <c r="A8906" s="45"/>
      <c r="B8906" s="59"/>
      <c r="C8906" s="137"/>
      <c r="D8906" s="59"/>
      <c r="E8906" s="116"/>
      <c r="F8906" s="120"/>
      <c r="G8906" s="120"/>
      <c r="H8906" s="120"/>
      <c r="I8906" s="60"/>
      <c r="J8906" s="116"/>
      <c r="K8906" s="213"/>
      <c r="L8906" s="120"/>
      <c r="M8906" s="120"/>
      <c r="N8906" s="167"/>
      <c r="O8906" s="120"/>
      <c r="P8906" s="120"/>
      <c r="Q8906" s="120"/>
      <c r="R8906" s="120"/>
      <c r="S8906" s="120"/>
      <c r="T8906" s="221"/>
      <c r="U8906" s="89"/>
      <c r="V8906" s="61"/>
      <c r="W8906" s="92" t="s">
        <v>129</v>
      </c>
      <c r="X8906" s="93" t="s">
        <v>29</v>
      </c>
      <c r="Y8906" s="93" t="s">
        <v>93</v>
      </c>
      <c r="Z8906" s="134">
        <f>VLOOKUP(W8906,Sheet2!$B:$D,3,FALSE)</f>
        <v>56</v>
      </c>
      <c r="AA8906" s="93">
        <f>100/(3*3*2.5)</f>
        <v>4.4444444444444446</v>
      </c>
      <c r="AB8906" s="93">
        <f t="shared" ref="AB8906" si="6057">AD8906/AC8905</f>
        <v>12.600000000000001</v>
      </c>
      <c r="AC8906" s="93">
        <f>AC8905/AA8906</f>
        <v>2.1161250000000011</v>
      </c>
      <c r="AD8906" s="94">
        <f t="shared" ref="AD8906:AD8907" si="6058">AC8906*Z8906</f>
        <v>118.50300000000007</v>
      </c>
      <c r="AE8906" s="190"/>
      <c r="AF8906" s="191"/>
      <c r="AG8906" s="191"/>
      <c r="AH8906" s="191"/>
      <c r="AI8906" s="186"/>
      <c r="AK8906" s="171"/>
    </row>
    <row r="8907" spans="1:41" s="102" customFormat="1" ht="19.899999999999999" customHeight="1" x14ac:dyDescent="0.25">
      <c r="A8907" s="45"/>
      <c r="B8907" s="59"/>
      <c r="C8907" s="137"/>
      <c r="D8907" s="59"/>
      <c r="E8907" s="116"/>
      <c r="F8907" s="120"/>
      <c r="G8907" s="120"/>
      <c r="H8907" s="120"/>
      <c r="I8907" s="60"/>
      <c r="J8907" s="116"/>
      <c r="K8907" s="213"/>
      <c r="L8907" s="120"/>
      <c r="M8907" s="120"/>
      <c r="N8907" s="167"/>
      <c r="O8907" s="120"/>
      <c r="P8907" s="120"/>
      <c r="Q8907" s="120"/>
      <c r="R8907" s="120"/>
      <c r="S8907" s="120"/>
      <c r="T8907" s="221"/>
      <c r="U8907" s="89"/>
      <c r="V8907" s="61"/>
      <c r="W8907" s="92" t="s">
        <v>65</v>
      </c>
      <c r="X8907" s="93" t="s">
        <v>30</v>
      </c>
      <c r="Y8907" s="93" t="s">
        <v>1011</v>
      </c>
      <c r="Z8907" s="134">
        <f>VLOOKUP(W8907,Sheet2!$B:$D,3,FALSE)</f>
        <v>1.76</v>
      </c>
      <c r="AA8907" s="93">
        <f>AA8906/14</f>
        <v>0.3174603174603175</v>
      </c>
      <c r="AB8907" s="93">
        <f>AD8907/AC8905</f>
        <v>5.5439999999999996</v>
      </c>
      <c r="AC8907" s="93">
        <f>AC8905/AA8907</f>
        <v>29.625750000000011</v>
      </c>
      <c r="AD8907" s="94">
        <f t="shared" si="6058"/>
        <v>52.141320000000022</v>
      </c>
      <c r="AE8907" s="190"/>
      <c r="AF8907" s="191"/>
      <c r="AG8907" s="191"/>
      <c r="AH8907" s="191"/>
      <c r="AI8907" s="186"/>
      <c r="AK8907" s="171"/>
    </row>
    <row r="8908" spans="1:41" s="102" customFormat="1" ht="19.899999999999999" customHeight="1" x14ac:dyDescent="0.25">
      <c r="A8908" s="45"/>
      <c r="B8908" s="59"/>
      <c r="C8908" s="137"/>
      <c r="D8908" s="59"/>
      <c r="E8908" s="116"/>
      <c r="F8908" s="120"/>
      <c r="G8908" s="120"/>
      <c r="H8908" s="120"/>
      <c r="I8908" s="60"/>
      <c r="J8908" s="116"/>
      <c r="K8908" s="213"/>
      <c r="L8908" s="120"/>
      <c r="M8908" s="120"/>
      <c r="N8908" s="167"/>
      <c r="O8908" s="120"/>
      <c r="P8908" s="120"/>
      <c r="Q8908" s="120"/>
      <c r="R8908" s="120"/>
      <c r="S8908" s="120"/>
      <c r="T8908" s="221"/>
      <c r="U8908" s="89"/>
      <c r="V8908" s="61"/>
      <c r="W8908" s="92" t="s">
        <v>161</v>
      </c>
      <c r="X8908" s="93" t="s">
        <v>29</v>
      </c>
      <c r="Y8908" s="93" t="s">
        <v>93</v>
      </c>
      <c r="Z8908" s="134">
        <f>VLOOKUP(W8908,Sheet2!$B:$D,3,FALSE)</f>
        <v>48</v>
      </c>
      <c r="AA8908" s="93">
        <f>(16*0.85*1.5)/(3*3*2.5)</f>
        <v>0.90666666666666662</v>
      </c>
      <c r="AB8908" s="93">
        <f>AD8908/AC8905</f>
        <v>52.941176470588239</v>
      </c>
      <c r="AC8908" s="93">
        <f>AC8905/AA8908</f>
        <v>10.373161764705888</v>
      </c>
      <c r="AD8908" s="94">
        <f>AC8908*Z8908</f>
        <v>497.9117647058826</v>
      </c>
      <c r="AE8908" s="190"/>
      <c r="AF8908" s="191"/>
      <c r="AG8908" s="191"/>
      <c r="AH8908" s="191"/>
      <c r="AI8908" s="186"/>
      <c r="AK8908" s="171"/>
    </row>
    <row r="8909" spans="1:41" s="102" customFormat="1" ht="19.899999999999999" customHeight="1" x14ac:dyDescent="0.25">
      <c r="A8909" s="45"/>
      <c r="B8909" s="59"/>
      <c r="C8909" s="137"/>
      <c r="D8909" s="59"/>
      <c r="E8909" s="116"/>
      <c r="F8909" s="120"/>
      <c r="G8909" s="120"/>
      <c r="H8909" s="120"/>
      <c r="I8909" s="60"/>
      <c r="J8909" s="116"/>
      <c r="K8909" s="213"/>
      <c r="L8909" s="120"/>
      <c r="M8909" s="120"/>
      <c r="N8909" s="167"/>
      <c r="O8909" s="120"/>
      <c r="P8909" s="120"/>
      <c r="Q8909" s="120"/>
      <c r="R8909" s="120"/>
      <c r="S8909" s="120"/>
      <c r="T8909" s="221"/>
      <c r="U8909" s="89"/>
      <c r="V8909" s="61"/>
      <c r="W8909" s="92" t="s">
        <v>65</v>
      </c>
      <c r="X8909" s="93" t="s">
        <v>30</v>
      </c>
      <c r="Y8909" s="93" t="s">
        <v>1011</v>
      </c>
      <c r="Z8909" s="134">
        <f>VLOOKUP(W8909,Sheet2!$B:$D,3,FALSE)</f>
        <v>1.76</v>
      </c>
      <c r="AA8909" s="93">
        <f>AA8908/10</f>
        <v>9.0666666666666659E-2</v>
      </c>
      <c r="AB8909" s="93">
        <f>AD8909/AC8905</f>
        <v>19.411764705882355</v>
      </c>
      <c r="AC8909" s="93">
        <f>AC8905/AA8909</f>
        <v>103.73161764705888</v>
      </c>
      <c r="AD8909" s="94">
        <f>AC8909*Z8909</f>
        <v>182.56764705882364</v>
      </c>
      <c r="AE8909" s="190"/>
      <c r="AF8909" s="191"/>
      <c r="AG8909" s="191"/>
      <c r="AH8909" s="191"/>
      <c r="AI8909" s="186"/>
      <c r="AK8909" s="171"/>
    </row>
    <row r="8910" spans="1:41" s="103" customFormat="1" ht="19.899999999999999" customHeight="1" x14ac:dyDescent="0.25">
      <c r="A8910" s="51"/>
      <c r="B8910" s="52"/>
      <c r="C8910" s="165"/>
      <c r="D8910" s="52"/>
      <c r="E8910" s="115"/>
      <c r="F8910" s="58"/>
      <c r="G8910" s="58"/>
      <c r="H8910" s="58"/>
      <c r="I8910" s="55"/>
      <c r="J8910" s="113">
        <f>J8904</f>
        <v>9.4050000000000047</v>
      </c>
      <c r="K8910" s="212">
        <f>K8904</f>
        <v>9.4050000000000047</v>
      </c>
      <c r="L8910" s="58"/>
      <c r="M8910" s="58">
        <f>K8910-L8910</f>
        <v>9.4050000000000047</v>
      </c>
      <c r="N8910" s="166"/>
      <c r="O8910" s="58"/>
      <c r="P8910" s="58"/>
      <c r="Q8910" s="58"/>
      <c r="R8910" s="58"/>
      <c r="S8910" s="58"/>
      <c r="T8910" s="220"/>
      <c r="U8910" s="88"/>
      <c r="V8910" s="56"/>
      <c r="W8910" s="57" t="s">
        <v>1486</v>
      </c>
      <c r="X8910" s="53"/>
      <c r="Y8910" s="91" t="s">
        <v>35</v>
      </c>
      <c r="Z8910" s="136">
        <f>AD8910/AC8910</f>
        <v>1883.8374999999996</v>
      </c>
      <c r="AA8910" s="58"/>
      <c r="AB8910" s="53">
        <f>AD8910/AC8910</f>
        <v>1883.8374999999996</v>
      </c>
      <c r="AC8910" s="53">
        <f>M8910+$AE$10</f>
        <v>9.4050000000000047</v>
      </c>
      <c r="AD8910" s="54">
        <f>SUM(AD8911:AD8916)</f>
        <v>17717.491687500005</v>
      </c>
      <c r="AE8910" s="184">
        <f>SUMIFS($AD$37:$AD$12971,$V$37:$V$12971,$V8910,$X$37:$X$12971,AE$13)</f>
        <v>0</v>
      </c>
      <c r="AF8910" s="185">
        <f>SUMIFS($AD$37:$AD$12971,$V$37:$V$12971,$V8910,$X$37:$X$12971,AF$13)</f>
        <v>0</v>
      </c>
      <c r="AG8910" s="185">
        <f>SUMIFS($AD$37:$AD$12971,$V$37:$V$12971,$V8910,$X$37:$X$12971,AG$13)</f>
        <v>0</v>
      </c>
      <c r="AH8910" s="187">
        <f>SUMIFS($AD$37:$AD$12971,$V$37:$V$12971,$V8910,$X$37:$X$12971,AH$13)</f>
        <v>0</v>
      </c>
      <c r="AI8910" s="161">
        <f t="shared" ref="AI8910" si="6059">SUM(AE8910:AH8910)</f>
        <v>0</v>
      </c>
      <c r="AK8910" s="172"/>
    </row>
    <row r="8911" spans="1:41" s="102" customFormat="1" ht="19.899999999999999" customHeight="1" x14ac:dyDescent="0.25">
      <c r="A8911" s="45"/>
      <c r="B8911" s="59"/>
      <c r="C8911" s="137"/>
      <c r="D8911" s="59"/>
      <c r="E8911" s="116"/>
      <c r="F8911" s="120"/>
      <c r="G8911" s="120"/>
      <c r="H8911" s="120"/>
      <c r="I8911" s="60"/>
      <c r="J8911" s="116"/>
      <c r="K8911" s="213"/>
      <c r="L8911" s="120"/>
      <c r="M8911" s="120"/>
      <c r="N8911" s="167"/>
      <c r="O8911" s="120"/>
      <c r="P8911" s="120"/>
      <c r="Q8911" s="120"/>
      <c r="R8911" s="120"/>
      <c r="S8911" s="120"/>
      <c r="T8911" s="221"/>
      <c r="U8911" s="89"/>
      <c r="V8911" s="61"/>
      <c r="W8911" s="92" t="s">
        <v>1032</v>
      </c>
      <c r="X8911" s="93" t="s">
        <v>30</v>
      </c>
      <c r="Y8911" s="93" t="s">
        <v>66</v>
      </c>
      <c r="Z8911" s="134">
        <f>VLOOKUP(W8911,Sheet2!$B:$D,3,FALSE)</f>
        <v>250</v>
      </c>
      <c r="AA8911" s="93">
        <f>1/(2.4*2.4*0.1)</f>
        <v>1.7361111111111112</v>
      </c>
      <c r="AB8911" s="93">
        <f>AD8911/AC8917</f>
        <v>144</v>
      </c>
      <c r="AC8911" s="93">
        <f>AC8917/AA8911</f>
        <v>5.4172800000000025</v>
      </c>
      <c r="AD8911" s="94">
        <f t="shared" ref="AD8911:AD8913" si="6060">AC8911*Z8911</f>
        <v>1354.3200000000006</v>
      </c>
      <c r="AE8911" s="190"/>
      <c r="AF8911" s="191"/>
      <c r="AG8911" s="191"/>
      <c r="AH8911" s="191"/>
      <c r="AI8911" s="186"/>
      <c r="AK8911" s="171"/>
    </row>
    <row r="8912" spans="1:41" s="102" customFormat="1" ht="19.899999999999999" customHeight="1" x14ac:dyDescent="0.25">
      <c r="A8912" s="45"/>
      <c r="B8912" s="59"/>
      <c r="C8912" s="137"/>
      <c r="D8912" s="59"/>
      <c r="E8912" s="116"/>
      <c r="F8912" s="120"/>
      <c r="G8912" s="120"/>
      <c r="H8912" s="120"/>
      <c r="I8912" s="60"/>
      <c r="J8912" s="116"/>
      <c r="K8912" s="213"/>
      <c r="L8912" s="120"/>
      <c r="M8912" s="120"/>
      <c r="N8912" s="167"/>
      <c r="O8912" s="120"/>
      <c r="P8912" s="120"/>
      <c r="Q8912" s="120"/>
      <c r="R8912" s="120"/>
      <c r="S8912" s="120"/>
      <c r="T8912" s="221"/>
      <c r="U8912" s="89"/>
      <c r="V8912" s="61"/>
      <c r="W8912" s="92" t="s">
        <v>1353</v>
      </c>
      <c r="X8912" s="93" t="s">
        <v>30</v>
      </c>
      <c r="Y8912" s="93" t="s">
        <v>66</v>
      </c>
      <c r="Z8912" s="134">
        <f>VLOOKUP(W8912,Sheet2!$B:$D,3,FALSE)</f>
        <v>350</v>
      </c>
      <c r="AA8912" s="93">
        <f>1/(2.3*2.3*0.3)</f>
        <v>0.63011972274732209</v>
      </c>
      <c r="AB8912" s="93">
        <f>AD8912/AC8917</f>
        <v>555.44999999999993</v>
      </c>
      <c r="AC8912" s="93">
        <f>AC8917/AA8912</f>
        <v>14.925735000000005</v>
      </c>
      <c r="AD8912" s="94">
        <f t="shared" si="6060"/>
        <v>5224.0072500000015</v>
      </c>
      <c r="AE8912" s="190"/>
      <c r="AF8912" s="191"/>
      <c r="AG8912" s="191"/>
      <c r="AH8912" s="191"/>
      <c r="AI8912" s="186"/>
      <c r="AK8912" s="171"/>
    </row>
    <row r="8913" spans="1:37" s="102" customFormat="1" ht="19.899999999999999" customHeight="1" x14ac:dyDescent="0.25">
      <c r="A8913" s="45"/>
      <c r="B8913" s="59"/>
      <c r="C8913" s="137"/>
      <c r="D8913" s="59"/>
      <c r="E8913" s="116"/>
      <c r="F8913" s="120"/>
      <c r="G8913" s="120"/>
      <c r="H8913" s="120"/>
      <c r="I8913" s="60"/>
      <c r="J8913" s="116"/>
      <c r="K8913" s="213"/>
      <c r="L8913" s="120"/>
      <c r="M8913" s="120"/>
      <c r="N8913" s="167"/>
      <c r="O8913" s="120"/>
      <c r="P8913" s="120"/>
      <c r="Q8913" s="120"/>
      <c r="R8913" s="120"/>
      <c r="S8913" s="120"/>
      <c r="T8913" s="221"/>
      <c r="U8913" s="89"/>
      <c r="V8913" s="61"/>
      <c r="W8913" s="92" t="s">
        <v>99</v>
      </c>
      <c r="X8913" s="93" t="s">
        <v>30</v>
      </c>
      <c r="Y8913" s="93" t="s">
        <v>67</v>
      </c>
      <c r="Z8913" s="134">
        <f>VLOOKUP(W8913,Sheet2!$B:$D,3,FALSE)</f>
        <v>2500</v>
      </c>
      <c r="AA8913" s="93">
        <f>AA8912/0.08</f>
        <v>7.8764965343415261</v>
      </c>
      <c r="AB8913" s="93">
        <f>AD8913/AC8917</f>
        <v>317.39999999999992</v>
      </c>
      <c r="AC8913" s="93">
        <f>AC8917/AA8913</f>
        <v>1.1940588000000003</v>
      </c>
      <c r="AD8913" s="94">
        <f t="shared" si="6060"/>
        <v>2985.1470000000008</v>
      </c>
      <c r="AE8913" s="190"/>
      <c r="AF8913" s="191"/>
      <c r="AG8913" s="191"/>
      <c r="AH8913" s="191"/>
      <c r="AI8913" s="186"/>
      <c r="AK8913" s="171"/>
    </row>
    <row r="8914" spans="1:37" s="102" customFormat="1" ht="19.899999999999999" customHeight="1" x14ac:dyDescent="0.25">
      <c r="A8914" s="45"/>
      <c r="B8914" s="59"/>
      <c r="C8914" s="137"/>
      <c r="D8914" s="59"/>
      <c r="E8914" s="116"/>
      <c r="F8914" s="120"/>
      <c r="G8914" s="120"/>
      <c r="H8914" s="120"/>
      <c r="I8914" s="60"/>
      <c r="J8914" s="116"/>
      <c r="K8914" s="213"/>
      <c r="L8914" s="120"/>
      <c r="M8914" s="120"/>
      <c r="N8914" s="167"/>
      <c r="O8914" s="120"/>
      <c r="P8914" s="120"/>
      <c r="Q8914" s="120"/>
      <c r="R8914" s="120"/>
      <c r="S8914" s="120"/>
      <c r="T8914" s="221"/>
      <c r="U8914" s="89"/>
      <c r="V8914" s="61"/>
      <c r="W8914" s="92" t="s">
        <v>1354</v>
      </c>
      <c r="X8914" s="93" t="s">
        <v>32</v>
      </c>
      <c r="Y8914" s="93" t="s">
        <v>66</v>
      </c>
      <c r="Z8914" s="134">
        <f>VLOOKUP(W8914,Sheet2!$B:$D,3,FALSE)</f>
        <v>150</v>
      </c>
      <c r="AA8914" s="93">
        <f>AA8911</f>
        <v>1.7361111111111112</v>
      </c>
      <c r="AB8914" s="93">
        <f>AD8914/AC8917</f>
        <v>86.399999999999991</v>
      </c>
      <c r="AC8914" s="93">
        <f>AC8917/AA8914</f>
        <v>5.4172800000000025</v>
      </c>
      <c r="AD8914" s="94">
        <f>AC8914*Z8914</f>
        <v>812.59200000000033</v>
      </c>
      <c r="AE8914" s="190"/>
      <c r="AF8914" s="191"/>
      <c r="AG8914" s="191"/>
      <c r="AH8914" s="191"/>
      <c r="AI8914" s="186"/>
      <c r="AK8914" s="171"/>
    </row>
    <row r="8915" spans="1:37" s="102" customFormat="1" ht="19.899999999999999" customHeight="1" x14ac:dyDescent="0.25">
      <c r="A8915" s="45"/>
      <c r="B8915" s="59"/>
      <c r="C8915" s="137"/>
      <c r="D8915" s="59"/>
      <c r="E8915" s="116"/>
      <c r="F8915" s="120"/>
      <c r="G8915" s="120"/>
      <c r="H8915" s="120"/>
      <c r="I8915" s="60"/>
      <c r="J8915" s="116"/>
      <c r="K8915" s="213"/>
      <c r="L8915" s="120"/>
      <c r="M8915" s="120"/>
      <c r="N8915" s="167"/>
      <c r="O8915" s="120"/>
      <c r="P8915" s="120"/>
      <c r="Q8915" s="120"/>
      <c r="R8915" s="120"/>
      <c r="S8915" s="120"/>
      <c r="T8915" s="221"/>
      <c r="U8915" s="89"/>
      <c r="V8915" s="61"/>
      <c r="W8915" s="92" t="s">
        <v>1355</v>
      </c>
      <c r="X8915" s="93" t="s">
        <v>32</v>
      </c>
      <c r="Y8915" s="93" t="s">
        <v>66</v>
      </c>
      <c r="Z8915" s="134">
        <f>VLOOKUP(W8915,Sheet2!$B:$D,3,FALSE)</f>
        <v>450</v>
      </c>
      <c r="AA8915" s="93">
        <f>AA8912</f>
        <v>0.63011972274732209</v>
      </c>
      <c r="AB8915" s="93">
        <f>AD8915/AC8917</f>
        <v>714.14999999999986</v>
      </c>
      <c r="AC8915" s="93">
        <f>AC8917/AA8915</f>
        <v>14.925735000000005</v>
      </c>
      <c r="AD8915" s="94">
        <f>AC8915*Z8915</f>
        <v>6716.5807500000019</v>
      </c>
      <c r="AE8915" s="190"/>
      <c r="AF8915" s="191"/>
      <c r="AG8915" s="191"/>
      <c r="AH8915" s="191"/>
      <c r="AI8915" s="186"/>
      <c r="AK8915" s="171"/>
    </row>
    <row r="8916" spans="1:37" s="102" customFormat="1" ht="19.899999999999999" customHeight="1" x14ac:dyDescent="0.25">
      <c r="A8916" s="45"/>
      <c r="B8916" s="59"/>
      <c r="C8916" s="137"/>
      <c r="D8916" s="59"/>
      <c r="E8916" s="116"/>
      <c r="F8916" s="120"/>
      <c r="G8916" s="120"/>
      <c r="H8916" s="120"/>
      <c r="I8916" s="60"/>
      <c r="J8916" s="116"/>
      <c r="K8916" s="213"/>
      <c r="L8916" s="120"/>
      <c r="M8916" s="120"/>
      <c r="N8916" s="167"/>
      <c r="O8916" s="120"/>
      <c r="P8916" s="120"/>
      <c r="Q8916" s="120"/>
      <c r="R8916" s="120"/>
      <c r="S8916" s="120"/>
      <c r="T8916" s="221"/>
      <c r="U8916" s="89"/>
      <c r="V8916" s="61"/>
      <c r="W8916" s="92" t="s">
        <v>124</v>
      </c>
      <c r="X8916" s="93" t="s">
        <v>32</v>
      </c>
      <c r="Y8916" s="93" t="s">
        <v>64</v>
      </c>
      <c r="Z8916" s="134">
        <f>VLOOKUP(W8916,Sheet2!$B:$D,3,FALSE)</f>
        <v>10</v>
      </c>
      <c r="AA8916" s="93">
        <f>1/((2.9*2.9)-(3.14*1.5*1.5/4))</f>
        <v>0.15051740357478832</v>
      </c>
      <c r="AB8916" s="93">
        <f t="shared" ref="AB8916" si="6061">AD8916/AC8910</f>
        <v>66.4375</v>
      </c>
      <c r="AC8916" s="93">
        <f>AC8910/AA8916</f>
        <v>62.484468750000033</v>
      </c>
      <c r="AD8916" s="94">
        <f t="shared" ref="AD8916" si="6062">AC8916*Z8916</f>
        <v>624.8446875000003</v>
      </c>
      <c r="AE8916" s="190"/>
      <c r="AF8916" s="191"/>
      <c r="AG8916" s="191"/>
      <c r="AH8916" s="191"/>
      <c r="AI8916" s="186"/>
      <c r="AK8916" s="171"/>
    </row>
    <row r="8917" spans="1:37" s="103" customFormat="1" ht="19.899999999999999" customHeight="1" x14ac:dyDescent="0.25">
      <c r="A8917" s="51"/>
      <c r="B8917" s="52"/>
      <c r="C8917" s="165"/>
      <c r="D8917" s="52"/>
      <c r="E8917" s="115"/>
      <c r="F8917" s="58"/>
      <c r="G8917" s="58"/>
      <c r="H8917" s="58"/>
      <c r="I8917" s="55"/>
      <c r="J8917" s="113">
        <f>J8904</f>
        <v>9.4050000000000047</v>
      </c>
      <c r="K8917" s="212">
        <f>K8904</f>
        <v>9.4050000000000047</v>
      </c>
      <c r="L8917" s="58"/>
      <c r="M8917" s="58">
        <f>K8917-L8917</f>
        <v>9.4050000000000047</v>
      </c>
      <c r="N8917" s="166"/>
      <c r="O8917" s="58"/>
      <c r="P8917" s="58"/>
      <c r="Q8917" s="58"/>
      <c r="R8917" s="58"/>
      <c r="S8917" s="58"/>
      <c r="T8917" s="220"/>
      <c r="U8917" s="88"/>
      <c r="V8917" s="56"/>
      <c r="W8917" s="57" t="s">
        <v>1275</v>
      </c>
      <c r="X8917" s="53"/>
      <c r="Y8917" s="91" t="s">
        <v>35</v>
      </c>
      <c r="Z8917" s="136">
        <f>AD8917/AC8917</f>
        <v>6002.8</v>
      </c>
      <c r="AA8917" s="58"/>
      <c r="AB8917" s="53">
        <f>AD8917/AC8917</f>
        <v>6002.8</v>
      </c>
      <c r="AC8917" s="53">
        <f>M8917+$AE$10</f>
        <v>9.4050000000000047</v>
      </c>
      <c r="AD8917" s="54">
        <f>SUM(AD8918:AD8923)</f>
        <v>56456.334000000032</v>
      </c>
      <c r="AE8917" s="184">
        <f>SUMIFS($AD$37:$AD$12971,$V$37:$V$12971,$V8917,$X$37:$X$12971,AE$13)</f>
        <v>0</v>
      </c>
      <c r="AF8917" s="185">
        <f>SUMIFS($AD$37:$AD$12971,$V$37:$V$12971,$V8917,$X$37:$X$12971,AF$13)</f>
        <v>0</v>
      </c>
      <c r="AG8917" s="185">
        <f>SUMIFS($AD$37:$AD$12971,$V$37:$V$12971,$V8917,$X$37:$X$12971,AG$13)</f>
        <v>0</v>
      </c>
      <c r="AH8917" s="187">
        <f>SUMIFS($AD$37:$AD$12971,$V$37:$V$12971,$V8917,$X$37:$X$12971,AH$13)</f>
        <v>0</v>
      </c>
      <c r="AI8917" s="161">
        <f t="shared" ref="AI8917" si="6063">SUM(AE8917:AH8917)</f>
        <v>0</v>
      </c>
      <c r="AK8917" s="172"/>
    </row>
    <row r="8918" spans="1:37" s="102" customFormat="1" ht="19.899999999999999" customHeight="1" x14ac:dyDescent="0.25">
      <c r="A8918" s="45"/>
      <c r="B8918" s="59"/>
      <c r="C8918" s="137"/>
      <c r="D8918" s="59"/>
      <c r="E8918" s="116"/>
      <c r="F8918" s="120"/>
      <c r="G8918" s="120"/>
      <c r="H8918" s="120"/>
      <c r="I8918" s="60"/>
      <c r="J8918" s="116"/>
      <c r="K8918" s="213"/>
      <c r="L8918" s="120"/>
      <c r="M8918" s="120"/>
      <c r="N8918" s="167"/>
      <c r="O8918" s="120"/>
      <c r="P8918" s="120"/>
      <c r="Q8918" s="120"/>
      <c r="R8918" s="120"/>
      <c r="S8918" s="120"/>
      <c r="T8918" s="221"/>
      <c r="U8918" s="89"/>
      <c r="V8918" s="61"/>
      <c r="W8918" s="92" t="s">
        <v>1495</v>
      </c>
      <c r="X8918" s="93" t="s">
        <v>30</v>
      </c>
      <c r="Y8918" s="93" t="s">
        <v>35</v>
      </c>
      <c r="Z8918" s="134">
        <f>VLOOKUP(W8918,Sheet2!$B:$D,3,FALSE)</f>
        <v>4230</v>
      </c>
      <c r="AA8918" s="93">
        <v>1</v>
      </c>
      <c r="AB8918" s="93">
        <f>AD8918/AC8917</f>
        <v>4230</v>
      </c>
      <c r="AC8918" s="93">
        <f>AC8917/AA8918</f>
        <v>9.4050000000000047</v>
      </c>
      <c r="AD8918" s="94">
        <f t="shared" ref="AD8918:AD8919" si="6064">AC8918*Z8918</f>
        <v>39783.150000000023</v>
      </c>
      <c r="AE8918" s="190"/>
      <c r="AF8918" s="191"/>
      <c r="AG8918" s="191"/>
      <c r="AH8918" s="191"/>
      <c r="AI8918" s="186"/>
      <c r="AK8918" s="171"/>
    </row>
    <row r="8919" spans="1:37" s="102" customFormat="1" ht="19.899999999999999" customHeight="1" x14ac:dyDescent="0.25">
      <c r="A8919" s="45"/>
      <c r="B8919" s="59"/>
      <c r="C8919" s="137"/>
      <c r="D8919" s="59"/>
      <c r="E8919" s="116"/>
      <c r="F8919" s="120"/>
      <c r="G8919" s="120"/>
      <c r="H8919" s="120"/>
      <c r="I8919" s="60"/>
      <c r="J8919" s="116"/>
      <c r="K8919" s="213"/>
      <c r="L8919" s="120"/>
      <c r="M8919" s="120"/>
      <c r="N8919" s="167"/>
      <c r="O8919" s="120"/>
      <c r="P8919" s="120"/>
      <c r="Q8919" s="120"/>
      <c r="R8919" s="120"/>
      <c r="S8919" s="120"/>
      <c r="T8919" s="221"/>
      <c r="U8919" s="89"/>
      <c r="V8919" s="61"/>
      <c r="W8919" s="92" t="s">
        <v>174</v>
      </c>
      <c r="X8919" s="93" t="s">
        <v>29</v>
      </c>
      <c r="Y8919" s="93" t="s">
        <v>93</v>
      </c>
      <c r="Z8919" s="134">
        <f>VLOOKUP(W8919,Sheet2!$B:$D,3,FALSE)</f>
        <v>80</v>
      </c>
      <c r="AA8919" s="93">
        <f>1/2</f>
        <v>0.5</v>
      </c>
      <c r="AB8919" s="93">
        <f>AD8919/AC8917</f>
        <v>160</v>
      </c>
      <c r="AC8919" s="93">
        <f>AC8917/AA8919</f>
        <v>18.810000000000009</v>
      </c>
      <c r="AD8919" s="94">
        <f t="shared" si="6064"/>
        <v>1504.8000000000006</v>
      </c>
      <c r="AE8919" s="190"/>
      <c r="AF8919" s="191"/>
      <c r="AG8919" s="191"/>
      <c r="AH8919" s="191"/>
      <c r="AI8919" s="186"/>
      <c r="AK8919" s="171"/>
    </row>
    <row r="8920" spans="1:37" s="102" customFormat="1" ht="19.899999999999999" customHeight="1" x14ac:dyDescent="0.25">
      <c r="A8920" s="45"/>
      <c r="B8920" s="59"/>
      <c r="C8920" s="137"/>
      <c r="D8920" s="59"/>
      <c r="E8920" s="116"/>
      <c r="F8920" s="120"/>
      <c r="G8920" s="120"/>
      <c r="H8920" s="120"/>
      <c r="I8920" s="60"/>
      <c r="J8920" s="116"/>
      <c r="K8920" s="213"/>
      <c r="L8920" s="120"/>
      <c r="M8920" s="120"/>
      <c r="N8920" s="167"/>
      <c r="O8920" s="120"/>
      <c r="P8920" s="120"/>
      <c r="Q8920" s="120"/>
      <c r="R8920" s="120"/>
      <c r="S8920" s="120"/>
      <c r="T8920" s="221"/>
      <c r="U8920" s="89"/>
      <c r="V8920" s="61"/>
      <c r="W8920" s="92" t="s">
        <v>65</v>
      </c>
      <c r="X8920" s="93" t="s">
        <v>30</v>
      </c>
      <c r="Y8920" s="93" t="s">
        <v>93</v>
      </c>
      <c r="Z8920" s="134">
        <f>VLOOKUP(W8920,Sheet2!$B:$D,3,FALSE)</f>
        <v>1.76</v>
      </c>
      <c r="AA8920" s="93">
        <f>AA8919/15</f>
        <v>3.3333333333333333E-2</v>
      </c>
      <c r="AB8920" s="93">
        <f>AD8920/AC8917</f>
        <v>52.800000000000004</v>
      </c>
      <c r="AC8920" s="93">
        <f>AC8917/AA8920</f>
        <v>282.15000000000015</v>
      </c>
      <c r="AD8920" s="94">
        <f>AC8920*Z8920</f>
        <v>496.58400000000029</v>
      </c>
      <c r="AE8920" s="190"/>
      <c r="AF8920" s="191"/>
      <c r="AG8920" s="191"/>
      <c r="AH8920" s="191"/>
      <c r="AI8920" s="186"/>
      <c r="AK8920" s="171"/>
    </row>
    <row r="8921" spans="1:37" s="102" customFormat="1" ht="19.899999999999999" customHeight="1" x14ac:dyDescent="0.25">
      <c r="A8921" s="45"/>
      <c r="B8921" s="59"/>
      <c r="C8921" s="137"/>
      <c r="D8921" s="59"/>
      <c r="E8921" s="116"/>
      <c r="F8921" s="120"/>
      <c r="G8921" s="120"/>
      <c r="H8921" s="120"/>
      <c r="I8921" s="60"/>
      <c r="J8921" s="116"/>
      <c r="K8921" s="213"/>
      <c r="L8921" s="120"/>
      <c r="M8921" s="120"/>
      <c r="N8921" s="167"/>
      <c r="O8921" s="120"/>
      <c r="P8921" s="120"/>
      <c r="Q8921" s="120"/>
      <c r="R8921" s="120"/>
      <c r="S8921" s="120"/>
      <c r="T8921" s="221"/>
      <c r="U8921" s="89"/>
      <c r="V8921" s="61"/>
      <c r="W8921" s="92" t="s">
        <v>1487</v>
      </c>
      <c r="X8921" s="93" t="s">
        <v>32</v>
      </c>
      <c r="Y8921" s="93" t="s">
        <v>1349</v>
      </c>
      <c r="Z8921" s="134">
        <f>VLOOKUP(W8921,Sheet2!$B:$D,3,FALSE)</f>
        <v>1500</v>
      </c>
      <c r="AA8921" s="93">
        <v>1</v>
      </c>
      <c r="AB8921" s="93">
        <f>AD8921/AC8917</f>
        <v>1500</v>
      </c>
      <c r="AC8921" s="93">
        <f>AC8917/AA8921</f>
        <v>9.4050000000000047</v>
      </c>
      <c r="AD8921" s="94">
        <f>AC8921*Z8921</f>
        <v>14107.500000000007</v>
      </c>
      <c r="AE8921" s="190"/>
      <c r="AF8921" s="191"/>
      <c r="AG8921" s="191"/>
      <c r="AH8921" s="191"/>
      <c r="AI8921" s="186"/>
      <c r="AK8921" s="171"/>
    </row>
    <row r="8922" spans="1:37" s="102" customFormat="1" ht="19.899999999999999" customHeight="1" x14ac:dyDescent="0.25">
      <c r="A8922" s="45"/>
      <c r="B8922" s="59"/>
      <c r="C8922" s="137"/>
      <c r="D8922" s="59"/>
      <c r="E8922" s="116"/>
      <c r="F8922" s="120"/>
      <c r="G8922" s="120"/>
      <c r="H8922" s="120"/>
      <c r="I8922" s="60"/>
      <c r="J8922" s="116"/>
      <c r="K8922" s="213"/>
      <c r="L8922" s="120"/>
      <c r="M8922" s="120"/>
      <c r="N8922" s="167"/>
      <c r="O8922" s="120"/>
      <c r="P8922" s="120"/>
      <c r="Q8922" s="120"/>
      <c r="R8922" s="120"/>
      <c r="S8922" s="120"/>
      <c r="T8922" s="221"/>
      <c r="U8922" s="89"/>
      <c r="V8922" s="61"/>
      <c r="W8922" s="92" t="s">
        <v>107</v>
      </c>
      <c r="X8922" s="93" t="s">
        <v>31</v>
      </c>
      <c r="Y8922" s="93" t="s">
        <v>93</v>
      </c>
      <c r="Z8922" s="134">
        <f>VLOOKUP(W8922,Sheet2!$B:$D,3,FALSE)</f>
        <v>17</v>
      </c>
      <c r="AA8922" s="93">
        <f>AA8919</f>
        <v>0.5</v>
      </c>
      <c r="AB8922" s="93">
        <f>AD8922/AC8917</f>
        <v>34</v>
      </c>
      <c r="AC8922" s="93">
        <f>AC8917/AA8922</f>
        <v>18.810000000000009</v>
      </c>
      <c r="AD8922" s="94">
        <f>AC8922*Z8922</f>
        <v>319.77000000000015</v>
      </c>
      <c r="AE8922" s="190"/>
      <c r="AF8922" s="191"/>
      <c r="AG8922" s="191"/>
      <c r="AH8922" s="191"/>
      <c r="AI8922" s="186"/>
      <c r="AK8922" s="171"/>
    </row>
    <row r="8923" spans="1:37" s="102" customFormat="1" ht="19.899999999999999" customHeight="1" x14ac:dyDescent="0.25">
      <c r="A8923" s="45"/>
      <c r="B8923" s="59"/>
      <c r="C8923" s="137"/>
      <c r="D8923" s="59"/>
      <c r="E8923" s="116"/>
      <c r="F8923" s="120"/>
      <c r="G8923" s="120"/>
      <c r="H8923" s="120"/>
      <c r="I8923" s="60"/>
      <c r="J8923" s="116"/>
      <c r="K8923" s="213"/>
      <c r="L8923" s="120"/>
      <c r="M8923" s="120"/>
      <c r="N8923" s="167"/>
      <c r="O8923" s="120"/>
      <c r="P8923" s="120"/>
      <c r="Q8923" s="120"/>
      <c r="R8923" s="120"/>
      <c r="S8923" s="120"/>
      <c r="T8923" s="221"/>
      <c r="U8923" s="89"/>
      <c r="V8923" s="61"/>
      <c r="W8923" s="92" t="s">
        <v>112</v>
      </c>
      <c r="X8923" s="93" t="s">
        <v>31</v>
      </c>
      <c r="Y8923" s="93" t="s">
        <v>93</v>
      </c>
      <c r="Z8923" s="134">
        <f>VLOOKUP(W8923,Sheet2!$B:$D,3,FALSE)</f>
        <v>13</v>
      </c>
      <c r="AA8923" s="93">
        <f>AA8922</f>
        <v>0.5</v>
      </c>
      <c r="AB8923" s="93">
        <f>AD8923/AC8917</f>
        <v>26</v>
      </c>
      <c r="AC8923" s="93">
        <f>AC8917/AA8923</f>
        <v>18.810000000000009</v>
      </c>
      <c r="AD8923" s="94">
        <f>AC8923*Z8923</f>
        <v>244.53000000000011</v>
      </c>
      <c r="AE8923" s="190"/>
      <c r="AF8923" s="191"/>
      <c r="AG8923" s="191"/>
      <c r="AH8923" s="191"/>
      <c r="AI8923" s="186"/>
      <c r="AK8923" s="171"/>
    </row>
    <row r="8924" spans="1:37" s="103" customFormat="1" ht="19.899999999999999" customHeight="1" x14ac:dyDescent="0.25">
      <c r="A8924" s="51"/>
      <c r="B8924" s="52"/>
      <c r="C8924" s="165"/>
      <c r="D8924" s="52"/>
      <c r="E8924" s="115"/>
      <c r="F8924" s="58"/>
      <c r="G8924" s="58"/>
      <c r="H8924" s="58"/>
      <c r="I8924" s="55"/>
      <c r="J8924" s="113">
        <f>J8904</f>
        <v>9.4050000000000047</v>
      </c>
      <c r="K8924" s="212">
        <f>K8904</f>
        <v>9.4050000000000047</v>
      </c>
      <c r="L8924" s="58"/>
      <c r="M8924" s="58">
        <f>K8924-L8924</f>
        <v>9.4050000000000047</v>
      </c>
      <c r="N8924" s="166"/>
      <c r="O8924" s="58"/>
      <c r="P8924" s="58"/>
      <c r="Q8924" s="58"/>
      <c r="R8924" s="58"/>
      <c r="S8924" s="58"/>
      <c r="T8924" s="220"/>
      <c r="U8924" s="88"/>
      <c r="V8924" s="56"/>
      <c r="W8924" s="57" t="s">
        <v>1272</v>
      </c>
      <c r="X8924" s="53"/>
      <c r="Y8924" s="91" t="s">
        <v>35</v>
      </c>
      <c r="Z8924" s="136">
        <f>AD8924/AC8924</f>
        <v>343.17522147058827</v>
      </c>
      <c r="AA8924" s="58"/>
      <c r="AB8924" s="53">
        <f>AD8924/AC8924</f>
        <v>343.17522147058827</v>
      </c>
      <c r="AC8924" s="53">
        <f>M8924+$AE$10</f>
        <v>9.4050000000000047</v>
      </c>
      <c r="AD8924" s="54">
        <f>SUM(AD8925:AD8933)</f>
        <v>3227.5629579308843</v>
      </c>
      <c r="AE8924" s="184">
        <f>SUMIFS($AD$37:$AD$12971,$V$37:$V$12971,$V8924,$X$37:$X$12971,AE$13)</f>
        <v>0</v>
      </c>
      <c r="AF8924" s="185">
        <f>SUMIFS($AD$37:$AD$12971,$V$37:$V$12971,$V8924,$X$37:$X$12971,AF$13)</f>
        <v>0</v>
      </c>
      <c r="AG8924" s="185">
        <f>SUMIFS($AD$37:$AD$12971,$V$37:$V$12971,$V8924,$X$37:$X$12971,AG$13)</f>
        <v>0</v>
      </c>
      <c r="AH8924" s="187">
        <f>SUMIFS($AD$37:$AD$12971,$V$37:$V$12971,$V8924,$X$37:$X$12971,AH$13)</f>
        <v>0</v>
      </c>
      <c r="AI8924" s="161">
        <f t="shared" ref="AI8924" si="6065">SUM(AE8924:AH8924)</f>
        <v>0</v>
      </c>
      <c r="AK8924" s="172"/>
    </row>
    <row r="8925" spans="1:37" s="102" customFormat="1" ht="19.899999999999999" customHeight="1" x14ac:dyDescent="0.25">
      <c r="A8925" s="45"/>
      <c r="B8925" s="59"/>
      <c r="C8925" s="137"/>
      <c r="D8925" s="59"/>
      <c r="E8925" s="116"/>
      <c r="F8925" s="120"/>
      <c r="G8925" s="120"/>
      <c r="H8925" s="120"/>
      <c r="I8925" s="60"/>
      <c r="J8925" s="116"/>
      <c r="K8925" s="213"/>
      <c r="L8925" s="120"/>
      <c r="M8925" s="120"/>
      <c r="N8925" s="167"/>
      <c r="O8925" s="120"/>
      <c r="P8925" s="120"/>
      <c r="Q8925" s="120"/>
      <c r="R8925" s="120"/>
      <c r="S8925" s="120"/>
      <c r="T8925" s="221"/>
      <c r="U8925" s="89"/>
      <c r="V8925" s="61"/>
      <c r="W8925" s="92" t="s">
        <v>1273</v>
      </c>
      <c r="X8925" s="93" t="s">
        <v>30</v>
      </c>
      <c r="Y8925" s="93" t="s">
        <v>66</v>
      </c>
      <c r="Z8925" s="134">
        <f>VLOOKUP(W8925,Sheet2!$B:$D,3,FALSE)</f>
        <v>10</v>
      </c>
      <c r="AA8925" s="93">
        <f>1/((3*3*2.5)-(3.14/4*1.5*1.5*2.5))</f>
        <v>5.5296353896664936E-2</v>
      </c>
      <c r="AB8925" s="93">
        <f>AD8925/AC8924</f>
        <v>180.84375</v>
      </c>
      <c r="AC8925" s="93">
        <f>AC8924/AA8925</f>
        <v>170.08354687500008</v>
      </c>
      <c r="AD8925" s="94">
        <f t="shared" ref="AD8925:AD8927" si="6066">AC8925*Z8925</f>
        <v>1700.8354687500009</v>
      </c>
      <c r="AE8925" s="190"/>
      <c r="AF8925" s="191"/>
      <c r="AG8925" s="191"/>
      <c r="AH8925" s="191"/>
      <c r="AI8925" s="186"/>
      <c r="AK8925" s="171"/>
    </row>
    <row r="8926" spans="1:37" s="102" customFormat="1" ht="19.899999999999999" customHeight="1" x14ac:dyDescent="0.25">
      <c r="A8926" s="45"/>
      <c r="B8926" s="59"/>
      <c r="C8926" s="137"/>
      <c r="D8926" s="59"/>
      <c r="E8926" s="116"/>
      <c r="F8926" s="120"/>
      <c r="G8926" s="120"/>
      <c r="H8926" s="120"/>
      <c r="I8926" s="60"/>
      <c r="J8926" s="116"/>
      <c r="K8926" s="213"/>
      <c r="L8926" s="120"/>
      <c r="M8926" s="120"/>
      <c r="N8926" s="167"/>
      <c r="O8926" s="120"/>
      <c r="P8926" s="120"/>
      <c r="Q8926" s="120"/>
      <c r="R8926" s="120"/>
      <c r="S8926" s="120"/>
      <c r="T8926" s="221"/>
      <c r="U8926" s="89"/>
      <c r="V8926" s="61"/>
      <c r="W8926" s="92" t="s">
        <v>134</v>
      </c>
      <c r="X8926" s="93" t="s">
        <v>29</v>
      </c>
      <c r="Y8926" s="93" t="s">
        <v>93</v>
      </c>
      <c r="Z8926" s="134">
        <f>VLOOKUP(W8926,Sheet2!$B:$D,3,FALSE)</f>
        <v>65.599999999999994</v>
      </c>
      <c r="AA8926" s="93">
        <f>100/((3*3*2.5)-(3.14/4*1.5*1.5*2.5))</f>
        <v>5.5296353896664936</v>
      </c>
      <c r="AB8926" s="93">
        <f t="shared" ref="AB8926" si="6067">AD8926/AC8924</f>
        <v>11.863349999999999</v>
      </c>
      <c r="AC8926" s="93">
        <f>AC8924/AA8926</f>
        <v>1.7008354687500009</v>
      </c>
      <c r="AD8926" s="94">
        <f t="shared" si="6066"/>
        <v>111.57480675000005</v>
      </c>
      <c r="AE8926" s="190"/>
      <c r="AF8926" s="191"/>
      <c r="AG8926" s="191"/>
      <c r="AH8926" s="191"/>
      <c r="AI8926" s="186"/>
      <c r="AK8926" s="171"/>
    </row>
    <row r="8927" spans="1:37" s="102" customFormat="1" ht="19.899999999999999" customHeight="1" x14ac:dyDescent="0.25">
      <c r="A8927" s="45"/>
      <c r="B8927" s="59"/>
      <c r="C8927" s="137"/>
      <c r="D8927" s="59"/>
      <c r="E8927" s="116"/>
      <c r="F8927" s="120"/>
      <c r="G8927" s="120"/>
      <c r="H8927" s="120"/>
      <c r="I8927" s="60"/>
      <c r="J8927" s="116"/>
      <c r="K8927" s="213"/>
      <c r="L8927" s="120"/>
      <c r="M8927" s="120"/>
      <c r="N8927" s="167"/>
      <c r="O8927" s="120"/>
      <c r="P8927" s="120"/>
      <c r="Q8927" s="120"/>
      <c r="R8927" s="120"/>
      <c r="S8927" s="120"/>
      <c r="T8927" s="221"/>
      <c r="U8927" s="89"/>
      <c r="V8927" s="61"/>
      <c r="W8927" s="92" t="s">
        <v>65</v>
      </c>
      <c r="X8927" s="93" t="s">
        <v>30</v>
      </c>
      <c r="Y8927" s="93" t="s">
        <v>1011</v>
      </c>
      <c r="Z8927" s="134">
        <f>VLOOKUP(W8927,Sheet2!$B:$D,3,FALSE)</f>
        <v>1.76</v>
      </c>
      <c r="AA8927" s="93">
        <f>AA8926/9</f>
        <v>0.61440393218516598</v>
      </c>
      <c r="AB8927" s="93">
        <f>AD8927/AC8924</f>
        <v>2.8645649999999998</v>
      </c>
      <c r="AC8927" s="93">
        <f>AC8924/AA8927</f>
        <v>15.307519218750008</v>
      </c>
      <c r="AD8927" s="94">
        <f t="shared" si="6066"/>
        <v>26.941233825000012</v>
      </c>
      <c r="AE8927" s="190"/>
      <c r="AF8927" s="191"/>
      <c r="AG8927" s="191"/>
      <c r="AH8927" s="191"/>
      <c r="AI8927" s="186"/>
      <c r="AK8927" s="171"/>
    </row>
    <row r="8928" spans="1:37" s="102" customFormat="1" ht="19.899999999999999" customHeight="1" x14ac:dyDescent="0.25">
      <c r="A8928" s="45"/>
      <c r="B8928" s="59"/>
      <c r="C8928" s="137"/>
      <c r="D8928" s="59"/>
      <c r="E8928" s="116"/>
      <c r="F8928" s="120"/>
      <c r="G8928" s="120"/>
      <c r="H8928" s="120"/>
      <c r="I8928" s="60"/>
      <c r="J8928" s="116"/>
      <c r="K8928" s="213"/>
      <c r="L8928" s="120"/>
      <c r="M8928" s="120"/>
      <c r="N8928" s="167"/>
      <c r="O8928" s="120"/>
      <c r="P8928" s="120"/>
      <c r="Q8928" s="120"/>
      <c r="R8928" s="120"/>
      <c r="S8928" s="120"/>
      <c r="T8928" s="221"/>
      <c r="U8928" s="89"/>
      <c r="V8928" s="61"/>
      <c r="W8928" s="92" t="s">
        <v>161</v>
      </c>
      <c r="X8928" s="93" t="s">
        <v>29</v>
      </c>
      <c r="Y8928" s="93" t="s">
        <v>93</v>
      </c>
      <c r="Z8928" s="134">
        <f>VLOOKUP(W8928,Sheet2!$B:$D,3,FALSE)</f>
        <v>48</v>
      </c>
      <c r="AA8928" s="93">
        <f>(16*0.85*1.5)/((3*3*2.5)-(3.14/4*1.5*1.5*2.5))</f>
        <v>1.1280456194919646</v>
      </c>
      <c r="AB8928" s="93">
        <f>AD8928/AC8924</f>
        <v>42.551470588235297</v>
      </c>
      <c r="AC8928" s="93">
        <f>AC8924/AA8928</f>
        <v>8.3374287683823578</v>
      </c>
      <c r="AD8928" s="94">
        <f>AC8928*Z8928</f>
        <v>400.19658088235315</v>
      </c>
      <c r="AE8928" s="190"/>
      <c r="AF8928" s="191"/>
      <c r="AG8928" s="191"/>
      <c r="AH8928" s="191"/>
      <c r="AI8928" s="186"/>
      <c r="AK8928" s="171"/>
    </row>
    <row r="8929" spans="1:41" s="102" customFormat="1" ht="19.899999999999999" customHeight="1" x14ac:dyDescent="0.25">
      <c r="A8929" s="45"/>
      <c r="B8929" s="59"/>
      <c r="C8929" s="137"/>
      <c r="D8929" s="59"/>
      <c r="E8929" s="116"/>
      <c r="F8929" s="120"/>
      <c r="G8929" s="120"/>
      <c r="H8929" s="120"/>
      <c r="I8929" s="60"/>
      <c r="J8929" s="116"/>
      <c r="K8929" s="213"/>
      <c r="L8929" s="120"/>
      <c r="M8929" s="120"/>
      <c r="N8929" s="167"/>
      <c r="O8929" s="120"/>
      <c r="P8929" s="120"/>
      <c r="Q8929" s="120"/>
      <c r="R8929" s="120"/>
      <c r="S8929" s="120"/>
      <c r="T8929" s="221"/>
      <c r="U8929" s="89"/>
      <c r="V8929" s="61"/>
      <c r="W8929" s="92" t="s">
        <v>65</v>
      </c>
      <c r="X8929" s="93" t="s">
        <v>30</v>
      </c>
      <c r="Y8929" s="93" t="s">
        <v>1011</v>
      </c>
      <c r="Z8929" s="134">
        <f>VLOOKUP(W8929,Sheet2!$B:$D,3,FALSE)</f>
        <v>1.76</v>
      </c>
      <c r="AA8929" s="93">
        <f>AA8928/10</f>
        <v>0.11280456194919646</v>
      </c>
      <c r="AB8929" s="93">
        <f>AD8929/AC8924</f>
        <v>15.602205882352944</v>
      </c>
      <c r="AC8929" s="93">
        <f>AC8924/AA8929</f>
        <v>83.374287683823582</v>
      </c>
      <c r="AD8929" s="94">
        <f>AC8929*Z8929</f>
        <v>146.73874632352951</v>
      </c>
      <c r="AE8929" s="190"/>
      <c r="AF8929" s="191"/>
      <c r="AG8929" s="191"/>
      <c r="AH8929" s="191"/>
      <c r="AI8929" s="186"/>
      <c r="AK8929" s="171"/>
    </row>
    <row r="8930" spans="1:41" s="102" customFormat="1" ht="19.899999999999999" customHeight="1" x14ac:dyDescent="0.25">
      <c r="A8930" s="45"/>
      <c r="B8930" s="59"/>
      <c r="C8930" s="137"/>
      <c r="D8930" s="59"/>
      <c r="E8930" s="116"/>
      <c r="F8930" s="120"/>
      <c r="G8930" s="120"/>
      <c r="H8930" s="120"/>
      <c r="I8930" s="60"/>
      <c r="J8930" s="116"/>
      <c r="K8930" s="213"/>
      <c r="L8930" s="120"/>
      <c r="M8930" s="120"/>
      <c r="N8930" s="167"/>
      <c r="O8930" s="120"/>
      <c r="P8930" s="120"/>
      <c r="Q8930" s="120"/>
      <c r="R8930" s="120"/>
      <c r="S8930" s="120"/>
      <c r="T8930" s="221"/>
      <c r="U8930" s="89"/>
      <c r="V8930" s="61"/>
      <c r="W8930" s="92" t="s">
        <v>173</v>
      </c>
      <c r="X8930" s="93" t="s">
        <v>29</v>
      </c>
      <c r="Y8930" s="93" t="s">
        <v>93</v>
      </c>
      <c r="Z8930" s="134">
        <f>VLOOKUP(W8930,Sheet2!$B:$D,3,FALSE)</f>
        <v>36</v>
      </c>
      <c r="AA8930" s="93">
        <f>50/((3*3*2.5)-(3.14/4*1.5*1.5*2.5))</f>
        <v>2.7648176948332468</v>
      </c>
      <c r="AB8930" s="93">
        <f>AD8930/AC8924</f>
        <v>13.02075</v>
      </c>
      <c r="AC8930" s="93">
        <f>AC8924/AA8930</f>
        <v>3.4016709375000018</v>
      </c>
      <c r="AD8930" s="94">
        <f>AC8930*Z8930</f>
        <v>122.46015375000006</v>
      </c>
      <c r="AE8930" s="190"/>
      <c r="AF8930" s="191"/>
      <c r="AG8930" s="191"/>
      <c r="AH8930" s="191"/>
      <c r="AI8930" s="186"/>
      <c r="AK8930" s="171"/>
    </row>
    <row r="8931" spans="1:41" s="102" customFormat="1" ht="19.899999999999999" customHeight="1" x14ac:dyDescent="0.25">
      <c r="A8931" s="45"/>
      <c r="B8931" s="59"/>
      <c r="C8931" s="137"/>
      <c r="D8931" s="59"/>
      <c r="E8931" s="116"/>
      <c r="F8931" s="120"/>
      <c r="G8931" s="120"/>
      <c r="H8931" s="120"/>
      <c r="I8931" s="60"/>
      <c r="J8931" s="116"/>
      <c r="K8931" s="213"/>
      <c r="L8931" s="120"/>
      <c r="M8931" s="120"/>
      <c r="N8931" s="167"/>
      <c r="O8931" s="120"/>
      <c r="P8931" s="120"/>
      <c r="Q8931" s="120"/>
      <c r="R8931" s="120"/>
      <c r="S8931" s="120"/>
      <c r="T8931" s="221"/>
      <c r="U8931" s="89"/>
      <c r="V8931" s="61"/>
      <c r="W8931" s="92" t="s">
        <v>65</v>
      </c>
      <c r="X8931" s="93" t="s">
        <v>30</v>
      </c>
      <c r="Y8931" s="93" t="s">
        <v>1011</v>
      </c>
      <c r="Z8931" s="134">
        <f>VLOOKUP(W8931,Sheet2!$B:$D,3,FALSE)</f>
        <v>1.76</v>
      </c>
      <c r="AA8931" s="93">
        <f>AA8930/9</f>
        <v>0.30720196609258299</v>
      </c>
      <c r="AB8931" s="93">
        <f>AD8931/AC8924</f>
        <v>5.7291299999999996</v>
      </c>
      <c r="AC8931" s="93">
        <f>AC8924/AA8931</f>
        <v>30.615038437500015</v>
      </c>
      <c r="AD8931" s="94">
        <f>AC8931*Z8931</f>
        <v>53.882467650000024</v>
      </c>
      <c r="AE8931" s="190"/>
      <c r="AF8931" s="191"/>
      <c r="AG8931" s="191"/>
      <c r="AH8931" s="191"/>
      <c r="AI8931" s="186"/>
      <c r="AK8931" s="171"/>
    </row>
    <row r="8932" spans="1:41" s="102" customFormat="1" ht="19.899999999999999" customHeight="1" x14ac:dyDescent="0.25">
      <c r="A8932" s="45"/>
      <c r="B8932" s="59"/>
      <c r="C8932" s="137"/>
      <c r="D8932" s="59"/>
      <c r="E8932" s="116"/>
      <c r="F8932" s="120"/>
      <c r="G8932" s="120"/>
      <c r="H8932" s="120"/>
      <c r="I8932" s="60"/>
      <c r="J8932" s="116"/>
      <c r="K8932" s="213"/>
      <c r="L8932" s="120"/>
      <c r="M8932" s="120"/>
      <c r="N8932" s="167"/>
      <c r="O8932" s="120"/>
      <c r="P8932" s="120"/>
      <c r="Q8932" s="120"/>
      <c r="R8932" s="120"/>
      <c r="S8932" s="120"/>
      <c r="T8932" s="221"/>
      <c r="U8932" s="89"/>
      <c r="V8932" s="61"/>
      <c r="W8932" s="92" t="s">
        <v>1030</v>
      </c>
      <c r="X8932" s="93" t="s">
        <v>29</v>
      </c>
      <c r="Y8932" s="93" t="s">
        <v>93</v>
      </c>
      <c r="Z8932" s="134">
        <f>VLOOKUP(W8932,Sheet2!$B:$D,3,FALSE)</f>
        <v>23</v>
      </c>
      <c r="AA8932" s="93">
        <f>1/(2.5*1)</f>
        <v>0.4</v>
      </c>
      <c r="AB8932" s="93">
        <f>AD8932/AC8924</f>
        <v>57.5</v>
      </c>
      <c r="AC8932" s="93">
        <f>AC8924/AA8932</f>
        <v>23.51250000000001</v>
      </c>
      <c r="AD8932" s="94">
        <f t="shared" ref="AD8932:AD8933" si="6068">AC8932*Z8932</f>
        <v>540.78750000000025</v>
      </c>
      <c r="AE8932" s="190"/>
      <c r="AF8932" s="191"/>
      <c r="AG8932" s="191"/>
      <c r="AH8932" s="191"/>
      <c r="AI8932" s="186"/>
      <c r="AK8932" s="171"/>
    </row>
    <row r="8933" spans="1:41" s="102" customFormat="1" ht="19.899999999999999" customHeight="1" x14ac:dyDescent="0.25">
      <c r="A8933" s="45"/>
      <c r="B8933" s="59"/>
      <c r="C8933" s="137"/>
      <c r="D8933" s="59"/>
      <c r="E8933" s="116"/>
      <c r="F8933" s="120"/>
      <c r="G8933" s="120"/>
      <c r="H8933" s="120"/>
      <c r="I8933" s="60"/>
      <c r="J8933" s="116"/>
      <c r="K8933" s="213"/>
      <c r="L8933" s="120"/>
      <c r="M8933" s="120"/>
      <c r="N8933" s="167"/>
      <c r="O8933" s="120"/>
      <c r="P8933" s="120"/>
      <c r="Q8933" s="120"/>
      <c r="R8933" s="120"/>
      <c r="S8933" s="120"/>
      <c r="T8933" s="221"/>
      <c r="U8933" s="89"/>
      <c r="V8933" s="61"/>
      <c r="W8933" s="92" t="s">
        <v>65</v>
      </c>
      <c r="X8933" s="93" t="s">
        <v>30</v>
      </c>
      <c r="Y8933" s="93" t="s">
        <v>1011</v>
      </c>
      <c r="Z8933" s="134">
        <f>VLOOKUP(W8933,Sheet2!$B:$D,3,FALSE)</f>
        <v>1.76</v>
      </c>
      <c r="AA8933" s="93">
        <f>AA8932/3</f>
        <v>0.13333333333333333</v>
      </c>
      <c r="AB8933" s="93">
        <f>AD8933/AC8924</f>
        <v>13.200000000000001</v>
      </c>
      <c r="AC8933" s="93">
        <f>AC8924/AA8933</f>
        <v>70.537500000000037</v>
      </c>
      <c r="AD8933" s="94">
        <f t="shared" si="6068"/>
        <v>124.14600000000007</v>
      </c>
      <c r="AE8933" s="190"/>
      <c r="AF8933" s="191"/>
      <c r="AG8933" s="191"/>
      <c r="AH8933" s="191"/>
      <c r="AI8933" s="186"/>
      <c r="AK8933" s="171"/>
    </row>
    <row r="8934" spans="1:41" ht="20.100000000000001" customHeight="1" x14ac:dyDescent="0.25">
      <c r="A8934" s="277" t="s">
        <v>703</v>
      </c>
      <c r="B8934" s="278"/>
      <c r="C8934" s="64" t="s">
        <v>813</v>
      </c>
      <c r="D8934" s="46" t="s">
        <v>215</v>
      </c>
      <c r="E8934" s="114">
        <v>15.874999999999943</v>
      </c>
      <c r="F8934" s="44">
        <v>30652</v>
      </c>
      <c r="G8934" s="44">
        <f t="shared" si="5545"/>
        <v>486600.49999999825</v>
      </c>
      <c r="H8934" s="44">
        <f t="shared" si="5546"/>
        <v>8887.0440951764685</v>
      </c>
      <c r="I8934" s="43">
        <f t="shared" si="5547"/>
        <v>141081.82501092594</v>
      </c>
      <c r="J8934" s="112">
        <f t="shared" si="5548"/>
        <v>15.874999999999943</v>
      </c>
      <c r="K8934" s="211">
        <f t="shared" si="5549"/>
        <v>15.874999999999943</v>
      </c>
      <c r="L8934" s="44"/>
      <c r="M8934" s="44">
        <f t="shared" si="5550"/>
        <v>15.874999999999943</v>
      </c>
      <c r="N8934" s="173">
        <f t="shared" si="5551"/>
        <v>1</v>
      </c>
      <c r="O8934" s="44">
        <f t="shared" si="5552"/>
        <v>30652</v>
      </c>
      <c r="P8934" s="44">
        <f t="shared" si="5553"/>
        <v>486600.49999999825</v>
      </c>
      <c r="Q8934" s="44">
        <f t="shared" si="5554"/>
        <v>8887.0440951764685</v>
      </c>
      <c r="R8934" s="44">
        <f t="shared" si="5555"/>
        <v>141081.82501092594</v>
      </c>
      <c r="S8934" s="123"/>
      <c r="T8934" s="219">
        <f t="shared" si="5556"/>
        <v>141081.82501092594</v>
      </c>
      <c r="U8934" s="87"/>
      <c r="V8934" s="47"/>
      <c r="W8934" s="48"/>
      <c r="X8934" s="48"/>
      <c r="Y8934" s="48"/>
      <c r="Z8934" s="135"/>
      <c r="AA8934" s="49"/>
      <c r="AB8934" s="50">
        <f t="shared" si="5557"/>
        <v>8887.0440951764685</v>
      </c>
      <c r="AC8934" s="42">
        <f t="shared" si="5558"/>
        <v>15.874999999999943</v>
      </c>
      <c r="AD8934" s="90">
        <f>AD8935+AD8940+AD8947+AD8954</f>
        <v>141081.82501092594</v>
      </c>
      <c r="AE8934" s="188">
        <f t="shared" ref="AE8934" si="6069">AE8935+AE8940+AE8947+AE8954</f>
        <v>0</v>
      </c>
      <c r="AF8934" s="189">
        <f t="shared" ref="AF8934" si="6070">AF8935+AF8940+AF8947+AF8954</f>
        <v>0</v>
      </c>
      <c r="AG8934" s="189">
        <f t="shared" ref="AG8934" si="6071">AG8935+AG8940+AG8947+AG8954</f>
        <v>0</v>
      </c>
      <c r="AH8934" s="189">
        <f t="shared" ref="AH8934" si="6072">AH8935+AH8940+AH8947+AH8954</f>
        <v>0</v>
      </c>
      <c r="AI8934" s="161">
        <f t="shared" si="6056"/>
        <v>0</v>
      </c>
      <c r="AK8934" s="169">
        <v>5</v>
      </c>
      <c r="AO8934" s="19" t="s">
        <v>63</v>
      </c>
    </row>
    <row r="8935" spans="1:41" s="103" customFormat="1" ht="19.899999999999999" customHeight="1" x14ac:dyDescent="0.25">
      <c r="A8935" s="51"/>
      <c r="B8935" s="52"/>
      <c r="C8935" s="165"/>
      <c r="D8935" s="52"/>
      <c r="E8935" s="115"/>
      <c r="F8935" s="58"/>
      <c r="G8935" s="58"/>
      <c r="H8935" s="58"/>
      <c r="I8935" s="55"/>
      <c r="J8935" s="113">
        <f>J8934</f>
        <v>15.874999999999943</v>
      </c>
      <c r="K8935" s="212">
        <f>K8934</f>
        <v>15.874999999999943</v>
      </c>
      <c r="L8935" s="58"/>
      <c r="M8935" s="58">
        <f>K8935-L8935</f>
        <v>15.874999999999943</v>
      </c>
      <c r="N8935" s="166"/>
      <c r="O8935" s="58"/>
      <c r="P8935" s="58"/>
      <c r="Q8935" s="58"/>
      <c r="R8935" s="58"/>
      <c r="S8935" s="58"/>
      <c r="T8935" s="220"/>
      <c r="U8935" s="88"/>
      <c r="V8935" s="56"/>
      <c r="W8935" s="57" t="s">
        <v>1511</v>
      </c>
      <c r="X8935" s="53"/>
      <c r="Y8935" s="91" t="s">
        <v>35</v>
      </c>
      <c r="Z8935" s="136">
        <f>AD8935/AC8935</f>
        <v>108.5963294117647</v>
      </c>
      <c r="AA8935" s="58"/>
      <c r="AB8935" s="53">
        <f>AD8935/AC8935</f>
        <v>108.5963294117647</v>
      </c>
      <c r="AC8935" s="53">
        <f>M8935+$AE$10</f>
        <v>15.874999999999943</v>
      </c>
      <c r="AD8935" s="54">
        <f>SUM(AD8936:AD8939)</f>
        <v>1723.9667294117585</v>
      </c>
      <c r="AE8935" s="184">
        <f>SUMIFS($AD$37:$AD$12971,$V$37:$V$12971,$V8935,$X$37:$X$12971,AE$13)</f>
        <v>0</v>
      </c>
      <c r="AF8935" s="185">
        <f>SUMIFS($AD$37:$AD$12971,$V$37:$V$12971,$V8935,$X$37:$X$12971,AF$13)</f>
        <v>0</v>
      </c>
      <c r="AG8935" s="185">
        <f>SUMIFS($AD$37:$AD$12971,$V$37:$V$12971,$V8935,$X$37:$X$12971,AG$13)</f>
        <v>0</v>
      </c>
      <c r="AH8935" s="187">
        <f>SUMIFS($AD$37:$AD$12971,$V$37:$V$12971,$V8935,$X$37:$X$12971,AH$13)</f>
        <v>0</v>
      </c>
      <c r="AI8935" s="161">
        <f t="shared" ref="AI8935" si="6073">SUM(AE8935:AH8935)</f>
        <v>0</v>
      </c>
      <c r="AK8935" s="172"/>
    </row>
    <row r="8936" spans="1:41" s="102" customFormat="1" ht="19.899999999999999" customHeight="1" x14ac:dyDescent="0.25">
      <c r="A8936" s="45"/>
      <c r="B8936" s="59"/>
      <c r="C8936" s="137"/>
      <c r="D8936" s="59"/>
      <c r="E8936" s="116"/>
      <c r="F8936" s="120"/>
      <c r="G8936" s="120"/>
      <c r="H8936" s="120"/>
      <c r="I8936" s="60"/>
      <c r="J8936" s="116"/>
      <c r="K8936" s="213"/>
      <c r="L8936" s="120"/>
      <c r="M8936" s="120"/>
      <c r="N8936" s="167"/>
      <c r="O8936" s="120"/>
      <c r="P8936" s="120"/>
      <c r="Q8936" s="120"/>
      <c r="R8936" s="120"/>
      <c r="S8936" s="120"/>
      <c r="T8936" s="221"/>
      <c r="U8936" s="89"/>
      <c r="V8936" s="61"/>
      <c r="W8936" s="92" t="s">
        <v>129</v>
      </c>
      <c r="X8936" s="93" t="s">
        <v>29</v>
      </c>
      <c r="Y8936" s="93" t="s">
        <v>93</v>
      </c>
      <c r="Z8936" s="134">
        <f>VLOOKUP(W8936,Sheet2!$B:$D,3,FALSE)</f>
        <v>56</v>
      </c>
      <c r="AA8936" s="93">
        <f>100/(3*3*3)</f>
        <v>3.7037037037037037</v>
      </c>
      <c r="AB8936" s="93">
        <f t="shared" ref="AB8936" si="6074">AD8936/AC8935</f>
        <v>15.120000000000001</v>
      </c>
      <c r="AC8936" s="93">
        <f>AC8935/AA8936</f>
        <v>4.2862499999999848</v>
      </c>
      <c r="AD8936" s="94">
        <f t="shared" ref="AD8936:AD8937" si="6075">AC8936*Z8936</f>
        <v>240.02999999999915</v>
      </c>
      <c r="AE8936" s="190"/>
      <c r="AF8936" s="191"/>
      <c r="AG8936" s="191"/>
      <c r="AH8936" s="191"/>
      <c r="AI8936" s="186"/>
      <c r="AK8936" s="171"/>
    </row>
    <row r="8937" spans="1:41" s="102" customFormat="1" ht="19.899999999999999" customHeight="1" x14ac:dyDescent="0.25">
      <c r="A8937" s="45"/>
      <c r="B8937" s="59"/>
      <c r="C8937" s="137"/>
      <c r="D8937" s="59"/>
      <c r="E8937" s="116"/>
      <c r="F8937" s="120"/>
      <c r="G8937" s="120"/>
      <c r="H8937" s="120"/>
      <c r="I8937" s="60"/>
      <c r="J8937" s="116"/>
      <c r="K8937" s="213"/>
      <c r="L8937" s="120"/>
      <c r="M8937" s="120"/>
      <c r="N8937" s="167"/>
      <c r="O8937" s="120"/>
      <c r="P8937" s="120"/>
      <c r="Q8937" s="120"/>
      <c r="R8937" s="120"/>
      <c r="S8937" s="120"/>
      <c r="T8937" s="221"/>
      <c r="U8937" s="89"/>
      <c r="V8937" s="61"/>
      <c r="W8937" s="92" t="s">
        <v>65</v>
      </c>
      <c r="X8937" s="93" t="s">
        <v>30</v>
      </c>
      <c r="Y8937" s="93" t="s">
        <v>1011</v>
      </c>
      <c r="Z8937" s="134">
        <f>VLOOKUP(W8937,Sheet2!$B:$D,3,FALSE)</f>
        <v>1.76</v>
      </c>
      <c r="AA8937" s="93">
        <f>AA8936/14</f>
        <v>0.26455026455026454</v>
      </c>
      <c r="AB8937" s="93">
        <f>AD8937/AC8935</f>
        <v>6.6528</v>
      </c>
      <c r="AC8937" s="93">
        <f>AC8935/AA8937</f>
        <v>60.007499999999787</v>
      </c>
      <c r="AD8937" s="94">
        <f t="shared" si="6075"/>
        <v>105.61319999999962</v>
      </c>
      <c r="AE8937" s="190"/>
      <c r="AF8937" s="191"/>
      <c r="AG8937" s="191"/>
      <c r="AH8937" s="191"/>
      <c r="AI8937" s="186"/>
      <c r="AK8937" s="171"/>
    </row>
    <row r="8938" spans="1:41" s="102" customFormat="1" ht="19.899999999999999" customHeight="1" x14ac:dyDescent="0.25">
      <c r="A8938" s="45"/>
      <c r="B8938" s="59"/>
      <c r="C8938" s="137"/>
      <c r="D8938" s="59"/>
      <c r="E8938" s="116"/>
      <c r="F8938" s="120"/>
      <c r="G8938" s="120"/>
      <c r="H8938" s="120"/>
      <c r="I8938" s="60"/>
      <c r="J8938" s="116"/>
      <c r="K8938" s="213"/>
      <c r="L8938" s="120"/>
      <c r="M8938" s="120"/>
      <c r="N8938" s="167"/>
      <c r="O8938" s="120"/>
      <c r="P8938" s="120"/>
      <c r="Q8938" s="120"/>
      <c r="R8938" s="120"/>
      <c r="S8938" s="120"/>
      <c r="T8938" s="221"/>
      <c r="U8938" s="89"/>
      <c r="V8938" s="61"/>
      <c r="W8938" s="92" t="s">
        <v>161</v>
      </c>
      <c r="X8938" s="93" t="s">
        <v>29</v>
      </c>
      <c r="Y8938" s="93" t="s">
        <v>93</v>
      </c>
      <c r="Z8938" s="134">
        <f>VLOOKUP(W8938,Sheet2!$B:$D,3,FALSE)</f>
        <v>48</v>
      </c>
      <c r="AA8938" s="93">
        <f>(16*0.85*1.5)/(3*3*3)</f>
        <v>0.75555555555555554</v>
      </c>
      <c r="AB8938" s="93">
        <f>AD8938/AC8935</f>
        <v>63.529411764705884</v>
      </c>
      <c r="AC8938" s="93">
        <f>AC8935/AA8938</f>
        <v>21.011029411764632</v>
      </c>
      <c r="AD8938" s="94">
        <f>AC8938*Z8938</f>
        <v>1008.5294117647023</v>
      </c>
      <c r="AE8938" s="190"/>
      <c r="AF8938" s="191"/>
      <c r="AG8938" s="191"/>
      <c r="AH8938" s="191"/>
      <c r="AI8938" s="186"/>
      <c r="AK8938" s="171"/>
    </row>
    <row r="8939" spans="1:41" s="102" customFormat="1" ht="19.899999999999999" customHeight="1" x14ac:dyDescent="0.25">
      <c r="A8939" s="45"/>
      <c r="B8939" s="59"/>
      <c r="C8939" s="137"/>
      <c r="D8939" s="59"/>
      <c r="E8939" s="116"/>
      <c r="F8939" s="120"/>
      <c r="G8939" s="120"/>
      <c r="H8939" s="120"/>
      <c r="I8939" s="60"/>
      <c r="J8939" s="116"/>
      <c r="K8939" s="213"/>
      <c r="L8939" s="120"/>
      <c r="M8939" s="120"/>
      <c r="N8939" s="167"/>
      <c r="O8939" s="120"/>
      <c r="P8939" s="120"/>
      <c r="Q8939" s="120"/>
      <c r="R8939" s="120"/>
      <c r="S8939" s="120"/>
      <c r="T8939" s="221"/>
      <c r="U8939" s="89"/>
      <c r="V8939" s="61"/>
      <c r="W8939" s="92" t="s">
        <v>65</v>
      </c>
      <c r="X8939" s="93" t="s">
        <v>30</v>
      </c>
      <c r="Y8939" s="93" t="s">
        <v>1011</v>
      </c>
      <c r="Z8939" s="134">
        <f>VLOOKUP(W8939,Sheet2!$B:$D,3,FALSE)</f>
        <v>1.76</v>
      </c>
      <c r="AA8939" s="93">
        <f>AA8938/10</f>
        <v>7.5555555555555556E-2</v>
      </c>
      <c r="AB8939" s="93">
        <f>AD8939/AC8935</f>
        <v>23.294117647058822</v>
      </c>
      <c r="AC8939" s="93">
        <f>AC8935/AA8939</f>
        <v>210.1102941176463</v>
      </c>
      <c r="AD8939" s="94">
        <f>AC8939*Z8939</f>
        <v>369.79411764705748</v>
      </c>
      <c r="AE8939" s="190"/>
      <c r="AF8939" s="191"/>
      <c r="AG8939" s="191"/>
      <c r="AH8939" s="191"/>
      <c r="AI8939" s="186"/>
      <c r="AK8939" s="171"/>
    </row>
    <row r="8940" spans="1:41" s="103" customFormat="1" ht="19.899999999999999" customHeight="1" x14ac:dyDescent="0.25">
      <c r="A8940" s="51"/>
      <c r="B8940" s="52"/>
      <c r="C8940" s="165"/>
      <c r="D8940" s="52"/>
      <c r="E8940" s="115"/>
      <c r="F8940" s="58"/>
      <c r="G8940" s="58"/>
      <c r="H8940" s="58"/>
      <c r="I8940" s="55"/>
      <c r="J8940" s="113">
        <f>J8934</f>
        <v>15.874999999999943</v>
      </c>
      <c r="K8940" s="212">
        <f>K8934</f>
        <v>15.874999999999943</v>
      </c>
      <c r="L8940" s="58"/>
      <c r="M8940" s="58">
        <f>K8940-L8940</f>
        <v>15.874999999999943</v>
      </c>
      <c r="N8940" s="166"/>
      <c r="O8940" s="58"/>
      <c r="P8940" s="58"/>
      <c r="Q8940" s="58"/>
      <c r="R8940" s="58"/>
      <c r="S8940" s="58"/>
      <c r="T8940" s="220"/>
      <c r="U8940" s="88"/>
      <c r="V8940" s="56"/>
      <c r="W8940" s="57" t="s">
        <v>1486</v>
      </c>
      <c r="X8940" s="53"/>
      <c r="Y8940" s="91" t="s">
        <v>35</v>
      </c>
      <c r="Z8940" s="136">
        <f>AD8940/AC8940</f>
        <v>1883.8374999999996</v>
      </c>
      <c r="AA8940" s="58"/>
      <c r="AB8940" s="53">
        <f>AD8940/AC8940</f>
        <v>1883.8374999999996</v>
      </c>
      <c r="AC8940" s="53">
        <f>M8940+$AE$10</f>
        <v>15.874999999999943</v>
      </c>
      <c r="AD8940" s="54">
        <f>SUM(AD8941:AD8946)</f>
        <v>29905.920312499886</v>
      </c>
      <c r="AE8940" s="184">
        <f>SUMIFS($AD$37:$AD$12971,$V$37:$V$12971,$V8940,$X$37:$X$12971,AE$13)</f>
        <v>0</v>
      </c>
      <c r="AF8940" s="185">
        <f>SUMIFS($AD$37:$AD$12971,$V$37:$V$12971,$V8940,$X$37:$X$12971,AF$13)</f>
        <v>0</v>
      </c>
      <c r="AG8940" s="185">
        <f>SUMIFS($AD$37:$AD$12971,$V$37:$V$12971,$V8940,$X$37:$X$12971,AG$13)</f>
        <v>0</v>
      </c>
      <c r="AH8940" s="187">
        <f>SUMIFS($AD$37:$AD$12971,$V$37:$V$12971,$V8940,$X$37:$X$12971,AH$13)</f>
        <v>0</v>
      </c>
      <c r="AI8940" s="161">
        <f t="shared" ref="AI8940" si="6076">SUM(AE8940:AH8940)</f>
        <v>0</v>
      </c>
      <c r="AK8940" s="172"/>
    </row>
    <row r="8941" spans="1:41" s="102" customFormat="1" ht="19.899999999999999" customHeight="1" x14ac:dyDescent="0.25">
      <c r="A8941" s="45"/>
      <c r="B8941" s="59"/>
      <c r="C8941" s="137"/>
      <c r="D8941" s="59"/>
      <c r="E8941" s="116"/>
      <c r="F8941" s="120"/>
      <c r="G8941" s="120"/>
      <c r="H8941" s="120"/>
      <c r="I8941" s="60"/>
      <c r="J8941" s="116"/>
      <c r="K8941" s="213"/>
      <c r="L8941" s="120"/>
      <c r="M8941" s="120"/>
      <c r="N8941" s="167"/>
      <c r="O8941" s="120"/>
      <c r="P8941" s="120"/>
      <c r="Q8941" s="120"/>
      <c r="R8941" s="120"/>
      <c r="S8941" s="120"/>
      <c r="T8941" s="221"/>
      <c r="U8941" s="89"/>
      <c r="V8941" s="61"/>
      <c r="W8941" s="92" t="s">
        <v>1032</v>
      </c>
      <c r="X8941" s="93" t="s">
        <v>30</v>
      </c>
      <c r="Y8941" s="93" t="s">
        <v>66</v>
      </c>
      <c r="Z8941" s="134">
        <f>VLOOKUP(W8941,Sheet2!$B:$D,3,FALSE)</f>
        <v>250</v>
      </c>
      <c r="AA8941" s="93">
        <f>1/(2.4*2.4*0.1)</f>
        <v>1.7361111111111112</v>
      </c>
      <c r="AB8941" s="93">
        <f>AD8941/AC8947</f>
        <v>144</v>
      </c>
      <c r="AC8941" s="93">
        <f>AC8947/AA8941</f>
        <v>9.1439999999999664</v>
      </c>
      <c r="AD8941" s="94">
        <f t="shared" ref="AD8941:AD8943" si="6077">AC8941*Z8941</f>
        <v>2285.9999999999918</v>
      </c>
      <c r="AE8941" s="190"/>
      <c r="AF8941" s="191"/>
      <c r="AG8941" s="191"/>
      <c r="AH8941" s="191"/>
      <c r="AI8941" s="186"/>
      <c r="AK8941" s="171"/>
    </row>
    <row r="8942" spans="1:41" s="102" customFormat="1" ht="19.899999999999999" customHeight="1" x14ac:dyDescent="0.25">
      <c r="A8942" s="45"/>
      <c r="B8942" s="59"/>
      <c r="C8942" s="137"/>
      <c r="D8942" s="59"/>
      <c r="E8942" s="116"/>
      <c r="F8942" s="120"/>
      <c r="G8942" s="120"/>
      <c r="H8942" s="120"/>
      <c r="I8942" s="60"/>
      <c r="J8942" s="116"/>
      <c r="K8942" s="213"/>
      <c r="L8942" s="120"/>
      <c r="M8942" s="120"/>
      <c r="N8942" s="167"/>
      <c r="O8942" s="120"/>
      <c r="P8942" s="120"/>
      <c r="Q8942" s="120"/>
      <c r="R8942" s="120"/>
      <c r="S8942" s="120"/>
      <c r="T8942" s="221"/>
      <c r="U8942" s="89"/>
      <c r="V8942" s="61"/>
      <c r="W8942" s="92" t="s">
        <v>1353</v>
      </c>
      <c r="X8942" s="93" t="s">
        <v>30</v>
      </c>
      <c r="Y8942" s="93" t="s">
        <v>66</v>
      </c>
      <c r="Z8942" s="134">
        <f>VLOOKUP(W8942,Sheet2!$B:$D,3,FALSE)</f>
        <v>350</v>
      </c>
      <c r="AA8942" s="93">
        <f>1/(2.3*2.3*0.3)</f>
        <v>0.63011972274732209</v>
      </c>
      <c r="AB8942" s="93">
        <f>AD8942/AC8947</f>
        <v>555.44999999999993</v>
      </c>
      <c r="AC8942" s="93">
        <f>AC8947/AA8942</f>
        <v>25.193624999999905</v>
      </c>
      <c r="AD8942" s="94">
        <f t="shared" si="6077"/>
        <v>8817.7687499999665</v>
      </c>
      <c r="AE8942" s="190"/>
      <c r="AF8942" s="191"/>
      <c r="AG8942" s="191"/>
      <c r="AH8942" s="191"/>
      <c r="AI8942" s="186"/>
      <c r="AK8942" s="171"/>
    </row>
    <row r="8943" spans="1:41" s="102" customFormat="1" ht="19.899999999999999" customHeight="1" x14ac:dyDescent="0.25">
      <c r="A8943" s="45"/>
      <c r="B8943" s="59"/>
      <c r="C8943" s="137"/>
      <c r="D8943" s="59"/>
      <c r="E8943" s="116"/>
      <c r="F8943" s="120"/>
      <c r="G8943" s="120"/>
      <c r="H8943" s="120"/>
      <c r="I8943" s="60"/>
      <c r="J8943" s="116"/>
      <c r="K8943" s="213"/>
      <c r="L8943" s="120"/>
      <c r="M8943" s="120"/>
      <c r="N8943" s="167"/>
      <c r="O8943" s="120"/>
      <c r="P8943" s="120"/>
      <c r="Q8943" s="120"/>
      <c r="R8943" s="120"/>
      <c r="S8943" s="120"/>
      <c r="T8943" s="221"/>
      <c r="U8943" s="89"/>
      <c r="V8943" s="61"/>
      <c r="W8943" s="92" t="s">
        <v>99</v>
      </c>
      <c r="X8943" s="93" t="s">
        <v>30</v>
      </c>
      <c r="Y8943" s="93" t="s">
        <v>67</v>
      </c>
      <c r="Z8943" s="134">
        <f>VLOOKUP(W8943,Sheet2!$B:$D,3,FALSE)</f>
        <v>2500</v>
      </c>
      <c r="AA8943" s="93">
        <f>AA8942/0.08</f>
        <v>7.8764965343415261</v>
      </c>
      <c r="AB8943" s="93">
        <f>AD8943/AC8947</f>
        <v>317.39999999999998</v>
      </c>
      <c r="AC8943" s="93">
        <f>AC8947/AA8943</f>
        <v>2.0154899999999927</v>
      </c>
      <c r="AD8943" s="94">
        <f t="shared" si="6077"/>
        <v>5038.7249999999813</v>
      </c>
      <c r="AE8943" s="190"/>
      <c r="AF8943" s="191"/>
      <c r="AG8943" s="191"/>
      <c r="AH8943" s="191"/>
      <c r="AI8943" s="186"/>
      <c r="AK8943" s="171"/>
    </row>
    <row r="8944" spans="1:41" s="102" customFormat="1" ht="19.899999999999999" customHeight="1" x14ac:dyDescent="0.25">
      <c r="A8944" s="45"/>
      <c r="B8944" s="59"/>
      <c r="C8944" s="137"/>
      <c r="D8944" s="59"/>
      <c r="E8944" s="116"/>
      <c r="F8944" s="120"/>
      <c r="G8944" s="120"/>
      <c r="H8944" s="120"/>
      <c r="I8944" s="60"/>
      <c r="J8944" s="116"/>
      <c r="K8944" s="213"/>
      <c r="L8944" s="120"/>
      <c r="M8944" s="120"/>
      <c r="N8944" s="167"/>
      <c r="O8944" s="120"/>
      <c r="P8944" s="120"/>
      <c r="Q8944" s="120"/>
      <c r="R8944" s="120"/>
      <c r="S8944" s="120"/>
      <c r="T8944" s="221"/>
      <c r="U8944" s="89"/>
      <c r="V8944" s="61"/>
      <c r="W8944" s="92" t="s">
        <v>1354</v>
      </c>
      <c r="X8944" s="93" t="s">
        <v>32</v>
      </c>
      <c r="Y8944" s="93" t="s">
        <v>66</v>
      </c>
      <c r="Z8944" s="134">
        <f>VLOOKUP(W8944,Sheet2!$B:$D,3,FALSE)</f>
        <v>150</v>
      </c>
      <c r="AA8944" s="93">
        <f>AA8941</f>
        <v>1.7361111111111112</v>
      </c>
      <c r="AB8944" s="93">
        <f>AD8944/AC8947</f>
        <v>86.399999999999991</v>
      </c>
      <c r="AC8944" s="93">
        <f>AC8947/AA8944</f>
        <v>9.1439999999999664</v>
      </c>
      <c r="AD8944" s="94">
        <f>AC8944*Z8944</f>
        <v>1371.5999999999949</v>
      </c>
      <c r="AE8944" s="190"/>
      <c r="AF8944" s="191"/>
      <c r="AG8944" s="191"/>
      <c r="AH8944" s="191"/>
      <c r="AI8944" s="186"/>
      <c r="AK8944" s="171"/>
    </row>
    <row r="8945" spans="1:37" s="102" customFormat="1" ht="19.899999999999999" customHeight="1" x14ac:dyDescent="0.25">
      <c r="A8945" s="45"/>
      <c r="B8945" s="59"/>
      <c r="C8945" s="137"/>
      <c r="D8945" s="59"/>
      <c r="E8945" s="116"/>
      <c r="F8945" s="120"/>
      <c r="G8945" s="120"/>
      <c r="H8945" s="120"/>
      <c r="I8945" s="60"/>
      <c r="J8945" s="116"/>
      <c r="K8945" s="213"/>
      <c r="L8945" s="120"/>
      <c r="M8945" s="120"/>
      <c r="N8945" s="167"/>
      <c r="O8945" s="120"/>
      <c r="P8945" s="120"/>
      <c r="Q8945" s="120"/>
      <c r="R8945" s="120"/>
      <c r="S8945" s="120"/>
      <c r="T8945" s="221"/>
      <c r="U8945" s="89"/>
      <c r="V8945" s="61"/>
      <c r="W8945" s="92" t="s">
        <v>1355</v>
      </c>
      <c r="X8945" s="93" t="s">
        <v>32</v>
      </c>
      <c r="Y8945" s="93" t="s">
        <v>66</v>
      </c>
      <c r="Z8945" s="134">
        <f>VLOOKUP(W8945,Sheet2!$B:$D,3,FALSE)</f>
        <v>450</v>
      </c>
      <c r="AA8945" s="93">
        <f>AA8942</f>
        <v>0.63011972274732209</v>
      </c>
      <c r="AB8945" s="93">
        <f>AD8945/AC8947</f>
        <v>714.14999999999986</v>
      </c>
      <c r="AC8945" s="93">
        <f>AC8947/AA8945</f>
        <v>25.193624999999905</v>
      </c>
      <c r="AD8945" s="94">
        <f>AC8945*Z8945</f>
        <v>11337.131249999957</v>
      </c>
      <c r="AE8945" s="190"/>
      <c r="AF8945" s="191"/>
      <c r="AG8945" s="191"/>
      <c r="AH8945" s="191"/>
      <c r="AI8945" s="186"/>
      <c r="AK8945" s="171"/>
    </row>
    <row r="8946" spans="1:37" s="102" customFormat="1" ht="19.899999999999999" customHeight="1" x14ac:dyDescent="0.25">
      <c r="A8946" s="45"/>
      <c r="B8946" s="59"/>
      <c r="C8946" s="137"/>
      <c r="D8946" s="59"/>
      <c r="E8946" s="116"/>
      <c r="F8946" s="120"/>
      <c r="G8946" s="120"/>
      <c r="H8946" s="120"/>
      <c r="I8946" s="60"/>
      <c r="J8946" s="116"/>
      <c r="K8946" s="213"/>
      <c r="L8946" s="120"/>
      <c r="M8946" s="120"/>
      <c r="N8946" s="167"/>
      <c r="O8946" s="120"/>
      <c r="P8946" s="120"/>
      <c r="Q8946" s="120"/>
      <c r="R8946" s="120"/>
      <c r="S8946" s="120"/>
      <c r="T8946" s="221"/>
      <c r="U8946" s="89"/>
      <c r="V8946" s="61"/>
      <c r="W8946" s="92" t="s">
        <v>124</v>
      </c>
      <c r="X8946" s="93" t="s">
        <v>32</v>
      </c>
      <c r="Y8946" s="93" t="s">
        <v>64</v>
      </c>
      <c r="Z8946" s="134">
        <f>VLOOKUP(W8946,Sheet2!$B:$D,3,FALSE)</f>
        <v>10</v>
      </c>
      <c r="AA8946" s="93">
        <f>1/((2.9*2.9)-(3.14*1.5*1.5/4))</f>
        <v>0.15051740357478832</v>
      </c>
      <c r="AB8946" s="93">
        <f t="shared" ref="AB8946" si="6078">AD8946/AC8940</f>
        <v>66.437500000000014</v>
      </c>
      <c r="AC8946" s="93">
        <f>AC8940/AA8946</f>
        <v>105.46953124999963</v>
      </c>
      <c r="AD8946" s="94">
        <f t="shared" ref="AD8946" si="6079">AC8946*Z8946</f>
        <v>1054.6953124999964</v>
      </c>
      <c r="AE8946" s="190"/>
      <c r="AF8946" s="191"/>
      <c r="AG8946" s="191"/>
      <c r="AH8946" s="191"/>
      <c r="AI8946" s="186"/>
      <c r="AK8946" s="171"/>
    </row>
    <row r="8947" spans="1:37" s="103" customFormat="1" ht="19.899999999999999" customHeight="1" x14ac:dyDescent="0.25">
      <c r="A8947" s="51"/>
      <c r="B8947" s="52"/>
      <c r="C8947" s="165"/>
      <c r="D8947" s="52"/>
      <c r="E8947" s="115"/>
      <c r="F8947" s="58"/>
      <c r="G8947" s="58"/>
      <c r="H8947" s="58"/>
      <c r="I8947" s="55"/>
      <c r="J8947" s="113">
        <f>J8934</f>
        <v>15.874999999999943</v>
      </c>
      <c r="K8947" s="212">
        <f>K8934</f>
        <v>15.874999999999943</v>
      </c>
      <c r="L8947" s="58"/>
      <c r="M8947" s="58">
        <f>K8947-L8947</f>
        <v>15.874999999999943</v>
      </c>
      <c r="N8947" s="166"/>
      <c r="O8947" s="58"/>
      <c r="P8947" s="58"/>
      <c r="Q8947" s="58"/>
      <c r="R8947" s="58"/>
      <c r="S8947" s="58"/>
      <c r="T8947" s="220"/>
      <c r="U8947" s="88"/>
      <c r="V8947" s="56"/>
      <c r="W8947" s="57" t="s">
        <v>1275</v>
      </c>
      <c r="X8947" s="53"/>
      <c r="Y8947" s="91" t="s">
        <v>35</v>
      </c>
      <c r="Z8947" s="136">
        <f>AD8947/AC8947</f>
        <v>6482.8</v>
      </c>
      <c r="AA8947" s="58"/>
      <c r="AB8947" s="53">
        <f>AD8947/AC8947</f>
        <v>6482.8</v>
      </c>
      <c r="AC8947" s="53">
        <f>M8947+$AE$10</f>
        <v>15.874999999999943</v>
      </c>
      <c r="AD8947" s="54">
        <f>SUM(AD8948:AD8953)</f>
        <v>102914.44999999963</v>
      </c>
      <c r="AE8947" s="184">
        <f>SUMIFS($AD$37:$AD$12971,$V$37:$V$12971,$V8947,$X$37:$X$12971,AE$13)</f>
        <v>0</v>
      </c>
      <c r="AF8947" s="185">
        <f>SUMIFS($AD$37:$AD$12971,$V$37:$V$12971,$V8947,$X$37:$X$12971,AF$13)</f>
        <v>0</v>
      </c>
      <c r="AG8947" s="185">
        <f>SUMIFS($AD$37:$AD$12971,$V$37:$V$12971,$V8947,$X$37:$X$12971,AG$13)</f>
        <v>0</v>
      </c>
      <c r="AH8947" s="187">
        <f>SUMIFS($AD$37:$AD$12971,$V$37:$V$12971,$V8947,$X$37:$X$12971,AH$13)</f>
        <v>0</v>
      </c>
      <c r="AI8947" s="161">
        <f t="shared" ref="AI8947" si="6080">SUM(AE8947:AH8947)</f>
        <v>0</v>
      </c>
      <c r="AK8947" s="172"/>
    </row>
    <row r="8948" spans="1:37" s="102" customFormat="1" ht="19.899999999999999" customHeight="1" x14ac:dyDescent="0.25">
      <c r="A8948" s="45"/>
      <c r="B8948" s="59"/>
      <c r="C8948" s="137"/>
      <c r="D8948" s="59"/>
      <c r="E8948" s="116"/>
      <c r="F8948" s="120"/>
      <c r="G8948" s="120"/>
      <c r="H8948" s="120"/>
      <c r="I8948" s="60"/>
      <c r="J8948" s="116"/>
      <c r="K8948" s="213"/>
      <c r="L8948" s="120"/>
      <c r="M8948" s="120"/>
      <c r="N8948" s="167"/>
      <c r="O8948" s="120"/>
      <c r="P8948" s="120"/>
      <c r="Q8948" s="120"/>
      <c r="R8948" s="120"/>
      <c r="S8948" s="120"/>
      <c r="T8948" s="221"/>
      <c r="U8948" s="89"/>
      <c r="V8948" s="61"/>
      <c r="W8948" s="92" t="s">
        <v>1496</v>
      </c>
      <c r="X8948" s="93" t="s">
        <v>30</v>
      </c>
      <c r="Y8948" s="93" t="s">
        <v>35</v>
      </c>
      <c r="Z8948" s="134">
        <f>VLOOKUP(W8948,Sheet2!$B:$D,3,FALSE)</f>
        <v>4710</v>
      </c>
      <c r="AA8948" s="93">
        <v>1</v>
      </c>
      <c r="AB8948" s="93">
        <f>AD8948/AC8947</f>
        <v>4710</v>
      </c>
      <c r="AC8948" s="93">
        <f>AC8947/AA8948</f>
        <v>15.874999999999943</v>
      </c>
      <c r="AD8948" s="94">
        <f t="shared" ref="AD8948:AD8949" si="6081">AC8948*Z8948</f>
        <v>74771.249999999738</v>
      </c>
      <c r="AE8948" s="190"/>
      <c r="AF8948" s="191"/>
      <c r="AG8948" s="191"/>
      <c r="AH8948" s="191"/>
      <c r="AI8948" s="186"/>
      <c r="AK8948" s="171"/>
    </row>
    <row r="8949" spans="1:37" s="102" customFormat="1" ht="19.899999999999999" customHeight="1" x14ac:dyDescent="0.25">
      <c r="A8949" s="45"/>
      <c r="B8949" s="59"/>
      <c r="C8949" s="137"/>
      <c r="D8949" s="59"/>
      <c r="E8949" s="116"/>
      <c r="F8949" s="120"/>
      <c r="G8949" s="120"/>
      <c r="H8949" s="120"/>
      <c r="I8949" s="60"/>
      <c r="J8949" s="116"/>
      <c r="K8949" s="213"/>
      <c r="L8949" s="120"/>
      <c r="M8949" s="120"/>
      <c r="N8949" s="167"/>
      <c r="O8949" s="120"/>
      <c r="P8949" s="120"/>
      <c r="Q8949" s="120"/>
      <c r="R8949" s="120"/>
      <c r="S8949" s="120"/>
      <c r="T8949" s="221"/>
      <c r="U8949" s="89"/>
      <c r="V8949" s="61"/>
      <c r="W8949" s="92" t="s">
        <v>174</v>
      </c>
      <c r="X8949" s="93" t="s">
        <v>29</v>
      </c>
      <c r="Y8949" s="93" t="s">
        <v>93</v>
      </c>
      <c r="Z8949" s="134">
        <f>VLOOKUP(W8949,Sheet2!$B:$D,3,FALSE)</f>
        <v>80</v>
      </c>
      <c r="AA8949" s="93">
        <f>1/2</f>
        <v>0.5</v>
      </c>
      <c r="AB8949" s="93">
        <f>AD8949/AC8947</f>
        <v>160</v>
      </c>
      <c r="AC8949" s="93">
        <f>AC8947/AA8949</f>
        <v>31.749999999999886</v>
      </c>
      <c r="AD8949" s="94">
        <f t="shared" si="6081"/>
        <v>2539.9999999999909</v>
      </c>
      <c r="AE8949" s="190"/>
      <c r="AF8949" s="191"/>
      <c r="AG8949" s="191"/>
      <c r="AH8949" s="191"/>
      <c r="AI8949" s="186"/>
      <c r="AK8949" s="171"/>
    </row>
    <row r="8950" spans="1:37" s="102" customFormat="1" ht="19.899999999999999" customHeight="1" x14ac:dyDescent="0.25">
      <c r="A8950" s="45"/>
      <c r="B8950" s="59"/>
      <c r="C8950" s="137"/>
      <c r="D8950" s="59"/>
      <c r="E8950" s="116"/>
      <c r="F8950" s="120"/>
      <c r="G8950" s="120"/>
      <c r="H8950" s="120"/>
      <c r="I8950" s="60"/>
      <c r="J8950" s="116"/>
      <c r="K8950" s="213"/>
      <c r="L8950" s="120"/>
      <c r="M8950" s="120"/>
      <c r="N8950" s="167"/>
      <c r="O8950" s="120"/>
      <c r="P8950" s="120"/>
      <c r="Q8950" s="120"/>
      <c r="R8950" s="120"/>
      <c r="S8950" s="120"/>
      <c r="T8950" s="221"/>
      <c r="U8950" s="89"/>
      <c r="V8950" s="61"/>
      <c r="W8950" s="92" t="s">
        <v>65</v>
      </c>
      <c r="X8950" s="93" t="s">
        <v>30</v>
      </c>
      <c r="Y8950" s="93" t="s">
        <v>93</v>
      </c>
      <c r="Z8950" s="134">
        <f>VLOOKUP(W8950,Sheet2!$B:$D,3,FALSE)</f>
        <v>1.76</v>
      </c>
      <c r="AA8950" s="93">
        <f>AA8949/15</f>
        <v>3.3333333333333333E-2</v>
      </c>
      <c r="AB8950" s="93">
        <f>AD8950/AC8947</f>
        <v>52.8</v>
      </c>
      <c r="AC8950" s="93">
        <f>AC8947/AA8950</f>
        <v>476.24999999999829</v>
      </c>
      <c r="AD8950" s="94">
        <f>AC8950*Z8950</f>
        <v>838.19999999999698</v>
      </c>
      <c r="AE8950" s="190"/>
      <c r="AF8950" s="191"/>
      <c r="AG8950" s="191"/>
      <c r="AH8950" s="191"/>
      <c r="AI8950" s="186"/>
      <c r="AK8950" s="171"/>
    </row>
    <row r="8951" spans="1:37" s="102" customFormat="1" ht="19.899999999999999" customHeight="1" x14ac:dyDescent="0.25">
      <c r="A8951" s="45"/>
      <c r="B8951" s="59"/>
      <c r="C8951" s="137"/>
      <c r="D8951" s="59"/>
      <c r="E8951" s="116"/>
      <c r="F8951" s="120"/>
      <c r="G8951" s="120"/>
      <c r="H8951" s="120"/>
      <c r="I8951" s="60"/>
      <c r="J8951" s="116"/>
      <c r="K8951" s="213"/>
      <c r="L8951" s="120"/>
      <c r="M8951" s="120"/>
      <c r="N8951" s="167"/>
      <c r="O8951" s="120"/>
      <c r="P8951" s="120"/>
      <c r="Q8951" s="120"/>
      <c r="R8951" s="120"/>
      <c r="S8951" s="120"/>
      <c r="T8951" s="221"/>
      <c r="U8951" s="89"/>
      <c r="V8951" s="61"/>
      <c r="W8951" s="92" t="s">
        <v>1487</v>
      </c>
      <c r="X8951" s="93" t="s">
        <v>32</v>
      </c>
      <c r="Y8951" s="93" t="s">
        <v>1349</v>
      </c>
      <c r="Z8951" s="134">
        <f>VLOOKUP(W8951,Sheet2!$B:$D,3,FALSE)</f>
        <v>1500</v>
      </c>
      <c r="AA8951" s="93">
        <v>1</v>
      </c>
      <c r="AB8951" s="93">
        <f>AD8951/AC8947</f>
        <v>1500</v>
      </c>
      <c r="AC8951" s="93">
        <f>AC8947/AA8951</f>
        <v>15.874999999999943</v>
      </c>
      <c r="AD8951" s="94">
        <f>AC8951*Z8951</f>
        <v>23812.499999999916</v>
      </c>
      <c r="AE8951" s="190"/>
      <c r="AF8951" s="191"/>
      <c r="AG8951" s="191"/>
      <c r="AH8951" s="191"/>
      <c r="AI8951" s="186"/>
      <c r="AK8951" s="171"/>
    </row>
    <row r="8952" spans="1:37" s="102" customFormat="1" ht="19.899999999999999" customHeight="1" x14ac:dyDescent="0.25">
      <c r="A8952" s="45"/>
      <c r="B8952" s="59"/>
      <c r="C8952" s="137"/>
      <c r="D8952" s="59"/>
      <c r="E8952" s="116"/>
      <c r="F8952" s="120"/>
      <c r="G8952" s="120"/>
      <c r="H8952" s="120"/>
      <c r="I8952" s="60"/>
      <c r="J8952" s="116"/>
      <c r="K8952" s="213"/>
      <c r="L8952" s="120"/>
      <c r="M8952" s="120"/>
      <c r="N8952" s="167"/>
      <c r="O8952" s="120"/>
      <c r="P8952" s="120"/>
      <c r="Q8952" s="120"/>
      <c r="R8952" s="120"/>
      <c r="S8952" s="120"/>
      <c r="T8952" s="221"/>
      <c r="U8952" s="89"/>
      <c r="V8952" s="61"/>
      <c r="W8952" s="92" t="s">
        <v>107</v>
      </c>
      <c r="X8952" s="93" t="s">
        <v>31</v>
      </c>
      <c r="Y8952" s="93" t="s">
        <v>93</v>
      </c>
      <c r="Z8952" s="134">
        <f>VLOOKUP(W8952,Sheet2!$B:$D,3,FALSE)</f>
        <v>17</v>
      </c>
      <c r="AA8952" s="93">
        <f>AA8949</f>
        <v>0.5</v>
      </c>
      <c r="AB8952" s="93">
        <f>AD8952/AC8947</f>
        <v>34</v>
      </c>
      <c r="AC8952" s="93">
        <f>AC8947/AA8952</f>
        <v>31.749999999999886</v>
      </c>
      <c r="AD8952" s="94">
        <f>AC8952*Z8952</f>
        <v>539.74999999999807</v>
      </c>
      <c r="AE8952" s="190"/>
      <c r="AF8952" s="191"/>
      <c r="AG8952" s="191"/>
      <c r="AH8952" s="191"/>
      <c r="AI8952" s="186"/>
      <c r="AK8952" s="171"/>
    </row>
    <row r="8953" spans="1:37" s="102" customFormat="1" ht="19.899999999999999" customHeight="1" x14ac:dyDescent="0.25">
      <c r="A8953" s="45"/>
      <c r="B8953" s="59"/>
      <c r="C8953" s="137"/>
      <c r="D8953" s="59"/>
      <c r="E8953" s="116"/>
      <c r="F8953" s="120"/>
      <c r="G8953" s="120"/>
      <c r="H8953" s="120"/>
      <c r="I8953" s="60"/>
      <c r="J8953" s="116"/>
      <c r="K8953" s="213"/>
      <c r="L8953" s="120"/>
      <c r="M8953" s="120"/>
      <c r="N8953" s="167"/>
      <c r="O8953" s="120"/>
      <c r="P8953" s="120"/>
      <c r="Q8953" s="120"/>
      <c r="R8953" s="120"/>
      <c r="S8953" s="120"/>
      <c r="T8953" s="221"/>
      <c r="U8953" s="89"/>
      <c r="V8953" s="61"/>
      <c r="W8953" s="92" t="s">
        <v>112</v>
      </c>
      <c r="X8953" s="93" t="s">
        <v>31</v>
      </c>
      <c r="Y8953" s="93" t="s">
        <v>93</v>
      </c>
      <c r="Z8953" s="134">
        <f>VLOOKUP(W8953,Sheet2!$B:$D,3,FALSE)</f>
        <v>13</v>
      </c>
      <c r="AA8953" s="93">
        <f>AA8952</f>
        <v>0.5</v>
      </c>
      <c r="AB8953" s="93">
        <f>AD8953/AC8947</f>
        <v>26</v>
      </c>
      <c r="AC8953" s="93">
        <f>AC8947/AA8953</f>
        <v>31.749999999999886</v>
      </c>
      <c r="AD8953" s="94">
        <f>AC8953*Z8953</f>
        <v>412.74999999999852</v>
      </c>
      <c r="AE8953" s="190"/>
      <c r="AF8953" s="191"/>
      <c r="AG8953" s="191"/>
      <c r="AH8953" s="191"/>
      <c r="AI8953" s="186"/>
      <c r="AK8953" s="171"/>
    </row>
    <row r="8954" spans="1:37" s="103" customFormat="1" ht="19.899999999999999" customHeight="1" x14ac:dyDescent="0.25">
      <c r="A8954" s="51"/>
      <c r="B8954" s="52"/>
      <c r="C8954" s="165"/>
      <c r="D8954" s="52"/>
      <c r="E8954" s="115"/>
      <c r="F8954" s="58"/>
      <c r="G8954" s="58"/>
      <c r="H8954" s="58"/>
      <c r="I8954" s="55"/>
      <c r="J8954" s="113">
        <f>J8934</f>
        <v>15.874999999999943</v>
      </c>
      <c r="K8954" s="212">
        <f>K8934</f>
        <v>15.874999999999943</v>
      </c>
      <c r="L8954" s="58"/>
      <c r="M8954" s="58">
        <f>K8954-L8954</f>
        <v>15.874999999999943</v>
      </c>
      <c r="N8954" s="166"/>
      <c r="O8954" s="58"/>
      <c r="P8954" s="58"/>
      <c r="Q8954" s="58"/>
      <c r="R8954" s="58"/>
      <c r="S8954" s="58"/>
      <c r="T8954" s="220"/>
      <c r="U8954" s="88"/>
      <c r="V8954" s="56"/>
      <c r="W8954" s="57" t="s">
        <v>1272</v>
      </c>
      <c r="X8954" s="53"/>
      <c r="Y8954" s="91" t="s">
        <v>35</v>
      </c>
      <c r="Z8954" s="136">
        <f>AD8954/AC8954</f>
        <v>411.81026576470589</v>
      </c>
      <c r="AA8954" s="58"/>
      <c r="AB8954" s="53">
        <f>AD8954/AC8954</f>
        <v>411.81026576470589</v>
      </c>
      <c r="AC8954" s="53">
        <f>M8954+$AE$10</f>
        <v>15.874999999999943</v>
      </c>
      <c r="AD8954" s="54">
        <f>SUM(AD8955:AD8963)</f>
        <v>6537.4879690146827</v>
      </c>
      <c r="AE8954" s="184">
        <f>SUMIFS($AD$37:$AD$12971,$V$37:$V$12971,$V8954,$X$37:$X$12971,AE$13)</f>
        <v>0</v>
      </c>
      <c r="AF8954" s="185">
        <f>SUMIFS($AD$37:$AD$12971,$V$37:$V$12971,$V8954,$X$37:$X$12971,AF$13)</f>
        <v>0</v>
      </c>
      <c r="AG8954" s="185">
        <f>SUMIFS($AD$37:$AD$12971,$V$37:$V$12971,$V8954,$X$37:$X$12971,AG$13)</f>
        <v>0</v>
      </c>
      <c r="AH8954" s="187">
        <f>SUMIFS($AD$37:$AD$12971,$V$37:$V$12971,$V8954,$X$37:$X$12971,AH$13)</f>
        <v>0</v>
      </c>
      <c r="AI8954" s="161">
        <f t="shared" ref="AI8954" si="6082">SUM(AE8954:AH8954)</f>
        <v>0</v>
      </c>
      <c r="AK8954" s="172"/>
    </row>
    <row r="8955" spans="1:37" s="102" customFormat="1" ht="19.899999999999999" customHeight="1" x14ac:dyDescent="0.25">
      <c r="A8955" s="45"/>
      <c r="B8955" s="59"/>
      <c r="C8955" s="137"/>
      <c r="D8955" s="59"/>
      <c r="E8955" s="116"/>
      <c r="F8955" s="120"/>
      <c r="G8955" s="120"/>
      <c r="H8955" s="120"/>
      <c r="I8955" s="60"/>
      <c r="J8955" s="116"/>
      <c r="K8955" s="213"/>
      <c r="L8955" s="120"/>
      <c r="M8955" s="120"/>
      <c r="N8955" s="167"/>
      <c r="O8955" s="120"/>
      <c r="P8955" s="120"/>
      <c r="Q8955" s="120"/>
      <c r="R8955" s="120"/>
      <c r="S8955" s="120"/>
      <c r="T8955" s="221"/>
      <c r="U8955" s="89"/>
      <c r="V8955" s="61"/>
      <c r="W8955" s="92" t="s">
        <v>1273</v>
      </c>
      <c r="X8955" s="93" t="s">
        <v>30</v>
      </c>
      <c r="Y8955" s="93" t="s">
        <v>66</v>
      </c>
      <c r="Z8955" s="134">
        <f>VLOOKUP(W8955,Sheet2!$B:$D,3,FALSE)</f>
        <v>10</v>
      </c>
      <c r="AA8955" s="93">
        <f>1/((3*3*3)-(3.14/4*1.5*1.5*3))</f>
        <v>4.6080294913887446E-2</v>
      </c>
      <c r="AB8955" s="93">
        <f>AD8955/AC8954</f>
        <v>217.01249999999999</v>
      </c>
      <c r="AC8955" s="93">
        <f>AC8954/AA8955</f>
        <v>344.50734374999877</v>
      </c>
      <c r="AD8955" s="94">
        <f t="shared" ref="AD8955:AD8957" si="6083">AC8955*Z8955</f>
        <v>3445.0734374999874</v>
      </c>
      <c r="AE8955" s="190"/>
      <c r="AF8955" s="191"/>
      <c r="AG8955" s="191"/>
      <c r="AH8955" s="191"/>
      <c r="AI8955" s="186"/>
      <c r="AK8955" s="171"/>
    </row>
    <row r="8956" spans="1:37" s="102" customFormat="1" ht="19.899999999999999" customHeight="1" x14ac:dyDescent="0.25">
      <c r="A8956" s="45"/>
      <c r="B8956" s="59"/>
      <c r="C8956" s="137"/>
      <c r="D8956" s="59"/>
      <c r="E8956" s="116"/>
      <c r="F8956" s="120"/>
      <c r="G8956" s="120"/>
      <c r="H8956" s="120"/>
      <c r="I8956" s="60"/>
      <c r="J8956" s="116"/>
      <c r="K8956" s="213"/>
      <c r="L8956" s="120"/>
      <c r="M8956" s="120"/>
      <c r="N8956" s="167"/>
      <c r="O8956" s="120"/>
      <c r="P8956" s="120"/>
      <c r="Q8956" s="120"/>
      <c r="R8956" s="120"/>
      <c r="S8956" s="120"/>
      <c r="T8956" s="221"/>
      <c r="U8956" s="89"/>
      <c r="V8956" s="61"/>
      <c r="W8956" s="92" t="s">
        <v>134</v>
      </c>
      <c r="X8956" s="93" t="s">
        <v>29</v>
      </c>
      <c r="Y8956" s="93" t="s">
        <v>93</v>
      </c>
      <c r="Z8956" s="134">
        <f>VLOOKUP(W8956,Sheet2!$B:$D,3,FALSE)</f>
        <v>65.599999999999994</v>
      </c>
      <c r="AA8956" s="93">
        <f>100/((3*3*3)-(3.14/4*1.5*1.5*3))</f>
        <v>4.608029491388745</v>
      </c>
      <c r="AB8956" s="93">
        <f t="shared" ref="AB8956" si="6084">AD8956/AC8954</f>
        <v>14.236019999999998</v>
      </c>
      <c r="AC8956" s="93">
        <f>AC8954/AA8956</f>
        <v>3.4450734374999876</v>
      </c>
      <c r="AD8956" s="94">
        <f t="shared" si="6083"/>
        <v>225.99681749999917</v>
      </c>
      <c r="AE8956" s="190"/>
      <c r="AF8956" s="191"/>
      <c r="AG8956" s="191"/>
      <c r="AH8956" s="191"/>
      <c r="AI8956" s="186"/>
      <c r="AK8956" s="171"/>
    </row>
    <row r="8957" spans="1:37" s="102" customFormat="1" ht="19.899999999999999" customHeight="1" x14ac:dyDescent="0.25">
      <c r="A8957" s="45"/>
      <c r="B8957" s="59"/>
      <c r="C8957" s="137"/>
      <c r="D8957" s="59"/>
      <c r="E8957" s="116"/>
      <c r="F8957" s="120"/>
      <c r="G8957" s="120"/>
      <c r="H8957" s="120"/>
      <c r="I8957" s="60"/>
      <c r="J8957" s="116"/>
      <c r="K8957" s="213"/>
      <c r="L8957" s="120"/>
      <c r="M8957" s="120"/>
      <c r="N8957" s="167"/>
      <c r="O8957" s="120"/>
      <c r="P8957" s="120"/>
      <c r="Q8957" s="120"/>
      <c r="R8957" s="120"/>
      <c r="S8957" s="120"/>
      <c r="T8957" s="221"/>
      <c r="U8957" s="89"/>
      <c r="V8957" s="61"/>
      <c r="W8957" s="92" t="s">
        <v>65</v>
      </c>
      <c r="X8957" s="93" t="s">
        <v>30</v>
      </c>
      <c r="Y8957" s="93" t="s">
        <v>1011</v>
      </c>
      <c r="Z8957" s="134">
        <f>VLOOKUP(W8957,Sheet2!$B:$D,3,FALSE)</f>
        <v>1.76</v>
      </c>
      <c r="AA8957" s="93">
        <f>AA8956/9</f>
        <v>0.51200327682097169</v>
      </c>
      <c r="AB8957" s="93">
        <f>AD8957/AC8954</f>
        <v>3.437478</v>
      </c>
      <c r="AC8957" s="93">
        <f>AC8954/AA8957</f>
        <v>31.005660937499886</v>
      </c>
      <c r="AD8957" s="94">
        <f t="shared" si="6083"/>
        <v>54.569963249999802</v>
      </c>
      <c r="AE8957" s="190"/>
      <c r="AF8957" s="191"/>
      <c r="AG8957" s="191"/>
      <c r="AH8957" s="191"/>
      <c r="AI8957" s="186"/>
      <c r="AK8957" s="171"/>
    </row>
    <row r="8958" spans="1:37" s="102" customFormat="1" ht="19.899999999999999" customHeight="1" x14ac:dyDescent="0.25">
      <c r="A8958" s="45"/>
      <c r="B8958" s="59"/>
      <c r="C8958" s="137"/>
      <c r="D8958" s="59"/>
      <c r="E8958" s="116"/>
      <c r="F8958" s="120"/>
      <c r="G8958" s="120"/>
      <c r="H8958" s="120"/>
      <c r="I8958" s="60"/>
      <c r="J8958" s="116"/>
      <c r="K8958" s="213"/>
      <c r="L8958" s="120"/>
      <c r="M8958" s="120"/>
      <c r="N8958" s="167"/>
      <c r="O8958" s="120"/>
      <c r="P8958" s="120"/>
      <c r="Q8958" s="120"/>
      <c r="R8958" s="120"/>
      <c r="S8958" s="120"/>
      <c r="T8958" s="221"/>
      <c r="U8958" s="89"/>
      <c r="V8958" s="61"/>
      <c r="W8958" s="92" t="s">
        <v>161</v>
      </c>
      <c r="X8958" s="93" t="s">
        <v>29</v>
      </c>
      <c r="Y8958" s="93" t="s">
        <v>93</v>
      </c>
      <c r="Z8958" s="134">
        <f>VLOOKUP(W8958,Sheet2!$B:$D,3,FALSE)</f>
        <v>48</v>
      </c>
      <c r="AA8958" s="93">
        <f>(16*0.85*1.5)/((3*3*3)-(3.14/4*1.5*1.5*3))</f>
        <v>0.94003801624330385</v>
      </c>
      <c r="AB8958" s="93">
        <f>AD8958/AC8954</f>
        <v>51.061764705882354</v>
      </c>
      <c r="AC8958" s="93">
        <f>AC8954/AA8958</f>
        <v>16.887614889705823</v>
      </c>
      <c r="AD8958" s="94">
        <f>AC8958*Z8958</f>
        <v>810.6055147058795</v>
      </c>
      <c r="AE8958" s="190"/>
      <c r="AF8958" s="191"/>
      <c r="AG8958" s="191"/>
      <c r="AH8958" s="191"/>
      <c r="AI8958" s="186"/>
      <c r="AK8958" s="171"/>
    </row>
    <row r="8959" spans="1:37" s="102" customFormat="1" ht="19.899999999999999" customHeight="1" x14ac:dyDescent="0.25">
      <c r="A8959" s="45"/>
      <c r="B8959" s="59"/>
      <c r="C8959" s="137"/>
      <c r="D8959" s="59"/>
      <c r="E8959" s="116"/>
      <c r="F8959" s="120"/>
      <c r="G8959" s="120"/>
      <c r="H8959" s="120"/>
      <c r="I8959" s="60"/>
      <c r="J8959" s="116"/>
      <c r="K8959" s="213"/>
      <c r="L8959" s="120"/>
      <c r="M8959" s="120"/>
      <c r="N8959" s="167"/>
      <c r="O8959" s="120"/>
      <c r="P8959" s="120"/>
      <c r="Q8959" s="120"/>
      <c r="R8959" s="120"/>
      <c r="S8959" s="120"/>
      <c r="T8959" s="221"/>
      <c r="U8959" s="89"/>
      <c r="V8959" s="61"/>
      <c r="W8959" s="92" t="s">
        <v>65</v>
      </c>
      <c r="X8959" s="93" t="s">
        <v>30</v>
      </c>
      <c r="Y8959" s="93" t="s">
        <v>1011</v>
      </c>
      <c r="Z8959" s="134">
        <f>VLOOKUP(W8959,Sheet2!$B:$D,3,FALSE)</f>
        <v>1.76</v>
      </c>
      <c r="AA8959" s="93">
        <f>AA8958/10</f>
        <v>9.4003801624330391E-2</v>
      </c>
      <c r="AB8959" s="93">
        <f>AD8959/AC8954</f>
        <v>18.722647058823529</v>
      </c>
      <c r="AC8959" s="93">
        <f>AC8954/AA8959</f>
        <v>168.87614889705821</v>
      </c>
      <c r="AD8959" s="94">
        <f>AC8959*Z8959</f>
        <v>297.22202205882246</v>
      </c>
      <c r="AE8959" s="190"/>
      <c r="AF8959" s="191"/>
      <c r="AG8959" s="191"/>
      <c r="AH8959" s="191"/>
      <c r="AI8959" s="186"/>
      <c r="AK8959" s="171"/>
    </row>
    <row r="8960" spans="1:37" s="102" customFormat="1" ht="19.899999999999999" customHeight="1" x14ac:dyDescent="0.25">
      <c r="A8960" s="45"/>
      <c r="B8960" s="59"/>
      <c r="C8960" s="137"/>
      <c r="D8960" s="59"/>
      <c r="E8960" s="116"/>
      <c r="F8960" s="120"/>
      <c r="G8960" s="120"/>
      <c r="H8960" s="120"/>
      <c r="I8960" s="60"/>
      <c r="J8960" s="116"/>
      <c r="K8960" s="213"/>
      <c r="L8960" s="120"/>
      <c r="M8960" s="120"/>
      <c r="N8960" s="167"/>
      <c r="O8960" s="120"/>
      <c r="P8960" s="120"/>
      <c r="Q8960" s="120"/>
      <c r="R8960" s="120"/>
      <c r="S8960" s="120"/>
      <c r="T8960" s="221"/>
      <c r="U8960" s="89"/>
      <c r="V8960" s="61"/>
      <c r="W8960" s="92" t="s">
        <v>173</v>
      </c>
      <c r="X8960" s="93" t="s">
        <v>29</v>
      </c>
      <c r="Y8960" s="93" t="s">
        <v>93</v>
      </c>
      <c r="Z8960" s="134">
        <f>VLOOKUP(W8960,Sheet2!$B:$D,3,FALSE)</f>
        <v>36</v>
      </c>
      <c r="AA8960" s="93">
        <f>50/((3*3*3)-(3.14/4*1.5*1.5*3))</f>
        <v>2.3040147456943725</v>
      </c>
      <c r="AB8960" s="93">
        <f>AD8960/AC8954</f>
        <v>15.6249</v>
      </c>
      <c r="AC8960" s="93">
        <f>AC8954/AA8960</f>
        <v>6.8901468749999752</v>
      </c>
      <c r="AD8960" s="94">
        <f>AC8960*Z8960</f>
        <v>248.04528749999912</v>
      </c>
      <c r="AE8960" s="190"/>
      <c r="AF8960" s="191"/>
      <c r="AG8960" s="191"/>
      <c r="AH8960" s="191"/>
      <c r="AI8960" s="186"/>
      <c r="AK8960" s="171"/>
    </row>
    <row r="8961" spans="1:41" s="102" customFormat="1" ht="19.899999999999999" customHeight="1" x14ac:dyDescent="0.25">
      <c r="A8961" s="45"/>
      <c r="B8961" s="59"/>
      <c r="C8961" s="137"/>
      <c r="D8961" s="59"/>
      <c r="E8961" s="116"/>
      <c r="F8961" s="120"/>
      <c r="G8961" s="120"/>
      <c r="H8961" s="120"/>
      <c r="I8961" s="60"/>
      <c r="J8961" s="116"/>
      <c r="K8961" s="213"/>
      <c r="L8961" s="120"/>
      <c r="M8961" s="120"/>
      <c r="N8961" s="167"/>
      <c r="O8961" s="120"/>
      <c r="P8961" s="120"/>
      <c r="Q8961" s="120"/>
      <c r="R8961" s="120"/>
      <c r="S8961" s="120"/>
      <c r="T8961" s="221"/>
      <c r="U8961" s="89"/>
      <c r="V8961" s="61"/>
      <c r="W8961" s="92" t="s">
        <v>65</v>
      </c>
      <c r="X8961" s="93" t="s">
        <v>30</v>
      </c>
      <c r="Y8961" s="93" t="s">
        <v>1011</v>
      </c>
      <c r="Z8961" s="134">
        <f>VLOOKUP(W8961,Sheet2!$B:$D,3,FALSE)</f>
        <v>1.76</v>
      </c>
      <c r="AA8961" s="93">
        <f>AA8960/9</f>
        <v>0.25600163841048584</v>
      </c>
      <c r="AB8961" s="93">
        <f>AD8961/AC8954</f>
        <v>6.8749560000000001</v>
      </c>
      <c r="AC8961" s="93">
        <f>AC8954/AA8961</f>
        <v>62.011321874999773</v>
      </c>
      <c r="AD8961" s="94">
        <f>AC8961*Z8961</f>
        <v>109.1399264999996</v>
      </c>
      <c r="AE8961" s="190"/>
      <c r="AF8961" s="191"/>
      <c r="AG8961" s="191"/>
      <c r="AH8961" s="191"/>
      <c r="AI8961" s="186"/>
      <c r="AK8961" s="171"/>
    </row>
    <row r="8962" spans="1:41" s="102" customFormat="1" ht="19.899999999999999" customHeight="1" x14ac:dyDescent="0.25">
      <c r="A8962" s="45"/>
      <c r="B8962" s="59"/>
      <c r="C8962" s="137"/>
      <c r="D8962" s="59"/>
      <c r="E8962" s="116"/>
      <c r="F8962" s="120"/>
      <c r="G8962" s="120"/>
      <c r="H8962" s="120"/>
      <c r="I8962" s="60"/>
      <c r="J8962" s="116"/>
      <c r="K8962" s="213"/>
      <c r="L8962" s="120"/>
      <c r="M8962" s="120"/>
      <c r="N8962" s="167"/>
      <c r="O8962" s="120"/>
      <c r="P8962" s="120"/>
      <c r="Q8962" s="120"/>
      <c r="R8962" s="120"/>
      <c r="S8962" s="120"/>
      <c r="T8962" s="221"/>
      <c r="U8962" s="89"/>
      <c r="V8962" s="61"/>
      <c r="W8962" s="92" t="s">
        <v>1030</v>
      </c>
      <c r="X8962" s="93" t="s">
        <v>29</v>
      </c>
      <c r="Y8962" s="93" t="s">
        <v>93</v>
      </c>
      <c r="Z8962" s="134">
        <f>VLOOKUP(W8962,Sheet2!$B:$D,3,FALSE)</f>
        <v>23</v>
      </c>
      <c r="AA8962" s="93">
        <f>1/(3*1)</f>
        <v>0.33333333333333331</v>
      </c>
      <c r="AB8962" s="93">
        <f>AD8962/AC8954</f>
        <v>69</v>
      </c>
      <c r="AC8962" s="93">
        <f>AC8954/AA8962</f>
        <v>47.624999999999829</v>
      </c>
      <c r="AD8962" s="94">
        <f t="shared" ref="AD8962:AD8963" si="6085">AC8962*Z8962</f>
        <v>1095.3749999999961</v>
      </c>
      <c r="AE8962" s="190"/>
      <c r="AF8962" s="191"/>
      <c r="AG8962" s="191"/>
      <c r="AH8962" s="191"/>
      <c r="AI8962" s="186"/>
      <c r="AK8962" s="171"/>
    </row>
    <row r="8963" spans="1:41" s="102" customFormat="1" ht="19.899999999999999" customHeight="1" x14ac:dyDescent="0.25">
      <c r="A8963" s="45"/>
      <c r="B8963" s="59"/>
      <c r="C8963" s="137"/>
      <c r="D8963" s="59"/>
      <c r="E8963" s="116"/>
      <c r="F8963" s="120"/>
      <c r="G8963" s="120"/>
      <c r="H8963" s="120"/>
      <c r="I8963" s="60"/>
      <c r="J8963" s="116"/>
      <c r="K8963" s="213"/>
      <c r="L8963" s="120"/>
      <c r="M8963" s="120"/>
      <c r="N8963" s="167"/>
      <c r="O8963" s="120"/>
      <c r="P8963" s="120"/>
      <c r="Q8963" s="120"/>
      <c r="R8963" s="120"/>
      <c r="S8963" s="120"/>
      <c r="T8963" s="221"/>
      <c r="U8963" s="89"/>
      <c r="V8963" s="61"/>
      <c r="W8963" s="92" t="s">
        <v>65</v>
      </c>
      <c r="X8963" s="93" t="s">
        <v>30</v>
      </c>
      <c r="Y8963" s="93" t="s">
        <v>1011</v>
      </c>
      <c r="Z8963" s="134">
        <f>VLOOKUP(W8963,Sheet2!$B:$D,3,FALSE)</f>
        <v>1.76</v>
      </c>
      <c r="AA8963" s="93">
        <f>AA8962/3</f>
        <v>0.1111111111111111</v>
      </c>
      <c r="AB8963" s="93">
        <f>AD8963/AC8954</f>
        <v>15.84</v>
      </c>
      <c r="AC8963" s="93">
        <f>AC8954/AA8963</f>
        <v>142.87499999999949</v>
      </c>
      <c r="AD8963" s="94">
        <f t="shared" si="6085"/>
        <v>251.4599999999991</v>
      </c>
      <c r="AE8963" s="190"/>
      <c r="AF8963" s="191"/>
      <c r="AG8963" s="191"/>
      <c r="AH8963" s="191"/>
      <c r="AI8963" s="186"/>
      <c r="AK8963" s="171"/>
    </row>
    <row r="8964" spans="1:41" ht="20.100000000000001" customHeight="1" x14ac:dyDescent="0.25">
      <c r="A8964" s="277" t="s">
        <v>703</v>
      </c>
      <c r="B8964" s="278"/>
      <c r="C8964" s="64" t="s">
        <v>815</v>
      </c>
      <c r="D8964" s="46" t="s">
        <v>215</v>
      </c>
      <c r="E8964" s="114">
        <v>12.264999999999958</v>
      </c>
      <c r="F8964" s="44">
        <v>36757</v>
      </c>
      <c r="G8964" s="44">
        <f t="shared" si="5545"/>
        <v>450824.60499999847</v>
      </c>
      <c r="H8964" s="44">
        <f t="shared" si="5546"/>
        <v>9413.7785277058829</v>
      </c>
      <c r="I8964" s="43">
        <f t="shared" si="5547"/>
        <v>115459.99364231226</v>
      </c>
      <c r="J8964" s="112">
        <f t="shared" si="5548"/>
        <v>12.264999999999958</v>
      </c>
      <c r="K8964" s="211">
        <f t="shared" si="5549"/>
        <v>12.264999999999958</v>
      </c>
      <c r="L8964" s="44"/>
      <c r="M8964" s="44">
        <f t="shared" si="5550"/>
        <v>12.264999999999958</v>
      </c>
      <c r="N8964" s="173">
        <f t="shared" si="5551"/>
        <v>1</v>
      </c>
      <c r="O8964" s="44">
        <f t="shared" si="5552"/>
        <v>36757</v>
      </c>
      <c r="P8964" s="44">
        <f t="shared" si="5553"/>
        <v>450824.60499999847</v>
      </c>
      <c r="Q8964" s="44">
        <f t="shared" si="5554"/>
        <v>9413.7785277058829</v>
      </c>
      <c r="R8964" s="44">
        <f t="shared" si="5555"/>
        <v>115459.99364231226</v>
      </c>
      <c r="S8964" s="123"/>
      <c r="T8964" s="219">
        <f t="shared" si="5556"/>
        <v>115459.99364231226</v>
      </c>
      <c r="U8964" s="87"/>
      <c r="V8964" s="47"/>
      <c r="W8964" s="48"/>
      <c r="X8964" s="48"/>
      <c r="Y8964" s="48"/>
      <c r="Z8964" s="135"/>
      <c r="AA8964" s="49"/>
      <c r="AB8964" s="50">
        <f t="shared" si="5557"/>
        <v>9413.7785277058829</v>
      </c>
      <c r="AC8964" s="42">
        <f t="shared" si="5558"/>
        <v>12.264999999999958</v>
      </c>
      <c r="AD8964" s="90">
        <f>AD8965+AD8970+AD8977+AD8984</f>
        <v>115459.99364231226</v>
      </c>
      <c r="AE8964" s="188">
        <f t="shared" ref="AE8964" si="6086">AE8965+AE8970+AE8977+AE8984</f>
        <v>0</v>
      </c>
      <c r="AF8964" s="189">
        <f t="shared" ref="AF8964" si="6087">AF8965+AF8970+AF8977+AF8984</f>
        <v>0</v>
      </c>
      <c r="AG8964" s="189">
        <f t="shared" ref="AG8964" si="6088">AG8965+AG8970+AG8977+AG8984</f>
        <v>0</v>
      </c>
      <c r="AH8964" s="189">
        <f t="shared" ref="AH8964" si="6089">AH8965+AH8970+AH8977+AH8984</f>
        <v>0</v>
      </c>
      <c r="AI8964" s="161">
        <f t="shared" ref="AI8964:AI8965" si="6090">SUM(AE8964:AH8964)</f>
        <v>0</v>
      </c>
      <c r="AK8964" s="169">
        <v>5</v>
      </c>
      <c r="AO8964" s="19" t="s">
        <v>63</v>
      </c>
    </row>
    <row r="8965" spans="1:41" s="103" customFormat="1" ht="19.899999999999999" customHeight="1" x14ac:dyDescent="0.25">
      <c r="A8965" s="51"/>
      <c r="B8965" s="52"/>
      <c r="C8965" s="165"/>
      <c r="D8965" s="52"/>
      <c r="E8965" s="115"/>
      <c r="F8965" s="58"/>
      <c r="G8965" s="58"/>
      <c r="H8965" s="58"/>
      <c r="I8965" s="55"/>
      <c r="J8965" s="113">
        <f>J8964</f>
        <v>12.264999999999958</v>
      </c>
      <c r="K8965" s="212">
        <f>K8964</f>
        <v>12.264999999999958</v>
      </c>
      <c r="L8965" s="58"/>
      <c r="M8965" s="58">
        <f>K8965-L8965</f>
        <v>12.264999999999958</v>
      </c>
      <c r="N8965" s="166"/>
      <c r="O8965" s="58"/>
      <c r="P8965" s="58"/>
      <c r="Q8965" s="58"/>
      <c r="R8965" s="58"/>
      <c r="S8965" s="58"/>
      <c r="T8965" s="220"/>
      <c r="U8965" s="88"/>
      <c r="V8965" s="56"/>
      <c r="W8965" s="57" t="s">
        <v>1512</v>
      </c>
      <c r="X8965" s="53"/>
      <c r="Y8965" s="91" t="s">
        <v>35</v>
      </c>
      <c r="Z8965" s="136">
        <f>AD8965/AC8965</f>
        <v>126.69571764705881</v>
      </c>
      <c r="AA8965" s="58"/>
      <c r="AB8965" s="53">
        <f>AD8965/AC8965</f>
        <v>126.69571764705881</v>
      </c>
      <c r="AC8965" s="53">
        <f>M8965+$AE$10</f>
        <v>12.264999999999958</v>
      </c>
      <c r="AD8965" s="54">
        <f>SUM(AD8966:AD8969)</f>
        <v>1553.9229769411711</v>
      </c>
      <c r="AE8965" s="184">
        <f>SUMIFS($AD$37:$AD$12971,$V$37:$V$12971,$V8965,$X$37:$X$12971,AE$13)</f>
        <v>0</v>
      </c>
      <c r="AF8965" s="185">
        <f>SUMIFS($AD$37:$AD$12971,$V$37:$V$12971,$V8965,$X$37:$X$12971,AF$13)</f>
        <v>0</v>
      </c>
      <c r="AG8965" s="185">
        <f>SUMIFS($AD$37:$AD$12971,$V$37:$V$12971,$V8965,$X$37:$X$12971,AG$13)</f>
        <v>0</v>
      </c>
      <c r="AH8965" s="187">
        <f>SUMIFS($AD$37:$AD$12971,$V$37:$V$12971,$V8965,$X$37:$X$12971,AH$13)</f>
        <v>0</v>
      </c>
      <c r="AI8965" s="161">
        <f t="shared" si="6090"/>
        <v>0</v>
      </c>
      <c r="AK8965" s="172"/>
    </row>
    <row r="8966" spans="1:41" s="102" customFormat="1" ht="19.899999999999999" customHeight="1" x14ac:dyDescent="0.25">
      <c r="A8966" s="45"/>
      <c r="B8966" s="59"/>
      <c r="C8966" s="137"/>
      <c r="D8966" s="59"/>
      <c r="E8966" s="116"/>
      <c r="F8966" s="120"/>
      <c r="G8966" s="120"/>
      <c r="H8966" s="120"/>
      <c r="I8966" s="60"/>
      <c r="J8966" s="116"/>
      <c r="K8966" s="213"/>
      <c r="L8966" s="120"/>
      <c r="M8966" s="120"/>
      <c r="N8966" s="167"/>
      <c r="O8966" s="120"/>
      <c r="P8966" s="120"/>
      <c r="Q8966" s="120"/>
      <c r="R8966" s="120"/>
      <c r="S8966" s="120"/>
      <c r="T8966" s="221"/>
      <c r="U8966" s="89"/>
      <c r="V8966" s="61"/>
      <c r="W8966" s="92" t="s">
        <v>129</v>
      </c>
      <c r="X8966" s="93" t="s">
        <v>29</v>
      </c>
      <c r="Y8966" s="93" t="s">
        <v>93</v>
      </c>
      <c r="Z8966" s="134">
        <f>VLOOKUP(W8966,Sheet2!$B:$D,3,FALSE)</f>
        <v>56</v>
      </c>
      <c r="AA8966" s="93">
        <f>100/(3*3*3.5)</f>
        <v>3.1746031746031744</v>
      </c>
      <c r="AB8966" s="93">
        <f t="shared" ref="AB8966" si="6091">AD8966/AC8965</f>
        <v>17.64</v>
      </c>
      <c r="AC8966" s="93">
        <f>AC8965/AA8966</f>
        <v>3.8634749999999869</v>
      </c>
      <c r="AD8966" s="94">
        <f t="shared" ref="AD8966:AD8967" si="6092">AC8966*Z8966</f>
        <v>216.35459999999927</v>
      </c>
      <c r="AE8966" s="190"/>
      <c r="AF8966" s="191"/>
      <c r="AG8966" s="191"/>
      <c r="AH8966" s="191"/>
      <c r="AI8966" s="186"/>
      <c r="AK8966" s="171"/>
    </row>
    <row r="8967" spans="1:41" s="102" customFormat="1" ht="19.899999999999999" customHeight="1" x14ac:dyDescent="0.25">
      <c r="A8967" s="45"/>
      <c r="B8967" s="59"/>
      <c r="C8967" s="137"/>
      <c r="D8967" s="59"/>
      <c r="E8967" s="116"/>
      <c r="F8967" s="120"/>
      <c r="G8967" s="120"/>
      <c r="H8967" s="120"/>
      <c r="I8967" s="60"/>
      <c r="J8967" s="116"/>
      <c r="K8967" s="213"/>
      <c r="L8967" s="120"/>
      <c r="M8967" s="120"/>
      <c r="N8967" s="167"/>
      <c r="O8967" s="120"/>
      <c r="P8967" s="120"/>
      <c r="Q8967" s="120"/>
      <c r="R8967" s="120"/>
      <c r="S8967" s="120"/>
      <c r="T8967" s="221"/>
      <c r="U8967" s="89"/>
      <c r="V8967" s="61"/>
      <c r="W8967" s="92" t="s">
        <v>65</v>
      </c>
      <c r="X8967" s="93" t="s">
        <v>30</v>
      </c>
      <c r="Y8967" s="93" t="s">
        <v>1011</v>
      </c>
      <c r="Z8967" s="134">
        <f>VLOOKUP(W8967,Sheet2!$B:$D,3,FALSE)</f>
        <v>1.76</v>
      </c>
      <c r="AA8967" s="93">
        <f>AA8966/14</f>
        <v>0.22675736961451246</v>
      </c>
      <c r="AB8967" s="93">
        <f>AD8967/AC8965</f>
        <v>7.7616000000000005</v>
      </c>
      <c r="AC8967" s="93">
        <f>AC8965/AA8967</f>
        <v>54.088649999999816</v>
      </c>
      <c r="AD8967" s="94">
        <f t="shared" si="6092"/>
        <v>95.196023999999682</v>
      </c>
      <c r="AE8967" s="190"/>
      <c r="AF8967" s="191"/>
      <c r="AG8967" s="191"/>
      <c r="AH8967" s="191"/>
      <c r="AI8967" s="186"/>
      <c r="AK8967" s="171"/>
    </row>
    <row r="8968" spans="1:41" s="102" customFormat="1" ht="19.899999999999999" customHeight="1" x14ac:dyDescent="0.25">
      <c r="A8968" s="45"/>
      <c r="B8968" s="59"/>
      <c r="C8968" s="137"/>
      <c r="D8968" s="59"/>
      <c r="E8968" s="116"/>
      <c r="F8968" s="120"/>
      <c r="G8968" s="120"/>
      <c r="H8968" s="120"/>
      <c r="I8968" s="60"/>
      <c r="J8968" s="116"/>
      <c r="K8968" s="213"/>
      <c r="L8968" s="120"/>
      <c r="M8968" s="120"/>
      <c r="N8968" s="167"/>
      <c r="O8968" s="120"/>
      <c r="P8968" s="120"/>
      <c r="Q8968" s="120"/>
      <c r="R8968" s="120"/>
      <c r="S8968" s="120"/>
      <c r="T8968" s="221"/>
      <c r="U8968" s="89"/>
      <c r="V8968" s="61"/>
      <c r="W8968" s="92" t="s">
        <v>161</v>
      </c>
      <c r="X8968" s="93" t="s">
        <v>29</v>
      </c>
      <c r="Y8968" s="93" t="s">
        <v>93</v>
      </c>
      <c r="Z8968" s="134">
        <f>VLOOKUP(W8968,Sheet2!$B:$D,3,FALSE)</f>
        <v>48</v>
      </c>
      <c r="AA8968" s="93">
        <f>(16*0.85*1.5)/(3*3*3.5)</f>
        <v>0.64761904761904754</v>
      </c>
      <c r="AB8968" s="93">
        <f>AD8968/AC8965</f>
        <v>74.117647058823536</v>
      </c>
      <c r="AC8968" s="93">
        <f>AC8965/AA8968</f>
        <v>18.938602941176409</v>
      </c>
      <c r="AD8968" s="94">
        <f>AC8968*Z8968</f>
        <v>909.05294117646758</v>
      </c>
      <c r="AE8968" s="190"/>
      <c r="AF8968" s="191"/>
      <c r="AG8968" s="191"/>
      <c r="AH8968" s="191"/>
      <c r="AI8968" s="186"/>
      <c r="AK8968" s="171"/>
    </row>
    <row r="8969" spans="1:41" s="102" customFormat="1" ht="19.899999999999999" customHeight="1" x14ac:dyDescent="0.25">
      <c r="A8969" s="45"/>
      <c r="B8969" s="59"/>
      <c r="C8969" s="137"/>
      <c r="D8969" s="59"/>
      <c r="E8969" s="116"/>
      <c r="F8969" s="120"/>
      <c r="G8969" s="120"/>
      <c r="H8969" s="120"/>
      <c r="I8969" s="60"/>
      <c r="J8969" s="116"/>
      <c r="K8969" s="213"/>
      <c r="L8969" s="120"/>
      <c r="M8969" s="120"/>
      <c r="N8969" s="167"/>
      <c r="O8969" s="120"/>
      <c r="P8969" s="120"/>
      <c r="Q8969" s="120"/>
      <c r="R8969" s="120"/>
      <c r="S8969" s="120"/>
      <c r="T8969" s="221"/>
      <c r="U8969" s="89"/>
      <c r="V8969" s="61"/>
      <c r="W8969" s="92" t="s">
        <v>65</v>
      </c>
      <c r="X8969" s="93" t="s">
        <v>30</v>
      </c>
      <c r="Y8969" s="93" t="s">
        <v>1011</v>
      </c>
      <c r="Z8969" s="134">
        <f>VLOOKUP(W8969,Sheet2!$B:$D,3,FALSE)</f>
        <v>1.76</v>
      </c>
      <c r="AA8969" s="93">
        <f>AA8968/10</f>
        <v>6.4761904761904757E-2</v>
      </c>
      <c r="AB8969" s="93">
        <f>AD8969/AC8965</f>
        <v>27.176470588235293</v>
      </c>
      <c r="AC8969" s="93">
        <f>AC8965/AA8969</f>
        <v>189.38602941176407</v>
      </c>
      <c r="AD8969" s="94">
        <f>AC8969*Z8969</f>
        <v>333.31941176470474</v>
      </c>
      <c r="AE8969" s="190"/>
      <c r="AF8969" s="191"/>
      <c r="AG8969" s="191"/>
      <c r="AH8969" s="191"/>
      <c r="AI8969" s="186"/>
      <c r="AK8969" s="171"/>
    </row>
    <row r="8970" spans="1:41" s="103" customFormat="1" ht="19.899999999999999" customHeight="1" x14ac:dyDescent="0.25">
      <c r="A8970" s="51"/>
      <c r="B8970" s="52"/>
      <c r="C8970" s="165"/>
      <c r="D8970" s="52"/>
      <c r="E8970" s="115"/>
      <c r="F8970" s="58"/>
      <c r="G8970" s="58"/>
      <c r="H8970" s="58"/>
      <c r="I8970" s="55"/>
      <c r="J8970" s="113">
        <f>J8964</f>
        <v>12.264999999999958</v>
      </c>
      <c r="K8970" s="212">
        <f>K8964</f>
        <v>12.264999999999958</v>
      </c>
      <c r="L8970" s="58"/>
      <c r="M8970" s="58">
        <f>K8970-L8970</f>
        <v>12.264999999999958</v>
      </c>
      <c r="N8970" s="166"/>
      <c r="O8970" s="58"/>
      <c r="P8970" s="58"/>
      <c r="Q8970" s="58"/>
      <c r="R8970" s="58"/>
      <c r="S8970" s="58"/>
      <c r="T8970" s="220"/>
      <c r="U8970" s="88"/>
      <c r="V8970" s="56"/>
      <c r="W8970" s="57" t="s">
        <v>1486</v>
      </c>
      <c r="X8970" s="53"/>
      <c r="Y8970" s="91" t="s">
        <v>35</v>
      </c>
      <c r="Z8970" s="136">
        <f>AD8970/AC8970</f>
        <v>1883.8374999999996</v>
      </c>
      <c r="AA8970" s="58"/>
      <c r="AB8970" s="53">
        <f>AD8970/AC8970</f>
        <v>1883.8374999999996</v>
      </c>
      <c r="AC8970" s="53">
        <f>M8970+$AE$10</f>
        <v>12.264999999999958</v>
      </c>
      <c r="AD8970" s="54">
        <f>SUM(AD8971:AD8976)</f>
        <v>23105.266937499917</v>
      </c>
      <c r="AE8970" s="184">
        <f>SUMIFS($AD$37:$AD$12971,$V$37:$V$12971,$V8970,$X$37:$X$12971,AE$13)</f>
        <v>0</v>
      </c>
      <c r="AF8970" s="185">
        <f>SUMIFS($AD$37:$AD$12971,$V$37:$V$12971,$V8970,$X$37:$X$12971,AF$13)</f>
        <v>0</v>
      </c>
      <c r="AG8970" s="185">
        <f>SUMIFS($AD$37:$AD$12971,$V$37:$V$12971,$V8970,$X$37:$X$12971,AG$13)</f>
        <v>0</v>
      </c>
      <c r="AH8970" s="187">
        <f>SUMIFS($AD$37:$AD$12971,$V$37:$V$12971,$V8970,$X$37:$X$12971,AH$13)</f>
        <v>0</v>
      </c>
      <c r="AI8970" s="161">
        <f t="shared" ref="AI8970" si="6093">SUM(AE8970:AH8970)</f>
        <v>0</v>
      </c>
      <c r="AK8970" s="172"/>
    </row>
    <row r="8971" spans="1:41" s="102" customFormat="1" ht="19.899999999999999" customHeight="1" x14ac:dyDescent="0.25">
      <c r="A8971" s="45"/>
      <c r="B8971" s="59"/>
      <c r="C8971" s="137"/>
      <c r="D8971" s="59"/>
      <c r="E8971" s="116"/>
      <c r="F8971" s="120"/>
      <c r="G8971" s="120"/>
      <c r="H8971" s="120"/>
      <c r="I8971" s="60"/>
      <c r="J8971" s="116"/>
      <c r="K8971" s="213"/>
      <c r="L8971" s="120"/>
      <c r="M8971" s="120"/>
      <c r="N8971" s="167"/>
      <c r="O8971" s="120"/>
      <c r="P8971" s="120"/>
      <c r="Q8971" s="120"/>
      <c r="R8971" s="120"/>
      <c r="S8971" s="120"/>
      <c r="T8971" s="221"/>
      <c r="U8971" s="89"/>
      <c r="V8971" s="61"/>
      <c r="W8971" s="92" t="s">
        <v>1032</v>
      </c>
      <c r="X8971" s="93" t="s">
        <v>30</v>
      </c>
      <c r="Y8971" s="93" t="s">
        <v>66</v>
      </c>
      <c r="Z8971" s="134">
        <f>VLOOKUP(W8971,Sheet2!$B:$D,3,FALSE)</f>
        <v>250</v>
      </c>
      <c r="AA8971" s="93">
        <f>1/(2.4*2.4*0.1)</f>
        <v>1.7361111111111112</v>
      </c>
      <c r="AB8971" s="93">
        <f>AD8971/AC8977</f>
        <v>144</v>
      </c>
      <c r="AC8971" s="93">
        <f>AC8977/AA8971</f>
        <v>7.0646399999999758</v>
      </c>
      <c r="AD8971" s="94">
        <f t="shared" ref="AD8971:AD8973" si="6094">AC8971*Z8971</f>
        <v>1766.1599999999939</v>
      </c>
      <c r="AE8971" s="190"/>
      <c r="AF8971" s="191"/>
      <c r="AG8971" s="191"/>
      <c r="AH8971" s="191"/>
      <c r="AI8971" s="186"/>
      <c r="AK8971" s="171"/>
    </row>
    <row r="8972" spans="1:41" s="102" customFormat="1" ht="19.899999999999999" customHeight="1" x14ac:dyDescent="0.25">
      <c r="A8972" s="45"/>
      <c r="B8972" s="59"/>
      <c r="C8972" s="137"/>
      <c r="D8972" s="59"/>
      <c r="E8972" s="116"/>
      <c r="F8972" s="120"/>
      <c r="G8972" s="120"/>
      <c r="H8972" s="120"/>
      <c r="I8972" s="60"/>
      <c r="J8972" s="116"/>
      <c r="K8972" s="213"/>
      <c r="L8972" s="120"/>
      <c r="M8972" s="120"/>
      <c r="N8972" s="167"/>
      <c r="O8972" s="120"/>
      <c r="P8972" s="120"/>
      <c r="Q8972" s="120"/>
      <c r="R8972" s="120"/>
      <c r="S8972" s="120"/>
      <c r="T8972" s="221"/>
      <c r="U8972" s="89"/>
      <c r="V8972" s="61"/>
      <c r="W8972" s="92" t="s">
        <v>1353</v>
      </c>
      <c r="X8972" s="93" t="s">
        <v>30</v>
      </c>
      <c r="Y8972" s="93" t="s">
        <v>66</v>
      </c>
      <c r="Z8972" s="134">
        <f>VLOOKUP(W8972,Sheet2!$B:$D,3,FALSE)</f>
        <v>350</v>
      </c>
      <c r="AA8972" s="93">
        <f>1/(2.3*2.3*0.3)</f>
        <v>0.63011972274732209</v>
      </c>
      <c r="AB8972" s="93">
        <f>AD8972/AC8977</f>
        <v>555.44999999999993</v>
      </c>
      <c r="AC8972" s="93">
        <f>AC8977/AA8972</f>
        <v>19.46455499999993</v>
      </c>
      <c r="AD8972" s="94">
        <f t="shared" si="6094"/>
        <v>6812.5942499999755</v>
      </c>
      <c r="AE8972" s="190"/>
      <c r="AF8972" s="191"/>
      <c r="AG8972" s="191"/>
      <c r="AH8972" s="191"/>
      <c r="AI8972" s="186"/>
      <c r="AK8972" s="171"/>
    </row>
    <row r="8973" spans="1:41" s="102" customFormat="1" ht="19.899999999999999" customHeight="1" x14ac:dyDescent="0.25">
      <c r="A8973" s="45"/>
      <c r="B8973" s="59"/>
      <c r="C8973" s="137"/>
      <c r="D8973" s="59"/>
      <c r="E8973" s="116"/>
      <c r="F8973" s="120"/>
      <c r="G8973" s="120"/>
      <c r="H8973" s="120"/>
      <c r="I8973" s="60"/>
      <c r="J8973" s="116"/>
      <c r="K8973" s="213"/>
      <c r="L8973" s="120"/>
      <c r="M8973" s="120"/>
      <c r="N8973" s="167"/>
      <c r="O8973" s="120"/>
      <c r="P8973" s="120"/>
      <c r="Q8973" s="120"/>
      <c r="R8973" s="120"/>
      <c r="S8973" s="120"/>
      <c r="T8973" s="221"/>
      <c r="U8973" s="89"/>
      <c r="V8973" s="61"/>
      <c r="W8973" s="92" t="s">
        <v>99</v>
      </c>
      <c r="X8973" s="93" t="s">
        <v>30</v>
      </c>
      <c r="Y8973" s="93" t="s">
        <v>67</v>
      </c>
      <c r="Z8973" s="134">
        <f>VLOOKUP(W8973,Sheet2!$B:$D,3,FALSE)</f>
        <v>2500</v>
      </c>
      <c r="AA8973" s="93">
        <f>AA8972/0.08</f>
        <v>7.8764965343415261</v>
      </c>
      <c r="AB8973" s="93">
        <f>AD8973/AC8977</f>
        <v>317.39999999999992</v>
      </c>
      <c r="AC8973" s="93">
        <f>AC8977/AA8973</f>
        <v>1.5571643999999945</v>
      </c>
      <c r="AD8973" s="94">
        <f t="shared" si="6094"/>
        <v>3892.910999999986</v>
      </c>
      <c r="AE8973" s="190"/>
      <c r="AF8973" s="191"/>
      <c r="AG8973" s="191"/>
      <c r="AH8973" s="191"/>
      <c r="AI8973" s="186"/>
      <c r="AK8973" s="171"/>
    </row>
    <row r="8974" spans="1:41" s="102" customFormat="1" ht="19.899999999999999" customHeight="1" x14ac:dyDescent="0.25">
      <c r="A8974" s="45"/>
      <c r="B8974" s="59"/>
      <c r="C8974" s="137"/>
      <c r="D8974" s="59"/>
      <c r="E8974" s="116"/>
      <c r="F8974" s="120"/>
      <c r="G8974" s="120"/>
      <c r="H8974" s="120"/>
      <c r="I8974" s="60"/>
      <c r="J8974" s="116"/>
      <c r="K8974" s="213"/>
      <c r="L8974" s="120"/>
      <c r="M8974" s="120"/>
      <c r="N8974" s="167"/>
      <c r="O8974" s="120"/>
      <c r="P8974" s="120"/>
      <c r="Q8974" s="120"/>
      <c r="R8974" s="120"/>
      <c r="S8974" s="120"/>
      <c r="T8974" s="221"/>
      <c r="U8974" s="89"/>
      <c r="V8974" s="61"/>
      <c r="W8974" s="92" t="s">
        <v>1354</v>
      </c>
      <c r="X8974" s="93" t="s">
        <v>32</v>
      </c>
      <c r="Y8974" s="93" t="s">
        <v>66</v>
      </c>
      <c r="Z8974" s="134">
        <f>VLOOKUP(W8974,Sheet2!$B:$D,3,FALSE)</f>
        <v>150</v>
      </c>
      <c r="AA8974" s="93">
        <f>AA8971</f>
        <v>1.7361111111111112</v>
      </c>
      <c r="AB8974" s="93">
        <f>AD8974/AC8977</f>
        <v>86.399999999999991</v>
      </c>
      <c r="AC8974" s="93">
        <f>AC8977/AA8974</f>
        <v>7.0646399999999758</v>
      </c>
      <c r="AD8974" s="94">
        <f>AC8974*Z8974</f>
        <v>1059.6959999999963</v>
      </c>
      <c r="AE8974" s="190"/>
      <c r="AF8974" s="191"/>
      <c r="AG8974" s="191"/>
      <c r="AH8974" s="191"/>
      <c r="AI8974" s="186"/>
      <c r="AK8974" s="171"/>
    </row>
    <row r="8975" spans="1:41" s="102" customFormat="1" ht="19.899999999999999" customHeight="1" x14ac:dyDescent="0.25">
      <c r="A8975" s="45"/>
      <c r="B8975" s="59"/>
      <c r="C8975" s="137"/>
      <c r="D8975" s="59"/>
      <c r="E8975" s="116"/>
      <c r="F8975" s="120"/>
      <c r="G8975" s="120"/>
      <c r="H8975" s="120"/>
      <c r="I8975" s="60"/>
      <c r="J8975" s="116"/>
      <c r="K8975" s="213"/>
      <c r="L8975" s="120"/>
      <c r="M8975" s="120"/>
      <c r="N8975" s="167"/>
      <c r="O8975" s="120"/>
      <c r="P8975" s="120"/>
      <c r="Q8975" s="120"/>
      <c r="R8975" s="120"/>
      <c r="S8975" s="120"/>
      <c r="T8975" s="221"/>
      <c r="U8975" s="89"/>
      <c r="V8975" s="61"/>
      <c r="W8975" s="92" t="s">
        <v>1355</v>
      </c>
      <c r="X8975" s="93" t="s">
        <v>32</v>
      </c>
      <c r="Y8975" s="93" t="s">
        <v>66</v>
      </c>
      <c r="Z8975" s="134">
        <f>VLOOKUP(W8975,Sheet2!$B:$D,3,FALSE)</f>
        <v>450</v>
      </c>
      <c r="AA8975" s="93">
        <f>AA8972</f>
        <v>0.63011972274732209</v>
      </c>
      <c r="AB8975" s="93">
        <f>AD8975/AC8977</f>
        <v>714.15</v>
      </c>
      <c r="AC8975" s="93">
        <f>AC8977/AA8975</f>
        <v>19.46455499999993</v>
      </c>
      <c r="AD8975" s="94">
        <f>AC8975*Z8975</f>
        <v>8759.0497499999692</v>
      </c>
      <c r="AE8975" s="190"/>
      <c r="AF8975" s="191"/>
      <c r="AG8975" s="191"/>
      <c r="AH8975" s="191"/>
      <c r="AI8975" s="186"/>
      <c r="AK8975" s="171"/>
    </row>
    <row r="8976" spans="1:41" s="102" customFormat="1" ht="19.899999999999999" customHeight="1" x14ac:dyDescent="0.25">
      <c r="A8976" s="45"/>
      <c r="B8976" s="59"/>
      <c r="C8976" s="137"/>
      <c r="D8976" s="59"/>
      <c r="E8976" s="116"/>
      <c r="F8976" s="120"/>
      <c r="G8976" s="120"/>
      <c r="H8976" s="120"/>
      <c r="I8976" s="60"/>
      <c r="J8976" s="116"/>
      <c r="K8976" s="213"/>
      <c r="L8976" s="120"/>
      <c r="M8976" s="120"/>
      <c r="N8976" s="167"/>
      <c r="O8976" s="120"/>
      <c r="P8976" s="120"/>
      <c r="Q8976" s="120"/>
      <c r="R8976" s="120"/>
      <c r="S8976" s="120"/>
      <c r="T8976" s="221"/>
      <c r="U8976" s="89"/>
      <c r="V8976" s="61"/>
      <c r="W8976" s="92" t="s">
        <v>124</v>
      </c>
      <c r="X8976" s="93" t="s">
        <v>32</v>
      </c>
      <c r="Y8976" s="93" t="s">
        <v>64</v>
      </c>
      <c r="Z8976" s="134">
        <f>VLOOKUP(W8976,Sheet2!$B:$D,3,FALSE)</f>
        <v>10</v>
      </c>
      <c r="AA8976" s="93">
        <f>1/((2.9*2.9)-(3.14*1.5*1.5/4))</f>
        <v>0.15051740357478832</v>
      </c>
      <c r="AB8976" s="93">
        <f t="shared" ref="AB8976" si="6095">AD8976/AC8970</f>
        <v>66.4375</v>
      </c>
      <c r="AC8976" s="93">
        <f>AC8970/AA8976</f>
        <v>81.485593749999722</v>
      </c>
      <c r="AD8976" s="94">
        <f t="shared" ref="AD8976" si="6096">AC8976*Z8976</f>
        <v>814.85593749999725</v>
      </c>
      <c r="AE8976" s="190"/>
      <c r="AF8976" s="191"/>
      <c r="AG8976" s="191"/>
      <c r="AH8976" s="191"/>
      <c r="AI8976" s="186"/>
      <c r="AK8976" s="171"/>
    </row>
    <row r="8977" spans="1:37" s="103" customFormat="1" ht="19.899999999999999" customHeight="1" x14ac:dyDescent="0.25">
      <c r="A8977" s="51"/>
      <c r="B8977" s="52"/>
      <c r="C8977" s="165"/>
      <c r="D8977" s="52"/>
      <c r="E8977" s="115"/>
      <c r="F8977" s="58"/>
      <c r="G8977" s="58"/>
      <c r="H8977" s="58"/>
      <c r="I8977" s="55"/>
      <c r="J8977" s="113">
        <f>J8964</f>
        <v>12.264999999999958</v>
      </c>
      <c r="K8977" s="212">
        <f>K8964</f>
        <v>12.264999999999958</v>
      </c>
      <c r="L8977" s="58"/>
      <c r="M8977" s="58">
        <f>K8977-L8977</f>
        <v>12.264999999999958</v>
      </c>
      <c r="N8977" s="166"/>
      <c r="O8977" s="58"/>
      <c r="P8977" s="58"/>
      <c r="Q8977" s="58"/>
      <c r="R8977" s="58"/>
      <c r="S8977" s="58"/>
      <c r="T8977" s="220"/>
      <c r="U8977" s="88"/>
      <c r="V8977" s="56"/>
      <c r="W8977" s="57" t="s">
        <v>1275</v>
      </c>
      <c r="X8977" s="53"/>
      <c r="Y8977" s="91" t="s">
        <v>35</v>
      </c>
      <c r="Z8977" s="136">
        <f>AD8977/AC8977</f>
        <v>6922.8</v>
      </c>
      <c r="AA8977" s="58"/>
      <c r="AB8977" s="53">
        <f>AD8977/AC8977</f>
        <v>6922.8</v>
      </c>
      <c r="AC8977" s="53">
        <f>M8977+$AE$10</f>
        <v>12.264999999999958</v>
      </c>
      <c r="AD8977" s="54">
        <f>SUM(AD8978:AD8983)</f>
        <v>84908.141999999716</v>
      </c>
      <c r="AE8977" s="184">
        <f>SUMIFS($AD$37:$AD$12971,$V$37:$V$12971,$V8977,$X$37:$X$12971,AE$13)</f>
        <v>0</v>
      </c>
      <c r="AF8977" s="185">
        <f>SUMIFS($AD$37:$AD$12971,$V$37:$V$12971,$V8977,$X$37:$X$12971,AF$13)</f>
        <v>0</v>
      </c>
      <c r="AG8977" s="185">
        <f>SUMIFS($AD$37:$AD$12971,$V$37:$V$12971,$V8977,$X$37:$X$12971,AG$13)</f>
        <v>0</v>
      </c>
      <c r="AH8977" s="187">
        <f>SUMIFS($AD$37:$AD$12971,$V$37:$V$12971,$V8977,$X$37:$X$12971,AH$13)</f>
        <v>0</v>
      </c>
      <c r="AI8977" s="161">
        <f t="shared" ref="AI8977" si="6097">SUM(AE8977:AH8977)</f>
        <v>0</v>
      </c>
      <c r="AK8977" s="172"/>
    </row>
    <row r="8978" spans="1:37" s="102" customFormat="1" ht="19.899999999999999" customHeight="1" x14ac:dyDescent="0.25">
      <c r="A8978" s="45"/>
      <c r="B8978" s="59"/>
      <c r="C8978" s="137"/>
      <c r="D8978" s="59"/>
      <c r="E8978" s="116"/>
      <c r="F8978" s="120"/>
      <c r="G8978" s="120"/>
      <c r="H8978" s="120"/>
      <c r="I8978" s="60"/>
      <c r="J8978" s="116"/>
      <c r="K8978" s="213"/>
      <c r="L8978" s="120"/>
      <c r="M8978" s="120"/>
      <c r="N8978" s="167"/>
      <c r="O8978" s="120"/>
      <c r="P8978" s="120"/>
      <c r="Q8978" s="120"/>
      <c r="R8978" s="120"/>
      <c r="S8978" s="120"/>
      <c r="T8978" s="221"/>
      <c r="U8978" s="89"/>
      <c r="V8978" s="61"/>
      <c r="W8978" s="92" t="s">
        <v>1497</v>
      </c>
      <c r="X8978" s="93" t="s">
        <v>30</v>
      </c>
      <c r="Y8978" s="93" t="s">
        <v>35</v>
      </c>
      <c r="Z8978" s="134">
        <f>VLOOKUP(W8978,Sheet2!$B:$D,3,FALSE)</f>
        <v>5150</v>
      </c>
      <c r="AA8978" s="93">
        <v>1</v>
      </c>
      <c r="AB8978" s="93">
        <f>AD8978/AC8977</f>
        <v>5150</v>
      </c>
      <c r="AC8978" s="93">
        <f>AC8977/AA8978</f>
        <v>12.264999999999958</v>
      </c>
      <c r="AD8978" s="94">
        <f t="shared" ref="AD8978:AD8979" si="6098">AC8978*Z8978</f>
        <v>63164.749999999782</v>
      </c>
      <c r="AE8978" s="190"/>
      <c r="AF8978" s="191"/>
      <c r="AG8978" s="191"/>
      <c r="AH8978" s="191"/>
      <c r="AI8978" s="186"/>
      <c r="AK8978" s="171"/>
    </row>
    <row r="8979" spans="1:37" s="102" customFormat="1" ht="19.899999999999999" customHeight="1" x14ac:dyDescent="0.25">
      <c r="A8979" s="45"/>
      <c r="B8979" s="59"/>
      <c r="C8979" s="137"/>
      <c r="D8979" s="59"/>
      <c r="E8979" s="116"/>
      <c r="F8979" s="120"/>
      <c r="G8979" s="120"/>
      <c r="H8979" s="120"/>
      <c r="I8979" s="60"/>
      <c r="J8979" s="116"/>
      <c r="K8979" s="213"/>
      <c r="L8979" s="120"/>
      <c r="M8979" s="120"/>
      <c r="N8979" s="167"/>
      <c r="O8979" s="120"/>
      <c r="P8979" s="120"/>
      <c r="Q8979" s="120"/>
      <c r="R8979" s="120"/>
      <c r="S8979" s="120"/>
      <c r="T8979" s="221"/>
      <c r="U8979" s="89"/>
      <c r="V8979" s="61"/>
      <c r="W8979" s="92" t="s">
        <v>174</v>
      </c>
      <c r="X8979" s="93" t="s">
        <v>29</v>
      </c>
      <c r="Y8979" s="93" t="s">
        <v>93</v>
      </c>
      <c r="Z8979" s="134">
        <f>VLOOKUP(W8979,Sheet2!$B:$D,3,FALSE)</f>
        <v>80</v>
      </c>
      <c r="AA8979" s="93">
        <f>1/2</f>
        <v>0.5</v>
      </c>
      <c r="AB8979" s="93">
        <f>AD8979/AC8977</f>
        <v>160</v>
      </c>
      <c r="AC8979" s="93">
        <f>AC8977/AA8979</f>
        <v>24.529999999999916</v>
      </c>
      <c r="AD8979" s="94">
        <f t="shared" si="6098"/>
        <v>1962.3999999999933</v>
      </c>
      <c r="AE8979" s="190"/>
      <c r="AF8979" s="191"/>
      <c r="AG8979" s="191"/>
      <c r="AH8979" s="191"/>
      <c r="AI8979" s="186"/>
      <c r="AK8979" s="171"/>
    </row>
    <row r="8980" spans="1:37" s="102" customFormat="1" ht="19.899999999999999" customHeight="1" x14ac:dyDescent="0.25">
      <c r="A8980" s="45"/>
      <c r="B8980" s="59"/>
      <c r="C8980" s="137"/>
      <c r="D8980" s="59"/>
      <c r="E8980" s="116"/>
      <c r="F8980" s="120"/>
      <c r="G8980" s="120"/>
      <c r="H8980" s="120"/>
      <c r="I8980" s="60"/>
      <c r="J8980" s="116"/>
      <c r="K8980" s="213"/>
      <c r="L8980" s="120"/>
      <c r="M8980" s="120"/>
      <c r="N8980" s="167"/>
      <c r="O8980" s="120"/>
      <c r="P8980" s="120"/>
      <c r="Q8980" s="120"/>
      <c r="R8980" s="120"/>
      <c r="S8980" s="120"/>
      <c r="T8980" s="221"/>
      <c r="U8980" s="89"/>
      <c r="V8980" s="61"/>
      <c r="W8980" s="92" t="s">
        <v>65</v>
      </c>
      <c r="X8980" s="93" t="s">
        <v>30</v>
      </c>
      <c r="Y8980" s="93" t="s">
        <v>93</v>
      </c>
      <c r="Z8980" s="134">
        <f>VLOOKUP(W8980,Sheet2!$B:$D,3,FALSE)</f>
        <v>1.76</v>
      </c>
      <c r="AA8980" s="93">
        <f>AA8979/15</f>
        <v>3.3333333333333333E-2</v>
      </c>
      <c r="AB8980" s="93">
        <f>AD8980/AC8977</f>
        <v>52.800000000000004</v>
      </c>
      <c r="AC8980" s="93">
        <f>AC8977/AA8980</f>
        <v>367.94999999999874</v>
      </c>
      <c r="AD8980" s="94">
        <f>AC8980*Z8980</f>
        <v>647.59199999999782</v>
      </c>
      <c r="AE8980" s="190"/>
      <c r="AF8980" s="191"/>
      <c r="AG8980" s="191"/>
      <c r="AH8980" s="191"/>
      <c r="AI8980" s="186"/>
      <c r="AK8980" s="171"/>
    </row>
    <row r="8981" spans="1:37" s="102" customFormat="1" ht="19.899999999999999" customHeight="1" x14ac:dyDescent="0.25">
      <c r="A8981" s="45"/>
      <c r="B8981" s="59"/>
      <c r="C8981" s="137"/>
      <c r="D8981" s="59"/>
      <c r="E8981" s="116"/>
      <c r="F8981" s="120"/>
      <c r="G8981" s="120"/>
      <c r="H8981" s="120"/>
      <c r="I8981" s="60"/>
      <c r="J8981" s="116"/>
      <c r="K8981" s="213"/>
      <c r="L8981" s="120"/>
      <c r="M8981" s="120"/>
      <c r="N8981" s="167"/>
      <c r="O8981" s="120"/>
      <c r="P8981" s="120"/>
      <c r="Q8981" s="120"/>
      <c r="R8981" s="120"/>
      <c r="S8981" s="120"/>
      <c r="T8981" s="221"/>
      <c r="U8981" s="89"/>
      <c r="V8981" s="61"/>
      <c r="W8981" s="92" t="s">
        <v>1487</v>
      </c>
      <c r="X8981" s="93" t="s">
        <v>32</v>
      </c>
      <c r="Y8981" s="93" t="s">
        <v>1349</v>
      </c>
      <c r="Z8981" s="134">
        <f>VLOOKUP(W8981,Sheet2!$B:$D,3,FALSE)</f>
        <v>1500</v>
      </c>
      <c r="AA8981" s="93">
        <v>1</v>
      </c>
      <c r="AB8981" s="93">
        <f>AD8981/AC8977</f>
        <v>1500</v>
      </c>
      <c r="AC8981" s="93">
        <f>AC8977/AA8981</f>
        <v>12.264999999999958</v>
      </c>
      <c r="AD8981" s="94">
        <f>AC8981*Z8981</f>
        <v>18397.499999999938</v>
      </c>
      <c r="AE8981" s="190"/>
      <c r="AF8981" s="191"/>
      <c r="AG8981" s="191"/>
      <c r="AH8981" s="191"/>
      <c r="AI8981" s="186"/>
      <c r="AK8981" s="171"/>
    </row>
    <row r="8982" spans="1:37" s="102" customFormat="1" ht="19.899999999999999" customHeight="1" x14ac:dyDescent="0.25">
      <c r="A8982" s="45"/>
      <c r="B8982" s="59"/>
      <c r="C8982" s="137"/>
      <c r="D8982" s="59"/>
      <c r="E8982" s="116"/>
      <c r="F8982" s="120"/>
      <c r="G8982" s="120"/>
      <c r="H8982" s="120"/>
      <c r="I8982" s="60"/>
      <c r="J8982" s="116"/>
      <c r="K8982" s="213"/>
      <c r="L8982" s="120"/>
      <c r="M8982" s="120"/>
      <c r="N8982" s="167"/>
      <c r="O8982" s="120"/>
      <c r="P8982" s="120"/>
      <c r="Q8982" s="120"/>
      <c r="R8982" s="120"/>
      <c r="S8982" s="120"/>
      <c r="T8982" s="221"/>
      <c r="U8982" s="89"/>
      <c r="V8982" s="61"/>
      <c r="W8982" s="92" t="s">
        <v>107</v>
      </c>
      <c r="X8982" s="93" t="s">
        <v>31</v>
      </c>
      <c r="Y8982" s="93" t="s">
        <v>93</v>
      </c>
      <c r="Z8982" s="134">
        <f>VLOOKUP(W8982,Sheet2!$B:$D,3,FALSE)</f>
        <v>17</v>
      </c>
      <c r="AA8982" s="93">
        <f>AA8979</f>
        <v>0.5</v>
      </c>
      <c r="AB8982" s="93">
        <f>AD8982/AC8977</f>
        <v>34</v>
      </c>
      <c r="AC8982" s="93">
        <f>AC8977/AA8982</f>
        <v>24.529999999999916</v>
      </c>
      <c r="AD8982" s="94">
        <f>AC8982*Z8982</f>
        <v>417.00999999999857</v>
      </c>
      <c r="AE8982" s="190"/>
      <c r="AF8982" s="191"/>
      <c r="AG8982" s="191"/>
      <c r="AH8982" s="191"/>
      <c r="AI8982" s="186"/>
      <c r="AK8982" s="171"/>
    </row>
    <row r="8983" spans="1:37" s="102" customFormat="1" ht="19.899999999999999" customHeight="1" x14ac:dyDescent="0.25">
      <c r="A8983" s="45"/>
      <c r="B8983" s="59"/>
      <c r="C8983" s="137"/>
      <c r="D8983" s="59"/>
      <c r="E8983" s="116"/>
      <c r="F8983" s="120"/>
      <c r="G8983" s="120"/>
      <c r="H8983" s="120"/>
      <c r="I8983" s="60"/>
      <c r="J8983" s="116"/>
      <c r="K8983" s="213"/>
      <c r="L8983" s="120"/>
      <c r="M8983" s="120"/>
      <c r="N8983" s="167"/>
      <c r="O8983" s="120"/>
      <c r="P8983" s="120"/>
      <c r="Q8983" s="120"/>
      <c r="R8983" s="120"/>
      <c r="S8983" s="120"/>
      <c r="T8983" s="221"/>
      <c r="U8983" s="89"/>
      <c r="V8983" s="61"/>
      <c r="W8983" s="92" t="s">
        <v>112</v>
      </c>
      <c r="X8983" s="93" t="s">
        <v>31</v>
      </c>
      <c r="Y8983" s="93" t="s">
        <v>93</v>
      </c>
      <c r="Z8983" s="134">
        <f>VLOOKUP(W8983,Sheet2!$B:$D,3,FALSE)</f>
        <v>13</v>
      </c>
      <c r="AA8983" s="93">
        <f>AA8982</f>
        <v>0.5</v>
      </c>
      <c r="AB8983" s="93">
        <f>AD8983/AC8977</f>
        <v>26</v>
      </c>
      <c r="AC8983" s="93">
        <f>AC8977/AA8983</f>
        <v>24.529999999999916</v>
      </c>
      <c r="AD8983" s="94">
        <f>AC8983*Z8983</f>
        <v>318.88999999999891</v>
      </c>
      <c r="AE8983" s="190"/>
      <c r="AF8983" s="191"/>
      <c r="AG8983" s="191"/>
      <c r="AH8983" s="191"/>
      <c r="AI8983" s="186"/>
      <c r="AK8983" s="171"/>
    </row>
    <row r="8984" spans="1:37" s="103" customFormat="1" ht="19.899999999999999" customHeight="1" x14ac:dyDescent="0.25">
      <c r="A8984" s="51"/>
      <c r="B8984" s="52"/>
      <c r="C8984" s="165"/>
      <c r="D8984" s="52"/>
      <c r="E8984" s="115"/>
      <c r="F8984" s="58"/>
      <c r="G8984" s="58"/>
      <c r="H8984" s="58"/>
      <c r="I8984" s="55"/>
      <c r="J8984" s="113">
        <f>J8964</f>
        <v>12.264999999999958</v>
      </c>
      <c r="K8984" s="212">
        <f>K8964</f>
        <v>12.264999999999958</v>
      </c>
      <c r="L8984" s="58"/>
      <c r="M8984" s="58">
        <f>K8984-L8984</f>
        <v>12.264999999999958</v>
      </c>
      <c r="N8984" s="166"/>
      <c r="O8984" s="58"/>
      <c r="P8984" s="58"/>
      <c r="Q8984" s="58"/>
      <c r="R8984" s="58"/>
      <c r="S8984" s="58"/>
      <c r="T8984" s="220"/>
      <c r="U8984" s="88"/>
      <c r="V8984" s="56"/>
      <c r="W8984" s="57" t="s">
        <v>1272</v>
      </c>
      <c r="X8984" s="53"/>
      <c r="Y8984" s="91" t="s">
        <v>35</v>
      </c>
      <c r="Z8984" s="136">
        <f>AD8984/AC8984</f>
        <v>480.44531005882357</v>
      </c>
      <c r="AA8984" s="58"/>
      <c r="AB8984" s="53">
        <f>AD8984/AC8984</f>
        <v>480.44531005882357</v>
      </c>
      <c r="AC8984" s="53">
        <f>M8984+$AE$10</f>
        <v>12.264999999999958</v>
      </c>
      <c r="AD8984" s="54">
        <f>SUM(AD8985:AD8993)</f>
        <v>5892.6617278714511</v>
      </c>
      <c r="AE8984" s="184">
        <f>SUMIFS($AD$37:$AD$12971,$V$37:$V$12971,$V8984,$X$37:$X$12971,AE$13)</f>
        <v>0</v>
      </c>
      <c r="AF8984" s="185">
        <f>SUMIFS($AD$37:$AD$12971,$V$37:$V$12971,$V8984,$X$37:$X$12971,AF$13)</f>
        <v>0</v>
      </c>
      <c r="AG8984" s="185">
        <f>SUMIFS($AD$37:$AD$12971,$V$37:$V$12971,$V8984,$X$37:$X$12971,AG$13)</f>
        <v>0</v>
      </c>
      <c r="AH8984" s="187">
        <f>SUMIFS($AD$37:$AD$12971,$V$37:$V$12971,$V8984,$X$37:$X$12971,AH$13)</f>
        <v>0</v>
      </c>
      <c r="AI8984" s="161">
        <f t="shared" ref="AI8984" si="6099">SUM(AE8984:AH8984)</f>
        <v>0</v>
      </c>
      <c r="AK8984" s="172"/>
    </row>
    <row r="8985" spans="1:37" s="102" customFormat="1" ht="19.899999999999999" customHeight="1" x14ac:dyDescent="0.25">
      <c r="A8985" s="45"/>
      <c r="B8985" s="59"/>
      <c r="C8985" s="137"/>
      <c r="D8985" s="59"/>
      <c r="E8985" s="116"/>
      <c r="F8985" s="120"/>
      <c r="G8985" s="120"/>
      <c r="H8985" s="120"/>
      <c r="I8985" s="60"/>
      <c r="J8985" s="116"/>
      <c r="K8985" s="213"/>
      <c r="L8985" s="120"/>
      <c r="M8985" s="120"/>
      <c r="N8985" s="167"/>
      <c r="O8985" s="120"/>
      <c r="P8985" s="120"/>
      <c r="Q8985" s="120"/>
      <c r="R8985" s="120"/>
      <c r="S8985" s="120"/>
      <c r="T8985" s="221"/>
      <c r="U8985" s="89"/>
      <c r="V8985" s="61"/>
      <c r="W8985" s="92" t="s">
        <v>1273</v>
      </c>
      <c r="X8985" s="93" t="s">
        <v>30</v>
      </c>
      <c r="Y8985" s="93" t="s">
        <v>66</v>
      </c>
      <c r="Z8985" s="134">
        <f>VLOOKUP(W8985,Sheet2!$B:$D,3,FALSE)</f>
        <v>10</v>
      </c>
      <c r="AA8985" s="93">
        <f>1/((3*3*3.5)-(3.14/4*1.5*1.5*3.5))</f>
        <v>3.9497395640474955E-2</v>
      </c>
      <c r="AB8985" s="93">
        <f>AD8985/AC8984</f>
        <v>253.18124999999998</v>
      </c>
      <c r="AC8985" s="93">
        <f>AC8984/AA8985</f>
        <v>310.52680312499893</v>
      </c>
      <c r="AD8985" s="94">
        <f t="shared" ref="AD8985:AD8987" si="6100">AC8985*Z8985</f>
        <v>3105.2680312499892</v>
      </c>
      <c r="AE8985" s="190"/>
      <c r="AF8985" s="191"/>
      <c r="AG8985" s="191"/>
      <c r="AH8985" s="191"/>
      <c r="AI8985" s="186"/>
      <c r="AK8985" s="171"/>
    </row>
    <row r="8986" spans="1:37" s="102" customFormat="1" ht="19.899999999999999" customHeight="1" x14ac:dyDescent="0.25">
      <c r="A8986" s="45"/>
      <c r="B8986" s="59"/>
      <c r="C8986" s="137"/>
      <c r="D8986" s="59"/>
      <c r="E8986" s="116"/>
      <c r="F8986" s="120"/>
      <c r="G8986" s="120"/>
      <c r="H8986" s="120"/>
      <c r="I8986" s="60"/>
      <c r="J8986" s="116"/>
      <c r="K8986" s="213"/>
      <c r="L8986" s="120"/>
      <c r="M8986" s="120"/>
      <c r="N8986" s="167"/>
      <c r="O8986" s="120"/>
      <c r="P8986" s="120"/>
      <c r="Q8986" s="120"/>
      <c r="R8986" s="120"/>
      <c r="S8986" s="120"/>
      <c r="T8986" s="221"/>
      <c r="U8986" s="89"/>
      <c r="V8986" s="61"/>
      <c r="W8986" s="92" t="s">
        <v>134</v>
      </c>
      <c r="X8986" s="93" t="s">
        <v>29</v>
      </c>
      <c r="Y8986" s="93" t="s">
        <v>93</v>
      </c>
      <c r="Z8986" s="134">
        <f>VLOOKUP(W8986,Sheet2!$B:$D,3,FALSE)</f>
        <v>65.599999999999994</v>
      </c>
      <c r="AA8986" s="93">
        <f>100/((3*3*3.5)-(3.14/4*1.5*1.5*3.5))</f>
        <v>3.9497395640474955</v>
      </c>
      <c r="AB8986" s="93">
        <f t="shared" ref="AB8986" si="6101">AD8986/AC8984</f>
        <v>16.608689999999999</v>
      </c>
      <c r="AC8986" s="93">
        <f>AC8984/AA8986</f>
        <v>3.1052680312499894</v>
      </c>
      <c r="AD8986" s="94">
        <f t="shared" si="6100"/>
        <v>203.70558284999927</v>
      </c>
      <c r="AE8986" s="190"/>
      <c r="AF8986" s="191"/>
      <c r="AG8986" s="191"/>
      <c r="AH8986" s="191"/>
      <c r="AI8986" s="186"/>
      <c r="AK8986" s="171"/>
    </row>
    <row r="8987" spans="1:37" s="102" customFormat="1" ht="19.899999999999999" customHeight="1" x14ac:dyDescent="0.25">
      <c r="A8987" s="45"/>
      <c r="B8987" s="59"/>
      <c r="C8987" s="137"/>
      <c r="D8987" s="59"/>
      <c r="E8987" s="116"/>
      <c r="F8987" s="120"/>
      <c r="G8987" s="120"/>
      <c r="H8987" s="120"/>
      <c r="I8987" s="60"/>
      <c r="J8987" s="116"/>
      <c r="K8987" s="213"/>
      <c r="L8987" s="120"/>
      <c r="M8987" s="120"/>
      <c r="N8987" s="167"/>
      <c r="O8987" s="120"/>
      <c r="P8987" s="120"/>
      <c r="Q8987" s="120"/>
      <c r="R8987" s="120"/>
      <c r="S8987" s="120"/>
      <c r="T8987" s="221"/>
      <c r="U8987" s="89"/>
      <c r="V8987" s="61"/>
      <c r="W8987" s="92" t="s">
        <v>65</v>
      </c>
      <c r="X8987" s="93" t="s">
        <v>30</v>
      </c>
      <c r="Y8987" s="93" t="s">
        <v>1011</v>
      </c>
      <c r="Z8987" s="134">
        <f>VLOOKUP(W8987,Sheet2!$B:$D,3,FALSE)</f>
        <v>1.76</v>
      </c>
      <c r="AA8987" s="93">
        <f>AA8986/9</f>
        <v>0.43885995156083285</v>
      </c>
      <c r="AB8987" s="93">
        <f>AD8987/AC8984</f>
        <v>4.0103910000000003</v>
      </c>
      <c r="AC8987" s="93">
        <f>AC8984/AA8987</f>
        <v>27.947412281249903</v>
      </c>
      <c r="AD8987" s="94">
        <f t="shared" si="6100"/>
        <v>49.187445614999831</v>
      </c>
      <c r="AE8987" s="190"/>
      <c r="AF8987" s="191"/>
      <c r="AG8987" s="191"/>
      <c r="AH8987" s="191"/>
      <c r="AI8987" s="186"/>
      <c r="AK8987" s="171"/>
    </row>
    <row r="8988" spans="1:37" s="102" customFormat="1" ht="19.899999999999999" customHeight="1" x14ac:dyDescent="0.25">
      <c r="A8988" s="45"/>
      <c r="B8988" s="59"/>
      <c r="C8988" s="137"/>
      <c r="D8988" s="59"/>
      <c r="E8988" s="116"/>
      <c r="F8988" s="120"/>
      <c r="G8988" s="120"/>
      <c r="H8988" s="120"/>
      <c r="I8988" s="60"/>
      <c r="J8988" s="116"/>
      <c r="K8988" s="213"/>
      <c r="L8988" s="120"/>
      <c r="M8988" s="120"/>
      <c r="N8988" s="167"/>
      <c r="O8988" s="120"/>
      <c r="P8988" s="120"/>
      <c r="Q8988" s="120"/>
      <c r="R8988" s="120"/>
      <c r="S8988" s="120"/>
      <c r="T8988" s="221"/>
      <c r="U8988" s="89"/>
      <c r="V8988" s="61"/>
      <c r="W8988" s="92" t="s">
        <v>161</v>
      </c>
      <c r="X8988" s="93" t="s">
        <v>29</v>
      </c>
      <c r="Y8988" s="93" t="s">
        <v>93</v>
      </c>
      <c r="Z8988" s="134">
        <f>VLOOKUP(W8988,Sheet2!$B:$D,3,FALSE)</f>
        <v>48</v>
      </c>
      <c r="AA8988" s="93">
        <f>(16*0.85*1.5)/((3*3*3.5)-(3.14/4*1.5*1.5*3.5))</f>
        <v>0.80574687106568899</v>
      </c>
      <c r="AB8988" s="93">
        <f>AD8988/AC8984</f>
        <v>59.572058823529424</v>
      </c>
      <c r="AC8988" s="93">
        <f>AC8984/AA8988</f>
        <v>15.221902113970538</v>
      </c>
      <c r="AD8988" s="94">
        <f>AC8988*Z8988</f>
        <v>730.65130147058585</v>
      </c>
      <c r="AE8988" s="190"/>
      <c r="AF8988" s="191"/>
      <c r="AG8988" s="191"/>
      <c r="AH8988" s="191"/>
      <c r="AI8988" s="186"/>
      <c r="AK8988" s="171"/>
    </row>
    <row r="8989" spans="1:37" s="102" customFormat="1" ht="19.899999999999999" customHeight="1" x14ac:dyDescent="0.25">
      <c r="A8989" s="45"/>
      <c r="B8989" s="59"/>
      <c r="C8989" s="137"/>
      <c r="D8989" s="59"/>
      <c r="E8989" s="116"/>
      <c r="F8989" s="120"/>
      <c r="G8989" s="120"/>
      <c r="H8989" s="120"/>
      <c r="I8989" s="60"/>
      <c r="J8989" s="116"/>
      <c r="K8989" s="213"/>
      <c r="L8989" s="120"/>
      <c r="M8989" s="120"/>
      <c r="N8989" s="167"/>
      <c r="O8989" s="120"/>
      <c r="P8989" s="120"/>
      <c r="Q8989" s="120"/>
      <c r="R8989" s="120"/>
      <c r="S8989" s="120"/>
      <c r="T8989" s="221"/>
      <c r="U8989" s="89"/>
      <c r="V8989" s="61"/>
      <c r="W8989" s="92" t="s">
        <v>65</v>
      </c>
      <c r="X8989" s="93" t="s">
        <v>30</v>
      </c>
      <c r="Y8989" s="93" t="s">
        <v>1011</v>
      </c>
      <c r="Z8989" s="134">
        <f>VLOOKUP(W8989,Sheet2!$B:$D,3,FALSE)</f>
        <v>1.76</v>
      </c>
      <c r="AA8989" s="93">
        <f>AA8988/10</f>
        <v>8.0574687106568899E-2</v>
      </c>
      <c r="AB8989" s="93">
        <f>AD8989/AC8984</f>
        <v>21.843088235294122</v>
      </c>
      <c r="AC8989" s="93">
        <f>AC8984/AA8989</f>
        <v>152.21902113970538</v>
      </c>
      <c r="AD8989" s="94">
        <f>AC8989*Z8989</f>
        <v>267.90547720588148</v>
      </c>
      <c r="AE8989" s="190"/>
      <c r="AF8989" s="191"/>
      <c r="AG8989" s="191"/>
      <c r="AH8989" s="191"/>
      <c r="AI8989" s="186"/>
      <c r="AK8989" s="171"/>
    </row>
    <row r="8990" spans="1:37" s="102" customFormat="1" ht="19.899999999999999" customHeight="1" x14ac:dyDescent="0.25">
      <c r="A8990" s="45"/>
      <c r="B8990" s="59"/>
      <c r="C8990" s="137"/>
      <c r="D8990" s="59"/>
      <c r="E8990" s="116"/>
      <c r="F8990" s="120"/>
      <c r="G8990" s="120"/>
      <c r="H8990" s="120"/>
      <c r="I8990" s="60"/>
      <c r="J8990" s="116"/>
      <c r="K8990" s="213"/>
      <c r="L8990" s="120"/>
      <c r="M8990" s="120"/>
      <c r="N8990" s="167"/>
      <c r="O8990" s="120"/>
      <c r="P8990" s="120"/>
      <c r="Q8990" s="120"/>
      <c r="R8990" s="120"/>
      <c r="S8990" s="120"/>
      <c r="T8990" s="221"/>
      <c r="U8990" s="89"/>
      <c r="V8990" s="61"/>
      <c r="W8990" s="92" t="s">
        <v>173</v>
      </c>
      <c r="X8990" s="93" t="s">
        <v>29</v>
      </c>
      <c r="Y8990" s="93" t="s">
        <v>93</v>
      </c>
      <c r="Z8990" s="134">
        <f>VLOOKUP(W8990,Sheet2!$B:$D,3,FALSE)</f>
        <v>36</v>
      </c>
      <c r="AA8990" s="93">
        <f>50/((3*3*3.5)-(3.14/4*1.5*1.5*3.5))</f>
        <v>1.9748697820237477</v>
      </c>
      <c r="AB8990" s="93">
        <f>AD8990/AC8984</f>
        <v>18.229050000000001</v>
      </c>
      <c r="AC8990" s="93">
        <f>AC8984/AA8990</f>
        <v>6.2105360624999788</v>
      </c>
      <c r="AD8990" s="94">
        <f>AC8990*Z8990</f>
        <v>223.57929824999923</v>
      </c>
      <c r="AE8990" s="190"/>
      <c r="AF8990" s="191"/>
      <c r="AG8990" s="191"/>
      <c r="AH8990" s="191"/>
      <c r="AI8990" s="186"/>
      <c r="AK8990" s="171"/>
    </row>
    <row r="8991" spans="1:37" s="102" customFormat="1" ht="19.899999999999999" customHeight="1" x14ac:dyDescent="0.25">
      <c r="A8991" s="45"/>
      <c r="B8991" s="59"/>
      <c r="C8991" s="137"/>
      <c r="D8991" s="59"/>
      <c r="E8991" s="116"/>
      <c r="F8991" s="120"/>
      <c r="G8991" s="120"/>
      <c r="H8991" s="120"/>
      <c r="I8991" s="60"/>
      <c r="J8991" s="116"/>
      <c r="K8991" s="213"/>
      <c r="L8991" s="120"/>
      <c r="M8991" s="120"/>
      <c r="N8991" s="167"/>
      <c r="O8991" s="120"/>
      <c r="P8991" s="120"/>
      <c r="Q8991" s="120"/>
      <c r="R8991" s="120"/>
      <c r="S8991" s="120"/>
      <c r="T8991" s="221"/>
      <c r="U8991" s="89"/>
      <c r="V8991" s="61"/>
      <c r="W8991" s="92" t="s">
        <v>65</v>
      </c>
      <c r="X8991" s="93" t="s">
        <v>30</v>
      </c>
      <c r="Y8991" s="93" t="s">
        <v>1011</v>
      </c>
      <c r="Z8991" s="134">
        <f>VLOOKUP(W8991,Sheet2!$B:$D,3,FALSE)</f>
        <v>1.76</v>
      </c>
      <c r="AA8991" s="93">
        <f>AA8990/9</f>
        <v>0.21942997578041643</v>
      </c>
      <c r="AB8991" s="93">
        <f>AD8991/AC8984</f>
        <v>8.0207820000000005</v>
      </c>
      <c r="AC8991" s="93">
        <f>AC8984/AA8991</f>
        <v>55.894824562499807</v>
      </c>
      <c r="AD8991" s="94">
        <f>AC8991*Z8991</f>
        <v>98.374891229999662</v>
      </c>
      <c r="AE8991" s="190"/>
      <c r="AF8991" s="191"/>
      <c r="AG8991" s="191"/>
      <c r="AH8991" s="191"/>
      <c r="AI8991" s="186"/>
      <c r="AK8991" s="171"/>
    </row>
    <row r="8992" spans="1:37" s="102" customFormat="1" ht="19.899999999999999" customHeight="1" x14ac:dyDescent="0.25">
      <c r="A8992" s="45"/>
      <c r="B8992" s="59"/>
      <c r="C8992" s="137"/>
      <c r="D8992" s="59"/>
      <c r="E8992" s="116"/>
      <c r="F8992" s="120"/>
      <c r="G8992" s="120"/>
      <c r="H8992" s="120"/>
      <c r="I8992" s="60"/>
      <c r="J8992" s="116"/>
      <c r="K8992" s="213"/>
      <c r="L8992" s="120"/>
      <c r="M8992" s="120"/>
      <c r="N8992" s="167"/>
      <c r="O8992" s="120"/>
      <c r="P8992" s="120"/>
      <c r="Q8992" s="120"/>
      <c r="R8992" s="120"/>
      <c r="S8992" s="120"/>
      <c r="T8992" s="221"/>
      <c r="U8992" s="89"/>
      <c r="V8992" s="61"/>
      <c r="W8992" s="92" t="s">
        <v>1030</v>
      </c>
      <c r="X8992" s="93" t="s">
        <v>29</v>
      </c>
      <c r="Y8992" s="93" t="s">
        <v>93</v>
      </c>
      <c r="Z8992" s="134">
        <f>VLOOKUP(W8992,Sheet2!$B:$D,3,FALSE)</f>
        <v>23</v>
      </c>
      <c r="AA8992" s="93">
        <f>1/(3.5*1)</f>
        <v>0.2857142857142857</v>
      </c>
      <c r="AB8992" s="93">
        <f>AD8992/AC8984</f>
        <v>80.5</v>
      </c>
      <c r="AC8992" s="93">
        <f>AC8984/AA8992</f>
        <v>42.927499999999853</v>
      </c>
      <c r="AD8992" s="94">
        <f t="shared" ref="AD8992:AD8993" si="6102">AC8992*Z8992</f>
        <v>987.33249999999657</v>
      </c>
      <c r="AE8992" s="190"/>
      <c r="AF8992" s="191"/>
      <c r="AG8992" s="191"/>
      <c r="AH8992" s="191"/>
      <c r="AI8992" s="186"/>
      <c r="AK8992" s="171"/>
    </row>
    <row r="8993" spans="1:41" s="102" customFormat="1" ht="19.899999999999999" customHeight="1" x14ac:dyDescent="0.25">
      <c r="A8993" s="45"/>
      <c r="B8993" s="59"/>
      <c r="C8993" s="137"/>
      <c r="D8993" s="59"/>
      <c r="E8993" s="116"/>
      <c r="F8993" s="120"/>
      <c r="G8993" s="120"/>
      <c r="H8993" s="120"/>
      <c r="I8993" s="60"/>
      <c r="J8993" s="116"/>
      <c r="K8993" s="213"/>
      <c r="L8993" s="120"/>
      <c r="M8993" s="120"/>
      <c r="N8993" s="167"/>
      <c r="O8993" s="120"/>
      <c r="P8993" s="120"/>
      <c r="Q8993" s="120"/>
      <c r="R8993" s="120"/>
      <c r="S8993" s="120"/>
      <c r="T8993" s="221"/>
      <c r="U8993" s="89"/>
      <c r="V8993" s="61"/>
      <c r="W8993" s="92" t="s">
        <v>65</v>
      </c>
      <c r="X8993" s="93" t="s">
        <v>30</v>
      </c>
      <c r="Y8993" s="93" t="s">
        <v>1011</v>
      </c>
      <c r="Z8993" s="134">
        <f>VLOOKUP(W8993,Sheet2!$B:$D,3,FALSE)</f>
        <v>1.76</v>
      </c>
      <c r="AA8993" s="93">
        <f>AA8992/3</f>
        <v>9.5238095238095233E-2</v>
      </c>
      <c r="AB8993" s="93">
        <f>AD8993/AC8984</f>
        <v>18.480000000000004</v>
      </c>
      <c r="AC8993" s="93">
        <f>AC8984/AA8993</f>
        <v>128.78249999999957</v>
      </c>
      <c r="AD8993" s="94">
        <f t="shared" si="6102"/>
        <v>226.65719999999925</v>
      </c>
      <c r="AE8993" s="190"/>
      <c r="AF8993" s="191"/>
      <c r="AG8993" s="191"/>
      <c r="AH8993" s="191"/>
      <c r="AI8993" s="186"/>
      <c r="AK8993" s="171"/>
    </row>
    <row r="8994" spans="1:41" ht="20.100000000000001" customHeight="1" x14ac:dyDescent="0.25">
      <c r="A8994" s="277" t="s">
        <v>703</v>
      </c>
      <c r="B8994" s="278"/>
      <c r="C8994" s="64" t="s">
        <v>817</v>
      </c>
      <c r="D8994" s="46" t="s">
        <v>215</v>
      </c>
      <c r="E8994" s="114">
        <v>3.8600000000000065</v>
      </c>
      <c r="F8994" s="44">
        <v>42863</v>
      </c>
      <c r="G8994" s="44">
        <f t="shared" si="5545"/>
        <v>165451.18000000028</v>
      </c>
      <c r="H8994" s="44">
        <f t="shared" si="5546"/>
        <v>10150.512960235297</v>
      </c>
      <c r="I8994" s="43">
        <f t="shared" si="5547"/>
        <v>39180.98002650831</v>
      </c>
      <c r="J8994" s="112">
        <f t="shared" si="5548"/>
        <v>3.8600000000000065</v>
      </c>
      <c r="K8994" s="211">
        <f t="shared" si="5549"/>
        <v>3.8600000000000065</v>
      </c>
      <c r="L8994" s="44"/>
      <c r="M8994" s="44">
        <f t="shared" si="5550"/>
        <v>3.8600000000000065</v>
      </c>
      <c r="N8994" s="173">
        <f t="shared" si="5551"/>
        <v>1</v>
      </c>
      <c r="O8994" s="44">
        <f t="shared" si="5552"/>
        <v>42863</v>
      </c>
      <c r="P8994" s="44">
        <f t="shared" si="5553"/>
        <v>165451.18000000028</v>
      </c>
      <c r="Q8994" s="44">
        <f t="shared" si="5554"/>
        <v>10150.512960235297</v>
      </c>
      <c r="R8994" s="44">
        <f t="shared" si="5555"/>
        <v>39180.98002650831</v>
      </c>
      <c r="S8994" s="123"/>
      <c r="T8994" s="219">
        <f t="shared" si="5556"/>
        <v>39180.98002650831</v>
      </c>
      <c r="U8994" s="87"/>
      <c r="V8994" s="47"/>
      <c r="W8994" s="48"/>
      <c r="X8994" s="48"/>
      <c r="Y8994" s="48"/>
      <c r="Z8994" s="135"/>
      <c r="AA8994" s="49"/>
      <c r="AB8994" s="50">
        <f t="shared" si="5557"/>
        <v>10150.512960235297</v>
      </c>
      <c r="AC8994" s="42">
        <f t="shared" si="5558"/>
        <v>3.8600000000000065</v>
      </c>
      <c r="AD8994" s="90">
        <f>AD8995+AD9000+AD9007+AD9014</f>
        <v>39180.98002650831</v>
      </c>
      <c r="AE8994" s="188">
        <f t="shared" ref="AE8994" si="6103">AE8995+AE9000+AE9007+AE9014</f>
        <v>0</v>
      </c>
      <c r="AF8994" s="189">
        <f t="shared" ref="AF8994" si="6104">AF8995+AF9000+AF9007+AF9014</f>
        <v>0</v>
      </c>
      <c r="AG8994" s="189">
        <f t="shared" ref="AG8994" si="6105">AG8995+AG9000+AG9007+AG9014</f>
        <v>0</v>
      </c>
      <c r="AH8994" s="189">
        <f t="shared" ref="AH8994" si="6106">AH8995+AH9000+AH9007+AH9014</f>
        <v>0</v>
      </c>
      <c r="AI8994" s="161">
        <f t="shared" ref="AI8994:AI8995" si="6107">SUM(AE8994:AH8994)</f>
        <v>0</v>
      </c>
      <c r="AK8994" s="169">
        <v>5</v>
      </c>
      <c r="AO8994" s="19" t="s">
        <v>63</v>
      </c>
    </row>
    <row r="8995" spans="1:41" s="103" customFormat="1" ht="19.899999999999999" customHeight="1" x14ac:dyDescent="0.25">
      <c r="A8995" s="51"/>
      <c r="B8995" s="52"/>
      <c r="C8995" s="165"/>
      <c r="D8995" s="52"/>
      <c r="E8995" s="115"/>
      <c r="F8995" s="58"/>
      <c r="G8995" s="58"/>
      <c r="H8995" s="58"/>
      <c r="I8995" s="55"/>
      <c r="J8995" s="113">
        <f>J8994</f>
        <v>3.8600000000000065</v>
      </c>
      <c r="K8995" s="212">
        <f>K8994</f>
        <v>3.8600000000000065</v>
      </c>
      <c r="L8995" s="58"/>
      <c r="M8995" s="58">
        <f>K8995-L8995</f>
        <v>3.8600000000000065</v>
      </c>
      <c r="N8995" s="166"/>
      <c r="O8995" s="58"/>
      <c r="P8995" s="58"/>
      <c r="Q8995" s="58"/>
      <c r="R8995" s="58"/>
      <c r="S8995" s="58"/>
      <c r="T8995" s="220"/>
      <c r="U8995" s="88"/>
      <c r="V8995" s="56"/>
      <c r="W8995" s="57" t="s">
        <v>1513</v>
      </c>
      <c r="X8995" s="53"/>
      <c r="Y8995" s="91" t="s">
        <v>35</v>
      </c>
      <c r="Z8995" s="136">
        <f>AD8995/AC8995</f>
        <v>144.79510588235294</v>
      </c>
      <c r="AA8995" s="58"/>
      <c r="AB8995" s="53">
        <f>AD8995/AC8995</f>
        <v>144.79510588235294</v>
      </c>
      <c r="AC8995" s="53">
        <f>M8995+$AE$10</f>
        <v>3.8600000000000065</v>
      </c>
      <c r="AD8995" s="54">
        <f>SUM(AD8996:AD8999)</f>
        <v>558.90910870588334</v>
      </c>
      <c r="AE8995" s="184">
        <f>SUMIFS($AD$37:$AD$12971,$V$37:$V$12971,$V8995,$X$37:$X$12971,AE$13)</f>
        <v>0</v>
      </c>
      <c r="AF8995" s="185">
        <f>SUMIFS($AD$37:$AD$12971,$V$37:$V$12971,$V8995,$X$37:$X$12971,AF$13)</f>
        <v>0</v>
      </c>
      <c r="AG8995" s="185">
        <f>SUMIFS($AD$37:$AD$12971,$V$37:$V$12971,$V8995,$X$37:$X$12971,AG$13)</f>
        <v>0</v>
      </c>
      <c r="AH8995" s="187">
        <f>SUMIFS($AD$37:$AD$12971,$V$37:$V$12971,$V8995,$X$37:$X$12971,AH$13)</f>
        <v>0</v>
      </c>
      <c r="AI8995" s="161">
        <f t="shared" si="6107"/>
        <v>0</v>
      </c>
      <c r="AK8995" s="172"/>
    </row>
    <row r="8996" spans="1:41" s="102" customFormat="1" ht="19.899999999999999" customHeight="1" x14ac:dyDescent="0.25">
      <c r="A8996" s="45"/>
      <c r="B8996" s="59"/>
      <c r="C8996" s="137"/>
      <c r="D8996" s="59"/>
      <c r="E8996" s="116"/>
      <c r="F8996" s="120"/>
      <c r="G8996" s="120"/>
      <c r="H8996" s="120"/>
      <c r="I8996" s="60"/>
      <c r="J8996" s="116"/>
      <c r="K8996" s="213"/>
      <c r="L8996" s="120"/>
      <c r="M8996" s="120"/>
      <c r="N8996" s="167"/>
      <c r="O8996" s="120"/>
      <c r="P8996" s="120"/>
      <c r="Q8996" s="120"/>
      <c r="R8996" s="120"/>
      <c r="S8996" s="120"/>
      <c r="T8996" s="221"/>
      <c r="U8996" s="89"/>
      <c r="V8996" s="61"/>
      <c r="W8996" s="92" t="s">
        <v>129</v>
      </c>
      <c r="X8996" s="93" t="s">
        <v>29</v>
      </c>
      <c r="Y8996" s="93" t="s">
        <v>93</v>
      </c>
      <c r="Z8996" s="134">
        <f>VLOOKUP(W8996,Sheet2!$B:$D,3,FALSE)</f>
        <v>56</v>
      </c>
      <c r="AA8996" s="93">
        <f>100/(3*3*4)</f>
        <v>2.7777777777777777</v>
      </c>
      <c r="AB8996" s="93">
        <f t="shared" ref="AB8996" si="6108">AD8996/AC8995</f>
        <v>20.160000000000004</v>
      </c>
      <c r="AC8996" s="93">
        <f>AC8995/AA8996</f>
        <v>1.3896000000000024</v>
      </c>
      <c r="AD8996" s="94">
        <f t="shared" ref="AD8996:AD8997" si="6109">AC8996*Z8996</f>
        <v>77.817600000000141</v>
      </c>
      <c r="AE8996" s="190"/>
      <c r="AF8996" s="191"/>
      <c r="AG8996" s="191"/>
      <c r="AH8996" s="191"/>
      <c r="AI8996" s="186"/>
      <c r="AK8996" s="171"/>
    </row>
    <row r="8997" spans="1:41" s="102" customFormat="1" ht="19.899999999999999" customHeight="1" x14ac:dyDescent="0.25">
      <c r="A8997" s="45"/>
      <c r="B8997" s="59"/>
      <c r="C8997" s="137"/>
      <c r="D8997" s="59"/>
      <c r="E8997" s="116"/>
      <c r="F8997" s="120"/>
      <c r="G8997" s="120"/>
      <c r="H8997" s="120"/>
      <c r="I8997" s="60"/>
      <c r="J8997" s="116"/>
      <c r="K8997" s="213"/>
      <c r="L8997" s="120"/>
      <c r="M8997" s="120"/>
      <c r="N8997" s="167"/>
      <c r="O8997" s="120"/>
      <c r="P8997" s="120"/>
      <c r="Q8997" s="120"/>
      <c r="R8997" s="120"/>
      <c r="S8997" s="120"/>
      <c r="T8997" s="221"/>
      <c r="U8997" s="89"/>
      <c r="V8997" s="61"/>
      <c r="W8997" s="92" t="s">
        <v>65</v>
      </c>
      <c r="X8997" s="93" t="s">
        <v>30</v>
      </c>
      <c r="Y8997" s="93" t="s">
        <v>1011</v>
      </c>
      <c r="Z8997" s="134">
        <f>VLOOKUP(W8997,Sheet2!$B:$D,3,FALSE)</f>
        <v>1.76</v>
      </c>
      <c r="AA8997" s="93">
        <f>AA8996/14</f>
        <v>0.1984126984126984</v>
      </c>
      <c r="AB8997" s="93">
        <f>AD8997/AC8995</f>
        <v>8.8704000000000018</v>
      </c>
      <c r="AC8997" s="93">
        <f>AC8995/AA8997</f>
        <v>19.454400000000035</v>
      </c>
      <c r="AD8997" s="94">
        <f t="shared" si="6109"/>
        <v>34.239744000000066</v>
      </c>
      <c r="AE8997" s="190"/>
      <c r="AF8997" s="191"/>
      <c r="AG8997" s="191"/>
      <c r="AH8997" s="191"/>
      <c r="AI8997" s="186"/>
      <c r="AK8997" s="171"/>
    </row>
    <row r="8998" spans="1:41" s="102" customFormat="1" ht="19.899999999999999" customHeight="1" x14ac:dyDescent="0.25">
      <c r="A8998" s="45"/>
      <c r="B8998" s="59"/>
      <c r="C8998" s="137"/>
      <c r="D8998" s="59"/>
      <c r="E8998" s="116"/>
      <c r="F8998" s="120"/>
      <c r="G8998" s="120"/>
      <c r="H8998" s="120"/>
      <c r="I8998" s="60"/>
      <c r="J8998" s="116"/>
      <c r="K8998" s="213"/>
      <c r="L8998" s="120"/>
      <c r="M8998" s="120"/>
      <c r="N8998" s="167"/>
      <c r="O8998" s="120"/>
      <c r="P8998" s="120"/>
      <c r="Q8998" s="120"/>
      <c r="R8998" s="120"/>
      <c r="S8998" s="120"/>
      <c r="T8998" s="221"/>
      <c r="U8998" s="89"/>
      <c r="V8998" s="61"/>
      <c r="W8998" s="92" t="s">
        <v>161</v>
      </c>
      <c r="X8998" s="93" t="s">
        <v>29</v>
      </c>
      <c r="Y8998" s="93" t="s">
        <v>93</v>
      </c>
      <c r="Z8998" s="134">
        <f>VLOOKUP(W8998,Sheet2!$B:$D,3,FALSE)</f>
        <v>48</v>
      </c>
      <c r="AA8998" s="93">
        <f>(16*0.85*1.5)/(3*3*4)</f>
        <v>0.56666666666666665</v>
      </c>
      <c r="AB8998" s="93">
        <f>AD8998/AC8995</f>
        <v>84.705882352941174</v>
      </c>
      <c r="AC8998" s="93">
        <f>AC8995/AA8998</f>
        <v>6.8117647058823643</v>
      </c>
      <c r="AD8998" s="94">
        <f>AC8998*Z8998</f>
        <v>326.96470588235348</v>
      </c>
      <c r="AE8998" s="190"/>
      <c r="AF8998" s="191"/>
      <c r="AG8998" s="191"/>
      <c r="AH8998" s="191"/>
      <c r="AI8998" s="186"/>
      <c r="AK8998" s="171"/>
    </row>
    <row r="8999" spans="1:41" s="102" customFormat="1" ht="19.899999999999999" customHeight="1" x14ac:dyDescent="0.25">
      <c r="A8999" s="45"/>
      <c r="B8999" s="59"/>
      <c r="C8999" s="137"/>
      <c r="D8999" s="59"/>
      <c r="E8999" s="116"/>
      <c r="F8999" s="120"/>
      <c r="G8999" s="120"/>
      <c r="H8999" s="120"/>
      <c r="I8999" s="60"/>
      <c r="J8999" s="116"/>
      <c r="K8999" s="213"/>
      <c r="L8999" s="120"/>
      <c r="M8999" s="120"/>
      <c r="N8999" s="167"/>
      <c r="O8999" s="120"/>
      <c r="P8999" s="120"/>
      <c r="Q8999" s="120"/>
      <c r="R8999" s="120"/>
      <c r="S8999" s="120"/>
      <c r="T8999" s="221"/>
      <c r="U8999" s="89"/>
      <c r="V8999" s="61"/>
      <c r="W8999" s="92" t="s">
        <v>65</v>
      </c>
      <c r="X8999" s="93" t="s">
        <v>30</v>
      </c>
      <c r="Y8999" s="93" t="s">
        <v>1011</v>
      </c>
      <c r="Z8999" s="134">
        <f>VLOOKUP(W8999,Sheet2!$B:$D,3,FALSE)</f>
        <v>1.76</v>
      </c>
      <c r="AA8999" s="93">
        <f>AA8998/10</f>
        <v>5.6666666666666664E-2</v>
      </c>
      <c r="AB8999" s="93">
        <f>AD8999/AC8995</f>
        <v>31.058823529411768</v>
      </c>
      <c r="AC8999" s="93">
        <f>AC8995/AA8999</f>
        <v>68.11764705882365</v>
      </c>
      <c r="AD8999" s="94">
        <f>AC8999*Z8999</f>
        <v>119.88705882352963</v>
      </c>
      <c r="AE8999" s="190"/>
      <c r="AF8999" s="191"/>
      <c r="AG8999" s="191"/>
      <c r="AH8999" s="191"/>
      <c r="AI8999" s="186"/>
      <c r="AK8999" s="171"/>
    </row>
    <row r="9000" spans="1:41" s="103" customFormat="1" ht="19.899999999999999" customHeight="1" x14ac:dyDescent="0.25">
      <c r="A9000" s="51"/>
      <c r="B9000" s="52"/>
      <c r="C9000" s="165"/>
      <c r="D9000" s="52"/>
      <c r="E9000" s="115"/>
      <c r="F9000" s="58"/>
      <c r="G9000" s="58"/>
      <c r="H9000" s="58"/>
      <c r="I9000" s="55"/>
      <c r="J9000" s="113">
        <f>J8994</f>
        <v>3.8600000000000065</v>
      </c>
      <c r="K9000" s="212">
        <f>K8994</f>
        <v>3.8600000000000065</v>
      </c>
      <c r="L9000" s="58"/>
      <c r="M9000" s="58">
        <f>K9000-L9000</f>
        <v>3.8600000000000065</v>
      </c>
      <c r="N9000" s="166"/>
      <c r="O9000" s="58"/>
      <c r="P9000" s="58"/>
      <c r="Q9000" s="58"/>
      <c r="R9000" s="58"/>
      <c r="S9000" s="58"/>
      <c r="T9000" s="220"/>
      <c r="U9000" s="88"/>
      <c r="V9000" s="56"/>
      <c r="W9000" s="57" t="s">
        <v>1486</v>
      </c>
      <c r="X9000" s="53"/>
      <c r="Y9000" s="91" t="s">
        <v>35</v>
      </c>
      <c r="Z9000" s="136">
        <f>AD9000/AC9000</f>
        <v>1883.8374999999999</v>
      </c>
      <c r="AA9000" s="58"/>
      <c r="AB9000" s="53">
        <f>AD9000/AC9000</f>
        <v>1883.8374999999999</v>
      </c>
      <c r="AC9000" s="53">
        <f>M9000+$AE$10</f>
        <v>3.8600000000000065</v>
      </c>
      <c r="AD9000" s="54">
        <f>SUM(AD9001:AD9006)</f>
        <v>7271.6127500000121</v>
      </c>
      <c r="AE9000" s="184">
        <f>SUMIFS($AD$37:$AD$12971,$V$37:$V$12971,$V9000,$X$37:$X$12971,AE$13)</f>
        <v>0</v>
      </c>
      <c r="AF9000" s="185">
        <f>SUMIFS($AD$37:$AD$12971,$V$37:$V$12971,$V9000,$X$37:$X$12971,AF$13)</f>
        <v>0</v>
      </c>
      <c r="AG9000" s="185">
        <f>SUMIFS($AD$37:$AD$12971,$V$37:$V$12971,$V9000,$X$37:$X$12971,AG$13)</f>
        <v>0</v>
      </c>
      <c r="AH9000" s="187">
        <f>SUMIFS($AD$37:$AD$12971,$V$37:$V$12971,$V9000,$X$37:$X$12971,AH$13)</f>
        <v>0</v>
      </c>
      <c r="AI9000" s="161">
        <f t="shared" ref="AI9000" si="6110">SUM(AE9000:AH9000)</f>
        <v>0</v>
      </c>
      <c r="AK9000" s="172"/>
    </row>
    <row r="9001" spans="1:41" s="102" customFormat="1" ht="19.899999999999999" customHeight="1" x14ac:dyDescent="0.25">
      <c r="A9001" s="45"/>
      <c r="B9001" s="59"/>
      <c r="C9001" s="137"/>
      <c r="D9001" s="59"/>
      <c r="E9001" s="116"/>
      <c r="F9001" s="120"/>
      <c r="G9001" s="120"/>
      <c r="H9001" s="120"/>
      <c r="I9001" s="60"/>
      <c r="J9001" s="116"/>
      <c r="K9001" s="213"/>
      <c r="L9001" s="120"/>
      <c r="M9001" s="120"/>
      <c r="N9001" s="167"/>
      <c r="O9001" s="120"/>
      <c r="P9001" s="120"/>
      <c r="Q9001" s="120"/>
      <c r="R9001" s="120"/>
      <c r="S9001" s="120"/>
      <c r="T9001" s="221"/>
      <c r="U9001" s="89"/>
      <c r="V9001" s="61"/>
      <c r="W9001" s="92" t="s">
        <v>1032</v>
      </c>
      <c r="X9001" s="93" t="s">
        <v>30</v>
      </c>
      <c r="Y9001" s="93" t="s">
        <v>66</v>
      </c>
      <c r="Z9001" s="134">
        <f>VLOOKUP(W9001,Sheet2!$B:$D,3,FALSE)</f>
        <v>250</v>
      </c>
      <c r="AA9001" s="93">
        <f>1/(2.4*2.4*0.1)</f>
        <v>1.7361111111111112</v>
      </c>
      <c r="AB9001" s="93">
        <f>AD9001/AC9007</f>
        <v>144</v>
      </c>
      <c r="AC9001" s="93">
        <f>AC9007/AA9001</f>
        <v>2.2233600000000036</v>
      </c>
      <c r="AD9001" s="94">
        <f t="shared" ref="AD9001:AD9003" si="6111">AC9001*Z9001</f>
        <v>555.84000000000094</v>
      </c>
      <c r="AE9001" s="190"/>
      <c r="AF9001" s="191"/>
      <c r="AG9001" s="191"/>
      <c r="AH9001" s="191"/>
      <c r="AI9001" s="186"/>
      <c r="AK9001" s="171"/>
    </row>
    <row r="9002" spans="1:41" s="102" customFormat="1" ht="19.899999999999999" customHeight="1" x14ac:dyDescent="0.25">
      <c r="A9002" s="45"/>
      <c r="B9002" s="59"/>
      <c r="C9002" s="137"/>
      <c r="D9002" s="59"/>
      <c r="E9002" s="116"/>
      <c r="F9002" s="120"/>
      <c r="G9002" s="120"/>
      <c r="H9002" s="120"/>
      <c r="I9002" s="60"/>
      <c r="J9002" s="116"/>
      <c r="K9002" s="213"/>
      <c r="L9002" s="120"/>
      <c r="M9002" s="120"/>
      <c r="N9002" s="167"/>
      <c r="O9002" s="120"/>
      <c r="P9002" s="120"/>
      <c r="Q9002" s="120"/>
      <c r="R9002" s="120"/>
      <c r="S9002" s="120"/>
      <c r="T9002" s="221"/>
      <c r="U9002" s="89"/>
      <c r="V9002" s="61"/>
      <c r="W9002" s="92" t="s">
        <v>1353</v>
      </c>
      <c r="X9002" s="93" t="s">
        <v>30</v>
      </c>
      <c r="Y9002" s="93" t="s">
        <v>66</v>
      </c>
      <c r="Z9002" s="134">
        <f>VLOOKUP(W9002,Sheet2!$B:$D,3,FALSE)</f>
        <v>350</v>
      </c>
      <c r="AA9002" s="93">
        <f>1/(2.3*2.3*0.3)</f>
        <v>0.63011972274732209</v>
      </c>
      <c r="AB9002" s="93">
        <f>AD9002/AC9007</f>
        <v>555.44999999999993</v>
      </c>
      <c r="AC9002" s="93">
        <f>AC9007/AA9002</f>
        <v>6.1258200000000098</v>
      </c>
      <c r="AD9002" s="94">
        <f t="shared" si="6111"/>
        <v>2144.0370000000034</v>
      </c>
      <c r="AE9002" s="190"/>
      <c r="AF9002" s="191"/>
      <c r="AG9002" s="191"/>
      <c r="AH9002" s="191"/>
      <c r="AI9002" s="186"/>
      <c r="AK9002" s="171"/>
    </row>
    <row r="9003" spans="1:41" s="102" customFormat="1" ht="19.899999999999999" customHeight="1" x14ac:dyDescent="0.25">
      <c r="A9003" s="45"/>
      <c r="B9003" s="59"/>
      <c r="C9003" s="137"/>
      <c r="D9003" s="59"/>
      <c r="E9003" s="116"/>
      <c r="F9003" s="120"/>
      <c r="G9003" s="120"/>
      <c r="H9003" s="120"/>
      <c r="I9003" s="60"/>
      <c r="J9003" s="116"/>
      <c r="K9003" s="213"/>
      <c r="L9003" s="120"/>
      <c r="M9003" s="120"/>
      <c r="N9003" s="167"/>
      <c r="O9003" s="120"/>
      <c r="P9003" s="120"/>
      <c r="Q9003" s="120"/>
      <c r="R9003" s="120"/>
      <c r="S9003" s="120"/>
      <c r="T9003" s="221"/>
      <c r="U9003" s="89"/>
      <c r="V9003" s="61"/>
      <c r="W9003" s="92" t="s">
        <v>99</v>
      </c>
      <c r="X9003" s="93" t="s">
        <v>30</v>
      </c>
      <c r="Y9003" s="93" t="s">
        <v>67</v>
      </c>
      <c r="Z9003" s="134">
        <f>VLOOKUP(W9003,Sheet2!$B:$D,3,FALSE)</f>
        <v>2500</v>
      </c>
      <c r="AA9003" s="93">
        <f>AA9002/0.08</f>
        <v>7.8764965343415261</v>
      </c>
      <c r="AB9003" s="93">
        <f>AD9003/AC9007</f>
        <v>317.39999999999992</v>
      </c>
      <c r="AC9003" s="93">
        <f>AC9007/AA9003</f>
        <v>0.49006560000000077</v>
      </c>
      <c r="AD9003" s="94">
        <f t="shared" si="6111"/>
        <v>1225.1640000000018</v>
      </c>
      <c r="AE9003" s="190"/>
      <c r="AF9003" s="191"/>
      <c r="AG9003" s="191"/>
      <c r="AH9003" s="191"/>
      <c r="AI9003" s="186"/>
      <c r="AK9003" s="171"/>
    </row>
    <row r="9004" spans="1:41" s="102" customFormat="1" ht="19.899999999999999" customHeight="1" x14ac:dyDescent="0.25">
      <c r="A9004" s="45"/>
      <c r="B9004" s="59"/>
      <c r="C9004" s="137"/>
      <c r="D9004" s="59"/>
      <c r="E9004" s="116"/>
      <c r="F9004" s="120"/>
      <c r="G9004" s="120"/>
      <c r="H9004" s="120"/>
      <c r="I9004" s="60"/>
      <c r="J9004" s="116"/>
      <c r="K9004" s="213"/>
      <c r="L9004" s="120"/>
      <c r="M9004" s="120"/>
      <c r="N9004" s="167"/>
      <c r="O9004" s="120"/>
      <c r="P9004" s="120"/>
      <c r="Q9004" s="120"/>
      <c r="R9004" s="120"/>
      <c r="S9004" s="120"/>
      <c r="T9004" s="221"/>
      <c r="U9004" s="89"/>
      <c r="V9004" s="61"/>
      <c r="W9004" s="92" t="s">
        <v>1354</v>
      </c>
      <c r="X9004" s="93" t="s">
        <v>32</v>
      </c>
      <c r="Y9004" s="93" t="s">
        <v>66</v>
      </c>
      <c r="Z9004" s="134">
        <f>VLOOKUP(W9004,Sheet2!$B:$D,3,FALSE)</f>
        <v>150</v>
      </c>
      <c r="AA9004" s="93">
        <f>AA9001</f>
        <v>1.7361111111111112</v>
      </c>
      <c r="AB9004" s="93">
        <f>AD9004/AC9007</f>
        <v>86.399999999999991</v>
      </c>
      <c r="AC9004" s="93">
        <f>AC9007/AA9004</f>
        <v>2.2233600000000036</v>
      </c>
      <c r="AD9004" s="94">
        <f>AC9004*Z9004</f>
        <v>333.50400000000053</v>
      </c>
      <c r="AE9004" s="190"/>
      <c r="AF9004" s="191"/>
      <c r="AG9004" s="191"/>
      <c r="AH9004" s="191"/>
      <c r="AI9004" s="186"/>
      <c r="AK9004" s="171"/>
    </row>
    <row r="9005" spans="1:41" s="102" customFormat="1" ht="19.899999999999999" customHeight="1" x14ac:dyDescent="0.25">
      <c r="A9005" s="45"/>
      <c r="B9005" s="59"/>
      <c r="C9005" s="137"/>
      <c r="D9005" s="59"/>
      <c r="E9005" s="116"/>
      <c r="F9005" s="120"/>
      <c r="G9005" s="120"/>
      <c r="H9005" s="120"/>
      <c r="I9005" s="60"/>
      <c r="J9005" s="116"/>
      <c r="K9005" s="213"/>
      <c r="L9005" s="120"/>
      <c r="M9005" s="120"/>
      <c r="N9005" s="167"/>
      <c r="O9005" s="120"/>
      <c r="P9005" s="120"/>
      <c r="Q9005" s="120"/>
      <c r="R9005" s="120"/>
      <c r="S9005" s="120"/>
      <c r="T9005" s="221"/>
      <c r="U9005" s="89"/>
      <c r="V9005" s="61"/>
      <c r="W9005" s="92" t="s">
        <v>1355</v>
      </c>
      <c r="X9005" s="93" t="s">
        <v>32</v>
      </c>
      <c r="Y9005" s="93" t="s">
        <v>66</v>
      </c>
      <c r="Z9005" s="134">
        <f>VLOOKUP(W9005,Sheet2!$B:$D,3,FALSE)</f>
        <v>450</v>
      </c>
      <c r="AA9005" s="93">
        <f>AA9002</f>
        <v>0.63011972274732209</v>
      </c>
      <c r="AB9005" s="93">
        <f>AD9005/AC9007</f>
        <v>714.14999999999986</v>
      </c>
      <c r="AC9005" s="93">
        <f>AC9007/AA9005</f>
        <v>6.1258200000000098</v>
      </c>
      <c r="AD9005" s="94">
        <f>AC9005*Z9005</f>
        <v>2756.6190000000042</v>
      </c>
      <c r="AE9005" s="190"/>
      <c r="AF9005" s="191"/>
      <c r="AG9005" s="191"/>
      <c r="AH9005" s="191"/>
      <c r="AI9005" s="186"/>
      <c r="AK9005" s="171"/>
    </row>
    <row r="9006" spans="1:41" s="102" customFormat="1" ht="19.899999999999999" customHeight="1" x14ac:dyDescent="0.25">
      <c r="A9006" s="45"/>
      <c r="B9006" s="59"/>
      <c r="C9006" s="137"/>
      <c r="D9006" s="59"/>
      <c r="E9006" s="116"/>
      <c r="F9006" s="120"/>
      <c r="G9006" s="120"/>
      <c r="H9006" s="120"/>
      <c r="I9006" s="60"/>
      <c r="J9006" s="116"/>
      <c r="K9006" s="213"/>
      <c r="L9006" s="120"/>
      <c r="M9006" s="120"/>
      <c r="N9006" s="167"/>
      <c r="O9006" s="120"/>
      <c r="P9006" s="120"/>
      <c r="Q9006" s="120"/>
      <c r="R9006" s="120"/>
      <c r="S9006" s="120"/>
      <c r="T9006" s="221"/>
      <c r="U9006" s="89"/>
      <c r="V9006" s="61"/>
      <c r="W9006" s="92" t="s">
        <v>124</v>
      </c>
      <c r="X9006" s="93" t="s">
        <v>32</v>
      </c>
      <c r="Y9006" s="93" t="s">
        <v>64</v>
      </c>
      <c r="Z9006" s="134">
        <f>VLOOKUP(W9006,Sheet2!$B:$D,3,FALSE)</f>
        <v>10</v>
      </c>
      <c r="AA9006" s="93">
        <f>1/((2.9*2.9)-(3.14*1.5*1.5/4))</f>
        <v>0.15051740357478832</v>
      </c>
      <c r="AB9006" s="93">
        <f t="shared" ref="AB9006" si="6112">AD9006/AC9000</f>
        <v>66.437500000000014</v>
      </c>
      <c r="AC9006" s="93">
        <f>AC9000/AA9006</f>
        <v>25.644875000000045</v>
      </c>
      <c r="AD9006" s="94">
        <f t="shared" ref="AD9006" si="6113">AC9006*Z9006</f>
        <v>256.44875000000047</v>
      </c>
      <c r="AE9006" s="190"/>
      <c r="AF9006" s="191"/>
      <c r="AG9006" s="191"/>
      <c r="AH9006" s="191"/>
      <c r="AI9006" s="186"/>
      <c r="AK9006" s="171"/>
    </row>
    <row r="9007" spans="1:41" s="103" customFormat="1" ht="19.899999999999999" customHeight="1" x14ac:dyDescent="0.25">
      <c r="A9007" s="51"/>
      <c r="B9007" s="52"/>
      <c r="C9007" s="165"/>
      <c r="D9007" s="52"/>
      <c r="E9007" s="115"/>
      <c r="F9007" s="58"/>
      <c r="G9007" s="58"/>
      <c r="H9007" s="58"/>
      <c r="I9007" s="55"/>
      <c r="J9007" s="113">
        <f>J8994</f>
        <v>3.8600000000000065</v>
      </c>
      <c r="K9007" s="212">
        <f>K8994</f>
        <v>3.8600000000000065</v>
      </c>
      <c r="L9007" s="58"/>
      <c r="M9007" s="58">
        <f>K9007-L9007</f>
        <v>3.8600000000000065</v>
      </c>
      <c r="N9007" s="166"/>
      <c r="O9007" s="58"/>
      <c r="P9007" s="58"/>
      <c r="Q9007" s="58"/>
      <c r="R9007" s="58"/>
      <c r="S9007" s="58"/>
      <c r="T9007" s="220"/>
      <c r="U9007" s="88"/>
      <c r="V9007" s="56"/>
      <c r="W9007" s="57" t="s">
        <v>1275</v>
      </c>
      <c r="X9007" s="53"/>
      <c r="Y9007" s="91" t="s">
        <v>35</v>
      </c>
      <c r="Z9007" s="136">
        <f>AD9007/AC9007</f>
        <v>7572.8000000000011</v>
      </c>
      <c r="AA9007" s="58"/>
      <c r="AB9007" s="53">
        <f>AD9007/AC9007</f>
        <v>7572.8000000000011</v>
      </c>
      <c r="AC9007" s="53">
        <f>M9007+$AE$10</f>
        <v>3.8600000000000065</v>
      </c>
      <c r="AD9007" s="54">
        <f>SUM(AD9008:AD9013)</f>
        <v>29231.008000000053</v>
      </c>
      <c r="AE9007" s="184">
        <f>SUMIFS($AD$37:$AD$12971,$V$37:$V$12971,$V9007,$X$37:$X$12971,AE$13)</f>
        <v>0</v>
      </c>
      <c r="AF9007" s="185">
        <f>SUMIFS($AD$37:$AD$12971,$V$37:$V$12971,$V9007,$X$37:$X$12971,AF$13)</f>
        <v>0</v>
      </c>
      <c r="AG9007" s="185">
        <f>SUMIFS($AD$37:$AD$12971,$V$37:$V$12971,$V9007,$X$37:$X$12971,AG$13)</f>
        <v>0</v>
      </c>
      <c r="AH9007" s="187">
        <f>SUMIFS($AD$37:$AD$12971,$V$37:$V$12971,$V9007,$X$37:$X$12971,AH$13)</f>
        <v>0</v>
      </c>
      <c r="AI9007" s="161">
        <f t="shared" ref="AI9007" si="6114">SUM(AE9007:AH9007)</f>
        <v>0</v>
      </c>
      <c r="AK9007" s="172"/>
    </row>
    <row r="9008" spans="1:41" s="102" customFormat="1" ht="19.899999999999999" customHeight="1" x14ac:dyDescent="0.25">
      <c r="A9008" s="45"/>
      <c r="B9008" s="59"/>
      <c r="C9008" s="137"/>
      <c r="D9008" s="59"/>
      <c r="E9008" s="116"/>
      <c r="F9008" s="120"/>
      <c r="G9008" s="120"/>
      <c r="H9008" s="120"/>
      <c r="I9008" s="60"/>
      <c r="J9008" s="116"/>
      <c r="K9008" s="213"/>
      <c r="L9008" s="120"/>
      <c r="M9008" s="120"/>
      <c r="N9008" s="167"/>
      <c r="O9008" s="120"/>
      <c r="P9008" s="120"/>
      <c r="Q9008" s="120"/>
      <c r="R9008" s="120"/>
      <c r="S9008" s="120"/>
      <c r="T9008" s="221"/>
      <c r="U9008" s="89"/>
      <c r="V9008" s="61"/>
      <c r="W9008" s="92" t="s">
        <v>1498</v>
      </c>
      <c r="X9008" s="93" t="s">
        <v>30</v>
      </c>
      <c r="Y9008" s="93" t="s">
        <v>35</v>
      </c>
      <c r="Z9008" s="134">
        <f>VLOOKUP(W9008,Sheet2!$B:$D,3,FALSE)</f>
        <v>5800</v>
      </c>
      <c r="AA9008" s="93">
        <v>1</v>
      </c>
      <c r="AB9008" s="93">
        <f>AD9008/AC9007</f>
        <v>5800</v>
      </c>
      <c r="AC9008" s="93">
        <f>AC9007/AA9008</f>
        <v>3.8600000000000065</v>
      </c>
      <c r="AD9008" s="94">
        <f t="shared" ref="AD9008:AD9009" si="6115">AC9008*Z9008</f>
        <v>22388.000000000036</v>
      </c>
      <c r="AE9008" s="190"/>
      <c r="AF9008" s="191"/>
      <c r="AG9008" s="191"/>
      <c r="AH9008" s="191"/>
      <c r="AI9008" s="186"/>
      <c r="AK9008" s="171"/>
    </row>
    <row r="9009" spans="1:41" s="102" customFormat="1" ht="19.899999999999999" customHeight="1" x14ac:dyDescent="0.25">
      <c r="A9009" s="45"/>
      <c r="B9009" s="59"/>
      <c r="C9009" s="137"/>
      <c r="D9009" s="59"/>
      <c r="E9009" s="116"/>
      <c r="F9009" s="120"/>
      <c r="G9009" s="120"/>
      <c r="H9009" s="120"/>
      <c r="I9009" s="60"/>
      <c r="J9009" s="116"/>
      <c r="K9009" s="213"/>
      <c r="L9009" s="120"/>
      <c r="M9009" s="120"/>
      <c r="N9009" s="167"/>
      <c r="O9009" s="120"/>
      <c r="P9009" s="120"/>
      <c r="Q9009" s="120"/>
      <c r="R9009" s="120"/>
      <c r="S9009" s="120"/>
      <c r="T9009" s="221"/>
      <c r="U9009" s="89"/>
      <c r="V9009" s="61"/>
      <c r="W9009" s="92" t="s">
        <v>174</v>
      </c>
      <c r="X9009" s="93" t="s">
        <v>29</v>
      </c>
      <c r="Y9009" s="93" t="s">
        <v>93</v>
      </c>
      <c r="Z9009" s="134">
        <f>VLOOKUP(W9009,Sheet2!$B:$D,3,FALSE)</f>
        <v>80</v>
      </c>
      <c r="AA9009" s="93">
        <f>1/2</f>
        <v>0.5</v>
      </c>
      <c r="AB9009" s="93">
        <f>AD9009/AC9007</f>
        <v>160</v>
      </c>
      <c r="AC9009" s="93">
        <f>AC9007/AA9009</f>
        <v>7.7200000000000131</v>
      </c>
      <c r="AD9009" s="94">
        <f t="shared" si="6115"/>
        <v>617.60000000000105</v>
      </c>
      <c r="AE9009" s="190"/>
      <c r="AF9009" s="191"/>
      <c r="AG9009" s="191"/>
      <c r="AH9009" s="191"/>
      <c r="AI9009" s="186"/>
      <c r="AK9009" s="171"/>
    </row>
    <row r="9010" spans="1:41" s="102" customFormat="1" ht="19.899999999999999" customHeight="1" x14ac:dyDescent="0.25">
      <c r="A9010" s="45"/>
      <c r="B9010" s="59"/>
      <c r="C9010" s="137"/>
      <c r="D9010" s="59"/>
      <c r="E9010" s="116"/>
      <c r="F9010" s="120"/>
      <c r="G9010" s="120"/>
      <c r="H9010" s="120"/>
      <c r="I9010" s="60"/>
      <c r="J9010" s="116"/>
      <c r="K9010" s="213"/>
      <c r="L9010" s="120"/>
      <c r="M9010" s="120"/>
      <c r="N9010" s="167"/>
      <c r="O9010" s="120"/>
      <c r="P9010" s="120"/>
      <c r="Q9010" s="120"/>
      <c r="R9010" s="120"/>
      <c r="S9010" s="120"/>
      <c r="T9010" s="221"/>
      <c r="U9010" s="89"/>
      <c r="V9010" s="61"/>
      <c r="W9010" s="92" t="s">
        <v>65</v>
      </c>
      <c r="X9010" s="93" t="s">
        <v>30</v>
      </c>
      <c r="Y9010" s="93" t="s">
        <v>93</v>
      </c>
      <c r="Z9010" s="134">
        <f>VLOOKUP(W9010,Sheet2!$B:$D,3,FALSE)</f>
        <v>1.76</v>
      </c>
      <c r="AA9010" s="93">
        <f>AA9009/15</f>
        <v>3.3333333333333333E-2</v>
      </c>
      <c r="AB9010" s="93">
        <f>AD9010/AC9007</f>
        <v>52.8</v>
      </c>
      <c r="AC9010" s="93">
        <f>AC9007/AA9010</f>
        <v>115.8000000000002</v>
      </c>
      <c r="AD9010" s="94">
        <f>AC9010*Z9010</f>
        <v>203.80800000000033</v>
      </c>
      <c r="AE9010" s="190"/>
      <c r="AF9010" s="191"/>
      <c r="AG9010" s="191"/>
      <c r="AH9010" s="191"/>
      <c r="AI9010" s="186"/>
      <c r="AK9010" s="171"/>
    </row>
    <row r="9011" spans="1:41" s="102" customFormat="1" ht="19.899999999999999" customHeight="1" x14ac:dyDescent="0.25">
      <c r="A9011" s="45"/>
      <c r="B9011" s="59"/>
      <c r="C9011" s="137"/>
      <c r="D9011" s="59"/>
      <c r="E9011" s="116"/>
      <c r="F9011" s="120"/>
      <c r="G9011" s="120"/>
      <c r="H9011" s="120"/>
      <c r="I9011" s="60"/>
      <c r="J9011" s="116"/>
      <c r="K9011" s="213"/>
      <c r="L9011" s="120"/>
      <c r="M9011" s="120"/>
      <c r="N9011" s="167"/>
      <c r="O9011" s="120"/>
      <c r="P9011" s="120"/>
      <c r="Q9011" s="120"/>
      <c r="R9011" s="120"/>
      <c r="S9011" s="120"/>
      <c r="T9011" s="221"/>
      <c r="U9011" s="89"/>
      <c r="V9011" s="61"/>
      <c r="W9011" s="92" t="s">
        <v>1487</v>
      </c>
      <c r="X9011" s="93" t="s">
        <v>32</v>
      </c>
      <c r="Y9011" s="93" t="s">
        <v>1349</v>
      </c>
      <c r="Z9011" s="134">
        <f>VLOOKUP(W9011,Sheet2!$B:$D,3,FALSE)</f>
        <v>1500</v>
      </c>
      <c r="AA9011" s="93">
        <v>1</v>
      </c>
      <c r="AB9011" s="93">
        <f>AD9011/AC9007</f>
        <v>1500</v>
      </c>
      <c r="AC9011" s="93">
        <f>AC9007/AA9011</f>
        <v>3.8600000000000065</v>
      </c>
      <c r="AD9011" s="94">
        <f>AC9011*Z9011</f>
        <v>5790.00000000001</v>
      </c>
      <c r="AE9011" s="190"/>
      <c r="AF9011" s="191"/>
      <c r="AG9011" s="191"/>
      <c r="AH9011" s="191"/>
      <c r="AI9011" s="186"/>
      <c r="AK9011" s="171"/>
    </row>
    <row r="9012" spans="1:41" s="102" customFormat="1" ht="19.899999999999999" customHeight="1" x14ac:dyDescent="0.25">
      <c r="A9012" s="45"/>
      <c r="B9012" s="59"/>
      <c r="C9012" s="137"/>
      <c r="D9012" s="59"/>
      <c r="E9012" s="116"/>
      <c r="F9012" s="120"/>
      <c r="G9012" s="120"/>
      <c r="H9012" s="120"/>
      <c r="I9012" s="60"/>
      <c r="J9012" s="116"/>
      <c r="K9012" s="213"/>
      <c r="L9012" s="120"/>
      <c r="M9012" s="120"/>
      <c r="N9012" s="167"/>
      <c r="O9012" s="120"/>
      <c r="P9012" s="120"/>
      <c r="Q9012" s="120"/>
      <c r="R9012" s="120"/>
      <c r="S9012" s="120"/>
      <c r="T9012" s="221"/>
      <c r="U9012" s="89"/>
      <c r="V9012" s="61"/>
      <c r="W9012" s="92" t="s">
        <v>107</v>
      </c>
      <c r="X9012" s="93" t="s">
        <v>31</v>
      </c>
      <c r="Y9012" s="93" t="s">
        <v>93</v>
      </c>
      <c r="Z9012" s="134">
        <f>VLOOKUP(W9012,Sheet2!$B:$D,3,FALSE)</f>
        <v>17</v>
      </c>
      <c r="AA9012" s="93">
        <f>AA9009</f>
        <v>0.5</v>
      </c>
      <c r="AB9012" s="93">
        <f>AD9012/AC9007</f>
        <v>34.000000000000007</v>
      </c>
      <c r="AC9012" s="93">
        <f>AC9007/AA9012</f>
        <v>7.7200000000000131</v>
      </c>
      <c r="AD9012" s="94">
        <f>AC9012*Z9012</f>
        <v>131.24000000000024</v>
      </c>
      <c r="AE9012" s="190"/>
      <c r="AF9012" s="191"/>
      <c r="AG9012" s="191"/>
      <c r="AH9012" s="191"/>
      <c r="AI9012" s="186"/>
      <c r="AK9012" s="171"/>
    </row>
    <row r="9013" spans="1:41" s="102" customFormat="1" ht="19.899999999999999" customHeight="1" x14ac:dyDescent="0.25">
      <c r="A9013" s="45"/>
      <c r="B9013" s="59"/>
      <c r="C9013" s="137"/>
      <c r="D9013" s="59"/>
      <c r="E9013" s="116"/>
      <c r="F9013" s="120"/>
      <c r="G9013" s="120"/>
      <c r="H9013" s="120"/>
      <c r="I9013" s="60"/>
      <c r="J9013" s="116"/>
      <c r="K9013" s="213"/>
      <c r="L9013" s="120"/>
      <c r="M9013" s="120"/>
      <c r="N9013" s="167"/>
      <c r="O9013" s="120"/>
      <c r="P9013" s="120"/>
      <c r="Q9013" s="120"/>
      <c r="R9013" s="120"/>
      <c r="S9013" s="120"/>
      <c r="T9013" s="221"/>
      <c r="U9013" s="89"/>
      <c r="V9013" s="61"/>
      <c r="W9013" s="92" t="s">
        <v>112</v>
      </c>
      <c r="X9013" s="93" t="s">
        <v>31</v>
      </c>
      <c r="Y9013" s="93" t="s">
        <v>93</v>
      </c>
      <c r="Z9013" s="134">
        <f>VLOOKUP(W9013,Sheet2!$B:$D,3,FALSE)</f>
        <v>13</v>
      </c>
      <c r="AA9013" s="93">
        <f>AA9012</f>
        <v>0.5</v>
      </c>
      <c r="AB9013" s="93">
        <f>AD9013/AC9007</f>
        <v>26</v>
      </c>
      <c r="AC9013" s="93">
        <f>AC9007/AA9013</f>
        <v>7.7200000000000131</v>
      </c>
      <c r="AD9013" s="94">
        <f>AC9013*Z9013</f>
        <v>100.36000000000017</v>
      </c>
      <c r="AE9013" s="190"/>
      <c r="AF9013" s="191"/>
      <c r="AG9013" s="191"/>
      <c r="AH9013" s="191"/>
      <c r="AI9013" s="186"/>
      <c r="AK9013" s="171"/>
    </row>
    <row r="9014" spans="1:41" s="103" customFormat="1" ht="19.899999999999999" customHeight="1" x14ac:dyDescent="0.25">
      <c r="A9014" s="51"/>
      <c r="B9014" s="52"/>
      <c r="C9014" s="165"/>
      <c r="D9014" s="52"/>
      <c r="E9014" s="115"/>
      <c r="F9014" s="58"/>
      <c r="G9014" s="58"/>
      <c r="H9014" s="58"/>
      <c r="I9014" s="55"/>
      <c r="J9014" s="113">
        <f>J8994</f>
        <v>3.8600000000000065</v>
      </c>
      <c r="K9014" s="212">
        <f>K8994</f>
        <v>3.8600000000000065</v>
      </c>
      <c r="L9014" s="58"/>
      <c r="M9014" s="58">
        <f>K9014-L9014</f>
        <v>3.8600000000000065</v>
      </c>
      <c r="N9014" s="166"/>
      <c r="O9014" s="58"/>
      <c r="P9014" s="58"/>
      <c r="Q9014" s="58"/>
      <c r="R9014" s="58"/>
      <c r="S9014" s="58"/>
      <c r="T9014" s="220"/>
      <c r="U9014" s="88"/>
      <c r="V9014" s="56"/>
      <c r="W9014" s="57" t="s">
        <v>1272</v>
      </c>
      <c r="X9014" s="53"/>
      <c r="Y9014" s="91" t="s">
        <v>35</v>
      </c>
      <c r="Z9014" s="136">
        <f>AD9014/AC9014</f>
        <v>549.08035435294119</v>
      </c>
      <c r="AA9014" s="58"/>
      <c r="AB9014" s="53">
        <f>AD9014/AC9014</f>
        <v>549.08035435294119</v>
      </c>
      <c r="AC9014" s="53">
        <f>M9014+$AE$10</f>
        <v>3.8600000000000065</v>
      </c>
      <c r="AD9014" s="54">
        <f>SUM(AD9015:AD9023)</f>
        <v>2119.4501678023566</v>
      </c>
      <c r="AE9014" s="184">
        <f>SUMIFS($AD$37:$AD$12971,$V$37:$V$12971,$V9014,$X$37:$X$12971,AE$13)</f>
        <v>0</v>
      </c>
      <c r="AF9014" s="185">
        <f>SUMIFS($AD$37:$AD$12971,$V$37:$V$12971,$V9014,$X$37:$X$12971,AF$13)</f>
        <v>0</v>
      </c>
      <c r="AG9014" s="185">
        <f>SUMIFS($AD$37:$AD$12971,$V$37:$V$12971,$V9014,$X$37:$X$12971,AG$13)</f>
        <v>0</v>
      </c>
      <c r="AH9014" s="187">
        <f>SUMIFS($AD$37:$AD$12971,$V$37:$V$12971,$V9014,$X$37:$X$12971,AH$13)</f>
        <v>0</v>
      </c>
      <c r="AI9014" s="161">
        <f t="shared" ref="AI9014" si="6116">SUM(AE9014:AH9014)</f>
        <v>0</v>
      </c>
      <c r="AK9014" s="172"/>
    </row>
    <row r="9015" spans="1:41" s="102" customFormat="1" ht="19.899999999999999" customHeight="1" x14ac:dyDescent="0.25">
      <c r="A9015" s="45"/>
      <c r="B9015" s="59"/>
      <c r="C9015" s="137"/>
      <c r="D9015" s="59"/>
      <c r="E9015" s="116"/>
      <c r="F9015" s="120"/>
      <c r="G9015" s="120"/>
      <c r="H9015" s="120"/>
      <c r="I9015" s="60"/>
      <c r="J9015" s="116"/>
      <c r="K9015" s="213"/>
      <c r="L9015" s="120"/>
      <c r="M9015" s="120"/>
      <c r="N9015" s="167"/>
      <c r="O9015" s="120"/>
      <c r="P9015" s="120"/>
      <c r="Q9015" s="120"/>
      <c r="R9015" s="120"/>
      <c r="S9015" s="120"/>
      <c r="T9015" s="221"/>
      <c r="U9015" s="89"/>
      <c r="V9015" s="61"/>
      <c r="W9015" s="92" t="s">
        <v>1273</v>
      </c>
      <c r="X9015" s="93" t="s">
        <v>30</v>
      </c>
      <c r="Y9015" s="93" t="s">
        <v>66</v>
      </c>
      <c r="Z9015" s="134">
        <f>VLOOKUP(W9015,Sheet2!$B:$D,3,FALSE)</f>
        <v>10</v>
      </c>
      <c r="AA9015" s="93">
        <f>1/((3*3*4)-(3.14/4*1.5*1.5*4))</f>
        <v>3.4560221185415581E-2</v>
      </c>
      <c r="AB9015" s="93">
        <f>AD9015/AC9014</f>
        <v>289.35000000000008</v>
      </c>
      <c r="AC9015" s="93">
        <f>AC9014/AA9015</f>
        <v>111.68910000000021</v>
      </c>
      <c r="AD9015" s="94">
        <f t="shared" ref="AD9015:AD9017" si="6117">AC9015*Z9015</f>
        <v>1116.8910000000021</v>
      </c>
      <c r="AE9015" s="190"/>
      <c r="AF9015" s="191"/>
      <c r="AG9015" s="191"/>
      <c r="AH9015" s="191"/>
      <c r="AI9015" s="186"/>
      <c r="AK9015" s="171"/>
    </row>
    <row r="9016" spans="1:41" s="102" customFormat="1" ht="19.899999999999999" customHeight="1" x14ac:dyDescent="0.25">
      <c r="A9016" s="45"/>
      <c r="B9016" s="59"/>
      <c r="C9016" s="137"/>
      <c r="D9016" s="59"/>
      <c r="E9016" s="116"/>
      <c r="F9016" s="120"/>
      <c r="G9016" s="120"/>
      <c r="H9016" s="120"/>
      <c r="I9016" s="60"/>
      <c r="J9016" s="116"/>
      <c r="K9016" s="213"/>
      <c r="L9016" s="120"/>
      <c r="M9016" s="120"/>
      <c r="N9016" s="167"/>
      <c r="O9016" s="120"/>
      <c r="P9016" s="120"/>
      <c r="Q9016" s="120"/>
      <c r="R9016" s="120"/>
      <c r="S9016" s="120"/>
      <c r="T9016" s="221"/>
      <c r="U9016" s="89"/>
      <c r="V9016" s="61"/>
      <c r="W9016" s="92" t="s">
        <v>134</v>
      </c>
      <c r="X9016" s="93" t="s">
        <v>29</v>
      </c>
      <c r="Y9016" s="93" t="s">
        <v>93</v>
      </c>
      <c r="Z9016" s="134">
        <f>VLOOKUP(W9016,Sheet2!$B:$D,3,FALSE)</f>
        <v>65.599999999999994</v>
      </c>
      <c r="AA9016" s="93">
        <f>100/((3*3*4)-(3.14/4*1.5*1.5*4))</f>
        <v>3.4560221185415583</v>
      </c>
      <c r="AB9016" s="93">
        <f t="shared" ref="AB9016" si="6118">AD9016/AC9014</f>
        <v>18.981359999999999</v>
      </c>
      <c r="AC9016" s="93">
        <f>AC9014/AA9016</f>
        <v>1.1168910000000021</v>
      </c>
      <c r="AD9016" s="94">
        <f t="shared" si="6117"/>
        <v>73.268049600000126</v>
      </c>
      <c r="AE9016" s="190"/>
      <c r="AF9016" s="191"/>
      <c r="AG9016" s="191"/>
      <c r="AH9016" s="191"/>
      <c r="AI9016" s="186"/>
      <c r="AK9016" s="171"/>
    </row>
    <row r="9017" spans="1:41" s="102" customFormat="1" ht="19.899999999999999" customHeight="1" x14ac:dyDescent="0.25">
      <c r="A9017" s="45"/>
      <c r="B9017" s="59"/>
      <c r="C9017" s="137"/>
      <c r="D9017" s="59"/>
      <c r="E9017" s="116"/>
      <c r="F9017" s="120"/>
      <c r="G9017" s="120"/>
      <c r="H9017" s="120"/>
      <c r="I9017" s="60"/>
      <c r="J9017" s="116"/>
      <c r="K9017" s="213"/>
      <c r="L9017" s="120"/>
      <c r="M9017" s="120"/>
      <c r="N9017" s="167"/>
      <c r="O9017" s="120"/>
      <c r="P9017" s="120"/>
      <c r="Q9017" s="120"/>
      <c r="R9017" s="120"/>
      <c r="S9017" s="120"/>
      <c r="T9017" s="221"/>
      <c r="U9017" s="89"/>
      <c r="V9017" s="61"/>
      <c r="W9017" s="92" t="s">
        <v>65</v>
      </c>
      <c r="X9017" s="93" t="s">
        <v>30</v>
      </c>
      <c r="Y9017" s="93" t="s">
        <v>1011</v>
      </c>
      <c r="Z9017" s="134">
        <f>VLOOKUP(W9017,Sheet2!$B:$D,3,FALSE)</f>
        <v>1.76</v>
      </c>
      <c r="AA9017" s="93">
        <f>AA9016/9</f>
        <v>0.38400245761572871</v>
      </c>
      <c r="AB9017" s="93">
        <f>AD9017/AC9014</f>
        <v>4.583304</v>
      </c>
      <c r="AC9017" s="93">
        <f>AC9014/AA9017</f>
        <v>10.052019000000017</v>
      </c>
      <c r="AD9017" s="94">
        <f t="shared" si="6117"/>
        <v>17.691553440000032</v>
      </c>
      <c r="AE9017" s="190"/>
      <c r="AF9017" s="191"/>
      <c r="AG9017" s="191"/>
      <c r="AH9017" s="191"/>
      <c r="AI9017" s="186"/>
      <c r="AK9017" s="171"/>
    </row>
    <row r="9018" spans="1:41" s="102" customFormat="1" ht="19.899999999999999" customHeight="1" x14ac:dyDescent="0.25">
      <c r="A9018" s="45"/>
      <c r="B9018" s="59"/>
      <c r="C9018" s="137"/>
      <c r="D9018" s="59"/>
      <c r="E9018" s="116"/>
      <c r="F9018" s="120"/>
      <c r="G9018" s="120"/>
      <c r="H9018" s="120"/>
      <c r="I9018" s="60"/>
      <c r="J9018" s="116"/>
      <c r="K9018" s="213"/>
      <c r="L9018" s="120"/>
      <c r="M9018" s="120"/>
      <c r="N9018" s="167"/>
      <c r="O9018" s="120"/>
      <c r="P9018" s="120"/>
      <c r="Q9018" s="120"/>
      <c r="R9018" s="120"/>
      <c r="S9018" s="120"/>
      <c r="T9018" s="221"/>
      <c r="U9018" s="89"/>
      <c r="V9018" s="61"/>
      <c r="W9018" s="92" t="s">
        <v>161</v>
      </c>
      <c r="X9018" s="93" t="s">
        <v>29</v>
      </c>
      <c r="Y9018" s="93" t="s">
        <v>93</v>
      </c>
      <c r="Z9018" s="134">
        <f>VLOOKUP(W9018,Sheet2!$B:$D,3,FALSE)</f>
        <v>48</v>
      </c>
      <c r="AA9018" s="93">
        <f>(16*0.85*1.5)/((3*3*4)-(3.14/4*1.5*1.5*4))</f>
        <v>0.70502851218247786</v>
      </c>
      <c r="AB9018" s="93">
        <f>AD9018/AC9014</f>
        <v>68.082352941176481</v>
      </c>
      <c r="AC9018" s="93">
        <f>AC9014/AA9018</f>
        <v>5.4749558823529512</v>
      </c>
      <c r="AD9018" s="94">
        <f>AC9018*Z9018</f>
        <v>262.79788235294166</v>
      </c>
      <c r="AE9018" s="190"/>
      <c r="AF9018" s="191"/>
      <c r="AG9018" s="191"/>
      <c r="AH9018" s="191"/>
      <c r="AI9018" s="186"/>
      <c r="AK9018" s="171"/>
    </row>
    <row r="9019" spans="1:41" s="102" customFormat="1" ht="19.899999999999999" customHeight="1" x14ac:dyDescent="0.25">
      <c r="A9019" s="45"/>
      <c r="B9019" s="59"/>
      <c r="C9019" s="137"/>
      <c r="D9019" s="59"/>
      <c r="E9019" s="116"/>
      <c r="F9019" s="120"/>
      <c r="G9019" s="120"/>
      <c r="H9019" s="120"/>
      <c r="I9019" s="60"/>
      <c r="J9019" s="116"/>
      <c r="K9019" s="213"/>
      <c r="L9019" s="120"/>
      <c r="M9019" s="120"/>
      <c r="N9019" s="167"/>
      <c r="O9019" s="120"/>
      <c r="P9019" s="120"/>
      <c r="Q9019" s="120"/>
      <c r="R9019" s="120"/>
      <c r="S9019" s="120"/>
      <c r="T9019" s="221"/>
      <c r="U9019" s="89"/>
      <c r="V9019" s="61"/>
      <c r="W9019" s="92" t="s">
        <v>65</v>
      </c>
      <c r="X9019" s="93" t="s">
        <v>30</v>
      </c>
      <c r="Y9019" s="93" t="s">
        <v>1011</v>
      </c>
      <c r="Z9019" s="134">
        <f>VLOOKUP(W9019,Sheet2!$B:$D,3,FALSE)</f>
        <v>1.76</v>
      </c>
      <c r="AA9019" s="93">
        <f>AA9018/10</f>
        <v>7.0502851218247786E-2</v>
      </c>
      <c r="AB9019" s="93">
        <f>AD9019/AC9014</f>
        <v>24.963529411764707</v>
      </c>
      <c r="AC9019" s="93">
        <f>AC9014/AA9019</f>
        <v>54.749558823529512</v>
      </c>
      <c r="AD9019" s="94">
        <f>AC9019*Z9019</f>
        <v>96.359223529411935</v>
      </c>
      <c r="AE9019" s="190"/>
      <c r="AF9019" s="191"/>
      <c r="AG9019" s="191"/>
      <c r="AH9019" s="191"/>
      <c r="AI9019" s="186"/>
      <c r="AK9019" s="171"/>
    </row>
    <row r="9020" spans="1:41" s="102" customFormat="1" ht="19.899999999999999" customHeight="1" x14ac:dyDescent="0.25">
      <c r="A9020" s="45"/>
      <c r="B9020" s="59"/>
      <c r="C9020" s="137"/>
      <c r="D9020" s="59"/>
      <c r="E9020" s="116"/>
      <c r="F9020" s="120"/>
      <c r="G9020" s="120"/>
      <c r="H9020" s="120"/>
      <c r="I9020" s="60"/>
      <c r="J9020" s="116"/>
      <c r="K9020" s="213"/>
      <c r="L9020" s="120"/>
      <c r="M9020" s="120"/>
      <c r="N9020" s="167"/>
      <c r="O9020" s="120"/>
      <c r="P9020" s="120"/>
      <c r="Q9020" s="120"/>
      <c r="R9020" s="120"/>
      <c r="S9020" s="120"/>
      <c r="T9020" s="221"/>
      <c r="U9020" s="89"/>
      <c r="V9020" s="61"/>
      <c r="W9020" s="92" t="s">
        <v>173</v>
      </c>
      <c r="X9020" s="93" t="s">
        <v>29</v>
      </c>
      <c r="Y9020" s="93" t="s">
        <v>93</v>
      </c>
      <c r="Z9020" s="134">
        <f>VLOOKUP(W9020,Sheet2!$B:$D,3,FALSE)</f>
        <v>36</v>
      </c>
      <c r="AA9020" s="93">
        <f>50/((3*3*4)-(3.14/4*1.5*1.5*4))</f>
        <v>1.7280110592707791</v>
      </c>
      <c r="AB9020" s="93">
        <f>AD9020/AC9014</f>
        <v>20.833200000000005</v>
      </c>
      <c r="AC9020" s="93">
        <f>AC9014/AA9020</f>
        <v>2.2337820000000042</v>
      </c>
      <c r="AD9020" s="94">
        <f>AC9020*Z9020</f>
        <v>80.416152000000153</v>
      </c>
      <c r="AE9020" s="190"/>
      <c r="AF9020" s="191"/>
      <c r="AG9020" s="191"/>
      <c r="AH9020" s="191"/>
      <c r="AI9020" s="186"/>
      <c r="AK9020" s="171"/>
    </row>
    <row r="9021" spans="1:41" s="102" customFormat="1" ht="19.899999999999999" customHeight="1" x14ac:dyDescent="0.25">
      <c r="A9021" s="45"/>
      <c r="B9021" s="59"/>
      <c r="C9021" s="137"/>
      <c r="D9021" s="59"/>
      <c r="E9021" s="116"/>
      <c r="F9021" s="120"/>
      <c r="G9021" s="120"/>
      <c r="H9021" s="120"/>
      <c r="I9021" s="60"/>
      <c r="J9021" s="116"/>
      <c r="K9021" s="213"/>
      <c r="L9021" s="120"/>
      <c r="M9021" s="120"/>
      <c r="N9021" s="167"/>
      <c r="O9021" s="120"/>
      <c r="P9021" s="120"/>
      <c r="Q9021" s="120"/>
      <c r="R9021" s="120"/>
      <c r="S9021" s="120"/>
      <c r="T9021" s="221"/>
      <c r="U9021" s="89"/>
      <c r="V9021" s="61"/>
      <c r="W9021" s="92" t="s">
        <v>65</v>
      </c>
      <c r="X9021" s="93" t="s">
        <v>30</v>
      </c>
      <c r="Y9021" s="93" t="s">
        <v>1011</v>
      </c>
      <c r="Z9021" s="134">
        <f>VLOOKUP(W9021,Sheet2!$B:$D,3,FALSE)</f>
        <v>1.76</v>
      </c>
      <c r="AA9021" s="93">
        <f>AA9020/9</f>
        <v>0.19200122880786435</v>
      </c>
      <c r="AB9021" s="93">
        <f>AD9021/AC9014</f>
        <v>9.1666080000000001</v>
      </c>
      <c r="AC9021" s="93">
        <f>AC9014/AA9021</f>
        <v>20.104038000000035</v>
      </c>
      <c r="AD9021" s="94">
        <f>AC9021*Z9021</f>
        <v>35.383106880000064</v>
      </c>
      <c r="AE9021" s="190"/>
      <c r="AF9021" s="191"/>
      <c r="AG9021" s="191"/>
      <c r="AH9021" s="191"/>
      <c r="AI9021" s="186"/>
      <c r="AK9021" s="171"/>
    </row>
    <row r="9022" spans="1:41" s="102" customFormat="1" ht="19.899999999999999" customHeight="1" x14ac:dyDescent="0.25">
      <c r="A9022" s="45"/>
      <c r="B9022" s="59"/>
      <c r="C9022" s="137"/>
      <c r="D9022" s="59"/>
      <c r="E9022" s="116"/>
      <c r="F9022" s="120"/>
      <c r="G9022" s="120"/>
      <c r="H9022" s="120"/>
      <c r="I9022" s="60"/>
      <c r="J9022" s="116"/>
      <c r="K9022" s="213"/>
      <c r="L9022" s="120"/>
      <c r="M9022" s="120"/>
      <c r="N9022" s="167"/>
      <c r="O9022" s="120"/>
      <c r="P9022" s="120"/>
      <c r="Q9022" s="120"/>
      <c r="R9022" s="120"/>
      <c r="S9022" s="120"/>
      <c r="T9022" s="221"/>
      <c r="U9022" s="89"/>
      <c r="V9022" s="61"/>
      <c r="W9022" s="92" t="s">
        <v>1030</v>
      </c>
      <c r="X9022" s="93" t="s">
        <v>29</v>
      </c>
      <c r="Y9022" s="93" t="s">
        <v>93</v>
      </c>
      <c r="Z9022" s="134">
        <f>VLOOKUP(W9022,Sheet2!$B:$D,3,FALSE)</f>
        <v>23</v>
      </c>
      <c r="AA9022" s="93">
        <f>1/(4*1)</f>
        <v>0.25</v>
      </c>
      <c r="AB9022" s="93">
        <f>AD9022/AC9014</f>
        <v>91.999999999999986</v>
      </c>
      <c r="AC9022" s="93">
        <f>AC9014/AA9022</f>
        <v>15.440000000000026</v>
      </c>
      <c r="AD9022" s="94">
        <f t="shared" ref="AD9022:AD9023" si="6119">AC9022*Z9022</f>
        <v>355.12000000000057</v>
      </c>
      <c r="AE9022" s="190"/>
      <c r="AF9022" s="191"/>
      <c r="AG9022" s="191"/>
      <c r="AH9022" s="191"/>
      <c r="AI9022" s="186"/>
      <c r="AK9022" s="171"/>
    </row>
    <row r="9023" spans="1:41" s="102" customFormat="1" ht="19.899999999999999" customHeight="1" x14ac:dyDescent="0.25">
      <c r="A9023" s="45"/>
      <c r="B9023" s="59"/>
      <c r="C9023" s="137"/>
      <c r="D9023" s="59"/>
      <c r="E9023" s="116"/>
      <c r="F9023" s="120"/>
      <c r="G9023" s="120"/>
      <c r="H9023" s="120"/>
      <c r="I9023" s="60"/>
      <c r="J9023" s="116"/>
      <c r="K9023" s="213"/>
      <c r="L9023" s="120"/>
      <c r="M9023" s="120"/>
      <c r="N9023" s="167"/>
      <c r="O9023" s="120"/>
      <c r="P9023" s="120"/>
      <c r="Q9023" s="120"/>
      <c r="R9023" s="120"/>
      <c r="S9023" s="120"/>
      <c r="T9023" s="221"/>
      <c r="U9023" s="89"/>
      <c r="V9023" s="61"/>
      <c r="W9023" s="92" t="s">
        <v>65</v>
      </c>
      <c r="X9023" s="93" t="s">
        <v>30</v>
      </c>
      <c r="Y9023" s="93" t="s">
        <v>1011</v>
      </c>
      <c r="Z9023" s="134">
        <f>VLOOKUP(W9023,Sheet2!$B:$D,3,FALSE)</f>
        <v>1.76</v>
      </c>
      <c r="AA9023" s="93">
        <f>AA9022/3</f>
        <v>8.3333333333333329E-2</v>
      </c>
      <c r="AB9023" s="93">
        <f>AD9023/AC9014</f>
        <v>21.12</v>
      </c>
      <c r="AC9023" s="93">
        <f>AC9014/AA9023</f>
        <v>46.320000000000078</v>
      </c>
      <c r="AD9023" s="94">
        <f t="shared" si="6119"/>
        <v>81.523200000000145</v>
      </c>
      <c r="AE9023" s="190"/>
      <c r="AF9023" s="191"/>
      <c r="AG9023" s="191"/>
      <c r="AH9023" s="191"/>
      <c r="AI9023" s="186"/>
      <c r="AK9023" s="171"/>
    </row>
    <row r="9024" spans="1:41" ht="20.100000000000001" customHeight="1" x14ac:dyDescent="0.25">
      <c r="A9024" s="277" t="s">
        <v>703</v>
      </c>
      <c r="B9024" s="278"/>
      <c r="C9024" s="64" t="s">
        <v>819</v>
      </c>
      <c r="D9024" s="46" t="s">
        <v>215</v>
      </c>
      <c r="E9024" s="114">
        <v>1.2899999999999956</v>
      </c>
      <c r="F9024" s="44">
        <v>49093</v>
      </c>
      <c r="G9024" s="44">
        <f t="shared" si="5545"/>
        <v>63329.969999999783</v>
      </c>
      <c r="H9024" s="44">
        <f t="shared" si="5546"/>
        <v>10987.247392764704</v>
      </c>
      <c r="I9024" s="43">
        <f t="shared" si="5547"/>
        <v>14173.549136666421</v>
      </c>
      <c r="J9024" s="112">
        <f t="shared" si="5548"/>
        <v>1.2899999999999956</v>
      </c>
      <c r="K9024" s="211">
        <f t="shared" si="5549"/>
        <v>1.2899999999999956</v>
      </c>
      <c r="L9024" s="44"/>
      <c r="M9024" s="44">
        <f t="shared" si="5550"/>
        <v>1.2899999999999956</v>
      </c>
      <c r="N9024" s="173">
        <f t="shared" si="5551"/>
        <v>1</v>
      </c>
      <c r="O9024" s="44">
        <f t="shared" si="5552"/>
        <v>49093</v>
      </c>
      <c r="P9024" s="44">
        <f t="shared" si="5553"/>
        <v>63329.969999999783</v>
      </c>
      <c r="Q9024" s="44">
        <f t="shared" si="5554"/>
        <v>10987.247392764704</v>
      </c>
      <c r="R9024" s="44">
        <f t="shared" si="5555"/>
        <v>14173.549136666421</v>
      </c>
      <c r="S9024" s="123"/>
      <c r="T9024" s="219">
        <f t="shared" si="5556"/>
        <v>14173.549136666421</v>
      </c>
      <c r="U9024" s="87"/>
      <c r="V9024" s="47"/>
      <c r="W9024" s="48"/>
      <c r="X9024" s="48"/>
      <c r="Y9024" s="48"/>
      <c r="Z9024" s="135"/>
      <c r="AA9024" s="49"/>
      <c r="AB9024" s="50">
        <f t="shared" si="5557"/>
        <v>10987.247392764704</v>
      </c>
      <c r="AC9024" s="42">
        <f t="shared" si="5558"/>
        <v>1.2899999999999956</v>
      </c>
      <c r="AD9024" s="90">
        <f>AD9025+AD9030+AD9037+AD9044</f>
        <v>14173.549136666421</v>
      </c>
      <c r="AE9024" s="188">
        <f t="shared" ref="AE9024" si="6120">AE9025+AE9030+AE9037+AE9044</f>
        <v>0</v>
      </c>
      <c r="AF9024" s="189">
        <f t="shared" ref="AF9024" si="6121">AF9025+AF9030+AF9037+AF9044</f>
        <v>0</v>
      </c>
      <c r="AG9024" s="189">
        <f t="shared" ref="AG9024" si="6122">AG9025+AG9030+AG9037+AG9044</f>
        <v>0</v>
      </c>
      <c r="AH9024" s="189">
        <f t="shared" ref="AH9024" si="6123">AH9025+AH9030+AH9037+AH9044</f>
        <v>0</v>
      </c>
      <c r="AI9024" s="161">
        <f t="shared" ref="AI9024:AI9025" si="6124">SUM(AE9024:AH9024)</f>
        <v>0</v>
      </c>
      <c r="AK9024" s="169">
        <v>5</v>
      </c>
      <c r="AO9024" s="19" t="s">
        <v>63</v>
      </c>
    </row>
    <row r="9025" spans="1:37" s="103" customFormat="1" ht="19.899999999999999" customHeight="1" x14ac:dyDescent="0.25">
      <c r="A9025" s="51"/>
      <c r="B9025" s="52"/>
      <c r="C9025" s="165"/>
      <c r="D9025" s="52"/>
      <c r="E9025" s="115"/>
      <c r="F9025" s="58"/>
      <c r="G9025" s="58"/>
      <c r="H9025" s="58"/>
      <c r="I9025" s="55"/>
      <c r="J9025" s="113">
        <f>J9024</f>
        <v>1.2899999999999956</v>
      </c>
      <c r="K9025" s="212">
        <f>K9024</f>
        <v>1.2899999999999956</v>
      </c>
      <c r="L9025" s="58"/>
      <c r="M9025" s="58">
        <f>K9025-L9025</f>
        <v>1.2899999999999956</v>
      </c>
      <c r="N9025" s="166"/>
      <c r="O9025" s="58"/>
      <c r="P9025" s="58"/>
      <c r="Q9025" s="58"/>
      <c r="R9025" s="58"/>
      <c r="S9025" s="58"/>
      <c r="T9025" s="220"/>
      <c r="U9025" s="88"/>
      <c r="V9025" s="56"/>
      <c r="W9025" s="57" t="s">
        <v>1514</v>
      </c>
      <c r="X9025" s="53"/>
      <c r="Y9025" s="91" t="s">
        <v>35</v>
      </c>
      <c r="Z9025" s="136">
        <f>AD9025/AC9025</f>
        <v>162.89449411764707</v>
      </c>
      <c r="AA9025" s="58"/>
      <c r="AB9025" s="53">
        <f>AD9025/AC9025</f>
        <v>162.89449411764707</v>
      </c>
      <c r="AC9025" s="53">
        <f>M9025+$AE$10</f>
        <v>1.2899999999999956</v>
      </c>
      <c r="AD9025" s="54">
        <f>SUM(AD9026:AD9029)</f>
        <v>210.133897411764</v>
      </c>
      <c r="AE9025" s="184">
        <f>SUMIFS($AD$37:$AD$12971,$V$37:$V$12971,$V9025,$X$37:$X$12971,AE$13)</f>
        <v>0</v>
      </c>
      <c r="AF9025" s="185">
        <f>SUMIFS($AD$37:$AD$12971,$V$37:$V$12971,$V9025,$X$37:$X$12971,AF$13)</f>
        <v>0</v>
      </c>
      <c r="AG9025" s="185">
        <f>SUMIFS($AD$37:$AD$12971,$V$37:$V$12971,$V9025,$X$37:$X$12971,AG$13)</f>
        <v>0</v>
      </c>
      <c r="AH9025" s="187">
        <f>SUMIFS($AD$37:$AD$12971,$V$37:$V$12971,$V9025,$X$37:$X$12971,AH$13)</f>
        <v>0</v>
      </c>
      <c r="AI9025" s="161">
        <f t="shared" si="6124"/>
        <v>0</v>
      </c>
      <c r="AK9025" s="172"/>
    </row>
    <row r="9026" spans="1:37" s="102" customFormat="1" ht="19.899999999999999" customHeight="1" x14ac:dyDescent="0.25">
      <c r="A9026" s="45"/>
      <c r="B9026" s="59"/>
      <c r="C9026" s="137"/>
      <c r="D9026" s="59"/>
      <c r="E9026" s="116"/>
      <c r="F9026" s="120"/>
      <c r="G9026" s="120"/>
      <c r="H9026" s="120"/>
      <c r="I9026" s="60"/>
      <c r="J9026" s="116"/>
      <c r="K9026" s="213"/>
      <c r="L9026" s="120"/>
      <c r="M9026" s="120"/>
      <c r="N9026" s="167"/>
      <c r="O9026" s="120"/>
      <c r="P9026" s="120"/>
      <c r="Q9026" s="120"/>
      <c r="R9026" s="120"/>
      <c r="S9026" s="120"/>
      <c r="T9026" s="221"/>
      <c r="U9026" s="89"/>
      <c r="V9026" s="61"/>
      <c r="W9026" s="92" t="s">
        <v>129</v>
      </c>
      <c r="X9026" s="93" t="s">
        <v>29</v>
      </c>
      <c r="Y9026" s="93" t="s">
        <v>93</v>
      </c>
      <c r="Z9026" s="134">
        <f>VLOOKUP(W9026,Sheet2!$B:$D,3,FALSE)</f>
        <v>56</v>
      </c>
      <c r="AA9026" s="93">
        <f>100/(3*3*4.5)</f>
        <v>2.4691358024691357</v>
      </c>
      <c r="AB9026" s="93">
        <f t="shared" ref="AB9026" si="6125">AD9026/AC9025</f>
        <v>22.68</v>
      </c>
      <c r="AC9026" s="93">
        <f>AC9025/AA9026</f>
        <v>0.52244999999999819</v>
      </c>
      <c r="AD9026" s="94">
        <f t="shared" ref="AD9026:AD9027" si="6126">AC9026*Z9026</f>
        <v>29.257199999999898</v>
      </c>
      <c r="AE9026" s="190"/>
      <c r="AF9026" s="191"/>
      <c r="AG9026" s="191"/>
      <c r="AH9026" s="191"/>
      <c r="AI9026" s="186"/>
      <c r="AK9026" s="171"/>
    </row>
    <row r="9027" spans="1:37" s="102" customFormat="1" ht="19.899999999999999" customHeight="1" x14ac:dyDescent="0.25">
      <c r="A9027" s="45"/>
      <c r="B9027" s="59"/>
      <c r="C9027" s="137"/>
      <c r="D9027" s="59"/>
      <c r="E9027" s="116"/>
      <c r="F9027" s="120"/>
      <c r="G9027" s="120"/>
      <c r="H9027" s="120"/>
      <c r="I9027" s="60"/>
      <c r="J9027" s="116"/>
      <c r="K9027" s="213"/>
      <c r="L9027" s="120"/>
      <c r="M9027" s="120"/>
      <c r="N9027" s="167"/>
      <c r="O9027" s="120"/>
      <c r="P9027" s="120"/>
      <c r="Q9027" s="120"/>
      <c r="R9027" s="120"/>
      <c r="S9027" s="120"/>
      <c r="T9027" s="221"/>
      <c r="U9027" s="89"/>
      <c r="V9027" s="61"/>
      <c r="W9027" s="92" t="s">
        <v>65</v>
      </c>
      <c r="X9027" s="93" t="s">
        <v>30</v>
      </c>
      <c r="Y9027" s="93" t="s">
        <v>1011</v>
      </c>
      <c r="Z9027" s="134">
        <f>VLOOKUP(W9027,Sheet2!$B:$D,3,FALSE)</f>
        <v>1.76</v>
      </c>
      <c r="AA9027" s="93">
        <f>AA9026/14</f>
        <v>0.17636684303350969</v>
      </c>
      <c r="AB9027" s="93">
        <f>AD9027/AC9025</f>
        <v>9.9792000000000005</v>
      </c>
      <c r="AC9027" s="93">
        <f>AC9025/AA9027</f>
        <v>7.3142999999999754</v>
      </c>
      <c r="AD9027" s="94">
        <f t="shared" si="6126"/>
        <v>12.873167999999957</v>
      </c>
      <c r="AE9027" s="190"/>
      <c r="AF9027" s="191"/>
      <c r="AG9027" s="191"/>
      <c r="AH9027" s="191"/>
      <c r="AI9027" s="186"/>
      <c r="AK9027" s="171"/>
    </row>
    <row r="9028" spans="1:37" s="102" customFormat="1" ht="19.899999999999999" customHeight="1" x14ac:dyDescent="0.25">
      <c r="A9028" s="45"/>
      <c r="B9028" s="59"/>
      <c r="C9028" s="137"/>
      <c r="D9028" s="59"/>
      <c r="E9028" s="116"/>
      <c r="F9028" s="120"/>
      <c r="G9028" s="120"/>
      <c r="H9028" s="120"/>
      <c r="I9028" s="60"/>
      <c r="J9028" s="116"/>
      <c r="K9028" s="213"/>
      <c r="L9028" s="120"/>
      <c r="M9028" s="120"/>
      <c r="N9028" s="167"/>
      <c r="O9028" s="120"/>
      <c r="P9028" s="120"/>
      <c r="Q9028" s="120"/>
      <c r="R9028" s="120"/>
      <c r="S9028" s="120"/>
      <c r="T9028" s="221"/>
      <c r="U9028" s="89"/>
      <c r="V9028" s="61"/>
      <c r="W9028" s="92" t="s">
        <v>161</v>
      </c>
      <c r="X9028" s="93" t="s">
        <v>29</v>
      </c>
      <c r="Y9028" s="93" t="s">
        <v>93</v>
      </c>
      <c r="Z9028" s="134">
        <f>VLOOKUP(W9028,Sheet2!$B:$D,3,FALSE)</f>
        <v>48</v>
      </c>
      <c r="AA9028" s="93">
        <f>(16*0.85*1.5)/(3*3*4.5)</f>
        <v>0.50370370370370365</v>
      </c>
      <c r="AB9028" s="93">
        <f>AD9028/AC9025</f>
        <v>95.29411764705884</v>
      </c>
      <c r="AC9028" s="93">
        <f>AC9025/AA9028</f>
        <v>2.5610294117646974</v>
      </c>
      <c r="AD9028" s="94">
        <f>AC9028*Z9028</f>
        <v>122.92941176470548</v>
      </c>
      <c r="AE9028" s="190"/>
      <c r="AF9028" s="191"/>
      <c r="AG9028" s="191"/>
      <c r="AH9028" s="191"/>
      <c r="AI9028" s="186"/>
      <c r="AK9028" s="171"/>
    </row>
    <row r="9029" spans="1:37" s="102" customFormat="1" ht="19.899999999999999" customHeight="1" x14ac:dyDescent="0.25">
      <c r="A9029" s="45"/>
      <c r="B9029" s="59"/>
      <c r="C9029" s="137"/>
      <c r="D9029" s="59"/>
      <c r="E9029" s="116"/>
      <c r="F9029" s="120"/>
      <c r="G9029" s="120"/>
      <c r="H9029" s="120"/>
      <c r="I9029" s="60"/>
      <c r="J9029" s="116"/>
      <c r="K9029" s="213"/>
      <c r="L9029" s="120"/>
      <c r="M9029" s="120"/>
      <c r="N9029" s="167"/>
      <c r="O9029" s="120"/>
      <c r="P9029" s="120"/>
      <c r="Q9029" s="120"/>
      <c r="R9029" s="120"/>
      <c r="S9029" s="120"/>
      <c r="T9029" s="221"/>
      <c r="U9029" s="89"/>
      <c r="V9029" s="61"/>
      <c r="W9029" s="92" t="s">
        <v>65</v>
      </c>
      <c r="X9029" s="93" t="s">
        <v>30</v>
      </c>
      <c r="Y9029" s="93" t="s">
        <v>1011</v>
      </c>
      <c r="Z9029" s="134">
        <f>VLOOKUP(W9029,Sheet2!$B:$D,3,FALSE)</f>
        <v>1.76</v>
      </c>
      <c r="AA9029" s="93">
        <f>AA9028/10</f>
        <v>5.0370370370370364E-2</v>
      </c>
      <c r="AB9029" s="93">
        <f>AD9029/AC9025</f>
        <v>34.941176470588239</v>
      </c>
      <c r="AC9029" s="93">
        <f>AC9025/AA9029</f>
        <v>25.610294117646976</v>
      </c>
      <c r="AD9029" s="94">
        <f>AC9029*Z9029</f>
        <v>45.074117647058678</v>
      </c>
      <c r="AE9029" s="190"/>
      <c r="AF9029" s="191"/>
      <c r="AG9029" s="191"/>
      <c r="AH9029" s="191"/>
      <c r="AI9029" s="186"/>
      <c r="AK9029" s="171"/>
    </row>
    <row r="9030" spans="1:37" s="103" customFormat="1" ht="19.899999999999999" customHeight="1" x14ac:dyDescent="0.25">
      <c r="A9030" s="51"/>
      <c r="B9030" s="52"/>
      <c r="C9030" s="165"/>
      <c r="D9030" s="52"/>
      <c r="E9030" s="115"/>
      <c r="F9030" s="58"/>
      <c r="G9030" s="58"/>
      <c r="H9030" s="58"/>
      <c r="I9030" s="55"/>
      <c r="J9030" s="113">
        <f>J9024</f>
        <v>1.2899999999999956</v>
      </c>
      <c r="K9030" s="212">
        <f>K9024</f>
        <v>1.2899999999999956</v>
      </c>
      <c r="L9030" s="58"/>
      <c r="M9030" s="58">
        <f>K9030-L9030</f>
        <v>1.2899999999999956</v>
      </c>
      <c r="N9030" s="166"/>
      <c r="O9030" s="58"/>
      <c r="P9030" s="58"/>
      <c r="Q9030" s="58"/>
      <c r="R9030" s="58"/>
      <c r="S9030" s="58"/>
      <c r="T9030" s="220"/>
      <c r="U9030" s="88"/>
      <c r="V9030" s="56"/>
      <c r="W9030" s="57" t="s">
        <v>1486</v>
      </c>
      <c r="X9030" s="53"/>
      <c r="Y9030" s="91" t="s">
        <v>35</v>
      </c>
      <c r="Z9030" s="136">
        <f>AD9030/AC9030</f>
        <v>1883.8374999999999</v>
      </c>
      <c r="AA9030" s="58"/>
      <c r="AB9030" s="53">
        <f>AD9030/AC9030</f>
        <v>1883.8374999999999</v>
      </c>
      <c r="AC9030" s="53">
        <f>M9030+$AE$10</f>
        <v>1.2899999999999956</v>
      </c>
      <c r="AD9030" s="54">
        <f>SUM(AD9031:AD9036)</f>
        <v>2430.1503749999915</v>
      </c>
      <c r="AE9030" s="184">
        <f>SUMIFS($AD$37:$AD$12971,$V$37:$V$12971,$V9030,$X$37:$X$12971,AE$13)</f>
        <v>0</v>
      </c>
      <c r="AF9030" s="185">
        <f>SUMIFS($AD$37:$AD$12971,$V$37:$V$12971,$V9030,$X$37:$X$12971,AF$13)</f>
        <v>0</v>
      </c>
      <c r="AG9030" s="185">
        <f>SUMIFS($AD$37:$AD$12971,$V$37:$V$12971,$V9030,$X$37:$X$12971,AG$13)</f>
        <v>0</v>
      </c>
      <c r="AH9030" s="187">
        <f>SUMIFS($AD$37:$AD$12971,$V$37:$V$12971,$V9030,$X$37:$X$12971,AH$13)</f>
        <v>0</v>
      </c>
      <c r="AI9030" s="161">
        <f t="shared" ref="AI9030" si="6127">SUM(AE9030:AH9030)</f>
        <v>0</v>
      </c>
      <c r="AK9030" s="172"/>
    </row>
    <row r="9031" spans="1:37" s="102" customFormat="1" ht="19.899999999999999" customHeight="1" x14ac:dyDescent="0.25">
      <c r="A9031" s="45"/>
      <c r="B9031" s="59"/>
      <c r="C9031" s="137"/>
      <c r="D9031" s="59"/>
      <c r="E9031" s="116"/>
      <c r="F9031" s="120"/>
      <c r="G9031" s="120"/>
      <c r="H9031" s="120"/>
      <c r="I9031" s="60"/>
      <c r="J9031" s="116"/>
      <c r="K9031" s="213"/>
      <c r="L9031" s="120"/>
      <c r="M9031" s="120"/>
      <c r="N9031" s="167"/>
      <c r="O9031" s="120"/>
      <c r="P9031" s="120"/>
      <c r="Q9031" s="120"/>
      <c r="R9031" s="120"/>
      <c r="S9031" s="120"/>
      <c r="T9031" s="221"/>
      <c r="U9031" s="89"/>
      <c r="V9031" s="61"/>
      <c r="W9031" s="92" t="s">
        <v>1032</v>
      </c>
      <c r="X9031" s="93" t="s">
        <v>30</v>
      </c>
      <c r="Y9031" s="93" t="s">
        <v>66</v>
      </c>
      <c r="Z9031" s="134">
        <f>VLOOKUP(W9031,Sheet2!$B:$D,3,FALSE)</f>
        <v>250</v>
      </c>
      <c r="AA9031" s="93">
        <f>1/(2.4*2.4*0.1)</f>
        <v>1.7361111111111112</v>
      </c>
      <c r="AB9031" s="93">
        <f>AD9031/AC9037</f>
        <v>144</v>
      </c>
      <c r="AC9031" s="93">
        <f>AC9037/AA9031</f>
        <v>0.74303999999999748</v>
      </c>
      <c r="AD9031" s="94">
        <f t="shared" ref="AD9031:AD9033" si="6128">AC9031*Z9031</f>
        <v>185.75999999999937</v>
      </c>
      <c r="AE9031" s="190"/>
      <c r="AF9031" s="191"/>
      <c r="AG9031" s="191"/>
      <c r="AH9031" s="191"/>
      <c r="AI9031" s="186"/>
      <c r="AK9031" s="171"/>
    </row>
    <row r="9032" spans="1:37" s="102" customFormat="1" ht="19.899999999999999" customHeight="1" x14ac:dyDescent="0.25">
      <c r="A9032" s="45"/>
      <c r="B9032" s="59"/>
      <c r="C9032" s="137"/>
      <c r="D9032" s="59"/>
      <c r="E9032" s="116"/>
      <c r="F9032" s="120"/>
      <c r="G9032" s="120"/>
      <c r="H9032" s="120"/>
      <c r="I9032" s="60"/>
      <c r="J9032" s="116"/>
      <c r="K9032" s="213"/>
      <c r="L9032" s="120"/>
      <c r="M9032" s="120"/>
      <c r="N9032" s="167"/>
      <c r="O9032" s="120"/>
      <c r="P9032" s="120"/>
      <c r="Q9032" s="120"/>
      <c r="R9032" s="120"/>
      <c r="S9032" s="120"/>
      <c r="T9032" s="221"/>
      <c r="U9032" s="89"/>
      <c r="V9032" s="61"/>
      <c r="W9032" s="92" t="s">
        <v>1353</v>
      </c>
      <c r="X9032" s="93" t="s">
        <v>30</v>
      </c>
      <c r="Y9032" s="93" t="s">
        <v>66</v>
      </c>
      <c r="Z9032" s="134">
        <f>VLOOKUP(W9032,Sheet2!$B:$D,3,FALSE)</f>
        <v>350</v>
      </c>
      <c r="AA9032" s="93">
        <f>1/(2.3*2.3*0.3)</f>
        <v>0.63011972274732209</v>
      </c>
      <c r="AB9032" s="93">
        <f>AD9032/AC9037</f>
        <v>555.44999999999993</v>
      </c>
      <c r="AC9032" s="93">
        <f>AC9037/AA9032</f>
        <v>2.0472299999999928</v>
      </c>
      <c r="AD9032" s="94">
        <f t="shared" si="6128"/>
        <v>716.53049999999746</v>
      </c>
      <c r="AE9032" s="190"/>
      <c r="AF9032" s="191"/>
      <c r="AG9032" s="191"/>
      <c r="AH9032" s="191"/>
      <c r="AI9032" s="186"/>
      <c r="AK9032" s="171"/>
    </row>
    <row r="9033" spans="1:37" s="102" customFormat="1" ht="19.899999999999999" customHeight="1" x14ac:dyDescent="0.25">
      <c r="A9033" s="45"/>
      <c r="B9033" s="59"/>
      <c r="C9033" s="137"/>
      <c r="D9033" s="59"/>
      <c r="E9033" s="116"/>
      <c r="F9033" s="120"/>
      <c r="G9033" s="120"/>
      <c r="H9033" s="120"/>
      <c r="I9033" s="60"/>
      <c r="J9033" s="116"/>
      <c r="K9033" s="213"/>
      <c r="L9033" s="120"/>
      <c r="M9033" s="120"/>
      <c r="N9033" s="167"/>
      <c r="O9033" s="120"/>
      <c r="P9033" s="120"/>
      <c r="Q9033" s="120"/>
      <c r="R9033" s="120"/>
      <c r="S9033" s="120"/>
      <c r="T9033" s="221"/>
      <c r="U9033" s="89"/>
      <c r="V9033" s="61"/>
      <c r="W9033" s="92" t="s">
        <v>99</v>
      </c>
      <c r="X9033" s="93" t="s">
        <v>30</v>
      </c>
      <c r="Y9033" s="93" t="s">
        <v>67</v>
      </c>
      <c r="Z9033" s="134">
        <f>VLOOKUP(W9033,Sheet2!$B:$D,3,FALSE)</f>
        <v>2500</v>
      </c>
      <c r="AA9033" s="93">
        <f>AA9032/0.08</f>
        <v>7.8764965343415261</v>
      </c>
      <c r="AB9033" s="93">
        <f>AD9033/AC9037</f>
        <v>317.39999999999992</v>
      </c>
      <c r="AC9033" s="93">
        <f>AC9037/AA9033</f>
        <v>0.16377839999999941</v>
      </c>
      <c r="AD9033" s="94">
        <f t="shared" si="6128"/>
        <v>409.44599999999849</v>
      </c>
      <c r="AE9033" s="190"/>
      <c r="AF9033" s="191"/>
      <c r="AG9033" s="191"/>
      <c r="AH9033" s="191"/>
      <c r="AI9033" s="186"/>
      <c r="AK9033" s="171"/>
    </row>
    <row r="9034" spans="1:37" s="102" customFormat="1" ht="19.899999999999999" customHeight="1" x14ac:dyDescent="0.25">
      <c r="A9034" s="45"/>
      <c r="B9034" s="59"/>
      <c r="C9034" s="137"/>
      <c r="D9034" s="59"/>
      <c r="E9034" s="116"/>
      <c r="F9034" s="120"/>
      <c r="G9034" s="120"/>
      <c r="H9034" s="120"/>
      <c r="I9034" s="60"/>
      <c r="J9034" s="116"/>
      <c r="K9034" s="213"/>
      <c r="L9034" s="120"/>
      <c r="M9034" s="120"/>
      <c r="N9034" s="167"/>
      <c r="O9034" s="120"/>
      <c r="P9034" s="120"/>
      <c r="Q9034" s="120"/>
      <c r="R9034" s="120"/>
      <c r="S9034" s="120"/>
      <c r="T9034" s="221"/>
      <c r="U9034" s="89"/>
      <c r="V9034" s="61"/>
      <c r="W9034" s="92" t="s">
        <v>1354</v>
      </c>
      <c r="X9034" s="93" t="s">
        <v>32</v>
      </c>
      <c r="Y9034" s="93" t="s">
        <v>66</v>
      </c>
      <c r="Z9034" s="134">
        <f>VLOOKUP(W9034,Sheet2!$B:$D,3,FALSE)</f>
        <v>150</v>
      </c>
      <c r="AA9034" s="93">
        <f>AA9031</f>
        <v>1.7361111111111112</v>
      </c>
      <c r="AB9034" s="93">
        <f>AD9034/AC9037</f>
        <v>86.4</v>
      </c>
      <c r="AC9034" s="93">
        <f>AC9037/AA9034</f>
        <v>0.74303999999999748</v>
      </c>
      <c r="AD9034" s="94">
        <f>AC9034*Z9034</f>
        <v>111.45599999999962</v>
      </c>
      <c r="AE9034" s="190"/>
      <c r="AF9034" s="191"/>
      <c r="AG9034" s="191"/>
      <c r="AH9034" s="191"/>
      <c r="AI9034" s="186"/>
      <c r="AK9034" s="171"/>
    </row>
    <row r="9035" spans="1:37" s="102" customFormat="1" ht="19.899999999999999" customHeight="1" x14ac:dyDescent="0.25">
      <c r="A9035" s="45"/>
      <c r="B9035" s="59"/>
      <c r="C9035" s="137"/>
      <c r="D9035" s="59"/>
      <c r="E9035" s="116"/>
      <c r="F9035" s="120"/>
      <c r="G9035" s="120"/>
      <c r="H9035" s="120"/>
      <c r="I9035" s="60"/>
      <c r="J9035" s="116"/>
      <c r="K9035" s="213"/>
      <c r="L9035" s="120"/>
      <c r="M9035" s="120"/>
      <c r="N9035" s="167"/>
      <c r="O9035" s="120"/>
      <c r="P9035" s="120"/>
      <c r="Q9035" s="120"/>
      <c r="R9035" s="120"/>
      <c r="S9035" s="120"/>
      <c r="T9035" s="221"/>
      <c r="U9035" s="89"/>
      <c r="V9035" s="61"/>
      <c r="W9035" s="92" t="s">
        <v>1355</v>
      </c>
      <c r="X9035" s="93" t="s">
        <v>32</v>
      </c>
      <c r="Y9035" s="93" t="s">
        <v>66</v>
      </c>
      <c r="Z9035" s="134">
        <f>VLOOKUP(W9035,Sheet2!$B:$D,3,FALSE)</f>
        <v>450</v>
      </c>
      <c r="AA9035" s="93">
        <f>AA9032</f>
        <v>0.63011972274732209</v>
      </c>
      <c r="AB9035" s="93">
        <f>AD9035/AC9037</f>
        <v>714.14999999999986</v>
      </c>
      <c r="AC9035" s="93">
        <f>AC9037/AA9035</f>
        <v>2.0472299999999928</v>
      </c>
      <c r="AD9035" s="94">
        <f>AC9035*Z9035</f>
        <v>921.25349999999673</v>
      </c>
      <c r="AE9035" s="190"/>
      <c r="AF9035" s="191"/>
      <c r="AG9035" s="191"/>
      <c r="AH9035" s="191"/>
      <c r="AI9035" s="186"/>
      <c r="AK9035" s="171"/>
    </row>
    <row r="9036" spans="1:37" s="102" customFormat="1" ht="19.899999999999999" customHeight="1" x14ac:dyDescent="0.25">
      <c r="A9036" s="45"/>
      <c r="B9036" s="59"/>
      <c r="C9036" s="137"/>
      <c r="D9036" s="59"/>
      <c r="E9036" s="116"/>
      <c r="F9036" s="120"/>
      <c r="G9036" s="120"/>
      <c r="H9036" s="120"/>
      <c r="I9036" s="60"/>
      <c r="J9036" s="116"/>
      <c r="K9036" s="213"/>
      <c r="L9036" s="120"/>
      <c r="M9036" s="120"/>
      <c r="N9036" s="167"/>
      <c r="O9036" s="120"/>
      <c r="P9036" s="120"/>
      <c r="Q9036" s="120"/>
      <c r="R9036" s="120"/>
      <c r="S9036" s="120"/>
      <c r="T9036" s="221"/>
      <c r="U9036" s="89"/>
      <c r="V9036" s="61"/>
      <c r="W9036" s="92" t="s">
        <v>124</v>
      </c>
      <c r="X9036" s="93" t="s">
        <v>32</v>
      </c>
      <c r="Y9036" s="93" t="s">
        <v>64</v>
      </c>
      <c r="Z9036" s="134">
        <f>VLOOKUP(W9036,Sheet2!$B:$D,3,FALSE)</f>
        <v>10</v>
      </c>
      <c r="AA9036" s="93">
        <f>1/((2.9*2.9)-(3.14*1.5*1.5/4))</f>
        <v>0.15051740357478832</v>
      </c>
      <c r="AB9036" s="93">
        <f t="shared" ref="AB9036" si="6129">AD9036/AC9030</f>
        <v>66.4375</v>
      </c>
      <c r="AC9036" s="93">
        <f>AC9030/AA9036</f>
        <v>8.5704374999999722</v>
      </c>
      <c r="AD9036" s="94">
        <f t="shared" ref="AD9036" si="6130">AC9036*Z9036</f>
        <v>85.704374999999715</v>
      </c>
      <c r="AE9036" s="190"/>
      <c r="AF9036" s="191"/>
      <c r="AG9036" s="191"/>
      <c r="AH9036" s="191"/>
      <c r="AI9036" s="186"/>
      <c r="AK9036" s="171"/>
    </row>
    <row r="9037" spans="1:37" s="103" customFormat="1" ht="19.899999999999999" customHeight="1" x14ac:dyDescent="0.25">
      <c r="A9037" s="51"/>
      <c r="B9037" s="52"/>
      <c r="C9037" s="165"/>
      <c r="D9037" s="52"/>
      <c r="E9037" s="115"/>
      <c r="F9037" s="58"/>
      <c r="G9037" s="58"/>
      <c r="H9037" s="58"/>
      <c r="I9037" s="55"/>
      <c r="J9037" s="113">
        <f>J9024</f>
        <v>1.2899999999999956</v>
      </c>
      <c r="K9037" s="212">
        <f>K9024</f>
        <v>1.2899999999999956</v>
      </c>
      <c r="L9037" s="58"/>
      <c r="M9037" s="58">
        <f>K9037-L9037</f>
        <v>1.2899999999999956</v>
      </c>
      <c r="N9037" s="166"/>
      <c r="O9037" s="58"/>
      <c r="P9037" s="58"/>
      <c r="Q9037" s="58"/>
      <c r="R9037" s="58"/>
      <c r="S9037" s="58"/>
      <c r="T9037" s="220"/>
      <c r="U9037" s="88"/>
      <c r="V9037" s="56"/>
      <c r="W9037" s="57" t="s">
        <v>1275</v>
      </c>
      <c r="X9037" s="53"/>
      <c r="Y9037" s="91" t="s">
        <v>35</v>
      </c>
      <c r="Z9037" s="136">
        <f>AD9037/AC9037</f>
        <v>8322.7999999999993</v>
      </c>
      <c r="AA9037" s="58"/>
      <c r="AB9037" s="53">
        <f>AD9037/AC9037</f>
        <v>8322.7999999999993</v>
      </c>
      <c r="AC9037" s="53">
        <f>M9037+$AE$10</f>
        <v>1.2899999999999956</v>
      </c>
      <c r="AD9037" s="54">
        <f>SUM(AD9038:AD9043)</f>
        <v>10736.411999999962</v>
      </c>
      <c r="AE9037" s="184">
        <f>SUMIFS($AD$37:$AD$12971,$V$37:$V$12971,$V9037,$X$37:$X$12971,AE$13)</f>
        <v>0</v>
      </c>
      <c r="AF9037" s="185">
        <f>SUMIFS($AD$37:$AD$12971,$V$37:$V$12971,$V9037,$X$37:$X$12971,AF$13)</f>
        <v>0</v>
      </c>
      <c r="AG9037" s="185">
        <f>SUMIFS($AD$37:$AD$12971,$V$37:$V$12971,$V9037,$X$37:$X$12971,AG$13)</f>
        <v>0</v>
      </c>
      <c r="AH9037" s="187">
        <f>SUMIFS($AD$37:$AD$12971,$V$37:$V$12971,$V9037,$X$37:$X$12971,AH$13)</f>
        <v>0</v>
      </c>
      <c r="AI9037" s="161">
        <f t="shared" ref="AI9037" si="6131">SUM(AE9037:AH9037)</f>
        <v>0</v>
      </c>
      <c r="AK9037" s="172"/>
    </row>
    <row r="9038" spans="1:37" s="102" customFormat="1" ht="19.899999999999999" customHeight="1" x14ac:dyDescent="0.25">
      <c r="A9038" s="45"/>
      <c r="B9038" s="59"/>
      <c r="C9038" s="137"/>
      <c r="D9038" s="59"/>
      <c r="E9038" s="116"/>
      <c r="F9038" s="120"/>
      <c r="G9038" s="120"/>
      <c r="H9038" s="120"/>
      <c r="I9038" s="60"/>
      <c r="J9038" s="116"/>
      <c r="K9038" s="213"/>
      <c r="L9038" s="120"/>
      <c r="M9038" s="120"/>
      <c r="N9038" s="167"/>
      <c r="O9038" s="120"/>
      <c r="P9038" s="120"/>
      <c r="Q9038" s="120"/>
      <c r="R9038" s="120"/>
      <c r="S9038" s="120"/>
      <c r="T9038" s="221"/>
      <c r="U9038" s="89"/>
      <c r="V9038" s="61"/>
      <c r="W9038" s="92" t="s">
        <v>1499</v>
      </c>
      <c r="X9038" s="93" t="s">
        <v>30</v>
      </c>
      <c r="Y9038" s="93" t="s">
        <v>35</v>
      </c>
      <c r="Z9038" s="134">
        <f>VLOOKUP(W9038,Sheet2!$B:$D,3,FALSE)</f>
        <v>6550</v>
      </c>
      <c r="AA9038" s="93">
        <v>1</v>
      </c>
      <c r="AB9038" s="93">
        <f>AD9038/AC9037</f>
        <v>6550</v>
      </c>
      <c r="AC9038" s="93">
        <f>AC9037/AA9038</f>
        <v>1.2899999999999956</v>
      </c>
      <c r="AD9038" s="94">
        <f t="shared" ref="AD9038:AD9039" si="6132">AC9038*Z9038</f>
        <v>8449.4999999999709</v>
      </c>
      <c r="AE9038" s="190"/>
      <c r="AF9038" s="191"/>
      <c r="AG9038" s="191"/>
      <c r="AH9038" s="191"/>
      <c r="AI9038" s="186"/>
      <c r="AK9038" s="171"/>
    </row>
    <row r="9039" spans="1:37" s="102" customFormat="1" ht="19.899999999999999" customHeight="1" x14ac:dyDescent="0.25">
      <c r="A9039" s="45"/>
      <c r="B9039" s="59"/>
      <c r="C9039" s="137"/>
      <c r="D9039" s="59"/>
      <c r="E9039" s="116"/>
      <c r="F9039" s="120"/>
      <c r="G9039" s="120"/>
      <c r="H9039" s="120"/>
      <c r="I9039" s="60"/>
      <c r="J9039" s="116"/>
      <c r="K9039" s="213"/>
      <c r="L9039" s="120"/>
      <c r="M9039" s="120"/>
      <c r="N9039" s="167"/>
      <c r="O9039" s="120"/>
      <c r="P9039" s="120"/>
      <c r="Q9039" s="120"/>
      <c r="R9039" s="120"/>
      <c r="S9039" s="120"/>
      <c r="T9039" s="221"/>
      <c r="U9039" s="89"/>
      <c r="V9039" s="61"/>
      <c r="W9039" s="92" t="s">
        <v>174</v>
      </c>
      <c r="X9039" s="93" t="s">
        <v>29</v>
      </c>
      <c r="Y9039" s="93" t="s">
        <v>93</v>
      </c>
      <c r="Z9039" s="134">
        <f>VLOOKUP(W9039,Sheet2!$B:$D,3,FALSE)</f>
        <v>80</v>
      </c>
      <c r="AA9039" s="93">
        <f>1/2</f>
        <v>0.5</v>
      </c>
      <c r="AB9039" s="93">
        <f>AD9039/AC9037</f>
        <v>160</v>
      </c>
      <c r="AC9039" s="93">
        <f>AC9037/AA9039</f>
        <v>2.5799999999999912</v>
      </c>
      <c r="AD9039" s="94">
        <f t="shared" si="6132"/>
        <v>206.3999999999993</v>
      </c>
      <c r="AE9039" s="190"/>
      <c r="AF9039" s="191"/>
      <c r="AG9039" s="191"/>
      <c r="AH9039" s="191"/>
      <c r="AI9039" s="186"/>
      <c r="AK9039" s="171"/>
    </row>
    <row r="9040" spans="1:37" s="102" customFormat="1" ht="19.899999999999999" customHeight="1" x14ac:dyDescent="0.25">
      <c r="A9040" s="45"/>
      <c r="B9040" s="59"/>
      <c r="C9040" s="137"/>
      <c r="D9040" s="59"/>
      <c r="E9040" s="116"/>
      <c r="F9040" s="120"/>
      <c r="G9040" s="120"/>
      <c r="H9040" s="120"/>
      <c r="I9040" s="60"/>
      <c r="J9040" s="116"/>
      <c r="K9040" s="213"/>
      <c r="L9040" s="120"/>
      <c r="M9040" s="120"/>
      <c r="N9040" s="167"/>
      <c r="O9040" s="120"/>
      <c r="P9040" s="120"/>
      <c r="Q9040" s="120"/>
      <c r="R9040" s="120"/>
      <c r="S9040" s="120"/>
      <c r="T9040" s="221"/>
      <c r="U9040" s="89"/>
      <c r="V9040" s="61"/>
      <c r="W9040" s="92" t="s">
        <v>65</v>
      </c>
      <c r="X9040" s="93" t="s">
        <v>30</v>
      </c>
      <c r="Y9040" s="93" t="s">
        <v>93</v>
      </c>
      <c r="Z9040" s="134">
        <f>VLOOKUP(W9040,Sheet2!$B:$D,3,FALSE)</f>
        <v>1.76</v>
      </c>
      <c r="AA9040" s="93">
        <f>AA9039/15</f>
        <v>3.3333333333333333E-2</v>
      </c>
      <c r="AB9040" s="93">
        <f>AD9040/AC9037</f>
        <v>52.8</v>
      </c>
      <c r="AC9040" s="93">
        <f>AC9037/AA9040</f>
        <v>38.699999999999868</v>
      </c>
      <c r="AD9040" s="94">
        <f>AC9040*Z9040</f>
        <v>68.111999999999767</v>
      </c>
      <c r="AE9040" s="190"/>
      <c r="AF9040" s="191"/>
      <c r="AG9040" s="191"/>
      <c r="AH9040" s="191"/>
      <c r="AI9040" s="186"/>
      <c r="AK9040" s="171"/>
    </row>
    <row r="9041" spans="1:37" s="102" customFormat="1" ht="19.899999999999999" customHeight="1" x14ac:dyDescent="0.25">
      <c r="A9041" s="45"/>
      <c r="B9041" s="59"/>
      <c r="C9041" s="137"/>
      <c r="D9041" s="59"/>
      <c r="E9041" s="116"/>
      <c r="F9041" s="120"/>
      <c r="G9041" s="120"/>
      <c r="H9041" s="120"/>
      <c r="I9041" s="60"/>
      <c r="J9041" s="116"/>
      <c r="K9041" s="213"/>
      <c r="L9041" s="120"/>
      <c r="M9041" s="120"/>
      <c r="N9041" s="167"/>
      <c r="O9041" s="120"/>
      <c r="P9041" s="120"/>
      <c r="Q9041" s="120"/>
      <c r="R9041" s="120"/>
      <c r="S9041" s="120"/>
      <c r="T9041" s="221"/>
      <c r="U9041" s="89"/>
      <c r="V9041" s="61"/>
      <c r="W9041" s="92" t="s">
        <v>1487</v>
      </c>
      <c r="X9041" s="93" t="s">
        <v>32</v>
      </c>
      <c r="Y9041" s="93" t="s">
        <v>1349</v>
      </c>
      <c r="Z9041" s="134">
        <f>VLOOKUP(W9041,Sheet2!$B:$D,3,FALSE)</f>
        <v>1500</v>
      </c>
      <c r="AA9041" s="93">
        <v>1</v>
      </c>
      <c r="AB9041" s="93">
        <f>AD9041/AC9037</f>
        <v>1500</v>
      </c>
      <c r="AC9041" s="93">
        <f>AC9037/AA9041</f>
        <v>1.2899999999999956</v>
      </c>
      <c r="AD9041" s="94">
        <f>AC9041*Z9041</f>
        <v>1934.9999999999934</v>
      </c>
      <c r="AE9041" s="190"/>
      <c r="AF9041" s="191"/>
      <c r="AG9041" s="191"/>
      <c r="AH9041" s="191"/>
      <c r="AI9041" s="186"/>
      <c r="AK9041" s="171"/>
    </row>
    <row r="9042" spans="1:37" s="102" customFormat="1" ht="19.899999999999999" customHeight="1" x14ac:dyDescent="0.25">
      <c r="A9042" s="45"/>
      <c r="B9042" s="59"/>
      <c r="C9042" s="137"/>
      <c r="D9042" s="59"/>
      <c r="E9042" s="116"/>
      <c r="F9042" s="120"/>
      <c r="G9042" s="120"/>
      <c r="H9042" s="120"/>
      <c r="I9042" s="60"/>
      <c r="J9042" s="116"/>
      <c r="K9042" s="213"/>
      <c r="L9042" s="120"/>
      <c r="M9042" s="120"/>
      <c r="N9042" s="167"/>
      <c r="O9042" s="120"/>
      <c r="P9042" s="120"/>
      <c r="Q9042" s="120"/>
      <c r="R9042" s="120"/>
      <c r="S9042" s="120"/>
      <c r="T9042" s="221"/>
      <c r="U9042" s="89"/>
      <c r="V9042" s="61"/>
      <c r="W9042" s="92" t="s">
        <v>107</v>
      </c>
      <c r="X9042" s="93" t="s">
        <v>31</v>
      </c>
      <c r="Y9042" s="93" t="s">
        <v>93</v>
      </c>
      <c r="Z9042" s="134">
        <f>VLOOKUP(W9042,Sheet2!$B:$D,3,FALSE)</f>
        <v>17</v>
      </c>
      <c r="AA9042" s="93">
        <f>AA9039</f>
        <v>0.5</v>
      </c>
      <c r="AB9042" s="93">
        <f>AD9042/AC9037</f>
        <v>34</v>
      </c>
      <c r="AC9042" s="93">
        <f>AC9037/AA9042</f>
        <v>2.5799999999999912</v>
      </c>
      <c r="AD9042" s="94">
        <f>AC9042*Z9042</f>
        <v>43.85999999999985</v>
      </c>
      <c r="AE9042" s="190"/>
      <c r="AF9042" s="191"/>
      <c r="AG9042" s="191"/>
      <c r="AH9042" s="191"/>
      <c r="AI9042" s="186"/>
      <c r="AK9042" s="171"/>
    </row>
    <row r="9043" spans="1:37" s="102" customFormat="1" ht="19.899999999999999" customHeight="1" x14ac:dyDescent="0.25">
      <c r="A9043" s="45"/>
      <c r="B9043" s="59"/>
      <c r="C9043" s="137"/>
      <c r="D9043" s="59"/>
      <c r="E9043" s="116"/>
      <c r="F9043" s="120"/>
      <c r="G9043" s="120"/>
      <c r="H9043" s="120"/>
      <c r="I9043" s="60"/>
      <c r="J9043" s="116"/>
      <c r="K9043" s="213"/>
      <c r="L9043" s="120"/>
      <c r="M9043" s="120"/>
      <c r="N9043" s="167"/>
      <c r="O9043" s="120"/>
      <c r="P9043" s="120"/>
      <c r="Q9043" s="120"/>
      <c r="R9043" s="120"/>
      <c r="S9043" s="120"/>
      <c r="T9043" s="221"/>
      <c r="U9043" s="89"/>
      <c r="V9043" s="61"/>
      <c r="W9043" s="92" t="s">
        <v>112</v>
      </c>
      <c r="X9043" s="93" t="s">
        <v>31</v>
      </c>
      <c r="Y9043" s="93" t="s">
        <v>93</v>
      </c>
      <c r="Z9043" s="134">
        <f>VLOOKUP(W9043,Sheet2!$B:$D,3,FALSE)</f>
        <v>13</v>
      </c>
      <c r="AA9043" s="93">
        <f>AA9042</f>
        <v>0.5</v>
      </c>
      <c r="AB9043" s="93">
        <f>AD9043/AC9037</f>
        <v>26</v>
      </c>
      <c r="AC9043" s="93">
        <f>AC9037/AA9043</f>
        <v>2.5799999999999912</v>
      </c>
      <c r="AD9043" s="94">
        <f>AC9043*Z9043</f>
        <v>33.539999999999885</v>
      </c>
      <c r="AE9043" s="190"/>
      <c r="AF9043" s="191"/>
      <c r="AG9043" s="191"/>
      <c r="AH9043" s="191"/>
      <c r="AI9043" s="186"/>
      <c r="AK9043" s="171"/>
    </row>
    <row r="9044" spans="1:37" s="103" customFormat="1" ht="19.899999999999999" customHeight="1" x14ac:dyDescent="0.25">
      <c r="A9044" s="51"/>
      <c r="B9044" s="52"/>
      <c r="C9044" s="165"/>
      <c r="D9044" s="52"/>
      <c r="E9044" s="115"/>
      <c r="F9044" s="58"/>
      <c r="G9044" s="58"/>
      <c r="H9044" s="58"/>
      <c r="I9044" s="55"/>
      <c r="J9044" s="113">
        <f>J9024</f>
        <v>1.2899999999999956</v>
      </c>
      <c r="K9044" s="212">
        <f>K9024</f>
        <v>1.2899999999999956</v>
      </c>
      <c r="L9044" s="58"/>
      <c r="M9044" s="58">
        <f>K9044-L9044</f>
        <v>1.2899999999999956</v>
      </c>
      <c r="N9044" s="166"/>
      <c r="O9044" s="58"/>
      <c r="P9044" s="58"/>
      <c r="Q9044" s="58"/>
      <c r="R9044" s="58"/>
      <c r="S9044" s="58"/>
      <c r="T9044" s="220"/>
      <c r="U9044" s="88"/>
      <c r="V9044" s="56"/>
      <c r="W9044" s="57" t="s">
        <v>1272</v>
      </c>
      <c r="X9044" s="53"/>
      <c r="Y9044" s="91" t="s">
        <v>35</v>
      </c>
      <c r="Z9044" s="136">
        <f>AD9044/AC9044</f>
        <v>617.71539864705892</v>
      </c>
      <c r="AA9044" s="58"/>
      <c r="AB9044" s="53">
        <f>AD9044/AC9044</f>
        <v>617.71539864705892</v>
      </c>
      <c r="AC9044" s="53">
        <f>M9044+$AE$10</f>
        <v>1.2899999999999956</v>
      </c>
      <c r="AD9044" s="54">
        <f>SUM(AD9045:AD9053)</f>
        <v>796.85286425470326</v>
      </c>
      <c r="AE9044" s="184">
        <f>SUMIFS($AD$37:$AD$12971,$V$37:$V$12971,$V9044,$X$37:$X$12971,AE$13)</f>
        <v>0</v>
      </c>
      <c r="AF9044" s="185">
        <f>SUMIFS($AD$37:$AD$12971,$V$37:$V$12971,$V9044,$X$37:$X$12971,AF$13)</f>
        <v>0</v>
      </c>
      <c r="AG9044" s="185">
        <f>SUMIFS($AD$37:$AD$12971,$V$37:$V$12971,$V9044,$X$37:$X$12971,AG$13)</f>
        <v>0</v>
      </c>
      <c r="AH9044" s="187">
        <f>SUMIFS($AD$37:$AD$12971,$V$37:$V$12971,$V9044,$X$37:$X$12971,AH$13)</f>
        <v>0</v>
      </c>
      <c r="AI9044" s="161">
        <f t="shared" ref="AI9044" si="6133">SUM(AE9044:AH9044)</f>
        <v>0</v>
      </c>
      <c r="AK9044" s="172"/>
    </row>
    <row r="9045" spans="1:37" s="102" customFormat="1" ht="19.899999999999999" customHeight="1" x14ac:dyDescent="0.25">
      <c r="A9045" s="45"/>
      <c r="B9045" s="59"/>
      <c r="C9045" s="137"/>
      <c r="D9045" s="59"/>
      <c r="E9045" s="116"/>
      <c r="F9045" s="120"/>
      <c r="G9045" s="120"/>
      <c r="H9045" s="120"/>
      <c r="I9045" s="60"/>
      <c r="J9045" s="116"/>
      <c r="K9045" s="213"/>
      <c r="L9045" s="120"/>
      <c r="M9045" s="120"/>
      <c r="N9045" s="167"/>
      <c r="O9045" s="120"/>
      <c r="P9045" s="120"/>
      <c r="Q9045" s="120"/>
      <c r="R9045" s="120"/>
      <c r="S9045" s="120"/>
      <c r="T9045" s="221"/>
      <c r="U9045" s="89"/>
      <c r="V9045" s="61"/>
      <c r="W9045" s="92" t="s">
        <v>1273</v>
      </c>
      <c r="X9045" s="93" t="s">
        <v>30</v>
      </c>
      <c r="Y9045" s="93" t="s">
        <v>66</v>
      </c>
      <c r="Z9045" s="134">
        <f>VLOOKUP(W9045,Sheet2!$B:$D,3,FALSE)</f>
        <v>10</v>
      </c>
      <c r="AA9045" s="93">
        <f>1/((3*3*4.5)-(3.14/4*1.5*1.5*4.5))</f>
        <v>3.0720196609258298E-2</v>
      </c>
      <c r="AB9045" s="93">
        <f>AD9045/AC9044</f>
        <v>325.51875000000001</v>
      </c>
      <c r="AC9045" s="93">
        <f>AC9044/AA9045</f>
        <v>41.991918749999861</v>
      </c>
      <c r="AD9045" s="94">
        <f t="shared" ref="AD9045:AD9047" si="6134">AC9045*Z9045</f>
        <v>419.9191874999986</v>
      </c>
      <c r="AE9045" s="190"/>
      <c r="AF9045" s="191"/>
      <c r="AG9045" s="191"/>
      <c r="AH9045" s="191"/>
      <c r="AI9045" s="186"/>
      <c r="AK9045" s="171"/>
    </row>
    <row r="9046" spans="1:37" s="102" customFormat="1" ht="19.899999999999999" customHeight="1" x14ac:dyDescent="0.25">
      <c r="A9046" s="45"/>
      <c r="B9046" s="59"/>
      <c r="C9046" s="137"/>
      <c r="D9046" s="59"/>
      <c r="E9046" s="116"/>
      <c r="F9046" s="120"/>
      <c r="G9046" s="120"/>
      <c r="H9046" s="120"/>
      <c r="I9046" s="60"/>
      <c r="J9046" s="116"/>
      <c r="K9046" s="213"/>
      <c r="L9046" s="120"/>
      <c r="M9046" s="120"/>
      <c r="N9046" s="167"/>
      <c r="O9046" s="120"/>
      <c r="P9046" s="120"/>
      <c r="Q9046" s="120"/>
      <c r="R9046" s="120"/>
      <c r="S9046" s="120"/>
      <c r="T9046" s="221"/>
      <c r="U9046" s="89"/>
      <c r="V9046" s="61"/>
      <c r="W9046" s="92" t="s">
        <v>134</v>
      </c>
      <c r="X9046" s="93" t="s">
        <v>29</v>
      </c>
      <c r="Y9046" s="93" t="s">
        <v>93</v>
      </c>
      <c r="Z9046" s="134">
        <f>VLOOKUP(W9046,Sheet2!$B:$D,3,FALSE)</f>
        <v>65.599999999999994</v>
      </c>
      <c r="AA9046" s="93">
        <f>100/((3*3*4.5)-(3.14/4*1.5*1.5*4.5))</f>
        <v>3.0720196609258297</v>
      </c>
      <c r="AB9046" s="93">
        <f t="shared" ref="AB9046" si="6135">AD9046/AC9044</f>
        <v>21.354030000000002</v>
      </c>
      <c r="AC9046" s="93">
        <f>AC9044/AA9046</f>
        <v>0.41991918749999863</v>
      </c>
      <c r="AD9046" s="94">
        <f t="shared" si="6134"/>
        <v>27.546698699999908</v>
      </c>
      <c r="AE9046" s="190"/>
      <c r="AF9046" s="191"/>
      <c r="AG9046" s="191"/>
      <c r="AH9046" s="191"/>
      <c r="AI9046" s="186"/>
      <c r="AK9046" s="171"/>
    </row>
    <row r="9047" spans="1:37" s="102" customFormat="1" ht="19.899999999999999" customHeight="1" x14ac:dyDescent="0.25">
      <c r="A9047" s="45"/>
      <c r="B9047" s="59"/>
      <c r="C9047" s="137"/>
      <c r="D9047" s="59"/>
      <c r="E9047" s="116"/>
      <c r="F9047" s="120"/>
      <c r="G9047" s="120"/>
      <c r="H9047" s="120"/>
      <c r="I9047" s="60"/>
      <c r="J9047" s="116"/>
      <c r="K9047" s="213"/>
      <c r="L9047" s="120"/>
      <c r="M9047" s="120"/>
      <c r="N9047" s="167"/>
      <c r="O9047" s="120"/>
      <c r="P9047" s="120"/>
      <c r="Q9047" s="120"/>
      <c r="R9047" s="120"/>
      <c r="S9047" s="120"/>
      <c r="T9047" s="221"/>
      <c r="U9047" s="89"/>
      <c r="V9047" s="61"/>
      <c r="W9047" s="92" t="s">
        <v>65</v>
      </c>
      <c r="X9047" s="93" t="s">
        <v>30</v>
      </c>
      <c r="Y9047" s="93" t="s">
        <v>1011</v>
      </c>
      <c r="Z9047" s="134">
        <f>VLOOKUP(W9047,Sheet2!$B:$D,3,FALSE)</f>
        <v>1.76</v>
      </c>
      <c r="AA9047" s="93">
        <f>AA9046/9</f>
        <v>0.34133551788064775</v>
      </c>
      <c r="AB9047" s="93">
        <f>AD9047/AC9044</f>
        <v>5.1562170000000007</v>
      </c>
      <c r="AC9047" s="93">
        <f>AC9044/AA9047</f>
        <v>3.7792726874999873</v>
      </c>
      <c r="AD9047" s="94">
        <f t="shared" si="6134"/>
        <v>6.6515199299999779</v>
      </c>
      <c r="AE9047" s="190"/>
      <c r="AF9047" s="191"/>
      <c r="AG9047" s="191"/>
      <c r="AH9047" s="191"/>
      <c r="AI9047" s="186"/>
      <c r="AK9047" s="171"/>
    </row>
    <row r="9048" spans="1:37" s="102" customFormat="1" ht="19.899999999999999" customHeight="1" x14ac:dyDescent="0.25">
      <c r="A9048" s="45"/>
      <c r="B9048" s="59"/>
      <c r="C9048" s="137"/>
      <c r="D9048" s="59"/>
      <c r="E9048" s="116"/>
      <c r="F9048" s="120"/>
      <c r="G9048" s="120"/>
      <c r="H9048" s="120"/>
      <c r="I9048" s="60"/>
      <c r="J9048" s="116"/>
      <c r="K9048" s="213"/>
      <c r="L9048" s="120"/>
      <c r="M9048" s="120"/>
      <c r="N9048" s="167"/>
      <c r="O9048" s="120"/>
      <c r="P9048" s="120"/>
      <c r="Q9048" s="120"/>
      <c r="R9048" s="120"/>
      <c r="S9048" s="120"/>
      <c r="T9048" s="221"/>
      <c r="U9048" s="89"/>
      <c r="V9048" s="61"/>
      <c r="W9048" s="92" t="s">
        <v>161</v>
      </c>
      <c r="X9048" s="93" t="s">
        <v>29</v>
      </c>
      <c r="Y9048" s="93" t="s">
        <v>93</v>
      </c>
      <c r="Z9048" s="134">
        <f>VLOOKUP(W9048,Sheet2!$B:$D,3,FALSE)</f>
        <v>48</v>
      </c>
      <c r="AA9048" s="93">
        <f>(16*0.85*1.5)/((3*3*4.5)-(3.14/4*1.5*1.5*4.5))</f>
        <v>0.62669201082886916</v>
      </c>
      <c r="AB9048" s="93">
        <f>AD9048/AC9044</f>
        <v>76.592647058823545</v>
      </c>
      <c r="AC9048" s="93">
        <f>AC9044/AA9048</f>
        <v>2.0584273897058756</v>
      </c>
      <c r="AD9048" s="94">
        <f>AC9048*Z9048</f>
        <v>98.804514705882028</v>
      </c>
      <c r="AE9048" s="190"/>
      <c r="AF9048" s="191"/>
      <c r="AG9048" s="191"/>
      <c r="AH9048" s="191"/>
      <c r="AI9048" s="186"/>
      <c r="AK9048" s="171"/>
    </row>
    <row r="9049" spans="1:37" s="102" customFormat="1" ht="19.899999999999999" customHeight="1" x14ac:dyDescent="0.25">
      <c r="A9049" s="45"/>
      <c r="B9049" s="59"/>
      <c r="C9049" s="137"/>
      <c r="D9049" s="59"/>
      <c r="E9049" s="116"/>
      <c r="F9049" s="120"/>
      <c r="G9049" s="120"/>
      <c r="H9049" s="120"/>
      <c r="I9049" s="60"/>
      <c r="J9049" s="116"/>
      <c r="K9049" s="213"/>
      <c r="L9049" s="120"/>
      <c r="M9049" s="120"/>
      <c r="N9049" s="167"/>
      <c r="O9049" s="120"/>
      <c r="P9049" s="120"/>
      <c r="Q9049" s="120"/>
      <c r="R9049" s="120"/>
      <c r="S9049" s="120"/>
      <c r="T9049" s="221"/>
      <c r="U9049" s="89"/>
      <c r="V9049" s="61"/>
      <c r="W9049" s="92" t="s">
        <v>65</v>
      </c>
      <c r="X9049" s="93" t="s">
        <v>30</v>
      </c>
      <c r="Y9049" s="93" t="s">
        <v>1011</v>
      </c>
      <c r="Z9049" s="134">
        <f>VLOOKUP(W9049,Sheet2!$B:$D,3,FALSE)</f>
        <v>1.76</v>
      </c>
      <c r="AA9049" s="93">
        <f>AA9048/10</f>
        <v>6.2669201082886913E-2</v>
      </c>
      <c r="AB9049" s="93">
        <f>AD9049/AC9044</f>
        <v>28.083970588235303</v>
      </c>
      <c r="AC9049" s="93">
        <f>AC9044/AA9049</f>
        <v>20.584273897058758</v>
      </c>
      <c r="AD9049" s="94">
        <f>AC9049*Z9049</f>
        <v>36.228322058823416</v>
      </c>
      <c r="AE9049" s="190"/>
      <c r="AF9049" s="191"/>
      <c r="AG9049" s="191"/>
      <c r="AH9049" s="191"/>
      <c r="AI9049" s="186"/>
      <c r="AK9049" s="171"/>
    </row>
    <row r="9050" spans="1:37" s="102" customFormat="1" ht="19.899999999999999" customHeight="1" x14ac:dyDescent="0.25">
      <c r="A9050" s="45"/>
      <c r="B9050" s="59"/>
      <c r="C9050" s="137"/>
      <c r="D9050" s="59"/>
      <c r="E9050" s="116"/>
      <c r="F9050" s="120"/>
      <c r="G9050" s="120"/>
      <c r="H9050" s="120"/>
      <c r="I9050" s="60"/>
      <c r="J9050" s="116"/>
      <c r="K9050" s="213"/>
      <c r="L9050" s="120"/>
      <c r="M9050" s="120"/>
      <c r="N9050" s="167"/>
      <c r="O9050" s="120"/>
      <c r="P9050" s="120"/>
      <c r="Q9050" s="120"/>
      <c r="R9050" s="120"/>
      <c r="S9050" s="120"/>
      <c r="T9050" s="221"/>
      <c r="U9050" s="89"/>
      <c r="V9050" s="61"/>
      <c r="W9050" s="92" t="s">
        <v>173</v>
      </c>
      <c r="X9050" s="93" t="s">
        <v>29</v>
      </c>
      <c r="Y9050" s="93" t="s">
        <v>93</v>
      </c>
      <c r="Z9050" s="134">
        <f>VLOOKUP(W9050,Sheet2!$B:$D,3,FALSE)</f>
        <v>36</v>
      </c>
      <c r="AA9050" s="93">
        <f>50/((3*3*4.5)-(3.14/4*1.5*1.5*4.5))</f>
        <v>1.5360098304629148</v>
      </c>
      <c r="AB9050" s="93">
        <f>AD9050/AC9044</f>
        <v>23.437350000000006</v>
      </c>
      <c r="AC9050" s="93">
        <f>AC9044/AA9050</f>
        <v>0.83983837499999725</v>
      </c>
      <c r="AD9050" s="94">
        <f>AC9050*Z9050</f>
        <v>30.234181499999902</v>
      </c>
      <c r="AE9050" s="190"/>
      <c r="AF9050" s="191"/>
      <c r="AG9050" s="191"/>
      <c r="AH9050" s="191"/>
      <c r="AI9050" s="186"/>
      <c r="AK9050" s="171"/>
    </row>
    <row r="9051" spans="1:37" s="102" customFormat="1" ht="19.899999999999999" customHeight="1" x14ac:dyDescent="0.25">
      <c r="A9051" s="45"/>
      <c r="B9051" s="59"/>
      <c r="C9051" s="137"/>
      <c r="D9051" s="59"/>
      <c r="E9051" s="116"/>
      <c r="F9051" s="120"/>
      <c r="G9051" s="120"/>
      <c r="H9051" s="120"/>
      <c r="I9051" s="60"/>
      <c r="J9051" s="116"/>
      <c r="K9051" s="213"/>
      <c r="L9051" s="120"/>
      <c r="M9051" s="120"/>
      <c r="N9051" s="167"/>
      <c r="O9051" s="120"/>
      <c r="P9051" s="120"/>
      <c r="Q9051" s="120"/>
      <c r="R9051" s="120"/>
      <c r="S9051" s="120"/>
      <c r="T9051" s="221"/>
      <c r="U9051" s="89"/>
      <c r="V9051" s="61"/>
      <c r="W9051" s="92" t="s">
        <v>65</v>
      </c>
      <c r="X9051" s="93" t="s">
        <v>30</v>
      </c>
      <c r="Y9051" s="93" t="s">
        <v>1011</v>
      </c>
      <c r="Z9051" s="134">
        <f>VLOOKUP(W9051,Sheet2!$B:$D,3,FALSE)</f>
        <v>1.76</v>
      </c>
      <c r="AA9051" s="93">
        <f>AA9050/9</f>
        <v>0.17066775894032388</v>
      </c>
      <c r="AB9051" s="93">
        <f>AD9051/AC9044</f>
        <v>10.312434000000001</v>
      </c>
      <c r="AC9051" s="93">
        <f>AC9044/AA9051</f>
        <v>7.5585453749999747</v>
      </c>
      <c r="AD9051" s="94">
        <f>AC9051*Z9051</f>
        <v>13.303039859999956</v>
      </c>
      <c r="AE9051" s="190"/>
      <c r="AF9051" s="191"/>
      <c r="AG9051" s="191"/>
      <c r="AH9051" s="191"/>
      <c r="AI9051" s="186"/>
      <c r="AK9051" s="171"/>
    </row>
    <row r="9052" spans="1:37" s="102" customFormat="1" ht="19.899999999999999" customHeight="1" x14ac:dyDescent="0.25">
      <c r="A9052" s="45"/>
      <c r="B9052" s="59"/>
      <c r="C9052" s="137"/>
      <c r="D9052" s="59"/>
      <c r="E9052" s="116"/>
      <c r="F9052" s="120"/>
      <c r="G9052" s="120"/>
      <c r="H9052" s="120"/>
      <c r="I9052" s="60"/>
      <c r="J9052" s="116"/>
      <c r="K9052" s="213"/>
      <c r="L9052" s="120"/>
      <c r="M9052" s="120"/>
      <c r="N9052" s="167"/>
      <c r="O9052" s="120"/>
      <c r="P9052" s="120"/>
      <c r="Q9052" s="120"/>
      <c r="R9052" s="120"/>
      <c r="S9052" s="120"/>
      <c r="T9052" s="221"/>
      <c r="U9052" s="89"/>
      <c r="V9052" s="61"/>
      <c r="W9052" s="92" t="s">
        <v>1030</v>
      </c>
      <c r="X9052" s="93" t="s">
        <v>29</v>
      </c>
      <c r="Y9052" s="93" t="s">
        <v>93</v>
      </c>
      <c r="Z9052" s="134">
        <f>VLOOKUP(W9052,Sheet2!$B:$D,3,FALSE)</f>
        <v>23</v>
      </c>
      <c r="AA9052" s="93">
        <f>1/(4.5*1)</f>
        <v>0.22222222222222221</v>
      </c>
      <c r="AB9052" s="93">
        <f>AD9052/AC9044</f>
        <v>103.49999999999999</v>
      </c>
      <c r="AC9052" s="93">
        <f>AC9044/AA9052</f>
        <v>5.8049999999999802</v>
      </c>
      <c r="AD9052" s="94">
        <f t="shared" ref="AD9052:AD9053" si="6136">AC9052*Z9052</f>
        <v>133.51499999999953</v>
      </c>
      <c r="AE9052" s="190"/>
      <c r="AF9052" s="191"/>
      <c r="AG9052" s="191"/>
      <c r="AH9052" s="191"/>
      <c r="AI9052" s="186"/>
      <c r="AK9052" s="171"/>
    </row>
    <row r="9053" spans="1:37" s="102" customFormat="1" ht="19.899999999999999" customHeight="1" x14ac:dyDescent="0.25">
      <c r="A9053" s="45"/>
      <c r="B9053" s="59"/>
      <c r="C9053" s="137"/>
      <c r="D9053" s="59"/>
      <c r="E9053" s="116"/>
      <c r="F9053" s="120"/>
      <c r="G9053" s="120"/>
      <c r="H9053" s="120"/>
      <c r="I9053" s="60"/>
      <c r="J9053" s="116"/>
      <c r="K9053" s="213"/>
      <c r="L9053" s="120"/>
      <c r="M9053" s="120"/>
      <c r="N9053" s="167"/>
      <c r="O9053" s="120"/>
      <c r="P9053" s="120"/>
      <c r="Q9053" s="120"/>
      <c r="R9053" s="120"/>
      <c r="S9053" s="120"/>
      <c r="T9053" s="221"/>
      <c r="U9053" s="89"/>
      <c r="V9053" s="61"/>
      <c r="W9053" s="92" t="s">
        <v>65</v>
      </c>
      <c r="X9053" s="93" t="s">
        <v>30</v>
      </c>
      <c r="Y9053" s="93" t="s">
        <v>1011</v>
      </c>
      <c r="Z9053" s="134">
        <f>VLOOKUP(W9053,Sheet2!$B:$D,3,FALSE)</f>
        <v>1.76</v>
      </c>
      <c r="AA9053" s="93">
        <f>AA9052/3</f>
        <v>7.407407407407407E-2</v>
      </c>
      <c r="AB9053" s="93">
        <f>AD9053/AC9044</f>
        <v>23.76</v>
      </c>
      <c r="AC9053" s="93">
        <f>AC9044/AA9053</f>
        <v>17.414999999999942</v>
      </c>
      <c r="AD9053" s="94">
        <f t="shared" si="6136"/>
        <v>30.650399999999898</v>
      </c>
      <c r="AE9053" s="190"/>
      <c r="AF9053" s="191"/>
      <c r="AG9053" s="191"/>
      <c r="AH9053" s="191"/>
      <c r="AI9053" s="186"/>
      <c r="AK9053" s="171"/>
    </row>
    <row r="9054" spans="1:37" ht="20.100000000000001" customHeight="1" x14ac:dyDescent="0.25">
      <c r="A9054" s="277" t="s">
        <v>703</v>
      </c>
      <c r="B9054" s="278"/>
      <c r="C9054" s="64" t="s">
        <v>827</v>
      </c>
      <c r="D9054" s="46" t="s">
        <v>215</v>
      </c>
      <c r="E9054" s="114"/>
      <c r="F9054" s="44">
        <v>0</v>
      </c>
      <c r="G9054" s="44">
        <f t="shared" si="5545"/>
        <v>0</v>
      </c>
      <c r="H9054" s="44">
        <f t="shared" si="5546"/>
        <v>0</v>
      </c>
      <c r="I9054" s="43">
        <f t="shared" si="5547"/>
        <v>0</v>
      </c>
      <c r="J9054" s="112">
        <f t="shared" si="5548"/>
        <v>0</v>
      </c>
      <c r="K9054" s="211">
        <f t="shared" si="5549"/>
        <v>0</v>
      </c>
      <c r="L9054" s="44"/>
      <c r="M9054" s="44">
        <f t="shared" si="5550"/>
        <v>0</v>
      </c>
      <c r="N9054" s="173">
        <f t="shared" si="5551"/>
        <v>0</v>
      </c>
      <c r="O9054" s="44">
        <f t="shared" si="5552"/>
        <v>0</v>
      </c>
      <c r="P9054" s="44">
        <f t="shared" si="5553"/>
        <v>0</v>
      </c>
      <c r="Q9054" s="44">
        <f t="shared" si="5554"/>
        <v>0</v>
      </c>
      <c r="R9054" s="44">
        <f t="shared" si="5555"/>
        <v>0</v>
      </c>
      <c r="S9054" s="123"/>
      <c r="T9054" s="219">
        <f t="shared" si="5556"/>
        <v>0</v>
      </c>
      <c r="U9054" s="87"/>
      <c r="V9054" s="47"/>
      <c r="W9054" s="48"/>
      <c r="X9054" s="48"/>
      <c r="Y9054" s="48"/>
      <c r="Z9054" s="135"/>
      <c r="AA9054" s="49"/>
      <c r="AB9054" s="50">
        <f t="shared" si="5557"/>
        <v>0</v>
      </c>
      <c r="AC9054" s="42">
        <f t="shared" si="5558"/>
        <v>9.9999999999999998E-20</v>
      </c>
      <c r="AD9054" s="90"/>
      <c r="AE9054" s="188"/>
      <c r="AF9054" s="189"/>
      <c r="AG9054" s="189"/>
      <c r="AH9054" s="189"/>
      <c r="AI9054" s="161"/>
    </row>
    <row r="9055" spans="1:37" ht="20.100000000000001" customHeight="1" x14ac:dyDescent="0.25">
      <c r="A9055" s="277" t="s">
        <v>703</v>
      </c>
      <c r="B9055" s="278"/>
      <c r="C9055" s="64" t="s">
        <v>828</v>
      </c>
      <c r="D9055" s="46" t="s">
        <v>215</v>
      </c>
      <c r="E9055" s="114"/>
      <c r="F9055" s="44">
        <v>0</v>
      </c>
      <c r="G9055" s="44">
        <f t="shared" si="5545"/>
        <v>0</v>
      </c>
      <c r="H9055" s="44">
        <f t="shared" si="5546"/>
        <v>0</v>
      </c>
      <c r="I9055" s="43">
        <f t="shared" si="5547"/>
        <v>0</v>
      </c>
      <c r="J9055" s="112">
        <f t="shared" si="5548"/>
        <v>0</v>
      </c>
      <c r="K9055" s="211">
        <f t="shared" si="5549"/>
        <v>0</v>
      </c>
      <c r="L9055" s="44"/>
      <c r="M9055" s="44">
        <f t="shared" si="5550"/>
        <v>0</v>
      </c>
      <c r="N9055" s="173">
        <f t="shared" si="5551"/>
        <v>0</v>
      </c>
      <c r="O9055" s="44">
        <f t="shared" si="5552"/>
        <v>0</v>
      </c>
      <c r="P9055" s="44">
        <f t="shared" si="5553"/>
        <v>0</v>
      </c>
      <c r="Q9055" s="44">
        <f t="shared" si="5554"/>
        <v>0</v>
      </c>
      <c r="R9055" s="44">
        <f t="shared" si="5555"/>
        <v>0</v>
      </c>
      <c r="S9055" s="123"/>
      <c r="T9055" s="219">
        <f t="shared" si="5556"/>
        <v>0</v>
      </c>
      <c r="U9055" s="87"/>
      <c r="V9055" s="47"/>
      <c r="W9055" s="48"/>
      <c r="X9055" s="48"/>
      <c r="Y9055" s="48"/>
      <c r="Z9055" s="135"/>
      <c r="AA9055" s="49"/>
      <c r="AB9055" s="50">
        <f t="shared" si="5557"/>
        <v>0</v>
      </c>
      <c r="AC9055" s="42">
        <f t="shared" si="5558"/>
        <v>9.9999999999999998E-20</v>
      </c>
      <c r="AD9055" s="90"/>
      <c r="AE9055" s="188"/>
      <c r="AF9055" s="189"/>
      <c r="AG9055" s="189"/>
      <c r="AH9055" s="189"/>
      <c r="AI9055" s="161"/>
    </row>
    <row r="9056" spans="1:37" ht="20.100000000000001" customHeight="1" x14ac:dyDescent="0.25">
      <c r="A9056" s="277" t="s">
        <v>703</v>
      </c>
      <c r="B9056" s="278"/>
      <c r="C9056" s="64" t="s">
        <v>829</v>
      </c>
      <c r="D9056" s="46" t="s">
        <v>215</v>
      </c>
      <c r="E9056" s="114"/>
      <c r="F9056" s="44">
        <v>0</v>
      </c>
      <c r="G9056" s="44">
        <f t="shared" si="5545"/>
        <v>0</v>
      </c>
      <c r="H9056" s="44">
        <f t="shared" si="5546"/>
        <v>0</v>
      </c>
      <c r="I9056" s="43">
        <f t="shared" si="5547"/>
        <v>0</v>
      </c>
      <c r="J9056" s="112">
        <f t="shared" si="5548"/>
        <v>0</v>
      </c>
      <c r="K9056" s="211">
        <f t="shared" si="5549"/>
        <v>0</v>
      </c>
      <c r="L9056" s="44"/>
      <c r="M9056" s="44">
        <f t="shared" si="5550"/>
        <v>0</v>
      </c>
      <c r="N9056" s="173">
        <f t="shared" si="5551"/>
        <v>0</v>
      </c>
      <c r="O9056" s="44">
        <f t="shared" si="5552"/>
        <v>0</v>
      </c>
      <c r="P9056" s="44">
        <f t="shared" si="5553"/>
        <v>0</v>
      </c>
      <c r="Q9056" s="44">
        <f t="shared" si="5554"/>
        <v>0</v>
      </c>
      <c r="R9056" s="44">
        <f t="shared" si="5555"/>
        <v>0</v>
      </c>
      <c r="S9056" s="123"/>
      <c r="T9056" s="219">
        <f t="shared" si="5556"/>
        <v>0</v>
      </c>
      <c r="U9056" s="87"/>
      <c r="V9056" s="47"/>
      <c r="W9056" s="48"/>
      <c r="X9056" s="48"/>
      <c r="Y9056" s="48"/>
      <c r="Z9056" s="135"/>
      <c r="AA9056" s="49"/>
      <c r="AB9056" s="50">
        <f t="shared" si="5557"/>
        <v>0</v>
      </c>
      <c r="AC9056" s="42">
        <f t="shared" si="5558"/>
        <v>9.9999999999999998E-20</v>
      </c>
      <c r="AD9056" s="90"/>
      <c r="AE9056" s="188"/>
      <c r="AF9056" s="189"/>
      <c r="AG9056" s="189"/>
      <c r="AH9056" s="189"/>
      <c r="AI9056" s="161"/>
    </row>
    <row r="9057" spans="1:41" ht="20.100000000000001" customHeight="1" x14ac:dyDescent="0.25">
      <c r="A9057" s="277" t="s">
        <v>703</v>
      </c>
      <c r="B9057" s="278"/>
      <c r="C9057" s="64" t="s">
        <v>830</v>
      </c>
      <c r="D9057" s="46" t="s">
        <v>215</v>
      </c>
      <c r="E9057" s="114"/>
      <c r="F9057" s="44">
        <v>0</v>
      </c>
      <c r="G9057" s="44">
        <f t="shared" si="5545"/>
        <v>0</v>
      </c>
      <c r="H9057" s="44">
        <f t="shared" si="5546"/>
        <v>0</v>
      </c>
      <c r="I9057" s="43">
        <f t="shared" si="5547"/>
        <v>0</v>
      </c>
      <c r="J9057" s="112">
        <f t="shared" si="5548"/>
        <v>0</v>
      </c>
      <c r="K9057" s="211">
        <f t="shared" si="5549"/>
        <v>0</v>
      </c>
      <c r="L9057" s="44"/>
      <c r="M9057" s="44">
        <f t="shared" si="5550"/>
        <v>0</v>
      </c>
      <c r="N9057" s="173">
        <f t="shared" si="5551"/>
        <v>0</v>
      </c>
      <c r="O9057" s="44">
        <f t="shared" si="5552"/>
        <v>0</v>
      </c>
      <c r="P9057" s="44">
        <f t="shared" si="5553"/>
        <v>0</v>
      </c>
      <c r="Q9057" s="44">
        <f t="shared" si="5554"/>
        <v>0</v>
      </c>
      <c r="R9057" s="44">
        <f t="shared" si="5555"/>
        <v>0</v>
      </c>
      <c r="S9057" s="123"/>
      <c r="T9057" s="219">
        <f t="shared" si="5556"/>
        <v>0</v>
      </c>
      <c r="U9057" s="87"/>
      <c r="V9057" s="47"/>
      <c r="W9057" s="48"/>
      <c r="X9057" s="48"/>
      <c r="Y9057" s="48"/>
      <c r="Z9057" s="135"/>
      <c r="AA9057" s="49"/>
      <c r="AB9057" s="50">
        <f t="shared" si="5557"/>
        <v>0</v>
      </c>
      <c r="AC9057" s="42">
        <f t="shared" si="5558"/>
        <v>9.9999999999999998E-20</v>
      </c>
      <c r="AD9057" s="90"/>
      <c r="AE9057" s="188"/>
      <c r="AF9057" s="189"/>
      <c r="AG9057" s="189"/>
      <c r="AH9057" s="189"/>
      <c r="AI9057" s="161"/>
    </row>
    <row r="9058" spans="1:41" ht="20.100000000000001" customHeight="1" x14ac:dyDescent="0.25">
      <c r="A9058" s="277" t="s">
        <v>703</v>
      </c>
      <c r="B9058" s="278"/>
      <c r="C9058" s="64" t="s">
        <v>831</v>
      </c>
      <c r="D9058" s="46" t="s">
        <v>215</v>
      </c>
      <c r="E9058" s="114"/>
      <c r="F9058" s="44">
        <v>0</v>
      </c>
      <c r="G9058" s="44">
        <f t="shared" si="5545"/>
        <v>0</v>
      </c>
      <c r="H9058" s="44">
        <f t="shared" si="5546"/>
        <v>0</v>
      </c>
      <c r="I9058" s="43">
        <f t="shared" si="5547"/>
        <v>0</v>
      </c>
      <c r="J9058" s="112">
        <f t="shared" si="5548"/>
        <v>0</v>
      </c>
      <c r="K9058" s="211">
        <f t="shared" si="5549"/>
        <v>0</v>
      </c>
      <c r="L9058" s="44"/>
      <c r="M9058" s="44">
        <f t="shared" si="5550"/>
        <v>0</v>
      </c>
      <c r="N9058" s="173">
        <f t="shared" si="5551"/>
        <v>0</v>
      </c>
      <c r="O9058" s="44">
        <f t="shared" si="5552"/>
        <v>0</v>
      </c>
      <c r="P9058" s="44">
        <f t="shared" si="5553"/>
        <v>0</v>
      </c>
      <c r="Q9058" s="44">
        <f t="shared" si="5554"/>
        <v>0</v>
      </c>
      <c r="R9058" s="44">
        <f t="shared" si="5555"/>
        <v>0</v>
      </c>
      <c r="S9058" s="123"/>
      <c r="T9058" s="219">
        <f t="shared" si="5556"/>
        <v>0</v>
      </c>
      <c r="U9058" s="87"/>
      <c r="V9058" s="47"/>
      <c r="W9058" s="48"/>
      <c r="X9058" s="48"/>
      <c r="Y9058" s="48"/>
      <c r="Z9058" s="135"/>
      <c r="AA9058" s="49"/>
      <c r="AB9058" s="50">
        <f t="shared" si="5557"/>
        <v>0</v>
      </c>
      <c r="AC9058" s="42">
        <f t="shared" si="5558"/>
        <v>9.9999999999999998E-20</v>
      </c>
      <c r="AD9058" s="90"/>
      <c r="AE9058" s="188"/>
      <c r="AF9058" s="189"/>
      <c r="AG9058" s="189"/>
      <c r="AH9058" s="189"/>
      <c r="AI9058" s="161"/>
    </row>
    <row r="9059" spans="1:41" ht="20.100000000000001" customHeight="1" x14ac:dyDescent="0.25">
      <c r="A9059" s="277" t="s">
        <v>703</v>
      </c>
      <c r="B9059" s="278"/>
      <c r="C9059" s="64" t="s">
        <v>832</v>
      </c>
      <c r="D9059" s="46" t="s">
        <v>215</v>
      </c>
      <c r="E9059" s="114"/>
      <c r="F9059" s="44">
        <v>0</v>
      </c>
      <c r="G9059" s="44">
        <f t="shared" si="5545"/>
        <v>0</v>
      </c>
      <c r="H9059" s="44">
        <f t="shared" si="5546"/>
        <v>0</v>
      </c>
      <c r="I9059" s="43">
        <f t="shared" si="5547"/>
        <v>0</v>
      </c>
      <c r="J9059" s="112">
        <f t="shared" si="5548"/>
        <v>0</v>
      </c>
      <c r="K9059" s="211">
        <f t="shared" si="5549"/>
        <v>0</v>
      </c>
      <c r="L9059" s="44"/>
      <c r="M9059" s="44">
        <f t="shared" si="5550"/>
        <v>0</v>
      </c>
      <c r="N9059" s="173">
        <f t="shared" si="5551"/>
        <v>0</v>
      </c>
      <c r="O9059" s="44">
        <f t="shared" si="5552"/>
        <v>0</v>
      </c>
      <c r="P9059" s="44">
        <f t="shared" si="5553"/>
        <v>0</v>
      </c>
      <c r="Q9059" s="44">
        <f t="shared" si="5554"/>
        <v>0</v>
      </c>
      <c r="R9059" s="44">
        <f t="shared" si="5555"/>
        <v>0</v>
      </c>
      <c r="S9059" s="123"/>
      <c r="T9059" s="219">
        <f t="shared" si="5556"/>
        <v>0</v>
      </c>
      <c r="U9059" s="87"/>
      <c r="V9059" s="47"/>
      <c r="W9059" s="48"/>
      <c r="X9059" s="48"/>
      <c r="Y9059" s="48"/>
      <c r="Z9059" s="135"/>
      <c r="AA9059" s="49"/>
      <c r="AB9059" s="50">
        <f t="shared" si="5557"/>
        <v>0</v>
      </c>
      <c r="AC9059" s="42">
        <f t="shared" si="5558"/>
        <v>9.9999999999999998E-20</v>
      </c>
      <c r="AD9059" s="90"/>
      <c r="AE9059" s="188"/>
      <c r="AF9059" s="189"/>
      <c r="AG9059" s="189"/>
      <c r="AH9059" s="189"/>
      <c r="AI9059" s="161"/>
    </row>
    <row r="9060" spans="1:41" s="102" customFormat="1" ht="20.100000000000001" customHeight="1" x14ac:dyDescent="0.25">
      <c r="A9060" s="45" t="s">
        <v>703</v>
      </c>
      <c r="B9060" s="276"/>
      <c r="C9060" s="286" t="s">
        <v>833</v>
      </c>
      <c r="D9060" s="59"/>
      <c r="E9060" s="116"/>
      <c r="F9060" s="120"/>
      <c r="G9060" s="120"/>
      <c r="H9060" s="120"/>
      <c r="I9060" s="60"/>
      <c r="J9060" s="116"/>
      <c r="K9060" s="213"/>
      <c r="L9060" s="120"/>
      <c r="M9060" s="120"/>
      <c r="N9060" s="167"/>
      <c r="O9060" s="120"/>
      <c r="P9060" s="120"/>
      <c r="Q9060" s="120"/>
      <c r="R9060" s="120"/>
      <c r="S9060" s="120"/>
      <c r="T9060" s="221"/>
      <c r="U9060" s="89"/>
      <c r="V9060" s="61"/>
      <c r="W9060" s="92"/>
      <c r="X9060" s="38"/>
      <c r="Y9060" s="93"/>
      <c r="Z9060" s="134"/>
      <c r="AA9060" s="93"/>
      <c r="AB9060" s="93"/>
      <c r="AC9060" s="93"/>
      <c r="AD9060" s="94"/>
      <c r="AE9060" s="190"/>
      <c r="AF9060" s="191"/>
      <c r="AG9060" s="191"/>
      <c r="AH9060" s="191"/>
      <c r="AI9060" s="186"/>
      <c r="AK9060" s="171"/>
    </row>
    <row r="9061" spans="1:41" ht="20.100000000000001" customHeight="1" x14ac:dyDescent="0.25">
      <c r="A9061" s="277" t="s">
        <v>703</v>
      </c>
      <c r="B9061" s="278"/>
      <c r="C9061" s="64" t="s">
        <v>809</v>
      </c>
      <c r="D9061" s="46" t="s">
        <v>215</v>
      </c>
      <c r="E9061" s="114"/>
      <c r="F9061" s="44">
        <v>0</v>
      </c>
      <c r="G9061" s="44">
        <f t="shared" si="5545"/>
        <v>0</v>
      </c>
      <c r="H9061" s="44">
        <f t="shared" si="5546"/>
        <v>0</v>
      </c>
      <c r="I9061" s="43">
        <f t="shared" si="5547"/>
        <v>0</v>
      </c>
      <c r="J9061" s="112">
        <f t="shared" si="5548"/>
        <v>0</v>
      </c>
      <c r="K9061" s="211">
        <f t="shared" si="5549"/>
        <v>0</v>
      </c>
      <c r="L9061" s="44"/>
      <c r="M9061" s="44">
        <f t="shared" si="5550"/>
        <v>0</v>
      </c>
      <c r="N9061" s="173">
        <f t="shared" si="5551"/>
        <v>0</v>
      </c>
      <c r="O9061" s="44">
        <f t="shared" si="5552"/>
        <v>0</v>
      </c>
      <c r="P9061" s="44">
        <f t="shared" si="5553"/>
        <v>0</v>
      </c>
      <c r="Q9061" s="44">
        <f t="shared" si="5554"/>
        <v>0</v>
      </c>
      <c r="R9061" s="44">
        <f t="shared" si="5555"/>
        <v>0</v>
      </c>
      <c r="S9061" s="123"/>
      <c r="T9061" s="219">
        <f t="shared" si="5556"/>
        <v>0</v>
      </c>
      <c r="U9061" s="87"/>
      <c r="V9061" s="47"/>
      <c r="W9061" s="48"/>
      <c r="X9061" s="48"/>
      <c r="Y9061" s="48"/>
      <c r="Z9061" s="135"/>
      <c r="AA9061" s="49"/>
      <c r="AB9061" s="50">
        <f t="shared" si="5557"/>
        <v>0</v>
      </c>
      <c r="AC9061" s="42">
        <f t="shared" si="5558"/>
        <v>9.9999999999999998E-20</v>
      </c>
      <c r="AD9061" s="90"/>
      <c r="AE9061" s="188"/>
      <c r="AF9061" s="189"/>
      <c r="AG9061" s="189"/>
      <c r="AH9061" s="189"/>
      <c r="AI9061" s="161"/>
    </row>
    <row r="9062" spans="1:41" ht="20.100000000000001" customHeight="1" x14ac:dyDescent="0.25">
      <c r="A9062" s="277" t="s">
        <v>703</v>
      </c>
      <c r="B9062" s="278"/>
      <c r="C9062" s="64" t="s">
        <v>811</v>
      </c>
      <c r="D9062" s="46" t="s">
        <v>215</v>
      </c>
      <c r="E9062" s="114">
        <v>0.39499999999999957</v>
      </c>
      <c r="F9062" s="44">
        <v>22860</v>
      </c>
      <c r="G9062" s="44">
        <f t="shared" si="5545"/>
        <v>9029.6999999999898</v>
      </c>
      <c r="H9062" s="44">
        <f t="shared" si="5546"/>
        <v>9813.8629879372529</v>
      </c>
      <c r="I9062" s="43">
        <f t="shared" si="5547"/>
        <v>3876.4758802352108</v>
      </c>
      <c r="J9062" s="112">
        <f t="shared" si="5548"/>
        <v>0.39499999999999957</v>
      </c>
      <c r="K9062" s="211">
        <f t="shared" si="5549"/>
        <v>0.39499999999999957</v>
      </c>
      <c r="L9062" s="44"/>
      <c r="M9062" s="44">
        <f t="shared" si="5550"/>
        <v>0.39499999999999957</v>
      </c>
      <c r="N9062" s="173">
        <f t="shared" si="5551"/>
        <v>1</v>
      </c>
      <c r="O9062" s="44">
        <f t="shared" si="5552"/>
        <v>22860</v>
      </c>
      <c r="P9062" s="44">
        <f t="shared" si="5553"/>
        <v>9029.6999999999898</v>
      </c>
      <c r="Q9062" s="44">
        <f t="shared" si="5554"/>
        <v>9813.8629879372529</v>
      </c>
      <c r="R9062" s="44">
        <f t="shared" si="5555"/>
        <v>3876.4758802352108</v>
      </c>
      <c r="S9062" s="123"/>
      <c r="T9062" s="219">
        <f t="shared" si="5556"/>
        <v>3876.4758802352108</v>
      </c>
      <c r="U9062" s="87"/>
      <c r="V9062" s="47"/>
      <c r="W9062" s="48"/>
      <c r="X9062" s="48"/>
      <c r="Y9062" s="48"/>
      <c r="Z9062" s="135"/>
      <c r="AA9062" s="49"/>
      <c r="AB9062" s="50">
        <f t="shared" si="5557"/>
        <v>9813.8629879372529</v>
      </c>
      <c r="AC9062" s="42">
        <f t="shared" si="5558"/>
        <v>0.39499999999999957</v>
      </c>
      <c r="AD9062" s="90">
        <f>AD9063+AD9068+AD9075+AD9082</f>
        <v>3876.4758802352108</v>
      </c>
      <c r="AE9062" s="188">
        <f t="shared" ref="AE9062" si="6137">AE9063+AE9068+AE9075+AE9082</f>
        <v>0</v>
      </c>
      <c r="AF9062" s="189">
        <f t="shared" ref="AF9062" si="6138">AF9063+AF9068+AF9075+AF9082</f>
        <v>0</v>
      </c>
      <c r="AG9062" s="189">
        <f t="shared" ref="AG9062" si="6139">AG9063+AG9068+AG9075+AG9082</f>
        <v>0</v>
      </c>
      <c r="AH9062" s="189">
        <f t="shared" ref="AH9062" si="6140">AH9063+AH9068+AH9075+AH9082</f>
        <v>0</v>
      </c>
      <c r="AI9062" s="161">
        <f t="shared" ref="AI9062:AI9063" si="6141">SUM(AE9062:AH9062)</f>
        <v>0</v>
      </c>
      <c r="AK9062" s="169">
        <v>5</v>
      </c>
      <c r="AO9062" s="19" t="s">
        <v>63</v>
      </c>
    </row>
    <row r="9063" spans="1:41" s="103" customFormat="1" ht="19.899999999999999" customHeight="1" x14ac:dyDescent="0.25">
      <c r="A9063" s="51"/>
      <c r="B9063" s="52"/>
      <c r="C9063" s="165"/>
      <c r="D9063" s="52"/>
      <c r="E9063" s="115"/>
      <c r="F9063" s="58"/>
      <c r="G9063" s="58"/>
      <c r="H9063" s="58"/>
      <c r="I9063" s="55"/>
      <c r="J9063" s="113">
        <f>J9062</f>
        <v>0.39499999999999957</v>
      </c>
      <c r="K9063" s="212">
        <f>K9062</f>
        <v>0.39499999999999957</v>
      </c>
      <c r="L9063" s="58"/>
      <c r="M9063" s="58">
        <f>K9063-L9063</f>
        <v>0.39499999999999957</v>
      </c>
      <c r="N9063" s="166"/>
      <c r="O9063" s="58"/>
      <c r="P9063" s="58"/>
      <c r="Q9063" s="58"/>
      <c r="R9063" s="58"/>
      <c r="S9063" s="58"/>
      <c r="T9063" s="220"/>
      <c r="U9063" s="88"/>
      <c r="V9063" s="56"/>
      <c r="W9063" s="57" t="s">
        <v>1515</v>
      </c>
      <c r="X9063" s="53"/>
      <c r="Y9063" s="91" t="s">
        <v>35</v>
      </c>
      <c r="Z9063" s="136">
        <f>AD9063/AC9063</f>
        <v>123.17639215686275</v>
      </c>
      <c r="AA9063" s="58"/>
      <c r="AB9063" s="53">
        <f>AD9063/AC9063</f>
        <v>123.17639215686275</v>
      </c>
      <c r="AC9063" s="53">
        <f>M9063+$AE$10</f>
        <v>0.39499999999999957</v>
      </c>
      <c r="AD9063" s="54">
        <f>SUM(AD9064:AD9067)</f>
        <v>48.654674901960732</v>
      </c>
      <c r="AE9063" s="184">
        <f>SUMIFS($AD$37:$AD$12971,$V$37:$V$12971,$V9063,$X$37:$X$12971,AE$13)</f>
        <v>0</v>
      </c>
      <c r="AF9063" s="185">
        <f>SUMIFS($AD$37:$AD$12971,$V$37:$V$12971,$V9063,$X$37:$X$12971,AF$13)</f>
        <v>0</v>
      </c>
      <c r="AG9063" s="185">
        <f>SUMIFS($AD$37:$AD$12971,$V$37:$V$12971,$V9063,$X$37:$X$12971,AG$13)</f>
        <v>0</v>
      </c>
      <c r="AH9063" s="187">
        <f>SUMIFS($AD$37:$AD$12971,$V$37:$V$12971,$V9063,$X$37:$X$12971,AH$13)</f>
        <v>0</v>
      </c>
      <c r="AI9063" s="161">
        <f t="shared" si="6141"/>
        <v>0</v>
      </c>
      <c r="AK9063" s="172"/>
    </row>
    <row r="9064" spans="1:41" s="102" customFormat="1" ht="19.899999999999999" customHeight="1" x14ac:dyDescent="0.25">
      <c r="A9064" s="45"/>
      <c r="B9064" s="59"/>
      <c r="C9064" s="137"/>
      <c r="D9064" s="59"/>
      <c r="E9064" s="116"/>
      <c r="F9064" s="120"/>
      <c r="G9064" s="120"/>
      <c r="H9064" s="120"/>
      <c r="I9064" s="60"/>
      <c r="J9064" s="116"/>
      <c r="K9064" s="213"/>
      <c r="L9064" s="120"/>
      <c r="M9064" s="120"/>
      <c r="N9064" s="167"/>
      <c r="O9064" s="120"/>
      <c r="P9064" s="120"/>
      <c r="Q9064" s="120"/>
      <c r="R9064" s="120"/>
      <c r="S9064" s="120"/>
      <c r="T9064" s="221"/>
      <c r="U9064" s="89"/>
      <c r="V9064" s="61"/>
      <c r="W9064" s="92" t="s">
        <v>129</v>
      </c>
      <c r="X9064" s="93" t="s">
        <v>29</v>
      </c>
      <c r="Y9064" s="93" t="s">
        <v>93</v>
      </c>
      <c r="Z9064" s="134">
        <f>VLOOKUP(W9064,Sheet2!$B:$D,3,FALSE)</f>
        <v>56</v>
      </c>
      <c r="AA9064" s="93">
        <f>100/(3.5*3.5*2.5)</f>
        <v>3.2653061224489797</v>
      </c>
      <c r="AB9064" s="93">
        <f t="shared" ref="AB9064" si="6142">AD9064/AC9063</f>
        <v>17.149999999999999</v>
      </c>
      <c r="AC9064" s="93">
        <f>AC9063/AA9064</f>
        <v>0.12096874999999986</v>
      </c>
      <c r="AD9064" s="94">
        <f t="shared" ref="AD9064:AD9065" si="6143">AC9064*Z9064</f>
        <v>6.7742499999999923</v>
      </c>
      <c r="AE9064" s="190"/>
      <c r="AF9064" s="191"/>
      <c r="AG9064" s="191"/>
      <c r="AH9064" s="191"/>
      <c r="AI9064" s="186"/>
      <c r="AK9064" s="171"/>
    </row>
    <row r="9065" spans="1:41" s="102" customFormat="1" ht="19.899999999999999" customHeight="1" x14ac:dyDescent="0.25">
      <c r="A9065" s="45"/>
      <c r="B9065" s="59"/>
      <c r="C9065" s="137"/>
      <c r="D9065" s="59"/>
      <c r="E9065" s="116"/>
      <c r="F9065" s="120"/>
      <c r="G9065" s="120"/>
      <c r="H9065" s="120"/>
      <c r="I9065" s="60"/>
      <c r="J9065" s="116"/>
      <c r="K9065" s="213"/>
      <c r="L9065" s="120"/>
      <c r="M9065" s="120"/>
      <c r="N9065" s="167"/>
      <c r="O9065" s="120"/>
      <c r="P9065" s="120"/>
      <c r="Q9065" s="120"/>
      <c r="R9065" s="120"/>
      <c r="S9065" s="120"/>
      <c r="T9065" s="221"/>
      <c r="U9065" s="89"/>
      <c r="V9065" s="61"/>
      <c r="W9065" s="92" t="s">
        <v>65</v>
      </c>
      <c r="X9065" s="93" t="s">
        <v>30</v>
      </c>
      <c r="Y9065" s="93" t="s">
        <v>1011</v>
      </c>
      <c r="Z9065" s="134">
        <f>VLOOKUP(W9065,Sheet2!$B:$D,3,FALSE)</f>
        <v>1.76</v>
      </c>
      <c r="AA9065" s="93">
        <f>AA9064/14</f>
        <v>0.23323615160349856</v>
      </c>
      <c r="AB9065" s="93">
        <f>AD9065/AC9063</f>
        <v>7.5460000000000003</v>
      </c>
      <c r="AC9065" s="93">
        <f>AC9063/AA9065</f>
        <v>1.6935624999999981</v>
      </c>
      <c r="AD9065" s="94">
        <f t="shared" si="6143"/>
        <v>2.9806699999999968</v>
      </c>
      <c r="AE9065" s="190"/>
      <c r="AF9065" s="191"/>
      <c r="AG9065" s="191"/>
      <c r="AH9065" s="191"/>
      <c r="AI9065" s="186"/>
      <c r="AK9065" s="171"/>
    </row>
    <row r="9066" spans="1:41" s="102" customFormat="1" ht="19.899999999999999" customHeight="1" x14ac:dyDescent="0.25">
      <c r="A9066" s="45"/>
      <c r="B9066" s="59"/>
      <c r="C9066" s="137"/>
      <c r="D9066" s="59"/>
      <c r="E9066" s="116"/>
      <c r="F9066" s="120"/>
      <c r="G9066" s="120"/>
      <c r="H9066" s="120"/>
      <c r="I9066" s="60"/>
      <c r="J9066" s="116"/>
      <c r="K9066" s="213"/>
      <c r="L9066" s="120"/>
      <c r="M9066" s="120"/>
      <c r="N9066" s="167"/>
      <c r="O9066" s="120"/>
      <c r="P9066" s="120"/>
      <c r="Q9066" s="120"/>
      <c r="R9066" s="120"/>
      <c r="S9066" s="120"/>
      <c r="T9066" s="221"/>
      <c r="U9066" s="89"/>
      <c r="V9066" s="61"/>
      <c r="W9066" s="92" t="s">
        <v>161</v>
      </c>
      <c r="X9066" s="93" t="s">
        <v>29</v>
      </c>
      <c r="Y9066" s="93" t="s">
        <v>93</v>
      </c>
      <c r="Z9066" s="134">
        <f>VLOOKUP(W9066,Sheet2!$B:$D,3,FALSE)</f>
        <v>48</v>
      </c>
      <c r="AA9066" s="93">
        <f>(16*0.85*1.5)/(3.5*3.5*2.5)</f>
        <v>0.66612244897959183</v>
      </c>
      <c r="AB9066" s="93">
        <f>AD9066/AC9063</f>
        <v>72.058823529411768</v>
      </c>
      <c r="AC9066" s="93">
        <f>AC9063/AA9066</f>
        <v>0.59298406862745034</v>
      </c>
      <c r="AD9066" s="94">
        <f>AC9066*Z9066</f>
        <v>28.463235294117617</v>
      </c>
      <c r="AE9066" s="190"/>
      <c r="AF9066" s="191"/>
      <c r="AG9066" s="191"/>
      <c r="AH9066" s="191"/>
      <c r="AI9066" s="186"/>
      <c r="AK9066" s="171"/>
    </row>
    <row r="9067" spans="1:41" s="102" customFormat="1" ht="19.899999999999999" customHeight="1" x14ac:dyDescent="0.25">
      <c r="A9067" s="45"/>
      <c r="B9067" s="59"/>
      <c r="C9067" s="137"/>
      <c r="D9067" s="59"/>
      <c r="E9067" s="116"/>
      <c r="F9067" s="120"/>
      <c r="G9067" s="120"/>
      <c r="H9067" s="120"/>
      <c r="I9067" s="60"/>
      <c r="J9067" s="116"/>
      <c r="K9067" s="213"/>
      <c r="L9067" s="120"/>
      <c r="M9067" s="120"/>
      <c r="N9067" s="167"/>
      <c r="O9067" s="120"/>
      <c r="P9067" s="120"/>
      <c r="Q9067" s="120"/>
      <c r="R9067" s="120"/>
      <c r="S9067" s="120"/>
      <c r="T9067" s="221"/>
      <c r="U9067" s="89"/>
      <c r="V9067" s="61"/>
      <c r="W9067" s="92" t="s">
        <v>65</v>
      </c>
      <c r="X9067" s="93" t="s">
        <v>30</v>
      </c>
      <c r="Y9067" s="93" t="s">
        <v>1011</v>
      </c>
      <c r="Z9067" s="134">
        <f>VLOOKUP(W9067,Sheet2!$B:$D,3,FALSE)</f>
        <v>1.76</v>
      </c>
      <c r="AA9067" s="93">
        <f>AA9066/10</f>
        <v>6.661224489795918E-2</v>
      </c>
      <c r="AB9067" s="93">
        <f>AD9067/AC9063</f>
        <v>26.421568627450981</v>
      </c>
      <c r="AC9067" s="93">
        <f>AC9063/AA9067</f>
        <v>5.9298406862745034</v>
      </c>
      <c r="AD9067" s="94">
        <f>AC9067*Z9067</f>
        <v>10.436519607843126</v>
      </c>
      <c r="AE9067" s="190"/>
      <c r="AF9067" s="191"/>
      <c r="AG9067" s="191"/>
      <c r="AH9067" s="191"/>
      <c r="AI9067" s="186"/>
      <c r="AK9067" s="171"/>
    </row>
    <row r="9068" spans="1:41" s="103" customFormat="1" ht="19.899999999999999" customHeight="1" x14ac:dyDescent="0.25">
      <c r="A9068" s="51"/>
      <c r="B9068" s="52"/>
      <c r="C9068" s="165"/>
      <c r="D9068" s="52"/>
      <c r="E9068" s="115"/>
      <c r="F9068" s="58"/>
      <c r="G9068" s="58"/>
      <c r="H9068" s="58"/>
      <c r="I9068" s="55"/>
      <c r="J9068" s="113">
        <f>J9062</f>
        <v>0.39499999999999957</v>
      </c>
      <c r="K9068" s="212">
        <f>K9062</f>
        <v>0.39499999999999957</v>
      </c>
      <c r="L9068" s="58"/>
      <c r="M9068" s="58">
        <f>K9068-L9068</f>
        <v>0.39499999999999957</v>
      </c>
      <c r="N9068" s="166"/>
      <c r="O9068" s="58"/>
      <c r="P9068" s="58"/>
      <c r="Q9068" s="58"/>
      <c r="R9068" s="58"/>
      <c r="S9068" s="58"/>
      <c r="T9068" s="220"/>
      <c r="U9068" s="88"/>
      <c r="V9068" s="56"/>
      <c r="W9068" s="57" t="s">
        <v>1486</v>
      </c>
      <c r="X9068" s="53"/>
      <c r="Y9068" s="91" t="s">
        <v>35</v>
      </c>
      <c r="Z9068" s="136">
        <f>AD9068/AC9068</f>
        <v>2396.5659999999998</v>
      </c>
      <c r="AA9068" s="58"/>
      <c r="AB9068" s="53">
        <f>AD9068/AC9068</f>
        <v>2396.5659999999998</v>
      </c>
      <c r="AC9068" s="53">
        <f>M9068+$AE$10</f>
        <v>0.39499999999999957</v>
      </c>
      <c r="AD9068" s="54">
        <f>SUM(AD9069:AD9074)</f>
        <v>946.64356999999882</v>
      </c>
      <c r="AE9068" s="184">
        <f>SUMIFS($AD$37:$AD$12971,$V$37:$V$12971,$V9068,$X$37:$X$12971,AE$13)</f>
        <v>0</v>
      </c>
      <c r="AF9068" s="185">
        <f>SUMIFS($AD$37:$AD$12971,$V$37:$V$12971,$V9068,$X$37:$X$12971,AF$13)</f>
        <v>0</v>
      </c>
      <c r="AG9068" s="185">
        <f>SUMIFS($AD$37:$AD$12971,$V$37:$V$12971,$V9068,$X$37:$X$12971,AG$13)</f>
        <v>0</v>
      </c>
      <c r="AH9068" s="187">
        <f>SUMIFS($AD$37:$AD$12971,$V$37:$V$12971,$V9068,$X$37:$X$12971,AH$13)</f>
        <v>0</v>
      </c>
      <c r="AI9068" s="161">
        <f t="shared" ref="AI9068" si="6144">SUM(AE9068:AH9068)</f>
        <v>0</v>
      </c>
      <c r="AK9068" s="172"/>
    </row>
    <row r="9069" spans="1:41" s="102" customFormat="1" ht="19.899999999999999" customHeight="1" x14ac:dyDescent="0.25">
      <c r="A9069" s="45"/>
      <c r="B9069" s="59"/>
      <c r="C9069" s="137"/>
      <c r="D9069" s="59"/>
      <c r="E9069" s="116"/>
      <c r="F9069" s="120"/>
      <c r="G9069" s="120"/>
      <c r="H9069" s="120"/>
      <c r="I9069" s="60"/>
      <c r="J9069" s="116"/>
      <c r="K9069" s="213"/>
      <c r="L9069" s="120"/>
      <c r="M9069" s="120"/>
      <c r="N9069" s="167"/>
      <c r="O9069" s="120"/>
      <c r="P9069" s="120"/>
      <c r="Q9069" s="120"/>
      <c r="R9069" s="120"/>
      <c r="S9069" s="120"/>
      <c r="T9069" s="221"/>
      <c r="U9069" s="89"/>
      <c r="V9069" s="61"/>
      <c r="W9069" s="92" t="s">
        <v>1032</v>
      </c>
      <c r="X9069" s="93" t="s">
        <v>30</v>
      </c>
      <c r="Y9069" s="93" t="s">
        <v>66</v>
      </c>
      <c r="Z9069" s="134">
        <f>VLOOKUP(W9069,Sheet2!$B:$D,3,FALSE)</f>
        <v>250</v>
      </c>
      <c r="AA9069" s="93">
        <f>1/(2.7*2.7*0.1)</f>
        <v>1.371742112482853</v>
      </c>
      <c r="AB9069" s="93">
        <f>AD9069/AC9075</f>
        <v>182.25000000000006</v>
      </c>
      <c r="AC9069" s="93">
        <f>AC9075/AA9069</f>
        <v>0.28795499999999974</v>
      </c>
      <c r="AD9069" s="94">
        <f t="shared" ref="AD9069:AD9071" si="6145">AC9069*Z9069</f>
        <v>71.988749999999939</v>
      </c>
      <c r="AE9069" s="190"/>
      <c r="AF9069" s="191"/>
      <c r="AG9069" s="191"/>
      <c r="AH9069" s="191"/>
      <c r="AI9069" s="186"/>
      <c r="AK9069" s="171"/>
    </row>
    <row r="9070" spans="1:41" s="102" customFormat="1" ht="19.899999999999999" customHeight="1" x14ac:dyDescent="0.25">
      <c r="A9070" s="45"/>
      <c r="B9070" s="59"/>
      <c r="C9070" s="137"/>
      <c r="D9070" s="59"/>
      <c r="E9070" s="116"/>
      <c r="F9070" s="120"/>
      <c r="G9070" s="120"/>
      <c r="H9070" s="120"/>
      <c r="I9070" s="60"/>
      <c r="J9070" s="116"/>
      <c r="K9070" s="213"/>
      <c r="L9070" s="120"/>
      <c r="M9070" s="120"/>
      <c r="N9070" s="167"/>
      <c r="O9070" s="120"/>
      <c r="P9070" s="120"/>
      <c r="Q9070" s="120"/>
      <c r="R9070" s="120"/>
      <c r="S9070" s="120"/>
      <c r="T9070" s="221"/>
      <c r="U9070" s="89"/>
      <c r="V9070" s="61"/>
      <c r="W9070" s="92" t="s">
        <v>1353</v>
      </c>
      <c r="X9070" s="93" t="s">
        <v>30</v>
      </c>
      <c r="Y9070" s="93" t="s">
        <v>66</v>
      </c>
      <c r="Z9070" s="134">
        <f>VLOOKUP(W9070,Sheet2!$B:$D,3,FALSE)</f>
        <v>350</v>
      </c>
      <c r="AA9070" s="93">
        <f>1/(2.6*2.6*0.3)</f>
        <v>0.49309664694280081</v>
      </c>
      <c r="AB9070" s="93">
        <f>AD9070/AC9075</f>
        <v>709.8</v>
      </c>
      <c r="AC9070" s="93">
        <f>AC9075/AA9070</f>
        <v>0.80105999999999911</v>
      </c>
      <c r="AD9070" s="94">
        <f t="shared" si="6145"/>
        <v>280.3709999999997</v>
      </c>
      <c r="AE9070" s="190"/>
      <c r="AF9070" s="191"/>
      <c r="AG9070" s="191"/>
      <c r="AH9070" s="191"/>
      <c r="AI9070" s="186"/>
      <c r="AK9070" s="171"/>
    </row>
    <row r="9071" spans="1:41" s="102" customFormat="1" ht="19.899999999999999" customHeight="1" x14ac:dyDescent="0.25">
      <c r="A9071" s="45"/>
      <c r="B9071" s="59"/>
      <c r="C9071" s="137"/>
      <c r="D9071" s="59"/>
      <c r="E9071" s="116"/>
      <c r="F9071" s="120"/>
      <c r="G9071" s="120"/>
      <c r="H9071" s="120"/>
      <c r="I9071" s="60"/>
      <c r="J9071" s="116"/>
      <c r="K9071" s="213"/>
      <c r="L9071" s="120"/>
      <c r="M9071" s="120"/>
      <c r="N9071" s="167"/>
      <c r="O9071" s="120"/>
      <c r="P9071" s="120"/>
      <c r="Q9071" s="120"/>
      <c r="R9071" s="120"/>
      <c r="S9071" s="120"/>
      <c r="T9071" s="221"/>
      <c r="U9071" s="89"/>
      <c r="V9071" s="61"/>
      <c r="W9071" s="92" t="s">
        <v>99</v>
      </c>
      <c r="X9071" s="93" t="s">
        <v>30</v>
      </c>
      <c r="Y9071" s="93" t="s">
        <v>67</v>
      </c>
      <c r="Z9071" s="134">
        <f>VLOOKUP(W9071,Sheet2!$B:$D,3,FALSE)</f>
        <v>2500</v>
      </c>
      <c r="AA9071" s="93">
        <f>AA9070/0.08</f>
        <v>6.16370808678501</v>
      </c>
      <c r="AB9071" s="93">
        <f>AD9071/AC9075</f>
        <v>405.59999999999997</v>
      </c>
      <c r="AC9071" s="93">
        <f>AC9075/AA9071</f>
        <v>6.4084799999999928E-2</v>
      </c>
      <c r="AD9071" s="94">
        <f t="shared" si="6145"/>
        <v>160.21199999999982</v>
      </c>
      <c r="AE9071" s="190"/>
      <c r="AF9071" s="191"/>
      <c r="AG9071" s="191"/>
      <c r="AH9071" s="191"/>
      <c r="AI9071" s="186"/>
      <c r="AK9071" s="171"/>
    </row>
    <row r="9072" spans="1:41" s="102" customFormat="1" ht="19.899999999999999" customHeight="1" x14ac:dyDescent="0.25">
      <c r="A9072" s="45"/>
      <c r="B9072" s="59"/>
      <c r="C9072" s="137"/>
      <c r="D9072" s="59"/>
      <c r="E9072" s="116"/>
      <c r="F9072" s="120"/>
      <c r="G9072" s="120"/>
      <c r="H9072" s="120"/>
      <c r="I9072" s="60"/>
      <c r="J9072" s="116"/>
      <c r="K9072" s="213"/>
      <c r="L9072" s="120"/>
      <c r="M9072" s="120"/>
      <c r="N9072" s="167"/>
      <c r="O9072" s="120"/>
      <c r="P9072" s="120"/>
      <c r="Q9072" s="120"/>
      <c r="R9072" s="120"/>
      <c r="S9072" s="120"/>
      <c r="T9072" s="221"/>
      <c r="U9072" s="89"/>
      <c r="V9072" s="61"/>
      <c r="W9072" s="92" t="s">
        <v>1354</v>
      </c>
      <c r="X9072" s="93" t="s">
        <v>32</v>
      </c>
      <c r="Y9072" s="93" t="s">
        <v>66</v>
      </c>
      <c r="Z9072" s="134">
        <f>VLOOKUP(W9072,Sheet2!$B:$D,3,FALSE)</f>
        <v>150</v>
      </c>
      <c r="AA9072" s="93">
        <f>AA9069</f>
        <v>1.371742112482853</v>
      </c>
      <c r="AB9072" s="93">
        <f>AD9072/AC9075</f>
        <v>109.35000000000002</v>
      </c>
      <c r="AC9072" s="93">
        <f>AC9075/AA9072</f>
        <v>0.28795499999999974</v>
      </c>
      <c r="AD9072" s="94">
        <f>AC9072*Z9072</f>
        <v>43.193249999999964</v>
      </c>
      <c r="AE9072" s="190"/>
      <c r="AF9072" s="191"/>
      <c r="AG9072" s="191"/>
      <c r="AH9072" s="191"/>
      <c r="AI9072" s="186"/>
      <c r="AK9072" s="171"/>
    </row>
    <row r="9073" spans="1:37" s="102" customFormat="1" ht="19.899999999999999" customHeight="1" x14ac:dyDescent="0.25">
      <c r="A9073" s="45"/>
      <c r="B9073" s="59"/>
      <c r="C9073" s="137"/>
      <c r="D9073" s="59"/>
      <c r="E9073" s="116"/>
      <c r="F9073" s="120"/>
      <c r="G9073" s="120"/>
      <c r="H9073" s="120"/>
      <c r="I9073" s="60"/>
      <c r="J9073" s="116"/>
      <c r="K9073" s="213"/>
      <c r="L9073" s="120"/>
      <c r="M9073" s="120"/>
      <c r="N9073" s="167"/>
      <c r="O9073" s="120"/>
      <c r="P9073" s="120"/>
      <c r="Q9073" s="120"/>
      <c r="R9073" s="120"/>
      <c r="S9073" s="120"/>
      <c r="T9073" s="221"/>
      <c r="U9073" s="89"/>
      <c r="V9073" s="61"/>
      <c r="W9073" s="92" t="s">
        <v>1355</v>
      </c>
      <c r="X9073" s="93" t="s">
        <v>32</v>
      </c>
      <c r="Y9073" s="93" t="s">
        <v>66</v>
      </c>
      <c r="Z9073" s="134">
        <f>VLOOKUP(W9073,Sheet2!$B:$D,3,FALSE)</f>
        <v>450</v>
      </c>
      <c r="AA9073" s="93">
        <f>AA9070</f>
        <v>0.49309664694280081</v>
      </c>
      <c r="AB9073" s="93">
        <f>AD9073/AC9075</f>
        <v>912.59999999999991</v>
      </c>
      <c r="AC9073" s="93">
        <f>AC9075/AA9073</f>
        <v>0.80105999999999911</v>
      </c>
      <c r="AD9073" s="94">
        <f>AC9073*Z9073</f>
        <v>360.47699999999958</v>
      </c>
      <c r="AE9073" s="190"/>
      <c r="AF9073" s="191"/>
      <c r="AG9073" s="191"/>
      <c r="AH9073" s="191"/>
      <c r="AI9073" s="186"/>
      <c r="AK9073" s="171"/>
    </row>
    <row r="9074" spans="1:37" s="102" customFormat="1" ht="19.899999999999999" customHeight="1" x14ac:dyDescent="0.25">
      <c r="A9074" s="45"/>
      <c r="B9074" s="59"/>
      <c r="C9074" s="137"/>
      <c r="D9074" s="59"/>
      <c r="E9074" s="116"/>
      <c r="F9074" s="120"/>
      <c r="G9074" s="120"/>
      <c r="H9074" s="120"/>
      <c r="I9074" s="60"/>
      <c r="J9074" s="116"/>
      <c r="K9074" s="213"/>
      <c r="L9074" s="120"/>
      <c r="M9074" s="120"/>
      <c r="N9074" s="167"/>
      <c r="O9074" s="120"/>
      <c r="P9074" s="120"/>
      <c r="Q9074" s="120"/>
      <c r="R9074" s="120"/>
      <c r="S9074" s="120"/>
      <c r="T9074" s="221"/>
      <c r="U9074" s="89"/>
      <c r="V9074" s="61"/>
      <c r="W9074" s="92" t="s">
        <v>124</v>
      </c>
      <c r="X9074" s="93" t="s">
        <v>32</v>
      </c>
      <c r="Y9074" s="93" t="s">
        <v>64</v>
      </c>
      <c r="Z9074" s="134">
        <f>VLOOKUP(W9074,Sheet2!$B:$D,3,FALSE)</f>
        <v>10</v>
      </c>
      <c r="AA9074" s="93">
        <f>1/((3.2*3.2)-(3.14*1.8*1.8/4))</f>
        <v>0.12992750045474621</v>
      </c>
      <c r="AB9074" s="93">
        <f t="shared" ref="AB9074" si="6146">AD9074/AC9068</f>
        <v>76.966000000000022</v>
      </c>
      <c r="AC9074" s="93">
        <f>AC9068/AA9074</f>
        <v>3.0401569999999976</v>
      </c>
      <c r="AD9074" s="94">
        <f t="shared" ref="AD9074" si="6147">AC9074*Z9074</f>
        <v>30.401569999999975</v>
      </c>
      <c r="AE9074" s="190"/>
      <c r="AF9074" s="191"/>
      <c r="AG9074" s="191"/>
      <c r="AH9074" s="191"/>
      <c r="AI9074" s="186"/>
      <c r="AK9074" s="171"/>
    </row>
    <row r="9075" spans="1:37" s="103" customFormat="1" ht="19.899999999999999" customHeight="1" x14ac:dyDescent="0.25">
      <c r="A9075" s="51"/>
      <c r="B9075" s="52"/>
      <c r="C9075" s="165"/>
      <c r="D9075" s="52"/>
      <c r="E9075" s="115"/>
      <c r="F9075" s="58"/>
      <c r="G9075" s="58"/>
      <c r="H9075" s="58"/>
      <c r="I9075" s="55"/>
      <c r="J9075" s="113">
        <f>J9062</f>
        <v>0.39499999999999957</v>
      </c>
      <c r="K9075" s="212">
        <f>K9062</f>
        <v>0.39499999999999957</v>
      </c>
      <c r="L9075" s="58"/>
      <c r="M9075" s="58">
        <f>K9075-L9075</f>
        <v>0.39499999999999957</v>
      </c>
      <c r="N9075" s="166"/>
      <c r="O9075" s="58"/>
      <c r="P9075" s="58"/>
      <c r="Q9075" s="58"/>
      <c r="R9075" s="58"/>
      <c r="S9075" s="58"/>
      <c r="T9075" s="220"/>
      <c r="U9075" s="88"/>
      <c r="V9075" s="56"/>
      <c r="W9075" s="57" t="s">
        <v>1275</v>
      </c>
      <c r="X9075" s="53"/>
      <c r="Y9075" s="91" t="s">
        <v>35</v>
      </c>
      <c r="Z9075" s="136">
        <f>AD9075/AC9075</f>
        <v>6857.7999999999984</v>
      </c>
      <c r="AA9075" s="58"/>
      <c r="AB9075" s="53">
        <f>AD9075/AC9075</f>
        <v>6857.7999999999984</v>
      </c>
      <c r="AC9075" s="53">
        <f>M9075+$AE$10</f>
        <v>0.39499999999999957</v>
      </c>
      <c r="AD9075" s="54">
        <f>SUM(AD9076:AD9081)</f>
        <v>2708.8309999999965</v>
      </c>
      <c r="AE9075" s="184">
        <f>SUMIFS($AD$37:$AD$12971,$V$37:$V$12971,$V9075,$X$37:$X$12971,AE$13)</f>
        <v>0</v>
      </c>
      <c r="AF9075" s="185">
        <f>SUMIFS($AD$37:$AD$12971,$V$37:$V$12971,$V9075,$X$37:$X$12971,AF$13)</f>
        <v>0</v>
      </c>
      <c r="AG9075" s="185">
        <f>SUMIFS($AD$37:$AD$12971,$V$37:$V$12971,$V9075,$X$37:$X$12971,AG$13)</f>
        <v>0</v>
      </c>
      <c r="AH9075" s="187">
        <f>SUMIFS($AD$37:$AD$12971,$V$37:$V$12971,$V9075,$X$37:$X$12971,AH$13)</f>
        <v>0</v>
      </c>
      <c r="AI9075" s="161">
        <f t="shared" ref="AI9075" si="6148">SUM(AE9075:AH9075)</f>
        <v>0</v>
      </c>
      <c r="AK9075" s="172"/>
    </row>
    <row r="9076" spans="1:37" s="102" customFormat="1" ht="19.899999999999999" customHeight="1" x14ac:dyDescent="0.25">
      <c r="A9076" s="45"/>
      <c r="B9076" s="59"/>
      <c r="C9076" s="137"/>
      <c r="D9076" s="59"/>
      <c r="E9076" s="116"/>
      <c r="F9076" s="120"/>
      <c r="G9076" s="120"/>
      <c r="H9076" s="120"/>
      <c r="I9076" s="60"/>
      <c r="J9076" s="116"/>
      <c r="K9076" s="213"/>
      <c r="L9076" s="120"/>
      <c r="M9076" s="120"/>
      <c r="N9076" s="167"/>
      <c r="O9076" s="120"/>
      <c r="P9076" s="120"/>
      <c r="Q9076" s="120"/>
      <c r="R9076" s="120"/>
      <c r="S9076" s="120"/>
      <c r="T9076" s="221"/>
      <c r="U9076" s="89"/>
      <c r="V9076" s="61"/>
      <c r="W9076" s="92" t="s">
        <v>1500</v>
      </c>
      <c r="X9076" s="93" t="s">
        <v>30</v>
      </c>
      <c r="Y9076" s="93" t="s">
        <v>35</v>
      </c>
      <c r="Z9076" s="134">
        <f>VLOOKUP(W9076,Sheet2!$B:$D,3,FALSE)</f>
        <v>5085</v>
      </c>
      <c r="AA9076" s="93">
        <v>1</v>
      </c>
      <c r="AB9076" s="93">
        <f>AD9076/AC9075</f>
        <v>5085</v>
      </c>
      <c r="AC9076" s="93">
        <f>AC9075/AA9076</f>
        <v>0.39499999999999957</v>
      </c>
      <c r="AD9076" s="94">
        <f t="shared" ref="AD9076:AD9077" si="6149">AC9076*Z9076</f>
        <v>2008.5749999999978</v>
      </c>
      <c r="AE9076" s="190"/>
      <c r="AF9076" s="191"/>
      <c r="AG9076" s="191"/>
      <c r="AH9076" s="191"/>
      <c r="AI9076" s="186"/>
      <c r="AK9076" s="171"/>
    </row>
    <row r="9077" spans="1:37" s="102" customFormat="1" ht="19.899999999999999" customHeight="1" x14ac:dyDescent="0.25">
      <c r="A9077" s="45"/>
      <c r="B9077" s="59"/>
      <c r="C9077" s="137"/>
      <c r="D9077" s="59"/>
      <c r="E9077" s="116"/>
      <c r="F9077" s="120"/>
      <c r="G9077" s="120"/>
      <c r="H9077" s="120"/>
      <c r="I9077" s="60"/>
      <c r="J9077" s="116"/>
      <c r="K9077" s="213"/>
      <c r="L9077" s="120"/>
      <c r="M9077" s="120"/>
      <c r="N9077" s="167"/>
      <c r="O9077" s="120"/>
      <c r="P9077" s="120"/>
      <c r="Q9077" s="120"/>
      <c r="R9077" s="120"/>
      <c r="S9077" s="120"/>
      <c r="T9077" s="221"/>
      <c r="U9077" s="89"/>
      <c r="V9077" s="61"/>
      <c r="W9077" s="92" t="s">
        <v>174</v>
      </c>
      <c r="X9077" s="93" t="s">
        <v>29</v>
      </c>
      <c r="Y9077" s="93" t="s">
        <v>93</v>
      </c>
      <c r="Z9077" s="134">
        <f>VLOOKUP(W9077,Sheet2!$B:$D,3,FALSE)</f>
        <v>80</v>
      </c>
      <c r="AA9077" s="93">
        <f>1/2</f>
        <v>0.5</v>
      </c>
      <c r="AB9077" s="93">
        <f>AD9077/AC9075</f>
        <v>160</v>
      </c>
      <c r="AC9077" s="93">
        <f>AC9075/AA9077</f>
        <v>0.78999999999999915</v>
      </c>
      <c r="AD9077" s="94">
        <f t="shared" si="6149"/>
        <v>63.199999999999932</v>
      </c>
      <c r="AE9077" s="190"/>
      <c r="AF9077" s="191"/>
      <c r="AG9077" s="191"/>
      <c r="AH9077" s="191"/>
      <c r="AI9077" s="186"/>
      <c r="AK9077" s="171"/>
    </row>
    <row r="9078" spans="1:37" s="102" customFormat="1" ht="19.899999999999999" customHeight="1" x14ac:dyDescent="0.25">
      <c r="A9078" s="45"/>
      <c r="B9078" s="59"/>
      <c r="C9078" s="137"/>
      <c r="D9078" s="59"/>
      <c r="E9078" s="116"/>
      <c r="F9078" s="120"/>
      <c r="G9078" s="120"/>
      <c r="H9078" s="120"/>
      <c r="I9078" s="60"/>
      <c r="J9078" s="116"/>
      <c r="K9078" s="213"/>
      <c r="L9078" s="120"/>
      <c r="M9078" s="120"/>
      <c r="N9078" s="167"/>
      <c r="O9078" s="120"/>
      <c r="P9078" s="120"/>
      <c r="Q9078" s="120"/>
      <c r="R9078" s="120"/>
      <c r="S9078" s="120"/>
      <c r="T9078" s="221"/>
      <c r="U9078" s="89"/>
      <c r="V9078" s="61"/>
      <c r="W9078" s="92" t="s">
        <v>65</v>
      </c>
      <c r="X9078" s="93" t="s">
        <v>30</v>
      </c>
      <c r="Y9078" s="93" t="s">
        <v>93</v>
      </c>
      <c r="Z9078" s="134">
        <f>VLOOKUP(W9078,Sheet2!$B:$D,3,FALSE)</f>
        <v>1.76</v>
      </c>
      <c r="AA9078" s="93">
        <f>AA9077/15</f>
        <v>3.3333333333333333E-2</v>
      </c>
      <c r="AB9078" s="93">
        <f>AD9078/AC9075</f>
        <v>52.8</v>
      </c>
      <c r="AC9078" s="93">
        <f>AC9075/AA9078</f>
        <v>11.849999999999987</v>
      </c>
      <c r="AD9078" s="94">
        <f>AC9078*Z9078</f>
        <v>20.855999999999977</v>
      </c>
      <c r="AE9078" s="190"/>
      <c r="AF9078" s="191"/>
      <c r="AG9078" s="191"/>
      <c r="AH9078" s="191"/>
      <c r="AI9078" s="186"/>
      <c r="AK9078" s="171"/>
    </row>
    <row r="9079" spans="1:37" s="102" customFormat="1" ht="19.899999999999999" customHeight="1" x14ac:dyDescent="0.25">
      <c r="A9079" s="45"/>
      <c r="B9079" s="59"/>
      <c r="C9079" s="137"/>
      <c r="D9079" s="59"/>
      <c r="E9079" s="116"/>
      <c r="F9079" s="120"/>
      <c r="G9079" s="120"/>
      <c r="H9079" s="120"/>
      <c r="I9079" s="60"/>
      <c r="J9079" s="116"/>
      <c r="K9079" s="213"/>
      <c r="L9079" s="120"/>
      <c r="M9079" s="120"/>
      <c r="N9079" s="167"/>
      <c r="O9079" s="120"/>
      <c r="P9079" s="120"/>
      <c r="Q9079" s="120"/>
      <c r="R9079" s="120"/>
      <c r="S9079" s="120"/>
      <c r="T9079" s="221"/>
      <c r="U9079" s="89"/>
      <c r="V9079" s="61"/>
      <c r="W9079" s="92" t="s">
        <v>1487</v>
      </c>
      <c r="X9079" s="93" t="s">
        <v>32</v>
      </c>
      <c r="Y9079" s="93" t="s">
        <v>1349</v>
      </c>
      <c r="Z9079" s="134">
        <f>VLOOKUP(W9079,Sheet2!$B:$D,3,FALSE)</f>
        <v>1500</v>
      </c>
      <c r="AA9079" s="93">
        <v>1</v>
      </c>
      <c r="AB9079" s="93">
        <f>AD9079/AC9075</f>
        <v>1500</v>
      </c>
      <c r="AC9079" s="93">
        <f>AC9075/AA9079</f>
        <v>0.39499999999999957</v>
      </c>
      <c r="AD9079" s="94">
        <f>AC9079*Z9079</f>
        <v>592.49999999999932</v>
      </c>
      <c r="AE9079" s="190"/>
      <c r="AF9079" s="191"/>
      <c r="AG9079" s="191"/>
      <c r="AH9079" s="191"/>
      <c r="AI9079" s="186"/>
      <c r="AK9079" s="171"/>
    </row>
    <row r="9080" spans="1:37" s="102" customFormat="1" ht="19.899999999999999" customHeight="1" x14ac:dyDescent="0.25">
      <c r="A9080" s="45"/>
      <c r="B9080" s="59"/>
      <c r="C9080" s="137"/>
      <c r="D9080" s="59"/>
      <c r="E9080" s="116"/>
      <c r="F9080" s="120"/>
      <c r="G9080" s="120"/>
      <c r="H9080" s="120"/>
      <c r="I9080" s="60"/>
      <c r="J9080" s="116"/>
      <c r="K9080" s="213"/>
      <c r="L9080" s="120"/>
      <c r="M9080" s="120"/>
      <c r="N9080" s="167"/>
      <c r="O9080" s="120"/>
      <c r="P9080" s="120"/>
      <c r="Q9080" s="120"/>
      <c r="R9080" s="120"/>
      <c r="S9080" s="120"/>
      <c r="T9080" s="221"/>
      <c r="U9080" s="89"/>
      <c r="V9080" s="61"/>
      <c r="W9080" s="92" t="s">
        <v>107</v>
      </c>
      <c r="X9080" s="93" t="s">
        <v>31</v>
      </c>
      <c r="Y9080" s="93" t="s">
        <v>93</v>
      </c>
      <c r="Z9080" s="134">
        <f>VLOOKUP(W9080,Sheet2!$B:$D,3,FALSE)</f>
        <v>17</v>
      </c>
      <c r="AA9080" s="93">
        <f>AA9077</f>
        <v>0.5</v>
      </c>
      <c r="AB9080" s="93">
        <f>AD9080/AC9075</f>
        <v>34</v>
      </c>
      <c r="AC9080" s="93">
        <f>AC9075/AA9080</f>
        <v>0.78999999999999915</v>
      </c>
      <c r="AD9080" s="94">
        <f>AC9080*Z9080</f>
        <v>13.429999999999986</v>
      </c>
      <c r="AE9080" s="190"/>
      <c r="AF9080" s="191"/>
      <c r="AG9080" s="191"/>
      <c r="AH9080" s="191"/>
      <c r="AI9080" s="186"/>
      <c r="AK9080" s="171"/>
    </row>
    <row r="9081" spans="1:37" s="102" customFormat="1" ht="19.899999999999999" customHeight="1" x14ac:dyDescent="0.25">
      <c r="A9081" s="45"/>
      <c r="B9081" s="59"/>
      <c r="C9081" s="137"/>
      <c r="D9081" s="59"/>
      <c r="E9081" s="116"/>
      <c r="F9081" s="120"/>
      <c r="G9081" s="120"/>
      <c r="H9081" s="120"/>
      <c r="I9081" s="60"/>
      <c r="J9081" s="116"/>
      <c r="K9081" s="213"/>
      <c r="L9081" s="120"/>
      <c r="M9081" s="120"/>
      <c r="N9081" s="167"/>
      <c r="O9081" s="120"/>
      <c r="P9081" s="120"/>
      <c r="Q9081" s="120"/>
      <c r="R9081" s="120"/>
      <c r="S9081" s="120"/>
      <c r="T9081" s="221"/>
      <c r="U9081" s="89"/>
      <c r="V9081" s="61"/>
      <c r="W9081" s="92" t="s">
        <v>112</v>
      </c>
      <c r="X9081" s="93" t="s">
        <v>31</v>
      </c>
      <c r="Y9081" s="93" t="s">
        <v>93</v>
      </c>
      <c r="Z9081" s="134">
        <f>VLOOKUP(W9081,Sheet2!$B:$D,3,FALSE)</f>
        <v>13</v>
      </c>
      <c r="AA9081" s="93">
        <f>AA9080</f>
        <v>0.5</v>
      </c>
      <c r="AB9081" s="93">
        <f>AD9081/AC9075</f>
        <v>26</v>
      </c>
      <c r="AC9081" s="93">
        <f>AC9075/AA9081</f>
        <v>0.78999999999999915</v>
      </c>
      <c r="AD9081" s="94">
        <f>AC9081*Z9081</f>
        <v>10.269999999999989</v>
      </c>
      <c r="AE9081" s="190"/>
      <c r="AF9081" s="191"/>
      <c r="AG9081" s="191"/>
      <c r="AH9081" s="191"/>
      <c r="AI9081" s="186"/>
      <c r="AK9081" s="171"/>
    </row>
    <row r="9082" spans="1:37" s="103" customFormat="1" ht="19.899999999999999" customHeight="1" x14ac:dyDescent="0.25">
      <c r="A9082" s="51"/>
      <c r="B9082" s="52"/>
      <c r="C9082" s="165"/>
      <c r="D9082" s="52"/>
      <c r="E9082" s="115"/>
      <c r="F9082" s="58"/>
      <c r="G9082" s="58"/>
      <c r="H9082" s="58"/>
      <c r="I9082" s="55"/>
      <c r="J9082" s="113">
        <f>J9062</f>
        <v>0.39499999999999957</v>
      </c>
      <c r="K9082" s="212">
        <f>K9062</f>
        <v>0.39499999999999957</v>
      </c>
      <c r="L9082" s="58"/>
      <c r="M9082" s="58">
        <f>K9082-L9082</f>
        <v>0.39499999999999957</v>
      </c>
      <c r="N9082" s="166"/>
      <c r="O9082" s="58"/>
      <c r="P9082" s="58"/>
      <c r="Q9082" s="58"/>
      <c r="R9082" s="58"/>
      <c r="S9082" s="58"/>
      <c r="T9082" s="220"/>
      <c r="U9082" s="88"/>
      <c r="V9082" s="56"/>
      <c r="W9082" s="57" t="s">
        <v>1272</v>
      </c>
      <c r="X9082" s="53"/>
      <c r="Y9082" s="91" t="s">
        <v>35</v>
      </c>
      <c r="Z9082" s="136">
        <f>AD9082/AC9082</f>
        <v>436.32059578039213</v>
      </c>
      <c r="AA9082" s="58"/>
      <c r="AB9082" s="53">
        <f>AD9082/AC9082</f>
        <v>436.32059578039213</v>
      </c>
      <c r="AC9082" s="53">
        <f>M9082+$AE$10</f>
        <v>0.39499999999999957</v>
      </c>
      <c r="AD9082" s="54">
        <f>SUM(AD9083:AD9091)</f>
        <v>172.34663533325471</v>
      </c>
      <c r="AE9082" s="184">
        <f>SUMIFS($AD$37:$AD$12971,$V$37:$V$12971,$V9082,$X$37:$X$12971,AE$13)</f>
        <v>0</v>
      </c>
      <c r="AF9082" s="185">
        <f>SUMIFS($AD$37:$AD$12971,$V$37:$V$12971,$V9082,$X$37:$X$12971,AF$13)</f>
        <v>0</v>
      </c>
      <c r="AG9082" s="185">
        <f>SUMIFS($AD$37:$AD$12971,$V$37:$V$12971,$V9082,$X$37:$X$12971,AG$13)</f>
        <v>0</v>
      </c>
      <c r="AH9082" s="187">
        <f>SUMIFS($AD$37:$AD$12971,$V$37:$V$12971,$V9082,$X$37:$X$12971,AH$13)</f>
        <v>0</v>
      </c>
      <c r="AI9082" s="161">
        <f t="shared" ref="AI9082" si="6150">SUM(AE9082:AH9082)</f>
        <v>0</v>
      </c>
      <c r="AK9082" s="172"/>
    </row>
    <row r="9083" spans="1:37" s="102" customFormat="1" ht="19.899999999999999" customHeight="1" x14ac:dyDescent="0.25">
      <c r="A9083" s="45"/>
      <c r="B9083" s="59"/>
      <c r="C9083" s="137"/>
      <c r="D9083" s="59"/>
      <c r="E9083" s="116"/>
      <c r="F9083" s="120"/>
      <c r="G9083" s="120"/>
      <c r="H9083" s="120"/>
      <c r="I9083" s="60"/>
      <c r="J9083" s="116"/>
      <c r="K9083" s="213"/>
      <c r="L9083" s="120"/>
      <c r="M9083" s="120"/>
      <c r="N9083" s="167"/>
      <c r="O9083" s="120"/>
      <c r="P9083" s="120"/>
      <c r="Q9083" s="120"/>
      <c r="R9083" s="120"/>
      <c r="S9083" s="120"/>
      <c r="T9083" s="221"/>
      <c r="U9083" s="89"/>
      <c r="V9083" s="61"/>
      <c r="W9083" s="92" t="s">
        <v>1273</v>
      </c>
      <c r="X9083" s="93" t="s">
        <v>30</v>
      </c>
      <c r="Y9083" s="93" t="s">
        <v>66</v>
      </c>
      <c r="Z9083" s="134">
        <f>VLOOKUP(W9083,Sheet2!$B:$D,3,FALSE)</f>
        <v>10</v>
      </c>
      <c r="AA9083" s="93">
        <f>1/((3.5*3.5*2.5)-(3.14/4*1.8*1.8*2.5))</f>
        <v>4.1209074238147236E-2</v>
      </c>
      <c r="AB9083" s="93">
        <f>AD9083/AC9082</f>
        <v>242.66499999999999</v>
      </c>
      <c r="AC9083" s="93">
        <f>AC9082/AA9083</f>
        <v>9.5852674999999898</v>
      </c>
      <c r="AD9083" s="94">
        <f t="shared" ref="AD9083:AD9085" si="6151">AC9083*Z9083</f>
        <v>95.852674999999891</v>
      </c>
      <c r="AE9083" s="190"/>
      <c r="AF9083" s="191"/>
      <c r="AG9083" s="191"/>
      <c r="AH9083" s="191"/>
      <c r="AI9083" s="186"/>
      <c r="AK9083" s="171"/>
    </row>
    <row r="9084" spans="1:37" s="102" customFormat="1" ht="19.899999999999999" customHeight="1" x14ac:dyDescent="0.25">
      <c r="A9084" s="45"/>
      <c r="B9084" s="59"/>
      <c r="C9084" s="137"/>
      <c r="D9084" s="59"/>
      <c r="E9084" s="116"/>
      <c r="F9084" s="120"/>
      <c r="G9084" s="120"/>
      <c r="H9084" s="120"/>
      <c r="I9084" s="60"/>
      <c r="J9084" s="116"/>
      <c r="K9084" s="213"/>
      <c r="L9084" s="120"/>
      <c r="M9084" s="120"/>
      <c r="N9084" s="167"/>
      <c r="O9084" s="120"/>
      <c r="P9084" s="120"/>
      <c r="Q9084" s="120"/>
      <c r="R9084" s="120"/>
      <c r="S9084" s="120"/>
      <c r="T9084" s="221"/>
      <c r="U9084" s="89"/>
      <c r="V9084" s="61"/>
      <c r="W9084" s="92" t="s">
        <v>134</v>
      </c>
      <c r="X9084" s="93" t="s">
        <v>29</v>
      </c>
      <c r="Y9084" s="93" t="s">
        <v>93</v>
      </c>
      <c r="Z9084" s="134">
        <f>VLOOKUP(W9084,Sheet2!$B:$D,3,FALSE)</f>
        <v>65.599999999999994</v>
      </c>
      <c r="AA9084" s="93">
        <f>100/((3.5*3.5*2.5)-(3.14/4*1.8*1.8*2.5))</f>
        <v>4.1209074238147236</v>
      </c>
      <c r="AB9084" s="93">
        <f t="shared" ref="AB9084" si="6152">AD9084/AC9082</f>
        <v>15.918823999999999</v>
      </c>
      <c r="AC9084" s="93">
        <f>AC9082/AA9084</f>
        <v>9.5852674999999901E-2</v>
      </c>
      <c r="AD9084" s="94">
        <f t="shared" si="6151"/>
        <v>6.2879354799999927</v>
      </c>
      <c r="AE9084" s="190"/>
      <c r="AF9084" s="191"/>
      <c r="AG9084" s="191"/>
      <c r="AH9084" s="191"/>
      <c r="AI9084" s="186"/>
      <c r="AK9084" s="171"/>
    </row>
    <row r="9085" spans="1:37" s="102" customFormat="1" ht="19.899999999999999" customHeight="1" x14ac:dyDescent="0.25">
      <c r="A9085" s="45"/>
      <c r="B9085" s="59"/>
      <c r="C9085" s="137"/>
      <c r="D9085" s="59"/>
      <c r="E9085" s="116"/>
      <c r="F9085" s="120"/>
      <c r="G9085" s="120"/>
      <c r="H9085" s="120"/>
      <c r="I9085" s="60"/>
      <c r="J9085" s="116"/>
      <c r="K9085" s="213"/>
      <c r="L9085" s="120"/>
      <c r="M9085" s="120"/>
      <c r="N9085" s="167"/>
      <c r="O9085" s="120"/>
      <c r="P9085" s="120"/>
      <c r="Q9085" s="120"/>
      <c r="R9085" s="120"/>
      <c r="S9085" s="120"/>
      <c r="T9085" s="221"/>
      <c r="U9085" s="89"/>
      <c r="V9085" s="61"/>
      <c r="W9085" s="92" t="s">
        <v>65</v>
      </c>
      <c r="X9085" s="93" t="s">
        <v>30</v>
      </c>
      <c r="Y9085" s="93" t="s">
        <v>1011</v>
      </c>
      <c r="Z9085" s="134">
        <f>VLOOKUP(W9085,Sheet2!$B:$D,3,FALSE)</f>
        <v>1.76</v>
      </c>
      <c r="AA9085" s="93">
        <f>AA9084/9</f>
        <v>0.45787860264608038</v>
      </c>
      <c r="AB9085" s="93">
        <f>AD9085/AC9082</f>
        <v>3.8438136000000003</v>
      </c>
      <c r="AC9085" s="93">
        <f>AC9082/AA9085</f>
        <v>0.86267407499999915</v>
      </c>
      <c r="AD9085" s="94">
        <f t="shared" si="6151"/>
        <v>1.5183063719999985</v>
      </c>
      <c r="AE9085" s="190"/>
      <c r="AF9085" s="191"/>
      <c r="AG9085" s="191"/>
      <c r="AH9085" s="191"/>
      <c r="AI9085" s="186"/>
      <c r="AK9085" s="171"/>
    </row>
    <row r="9086" spans="1:37" s="102" customFormat="1" ht="19.899999999999999" customHeight="1" x14ac:dyDescent="0.25">
      <c r="A9086" s="45"/>
      <c r="B9086" s="59"/>
      <c r="C9086" s="137"/>
      <c r="D9086" s="59"/>
      <c r="E9086" s="116"/>
      <c r="F9086" s="120"/>
      <c r="G9086" s="120"/>
      <c r="H9086" s="120"/>
      <c r="I9086" s="60"/>
      <c r="J9086" s="116"/>
      <c r="K9086" s="213"/>
      <c r="L9086" s="120"/>
      <c r="M9086" s="120"/>
      <c r="N9086" s="167"/>
      <c r="O9086" s="120"/>
      <c r="P9086" s="120"/>
      <c r="Q9086" s="120"/>
      <c r="R9086" s="120"/>
      <c r="S9086" s="120"/>
      <c r="T9086" s="221"/>
      <c r="U9086" s="89"/>
      <c r="V9086" s="61"/>
      <c r="W9086" s="92" t="s">
        <v>161</v>
      </c>
      <c r="X9086" s="93" t="s">
        <v>29</v>
      </c>
      <c r="Y9086" s="93" t="s">
        <v>93</v>
      </c>
      <c r="Z9086" s="134">
        <f>VLOOKUP(W9086,Sheet2!$B:$D,3,FALSE)</f>
        <v>48</v>
      </c>
      <c r="AA9086" s="93">
        <f>(16*0.85*1.5)/((3.5*3.5*2.5)-(3.14/4*1.8*1.8*2.5))</f>
        <v>0.84066511445820358</v>
      </c>
      <c r="AB9086" s="93">
        <f>AD9086/AC9082</f>
        <v>57.097647058823533</v>
      </c>
      <c r="AC9086" s="93">
        <f>AC9082/AA9086</f>
        <v>0.46986605392156816</v>
      </c>
      <c r="AD9086" s="94">
        <f>AC9086*Z9086</f>
        <v>22.553570588235271</v>
      </c>
      <c r="AE9086" s="190"/>
      <c r="AF9086" s="191"/>
      <c r="AG9086" s="191"/>
      <c r="AH9086" s="191"/>
      <c r="AI9086" s="186"/>
      <c r="AK9086" s="171"/>
    </row>
    <row r="9087" spans="1:37" s="102" customFormat="1" ht="19.899999999999999" customHeight="1" x14ac:dyDescent="0.25">
      <c r="A9087" s="45"/>
      <c r="B9087" s="59"/>
      <c r="C9087" s="137"/>
      <c r="D9087" s="59"/>
      <c r="E9087" s="116"/>
      <c r="F9087" s="120"/>
      <c r="G9087" s="120"/>
      <c r="H9087" s="120"/>
      <c r="I9087" s="60"/>
      <c r="J9087" s="116"/>
      <c r="K9087" s="213"/>
      <c r="L9087" s="120"/>
      <c r="M9087" s="120"/>
      <c r="N9087" s="167"/>
      <c r="O9087" s="120"/>
      <c r="P9087" s="120"/>
      <c r="Q9087" s="120"/>
      <c r="R9087" s="120"/>
      <c r="S9087" s="120"/>
      <c r="T9087" s="221"/>
      <c r="U9087" s="89"/>
      <c r="V9087" s="61"/>
      <c r="W9087" s="92" t="s">
        <v>65</v>
      </c>
      <c r="X9087" s="93" t="s">
        <v>30</v>
      </c>
      <c r="Y9087" s="93" t="s">
        <v>1011</v>
      </c>
      <c r="Z9087" s="134">
        <f>VLOOKUP(W9087,Sheet2!$B:$D,3,FALSE)</f>
        <v>1.76</v>
      </c>
      <c r="AA9087" s="93">
        <f>AA9086/10</f>
        <v>8.4066511445820363E-2</v>
      </c>
      <c r="AB9087" s="93">
        <f>AD9087/AC9082</f>
        <v>20.935803921568628</v>
      </c>
      <c r="AC9087" s="93">
        <f>AC9082/AA9087</f>
        <v>4.6986605392156813</v>
      </c>
      <c r="AD9087" s="94">
        <f>AC9087*Z9087</f>
        <v>8.2696425490195988</v>
      </c>
      <c r="AE9087" s="190"/>
      <c r="AF9087" s="191"/>
      <c r="AG9087" s="191"/>
      <c r="AH9087" s="191"/>
      <c r="AI9087" s="186"/>
      <c r="AK9087" s="171"/>
    </row>
    <row r="9088" spans="1:37" s="102" customFormat="1" ht="19.899999999999999" customHeight="1" x14ac:dyDescent="0.25">
      <c r="A9088" s="45"/>
      <c r="B9088" s="59"/>
      <c r="C9088" s="137"/>
      <c r="D9088" s="59"/>
      <c r="E9088" s="116"/>
      <c r="F9088" s="120"/>
      <c r="G9088" s="120"/>
      <c r="H9088" s="120"/>
      <c r="I9088" s="60"/>
      <c r="J9088" s="116"/>
      <c r="K9088" s="213"/>
      <c r="L9088" s="120"/>
      <c r="M9088" s="120"/>
      <c r="N9088" s="167"/>
      <c r="O9088" s="120"/>
      <c r="P9088" s="120"/>
      <c r="Q9088" s="120"/>
      <c r="R9088" s="120"/>
      <c r="S9088" s="120"/>
      <c r="T9088" s="221"/>
      <c r="U9088" s="89"/>
      <c r="V9088" s="61"/>
      <c r="W9088" s="92" t="s">
        <v>173</v>
      </c>
      <c r="X9088" s="93" t="s">
        <v>29</v>
      </c>
      <c r="Y9088" s="93" t="s">
        <v>93</v>
      </c>
      <c r="Z9088" s="134">
        <f>VLOOKUP(W9088,Sheet2!$B:$D,3,FALSE)</f>
        <v>36</v>
      </c>
      <c r="AA9088" s="93">
        <f>50/((3.5*3.5*2.5)-(3.14/4*1.8*1.8*2.5))</f>
        <v>2.0604537119073618</v>
      </c>
      <c r="AB9088" s="93">
        <f>AD9088/AC9082</f>
        <v>17.471880000000002</v>
      </c>
      <c r="AC9088" s="93">
        <f>AC9082/AA9088</f>
        <v>0.1917053499999998</v>
      </c>
      <c r="AD9088" s="94">
        <f>AC9088*Z9088</f>
        <v>6.9013925999999932</v>
      </c>
      <c r="AE9088" s="190"/>
      <c r="AF9088" s="191"/>
      <c r="AG9088" s="191"/>
      <c r="AH9088" s="191"/>
      <c r="AI9088" s="186"/>
      <c r="AK9088" s="171"/>
    </row>
    <row r="9089" spans="1:41" s="102" customFormat="1" ht="19.899999999999999" customHeight="1" x14ac:dyDescent="0.25">
      <c r="A9089" s="45"/>
      <c r="B9089" s="59"/>
      <c r="C9089" s="137"/>
      <c r="D9089" s="59"/>
      <c r="E9089" s="116"/>
      <c r="F9089" s="120"/>
      <c r="G9089" s="120"/>
      <c r="H9089" s="120"/>
      <c r="I9089" s="60"/>
      <c r="J9089" s="116"/>
      <c r="K9089" s="213"/>
      <c r="L9089" s="120"/>
      <c r="M9089" s="120"/>
      <c r="N9089" s="167"/>
      <c r="O9089" s="120"/>
      <c r="P9089" s="120"/>
      <c r="Q9089" s="120"/>
      <c r="R9089" s="120"/>
      <c r="S9089" s="120"/>
      <c r="T9089" s="221"/>
      <c r="U9089" s="89"/>
      <c r="V9089" s="61"/>
      <c r="W9089" s="92" t="s">
        <v>65</v>
      </c>
      <c r="X9089" s="93" t="s">
        <v>30</v>
      </c>
      <c r="Y9089" s="93" t="s">
        <v>1011</v>
      </c>
      <c r="Z9089" s="134">
        <f>VLOOKUP(W9089,Sheet2!$B:$D,3,FALSE)</f>
        <v>1.76</v>
      </c>
      <c r="AA9089" s="93">
        <f>AA9088/9</f>
        <v>0.22893930132304019</v>
      </c>
      <c r="AB9089" s="93">
        <f>AD9089/AC9082</f>
        <v>7.6876272000000005</v>
      </c>
      <c r="AC9089" s="93">
        <f>AC9082/AA9089</f>
        <v>1.7253481499999983</v>
      </c>
      <c r="AD9089" s="94">
        <f>AC9089*Z9089</f>
        <v>3.036612743999997</v>
      </c>
      <c r="AE9089" s="190"/>
      <c r="AF9089" s="191"/>
      <c r="AG9089" s="191"/>
      <c r="AH9089" s="191"/>
      <c r="AI9089" s="186"/>
      <c r="AK9089" s="171"/>
    </row>
    <row r="9090" spans="1:41" s="102" customFormat="1" ht="19.899999999999999" customHeight="1" x14ac:dyDescent="0.25">
      <c r="A9090" s="45"/>
      <c r="B9090" s="59"/>
      <c r="C9090" s="137"/>
      <c r="D9090" s="59"/>
      <c r="E9090" s="116"/>
      <c r="F9090" s="120"/>
      <c r="G9090" s="120"/>
      <c r="H9090" s="120"/>
      <c r="I9090" s="60"/>
      <c r="J9090" s="116"/>
      <c r="K9090" s="213"/>
      <c r="L9090" s="120"/>
      <c r="M9090" s="120"/>
      <c r="N9090" s="167"/>
      <c r="O9090" s="120"/>
      <c r="P9090" s="120"/>
      <c r="Q9090" s="120"/>
      <c r="R9090" s="120"/>
      <c r="S9090" s="120"/>
      <c r="T9090" s="221"/>
      <c r="U9090" s="89"/>
      <c r="V9090" s="61"/>
      <c r="W9090" s="92" t="s">
        <v>1030</v>
      </c>
      <c r="X9090" s="93" t="s">
        <v>29</v>
      </c>
      <c r="Y9090" s="93" t="s">
        <v>93</v>
      </c>
      <c r="Z9090" s="134">
        <f>VLOOKUP(W9090,Sheet2!$B:$D,3,FALSE)</f>
        <v>23</v>
      </c>
      <c r="AA9090" s="93">
        <f>1/(2.5*1)</f>
        <v>0.4</v>
      </c>
      <c r="AB9090" s="93">
        <f>AD9090/AC9082</f>
        <v>57.500000000000007</v>
      </c>
      <c r="AC9090" s="93">
        <f>AC9082/AA9090</f>
        <v>0.98749999999999893</v>
      </c>
      <c r="AD9090" s="94">
        <f t="shared" ref="AD9090:AD9091" si="6153">AC9090*Z9090</f>
        <v>22.712499999999977</v>
      </c>
      <c r="AE9090" s="190"/>
      <c r="AF9090" s="191"/>
      <c r="AG9090" s="191"/>
      <c r="AH9090" s="191"/>
      <c r="AI9090" s="186"/>
      <c r="AK9090" s="171"/>
    </row>
    <row r="9091" spans="1:41" s="102" customFormat="1" ht="19.899999999999999" customHeight="1" x14ac:dyDescent="0.25">
      <c r="A9091" s="45"/>
      <c r="B9091" s="59"/>
      <c r="C9091" s="137"/>
      <c r="D9091" s="59"/>
      <c r="E9091" s="116"/>
      <c r="F9091" s="120"/>
      <c r="G9091" s="120"/>
      <c r="H9091" s="120"/>
      <c r="I9091" s="60"/>
      <c r="J9091" s="116"/>
      <c r="K9091" s="213"/>
      <c r="L9091" s="120"/>
      <c r="M9091" s="120"/>
      <c r="N9091" s="167"/>
      <c r="O9091" s="120"/>
      <c r="P9091" s="120"/>
      <c r="Q9091" s="120"/>
      <c r="R9091" s="120"/>
      <c r="S9091" s="120"/>
      <c r="T9091" s="221"/>
      <c r="U9091" s="89"/>
      <c r="V9091" s="61"/>
      <c r="W9091" s="92" t="s">
        <v>65</v>
      </c>
      <c r="X9091" s="93" t="s">
        <v>30</v>
      </c>
      <c r="Y9091" s="93" t="s">
        <v>1011</v>
      </c>
      <c r="Z9091" s="134">
        <f>VLOOKUP(W9091,Sheet2!$B:$D,3,FALSE)</f>
        <v>1.76</v>
      </c>
      <c r="AA9091" s="93">
        <f>AA9090/3</f>
        <v>0.13333333333333333</v>
      </c>
      <c r="AB9091" s="93">
        <f>AD9091/AC9082</f>
        <v>13.2</v>
      </c>
      <c r="AC9091" s="93">
        <f>AC9082/AA9091</f>
        <v>2.9624999999999968</v>
      </c>
      <c r="AD9091" s="94">
        <f t="shared" si="6153"/>
        <v>5.2139999999999942</v>
      </c>
      <c r="AE9091" s="190"/>
      <c r="AF9091" s="191"/>
      <c r="AG9091" s="191"/>
      <c r="AH9091" s="191"/>
      <c r="AI9091" s="186"/>
      <c r="AK9091" s="171"/>
    </row>
    <row r="9092" spans="1:41" ht="20.100000000000001" customHeight="1" x14ac:dyDescent="0.25">
      <c r="A9092" s="277" t="s">
        <v>703</v>
      </c>
      <c r="B9092" s="278"/>
      <c r="C9092" s="64" t="s">
        <v>813</v>
      </c>
      <c r="D9092" s="46" t="s">
        <v>215</v>
      </c>
      <c r="E9092" s="114">
        <v>2.9249999999999936</v>
      </c>
      <c r="F9092" s="44">
        <v>28575</v>
      </c>
      <c r="G9092" s="44">
        <f t="shared" si="5545"/>
        <v>83581.874999999811</v>
      </c>
      <c r="H9092" s="44">
        <f t="shared" si="5546"/>
        <v>10735.762385524706</v>
      </c>
      <c r="I9092" s="43">
        <f t="shared" si="5547"/>
        <v>31402.104977659696</v>
      </c>
      <c r="J9092" s="112">
        <f t="shared" si="5548"/>
        <v>2.9249999999999936</v>
      </c>
      <c r="K9092" s="211">
        <f t="shared" si="5549"/>
        <v>2.9249999999999936</v>
      </c>
      <c r="L9092" s="44"/>
      <c r="M9092" s="44">
        <f t="shared" si="5550"/>
        <v>2.9249999999999936</v>
      </c>
      <c r="N9092" s="173">
        <f t="shared" si="5551"/>
        <v>1</v>
      </c>
      <c r="O9092" s="44">
        <f t="shared" si="5552"/>
        <v>28575</v>
      </c>
      <c r="P9092" s="44">
        <f t="shared" si="5553"/>
        <v>83581.874999999811</v>
      </c>
      <c r="Q9092" s="44">
        <f t="shared" si="5554"/>
        <v>10735.762385524706</v>
      </c>
      <c r="R9092" s="44">
        <f t="shared" si="5555"/>
        <v>31402.104977659696</v>
      </c>
      <c r="S9092" s="123"/>
      <c r="T9092" s="219">
        <f t="shared" si="5556"/>
        <v>31402.104977659696</v>
      </c>
      <c r="U9092" s="87"/>
      <c r="V9092" s="47"/>
      <c r="W9092" s="48"/>
      <c r="X9092" s="48"/>
      <c r="Y9092" s="48"/>
      <c r="Z9092" s="135"/>
      <c r="AA9092" s="49"/>
      <c r="AB9092" s="50">
        <f t="shared" si="5557"/>
        <v>10735.762385524706</v>
      </c>
      <c r="AC9092" s="42">
        <f t="shared" si="5558"/>
        <v>2.9249999999999936</v>
      </c>
      <c r="AD9092" s="90">
        <f>AD9093+AD9098+AD9105+AD9112</f>
        <v>31402.104977659696</v>
      </c>
      <c r="AE9092" s="188">
        <f t="shared" ref="AE9092" si="6154">AE9093+AE9098+AE9105+AE9112</f>
        <v>0</v>
      </c>
      <c r="AF9092" s="189">
        <f t="shared" ref="AF9092" si="6155">AF9093+AF9098+AF9105+AF9112</f>
        <v>0</v>
      </c>
      <c r="AG9092" s="189">
        <f t="shared" ref="AG9092" si="6156">AG9093+AG9098+AG9105+AG9112</f>
        <v>0</v>
      </c>
      <c r="AH9092" s="189">
        <f t="shared" ref="AH9092" si="6157">AH9093+AH9098+AH9105+AH9112</f>
        <v>0</v>
      </c>
      <c r="AI9092" s="161">
        <f t="shared" ref="AI9092:AI9093" si="6158">SUM(AE9092:AH9092)</f>
        <v>0</v>
      </c>
      <c r="AK9092" s="169">
        <v>5</v>
      </c>
      <c r="AO9092" s="19" t="s">
        <v>63</v>
      </c>
    </row>
    <row r="9093" spans="1:41" s="103" customFormat="1" ht="19.899999999999999" customHeight="1" x14ac:dyDescent="0.25">
      <c r="A9093" s="51"/>
      <c r="B9093" s="52"/>
      <c r="C9093" s="165"/>
      <c r="D9093" s="52"/>
      <c r="E9093" s="115"/>
      <c r="F9093" s="58"/>
      <c r="G9093" s="58"/>
      <c r="H9093" s="58"/>
      <c r="I9093" s="55"/>
      <c r="J9093" s="113">
        <f>J9092</f>
        <v>2.9249999999999936</v>
      </c>
      <c r="K9093" s="212">
        <f>K9092</f>
        <v>2.9249999999999936</v>
      </c>
      <c r="L9093" s="58"/>
      <c r="M9093" s="58">
        <f>K9093-L9093</f>
        <v>2.9249999999999936</v>
      </c>
      <c r="N9093" s="166"/>
      <c r="O9093" s="58"/>
      <c r="P9093" s="58"/>
      <c r="Q9093" s="58"/>
      <c r="R9093" s="58"/>
      <c r="S9093" s="58"/>
      <c r="T9093" s="220"/>
      <c r="U9093" s="88"/>
      <c r="V9093" s="56"/>
      <c r="W9093" s="57" t="s">
        <v>1516</v>
      </c>
      <c r="X9093" s="53"/>
      <c r="Y9093" s="91" t="s">
        <v>35</v>
      </c>
      <c r="Z9093" s="136">
        <f>AD9093/AC9093</f>
        <v>147.81167058823527</v>
      </c>
      <c r="AA9093" s="58"/>
      <c r="AB9093" s="53">
        <f>AD9093/AC9093</f>
        <v>147.81167058823527</v>
      </c>
      <c r="AC9093" s="53">
        <f>M9093+$AE$10</f>
        <v>2.9249999999999936</v>
      </c>
      <c r="AD9093" s="54">
        <f>SUM(AD9094:AD9097)</f>
        <v>432.34913647058727</v>
      </c>
      <c r="AE9093" s="184">
        <f>SUMIFS($AD$37:$AD$12971,$V$37:$V$12971,$V9093,$X$37:$X$12971,AE$13)</f>
        <v>0</v>
      </c>
      <c r="AF9093" s="185">
        <f>SUMIFS($AD$37:$AD$12971,$V$37:$V$12971,$V9093,$X$37:$X$12971,AF$13)</f>
        <v>0</v>
      </c>
      <c r="AG9093" s="185">
        <f>SUMIFS($AD$37:$AD$12971,$V$37:$V$12971,$V9093,$X$37:$X$12971,AG$13)</f>
        <v>0</v>
      </c>
      <c r="AH9093" s="187">
        <f>SUMIFS($AD$37:$AD$12971,$V$37:$V$12971,$V9093,$X$37:$X$12971,AH$13)</f>
        <v>0</v>
      </c>
      <c r="AI9093" s="161">
        <f t="shared" si="6158"/>
        <v>0</v>
      </c>
      <c r="AK9093" s="172"/>
    </row>
    <row r="9094" spans="1:41" s="102" customFormat="1" ht="19.899999999999999" customHeight="1" x14ac:dyDescent="0.25">
      <c r="A9094" s="45"/>
      <c r="B9094" s="59"/>
      <c r="C9094" s="137"/>
      <c r="D9094" s="59"/>
      <c r="E9094" s="116"/>
      <c r="F9094" s="120"/>
      <c r="G9094" s="120"/>
      <c r="H9094" s="120"/>
      <c r="I9094" s="60"/>
      <c r="J9094" s="116"/>
      <c r="K9094" s="213"/>
      <c r="L9094" s="120"/>
      <c r="M9094" s="120"/>
      <c r="N9094" s="167"/>
      <c r="O9094" s="120"/>
      <c r="P9094" s="120"/>
      <c r="Q9094" s="120"/>
      <c r="R9094" s="120"/>
      <c r="S9094" s="120"/>
      <c r="T9094" s="221"/>
      <c r="U9094" s="89"/>
      <c r="V9094" s="61"/>
      <c r="W9094" s="92" t="s">
        <v>129</v>
      </c>
      <c r="X9094" s="93" t="s">
        <v>29</v>
      </c>
      <c r="Y9094" s="93" t="s">
        <v>93</v>
      </c>
      <c r="Z9094" s="134">
        <f>VLOOKUP(W9094,Sheet2!$B:$D,3,FALSE)</f>
        <v>56</v>
      </c>
      <c r="AA9094" s="93">
        <f>100/(3.5*3.5*3)</f>
        <v>2.7210884353741496</v>
      </c>
      <c r="AB9094" s="93">
        <f t="shared" ref="AB9094" si="6159">AD9094/AC9093</f>
        <v>20.580000000000002</v>
      </c>
      <c r="AC9094" s="93">
        <f>AC9093/AA9094</f>
        <v>1.0749374999999977</v>
      </c>
      <c r="AD9094" s="94">
        <f t="shared" ref="AD9094:AD9095" si="6160">AC9094*Z9094</f>
        <v>60.196499999999872</v>
      </c>
      <c r="AE9094" s="190"/>
      <c r="AF9094" s="191"/>
      <c r="AG9094" s="191"/>
      <c r="AH9094" s="191"/>
      <c r="AI9094" s="186"/>
      <c r="AK9094" s="171"/>
    </row>
    <row r="9095" spans="1:41" s="102" customFormat="1" ht="19.899999999999999" customHeight="1" x14ac:dyDescent="0.25">
      <c r="A9095" s="45"/>
      <c r="B9095" s="59"/>
      <c r="C9095" s="137"/>
      <c r="D9095" s="59"/>
      <c r="E9095" s="116"/>
      <c r="F9095" s="120"/>
      <c r="G9095" s="120"/>
      <c r="H9095" s="120"/>
      <c r="I9095" s="60"/>
      <c r="J9095" s="116"/>
      <c r="K9095" s="213"/>
      <c r="L9095" s="120"/>
      <c r="M9095" s="120"/>
      <c r="N9095" s="167"/>
      <c r="O9095" s="120"/>
      <c r="P9095" s="120"/>
      <c r="Q9095" s="120"/>
      <c r="R9095" s="120"/>
      <c r="S9095" s="120"/>
      <c r="T9095" s="221"/>
      <c r="U9095" s="89"/>
      <c r="V9095" s="61"/>
      <c r="W9095" s="92" t="s">
        <v>65</v>
      </c>
      <c r="X9095" s="93" t="s">
        <v>30</v>
      </c>
      <c r="Y9095" s="93" t="s">
        <v>1011</v>
      </c>
      <c r="Z9095" s="134">
        <f>VLOOKUP(W9095,Sheet2!$B:$D,3,FALSE)</f>
        <v>1.76</v>
      </c>
      <c r="AA9095" s="93">
        <f>AA9094/14</f>
        <v>0.1943634596695821</v>
      </c>
      <c r="AB9095" s="93">
        <f>AD9095/AC9093</f>
        <v>9.055200000000001</v>
      </c>
      <c r="AC9095" s="93">
        <f>AC9093/AA9095</f>
        <v>15.049124999999968</v>
      </c>
      <c r="AD9095" s="94">
        <f t="shared" si="6160"/>
        <v>26.486459999999944</v>
      </c>
      <c r="AE9095" s="190"/>
      <c r="AF9095" s="191"/>
      <c r="AG9095" s="191"/>
      <c r="AH9095" s="191"/>
      <c r="AI9095" s="186"/>
      <c r="AK9095" s="171"/>
    </row>
    <row r="9096" spans="1:41" s="102" customFormat="1" ht="19.899999999999999" customHeight="1" x14ac:dyDescent="0.25">
      <c r="A9096" s="45"/>
      <c r="B9096" s="59"/>
      <c r="C9096" s="137"/>
      <c r="D9096" s="59"/>
      <c r="E9096" s="116"/>
      <c r="F9096" s="120"/>
      <c r="G9096" s="120"/>
      <c r="H9096" s="120"/>
      <c r="I9096" s="60"/>
      <c r="J9096" s="116"/>
      <c r="K9096" s="213"/>
      <c r="L9096" s="120"/>
      <c r="M9096" s="120"/>
      <c r="N9096" s="167"/>
      <c r="O9096" s="120"/>
      <c r="P9096" s="120"/>
      <c r="Q9096" s="120"/>
      <c r="R9096" s="120"/>
      <c r="S9096" s="120"/>
      <c r="T9096" s="221"/>
      <c r="U9096" s="89"/>
      <c r="V9096" s="61"/>
      <c r="W9096" s="92" t="s">
        <v>161</v>
      </c>
      <c r="X9096" s="93" t="s">
        <v>29</v>
      </c>
      <c r="Y9096" s="93" t="s">
        <v>93</v>
      </c>
      <c r="Z9096" s="134">
        <f>VLOOKUP(W9096,Sheet2!$B:$D,3,FALSE)</f>
        <v>48</v>
      </c>
      <c r="AA9096" s="93">
        <f>(16*0.85*1.5)/(3.5*3.5*3)</f>
        <v>0.55510204081632653</v>
      </c>
      <c r="AB9096" s="93">
        <f>AD9096/AC9093</f>
        <v>86.470588235294116</v>
      </c>
      <c r="AC9096" s="93">
        <f>AC9093/AA9096</f>
        <v>5.269301470588224</v>
      </c>
      <c r="AD9096" s="94">
        <f>AC9096*Z9096</f>
        <v>252.92647058823474</v>
      </c>
      <c r="AE9096" s="190"/>
      <c r="AF9096" s="191"/>
      <c r="AG9096" s="191"/>
      <c r="AH9096" s="191"/>
      <c r="AI9096" s="186"/>
      <c r="AK9096" s="171"/>
    </row>
    <row r="9097" spans="1:41" s="102" customFormat="1" ht="19.899999999999999" customHeight="1" x14ac:dyDescent="0.25">
      <c r="A9097" s="45"/>
      <c r="B9097" s="59"/>
      <c r="C9097" s="137"/>
      <c r="D9097" s="59"/>
      <c r="E9097" s="116"/>
      <c r="F9097" s="120"/>
      <c r="G9097" s="120"/>
      <c r="H9097" s="120"/>
      <c r="I9097" s="60"/>
      <c r="J9097" s="116"/>
      <c r="K9097" s="213"/>
      <c r="L9097" s="120"/>
      <c r="M9097" s="120"/>
      <c r="N9097" s="167"/>
      <c r="O9097" s="120"/>
      <c r="P9097" s="120"/>
      <c r="Q9097" s="120"/>
      <c r="R9097" s="120"/>
      <c r="S9097" s="120"/>
      <c r="T9097" s="221"/>
      <c r="U9097" s="89"/>
      <c r="V9097" s="61"/>
      <c r="W9097" s="92" t="s">
        <v>65</v>
      </c>
      <c r="X9097" s="93" t="s">
        <v>30</v>
      </c>
      <c r="Y9097" s="93" t="s">
        <v>1011</v>
      </c>
      <c r="Z9097" s="134">
        <f>VLOOKUP(W9097,Sheet2!$B:$D,3,FALSE)</f>
        <v>1.76</v>
      </c>
      <c r="AA9097" s="93">
        <f>AA9096/10</f>
        <v>5.5510204081632653E-2</v>
      </c>
      <c r="AB9097" s="93">
        <f>AD9097/AC9093</f>
        <v>31.705882352941181</v>
      </c>
      <c r="AC9097" s="93">
        <f>AC9093/AA9097</f>
        <v>52.693014705882241</v>
      </c>
      <c r="AD9097" s="94">
        <f>AC9097*Z9097</f>
        <v>92.739705882352752</v>
      </c>
      <c r="AE9097" s="190"/>
      <c r="AF9097" s="191"/>
      <c r="AG9097" s="191"/>
      <c r="AH9097" s="191"/>
      <c r="AI9097" s="186"/>
      <c r="AK9097" s="171"/>
    </row>
    <row r="9098" spans="1:41" s="103" customFormat="1" ht="19.899999999999999" customHeight="1" x14ac:dyDescent="0.25">
      <c r="A9098" s="51"/>
      <c r="B9098" s="52"/>
      <c r="C9098" s="165"/>
      <c r="D9098" s="52"/>
      <c r="E9098" s="115"/>
      <c r="F9098" s="58"/>
      <c r="G9098" s="58"/>
      <c r="H9098" s="58"/>
      <c r="I9098" s="55"/>
      <c r="J9098" s="113">
        <f>J9092</f>
        <v>2.9249999999999936</v>
      </c>
      <c r="K9098" s="212">
        <f>K9092</f>
        <v>2.9249999999999936</v>
      </c>
      <c r="L9098" s="58"/>
      <c r="M9098" s="58">
        <f>K9098-L9098</f>
        <v>2.9249999999999936</v>
      </c>
      <c r="N9098" s="166"/>
      <c r="O9098" s="58"/>
      <c r="P9098" s="58"/>
      <c r="Q9098" s="58"/>
      <c r="R9098" s="58"/>
      <c r="S9098" s="58"/>
      <c r="T9098" s="220"/>
      <c r="U9098" s="88"/>
      <c r="V9098" s="56"/>
      <c r="W9098" s="57" t="s">
        <v>1486</v>
      </c>
      <c r="X9098" s="53"/>
      <c r="Y9098" s="91" t="s">
        <v>35</v>
      </c>
      <c r="Z9098" s="136">
        <f>AD9098/AC9098</f>
        <v>2396.5660000000003</v>
      </c>
      <c r="AA9098" s="58"/>
      <c r="AB9098" s="53">
        <f>AD9098/AC9098</f>
        <v>2396.5660000000003</v>
      </c>
      <c r="AC9098" s="53">
        <f>M9098+$AE$10</f>
        <v>2.9249999999999936</v>
      </c>
      <c r="AD9098" s="54">
        <f>SUM(AD9099:AD9104)</f>
        <v>7009.9555499999851</v>
      </c>
      <c r="AE9098" s="184">
        <f>SUMIFS($AD$37:$AD$12971,$V$37:$V$12971,$V9098,$X$37:$X$12971,AE$13)</f>
        <v>0</v>
      </c>
      <c r="AF9098" s="185">
        <f>SUMIFS($AD$37:$AD$12971,$V$37:$V$12971,$V9098,$X$37:$X$12971,AF$13)</f>
        <v>0</v>
      </c>
      <c r="AG9098" s="185">
        <f>SUMIFS($AD$37:$AD$12971,$V$37:$V$12971,$V9098,$X$37:$X$12971,AG$13)</f>
        <v>0</v>
      </c>
      <c r="AH9098" s="187">
        <f>SUMIFS($AD$37:$AD$12971,$V$37:$V$12971,$V9098,$X$37:$X$12971,AH$13)</f>
        <v>0</v>
      </c>
      <c r="AI9098" s="161">
        <f t="shared" ref="AI9098" si="6161">SUM(AE9098:AH9098)</f>
        <v>0</v>
      </c>
      <c r="AK9098" s="172"/>
    </row>
    <row r="9099" spans="1:41" s="102" customFormat="1" ht="19.899999999999999" customHeight="1" x14ac:dyDescent="0.25">
      <c r="A9099" s="45"/>
      <c r="B9099" s="59"/>
      <c r="C9099" s="137"/>
      <c r="D9099" s="59"/>
      <c r="E9099" s="116"/>
      <c r="F9099" s="120"/>
      <c r="G9099" s="120"/>
      <c r="H9099" s="120"/>
      <c r="I9099" s="60"/>
      <c r="J9099" s="116"/>
      <c r="K9099" s="213"/>
      <c r="L9099" s="120"/>
      <c r="M9099" s="120"/>
      <c r="N9099" s="167"/>
      <c r="O9099" s="120"/>
      <c r="P9099" s="120"/>
      <c r="Q9099" s="120"/>
      <c r="R9099" s="120"/>
      <c r="S9099" s="120"/>
      <c r="T9099" s="221"/>
      <c r="U9099" s="89"/>
      <c r="V9099" s="61"/>
      <c r="W9099" s="92" t="s">
        <v>1032</v>
      </c>
      <c r="X9099" s="93" t="s">
        <v>30</v>
      </c>
      <c r="Y9099" s="93" t="s">
        <v>66</v>
      </c>
      <c r="Z9099" s="134">
        <f>VLOOKUP(W9099,Sheet2!$B:$D,3,FALSE)</f>
        <v>250</v>
      </c>
      <c r="AA9099" s="93">
        <f>1/(2.7*2.7*0.1)</f>
        <v>1.371742112482853</v>
      </c>
      <c r="AB9099" s="93">
        <f>AD9099/AC9105</f>
        <v>182.25000000000003</v>
      </c>
      <c r="AC9099" s="93">
        <f>AC9105/AA9099</f>
        <v>2.1323249999999958</v>
      </c>
      <c r="AD9099" s="94">
        <f t="shared" ref="AD9099:AD9101" si="6162">AC9099*Z9099</f>
        <v>533.08124999999893</v>
      </c>
      <c r="AE9099" s="190"/>
      <c r="AF9099" s="191"/>
      <c r="AG9099" s="191"/>
      <c r="AH9099" s="191"/>
      <c r="AI9099" s="186"/>
      <c r="AK9099" s="171"/>
    </row>
    <row r="9100" spans="1:41" s="102" customFormat="1" ht="19.899999999999999" customHeight="1" x14ac:dyDescent="0.25">
      <c r="A9100" s="45"/>
      <c r="B9100" s="59"/>
      <c r="C9100" s="137"/>
      <c r="D9100" s="59"/>
      <c r="E9100" s="116"/>
      <c r="F9100" s="120"/>
      <c r="G9100" s="120"/>
      <c r="H9100" s="120"/>
      <c r="I9100" s="60"/>
      <c r="J9100" s="116"/>
      <c r="K9100" s="213"/>
      <c r="L9100" s="120"/>
      <c r="M9100" s="120"/>
      <c r="N9100" s="167"/>
      <c r="O9100" s="120"/>
      <c r="P9100" s="120"/>
      <c r="Q9100" s="120"/>
      <c r="R9100" s="120"/>
      <c r="S9100" s="120"/>
      <c r="T9100" s="221"/>
      <c r="U9100" s="89"/>
      <c r="V9100" s="61"/>
      <c r="W9100" s="92" t="s">
        <v>1353</v>
      </c>
      <c r="X9100" s="93" t="s">
        <v>30</v>
      </c>
      <c r="Y9100" s="93" t="s">
        <v>66</v>
      </c>
      <c r="Z9100" s="134">
        <f>VLOOKUP(W9100,Sheet2!$B:$D,3,FALSE)</f>
        <v>350</v>
      </c>
      <c r="AA9100" s="93">
        <f>1/(2.6*2.6*0.3)</f>
        <v>0.49309664694280081</v>
      </c>
      <c r="AB9100" s="93">
        <f>AD9100/AC9105</f>
        <v>709.8</v>
      </c>
      <c r="AC9100" s="93">
        <f>AC9105/AA9100</f>
        <v>5.9318999999999864</v>
      </c>
      <c r="AD9100" s="94">
        <f t="shared" si="6162"/>
        <v>2076.1649999999954</v>
      </c>
      <c r="AE9100" s="190"/>
      <c r="AF9100" s="191"/>
      <c r="AG9100" s="191"/>
      <c r="AH9100" s="191"/>
      <c r="AI9100" s="186"/>
      <c r="AK9100" s="171"/>
    </row>
    <row r="9101" spans="1:41" s="102" customFormat="1" ht="19.899999999999999" customHeight="1" x14ac:dyDescent="0.25">
      <c r="A9101" s="45"/>
      <c r="B9101" s="59"/>
      <c r="C9101" s="137"/>
      <c r="D9101" s="59"/>
      <c r="E9101" s="116"/>
      <c r="F9101" s="120"/>
      <c r="G9101" s="120"/>
      <c r="H9101" s="120"/>
      <c r="I9101" s="60"/>
      <c r="J9101" s="116"/>
      <c r="K9101" s="213"/>
      <c r="L9101" s="120"/>
      <c r="M9101" s="120"/>
      <c r="N9101" s="167"/>
      <c r="O9101" s="120"/>
      <c r="P9101" s="120"/>
      <c r="Q9101" s="120"/>
      <c r="R9101" s="120"/>
      <c r="S9101" s="120"/>
      <c r="T9101" s="221"/>
      <c r="U9101" s="89"/>
      <c r="V9101" s="61"/>
      <c r="W9101" s="92" t="s">
        <v>99</v>
      </c>
      <c r="X9101" s="93" t="s">
        <v>30</v>
      </c>
      <c r="Y9101" s="93" t="s">
        <v>67</v>
      </c>
      <c r="Z9101" s="134">
        <f>VLOOKUP(W9101,Sheet2!$B:$D,3,FALSE)</f>
        <v>2500</v>
      </c>
      <c r="AA9101" s="93">
        <f>AA9100/0.08</f>
        <v>6.16370808678501</v>
      </c>
      <c r="AB9101" s="93">
        <f>AD9101/AC9105</f>
        <v>405.59999999999997</v>
      </c>
      <c r="AC9101" s="93">
        <f>AC9105/AA9101</f>
        <v>0.47455199999999897</v>
      </c>
      <c r="AD9101" s="94">
        <f t="shared" si="6162"/>
        <v>1186.3799999999974</v>
      </c>
      <c r="AE9101" s="190"/>
      <c r="AF9101" s="191"/>
      <c r="AG9101" s="191"/>
      <c r="AH9101" s="191"/>
      <c r="AI9101" s="186"/>
      <c r="AK9101" s="171"/>
    </row>
    <row r="9102" spans="1:41" s="102" customFormat="1" ht="19.899999999999999" customHeight="1" x14ac:dyDescent="0.25">
      <c r="A9102" s="45"/>
      <c r="B9102" s="59"/>
      <c r="C9102" s="137"/>
      <c r="D9102" s="59"/>
      <c r="E9102" s="116"/>
      <c r="F9102" s="120"/>
      <c r="G9102" s="120"/>
      <c r="H9102" s="120"/>
      <c r="I9102" s="60"/>
      <c r="J9102" s="116"/>
      <c r="K9102" s="213"/>
      <c r="L9102" s="120"/>
      <c r="M9102" s="120"/>
      <c r="N9102" s="167"/>
      <c r="O9102" s="120"/>
      <c r="P9102" s="120"/>
      <c r="Q9102" s="120"/>
      <c r="R9102" s="120"/>
      <c r="S9102" s="120"/>
      <c r="T9102" s="221"/>
      <c r="U9102" s="89"/>
      <c r="V9102" s="61"/>
      <c r="W9102" s="92" t="s">
        <v>1354</v>
      </c>
      <c r="X9102" s="93" t="s">
        <v>32</v>
      </c>
      <c r="Y9102" s="93" t="s">
        <v>66</v>
      </c>
      <c r="Z9102" s="134">
        <f>VLOOKUP(W9102,Sheet2!$B:$D,3,FALSE)</f>
        <v>150</v>
      </c>
      <c r="AA9102" s="93">
        <f>AA9099</f>
        <v>1.371742112482853</v>
      </c>
      <c r="AB9102" s="93">
        <f>AD9102/AC9105</f>
        <v>109.35000000000002</v>
      </c>
      <c r="AC9102" s="93">
        <f>AC9105/AA9102</f>
        <v>2.1323249999999958</v>
      </c>
      <c r="AD9102" s="94">
        <f>AC9102*Z9102</f>
        <v>319.84874999999937</v>
      </c>
      <c r="AE9102" s="190"/>
      <c r="AF9102" s="191"/>
      <c r="AG9102" s="191"/>
      <c r="AH9102" s="191"/>
      <c r="AI9102" s="186"/>
      <c r="AK9102" s="171"/>
    </row>
    <row r="9103" spans="1:41" s="102" customFormat="1" ht="19.899999999999999" customHeight="1" x14ac:dyDescent="0.25">
      <c r="A9103" s="45"/>
      <c r="B9103" s="59"/>
      <c r="C9103" s="137"/>
      <c r="D9103" s="59"/>
      <c r="E9103" s="116"/>
      <c r="F9103" s="120"/>
      <c r="G9103" s="120"/>
      <c r="H9103" s="120"/>
      <c r="I9103" s="60"/>
      <c r="J9103" s="116"/>
      <c r="K9103" s="213"/>
      <c r="L9103" s="120"/>
      <c r="M9103" s="120"/>
      <c r="N9103" s="167"/>
      <c r="O9103" s="120"/>
      <c r="P9103" s="120"/>
      <c r="Q9103" s="120"/>
      <c r="R9103" s="120"/>
      <c r="S9103" s="120"/>
      <c r="T9103" s="221"/>
      <c r="U9103" s="89"/>
      <c r="V9103" s="61"/>
      <c r="W9103" s="92" t="s">
        <v>1355</v>
      </c>
      <c r="X9103" s="93" t="s">
        <v>32</v>
      </c>
      <c r="Y9103" s="93" t="s">
        <v>66</v>
      </c>
      <c r="Z9103" s="134">
        <f>VLOOKUP(W9103,Sheet2!$B:$D,3,FALSE)</f>
        <v>450</v>
      </c>
      <c r="AA9103" s="93">
        <f>AA9100</f>
        <v>0.49309664694280081</v>
      </c>
      <c r="AB9103" s="93">
        <f>AD9103/AC9105</f>
        <v>912.6</v>
      </c>
      <c r="AC9103" s="93">
        <f>AC9105/AA9103</f>
        <v>5.9318999999999864</v>
      </c>
      <c r="AD9103" s="94">
        <f>AC9103*Z9103</f>
        <v>2669.3549999999941</v>
      </c>
      <c r="AE9103" s="190"/>
      <c r="AF9103" s="191"/>
      <c r="AG9103" s="191"/>
      <c r="AH9103" s="191"/>
      <c r="AI9103" s="186"/>
      <c r="AK9103" s="171"/>
    </row>
    <row r="9104" spans="1:41" s="102" customFormat="1" ht="19.899999999999999" customHeight="1" x14ac:dyDescent="0.25">
      <c r="A9104" s="45"/>
      <c r="B9104" s="59"/>
      <c r="C9104" s="137"/>
      <c r="D9104" s="59"/>
      <c r="E9104" s="116"/>
      <c r="F9104" s="120"/>
      <c r="G9104" s="120"/>
      <c r="H9104" s="120"/>
      <c r="I9104" s="60"/>
      <c r="J9104" s="116"/>
      <c r="K9104" s="213"/>
      <c r="L9104" s="120"/>
      <c r="M9104" s="120"/>
      <c r="N9104" s="167"/>
      <c r="O9104" s="120"/>
      <c r="P9104" s="120"/>
      <c r="Q9104" s="120"/>
      <c r="R9104" s="120"/>
      <c r="S9104" s="120"/>
      <c r="T9104" s="221"/>
      <c r="U9104" s="89"/>
      <c r="V9104" s="61"/>
      <c r="W9104" s="92" t="s">
        <v>124</v>
      </c>
      <c r="X9104" s="93" t="s">
        <v>32</v>
      </c>
      <c r="Y9104" s="93" t="s">
        <v>64</v>
      </c>
      <c r="Z9104" s="134">
        <f>VLOOKUP(W9104,Sheet2!$B:$D,3,FALSE)</f>
        <v>10</v>
      </c>
      <c r="AA9104" s="93">
        <f>1/((3.2*3.2)-(3.14*1.8*1.8/4))</f>
        <v>0.12992750045474621</v>
      </c>
      <c r="AB9104" s="93">
        <f t="shared" ref="AB9104" si="6163">AD9104/AC9098</f>
        <v>76.966000000000022</v>
      </c>
      <c r="AC9104" s="93">
        <f>AC9098/AA9104</f>
        <v>22.512554999999956</v>
      </c>
      <c r="AD9104" s="94">
        <f t="shared" ref="AD9104" si="6164">AC9104*Z9104</f>
        <v>225.12554999999958</v>
      </c>
      <c r="AE9104" s="190"/>
      <c r="AF9104" s="191"/>
      <c r="AG9104" s="191"/>
      <c r="AH9104" s="191"/>
      <c r="AI9104" s="186"/>
      <c r="AK9104" s="171"/>
    </row>
    <row r="9105" spans="1:37" s="103" customFormat="1" ht="19.899999999999999" customHeight="1" x14ac:dyDescent="0.25">
      <c r="A9105" s="51"/>
      <c r="B9105" s="52"/>
      <c r="C9105" s="165"/>
      <c r="D9105" s="52"/>
      <c r="E9105" s="115"/>
      <c r="F9105" s="58"/>
      <c r="G9105" s="58"/>
      <c r="H9105" s="58"/>
      <c r="I9105" s="55"/>
      <c r="J9105" s="113">
        <f>J9092</f>
        <v>2.9249999999999936</v>
      </c>
      <c r="K9105" s="212">
        <f>K9092</f>
        <v>2.9249999999999936</v>
      </c>
      <c r="L9105" s="58"/>
      <c r="M9105" s="58">
        <f>K9105-L9105</f>
        <v>2.9249999999999936</v>
      </c>
      <c r="N9105" s="166"/>
      <c r="O9105" s="58"/>
      <c r="P9105" s="58"/>
      <c r="Q9105" s="58"/>
      <c r="R9105" s="58"/>
      <c r="S9105" s="58"/>
      <c r="T9105" s="220"/>
      <c r="U9105" s="88"/>
      <c r="V9105" s="56"/>
      <c r="W9105" s="57" t="s">
        <v>1275</v>
      </c>
      <c r="X9105" s="53"/>
      <c r="Y9105" s="91" t="s">
        <v>35</v>
      </c>
      <c r="Z9105" s="136">
        <f>AD9105/AC9105</f>
        <v>7667.8</v>
      </c>
      <c r="AA9105" s="58"/>
      <c r="AB9105" s="53">
        <f>AD9105/AC9105</f>
        <v>7667.8</v>
      </c>
      <c r="AC9105" s="53">
        <f>M9105+$AE$10</f>
        <v>2.9249999999999936</v>
      </c>
      <c r="AD9105" s="54">
        <f>SUM(AD9106:AD9111)</f>
        <v>22428.314999999951</v>
      </c>
      <c r="AE9105" s="184">
        <f>SUMIFS($AD$37:$AD$12971,$V$37:$V$12971,$V9105,$X$37:$X$12971,AE$13)</f>
        <v>0</v>
      </c>
      <c r="AF9105" s="185">
        <f>SUMIFS($AD$37:$AD$12971,$V$37:$V$12971,$V9105,$X$37:$X$12971,AF$13)</f>
        <v>0</v>
      </c>
      <c r="AG9105" s="185">
        <f>SUMIFS($AD$37:$AD$12971,$V$37:$V$12971,$V9105,$X$37:$X$12971,AG$13)</f>
        <v>0</v>
      </c>
      <c r="AH9105" s="187">
        <f>SUMIFS($AD$37:$AD$12971,$V$37:$V$12971,$V9105,$X$37:$X$12971,AH$13)</f>
        <v>0</v>
      </c>
      <c r="AI9105" s="161">
        <f t="shared" ref="AI9105" si="6165">SUM(AE9105:AH9105)</f>
        <v>0</v>
      </c>
      <c r="AK9105" s="172"/>
    </row>
    <row r="9106" spans="1:37" s="102" customFormat="1" ht="19.899999999999999" customHeight="1" x14ac:dyDescent="0.25">
      <c r="A9106" s="45"/>
      <c r="B9106" s="59"/>
      <c r="C9106" s="137"/>
      <c r="D9106" s="59"/>
      <c r="E9106" s="116"/>
      <c r="F9106" s="120"/>
      <c r="G9106" s="120"/>
      <c r="H9106" s="120"/>
      <c r="I9106" s="60"/>
      <c r="J9106" s="116"/>
      <c r="K9106" s="213"/>
      <c r="L9106" s="120"/>
      <c r="M9106" s="120"/>
      <c r="N9106" s="167"/>
      <c r="O9106" s="120"/>
      <c r="P9106" s="120"/>
      <c r="Q9106" s="120"/>
      <c r="R9106" s="120"/>
      <c r="S9106" s="120"/>
      <c r="T9106" s="221"/>
      <c r="U9106" s="89"/>
      <c r="V9106" s="61"/>
      <c r="W9106" s="92" t="s">
        <v>1501</v>
      </c>
      <c r="X9106" s="93" t="s">
        <v>30</v>
      </c>
      <c r="Y9106" s="93" t="s">
        <v>35</v>
      </c>
      <c r="Z9106" s="134">
        <f>VLOOKUP(W9106,Sheet2!$B:$D,3,FALSE)</f>
        <v>5895</v>
      </c>
      <c r="AA9106" s="93">
        <v>1</v>
      </c>
      <c r="AB9106" s="93">
        <f>AD9106/AC9105</f>
        <v>5895</v>
      </c>
      <c r="AC9106" s="93">
        <f>AC9105/AA9106</f>
        <v>2.9249999999999936</v>
      </c>
      <c r="AD9106" s="94">
        <f t="shared" ref="AD9106:AD9107" si="6166">AC9106*Z9106</f>
        <v>17242.874999999964</v>
      </c>
      <c r="AE9106" s="190"/>
      <c r="AF9106" s="191"/>
      <c r="AG9106" s="191"/>
      <c r="AH9106" s="191"/>
      <c r="AI9106" s="186"/>
      <c r="AK9106" s="171"/>
    </row>
    <row r="9107" spans="1:37" s="102" customFormat="1" ht="19.899999999999999" customHeight="1" x14ac:dyDescent="0.25">
      <c r="A9107" s="45"/>
      <c r="B9107" s="59"/>
      <c r="C9107" s="137"/>
      <c r="D9107" s="59"/>
      <c r="E9107" s="116"/>
      <c r="F9107" s="120"/>
      <c r="G9107" s="120"/>
      <c r="H9107" s="120"/>
      <c r="I9107" s="60"/>
      <c r="J9107" s="116"/>
      <c r="K9107" s="213"/>
      <c r="L9107" s="120"/>
      <c r="M9107" s="120"/>
      <c r="N9107" s="167"/>
      <c r="O9107" s="120"/>
      <c r="P9107" s="120"/>
      <c r="Q9107" s="120"/>
      <c r="R9107" s="120"/>
      <c r="S9107" s="120"/>
      <c r="T9107" s="221"/>
      <c r="U9107" s="89"/>
      <c r="V9107" s="61"/>
      <c r="W9107" s="92" t="s">
        <v>174</v>
      </c>
      <c r="X9107" s="93" t="s">
        <v>29</v>
      </c>
      <c r="Y9107" s="93" t="s">
        <v>93</v>
      </c>
      <c r="Z9107" s="134">
        <f>VLOOKUP(W9107,Sheet2!$B:$D,3,FALSE)</f>
        <v>80</v>
      </c>
      <c r="AA9107" s="93">
        <f>1/2</f>
        <v>0.5</v>
      </c>
      <c r="AB9107" s="93">
        <f>AD9107/AC9105</f>
        <v>160</v>
      </c>
      <c r="AC9107" s="93">
        <f>AC9105/AA9107</f>
        <v>5.8499999999999872</v>
      </c>
      <c r="AD9107" s="94">
        <f t="shared" si="6166"/>
        <v>467.99999999999898</v>
      </c>
      <c r="AE9107" s="190"/>
      <c r="AF9107" s="191"/>
      <c r="AG9107" s="191"/>
      <c r="AH9107" s="191"/>
      <c r="AI9107" s="186"/>
      <c r="AK9107" s="171"/>
    </row>
    <row r="9108" spans="1:37" s="102" customFormat="1" ht="19.899999999999999" customHeight="1" x14ac:dyDescent="0.25">
      <c r="A9108" s="45"/>
      <c r="B9108" s="59"/>
      <c r="C9108" s="137"/>
      <c r="D9108" s="59"/>
      <c r="E9108" s="116"/>
      <c r="F9108" s="120"/>
      <c r="G9108" s="120"/>
      <c r="H9108" s="120"/>
      <c r="I9108" s="60"/>
      <c r="J9108" s="116"/>
      <c r="K9108" s="213"/>
      <c r="L9108" s="120"/>
      <c r="M9108" s="120"/>
      <c r="N9108" s="167"/>
      <c r="O9108" s="120"/>
      <c r="P9108" s="120"/>
      <c r="Q9108" s="120"/>
      <c r="R9108" s="120"/>
      <c r="S9108" s="120"/>
      <c r="T9108" s="221"/>
      <c r="U9108" s="89"/>
      <c r="V9108" s="61"/>
      <c r="W9108" s="92" t="s">
        <v>65</v>
      </c>
      <c r="X9108" s="93" t="s">
        <v>30</v>
      </c>
      <c r="Y9108" s="93" t="s">
        <v>93</v>
      </c>
      <c r="Z9108" s="134">
        <f>VLOOKUP(W9108,Sheet2!$B:$D,3,FALSE)</f>
        <v>1.76</v>
      </c>
      <c r="AA9108" s="93">
        <f>AA9107/15</f>
        <v>3.3333333333333333E-2</v>
      </c>
      <c r="AB9108" s="93">
        <f>AD9108/AC9105</f>
        <v>52.800000000000004</v>
      </c>
      <c r="AC9108" s="93">
        <f>AC9105/AA9108</f>
        <v>87.749999999999815</v>
      </c>
      <c r="AD9108" s="94">
        <f>AC9108*Z9108</f>
        <v>154.43999999999969</v>
      </c>
      <c r="AE9108" s="190"/>
      <c r="AF9108" s="191"/>
      <c r="AG9108" s="191"/>
      <c r="AH9108" s="191"/>
      <c r="AI9108" s="186"/>
      <c r="AK9108" s="171"/>
    </row>
    <row r="9109" spans="1:37" s="102" customFormat="1" ht="19.899999999999999" customHeight="1" x14ac:dyDescent="0.25">
      <c r="A9109" s="45"/>
      <c r="B9109" s="59"/>
      <c r="C9109" s="137"/>
      <c r="D9109" s="59"/>
      <c r="E9109" s="116"/>
      <c r="F9109" s="120"/>
      <c r="G9109" s="120"/>
      <c r="H9109" s="120"/>
      <c r="I9109" s="60"/>
      <c r="J9109" s="116"/>
      <c r="K9109" s="213"/>
      <c r="L9109" s="120"/>
      <c r="M9109" s="120"/>
      <c r="N9109" s="167"/>
      <c r="O9109" s="120"/>
      <c r="P9109" s="120"/>
      <c r="Q9109" s="120"/>
      <c r="R9109" s="120"/>
      <c r="S9109" s="120"/>
      <c r="T9109" s="221"/>
      <c r="U9109" s="89"/>
      <c r="V9109" s="61"/>
      <c r="W9109" s="92" t="s">
        <v>1487</v>
      </c>
      <c r="X9109" s="93" t="s">
        <v>32</v>
      </c>
      <c r="Y9109" s="93" t="s">
        <v>1349</v>
      </c>
      <c r="Z9109" s="134">
        <f>VLOOKUP(W9109,Sheet2!$B:$D,3,FALSE)</f>
        <v>1500</v>
      </c>
      <c r="AA9109" s="93">
        <v>1</v>
      </c>
      <c r="AB9109" s="93">
        <f>AD9109/AC9105</f>
        <v>1499.9999999999998</v>
      </c>
      <c r="AC9109" s="93">
        <f>AC9105/AA9109</f>
        <v>2.9249999999999936</v>
      </c>
      <c r="AD9109" s="94">
        <f>AC9109*Z9109</f>
        <v>4387.49999999999</v>
      </c>
      <c r="AE9109" s="190"/>
      <c r="AF9109" s="191"/>
      <c r="AG9109" s="191"/>
      <c r="AH9109" s="191"/>
      <c r="AI9109" s="186"/>
      <c r="AK9109" s="171"/>
    </row>
    <row r="9110" spans="1:37" s="102" customFormat="1" ht="19.899999999999999" customHeight="1" x14ac:dyDescent="0.25">
      <c r="A9110" s="45"/>
      <c r="B9110" s="59"/>
      <c r="C9110" s="137"/>
      <c r="D9110" s="59"/>
      <c r="E9110" s="116"/>
      <c r="F9110" s="120"/>
      <c r="G9110" s="120"/>
      <c r="H9110" s="120"/>
      <c r="I9110" s="60"/>
      <c r="J9110" s="116"/>
      <c r="K9110" s="213"/>
      <c r="L9110" s="120"/>
      <c r="M9110" s="120"/>
      <c r="N9110" s="167"/>
      <c r="O9110" s="120"/>
      <c r="P9110" s="120"/>
      <c r="Q9110" s="120"/>
      <c r="R9110" s="120"/>
      <c r="S9110" s="120"/>
      <c r="T9110" s="221"/>
      <c r="U9110" s="89"/>
      <c r="V9110" s="61"/>
      <c r="W9110" s="92" t="s">
        <v>107</v>
      </c>
      <c r="X9110" s="93" t="s">
        <v>31</v>
      </c>
      <c r="Y9110" s="93" t="s">
        <v>93</v>
      </c>
      <c r="Z9110" s="134">
        <f>VLOOKUP(W9110,Sheet2!$B:$D,3,FALSE)</f>
        <v>17</v>
      </c>
      <c r="AA9110" s="93">
        <f>AA9107</f>
        <v>0.5</v>
      </c>
      <c r="AB9110" s="93">
        <f>AD9110/AC9105</f>
        <v>34</v>
      </c>
      <c r="AC9110" s="93">
        <f>AC9105/AA9110</f>
        <v>5.8499999999999872</v>
      </c>
      <c r="AD9110" s="94">
        <f>AC9110*Z9110</f>
        <v>99.44999999999979</v>
      </c>
      <c r="AE9110" s="190"/>
      <c r="AF9110" s="191"/>
      <c r="AG9110" s="191"/>
      <c r="AH9110" s="191"/>
      <c r="AI9110" s="186"/>
      <c r="AK9110" s="171"/>
    </row>
    <row r="9111" spans="1:37" s="102" customFormat="1" ht="19.899999999999999" customHeight="1" x14ac:dyDescent="0.25">
      <c r="A9111" s="45"/>
      <c r="B9111" s="59"/>
      <c r="C9111" s="137"/>
      <c r="D9111" s="59"/>
      <c r="E9111" s="116"/>
      <c r="F9111" s="120"/>
      <c r="G9111" s="120"/>
      <c r="H9111" s="120"/>
      <c r="I9111" s="60"/>
      <c r="J9111" s="116"/>
      <c r="K9111" s="213"/>
      <c r="L9111" s="120"/>
      <c r="M9111" s="120"/>
      <c r="N9111" s="167"/>
      <c r="O9111" s="120"/>
      <c r="P9111" s="120"/>
      <c r="Q9111" s="120"/>
      <c r="R9111" s="120"/>
      <c r="S9111" s="120"/>
      <c r="T9111" s="221"/>
      <c r="U9111" s="89"/>
      <c r="V9111" s="61"/>
      <c r="W9111" s="92" t="s">
        <v>112</v>
      </c>
      <c r="X9111" s="93" t="s">
        <v>31</v>
      </c>
      <c r="Y9111" s="93" t="s">
        <v>93</v>
      </c>
      <c r="Z9111" s="134">
        <f>VLOOKUP(W9111,Sheet2!$B:$D,3,FALSE)</f>
        <v>13</v>
      </c>
      <c r="AA9111" s="93">
        <f>AA9110</f>
        <v>0.5</v>
      </c>
      <c r="AB9111" s="93">
        <f>AD9111/AC9105</f>
        <v>26.000000000000004</v>
      </c>
      <c r="AC9111" s="93">
        <f>AC9105/AA9111</f>
        <v>5.8499999999999872</v>
      </c>
      <c r="AD9111" s="94">
        <f>AC9111*Z9111</f>
        <v>76.049999999999841</v>
      </c>
      <c r="AE9111" s="190"/>
      <c r="AF9111" s="191"/>
      <c r="AG9111" s="191"/>
      <c r="AH9111" s="191"/>
      <c r="AI9111" s="186"/>
      <c r="AK9111" s="171"/>
    </row>
    <row r="9112" spans="1:37" s="103" customFormat="1" ht="19.899999999999999" customHeight="1" x14ac:dyDescent="0.25">
      <c r="A9112" s="51"/>
      <c r="B9112" s="52"/>
      <c r="C9112" s="165"/>
      <c r="D9112" s="52"/>
      <c r="E9112" s="115"/>
      <c r="F9112" s="58"/>
      <c r="G9112" s="58"/>
      <c r="H9112" s="58"/>
      <c r="I9112" s="55"/>
      <c r="J9112" s="113">
        <f>J9092</f>
        <v>2.9249999999999936</v>
      </c>
      <c r="K9112" s="212">
        <f>K9092</f>
        <v>2.9249999999999936</v>
      </c>
      <c r="L9112" s="58"/>
      <c r="M9112" s="58">
        <f>K9112-L9112</f>
        <v>2.9249999999999936</v>
      </c>
      <c r="N9112" s="166"/>
      <c r="O9112" s="58"/>
      <c r="P9112" s="58"/>
      <c r="Q9112" s="58"/>
      <c r="R9112" s="58"/>
      <c r="S9112" s="58"/>
      <c r="T9112" s="220"/>
      <c r="U9112" s="88"/>
      <c r="V9112" s="56"/>
      <c r="W9112" s="57" t="s">
        <v>1272</v>
      </c>
      <c r="X9112" s="53"/>
      <c r="Y9112" s="91" t="s">
        <v>35</v>
      </c>
      <c r="Z9112" s="136">
        <f>AD9112/AC9112</f>
        <v>523.58471493647073</v>
      </c>
      <c r="AA9112" s="58"/>
      <c r="AB9112" s="53">
        <f>AD9112/AC9112</f>
        <v>523.58471493647073</v>
      </c>
      <c r="AC9112" s="53">
        <f>M9112+$AE$10</f>
        <v>2.9249999999999936</v>
      </c>
      <c r="AD9112" s="54">
        <f>SUM(AD9113:AD9121)</f>
        <v>1531.4852911891735</v>
      </c>
      <c r="AE9112" s="184">
        <f>SUMIFS($AD$37:$AD$12971,$V$37:$V$12971,$V9112,$X$37:$X$12971,AE$13)</f>
        <v>0</v>
      </c>
      <c r="AF9112" s="185">
        <f>SUMIFS($AD$37:$AD$12971,$V$37:$V$12971,$V9112,$X$37:$X$12971,AF$13)</f>
        <v>0</v>
      </c>
      <c r="AG9112" s="185">
        <f>SUMIFS($AD$37:$AD$12971,$V$37:$V$12971,$V9112,$X$37:$X$12971,AG$13)</f>
        <v>0</v>
      </c>
      <c r="AH9112" s="187">
        <f>SUMIFS($AD$37:$AD$12971,$V$37:$V$12971,$V9112,$X$37:$X$12971,AH$13)</f>
        <v>0</v>
      </c>
      <c r="AI9112" s="161">
        <f t="shared" ref="AI9112" si="6167">SUM(AE9112:AH9112)</f>
        <v>0</v>
      </c>
      <c r="AK9112" s="172"/>
    </row>
    <row r="9113" spans="1:37" s="102" customFormat="1" ht="19.899999999999999" customHeight="1" x14ac:dyDescent="0.25">
      <c r="A9113" s="45"/>
      <c r="B9113" s="59"/>
      <c r="C9113" s="137"/>
      <c r="D9113" s="59"/>
      <c r="E9113" s="116"/>
      <c r="F9113" s="120"/>
      <c r="G9113" s="120"/>
      <c r="H9113" s="120"/>
      <c r="I9113" s="60"/>
      <c r="J9113" s="116"/>
      <c r="K9113" s="213"/>
      <c r="L9113" s="120"/>
      <c r="M9113" s="120"/>
      <c r="N9113" s="167"/>
      <c r="O9113" s="120"/>
      <c r="P9113" s="120"/>
      <c r="Q9113" s="120"/>
      <c r="R9113" s="120"/>
      <c r="S9113" s="120"/>
      <c r="T9113" s="221"/>
      <c r="U9113" s="89"/>
      <c r="V9113" s="61"/>
      <c r="W9113" s="92" t="s">
        <v>1273</v>
      </c>
      <c r="X9113" s="93" t="s">
        <v>30</v>
      </c>
      <c r="Y9113" s="93" t="s">
        <v>66</v>
      </c>
      <c r="Z9113" s="134">
        <f>VLOOKUP(W9113,Sheet2!$B:$D,3,FALSE)</f>
        <v>10</v>
      </c>
      <c r="AA9113" s="93">
        <f>1/((3.5*3.5*3)-(3.14/4*1.8*1.8*3))</f>
        <v>3.4340895198456033E-2</v>
      </c>
      <c r="AB9113" s="93">
        <f>AD9113/AC9112</f>
        <v>291.19800000000004</v>
      </c>
      <c r="AC9113" s="93">
        <f>AC9112/AA9113</f>
        <v>85.175414999999816</v>
      </c>
      <c r="AD9113" s="94">
        <f t="shared" ref="AD9113:AD9115" si="6168">AC9113*Z9113</f>
        <v>851.75414999999816</v>
      </c>
      <c r="AE9113" s="190"/>
      <c r="AF9113" s="191"/>
      <c r="AG9113" s="191"/>
      <c r="AH9113" s="191"/>
      <c r="AI9113" s="186"/>
      <c r="AK9113" s="171"/>
    </row>
    <row r="9114" spans="1:37" s="102" customFormat="1" ht="19.899999999999999" customHeight="1" x14ac:dyDescent="0.25">
      <c r="A9114" s="45"/>
      <c r="B9114" s="59"/>
      <c r="C9114" s="137"/>
      <c r="D9114" s="59"/>
      <c r="E9114" s="116"/>
      <c r="F9114" s="120"/>
      <c r="G9114" s="120"/>
      <c r="H9114" s="120"/>
      <c r="I9114" s="60"/>
      <c r="J9114" s="116"/>
      <c r="K9114" s="213"/>
      <c r="L9114" s="120"/>
      <c r="M9114" s="120"/>
      <c r="N9114" s="167"/>
      <c r="O9114" s="120"/>
      <c r="P9114" s="120"/>
      <c r="Q9114" s="120"/>
      <c r="R9114" s="120"/>
      <c r="S9114" s="120"/>
      <c r="T9114" s="221"/>
      <c r="U9114" s="89"/>
      <c r="V9114" s="61"/>
      <c r="W9114" s="92" t="s">
        <v>134</v>
      </c>
      <c r="X9114" s="93" t="s">
        <v>29</v>
      </c>
      <c r="Y9114" s="93" t="s">
        <v>93</v>
      </c>
      <c r="Z9114" s="134">
        <f>VLOOKUP(W9114,Sheet2!$B:$D,3,FALSE)</f>
        <v>65.599999999999994</v>
      </c>
      <c r="AA9114" s="93">
        <f>100/((3.5*3.5*3)-(3.14/4*1.8*1.8*3))</f>
        <v>3.4340895198456036</v>
      </c>
      <c r="AB9114" s="93">
        <f t="shared" ref="AB9114" si="6169">AD9114/AC9112</f>
        <v>19.102588799999999</v>
      </c>
      <c r="AC9114" s="93">
        <f>AC9112/AA9114</f>
        <v>0.8517541499999981</v>
      </c>
      <c r="AD9114" s="94">
        <f t="shared" si="6168"/>
        <v>55.875072239999874</v>
      </c>
      <c r="AE9114" s="190"/>
      <c r="AF9114" s="191"/>
      <c r="AG9114" s="191"/>
      <c r="AH9114" s="191"/>
      <c r="AI9114" s="186"/>
      <c r="AK9114" s="171"/>
    </row>
    <row r="9115" spans="1:37" s="102" customFormat="1" ht="19.899999999999999" customHeight="1" x14ac:dyDescent="0.25">
      <c r="A9115" s="45"/>
      <c r="B9115" s="59"/>
      <c r="C9115" s="137"/>
      <c r="D9115" s="59"/>
      <c r="E9115" s="116"/>
      <c r="F9115" s="120"/>
      <c r="G9115" s="120"/>
      <c r="H9115" s="120"/>
      <c r="I9115" s="60"/>
      <c r="J9115" s="116"/>
      <c r="K9115" s="213"/>
      <c r="L9115" s="120"/>
      <c r="M9115" s="120"/>
      <c r="N9115" s="167"/>
      <c r="O9115" s="120"/>
      <c r="P9115" s="120"/>
      <c r="Q9115" s="120"/>
      <c r="R9115" s="120"/>
      <c r="S9115" s="120"/>
      <c r="T9115" s="221"/>
      <c r="U9115" s="89"/>
      <c r="V9115" s="61"/>
      <c r="W9115" s="92" t="s">
        <v>65</v>
      </c>
      <c r="X9115" s="93" t="s">
        <v>30</v>
      </c>
      <c r="Y9115" s="93" t="s">
        <v>1011</v>
      </c>
      <c r="Z9115" s="134">
        <f>VLOOKUP(W9115,Sheet2!$B:$D,3,FALSE)</f>
        <v>1.76</v>
      </c>
      <c r="AA9115" s="93">
        <f>AA9114/9</f>
        <v>0.38156550220506708</v>
      </c>
      <c r="AB9115" s="93">
        <f>AD9115/AC9112</f>
        <v>4.6125763199999996</v>
      </c>
      <c r="AC9115" s="93">
        <f>AC9112/AA9115</f>
        <v>7.6657873499999827</v>
      </c>
      <c r="AD9115" s="94">
        <f t="shared" si="6168"/>
        <v>13.49178573599997</v>
      </c>
      <c r="AE9115" s="190"/>
      <c r="AF9115" s="191"/>
      <c r="AG9115" s="191"/>
      <c r="AH9115" s="191"/>
      <c r="AI9115" s="186"/>
      <c r="AK9115" s="171"/>
    </row>
    <row r="9116" spans="1:37" s="102" customFormat="1" ht="19.899999999999999" customHeight="1" x14ac:dyDescent="0.25">
      <c r="A9116" s="45"/>
      <c r="B9116" s="59"/>
      <c r="C9116" s="137"/>
      <c r="D9116" s="59"/>
      <c r="E9116" s="116"/>
      <c r="F9116" s="120"/>
      <c r="G9116" s="120"/>
      <c r="H9116" s="120"/>
      <c r="I9116" s="60"/>
      <c r="J9116" s="116"/>
      <c r="K9116" s="213"/>
      <c r="L9116" s="120"/>
      <c r="M9116" s="120"/>
      <c r="N9116" s="167"/>
      <c r="O9116" s="120"/>
      <c r="P9116" s="120"/>
      <c r="Q9116" s="120"/>
      <c r="R9116" s="120"/>
      <c r="S9116" s="120"/>
      <c r="T9116" s="221"/>
      <c r="U9116" s="89"/>
      <c r="V9116" s="61"/>
      <c r="W9116" s="92" t="s">
        <v>161</v>
      </c>
      <c r="X9116" s="93" t="s">
        <v>29</v>
      </c>
      <c r="Y9116" s="93" t="s">
        <v>93</v>
      </c>
      <c r="Z9116" s="134">
        <f>VLOOKUP(W9116,Sheet2!$B:$D,3,FALSE)</f>
        <v>48</v>
      </c>
      <c r="AA9116" s="93">
        <f>(16*0.85*1.5)/((3.5*3.5*3)-(3.14/4*1.8*1.8*3))</f>
        <v>0.70055426204850313</v>
      </c>
      <c r="AB9116" s="93">
        <f>AD9116/AC9112</f>
        <v>68.51717647058824</v>
      </c>
      <c r="AC9116" s="93">
        <f>AC9112/AA9116</f>
        <v>4.1752654411764611</v>
      </c>
      <c r="AD9116" s="94">
        <f>AC9116*Z9116</f>
        <v>200.41274117647015</v>
      </c>
      <c r="AE9116" s="190"/>
      <c r="AF9116" s="191"/>
      <c r="AG9116" s="191"/>
      <c r="AH9116" s="191"/>
      <c r="AI9116" s="186"/>
      <c r="AK9116" s="171"/>
    </row>
    <row r="9117" spans="1:37" s="102" customFormat="1" ht="19.899999999999999" customHeight="1" x14ac:dyDescent="0.25">
      <c r="A9117" s="45"/>
      <c r="B9117" s="59"/>
      <c r="C9117" s="137"/>
      <c r="D9117" s="59"/>
      <c r="E9117" s="116"/>
      <c r="F9117" s="120"/>
      <c r="G9117" s="120"/>
      <c r="H9117" s="120"/>
      <c r="I9117" s="60"/>
      <c r="J9117" s="116"/>
      <c r="K9117" s="213"/>
      <c r="L9117" s="120"/>
      <c r="M9117" s="120"/>
      <c r="N9117" s="167"/>
      <c r="O9117" s="120"/>
      <c r="P9117" s="120"/>
      <c r="Q9117" s="120"/>
      <c r="R9117" s="120"/>
      <c r="S9117" s="120"/>
      <c r="T9117" s="221"/>
      <c r="U9117" s="89"/>
      <c r="V9117" s="61"/>
      <c r="W9117" s="92" t="s">
        <v>65</v>
      </c>
      <c r="X9117" s="93" t="s">
        <v>30</v>
      </c>
      <c r="Y9117" s="93" t="s">
        <v>1011</v>
      </c>
      <c r="Z9117" s="134">
        <f>VLOOKUP(W9117,Sheet2!$B:$D,3,FALSE)</f>
        <v>1.76</v>
      </c>
      <c r="AA9117" s="93">
        <f>AA9116/10</f>
        <v>7.0055426204850307E-2</v>
      </c>
      <c r="AB9117" s="93">
        <f>AD9117/AC9112</f>
        <v>25.122964705882353</v>
      </c>
      <c r="AC9117" s="93">
        <f>AC9112/AA9117</f>
        <v>41.752654411764617</v>
      </c>
      <c r="AD9117" s="94">
        <f>AC9117*Z9117</f>
        <v>73.484671764705723</v>
      </c>
      <c r="AE9117" s="190"/>
      <c r="AF9117" s="191"/>
      <c r="AG9117" s="191"/>
      <c r="AH9117" s="191"/>
      <c r="AI9117" s="186"/>
      <c r="AK9117" s="171"/>
    </row>
    <row r="9118" spans="1:37" s="102" customFormat="1" ht="19.899999999999999" customHeight="1" x14ac:dyDescent="0.25">
      <c r="A9118" s="45"/>
      <c r="B9118" s="59"/>
      <c r="C9118" s="137"/>
      <c r="D9118" s="59"/>
      <c r="E9118" s="116"/>
      <c r="F9118" s="120"/>
      <c r="G9118" s="120"/>
      <c r="H9118" s="120"/>
      <c r="I9118" s="60"/>
      <c r="J9118" s="116"/>
      <c r="K9118" s="213"/>
      <c r="L9118" s="120"/>
      <c r="M9118" s="120"/>
      <c r="N9118" s="167"/>
      <c r="O9118" s="120"/>
      <c r="P9118" s="120"/>
      <c r="Q9118" s="120"/>
      <c r="R9118" s="120"/>
      <c r="S9118" s="120"/>
      <c r="T9118" s="221"/>
      <c r="U9118" s="89"/>
      <c r="V9118" s="61"/>
      <c r="W9118" s="92" t="s">
        <v>173</v>
      </c>
      <c r="X9118" s="93" t="s">
        <v>29</v>
      </c>
      <c r="Y9118" s="93" t="s">
        <v>93</v>
      </c>
      <c r="Z9118" s="134">
        <f>VLOOKUP(W9118,Sheet2!$B:$D,3,FALSE)</f>
        <v>36</v>
      </c>
      <c r="AA9118" s="93">
        <f>50/((3.5*3.5*3)-(3.14/4*1.8*1.8*3))</f>
        <v>1.7170447599228018</v>
      </c>
      <c r="AB9118" s="93">
        <f>AD9118/AC9112</f>
        <v>20.966255999999998</v>
      </c>
      <c r="AC9118" s="93">
        <f>AC9112/AA9118</f>
        <v>1.7035082999999962</v>
      </c>
      <c r="AD9118" s="94">
        <f>AC9118*Z9118</f>
        <v>61.326298799999861</v>
      </c>
      <c r="AE9118" s="190"/>
      <c r="AF9118" s="191"/>
      <c r="AG9118" s="191"/>
      <c r="AH9118" s="191"/>
      <c r="AI9118" s="186"/>
      <c r="AK9118" s="171"/>
    </row>
    <row r="9119" spans="1:37" s="102" customFormat="1" ht="19.899999999999999" customHeight="1" x14ac:dyDescent="0.25">
      <c r="A9119" s="45"/>
      <c r="B9119" s="59"/>
      <c r="C9119" s="137"/>
      <c r="D9119" s="59"/>
      <c r="E9119" s="116"/>
      <c r="F9119" s="120"/>
      <c r="G9119" s="120"/>
      <c r="H9119" s="120"/>
      <c r="I9119" s="60"/>
      <c r="J9119" s="116"/>
      <c r="K9119" s="213"/>
      <c r="L9119" s="120"/>
      <c r="M9119" s="120"/>
      <c r="N9119" s="167"/>
      <c r="O9119" s="120"/>
      <c r="P9119" s="120"/>
      <c r="Q9119" s="120"/>
      <c r="R9119" s="120"/>
      <c r="S9119" s="120"/>
      <c r="T9119" s="221"/>
      <c r="U9119" s="89"/>
      <c r="V9119" s="61"/>
      <c r="W9119" s="92" t="s">
        <v>65</v>
      </c>
      <c r="X9119" s="93" t="s">
        <v>30</v>
      </c>
      <c r="Y9119" s="93" t="s">
        <v>1011</v>
      </c>
      <c r="Z9119" s="134">
        <f>VLOOKUP(W9119,Sheet2!$B:$D,3,FALSE)</f>
        <v>1.76</v>
      </c>
      <c r="AA9119" s="93">
        <f>AA9118/9</f>
        <v>0.19078275110253354</v>
      </c>
      <c r="AB9119" s="93">
        <f>AD9119/AC9112</f>
        <v>9.2251526399999992</v>
      </c>
      <c r="AC9119" s="93">
        <f>AC9112/AA9119</f>
        <v>15.331574699999965</v>
      </c>
      <c r="AD9119" s="94">
        <f>AC9119*Z9119</f>
        <v>26.983571471999941</v>
      </c>
      <c r="AE9119" s="190"/>
      <c r="AF9119" s="191"/>
      <c r="AG9119" s="191"/>
      <c r="AH9119" s="191"/>
      <c r="AI9119" s="186"/>
      <c r="AK9119" s="171"/>
    </row>
    <row r="9120" spans="1:37" s="102" customFormat="1" ht="19.899999999999999" customHeight="1" x14ac:dyDescent="0.25">
      <c r="A9120" s="45"/>
      <c r="B9120" s="59"/>
      <c r="C9120" s="137"/>
      <c r="D9120" s="59"/>
      <c r="E9120" s="116"/>
      <c r="F9120" s="120"/>
      <c r="G9120" s="120"/>
      <c r="H9120" s="120"/>
      <c r="I9120" s="60"/>
      <c r="J9120" s="116"/>
      <c r="K9120" s="213"/>
      <c r="L9120" s="120"/>
      <c r="M9120" s="120"/>
      <c r="N9120" s="167"/>
      <c r="O9120" s="120"/>
      <c r="P9120" s="120"/>
      <c r="Q9120" s="120"/>
      <c r="R9120" s="120"/>
      <c r="S9120" s="120"/>
      <c r="T9120" s="221"/>
      <c r="U9120" s="89"/>
      <c r="V9120" s="61"/>
      <c r="W9120" s="92" t="s">
        <v>1030</v>
      </c>
      <c r="X9120" s="93" t="s">
        <v>29</v>
      </c>
      <c r="Y9120" s="93" t="s">
        <v>93</v>
      </c>
      <c r="Z9120" s="134">
        <f>VLOOKUP(W9120,Sheet2!$B:$D,3,FALSE)</f>
        <v>23</v>
      </c>
      <c r="AA9120" s="93">
        <f>1/(3*1)</f>
        <v>0.33333333333333331</v>
      </c>
      <c r="AB9120" s="93">
        <f>AD9120/AC9112</f>
        <v>69</v>
      </c>
      <c r="AC9120" s="93">
        <f>AC9112/AA9120</f>
        <v>8.7749999999999808</v>
      </c>
      <c r="AD9120" s="94">
        <f t="shared" ref="AD9120:AD9121" si="6170">AC9120*Z9120</f>
        <v>201.82499999999956</v>
      </c>
      <c r="AE9120" s="190"/>
      <c r="AF9120" s="191"/>
      <c r="AG9120" s="191"/>
      <c r="AH9120" s="191"/>
      <c r="AI9120" s="186"/>
      <c r="AK9120" s="171"/>
    </row>
    <row r="9121" spans="1:41" s="102" customFormat="1" ht="19.899999999999999" customHeight="1" x14ac:dyDescent="0.25">
      <c r="A9121" s="45"/>
      <c r="B9121" s="59"/>
      <c r="C9121" s="137"/>
      <c r="D9121" s="59"/>
      <c r="E9121" s="116"/>
      <c r="F9121" s="120"/>
      <c r="G9121" s="120"/>
      <c r="H9121" s="120"/>
      <c r="I9121" s="60"/>
      <c r="J9121" s="116"/>
      <c r="K9121" s="213"/>
      <c r="L9121" s="120"/>
      <c r="M9121" s="120"/>
      <c r="N9121" s="167"/>
      <c r="O9121" s="120"/>
      <c r="P9121" s="120"/>
      <c r="Q9121" s="120"/>
      <c r="R9121" s="120"/>
      <c r="S9121" s="120"/>
      <c r="T9121" s="221"/>
      <c r="U9121" s="89"/>
      <c r="V9121" s="61"/>
      <c r="W9121" s="92" t="s">
        <v>65</v>
      </c>
      <c r="X9121" s="93" t="s">
        <v>30</v>
      </c>
      <c r="Y9121" s="93" t="s">
        <v>1011</v>
      </c>
      <c r="Z9121" s="134">
        <f>VLOOKUP(W9121,Sheet2!$B:$D,3,FALSE)</f>
        <v>1.76</v>
      </c>
      <c r="AA9121" s="93">
        <f>AA9120/3</f>
        <v>0.1111111111111111</v>
      </c>
      <c r="AB9121" s="93">
        <f>AD9121/AC9112</f>
        <v>15.840000000000002</v>
      </c>
      <c r="AC9121" s="93">
        <f>AC9112/AA9121</f>
        <v>26.324999999999942</v>
      </c>
      <c r="AD9121" s="94">
        <f t="shared" si="6170"/>
        <v>46.331999999999901</v>
      </c>
      <c r="AE9121" s="190"/>
      <c r="AF9121" s="191"/>
      <c r="AG9121" s="191"/>
      <c r="AH9121" s="191"/>
      <c r="AI9121" s="186"/>
      <c r="AK9121" s="171"/>
    </row>
    <row r="9122" spans="1:41" ht="20.100000000000001" customHeight="1" x14ac:dyDescent="0.25">
      <c r="A9122" s="277" t="s">
        <v>703</v>
      </c>
      <c r="B9122" s="278"/>
      <c r="C9122" s="64" t="s">
        <v>815</v>
      </c>
      <c r="D9122" s="46" t="s">
        <v>215</v>
      </c>
      <c r="E9122" s="114">
        <v>2.0499999999999972</v>
      </c>
      <c r="F9122" s="44">
        <v>34366</v>
      </c>
      <c r="G9122" s="44">
        <f t="shared" si="5545"/>
        <v>70450.299999999901</v>
      </c>
      <c r="H9122" s="44">
        <f t="shared" si="5546"/>
        <v>11657.661783112157</v>
      </c>
      <c r="I9122" s="43">
        <f t="shared" si="5547"/>
        <v>23898.206655379887</v>
      </c>
      <c r="J9122" s="112">
        <f t="shared" si="5548"/>
        <v>2.0499999999999972</v>
      </c>
      <c r="K9122" s="211">
        <f t="shared" si="5549"/>
        <v>2.0499999999999972</v>
      </c>
      <c r="L9122" s="44"/>
      <c r="M9122" s="44">
        <f t="shared" si="5550"/>
        <v>2.0499999999999972</v>
      </c>
      <c r="N9122" s="173">
        <f t="shared" si="5551"/>
        <v>1</v>
      </c>
      <c r="O9122" s="44">
        <f t="shared" si="5552"/>
        <v>34366</v>
      </c>
      <c r="P9122" s="44">
        <f t="shared" si="5553"/>
        <v>70450.299999999901</v>
      </c>
      <c r="Q9122" s="44">
        <f t="shared" si="5554"/>
        <v>11657.661783112157</v>
      </c>
      <c r="R9122" s="44">
        <f t="shared" si="5555"/>
        <v>23898.206655379887</v>
      </c>
      <c r="S9122" s="123"/>
      <c r="T9122" s="219">
        <f t="shared" si="5556"/>
        <v>23898.206655379887</v>
      </c>
      <c r="U9122" s="87"/>
      <c r="V9122" s="47"/>
      <c r="W9122" s="48"/>
      <c r="X9122" s="48"/>
      <c r="Y9122" s="48"/>
      <c r="Z9122" s="135"/>
      <c r="AA9122" s="49"/>
      <c r="AB9122" s="50">
        <f t="shared" si="5557"/>
        <v>11657.661783112157</v>
      </c>
      <c r="AC9122" s="42">
        <f t="shared" si="5558"/>
        <v>2.0499999999999972</v>
      </c>
      <c r="AD9122" s="90">
        <f>AD9123+AD9128+AD9135+AD9142</f>
        <v>23898.206655379887</v>
      </c>
      <c r="AE9122" s="188">
        <f t="shared" ref="AE9122" si="6171">AE9123+AE9128+AE9135+AE9142</f>
        <v>0</v>
      </c>
      <c r="AF9122" s="189">
        <f t="shared" ref="AF9122" si="6172">AF9123+AF9128+AF9135+AF9142</f>
        <v>0</v>
      </c>
      <c r="AG9122" s="189">
        <f t="shared" ref="AG9122" si="6173">AG9123+AG9128+AG9135+AG9142</f>
        <v>0</v>
      </c>
      <c r="AH9122" s="189">
        <f t="shared" ref="AH9122" si="6174">AH9123+AH9128+AH9135+AH9142</f>
        <v>0</v>
      </c>
      <c r="AI9122" s="161">
        <f t="shared" ref="AI9122:AI9123" si="6175">SUM(AE9122:AH9122)</f>
        <v>0</v>
      </c>
      <c r="AK9122" s="169">
        <v>5</v>
      </c>
      <c r="AO9122" s="19" t="s">
        <v>63</v>
      </c>
    </row>
    <row r="9123" spans="1:41" s="103" customFormat="1" ht="19.899999999999999" customHeight="1" x14ac:dyDescent="0.25">
      <c r="A9123" s="51"/>
      <c r="B9123" s="52"/>
      <c r="C9123" s="165"/>
      <c r="D9123" s="52"/>
      <c r="E9123" s="115"/>
      <c r="F9123" s="58"/>
      <c r="G9123" s="58"/>
      <c r="H9123" s="58"/>
      <c r="I9123" s="55"/>
      <c r="J9123" s="113">
        <f>J9122</f>
        <v>2.0499999999999972</v>
      </c>
      <c r="K9123" s="212">
        <f>K9122</f>
        <v>2.0499999999999972</v>
      </c>
      <c r="L9123" s="58"/>
      <c r="M9123" s="58">
        <f>K9123-L9123</f>
        <v>2.0499999999999972</v>
      </c>
      <c r="N9123" s="166"/>
      <c r="O9123" s="58"/>
      <c r="P9123" s="58"/>
      <c r="Q9123" s="58"/>
      <c r="R9123" s="58"/>
      <c r="S9123" s="58"/>
      <c r="T9123" s="220"/>
      <c r="U9123" s="88"/>
      <c r="V9123" s="56"/>
      <c r="W9123" s="57" t="s">
        <v>1517</v>
      </c>
      <c r="X9123" s="53"/>
      <c r="Y9123" s="91" t="s">
        <v>35</v>
      </c>
      <c r="Z9123" s="136">
        <f>AD9123/AC9123</f>
        <v>172.44694901960784</v>
      </c>
      <c r="AA9123" s="58"/>
      <c r="AB9123" s="53">
        <f>AD9123/AC9123</f>
        <v>172.44694901960784</v>
      </c>
      <c r="AC9123" s="53">
        <f>M9123+$AE$10</f>
        <v>2.0499999999999972</v>
      </c>
      <c r="AD9123" s="54">
        <f>SUM(AD9124:AD9127)</f>
        <v>353.51624549019562</v>
      </c>
      <c r="AE9123" s="184">
        <f>SUMIFS($AD$37:$AD$12971,$V$37:$V$12971,$V9123,$X$37:$X$12971,AE$13)</f>
        <v>0</v>
      </c>
      <c r="AF9123" s="185">
        <f>SUMIFS($AD$37:$AD$12971,$V$37:$V$12971,$V9123,$X$37:$X$12971,AF$13)</f>
        <v>0</v>
      </c>
      <c r="AG9123" s="185">
        <f>SUMIFS($AD$37:$AD$12971,$V$37:$V$12971,$V9123,$X$37:$X$12971,AG$13)</f>
        <v>0</v>
      </c>
      <c r="AH9123" s="187">
        <f>SUMIFS($AD$37:$AD$12971,$V$37:$V$12971,$V9123,$X$37:$X$12971,AH$13)</f>
        <v>0</v>
      </c>
      <c r="AI9123" s="161">
        <f t="shared" si="6175"/>
        <v>0</v>
      </c>
      <c r="AK9123" s="172"/>
    </row>
    <row r="9124" spans="1:41" s="102" customFormat="1" ht="19.899999999999999" customHeight="1" x14ac:dyDescent="0.25">
      <c r="A9124" s="45"/>
      <c r="B9124" s="59"/>
      <c r="C9124" s="137"/>
      <c r="D9124" s="59"/>
      <c r="E9124" s="116"/>
      <c r="F9124" s="120"/>
      <c r="G9124" s="120"/>
      <c r="H9124" s="120"/>
      <c r="I9124" s="60"/>
      <c r="J9124" s="116"/>
      <c r="K9124" s="213"/>
      <c r="L9124" s="120"/>
      <c r="M9124" s="120"/>
      <c r="N9124" s="167"/>
      <c r="O9124" s="120"/>
      <c r="P9124" s="120"/>
      <c r="Q9124" s="120"/>
      <c r="R9124" s="120"/>
      <c r="S9124" s="120"/>
      <c r="T9124" s="221"/>
      <c r="U9124" s="89"/>
      <c r="V9124" s="61"/>
      <c r="W9124" s="92" t="s">
        <v>129</v>
      </c>
      <c r="X9124" s="93" t="s">
        <v>29</v>
      </c>
      <c r="Y9124" s="93" t="s">
        <v>93</v>
      </c>
      <c r="Z9124" s="134">
        <f>VLOOKUP(W9124,Sheet2!$B:$D,3,FALSE)</f>
        <v>56</v>
      </c>
      <c r="AA9124" s="93">
        <f>100/(3.5*3.5*3.5)</f>
        <v>2.3323615160349855</v>
      </c>
      <c r="AB9124" s="93">
        <f t="shared" ref="AB9124" si="6176">AD9124/AC9123</f>
        <v>24.009999999999998</v>
      </c>
      <c r="AC9124" s="93">
        <f>AC9123/AA9124</f>
        <v>0.87893749999999871</v>
      </c>
      <c r="AD9124" s="94">
        <f t="shared" ref="AD9124:AD9125" si="6177">AC9124*Z9124</f>
        <v>49.22049999999993</v>
      </c>
      <c r="AE9124" s="190"/>
      <c r="AF9124" s="191"/>
      <c r="AG9124" s="191"/>
      <c r="AH9124" s="191"/>
      <c r="AI9124" s="186"/>
      <c r="AK9124" s="171"/>
    </row>
    <row r="9125" spans="1:41" s="102" customFormat="1" ht="19.899999999999999" customHeight="1" x14ac:dyDescent="0.25">
      <c r="A9125" s="45"/>
      <c r="B9125" s="59"/>
      <c r="C9125" s="137"/>
      <c r="D9125" s="59"/>
      <c r="E9125" s="116"/>
      <c r="F9125" s="120"/>
      <c r="G9125" s="120"/>
      <c r="H9125" s="120"/>
      <c r="I9125" s="60"/>
      <c r="J9125" s="116"/>
      <c r="K9125" s="213"/>
      <c r="L9125" s="120"/>
      <c r="M9125" s="120"/>
      <c r="N9125" s="167"/>
      <c r="O9125" s="120"/>
      <c r="P9125" s="120"/>
      <c r="Q9125" s="120"/>
      <c r="R9125" s="120"/>
      <c r="S9125" s="120"/>
      <c r="T9125" s="221"/>
      <c r="U9125" s="89"/>
      <c r="V9125" s="61"/>
      <c r="W9125" s="92" t="s">
        <v>65</v>
      </c>
      <c r="X9125" s="93" t="s">
        <v>30</v>
      </c>
      <c r="Y9125" s="93" t="s">
        <v>1011</v>
      </c>
      <c r="Z9125" s="134">
        <f>VLOOKUP(W9125,Sheet2!$B:$D,3,FALSE)</f>
        <v>1.76</v>
      </c>
      <c r="AA9125" s="93">
        <f>AA9124/14</f>
        <v>0.16659725114535612</v>
      </c>
      <c r="AB9125" s="93">
        <f>AD9125/AC9123</f>
        <v>10.564400000000001</v>
      </c>
      <c r="AC9125" s="93">
        <f>AC9123/AA9125</f>
        <v>12.305124999999983</v>
      </c>
      <c r="AD9125" s="94">
        <f t="shared" si="6177"/>
        <v>21.657019999999971</v>
      </c>
      <c r="AE9125" s="190"/>
      <c r="AF9125" s="191"/>
      <c r="AG9125" s="191"/>
      <c r="AH9125" s="191"/>
      <c r="AI9125" s="186"/>
      <c r="AK9125" s="171"/>
    </row>
    <row r="9126" spans="1:41" s="102" customFormat="1" ht="19.899999999999999" customHeight="1" x14ac:dyDescent="0.25">
      <c r="A9126" s="45"/>
      <c r="B9126" s="59"/>
      <c r="C9126" s="137"/>
      <c r="D9126" s="59"/>
      <c r="E9126" s="116"/>
      <c r="F9126" s="120"/>
      <c r="G9126" s="120"/>
      <c r="H9126" s="120"/>
      <c r="I9126" s="60"/>
      <c r="J9126" s="116"/>
      <c r="K9126" s="213"/>
      <c r="L9126" s="120"/>
      <c r="M9126" s="120"/>
      <c r="N9126" s="167"/>
      <c r="O9126" s="120"/>
      <c r="P9126" s="120"/>
      <c r="Q9126" s="120"/>
      <c r="R9126" s="120"/>
      <c r="S9126" s="120"/>
      <c r="T9126" s="221"/>
      <c r="U9126" s="89"/>
      <c r="V9126" s="61"/>
      <c r="W9126" s="92" t="s">
        <v>161</v>
      </c>
      <c r="X9126" s="93" t="s">
        <v>29</v>
      </c>
      <c r="Y9126" s="93" t="s">
        <v>93</v>
      </c>
      <c r="Z9126" s="134">
        <f>VLOOKUP(W9126,Sheet2!$B:$D,3,FALSE)</f>
        <v>48</v>
      </c>
      <c r="AA9126" s="93">
        <f>(16*0.85*1.5)/(3.5*3.5*3.5)</f>
        <v>0.475801749271137</v>
      </c>
      <c r="AB9126" s="93">
        <f>AD9126/AC9123</f>
        <v>100.88235294117648</v>
      </c>
      <c r="AC9126" s="93">
        <f>AC9123/AA9126</f>
        <v>4.308517156862739</v>
      </c>
      <c r="AD9126" s="94">
        <f>AC9126*Z9126</f>
        <v>206.80882352941148</v>
      </c>
      <c r="AE9126" s="190"/>
      <c r="AF9126" s="191"/>
      <c r="AG9126" s="191"/>
      <c r="AH9126" s="191"/>
      <c r="AI9126" s="186"/>
      <c r="AK9126" s="171"/>
    </row>
    <row r="9127" spans="1:41" s="102" customFormat="1" ht="19.899999999999999" customHeight="1" x14ac:dyDescent="0.25">
      <c r="A9127" s="45"/>
      <c r="B9127" s="59"/>
      <c r="C9127" s="137"/>
      <c r="D9127" s="59"/>
      <c r="E9127" s="116"/>
      <c r="F9127" s="120"/>
      <c r="G9127" s="120"/>
      <c r="H9127" s="120"/>
      <c r="I9127" s="60"/>
      <c r="J9127" s="116"/>
      <c r="K9127" s="213"/>
      <c r="L9127" s="120"/>
      <c r="M9127" s="120"/>
      <c r="N9127" s="167"/>
      <c r="O9127" s="120"/>
      <c r="P9127" s="120"/>
      <c r="Q9127" s="120"/>
      <c r="R9127" s="120"/>
      <c r="S9127" s="120"/>
      <c r="T9127" s="221"/>
      <c r="U9127" s="89"/>
      <c r="V9127" s="61"/>
      <c r="W9127" s="92" t="s">
        <v>65</v>
      </c>
      <c r="X9127" s="93" t="s">
        <v>30</v>
      </c>
      <c r="Y9127" s="93" t="s">
        <v>1011</v>
      </c>
      <c r="Z9127" s="134">
        <f>VLOOKUP(W9127,Sheet2!$B:$D,3,FALSE)</f>
        <v>1.76</v>
      </c>
      <c r="AA9127" s="93">
        <f>AA9126/10</f>
        <v>4.7580174927113701E-2</v>
      </c>
      <c r="AB9127" s="93">
        <f>AD9127/AC9123</f>
        <v>36.990196078431374</v>
      </c>
      <c r="AC9127" s="93">
        <f>AC9123/AA9127</f>
        <v>43.085171568627395</v>
      </c>
      <c r="AD9127" s="94">
        <f>AC9127*Z9127</f>
        <v>75.829901960784213</v>
      </c>
      <c r="AE9127" s="190"/>
      <c r="AF9127" s="191"/>
      <c r="AG9127" s="191"/>
      <c r="AH9127" s="191"/>
      <c r="AI9127" s="186"/>
      <c r="AK9127" s="171"/>
    </row>
    <row r="9128" spans="1:41" s="103" customFormat="1" ht="19.899999999999999" customHeight="1" x14ac:dyDescent="0.25">
      <c r="A9128" s="51"/>
      <c r="B9128" s="52"/>
      <c r="C9128" s="165"/>
      <c r="D9128" s="52"/>
      <c r="E9128" s="115"/>
      <c r="F9128" s="58"/>
      <c r="G9128" s="58"/>
      <c r="H9128" s="58"/>
      <c r="I9128" s="55"/>
      <c r="J9128" s="113">
        <f>J9122</f>
        <v>2.0499999999999972</v>
      </c>
      <c r="K9128" s="212">
        <f>K9122</f>
        <v>2.0499999999999972</v>
      </c>
      <c r="L9128" s="58"/>
      <c r="M9128" s="58">
        <f>K9128-L9128</f>
        <v>2.0499999999999972</v>
      </c>
      <c r="N9128" s="166"/>
      <c r="O9128" s="58"/>
      <c r="P9128" s="58"/>
      <c r="Q9128" s="58"/>
      <c r="R9128" s="58"/>
      <c r="S9128" s="58"/>
      <c r="T9128" s="220"/>
      <c r="U9128" s="88"/>
      <c r="V9128" s="56"/>
      <c r="W9128" s="57" t="s">
        <v>1486</v>
      </c>
      <c r="X9128" s="53"/>
      <c r="Y9128" s="91" t="s">
        <v>35</v>
      </c>
      <c r="Z9128" s="136">
        <f>AD9128/AC9128</f>
        <v>2396.5659999999998</v>
      </c>
      <c r="AA9128" s="58"/>
      <c r="AB9128" s="53">
        <f>AD9128/AC9128</f>
        <v>2396.5659999999998</v>
      </c>
      <c r="AC9128" s="53">
        <f>M9128+$AE$10</f>
        <v>2.0499999999999972</v>
      </c>
      <c r="AD9128" s="54">
        <f>SUM(AD9129:AD9134)</f>
        <v>4912.9602999999925</v>
      </c>
      <c r="AE9128" s="184">
        <f>SUMIFS($AD$37:$AD$12971,$V$37:$V$12971,$V9128,$X$37:$X$12971,AE$13)</f>
        <v>0</v>
      </c>
      <c r="AF9128" s="185">
        <f>SUMIFS($AD$37:$AD$12971,$V$37:$V$12971,$V9128,$X$37:$X$12971,AF$13)</f>
        <v>0</v>
      </c>
      <c r="AG9128" s="185">
        <f>SUMIFS($AD$37:$AD$12971,$V$37:$V$12971,$V9128,$X$37:$X$12971,AG$13)</f>
        <v>0</v>
      </c>
      <c r="AH9128" s="187">
        <f>SUMIFS($AD$37:$AD$12971,$V$37:$V$12971,$V9128,$X$37:$X$12971,AH$13)</f>
        <v>0</v>
      </c>
      <c r="AI9128" s="161">
        <f t="shared" ref="AI9128" si="6178">SUM(AE9128:AH9128)</f>
        <v>0</v>
      </c>
      <c r="AK9128" s="172"/>
    </row>
    <row r="9129" spans="1:41" s="102" customFormat="1" ht="19.899999999999999" customHeight="1" x14ac:dyDescent="0.25">
      <c r="A9129" s="45"/>
      <c r="B9129" s="59"/>
      <c r="C9129" s="137"/>
      <c r="D9129" s="59"/>
      <c r="E9129" s="116"/>
      <c r="F9129" s="120"/>
      <c r="G9129" s="120"/>
      <c r="H9129" s="120"/>
      <c r="I9129" s="60"/>
      <c r="J9129" s="116"/>
      <c r="K9129" s="213"/>
      <c r="L9129" s="120"/>
      <c r="M9129" s="120"/>
      <c r="N9129" s="167"/>
      <c r="O9129" s="120"/>
      <c r="P9129" s="120"/>
      <c r="Q9129" s="120"/>
      <c r="R9129" s="120"/>
      <c r="S9129" s="120"/>
      <c r="T9129" s="221"/>
      <c r="U9129" s="89"/>
      <c r="V9129" s="61"/>
      <c r="W9129" s="92" t="s">
        <v>1032</v>
      </c>
      <c r="X9129" s="93" t="s">
        <v>30</v>
      </c>
      <c r="Y9129" s="93" t="s">
        <v>66</v>
      </c>
      <c r="Z9129" s="134">
        <f>VLOOKUP(W9129,Sheet2!$B:$D,3,FALSE)</f>
        <v>250</v>
      </c>
      <c r="AA9129" s="93">
        <f>1/(2.7*2.7*0.1)</f>
        <v>1.371742112482853</v>
      </c>
      <c r="AB9129" s="93">
        <f>AD9129/AC9135</f>
        <v>182.25</v>
      </c>
      <c r="AC9129" s="93">
        <f>AC9135/AA9129</f>
        <v>1.4944499999999981</v>
      </c>
      <c r="AD9129" s="94">
        <f t="shared" ref="AD9129:AD9131" si="6179">AC9129*Z9129</f>
        <v>373.6124999999995</v>
      </c>
      <c r="AE9129" s="190"/>
      <c r="AF9129" s="191"/>
      <c r="AG9129" s="191"/>
      <c r="AH9129" s="191"/>
      <c r="AI9129" s="186"/>
      <c r="AK9129" s="171"/>
    </row>
    <row r="9130" spans="1:41" s="102" customFormat="1" ht="19.899999999999999" customHeight="1" x14ac:dyDescent="0.25">
      <c r="A9130" s="45"/>
      <c r="B9130" s="59"/>
      <c r="C9130" s="137"/>
      <c r="D9130" s="59"/>
      <c r="E9130" s="116"/>
      <c r="F9130" s="120"/>
      <c r="G9130" s="120"/>
      <c r="H9130" s="120"/>
      <c r="I9130" s="60"/>
      <c r="J9130" s="116"/>
      <c r="K9130" s="213"/>
      <c r="L9130" s="120"/>
      <c r="M9130" s="120"/>
      <c r="N9130" s="167"/>
      <c r="O9130" s="120"/>
      <c r="P9130" s="120"/>
      <c r="Q9130" s="120"/>
      <c r="R9130" s="120"/>
      <c r="S9130" s="120"/>
      <c r="T9130" s="221"/>
      <c r="U9130" s="89"/>
      <c r="V9130" s="61"/>
      <c r="W9130" s="92" t="s">
        <v>1353</v>
      </c>
      <c r="X9130" s="93" t="s">
        <v>30</v>
      </c>
      <c r="Y9130" s="93" t="s">
        <v>66</v>
      </c>
      <c r="Z9130" s="134">
        <f>VLOOKUP(W9130,Sheet2!$B:$D,3,FALSE)</f>
        <v>350</v>
      </c>
      <c r="AA9130" s="93">
        <f>1/(2.6*2.6*0.3)</f>
        <v>0.49309664694280081</v>
      </c>
      <c r="AB9130" s="93">
        <f>AD9130/AC9135</f>
        <v>709.8</v>
      </c>
      <c r="AC9130" s="93">
        <f>AC9135/AA9130</f>
        <v>4.1573999999999938</v>
      </c>
      <c r="AD9130" s="94">
        <f t="shared" si="6179"/>
        <v>1455.0899999999979</v>
      </c>
      <c r="AE9130" s="190"/>
      <c r="AF9130" s="191"/>
      <c r="AG9130" s="191"/>
      <c r="AH9130" s="191"/>
      <c r="AI9130" s="186"/>
      <c r="AK9130" s="171"/>
    </row>
    <row r="9131" spans="1:41" s="102" customFormat="1" ht="19.899999999999999" customHeight="1" x14ac:dyDescent="0.25">
      <c r="A9131" s="45"/>
      <c r="B9131" s="59"/>
      <c r="C9131" s="137"/>
      <c r="D9131" s="59"/>
      <c r="E9131" s="116"/>
      <c r="F9131" s="120"/>
      <c r="G9131" s="120"/>
      <c r="H9131" s="120"/>
      <c r="I9131" s="60"/>
      <c r="J9131" s="116"/>
      <c r="K9131" s="213"/>
      <c r="L9131" s="120"/>
      <c r="M9131" s="120"/>
      <c r="N9131" s="167"/>
      <c r="O9131" s="120"/>
      <c r="P9131" s="120"/>
      <c r="Q9131" s="120"/>
      <c r="R9131" s="120"/>
      <c r="S9131" s="120"/>
      <c r="T9131" s="221"/>
      <c r="U9131" s="89"/>
      <c r="V9131" s="61"/>
      <c r="W9131" s="92" t="s">
        <v>99</v>
      </c>
      <c r="X9131" s="93" t="s">
        <v>30</v>
      </c>
      <c r="Y9131" s="93" t="s">
        <v>67</v>
      </c>
      <c r="Z9131" s="134">
        <f>VLOOKUP(W9131,Sheet2!$B:$D,3,FALSE)</f>
        <v>2500</v>
      </c>
      <c r="AA9131" s="93">
        <f>AA9130/0.08</f>
        <v>6.16370808678501</v>
      </c>
      <c r="AB9131" s="93">
        <f>AD9131/AC9135</f>
        <v>405.6</v>
      </c>
      <c r="AC9131" s="93">
        <f>AC9135/AA9131</f>
        <v>0.33259199999999955</v>
      </c>
      <c r="AD9131" s="94">
        <f t="shared" si="6179"/>
        <v>831.47999999999888</v>
      </c>
      <c r="AE9131" s="190"/>
      <c r="AF9131" s="191"/>
      <c r="AG9131" s="191"/>
      <c r="AH9131" s="191"/>
      <c r="AI9131" s="186"/>
      <c r="AK9131" s="171"/>
    </row>
    <row r="9132" spans="1:41" s="102" customFormat="1" ht="19.899999999999999" customHeight="1" x14ac:dyDescent="0.25">
      <c r="A9132" s="45"/>
      <c r="B9132" s="59"/>
      <c r="C9132" s="137"/>
      <c r="D9132" s="59"/>
      <c r="E9132" s="116"/>
      <c r="F9132" s="120"/>
      <c r="G9132" s="120"/>
      <c r="H9132" s="120"/>
      <c r="I9132" s="60"/>
      <c r="J9132" s="116"/>
      <c r="K9132" s="213"/>
      <c r="L9132" s="120"/>
      <c r="M9132" s="120"/>
      <c r="N9132" s="167"/>
      <c r="O9132" s="120"/>
      <c r="P9132" s="120"/>
      <c r="Q9132" s="120"/>
      <c r="R9132" s="120"/>
      <c r="S9132" s="120"/>
      <c r="T9132" s="221"/>
      <c r="U9132" s="89"/>
      <c r="V9132" s="61"/>
      <c r="W9132" s="92" t="s">
        <v>1354</v>
      </c>
      <c r="X9132" s="93" t="s">
        <v>32</v>
      </c>
      <c r="Y9132" s="93" t="s">
        <v>66</v>
      </c>
      <c r="Z9132" s="134">
        <f>VLOOKUP(W9132,Sheet2!$B:$D,3,FALSE)</f>
        <v>150</v>
      </c>
      <c r="AA9132" s="93">
        <f>AA9129</f>
        <v>1.371742112482853</v>
      </c>
      <c r="AB9132" s="93">
        <f>AD9132/AC9135</f>
        <v>109.35000000000001</v>
      </c>
      <c r="AC9132" s="93">
        <f>AC9135/AA9132</f>
        <v>1.4944499999999981</v>
      </c>
      <c r="AD9132" s="94">
        <f>AC9132*Z9132</f>
        <v>224.16749999999971</v>
      </c>
      <c r="AE9132" s="190"/>
      <c r="AF9132" s="191"/>
      <c r="AG9132" s="191"/>
      <c r="AH9132" s="191"/>
      <c r="AI9132" s="186"/>
      <c r="AK9132" s="171"/>
    </row>
    <row r="9133" spans="1:41" s="102" customFormat="1" ht="19.899999999999999" customHeight="1" x14ac:dyDescent="0.25">
      <c r="A9133" s="45"/>
      <c r="B9133" s="59"/>
      <c r="C9133" s="137"/>
      <c r="D9133" s="59"/>
      <c r="E9133" s="116"/>
      <c r="F9133" s="120"/>
      <c r="G9133" s="120"/>
      <c r="H9133" s="120"/>
      <c r="I9133" s="60"/>
      <c r="J9133" s="116"/>
      <c r="K9133" s="213"/>
      <c r="L9133" s="120"/>
      <c r="M9133" s="120"/>
      <c r="N9133" s="167"/>
      <c r="O9133" s="120"/>
      <c r="P9133" s="120"/>
      <c r="Q9133" s="120"/>
      <c r="R9133" s="120"/>
      <c r="S9133" s="120"/>
      <c r="T9133" s="221"/>
      <c r="U9133" s="89"/>
      <c r="V9133" s="61"/>
      <c r="W9133" s="92" t="s">
        <v>1355</v>
      </c>
      <c r="X9133" s="93" t="s">
        <v>32</v>
      </c>
      <c r="Y9133" s="93" t="s">
        <v>66</v>
      </c>
      <c r="Z9133" s="134">
        <f>VLOOKUP(W9133,Sheet2!$B:$D,3,FALSE)</f>
        <v>450</v>
      </c>
      <c r="AA9133" s="93">
        <f>AA9130</f>
        <v>0.49309664694280081</v>
      </c>
      <c r="AB9133" s="93">
        <f>AD9133/AC9135</f>
        <v>912.59999999999991</v>
      </c>
      <c r="AC9133" s="93">
        <f>AC9135/AA9133</f>
        <v>4.1573999999999938</v>
      </c>
      <c r="AD9133" s="94">
        <f>AC9133*Z9133</f>
        <v>1870.8299999999972</v>
      </c>
      <c r="AE9133" s="190"/>
      <c r="AF9133" s="191"/>
      <c r="AG9133" s="191"/>
      <c r="AH9133" s="191"/>
      <c r="AI9133" s="186"/>
      <c r="AK9133" s="171"/>
    </row>
    <row r="9134" spans="1:41" s="102" customFormat="1" ht="19.899999999999999" customHeight="1" x14ac:dyDescent="0.25">
      <c r="A9134" s="45"/>
      <c r="B9134" s="59"/>
      <c r="C9134" s="137"/>
      <c r="D9134" s="59"/>
      <c r="E9134" s="116"/>
      <c r="F9134" s="120"/>
      <c r="G9134" s="120"/>
      <c r="H9134" s="120"/>
      <c r="I9134" s="60"/>
      <c r="J9134" s="116"/>
      <c r="K9134" s="213"/>
      <c r="L9134" s="120"/>
      <c r="M9134" s="120"/>
      <c r="N9134" s="167"/>
      <c r="O9134" s="120"/>
      <c r="P9134" s="120"/>
      <c r="Q9134" s="120"/>
      <c r="R9134" s="120"/>
      <c r="S9134" s="120"/>
      <c r="T9134" s="221"/>
      <c r="U9134" s="89"/>
      <c r="V9134" s="61"/>
      <c r="W9134" s="92" t="s">
        <v>124</v>
      </c>
      <c r="X9134" s="93" t="s">
        <v>32</v>
      </c>
      <c r="Y9134" s="93" t="s">
        <v>64</v>
      </c>
      <c r="Z9134" s="134">
        <f>VLOOKUP(W9134,Sheet2!$B:$D,3,FALSE)</f>
        <v>10</v>
      </c>
      <c r="AA9134" s="93">
        <f>1/((3.2*3.2)-(3.14*1.8*1.8/4))</f>
        <v>0.12992750045474621</v>
      </c>
      <c r="AB9134" s="93">
        <f t="shared" ref="AB9134" si="6180">AD9134/AC9128</f>
        <v>76.966000000000022</v>
      </c>
      <c r="AC9134" s="93">
        <f>AC9128/AA9134</f>
        <v>15.778029999999983</v>
      </c>
      <c r="AD9134" s="94">
        <f t="shared" ref="AD9134" si="6181">AC9134*Z9134</f>
        <v>157.78029999999984</v>
      </c>
      <c r="AE9134" s="190"/>
      <c r="AF9134" s="191"/>
      <c r="AG9134" s="191"/>
      <c r="AH9134" s="191"/>
      <c r="AI9134" s="186"/>
      <c r="AK9134" s="171"/>
    </row>
    <row r="9135" spans="1:41" s="103" customFormat="1" ht="19.899999999999999" customHeight="1" x14ac:dyDescent="0.25">
      <c r="A9135" s="51"/>
      <c r="B9135" s="52"/>
      <c r="C9135" s="165"/>
      <c r="D9135" s="52"/>
      <c r="E9135" s="115"/>
      <c r="F9135" s="58"/>
      <c r="G9135" s="58"/>
      <c r="H9135" s="58"/>
      <c r="I9135" s="55"/>
      <c r="J9135" s="113">
        <f>J9122</f>
        <v>2.0499999999999972</v>
      </c>
      <c r="K9135" s="212">
        <f>K9122</f>
        <v>2.0499999999999972</v>
      </c>
      <c r="L9135" s="58"/>
      <c r="M9135" s="58">
        <f>K9135-L9135</f>
        <v>2.0499999999999972</v>
      </c>
      <c r="N9135" s="166"/>
      <c r="O9135" s="58"/>
      <c r="P9135" s="58"/>
      <c r="Q9135" s="58"/>
      <c r="R9135" s="58"/>
      <c r="S9135" s="58"/>
      <c r="T9135" s="220"/>
      <c r="U9135" s="88"/>
      <c r="V9135" s="56"/>
      <c r="W9135" s="57" t="s">
        <v>1275</v>
      </c>
      <c r="X9135" s="53"/>
      <c r="Y9135" s="91" t="s">
        <v>35</v>
      </c>
      <c r="Z9135" s="136">
        <f>AD9135/AC9135</f>
        <v>8477.7999999999993</v>
      </c>
      <c r="AA9135" s="58"/>
      <c r="AB9135" s="53">
        <f>AD9135/AC9135</f>
        <v>8477.7999999999993</v>
      </c>
      <c r="AC9135" s="53">
        <f>M9135+$AE$10</f>
        <v>2.0499999999999972</v>
      </c>
      <c r="AD9135" s="54">
        <f>SUM(AD9136:AD9141)</f>
        <v>17379.489999999976</v>
      </c>
      <c r="AE9135" s="184">
        <f>SUMIFS($AD$37:$AD$12971,$V$37:$V$12971,$V9135,$X$37:$X$12971,AE$13)</f>
        <v>0</v>
      </c>
      <c r="AF9135" s="185">
        <f>SUMIFS($AD$37:$AD$12971,$V$37:$V$12971,$V9135,$X$37:$X$12971,AF$13)</f>
        <v>0</v>
      </c>
      <c r="AG9135" s="185">
        <f>SUMIFS($AD$37:$AD$12971,$V$37:$V$12971,$V9135,$X$37:$X$12971,AG$13)</f>
        <v>0</v>
      </c>
      <c r="AH9135" s="187">
        <f>SUMIFS($AD$37:$AD$12971,$V$37:$V$12971,$V9135,$X$37:$X$12971,AH$13)</f>
        <v>0</v>
      </c>
      <c r="AI9135" s="161">
        <f t="shared" ref="AI9135" si="6182">SUM(AE9135:AH9135)</f>
        <v>0</v>
      </c>
      <c r="AK9135" s="172"/>
    </row>
    <row r="9136" spans="1:41" s="102" customFormat="1" ht="19.899999999999999" customHeight="1" x14ac:dyDescent="0.25">
      <c r="A9136" s="45"/>
      <c r="B9136" s="59"/>
      <c r="C9136" s="137"/>
      <c r="D9136" s="59"/>
      <c r="E9136" s="116"/>
      <c r="F9136" s="120"/>
      <c r="G9136" s="120"/>
      <c r="H9136" s="120"/>
      <c r="I9136" s="60"/>
      <c r="J9136" s="116"/>
      <c r="K9136" s="213"/>
      <c r="L9136" s="120"/>
      <c r="M9136" s="120"/>
      <c r="N9136" s="167"/>
      <c r="O9136" s="120"/>
      <c r="P9136" s="120"/>
      <c r="Q9136" s="120"/>
      <c r="R9136" s="120"/>
      <c r="S9136" s="120"/>
      <c r="T9136" s="221"/>
      <c r="U9136" s="89"/>
      <c r="V9136" s="61"/>
      <c r="W9136" s="92" t="s">
        <v>1502</v>
      </c>
      <c r="X9136" s="93" t="s">
        <v>30</v>
      </c>
      <c r="Y9136" s="93" t="s">
        <v>35</v>
      </c>
      <c r="Z9136" s="134">
        <f>VLOOKUP(W9136,Sheet2!$B:$D,3,FALSE)</f>
        <v>6705</v>
      </c>
      <c r="AA9136" s="93">
        <v>1</v>
      </c>
      <c r="AB9136" s="93">
        <f>AD9136/AC9135</f>
        <v>6705</v>
      </c>
      <c r="AC9136" s="93">
        <f>AC9135/AA9136</f>
        <v>2.0499999999999972</v>
      </c>
      <c r="AD9136" s="94">
        <f t="shared" ref="AD9136:AD9137" si="6183">AC9136*Z9136</f>
        <v>13745.249999999982</v>
      </c>
      <c r="AE9136" s="190"/>
      <c r="AF9136" s="191"/>
      <c r="AG9136" s="191"/>
      <c r="AH9136" s="191"/>
      <c r="AI9136" s="186"/>
      <c r="AK9136" s="171"/>
    </row>
    <row r="9137" spans="1:41" s="102" customFormat="1" ht="19.899999999999999" customHeight="1" x14ac:dyDescent="0.25">
      <c r="A9137" s="45"/>
      <c r="B9137" s="59"/>
      <c r="C9137" s="137"/>
      <c r="D9137" s="59"/>
      <c r="E9137" s="116"/>
      <c r="F9137" s="120"/>
      <c r="G9137" s="120"/>
      <c r="H9137" s="120"/>
      <c r="I9137" s="60"/>
      <c r="J9137" s="116"/>
      <c r="K9137" s="213"/>
      <c r="L9137" s="120"/>
      <c r="M9137" s="120"/>
      <c r="N9137" s="167"/>
      <c r="O9137" s="120"/>
      <c r="P9137" s="120"/>
      <c r="Q9137" s="120"/>
      <c r="R9137" s="120"/>
      <c r="S9137" s="120"/>
      <c r="T9137" s="221"/>
      <c r="U9137" s="89"/>
      <c r="V9137" s="61"/>
      <c r="W9137" s="92" t="s">
        <v>174</v>
      </c>
      <c r="X9137" s="93" t="s">
        <v>29</v>
      </c>
      <c r="Y9137" s="93" t="s">
        <v>93</v>
      </c>
      <c r="Z9137" s="134">
        <f>VLOOKUP(W9137,Sheet2!$B:$D,3,FALSE)</f>
        <v>80</v>
      </c>
      <c r="AA9137" s="93">
        <f>1/2</f>
        <v>0.5</v>
      </c>
      <c r="AB9137" s="93">
        <f>AD9137/AC9135</f>
        <v>160</v>
      </c>
      <c r="AC9137" s="93">
        <f>AC9135/AA9137</f>
        <v>4.0999999999999943</v>
      </c>
      <c r="AD9137" s="94">
        <f t="shared" si="6183"/>
        <v>327.99999999999955</v>
      </c>
      <c r="AE9137" s="190"/>
      <c r="AF9137" s="191"/>
      <c r="AG9137" s="191"/>
      <c r="AH9137" s="191"/>
      <c r="AI9137" s="186"/>
      <c r="AK9137" s="171"/>
    </row>
    <row r="9138" spans="1:41" s="102" customFormat="1" ht="19.899999999999999" customHeight="1" x14ac:dyDescent="0.25">
      <c r="A9138" s="45"/>
      <c r="B9138" s="59"/>
      <c r="C9138" s="137"/>
      <c r="D9138" s="59"/>
      <c r="E9138" s="116"/>
      <c r="F9138" s="120"/>
      <c r="G9138" s="120"/>
      <c r="H9138" s="120"/>
      <c r="I9138" s="60"/>
      <c r="J9138" s="116"/>
      <c r="K9138" s="213"/>
      <c r="L9138" s="120"/>
      <c r="M9138" s="120"/>
      <c r="N9138" s="167"/>
      <c r="O9138" s="120"/>
      <c r="P9138" s="120"/>
      <c r="Q9138" s="120"/>
      <c r="R9138" s="120"/>
      <c r="S9138" s="120"/>
      <c r="T9138" s="221"/>
      <c r="U9138" s="89"/>
      <c r="V9138" s="61"/>
      <c r="W9138" s="92" t="s">
        <v>65</v>
      </c>
      <c r="X9138" s="93" t="s">
        <v>30</v>
      </c>
      <c r="Y9138" s="93" t="s">
        <v>93</v>
      </c>
      <c r="Z9138" s="134">
        <f>VLOOKUP(W9138,Sheet2!$B:$D,3,FALSE)</f>
        <v>1.76</v>
      </c>
      <c r="AA9138" s="93">
        <f>AA9137/15</f>
        <v>3.3333333333333333E-2</v>
      </c>
      <c r="AB9138" s="93">
        <f>AD9138/AC9135</f>
        <v>52.800000000000004</v>
      </c>
      <c r="AC9138" s="93">
        <f>AC9135/AA9138</f>
        <v>61.499999999999915</v>
      </c>
      <c r="AD9138" s="94">
        <f>AC9138*Z9138</f>
        <v>108.23999999999985</v>
      </c>
      <c r="AE9138" s="190"/>
      <c r="AF9138" s="191"/>
      <c r="AG9138" s="191"/>
      <c r="AH9138" s="191"/>
      <c r="AI9138" s="186"/>
      <c r="AK9138" s="171"/>
    </row>
    <row r="9139" spans="1:41" s="102" customFormat="1" ht="19.899999999999999" customHeight="1" x14ac:dyDescent="0.25">
      <c r="A9139" s="45"/>
      <c r="B9139" s="59"/>
      <c r="C9139" s="137"/>
      <c r="D9139" s="59"/>
      <c r="E9139" s="116"/>
      <c r="F9139" s="120"/>
      <c r="G9139" s="120"/>
      <c r="H9139" s="120"/>
      <c r="I9139" s="60"/>
      <c r="J9139" s="116"/>
      <c r="K9139" s="213"/>
      <c r="L9139" s="120"/>
      <c r="M9139" s="120"/>
      <c r="N9139" s="167"/>
      <c r="O9139" s="120"/>
      <c r="P9139" s="120"/>
      <c r="Q9139" s="120"/>
      <c r="R9139" s="120"/>
      <c r="S9139" s="120"/>
      <c r="T9139" s="221"/>
      <c r="U9139" s="89"/>
      <c r="V9139" s="61"/>
      <c r="W9139" s="92" t="s">
        <v>1487</v>
      </c>
      <c r="X9139" s="93" t="s">
        <v>32</v>
      </c>
      <c r="Y9139" s="93" t="s">
        <v>1349</v>
      </c>
      <c r="Z9139" s="134">
        <f>VLOOKUP(W9139,Sheet2!$B:$D,3,FALSE)</f>
        <v>1500</v>
      </c>
      <c r="AA9139" s="93">
        <v>1</v>
      </c>
      <c r="AB9139" s="93">
        <f>AD9139/AC9135</f>
        <v>1500</v>
      </c>
      <c r="AC9139" s="93">
        <f>AC9135/AA9139</f>
        <v>2.0499999999999972</v>
      </c>
      <c r="AD9139" s="94">
        <f>AC9139*Z9139</f>
        <v>3074.9999999999959</v>
      </c>
      <c r="AE9139" s="190"/>
      <c r="AF9139" s="191"/>
      <c r="AG9139" s="191"/>
      <c r="AH9139" s="191"/>
      <c r="AI9139" s="186"/>
      <c r="AK9139" s="171"/>
    </row>
    <row r="9140" spans="1:41" s="102" customFormat="1" ht="19.899999999999999" customHeight="1" x14ac:dyDescent="0.25">
      <c r="A9140" s="45"/>
      <c r="B9140" s="59"/>
      <c r="C9140" s="137"/>
      <c r="D9140" s="59"/>
      <c r="E9140" s="116"/>
      <c r="F9140" s="120"/>
      <c r="G9140" s="120"/>
      <c r="H9140" s="120"/>
      <c r="I9140" s="60"/>
      <c r="J9140" s="116"/>
      <c r="K9140" s="213"/>
      <c r="L9140" s="120"/>
      <c r="M9140" s="120"/>
      <c r="N9140" s="167"/>
      <c r="O9140" s="120"/>
      <c r="P9140" s="120"/>
      <c r="Q9140" s="120"/>
      <c r="R9140" s="120"/>
      <c r="S9140" s="120"/>
      <c r="T9140" s="221"/>
      <c r="U9140" s="89"/>
      <c r="V9140" s="61"/>
      <c r="W9140" s="92" t="s">
        <v>107</v>
      </c>
      <c r="X9140" s="93" t="s">
        <v>31</v>
      </c>
      <c r="Y9140" s="93" t="s">
        <v>93</v>
      </c>
      <c r="Z9140" s="134">
        <f>VLOOKUP(W9140,Sheet2!$B:$D,3,FALSE)</f>
        <v>17</v>
      </c>
      <c r="AA9140" s="93">
        <f>AA9137</f>
        <v>0.5</v>
      </c>
      <c r="AB9140" s="93">
        <f>AD9140/AC9135</f>
        <v>34</v>
      </c>
      <c r="AC9140" s="93">
        <f>AC9135/AA9140</f>
        <v>4.0999999999999943</v>
      </c>
      <c r="AD9140" s="94">
        <f>AC9140*Z9140</f>
        <v>69.699999999999903</v>
      </c>
      <c r="AE9140" s="190"/>
      <c r="AF9140" s="191"/>
      <c r="AG9140" s="191"/>
      <c r="AH9140" s="191"/>
      <c r="AI9140" s="186"/>
      <c r="AK9140" s="171"/>
    </row>
    <row r="9141" spans="1:41" s="102" customFormat="1" ht="19.899999999999999" customHeight="1" x14ac:dyDescent="0.25">
      <c r="A9141" s="45"/>
      <c r="B9141" s="59"/>
      <c r="C9141" s="137"/>
      <c r="D9141" s="59"/>
      <c r="E9141" s="116"/>
      <c r="F9141" s="120"/>
      <c r="G9141" s="120"/>
      <c r="H9141" s="120"/>
      <c r="I9141" s="60"/>
      <c r="J9141" s="116"/>
      <c r="K9141" s="213"/>
      <c r="L9141" s="120"/>
      <c r="M9141" s="120"/>
      <c r="N9141" s="167"/>
      <c r="O9141" s="120"/>
      <c r="P9141" s="120"/>
      <c r="Q9141" s="120"/>
      <c r="R9141" s="120"/>
      <c r="S9141" s="120"/>
      <c r="T9141" s="221"/>
      <c r="U9141" s="89"/>
      <c r="V9141" s="61"/>
      <c r="W9141" s="92" t="s">
        <v>112</v>
      </c>
      <c r="X9141" s="93" t="s">
        <v>31</v>
      </c>
      <c r="Y9141" s="93" t="s">
        <v>93</v>
      </c>
      <c r="Z9141" s="134">
        <f>VLOOKUP(W9141,Sheet2!$B:$D,3,FALSE)</f>
        <v>13</v>
      </c>
      <c r="AA9141" s="93">
        <f>AA9140</f>
        <v>0.5</v>
      </c>
      <c r="AB9141" s="93">
        <f>AD9141/AC9135</f>
        <v>26</v>
      </c>
      <c r="AC9141" s="93">
        <f>AC9135/AA9141</f>
        <v>4.0999999999999943</v>
      </c>
      <c r="AD9141" s="94">
        <f>AC9141*Z9141</f>
        <v>53.299999999999926</v>
      </c>
      <c r="AE9141" s="190"/>
      <c r="AF9141" s="191"/>
      <c r="AG9141" s="191"/>
      <c r="AH9141" s="191"/>
      <c r="AI9141" s="186"/>
      <c r="AK9141" s="171"/>
    </row>
    <row r="9142" spans="1:41" s="103" customFormat="1" ht="19.899999999999999" customHeight="1" x14ac:dyDescent="0.25">
      <c r="A9142" s="51"/>
      <c r="B9142" s="52"/>
      <c r="C9142" s="165"/>
      <c r="D9142" s="52"/>
      <c r="E9142" s="115"/>
      <c r="F9142" s="58"/>
      <c r="G9142" s="58"/>
      <c r="H9142" s="58"/>
      <c r="I9142" s="55"/>
      <c r="J9142" s="113">
        <f>J9122</f>
        <v>2.0499999999999972</v>
      </c>
      <c r="K9142" s="212">
        <f>K9122</f>
        <v>2.0499999999999972</v>
      </c>
      <c r="L9142" s="58"/>
      <c r="M9142" s="58">
        <f>K9142-L9142</f>
        <v>2.0499999999999972</v>
      </c>
      <c r="N9142" s="166"/>
      <c r="O9142" s="58"/>
      <c r="P9142" s="58"/>
      <c r="Q9142" s="58"/>
      <c r="R9142" s="58"/>
      <c r="S9142" s="58"/>
      <c r="T9142" s="220"/>
      <c r="U9142" s="88"/>
      <c r="V9142" s="56"/>
      <c r="W9142" s="57" t="s">
        <v>1272</v>
      </c>
      <c r="X9142" s="53"/>
      <c r="Y9142" s="91" t="s">
        <v>35</v>
      </c>
      <c r="Z9142" s="136">
        <f>AD9142/AC9142</f>
        <v>610.84883409254917</v>
      </c>
      <c r="AA9142" s="58"/>
      <c r="AB9142" s="53">
        <f>AD9142/AC9142</f>
        <v>610.84883409254917</v>
      </c>
      <c r="AC9142" s="53">
        <f>M9142+$AE$10</f>
        <v>2.0499999999999972</v>
      </c>
      <c r="AD9142" s="54">
        <f>SUM(AD9143:AD9151)</f>
        <v>1252.240109889724</v>
      </c>
      <c r="AE9142" s="184">
        <f>SUMIFS($AD$37:$AD$12971,$V$37:$V$12971,$V9142,$X$37:$X$12971,AE$13)</f>
        <v>0</v>
      </c>
      <c r="AF9142" s="185">
        <f>SUMIFS($AD$37:$AD$12971,$V$37:$V$12971,$V9142,$X$37:$X$12971,AF$13)</f>
        <v>0</v>
      </c>
      <c r="AG9142" s="185">
        <f>SUMIFS($AD$37:$AD$12971,$V$37:$V$12971,$V9142,$X$37:$X$12971,AG$13)</f>
        <v>0</v>
      </c>
      <c r="AH9142" s="187">
        <f>SUMIFS($AD$37:$AD$12971,$V$37:$V$12971,$V9142,$X$37:$X$12971,AH$13)</f>
        <v>0</v>
      </c>
      <c r="AI9142" s="161">
        <f t="shared" ref="AI9142" si="6184">SUM(AE9142:AH9142)</f>
        <v>0</v>
      </c>
      <c r="AK9142" s="172"/>
    </row>
    <row r="9143" spans="1:41" s="102" customFormat="1" ht="19.899999999999999" customHeight="1" x14ac:dyDescent="0.25">
      <c r="A9143" s="45"/>
      <c r="B9143" s="59"/>
      <c r="C9143" s="137"/>
      <c r="D9143" s="59"/>
      <c r="E9143" s="116"/>
      <c r="F9143" s="120"/>
      <c r="G9143" s="120"/>
      <c r="H9143" s="120"/>
      <c r="I9143" s="60"/>
      <c r="J9143" s="116"/>
      <c r="K9143" s="213"/>
      <c r="L9143" s="120"/>
      <c r="M9143" s="120"/>
      <c r="N9143" s="167"/>
      <c r="O9143" s="120"/>
      <c r="P9143" s="120"/>
      <c r="Q9143" s="120"/>
      <c r="R9143" s="120"/>
      <c r="S9143" s="120"/>
      <c r="T9143" s="221"/>
      <c r="U9143" s="89"/>
      <c r="V9143" s="61"/>
      <c r="W9143" s="92" t="s">
        <v>1273</v>
      </c>
      <c r="X9143" s="93" t="s">
        <v>30</v>
      </c>
      <c r="Y9143" s="93" t="s">
        <v>66</v>
      </c>
      <c r="Z9143" s="134">
        <f>VLOOKUP(W9143,Sheet2!$B:$D,3,FALSE)</f>
        <v>10</v>
      </c>
      <c r="AA9143" s="93">
        <f>1/((3.5*3.5*3.5)-(3.14/4*1.8*1.8*3.5))</f>
        <v>2.9435053027248026E-2</v>
      </c>
      <c r="AB9143" s="93">
        <f>AD9143/AC9142</f>
        <v>339.73099999999999</v>
      </c>
      <c r="AC9143" s="93">
        <f>AC9142/AA9143</f>
        <v>69.644854999999907</v>
      </c>
      <c r="AD9143" s="94">
        <f t="shared" ref="AD9143:AD9145" si="6185">AC9143*Z9143</f>
        <v>696.44854999999905</v>
      </c>
      <c r="AE9143" s="190"/>
      <c r="AF9143" s="191"/>
      <c r="AG9143" s="191"/>
      <c r="AH9143" s="191"/>
      <c r="AI9143" s="186"/>
      <c r="AK9143" s="171"/>
    </row>
    <row r="9144" spans="1:41" s="102" customFormat="1" ht="19.899999999999999" customHeight="1" x14ac:dyDescent="0.25">
      <c r="A9144" s="45"/>
      <c r="B9144" s="59"/>
      <c r="C9144" s="137"/>
      <c r="D9144" s="59"/>
      <c r="E9144" s="116"/>
      <c r="F9144" s="120"/>
      <c r="G9144" s="120"/>
      <c r="H9144" s="120"/>
      <c r="I9144" s="60"/>
      <c r="J9144" s="116"/>
      <c r="K9144" s="213"/>
      <c r="L9144" s="120"/>
      <c r="M9144" s="120"/>
      <c r="N9144" s="167"/>
      <c r="O9144" s="120"/>
      <c r="P9144" s="120"/>
      <c r="Q9144" s="120"/>
      <c r="R9144" s="120"/>
      <c r="S9144" s="120"/>
      <c r="T9144" s="221"/>
      <c r="U9144" s="89"/>
      <c r="V9144" s="61"/>
      <c r="W9144" s="92" t="s">
        <v>134</v>
      </c>
      <c r="X9144" s="93" t="s">
        <v>29</v>
      </c>
      <c r="Y9144" s="93" t="s">
        <v>93</v>
      </c>
      <c r="Z9144" s="134">
        <f>VLOOKUP(W9144,Sheet2!$B:$D,3,FALSE)</f>
        <v>65.599999999999994</v>
      </c>
      <c r="AA9144" s="93">
        <f>100/((3.5*3.5*3.5)-(3.14/4*1.8*1.8*3.5))</f>
        <v>2.9435053027248026</v>
      </c>
      <c r="AB9144" s="93">
        <f t="shared" ref="AB9144" si="6186">AD9144/AC9142</f>
        <v>22.286353599999998</v>
      </c>
      <c r="AC9144" s="93">
        <f>AC9142/AA9144</f>
        <v>0.69644854999999906</v>
      </c>
      <c r="AD9144" s="94">
        <f t="shared" si="6185"/>
        <v>45.687024879999932</v>
      </c>
      <c r="AE9144" s="190"/>
      <c r="AF9144" s="191"/>
      <c r="AG9144" s="191"/>
      <c r="AH9144" s="191"/>
      <c r="AI9144" s="186"/>
      <c r="AK9144" s="171"/>
    </row>
    <row r="9145" spans="1:41" s="102" customFormat="1" ht="19.899999999999999" customHeight="1" x14ac:dyDescent="0.25">
      <c r="A9145" s="45"/>
      <c r="B9145" s="59"/>
      <c r="C9145" s="137"/>
      <c r="D9145" s="59"/>
      <c r="E9145" s="116"/>
      <c r="F9145" s="120"/>
      <c r="G9145" s="120"/>
      <c r="H9145" s="120"/>
      <c r="I9145" s="60"/>
      <c r="J9145" s="116"/>
      <c r="K9145" s="213"/>
      <c r="L9145" s="120"/>
      <c r="M9145" s="120"/>
      <c r="N9145" s="167"/>
      <c r="O9145" s="120"/>
      <c r="P9145" s="120"/>
      <c r="Q9145" s="120"/>
      <c r="R9145" s="120"/>
      <c r="S9145" s="120"/>
      <c r="T9145" s="221"/>
      <c r="U9145" s="89"/>
      <c r="V9145" s="61"/>
      <c r="W9145" s="92" t="s">
        <v>65</v>
      </c>
      <c r="X9145" s="93" t="s">
        <v>30</v>
      </c>
      <c r="Y9145" s="93" t="s">
        <v>1011</v>
      </c>
      <c r="Z9145" s="134">
        <f>VLOOKUP(W9145,Sheet2!$B:$D,3,FALSE)</f>
        <v>1.76</v>
      </c>
      <c r="AA9145" s="93">
        <f>AA9144/9</f>
        <v>0.32705614474720029</v>
      </c>
      <c r="AB9145" s="93">
        <f>AD9145/AC9142</f>
        <v>5.3813390400000003</v>
      </c>
      <c r="AC9145" s="93">
        <f>AC9142/AA9145</f>
        <v>6.2680369499999919</v>
      </c>
      <c r="AD9145" s="94">
        <f t="shared" si="6185"/>
        <v>11.031745031999986</v>
      </c>
      <c r="AE9145" s="190"/>
      <c r="AF9145" s="191"/>
      <c r="AG9145" s="191"/>
      <c r="AH9145" s="191"/>
      <c r="AI9145" s="186"/>
      <c r="AK9145" s="171"/>
    </row>
    <row r="9146" spans="1:41" s="102" customFormat="1" ht="19.899999999999999" customHeight="1" x14ac:dyDescent="0.25">
      <c r="A9146" s="45"/>
      <c r="B9146" s="59"/>
      <c r="C9146" s="137"/>
      <c r="D9146" s="59"/>
      <c r="E9146" s="116"/>
      <c r="F9146" s="120"/>
      <c r="G9146" s="120"/>
      <c r="H9146" s="120"/>
      <c r="I9146" s="60"/>
      <c r="J9146" s="116"/>
      <c r="K9146" s="213"/>
      <c r="L9146" s="120"/>
      <c r="M9146" s="120"/>
      <c r="N9146" s="167"/>
      <c r="O9146" s="120"/>
      <c r="P9146" s="120"/>
      <c r="Q9146" s="120"/>
      <c r="R9146" s="120"/>
      <c r="S9146" s="120"/>
      <c r="T9146" s="221"/>
      <c r="U9146" s="89"/>
      <c r="V9146" s="61"/>
      <c r="W9146" s="92" t="s">
        <v>161</v>
      </c>
      <c r="X9146" s="93" t="s">
        <v>29</v>
      </c>
      <c r="Y9146" s="93" t="s">
        <v>93</v>
      </c>
      <c r="Z9146" s="134">
        <f>VLOOKUP(W9146,Sheet2!$B:$D,3,FALSE)</f>
        <v>48</v>
      </c>
      <c r="AA9146" s="93">
        <f>(16*0.85*1.5)/((3.5*3.5*3.5)-(3.14/4*1.8*1.8*3.5))</f>
        <v>0.60047508175585973</v>
      </c>
      <c r="AB9146" s="93">
        <f>AD9146/AC9142</f>
        <v>79.936705882352953</v>
      </c>
      <c r="AC9146" s="93">
        <f>AC9142/AA9146</f>
        <v>3.4139634803921526</v>
      </c>
      <c r="AD9146" s="94">
        <f>AC9146*Z9146</f>
        <v>163.87024705882334</v>
      </c>
      <c r="AE9146" s="190"/>
      <c r="AF9146" s="191"/>
      <c r="AG9146" s="191"/>
      <c r="AH9146" s="191"/>
      <c r="AI9146" s="186"/>
      <c r="AK9146" s="171"/>
    </row>
    <row r="9147" spans="1:41" s="102" customFormat="1" ht="19.899999999999999" customHeight="1" x14ac:dyDescent="0.25">
      <c r="A9147" s="45"/>
      <c r="B9147" s="59"/>
      <c r="C9147" s="137"/>
      <c r="D9147" s="59"/>
      <c r="E9147" s="116"/>
      <c r="F9147" s="120"/>
      <c r="G9147" s="120"/>
      <c r="H9147" s="120"/>
      <c r="I9147" s="60"/>
      <c r="J9147" s="116"/>
      <c r="K9147" s="213"/>
      <c r="L9147" s="120"/>
      <c r="M9147" s="120"/>
      <c r="N9147" s="167"/>
      <c r="O9147" s="120"/>
      <c r="P9147" s="120"/>
      <c r="Q9147" s="120"/>
      <c r="R9147" s="120"/>
      <c r="S9147" s="120"/>
      <c r="T9147" s="221"/>
      <c r="U9147" s="89"/>
      <c r="V9147" s="61"/>
      <c r="W9147" s="92" t="s">
        <v>65</v>
      </c>
      <c r="X9147" s="93" t="s">
        <v>30</v>
      </c>
      <c r="Y9147" s="93" t="s">
        <v>1011</v>
      </c>
      <c r="Z9147" s="134">
        <f>VLOOKUP(W9147,Sheet2!$B:$D,3,FALSE)</f>
        <v>1.76</v>
      </c>
      <c r="AA9147" s="93">
        <f>AA9146/10</f>
        <v>6.0047508175585976E-2</v>
      </c>
      <c r="AB9147" s="93">
        <f>AD9147/AC9142</f>
        <v>29.310125490196082</v>
      </c>
      <c r="AC9147" s="93">
        <f>AC9142/AA9147</f>
        <v>34.139634803921524</v>
      </c>
      <c r="AD9147" s="94">
        <f>AC9147*Z9147</f>
        <v>60.085757254901885</v>
      </c>
      <c r="AE9147" s="190"/>
      <c r="AF9147" s="191"/>
      <c r="AG9147" s="191"/>
      <c r="AH9147" s="191"/>
      <c r="AI9147" s="186"/>
      <c r="AK9147" s="171"/>
    </row>
    <row r="9148" spans="1:41" s="102" customFormat="1" ht="19.899999999999999" customHeight="1" x14ac:dyDescent="0.25">
      <c r="A9148" s="45"/>
      <c r="B9148" s="59"/>
      <c r="C9148" s="137"/>
      <c r="D9148" s="59"/>
      <c r="E9148" s="116"/>
      <c r="F9148" s="120"/>
      <c r="G9148" s="120"/>
      <c r="H9148" s="120"/>
      <c r="I9148" s="60"/>
      <c r="J9148" s="116"/>
      <c r="K9148" s="213"/>
      <c r="L9148" s="120"/>
      <c r="M9148" s="120"/>
      <c r="N9148" s="167"/>
      <c r="O9148" s="120"/>
      <c r="P9148" s="120"/>
      <c r="Q9148" s="120"/>
      <c r="R9148" s="120"/>
      <c r="S9148" s="120"/>
      <c r="T9148" s="221"/>
      <c r="U9148" s="89"/>
      <c r="V9148" s="61"/>
      <c r="W9148" s="92" t="s">
        <v>173</v>
      </c>
      <c r="X9148" s="93" t="s">
        <v>29</v>
      </c>
      <c r="Y9148" s="93" t="s">
        <v>93</v>
      </c>
      <c r="Z9148" s="134">
        <f>VLOOKUP(W9148,Sheet2!$B:$D,3,FALSE)</f>
        <v>36</v>
      </c>
      <c r="AA9148" s="93">
        <f>50/((3.5*3.5*3.5)-(3.14/4*1.8*1.8*3.5))</f>
        <v>1.4717526513624013</v>
      </c>
      <c r="AB9148" s="93">
        <f>AD9148/AC9142</f>
        <v>24.460632000000004</v>
      </c>
      <c r="AC9148" s="93">
        <f>AC9142/AA9148</f>
        <v>1.3928970999999981</v>
      </c>
      <c r="AD9148" s="94">
        <f>AC9148*Z9148</f>
        <v>50.144295599999936</v>
      </c>
      <c r="AE9148" s="190"/>
      <c r="AF9148" s="191"/>
      <c r="AG9148" s="191"/>
      <c r="AH9148" s="191"/>
      <c r="AI9148" s="186"/>
      <c r="AK9148" s="171"/>
    </row>
    <row r="9149" spans="1:41" s="102" customFormat="1" ht="19.899999999999999" customHeight="1" x14ac:dyDescent="0.25">
      <c r="A9149" s="45"/>
      <c r="B9149" s="59"/>
      <c r="C9149" s="137"/>
      <c r="D9149" s="59"/>
      <c r="E9149" s="116"/>
      <c r="F9149" s="120"/>
      <c r="G9149" s="120"/>
      <c r="H9149" s="120"/>
      <c r="I9149" s="60"/>
      <c r="J9149" s="116"/>
      <c r="K9149" s="213"/>
      <c r="L9149" s="120"/>
      <c r="M9149" s="120"/>
      <c r="N9149" s="167"/>
      <c r="O9149" s="120"/>
      <c r="P9149" s="120"/>
      <c r="Q9149" s="120"/>
      <c r="R9149" s="120"/>
      <c r="S9149" s="120"/>
      <c r="T9149" s="221"/>
      <c r="U9149" s="89"/>
      <c r="V9149" s="61"/>
      <c r="W9149" s="92" t="s">
        <v>65</v>
      </c>
      <c r="X9149" s="93" t="s">
        <v>30</v>
      </c>
      <c r="Y9149" s="93" t="s">
        <v>1011</v>
      </c>
      <c r="Z9149" s="134">
        <f>VLOOKUP(W9149,Sheet2!$B:$D,3,FALSE)</f>
        <v>1.76</v>
      </c>
      <c r="AA9149" s="93">
        <f>AA9148/9</f>
        <v>0.16352807237360015</v>
      </c>
      <c r="AB9149" s="93">
        <f>AD9149/AC9142</f>
        <v>10.762678080000001</v>
      </c>
      <c r="AC9149" s="93">
        <f>AC9142/AA9149</f>
        <v>12.536073899999984</v>
      </c>
      <c r="AD9149" s="94">
        <f>AC9149*Z9149</f>
        <v>22.063490063999971</v>
      </c>
      <c r="AE9149" s="190"/>
      <c r="AF9149" s="191"/>
      <c r="AG9149" s="191"/>
      <c r="AH9149" s="191"/>
      <c r="AI9149" s="186"/>
      <c r="AK9149" s="171"/>
    </row>
    <row r="9150" spans="1:41" s="102" customFormat="1" ht="19.899999999999999" customHeight="1" x14ac:dyDescent="0.25">
      <c r="A9150" s="45"/>
      <c r="B9150" s="59"/>
      <c r="C9150" s="137"/>
      <c r="D9150" s="59"/>
      <c r="E9150" s="116"/>
      <c r="F9150" s="120"/>
      <c r="G9150" s="120"/>
      <c r="H9150" s="120"/>
      <c r="I9150" s="60"/>
      <c r="J9150" s="116"/>
      <c r="K9150" s="213"/>
      <c r="L9150" s="120"/>
      <c r="M9150" s="120"/>
      <c r="N9150" s="167"/>
      <c r="O9150" s="120"/>
      <c r="P9150" s="120"/>
      <c r="Q9150" s="120"/>
      <c r="R9150" s="120"/>
      <c r="S9150" s="120"/>
      <c r="T9150" s="221"/>
      <c r="U9150" s="89"/>
      <c r="V9150" s="61"/>
      <c r="W9150" s="92" t="s">
        <v>1030</v>
      </c>
      <c r="X9150" s="93" t="s">
        <v>29</v>
      </c>
      <c r="Y9150" s="93" t="s">
        <v>93</v>
      </c>
      <c r="Z9150" s="134">
        <f>VLOOKUP(W9150,Sheet2!$B:$D,3,FALSE)</f>
        <v>23</v>
      </c>
      <c r="AA9150" s="93">
        <f>1/(3.5*1)</f>
        <v>0.2857142857142857</v>
      </c>
      <c r="AB9150" s="93">
        <f>AD9150/AC9142</f>
        <v>80.5</v>
      </c>
      <c r="AC9150" s="93">
        <f>AC9142/AA9150</f>
        <v>7.1749999999999901</v>
      </c>
      <c r="AD9150" s="94">
        <f t="shared" ref="AD9150:AD9151" si="6187">AC9150*Z9150</f>
        <v>165.02499999999978</v>
      </c>
      <c r="AE9150" s="190"/>
      <c r="AF9150" s="191"/>
      <c r="AG9150" s="191"/>
      <c r="AH9150" s="191"/>
      <c r="AI9150" s="186"/>
      <c r="AK9150" s="171"/>
    </row>
    <row r="9151" spans="1:41" s="102" customFormat="1" ht="19.899999999999999" customHeight="1" x14ac:dyDescent="0.25">
      <c r="A9151" s="45"/>
      <c r="B9151" s="59"/>
      <c r="C9151" s="137"/>
      <c r="D9151" s="59"/>
      <c r="E9151" s="116"/>
      <c r="F9151" s="120"/>
      <c r="G9151" s="120"/>
      <c r="H9151" s="120"/>
      <c r="I9151" s="60"/>
      <c r="J9151" s="116"/>
      <c r="K9151" s="213"/>
      <c r="L9151" s="120"/>
      <c r="M9151" s="120"/>
      <c r="N9151" s="167"/>
      <c r="O9151" s="120"/>
      <c r="P9151" s="120"/>
      <c r="Q9151" s="120"/>
      <c r="R9151" s="120"/>
      <c r="S9151" s="120"/>
      <c r="T9151" s="221"/>
      <c r="U9151" s="89"/>
      <c r="V9151" s="61"/>
      <c r="W9151" s="92" t="s">
        <v>65</v>
      </c>
      <c r="X9151" s="93" t="s">
        <v>30</v>
      </c>
      <c r="Y9151" s="93" t="s">
        <v>1011</v>
      </c>
      <c r="Z9151" s="134">
        <f>VLOOKUP(W9151,Sheet2!$B:$D,3,FALSE)</f>
        <v>1.76</v>
      </c>
      <c r="AA9151" s="93">
        <f>AA9150/3</f>
        <v>9.5238095238095233E-2</v>
      </c>
      <c r="AB9151" s="93">
        <f>AD9151/AC9142</f>
        <v>18.48</v>
      </c>
      <c r="AC9151" s="93">
        <f>AC9142/AA9151</f>
        <v>21.52499999999997</v>
      </c>
      <c r="AD9151" s="94">
        <f t="shared" si="6187"/>
        <v>37.883999999999951</v>
      </c>
      <c r="AE9151" s="190"/>
      <c r="AF9151" s="191"/>
      <c r="AG9151" s="191"/>
      <c r="AH9151" s="191"/>
      <c r="AI9151" s="186"/>
      <c r="AK9151" s="171"/>
    </row>
    <row r="9152" spans="1:41" ht="20.100000000000001" customHeight="1" x14ac:dyDescent="0.25">
      <c r="A9152" s="277" t="s">
        <v>703</v>
      </c>
      <c r="B9152" s="278"/>
      <c r="C9152" s="64" t="s">
        <v>817</v>
      </c>
      <c r="D9152" s="46" t="s">
        <v>215</v>
      </c>
      <c r="E9152" s="114">
        <v>0.28999999999999915</v>
      </c>
      <c r="F9152" s="44">
        <v>35121</v>
      </c>
      <c r="G9152" s="44">
        <f t="shared" si="5545"/>
        <v>10185.089999999969</v>
      </c>
      <c r="H9152" s="44">
        <f t="shared" si="5546"/>
        <v>12579.561180699608</v>
      </c>
      <c r="I9152" s="43">
        <f t="shared" si="5547"/>
        <v>3648.0727424028755</v>
      </c>
      <c r="J9152" s="112">
        <f t="shared" si="5548"/>
        <v>0.28999999999999915</v>
      </c>
      <c r="K9152" s="211">
        <f t="shared" si="5549"/>
        <v>0.28999999999999915</v>
      </c>
      <c r="L9152" s="44"/>
      <c r="M9152" s="44">
        <f t="shared" si="5550"/>
        <v>0.28999999999999915</v>
      </c>
      <c r="N9152" s="173">
        <f t="shared" si="5551"/>
        <v>1</v>
      </c>
      <c r="O9152" s="44">
        <f t="shared" si="5552"/>
        <v>35121</v>
      </c>
      <c r="P9152" s="44">
        <f t="shared" si="5553"/>
        <v>10185.089999999969</v>
      </c>
      <c r="Q9152" s="44">
        <f t="shared" si="5554"/>
        <v>12579.561180699608</v>
      </c>
      <c r="R9152" s="44">
        <f t="shared" si="5555"/>
        <v>3648.0727424028755</v>
      </c>
      <c r="S9152" s="123"/>
      <c r="T9152" s="219">
        <f t="shared" si="5556"/>
        <v>3648.0727424028755</v>
      </c>
      <c r="U9152" s="87"/>
      <c r="V9152" s="47"/>
      <c r="W9152" s="48"/>
      <c r="X9152" s="48"/>
      <c r="Y9152" s="48"/>
      <c r="Z9152" s="135"/>
      <c r="AA9152" s="49"/>
      <c r="AB9152" s="50">
        <f t="shared" si="5557"/>
        <v>12579.561180699608</v>
      </c>
      <c r="AC9152" s="42">
        <f t="shared" si="5558"/>
        <v>0.28999999999999915</v>
      </c>
      <c r="AD9152" s="90">
        <f>AD9153+AD9158+AD9165+AD9172</f>
        <v>3648.0727424028755</v>
      </c>
      <c r="AE9152" s="188">
        <f t="shared" ref="AE9152" si="6188">AE9153+AE9158+AE9165+AE9172</f>
        <v>0</v>
      </c>
      <c r="AF9152" s="189">
        <f t="shared" ref="AF9152" si="6189">AF9153+AF9158+AF9165+AF9172</f>
        <v>0</v>
      </c>
      <c r="AG9152" s="189">
        <f t="shared" ref="AG9152" si="6190">AG9153+AG9158+AG9165+AG9172</f>
        <v>0</v>
      </c>
      <c r="AH9152" s="189">
        <f t="shared" ref="AH9152" si="6191">AH9153+AH9158+AH9165+AH9172</f>
        <v>0</v>
      </c>
      <c r="AI9152" s="161">
        <f t="shared" ref="AI9152:AI9153" si="6192">SUM(AE9152:AH9152)</f>
        <v>0</v>
      </c>
      <c r="AK9152" s="169">
        <v>5</v>
      </c>
      <c r="AO9152" s="19" t="s">
        <v>63</v>
      </c>
    </row>
    <row r="9153" spans="1:37" s="103" customFormat="1" ht="19.899999999999999" customHeight="1" x14ac:dyDescent="0.25">
      <c r="A9153" s="51"/>
      <c r="B9153" s="52"/>
      <c r="C9153" s="165"/>
      <c r="D9153" s="52"/>
      <c r="E9153" s="115"/>
      <c r="F9153" s="58"/>
      <c r="G9153" s="58"/>
      <c r="H9153" s="58"/>
      <c r="I9153" s="55"/>
      <c r="J9153" s="113">
        <f>J9152</f>
        <v>0.28999999999999915</v>
      </c>
      <c r="K9153" s="212">
        <f>K9152</f>
        <v>0.28999999999999915</v>
      </c>
      <c r="L9153" s="58"/>
      <c r="M9153" s="58">
        <f>K9153-L9153</f>
        <v>0.28999999999999915</v>
      </c>
      <c r="N9153" s="166"/>
      <c r="O9153" s="58"/>
      <c r="P9153" s="58"/>
      <c r="Q9153" s="58"/>
      <c r="R9153" s="58"/>
      <c r="S9153" s="58"/>
      <c r="T9153" s="220"/>
      <c r="U9153" s="88"/>
      <c r="V9153" s="56"/>
      <c r="W9153" s="57" t="s">
        <v>1518</v>
      </c>
      <c r="X9153" s="53"/>
      <c r="Y9153" s="91" t="s">
        <v>35</v>
      </c>
      <c r="Z9153" s="136">
        <f>AD9153/AC9153</f>
        <v>197.08222745098038</v>
      </c>
      <c r="AA9153" s="58"/>
      <c r="AB9153" s="53">
        <f>AD9153/AC9153</f>
        <v>197.08222745098038</v>
      </c>
      <c r="AC9153" s="53">
        <f>M9153+$AE$10</f>
        <v>0.28999999999999915</v>
      </c>
      <c r="AD9153" s="54">
        <f>SUM(AD9154:AD9157)</f>
        <v>57.153845960784146</v>
      </c>
      <c r="AE9153" s="184">
        <f>SUMIFS($AD$37:$AD$12971,$V$37:$V$12971,$V9153,$X$37:$X$12971,AE$13)</f>
        <v>0</v>
      </c>
      <c r="AF9153" s="185">
        <f>SUMIFS($AD$37:$AD$12971,$V$37:$V$12971,$V9153,$X$37:$X$12971,AF$13)</f>
        <v>0</v>
      </c>
      <c r="AG9153" s="185">
        <f>SUMIFS($AD$37:$AD$12971,$V$37:$V$12971,$V9153,$X$37:$X$12971,AG$13)</f>
        <v>0</v>
      </c>
      <c r="AH9153" s="187">
        <f>SUMIFS($AD$37:$AD$12971,$V$37:$V$12971,$V9153,$X$37:$X$12971,AH$13)</f>
        <v>0</v>
      </c>
      <c r="AI9153" s="161">
        <f t="shared" si="6192"/>
        <v>0</v>
      </c>
      <c r="AK9153" s="172"/>
    </row>
    <row r="9154" spans="1:37" s="102" customFormat="1" ht="19.899999999999999" customHeight="1" x14ac:dyDescent="0.25">
      <c r="A9154" s="45"/>
      <c r="B9154" s="59"/>
      <c r="C9154" s="137"/>
      <c r="D9154" s="59"/>
      <c r="E9154" s="116"/>
      <c r="F9154" s="120"/>
      <c r="G9154" s="120"/>
      <c r="H9154" s="120"/>
      <c r="I9154" s="60"/>
      <c r="J9154" s="116"/>
      <c r="K9154" s="213"/>
      <c r="L9154" s="120"/>
      <c r="M9154" s="120"/>
      <c r="N9154" s="167"/>
      <c r="O9154" s="120"/>
      <c r="P9154" s="120"/>
      <c r="Q9154" s="120"/>
      <c r="R9154" s="120"/>
      <c r="S9154" s="120"/>
      <c r="T9154" s="221"/>
      <c r="U9154" s="89"/>
      <c r="V9154" s="61"/>
      <c r="W9154" s="92" t="s">
        <v>129</v>
      </c>
      <c r="X9154" s="93" t="s">
        <v>29</v>
      </c>
      <c r="Y9154" s="93" t="s">
        <v>93</v>
      </c>
      <c r="Z9154" s="134">
        <f>VLOOKUP(W9154,Sheet2!$B:$D,3,FALSE)</f>
        <v>56</v>
      </c>
      <c r="AA9154" s="93">
        <f>100/(3.5*3.5*4)</f>
        <v>2.0408163265306123</v>
      </c>
      <c r="AB9154" s="93">
        <f t="shared" ref="AB9154" si="6193">AD9154/AC9153</f>
        <v>27.44</v>
      </c>
      <c r="AC9154" s="93">
        <f>AC9153/AA9154</f>
        <v>0.14209999999999959</v>
      </c>
      <c r="AD9154" s="94">
        <f t="shared" ref="AD9154:AD9155" si="6194">AC9154*Z9154</f>
        <v>7.9575999999999771</v>
      </c>
      <c r="AE9154" s="190"/>
      <c r="AF9154" s="191"/>
      <c r="AG9154" s="191"/>
      <c r="AH9154" s="191"/>
      <c r="AI9154" s="186"/>
      <c r="AK9154" s="171"/>
    </row>
    <row r="9155" spans="1:37" s="102" customFormat="1" ht="19.899999999999999" customHeight="1" x14ac:dyDescent="0.25">
      <c r="A9155" s="45"/>
      <c r="B9155" s="59"/>
      <c r="C9155" s="137"/>
      <c r="D9155" s="59"/>
      <c r="E9155" s="116"/>
      <c r="F9155" s="120"/>
      <c r="G9155" s="120"/>
      <c r="H9155" s="120"/>
      <c r="I9155" s="60"/>
      <c r="J9155" s="116"/>
      <c r="K9155" s="213"/>
      <c r="L9155" s="120"/>
      <c r="M9155" s="120"/>
      <c r="N9155" s="167"/>
      <c r="O9155" s="120"/>
      <c r="P9155" s="120"/>
      <c r="Q9155" s="120"/>
      <c r="R9155" s="120"/>
      <c r="S9155" s="120"/>
      <c r="T9155" s="221"/>
      <c r="U9155" s="89"/>
      <c r="V9155" s="61"/>
      <c r="W9155" s="92" t="s">
        <v>65</v>
      </c>
      <c r="X9155" s="93" t="s">
        <v>30</v>
      </c>
      <c r="Y9155" s="93" t="s">
        <v>1011</v>
      </c>
      <c r="Z9155" s="134">
        <f>VLOOKUP(W9155,Sheet2!$B:$D,3,FALSE)</f>
        <v>1.76</v>
      </c>
      <c r="AA9155" s="93">
        <f>AA9154/14</f>
        <v>0.1457725947521866</v>
      </c>
      <c r="AB9155" s="93">
        <f>AD9155/AC9153</f>
        <v>12.073599999999999</v>
      </c>
      <c r="AC9155" s="93">
        <f>AC9153/AA9155</f>
        <v>1.9893999999999941</v>
      </c>
      <c r="AD9155" s="94">
        <f t="shared" si="6194"/>
        <v>3.5013439999999894</v>
      </c>
      <c r="AE9155" s="190"/>
      <c r="AF9155" s="191"/>
      <c r="AG9155" s="191"/>
      <c r="AH9155" s="191"/>
      <c r="AI9155" s="186"/>
      <c r="AK9155" s="171"/>
    </row>
    <row r="9156" spans="1:37" s="102" customFormat="1" ht="19.899999999999999" customHeight="1" x14ac:dyDescent="0.25">
      <c r="A9156" s="45"/>
      <c r="B9156" s="59"/>
      <c r="C9156" s="137"/>
      <c r="D9156" s="59"/>
      <c r="E9156" s="116"/>
      <c r="F9156" s="120"/>
      <c r="G9156" s="120"/>
      <c r="H9156" s="120"/>
      <c r="I9156" s="60"/>
      <c r="J9156" s="116"/>
      <c r="K9156" s="213"/>
      <c r="L9156" s="120"/>
      <c r="M9156" s="120"/>
      <c r="N9156" s="167"/>
      <c r="O9156" s="120"/>
      <c r="P9156" s="120"/>
      <c r="Q9156" s="120"/>
      <c r="R9156" s="120"/>
      <c r="S9156" s="120"/>
      <c r="T9156" s="221"/>
      <c r="U9156" s="89"/>
      <c r="V9156" s="61"/>
      <c r="W9156" s="92" t="s">
        <v>161</v>
      </c>
      <c r="X9156" s="93" t="s">
        <v>29</v>
      </c>
      <c r="Y9156" s="93" t="s">
        <v>93</v>
      </c>
      <c r="Z9156" s="134">
        <f>VLOOKUP(W9156,Sheet2!$B:$D,3,FALSE)</f>
        <v>48</v>
      </c>
      <c r="AA9156" s="93">
        <f>(16*0.85*1.5)/(3.5*3.5*4)</f>
        <v>0.41632653061224489</v>
      </c>
      <c r="AB9156" s="93">
        <f>AD9156/AC9153</f>
        <v>115.29411764705883</v>
      </c>
      <c r="AC9156" s="93">
        <f>AC9153/AA9156</f>
        <v>0.69656862745097836</v>
      </c>
      <c r="AD9156" s="94">
        <f>AC9156*Z9156</f>
        <v>33.435294117646961</v>
      </c>
      <c r="AE9156" s="190"/>
      <c r="AF9156" s="191"/>
      <c r="AG9156" s="191"/>
      <c r="AH9156" s="191"/>
      <c r="AI9156" s="186"/>
      <c r="AK9156" s="171"/>
    </row>
    <row r="9157" spans="1:37" s="102" customFormat="1" ht="19.899999999999999" customHeight="1" x14ac:dyDescent="0.25">
      <c r="A9157" s="45"/>
      <c r="B9157" s="59"/>
      <c r="C9157" s="137"/>
      <c r="D9157" s="59"/>
      <c r="E9157" s="116"/>
      <c r="F9157" s="120"/>
      <c r="G9157" s="120"/>
      <c r="H9157" s="120"/>
      <c r="I9157" s="60"/>
      <c r="J9157" s="116"/>
      <c r="K9157" s="213"/>
      <c r="L9157" s="120"/>
      <c r="M9157" s="120"/>
      <c r="N9157" s="167"/>
      <c r="O9157" s="120"/>
      <c r="P9157" s="120"/>
      <c r="Q9157" s="120"/>
      <c r="R9157" s="120"/>
      <c r="S9157" s="120"/>
      <c r="T9157" s="221"/>
      <c r="U9157" s="89"/>
      <c r="V9157" s="61"/>
      <c r="W9157" s="92" t="s">
        <v>65</v>
      </c>
      <c r="X9157" s="93" t="s">
        <v>30</v>
      </c>
      <c r="Y9157" s="93" t="s">
        <v>1011</v>
      </c>
      <c r="Z9157" s="134">
        <f>VLOOKUP(W9157,Sheet2!$B:$D,3,FALSE)</f>
        <v>1.76</v>
      </c>
      <c r="AA9157" s="93">
        <f>AA9156/10</f>
        <v>4.1632653061224489E-2</v>
      </c>
      <c r="AB9157" s="93">
        <f>AD9157/AC9153</f>
        <v>42.274509803921568</v>
      </c>
      <c r="AC9157" s="93">
        <f>AC9153/AA9157</f>
        <v>6.9656862745097836</v>
      </c>
      <c r="AD9157" s="94">
        <f>AC9157*Z9157</f>
        <v>12.25960784313722</v>
      </c>
      <c r="AE9157" s="190"/>
      <c r="AF9157" s="191"/>
      <c r="AG9157" s="191"/>
      <c r="AH9157" s="191"/>
      <c r="AI9157" s="186"/>
      <c r="AK9157" s="171"/>
    </row>
    <row r="9158" spans="1:37" s="103" customFormat="1" ht="19.899999999999999" customHeight="1" x14ac:dyDescent="0.25">
      <c r="A9158" s="51"/>
      <c r="B9158" s="52"/>
      <c r="C9158" s="165"/>
      <c r="D9158" s="52"/>
      <c r="E9158" s="115"/>
      <c r="F9158" s="58"/>
      <c r="G9158" s="58"/>
      <c r="H9158" s="58"/>
      <c r="I9158" s="55"/>
      <c r="J9158" s="113">
        <f>J9152</f>
        <v>0.28999999999999915</v>
      </c>
      <c r="K9158" s="212">
        <f>K9152</f>
        <v>0.28999999999999915</v>
      </c>
      <c r="L9158" s="58"/>
      <c r="M9158" s="58">
        <f>K9158-L9158</f>
        <v>0.28999999999999915</v>
      </c>
      <c r="N9158" s="166"/>
      <c r="O9158" s="58"/>
      <c r="P9158" s="58"/>
      <c r="Q9158" s="58"/>
      <c r="R9158" s="58"/>
      <c r="S9158" s="58"/>
      <c r="T9158" s="220"/>
      <c r="U9158" s="88"/>
      <c r="V9158" s="56"/>
      <c r="W9158" s="57" t="s">
        <v>1486</v>
      </c>
      <c r="X9158" s="53"/>
      <c r="Y9158" s="91" t="s">
        <v>35</v>
      </c>
      <c r="Z9158" s="136">
        <f>AD9158/AC9158</f>
        <v>2396.5659999999998</v>
      </c>
      <c r="AA9158" s="58"/>
      <c r="AB9158" s="53">
        <f>AD9158/AC9158</f>
        <v>2396.5659999999998</v>
      </c>
      <c r="AC9158" s="53">
        <f>M9158+$AE$10</f>
        <v>0.28999999999999915</v>
      </c>
      <c r="AD9158" s="54">
        <f>SUM(AD9159:AD9164)</f>
        <v>695.00413999999785</v>
      </c>
      <c r="AE9158" s="184">
        <f>SUMIFS($AD$37:$AD$12971,$V$37:$V$12971,$V9158,$X$37:$X$12971,AE$13)</f>
        <v>0</v>
      </c>
      <c r="AF9158" s="185">
        <f>SUMIFS($AD$37:$AD$12971,$V$37:$V$12971,$V9158,$X$37:$X$12971,AF$13)</f>
        <v>0</v>
      </c>
      <c r="AG9158" s="185">
        <f>SUMIFS($AD$37:$AD$12971,$V$37:$V$12971,$V9158,$X$37:$X$12971,AG$13)</f>
        <v>0</v>
      </c>
      <c r="AH9158" s="187">
        <f>SUMIFS($AD$37:$AD$12971,$V$37:$V$12971,$V9158,$X$37:$X$12971,AH$13)</f>
        <v>0</v>
      </c>
      <c r="AI9158" s="161">
        <f t="shared" ref="AI9158" si="6195">SUM(AE9158:AH9158)</f>
        <v>0</v>
      </c>
      <c r="AK9158" s="172"/>
    </row>
    <row r="9159" spans="1:37" s="102" customFormat="1" ht="19.899999999999999" customHeight="1" x14ac:dyDescent="0.25">
      <c r="A9159" s="45"/>
      <c r="B9159" s="59"/>
      <c r="C9159" s="137"/>
      <c r="D9159" s="59"/>
      <c r="E9159" s="116"/>
      <c r="F9159" s="120"/>
      <c r="G9159" s="120"/>
      <c r="H9159" s="120"/>
      <c r="I9159" s="60"/>
      <c r="J9159" s="116"/>
      <c r="K9159" s="213"/>
      <c r="L9159" s="120"/>
      <c r="M9159" s="120"/>
      <c r="N9159" s="167"/>
      <c r="O9159" s="120"/>
      <c r="P9159" s="120"/>
      <c r="Q9159" s="120"/>
      <c r="R9159" s="120"/>
      <c r="S9159" s="120"/>
      <c r="T9159" s="221"/>
      <c r="U9159" s="89"/>
      <c r="V9159" s="61"/>
      <c r="W9159" s="92" t="s">
        <v>1032</v>
      </c>
      <c r="X9159" s="93" t="s">
        <v>30</v>
      </c>
      <c r="Y9159" s="93" t="s">
        <v>66</v>
      </c>
      <c r="Z9159" s="134">
        <f>VLOOKUP(W9159,Sheet2!$B:$D,3,FALSE)</f>
        <v>250</v>
      </c>
      <c r="AA9159" s="93">
        <f>1/(2.7*2.7*0.1)</f>
        <v>1.371742112482853</v>
      </c>
      <c r="AB9159" s="93">
        <f>AD9159/AC9165</f>
        <v>182.25000000000003</v>
      </c>
      <c r="AC9159" s="93">
        <f>AC9165/AA9159</f>
        <v>0.2114099999999994</v>
      </c>
      <c r="AD9159" s="94">
        <f t="shared" ref="AD9159:AD9161" si="6196">AC9159*Z9159</f>
        <v>52.85249999999985</v>
      </c>
      <c r="AE9159" s="190"/>
      <c r="AF9159" s="191"/>
      <c r="AG9159" s="191"/>
      <c r="AH9159" s="191"/>
      <c r="AI9159" s="186"/>
      <c r="AK9159" s="171"/>
    </row>
    <row r="9160" spans="1:37" s="102" customFormat="1" ht="19.899999999999999" customHeight="1" x14ac:dyDescent="0.25">
      <c r="A9160" s="45"/>
      <c r="B9160" s="59"/>
      <c r="C9160" s="137"/>
      <c r="D9160" s="59"/>
      <c r="E9160" s="116"/>
      <c r="F9160" s="120"/>
      <c r="G9160" s="120"/>
      <c r="H9160" s="120"/>
      <c r="I9160" s="60"/>
      <c r="J9160" s="116"/>
      <c r="K9160" s="213"/>
      <c r="L9160" s="120"/>
      <c r="M9160" s="120"/>
      <c r="N9160" s="167"/>
      <c r="O9160" s="120"/>
      <c r="P9160" s="120"/>
      <c r="Q9160" s="120"/>
      <c r="R9160" s="120"/>
      <c r="S9160" s="120"/>
      <c r="T9160" s="221"/>
      <c r="U9160" s="89"/>
      <c r="V9160" s="61"/>
      <c r="W9160" s="92" t="s">
        <v>1353</v>
      </c>
      <c r="X9160" s="93" t="s">
        <v>30</v>
      </c>
      <c r="Y9160" s="93" t="s">
        <v>66</v>
      </c>
      <c r="Z9160" s="134">
        <f>VLOOKUP(W9160,Sheet2!$B:$D,3,FALSE)</f>
        <v>350</v>
      </c>
      <c r="AA9160" s="93">
        <f>1/(2.6*2.6*0.3)</f>
        <v>0.49309664694280081</v>
      </c>
      <c r="AB9160" s="93">
        <f>AD9160/AC9165</f>
        <v>709.79999999999984</v>
      </c>
      <c r="AC9160" s="93">
        <f>AC9165/AA9160</f>
        <v>0.5881199999999982</v>
      </c>
      <c r="AD9160" s="94">
        <f t="shared" si="6196"/>
        <v>205.84199999999936</v>
      </c>
      <c r="AE9160" s="190"/>
      <c r="AF9160" s="191"/>
      <c r="AG9160" s="191"/>
      <c r="AH9160" s="191"/>
      <c r="AI9160" s="186"/>
      <c r="AK9160" s="171"/>
    </row>
    <row r="9161" spans="1:37" s="102" customFormat="1" ht="19.899999999999999" customHeight="1" x14ac:dyDescent="0.25">
      <c r="A9161" s="45"/>
      <c r="B9161" s="59"/>
      <c r="C9161" s="137"/>
      <c r="D9161" s="59"/>
      <c r="E9161" s="116"/>
      <c r="F9161" s="120"/>
      <c r="G9161" s="120"/>
      <c r="H9161" s="120"/>
      <c r="I9161" s="60"/>
      <c r="J9161" s="116"/>
      <c r="K9161" s="213"/>
      <c r="L9161" s="120"/>
      <c r="M9161" s="120"/>
      <c r="N9161" s="167"/>
      <c r="O9161" s="120"/>
      <c r="P9161" s="120"/>
      <c r="Q9161" s="120"/>
      <c r="R9161" s="120"/>
      <c r="S9161" s="120"/>
      <c r="T9161" s="221"/>
      <c r="U9161" s="89"/>
      <c r="V9161" s="61"/>
      <c r="W9161" s="92" t="s">
        <v>99</v>
      </c>
      <c r="X9161" s="93" t="s">
        <v>30</v>
      </c>
      <c r="Y9161" s="93" t="s">
        <v>67</v>
      </c>
      <c r="Z9161" s="134">
        <f>VLOOKUP(W9161,Sheet2!$B:$D,3,FALSE)</f>
        <v>2500</v>
      </c>
      <c r="AA9161" s="93">
        <f>AA9160/0.08</f>
        <v>6.16370808678501</v>
      </c>
      <c r="AB9161" s="93">
        <f>AD9161/AC9165</f>
        <v>405.59999999999997</v>
      </c>
      <c r="AC9161" s="93">
        <f>AC9165/AA9161</f>
        <v>4.7049599999999858E-2</v>
      </c>
      <c r="AD9161" s="94">
        <f t="shared" si="6196"/>
        <v>117.62399999999964</v>
      </c>
      <c r="AE9161" s="190"/>
      <c r="AF9161" s="191"/>
      <c r="AG9161" s="191"/>
      <c r="AH9161" s="191"/>
      <c r="AI9161" s="186"/>
      <c r="AK9161" s="171"/>
    </row>
    <row r="9162" spans="1:37" s="102" customFormat="1" ht="19.899999999999999" customHeight="1" x14ac:dyDescent="0.25">
      <c r="A9162" s="45"/>
      <c r="B9162" s="59"/>
      <c r="C9162" s="137"/>
      <c r="D9162" s="59"/>
      <c r="E9162" s="116"/>
      <c r="F9162" s="120"/>
      <c r="G9162" s="120"/>
      <c r="H9162" s="120"/>
      <c r="I9162" s="60"/>
      <c r="J9162" s="116"/>
      <c r="K9162" s="213"/>
      <c r="L9162" s="120"/>
      <c r="M9162" s="120"/>
      <c r="N9162" s="167"/>
      <c r="O9162" s="120"/>
      <c r="P9162" s="120"/>
      <c r="Q9162" s="120"/>
      <c r="R9162" s="120"/>
      <c r="S9162" s="120"/>
      <c r="T9162" s="221"/>
      <c r="U9162" s="89"/>
      <c r="V9162" s="61"/>
      <c r="W9162" s="92" t="s">
        <v>1354</v>
      </c>
      <c r="X9162" s="93" t="s">
        <v>32</v>
      </c>
      <c r="Y9162" s="93" t="s">
        <v>66</v>
      </c>
      <c r="Z9162" s="134">
        <f>VLOOKUP(W9162,Sheet2!$B:$D,3,FALSE)</f>
        <v>150</v>
      </c>
      <c r="AA9162" s="93">
        <f>AA9159</f>
        <v>1.371742112482853</v>
      </c>
      <c r="AB9162" s="93">
        <f>AD9162/AC9165</f>
        <v>109.35000000000002</v>
      </c>
      <c r="AC9162" s="93">
        <f>AC9165/AA9162</f>
        <v>0.2114099999999994</v>
      </c>
      <c r="AD9162" s="94">
        <f>AC9162*Z9162</f>
        <v>31.711499999999912</v>
      </c>
      <c r="AE9162" s="190"/>
      <c r="AF9162" s="191"/>
      <c r="AG9162" s="191"/>
      <c r="AH9162" s="191"/>
      <c r="AI9162" s="186"/>
      <c r="AK9162" s="171"/>
    </row>
    <row r="9163" spans="1:37" s="102" customFormat="1" ht="19.899999999999999" customHeight="1" x14ac:dyDescent="0.25">
      <c r="A9163" s="45"/>
      <c r="B9163" s="59"/>
      <c r="C9163" s="137"/>
      <c r="D9163" s="59"/>
      <c r="E9163" s="116"/>
      <c r="F9163" s="120"/>
      <c r="G9163" s="120"/>
      <c r="H9163" s="120"/>
      <c r="I9163" s="60"/>
      <c r="J9163" s="116"/>
      <c r="K9163" s="213"/>
      <c r="L9163" s="120"/>
      <c r="M9163" s="120"/>
      <c r="N9163" s="167"/>
      <c r="O9163" s="120"/>
      <c r="P9163" s="120"/>
      <c r="Q9163" s="120"/>
      <c r="R9163" s="120"/>
      <c r="S9163" s="120"/>
      <c r="T9163" s="221"/>
      <c r="U9163" s="89"/>
      <c r="V9163" s="61"/>
      <c r="W9163" s="92" t="s">
        <v>1355</v>
      </c>
      <c r="X9163" s="93" t="s">
        <v>32</v>
      </c>
      <c r="Y9163" s="93" t="s">
        <v>66</v>
      </c>
      <c r="Z9163" s="134">
        <f>VLOOKUP(W9163,Sheet2!$B:$D,3,FALSE)</f>
        <v>450</v>
      </c>
      <c r="AA9163" s="93">
        <f>AA9160</f>
        <v>0.49309664694280081</v>
      </c>
      <c r="AB9163" s="93">
        <f>AD9163/AC9165</f>
        <v>912.59999999999991</v>
      </c>
      <c r="AC9163" s="93">
        <f>AC9165/AA9163</f>
        <v>0.5881199999999982</v>
      </c>
      <c r="AD9163" s="94">
        <f>AC9163*Z9163</f>
        <v>264.6539999999992</v>
      </c>
      <c r="AE9163" s="190"/>
      <c r="AF9163" s="191"/>
      <c r="AG9163" s="191"/>
      <c r="AH9163" s="191"/>
      <c r="AI9163" s="186"/>
      <c r="AK9163" s="171"/>
    </row>
    <row r="9164" spans="1:37" s="102" customFormat="1" ht="19.899999999999999" customHeight="1" x14ac:dyDescent="0.25">
      <c r="A9164" s="45"/>
      <c r="B9164" s="59"/>
      <c r="C9164" s="137"/>
      <c r="D9164" s="59"/>
      <c r="E9164" s="116"/>
      <c r="F9164" s="120"/>
      <c r="G9164" s="120"/>
      <c r="H9164" s="120"/>
      <c r="I9164" s="60"/>
      <c r="J9164" s="116"/>
      <c r="K9164" s="213"/>
      <c r="L9164" s="120"/>
      <c r="M9164" s="120"/>
      <c r="N9164" s="167"/>
      <c r="O9164" s="120"/>
      <c r="P9164" s="120"/>
      <c r="Q9164" s="120"/>
      <c r="R9164" s="120"/>
      <c r="S9164" s="120"/>
      <c r="T9164" s="221"/>
      <c r="U9164" s="89"/>
      <c r="V9164" s="61"/>
      <c r="W9164" s="92" t="s">
        <v>124</v>
      </c>
      <c r="X9164" s="93" t="s">
        <v>32</v>
      </c>
      <c r="Y9164" s="93" t="s">
        <v>64</v>
      </c>
      <c r="Z9164" s="134">
        <f>VLOOKUP(W9164,Sheet2!$B:$D,3,FALSE)</f>
        <v>10</v>
      </c>
      <c r="AA9164" s="93">
        <f>1/((3.2*3.2)-(3.14*1.8*1.8/4))</f>
        <v>0.12992750045474621</v>
      </c>
      <c r="AB9164" s="93">
        <f t="shared" ref="AB9164" si="6197">AD9164/AC9158</f>
        <v>76.966000000000022</v>
      </c>
      <c r="AC9164" s="93">
        <f>AC9158/AA9164</f>
        <v>2.2320139999999942</v>
      </c>
      <c r="AD9164" s="94">
        <f t="shared" ref="AD9164" si="6198">AC9164*Z9164</f>
        <v>22.320139999999942</v>
      </c>
      <c r="AE9164" s="190"/>
      <c r="AF9164" s="191"/>
      <c r="AG9164" s="191"/>
      <c r="AH9164" s="191"/>
      <c r="AI9164" s="186"/>
      <c r="AK9164" s="171"/>
    </row>
    <row r="9165" spans="1:37" s="103" customFormat="1" ht="19.899999999999999" customHeight="1" x14ac:dyDescent="0.25">
      <c r="A9165" s="51"/>
      <c r="B9165" s="52"/>
      <c r="C9165" s="165"/>
      <c r="D9165" s="52"/>
      <c r="E9165" s="115"/>
      <c r="F9165" s="58"/>
      <c r="G9165" s="58"/>
      <c r="H9165" s="58"/>
      <c r="I9165" s="55"/>
      <c r="J9165" s="113">
        <f>J9152</f>
        <v>0.28999999999999915</v>
      </c>
      <c r="K9165" s="212">
        <f>K9152</f>
        <v>0.28999999999999915</v>
      </c>
      <c r="L9165" s="58"/>
      <c r="M9165" s="58">
        <f>K9165-L9165</f>
        <v>0.28999999999999915</v>
      </c>
      <c r="N9165" s="166"/>
      <c r="O9165" s="58"/>
      <c r="P9165" s="58"/>
      <c r="Q9165" s="58"/>
      <c r="R9165" s="58"/>
      <c r="S9165" s="58"/>
      <c r="T9165" s="220"/>
      <c r="U9165" s="88"/>
      <c r="V9165" s="56"/>
      <c r="W9165" s="57" t="s">
        <v>1275</v>
      </c>
      <c r="X9165" s="53"/>
      <c r="Y9165" s="91" t="s">
        <v>35</v>
      </c>
      <c r="Z9165" s="136">
        <f>AD9165/AC9165</f>
        <v>9287.8000000000011</v>
      </c>
      <c r="AA9165" s="58"/>
      <c r="AB9165" s="53">
        <f>AD9165/AC9165</f>
        <v>9287.8000000000011</v>
      </c>
      <c r="AC9165" s="53">
        <f>M9165+$AE$10</f>
        <v>0.28999999999999915</v>
      </c>
      <c r="AD9165" s="54">
        <f>SUM(AD9166:AD9171)</f>
        <v>2693.4619999999923</v>
      </c>
      <c r="AE9165" s="184">
        <f>SUMIFS($AD$37:$AD$12971,$V$37:$V$12971,$V9165,$X$37:$X$12971,AE$13)</f>
        <v>0</v>
      </c>
      <c r="AF9165" s="185">
        <f>SUMIFS($AD$37:$AD$12971,$V$37:$V$12971,$V9165,$X$37:$X$12971,AF$13)</f>
        <v>0</v>
      </c>
      <c r="AG9165" s="185">
        <f>SUMIFS($AD$37:$AD$12971,$V$37:$V$12971,$V9165,$X$37:$X$12971,AG$13)</f>
        <v>0</v>
      </c>
      <c r="AH9165" s="187">
        <f>SUMIFS($AD$37:$AD$12971,$V$37:$V$12971,$V9165,$X$37:$X$12971,AH$13)</f>
        <v>0</v>
      </c>
      <c r="AI9165" s="161">
        <f t="shared" ref="AI9165" si="6199">SUM(AE9165:AH9165)</f>
        <v>0</v>
      </c>
      <c r="AK9165" s="172"/>
    </row>
    <row r="9166" spans="1:37" s="102" customFormat="1" ht="19.899999999999999" customHeight="1" x14ac:dyDescent="0.25">
      <c r="A9166" s="45"/>
      <c r="B9166" s="59"/>
      <c r="C9166" s="137"/>
      <c r="D9166" s="59"/>
      <c r="E9166" s="116"/>
      <c r="F9166" s="120"/>
      <c r="G9166" s="120"/>
      <c r="H9166" s="120"/>
      <c r="I9166" s="60"/>
      <c r="J9166" s="116"/>
      <c r="K9166" s="213"/>
      <c r="L9166" s="120"/>
      <c r="M9166" s="120"/>
      <c r="N9166" s="167"/>
      <c r="O9166" s="120"/>
      <c r="P9166" s="120"/>
      <c r="Q9166" s="120"/>
      <c r="R9166" s="120"/>
      <c r="S9166" s="120"/>
      <c r="T9166" s="221"/>
      <c r="U9166" s="89"/>
      <c r="V9166" s="61"/>
      <c r="W9166" s="92" t="s">
        <v>1503</v>
      </c>
      <c r="X9166" s="93" t="s">
        <v>30</v>
      </c>
      <c r="Y9166" s="93" t="s">
        <v>35</v>
      </c>
      <c r="Z9166" s="134">
        <f>VLOOKUP(W9166,Sheet2!$B:$D,3,FALSE)</f>
        <v>7515</v>
      </c>
      <c r="AA9166" s="93">
        <v>1</v>
      </c>
      <c r="AB9166" s="93">
        <f>AD9166/AC9165</f>
        <v>7515</v>
      </c>
      <c r="AC9166" s="93">
        <f>AC9165/AA9166</f>
        <v>0.28999999999999915</v>
      </c>
      <c r="AD9166" s="94">
        <f t="shared" ref="AD9166:AD9167" si="6200">AC9166*Z9166</f>
        <v>2179.3499999999935</v>
      </c>
      <c r="AE9166" s="190"/>
      <c r="AF9166" s="191"/>
      <c r="AG9166" s="191"/>
      <c r="AH9166" s="191"/>
      <c r="AI9166" s="186"/>
      <c r="AK9166" s="171"/>
    </row>
    <row r="9167" spans="1:37" s="102" customFormat="1" ht="19.899999999999999" customHeight="1" x14ac:dyDescent="0.25">
      <c r="A9167" s="45"/>
      <c r="B9167" s="59"/>
      <c r="C9167" s="137"/>
      <c r="D9167" s="59"/>
      <c r="E9167" s="116"/>
      <c r="F9167" s="120"/>
      <c r="G9167" s="120"/>
      <c r="H9167" s="120"/>
      <c r="I9167" s="60"/>
      <c r="J9167" s="116"/>
      <c r="K9167" s="213"/>
      <c r="L9167" s="120"/>
      <c r="M9167" s="120"/>
      <c r="N9167" s="167"/>
      <c r="O9167" s="120"/>
      <c r="P9167" s="120"/>
      <c r="Q9167" s="120"/>
      <c r="R9167" s="120"/>
      <c r="S9167" s="120"/>
      <c r="T9167" s="221"/>
      <c r="U9167" s="89"/>
      <c r="V9167" s="61"/>
      <c r="W9167" s="92" t="s">
        <v>174</v>
      </c>
      <c r="X9167" s="93" t="s">
        <v>29</v>
      </c>
      <c r="Y9167" s="93" t="s">
        <v>93</v>
      </c>
      <c r="Z9167" s="134">
        <f>VLOOKUP(W9167,Sheet2!$B:$D,3,FALSE)</f>
        <v>80</v>
      </c>
      <c r="AA9167" s="93">
        <f>1/2</f>
        <v>0.5</v>
      </c>
      <c r="AB9167" s="93">
        <f>AD9167/AC9165</f>
        <v>160</v>
      </c>
      <c r="AC9167" s="93">
        <f>AC9165/AA9167</f>
        <v>0.57999999999999829</v>
      </c>
      <c r="AD9167" s="94">
        <f t="shared" si="6200"/>
        <v>46.399999999999864</v>
      </c>
      <c r="AE9167" s="190"/>
      <c r="AF9167" s="191"/>
      <c r="AG9167" s="191"/>
      <c r="AH9167" s="191"/>
      <c r="AI9167" s="186"/>
      <c r="AK9167" s="171"/>
    </row>
    <row r="9168" spans="1:37" s="102" customFormat="1" ht="19.899999999999999" customHeight="1" x14ac:dyDescent="0.25">
      <c r="A9168" s="45"/>
      <c r="B9168" s="59"/>
      <c r="C9168" s="137"/>
      <c r="D9168" s="59"/>
      <c r="E9168" s="116"/>
      <c r="F9168" s="120"/>
      <c r="G9168" s="120"/>
      <c r="H9168" s="120"/>
      <c r="I9168" s="60"/>
      <c r="J9168" s="116"/>
      <c r="K9168" s="213"/>
      <c r="L9168" s="120"/>
      <c r="M9168" s="120"/>
      <c r="N9168" s="167"/>
      <c r="O9168" s="120"/>
      <c r="P9168" s="120"/>
      <c r="Q9168" s="120"/>
      <c r="R9168" s="120"/>
      <c r="S9168" s="120"/>
      <c r="T9168" s="221"/>
      <c r="U9168" s="89"/>
      <c r="V9168" s="61"/>
      <c r="W9168" s="92" t="s">
        <v>65</v>
      </c>
      <c r="X9168" s="93" t="s">
        <v>30</v>
      </c>
      <c r="Y9168" s="93" t="s">
        <v>93</v>
      </c>
      <c r="Z9168" s="134">
        <f>VLOOKUP(W9168,Sheet2!$B:$D,3,FALSE)</f>
        <v>1.76</v>
      </c>
      <c r="AA9168" s="93">
        <f>AA9167/15</f>
        <v>3.3333333333333333E-2</v>
      </c>
      <c r="AB9168" s="93">
        <f>AD9168/AC9165</f>
        <v>52.8</v>
      </c>
      <c r="AC9168" s="93">
        <f>AC9165/AA9168</f>
        <v>8.6999999999999744</v>
      </c>
      <c r="AD9168" s="94">
        <f>AC9168*Z9168</f>
        <v>15.311999999999955</v>
      </c>
      <c r="AE9168" s="190"/>
      <c r="AF9168" s="191"/>
      <c r="AG9168" s="191"/>
      <c r="AH9168" s="191"/>
      <c r="AI9168" s="186"/>
      <c r="AK9168" s="171"/>
    </row>
    <row r="9169" spans="1:37" s="102" customFormat="1" ht="19.899999999999999" customHeight="1" x14ac:dyDescent="0.25">
      <c r="A9169" s="45"/>
      <c r="B9169" s="59"/>
      <c r="C9169" s="137"/>
      <c r="D9169" s="59"/>
      <c r="E9169" s="116"/>
      <c r="F9169" s="120"/>
      <c r="G9169" s="120"/>
      <c r="H9169" s="120"/>
      <c r="I9169" s="60"/>
      <c r="J9169" s="116"/>
      <c r="K9169" s="213"/>
      <c r="L9169" s="120"/>
      <c r="M9169" s="120"/>
      <c r="N9169" s="167"/>
      <c r="O9169" s="120"/>
      <c r="P9169" s="120"/>
      <c r="Q9169" s="120"/>
      <c r="R9169" s="120"/>
      <c r="S9169" s="120"/>
      <c r="T9169" s="221"/>
      <c r="U9169" s="89"/>
      <c r="V9169" s="61"/>
      <c r="W9169" s="92" t="s">
        <v>1487</v>
      </c>
      <c r="X9169" s="93" t="s">
        <v>32</v>
      </c>
      <c r="Y9169" s="93" t="s">
        <v>1349</v>
      </c>
      <c r="Z9169" s="134">
        <f>VLOOKUP(W9169,Sheet2!$B:$D,3,FALSE)</f>
        <v>1500</v>
      </c>
      <c r="AA9169" s="93">
        <v>1</v>
      </c>
      <c r="AB9169" s="93">
        <f>AD9169/AC9165</f>
        <v>1500</v>
      </c>
      <c r="AC9169" s="93">
        <f>AC9165/AA9169</f>
        <v>0.28999999999999915</v>
      </c>
      <c r="AD9169" s="94">
        <f>AC9169*Z9169</f>
        <v>434.99999999999875</v>
      </c>
      <c r="AE9169" s="190"/>
      <c r="AF9169" s="191"/>
      <c r="AG9169" s="191"/>
      <c r="AH9169" s="191"/>
      <c r="AI9169" s="186"/>
      <c r="AK9169" s="171"/>
    </row>
    <row r="9170" spans="1:37" s="102" customFormat="1" ht="19.899999999999999" customHeight="1" x14ac:dyDescent="0.25">
      <c r="A9170" s="45"/>
      <c r="B9170" s="59"/>
      <c r="C9170" s="137"/>
      <c r="D9170" s="59"/>
      <c r="E9170" s="116"/>
      <c r="F9170" s="120"/>
      <c r="G9170" s="120"/>
      <c r="H9170" s="120"/>
      <c r="I9170" s="60"/>
      <c r="J9170" s="116"/>
      <c r="K9170" s="213"/>
      <c r="L9170" s="120"/>
      <c r="M9170" s="120"/>
      <c r="N9170" s="167"/>
      <c r="O9170" s="120"/>
      <c r="P9170" s="120"/>
      <c r="Q9170" s="120"/>
      <c r="R9170" s="120"/>
      <c r="S9170" s="120"/>
      <c r="T9170" s="221"/>
      <c r="U9170" s="89"/>
      <c r="V9170" s="61"/>
      <c r="W9170" s="92" t="s">
        <v>107</v>
      </c>
      <c r="X9170" s="93" t="s">
        <v>31</v>
      </c>
      <c r="Y9170" s="93" t="s">
        <v>93</v>
      </c>
      <c r="Z9170" s="134">
        <f>VLOOKUP(W9170,Sheet2!$B:$D,3,FALSE)</f>
        <v>17</v>
      </c>
      <c r="AA9170" s="93">
        <f>AA9167</f>
        <v>0.5</v>
      </c>
      <c r="AB9170" s="93">
        <f>AD9170/AC9165</f>
        <v>34</v>
      </c>
      <c r="AC9170" s="93">
        <f>AC9165/AA9170</f>
        <v>0.57999999999999829</v>
      </c>
      <c r="AD9170" s="94">
        <f>AC9170*Z9170</f>
        <v>9.859999999999971</v>
      </c>
      <c r="AE9170" s="190"/>
      <c r="AF9170" s="191"/>
      <c r="AG9170" s="191"/>
      <c r="AH9170" s="191"/>
      <c r="AI9170" s="186"/>
      <c r="AK9170" s="171"/>
    </row>
    <row r="9171" spans="1:37" s="102" customFormat="1" ht="19.899999999999999" customHeight="1" x14ac:dyDescent="0.25">
      <c r="A9171" s="45"/>
      <c r="B9171" s="59"/>
      <c r="C9171" s="137"/>
      <c r="D9171" s="59"/>
      <c r="E9171" s="116"/>
      <c r="F9171" s="120"/>
      <c r="G9171" s="120"/>
      <c r="H9171" s="120"/>
      <c r="I9171" s="60"/>
      <c r="J9171" s="116"/>
      <c r="K9171" s="213"/>
      <c r="L9171" s="120"/>
      <c r="M9171" s="120"/>
      <c r="N9171" s="167"/>
      <c r="O9171" s="120"/>
      <c r="P9171" s="120"/>
      <c r="Q9171" s="120"/>
      <c r="R9171" s="120"/>
      <c r="S9171" s="120"/>
      <c r="T9171" s="221"/>
      <c r="U9171" s="89"/>
      <c r="V9171" s="61"/>
      <c r="W9171" s="92" t="s">
        <v>112</v>
      </c>
      <c r="X9171" s="93" t="s">
        <v>31</v>
      </c>
      <c r="Y9171" s="93" t="s">
        <v>93</v>
      </c>
      <c r="Z9171" s="134">
        <f>VLOOKUP(W9171,Sheet2!$B:$D,3,FALSE)</f>
        <v>13</v>
      </c>
      <c r="AA9171" s="93">
        <f>AA9170</f>
        <v>0.5</v>
      </c>
      <c r="AB9171" s="93">
        <f>AD9171/AC9165</f>
        <v>26</v>
      </c>
      <c r="AC9171" s="93">
        <f>AC9165/AA9171</f>
        <v>0.57999999999999829</v>
      </c>
      <c r="AD9171" s="94">
        <f>AC9171*Z9171</f>
        <v>7.5399999999999778</v>
      </c>
      <c r="AE9171" s="190"/>
      <c r="AF9171" s="191"/>
      <c r="AG9171" s="191"/>
      <c r="AH9171" s="191"/>
      <c r="AI9171" s="186"/>
      <c r="AK9171" s="171"/>
    </row>
    <row r="9172" spans="1:37" s="103" customFormat="1" ht="19.899999999999999" customHeight="1" x14ac:dyDescent="0.25">
      <c r="A9172" s="51"/>
      <c r="B9172" s="52"/>
      <c r="C9172" s="165"/>
      <c r="D9172" s="52"/>
      <c r="E9172" s="115"/>
      <c r="F9172" s="58"/>
      <c r="G9172" s="58"/>
      <c r="H9172" s="58"/>
      <c r="I9172" s="55"/>
      <c r="J9172" s="113">
        <f>J9152</f>
        <v>0.28999999999999915</v>
      </c>
      <c r="K9172" s="212">
        <f>K9152</f>
        <v>0.28999999999999915</v>
      </c>
      <c r="L9172" s="58"/>
      <c r="M9172" s="58">
        <f>K9172-L9172</f>
        <v>0.28999999999999915</v>
      </c>
      <c r="N9172" s="166"/>
      <c r="O9172" s="58"/>
      <c r="P9172" s="58"/>
      <c r="Q9172" s="58"/>
      <c r="R9172" s="58"/>
      <c r="S9172" s="58"/>
      <c r="T9172" s="220"/>
      <c r="U9172" s="88"/>
      <c r="V9172" s="56"/>
      <c r="W9172" s="57" t="s">
        <v>1272</v>
      </c>
      <c r="X9172" s="53"/>
      <c r="Y9172" s="91" t="s">
        <v>35</v>
      </c>
      <c r="Z9172" s="136">
        <f>AD9172/AC9172</f>
        <v>698.11295324862749</v>
      </c>
      <c r="AA9172" s="58"/>
      <c r="AB9172" s="53">
        <f>AD9172/AC9172</f>
        <v>698.11295324862749</v>
      </c>
      <c r="AC9172" s="53">
        <f>M9172+$AE$10</f>
        <v>0.28999999999999915</v>
      </c>
      <c r="AD9172" s="54">
        <f>SUM(AD9173:AD9181)</f>
        <v>202.45275644210139</v>
      </c>
      <c r="AE9172" s="184">
        <f>SUMIFS($AD$37:$AD$12971,$V$37:$V$12971,$V9172,$X$37:$X$12971,AE$13)</f>
        <v>0</v>
      </c>
      <c r="AF9172" s="185">
        <f>SUMIFS($AD$37:$AD$12971,$V$37:$V$12971,$V9172,$X$37:$X$12971,AF$13)</f>
        <v>0</v>
      </c>
      <c r="AG9172" s="185">
        <f>SUMIFS($AD$37:$AD$12971,$V$37:$V$12971,$V9172,$X$37:$X$12971,AG$13)</f>
        <v>0</v>
      </c>
      <c r="AH9172" s="187">
        <f>SUMIFS($AD$37:$AD$12971,$V$37:$V$12971,$V9172,$X$37:$X$12971,AH$13)</f>
        <v>0</v>
      </c>
      <c r="AI9172" s="161">
        <f t="shared" ref="AI9172" si="6201">SUM(AE9172:AH9172)</f>
        <v>0</v>
      </c>
      <c r="AK9172" s="172"/>
    </row>
    <row r="9173" spans="1:37" s="102" customFormat="1" ht="19.899999999999999" customHeight="1" x14ac:dyDescent="0.25">
      <c r="A9173" s="45"/>
      <c r="B9173" s="59"/>
      <c r="C9173" s="137"/>
      <c r="D9173" s="59"/>
      <c r="E9173" s="116"/>
      <c r="F9173" s="120"/>
      <c r="G9173" s="120"/>
      <c r="H9173" s="120"/>
      <c r="I9173" s="60"/>
      <c r="J9173" s="116"/>
      <c r="K9173" s="213"/>
      <c r="L9173" s="120"/>
      <c r="M9173" s="120"/>
      <c r="N9173" s="167"/>
      <c r="O9173" s="120"/>
      <c r="P9173" s="120"/>
      <c r="Q9173" s="120"/>
      <c r="R9173" s="120"/>
      <c r="S9173" s="120"/>
      <c r="T9173" s="221"/>
      <c r="U9173" s="89"/>
      <c r="V9173" s="61"/>
      <c r="W9173" s="92" t="s">
        <v>1273</v>
      </c>
      <c r="X9173" s="93" t="s">
        <v>30</v>
      </c>
      <c r="Y9173" s="93" t="s">
        <v>66</v>
      </c>
      <c r="Z9173" s="134">
        <f>VLOOKUP(W9173,Sheet2!$B:$D,3,FALSE)</f>
        <v>10</v>
      </c>
      <c r="AA9173" s="93">
        <f>1/((3.5*3.5*4)-(3.14/4*1.8*1.8*4))</f>
        <v>2.5755671398842026E-2</v>
      </c>
      <c r="AB9173" s="93">
        <f>AD9173/AC9172</f>
        <v>388.26399999999995</v>
      </c>
      <c r="AC9173" s="93">
        <f>AC9172/AA9173</f>
        <v>11.259655999999966</v>
      </c>
      <c r="AD9173" s="94">
        <f t="shared" ref="AD9173:AD9175" si="6202">AC9173*Z9173</f>
        <v>112.59655999999966</v>
      </c>
      <c r="AE9173" s="190"/>
      <c r="AF9173" s="191"/>
      <c r="AG9173" s="191"/>
      <c r="AH9173" s="191"/>
      <c r="AI9173" s="186"/>
      <c r="AK9173" s="171"/>
    </row>
    <row r="9174" spans="1:37" s="102" customFormat="1" ht="19.899999999999999" customHeight="1" x14ac:dyDescent="0.25">
      <c r="A9174" s="45"/>
      <c r="B9174" s="59"/>
      <c r="C9174" s="137"/>
      <c r="D9174" s="59"/>
      <c r="E9174" s="116"/>
      <c r="F9174" s="120"/>
      <c r="G9174" s="120"/>
      <c r="H9174" s="120"/>
      <c r="I9174" s="60"/>
      <c r="J9174" s="116"/>
      <c r="K9174" s="213"/>
      <c r="L9174" s="120"/>
      <c r="M9174" s="120"/>
      <c r="N9174" s="167"/>
      <c r="O9174" s="120"/>
      <c r="P9174" s="120"/>
      <c r="Q9174" s="120"/>
      <c r="R9174" s="120"/>
      <c r="S9174" s="120"/>
      <c r="T9174" s="221"/>
      <c r="U9174" s="89"/>
      <c r="V9174" s="61"/>
      <c r="W9174" s="92" t="s">
        <v>134</v>
      </c>
      <c r="X9174" s="93" t="s">
        <v>29</v>
      </c>
      <c r="Y9174" s="93" t="s">
        <v>93</v>
      </c>
      <c r="Z9174" s="134">
        <f>VLOOKUP(W9174,Sheet2!$B:$D,3,FALSE)</f>
        <v>65.599999999999994</v>
      </c>
      <c r="AA9174" s="93">
        <f>100/((3.5*3.5*4)-(3.14/4*1.8*1.8*4))</f>
        <v>2.5755671398842024</v>
      </c>
      <c r="AB9174" s="93">
        <f t="shared" ref="AB9174" si="6203">AD9174/AC9172</f>
        <v>25.4701184</v>
      </c>
      <c r="AC9174" s="93">
        <f>AC9172/AA9174</f>
        <v>0.11259655999999968</v>
      </c>
      <c r="AD9174" s="94">
        <f t="shared" si="6202"/>
        <v>7.3863343359999787</v>
      </c>
      <c r="AE9174" s="190"/>
      <c r="AF9174" s="191"/>
      <c r="AG9174" s="191"/>
      <c r="AH9174" s="191"/>
      <c r="AI9174" s="186"/>
      <c r="AK9174" s="171"/>
    </row>
    <row r="9175" spans="1:37" s="102" customFormat="1" ht="19.899999999999999" customHeight="1" x14ac:dyDescent="0.25">
      <c r="A9175" s="45"/>
      <c r="B9175" s="59"/>
      <c r="C9175" s="137"/>
      <c r="D9175" s="59"/>
      <c r="E9175" s="116"/>
      <c r="F9175" s="120"/>
      <c r="G9175" s="120"/>
      <c r="H9175" s="120"/>
      <c r="I9175" s="60"/>
      <c r="J9175" s="116"/>
      <c r="K9175" s="213"/>
      <c r="L9175" s="120"/>
      <c r="M9175" s="120"/>
      <c r="N9175" s="167"/>
      <c r="O9175" s="120"/>
      <c r="P9175" s="120"/>
      <c r="Q9175" s="120"/>
      <c r="R9175" s="120"/>
      <c r="S9175" s="120"/>
      <c r="T9175" s="221"/>
      <c r="U9175" s="89"/>
      <c r="V9175" s="61"/>
      <c r="W9175" s="92" t="s">
        <v>65</v>
      </c>
      <c r="X9175" s="93" t="s">
        <v>30</v>
      </c>
      <c r="Y9175" s="93" t="s">
        <v>1011</v>
      </c>
      <c r="Z9175" s="134">
        <f>VLOOKUP(W9175,Sheet2!$B:$D,3,FALSE)</f>
        <v>1.76</v>
      </c>
      <c r="AA9175" s="93">
        <f>AA9174/9</f>
        <v>0.28617412665380026</v>
      </c>
      <c r="AB9175" s="93">
        <f>AD9175/AC9172</f>
        <v>6.1501017600000001</v>
      </c>
      <c r="AC9175" s="93">
        <f>AC9172/AA9175</f>
        <v>1.0133690399999971</v>
      </c>
      <c r="AD9175" s="94">
        <f t="shared" si="6202"/>
        <v>1.7835295103999949</v>
      </c>
      <c r="AE9175" s="190"/>
      <c r="AF9175" s="191"/>
      <c r="AG9175" s="191"/>
      <c r="AH9175" s="191"/>
      <c r="AI9175" s="186"/>
      <c r="AK9175" s="171"/>
    </row>
    <row r="9176" spans="1:37" s="102" customFormat="1" ht="19.899999999999999" customHeight="1" x14ac:dyDescent="0.25">
      <c r="A9176" s="45"/>
      <c r="B9176" s="59"/>
      <c r="C9176" s="137"/>
      <c r="D9176" s="59"/>
      <c r="E9176" s="116"/>
      <c r="F9176" s="120"/>
      <c r="G9176" s="120"/>
      <c r="H9176" s="120"/>
      <c r="I9176" s="60"/>
      <c r="J9176" s="116"/>
      <c r="K9176" s="213"/>
      <c r="L9176" s="120"/>
      <c r="M9176" s="120"/>
      <c r="N9176" s="167"/>
      <c r="O9176" s="120"/>
      <c r="P9176" s="120"/>
      <c r="Q9176" s="120"/>
      <c r="R9176" s="120"/>
      <c r="S9176" s="120"/>
      <c r="T9176" s="221"/>
      <c r="U9176" s="89"/>
      <c r="V9176" s="61"/>
      <c r="W9176" s="92" t="s">
        <v>161</v>
      </c>
      <c r="X9176" s="93" t="s">
        <v>29</v>
      </c>
      <c r="Y9176" s="93" t="s">
        <v>93</v>
      </c>
      <c r="Z9176" s="134">
        <f>VLOOKUP(W9176,Sheet2!$B:$D,3,FALSE)</f>
        <v>48</v>
      </c>
      <c r="AA9176" s="93">
        <f>(16*0.85*1.5)/((3.5*3.5*4)-(3.14/4*1.8*1.8*4))</f>
        <v>0.52541569653637732</v>
      </c>
      <c r="AB9176" s="93">
        <f>AD9176/AC9172</f>
        <v>91.356235294117639</v>
      </c>
      <c r="AC9176" s="93">
        <f>AC9172/AA9176</f>
        <v>0.55194392156862582</v>
      </c>
      <c r="AD9176" s="94">
        <f>AC9176*Z9176</f>
        <v>26.493308235294037</v>
      </c>
      <c r="AE9176" s="190"/>
      <c r="AF9176" s="191"/>
      <c r="AG9176" s="191"/>
      <c r="AH9176" s="191"/>
      <c r="AI9176" s="186"/>
      <c r="AK9176" s="171"/>
    </row>
    <row r="9177" spans="1:37" s="102" customFormat="1" ht="19.899999999999999" customHeight="1" x14ac:dyDescent="0.25">
      <c r="A9177" s="45"/>
      <c r="B9177" s="59"/>
      <c r="C9177" s="137"/>
      <c r="D9177" s="59"/>
      <c r="E9177" s="116"/>
      <c r="F9177" s="120"/>
      <c r="G9177" s="120"/>
      <c r="H9177" s="120"/>
      <c r="I9177" s="60"/>
      <c r="J9177" s="116"/>
      <c r="K9177" s="213"/>
      <c r="L9177" s="120"/>
      <c r="M9177" s="120"/>
      <c r="N9177" s="167"/>
      <c r="O9177" s="120"/>
      <c r="P9177" s="120"/>
      <c r="Q9177" s="120"/>
      <c r="R9177" s="120"/>
      <c r="S9177" s="120"/>
      <c r="T9177" s="221"/>
      <c r="U9177" s="89"/>
      <c r="V9177" s="61"/>
      <c r="W9177" s="92" t="s">
        <v>65</v>
      </c>
      <c r="X9177" s="93" t="s">
        <v>30</v>
      </c>
      <c r="Y9177" s="93" t="s">
        <v>1011</v>
      </c>
      <c r="Z9177" s="134">
        <f>VLOOKUP(W9177,Sheet2!$B:$D,3,FALSE)</f>
        <v>1.76</v>
      </c>
      <c r="AA9177" s="93">
        <f>AA9176/10</f>
        <v>5.2541569653637731E-2</v>
      </c>
      <c r="AB9177" s="93">
        <f>AD9177/AC9172</f>
        <v>33.497286274509804</v>
      </c>
      <c r="AC9177" s="93">
        <f>AC9172/AA9177</f>
        <v>5.5194392156862584</v>
      </c>
      <c r="AD9177" s="94">
        <f>AC9177*Z9177</f>
        <v>9.7142130196078149</v>
      </c>
      <c r="AE9177" s="190"/>
      <c r="AF9177" s="191"/>
      <c r="AG9177" s="191"/>
      <c r="AH9177" s="191"/>
      <c r="AI9177" s="186"/>
      <c r="AK9177" s="171"/>
    </row>
    <row r="9178" spans="1:37" s="102" customFormat="1" ht="19.899999999999999" customHeight="1" x14ac:dyDescent="0.25">
      <c r="A9178" s="45"/>
      <c r="B9178" s="59"/>
      <c r="C9178" s="137"/>
      <c r="D9178" s="59"/>
      <c r="E9178" s="116"/>
      <c r="F9178" s="120"/>
      <c r="G9178" s="120"/>
      <c r="H9178" s="120"/>
      <c r="I9178" s="60"/>
      <c r="J9178" s="116"/>
      <c r="K9178" s="213"/>
      <c r="L9178" s="120"/>
      <c r="M9178" s="120"/>
      <c r="N9178" s="167"/>
      <c r="O9178" s="120"/>
      <c r="P9178" s="120"/>
      <c r="Q9178" s="120"/>
      <c r="R9178" s="120"/>
      <c r="S9178" s="120"/>
      <c r="T9178" s="221"/>
      <c r="U9178" s="89"/>
      <c r="V9178" s="61"/>
      <c r="W9178" s="92" t="s">
        <v>173</v>
      </c>
      <c r="X9178" s="93" t="s">
        <v>29</v>
      </c>
      <c r="Y9178" s="93" t="s">
        <v>93</v>
      </c>
      <c r="Z9178" s="134">
        <f>VLOOKUP(W9178,Sheet2!$B:$D,3,FALSE)</f>
        <v>36</v>
      </c>
      <c r="AA9178" s="93">
        <f>50/((3.5*3.5*4)-(3.14/4*1.8*1.8*4))</f>
        <v>1.2877835699421012</v>
      </c>
      <c r="AB9178" s="93">
        <f>AD9178/AC9172</f>
        <v>27.955007999999999</v>
      </c>
      <c r="AC9178" s="93">
        <f>AC9172/AA9178</f>
        <v>0.22519311999999936</v>
      </c>
      <c r="AD9178" s="94">
        <f>AC9178*Z9178</f>
        <v>8.1069523199999765</v>
      </c>
      <c r="AE9178" s="190"/>
      <c r="AF9178" s="191"/>
      <c r="AG9178" s="191"/>
      <c r="AH9178" s="191"/>
      <c r="AI9178" s="186"/>
      <c r="AK9178" s="171"/>
    </row>
    <row r="9179" spans="1:37" s="102" customFormat="1" ht="19.899999999999999" customHeight="1" x14ac:dyDescent="0.25">
      <c r="A9179" s="45"/>
      <c r="B9179" s="59"/>
      <c r="C9179" s="137"/>
      <c r="D9179" s="59"/>
      <c r="E9179" s="116"/>
      <c r="F9179" s="120"/>
      <c r="G9179" s="120"/>
      <c r="H9179" s="120"/>
      <c r="I9179" s="60"/>
      <c r="J9179" s="116"/>
      <c r="K9179" s="213"/>
      <c r="L9179" s="120"/>
      <c r="M9179" s="120"/>
      <c r="N9179" s="167"/>
      <c r="O9179" s="120"/>
      <c r="P9179" s="120"/>
      <c r="Q9179" s="120"/>
      <c r="R9179" s="120"/>
      <c r="S9179" s="120"/>
      <c r="T9179" s="221"/>
      <c r="U9179" s="89"/>
      <c r="V9179" s="61"/>
      <c r="W9179" s="92" t="s">
        <v>65</v>
      </c>
      <c r="X9179" s="93" t="s">
        <v>30</v>
      </c>
      <c r="Y9179" s="93" t="s">
        <v>1011</v>
      </c>
      <c r="Z9179" s="134">
        <f>VLOOKUP(W9179,Sheet2!$B:$D,3,FALSE)</f>
        <v>1.76</v>
      </c>
      <c r="AA9179" s="93">
        <f>AA9178/9</f>
        <v>0.14308706332690013</v>
      </c>
      <c r="AB9179" s="93">
        <f>AD9179/AC9172</f>
        <v>12.30020352</v>
      </c>
      <c r="AC9179" s="93">
        <f>AC9172/AA9179</f>
        <v>2.0267380799999941</v>
      </c>
      <c r="AD9179" s="94">
        <f>AC9179*Z9179</f>
        <v>3.5670590207999897</v>
      </c>
      <c r="AE9179" s="190"/>
      <c r="AF9179" s="191"/>
      <c r="AG9179" s="191"/>
      <c r="AH9179" s="191"/>
      <c r="AI9179" s="186"/>
      <c r="AK9179" s="171"/>
    </row>
    <row r="9180" spans="1:37" s="102" customFormat="1" ht="19.899999999999999" customHeight="1" x14ac:dyDescent="0.25">
      <c r="A9180" s="45"/>
      <c r="B9180" s="59"/>
      <c r="C9180" s="137"/>
      <c r="D9180" s="59"/>
      <c r="E9180" s="116"/>
      <c r="F9180" s="120"/>
      <c r="G9180" s="120"/>
      <c r="H9180" s="120"/>
      <c r="I9180" s="60"/>
      <c r="J9180" s="116"/>
      <c r="K9180" s="213"/>
      <c r="L9180" s="120"/>
      <c r="M9180" s="120"/>
      <c r="N9180" s="167"/>
      <c r="O9180" s="120"/>
      <c r="P9180" s="120"/>
      <c r="Q9180" s="120"/>
      <c r="R9180" s="120"/>
      <c r="S9180" s="120"/>
      <c r="T9180" s="221"/>
      <c r="U9180" s="89"/>
      <c r="V9180" s="61"/>
      <c r="W9180" s="92" t="s">
        <v>1030</v>
      </c>
      <c r="X9180" s="93" t="s">
        <v>29</v>
      </c>
      <c r="Y9180" s="93" t="s">
        <v>93</v>
      </c>
      <c r="Z9180" s="134">
        <f>VLOOKUP(W9180,Sheet2!$B:$D,3,FALSE)</f>
        <v>23</v>
      </c>
      <c r="AA9180" s="93">
        <f>1/(4*1)</f>
        <v>0.25</v>
      </c>
      <c r="AB9180" s="93">
        <f>AD9180/AC9172</f>
        <v>92</v>
      </c>
      <c r="AC9180" s="93">
        <f>AC9172/AA9180</f>
        <v>1.1599999999999966</v>
      </c>
      <c r="AD9180" s="94">
        <f t="shared" ref="AD9180:AD9181" si="6204">AC9180*Z9180</f>
        <v>26.679999999999922</v>
      </c>
      <c r="AE9180" s="190"/>
      <c r="AF9180" s="191"/>
      <c r="AG9180" s="191"/>
      <c r="AH9180" s="191"/>
      <c r="AI9180" s="186"/>
      <c r="AK9180" s="171"/>
    </row>
    <row r="9181" spans="1:37" s="102" customFormat="1" ht="19.899999999999999" customHeight="1" x14ac:dyDescent="0.25">
      <c r="A9181" s="45"/>
      <c r="B9181" s="59"/>
      <c r="C9181" s="137"/>
      <c r="D9181" s="59"/>
      <c r="E9181" s="116"/>
      <c r="F9181" s="120"/>
      <c r="G9181" s="120"/>
      <c r="H9181" s="120"/>
      <c r="I9181" s="60"/>
      <c r="J9181" s="116"/>
      <c r="K9181" s="213"/>
      <c r="L9181" s="120"/>
      <c r="M9181" s="120"/>
      <c r="N9181" s="167"/>
      <c r="O9181" s="120"/>
      <c r="P9181" s="120"/>
      <c r="Q9181" s="120"/>
      <c r="R9181" s="120"/>
      <c r="S9181" s="120"/>
      <c r="T9181" s="221"/>
      <c r="U9181" s="89"/>
      <c r="V9181" s="61"/>
      <c r="W9181" s="92" t="s">
        <v>65</v>
      </c>
      <c r="X9181" s="93" t="s">
        <v>30</v>
      </c>
      <c r="Y9181" s="93" t="s">
        <v>1011</v>
      </c>
      <c r="Z9181" s="134">
        <f>VLOOKUP(W9181,Sheet2!$B:$D,3,FALSE)</f>
        <v>1.76</v>
      </c>
      <c r="AA9181" s="93">
        <f>AA9180/3</f>
        <v>8.3333333333333329E-2</v>
      </c>
      <c r="AB9181" s="93">
        <f>AD9181/AC9172</f>
        <v>21.12</v>
      </c>
      <c r="AC9181" s="93">
        <f>AC9172/AA9181</f>
        <v>3.4799999999999898</v>
      </c>
      <c r="AD9181" s="94">
        <f t="shared" si="6204"/>
        <v>6.1247999999999818</v>
      </c>
      <c r="AE9181" s="190"/>
      <c r="AF9181" s="191"/>
      <c r="AG9181" s="191"/>
      <c r="AH9181" s="191"/>
      <c r="AI9181" s="186"/>
      <c r="AK9181" s="171"/>
    </row>
    <row r="9182" spans="1:37" ht="20.100000000000001" customHeight="1" x14ac:dyDescent="0.25">
      <c r="A9182" s="277" t="s">
        <v>703</v>
      </c>
      <c r="B9182" s="278"/>
      <c r="C9182" s="64" t="s">
        <v>819</v>
      </c>
      <c r="D9182" s="46" t="s">
        <v>215</v>
      </c>
      <c r="E9182" s="114"/>
      <c r="F9182" s="44">
        <v>0</v>
      </c>
      <c r="G9182" s="44">
        <f t="shared" si="5545"/>
        <v>0</v>
      </c>
      <c r="H9182" s="44">
        <f t="shared" si="5546"/>
        <v>0</v>
      </c>
      <c r="I9182" s="43">
        <f t="shared" si="5547"/>
        <v>0</v>
      </c>
      <c r="J9182" s="112">
        <f t="shared" si="5548"/>
        <v>0</v>
      </c>
      <c r="K9182" s="211">
        <f t="shared" si="5549"/>
        <v>0</v>
      </c>
      <c r="L9182" s="44"/>
      <c r="M9182" s="44">
        <f t="shared" si="5550"/>
        <v>0</v>
      </c>
      <c r="N9182" s="173">
        <f t="shared" si="5551"/>
        <v>0</v>
      </c>
      <c r="O9182" s="44">
        <f t="shared" si="5552"/>
        <v>0</v>
      </c>
      <c r="P9182" s="44">
        <f t="shared" si="5553"/>
        <v>0</v>
      </c>
      <c r="Q9182" s="44">
        <f t="shared" si="5554"/>
        <v>0</v>
      </c>
      <c r="R9182" s="44">
        <f t="shared" si="5555"/>
        <v>0</v>
      </c>
      <c r="S9182" s="123"/>
      <c r="T9182" s="219">
        <f t="shared" si="5556"/>
        <v>0</v>
      </c>
      <c r="U9182" s="87"/>
      <c r="V9182" s="47"/>
      <c r="W9182" s="48"/>
      <c r="X9182" s="48"/>
      <c r="Y9182" s="48"/>
      <c r="Z9182" s="135"/>
      <c r="AA9182" s="49"/>
      <c r="AB9182" s="50">
        <f t="shared" si="5557"/>
        <v>0</v>
      </c>
      <c r="AC9182" s="42">
        <f t="shared" si="5558"/>
        <v>9.9999999999999998E-20</v>
      </c>
      <c r="AD9182" s="90"/>
      <c r="AE9182" s="188"/>
      <c r="AF9182" s="189"/>
      <c r="AG9182" s="189"/>
      <c r="AH9182" s="189"/>
      <c r="AI9182" s="161"/>
    </row>
    <row r="9183" spans="1:37" s="306" customFormat="1" ht="20.100000000000001" customHeight="1" x14ac:dyDescent="0.25">
      <c r="A9183" s="287" t="s">
        <v>703</v>
      </c>
      <c r="B9183" s="288"/>
      <c r="C9183" s="286" t="s">
        <v>834</v>
      </c>
      <c r="D9183" s="289"/>
      <c r="E9183" s="290"/>
      <c r="F9183" s="291"/>
      <c r="G9183" s="291"/>
      <c r="H9183" s="291"/>
      <c r="I9183" s="292"/>
      <c r="J9183" s="290"/>
      <c r="K9183" s="293"/>
      <c r="L9183" s="291"/>
      <c r="M9183" s="291"/>
      <c r="N9183" s="294"/>
      <c r="O9183" s="291"/>
      <c r="P9183" s="291"/>
      <c r="Q9183" s="291"/>
      <c r="R9183" s="291"/>
      <c r="S9183" s="291"/>
      <c r="T9183" s="295"/>
      <c r="U9183" s="296"/>
      <c r="V9183" s="297"/>
      <c r="W9183" s="298"/>
      <c r="X9183" s="299"/>
      <c r="Y9183" s="300"/>
      <c r="Z9183" s="301"/>
      <c r="AA9183" s="300"/>
      <c r="AB9183" s="300"/>
      <c r="AC9183" s="300"/>
      <c r="AD9183" s="302"/>
      <c r="AE9183" s="303"/>
      <c r="AF9183" s="304"/>
      <c r="AG9183" s="304"/>
      <c r="AH9183" s="304"/>
      <c r="AI9183" s="305"/>
      <c r="AK9183" s="307"/>
    </row>
    <row r="9184" spans="1:37" ht="20.100000000000001" customHeight="1" x14ac:dyDescent="0.25">
      <c r="A9184" s="277" t="s">
        <v>703</v>
      </c>
      <c r="B9184" s="278"/>
      <c r="C9184" s="64" t="s">
        <v>808</v>
      </c>
      <c r="D9184" s="46" t="s">
        <v>215</v>
      </c>
      <c r="E9184" s="114"/>
      <c r="F9184" s="44">
        <v>0</v>
      </c>
      <c r="G9184" s="44">
        <f t="shared" si="5545"/>
        <v>0</v>
      </c>
      <c r="H9184" s="44">
        <f t="shared" si="5546"/>
        <v>0</v>
      </c>
      <c r="I9184" s="43">
        <f t="shared" si="5547"/>
        <v>0</v>
      </c>
      <c r="J9184" s="112">
        <f t="shared" si="5548"/>
        <v>0</v>
      </c>
      <c r="K9184" s="211">
        <f t="shared" si="5549"/>
        <v>0</v>
      </c>
      <c r="L9184" s="44"/>
      <c r="M9184" s="44">
        <f t="shared" si="5550"/>
        <v>0</v>
      </c>
      <c r="N9184" s="173">
        <f t="shared" si="5551"/>
        <v>0</v>
      </c>
      <c r="O9184" s="44">
        <f t="shared" si="5552"/>
        <v>0</v>
      </c>
      <c r="P9184" s="44">
        <f t="shared" si="5553"/>
        <v>0</v>
      </c>
      <c r="Q9184" s="44">
        <f t="shared" si="5554"/>
        <v>0</v>
      </c>
      <c r="R9184" s="44">
        <f t="shared" si="5555"/>
        <v>0</v>
      </c>
      <c r="S9184" s="123"/>
      <c r="T9184" s="219">
        <f t="shared" si="5556"/>
        <v>0</v>
      </c>
      <c r="U9184" s="87"/>
      <c r="V9184" s="47"/>
      <c r="W9184" s="48"/>
      <c r="X9184" s="48"/>
      <c r="Y9184" s="48"/>
      <c r="Z9184" s="135"/>
      <c r="AA9184" s="49"/>
      <c r="AB9184" s="50">
        <f t="shared" si="5557"/>
        <v>0</v>
      </c>
      <c r="AC9184" s="42">
        <f t="shared" si="5558"/>
        <v>9.9999999999999998E-20</v>
      </c>
      <c r="AD9184" s="90"/>
      <c r="AE9184" s="188"/>
      <c r="AF9184" s="189"/>
      <c r="AG9184" s="189"/>
      <c r="AH9184" s="189"/>
      <c r="AI9184" s="161"/>
    </row>
    <row r="9185" spans="1:41" ht="20.100000000000001" customHeight="1" x14ac:dyDescent="0.25">
      <c r="A9185" s="277" t="s">
        <v>703</v>
      </c>
      <c r="B9185" s="278"/>
      <c r="C9185" s="64" t="s">
        <v>809</v>
      </c>
      <c r="D9185" s="46" t="s">
        <v>215</v>
      </c>
      <c r="E9185" s="114"/>
      <c r="F9185" s="44">
        <v>0</v>
      </c>
      <c r="G9185" s="44">
        <f t="shared" si="5545"/>
        <v>0</v>
      </c>
      <c r="H9185" s="44">
        <f t="shared" si="5546"/>
        <v>0</v>
      </c>
      <c r="I9185" s="43">
        <f t="shared" si="5547"/>
        <v>0</v>
      </c>
      <c r="J9185" s="112">
        <f t="shared" si="5548"/>
        <v>0</v>
      </c>
      <c r="K9185" s="211">
        <f t="shared" si="5549"/>
        <v>0</v>
      </c>
      <c r="L9185" s="44"/>
      <c r="M9185" s="44">
        <f t="shared" si="5550"/>
        <v>0</v>
      </c>
      <c r="N9185" s="173">
        <f t="shared" si="5551"/>
        <v>0</v>
      </c>
      <c r="O9185" s="44">
        <f t="shared" si="5552"/>
        <v>0</v>
      </c>
      <c r="P9185" s="44">
        <f t="shared" si="5553"/>
        <v>0</v>
      </c>
      <c r="Q9185" s="44">
        <f t="shared" si="5554"/>
        <v>0</v>
      </c>
      <c r="R9185" s="44">
        <f t="shared" si="5555"/>
        <v>0</v>
      </c>
      <c r="S9185" s="123"/>
      <c r="T9185" s="219">
        <f t="shared" si="5556"/>
        <v>0</v>
      </c>
      <c r="U9185" s="87"/>
      <c r="V9185" s="47"/>
      <c r="W9185" s="48"/>
      <c r="X9185" s="48"/>
      <c r="Y9185" s="48"/>
      <c r="Z9185" s="135"/>
      <c r="AA9185" s="49"/>
      <c r="AB9185" s="50">
        <f t="shared" si="5557"/>
        <v>0</v>
      </c>
      <c r="AC9185" s="42">
        <f t="shared" si="5558"/>
        <v>9.9999999999999998E-20</v>
      </c>
      <c r="AD9185" s="90"/>
      <c r="AE9185" s="188"/>
      <c r="AF9185" s="189"/>
      <c r="AG9185" s="189"/>
      <c r="AH9185" s="189"/>
      <c r="AI9185" s="161"/>
    </row>
    <row r="9186" spans="1:41" ht="20.100000000000001" customHeight="1" x14ac:dyDescent="0.25">
      <c r="A9186" s="277" t="s">
        <v>703</v>
      </c>
      <c r="B9186" s="278"/>
      <c r="C9186" s="64" t="s">
        <v>810</v>
      </c>
      <c r="D9186" s="46" t="s">
        <v>215</v>
      </c>
      <c r="E9186" s="114"/>
      <c r="F9186" s="44">
        <v>0</v>
      </c>
      <c r="G9186" s="44">
        <f t="shared" si="5545"/>
        <v>0</v>
      </c>
      <c r="H9186" s="44">
        <f t="shared" si="5546"/>
        <v>0</v>
      </c>
      <c r="I9186" s="43">
        <f t="shared" si="5547"/>
        <v>0</v>
      </c>
      <c r="J9186" s="112">
        <f t="shared" si="5548"/>
        <v>0</v>
      </c>
      <c r="K9186" s="211">
        <f t="shared" si="5549"/>
        <v>0</v>
      </c>
      <c r="L9186" s="44"/>
      <c r="M9186" s="44">
        <f t="shared" si="5550"/>
        <v>0</v>
      </c>
      <c r="N9186" s="173">
        <f t="shared" si="5551"/>
        <v>0</v>
      </c>
      <c r="O9186" s="44">
        <f t="shared" si="5552"/>
        <v>0</v>
      </c>
      <c r="P9186" s="44">
        <f t="shared" si="5553"/>
        <v>0</v>
      </c>
      <c r="Q9186" s="44">
        <f t="shared" si="5554"/>
        <v>0</v>
      </c>
      <c r="R9186" s="44">
        <f t="shared" si="5555"/>
        <v>0</v>
      </c>
      <c r="S9186" s="123"/>
      <c r="T9186" s="219">
        <f t="shared" si="5556"/>
        <v>0</v>
      </c>
      <c r="U9186" s="87"/>
      <c r="V9186" s="47"/>
      <c r="W9186" s="48"/>
      <c r="X9186" s="48"/>
      <c r="Y9186" s="48"/>
      <c r="Z9186" s="135"/>
      <c r="AA9186" s="49"/>
      <c r="AB9186" s="50">
        <f t="shared" si="5557"/>
        <v>0</v>
      </c>
      <c r="AC9186" s="42">
        <f t="shared" si="5558"/>
        <v>9.9999999999999998E-20</v>
      </c>
      <c r="AD9186" s="90"/>
      <c r="AE9186" s="188"/>
      <c r="AF9186" s="189"/>
      <c r="AG9186" s="189"/>
      <c r="AH9186" s="189"/>
      <c r="AI9186" s="161"/>
    </row>
    <row r="9187" spans="1:41" ht="20.100000000000001" customHeight="1" x14ac:dyDescent="0.25">
      <c r="A9187" s="277" t="s">
        <v>703</v>
      </c>
      <c r="B9187" s="278"/>
      <c r="C9187" s="64" t="s">
        <v>811</v>
      </c>
      <c r="D9187" s="46" t="s">
        <v>215</v>
      </c>
      <c r="E9187" s="114"/>
      <c r="F9187" s="44">
        <v>0</v>
      </c>
      <c r="G9187" s="44">
        <f t="shared" si="5545"/>
        <v>0</v>
      </c>
      <c r="H9187" s="44">
        <f t="shared" si="5546"/>
        <v>0</v>
      </c>
      <c r="I9187" s="43">
        <f t="shared" si="5547"/>
        <v>0</v>
      </c>
      <c r="J9187" s="112">
        <f t="shared" si="5548"/>
        <v>0</v>
      </c>
      <c r="K9187" s="211">
        <f t="shared" si="5549"/>
        <v>0</v>
      </c>
      <c r="L9187" s="44"/>
      <c r="M9187" s="44">
        <f t="shared" si="5550"/>
        <v>0</v>
      </c>
      <c r="N9187" s="173">
        <f t="shared" si="5551"/>
        <v>0</v>
      </c>
      <c r="O9187" s="44">
        <f t="shared" si="5552"/>
        <v>0</v>
      </c>
      <c r="P9187" s="44">
        <f t="shared" si="5553"/>
        <v>0</v>
      </c>
      <c r="Q9187" s="44">
        <f t="shared" si="5554"/>
        <v>0</v>
      </c>
      <c r="R9187" s="44">
        <f t="shared" si="5555"/>
        <v>0</v>
      </c>
      <c r="S9187" s="123"/>
      <c r="T9187" s="219">
        <f t="shared" si="5556"/>
        <v>0</v>
      </c>
      <c r="U9187" s="87"/>
      <c r="V9187" s="47"/>
      <c r="W9187" s="48"/>
      <c r="X9187" s="48"/>
      <c r="Y9187" s="48"/>
      <c r="Z9187" s="135"/>
      <c r="AA9187" s="49"/>
      <c r="AB9187" s="50">
        <f t="shared" si="5557"/>
        <v>0</v>
      </c>
      <c r="AC9187" s="42">
        <f t="shared" si="5558"/>
        <v>9.9999999999999998E-20</v>
      </c>
      <c r="AD9187" s="90"/>
      <c r="AE9187" s="188"/>
      <c r="AF9187" s="189"/>
      <c r="AG9187" s="189"/>
      <c r="AH9187" s="189"/>
      <c r="AI9187" s="161"/>
    </row>
    <row r="9188" spans="1:41" ht="20.100000000000001" customHeight="1" x14ac:dyDescent="0.25">
      <c r="A9188" s="277" t="s">
        <v>703</v>
      </c>
      <c r="B9188" s="278"/>
      <c r="C9188" s="64" t="s">
        <v>812</v>
      </c>
      <c r="D9188" s="46" t="s">
        <v>215</v>
      </c>
      <c r="E9188" s="114"/>
      <c r="F9188" s="44">
        <v>0</v>
      </c>
      <c r="G9188" s="44">
        <f t="shared" si="5545"/>
        <v>0</v>
      </c>
      <c r="H9188" s="44">
        <f t="shared" si="5546"/>
        <v>0</v>
      </c>
      <c r="I9188" s="43">
        <f t="shared" si="5547"/>
        <v>0</v>
      </c>
      <c r="J9188" s="112">
        <f t="shared" si="5548"/>
        <v>0</v>
      </c>
      <c r="K9188" s="211">
        <f t="shared" si="5549"/>
        <v>0</v>
      </c>
      <c r="L9188" s="44"/>
      <c r="M9188" s="44">
        <f t="shared" si="5550"/>
        <v>0</v>
      </c>
      <c r="N9188" s="173">
        <f t="shared" si="5551"/>
        <v>0</v>
      </c>
      <c r="O9188" s="44">
        <f t="shared" si="5552"/>
        <v>0</v>
      </c>
      <c r="P9188" s="44">
        <f t="shared" si="5553"/>
        <v>0</v>
      </c>
      <c r="Q9188" s="44">
        <f t="shared" si="5554"/>
        <v>0</v>
      </c>
      <c r="R9188" s="44">
        <f t="shared" si="5555"/>
        <v>0</v>
      </c>
      <c r="S9188" s="123"/>
      <c r="T9188" s="219">
        <f t="shared" si="5556"/>
        <v>0</v>
      </c>
      <c r="U9188" s="87"/>
      <c r="V9188" s="47"/>
      <c r="W9188" s="48"/>
      <c r="X9188" s="48"/>
      <c r="Y9188" s="48"/>
      <c r="Z9188" s="135"/>
      <c r="AA9188" s="49"/>
      <c r="AB9188" s="50">
        <f t="shared" si="5557"/>
        <v>0</v>
      </c>
      <c r="AC9188" s="42">
        <f t="shared" si="5558"/>
        <v>9.9999999999999998E-20</v>
      </c>
      <c r="AD9188" s="90"/>
      <c r="AE9188" s="188"/>
      <c r="AF9188" s="189"/>
      <c r="AG9188" s="189"/>
      <c r="AH9188" s="189"/>
      <c r="AI9188" s="161"/>
    </row>
    <row r="9189" spans="1:41" ht="20.100000000000001" customHeight="1" x14ac:dyDescent="0.25">
      <c r="A9189" s="277" t="s">
        <v>703</v>
      </c>
      <c r="B9189" s="278"/>
      <c r="C9189" s="64" t="s">
        <v>813</v>
      </c>
      <c r="D9189" s="46" t="s">
        <v>215</v>
      </c>
      <c r="E9189" s="114"/>
      <c r="F9189" s="44">
        <v>0</v>
      </c>
      <c r="G9189" s="44">
        <f t="shared" si="5545"/>
        <v>0</v>
      </c>
      <c r="H9189" s="44">
        <f t="shared" si="5546"/>
        <v>0</v>
      </c>
      <c r="I9189" s="43">
        <f t="shared" si="5547"/>
        <v>0</v>
      </c>
      <c r="J9189" s="112">
        <f t="shared" si="5548"/>
        <v>0</v>
      </c>
      <c r="K9189" s="211">
        <f t="shared" si="5549"/>
        <v>0</v>
      </c>
      <c r="L9189" s="44"/>
      <c r="M9189" s="44">
        <f t="shared" si="5550"/>
        <v>0</v>
      </c>
      <c r="N9189" s="173">
        <f t="shared" si="5551"/>
        <v>0</v>
      </c>
      <c r="O9189" s="44">
        <f t="shared" si="5552"/>
        <v>0</v>
      </c>
      <c r="P9189" s="44">
        <f t="shared" si="5553"/>
        <v>0</v>
      </c>
      <c r="Q9189" s="44">
        <f t="shared" si="5554"/>
        <v>0</v>
      </c>
      <c r="R9189" s="44">
        <f t="shared" si="5555"/>
        <v>0</v>
      </c>
      <c r="S9189" s="123"/>
      <c r="T9189" s="219">
        <f t="shared" si="5556"/>
        <v>0</v>
      </c>
      <c r="U9189" s="87"/>
      <c r="V9189" s="47"/>
      <c r="W9189" s="48"/>
      <c r="X9189" s="48"/>
      <c r="Y9189" s="48"/>
      <c r="Z9189" s="135"/>
      <c r="AA9189" s="49"/>
      <c r="AB9189" s="50">
        <f t="shared" si="5557"/>
        <v>0</v>
      </c>
      <c r="AC9189" s="42">
        <f t="shared" si="5558"/>
        <v>9.9999999999999998E-20</v>
      </c>
      <c r="AD9189" s="90"/>
      <c r="AE9189" s="188"/>
      <c r="AF9189" s="189"/>
      <c r="AG9189" s="189"/>
      <c r="AH9189" s="189"/>
      <c r="AI9189" s="161"/>
    </row>
    <row r="9190" spans="1:41" ht="20.100000000000001" customHeight="1" x14ac:dyDescent="0.25">
      <c r="A9190" s="277" t="s">
        <v>703</v>
      </c>
      <c r="B9190" s="278"/>
      <c r="C9190" s="64" t="s">
        <v>814</v>
      </c>
      <c r="D9190" s="46" t="s">
        <v>215</v>
      </c>
      <c r="E9190" s="114"/>
      <c r="F9190" s="44">
        <v>0</v>
      </c>
      <c r="G9190" s="44">
        <f t="shared" si="5545"/>
        <v>0</v>
      </c>
      <c r="H9190" s="44">
        <f t="shared" si="5546"/>
        <v>0</v>
      </c>
      <c r="I9190" s="43">
        <f t="shared" si="5547"/>
        <v>0</v>
      </c>
      <c r="J9190" s="112">
        <f t="shared" si="5548"/>
        <v>0</v>
      </c>
      <c r="K9190" s="211">
        <f t="shared" si="5549"/>
        <v>0</v>
      </c>
      <c r="L9190" s="44"/>
      <c r="M9190" s="44">
        <f t="shared" si="5550"/>
        <v>0</v>
      </c>
      <c r="N9190" s="173">
        <f t="shared" si="5551"/>
        <v>0</v>
      </c>
      <c r="O9190" s="44">
        <f t="shared" si="5552"/>
        <v>0</v>
      </c>
      <c r="P9190" s="44">
        <f t="shared" si="5553"/>
        <v>0</v>
      </c>
      <c r="Q9190" s="44">
        <f t="shared" si="5554"/>
        <v>0</v>
      </c>
      <c r="R9190" s="44">
        <f t="shared" si="5555"/>
        <v>0</v>
      </c>
      <c r="S9190" s="123"/>
      <c r="T9190" s="219">
        <f t="shared" si="5556"/>
        <v>0</v>
      </c>
      <c r="U9190" s="87"/>
      <c r="V9190" s="47"/>
      <c r="W9190" s="48"/>
      <c r="X9190" s="48"/>
      <c r="Y9190" s="48"/>
      <c r="Z9190" s="135"/>
      <c r="AA9190" s="49"/>
      <c r="AB9190" s="50">
        <f t="shared" si="5557"/>
        <v>0</v>
      </c>
      <c r="AC9190" s="42">
        <f t="shared" si="5558"/>
        <v>9.9999999999999998E-20</v>
      </c>
      <c r="AD9190" s="90"/>
      <c r="AE9190" s="188"/>
      <c r="AF9190" s="189"/>
      <c r="AG9190" s="189"/>
      <c r="AH9190" s="189"/>
      <c r="AI9190" s="161"/>
    </row>
    <row r="9191" spans="1:41" ht="20.100000000000001" customHeight="1" x14ac:dyDescent="0.25">
      <c r="A9191" s="277" t="s">
        <v>703</v>
      </c>
      <c r="B9191" s="278"/>
      <c r="C9191" s="64" t="s">
        <v>815</v>
      </c>
      <c r="D9191" s="46" t="s">
        <v>215</v>
      </c>
      <c r="E9191" s="114"/>
      <c r="F9191" s="44">
        <v>0</v>
      </c>
      <c r="G9191" s="44">
        <f t="shared" si="5545"/>
        <v>0</v>
      </c>
      <c r="H9191" s="44">
        <f t="shared" si="5546"/>
        <v>0</v>
      </c>
      <c r="I9191" s="43">
        <f t="shared" si="5547"/>
        <v>0</v>
      </c>
      <c r="J9191" s="112">
        <f t="shared" si="5548"/>
        <v>0</v>
      </c>
      <c r="K9191" s="211">
        <f t="shared" si="5549"/>
        <v>0</v>
      </c>
      <c r="L9191" s="44"/>
      <c r="M9191" s="44">
        <f t="shared" si="5550"/>
        <v>0</v>
      </c>
      <c r="N9191" s="173">
        <f t="shared" si="5551"/>
        <v>0</v>
      </c>
      <c r="O9191" s="44">
        <f t="shared" si="5552"/>
        <v>0</v>
      </c>
      <c r="P9191" s="44">
        <f t="shared" si="5553"/>
        <v>0</v>
      </c>
      <c r="Q9191" s="44">
        <f t="shared" si="5554"/>
        <v>0</v>
      </c>
      <c r="R9191" s="44">
        <f t="shared" si="5555"/>
        <v>0</v>
      </c>
      <c r="S9191" s="123"/>
      <c r="T9191" s="219">
        <f t="shared" si="5556"/>
        <v>0</v>
      </c>
      <c r="U9191" s="87"/>
      <c r="V9191" s="47"/>
      <c r="W9191" s="48"/>
      <c r="X9191" s="48"/>
      <c r="Y9191" s="48"/>
      <c r="Z9191" s="135"/>
      <c r="AA9191" s="49"/>
      <c r="AB9191" s="50">
        <f t="shared" si="5557"/>
        <v>0</v>
      </c>
      <c r="AC9191" s="42">
        <f t="shared" si="5558"/>
        <v>9.9999999999999998E-20</v>
      </c>
      <c r="AD9191" s="90"/>
      <c r="AE9191" s="188"/>
      <c r="AF9191" s="189"/>
      <c r="AG9191" s="189"/>
      <c r="AH9191" s="189"/>
      <c r="AI9191" s="161"/>
    </row>
    <row r="9192" spans="1:41" ht="20.100000000000001" customHeight="1" x14ac:dyDescent="0.25">
      <c r="A9192" s="277" t="s">
        <v>703</v>
      </c>
      <c r="B9192" s="278"/>
      <c r="C9192" s="64" t="s">
        <v>816</v>
      </c>
      <c r="D9192" s="46" t="s">
        <v>215</v>
      </c>
      <c r="E9192" s="114"/>
      <c r="F9192" s="44">
        <v>0</v>
      </c>
      <c r="G9192" s="44">
        <f t="shared" si="5545"/>
        <v>0</v>
      </c>
      <c r="H9192" s="44">
        <f t="shared" si="5546"/>
        <v>0</v>
      </c>
      <c r="I9192" s="43">
        <f t="shared" si="5547"/>
        <v>0</v>
      </c>
      <c r="J9192" s="112">
        <f t="shared" si="5548"/>
        <v>0</v>
      </c>
      <c r="K9192" s="211">
        <f t="shared" si="5549"/>
        <v>0</v>
      </c>
      <c r="L9192" s="44"/>
      <c r="M9192" s="44">
        <f t="shared" si="5550"/>
        <v>0</v>
      </c>
      <c r="N9192" s="173">
        <f t="shared" si="5551"/>
        <v>0</v>
      </c>
      <c r="O9192" s="44">
        <f t="shared" si="5552"/>
        <v>0</v>
      </c>
      <c r="P9192" s="44">
        <f t="shared" si="5553"/>
        <v>0</v>
      </c>
      <c r="Q9192" s="44">
        <f t="shared" si="5554"/>
        <v>0</v>
      </c>
      <c r="R9192" s="44">
        <f t="shared" si="5555"/>
        <v>0</v>
      </c>
      <c r="S9192" s="123"/>
      <c r="T9192" s="219">
        <f t="shared" si="5556"/>
        <v>0</v>
      </c>
      <c r="U9192" s="87"/>
      <c r="V9192" s="47"/>
      <c r="W9192" s="48"/>
      <c r="X9192" s="48"/>
      <c r="Y9192" s="48"/>
      <c r="Z9192" s="135"/>
      <c r="AA9192" s="49"/>
      <c r="AB9192" s="50">
        <f t="shared" si="5557"/>
        <v>0</v>
      </c>
      <c r="AC9192" s="42">
        <f t="shared" si="5558"/>
        <v>9.9999999999999998E-20</v>
      </c>
      <c r="AD9192" s="90"/>
      <c r="AE9192" s="188"/>
      <c r="AF9192" s="189"/>
      <c r="AG9192" s="189"/>
      <c r="AH9192" s="189"/>
      <c r="AI9192" s="161"/>
    </row>
    <row r="9193" spans="1:41" ht="20.100000000000001" customHeight="1" x14ac:dyDescent="0.25">
      <c r="A9193" s="277" t="s">
        <v>703</v>
      </c>
      <c r="B9193" s="278"/>
      <c r="C9193" s="64" t="s">
        <v>817</v>
      </c>
      <c r="D9193" s="46" t="s">
        <v>215</v>
      </c>
      <c r="E9193" s="114"/>
      <c r="F9193" s="44">
        <v>0</v>
      </c>
      <c r="G9193" s="44">
        <f t="shared" si="5545"/>
        <v>0</v>
      </c>
      <c r="H9193" s="44">
        <f t="shared" si="5546"/>
        <v>0</v>
      </c>
      <c r="I9193" s="43">
        <f t="shared" si="5547"/>
        <v>0</v>
      </c>
      <c r="J9193" s="112">
        <f t="shared" si="5548"/>
        <v>0</v>
      </c>
      <c r="K9193" s="211">
        <f t="shared" si="5549"/>
        <v>0</v>
      </c>
      <c r="L9193" s="44"/>
      <c r="M9193" s="44">
        <f t="shared" si="5550"/>
        <v>0</v>
      </c>
      <c r="N9193" s="173">
        <f t="shared" si="5551"/>
        <v>0</v>
      </c>
      <c r="O9193" s="44">
        <f t="shared" si="5552"/>
        <v>0</v>
      </c>
      <c r="P9193" s="44">
        <f t="shared" si="5553"/>
        <v>0</v>
      </c>
      <c r="Q9193" s="44">
        <f t="shared" si="5554"/>
        <v>0</v>
      </c>
      <c r="R9193" s="44">
        <f t="shared" si="5555"/>
        <v>0</v>
      </c>
      <c r="S9193" s="123"/>
      <c r="T9193" s="219">
        <f t="shared" si="5556"/>
        <v>0</v>
      </c>
      <c r="U9193" s="87"/>
      <c r="V9193" s="47"/>
      <c r="W9193" s="48"/>
      <c r="X9193" s="48"/>
      <c r="Y9193" s="48"/>
      <c r="Z9193" s="135"/>
      <c r="AA9193" s="49"/>
      <c r="AB9193" s="50">
        <f t="shared" si="5557"/>
        <v>0</v>
      </c>
      <c r="AC9193" s="42">
        <f t="shared" si="5558"/>
        <v>9.9999999999999998E-20</v>
      </c>
      <c r="AD9193" s="90"/>
      <c r="AE9193" s="188"/>
      <c r="AF9193" s="189"/>
      <c r="AG9193" s="189"/>
      <c r="AH9193" s="189"/>
      <c r="AI9193" s="161"/>
    </row>
    <row r="9194" spans="1:41" ht="20.100000000000001" customHeight="1" x14ac:dyDescent="0.25">
      <c r="A9194" s="277" t="s">
        <v>703</v>
      </c>
      <c r="B9194" s="278"/>
      <c r="C9194" s="64" t="s">
        <v>818</v>
      </c>
      <c r="D9194" s="46" t="s">
        <v>215</v>
      </c>
      <c r="E9194" s="114"/>
      <c r="F9194" s="44">
        <v>0</v>
      </c>
      <c r="G9194" s="44">
        <f t="shared" si="5545"/>
        <v>0</v>
      </c>
      <c r="H9194" s="44">
        <f t="shared" si="5546"/>
        <v>0</v>
      </c>
      <c r="I9194" s="43">
        <f t="shared" si="5547"/>
        <v>0</v>
      </c>
      <c r="J9194" s="112">
        <f t="shared" si="5548"/>
        <v>0</v>
      </c>
      <c r="K9194" s="211">
        <f t="shared" si="5549"/>
        <v>0</v>
      </c>
      <c r="L9194" s="44"/>
      <c r="M9194" s="44">
        <f t="shared" si="5550"/>
        <v>0</v>
      </c>
      <c r="N9194" s="173">
        <f t="shared" si="5551"/>
        <v>0</v>
      </c>
      <c r="O9194" s="44">
        <f t="shared" si="5552"/>
        <v>0</v>
      </c>
      <c r="P9194" s="44">
        <f t="shared" si="5553"/>
        <v>0</v>
      </c>
      <c r="Q9194" s="44">
        <f t="shared" si="5554"/>
        <v>0</v>
      </c>
      <c r="R9194" s="44">
        <f t="shared" si="5555"/>
        <v>0</v>
      </c>
      <c r="S9194" s="123"/>
      <c r="T9194" s="219">
        <f t="shared" si="5556"/>
        <v>0</v>
      </c>
      <c r="U9194" s="87"/>
      <c r="V9194" s="47"/>
      <c r="W9194" s="48"/>
      <c r="X9194" s="48"/>
      <c r="Y9194" s="48"/>
      <c r="Z9194" s="135"/>
      <c r="AA9194" s="49"/>
      <c r="AB9194" s="50">
        <f t="shared" si="5557"/>
        <v>0</v>
      </c>
      <c r="AC9194" s="42">
        <f t="shared" si="5558"/>
        <v>9.9999999999999998E-20</v>
      </c>
      <c r="AD9194" s="90"/>
      <c r="AE9194" s="188"/>
      <c r="AF9194" s="189"/>
      <c r="AG9194" s="189"/>
      <c r="AH9194" s="189"/>
      <c r="AI9194" s="161"/>
    </row>
    <row r="9195" spans="1:41" ht="20.100000000000001" customHeight="1" x14ac:dyDescent="0.25">
      <c r="A9195" s="277" t="s">
        <v>703</v>
      </c>
      <c r="B9195" s="278"/>
      <c r="C9195" s="64" t="s">
        <v>819</v>
      </c>
      <c r="D9195" s="46" t="s">
        <v>215</v>
      </c>
      <c r="E9195" s="114"/>
      <c r="F9195" s="44">
        <v>0</v>
      </c>
      <c r="G9195" s="44">
        <f t="shared" si="5545"/>
        <v>0</v>
      </c>
      <c r="H9195" s="44">
        <f t="shared" si="5546"/>
        <v>0</v>
      </c>
      <c r="I9195" s="43">
        <f t="shared" si="5547"/>
        <v>0</v>
      </c>
      <c r="J9195" s="112">
        <f t="shared" si="5548"/>
        <v>0</v>
      </c>
      <c r="K9195" s="211">
        <f t="shared" si="5549"/>
        <v>0</v>
      </c>
      <c r="L9195" s="44"/>
      <c r="M9195" s="44">
        <f t="shared" si="5550"/>
        <v>0</v>
      </c>
      <c r="N9195" s="173">
        <f t="shared" si="5551"/>
        <v>0</v>
      </c>
      <c r="O9195" s="44">
        <f t="shared" si="5552"/>
        <v>0</v>
      </c>
      <c r="P9195" s="44">
        <f t="shared" si="5553"/>
        <v>0</v>
      </c>
      <c r="Q9195" s="44">
        <f t="shared" si="5554"/>
        <v>0</v>
      </c>
      <c r="R9195" s="44">
        <f t="shared" si="5555"/>
        <v>0</v>
      </c>
      <c r="S9195" s="123"/>
      <c r="T9195" s="219">
        <f t="shared" si="5556"/>
        <v>0</v>
      </c>
      <c r="U9195" s="87"/>
      <c r="V9195" s="47"/>
      <c r="W9195" s="48"/>
      <c r="X9195" s="48"/>
      <c r="Y9195" s="48"/>
      <c r="Z9195" s="135"/>
      <c r="AA9195" s="49"/>
      <c r="AB9195" s="50">
        <f t="shared" si="5557"/>
        <v>0</v>
      </c>
      <c r="AC9195" s="42">
        <f t="shared" si="5558"/>
        <v>9.9999999999999998E-20</v>
      </c>
      <c r="AD9195" s="90"/>
      <c r="AE9195" s="188"/>
      <c r="AF9195" s="189"/>
      <c r="AG9195" s="189"/>
      <c r="AH9195" s="189"/>
      <c r="AI9195" s="161"/>
    </row>
    <row r="9196" spans="1:41" ht="20.100000000000001" customHeight="1" x14ac:dyDescent="0.25">
      <c r="A9196" s="277" t="s">
        <v>703</v>
      </c>
      <c r="B9196" s="278"/>
      <c r="C9196" s="64" t="s">
        <v>835</v>
      </c>
      <c r="D9196" s="46"/>
      <c r="E9196" s="114"/>
      <c r="F9196" s="44">
        <v>0</v>
      </c>
      <c r="G9196" s="44">
        <f t="shared" si="5545"/>
        <v>0</v>
      </c>
      <c r="H9196" s="44">
        <f t="shared" si="5546"/>
        <v>0</v>
      </c>
      <c r="I9196" s="43">
        <f t="shared" si="5547"/>
        <v>0</v>
      </c>
      <c r="J9196" s="112">
        <f t="shared" si="5548"/>
        <v>0</v>
      </c>
      <c r="K9196" s="211">
        <f t="shared" si="5549"/>
        <v>0</v>
      </c>
      <c r="L9196" s="44"/>
      <c r="M9196" s="44">
        <f t="shared" si="5550"/>
        <v>0</v>
      </c>
      <c r="N9196" s="173">
        <f t="shared" si="5551"/>
        <v>0</v>
      </c>
      <c r="O9196" s="44">
        <f t="shared" si="5552"/>
        <v>0</v>
      </c>
      <c r="P9196" s="44">
        <f t="shared" si="5553"/>
        <v>0</v>
      </c>
      <c r="Q9196" s="44">
        <f t="shared" si="5554"/>
        <v>0</v>
      </c>
      <c r="R9196" s="44">
        <f t="shared" si="5555"/>
        <v>0</v>
      </c>
      <c r="S9196" s="123"/>
      <c r="T9196" s="219">
        <f t="shared" si="5556"/>
        <v>0</v>
      </c>
      <c r="U9196" s="87"/>
      <c r="V9196" s="47"/>
      <c r="W9196" s="48"/>
      <c r="X9196" s="48"/>
      <c r="Y9196" s="48"/>
      <c r="Z9196" s="135"/>
      <c r="AA9196" s="49"/>
      <c r="AB9196" s="50">
        <f t="shared" si="5557"/>
        <v>0</v>
      </c>
      <c r="AC9196" s="42">
        <f t="shared" si="5558"/>
        <v>9.9999999999999998E-20</v>
      </c>
      <c r="AD9196" s="90"/>
      <c r="AE9196" s="188"/>
      <c r="AF9196" s="189"/>
      <c r="AG9196" s="189"/>
      <c r="AH9196" s="189"/>
      <c r="AI9196" s="161"/>
    </row>
    <row r="9197" spans="1:41" s="306" customFormat="1" ht="135" x14ac:dyDescent="0.25">
      <c r="A9197" s="287" t="s">
        <v>703</v>
      </c>
      <c r="B9197" s="288"/>
      <c r="C9197" s="286" t="s">
        <v>836</v>
      </c>
      <c r="D9197" s="289"/>
      <c r="E9197" s="290"/>
      <c r="F9197" s="291">
        <v>0</v>
      </c>
      <c r="G9197" s="291">
        <f t="shared" si="5545"/>
        <v>0</v>
      </c>
      <c r="H9197" s="291">
        <f t="shared" si="5546"/>
        <v>0</v>
      </c>
      <c r="I9197" s="292">
        <f t="shared" si="5547"/>
        <v>0</v>
      </c>
      <c r="J9197" s="290">
        <f t="shared" si="5548"/>
        <v>0</v>
      </c>
      <c r="K9197" s="293">
        <f t="shared" si="5549"/>
        <v>0</v>
      </c>
      <c r="L9197" s="291"/>
      <c r="M9197" s="291">
        <f t="shared" si="5550"/>
        <v>0</v>
      </c>
      <c r="N9197" s="294">
        <f t="shared" si="5551"/>
        <v>0</v>
      </c>
      <c r="O9197" s="291">
        <f t="shared" si="5552"/>
        <v>0</v>
      </c>
      <c r="P9197" s="291">
        <f t="shared" si="5553"/>
        <v>0</v>
      </c>
      <c r="Q9197" s="291">
        <f t="shared" si="5554"/>
        <v>0</v>
      </c>
      <c r="R9197" s="291">
        <f t="shared" si="5555"/>
        <v>0</v>
      </c>
      <c r="S9197" s="291"/>
      <c r="T9197" s="295">
        <f t="shared" si="5556"/>
        <v>0</v>
      </c>
      <c r="U9197" s="296"/>
      <c r="V9197" s="297"/>
      <c r="W9197" s="298"/>
      <c r="X9197" s="299"/>
      <c r="Y9197" s="300"/>
      <c r="Z9197" s="301"/>
      <c r="AA9197" s="300"/>
      <c r="AB9197" s="300"/>
      <c r="AC9197" s="300"/>
      <c r="AD9197" s="302"/>
      <c r="AE9197" s="303"/>
      <c r="AF9197" s="304"/>
      <c r="AG9197" s="304"/>
      <c r="AH9197" s="304"/>
      <c r="AI9197" s="305"/>
      <c r="AK9197" s="307"/>
    </row>
    <row r="9198" spans="1:41" ht="20.100000000000001" customHeight="1" x14ac:dyDescent="0.25">
      <c r="A9198" s="277" t="s">
        <v>703</v>
      </c>
      <c r="B9198" s="278"/>
      <c r="C9198" s="64" t="s">
        <v>837</v>
      </c>
      <c r="D9198" s="46"/>
      <c r="E9198" s="114"/>
      <c r="F9198" s="44">
        <v>0</v>
      </c>
      <c r="G9198" s="44">
        <f t="shared" si="5545"/>
        <v>0</v>
      </c>
      <c r="H9198" s="44">
        <f t="shared" si="5546"/>
        <v>0</v>
      </c>
      <c r="I9198" s="43">
        <f t="shared" si="5547"/>
        <v>0</v>
      </c>
      <c r="J9198" s="112">
        <f t="shared" si="5548"/>
        <v>0</v>
      </c>
      <c r="K9198" s="211">
        <f t="shared" si="5549"/>
        <v>0</v>
      </c>
      <c r="L9198" s="44"/>
      <c r="M9198" s="44">
        <f t="shared" si="5550"/>
        <v>0</v>
      </c>
      <c r="N9198" s="173">
        <f t="shared" si="5551"/>
        <v>0</v>
      </c>
      <c r="O9198" s="44">
        <f t="shared" si="5552"/>
        <v>0</v>
      </c>
      <c r="P9198" s="44">
        <f t="shared" si="5553"/>
        <v>0</v>
      </c>
      <c r="Q9198" s="44">
        <f t="shared" si="5554"/>
        <v>0</v>
      </c>
      <c r="R9198" s="44">
        <f t="shared" si="5555"/>
        <v>0</v>
      </c>
      <c r="S9198" s="123"/>
      <c r="T9198" s="219">
        <f t="shared" si="5556"/>
        <v>0</v>
      </c>
      <c r="U9198" s="87"/>
      <c r="V9198" s="47"/>
      <c r="W9198" s="48"/>
      <c r="X9198" s="48"/>
      <c r="Y9198" s="48"/>
      <c r="Z9198" s="135"/>
      <c r="AA9198" s="49"/>
      <c r="AB9198" s="50">
        <f t="shared" si="5557"/>
        <v>0</v>
      </c>
      <c r="AC9198" s="42">
        <f t="shared" si="5558"/>
        <v>9.9999999999999998E-20</v>
      </c>
      <c r="AD9198" s="90"/>
      <c r="AE9198" s="188"/>
      <c r="AF9198" s="189"/>
      <c r="AG9198" s="189"/>
      <c r="AH9198" s="189"/>
      <c r="AI9198" s="161"/>
    </row>
    <row r="9199" spans="1:41" s="102" customFormat="1" ht="20.100000000000001" customHeight="1" x14ac:dyDescent="0.25">
      <c r="A9199" s="45" t="s">
        <v>703</v>
      </c>
      <c r="B9199" s="276"/>
      <c r="C9199" s="286" t="s">
        <v>838</v>
      </c>
      <c r="D9199" s="59"/>
      <c r="E9199" s="116"/>
      <c r="F9199" s="120"/>
      <c r="G9199" s="120"/>
      <c r="H9199" s="120"/>
      <c r="I9199" s="60"/>
      <c r="J9199" s="116"/>
      <c r="K9199" s="213"/>
      <c r="L9199" s="120"/>
      <c r="M9199" s="120"/>
      <c r="N9199" s="167"/>
      <c r="O9199" s="120"/>
      <c r="P9199" s="120"/>
      <c r="Q9199" s="120"/>
      <c r="R9199" s="120"/>
      <c r="S9199" s="120"/>
      <c r="T9199" s="221"/>
      <c r="U9199" s="89"/>
      <c r="V9199" s="61"/>
      <c r="W9199" s="92"/>
      <c r="X9199" s="38"/>
      <c r="Y9199" s="93"/>
      <c r="Z9199" s="134"/>
      <c r="AA9199" s="93"/>
      <c r="AB9199" s="93"/>
      <c r="AC9199" s="93"/>
      <c r="AD9199" s="94"/>
      <c r="AE9199" s="190"/>
      <c r="AF9199" s="191"/>
      <c r="AG9199" s="191"/>
      <c r="AH9199" s="191"/>
      <c r="AI9199" s="186"/>
      <c r="AK9199" s="171"/>
    </row>
    <row r="9200" spans="1:41" ht="20.100000000000001" customHeight="1" x14ac:dyDescent="0.25">
      <c r="A9200" s="277" t="s">
        <v>703</v>
      </c>
      <c r="B9200" s="278"/>
      <c r="C9200" s="64" t="s">
        <v>839</v>
      </c>
      <c r="D9200" s="46" t="s">
        <v>215</v>
      </c>
      <c r="E9200" s="114">
        <v>57.069999999999979</v>
      </c>
      <c r="F9200" s="44">
        <v>5921</v>
      </c>
      <c r="G9200" s="44">
        <f t="shared" si="5545"/>
        <v>337911.46999999986</v>
      </c>
      <c r="H9200" s="44">
        <f t="shared" si="5546"/>
        <v>3430.6318651583711</v>
      </c>
      <c r="I9200" s="43">
        <f t="shared" si="5547"/>
        <v>195786.16054458817</v>
      </c>
      <c r="J9200" s="112">
        <f t="shared" si="5548"/>
        <v>57.069999999999979</v>
      </c>
      <c r="K9200" s="211">
        <f t="shared" si="5549"/>
        <v>57.069999999999979</v>
      </c>
      <c r="L9200" s="44"/>
      <c r="M9200" s="44">
        <f t="shared" si="5550"/>
        <v>57.069999999999979</v>
      </c>
      <c r="N9200" s="173">
        <f t="shared" si="5551"/>
        <v>1</v>
      </c>
      <c r="O9200" s="44">
        <f t="shared" si="5552"/>
        <v>5921</v>
      </c>
      <c r="P9200" s="44">
        <f t="shared" si="5553"/>
        <v>337911.46999999986</v>
      </c>
      <c r="Q9200" s="44">
        <f t="shared" si="5554"/>
        <v>3430.6318651583711</v>
      </c>
      <c r="R9200" s="44">
        <f t="shared" si="5555"/>
        <v>195786.16054458817</v>
      </c>
      <c r="S9200" s="123"/>
      <c r="T9200" s="219">
        <f t="shared" si="5556"/>
        <v>195786.16054458817</v>
      </c>
      <c r="U9200" s="87"/>
      <c r="V9200" s="47"/>
      <c r="W9200" s="48"/>
      <c r="X9200" s="48"/>
      <c r="Y9200" s="48"/>
      <c r="Z9200" s="135"/>
      <c r="AA9200" s="49"/>
      <c r="AB9200" s="50">
        <f t="shared" si="5557"/>
        <v>3430.6318651583711</v>
      </c>
      <c r="AC9200" s="42">
        <f t="shared" si="5558"/>
        <v>57.069999999999979</v>
      </c>
      <c r="AD9200" s="90">
        <f>AD9201+AD9206+AD9216+AD9219</f>
        <v>195786.16054458817</v>
      </c>
      <c r="AE9200" s="188">
        <f t="shared" ref="AE9200:AH9200" si="6205">AE9201+AE9206+AE9216+AE9219</f>
        <v>0</v>
      </c>
      <c r="AF9200" s="189">
        <f t="shared" si="6205"/>
        <v>0</v>
      </c>
      <c r="AG9200" s="189">
        <f t="shared" si="6205"/>
        <v>0</v>
      </c>
      <c r="AH9200" s="189">
        <f t="shared" si="6205"/>
        <v>0</v>
      </c>
      <c r="AI9200" s="161">
        <f t="shared" ref="AI9200" si="6206">SUM(AE9200:AH9200)</f>
        <v>0</v>
      </c>
      <c r="AK9200" s="169">
        <v>5</v>
      </c>
      <c r="AO9200" s="19" t="s">
        <v>63</v>
      </c>
    </row>
    <row r="9201" spans="1:37" s="103" customFormat="1" ht="19.899999999999999" customHeight="1" x14ac:dyDescent="0.25">
      <c r="A9201" s="51"/>
      <c r="B9201" s="52"/>
      <c r="C9201" s="165"/>
      <c r="D9201" s="52"/>
      <c r="E9201" s="115"/>
      <c r="F9201" s="58"/>
      <c r="G9201" s="58"/>
      <c r="H9201" s="58"/>
      <c r="I9201" s="55"/>
      <c r="J9201" s="113">
        <f>J9200</f>
        <v>57.069999999999979</v>
      </c>
      <c r="K9201" s="212">
        <f>K9200</f>
        <v>57.069999999999979</v>
      </c>
      <c r="L9201" s="58"/>
      <c r="M9201" s="58">
        <f>K9201-L9201</f>
        <v>57.069999999999979</v>
      </c>
      <c r="N9201" s="166"/>
      <c r="O9201" s="58"/>
      <c r="P9201" s="58"/>
      <c r="Q9201" s="58"/>
      <c r="R9201" s="58"/>
      <c r="S9201" s="58"/>
      <c r="T9201" s="220"/>
      <c r="U9201" s="88"/>
      <c r="V9201" s="56"/>
      <c r="W9201" s="57" t="s">
        <v>1635</v>
      </c>
      <c r="X9201" s="53"/>
      <c r="Y9201" s="91" t="s">
        <v>35</v>
      </c>
      <c r="Z9201" s="136">
        <f>AD9201/AC9201</f>
        <v>37.707058823529415</v>
      </c>
      <c r="AA9201" s="58"/>
      <c r="AB9201" s="53">
        <f>AD9201/AC9201</f>
        <v>37.707058823529415</v>
      </c>
      <c r="AC9201" s="53">
        <f>M9201+$AE$10</f>
        <v>57.069999999999979</v>
      </c>
      <c r="AD9201" s="54">
        <f>SUM(AD9202:AD9205)</f>
        <v>2151.941847058823</v>
      </c>
      <c r="AE9201" s="184">
        <f>SUMIFS($AD$37:$AD$12971,$V$37:$V$12971,$V9201,$X$37:$X$12971,AE$13)</f>
        <v>0</v>
      </c>
      <c r="AF9201" s="185">
        <f>SUMIFS($AD$37:$AD$12971,$V$37:$V$12971,$V9201,$X$37:$X$12971,AF$13)</f>
        <v>0</v>
      </c>
      <c r="AG9201" s="185">
        <f>SUMIFS($AD$37:$AD$12971,$V$37:$V$12971,$V9201,$X$37:$X$12971,AG$13)</f>
        <v>0</v>
      </c>
      <c r="AH9201" s="187">
        <f>SUMIFS($AD$37:$AD$12971,$V$37:$V$12971,$V9201,$X$37:$X$12971,AH$13)</f>
        <v>0</v>
      </c>
      <c r="AI9201" s="161">
        <f t="shared" ref="AI9201" si="6207">SUM(AE9201:AH9201)</f>
        <v>0</v>
      </c>
      <c r="AK9201" s="172"/>
    </row>
    <row r="9202" spans="1:37" s="102" customFormat="1" ht="19.899999999999999" customHeight="1" x14ac:dyDescent="0.25">
      <c r="A9202" s="45"/>
      <c r="B9202" s="59"/>
      <c r="C9202" s="137"/>
      <c r="D9202" s="59"/>
      <c r="E9202" s="116"/>
      <c r="F9202" s="120"/>
      <c r="G9202" s="120"/>
      <c r="H9202" s="120"/>
      <c r="I9202" s="60"/>
      <c r="J9202" s="116"/>
      <c r="K9202" s="213"/>
      <c r="L9202" s="120"/>
      <c r="M9202" s="120"/>
      <c r="N9202" s="167"/>
      <c r="O9202" s="120"/>
      <c r="P9202" s="120"/>
      <c r="Q9202" s="120"/>
      <c r="R9202" s="120"/>
      <c r="S9202" s="120"/>
      <c r="T9202" s="221"/>
      <c r="U9202" s="89"/>
      <c r="V9202" s="61"/>
      <c r="W9202" s="92" t="s">
        <v>129</v>
      </c>
      <c r="X9202" s="93" t="s">
        <v>29</v>
      </c>
      <c r="Y9202" s="93" t="s">
        <v>93</v>
      </c>
      <c r="Z9202" s="134">
        <f>VLOOKUP(W9202,Sheet2!$B:$D,3,FALSE)</f>
        <v>56</v>
      </c>
      <c r="AA9202" s="93">
        <f>100/(2.5*2.5*1.5)</f>
        <v>10.666666666666666</v>
      </c>
      <c r="AB9202" s="93">
        <f t="shared" ref="AB9202" si="6208">AD9202/AC9201</f>
        <v>5.25</v>
      </c>
      <c r="AC9202" s="93">
        <f>AC9201/AA9202</f>
        <v>5.3503124999999985</v>
      </c>
      <c r="AD9202" s="94">
        <f t="shared" ref="AD9202:AD9203" si="6209">AC9202*Z9202</f>
        <v>299.61749999999989</v>
      </c>
      <c r="AE9202" s="190"/>
      <c r="AF9202" s="191"/>
      <c r="AG9202" s="191"/>
      <c r="AH9202" s="191"/>
      <c r="AI9202" s="186"/>
      <c r="AK9202" s="171"/>
    </row>
    <row r="9203" spans="1:37" s="102" customFormat="1" ht="19.899999999999999" customHeight="1" x14ac:dyDescent="0.25">
      <c r="A9203" s="45"/>
      <c r="B9203" s="59"/>
      <c r="C9203" s="137"/>
      <c r="D9203" s="59"/>
      <c r="E9203" s="116"/>
      <c r="F9203" s="120"/>
      <c r="G9203" s="120"/>
      <c r="H9203" s="120"/>
      <c r="I9203" s="60"/>
      <c r="J9203" s="116"/>
      <c r="K9203" s="213"/>
      <c r="L9203" s="120"/>
      <c r="M9203" s="120"/>
      <c r="N9203" s="167"/>
      <c r="O9203" s="120"/>
      <c r="P9203" s="120"/>
      <c r="Q9203" s="120"/>
      <c r="R9203" s="120"/>
      <c r="S9203" s="120"/>
      <c r="T9203" s="221"/>
      <c r="U9203" s="89"/>
      <c r="V9203" s="61"/>
      <c r="W9203" s="92" t="s">
        <v>65</v>
      </c>
      <c r="X9203" s="93" t="s">
        <v>30</v>
      </c>
      <c r="Y9203" s="93" t="s">
        <v>1011</v>
      </c>
      <c r="Z9203" s="134">
        <f>VLOOKUP(W9203,Sheet2!$B:$D,3,FALSE)</f>
        <v>1.76</v>
      </c>
      <c r="AA9203" s="93">
        <f>AA9202/14</f>
        <v>0.76190476190476186</v>
      </c>
      <c r="AB9203" s="93">
        <f>AD9203/AC9201</f>
        <v>2.31</v>
      </c>
      <c r="AC9203" s="93">
        <f>AC9201/AA9203</f>
        <v>74.904374999999973</v>
      </c>
      <c r="AD9203" s="94">
        <f t="shared" si="6209"/>
        <v>131.83169999999996</v>
      </c>
      <c r="AE9203" s="190"/>
      <c r="AF9203" s="191"/>
      <c r="AG9203" s="191"/>
      <c r="AH9203" s="191"/>
      <c r="AI9203" s="186"/>
      <c r="AK9203" s="171"/>
    </row>
    <row r="9204" spans="1:37" s="102" customFormat="1" ht="19.899999999999999" customHeight="1" x14ac:dyDescent="0.25">
      <c r="A9204" s="45"/>
      <c r="B9204" s="59"/>
      <c r="C9204" s="137"/>
      <c r="D9204" s="59"/>
      <c r="E9204" s="116"/>
      <c r="F9204" s="120"/>
      <c r="G9204" s="120"/>
      <c r="H9204" s="120"/>
      <c r="I9204" s="60"/>
      <c r="J9204" s="116"/>
      <c r="K9204" s="213"/>
      <c r="L9204" s="120"/>
      <c r="M9204" s="120"/>
      <c r="N9204" s="167"/>
      <c r="O9204" s="120"/>
      <c r="P9204" s="120"/>
      <c r="Q9204" s="120"/>
      <c r="R9204" s="120"/>
      <c r="S9204" s="120"/>
      <c r="T9204" s="221"/>
      <c r="U9204" s="89"/>
      <c r="V9204" s="61"/>
      <c r="W9204" s="92" t="s">
        <v>161</v>
      </c>
      <c r="X9204" s="93" t="s">
        <v>29</v>
      </c>
      <c r="Y9204" s="93" t="s">
        <v>93</v>
      </c>
      <c r="Z9204" s="134">
        <f>VLOOKUP(W9204,Sheet2!$B:$D,3,FALSE)</f>
        <v>48</v>
      </c>
      <c r="AA9204" s="93">
        <f>(16*0.85*1.5)/(2.5*2.5*1.5)</f>
        <v>2.1759999999999997</v>
      </c>
      <c r="AB9204" s="93">
        <f>AD9204/AC9201</f>
        <v>22.058823529411768</v>
      </c>
      <c r="AC9204" s="93">
        <f>AC9201/AA9204</f>
        <v>26.227022058823522</v>
      </c>
      <c r="AD9204" s="94">
        <f>AC9204*Z9204</f>
        <v>1258.8970588235291</v>
      </c>
      <c r="AE9204" s="190"/>
      <c r="AF9204" s="191"/>
      <c r="AG9204" s="191"/>
      <c r="AH9204" s="191"/>
      <c r="AI9204" s="186"/>
      <c r="AK9204" s="171"/>
    </row>
    <row r="9205" spans="1:37" s="102" customFormat="1" ht="19.899999999999999" customHeight="1" x14ac:dyDescent="0.25">
      <c r="A9205" s="45"/>
      <c r="B9205" s="59"/>
      <c r="C9205" s="137"/>
      <c r="D9205" s="59"/>
      <c r="E9205" s="116"/>
      <c r="F9205" s="120"/>
      <c r="G9205" s="120"/>
      <c r="H9205" s="120"/>
      <c r="I9205" s="60"/>
      <c r="J9205" s="116"/>
      <c r="K9205" s="213"/>
      <c r="L9205" s="120"/>
      <c r="M9205" s="120"/>
      <c r="N9205" s="167"/>
      <c r="O9205" s="120"/>
      <c r="P9205" s="120"/>
      <c r="Q9205" s="120"/>
      <c r="R9205" s="120"/>
      <c r="S9205" s="120"/>
      <c r="T9205" s="221"/>
      <c r="U9205" s="89"/>
      <c r="V9205" s="61"/>
      <c r="W9205" s="92" t="s">
        <v>65</v>
      </c>
      <c r="X9205" s="93" t="s">
        <v>30</v>
      </c>
      <c r="Y9205" s="93" t="s">
        <v>1011</v>
      </c>
      <c r="Z9205" s="134">
        <f>VLOOKUP(W9205,Sheet2!$B:$D,3,FALSE)</f>
        <v>1.76</v>
      </c>
      <c r="AA9205" s="93">
        <f>AA9204/10</f>
        <v>0.21759999999999996</v>
      </c>
      <c r="AB9205" s="93">
        <f>AD9205/AC9201</f>
        <v>8.0882352941176485</v>
      </c>
      <c r="AC9205" s="93">
        <f>AC9201/AA9205</f>
        <v>262.27022058823525</v>
      </c>
      <c r="AD9205" s="94">
        <f>AC9205*Z9205</f>
        <v>461.59558823529403</v>
      </c>
      <c r="AE9205" s="190"/>
      <c r="AF9205" s="191"/>
      <c r="AG9205" s="191"/>
      <c r="AH9205" s="191"/>
      <c r="AI9205" s="186"/>
      <c r="AK9205" s="171"/>
    </row>
    <row r="9206" spans="1:37" s="103" customFormat="1" ht="19.899999999999999" customHeight="1" x14ac:dyDescent="0.25">
      <c r="A9206" s="51"/>
      <c r="B9206" s="52"/>
      <c r="C9206" s="165"/>
      <c r="D9206" s="52"/>
      <c r="E9206" s="115"/>
      <c r="F9206" s="58"/>
      <c r="G9206" s="58"/>
      <c r="H9206" s="58"/>
      <c r="I9206" s="55"/>
      <c r="J9206" s="113">
        <f>J9200</f>
        <v>57.069999999999979</v>
      </c>
      <c r="K9206" s="212">
        <f>K9200</f>
        <v>57.069999999999979</v>
      </c>
      <c r="L9206" s="58"/>
      <c r="M9206" s="58">
        <f>K9206-L9206</f>
        <v>57.069999999999979</v>
      </c>
      <c r="N9206" s="166"/>
      <c r="O9206" s="58"/>
      <c r="P9206" s="58"/>
      <c r="Q9206" s="58"/>
      <c r="R9206" s="58"/>
      <c r="S9206" s="58"/>
      <c r="T9206" s="220"/>
      <c r="U9206" s="88"/>
      <c r="V9206" s="56"/>
      <c r="W9206" s="57" t="s">
        <v>1636</v>
      </c>
      <c r="X9206" s="53"/>
      <c r="Y9206" s="91" t="s">
        <v>35</v>
      </c>
      <c r="Z9206" s="136">
        <f>AD9206/AC9206</f>
        <v>2847.2030769230769</v>
      </c>
      <c r="AA9206" s="58"/>
      <c r="AB9206" s="53">
        <f>AD9206/AC9206</f>
        <v>2847.2030769230769</v>
      </c>
      <c r="AC9206" s="53">
        <f>M9206+$AE$10</f>
        <v>57.069999999999979</v>
      </c>
      <c r="AD9206" s="54">
        <f>SUM(AD9207:AD9215)</f>
        <v>162489.87959999993</v>
      </c>
      <c r="AE9206" s="184">
        <f>SUMIFS($AD$37:$AD$12971,$V$37:$V$12971,$V9206,$X$37:$X$12971,AE$13)</f>
        <v>0</v>
      </c>
      <c r="AF9206" s="185">
        <f>SUMIFS($AD$37:$AD$12971,$V$37:$V$12971,$V9206,$X$37:$X$12971,AF$13)</f>
        <v>0</v>
      </c>
      <c r="AG9206" s="185">
        <f>SUMIFS($AD$37:$AD$12971,$V$37:$V$12971,$V9206,$X$37:$X$12971,AG$13)</f>
        <v>0</v>
      </c>
      <c r="AH9206" s="187">
        <f>SUMIFS($AD$37:$AD$12971,$V$37:$V$12971,$V9206,$X$37:$X$12971,AH$13)</f>
        <v>0</v>
      </c>
      <c r="AI9206" s="161">
        <f t="shared" ref="AI9206" si="6210">SUM(AE9206:AH9206)</f>
        <v>0</v>
      </c>
      <c r="AK9206" s="172"/>
    </row>
    <row r="9207" spans="1:37" s="102" customFormat="1" ht="19.899999999999999" customHeight="1" x14ac:dyDescent="0.25">
      <c r="A9207" s="45"/>
      <c r="B9207" s="59"/>
      <c r="C9207" s="137"/>
      <c r="D9207" s="59"/>
      <c r="E9207" s="116"/>
      <c r="F9207" s="120"/>
      <c r="G9207" s="120"/>
      <c r="H9207" s="120"/>
      <c r="I9207" s="60"/>
      <c r="J9207" s="116"/>
      <c r="K9207" s="213"/>
      <c r="L9207" s="120"/>
      <c r="M9207" s="120"/>
      <c r="N9207" s="167"/>
      <c r="O9207" s="120"/>
      <c r="P9207" s="120"/>
      <c r="Q9207" s="120"/>
      <c r="R9207" s="120"/>
      <c r="S9207" s="120"/>
      <c r="T9207" s="221"/>
      <c r="U9207" s="89"/>
      <c r="V9207" s="61"/>
      <c r="W9207" s="92" t="s">
        <v>1353</v>
      </c>
      <c r="X9207" s="93" t="s">
        <v>30</v>
      </c>
      <c r="Y9207" s="93" t="s">
        <v>66</v>
      </c>
      <c r="Z9207" s="134">
        <f>VLOOKUP(W9207,Sheet2!$B:$D,3,FALSE)</f>
        <v>350</v>
      </c>
      <c r="AA9207" s="93">
        <f>1/((1*1.5*0.2*4)+(1*1*0.3))</f>
        <v>0.66666666666666652</v>
      </c>
      <c r="AB9207" s="93">
        <f>AD9207/AC9206</f>
        <v>525.00000000000011</v>
      </c>
      <c r="AC9207" s="93">
        <f>AC9206/AA9207</f>
        <v>85.60499999999999</v>
      </c>
      <c r="AD9207" s="94">
        <f t="shared" ref="AD9207:AD9208" si="6211">AC9207*Z9207</f>
        <v>29961.749999999996</v>
      </c>
      <c r="AE9207" s="190"/>
      <c r="AF9207" s="191"/>
      <c r="AG9207" s="191"/>
      <c r="AH9207" s="191"/>
      <c r="AI9207" s="186"/>
      <c r="AK9207" s="171"/>
    </row>
    <row r="9208" spans="1:37" s="102" customFormat="1" ht="19.899999999999999" customHeight="1" x14ac:dyDescent="0.25">
      <c r="A9208" s="45"/>
      <c r="B9208" s="59"/>
      <c r="C9208" s="137"/>
      <c r="D9208" s="59"/>
      <c r="E9208" s="116"/>
      <c r="F9208" s="120"/>
      <c r="G9208" s="120"/>
      <c r="H9208" s="120"/>
      <c r="I9208" s="60"/>
      <c r="J9208" s="116"/>
      <c r="K9208" s="213"/>
      <c r="L9208" s="120"/>
      <c r="M9208" s="120"/>
      <c r="N9208" s="167"/>
      <c r="O9208" s="120"/>
      <c r="P9208" s="120"/>
      <c r="Q9208" s="120"/>
      <c r="R9208" s="120"/>
      <c r="S9208" s="120"/>
      <c r="T9208" s="221"/>
      <c r="U9208" s="89"/>
      <c r="V9208" s="61"/>
      <c r="W9208" s="92" t="s">
        <v>99</v>
      </c>
      <c r="X9208" s="93" t="s">
        <v>30</v>
      </c>
      <c r="Y9208" s="93" t="s">
        <v>67</v>
      </c>
      <c r="Z9208" s="134">
        <f>VLOOKUP(W9208,Sheet2!$B:$D,3,FALSE)</f>
        <v>2500</v>
      </c>
      <c r="AA9208" s="93">
        <f>AA9207/0.08</f>
        <v>8.3333333333333321</v>
      </c>
      <c r="AB9208" s="93">
        <f>AD9208/AC9206</f>
        <v>300.00000000000006</v>
      </c>
      <c r="AC9208" s="93">
        <f>AC9206/AA9208</f>
        <v>6.848399999999998</v>
      </c>
      <c r="AD9208" s="94">
        <f t="shared" si="6211"/>
        <v>17120.999999999996</v>
      </c>
      <c r="AE9208" s="190"/>
      <c r="AF9208" s="191"/>
      <c r="AG9208" s="191"/>
      <c r="AH9208" s="191"/>
      <c r="AI9208" s="186"/>
      <c r="AK9208" s="171"/>
    </row>
    <row r="9209" spans="1:37" s="102" customFormat="1" ht="19.899999999999999" customHeight="1" x14ac:dyDescent="0.25">
      <c r="A9209" s="45"/>
      <c r="B9209" s="59"/>
      <c r="C9209" s="137"/>
      <c r="D9209" s="59"/>
      <c r="E9209" s="116"/>
      <c r="F9209" s="120"/>
      <c r="G9209" s="120"/>
      <c r="H9209" s="120"/>
      <c r="I9209" s="60"/>
      <c r="J9209" s="116"/>
      <c r="K9209" s="213"/>
      <c r="L9209" s="120"/>
      <c r="M9209" s="120"/>
      <c r="N9209" s="167"/>
      <c r="O9209" s="120"/>
      <c r="P9209" s="120"/>
      <c r="Q9209" s="120"/>
      <c r="R9209" s="120"/>
      <c r="S9209" s="120"/>
      <c r="T9209" s="221"/>
      <c r="U9209" s="89"/>
      <c r="V9209" s="61"/>
      <c r="W9209" s="92" t="s">
        <v>1533</v>
      </c>
      <c r="X9209" s="93" t="s">
        <v>32</v>
      </c>
      <c r="Y9209" s="93" t="s">
        <v>66</v>
      </c>
      <c r="Z9209" s="134">
        <f>VLOOKUP(W9209,Sheet2!$B:$D,3,FALSE)</f>
        <v>300</v>
      </c>
      <c r="AA9209" s="93">
        <f>AA9207</f>
        <v>0.66666666666666652</v>
      </c>
      <c r="AB9209" s="93">
        <f>AD9209/AC9206</f>
        <v>450.00000000000011</v>
      </c>
      <c r="AC9209" s="93">
        <f>AC9206/AA9209</f>
        <v>85.60499999999999</v>
      </c>
      <c r="AD9209" s="94">
        <f>AC9209*Z9209</f>
        <v>25681.499999999996</v>
      </c>
      <c r="AE9209" s="190"/>
      <c r="AF9209" s="191"/>
      <c r="AG9209" s="191"/>
      <c r="AH9209" s="191"/>
      <c r="AI9209" s="186"/>
      <c r="AK9209" s="171"/>
    </row>
    <row r="9210" spans="1:37" s="102" customFormat="1" ht="19.899999999999999" customHeight="1" x14ac:dyDescent="0.25">
      <c r="A9210" s="45"/>
      <c r="B9210" s="59"/>
      <c r="C9210" s="137"/>
      <c r="D9210" s="59"/>
      <c r="E9210" s="116"/>
      <c r="F9210" s="120"/>
      <c r="G9210" s="120"/>
      <c r="H9210" s="120"/>
      <c r="I9210" s="60"/>
      <c r="J9210" s="116"/>
      <c r="K9210" s="213"/>
      <c r="L9210" s="120"/>
      <c r="M9210" s="120"/>
      <c r="N9210" s="167"/>
      <c r="O9210" s="120"/>
      <c r="P9210" s="120"/>
      <c r="Q9210" s="120"/>
      <c r="R9210" s="120"/>
      <c r="S9210" s="120"/>
      <c r="T9210" s="221"/>
      <c r="U9210" s="89"/>
      <c r="V9210" s="61"/>
      <c r="W9210" s="92" t="s">
        <v>1634</v>
      </c>
      <c r="X9210" s="93" t="s">
        <v>30</v>
      </c>
      <c r="Y9210" s="93" t="s">
        <v>35</v>
      </c>
      <c r="Z9210" s="134">
        <f>VLOOKUP(W9210,Sheet2!$B:$D,3,FALSE)</f>
        <v>1250</v>
      </c>
      <c r="AA9210" s="93">
        <v>1</v>
      </c>
      <c r="AB9210" s="93">
        <f>AD9210/AC9206</f>
        <v>1250</v>
      </c>
      <c r="AC9210" s="93">
        <f>AC9206/AA9210</f>
        <v>57.069999999999979</v>
      </c>
      <c r="AD9210" s="94">
        <f t="shared" ref="AD9210:AD9211" si="6212">AC9210*Z9210</f>
        <v>71337.499999999971</v>
      </c>
      <c r="AE9210" s="190"/>
      <c r="AF9210" s="191"/>
      <c r="AG9210" s="191"/>
      <c r="AH9210" s="191"/>
      <c r="AI9210" s="186"/>
      <c r="AK9210" s="171"/>
    </row>
    <row r="9211" spans="1:37" s="102" customFormat="1" ht="19.899999999999999" customHeight="1" x14ac:dyDescent="0.25">
      <c r="A9211" s="45"/>
      <c r="B9211" s="59"/>
      <c r="C9211" s="137"/>
      <c r="D9211" s="59"/>
      <c r="E9211" s="116"/>
      <c r="F9211" s="120"/>
      <c r="G9211" s="120"/>
      <c r="H9211" s="120"/>
      <c r="I9211" s="60"/>
      <c r="J9211" s="116"/>
      <c r="K9211" s="213"/>
      <c r="L9211" s="120"/>
      <c r="M9211" s="120"/>
      <c r="N9211" s="167"/>
      <c r="O9211" s="120"/>
      <c r="P9211" s="120"/>
      <c r="Q9211" s="120"/>
      <c r="R9211" s="120"/>
      <c r="S9211" s="120"/>
      <c r="T9211" s="221"/>
      <c r="U9211" s="89"/>
      <c r="V9211" s="61"/>
      <c r="W9211" s="92" t="s">
        <v>142</v>
      </c>
      <c r="X9211" s="93" t="s">
        <v>29</v>
      </c>
      <c r="Y9211" s="93" t="s">
        <v>93</v>
      </c>
      <c r="Z9211" s="134">
        <f>VLOOKUP(W9211,Sheet2!$B:$D,3,FALSE)</f>
        <v>67.692307692307693</v>
      </c>
      <c r="AA9211" s="93">
        <v>4</v>
      </c>
      <c r="AB9211" s="93">
        <f>AD9211/AC9206</f>
        <v>16.923076923076923</v>
      </c>
      <c r="AC9211" s="93">
        <f>AC9206/AA9211</f>
        <v>14.267499999999995</v>
      </c>
      <c r="AD9211" s="94">
        <f t="shared" si="6212"/>
        <v>965.79999999999961</v>
      </c>
      <c r="AE9211" s="190"/>
      <c r="AF9211" s="191"/>
      <c r="AG9211" s="191"/>
      <c r="AH9211" s="191"/>
      <c r="AI9211" s="186"/>
      <c r="AK9211" s="171"/>
    </row>
    <row r="9212" spans="1:37" s="102" customFormat="1" ht="19.899999999999999" customHeight="1" x14ac:dyDescent="0.25">
      <c r="A9212" s="45"/>
      <c r="B9212" s="59"/>
      <c r="C9212" s="137"/>
      <c r="D9212" s="59"/>
      <c r="E9212" s="116"/>
      <c r="F9212" s="120"/>
      <c r="G9212" s="120"/>
      <c r="H9212" s="120"/>
      <c r="I9212" s="60"/>
      <c r="J9212" s="116"/>
      <c r="K9212" s="213"/>
      <c r="L9212" s="120"/>
      <c r="M9212" s="120"/>
      <c r="N9212" s="167"/>
      <c r="O9212" s="120"/>
      <c r="P9212" s="120"/>
      <c r="Q9212" s="120"/>
      <c r="R9212" s="120"/>
      <c r="S9212" s="120"/>
      <c r="T9212" s="221"/>
      <c r="U9212" s="89"/>
      <c r="V9212" s="61"/>
      <c r="W9212" s="92" t="s">
        <v>65</v>
      </c>
      <c r="X9212" s="93" t="s">
        <v>30</v>
      </c>
      <c r="Y9212" s="93" t="s">
        <v>93</v>
      </c>
      <c r="Z9212" s="134">
        <f>VLOOKUP(W9212,Sheet2!$B:$D,3,FALSE)</f>
        <v>1.76</v>
      </c>
      <c r="AA9212" s="93">
        <f>AA9211/12</f>
        <v>0.33333333333333331</v>
      </c>
      <c r="AB9212" s="93">
        <f>AD9212/AC9206</f>
        <v>5.28</v>
      </c>
      <c r="AC9212" s="93">
        <f>AC9206/AA9212</f>
        <v>171.20999999999995</v>
      </c>
      <c r="AD9212" s="94">
        <f>AC9212*Z9212</f>
        <v>301.32959999999991</v>
      </c>
      <c r="AE9212" s="190"/>
      <c r="AF9212" s="191"/>
      <c r="AG9212" s="191"/>
      <c r="AH9212" s="191"/>
      <c r="AI9212" s="186"/>
      <c r="AK9212" s="171"/>
    </row>
    <row r="9213" spans="1:37" s="102" customFormat="1" ht="19.899999999999999" customHeight="1" x14ac:dyDescent="0.25">
      <c r="A9213" s="45"/>
      <c r="B9213" s="59"/>
      <c r="C9213" s="137"/>
      <c r="D9213" s="59"/>
      <c r="E9213" s="116"/>
      <c r="F9213" s="120"/>
      <c r="G9213" s="120"/>
      <c r="H9213" s="120"/>
      <c r="I9213" s="60"/>
      <c r="J9213" s="116"/>
      <c r="K9213" s="213"/>
      <c r="L9213" s="120"/>
      <c r="M9213" s="120"/>
      <c r="N9213" s="167"/>
      <c r="O9213" s="120"/>
      <c r="P9213" s="120"/>
      <c r="Q9213" s="120"/>
      <c r="R9213" s="120"/>
      <c r="S9213" s="120"/>
      <c r="T9213" s="221"/>
      <c r="U9213" s="89"/>
      <c r="V9213" s="61"/>
      <c r="W9213" s="92" t="s">
        <v>1357</v>
      </c>
      <c r="X9213" s="93" t="s">
        <v>30</v>
      </c>
      <c r="Y9213" s="93" t="s">
        <v>1349</v>
      </c>
      <c r="Z9213" s="134">
        <f>VLOOKUP(W9213,Sheet2!$B:$D,3,FALSE)</f>
        <v>150</v>
      </c>
      <c r="AA9213" s="93">
        <v>1</v>
      </c>
      <c r="AB9213" s="93">
        <f>AD9213/AC9206</f>
        <v>150</v>
      </c>
      <c r="AC9213" s="93">
        <f>AC9206/AA9213</f>
        <v>57.069999999999979</v>
      </c>
      <c r="AD9213" s="94">
        <f>AC9213*Z9213</f>
        <v>8560.4999999999964</v>
      </c>
      <c r="AE9213" s="190"/>
      <c r="AF9213" s="191"/>
      <c r="AG9213" s="191"/>
      <c r="AH9213" s="191"/>
      <c r="AI9213" s="186"/>
      <c r="AK9213" s="171"/>
    </row>
    <row r="9214" spans="1:37" s="102" customFormat="1" ht="19.899999999999999" customHeight="1" x14ac:dyDescent="0.25">
      <c r="A9214" s="45"/>
      <c r="B9214" s="59"/>
      <c r="C9214" s="137"/>
      <c r="D9214" s="59"/>
      <c r="E9214" s="116"/>
      <c r="F9214" s="120"/>
      <c r="G9214" s="120"/>
      <c r="H9214" s="120"/>
      <c r="I9214" s="60"/>
      <c r="J9214" s="116"/>
      <c r="K9214" s="213"/>
      <c r="L9214" s="120"/>
      <c r="M9214" s="120"/>
      <c r="N9214" s="167"/>
      <c r="O9214" s="120"/>
      <c r="P9214" s="120"/>
      <c r="Q9214" s="120"/>
      <c r="R9214" s="120"/>
      <c r="S9214" s="120"/>
      <c r="T9214" s="221"/>
      <c r="U9214" s="89"/>
      <c r="V9214" s="61"/>
      <c r="W9214" s="92" t="s">
        <v>107</v>
      </c>
      <c r="X9214" s="93" t="s">
        <v>31</v>
      </c>
      <c r="Y9214" s="93" t="s">
        <v>93</v>
      </c>
      <c r="Z9214" s="134">
        <f>VLOOKUP(W9214,Sheet2!$B:$D,3,FALSE)</f>
        <v>17</v>
      </c>
      <c r="AA9214" s="93">
        <f>1/5</f>
        <v>0.2</v>
      </c>
      <c r="AB9214" s="93">
        <f>AD9214/AC9206</f>
        <v>84.999999999999986</v>
      </c>
      <c r="AC9214" s="93">
        <f>AC9206/AA9214</f>
        <v>285.34999999999985</v>
      </c>
      <c r="AD9214" s="94">
        <f>AC9214*Z9214</f>
        <v>4850.9499999999971</v>
      </c>
      <c r="AE9214" s="190"/>
      <c r="AF9214" s="191"/>
      <c r="AG9214" s="191"/>
      <c r="AH9214" s="191"/>
      <c r="AI9214" s="186"/>
      <c r="AK9214" s="171"/>
    </row>
    <row r="9215" spans="1:37" s="102" customFormat="1" ht="19.899999999999999" customHeight="1" x14ac:dyDescent="0.25">
      <c r="A9215" s="45"/>
      <c r="B9215" s="59"/>
      <c r="C9215" s="137"/>
      <c r="D9215" s="59"/>
      <c r="E9215" s="116"/>
      <c r="F9215" s="120"/>
      <c r="G9215" s="120"/>
      <c r="H9215" s="120"/>
      <c r="I9215" s="60"/>
      <c r="J9215" s="116"/>
      <c r="K9215" s="213"/>
      <c r="L9215" s="120"/>
      <c r="M9215" s="120"/>
      <c r="N9215" s="167"/>
      <c r="O9215" s="120"/>
      <c r="P9215" s="120"/>
      <c r="Q9215" s="120"/>
      <c r="R9215" s="120"/>
      <c r="S9215" s="120"/>
      <c r="T9215" s="221"/>
      <c r="U9215" s="89"/>
      <c r="V9215" s="61"/>
      <c r="W9215" s="92" t="s">
        <v>112</v>
      </c>
      <c r="X9215" s="93" t="s">
        <v>31</v>
      </c>
      <c r="Y9215" s="93" t="s">
        <v>93</v>
      </c>
      <c r="Z9215" s="134">
        <f>VLOOKUP(W9215,Sheet2!$B:$D,3,FALSE)</f>
        <v>13</v>
      </c>
      <c r="AA9215" s="93">
        <f>AA9214</f>
        <v>0.2</v>
      </c>
      <c r="AB9215" s="93">
        <f>AD9215/AC9206</f>
        <v>64.999999999999986</v>
      </c>
      <c r="AC9215" s="93">
        <f>AC9206/AA9215</f>
        <v>285.34999999999985</v>
      </c>
      <c r="AD9215" s="94">
        <f>AC9215*Z9215</f>
        <v>3709.5499999999979</v>
      </c>
      <c r="AE9215" s="190"/>
      <c r="AF9215" s="191"/>
      <c r="AG9215" s="191"/>
      <c r="AH9215" s="191"/>
      <c r="AI9215" s="186"/>
      <c r="AK9215" s="171"/>
    </row>
    <row r="9216" spans="1:37" s="103" customFormat="1" ht="19.899999999999999" customHeight="1" x14ac:dyDescent="0.25">
      <c r="A9216" s="51"/>
      <c r="B9216" s="52"/>
      <c r="C9216" s="165"/>
      <c r="D9216" s="52"/>
      <c r="E9216" s="115"/>
      <c r="F9216" s="58"/>
      <c r="G9216" s="58"/>
      <c r="H9216" s="58"/>
      <c r="I9216" s="55"/>
      <c r="J9216" s="113">
        <f>J9200</f>
        <v>57.069999999999979</v>
      </c>
      <c r="K9216" s="212">
        <f>K9200</f>
        <v>57.069999999999979</v>
      </c>
      <c r="L9216" s="58"/>
      <c r="M9216" s="58">
        <f>K9216-L9216</f>
        <v>57.069999999999979</v>
      </c>
      <c r="N9216" s="166"/>
      <c r="O9216" s="58"/>
      <c r="P9216" s="58"/>
      <c r="Q9216" s="58"/>
      <c r="R9216" s="58"/>
      <c r="S9216" s="58"/>
      <c r="T9216" s="220"/>
      <c r="U9216" s="88"/>
      <c r="V9216" s="56"/>
      <c r="W9216" s="57" t="s">
        <v>1358</v>
      </c>
      <c r="X9216" s="53"/>
      <c r="Y9216" s="91" t="s">
        <v>35</v>
      </c>
      <c r="Z9216" s="136">
        <f>AD9216/AC9216</f>
        <v>420.00000000000006</v>
      </c>
      <c r="AA9216" s="58"/>
      <c r="AB9216" s="53">
        <f>AD9216/AC9216</f>
        <v>420.00000000000006</v>
      </c>
      <c r="AC9216" s="53">
        <f>M9216+$AE$10</f>
        <v>57.069999999999979</v>
      </c>
      <c r="AD9216" s="54">
        <f>SUM(AD9217:AD9218)</f>
        <v>23969.399999999994</v>
      </c>
      <c r="AE9216" s="184">
        <f>SUMIFS($AD$37:$AD$12971,$V$37:$V$12971,$V9216,$X$37:$X$12971,AE$13)</f>
        <v>0</v>
      </c>
      <c r="AF9216" s="185">
        <f>SUMIFS($AD$37:$AD$12971,$V$37:$V$12971,$V9216,$X$37:$X$12971,AF$13)</f>
        <v>0</v>
      </c>
      <c r="AG9216" s="185">
        <f>SUMIFS($AD$37:$AD$12971,$V$37:$V$12971,$V9216,$X$37:$X$12971,AG$13)</f>
        <v>0</v>
      </c>
      <c r="AH9216" s="187">
        <f>SUMIFS($AD$37:$AD$12971,$V$37:$V$12971,$V9216,$X$37:$X$12971,AH$13)</f>
        <v>0</v>
      </c>
      <c r="AI9216" s="161">
        <f t="shared" ref="AI9216" si="6213">SUM(AE9216:AH9216)</f>
        <v>0</v>
      </c>
      <c r="AK9216" s="172"/>
    </row>
    <row r="9217" spans="1:41" s="102" customFormat="1" ht="19.899999999999999" customHeight="1" x14ac:dyDescent="0.25">
      <c r="A9217" s="45"/>
      <c r="B9217" s="59"/>
      <c r="C9217" s="137"/>
      <c r="D9217" s="59"/>
      <c r="E9217" s="116"/>
      <c r="F9217" s="120"/>
      <c r="G9217" s="120"/>
      <c r="H9217" s="120"/>
      <c r="I9217" s="60"/>
      <c r="J9217" s="116"/>
      <c r="K9217" s="213"/>
      <c r="L9217" s="120"/>
      <c r="M9217" s="120"/>
      <c r="N9217" s="167"/>
      <c r="O9217" s="120"/>
      <c r="P9217" s="120"/>
      <c r="Q9217" s="120"/>
      <c r="R9217" s="120"/>
      <c r="S9217" s="120"/>
      <c r="T9217" s="221"/>
      <c r="U9217" s="89"/>
      <c r="V9217" s="61"/>
      <c r="W9217" s="92" t="s">
        <v>1359</v>
      </c>
      <c r="X9217" s="93" t="s">
        <v>32</v>
      </c>
      <c r="Y9217" s="93" t="s">
        <v>64</v>
      </c>
      <c r="Z9217" s="134">
        <f>VLOOKUP(W9217,Sheet2!$B:$D,3,FALSE)</f>
        <v>40</v>
      </c>
      <c r="AA9217" s="93">
        <f>1/(1*1.5*4)</f>
        <v>0.16666666666666666</v>
      </c>
      <c r="AB9217" s="93">
        <f t="shared" ref="AB9217" si="6214">AD9217/AC9216</f>
        <v>240</v>
      </c>
      <c r="AC9217" s="93">
        <f>AC9216/AA9217</f>
        <v>342.4199999999999</v>
      </c>
      <c r="AD9217" s="94">
        <f t="shared" ref="AD9217:AD9218" si="6215">AC9217*Z9217</f>
        <v>13696.799999999996</v>
      </c>
      <c r="AE9217" s="190"/>
      <c r="AF9217" s="191"/>
      <c r="AG9217" s="191"/>
      <c r="AH9217" s="191"/>
      <c r="AI9217" s="186"/>
      <c r="AK9217" s="171"/>
    </row>
    <row r="9218" spans="1:41" s="102" customFormat="1" ht="19.899999999999999" customHeight="1" x14ac:dyDescent="0.25">
      <c r="A9218" s="45"/>
      <c r="B9218" s="59"/>
      <c r="C9218" s="137"/>
      <c r="D9218" s="59"/>
      <c r="E9218" s="116"/>
      <c r="F9218" s="120"/>
      <c r="G9218" s="120"/>
      <c r="H9218" s="120"/>
      <c r="I9218" s="60"/>
      <c r="J9218" s="116"/>
      <c r="K9218" s="213"/>
      <c r="L9218" s="120"/>
      <c r="M9218" s="120"/>
      <c r="N9218" s="167"/>
      <c r="O9218" s="120"/>
      <c r="P9218" s="120"/>
      <c r="Q9218" s="120"/>
      <c r="R9218" s="120"/>
      <c r="S9218" s="120"/>
      <c r="T9218" s="221"/>
      <c r="U9218" s="89"/>
      <c r="V9218" s="61"/>
      <c r="W9218" s="92" t="s">
        <v>1360</v>
      </c>
      <c r="X9218" s="93" t="s">
        <v>32</v>
      </c>
      <c r="Y9218" s="93" t="s">
        <v>64</v>
      </c>
      <c r="Z9218" s="134">
        <f>VLOOKUP(W9218,Sheet2!$B:$D,3,FALSE)</f>
        <v>30</v>
      </c>
      <c r="AA9218" s="93">
        <f>AA9217</f>
        <v>0.16666666666666666</v>
      </c>
      <c r="AB9218" s="93">
        <f>AD9218/AC9216</f>
        <v>180</v>
      </c>
      <c r="AC9218" s="93">
        <f>AC9216/AA9218</f>
        <v>342.4199999999999</v>
      </c>
      <c r="AD9218" s="94">
        <f t="shared" si="6215"/>
        <v>10272.599999999997</v>
      </c>
      <c r="AE9218" s="190"/>
      <c r="AF9218" s="191"/>
      <c r="AG9218" s="191"/>
      <c r="AH9218" s="191"/>
      <c r="AI9218" s="186"/>
      <c r="AK9218" s="171"/>
    </row>
    <row r="9219" spans="1:41" s="103" customFormat="1" ht="19.899999999999999" customHeight="1" x14ac:dyDescent="0.25">
      <c r="A9219" s="51"/>
      <c r="B9219" s="52"/>
      <c r="C9219" s="165"/>
      <c r="D9219" s="52"/>
      <c r="E9219" s="115"/>
      <c r="F9219" s="58"/>
      <c r="G9219" s="58"/>
      <c r="H9219" s="58"/>
      <c r="I9219" s="55"/>
      <c r="J9219" s="113">
        <f>J9200</f>
        <v>57.069999999999979</v>
      </c>
      <c r="K9219" s="212">
        <f>K9200</f>
        <v>57.069999999999979</v>
      </c>
      <c r="L9219" s="58"/>
      <c r="M9219" s="58">
        <f>K9219-L9219</f>
        <v>57.069999999999979</v>
      </c>
      <c r="N9219" s="166"/>
      <c r="O9219" s="58"/>
      <c r="P9219" s="58"/>
      <c r="Q9219" s="58"/>
      <c r="R9219" s="58"/>
      <c r="S9219" s="58"/>
      <c r="T9219" s="220"/>
      <c r="U9219" s="88"/>
      <c r="V9219" s="56"/>
      <c r="W9219" s="57" t="s">
        <v>1272</v>
      </c>
      <c r="X9219" s="53"/>
      <c r="Y9219" s="91" t="s">
        <v>35</v>
      </c>
      <c r="Z9219" s="136">
        <f>AD9219/AC9219</f>
        <v>125.72172941176474</v>
      </c>
      <c r="AA9219" s="58"/>
      <c r="AB9219" s="53">
        <f>AD9219/AC9219</f>
        <v>125.72172941176474</v>
      </c>
      <c r="AC9219" s="53">
        <f>M9219+$AE$10</f>
        <v>57.069999999999979</v>
      </c>
      <c r="AD9219" s="54">
        <f>SUM(AD9220:AD9228)</f>
        <v>7174.9390975294109</v>
      </c>
      <c r="AE9219" s="184">
        <f>SUMIFS($AD$37:$AD$12971,$V$37:$V$12971,$V9219,$X$37:$X$12971,AE$13)</f>
        <v>0</v>
      </c>
      <c r="AF9219" s="185">
        <f>SUMIFS($AD$37:$AD$12971,$V$37:$V$12971,$V9219,$X$37:$X$12971,AF$13)</f>
        <v>0</v>
      </c>
      <c r="AG9219" s="185">
        <f>SUMIFS($AD$37:$AD$12971,$V$37:$V$12971,$V9219,$X$37:$X$12971,AG$13)</f>
        <v>0</v>
      </c>
      <c r="AH9219" s="187">
        <f>SUMIFS($AD$37:$AD$12971,$V$37:$V$12971,$V9219,$X$37:$X$12971,AH$13)</f>
        <v>0</v>
      </c>
      <c r="AI9219" s="161">
        <f t="shared" ref="AI9219" si="6216">SUM(AE9219:AH9219)</f>
        <v>0</v>
      </c>
      <c r="AK9219" s="172"/>
    </row>
    <row r="9220" spans="1:41" s="102" customFormat="1" ht="19.899999999999999" customHeight="1" x14ac:dyDescent="0.25">
      <c r="A9220" s="45"/>
      <c r="B9220" s="59"/>
      <c r="C9220" s="137"/>
      <c r="D9220" s="59"/>
      <c r="E9220" s="116"/>
      <c r="F9220" s="120"/>
      <c r="G9220" s="120"/>
      <c r="H9220" s="120"/>
      <c r="I9220" s="60"/>
      <c r="J9220" s="116"/>
      <c r="K9220" s="213"/>
      <c r="L9220" s="120"/>
      <c r="M9220" s="120"/>
      <c r="N9220" s="167"/>
      <c r="O9220" s="120"/>
      <c r="P9220" s="120"/>
      <c r="Q9220" s="120"/>
      <c r="R9220" s="120"/>
      <c r="S9220" s="120"/>
      <c r="T9220" s="221"/>
      <c r="U9220" s="89"/>
      <c r="V9220" s="61"/>
      <c r="W9220" s="92" t="s">
        <v>1273</v>
      </c>
      <c r="X9220" s="93" t="s">
        <v>30</v>
      </c>
      <c r="Y9220" s="93" t="s">
        <v>66</v>
      </c>
      <c r="Z9220" s="134">
        <f>VLOOKUP(W9220,Sheet2!$B:$D,3,FALSE)</f>
        <v>10</v>
      </c>
      <c r="AA9220" s="93">
        <f>1/((2.5*2.5*1.5)-(1*1*1.5))</f>
        <v>0.12698412698412698</v>
      </c>
      <c r="AB9220" s="93">
        <f>AD9220/AC9219</f>
        <v>78.750000000000014</v>
      </c>
      <c r="AC9220" s="93">
        <f>AC9219/AA9220</f>
        <v>449.42624999999987</v>
      </c>
      <c r="AD9220" s="94">
        <f t="shared" ref="AD9220:AD9222" si="6217">AC9220*Z9220</f>
        <v>4494.2624999999989</v>
      </c>
      <c r="AE9220" s="190"/>
      <c r="AF9220" s="191"/>
      <c r="AG9220" s="191"/>
      <c r="AH9220" s="191"/>
      <c r="AI9220" s="186"/>
      <c r="AK9220" s="171"/>
    </row>
    <row r="9221" spans="1:41" s="102" customFormat="1" ht="19.899999999999999" customHeight="1" x14ac:dyDescent="0.25">
      <c r="A9221" s="45"/>
      <c r="B9221" s="59"/>
      <c r="C9221" s="137"/>
      <c r="D9221" s="59"/>
      <c r="E9221" s="116"/>
      <c r="F9221" s="120"/>
      <c r="G9221" s="120"/>
      <c r="H9221" s="120"/>
      <c r="I9221" s="60"/>
      <c r="J9221" s="116"/>
      <c r="K9221" s="213"/>
      <c r="L9221" s="120"/>
      <c r="M9221" s="120"/>
      <c r="N9221" s="167"/>
      <c r="O9221" s="120"/>
      <c r="P9221" s="120"/>
      <c r="Q9221" s="120"/>
      <c r="R9221" s="120"/>
      <c r="S9221" s="120"/>
      <c r="T9221" s="221"/>
      <c r="U9221" s="89"/>
      <c r="V9221" s="61"/>
      <c r="W9221" s="92" t="s">
        <v>134</v>
      </c>
      <c r="X9221" s="93" t="s">
        <v>29</v>
      </c>
      <c r="Y9221" s="93" t="s">
        <v>93</v>
      </c>
      <c r="Z9221" s="134">
        <f>VLOOKUP(W9221,Sheet2!$B:$D,3,FALSE)</f>
        <v>65.599999999999994</v>
      </c>
      <c r="AA9221" s="93">
        <f>100/((2.5*2.5*1.5)-(1*1*1.5))</f>
        <v>12.698412698412698</v>
      </c>
      <c r="AB9221" s="93">
        <f t="shared" ref="AB9221" si="6218">AD9221/AC9219</f>
        <v>5.1660000000000004</v>
      </c>
      <c r="AC9221" s="93">
        <f>AC9219/AA9221</f>
        <v>4.4942624999999987</v>
      </c>
      <c r="AD9221" s="94">
        <f t="shared" si="6217"/>
        <v>294.82361999999989</v>
      </c>
      <c r="AE9221" s="190"/>
      <c r="AF9221" s="191"/>
      <c r="AG9221" s="191"/>
      <c r="AH9221" s="191"/>
      <c r="AI9221" s="186"/>
      <c r="AK9221" s="171"/>
    </row>
    <row r="9222" spans="1:41" s="102" customFormat="1" ht="19.899999999999999" customHeight="1" x14ac:dyDescent="0.25">
      <c r="A9222" s="45"/>
      <c r="B9222" s="59"/>
      <c r="C9222" s="137"/>
      <c r="D9222" s="59"/>
      <c r="E9222" s="116"/>
      <c r="F9222" s="120"/>
      <c r="G9222" s="120"/>
      <c r="H9222" s="120"/>
      <c r="I9222" s="60"/>
      <c r="J9222" s="116"/>
      <c r="K9222" s="213"/>
      <c r="L9222" s="120"/>
      <c r="M9222" s="120"/>
      <c r="N9222" s="167"/>
      <c r="O9222" s="120"/>
      <c r="P9222" s="120"/>
      <c r="Q9222" s="120"/>
      <c r="R9222" s="120"/>
      <c r="S9222" s="120"/>
      <c r="T9222" s="221"/>
      <c r="U9222" s="89"/>
      <c r="V9222" s="61"/>
      <c r="W9222" s="92" t="s">
        <v>65</v>
      </c>
      <c r="X9222" s="93" t="s">
        <v>30</v>
      </c>
      <c r="Y9222" s="93" t="s">
        <v>1011</v>
      </c>
      <c r="Z9222" s="134">
        <f>VLOOKUP(W9222,Sheet2!$B:$D,3,FALSE)</f>
        <v>1.76</v>
      </c>
      <c r="AA9222" s="93">
        <f>AA9221/9</f>
        <v>1.4109347442680775</v>
      </c>
      <c r="AB9222" s="93">
        <f>AD9222/AC9219</f>
        <v>1.2474000000000001</v>
      </c>
      <c r="AC9222" s="93">
        <f>AC9219/AA9222</f>
        <v>40.448362499999988</v>
      </c>
      <c r="AD9222" s="94">
        <f t="shared" si="6217"/>
        <v>71.189117999999979</v>
      </c>
      <c r="AE9222" s="190"/>
      <c r="AF9222" s="191"/>
      <c r="AG9222" s="191"/>
      <c r="AH9222" s="191"/>
      <c r="AI9222" s="186"/>
      <c r="AK9222" s="171"/>
    </row>
    <row r="9223" spans="1:41" s="102" customFormat="1" ht="19.899999999999999" customHeight="1" x14ac:dyDescent="0.25">
      <c r="A9223" s="45"/>
      <c r="B9223" s="59"/>
      <c r="C9223" s="137"/>
      <c r="D9223" s="59"/>
      <c r="E9223" s="116"/>
      <c r="F9223" s="120"/>
      <c r="G9223" s="120"/>
      <c r="H9223" s="120"/>
      <c r="I9223" s="60"/>
      <c r="J9223" s="116"/>
      <c r="K9223" s="213"/>
      <c r="L9223" s="120"/>
      <c r="M9223" s="120"/>
      <c r="N9223" s="167"/>
      <c r="O9223" s="120"/>
      <c r="P9223" s="120"/>
      <c r="Q9223" s="120"/>
      <c r="R9223" s="120"/>
      <c r="S9223" s="120"/>
      <c r="T9223" s="221"/>
      <c r="U9223" s="89"/>
      <c r="V9223" s="61"/>
      <c r="W9223" s="92" t="s">
        <v>161</v>
      </c>
      <c r="X9223" s="93" t="s">
        <v>29</v>
      </c>
      <c r="Y9223" s="93" t="s">
        <v>93</v>
      </c>
      <c r="Z9223" s="134">
        <f>VLOOKUP(W9223,Sheet2!$B:$D,3,FALSE)</f>
        <v>48</v>
      </c>
      <c r="AA9223" s="93">
        <f>(16*0.85*1.5)/((2.5*2.5*1.5)-(1*1*1.5))</f>
        <v>2.5904761904761902</v>
      </c>
      <c r="AB9223" s="93">
        <f>AD9223/AC9219</f>
        <v>18.529411764705884</v>
      </c>
      <c r="AC9223" s="93">
        <f>AC9219/AA9223</f>
        <v>22.030698529411758</v>
      </c>
      <c r="AD9223" s="94">
        <f>AC9223*Z9223</f>
        <v>1057.4735294117645</v>
      </c>
      <c r="AE9223" s="190"/>
      <c r="AF9223" s="191"/>
      <c r="AG9223" s="191"/>
      <c r="AH9223" s="191"/>
      <c r="AI9223" s="186"/>
      <c r="AK9223" s="171"/>
    </row>
    <row r="9224" spans="1:41" s="102" customFormat="1" ht="19.899999999999999" customHeight="1" x14ac:dyDescent="0.25">
      <c r="A9224" s="45"/>
      <c r="B9224" s="59"/>
      <c r="C9224" s="137"/>
      <c r="D9224" s="59"/>
      <c r="E9224" s="116"/>
      <c r="F9224" s="120"/>
      <c r="G9224" s="120"/>
      <c r="H9224" s="120"/>
      <c r="I9224" s="60"/>
      <c r="J9224" s="116"/>
      <c r="K9224" s="213"/>
      <c r="L9224" s="120"/>
      <c r="M9224" s="120"/>
      <c r="N9224" s="167"/>
      <c r="O9224" s="120"/>
      <c r="P9224" s="120"/>
      <c r="Q9224" s="120"/>
      <c r="R9224" s="120"/>
      <c r="S9224" s="120"/>
      <c r="T9224" s="221"/>
      <c r="U9224" s="89"/>
      <c r="V9224" s="61"/>
      <c r="W9224" s="92" t="s">
        <v>65</v>
      </c>
      <c r="X9224" s="93" t="s">
        <v>30</v>
      </c>
      <c r="Y9224" s="93" t="s">
        <v>1011</v>
      </c>
      <c r="Z9224" s="134">
        <f>VLOOKUP(W9224,Sheet2!$B:$D,3,FALSE)</f>
        <v>1.76</v>
      </c>
      <c r="AA9224" s="93">
        <f>AA9223/10</f>
        <v>0.25904761904761903</v>
      </c>
      <c r="AB9224" s="93">
        <f>AD9224/AC9219</f>
        <v>6.7941176470588243</v>
      </c>
      <c r="AC9224" s="93">
        <f>AC9219/AA9224</f>
        <v>220.3069852941176</v>
      </c>
      <c r="AD9224" s="94">
        <f>AC9224*Z9224</f>
        <v>387.74029411764695</v>
      </c>
      <c r="AE9224" s="190"/>
      <c r="AF9224" s="191"/>
      <c r="AG9224" s="191"/>
      <c r="AH9224" s="191"/>
      <c r="AI9224" s="186"/>
      <c r="AK9224" s="171"/>
    </row>
    <row r="9225" spans="1:41" s="102" customFormat="1" ht="19.899999999999999" customHeight="1" x14ac:dyDescent="0.25">
      <c r="A9225" s="45"/>
      <c r="B9225" s="59"/>
      <c r="C9225" s="137"/>
      <c r="D9225" s="59"/>
      <c r="E9225" s="116"/>
      <c r="F9225" s="120"/>
      <c r="G9225" s="120"/>
      <c r="H9225" s="120"/>
      <c r="I9225" s="60"/>
      <c r="J9225" s="116"/>
      <c r="K9225" s="213"/>
      <c r="L9225" s="120"/>
      <c r="M9225" s="120"/>
      <c r="N9225" s="167"/>
      <c r="O9225" s="120"/>
      <c r="P9225" s="120"/>
      <c r="Q9225" s="120"/>
      <c r="R9225" s="120"/>
      <c r="S9225" s="120"/>
      <c r="T9225" s="221"/>
      <c r="U9225" s="89"/>
      <c r="V9225" s="61"/>
      <c r="W9225" s="92" t="s">
        <v>173</v>
      </c>
      <c r="X9225" s="93" t="s">
        <v>29</v>
      </c>
      <c r="Y9225" s="93" t="s">
        <v>93</v>
      </c>
      <c r="Z9225" s="134">
        <f>VLOOKUP(W9225,Sheet2!$B:$D,3,FALSE)</f>
        <v>36</v>
      </c>
      <c r="AA9225" s="93">
        <f>50/((2.5*2.5*1.5)-(1*1*1.5))</f>
        <v>6.3492063492063489</v>
      </c>
      <c r="AB9225" s="93">
        <f>AD9225/AC9219</f>
        <v>5.67</v>
      </c>
      <c r="AC9225" s="93">
        <f>AC9219/AA9225</f>
        <v>8.9885249999999974</v>
      </c>
      <c r="AD9225" s="94">
        <f>AC9225*Z9225</f>
        <v>323.5868999999999</v>
      </c>
      <c r="AE9225" s="190"/>
      <c r="AF9225" s="191"/>
      <c r="AG9225" s="191"/>
      <c r="AH9225" s="191"/>
      <c r="AI9225" s="186"/>
      <c r="AK9225" s="171"/>
    </row>
    <row r="9226" spans="1:41" s="102" customFormat="1" ht="19.899999999999999" customHeight="1" x14ac:dyDescent="0.25">
      <c r="A9226" s="45"/>
      <c r="B9226" s="59"/>
      <c r="C9226" s="137"/>
      <c r="D9226" s="59"/>
      <c r="E9226" s="116"/>
      <c r="F9226" s="120"/>
      <c r="G9226" s="120"/>
      <c r="H9226" s="120"/>
      <c r="I9226" s="60"/>
      <c r="J9226" s="116"/>
      <c r="K9226" s="213"/>
      <c r="L9226" s="120"/>
      <c r="M9226" s="120"/>
      <c r="N9226" s="167"/>
      <c r="O9226" s="120"/>
      <c r="P9226" s="120"/>
      <c r="Q9226" s="120"/>
      <c r="R9226" s="120"/>
      <c r="S9226" s="120"/>
      <c r="T9226" s="221"/>
      <c r="U9226" s="89"/>
      <c r="V9226" s="61"/>
      <c r="W9226" s="92" t="s">
        <v>65</v>
      </c>
      <c r="X9226" s="93" t="s">
        <v>30</v>
      </c>
      <c r="Y9226" s="93" t="s">
        <v>1011</v>
      </c>
      <c r="Z9226" s="134">
        <f>VLOOKUP(W9226,Sheet2!$B:$D,3,FALSE)</f>
        <v>1.76</v>
      </c>
      <c r="AA9226" s="93">
        <f>AA9225/9</f>
        <v>0.70546737213403876</v>
      </c>
      <c r="AB9226" s="93">
        <f>AD9226/AC9219</f>
        <v>2.4948000000000001</v>
      </c>
      <c r="AC9226" s="93">
        <f>AC9219/AA9226</f>
        <v>80.896724999999975</v>
      </c>
      <c r="AD9226" s="94">
        <f>AC9226*Z9226</f>
        <v>142.37823599999996</v>
      </c>
      <c r="AE9226" s="190"/>
      <c r="AF9226" s="191"/>
      <c r="AG9226" s="191"/>
      <c r="AH9226" s="191"/>
      <c r="AI9226" s="186"/>
      <c r="AK9226" s="171"/>
    </row>
    <row r="9227" spans="1:41" s="102" customFormat="1" ht="19.899999999999999" customHeight="1" x14ac:dyDescent="0.25">
      <c r="A9227" s="45"/>
      <c r="B9227" s="59"/>
      <c r="C9227" s="137"/>
      <c r="D9227" s="59"/>
      <c r="E9227" s="116"/>
      <c r="F9227" s="120"/>
      <c r="G9227" s="120"/>
      <c r="H9227" s="120"/>
      <c r="I9227" s="60"/>
      <c r="J9227" s="116"/>
      <c r="K9227" s="213"/>
      <c r="L9227" s="120"/>
      <c r="M9227" s="120"/>
      <c r="N9227" s="167"/>
      <c r="O9227" s="120"/>
      <c r="P9227" s="120"/>
      <c r="Q9227" s="120"/>
      <c r="R9227" s="120"/>
      <c r="S9227" s="120"/>
      <c r="T9227" s="221"/>
      <c r="U9227" s="89"/>
      <c r="V9227" s="61"/>
      <c r="W9227" s="92" t="s">
        <v>1030</v>
      </c>
      <c r="X9227" s="93" t="s">
        <v>29</v>
      </c>
      <c r="Y9227" s="93" t="s">
        <v>93</v>
      </c>
      <c r="Z9227" s="134">
        <f>VLOOKUP(W9227,Sheet2!$B:$D,3,FALSE)</f>
        <v>23</v>
      </c>
      <c r="AA9227" s="93">
        <v>4</v>
      </c>
      <c r="AB9227" s="93">
        <f>AD9227/AC9219</f>
        <v>5.75</v>
      </c>
      <c r="AC9227" s="93">
        <f>AC9219/AA9227</f>
        <v>14.267499999999995</v>
      </c>
      <c r="AD9227" s="94">
        <f t="shared" ref="AD9227:AD9228" si="6219">AC9227*Z9227</f>
        <v>328.15249999999986</v>
      </c>
      <c r="AE9227" s="190"/>
      <c r="AF9227" s="191"/>
      <c r="AG9227" s="191"/>
      <c r="AH9227" s="191"/>
      <c r="AI9227" s="186"/>
      <c r="AK9227" s="171"/>
    </row>
    <row r="9228" spans="1:41" s="102" customFormat="1" ht="19.899999999999999" customHeight="1" x14ac:dyDescent="0.25">
      <c r="A9228" s="45"/>
      <c r="B9228" s="59"/>
      <c r="C9228" s="137"/>
      <c r="D9228" s="59"/>
      <c r="E9228" s="116"/>
      <c r="F9228" s="120"/>
      <c r="G9228" s="120"/>
      <c r="H9228" s="120"/>
      <c r="I9228" s="60"/>
      <c r="J9228" s="116"/>
      <c r="K9228" s="213"/>
      <c r="L9228" s="120"/>
      <c r="M9228" s="120"/>
      <c r="N9228" s="167"/>
      <c r="O9228" s="120"/>
      <c r="P9228" s="120"/>
      <c r="Q9228" s="120"/>
      <c r="R9228" s="120"/>
      <c r="S9228" s="120"/>
      <c r="T9228" s="221"/>
      <c r="U9228" s="89"/>
      <c r="V9228" s="61"/>
      <c r="W9228" s="92" t="s">
        <v>65</v>
      </c>
      <c r="X9228" s="93" t="s">
        <v>30</v>
      </c>
      <c r="Y9228" s="93" t="s">
        <v>1011</v>
      </c>
      <c r="Z9228" s="134">
        <f>VLOOKUP(W9228,Sheet2!$B:$D,3,FALSE)</f>
        <v>1.76</v>
      </c>
      <c r="AA9228" s="93">
        <f>AA9227/3</f>
        <v>1.3333333333333333</v>
      </c>
      <c r="AB9228" s="93">
        <f>AD9228/AC9219</f>
        <v>1.32</v>
      </c>
      <c r="AC9228" s="93">
        <f>AC9219/AA9228</f>
        <v>42.802499999999988</v>
      </c>
      <c r="AD9228" s="94">
        <f t="shared" si="6219"/>
        <v>75.332399999999978</v>
      </c>
      <c r="AE9228" s="190"/>
      <c r="AF9228" s="191"/>
      <c r="AG9228" s="191"/>
      <c r="AH9228" s="191"/>
      <c r="AI9228" s="186"/>
      <c r="AK9228" s="171"/>
    </row>
    <row r="9229" spans="1:41" ht="20.100000000000001" customHeight="1" x14ac:dyDescent="0.25">
      <c r="A9229" s="277" t="s">
        <v>703</v>
      </c>
      <c r="B9229" s="278"/>
      <c r="C9229" s="64" t="s">
        <v>810</v>
      </c>
      <c r="D9229" s="46" t="s">
        <v>215</v>
      </c>
      <c r="E9229" s="114">
        <v>55.38999999999983</v>
      </c>
      <c r="F9229" s="44">
        <v>7249</v>
      </c>
      <c r="G9229" s="44">
        <f t="shared" si="5545"/>
        <v>401522.10999999876</v>
      </c>
      <c r="H9229" s="44">
        <f t="shared" si="5546"/>
        <v>3962.7514612368027</v>
      </c>
      <c r="I9229" s="43">
        <f t="shared" si="5547"/>
        <v>219496.80343790582</v>
      </c>
      <c r="J9229" s="112">
        <f t="shared" si="5548"/>
        <v>55.38999999999983</v>
      </c>
      <c r="K9229" s="211">
        <f t="shared" si="5549"/>
        <v>55.38999999999983</v>
      </c>
      <c r="L9229" s="44"/>
      <c r="M9229" s="44">
        <f t="shared" si="5550"/>
        <v>55.38999999999983</v>
      </c>
      <c r="N9229" s="173">
        <f t="shared" si="5551"/>
        <v>1</v>
      </c>
      <c r="O9229" s="44">
        <f t="shared" si="5552"/>
        <v>7249</v>
      </c>
      <c r="P9229" s="44">
        <f t="shared" si="5553"/>
        <v>401522.10999999876</v>
      </c>
      <c r="Q9229" s="44">
        <f t="shared" si="5554"/>
        <v>3962.7514612368027</v>
      </c>
      <c r="R9229" s="44">
        <f t="shared" si="5555"/>
        <v>219496.80343790582</v>
      </c>
      <c r="S9229" s="123"/>
      <c r="T9229" s="219">
        <f t="shared" si="5556"/>
        <v>219496.80343790582</v>
      </c>
      <c r="U9229" s="87"/>
      <c r="V9229" s="47"/>
      <c r="W9229" s="48"/>
      <c r="X9229" s="48"/>
      <c r="Y9229" s="48"/>
      <c r="Z9229" s="135"/>
      <c r="AA9229" s="49"/>
      <c r="AB9229" s="50">
        <f t="shared" si="5557"/>
        <v>3962.7514612368027</v>
      </c>
      <c r="AC9229" s="42">
        <f t="shared" si="5558"/>
        <v>55.38999999999983</v>
      </c>
      <c r="AD9229" s="90">
        <f>AD9230+AD9235+AD9245+AD9248</f>
        <v>219496.80343790582</v>
      </c>
      <c r="AE9229" s="188">
        <f t="shared" ref="AE9229" si="6220">AE9230+AE9235+AE9245+AE9248</f>
        <v>0</v>
      </c>
      <c r="AF9229" s="189">
        <f t="shared" ref="AF9229" si="6221">AF9230+AF9235+AF9245+AF9248</f>
        <v>0</v>
      </c>
      <c r="AG9229" s="189">
        <f t="shared" ref="AG9229" si="6222">AG9230+AG9235+AG9245+AG9248</f>
        <v>0</v>
      </c>
      <c r="AH9229" s="189">
        <f t="shared" ref="AH9229" si="6223">AH9230+AH9235+AH9245+AH9248</f>
        <v>0</v>
      </c>
      <c r="AI9229" s="161">
        <f t="shared" ref="AI9229" si="6224">SUM(AE9229:AH9229)</f>
        <v>0</v>
      </c>
      <c r="AK9229" s="169">
        <v>5</v>
      </c>
      <c r="AO9229" s="19" t="s">
        <v>63</v>
      </c>
    </row>
    <row r="9230" spans="1:41" s="103" customFormat="1" ht="19.899999999999999" customHeight="1" x14ac:dyDescent="0.25">
      <c r="A9230" s="51"/>
      <c r="B9230" s="52"/>
      <c r="C9230" s="165"/>
      <c r="D9230" s="52"/>
      <c r="E9230" s="115"/>
      <c r="F9230" s="58"/>
      <c r="G9230" s="58"/>
      <c r="H9230" s="58"/>
      <c r="I9230" s="55"/>
      <c r="J9230" s="113">
        <f>J9229</f>
        <v>55.38999999999983</v>
      </c>
      <c r="K9230" s="212">
        <f>K9229</f>
        <v>55.38999999999983</v>
      </c>
      <c r="L9230" s="58"/>
      <c r="M9230" s="58">
        <f>K9230-L9230</f>
        <v>55.38999999999983</v>
      </c>
      <c r="N9230" s="166"/>
      <c r="O9230" s="58"/>
      <c r="P9230" s="58"/>
      <c r="Q9230" s="58"/>
      <c r="R9230" s="58"/>
      <c r="S9230" s="58"/>
      <c r="T9230" s="220"/>
      <c r="U9230" s="88"/>
      <c r="V9230" s="56"/>
      <c r="W9230" s="57" t="s">
        <v>1485</v>
      </c>
      <c r="X9230" s="53"/>
      <c r="Y9230" s="91" t="s">
        <v>35</v>
      </c>
      <c r="Z9230" s="136">
        <f>AD9230/AC9230</f>
        <v>50.276078431372547</v>
      </c>
      <c r="AA9230" s="58"/>
      <c r="AB9230" s="53">
        <f>AD9230/AC9230</f>
        <v>50.276078431372547</v>
      </c>
      <c r="AC9230" s="53">
        <f>M9230+$AE$10</f>
        <v>55.38999999999983</v>
      </c>
      <c r="AD9230" s="54">
        <f>SUM(AD9231:AD9234)</f>
        <v>2784.791984313717</v>
      </c>
      <c r="AE9230" s="184">
        <f>SUMIFS($AD$37:$AD$12971,$V$37:$V$12971,$V9230,$X$37:$X$12971,AE$13)</f>
        <v>0</v>
      </c>
      <c r="AF9230" s="185">
        <f>SUMIFS($AD$37:$AD$12971,$V$37:$V$12971,$V9230,$X$37:$X$12971,AF$13)</f>
        <v>0</v>
      </c>
      <c r="AG9230" s="185">
        <f>SUMIFS($AD$37:$AD$12971,$V$37:$V$12971,$V9230,$X$37:$X$12971,AG$13)</f>
        <v>0</v>
      </c>
      <c r="AH9230" s="187">
        <f>SUMIFS($AD$37:$AD$12971,$V$37:$V$12971,$V9230,$X$37:$X$12971,AH$13)</f>
        <v>0</v>
      </c>
      <c r="AI9230" s="161">
        <f t="shared" ref="AI9230" si="6225">SUM(AE9230:AH9230)</f>
        <v>0</v>
      </c>
      <c r="AK9230" s="172"/>
    </row>
    <row r="9231" spans="1:41" s="102" customFormat="1" ht="19.899999999999999" customHeight="1" x14ac:dyDescent="0.25">
      <c r="A9231" s="45"/>
      <c r="B9231" s="59"/>
      <c r="C9231" s="137"/>
      <c r="D9231" s="59"/>
      <c r="E9231" s="116"/>
      <c r="F9231" s="120"/>
      <c r="G9231" s="120"/>
      <c r="H9231" s="120"/>
      <c r="I9231" s="60"/>
      <c r="J9231" s="116"/>
      <c r="K9231" s="213"/>
      <c r="L9231" s="120"/>
      <c r="M9231" s="120"/>
      <c r="N9231" s="167"/>
      <c r="O9231" s="120"/>
      <c r="P9231" s="120"/>
      <c r="Q9231" s="120"/>
      <c r="R9231" s="120"/>
      <c r="S9231" s="120"/>
      <c r="T9231" s="221"/>
      <c r="U9231" s="89"/>
      <c r="V9231" s="61"/>
      <c r="W9231" s="92" t="s">
        <v>129</v>
      </c>
      <c r="X9231" s="93" t="s">
        <v>29</v>
      </c>
      <c r="Y9231" s="93" t="s">
        <v>93</v>
      </c>
      <c r="Z9231" s="134">
        <f>VLOOKUP(W9231,Sheet2!$B:$D,3,FALSE)</f>
        <v>56</v>
      </c>
      <c r="AA9231" s="93">
        <f>100/(2.5*2.5*2)</f>
        <v>8</v>
      </c>
      <c r="AB9231" s="93">
        <f t="shared" ref="AB9231" si="6226">AD9231/AC9230</f>
        <v>7</v>
      </c>
      <c r="AC9231" s="93">
        <f>AC9230/AA9231</f>
        <v>6.9237499999999788</v>
      </c>
      <c r="AD9231" s="94">
        <f t="shared" ref="AD9231:AD9232" si="6227">AC9231*Z9231</f>
        <v>387.72999999999882</v>
      </c>
      <c r="AE9231" s="190"/>
      <c r="AF9231" s="191"/>
      <c r="AG9231" s="191"/>
      <c r="AH9231" s="191"/>
      <c r="AI9231" s="186"/>
      <c r="AK9231" s="171"/>
    </row>
    <row r="9232" spans="1:41" s="102" customFormat="1" ht="19.899999999999999" customHeight="1" x14ac:dyDescent="0.25">
      <c r="A9232" s="45"/>
      <c r="B9232" s="59"/>
      <c r="C9232" s="137"/>
      <c r="D9232" s="59"/>
      <c r="E9232" s="116"/>
      <c r="F9232" s="120"/>
      <c r="G9232" s="120"/>
      <c r="H9232" s="120"/>
      <c r="I9232" s="60"/>
      <c r="J9232" s="116"/>
      <c r="K9232" s="213"/>
      <c r="L9232" s="120"/>
      <c r="M9232" s="120"/>
      <c r="N9232" s="167"/>
      <c r="O9232" s="120"/>
      <c r="P9232" s="120"/>
      <c r="Q9232" s="120"/>
      <c r="R9232" s="120"/>
      <c r="S9232" s="120"/>
      <c r="T9232" s="221"/>
      <c r="U9232" s="89"/>
      <c r="V9232" s="61"/>
      <c r="W9232" s="92" t="s">
        <v>65</v>
      </c>
      <c r="X9232" s="93" t="s">
        <v>30</v>
      </c>
      <c r="Y9232" s="93" t="s">
        <v>1011</v>
      </c>
      <c r="Z9232" s="134">
        <f>VLOOKUP(W9232,Sheet2!$B:$D,3,FALSE)</f>
        <v>1.76</v>
      </c>
      <c r="AA9232" s="93">
        <f>AA9231/14</f>
        <v>0.5714285714285714</v>
      </c>
      <c r="AB9232" s="93">
        <f>AD9232/AC9230</f>
        <v>3.0800000000000005</v>
      </c>
      <c r="AC9232" s="93">
        <f>AC9230/AA9232</f>
        <v>96.932499999999706</v>
      </c>
      <c r="AD9232" s="94">
        <f t="shared" si="6227"/>
        <v>170.60119999999949</v>
      </c>
      <c r="AE9232" s="190"/>
      <c r="AF9232" s="191"/>
      <c r="AG9232" s="191"/>
      <c r="AH9232" s="191"/>
      <c r="AI9232" s="186"/>
      <c r="AK9232" s="171"/>
    </row>
    <row r="9233" spans="1:37" s="102" customFormat="1" ht="19.899999999999999" customHeight="1" x14ac:dyDescent="0.25">
      <c r="A9233" s="45"/>
      <c r="B9233" s="59"/>
      <c r="C9233" s="137"/>
      <c r="D9233" s="59"/>
      <c r="E9233" s="116"/>
      <c r="F9233" s="120"/>
      <c r="G9233" s="120"/>
      <c r="H9233" s="120"/>
      <c r="I9233" s="60"/>
      <c r="J9233" s="116"/>
      <c r="K9233" s="213"/>
      <c r="L9233" s="120"/>
      <c r="M9233" s="120"/>
      <c r="N9233" s="167"/>
      <c r="O9233" s="120"/>
      <c r="P9233" s="120"/>
      <c r="Q9233" s="120"/>
      <c r="R9233" s="120"/>
      <c r="S9233" s="120"/>
      <c r="T9233" s="221"/>
      <c r="U9233" s="89"/>
      <c r="V9233" s="61"/>
      <c r="W9233" s="92" t="s">
        <v>161</v>
      </c>
      <c r="X9233" s="93" t="s">
        <v>29</v>
      </c>
      <c r="Y9233" s="93" t="s">
        <v>93</v>
      </c>
      <c r="Z9233" s="134">
        <f>VLOOKUP(W9233,Sheet2!$B:$D,3,FALSE)</f>
        <v>48</v>
      </c>
      <c r="AA9233" s="93">
        <f>(16*0.85*1.5)/(2.5*2.5*2)</f>
        <v>1.6319999999999999</v>
      </c>
      <c r="AB9233" s="93">
        <f>AD9233/AC9230</f>
        <v>29.411764705882355</v>
      </c>
      <c r="AC9233" s="93">
        <f>AC9230/AA9233</f>
        <v>33.939950980392055</v>
      </c>
      <c r="AD9233" s="94">
        <f>AC9233*Z9233</f>
        <v>1629.1176470588186</v>
      </c>
      <c r="AE9233" s="190"/>
      <c r="AF9233" s="191"/>
      <c r="AG9233" s="191"/>
      <c r="AH9233" s="191"/>
      <c r="AI9233" s="186"/>
      <c r="AK9233" s="171"/>
    </row>
    <row r="9234" spans="1:37" s="102" customFormat="1" ht="19.899999999999999" customHeight="1" x14ac:dyDescent="0.25">
      <c r="A9234" s="45"/>
      <c r="B9234" s="59"/>
      <c r="C9234" s="137"/>
      <c r="D9234" s="59"/>
      <c r="E9234" s="116"/>
      <c r="F9234" s="120"/>
      <c r="G9234" s="120"/>
      <c r="H9234" s="120"/>
      <c r="I9234" s="60"/>
      <c r="J9234" s="116"/>
      <c r="K9234" s="213"/>
      <c r="L9234" s="120"/>
      <c r="M9234" s="120"/>
      <c r="N9234" s="167"/>
      <c r="O9234" s="120"/>
      <c r="P9234" s="120"/>
      <c r="Q9234" s="120"/>
      <c r="R9234" s="120"/>
      <c r="S9234" s="120"/>
      <c r="T9234" s="221"/>
      <c r="U9234" s="89"/>
      <c r="V9234" s="61"/>
      <c r="W9234" s="92" t="s">
        <v>65</v>
      </c>
      <c r="X9234" s="93" t="s">
        <v>30</v>
      </c>
      <c r="Y9234" s="93" t="s">
        <v>1011</v>
      </c>
      <c r="Z9234" s="134">
        <f>VLOOKUP(W9234,Sheet2!$B:$D,3,FALSE)</f>
        <v>1.76</v>
      </c>
      <c r="AA9234" s="93">
        <f>AA9233/10</f>
        <v>0.16319999999999998</v>
      </c>
      <c r="AB9234" s="93">
        <f>AD9234/AC9230</f>
        <v>10.784313725490197</v>
      </c>
      <c r="AC9234" s="93">
        <f>AC9230/AA9234</f>
        <v>339.39950980392058</v>
      </c>
      <c r="AD9234" s="94">
        <f>AC9234*Z9234</f>
        <v>597.34313725490017</v>
      </c>
      <c r="AE9234" s="190"/>
      <c r="AF9234" s="191"/>
      <c r="AG9234" s="191"/>
      <c r="AH9234" s="191"/>
      <c r="AI9234" s="186"/>
      <c r="AK9234" s="171"/>
    </row>
    <row r="9235" spans="1:37" s="103" customFormat="1" ht="19.899999999999999" customHeight="1" x14ac:dyDescent="0.25">
      <c r="A9235" s="51"/>
      <c r="B9235" s="52"/>
      <c r="C9235" s="165"/>
      <c r="D9235" s="52"/>
      <c r="E9235" s="115"/>
      <c r="F9235" s="58"/>
      <c r="G9235" s="58"/>
      <c r="H9235" s="58"/>
      <c r="I9235" s="55"/>
      <c r="J9235" s="113">
        <f>J9229</f>
        <v>55.38999999999983</v>
      </c>
      <c r="K9235" s="212">
        <f>K9229</f>
        <v>55.38999999999983</v>
      </c>
      <c r="L9235" s="58"/>
      <c r="M9235" s="58">
        <f>K9235-L9235</f>
        <v>55.38999999999983</v>
      </c>
      <c r="N9235" s="166"/>
      <c r="O9235" s="58"/>
      <c r="P9235" s="58"/>
      <c r="Q9235" s="58"/>
      <c r="R9235" s="58"/>
      <c r="S9235" s="58"/>
      <c r="T9235" s="220"/>
      <c r="U9235" s="88"/>
      <c r="V9235" s="56"/>
      <c r="W9235" s="57" t="s">
        <v>1636</v>
      </c>
      <c r="X9235" s="53"/>
      <c r="Y9235" s="91" t="s">
        <v>35</v>
      </c>
      <c r="Z9235" s="136">
        <f>AD9235/AC9235</f>
        <v>3187.2030769230769</v>
      </c>
      <c r="AA9235" s="58"/>
      <c r="AB9235" s="53">
        <f>AD9235/AC9235</f>
        <v>3187.2030769230769</v>
      </c>
      <c r="AC9235" s="53">
        <f>M9235+$AE$10</f>
        <v>55.38999999999983</v>
      </c>
      <c r="AD9235" s="54">
        <f>SUM(AD9236:AD9244)</f>
        <v>176539.17843076869</v>
      </c>
      <c r="AE9235" s="184">
        <f>SUMIFS($AD$37:$AD$12971,$V$37:$V$12971,$V9235,$X$37:$X$12971,AE$13)</f>
        <v>0</v>
      </c>
      <c r="AF9235" s="185">
        <f>SUMIFS($AD$37:$AD$12971,$V$37:$V$12971,$V9235,$X$37:$X$12971,AF$13)</f>
        <v>0</v>
      </c>
      <c r="AG9235" s="185">
        <f>SUMIFS($AD$37:$AD$12971,$V$37:$V$12971,$V9235,$X$37:$X$12971,AG$13)</f>
        <v>0</v>
      </c>
      <c r="AH9235" s="187">
        <f>SUMIFS($AD$37:$AD$12971,$V$37:$V$12971,$V9235,$X$37:$X$12971,AH$13)</f>
        <v>0</v>
      </c>
      <c r="AI9235" s="161">
        <f t="shared" ref="AI9235" si="6228">SUM(AE9235:AH9235)</f>
        <v>0</v>
      </c>
      <c r="AK9235" s="172"/>
    </row>
    <row r="9236" spans="1:37" s="102" customFormat="1" ht="19.899999999999999" customHeight="1" x14ac:dyDescent="0.25">
      <c r="A9236" s="45"/>
      <c r="B9236" s="59"/>
      <c r="C9236" s="137"/>
      <c r="D9236" s="59"/>
      <c r="E9236" s="116"/>
      <c r="F9236" s="120"/>
      <c r="G9236" s="120"/>
      <c r="H9236" s="120"/>
      <c r="I9236" s="60"/>
      <c r="J9236" s="116"/>
      <c r="K9236" s="213"/>
      <c r="L9236" s="120"/>
      <c r="M9236" s="120"/>
      <c r="N9236" s="167"/>
      <c r="O9236" s="120"/>
      <c r="P9236" s="120"/>
      <c r="Q9236" s="120"/>
      <c r="R9236" s="120"/>
      <c r="S9236" s="120"/>
      <c r="T9236" s="221"/>
      <c r="U9236" s="89"/>
      <c r="V9236" s="61"/>
      <c r="W9236" s="92" t="s">
        <v>1353</v>
      </c>
      <c r="X9236" s="93" t="s">
        <v>30</v>
      </c>
      <c r="Y9236" s="93" t="s">
        <v>66</v>
      </c>
      <c r="Z9236" s="134">
        <f>VLOOKUP(W9236,Sheet2!$B:$D,3,FALSE)</f>
        <v>350</v>
      </c>
      <c r="AA9236" s="93">
        <f>1/((1*2*0.2*4)+(1*1*0.3))</f>
        <v>0.52631578947368418</v>
      </c>
      <c r="AB9236" s="93">
        <f>AD9236/AC9235</f>
        <v>665</v>
      </c>
      <c r="AC9236" s="93">
        <f>AC9235/AA9236</f>
        <v>105.24099999999969</v>
      </c>
      <c r="AD9236" s="94">
        <f t="shared" ref="AD9236:AD9237" si="6229">AC9236*Z9236</f>
        <v>36834.349999999889</v>
      </c>
      <c r="AE9236" s="190"/>
      <c r="AF9236" s="191"/>
      <c r="AG9236" s="191"/>
      <c r="AH9236" s="191"/>
      <c r="AI9236" s="186"/>
      <c r="AK9236" s="171"/>
    </row>
    <row r="9237" spans="1:37" s="102" customFormat="1" ht="19.899999999999999" customHeight="1" x14ac:dyDescent="0.25">
      <c r="A9237" s="45"/>
      <c r="B9237" s="59"/>
      <c r="C9237" s="137"/>
      <c r="D9237" s="59"/>
      <c r="E9237" s="116"/>
      <c r="F9237" s="120"/>
      <c r="G9237" s="120"/>
      <c r="H9237" s="120"/>
      <c r="I9237" s="60"/>
      <c r="J9237" s="116"/>
      <c r="K9237" s="213"/>
      <c r="L9237" s="120"/>
      <c r="M9237" s="120"/>
      <c r="N9237" s="167"/>
      <c r="O9237" s="120"/>
      <c r="P9237" s="120"/>
      <c r="Q9237" s="120"/>
      <c r="R9237" s="120"/>
      <c r="S9237" s="120"/>
      <c r="T9237" s="221"/>
      <c r="U9237" s="89"/>
      <c r="V9237" s="61"/>
      <c r="W9237" s="92" t="s">
        <v>99</v>
      </c>
      <c r="X9237" s="93" t="s">
        <v>30</v>
      </c>
      <c r="Y9237" s="93" t="s">
        <v>67</v>
      </c>
      <c r="Z9237" s="134">
        <f>VLOOKUP(W9237,Sheet2!$B:$D,3,FALSE)</f>
        <v>2500</v>
      </c>
      <c r="AA9237" s="93">
        <f>AA9236/0.08</f>
        <v>6.5789473684210522</v>
      </c>
      <c r="AB9237" s="93">
        <f>AD9237/AC9235</f>
        <v>380</v>
      </c>
      <c r="AC9237" s="93">
        <f>AC9235/AA9237</f>
        <v>8.4192799999999739</v>
      </c>
      <c r="AD9237" s="94">
        <f t="shared" si="6229"/>
        <v>21048.199999999935</v>
      </c>
      <c r="AE9237" s="190"/>
      <c r="AF9237" s="191"/>
      <c r="AG9237" s="191"/>
      <c r="AH9237" s="191"/>
      <c r="AI9237" s="186"/>
      <c r="AK9237" s="171"/>
    </row>
    <row r="9238" spans="1:37" s="102" customFormat="1" ht="19.899999999999999" customHeight="1" x14ac:dyDescent="0.25">
      <c r="A9238" s="45"/>
      <c r="B9238" s="59"/>
      <c r="C9238" s="137"/>
      <c r="D9238" s="59"/>
      <c r="E9238" s="116"/>
      <c r="F9238" s="120"/>
      <c r="G9238" s="120"/>
      <c r="H9238" s="120"/>
      <c r="I9238" s="60"/>
      <c r="J9238" s="116"/>
      <c r="K9238" s="213"/>
      <c r="L9238" s="120"/>
      <c r="M9238" s="120"/>
      <c r="N9238" s="167"/>
      <c r="O9238" s="120"/>
      <c r="P9238" s="120"/>
      <c r="Q9238" s="120"/>
      <c r="R9238" s="120"/>
      <c r="S9238" s="120"/>
      <c r="T9238" s="221"/>
      <c r="U9238" s="89"/>
      <c r="V9238" s="61"/>
      <c r="W9238" s="92" t="s">
        <v>1533</v>
      </c>
      <c r="X9238" s="93" t="s">
        <v>32</v>
      </c>
      <c r="Y9238" s="93" t="s">
        <v>66</v>
      </c>
      <c r="Z9238" s="134">
        <f>VLOOKUP(W9238,Sheet2!$B:$D,3,FALSE)</f>
        <v>300</v>
      </c>
      <c r="AA9238" s="93">
        <f>AA9236</f>
        <v>0.52631578947368418</v>
      </c>
      <c r="AB9238" s="93">
        <f>AD9238/AC9235</f>
        <v>570</v>
      </c>
      <c r="AC9238" s="93">
        <f>AC9235/AA9238</f>
        <v>105.24099999999969</v>
      </c>
      <c r="AD9238" s="94">
        <f>AC9238*Z9238</f>
        <v>31572.299999999905</v>
      </c>
      <c r="AE9238" s="190"/>
      <c r="AF9238" s="191"/>
      <c r="AG9238" s="191"/>
      <c r="AH9238" s="191"/>
      <c r="AI9238" s="186"/>
      <c r="AK9238" s="171"/>
    </row>
    <row r="9239" spans="1:37" s="102" customFormat="1" ht="19.899999999999999" customHeight="1" x14ac:dyDescent="0.25">
      <c r="A9239" s="45"/>
      <c r="B9239" s="59"/>
      <c r="C9239" s="137"/>
      <c r="D9239" s="59"/>
      <c r="E9239" s="116"/>
      <c r="F9239" s="120"/>
      <c r="G9239" s="120"/>
      <c r="H9239" s="120"/>
      <c r="I9239" s="60"/>
      <c r="J9239" s="116"/>
      <c r="K9239" s="213"/>
      <c r="L9239" s="120"/>
      <c r="M9239" s="120"/>
      <c r="N9239" s="167"/>
      <c r="O9239" s="120"/>
      <c r="P9239" s="120"/>
      <c r="Q9239" s="120"/>
      <c r="R9239" s="120"/>
      <c r="S9239" s="120"/>
      <c r="T9239" s="221"/>
      <c r="U9239" s="89"/>
      <c r="V9239" s="61"/>
      <c r="W9239" s="92" t="s">
        <v>1634</v>
      </c>
      <c r="X9239" s="93" t="s">
        <v>30</v>
      </c>
      <c r="Y9239" s="93" t="s">
        <v>35</v>
      </c>
      <c r="Z9239" s="134">
        <f>VLOOKUP(W9239,Sheet2!$B:$D,3,FALSE)</f>
        <v>1250</v>
      </c>
      <c r="AA9239" s="93">
        <v>1</v>
      </c>
      <c r="AB9239" s="93">
        <f>AD9239/AC9235</f>
        <v>1250</v>
      </c>
      <c r="AC9239" s="93">
        <f>AC9235/AA9239</f>
        <v>55.38999999999983</v>
      </c>
      <c r="AD9239" s="94">
        <f t="shared" ref="AD9239:AD9240" si="6230">AC9239*Z9239</f>
        <v>69237.499999999782</v>
      </c>
      <c r="AE9239" s="190"/>
      <c r="AF9239" s="191"/>
      <c r="AG9239" s="191"/>
      <c r="AH9239" s="191"/>
      <c r="AI9239" s="186"/>
      <c r="AK9239" s="171"/>
    </row>
    <row r="9240" spans="1:37" s="102" customFormat="1" ht="19.899999999999999" customHeight="1" x14ac:dyDescent="0.25">
      <c r="A9240" s="45"/>
      <c r="B9240" s="59"/>
      <c r="C9240" s="137"/>
      <c r="D9240" s="59"/>
      <c r="E9240" s="116"/>
      <c r="F9240" s="120"/>
      <c r="G9240" s="120"/>
      <c r="H9240" s="120"/>
      <c r="I9240" s="60"/>
      <c r="J9240" s="116"/>
      <c r="K9240" s="213"/>
      <c r="L9240" s="120"/>
      <c r="M9240" s="120"/>
      <c r="N9240" s="167"/>
      <c r="O9240" s="120"/>
      <c r="P9240" s="120"/>
      <c r="Q9240" s="120"/>
      <c r="R9240" s="120"/>
      <c r="S9240" s="120"/>
      <c r="T9240" s="221"/>
      <c r="U9240" s="89"/>
      <c r="V9240" s="61"/>
      <c r="W9240" s="92" t="s">
        <v>142</v>
      </c>
      <c r="X9240" s="93" t="s">
        <v>29</v>
      </c>
      <c r="Y9240" s="93" t="s">
        <v>93</v>
      </c>
      <c r="Z9240" s="134">
        <f>VLOOKUP(W9240,Sheet2!$B:$D,3,FALSE)</f>
        <v>67.692307692307693</v>
      </c>
      <c r="AA9240" s="93">
        <v>4</v>
      </c>
      <c r="AB9240" s="93">
        <f>AD9240/AC9235</f>
        <v>16.923076923076923</v>
      </c>
      <c r="AC9240" s="93">
        <f>AC9235/AA9240</f>
        <v>13.847499999999958</v>
      </c>
      <c r="AD9240" s="94">
        <f t="shared" si="6230"/>
        <v>937.3692307692279</v>
      </c>
      <c r="AE9240" s="190"/>
      <c r="AF9240" s="191"/>
      <c r="AG9240" s="191"/>
      <c r="AH9240" s="191"/>
      <c r="AI9240" s="186"/>
      <c r="AK9240" s="171"/>
    </row>
    <row r="9241" spans="1:37" s="102" customFormat="1" ht="19.899999999999999" customHeight="1" x14ac:dyDescent="0.25">
      <c r="A9241" s="45"/>
      <c r="B9241" s="59"/>
      <c r="C9241" s="137"/>
      <c r="D9241" s="59"/>
      <c r="E9241" s="116"/>
      <c r="F9241" s="120"/>
      <c r="G9241" s="120"/>
      <c r="H9241" s="120"/>
      <c r="I9241" s="60"/>
      <c r="J9241" s="116"/>
      <c r="K9241" s="213"/>
      <c r="L9241" s="120"/>
      <c r="M9241" s="120"/>
      <c r="N9241" s="167"/>
      <c r="O9241" s="120"/>
      <c r="P9241" s="120"/>
      <c r="Q9241" s="120"/>
      <c r="R9241" s="120"/>
      <c r="S9241" s="120"/>
      <c r="T9241" s="221"/>
      <c r="U9241" s="89"/>
      <c r="V9241" s="61"/>
      <c r="W9241" s="92" t="s">
        <v>65</v>
      </c>
      <c r="X9241" s="93" t="s">
        <v>30</v>
      </c>
      <c r="Y9241" s="93" t="s">
        <v>93</v>
      </c>
      <c r="Z9241" s="134">
        <f>VLOOKUP(W9241,Sheet2!$B:$D,3,FALSE)</f>
        <v>1.76</v>
      </c>
      <c r="AA9241" s="93">
        <f>AA9240/12</f>
        <v>0.33333333333333331</v>
      </c>
      <c r="AB9241" s="93">
        <f>AD9241/AC9235</f>
        <v>5.2800000000000011</v>
      </c>
      <c r="AC9241" s="93">
        <f>AC9235/AA9241</f>
        <v>166.1699999999995</v>
      </c>
      <c r="AD9241" s="94">
        <f>AC9241*Z9241</f>
        <v>292.45919999999916</v>
      </c>
      <c r="AE9241" s="190"/>
      <c r="AF9241" s="191"/>
      <c r="AG9241" s="191"/>
      <c r="AH9241" s="191"/>
      <c r="AI9241" s="186"/>
      <c r="AK9241" s="171"/>
    </row>
    <row r="9242" spans="1:37" s="102" customFormat="1" ht="19.899999999999999" customHeight="1" x14ac:dyDescent="0.25">
      <c r="A9242" s="45"/>
      <c r="B9242" s="59"/>
      <c r="C9242" s="137"/>
      <c r="D9242" s="59"/>
      <c r="E9242" s="116"/>
      <c r="F9242" s="120"/>
      <c r="G9242" s="120"/>
      <c r="H9242" s="120"/>
      <c r="I9242" s="60"/>
      <c r="J9242" s="116"/>
      <c r="K9242" s="213"/>
      <c r="L9242" s="120"/>
      <c r="M9242" s="120"/>
      <c r="N9242" s="167"/>
      <c r="O9242" s="120"/>
      <c r="P9242" s="120"/>
      <c r="Q9242" s="120"/>
      <c r="R9242" s="120"/>
      <c r="S9242" s="120"/>
      <c r="T9242" s="221"/>
      <c r="U9242" s="89"/>
      <c r="V9242" s="61"/>
      <c r="W9242" s="92" t="s">
        <v>1357</v>
      </c>
      <c r="X9242" s="93" t="s">
        <v>30</v>
      </c>
      <c r="Y9242" s="93" t="s">
        <v>1349</v>
      </c>
      <c r="Z9242" s="134">
        <f>VLOOKUP(W9242,Sheet2!$B:$D,3,FALSE)</f>
        <v>150</v>
      </c>
      <c r="AA9242" s="93">
        <v>1</v>
      </c>
      <c r="AB9242" s="93">
        <f>AD9242/AC9235</f>
        <v>150</v>
      </c>
      <c r="AC9242" s="93">
        <f>AC9235/AA9242</f>
        <v>55.38999999999983</v>
      </c>
      <c r="AD9242" s="94">
        <f>AC9242*Z9242</f>
        <v>8308.4999999999745</v>
      </c>
      <c r="AE9242" s="190"/>
      <c r="AF9242" s="191"/>
      <c r="AG9242" s="191"/>
      <c r="AH9242" s="191"/>
      <c r="AI9242" s="186"/>
      <c r="AK9242" s="171"/>
    </row>
    <row r="9243" spans="1:37" s="102" customFormat="1" ht="19.899999999999999" customHeight="1" x14ac:dyDescent="0.25">
      <c r="A9243" s="45"/>
      <c r="B9243" s="59"/>
      <c r="C9243" s="137"/>
      <c r="D9243" s="59"/>
      <c r="E9243" s="116"/>
      <c r="F9243" s="120"/>
      <c r="G9243" s="120"/>
      <c r="H9243" s="120"/>
      <c r="I9243" s="60"/>
      <c r="J9243" s="116"/>
      <c r="K9243" s="213"/>
      <c r="L9243" s="120"/>
      <c r="M9243" s="120"/>
      <c r="N9243" s="167"/>
      <c r="O9243" s="120"/>
      <c r="P9243" s="120"/>
      <c r="Q9243" s="120"/>
      <c r="R9243" s="120"/>
      <c r="S9243" s="120"/>
      <c r="T9243" s="221"/>
      <c r="U9243" s="89"/>
      <c r="V9243" s="61"/>
      <c r="W9243" s="92" t="s">
        <v>107</v>
      </c>
      <c r="X9243" s="93" t="s">
        <v>31</v>
      </c>
      <c r="Y9243" s="93" t="s">
        <v>93</v>
      </c>
      <c r="Z9243" s="134">
        <f>VLOOKUP(W9243,Sheet2!$B:$D,3,FALSE)</f>
        <v>17</v>
      </c>
      <c r="AA9243" s="93">
        <f>1/5</f>
        <v>0.2</v>
      </c>
      <c r="AB9243" s="93">
        <f>AD9243/AC9235</f>
        <v>84.999999999999986</v>
      </c>
      <c r="AC9243" s="93">
        <f>AC9235/AA9243</f>
        <v>276.94999999999914</v>
      </c>
      <c r="AD9243" s="94">
        <f>AC9243*Z9243</f>
        <v>4708.1499999999851</v>
      </c>
      <c r="AE9243" s="190"/>
      <c r="AF9243" s="191"/>
      <c r="AG9243" s="191"/>
      <c r="AH9243" s="191"/>
      <c r="AI9243" s="186"/>
      <c r="AK9243" s="171"/>
    </row>
    <row r="9244" spans="1:37" s="102" customFormat="1" ht="19.899999999999999" customHeight="1" x14ac:dyDescent="0.25">
      <c r="A9244" s="45"/>
      <c r="B9244" s="59"/>
      <c r="C9244" s="137"/>
      <c r="D9244" s="59"/>
      <c r="E9244" s="116"/>
      <c r="F9244" s="120"/>
      <c r="G9244" s="120"/>
      <c r="H9244" s="120"/>
      <c r="I9244" s="60"/>
      <c r="J9244" s="116"/>
      <c r="K9244" s="213"/>
      <c r="L9244" s="120"/>
      <c r="M9244" s="120"/>
      <c r="N9244" s="167"/>
      <c r="O9244" s="120"/>
      <c r="P9244" s="120"/>
      <c r="Q9244" s="120"/>
      <c r="R9244" s="120"/>
      <c r="S9244" s="120"/>
      <c r="T9244" s="221"/>
      <c r="U9244" s="89"/>
      <c r="V9244" s="61"/>
      <c r="W9244" s="92" t="s">
        <v>112</v>
      </c>
      <c r="X9244" s="93" t="s">
        <v>31</v>
      </c>
      <c r="Y9244" s="93" t="s">
        <v>93</v>
      </c>
      <c r="Z9244" s="134">
        <f>VLOOKUP(W9244,Sheet2!$B:$D,3,FALSE)</f>
        <v>13</v>
      </c>
      <c r="AA9244" s="93">
        <f>AA9243</f>
        <v>0.2</v>
      </c>
      <c r="AB9244" s="93">
        <f>AD9244/AC9235</f>
        <v>64.999999999999986</v>
      </c>
      <c r="AC9244" s="93">
        <f>AC9235/AA9244</f>
        <v>276.94999999999914</v>
      </c>
      <c r="AD9244" s="94">
        <f>AC9244*Z9244</f>
        <v>3600.3499999999885</v>
      </c>
      <c r="AE9244" s="190"/>
      <c r="AF9244" s="191"/>
      <c r="AG9244" s="191"/>
      <c r="AH9244" s="191"/>
      <c r="AI9244" s="186"/>
      <c r="AK9244" s="171"/>
    </row>
    <row r="9245" spans="1:37" s="103" customFormat="1" ht="19.899999999999999" customHeight="1" x14ac:dyDescent="0.25">
      <c r="A9245" s="51"/>
      <c r="B9245" s="52"/>
      <c r="C9245" s="165"/>
      <c r="D9245" s="52"/>
      <c r="E9245" s="115"/>
      <c r="F9245" s="58"/>
      <c r="G9245" s="58"/>
      <c r="H9245" s="58"/>
      <c r="I9245" s="55"/>
      <c r="J9245" s="113">
        <f>J9229</f>
        <v>55.38999999999983</v>
      </c>
      <c r="K9245" s="212">
        <f>K9229</f>
        <v>55.38999999999983</v>
      </c>
      <c r="L9245" s="58"/>
      <c r="M9245" s="58">
        <f>K9245-L9245</f>
        <v>55.38999999999983</v>
      </c>
      <c r="N9245" s="166"/>
      <c r="O9245" s="58"/>
      <c r="P9245" s="58"/>
      <c r="Q9245" s="58"/>
      <c r="R9245" s="58"/>
      <c r="S9245" s="58"/>
      <c r="T9245" s="220"/>
      <c r="U9245" s="88"/>
      <c r="V9245" s="56"/>
      <c r="W9245" s="57" t="s">
        <v>1358</v>
      </c>
      <c r="X9245" s="53"/>
      <c r="Y9245" s="91" t="s">
        <v>35</v>
      </c>
      <c r="Z9245" s="136">
        <f>AD9245/AC9245</f>
        <v>560</v>
      </c>
      <c r="AA9245" s="58"/>
      <c r="AB9245" s="53">
        <f>AD9245/AC9245</f>
        <v>560</v>
      </c>
      <c r="AC9245" s="53">
        <f>M9245+$AE$10</f>
        <v>55.38999999999983</v>
      </c>
      <c r="AD9245" s="54">
        <f>SUM(AD9246:AD9247)</f>
        <v>31018.399999999903</v>
      </c>
      <c r="AE9245" s="184">
        <f>SUMIFS($AD$37:$AD$12971,$V$37:$V$12971,$V9245,$X$37:$X$12971,AE$13)</f>
        <v>0</v>
      </c>
      <c r="AF9245" s="185">
        <f>SUMIFS($AD$37:$AD$12971,$V$37:$V$12971,$V9245,$X$37:$X$12971,AF$13)</f>
        <v>0</v>
      </c>
      <c r="AG9245" s="185">
        <f>SUMIFS($AD$37:$AD$12971,$V$37:$V$12971,$V9245,$X$37:$X$12971,AG$13)</f>
        <v>0</v>
      </c>
      <c r="AH9245" s="187">
        <f>SUMIFS($AD$37:$AD$12971,$V$37:$V$12971,$V9245,$X$37:$X$12971,AH$13)</f>
        <v>0</v>
      </c>
      <c r="AI9245" s="161">
        <f t="shared" ref="AI9245" si="6231">SUM(AE9245:AH9245)</f>
        <v>0</v>
      </c>
      <c r="AK9245" s="172"/>
    </row>
    <row r="9246" spans="1:37" s="102" customFormat="1" ht="19.899999999999999" customHeight="1" x14ac:dyDescent="0.25">
      <c r="A9246" s="45"/>
      <c r="B9246" s="59"/>
      <c r="C9246" s="137"/>
      <c r="D9246" s="59"/>
      <c r="E9246" s="116"/>
      <c r="F9246" s="120"/>
      <c r="G9246" s="120"/>
      <c r="H9246" s="120"/>
      <c r="I9246" s="60"/>
      <c r="J9246" s="116"/>
      <c r="K9246" s="213"/>
      <c r="L9246" s="120"/>
      <c r="M9246" s="120"/>
      <c r="N9246" s="167"/>
      <c r="O9246" s="120"/>
      <c r="P9246" s="120"/>
      <c r="Q9246" s="120"/>
      <c r="R9246" s="120"/>
      <c r="S9246" s="120"/>
      <c r="T9246" s="221"/>
      <c r="U9246" s="89"/>
      <c r="V9246" s="61"/>
      <c r="W9246" s="92" t="s">
        <v>1359</v>
      </c>
      <c r="X9246" s="93" t="s">
        <v>32</v>
      </c>
      <c r="Y9246" s="93" t="s">
        <v>64</v>
      </c>
      <c r="Z9246" s="134">
        <f>VLOOKUP(W9246,Sheet2!$B:$D,3,FALSE)</f>
        <v>40</v>
      </c>
      <c r="AA9246" s="93">
        <f>1/(1*2*4)</f>
        <v>0.125</v>
      </c>
      <c r="AB9246" s="93">
        <f t="shared" ref="AB9246" si="6232">AD9246/AC9245</f>
        <v>320</v>
      </c>
      <c r="AC9246" s="93">
        <f>AC9245/AA9246</f>
        <v>443.11999999999864</v>
      </c>
      <c r="AD9246" s="94">
        <f t="shared" ref="AD9246:AD9247" si="6233">AC9246*Z9246</f>
        <v>17724.799999999945</v>
      </c>
      <c r="AE9246" s="190"/>
      <c r="AF9246" s="191"/>
      <c r="AG9246" s="191"/>
      <c r="AH9246" s="191"/>
      <c r="AI9246" s="186"/>
      <c r="AK9246" s="171"/>
    </row>
    <row r="9247" spans="1:37" s="102" customFormat="1" ht="19.899999999999999" customHeight="1" x14ac:dyDescent="0.25">
      <c r="A9247" s="45"/>
      <c r="B9247" s="59"/>
      <c r="C9247" s="137"/>
      <c r="D9247" s="59"/>
      <c r="E9247" s="116"/>
      <c r="F9247" s="120"/>
      <c r="G9247" s="120"/>
      <c r="H9247" s="120"/>
      <c r="I9247" s="60"/>
      <c r="J9247" s="116"/>
      <c r="K9247" s="213"/>
      <c r="L9247" s="120"/>
      <c r="M9247" s="120"/>
      <c r="N9247" s="167"/>
      <c r="O9247" s="120"/>
      <c r="P9247" s="120"/>
      <c r="Q9247" s="120"/>
      <c r="R9247" s="120"/>
      <c r="S9247" s="120"/>
      <c r="T9247" s="221"/>
      <c r="U9247" s="89"/>
      <c r="V9247" s="61"/>
      <c r="W9247" s="92" t="s">
        <v>1360</v>
      </c>
      <c r="X9247" s="93" t="s">
        <v>32</v>
      </c>
      <c r="Y9247" s="93" t="s">
        <v>64</v>
      </c>
      <c r="Z9247" s="134">
        <f>VLOOKUP(W9247,Sheet2!$B:$D,3,FALSE)</f>
        <v>30</v>
      </c>
      <c r="AA9247" s="93">
        <f>AA9246</f>
        <v>0.125</v>
      </c>
      <c r="AB9247" s="93">
        <f>AD9247/AC9245</f>
        <v>240</v>
      </c>
      <c r="AC9247" s="93">
        <f>AC9245/AA9247</f>
        <v>443.11999999999864</v>
      </c>
      <c r="AD9247" s="94">
        <f t="shared" si="6233"/>
        <v>13293.599999999959</v>
      </c>
      <c r="AE9247" s="190"/>
      <c r="AF9247" s="191"/>
      <c r="AG9247" s="191"/>
      <c r="AH9247" s="191"/>
      <c r="AI9247" s="186"/>
      <c r="AK9247" s="171"/>
    </row>
    <row r="9248" spans="1:37" s="103" customFormat="1" ht="19.899999999999999" customHeight="1" x14ac:dyDescent="0.25">
      <c r="A9248" s="51"/>
      <c r="B9248" s="52"/>
      <c r="C9248" s="165"/>
      <c r="D9248" s="52"/>
      <c r="E9248" s="115"/>
      <c r="F9248" s="58"/>
      <c r="G9248" s="58"/>
      <c r="H9248" s="58"/>
      <c r="I9248" s="55"/>
      <c r="J9248" s="113">
        <f>J9229</f>
        <v>55.38999999999983</v>
      </c>
      <c r="K9248" s="212">
        <f>K9229</f>
        <v>55.38999999999983</v>
      </c>
      <c r="L9248" s="58"/>
      <c r="M9248" s="58">
        <f>K9248-L9248</f>
        <v>55.38999999999983</v>
      </c>
      <c r="N9248" s="166"/>
      <c r="O9248" s="58"/>
      <c r="P9248" s="58"/>
      <c r="Q9248" s="58"/>
      <c r="R9248" s="58"/>
      <c r="S9248" s="58"/>
      <c r="T9248" s="220"/>
      <c r="U9248" s="88"/>
      <c r="V9248" s="56"/>
      <c r="W9248" s="57" t="s">
        <v>1272</v>
      </c>
      <c r="X9248" s="53"/>
      <c r="Y9248" s="91" t="s">
        <v>35</v>
      </c>
      <c r="Z9248" s="136">
        <f>AD9248/AC9248</f>
        <v>165.27230588235298</v>
      </c>
      <c r="AA9248" s="58"/>
      <c r="AB9248" s="53">
        <f>AD9248/AC9248</f>
        <v>165.27230588235298</v>
      </c>
      <c r="AC9248" s="53">
        <f>M9248+$AE$10</f>
        <v>55.38999999999983</v>
      </c>
      <c r="AD9248" s="54">
        <f>SUM(AD9249:AD9257)</f>
        <v>9154.4330228235031</v>
      </c>
      <c r="AE9248" s="184">
        <f>SUMIFS($AD$37:$AD$12971,$V$37:$V$12971,$V9248,$X$37:$X$12971,AE$13)</f>
        <v>0</v>
      </c>
      <c r="AF9248" s="185">
        <f>SUMIFS($AD$37:$AD$12971,$V$37:$V$12971,$V9248,$X$37:$X$12971,AF$13)</f>
        <v>0</v>
      </c>
      <c r="AG9248" s="185">
        <f>SUMIFS($AD$37:$AD$12971,$V$37:$V$12971,$V9248,$X$37:$X$12971,AG$13)</f>
        <v>0</v>
      </c>
      <c r="AH9248" s="187">
        <f>SUMIFS($AD$37:$AD$12971,$V$37:$V$12971,$V9248,$X$37:$X$12971,AH$13)</f>
        <v>0</v>
      </c>
      <c r="AI9248" s="161">
        <f t="shared" ref="AI9248" si="6234">SUM(AE9248:AH9248)</f>
        <v>0</v>
      </c>
      <c r="AK9248" s="172"/>
    </row>
    <row r="9249" spans="1:41" s="102" customFormat="1" ht="19.899999999999999" customHeight="1" x14ac:dyDescent="0.25">
      <c r="A9249" s="45"/>
      <c r="B9249" s="59"/>
      <c r="C9249" s="137"/>
      <c r="D9249" s="59"/>
      <c r="E9249" s="116"/>
      <c r="F9249" s="120"/>
      <c r="G9249" s="120"/>
      <c r="H9249" s="120"/>
      <c r="I9249" s="60"/>
      <c r="J9249" s="116"/>
      <c r="K9249" s="213"/>
      <c r="L9249" s="120"/>
      <c r="M9249" s="120"/>
      <c r="N9249" s="167"/>
      <c r="O9249" s="120"/>
      <c r="P9249" s="120"/>
      <c r="Q9249" s="120"/>
      <c r="R9249" s="120"/>
      <c r="S9249" s="120"/>
      <c r="T9249" s="221"/>
      <c r="U9249" s="89"/>
      <c r="V9249" s="61"/>
      <c r="W9249" s="92" t="s">
        <v>1273</v>
      </c>
      <c r="X9249" s="93" t="s">
        <v>30</v>
      </c>
      <c r="Y9249" s="93" t="s">
        <v>66</v>
      </c>
      <c r="Z9249" s="134">
        <f>VLOOKUP(W9249,Sheet2!$B:$D,3,FALSE)</f>
        <v>10</v>
      </c>
      <c r="AA9249" s="93">
        <f>1/((2.5*2.5*2)-(1*1*2))</f>
        <v>9.5238095238095233E-2</v>
      </c>
      <c r="AB9249" s="93">
        <f>AD9249/AC9248</f>
        <v>105</v>
      </c>
      <c r="AC9249" s="93">
        <f>AC9248/AA9249</f>
        <v>581.59499999999821</v>
      </c>
      <c r="AD9249" s="94">
        <f t="shared" ref="AD9249:AD9251" si="6235">AC9249*Z9249</f>
        <v>5815.9499999999825</v>
      </c>
      <c r="AE9249" s="190"/>
      <c r="AF9249" s="191"/>
      <c r="AG9249" s="191"/>
      <c r="AH9249" s="191"/>
      <c r="AI9249" s="186"/>
      <c r="AK9249" s="171"/>
    </row>
    <row r="9250" spans="1:41" s="102" customFormat="1" ht="19.899999999999999" customHeight="1" x14ac:dyDescent="0.25">
      <c r="A9250" s="45"/>
      <c r="B9250" s="59"/>
      <c r="C9250" s="137"/>
      <c r="D9250" s="59"/>
      <c r="E9250" s="116"/>
      <c r="F9250" s="120"/>
      <c r="G9250" s="120"/>
      <c r="H9250" s="120"/>
      <c r="I9250" s="60"/>
      <c r="J9250" s="116"/>
      <c r="K9250" s="213"/>
      <c r="L9250" s="120"/>
      <c r="M9250" s="120"/>
      <c r="N9250" s="167"/>
      <c r="O9250" s="120"/>
      <c r="P9250" s="120"/>
      <c r="Q9250" s="120"/>
      <c r="R9250" s="120"/>
      <c r="S9250" s="120"/>
      <c r="T9250" s="221"/>
      <c r="U9250" s="89"/>
      <c r="V9250" s="61"/>
      <c r="W9250" s="92" t="s">
        <v>134</v>
      </c>
      <c r="X9250" s="93" t="s">
        <v>29</v>
      </c>
      <c r="Y9250" s="93" t="s">
        <v>93</v>
      </c>
      <c r="Z9250" s="134">
        <f>VLOOKUP(W9250,Sheet2!$B:$D,3,FALSE)</f>
        <v>65.599999999999994</v>
      </c>
      <c r="AA9250" s="93">
        <f>100/((2.5*2.5*2)-(1*1*2))</f>
        <v>9.5238095238095237</v>
      </c>
      <c r="AB9250" s="93">
        <f t="shared" ref="AB9250" si="6236">AD9250/AC9248</f>
        <v>6.8879999999999999</v>
      </c>
      <c r="AC9250" s="93">
        <f>AC9248/AA9250</f>
        <v>5.8159499999999822</v>
      </c>
      <c r="AD9250" s="94">
        <f t="shared" si="6235"/>
        <v>381.5263199999988</v>
      </c>
      <c r="AE9250" s="190"/>
      <c r="AF9250" s="191"/>
      <c r="AG9250" s="191"/>
      <c r="AH9250" s="191"/>
      <c r="AI9250" s="186"/>
      <c r="AK9250" s="171"/>
    </row>
    <row r="9251" spans="1:41" s="102" customFormat="1" ht="19.899999999999999" customHeight="1" x14ac:dyDescent="0.25">
      <c r="A9251" s="45"/>
      <c r="B9251" s="59"/>
      <c r="C9251" s="137"/>
      <c r="D9251" s="59"/>
      <c r="E9251" s="116"/>
      <c r="F9251" s="120"/>
      <c r="G9251" s="120"/>
      <c r="H9251" s="120"/>
      <c r="I9251" s="60"/>
      <c r="J9251" s="116"/>
      <c r="K9251" s="213"/>
      <c r="L9251" s="120"/>
      <c r="M9251" s="120"/>
      <c r="N9251" s="167"/>
      <c r="O9251" s="120"/>
      <c r="P9251" s="120"/>
      <c r="Q9251" s="120"/>
      <c r="R9251" s="120"/>
      <c r="S9251" s="120"/>
      <c r="T9251" s="221"/>
      <c r="U9251" s="89"/>
      <c r="V9251" s="61"/>
      <c r="W9251" s="92" t="s">
        <v>65</v>
      </c>
      <c r="X9251" s="93" t="s">
        <v>30</v>
      </c>
      <c r="Y9251" s="93" t="s">
        <v>1011</v>
      </c>
      <c r="Z9251" s="134">
        <f>VLOOKUP(W9251,Sheet2!$B:$D,3,FALSE)</f>
        <v>1.76</v>
      </c>
      <c r="AA9251" s="93">
        <f>AA9250/9</f>
        <v>1.0582010582010581</v>
      </c>
      <c r="AB9251" s="93">
        <f>AD9251/AC9248</f>
        <v>1.6632</v>
      </c>
      <c r="AC9251" s="93">
        <f>AC9248/AA9251</f>
        <v>52.343549999999844</v>
      </c>
      <c r="AD9251" s="94">
        <f t="shared" si="6235"/>
        <v>92.124647999999723</v>
      </c>
      <c r="AE9251" s="190"/>
      <c r="AF9251" s="191"/>
      <c r="AG9251" s="191"/>
      <c r="AH9251" s="191"/>
      <c r="AI9251" s="186"/>
      <c r="AK9251" s="171"/>
    </row>
    <row r="9252" spans="1:41" s="102" customFormat="1" ht="19.899999999999999" customHeight="1" x14ac:dyDescent="0.25">
      <c r="A9252" s="45"/>
      <c r="B9252" s="59"/>
      <c r="C9252" s="137"/>
      <c r="D9252" s="59"/>
      <c r="E9252" s="116"/>
      <c r="F9252" s="120"/>
      <c r="G9252" s="120"/>
      <c r="H9252" s="120"/>
      <c r="I9252" s="60"/>
      <c r="J9252" s="116"/>
      <c r="K9252" s="213"/>
      <c r="L9252" s="120"/>
      <c r="M9252" s="120"/>
      <c r="N9252" s="167"/>
      <c r="O9252" s="120"/>
      <c r="P9252" s="120"/>
      <c r="Q9252" s="120"/>
      <c r="R9252" s="120"/>
      <c r="S9252" s="120"/>
      <c r="T9252" s="221"/>
      <c r="U9252" s="89"/>
      <c r="V9252" s="61"/>
      <c r="W9252" s="92" t="s">
        <v>161</v>
      </c>
      <c r="X9252" s="93" t="s">
        <v>29</v>
      </c>
      <c r="Y9252" s="93" t="s">
        <v>93</v>
      </c>
      <c r="Z9252" s="134">
        <f>VLOOKUP(W9252,Sheet2!$B:$D,3,FALSE)</f>
        <v>48</v>
      </c>
      <c r="AA9252" s="93">
        <f>(16*0.85*1.5)/((2.5*2.5*2)-(1*1*2))</f>
        <v>1.9428571428571426</v>
      </c>
      <c r="AB9252" s="93">
        <f>AD9252/AC9248</f>
        <v>24.705882352941178</v>
      </c>
      <c r="AC9252" s="93">
        <f>AC9248/AA9252</f>
        <v>28.509558823529328</v>
      </c>
      <c r="AD9252" s="94">
        <f>AC9252*Z9252</f>
        <v>1368.4588235294077</v>
      </c>
      <c r="AE9252" s="190"/>
      <c r="AF9252" s="191"/>
      <c r="AG9252" s="191"/>
      <c r="AH9252" s="191"/>
      <c r="AI9252" s="186"/>
      <c r="AK9252" s="171"/>
    </row>
    <row r="9253" spans="1:41" s="102" customFormat="1" ht="19.899999999999999" customHeight="1" x14ac:dyDescent="0.25">
      <c r="A9253" s="45"/>
      <c r="B9253" s="59"/>
      <c r="C9253" s="137"/>
      <c r="D9253" s="59"/>
      <c r="E9253" s="116"/>
      <c r="F9253" s="120"/>
      <c r="G9253" s="120"/>
      <c r="H9253" s="120"/>
      <c r="I9253" s="60"/>
      <c r="J9253" s="116"/>
      <c r="K9253" s="213"/>
      <c r="L9253" s="120"/>
      <c r="M9253" s="120"/>
      <c r="N9253" s="167"/>
      <c r="O9253" s="120"/>
      <c r="P9253" s="120"/>
      <c r="Q9253" s="120"/>
      <c r="R9253" s="120"/>
      <c r="S9253" s="120"/>
      <c r="T9253" s="221"/>
      <c r="U9253" s="89"/>
      <c r="V9253" s="61"/>
      <c r="W9253" s="92" t="s">
        <v>65</v>
      </c>
      <c r="X9253" s="93" t="s">
        <v>30</v>
      </c>
      <c r="Y9253" s="93" t="s">
        <v>1011</v>
      </c>
      <c r="Z9253" s="134">
        <f>VLOOKUP(W9253,Sheet2!$B:$D,3,FALSE)</f>
        <v>1.76</v>
      </c>
      <c r="AA9253" s="93">
        <f>AA9252/10</f>
        <v>0.19428571428571426</v>
      </c>
      <c r="AB9253" s="93">
        <f>AD9253/AC9248</f>
        <v>9.0588235294117663</v>
      </c>
      <c r="AC9253" s="93">
        <f>AC9248/AA9253</f>
        <v>285.09558823529329</v>
      </c>
      <c r="AD9253" s="94">
        <f>AC9253*Z9253</f>
        <v>501.76823529411621</v>
      </c>
      <c r="AE9253" s="190"/>
      <c r="AF9253" s="191"/>
      <c r="AG9253" s="191"/>
      <c r="AH9253" s="191"/>
      <c r="AI9253" s="186"/>
      <c r="AK9253" s="171"/>
    </row>
    <row r="9254" spans="1:41" s="102" customFormat="1" ht="19.899999999999999" customHeight="1" x14ac:dyDescent="0.25">
      <c r="A9254" s="45"/>
      <c r="B9254" s="59"/>
      <c r="C9254" s="137"/>
      <c r="D9254" s="59"/>
      <c r="E9254" s="116"/>
      <c r="F9254" s="120"/>
      <c r="G9254" s="120"/>
      <c r="H9254" s="120"/>
      <c r="I9254" s="60"/>
      <c r="J9254" s="116"/>
      <c r="K9254" s="213"/>
      <c r="L9254" s="120"/>
      <c r="M9254" s="120"/>
      <c r="N9254" s="167"/>
      <c r="O9254" s="120"/>
      <c r="P9254" s="120"/>
      <c r="Q9254" s="120"/>
      <c r="R9254" s="120"/>
      <c r="S9254" s="120"/>
      <c r="T9254" s="221"/>
      <c r="U9254" s="89"/>
      <c r="V9254" s="61"/>
      <c r="W9254" s="92" t="s">
        <v>173</v>
      </c>
      <c r="X9254" s="93" t="s">
        <v>29</v>
      </c>
      <c r="Y9254" s="93" t="s">
        <v>93</v>
      </c>
      <c r="Z9254" s="134">
        <f>VLOOKUP(W9254,Sheet2!$B:$D,3,FALSE)</f>
        <v>36</v>
      </c>
      <c r="AA9254" s="93">
        <f>50/((2.5*2.5*2)-(1*1*2))</f>
        <v>4.7619047619047619</v>
      </c>
      <c r="AB9254" s="93">
        <f>AD9254/AC9248</f>
        <v>7.56</v>
      </c>
      <c r="AC9254" s="93">
        <f>AC9248/AA9254</f>
        <v>11.631899999999964</v>
      </c>
      <c r="AD9254" s="94">
        <f>AC9254*Z9254</f>
        <v>418.7483999999987</v>
      </c>
      <c r="AE9254" s="190"/>
      <c r="AF9254" s="191"/>
      <c r="AG9254" s="191"/>
      <c r="AH9254" s="191"/>
      <c r="AI9254" s="186"/>
      <c r="AK9254" s="171"/>
    </row>
    <row r="9255" spans="1:41" s="102" customFormat="1" ht="19.899999999999999" customHeight="1" x14ac:dyDescent="0.25">
      <c r="A9255" s="45"/>
      <c r="B9255" s="59"/>
      <c r="C9255" s="137"/>
      <c r="D9255" s="59"/>
      <c r="E9255" s="116"/>
      <c r="F9255" s="120"/>
      <c r="G9255" s="120"/>
      <c r="H9255" s="120"/>
      <c r="I9255" s="60"/>
      <c r="J9255" s="116"/>
      <c r="K9255" s="213"/>
      <c r="L9255" s="120"/>
      <c r="M9255" s="120"/>
      <c r="N9255" s="167"/>
      <c r="O9255" s="120"/>
      <c r="P9255" s="120"/>
      <c r="Q9255" s="120"/>
      <c r="R9255" s="120"/>
      <c r="S9255" s="120"/>
      <c r="T9255" s="221"/>
      <c r="U9255" s="89"/>
      <c r="V9255" s="61"/>
      <c r="W9255" s="92" t="s">
        <v>65</v>
      </c>
      <c r="X9255" s="93" t="s">
        <v>30</v>
      </c>
      <c r="Y9255" s="93" t="s">
        <v>1011</v>
      </c>
      <c r="Z9255" s="134">
        <f>VLOOKUP(W9255,Sheet2!$B:$D,3,FALSE)</f>
        <v>1.76</v>
      </c>
      <c r="AA9255" s="93">
        <f>AA9254/9</f>
        <v>0.52910052910052907</v>
      </c>
      <c r="AB9255" s="93">
        <f>AD9255/AC9248</f>
        <v>3.3264</v>
      </c>
      <c r="AC9255" s="93">
        <f>AC9248/AA9255</f>
        <v>104.68709999999969</v>
      </c>
      <c r="AD9255" s="94">
        <f>AC9255*Z9255</f>
        <v>184.24929599999945</v>
      </c>
      <c r="AE9255" s="190"/>
      <c r="AF9255" s="191"/>
      <c r="AG9255" s="191"/>
      <c r="AH9255" s="191"/>
      <c r="AI9255" s="186"/>
      <c r="AK9255" s="171"/>
    </row>
    <row r="9256" spans="1:41" s="102" customFormat="1" ht="19.899999999999999" customHeight="1" x14ac:dyDescent="0.25">
      <c r="A9256" s="45"/>
      <c r="B9256" s="59"/>
      <c r="C9256" s="137"/>
      <c r="D9256" s="59"/>
      <c r="E9256" s="116"/>
      <c r="F9256" s="120"/>
      <c r="G9256" s="120"/>
      <c r="H9256" s="120"/>
      <c r="I9256" s="60"/>
      <c r="J9256" s="116"/>
      <c r="K9256" s="213"/>
      <c r="L9256" s="120"/>
      <c r="M9256" s="120"/>
      <c r="N9256" s="167"/>
      <c r="O9256" s="120"/>
      <c r="P9256" s="120"/>
      <c r="Q9256" s="120"/>
      <c r="R9256" s="120"/>
      <c r="S9256" s="120"/>
      <c r="T9256" s="221"/>
      <c r="U9256" s="89"/>
      <c r="V9256" s="61"/>
      <c r="W9256" s="92" t="s">
        <v>1030</v>
      </c>
      <c r="X9256" s="93" t="s">
        <v>29</v>
      </c>
      <c r="Y9256" s="93" t="s">
        <v>93</v>
      </c>
      <c r="Z9256" s="134">
        <f>VLOOKUP(W9256,Sheet2!$B:$D,3,FALSE)</f>
        <v>23</v>
      </c>
      <c r="AA9256" s="93">
        <v>4</v>
      </c>
      <c r="AB9256" s="93">
        <f>AD9256/AC9248</f>
        <v>5.75</v>
      </c>
      <c r="AC9256" s="93">
        <f>AC9248/AA9256</f>
        <v>13.847499999999958</v>
      </c>
      <c r="AD9256" s="94">
        <f t="shared" ref="AD9256:AD9257" si="6237">AC9256*Z9256</f>
        <v>318.49249999999904</v>
      </c>
      <c r="AE9256" s="190"/>
      <c r="AF9256" s="191"/>
      <c r="AG9256" s="191"/>
      <c r="AH9256" s="191"/>
      <c r="AI9256" s="186"/>
      <c r="AK9256" s="171"/>
    </row>
    <row r="9257" spans="1:41" s="102" customFormat="1" ht="19.899999999999999" customHeight="1" x14ac:dyDescent="0.25">
      <c r="A9257" s="45"/>
      <c r="B9257" s="59"/>
      <c r="C9257" s="137"/>
      <c r="D9257" s="59"/>
      <c r="E9257" s="116"/>
      <c r="F9257" s="120"/>
      <c r="G9257" s="120"/>
      <c r="H9257" s="120"/>
      <c r="I9257" s="60"/>
      <c r="J9257" s="116"/>
      <c r="K9257" s="213"/>
      <c r="L9257" s="120"/>
      <c r="M9257" s="120"/>
      <c r="N9257" s="167"/>
      <c r="O9257" s="120"/>
      <c r="P9257" s="120"/>
      <c r="Q9257" s="120"/>
      <c r="R9257" s="120"/>
      <c r="S9257" s="120"/>
      <c r="T9257" s="221"/>
      <c r="U9257" s="89"/>
      <c r="V9257" s="61"/>
      <c r="W9257" s="92" t="s">
        <v>65</v>
      </c>
      <c r="X9257" s="93" t="s">
        <v>30</v>
      </c>
      <c r="Y9257" s="93" t="s">
        <v>1011</v>
      </c>
      <c r="Z9257" s="134">
        <f>VLOOKUP(W9257,Sheet2!$B:$D,3,FALSE)</f>
        <v>1.76</v>
      </c>
      <c r="AA9257" s="93">
        <f>AA9256/3</f>
        <v>1.3333333333333333</v>
      </c>
      <c r="AB9257" s="93">
        <f>AD9257/AC9248</f>
        <v>1.3200000000000003</v>
      </c>
      <c r="AC9257" s="93">
        <f>AC9248/AA9257</f>
        <v>41.542499999999876</v>
      </c>
      <c r="AD9257" s="94">
        <f t="shared" si="6237"/>
        <v>73.114799999999789</v>
      </c>
      <c r="AE9257" s="190"/>
      <c r="AF9257" s="191"/>
      <c r="AG9257" s="191"/>
      <c r="AH9257" s="191"/>
      <c r="AI9257" s="186"/>
      <c r="AK9257" s="171"/>
    </row>
    <row r="9258" spans="1:41" ht="20.100000000000001" customHeight="1" x14ac:dyDescent="0.25">
      <c r="A9258" s="277" t="s">
        <v>703</v>
      </c>
      <c r="B9258" s="278"/>
      <c r="C9258" s="64" t="s">
        <v>812</v>
      </c>
      <c r="D9258" s="46" t="s">
        <v>215</v>
      </c>
      <c r="E9258" s="114">
        <v>65.739999999999867</v>
      </c>
      <c r="F9258" s="44">
        <v>8582</v>
      </c>
      <c r="G9258" s="44">
        <f t="shared" si="5545"/>
        <v>564180.67999999889</v>
      </c>
      <c r="H9258" s="44">
        <f t="shared" si="5546"/>
        <v>4497.2277239819005</v>
      </c>
      <c r="I9258" s="43">
        <f t="shared" si="5547"/>
        <v>295647.75057456951</v>
      </c>
      <c r="J9258" s="112">
        <f t="shared" si="5548"/>
        <v>65.739999999999867</v>
      </c>
      <c r="K9258" s="211">
        <f t="shared" si="5549"/>
        <v>65.739999999999867</v>
      </c>
      <c r="L9258" s="44"/>
      <c r="M9258" s="44">
        <f t="shared" si="5550"/>
        <v>65.739999999999867</v>
      </c>
      <c r="N9258" s="173">
        <f t="shared" si="5551"/>
        <v>1</v>
      </c>
      <c r="O9258" s="44">
        <f t="shared" si="5552"/>
        <v>8582</v>
      </c>
      <c r="P9258" s="44">
        <f t="shared" si="5553"/>
        <v>564180.67999999889</v>
      </c>
      <c r="Q9258" s="44">
        <f t="shared" si="5554"/>
        <v>4497.2277239819005</v>
      </c>
      <c r="R9258" s="44">
        <f t="shared" si="5555"/>
        <v>295647.75057456951</v>
      </c>
      <c r="S9258" s="123"/>
      <c r="T9258" s="219">
        <f t="shared" si="5556"/>
        <v>295647.75057456951</v>
      </c>
      <c r="U9258" s="87"/>
      <c r="V9258" s="47"/>
      <c r="W9258" s="48"/>
      <c r="X9258" s="48"/>
      <c r="Y9258" s="48"/>
      <c r="Z9258" s="135"/>
      <c r="AA9258" s="49"/>
      <c r="AB9258" s="50">
        <f t="shared" si="5557"/>
        <v>4497.2277239819005</v>
      </c>
      <c r="AC9258" s="42">
        <f t="shared" si="5558"/>
        <v>65.739999999999867</v>
      </c>
      <c r="AD9258" s="90">
        <f>AD9259+AD9264+AD9274+AD9277</f>
        <v>295647.75057456951</v>
      </c>
      <c r="AE9258" s="188">
        <f t="shared" ref="AE9258" si="6238">AE9259+AE9264+AE9274+AE9277</f>
        <v>0</v>
      </c>
      <c r="AF9258" s="189">
        <f t="shared" ref="AF9258" si="6239">AF9259+AF9264+AF9274+AF9277</f>
        <v>0</v>
      </c>
      <c r="AG9258" s="189">
        <f t="shared" ref="AG9258" si="6240">AG9259+AG9264+AG9274+AG9277</f>
        <v>0</v>
      </c>
      <c r="AH9258" s="189">
        <f t="shared" ref="AH9258" si="6241">AH9259+AH9264+AH9274+AH9277</f>
        <v>0</v>
      </c>
      <c r="AI9258" s="161">
        <f t="shared" ref="AI9258:AI9287" si="6242">SUM(AE9258:AH9258)</f>
        <v>0</v>
      </c>
      <c r="AK9258" s="169">
        <v>5</v>
      </c>
      <c r="AO9258" s="19" t="s">
        <v>63</v>
      </c>
    </row>
    <row r="9259" spans="1:41" s="103" customFormat="1" ht="19.899999999999999" customHeight="1" x14ac:dyDescent="0.25">
      <c r="A9259" s="51"/>
      <c r="B9259" s="52"/>
      <c r="C9259" s="165"/>
      <c r="D9259" s="52"/>
      <c r="E9259" s="115"/>
      <c r="F9259" s="58"/>
      <c r="G9259" s="58"/>
      <c r="H9259" s="58"/>
      <c r="I9259" s="55"/>
      <c r="J9259" s="113">
        <f>J9258</f>
        <v>65.739999999999867</v>
      </c>
      <c r="K9259" s="212">
        <f>K9258</f>
        <v>65.739999999999867</v>
      </c>
      <c r="L9259" s="58"/>
      <c r="M9259" s="58">
        <f>K9259-L9259</f>
        <v>65.739999999999867</v>
      </c>
      <c r="N9259" s="166"/>
      <c r="O9259" s="58"/>
      <c r="P9259" s="58"/>
      <c r="Q9259" s="58"/>
      <c r="R9259" s="58"/>
      <c r="S9259" s="58"/>
      <c r="T9259" s="220"/>
      <c r="U9259" s="88"/>
      <c r="V9259" s="56"/>
      <c r="W9259" s="57" t="s">
        <v>1504</v>
      </c>
      <c r="X9259" s="53"/>
      <c r="Y9259" s="91" t="s">
        <v>35</v>
      </c>
      <c r="Z9259" s="136">
        <f>AD9259/AC9259</f>
        <v>62.845098039215685</v>
      </c>
      <c r="AA9259" s="58"/>
      <c r="AB9259" s="53">
        <f>AD9259/AC9259</f>
        <v>62.845098039215685</v>
      </c>
      <c r="AC9259" s="53">
        <f>M9259+$AE$10</f>
        <v>65.739999999999867</v>
      </c>
      <c r="AD9259" s="54">
        <f>SUM(AD9260:AD9263)</f>
        <v>4131.4367450980308</v>
      </c>
      <c r="AE9259" s="184">
        <f>SUMIFS($AD$37:$AD$12971,$V$37:$V$12971,$V9259,$X$37:$X$12971,AE$13)</f>
        <v>0</v>
      </c>
      <c r="AF9259" s="185">
        <f>SUMIFS($AD$37:$AD$12971,$V$37:$V$12971,$V9259,$X$37:$X$12971,AF$13)</f>
        <v>0</v>
      </c>
      <c r="AG9259" s="185">
        <f>SUMIFS($AD$37:$AD$12971,$V$37:$V$12971,$V9259,$X$37:$X$12971,AG$13)</f>
        <v>0</v>
      </c>
      <c r="AH9259" s="187">
        <f>SUMIFS($AD$37:$AD$12971,$V$37:$V$12971,$V9259,$X$37:$X$12971,AH$13)</f>
        <v>0</v>
      </c>
      <c r="AI9259" s="161">
        <f t="shared" ref="AI9259" si="6243">SUM(AE9259:AH9259)</f>
        <v>0</v>
      </c>
      <c r="AK9259" s="172"/>
    </row>
    <row r="9260" spans="1:41" s="102" customFormat="1" ht="19.899999999999999" customHeight="1" x14ac:dyDescent="0.25">
      <c r="A9260" s="45"/>
      <c r="B9260" s="59"/>
      <c r="C9260" s="137"/>
      <c r="D9260" s="59"/>
      <c r="E9260" s="116"/>
      <c r="F9260" s="120"/>
      <c r="G9260" s="120"/>
      <c r="H9260" s="120"/>
      <c r="I9260" s="60"/>
      <c r="J9260" s="116"/>
      <c r="K9260" s="213"/>
      <c r="L9260" s="120"/>
      <c r="M9260" s="120"/>
      <c r="N9260" s="167"/>
      <c r="O9260" s="120"/>
      <c r="P9260" s="120"/>
      <c r="Q9260" s="120"/>
      <c r="R9260" s="120"/>
      <c r="S9260" s="120"/>
      <c r="T9260" s="221"/>
      <c r="U9260" s="89"/>
      <c r="V9260" s="61"/>
      <c r="W9260" s="92" t="s">
        <v>129</v>
      </c>
      <c r="X9260" s="93" t="s">
        <v>29</v>
      </c>
      <c r="Y9260" s="93" t="s">
        <v>93</v>
      </c>
      <c r="Z9260" s="134">
        <f>VLOOKUP(W9260,Sheet2!$B:$D,3,FALSE)</f>
        <v>56</v>
      </c>
      <c r="AA9260" s="93">
        <f>100/(2.5*2.5*2.5)</f>
        <v>6.4</v>
      </c>
      <c r="AB9260" s="93">
        <f t="shared" ref="AB9260" si="6244">AD9260/AC9259</f>
        <v>8.7499999999999982</v>
      </c>
      <c r="AC9260" s="93">
        <f>AC9259/AA9260</f>
        <v>10.271874999999978</v>
      </c>
      <c r="AD9260" s="94">
        <f t="shared" ref="AD9260:AD9261" si="6245">AC9260*Z9260</f>
        <v>575.22499999999877</v>
      </c>
      <c r="AE9260" s="190"/>
      <c r="AF9260" s="191"/>
      <c r="AG9260" s="191"/>
      <c r="AH9260" s="191"/>
      <c r="AI9260" s="186"/>
      <c r="AK9260" s="171"/>
    </row>
    <row r="9261" spans="1:41" s="102" customFormat="1" ht="19.899999999999999" customHeight="1" x14ac:dyDescent="0.25">
      <c r="A9261" s="45"/>
      <c r="B9261" s="59"/>
      <c r="C9261" s="137"/>
      <c r="D9261" s="59"/>
      <c r="E9261" s="116"/>
      <c r="F9261" s="120"/>
      <c r="G9261" s="120"/>
      <c r="H9261" s="120"/>
      <c r="I9261" s="60"/>
      <c r="J9261" s="116"/>
      <c r="K9261" s="213"/>
      <c r="L9261" s="120"/>
      <c r="M9261" s="120"/>
      <c r="N9261" s="167"/>
      <c r="O9261" s="120"/>
      <c r="P9261" s="120"/>
      <c r="Q9261" s="120"/>
      <c r="R9261" s="120"/>
      <c r="S9261" s="120"/>
      <c r="T9261" s="221"/>
      <c r="U9261" s="89"/>
      <c r="V9261" s="61"/>
      <c r="W9261" s="92" t="s">
        <v>65</v>
      </c>
      <c r="X9261" s="93" t="s">
        <v>30</v>
      </c>
      <c r="Y9261" s="93" t="s">
        <v>1011</v>
      </c>
      <c r="Z9261" s="134">
        <f>VLOOKUP(W9261,Sheet2!$B:$D,3,FALSE)</f>
        <v>1.76</v>
      </c>
      <c r="AA9261" s="93">
        <f>AA9260/14</f>
        <v>0.45714285714285718</v>
      </c>
      <c r="AB9261" s="93">
        <f>AD9261/AC9259</f>
        <v>3.8499999999999992</v>
      </c>
      <c r="AC9261" s="93">
        <f>AC9259/AA9261</f>
        <v>143.80624999999969</v>
      </c>
      <c r="AD9261" s="94">
        <f t="shared" si="6245"/>
        <v>253.09899999999945</v>
      </c>
      <c r="AE9261" s="190"/>
      <c r="AF9261" s="191"/>
      <c r="AG9261" s="191"/>
      <c r="AH9261" s="191"/>
      <c r="AI9261" s="186"/>
      <c r="AK9261" s="171"/>
    </row>
    <row r="9262" spans="1:41" s="102" customFormat="1" ht="19.899999999999999" customHeight="1" x14ac:dyDescent="0.25">
      <c r="A9262" s="45"/>
      <c r="B9262" s="59"/>
      <c r="C9262" s="137"/>
      <c r="D9262" s="59"/>
      <c r="E9262" s="116"/>
      <c r="F9262" s="120"/>
      <c r="G9262" s="120"/>
      <c r="H9262" s="120"/>
      <c r="I9262" s="60"/>
      <c r="J9262" s="116"/>
      <c r="K9262" s="213"/>
      <c r="L9262" s="120"/>
      <c r="M9262" s="120"/>
      <c r="N9262" s="167"/>
      <c r="O9262" s="120"/>
      <c r="P9262" s="120"/>
      <c r="Q9262" s="120"/>
      <c r="R9262" s="120"/>
      <c r="S9262" s="120"/>
      <c r="T9262" s="221"/>
      <c r="U9262" s="89"/>
      <c r="V9262" s="61"/>
      <c r="W9262" s="92" t="s">
        <v>161</v>
      </c>
      <c r="X9262" s="93" t="s">
        <v>29</v>
      </c>
      <c r="Y9262" s="93" t="s">
        <v>93</v>
      </c>
      <c r="Z9262" s="134">
        <f>VLOOKUP(W9262,Sheet2!$B:$D,3,FALSE)</f>
        <v>48</v>
      </c>
      <c r="AA9262" s="93">
        <f>(16*0.85*1.5)/(2.5*2.5*2.5)</f>
        <v>1.3055999999999999</v>
      </c>
      <c r="AB9262" s="93">
        <f>AD9262/AC9259</f>
        <v>36.764705882352942</v>
      </c>
      <c r="AC9262" s="93">
        <f>AC9259/AA9262</f>
        <v>50.352328431372449</v>
      </c>
      <c r="AD9262" s="94">
        <f>AC9262*Z9262</f>
        <v>2416.9117647058774</v>
      </c>
      <c r="AE9262" s="190"/>
      <c r="AF9262" s="191"/>
      <c r="AG9262" s="191"/>
      <c r="AH9262" s="191"/>
      <c r="AI9262" s="186"/>
      <c r="AK9262" s="171"/>
    </row>
    <row r="9263" spans="1:41" s="102" customFormat="1" ht="19.899999999999999" customHeight="1" x14ac:dyDescent="0.25">
      <c r="A9263" s="45"/>
      <c r="B9263" s="59"/>
      <c r="C9263" s="137"/>
      <c r="D9263" s="59"/>
      <c r="E9263" s="116"/>
      <c r="F9263" s="120"/>
      <c r="G9263" s="120"/>
      <c r="H9263" s="120"/>
      <c r="I9263" s="60"/>
      <c r="J9263" s="116"/>
      <c r="K9263" s="213"/>
      <c r="L9263" s="120"/>
      <c r="M9263" s="120"/>
      <c r="N9263" s="167"/>
      <c r="O9263" s="120"/>
      <c r="P9263" s="120"/>
      <c r="Q9263" s="120"/>
      <c r="R9263" s="120"/>
      <c r="S9263" s="120"/>
      <c r="T9263" s="221"/>
      <c r="U9263" s="89"/>
      <c r="V9263" s="61"/>
      <c r="W9263" s="92" t="s">
        <v>65</v>
      </c>
      <c r="X9263" s="93" t="s">
        <v>30</v>
      </c>
      <c r="Y9263" s="93" t="s">
        <v>1011</v>
      </c>
      <c r="Z9263" s="134">
        <f>VLOOKUP(W9263,Sheet2!$B:$D,3,FALSE)</f>
        <v>1.76</v>
      </c>
      <c r="AA9263" s="93">
        <f>AA9262/10</f>
        <v>0.13055999999999998</v>
      </c>
      <c r="AB9263" s="93">
        <f>AD9263/AC9259</f>
        <v>13.480392156862747</v>
      </c>
      <c r="AC9263" s="93">
        <f>AC9259/AA9263</f>
        <v>503.52328431372456</v>
      </c>
      <c r="AD9263" s="94">
        <f>AC9263*Z9263</f>
        <v>886.2009803921552</v>
      </c>
      <c r="AE9263" s="190"/>
      <c r="AF9263" s="191"/>
      <c r="AG9263" s="191"/>
      <c r="AH9263" s="191"/>
      <c r="AI9263" s="186"/>
      <c r="AK9263" s="171"/>
    </row>
    <row r="9264" spans="1:41" s="103" customFormat="1" ht="19.899999999999999" customHeight="1" x14ac:dyDescent="0.25">
      <c r="A9264" s="51"/>
      <c r="B9264" s="52"/>
      <c r="C9264" s="165"/>
      <c r="D9264" s="52"/>
      <c r="E9264" s="115"/>
      <c r="F9264" s="58"/>
      <c r="G9264" s="58"/>
      <c r="H9264" s="58"/>
      <c r="I9264" s="55"/>
      <c r="J9264" s="113">
        <f>J9258</f>
        <v>65.739999999999867</v>
      </c>
      <c r="K9264" s="212">
        <f>K9258</f>
        <v>65.739999999999867</v>
      </c>
      <c r="L9264" s="58"/>
      <c r="M9264" s="58">
        <f>K9264-L9264</f>
        <v>65.739999999999867</v>
      </c>
      <c r="N9264" s="166"/>
      <c r="O9264" s="58"/>
      <c r="P9264" s="58"/>
      <c r="Q9264" s="58"/>
      <c r="R9264" s="58"/>
      <c r="S9264" s="58"/>
      <c r="T9264" s="220"/>
      <c r="U9264" s="88"/>
      <c r="V9264" s="56"/>
      <c r="W9264" s="57" t="s">
        <v>1636</v>
      </c>
      <c r="X9264" s="53"/>
      <c r="Y9264" s="91" t="s">
        <v>35</v>
      </c>
      <c r="Z9264" s="136">
        <f>AD9264/AC9264</f>
        <v>3527.2030769230769</v>
      </c>
      <c r="AA9264" s="58"/>
      <c r="AB9264" s="53">
        <f>AD9264/AC9264</f>
        <v>3527.2030769230769</v>
      </c>
      <c r="AC9264" s="53">
        <f>M9264+$AE$10</f>
        <v>65.739999999999867</v>
      </c>
      <c r="AD9264" s="54">
        <f>SUM(AD9265:AD9273)</f>
        <v>231878.33027692261</v>
      </c>
      <c r="AE9264" s="184">
        <f>SUMIFS($AD$37:$AD$12971,$V$37:$V$12971,$V9264,$X$37:$X$12971,AE$13)</f>
        <v>0</v>
      </c>
      <c r="AF9264" s="185">
        <f>SUMIFS($AD$37:$AD$12971,$V$37:$V$12971,$V9264,$X$37:$X$12971,AF$13)</f>
        <v>0</v>
      </c>
      <c r="AG9264" s="185">
        <f>SUMIFS($AD$37:$AD$12971,$V$37:$V$12971,$V9264,$X$37:$X$12971,AG$13)</f>
        <v>0</v>
      </c>
      <c r="AH9264" s="187">
        <f>SUMIFS($AD$37:$AD$12971,$V$37:$V$12971,$V9264,$X$37:$X$12971,AH$13)</f>
        <v>0</v>
      </c>
      <c r="AI9264" s="161">
        <f t="shared" ref="AI9264" si="6246">SUM(AE9264:AH9264)</f>
        <v>0</v>
      </c>
      <c r="AK9264" s="172"/>
    </row>
    <row r="9265" spans="1:37" s="102" customFormat="1" ht="19.899999999999999" customHeight="1" x14ac:dyDescent="0.25">
      <c r="A9265" s="45"/>
      <c r="B9265" s="59"/>
      <c r="C9265" s="137"/>
      <c r="D9265" s="59"/>
      <c r="E9265" s="116"/>
      <c r="F9265" s="120"/>
      <c r="G9265" s="120"/>
      <c r="H9265" s="120"/>
      <c r="I9265" s="60"/>
      <c r="J9265" s="116"/>
      <c r="K9265" s="213"/>
      <c r="L9265" s="120"/>
      <c r="M9265" s="120"/>
      <c r="N9265" s="167"/>
      <c r="O9265" s="120"/>
      <c r="P9265" s="120"/>
      <c r="Q9265" s="120"/>
      <c r="R9265" s="120"/>
      <c r="S9265" s="120"/>
      <c r="T9265" s="221"/>
      <c r="U9265" s="89"/>
      <c r="V9265" s="61"/>
      <c r="W9265" s="92" t="s">
        <v>1353</v>
      </c>
      <c r="X9265" s="93" t="s">
        <v>30</v>
      </c>
      <c r="Y9265" s="93" t="s">
        <v>66</v>
      </c>
      <c r="Z9265" s="134">
        <f>VLOOKUP(W9265,Sheet2!$B:$D,3,FALSE)</f>
        <v>350</v>
      </c>
      <c r="AA9265" s="93">
        <f>1/((1*2.5*0.2*4)+(1*1*0.3))</f>
        <v>0.43478260869565222</v>
      </c>
      <c r="AB9265" s="93">
        <f>AD9265/AC9264</f>
        <v>804.99999999999989</v>
      </c>
      <c r="AC9265" s="93">
        <f>AC9264/AA9265</f>
        <v>151.20199999999969</v>
      </c>
      <c r="AD9265" s="94">
        <f t="shared" ref="AD9265:AD9266" si="6247">AC9265*Z9265</f>
        <v>52920.699999999888</v>
      </c>
      <c r="AE9265" s="190"/>
      <c r="AF9265" s="191"/>
      <c r="AG9265" s="191"/>
      <c r="AH9265" s="191"/>
      <c r="AI9265" s="186"/>
      <c r="AK9265" s="171"/>
    </row>
    <row r="9266" spans="1:37" s="102" customFormat="1" ht="19.899999999999999" customHeight="1" x14ac:dyDescent="0.25">
      <c r="A9266" s="45"/>
      <c r="B9266" s="59"/>
      <c r="C9266" s="137"/>
      <c r="D9266" s="59"/>
      <c r="E9266" s="116"/>
      <c r="F9266" s="120"/>
      <c r="G9266" s="120"/>
      <c r="H9266" s="120"/>
      <c r="I9266" s="60"/>
      <c r="J9266" s="116"/>
      <c r="K9266" s="213"/>
      <c r="L9266" s="120"/>
      <c r="M9266" s="120"/>
      <c r="N9266" s="167"/>
      <c r="O9266" s="120"/>
      <c r="P9266" s="120"/>
      <c r="Q9266" s="120"/>
      <c r="R9266" s="120"/>
      <c r="S9266" s="120"/>
      <c r="T9266" s="221"/>
      <c r="U9266" s="89"/>
      <c r="V9266" s="61"/>
      <c r="W9266" s="92" t="s">
        <v>99</v>
      </c>
      <c r="X9266" s="93" t="s">
        <v>30</v>
      </c>
      <c r="Y9266" s="93" t="s">
        <v>67</v>
      </c>
      <c r="Z9266" s="134">
        <f>VLOOKUP(W9266,Sheet2!$B:$D,3,FALSE)</f>
        <v>2500</v>
      </c>
      <c r="AA9266" s="93">
        <f>AA9265/0.08</f>
        <v>5.4347826086956523</v>
      </c>
      <c r="AB9266" s="93">
        <f>AD9266/AC9264</f>
        <v>459.99999999999994</v>
      </c>
      <c r="AC9266" s="93">
        <f>AC9264/AA9266</f>
        <v>12.096159999999974</v>
      </c>
      <c r="AD9266" s="94">
        <f t="shared" si="6247"/>
        <v>30240.399999999936</v>
      </c>
      <c r="AE9266" s="190"/>
      <c r="AF9266" s="191"/>
      <c r="AG9266" s="191"/>
      <c r="AH9266" s="191"/>
      <c r="AI9266" s="186"/>
      <c r="AK9266" s="171"/>
    </row>
    <row r="9267" spans="1:37" s="102" customFormat="1" ht="19.899999999999999" customHeight="1" x14ac:dyDescent="0.25">
      <c r="A9267" s="45"/>
      <c r="B9267" s="59"/>
      <c r="C9267" s="137"/>
      <c r="D9267" s="59"/>
      <c r="E9267" s="116"/>
      <c r="F9267" s="120"/>
      <c r="G9267" s="120"/>
      <c r="H9267" s="120"/>
      <c r="I9267" s="60"/>
      <c r="J9267" s="116"/>
      <c r="K9267" s="213"/>
      <c r="L9267" s="120"/>
      <c r="M9267" s="120"/>
      <c r="N9267" s="167"/>
      <c r="O9267" s="120"/>
      <c r="P9267" s="120"/>
      <c r="Q9267" s="120"/>
      <c r="R9267" s="120"/>
      <c r="S9267" s="120"/>
      <c r="T9267" s="221"/>
      <c r="U9267" s="89"/>
      <c r="V9267" s="61"/>
      <c r="W9267" s="92" t="s">
        <v>1533</v>
      </c>
      <c r="X9267" s="93" t="s">
        <v>32</v>
      </c>
      <c r="Y9267" s="93" t="s">
        <v>66</v>
      </c>
      <c r="Z9267" s="134">
        <f>VLOOKUP(W9267,Sheet2!$B:$D,3,FALSE)</f>
        <v>300</v>
      </c>
      <c r="AA9267" s="93">
        <f>AA9265</f>
        <v>0.43478260869565222</v>
      </c>
      <c r="AB9267" s="93">
        <f>AD9267/AC9264</f>
        <v>689.99999999999989</v>
      </c>
      <c r="AC9267" s="93">
        <f>AC9264/AA9267</f>
        <v>151.20199999999969</v>
      </c>
      <c r="AD9267" s="94">
        <f>AC9267*Z9267</f>
        <v>45360.599999999904</v>
      </c>
      <c r="AE9267" s="190"/>
      <c r="AF9267" s="191"/>
      <c r="AG9267" s="191"/>
      <c r="AH9267" s="191"/>
      <c r="AI9267" s="186"/>
      <c r="AK9267" s="171"/>
    </row>
    <row r="9268" spans="1:37" s="102" customFormat="1" ht="19.899999999999999" customHeight="1" x14ac:dyDescent="0.25">
      <c r="A9268" s="45"/>
      <c r="B9268" s="59"/>
      <c r="C9268" s="137"/>
      <c r="D9268" s="59"/>
      <c r="E9268" s="116"/>
      <c r="F9268" s="120"/>
      <c r="G9268" s="120"/>
      <c r="H9268" s="120"/>
      <c r="I9268" s="60"/>
      <c r="J9268" s="116"/>
      <c r="K9268" s="213"/>
      <c r="L9268" s="120"/>
      <c r="M9268" s="120"/>
      <c r="N9268" s="167"/>
      <c r="O9268" s="120"/>
      <c r="P9268" s="120"/>
      <c r="Q9268" s="120"/>
      <c r="R9268" s="120"/>
      <c r="S9268" s="120"/>
      <c r="T9268" s="221"/>
      <c r="U9268" s="89"/>
      <c r="V9268" s="61"/>
      <c r="W9268" s="92" t="s">
        <v>1634</v>
      </c>
      <c r="X9268" s="93" t="s">
        <v>30</v>
      </c>
      <c r="Y9268" s="93" t="s">
        <v>35</v>
      </c>
      <c r="Z9268" s="134">
        <f>VLOOKUP(W9268,Sheet2!$B:$D,3,FALSE)</f>
        <v>1250</v>
      </c>
      <c r="AA9268" s="93">
        <v>1</v>
      </c>
      <c r="AB9268" s="93">
        <f>AD9268/AC9264</f>
        <v>1250</v>
      </c>
      <c r="AC9268" s="93">
        <f>AC9264/AA9268</f>
        <v>65.739999999999867</v>
      </c>
      <c r="AD9268" s="94">
        <f t="shared" ref="AD9268:AD9269" si="6248">AC9268*Z9268</f>
        <v>82174.99999999984</v>
      </c>
      <c r="AE9268" s="190"/>
      <c r="AF9268" s="191"/>
      <c r="AG9268" s="191"/>
      <c r="AH9268" s="191"/>
      <c r="AI9268" s="186"/>
      <c r="AK9268" s="171"/>
    </row>
    <row r="9269" spans="1:37" s="102" customFormat="1" ht="19.899999999999999" customHeight="1" x14ac:dyDescent="0.25">
      <c r="A9269" s="45"/>
      <c r="B9269" s="59"/>
      <c r="C9269" s="137"/>
      <c r="D9269" s="59"/>
      <c r="E9269" s="116"/>
      <c r="F9269" s="120"/>
      <c r="G9269" s="120"/>
      <c r="H9269" s="120"/>
      <c r="I9269" s="60"/>
      <c r="J9269" s="116"/>
      <c r="K9269" s="213"/>
      <c r="L9269" s="120"/>
      <c r="M9269" s="120"/>
      <c r="N9269" s="167"/>
      <c r="O9269" s="120"/>
      <c r="P9269" s="120"/>
      <c r="Q9269" s="120"/>
      <c r="R9269" s="120"/>
      <c r="S9269" s="120"/>
      <c r="T9269" s="221"/>
      <c r="U9269" s="89"/>
      <c r="V9269" s="61"/>
      <c r="W9269" s="92" t="s">
        <v>142</v>
      </c>
      <c r="X9269" s="93" t="s">
        <v>29</v>
      </c>
      <c r="Y9269" s="93" t="s">
        <v>93</v>
      </c>
      <c r="Z9269" s="134">
        <f>VLOOKUP(W9269,Sheet2!$B:$D,3,FALSE)</f>
        <v>67.692307692307693</v>
      </c>
      <c r="AA9269" s="93">
        <v>4</v>
      </c>
      <c r="AB9269" s="93">
        <f>AD9269/AC9264</f>
        <v>16.923076923076923</v>
      </c>
      <c r="AC9269" s="93">
        <f>AC9264/AA9269</f>
        <v>16.434999999999967</v>
      </c>
      <c r="AD9269" s="94">
        <f t="shared" si="6248"/>
        <v>1112.5230769230748</v>
      </c>
      <c r="AE9269" s="190"/>
      <c r="AF9269" s="191"/>
      <c r="AG9269" s="191"/>
      <c r="AH9269" s="191"/>
      <c r="AI9269" s="186"/>
      <c r="AK9269" s="171"/>
    </row>
    <row r="9270" spans="1:37" s="102" customFormat="1" ht="19.899999999999999" customHeight="1" x14ac:dyDescent="0.25">
      <c r="A9270" s="45"/>
      <c r="B9270" s="59"/>
      <c r="C9270" s="137"/>
      <c r="D9270" s="59"/>
      <c r="E9270" s="116"/>
      <c r="F9270" s="120"/>
      <c r="G9270" s="120"/>
      <c r="H9270" s="120"/>
      <c r="I9270" s="60"/>
      <c r="J9270" s="116"/>
      <c r="K9270" s="213"/>
      <c r="L9270" s="120"/>
      <c r="M9270" s="120"/>
      <c r="N9270" s="167"/>
      <c r="O9270" s="120"/>
      <c r="P9270" s="120"/>
      <c r="Q9270" s="120"/>
      <c r="R9270" s="120"/>
      <c r="S9270" s="120"/>
      <c r="T9270" s="221"/>
      <c r="U9270" s="89"/>
      <c r="V9270" s="61"/>
      <c r="W9270" s="92" t="s">
        <v>65</v>
      </c>
      <c r="X9270" s="93" t="s">
        <v>30</v>
      </c>
      <c r="Y9270" s="93" t="s">
        <v>93</v>
      </c>
      <c r="Z9270" s="134">
        <f>VLOOKUP(W9270,Sheet2!$B:$D,3,FALSE)</f>
        <v>1.76</v>
      </c>
      <c r="AA9270" s="93">
        <f>AA9269/12</f>
        <v>0.33333333333333331</v>
      </c>
      <c r="AB9270" s="93">
        <f>AD9270/AC9264</f>
        <v>5.28</v>
      </c>
      <c r="AC9270" s="93">
        <f>AC9264/AA9270</f>
        <v>197.2199999999996</v>
      </c>
      <c r="AD9270" s="94">
        <f>AC9270*Z9270</f>
        <v>347.1071999999993</v>
      </c>
      <c r="AE9270" s="190"/>
      <c r="AF9270" s="191"/>
      <c r="AG9270" s="191"/>
      <c r="AH9270" s="191"/>
      <c r="AI9270" s="186"/>
      <c r="AK9270" s="171"/>
    </row>
    <row r="9271" spans="1:37" s="102" customFormat="1" ht="19.899999999999999" customHeight="1" x14ac:dyDescent="0.25">
      <c r="A9271" s="45"/>
      <c r="B9271" s="59"/>
      <c r="C9271" s="137"/>
      <c r="D9271" s="59"/>
      <c r="E9271" s="116"/>
      <c r="F9271" s="120"/>
      <c r="G9271" s="120"/>
      <c r="H9271" s="120"/>
      <c r="I9271" s="60"/>
      <c r="J9271" s="116"/>
      <c r="K9271" s="213"/>
      <c r="L9271" s="120"/>
      <c r="M9271" s="120"/>
      <c r="N9271" s="167"/>
      <c r="O9271" s="120"/>
      <c r="P9271" s="120"/>
      <c r="Q9271" s="120"/>
      <c r="R9271" s="120"/>
      <c r="S9271" s="120"/>
      <c r="T9271" s="221"/>
      <c r="U9271" s="89"/>
      <c r="V9271" s="61"/>
      <c r="W9271" s="92" t="s">
        <v>1357</v>
      </c>
      <c r="X9271" s="93" t="s">
        <v>30</v>
      </c>
      <c r="Y9271" s="93" t="s">
        <v>1349</v>
      </c>
      <c r="Z9271" s="134">
        <f>VLOOKUP(W9271,Sheet2!$B:$D,3,FALSE)</f>
        <v>150</v>
      </c>
      <c r="AA9271" s="93">
        <v>1</v>
      </c>
      <c r="AB9271" s="93">
        <f>AD9271/AC9264</f>
        <v>150</v>
      </c>
      <c r="AC9271" s="93">
        <f>AC9264/AA9271</f>
        <v>65.739999999999867</v>
      </c>
      <c r="AD9271" s="94">
        <f>AC9271*Z9271</f>
        <v>9860.99999999998</v>
      </c>
      <c r="AE9271" s="190"/>
      <c r="AF9271" s="191"/>
      <c r="AG9271" s="191"/>
      <c r="AH9271" s="191"/>
      <c r="AI9271" s="186"/>
      <c r="AK9271" s="171"/>
    </row>
    <row r="9272" spans="1:37" s="102" customFormat="1" ht="19.899999999999999" customHeight="1" x14ac:dyDescent="0.25">
      <c r="A9272" s="45"/>
      <c r="B9272" s="59"/>
      <c r="C9272" s="137"/>
      <c r="D9272" s="59"/>
      <c r="E9272" s="116"/>
      <c r="F9272" s="120"/>
      <c r="G9272" s="120"/>
      <c r="H9272" s="120"/>
      <c r="I9272" s="60"/>
      <c r="J9272" s="116"/>
      <c r="K9272" s="213"/>
      <c r="L9272" s="120"/>
      <c r="M9272" s="120"/>
      <c r="N9272" s="167"/>
      <c r="O9272" s="120"/>
      <c r="P9272" s="120"/>
      <c r="Q9272" s="120"/>
      <c r="R9272" s="120"/>
      <c r="S9272" s="120"/>
      <c r="T9272" s="221"/>
      <c r="U9272" s="89"/>
      <c r="V9272" s="61"/>
      <c r="W9272" s="92" t="s">
        <v>107</v>
      </c>
      <c r="X9272" s="93" t="s">
        <v>31</v>
      </c>
      <c r="Y9272" s="93" t="s">
        <v>93</v>
      </c>
      <c r="Z9272" s="134">
        <f>VLOOKUP(W9272,Sheet2!$B:$D,3,FALSE)</f>
        <v>17</v>
      </c>
      <c r="AA9272" s="93">
        <f>1/5</f>
        <v>0.2</v>
      </c>
      <c r="AB9272" s="93">
        <f>AD9272/AC9264</f>
        <v>84.999999999999986</v>
      </c>
      <c r="AC9272" s="93">
        <f>AC9264/AA9272</f>
        <v>328.69999999999931</v>
      </c>
      <c r="AD9272" s="94">
        <f>AC9272*Z9272</f>
        <v>5587.8999999999878</v>
      </c>
      <c r="AE9272" s="190"/>
      <c r="AF9272" s="191"/>
      <c r="AG9272" s="191"/>
      <c r="AH9272" s="191"/>
      <c r="AI9272" s="186"/>
      <c r="AK9272" s="171"/>
    </row>
    <row r="9273" spans="1:37" s="102" customFormat="1" ht="19.899999999999999" customHeight="1" x14ac:dyDescent="0.25">
      <c r="A9273" s="45"/>
      <c r="B9273" s="59"/>
      <c r="C9273" s="137"/>
      <c r="D9273" s="59"/>
      <c r="E9273" s="116"/>
      <c r="F9273" s="120"/>
      <c r="G9273" s="120"/>
      <c r="H9273" s="120"/>
      <c r="I9273" s="60"/>
      <c r="J9273" s="116"/>
      <c r="K9273" s="213"/>
      <c r="L9273" s="120"/>
      <c r="M9273" s="120"/>
      <c r="N9273" s="167"/>
      <c r="O9273" s="120"/>
      <c r="P9273" s="120"/>
      <c r="Q9273" s="120"/>
      <c r="R9273" s="120"/>
      <c r="S9273" s="120"/>
      <c r="T9273" s="221"/>
      <c r="U9273" s="89"/>
      <c r="V9273" s="61"/>
      <c r="W9273" s="92" t="s">
        <v>112</v>
      </c>
      <c r="X9273" s="93" t="s">
        <v>31</v>
      </c>
      <c r="Y9273" s="93" t="s">
        <v>93</v>
      </c>
      <c r="Z9273" s="134">
        <f>VLOOKUP(W9273,Sheet2!$B:$D,3,FALSE)</f>
        <v>13</v>
      </c>
      <c r="AA9273" s="93">
        <f>AA9272</f>
        <v>0.2</v>
      </c>
      <c r="AB9273" s="93">
        <f>AD9273/AC9264</f>
        <v>65</v>
      </c>
      <c r="AC9273" s="93">
        <f>AC9264/AA9273</f>
        <v>328.69999999999931</v>
      </c>
      <c r="AD9273" s="94">
        <f>AC9273*Z9273</f>
        <v>4273.0999999999913</v>
      </c>
      <c r="AE9273" s="190"/>
      <c r="AF9273" s="191"/>
      <c r="AG9273" s="191"/>
      <c r="AH9273" s="191"/>
      <c r="AI9273" s="186"/>
      <c r="AK9273" s="171"/>
    </row>
    <row r="9274" spans="1:37" s="103" customFormat="1" ht="19.899999999999999" customHeight="1" x14ac:dyDescent="0.25">
      <c r="A9274" s="51"/>
      <c r="B9274" s="52"/>
      <c r="C9274" s="165"/>
      <c r="D9274" s="52"/>
      <c r="E9274" s="115"/>
      <c r="F9274" s="58"/>
      <c r="G9274" s="58"/>
      <c r="H9274" s="58"/>
      <c r="I9274" s="55"/>
      <c r="J9274" s="113">
        <f>J9258</f>
        <v>65.739999999999867</v>
      </c>
      <c r="K9274" s="212">
        <f>K9258</f>
        <v>65.739999999999867</v>
      </c>
      <c r="L9274" s="58"/>
      <c r="M9274" s="58">
        <f>K9274-L9274</f>
        <v>65.739999999999867</v>
      </c>
      <c r="N9274" s="166"/>
      <c r="O9274" s="58"/>
      <c r="P9274" s="58"/>
      <c r="Q9274" s="58"/>
      <c r="R9274" s="58"/>
      <c r="S9274" s="58"/>
      <c r="T9274" s="220"/>
      <c r="U9274" s="88"/>
      <c r="V9274" s="56"/>
      <c r="W9274" s="57" t="s">
        <v>1358</v>
      </c>
      <c r="X9274" s="53"/>
      <c r="Y9274" s="91" t="s">
        <v>35</v>
      </c>
      <c r="Z9274" s="136">
        <f>AD9274/AC9274</f>
        <v>700</v>
      </c>
      <c r="AA9274" s="58"/>
      <c r="AB9274" s="53">
        <f>AD9274/AC9274</f>
        <v>700</v>
      </c>
      <c r="AC9274" s="53">
        <f>M9274+$AE$10</f>
        <v>65.739999999999867</v>
      </c>
      <c r="AD9274" s="54">
        <f>SUM(AD9275:AD9276)</f>
        <v>46017.999999999905</v>
      </c>
      <c r="AE9274" s="184">
        <f>SUMIFS($AD$37:$AD$12971,$V$37:$V$12971,$V9274,$X$37:$X$12971,AE$13)</f>
        <v>0</v>
      </c>
      <c r="AF9274" s="185">
        <f>SUMIFS($AD$37:$AD$12971,$V$37:$V$12971,$V9274,$X$37:$X$12971,AF$13)</f>
        <v>0</v>
      </c>
      <c r="AG9274" s="185">
        <f>SUMIFS($AD$37:$AD$12971,$V$37:$V$12971,$V9274,$X$37:$X$12971,AG$13)</f>
        <v>0</v>
      </c>
      <c r="AH9274" s="187">
        <f>SUMIFS($AD$37:$AD$12971,$V$37:$V$12971,$V9274,$X$37:$X$12971,AH$13)</f>
        <v>0</v>
      </c>
      <c r="AI9274" s="161">
        <f t="shared" ref="AI9274" si="6249">SUM(AE9274:AH9274)</f>
        <v>0</v>
      </c>
      <c r="AK9274" s="172"/>
    </row>
    <row r="9275" spans="1:37" s="102" customFormat="1" ht="19.899999999999999" customHeight="1" x14ac:dyDescent="0.25">
      <c r="A9275" s="45"/>
      <c r="B9275" s="59"/>
      <c r="C9275" s="137"/>
      <c r="D9275" s="59"/>
      <c r="E9275" s="116"/>
      <c r="F9275" s="120"/>
      <c r="G9275" s="120"/>
      <c r="H9275" s="120"/>
      <c r="I9275" s="60"/>
      <c r="J9275" s="116"/>
      <c r="K9275" s="213"/>
      <c r="L9275" s="120"/>
      <c r="M9275" s="120"/>
      <c r="N9275" s="167"/>
      <c r="O9275" s="120"/>
      <c r="P9275" s="120"/>
      <c r="Q9275" s="120"/>
      <c r="R9275" s="120"/>
      <c r="S9275" s="120"/>
      <c r="T9275" s="221"/>
      <c r="U9275" s="89"/>
      <c r="V9275" s="61"/>
      <c r="W9275" s="92" t="s">
        <v>1359</v>
      </c>
      <c r="X9275" s="93" t="s">
        <v>32</v>
      </c>
      <c r="Y9275" s="93" t="s">
        <v>64</v>
      </c>
      <c r="Z9275" s="134">
        <f>VLOOKUP(W9275,Sheet2!$B:$D,3,FALSE)</f>
        <v>40</v>
      </c>
      <c r="AA9275" s="93">
        <f>1/(1*2.5*4)</f>
        <v>0.1</v>
      </c>
      <c r="AB9275" s="93">
        <f t="shared" ref="AB9275" si="6250">AD9275/AC9274</f>
        <v>400</v>
      </c>
      <c r="AC9275" s="93">
        <f>AC9274/AA9275</f>
        <v>657.39999999999861</v>
      </c>
      <c r="AD9275" s="94">
        <f t="shared" ref="AD9275:AD9276" si="6251">AC9275*Z9275</f>
        <v>26295.999999999945</v>
      </c>
      <c r="AE9275" s="190"/>
      <c r="AF9275" s="191"/>
      <c r="AG9275" s="191"/>
      <c r="AH9275" s="191"/>
      <c r="AI9275" s="186"/>
      <c r="AK9275" s="171"/>
    </row>
    <row r="9276" spans="1:37" s="102" customFormat="1" ht="19.899999999999999" customHeight="1" x14ac:dyDescent="0.25">
      <c r="A9276" s="45"/>
      <c r="B9276" s="59"/>
      <c r="C9276" s="137"/>
      <c r="D9276" s="59"/>
      <c r="E9276" s="116"/>
      <c r="F9276" s="120"/>
      <c r="G9276" s="120"/>
      <c r="H9276" s="120"/>
      <c r="I9276" s="60"/>
      <c r="J9276" s="116"/>
      <c r="K9276" s="213"/>
      <c r="L9276" s="120"/>
      <c r="M9276" s="120"/>
      <c r="N9276" s="167"/>
      <c r="O9276" s="120"/>
      <c r="P9276" s="120"/>
      <c r="Q9276" s="120"/>
      <c r="R9276" s="120"/>
      <c r="S9276" s="120"/>
      <c r="T9276" s="221"/>
      <c r="U9276" s="89"/>
      <c r="V9276" s="61"/>
      <c r="W9276" s="92" t="s">
        <v>1360</v>
      </c>
      <c r="X9276" s="93" t="s">
        <v>32</v>
      </c>
      <c r="Y9276" s="93" t="s">
        <v>64</v>
      </c>
      <c r="Z9276" s="134">
        <f>VLOOKUP(W9276,Sheet2!$B:$D,3,FALSE)</f>
        <v>30</v>
      </c>
      <c r="AA9276" s="93">
        <f>AA9275</f>
        <v>0.1</v>
      </c>
      <c r="AB9276" s="93">
        <f>AD9276/AC9274</f>
        <v>300</v>
      </c>
      <c r="AC9276" s="93">
        <f>AC9274/AA9276</f>
        <v>657.39999999999861</v>
      </c>
      <c r="AD9276" s="94">
        <f t="shared" si="6251"/>
        <v>19721.99999999996</v>
      </c>
      <c r="AE9276" s="190"/>
      <c r="AF9276" s="191"/>
      <c r="AG9276" s="191"/>
      <c r="AH9276" s="191"/>
      <c r="AI9276" s="186"/>
      <c r="AK9276" s="171"/>
    </row>
    <row r="9277" spans="1:37" s="103" customFormat="1" ht="19.899999999999999" customHeight="1" x14ac:dyDescent="0.25">
      <c r="A9277" s="51"/>
      <c r="B9277" s="52"/>
      <c r="C9277" s="165"/>
      <c r="D9277" s="52"/>
      <c r="E9277" s="115"/>
      <c r="F9277" s="58"/>
      <c r="G9277" s="58"/>
      <c r="H9277" s="58"/>
      <c r="I9277" s="55"/>
      <c r="J9277" s="113">
        <f>J9258</f>
        <v>65.739999999999867</v>
      </c>
      <c r="K9277" s="212">
        <f>K9258</f>
        <v>65.739999999999867</v>
      </c>
      <c r="L9277" s="58"/>
      <c r="M9277" s="58">
        <f>K9277-L9277</f>
        <v>65.739999999999867</v>
      </c>
      <c r="N9277" s="166"/>
      <c r="O9277" s="58"/>
      <c r="P9277" s="58"/>
      <c r="Q9277" s="58"/>
      <c r="R9277" s="58"/>
      <c r="S9277" s="58"/>
      <c r="T9277" s="220"/>
      <c r="U9277" s="88"/>
      <c r="V9277" s="56"/>
      <c r="W9277" s="57" t="s">
        <v>1272</v>
      </c>
      <c r="X9277" s="53"/>
      <c r="Y9277" s="91" t="s">
        <v>35</v>
      </c>
      <c r="Z9277" s="136">
        <f>AD9277/AC9277</f>
        <v>207.17954901960789</v>
      </c>
      <c r="AA9277" s="58"/>
      <c r="AB9277" s="53">
        <f>AD9277/AC9277</f>
        <v>207.17954901960789</v>
      </c>
      <c r="AC9277" s="53">
        <f>M9277+$AE$10</f>
        <v>65.739999999999867</v>
      </c>
      <c r="AD9277" s="54">
        <f>SUM(AD9278:AD9286)</f>
        <v>13619.983552548994</v>
      </c>
      <c r="AE9277" s="184">
        <f>SUMIFS($AD$37:$AD$12971,$V$37:$V$12971,$V9277,$X$37:$X$12971,AE$13)</f>
        <v>0</v>
      </c>
      <c r="AF9277" s="185">
        <f>SUMIFS($AD$37:$AD$12971,$V$37:$V$12971,$V9277,$X$37:$X$12971,AF$13)</f>
        <v>0</v>
      </c>
      <c r="AG9277" s="185">
        <f>SUMIFS($AD$37:$AD$12971,$V$37:$V$12971,$V9277,$X$37:$X$12971,AG$13)</f>
        <v>0</v>
      </c>
      <c r="AH9277" s="187">
        <f>SUMIFS($AD$37:$AD$12971,$V$37:$V$12971,$V9277,$X$37:$X$12971,AH$13)</f>
        <v>0</v>
      </c>
      <c r="AI9277" s="161">
        <f t="shared" ref="AI9277" si="6252">SUM(AE9277:AH9277)</f>
        <v>0</v>
      </c>
      <c r="AK9277" s="172"/>
    </row>
    <row r="9278" spans="1:37" s="102" customFormat="1" ht="19.899999999999999" customHeight="1" x14ac:dyDescent="0.25">
      <c r="A9278" s="45"/>
      <c r="B9278" s="59"/>
      <c r="C9278" s="137"/>
      <c r="D9278" s="59"/>
      <c r="E9278" s="116"/>
      <c r="F9278" s="120"/>
      <c r="G9278" s="120"/>
      <c r="H9278" s="120"/>
      <c r="I9278" s="60"/>
      <c r="J9278" s="116"/>
      <c r="K9278" s="213"/>
      <c r="L9278" s="120"/>
      <c r="M9278" s="120"/>
      <c r="N9278" s="167"/>
      <c r="O9278" s="120"/>
      <c r="P9278" s="120"/>
      <c r="Q9278" s="120"/>
      <c r="R9278" s="120"/>
      <c r="S9278" s="120"/>
      <c r="T9278" s="221"/>
      <c r="U9278" s="89"/>
      <c r="V9278" s="61"/>
      <c r="W9278" s="92" t="s">
        <v>1273</v>
      </c>
      <c r="X9278" s="93" t="s">
        <v>30</v>
      </c>
      <c r="Y9278" s="93" t="s">
        <v>66</v>
      </c>
      <c r="Z9278" s="134">
        <f>VLOOKUP(W9278,Sheet2!$B:$D,3,FALSE)</f>
        <v>10</v>
      </c>
      <c r="AA9278" s="93">
        <f>1/((2.5*2.5*2.5)-(1*1*2.5))</f>
        <v>7.6190476190476197E-2</v>
      </c>
      <c r="AB9278" s="93">
        <f>AD9278/AC9277</f>
        <v>131.25</v>
      </c>
      <c r="AC9278" s="93">
        <f>AC9277/AA9278</f>
        <v>862.83749999999816</v>
      </c>
      <c r="AD9278" s="94">
        <f t="shared" ref="AD9278:AD9280" si="6253">AC9278*Z9278</f>
        <v>8628.3749999999818</v>
      </c>
      <c r="AE9278" s="190"/>
      <c r="AF9278" s="191"/>
      <c r="AG9278" s="191"/>
      <c r="AH9278" s="191"/>
      <c r="AI9278" s="186"/>
      <c r="AK9278" s="171"/>
    </row>
    <row r="9279" spans="1:37" s="102" customFormat="1" ht="19.899999999999999" customHeight="1" x14ac:dyDescent="0.25">
      <c r="A9279" s="45"/>
      <c r="B9279" s="59"/>
      <c r="C9279" s="137"/>
      <c r="D9279" s="59"/>
      <c r="E9279" s="116"/>
      <c r="F9279" s="120"/>
      <c r="G9279" s="120"/>
      <c r="H9279" s="120"/>
      <c r="I9279" s="60"/>
      <c r="J9279" s="116"/>
      <c r="K9279" s="213"/>
      <c r="L9279" s="120"/>
      <c r="M9279" s="120"/>
      <c r="N9279" s="167"/>
      <c r="O9279" s="120"/>
      <c r="P9279" s="120"/>
      <c r="Q9279" s="120"/>
      <c r="R9279" s="120"/>
      <c r="S9279" s="120"/>
      <c r="T9279" s="221"/>
      <c r="U9279" s="89"/>
      <c r="V9279" s="61"/>
      <c r="W9279" s="92" t="s">
        <v>134</v>
      </c>
      <c r="X9279" s="93" t="s">
        <v>29</v>
      </c>
      <c r="Y9279" s="93" t="s">
        <v>93</v>
      </c>
      <c r="Z9279" s="134">
        <f>VLOOKUP(W9279,Sheet2!$B:$D,3,FALSE)</f>
        <v>65.599999999999994</v>
      </c>
      <c r="AA9279" s="93">
        <f>100/((2.5*2.5*2.5)-(1*1*2.5))</f>
        <v>7.6190476190476186</v>
      </c>
      <c r="AB9279" s="93">
        <f t="shared" ref="AB9279" si="6254">AD9279/AC9277</f>
        <v>8.61</v>
      </c>
      <c r="AC9279" s="93">
        <f>AC9277/AA9279</f>
        <v>8.6283749999999824</v>
      </c>
      <c r="AD9279" s="94">
        <f t="shared" si="6253"/>
        <v>566.02139999999883</v>
      </c>
      <c r="AE9279" s="190"/>
      <c r="AF9279" s="191"/>
      <c r="AG9279" s="191"/>
      <c r="AH9279" s="191"/>
      <c r="AI9279" s="186"/>
      <c r="AK9279" s="171"/>
    </row>
    <row r="9280" spans="1:37" s="102" customFormat="1" ht="19.899999999999999" customHeight="1" x14ac:dyDescent="0.25">
      <c r="A9280" s="45"/>
      <c r="B9280" s="59"/>
      <c r="C9280" s="137"/>
      <c r="D9280" s="59"/>
      <c r="E9280" s="116"/>
      <c r="F9280" s="120"/>
      <c r="G9280" s="120"/>
      <c r="H9280" s="120"/>
      <c r="I9280" s="60"/>
      <c r="J9280" s="116"/>
      <c r="K9280" s="213"/>
      <c r="L9280" s="120"/>
      <c r="M9280" s="120"/>
      <c r="N9280" s="167"/>
      <c r="O9280" s="120"/>
      <c r="P9280" s="120"/>
      <c r="Q9280" s="120"/>
      <c r="R9280" s="120"/>
      <c r="S9280" s="120"/>
      <c r="T9280" s="221"/>
      <c r="U9280" s="89"/>
      <c r="V9280" s="61"/>
      <c r="W9280" s="92" t="s">
        <v>65</v>
      </c>
      <c r="X9280" s="93" t="s">
        <v>30</v>
      </c>
      <c r="Y9280" s="93" t="s">
        <v>1011</v>
      </c>
      <c r="Z9280" s="134">
        <f>VLOOKUP(W9280,Sheet2!$B:$D,3,FALSE)</f>
        <v>1.76</v>
      </c>
      <c r="AA9280" s="93">
        <f>AA9279/9</f>
        <v>0.84656084656084651</v>
      </c>
      <c r="AB9280" s="93">
        <f>AD9280/AC9277</f>
        <v>2.0790000000000002</v>
      </c>
      <c r="AC9280" s="93">
        <f>AC9277/AA9280</f>
        <v>77.65537499999985</v>
      </c>
      <c r="AD9280" s="94">
        <f t="shared" si="6253"/>
        <v>136.67345999999975</v>
      </c>
      <c r="AE9280" s="190"/>
      <c r="AF9280" s="191"/>
      <c r="AG9280" s="191"/>
      <c r="AH9280" s="191"/>
      <c r="AI9280" s="186"/>
      <c r="AK9280" s="171"/>
    </row>
    <row r="9281" spans="1:41" s="102" customFormat="1" ht="19.899999999999999" customHeight="1" x14ac:dyDescent="0.25">
      <c r="A9281" s="45"/>
      <c r="B9281" s="59"/>
      <c r="C9281" s="137"/>
      <c r="D9281" s="59"/>
      <c r="E9281" s="116"/>
      <c r="F9281" s="120"/>
      <c r="G9281" s="120"/>
      <c r="H9281" s="120"/>
      <c r="I9281" s="60"/>
      <c r="J9281" s="116"/>
      <c r="K9281" s="213"/>
      <c r="L9281" s="120"/>
      <c r="M9281" s="120"/>
      <c r="N9281" s="167"/>
      <c r="O9281" s="120"/>
      <c r="P9281" s="120"/>
      <c r="Q9281" s="120"/>
      <c r="R9281" s="120"/>
      <c r="S9281" s="120"/>
      <c r="T9281" s="221"/>
      <c r="U9281" s="89"/>
      <c r="V9281" s="61"/>
      <c r="W9281" s="92" t="s">
        <v>161</v>
      </c>
      <c r="X9281" s="93" t="s">
        <v>29</v>
      </c>
      <c r="Y9281" s="93" t="s">
        <v>93</v>
      </c>
      <c r="Z9281" s="134">
        <f>VLOOKUP(W9281,Sheet2!$B:$D,3,FALSE)</f>
        <v>48</v>
      </c>
      <c r="AA9281" s="93">
        <f>(16*0.85*1.5)/((2.5*2.5*2.5)-(1*1*2.5))</f>
        <v>1.5542857142857143</v>
      </c>
      <c r="AB9281" s="93">
        <f>AD9281/AC9277</f>
        <v>30.882352941176471</v>
      </c>
      <c r="AC9281" s="93">
        <f>AC9277/AA9281</f>
        <v>42.295955882352857</v>
      </c>
      <c r="AD9281" s="94">
        <f>AC9281*Z9281</f>
        <v>2030.2058823529371</v>
      </c>
      <c r="AE9281" s="190"/>
      <c r="AF9281" s="191"/>
      <c r="AG9281" s="191"/>
      <c r="AH9281" s="191"/>
      <c r="AI9281" s="186"/>
      <c r="AK9281" s="171"/>
    </row>
    <row r="9282" spans="1:41" s="102" customFormat="1" ht="19.899999999999999" customHeight="1" x14ac:dyDescent="0.25">
      <c r="A9282" s="45"/>
      <c r="B9282" s="59"/>
      <c r="C9282" s="137"/>
      <c r="D9282" s="59"/>
      <c r="E9282" s="116"/>
      <c r="F9282" s="120"/>
      <c r="G9282" s="120"/>
      <c r="H9282" s="120"/>
      <c r="I9282" s="60"/>
      <c r="J9282" s="116"/>
      <c r="K9282" s="213"/>
      <c r="L9282" s="120"/>
      <c r="M9282" s="120"/>
      <c r="N9282" s="167"/>
      <c r="O9282" s="120"/>
      <c r="P9282" s="120"/>
      <c r="Q9282" s="120"/>
      <c r="R9282" s="120"/>
      <c r="S9282" s="120"/>
      <c r="T9282" s="221"/>
      <c r="U9282" s="89"/>
      <c r="V9282" s="61"/>
      <c r="W9282" s="92" t="s">
        <v>65</v>
      </c>
      <c r="X9282" s="93" t="s">
        <v>30</v>
      </c>
      <c r="Y9282" s="93" t="s">
        <v>1011</v>
      </c>
      <c r="Z9282" s="134">
        <f>VLOOKUP(W9282,Sheet2!$B:$D,3,FALSE)</f>
        <v>1.76</v>
      </c>
      <c r="AA9282" s="93">
        <f>AA9281/10</f>
        <v>0.15542857142857142</v>
      </c>
      <c r="AB9282" s="93">
        <f>AD9282/AC9277</f>
        <v>11.323529411764708</v>
      </c>
      <c r="AC9282" s="93">
        <f>AC9277/AA9282</f>
        <v>422.9595588235286</v>
      </c>
      <c r="AD9282" s="94">
        <f>AC9282*Z9282</f>
        <v>744.40882352941037</v>
      </c>
      <c r="AE9282" s="190"/>
      <c r="AF9282" s="191"/>
      <c r="AG9282" s="191"/>
      <c r="AH9282" s="191"/>
      <c r="AI9282" s="186"/>
      <c r="AK9282" s="171"/>
    </row>
    <row r="9283" spans="1:41" s="102" customFormat="1" ht="19.899999999999999" customHeight="1" x14ac:dyDescent="0.25">
      <c r="A9283" s="45"/>
      <c r="B9283" s="59"/>
      <c r="C9283" s="137"/>
      <c r="D9283" s="59"/>
      <c r="E9283" s="116"/>
      <c r="F9283" s="120"/>
      <c r="G9283" s="120"/>
      <c r="H9283" s="120"/>
      <c r="I9283" s="60"/>
      <c r="J9283" s="116"/>
      <c r="K9283" s="213"/>
      <c r="L9283" s="120"/>
      <c r="M9283" s="120"/>
      <c r="N9283" s="167"/>
      <c r="O9283" s="120"/>
      <c r="P9283" s="120"/>
      <c r="Q9283" s="120"/>
      <c r="R9283" s="120"/>
      <c r="S9283" s="120"/>
      <c r="T9283" s="221"/>
      <c r="U9283" s="89"/>
      <c r="V9283" s="61"/>
      <c r="W9283" s="92" t="s">
        <v>173</v>
      </c>
      <c r="X9283" s="93" t="s">
        <v>29</v>
      </c>
      <c r="Y9283" s="93" t="s">
        <v>93</v>
      </c>
      <c r="Z9283" s="134">
        <f>VLOOKUP(W9283,Sheet2!$B:$D,3,FALSE)</f>
        <v>36</v>
      </c>
      <c r="AA9283" s="93">
        <f>50/((2.5*2.5*2.5)-(1*1*2.5))</f>
        <v>3.8095238095238093</v>
      </c>
      <c r="AB9283" s="93">
        <f>AD9283/AC9277</f>
        <v>9.4499999999999993</v>
      </c>
      <c r="AC9283" s="93">
        <f>AC9277/AA9283</f>
        <v>17.256749999999965</v>
      </c>
      <c r="AD9283" s="94">
        <f>AC9283*Z9283</f>
        <v>621.24299999999869</v>
      </c>
      <c r="AE9283" s="190"/>
      <c r="AF9283" s="191"/>
      <c r="AG9283" s="191"/>
      <c r="AH9283" s="191"/>
      <c r="AI9283" s="186"/>
      <c r="AK9283" s="171"/>
    </row>
    <row r="9284" spans="1:41" s="102" customFormat="1" ht="19.899999999999999" customHeight="1" x14ac:dyDescent="0.25">
      <c r="A9284" s="45"/>
      <c r="B9284" s="59"/>
      <c r="C9284" s="137"/>
      <c r="D9284" s="59"/>
      <c r="E9284" s="116"/>
      <c r="F9284" s="120"/>
      <c r="G9284" s="120"/>
      <c r="H9284" s="120"/>
      <c r="I9284" s="60"/>
      <c r="J9284" s="116"/>
      <c r="K9284" s="213"/>
      <c r="L9284" s="120"/>
      <c r="M9284" s="120"/>
      <c r="N9284" s="167"/>
      <c r="O9284" s="120"/>
      <c r="P9284" s="120"/>
      <c r="Q9284" s="120"/>
      <c r="R9284" s="120"/>
      <c r="S9284" s="120"/>
      <c r="T9284" s="221"/>
      <c r="U9284" s="89"/>
      <c r="V9284" s="61"/>
      <c r="W9284" s="92" t="s">
        <v>65</v>
      </c>
      <c r="X9284" s="93" t="s">
        <v>30</v>
      </c>
      <c r="Y9284" s="93" t="s">
        <v>1011</v>
      </c>
      <c r="Z9284" s="134">
        <f>VLOOKUP(W9284,Sheet2!$B:$D,3,FALSE)</f>
        <v>1.76</v>
      </c>
      <c r="AA9284" s="93">
        <f>AA9283/9</f>
        <v>0.42328042328042326</v>
      </c>
      <c r="AB9284" s="93">
        <f>AD9284/AC9277</f>
        <v>4.1580000000000004</v>
      </c>
      <c r="AC9284" s="93">
        <f>AC9277/AA9284</f>
        <v>155.3107499999997</v>
      </c>
      <c r="AD9284" s="94">
        <f>AC9284*Z9284</f>
        <v>273.3469199999995</v>
      </c>
      <c r="AE9284" s="190"/>
      <c r="AF9284" s="191"/>
      <c r="AG9284" s="191"/>
      <c r="AH9284" s="191"/>
      <c r="AI9284" s="186"/>
      <c r="AK9284" s="171"/>
    </row>
    <row r="9285" spans="1:41" s="102" customFormat="1" ht="19.899999999999999" customHeight="1" x14ac:dyDescent="0.25">
      <c r="A9285" s="45"/>
      <c r="B9285" s="59"/>
      <c r="C9285" s="137"/>
      <c r="D9285" s="59"/>
      <c r="E9285" s="116"/>
      <c r="F9285" s="120"/>
      <c r="G9285" s="120"/>
      <c r="H9285" s="120"/>
      <c r="I9285" s="60"/>
      <c r="J9285" s="116"/>
      <c r="K9285" s="213"/>
      <c r="L9285" s="120"/>
      <c r="M9285" s="120"/>
      <c r="N9285" s="167"/>
      <c r="O9285" s="120"/>
      <c r="P9285" s="120"/>
      <c r="Q9285" s="120"/>
      <c r="R9285" s="120"/>
      <c r="S9285" s="120"/>
      <c r="T9285" s="221"/>
      <c r="U9285" s="89"/>
      <c r="V9285" s="61"/>
      <c r="W9285" s="92" t="s">
        <v>1030</v>
      </c>
      <c r="X9285" s="93" t="s">
        <v>29</v>
      </c>
      <c r="Y9285" s="93" t="s">
        <v>93</v>
      </c>
      <c r="Z9285" s="134">
        <f>VLOOKUP(W9285,Sheet2!$B:$D,3,FALSE)</f>
        <v>23</v>
      </c>
      <c r="AA9285" s="93">
        <v>3</v>
      </c>
      <c r="AB9285" s="93">
        <f>AD9285/AC9277</f>
        <v>7.666666666666667</v>
      </c>
      <c r="AC9285" s="93">
        <f>AC9277/AA9285</f>
        <v>21.913333333333288</v>
      </c>
      <c r="AD9285" s="94">
        <f t="shared" ref="AD9285:AD9286" si="6255">AC9285*Z9285</f>
        <v>504.00666666666564</v>
      </c>
      <c r="AE9285" s="190"/>
      <c r="AF9285" s="191"/>
      <c r="AG9285" s="191"/>
      <c r="AH9285" s="191"/>
      <c r="AI9285" s="186"/>
      <c r="AK9285" s="171"/>
    </row>
    <row r="9286" spans="1:41" s="102" customFormat="1" ht="19.899999999999999" customHeight="1" x14ac:dyDescent="0.25">
      <c r="A9286" s="45"/>
      <c r="B9286" s="59"/>
      <c r="C9286" s="137"/>
      <c r="D9286" s="59"/>
      <c r="E9286" s="116"/>
      <c r="F9286" s="120"/>
      <c r="G9286" s="120"/>
      <c r="H9286" s="120"/>
      <c r="I9286" s="60"/>
      <c r="J9286" s="116"/>
      <c r="K9286" s="213"/>
      <c r="L9286" s="120"/>
      <c r="M9286" s="120"/>
      <c r="N9286" s="167"/>
      <c r="O9286" s="120"/>
      <c r="P9286" s="120"/>
      <c r="Q9286" s="120"/>
      <c r="R9286" s="120"/>
      <c r="S9286" s="120"/>
      <c r="T9286" s="221"/>
      <c r="U9286" s="89"/>
      <c r="V9286" s="61"/>
      <c r="W9286" s="92" t="s">
        <v>65</v>
      </c>
      <c r="X9286" s="93" t="s">
        <v>30</v>
      </c>
      <c r="Y9286" s="93" t="s">
        <v>1011</v>
      </c>
      <c r="Z9286" s="134">
        <f>VLOOKUP(W9286,Sheet2!$B:$D,3,FALSE)</f>
        <v>1.76</v>
      </c>
      <c r="AA9286" s="93">
        <f>AA9285/3</f>
        <v>1</v>
      </c>
      <c r="AB9286" s="93">
        <f>AD9286/AC9277</f>
        <v>1.76</v>
      </c>
      <c r="AC9286" s="93">
        <f>AC9277/AA9286</f>
        <v>65.739999999999867</v>
      </c>
      <c r="AD9286" s="94">
        <f t="shared" si="6255"/>
        <v>115.70239999999977</v>
      </c>
      <c r="AE9286" s="190"/>
      <c r="AF9286" s="191"/>
      <c r="AG9286" s="191"/>
      <c r="AH9286" s="191"/>
      <c r="AI9286" s="186"/>
      <c r="AK9286" s="171"/>
    </row>
    <row r="9287" spans="1:41" ht="20.100000000000001" customHeight="1" x14ac:dyDescent="0.25">
      <c r="A9287" s="277" t="s">
        <v>703</v>
      </c>
      <c r="B9287" s="278"/>
      <c r="C9287" s="64" t="s">
        <v>814</v>
      </c>
      <c r="D9287" s="46" t="s">
        <v>215</v>
      </c>
      <c r="E9287" s="114">
        <v>20.579999999999995</v>
      </c>
      <c r="F9287" s="44">
        <v>9915</v>
      </c>
      <c r="G9287" s="44">
        <f t="shared" si="5545"/>
        <v>204050.69999999995</v>
      </c>
      <c r="H9287" s="44">
        <f t="shared" si="5546"/>
        <v>5029.3473200603312</v>
      </c>
      <c r="I9287" s="43">
        <f t="shared" si="5547"/>
        <v>103503.9678468416</v>
      </c>
      <c r="J9287" s="112">
        <f t="shared" si="5548"/>
        <v>20.579999999999995</v>
      </c>
      <c r="K9287" s="211">
        <f t="shared" si="5549"/>
        <v>20.579999999999995</v>
      </c>
      <c r="L9287" s="44"/>
      <c r="M9287" s="44">
        <f t="shared" si="5550"/>
        <v>20.579999999999995</v>
      </c>
      <c r="N9287" s="173">
        <f t="shared" si="5551"/>
        <v>1</v>
      </c>
      <c r="O9287" s="44">
        <f t="shared" si="5552"/>
        <v>9915</v>
      </c>
      <c r="P9287" s="44">
        <f t="shared" si="5553"/>
        <v>204050.69999999995</v>
      </c>
      <c r="Q9287" s="44">
        <f t="shared" si="5554"/>
        <v>5029.3473200603312</v>
      </c>
      <c r="R9287" s="44">
        <f t="shared" si="5555"/>
        <v>103503.9678468416</v>
      </c>
      <c r="S9287" s="123"/>
      <c r="T9287" s="219">
        <f t="shared" si="5556"/>
        <v>103503.9678468416</v>
      </c>
      <c r="U9287" s="87"/>
      <c r="V9287" s="47"/>
      <c r="W9287" s="48"/>
      <c r="X9287" s="48"/>
      <c r="Y9287" s="48"/>
      <c r="Z9287" s="135"/>
      <c r="AA9287" s="49"/>
      <c r="AB9287" s="50">
        <f t="shared" si="5557"/>
        <v>5029.3473200603312</v>
      </c>
      <c r="AC9287" s="42">
        <f t="shared" si="5558"/>
        <v>20.579999999999995</v>
      </c>
      <c r="AD9287" s="90">
        <f>AD9288+AD9293+AD9303+AD9306</f>
        <v>103503.9678468416</v>
      </c>
      <c r="AE9287" s="188">
        <f t="shared" ref="AE9287" si="6256">AE9288+AE9293+AE9303+AE9306</f>
        <v>0</v>
      </c>
      <c r="AF9287" s="189">
        <f t="shared" ref="AF9287" si="6257">AF9288+AF9293+AF9303+AF9306</f>
        <v>0</v>
      </c>
      <c r="AG9287" s="189">
        <f t="shared" ref="AG9287" si="6258">AG9288+AG9293+AG9303+AG9306</f>
        <v>0</v>
      </c>
      <c r="AH9287" s="189">
        <f t="shared" ref="AH9287" si="6259">AH9288+AH9293+AH9303+AH9306</f>
        <v>0</v>
      </c>
      <c r="AI9287" s="161">
        <f t="shared" si="6242"/>
        <v>0</v>
      </c>
      <c r="AK9287" s="169">
        <v>5</v>
      </c>
      <c r="AO9287" s="19" t="s">
        <v>63</v>
      </c>
    </row>
    <row r="9288" spans="1:41" s="103" customFormat="1" ht="19.899999999999999" customHeight="1" x14ac:dyDescent="0.25">
      <c r="A9288" s="51"/>
      <c r="B9288" s="52"/>
      <c r="C9288" s="165"/>
      <c r="D9288" s="52"/>
      <c r="E9288" s="115"/>
      <c r="F9288" s="58"/>
      <c r="G9288" s="58"/>
      <c r="H9288" s="58"/>
      <c r="I9288" s="55"/>
      <c r="J9288" s="113">
        <f>J9287</f>
        <v>20.579999999999995</v>
      </c>
      <c r="K9288" s="212">
        <f>K9287</f>
        <v>20.579999999999995</v>
      </c>
      <c r="L9288" s="58"/>
      <c r="M9288" s="58">
        <f>K9288-L9288</f>
        <v>20.579999999999995</v>
      </c>
      <c r="N9288" s="166"/>
      <c r="O9288" s="58"/>
      <c r="P9288" s="58"/>
      <c r="Q9288" s="58"/>
      <c r="R9288" s="58"/>
      <c r="S9288" s="58"/>
      <c r="T9288" s="220"/>
      <c r="U9288" s="88"/>
      <c r="V9288" s="56"/>
      <c r="W9288" s="57" t="s">
        <v>1637</v>
      </c>
      <c r="X9288" s="53"/>
      <c r="Y9288" s="91" t="s">
        <v>35</v>
      </c>
      <c r="Z9288" s="136">
        <f>AD9288/AC9288</f>
        <v>75.414117647058831</v>
      </c>
      <c r="AA9288" s="58"/>
      <c r="AB9288" s="53">
        <f>AD9288/AC9288</f>
        <v>75.414117647058831</v>
      </c>
      <c r="AC9288" s="53">
        <f>M9288+$AE$10</f>
        <v>20.579999999999995</v>
      </c>
      <c r="AD9288" s="54">
        <f>SUM(AD9289:AD9292)</f>
        <v>1552.0225411764704</v>
      </c>
      <c r="AE9288" s="184">
        <f>SUMIFS($AD$37:$AD$12971,$V$37:$V$12971,$V9288,$X$37:$X$12971,AE$13)</f>
        <v>0</v>
      </c>
      <c r="AF9288" s="185">
        <f>SUMIFS($AD$37:$AD$12971,$V$37:$V$12971,$V9288,$X$37:$X$12971,AF$13)</f>
        <v>0</v>
      </c>
      <c r="AG9288" s="185">
        <f>SUMIFS($AD$37:$AD$12971,$V$37:$V$12971,$V9288,$X$37:$X$12971,AG$13)</f>
        <v>0</v>
      </c>
      <c r="AH9288" s="187">
        <f>SUMIFS($AD$37:$AD$12971,$V$37:$V$12971,$V9288,$X$37:$X$12971,AH$13)</f>
        <v>0</v>
      </c>
      <c r="AI9288" s="161">
        <f t="shared" ref="AI9288" si="6260">SUM(AE9288:AH9288)</f>
        <v>0</v>
      </c>
      <c r="AK9288" s="172"/>
    </row>
    <row r="9289" spans="1:41" s="102" customFormat="1" ht="19.899999999999999" customHeight="1" x14ac:dyDescent="0.25">
      <c r="A9289" s="45"/>
      <c r="B9289" s="59"/>
      <c r="C9289" s="137"/>
      <c r="D9289" s="59"/>
      <c r="E9289" s="116"/>
      <c r="F9289" s="120"/>
      <c r="G9289" s="120"/>
      <c r="H9289" s="120"/>
      <c r="I9289" s="60"/>
      <c r="J9289" s="116"/>
      <c r="K9289" s="213"/>
      <c r="L9289" s="120"/>
      <c r="M9289" s="120"/>
      <c r="N9289" s="167"/>
      <c r="O9289" s="120"/>
      <c r="P9289" s="120"/>
      <c r="Q9289" s="120"/>
      <c r="R9289" s="120"/>
      <c r="S9289" s="120"/>
      <c r="T9289" s="221"/>
      <c r="U9289" s="89"/>
      <c r="V9289" s="61"/>
      <c r="W9289" s="92" t="s">
        <v>129</v>
      </c>
      <c r="X9289" s="93" t="s">
        <v>29</v>
      </c>
      <c r="Y9289" s="93" t="s">
        <v>93</v>
      </c>
      <c r="Z9289" s="134">
        <f>VLOOKUP(W9289,Sheet2!$B:$D,3,FALSE)</f>
        <v>56</v>
      </c>
      <c r="AA9289" s="93">
        <f>100/(2.5*2.5*3)</f>
        <v>5.333333333333333</v>
      </c>
      <c r="AB9289" s="93">
        <f t="shared" ref="AB9289" si="6261">AD9289/AC9288</f>
        <v>10.5</v>
      </c>
      <c r="AC9289" s="93">
        <f>AC9288/AA9289</f>
        <v>3.8587499999999992</v>
      </c>
      <c r="AD9289" s="94">
        <f t="shared" ref="AD9289:AD9290" si="6262">AC9289*Z9289</f>
        <v>216.08999999999995</v>
      </c>
      <c r="AE9289" s="190"/>
      <c r="AF9289" s="191"/>
      <c r="AG9289" s="191"/>
      <c r="AH9289" s="191"/>
      <c r="AI9289" s="186"/>
      <c r="AK9289" s="171"/>
    </row>
    <row r="9290" spans="1:41" s="102" customFormat="1" ht="19.899999999999999" customHeight="1" x14ac:dyDescent="0.25">
      <c r="A9290" s="45"/>
      <c r="B9290" s="59"/>
      <c r="C9290" s="137"/>
      <c r="D9290" s="59"/>
      <c r="E9290" s="116"/>
      <c r="F9290" s="120"/>
      <c r="G9290" s="120"/>
      <c r="H9290" s="120"/>
      <c r="I9290" s="60"/>
      <c r="J9290" s="116"/>
      <c r="K9290" s="213"/>
      <c r="L9290" s="120"/>
      <c r="M9290" s="120"/>
      <c r="N9290" s="167"/>
      <c r="O9290" s="120"/>
      <c r="P9290" s="120"/>
      <c r="Q9290" s="120"/>
      <c r="R9290" s="120"/>
      <c r="S9290" s="120"/>
      <c r="T9290" s="221"/>
      <c r="U9290" s="89"/>
      <c r="V9290" s="61"/>
      <c r="W9290" s="92" t="s">
        <v>65</v>
      </c>
      <c r="X9290" s="93" t="s">
        <v>30</v>
      </c>
      <c r="Y9290" s="93" t="s">
        <v>1011</v>
      </c>
      <c r="Z9290" s="134">
        <f>VLOOKUP(W9290,Sheet2!$B:$D,3,FALSE)</f>
        <v>1.76</v>
      </c>
      <c r="AA9290" s="93">
        <f>AA9289/14</f>
        <v>0.38095238095238093</v>
      </c>
      <c r="AB9290" s="93">
        <f>AD9290/AC9288</f>
        <v>4.62</v>
      </c>
      <c r="AC9290" s="93">
        <f>AC9288/AA9290</f>
        <v>54.022499999999987</v>
      </c>
      <c r="AD9290" s="94">
        <f t="shared" si="6262"/>
        <v>95.079599999999971</v>
      </c>
      <c r="AE9290" s="190"/>
      <c r="AF9290" s="191"/>
      <c r="AG9290" s="191"/>
      <c r="AH9290" s="191"/>
      <c r="AI9290" s="186"/>
      <c r="AK9290" s="171"/>
    </row>
    <row r="9291" spans="1:41" s="102" customFormat="1" ht="19.899999999999999" customHeight="1" x14ac:dyDescent="0.25">
      <c r="A9291" s="45"/>
      <c r="B9291" s="59"/>
      <c r="C9291" s="137"/>
      <c r="D9291" s="59"/>
      <c r="E9291" s="116"/>
      <c r="F9291" s="120"/>
      <c r="G9291" s="120"/>
      <c r="H9291" s="120"/>
      <c r="I9291" s="60"/>
      <c r="J9291" s="116"/>
      <c r="K9291" s="213"/>
      <c r="L9291" s="120"/>
      <c r="M9291" s="120"/>
      <c r="N9291" s="167"/>
      <c r="O9291" s="120"/>
      <c r="P9291" s="120"/>
      <c r="Q9291" s="120"/>
      <c r="R9291" s="120"/>
      <c r="S9291" s="120"/>
      <c r="T9291" s="221"/>
      <c r="U9291" s="89"/>
      <c r="V9291" s="61"/>
      <c r="W9291" s="92" t="s">
        <v>161</v>
      </c>
      <c r="X9291" s="93" t="s">
        <v>29</v>
      </c>
      <c r="Y9291" s="93" t="s">
        <v>93</v>
      </c>
      <c r="Z9291" s="134">
        <f>VLOOKUP(W9291,Sheet2!$B:$D,3,FALSE)</f>
        <v>48</v>
      </c>
      <c r="AA9291" s="93">
        <f>(16*0.85*1.5)/(2.5*2.5*3)</f>
        <v>1.0879999999999999</v>
      </c>
      <c r="AB9291" s="93">
        <f>AD9291/AC9288</f>
        <v>44.117647058823536</v>
      </c>
      <c r="AC9291" s="93">
        <f>AC9288/AA9291</f>
        <v>18.915441176470587</v>
      </c>
      <c r="AD9291" s="94">
        <f>AC9291*Z9291</f>
        <v>907.94117647058818</v>
      </c>
      <c r="AE9291" s="190"/>
      <c r="AF9291" s="191"/>
      <c r="AG9291" s="191"/>
      <c r="AH9291" s="191"/>
      <c r="AI9291" s="186"/>
      <c r="AK9291" s="171"/>
    </row>
    <row r="9292" spans="1:41" s="102" customFormat="1" ht="19.899999999999999" customHeight="1" x14ac:dyDescent="0.25">
      <c r="A9292" s="45"/>
      <c r="B9292" s="59"/>
      <c r="C9292" s="137"/>
      <c r="D9292" s="59"/>
      <c r="E9292" s="116"/>
      <c r="F9292" s="120"/>
      <c r="G9292" s="120"/>
      <c r="H9292" s="120"/>
      <c r="I9292" s="60"/>
      <c r="J9292" s="116"/>
      <c r="K9292" s="213"/>
      <c r="L9292" s="120"/>
      <c r="M9292" s="120"/>
      <c r="N9292" s="167"/>
      <c r="O9292" s="120"/>
      <c r="P9292" s="120"/>
      <c r="Q9292" s="120"/>
      <c r="R9292" s="120"/>
      <c r="S9292" s="120"/>
      <c r="T9292" s="221"/>
      <c r="U9292" s="89"/>
      <c r="V9292" s="61"/>
      <c r="W9292" s="92" t="s">
        <v>65</v>
      </c>
      <c r="X9292" s="93" t="s">
        <v>30</v>
      </c>
      <c r="Y9292" s="93" t="s">
        <v>1011</v>
      </c>
      <c r="Z9292" s="134">
        <f>VLOOKUP(W9292,Sheet2!$B:$D,3,FALSE)</f>
        <v>1.76</v>
      </c>
      <c r="AA9292" s="93">
        <f>AA9291/10</f>
        <v>0.10879999999999998</v>
      </c>
      <c r="AB9292" s="93">
        <f>AD9292/AC9288</f>
        <v>16.176470588235297</v>
      </c>
      <c r="AC9292" s="93">
        <f>AC9288/AA9292</f>
        <v>189.15441176470586</v>
      </c>
      <c r="AD9292" s="94">
        <f>AC9292*Z9292</f>
        <v>332.91176470588232</v>
      </c>
      <c r="AE9292" s="190"/>
      <c r="AF9292" s="191"/>
      <c r="AG9292" s="191"/>
      <c r="AH9292" s="191"/>
      <c r="AI9292" s="186"/>
      <c r="AK9292" s="171"/>
    </row>
    <row r="9293" spans="1:41" s="103" customFormat="1" ht="19.899999999999999" customHeight="1" x14ac:dyDescent="0.25">
      <c r="A9293" s="51"/>
      <c r="B9293" s="52"/>
      <c r="C9293" s="165"/>
      <c r="D9293" s="52"/>
      <c r="E9293" s="115"/>
      <c r="F9293" s="58"/>
      <c r="G9293" s="58"/>
      <c r="H9293" s="58"/>
      <c r="I9293" s="55"/>
      <c r="J9293" s="113">
        <f>J9287</f>
        <v>20.579999999999995</v>
      </c>
      <c r="K9293" s="212">
        <f>K9287</f>
        <v>20.579999999999995</v>
      </c>
      <c r="L9293" s="58"/>
      <c r="M9293" s="58">
        <f>K9293-L9293</f>
        <v>20.579999999999995</v>
      </c>
      <c r="N9293" s="166"/>
      <c r="O9293" s="58"/>
      <c r="P9293" s="58"/>
      <c r="Q9293" s="58"/>
      <c r="R9293" s="58"/>
      <c r="S9293" s="58"/>
      <c r="T9293" s="220"/>
      <c r="U9293" s="88"/>
      <c r="V9293" s="56"/>
      <c r="W9293" s="57" t="s">
        <v>1636</v>
      </c>
      <c r="X9293" s="53"/>
      <c r="Y9293" s="91" t="s">
        <v>35</v>
      </c>
      <c r="Z9293" s="136">
        <f>AD9293/AC9293</f>
        <v>3867.2030769230764</v>
      </c>
      <c r="AA9293" s="58"/>
      <c r="AB9293" s="53">
        <f>AD9293/AC9293</f>
        <v>3867.2030769230764</v>
      </c>
      <c r="AC9293" s="53">
        <f>M9293+$AE$10</f>
        <v>20.579999999999995</v>
      </c>
      <c r="AD9293" s="54">
        <f>SUM(AD9294:AD9302)</f>
        <v>79587.039323076897</v>
      </c>
      <c r="AE9293" s="184">
        <f>SUMIFS($AD$37:$AD$12971,$V$37:$V$12971,$V9293,$X$37:$X$12971,AE$13)</f>
        <v>0</v>
      </c>
      <c r="AF9293" s="185">
        <f>SUMIFS($AD$37:$AD$12971,$V$37:$V$12971,$V9293,$X$37:$X$12971,AF$13)</f>
        <v>0</v>
      </c>
      <c r="AG9293" s="185">
        <f>SUMIFS($AD$37:$AD$12971,$V$37:$V$12971,$V9293,$X$37:$X$12971,AG$13)</f>
        <v>0</v>
      </c>
      <c r="AH9293" s="187">
        <f>SUMIFS($AD$37:$AD$12971,$V$37:$V$12971,$V9293,$X$37:$X$12971,AH$13)</f>
        <v>0</v>
      </c>
      <c r="AI9293" s="161">
        <f t="shared" ref="AI9293" si="6263">SUM(AE9293:AH9293)</f>
        <v>0</v>
      </c>
      <c r="AK9293" s="172"/>
    </row>
    <row r="9294" spans="1:41" s="102" customFormat="1" ht="19.899999999999999" customHeight="1" x14ac:dyDescent="0.25">
      <c r="A9294" s="45"/>
      <c r="B9294" s="59"/>
      <c r="C9294" s="137"/>
      <c r="D9294" s="59"/>
      <c r="E9294" s="116"/>
      <c r="F9294" s="120"/>
      <c r="G9294" s="120"/>
      <c r="H9294" s="120"/>
      <c r="I9294" s="60"/>
      <c r="J9294" s="116"/>
      <c r="K9294" s="213"/>
      <c r="L9294" s="120"/>
      <c r="M9294" s="120"/>
      <c r="N9294" s="167"/>
      <c r="O9294" s="120"/>
      <c r="P9294" s="120"/>
      <c r="Q9294" s="120"/>
      <c r="R9294" s="120"/>
      <c r="S9294" s="120"/>
      <c r="T9294" s="221"/>
      <c r="U9294" s="89"/>
      <c r="V9294" s="61"/>
      <c r="W9294" s="92" t="s">
        <v>1353</v>
      </c>
      <c r="X9294" s="93" t="s">
        <v>30</v>
      </c>
      <c r="Y9294" s="93" t="s">
        <v>66</v>
      </c>
      <c r="Z9294" s="134">
        <f>VLOOKUP(W9294,Sheet2!$B:$D,3,FALSE)</f>
        <v>350</v>
      </c>
      <c r="AA9294" s="93">
        <f>1/((1*3*0.2*4)+(1*1*0.3))</f>
        <v>0.37037037037037035</v>
      </c>
      <c r="AB9294" s="93">
        <f>AD9294/AC9293</f>
        <v>945</v>
      </c>
      <c r="AC9294" s="93">
        <f>AC9293/AA9294</f>
        <v>55.565999999999988</v>
      </c>
      <c r="AD9294" s="94">
        <f t="shared" ref="AD9294:AD9295" si="6264">AC9294*Z9294</f>
        <v>19448.099999999995</v>
      </c>
      <c r="AE9294" s="190"/>
      <c r="AF9294" s="191"/>
      <c r="AG9294" s="191"/>
      <c r="AH9294" s="191"/>
      <c r="AI9294" s="186"/>
      <c r="AK9294" s="171"/>
    </row>
    <row r="9295" spans="1:41" s="102" customFormat="1" ht="19.899999999999999" customHeight="1" x14ac:dyDescent="0.25">
      <c r="A9295" s="45"/>
      <c r="B9295" s="59"/>
      <c r="C9295" s="137"/>
      <c r="D9295" s="59"/>
      <c r="E9295" s="116"/>
      <c r="F9295" s="120"/>
      <c r="G9295" s="120"/>
      <c r="H9295" s="120"/>
      <c r="I9295" s="60"/>
      <c r="J9295" s="116"/>
      <c r="K9295" s="213"/>
      <c r="L9295" s="120"/>
      <c r="M9295" s="120"/>
      <c r="N9295" s="167"/>
      <c r="O9295" s="120"/>
      <c r="P9295" s="120"/>
      <c r="Q9295" s="120"/>
      <c r="R9295" s="120"/>
      <c r="S9295" s="120"/>
      <c r="T9295" s="221"/>
      <c r="U9295" s="89"/>
      <c r="V9295" s="61"/>
      <c r="W9295" s="92" t="s">
        <v>99</v>
      </c>
      <c r="X9295" s="93" t="s">
        <v>30</v>
      </c>
      <c r="Y9295" s="93" t="s">
        <v>67</v>
      </c>
      <c r="Z9295" s="134">
        <f>VLOOKUP(W9295,Sheet2!$B:$D,3,FALSE)</f>
        <v>2500</v>
      </c>
      <c r="AA9295" s="93">
        <f>AA9294/0.08</f>
        <v>4.6296296296296289</v>
      </c>
      <c r="AB9295" s="93">
        <f>AD9295/AC9293</f>
        <v>540.00000000000011</v>
      </c>
      <c r="AC9295" s="93">
        <f>AC9293/AA9295</f>
        <v>4.4452799999999995</v>
      </c>
      <c r="AD9295" s="94">
        <f t="shared" si="6264"/>
        <v>11113.199999999999</v>
      </c>
      <c r="AE9295" s="190"/>
      <c r="AF9295" s="191"/>
      <c r="AG9295" s="191"/>
      <c r="AH9295" s="191"/>
      <c r="AI9295" s="186"/>
      <c r="AK9295" s="171"/>
    </row>
    <row r="9296" spans="1:41" s="102" customFormat="1" ht="19.899999999999999" customHeight="1" x14ac:dyDescent="0.25">
      <c r="A9296" s="45"/>
      <c r="B9296" s="59"/>
      <c r="C9296" s="137"/>
      <c r="D9296" s="59"/>
      <c r="E9296" s="116"/>
      <c r="F9296" s="120"/>
      <c r="G9296" s="120"/>
      <c r="H9296" s="120"/>
      <c r="I9296" s="60"/>
      <c r="J9296" s="116"/>
      <c r="K9296" s="213"/>
      <c r="L9296" s="120"/>
      <c r="M9296" s="120"/>
      <c r="N9296" s="167"/>
      <c r="O9296" s="120"/>
      <c r="P9296" s="120"/>
      <c r="Q9296" s="120"/>
      <c r="R9296" s="120"/>
      <c r="S9296" s="120"/>
      <c r="T9296" s="221"/>
      <c r="U9296" s="89"/>
      <c r="V9296" s="61"/>
      <c r="W9296" s="92" t="s">
        <v>1533</v>
      </c>
      <c r="X9296" s="93" t="s">
        <v>32</v>
      </c>
      <c r="Y9296" s="93" t="s">
        <v>66</v>
      </c>
      <c r="Z9296" s="134">
        <f>VLOOKUP(W9296,Sheet2!$B:$D,3,FALSE)</f>
        <v>300</v>
      </c>
      <c r="AA9296" s="93">
        <f>AA9294</f>
        <v>0.37037037037037035</v>
      </c>
      <c r="AB9296" s="93">
        <f>AD9296/AC9293</f>
        <v>810</v>
      </c>
      <c r="AC9296" s="93">
        <f>AC9293/AA9296</f>
        <v>55.565999999999988</v>
      </c>
      <c r="AD9296" s="94">
        <f>AC9296*Z9296</f>
        <v>16669.799999999996</v>
      </c>
      <c r="AE9296" s="190"/>
      <c r="AF9296" s="191"/>
      <c r="AG9296" s="191"/>
      <c r="AH9296" s="191"/>
      <c r="AI9296" s="186"/>
      <c r="AK9296" s="171"/>
    </row>
    <row r="9297" spans="1:37" s="102" customFormat="1" ht="19.899999999999999" customHeight="1" x14ac:dyDescent="0.25">
      <c r="A9297" s="45"/>
      <c r="B9297" s="59"/>
      <c r="C9297" s="137"/>
      <c r="D9297" s="59"/>
      <c r="E9297" s="116"/>
      <c r="F9297" s="120"/>
      <c r="G9297" s="120"/>
      <c r="H9297" s="120"/>
      <c r="I9297" s="60"/>
      <c r="J9297" s="116"/>
      <c r="K9297" s="213"/>
      <c r="L9297" s="120"/>
      <c r="M9297" s="120"/>
      <c r="N9297" s="167"/>
      <c r="O9297" s="120"/>
      <c r="P9297" s="120"/>
      <c r="Q9297" s="120"/>
      <c r="R9297" s="120"/>
      <c r="S9297" s="120"/>
      <c r="T9297" s="221"/>
      <c r="U9297" s="89"/>
      <c r="V9297" s="61"/>
      <c r="W9297" s="92" t="s">
        <v>1634</v>
      </c>
      <c r="X9297" s="93" t="s">
        <v>30</v>
      </c>
      <c r="Y9297" s="93" t="s">
        <v>35</v>
      </c>
      <c r="Z9297" s="134">
        <f>VLOOKUP(W9297,Sheet2!$B:$D,3,FALSE)</f>
        <v>1250</v>
      </c>
      <c r="AA9297" s="93">
        <v>1</v>
      </c>
      <c r="AB9297" s="93">
        <f>AD9297/AC9293</f>
        <v>1250</v>
      </c>
      <c r="AC9297" s="93">
        <f>AC9293/AA9297</f>
        <v>20.579999999999995</v>
      </c>
      <c r="AD9297" s="94">
        <f t="shared" ref="AD9297:AD9298" si="6265">AC9297*Z9297</f>
        <v>25724.999999999993</v>
      </c>
      <c r="AE9297" s="190"/>
      <c r="AF9297" s="191"/>
      <c r="AG9297" s="191"/>
      <c r="AH9297" s="191"/>
      <c r="AI9297" s="186"/>
      <c r="AK9297" s="171"/>
    </row>
    <row r="9298" spans="1:37" s="102" customFormat="1" ht="19.899999999999999" customHeight="1" x14ac:dyDescent="0.25">
      <c r="A9298" s="45"/>
      <c r="B9298" s="59"/>
      <c r="C9298" s="137"/>
      <c r="D9298" s="59"/>
      <c r="E9298" s="116"/>
      <c r="F9298" s="120"/>
      <c r="G9298" s="120"/>
      <c r="H9298" s="120"/>
      <c r="I9298" s="60"/>
      <c r="J9298" s="116"/>
      <c r="K9298" s="213"/>
      <c r="L9298" s="120"/>
      <c r="M9298" s="120"/>
      <c r="N9298" s="167"/>
      <c r="O9298" s="120"/>
      <c r="P9298" s="120"/>
      <c r="Q9298" s="120"/>
      <c r="R9298" s="120"/>
      <c r="S9298" s="120"/>
      <c r="T9298" s="221"/>
      <c r="U9298" s="89"/>
      <c r="V9298" s="61"/>
      <c r="W9298" s="92" t="s">
        <v>142</v>
      </c>
      <c r="X9298" s="93" t="s">
        <v>29</v>
      </c>
      <c r="Y9298" s="93" t="s">
        <v>93</v>
      </c>
      <c r="Z9298" s="134">
        <f>VLOOKUP(W9298,Sheet2!$B:$D,3,FALSE)</f>
        <v>67.692307692307693</v>
      </c>
      <c r="AA9298" s="93">
        <v>4</v>
      </c>
      <c r="AB9298" s="93">
        <f>AD9298/AC9293</f>
        <v>16.923076923076923</v>
      </c>
      <c r="AC9298" s="93">
        <f>AC9293/AA9298</f>
        <v>5.1449999999999987</v>
      </c>
      <c r="AD9298" s="94">
        <f t="shared" si="6265"/>
        <v>348.27692307692297</v>
      </c>
      <c r="AE9298" s="190"/>
      <c r="AF9298" s="191"/>
      <c r="AG9298" s="191"/>
      <c r="AH9298" s="191"/>
      <c r="AI9298" s="186"/>
      <c r="AK9298" s="171"/>
    </row>
    <row r="9299" spans="1:37" s="102" customFormat="1" ht="19.899999999999999" customHeight="1" x14ac:dyDescent="0.25">
      <c r="A9299" s="45"/>
      <c r="B9299" s="59"/>
      <c r="C9299" s="137"/>
      <c r="D9299" s="59"/>
      <c r="E9299" s="116"/>
      <c r="F9299" s="120"/>
      <c r="G9299" s="120"/>
      <c r="H9299" s="120"/>
      <c r="I9299" s="60"/>
      <c r="J9299" s="116"/>
      <c r="K9299" s="213"/>
      <c r="L9299" s="120"/>
      <c r="M9299" s="120"/>
      <c r="N9299" s="167"/>
      <c r="O9299" s="120"/>
      <c r="P9299" s="120"/>
      <c r="Q9299" s="120"/>
      <c r="R9299" s="120"/>
      <c r="S9299" s="120"/>
      <c r="T9299" s="221"/>
      <c r="U9299" s="89"/>
      <c r="V9299" s="61"/>
      <c r="W9299" s="92" t="s">
        <v>65</v>
      </c>
      <c r="X9299" s="93" t="s">
        <v>30</v>
      </c>
      <c r="Y9299" s="93" t="s">
        <v>93</v>
      </c>
      <c r="Z9299" s="134">
        <f>VLOOKUP(W9299,Sheet2!$B:$D,3,FALSE)</f>
        <v>1.76</v>
      </c>
      <c r="AA9299" s="93">
        <f>AA9298/12</f>
        <v>0.33333333333333331</v>
      </c>
      <c r="AB9299" s="93">
        <f>AD9299/AC9293</f>
        <v>5.28</v>
      </c>
      <c r="AC9299" s="93">
        <f>AC9293/AA9299</f>
        <v>61.739999999999988</v>
      </c>
      <c r="AD9299" s="94">
        <f>AC9299*Z9299</f>
        <v>108.66239999999998</v>
      </c>
      <c r="AE9299" s="190"/>
      <c r="AF9299" s="191"/>
      <c r="AG9299" s="191"/>
      <c r="AH9299" s="191"/>
      <c r="AI9299" s="186"/>
      <c r="AK9299" s="171"/>
    </row>
    <row r="9300" spans="1:37" s="102" customFormat="1" ht="19.899999999999999" customHeight="1" x14ac:dyDescent="0.25">
      <c r="A9300" s="45"/>
      <c r="B9300" s="59"/>
      <c r="C9300" s="137"/>
      <c r="D9300" s="59"/>
      <c r="E9300" s="116"/>
      <c r="F9300" s="120"/>
      <c r="G9300" s="120"/>
      <c r="H9300" s="120"/>
      <c r="I9300" s="60"/>
      <c r="J9300" s="116"/>
      <c r="K9300" s="213"/>
      <c r="L9300" s="120"/>
      <c r="M9300" s="120"/>
      <c r="N9300" s="167"/>
      <c r="O9300" s="120"/>
      <c r="P9300" s="120"/>
      <c r="Q9300" s="120"/>
      <c r="R9300" s="120"/>
      <c r="S9300" s="120"/>
      <c r="T9300" s="221"/>
      <c r="U9300" s="89"/>
      <c r="V9300" s="61"/>
      <c r="W9300" s="92" t="s">
        <v>1357</v>
      </c>
      <c r="X9300" s="93" t="s">
        <v>30</v>
      </c>
      <c r="Y9300" s="93" t="s">
        <v>1349</v>
      </c>
      <c r="Z9300" s="134">
        <f>VLOOKUP(W9300,Sheet2!$B:$D,3,FALSE)</f>
        <v>150</v>
      </c>
      <c r="AA9300" s="93">
        <v>1</v>
      </c>
      <c r="AB9300" s="93">
        <f>AD9300/AC9293</f>
        <v>150</v>
      </c>
      <c r="AC9300" s="93">
        <f>AC9293/AA9300</f>
        <v>20.579999999999995</v>
      </c>
      <c r="AD9300" s="94">
        <f>AC9300*Z9300</f>
        <v>3086.9999999999991</v>
      </c>
      <c r="AE9300" s="190"/>
      <c r="AF9300" s="191"/>
      <c r="AG9300" s="191"/>
      <c r="AH9300" s="191"/>
      <c r="AI9300" s="186"/>
      <c r="AK9300" s="171"/>
    </row>
    <row r="9301" spans="1:37" s="102" customFormat="1" ht="19.899999999999999" customHeight="1" x14ac:dyDescent="0.25">
      <c r="A9301" s="45"/>
      <c r="B9301" s="59"/>
      <c r="C9301" s="137"/>
      <c r="D9301" s="59"/>
      <c r="E9301" s="116"/>
      <c r="F9301" s="120"/>
      <c r="G9301" s="120"/>
      <c r="H9301" s="120"/>
      <c r="I9301" s="60"/>
      <c r="J9301" s="116"/>
      <c r="K9301" s="213"/>
      <c r="L9301" s="120"/>
      <c r="M9301" s="120"/>
      <c r="N9301" s="167"/>
      <c r="O9301" s="120"/>
      <c r="P9301" s="120"/>
      <c r="Q9301" s="120"/>
      <c r="R9301" s="120"/>
      <c r="S9301" s="120"/>
      <c r="T9301" s="221"/>
      <c r="U9301" s="89"/>
      <c r="V9301" s="61"/>
      <c r="W9301" s="92" t="s">
        <v>107</v>
      </c>
      <c r="X9301" s="93" t="s">
        <v>31</v>
      </c>
      <c r="Y9301" s="93" t="s">
        <v>93</v>
      </c>
      <c r="Z9301" s="134">
        <f>VLOOKUP(W9301,Sheet2!$B:$D,3,FALSE)</f>
        <v>17</v>
      </c>
      <c r="AA9301" s="93">
        <f>1/5</f>
        <v>0.2</v>
      </c>
      <c r="AB9301" s="93">
        <f>AD9301/AC9293</f>
        <v>84.999999999999986</v>
      </c>
      <c r="AC9301" s="93">
        <f>AC9293/AA9301</f>
        <v>102.89999999999996</v>
      </c>
      <c r="AD9301" s="94">
        <f>AC9301*Z9301</f>
        <v>1749.2999999999993</v>
      </c>
      <c r="AE9301" s="190"/>
      <c r="AF9301" s="191"/>
      <c r="AG9301" s="191"/>
      <c r="AH9301" s="191"/>
      <c r="AI9301" s="186"/>
      <c r="AK9301" s="171"/>
    </row>
    <row r="9302" spans="1:37" s="102" customFormat="1" ht="19.899999999999999" customHeight="1" x14ac:dyDescent="0.25">
      <c r="A9302" s="45"/>
      <c r="B9302" s="59"/>
      <c r="C9302" s="137"/>
      <c r="D9302" s="59"/>
      <c r="E9302" s="116"/>
      <c r="F9302" s="120"/>
      <c r="G9302" s="120"/>
      <c r="H9302" s="120"/>
      <c r="I9302" s="60"/>
      <c r="J9302" s="116"/>
      <c r="K9302" s="213"/>
      <c r="L9302" s="120"/>
      <c r="M9302" s="120"/>
      <c r="N9302" s="167"/>
      <c r="O9302" s="120"/>
      <c r="P9302" s="120"/>
      <c r="Q9302" s="120"/>
      <c r="R9302" s="120"/>
      <c r="S9302" s="120"/>
      <c r="T9302" s="221"/>
      <c r="U9302" s="89"/>
      <c r="V9302" s="61"/>
      <c r="W9302" s="92" t="s">
        <v>112</v>
      </c>
      <c r="X9302" s="93" t="s">
        <v>31</v>
      </c>
      <c r="Y9302" s="93" t="s">
        <v>93</v>
      </c>
      <c r="Z9302" s="134">
        <f>VLOOKUP(W9302,Sheet2!$B:$D,3,FALSE)</f>
        <v>13</v>
      </c>
      <c r="AA9302" s="93">
        <f>AA9301</f>
        <v>0.2</v>
      </c>
      <c r="AB9302" s="93">
        <f>AD9302/AC9293</f>
        <v>65</v>
      </c>
      <c r="AC9302" s="93">
        <f>AC9293/AA9302</f>
        <v>102.89999999999996</v>
      </c>
      <c r="AD9302" s="94">
        <f>AC9302*Z9302</f>
        <v>1337.6999999999996</v>
      </c>
      <c r="AE9302" s="190"/>
      <c r="AF9302" s="191"/>
      <c r="AG9302" s="191"/>
      <c r="AH9302" s="191"/>
      <c r="AI9302" s="186"/>
      <c r="AK9302" s="171"/>
    </row>
    <row r="9303" spans="1:37" s="103" customFormat="1" ht="19.899999999999999" customHeight="1" x14ac:dyDescent="0.25">
      <c r="A9303" s="51"/>
      <c r="B9303" s="52"/>
      <c r="C9303" s="165"/>
      <c r="D9303" s="52"/>
      <c r="E9303" s="115"/>
      <c r="F9303" s="58"/>
      <c r="G9303" s="58"/>
      <c r="H9303" s="58"/>
      <c r="I9303" s="55"/>
      <c r="J9303" s="113">
        <f>J9287</f>
        <v>20.579999999999995</v>
      </c>
      <c r="K9303" s="212">
        <f>K9287</f>
        <v>20.579999999999995</v>
      </c>
      <c r="L9303" s="58"/>
      <c r="M9303" s="58">
        <f>K9303-L9303</f>
        <v>20.579999999999995</v>
      </c>
      <c r="N9303" s="166"/>
      <c r="O9303" s="58"/>
      <c r="P9303" s="58"/>
      <c r="Q9303" s="58"/>
      <c r="R9303" s="58"/>
      <c r="S9303" s="58"/>
      <c r="T9303" s="220"/>
      <c r="U9303" s="88"/>
      <c r="V9303" s="56"/>
      <c r="W9303" s="57" t="s">
        <v>1358</v>
      </c>
      <c r="X9303" s="53"/>
      <c r="Y9303" s="91" t="s">
        <v>35</v>
      </c>
      <c r="Z9303" s="136">
        <f>AD9303/AC9303</f>
        <v>840.00000000000011</v>
      </c>
      <c r="AA9303" s="58"/>
      <c r="AB9303" s="53">
        <f>AD9303/AC9303</f>
        <v>840.00000000000011</v>
      </c>
      <c r="AC9303" s="53">
        <f>M9303+$AE$10</f>
        <v>20.579999999999995</v>
      </c>
      <c r="AD9303" s="54">
        <f>SUM(AD9304:AD9305)</f>
        <v>17287.199999999997</v>
      </c>
      <c r="AE9303" s="184">
        <f>SUMIFS($AD$37:$AD$12971,$V$37:$V$12971,$V9303,$X$37:$X$12971,AE$13)</f>
        <v>0</v>
      </c>
      <c r="AF9303" s="185">
        <f>SUMIFS($AD$37:$AD$12971,$V$37:$V$12971,$V9303,$X$37:$X$12971,AF$13)</f>
        <v>0</v>
      </c>
      <c r="AG9303" s="185">
        <f>SUMIFS($AD$37:$AD$12971,$V$37:$V$12971,$V9303,$X$37:$X$12971,AG$13)</f>
        <v>0</v>
      </c>
      <c r="AH9303" s="187">
        <f>SUMIFS($AD$37:$AD$12971,$V$37:$V$12971,$V9303,$X$37:$X$12971,AH$13)</f>
        <v>0</v>
      </c>
      <c r="AI9303" s="161">
        <f t="shared" ref="AI9303" si="6266">SUM(AE9303:AH9303)</f>
        <v>0</v>
      </c>
      <c r="AK9303" s="172"/>
    </row>
    <row r="9304" spans="1:37" s="102" customFormat="1" ht="19.899999999999999" customHeight="1" x14ac:dyDescent="0.25">
      <c r="A9304" s="45"/>
      <c r="B9304" s="59"/>
      <c r="C9304" s="137"/>
      <c r="D9304" s="59"/>
      <c r="E9304" s="116"/>
      <c r="F9304" s="120"/>
      <c r="G9304" s="120"/>
      <c r="H9304" s="120"/>
      <c r="I9304" s="60"/>
      <c r="J9304" s="116"/>
      <c r="K9304" s="213"/>
      <c r="L9304" s="120"/>
      <c r="M9304" s="120"/>
      <c r="N9304" s="167"/>
      <c r="O9304" s="120"/>
      <c r="P9304" s="120"/>
      <c r="Q9304" s="120"/>
      <c r="R9304" s="120"/>
      <c r="S9304" s="120"/>
      <c r="T9304" s="221"/>
      <c r="U9304" s="89"/>
      <c r="V9304" s="61"/>
      <c r="W9304" s="92" t="s">
        <v>1359</v>
      </c>
      <c r="X9304" s="93" t="s">
        <v>32</v>
      </c>
      <c r="Y9304" s="93" t="s">
        <v>64</v>
      </c>
      <c r="Z9304" s="134">
        <f>VLOOKUP(W9304,Sheet2!$B:$D,3,FALSE)</f>
        <v>40</v>
      </c>
      <c r="AA9304" s="93">
        <f>1/(1*3*4)</f>
        <v>8.3333333333333329E-2</v>
      </c>
      <c r="AB9304" s="93">
        <f t="shared" ref="AB9304" si="6267">AD9304/AC9303</f>
        <v>480</v>
      </c>
      <c r="AC9304" s="93">
        <f>AC9303/AA9304</f>
        <v>246.95999999999995</v>
      </c>
      <c r="AD9304" s="94">
        <f t="shared" ref="AD9304:AD9305" si="6268">AC9304*Z9304</f>
        <v>9878.3999999999978</v>
      </c>
      <c r="AE9304" s="190"/>
      <c r="AF9304" s="191"/>
      <c r="AG9304" s="191"/>
      <c r="AH9304" s="191"/>
      <c r="AI9304" s="186"/>
      <c r="AK9304" s="171"/>
    </row>
    <row r="9305" spans="1:37" s="102" customFormat="1" ht="19.899999999999999" customHeight="1" x14ac:dyDescent="0.25">
      <c r="A9305" s="45"/>
      <c r="B9305" s="59"/>
      <c r="C9305" s="137"/>
      <c r="D9305" s="59"/>
      <c r="E9305" s="116"/>
      <c r="F9305" s="120"/>
      <c r="G9305" s="120"/>
      <c r="H9305" s="120"/>
      <c r="I9305" s="60"/>
      <c r="J9305" s="116"/>
      <c r="K9305" s="213"/>
      <c r="L9305" s="120"/>
      <c r="M9305" s="120"/>
      <c r="N9305" s="167"/>
      <c r="O9305" s="120"/>
      <c r="P9305" s="120"/>
      <c r="Q9305" s="120"/>
      <c r="R9305" s="120"/>
      <c r="S9305" s="120"/>
      <c r="T9305" s="221"/>
      <c r="U9305" s="89"/>
      <c r="V9305" s="61"/>
      <c r="W9305" s="92" t="s">
        <v>1360</v>
      </c>
      <c r="X9305" s="93" t="s">
        <v>32</v>
      </c>
      <c r="Y9305" s="93" t="s">
        <v>64</v>
      </c>
      <c r="Z9305" s="134">
        <f>VLOOKUP(W9305,Sheet2!$B:$D,3,FALSE)</f>
        <v>30</v>
      </c>
      <c r="AA9305" s="93">
        <f>AA9304</f>
        <v>8.3333333333333329E-2</v>
      </c>
      <c r="AB9305" s="93">
        <f>AD9305/AC9303</f>
        <v>360</v>
      </c>
      <c r="AC9305" s="93">
        <f>AC9303/AA9305</f>
        <v>246.95999999999995</v>
      </c>
      <c r="AD9305" s="94">
        <f t="shared" si="6268"/>
        <v>7408.7999999999984</v>
      </c>
      <c r="AE9305" s="190"/>
      <c r="AF9305" s="191"/>
      <c r="AG9305" s="191"/>
      <c r="AH9305" s="191"/>
      <c r="AI9305" s="186"/>
      <c r="AK9305" s="171"/>
    </row>
    <row r="9306" spans="1:37" s="103" customFormat="1" ht="19.899999999999999" customHeight="1" x14ac:dyDescent="0.25">
      <c r="A9306" s="51"/>
      <c r="B9306" s="52"/>
      <c r="C9306" s="165"/>
      <c r="D9306" s="52"/>
      <c r="E9306" s="115"/>
      <c r="F9306" s="58"/>
      <c r="G9306" s="58"/>
      <c r="H9306" s="58"/>
      <c r="I9306" s="55"/>
      <c r="J9306" s="113">
        <f>J9287</f>
        <v>20.579999999999995</v>
      </c>
      <c r="K9306" s="212">
        <f>K9287</f>
        <v>20.579999999999995</v>
      </c>
      <c r="L9306" s="58"/>
      <c r="M9306" s="58">
        <f>K9306-L9306</f>
        <v>20.579999999999995</v>
      </c>
      <c r="N9306" s="166"/>
      <c r="O9306" s="58"/>
      <c r="P9306" s="58"/>
      <c r="Q9306" s="58"/>
      <c r="R9306" s="58"/>
      <c r="S9306" s="58"/>
      <c r="T9306" s="220"/>
      <c r="U9306" s="88"/>
      <c r="V9306" s="56"/>
      <c r="W9306" s="57" t="s">
        <v>1272</v>
      </c>
      <c r="X9306" s="53"/>
      <c r="Y9306" s="91" t="s">
        <v>35</v>
      </c>
      <c r="Z9306" s="136">
        <f>AD9306/AC9306</f>
        <v>246.73012549019609</v>
      </c>
      <c r="AA9306" s="58"/>
      <c r="AB9306" s="53">
        <f>AD9306/AC9306</f>
        <v>246.73012549019609</v>
      </c>
      <c r="AC9306" s="53">
        <f>M9306+$AE$10</f>
        <v>20.579999999999995</v>
      </c>
      <c r="AD9306" s="54">
        <f>SUM(AD9307:AD9315)</f>
        <v>5077.7059825882343</v>
      </c>
      <c r="AE9306" s="184">
        <f>SUMIFS($AD$37:$AD$12971,$V$37:$V$12971,$V9306,$X$37:$X$12971,AE$13)</f>
        <v>0</v>
      </c>
      <c r="AF9306" s="185">
        <f>SUMIFS($AD$37:$AD$12971,$V$37:$V$12971,$V9306,$X$37:$X$12971,AF$13)</f>
        <v>0</v>
      </c>
      <c r="AG9306" s="185">
        <f>SUMIFS($AD$37:$AD$12971,$V$37:$V$12971,$V9306,$X$37:$X$12971,AG$13)</f>
        <v>0</v>
      </c>
      <c r="AH9306" s="187">
        <f>SUMIFS($AD$37:$AD$12971,$V$37:$V$12971,$V9306,$X$37:$X$12971,AH$13)</f>
        <v>0</v>
      </c>
      <c r="AI9306" s="161">
        <f t="shared" ref="AI9306" si="6269">SUM(AE9306:AH9306)</f>
        <v>0</v>
      </c>
      <c r="AK9306" s="172"/>
    </row>
    <row r="9307" spans="1:37" s="102" customFormat="1" ht="19.899999999999999" customHeight="1" x14ac:dyDescent="0.25">
      <c r="A9307" s="45"/>
      <c r="B9307" s="59"/>
      <c r="C9307" s="137"/>
      <c r="D9307" s="59"/>
      <c r="E9307" s="116"/>
      <c r="F9307" s="120"/>
      <c r="G9307" s="120"/>
      <c r="H9307" s="120"/>
      <c r="I9307" s="60"/>
      <c r="J9307" s="116"/>
      <c r="K9307" s="213"/>
      <c r="L9307" s="120"/>
      <c r="M9307" s="120"/>
      <c r="N9307" s="167"/>
      <c r="O9307" s="120"/>
      <c r="P9307" s="120"/>
      <c r="Q9307" s="120"/>
      <c r="R9307" s="120"/>
      <c r="S9307" s="120"/>
      <c r="T9307" s="221"/>
      <c r="U9307" s="89"/>
      <c r="V9307" s="61"/>
      <c r="W9307" s="92" t="s">
        <v>1273</v>
      </c>
      <c r="X9307" s="93" t="s">
        <v>30</v>
      </c>
      <c r="Y9307" s="93" t="s">
        <v>66</v>
      </c>
      <c r="Z9307" s="134">
        <f>VLOOKUP(W9307,Sheet2!$B:$D,3,FALSE)</f>
        <v>10</v>
      </c>
      <c r="AA9307" s="93">
        <f>1/((2.5*2.5*3)-(1*1*3))</f>
        <v>6.3492063492063489E-2</v>
      </c>
      <c r="AB9307" s="93">
        <f>AD9307/AC9306</f>
        <v>157.5</v>
      </c>
      <c r="AC9307" s="93">
        <f>AC9306/AA9307</f>
        <v>324.13499999999993</v>
      </c>
      <c r="AD9307" s="94">
        <f t="shared" ref="AD9307:AD9309" si="6270">AC9307*Z9307</f>
        <v>3241.3499999999995</v>
      </c>
      <c r="AE9307" s="190"/>
      <c r="AF9307" s="191"/>
      <c r="AG9307" s="191"/>
      <c r="AH9307" s="191"/>
      <c r="AI9307" s="186"/>
      <c r="AK9307" s="171"/>
    </row>
    <row r="9308" spans="1:37" s="102" customFormat="1" ht="19.899999999999999" customHeight="1" x14ac:dyDescent="0.25">
      <c r="A9308" s="45"/>
      <c r="B9308" s="59"/>
      <c r="C9308" s="137"/>
      <c r="D9308" s="59"/>
      <c r="E9308" s="116"/>
      <c r="F9308" s="120"/>
      <c r="G9308" s="120"/>
      <c r="H9308" s="120"/>
      <c r="I9308" s="60"/>
      <c r="J9308" s="116"/>
      <c r="K9308" s="213"/>
      <c r="L9308" s="120"/>
      <c r="M9308" s="120"/>
      <c r="N9308" s="167"/>
      <c r="O9308" s="120"/>
      <c r="P9308" s="120"/>
      <c r="Q9308" s="120"/>
      <c r="R9308" s="120"/>
      <c r="S9308" s="120"/>
      <c r="T9308" s="221"/>
      <c r="U9308" s="89"/>
      <c r="V9308" s="61"/>
      <c r="W9308" s="92" t="s">
        <v>134</v>
      </c>
      <c r="X9308" s="93" t="s">
        <v>29</v>
      </c>
      <c r="Y9308" s="93" t="s">
        <v>93</v>
      </c>
      <c r="Z9308" s="134">
        <f>VLOOKUP(W9308,Sheet2!$B:$D,3,FALSE)</f>
        <v>65.599999999999994</v>
      </c>
      <c r="AA9308" s="93">
        <f>100/((2.5*2.5*3)-(1*1*3))</f>
        <v>6.3492063492063489</v>
      </c>
      <c r="AB9308" s="93">
        <f t="shared" ref="AB9308" si="6271">AD9308/AC9306</f>
        <v>10.331999999999999</v>
      </c>
      <c r="AC9308" s="93">
        <f>AC9306/AA9308</f>
        <v>3.2413499999999993</v>
      </c>
      <c r="AD9308" s="94">
        <f t="shared" si="6270"/>
        <v>212.63255999999993</v>
      </c>
      <c r="AE9308" s="190"/>
      <c r="AF9308" s="191"/>
      <c r="AG9308" s="191"/>
      <c r="AH9308" s="191"/>
      <c r="AI9308" s="186"/>
      <c r="AK9308" s="171"/>
    </row>
    <row r="9309" spans="1:37" s="102" customFormat="1" ht="19.899999999999999" customHeight="1" x14ac:dyDescent="0.25">
      <c r="A9309" s="45"/>
      <c r="B9309" s="59"/>
      <c r="C9309" s="137"/>
      <c r="D9309" s="59"/>
      <c r="E9309" s="116"/>
      <c r="F9309" s="120"/>
      <c r="G9309" s="120"/>
      <c r="H9309" s="120"/>
      <c r="I9309" s="60"/>
      <c r="J9309" s="116"/>
      <c r="K9309" s="213"/>
      <c r="L9309" s="120"/>
      <c r="M9309" s="120"/>
      <c r="N9309" s="167"/>
      <c r="O9309" s="120"/>
      <c r="P9309" s="120"/>
      <c r="Q9309" s="120"/>
      <c r="R9309" s="120"/>
      <c r="S9309" s="120"/>
      <c r="T9309" s="221"/>
      <c r="U9309" s="89"/>
      <c r="V9309" s="61"/>
      <c r="W9309" s="92" t="s">
        <v>65</v>
      </c>
      <c r="X9309" s="93" t="s">
        <v>30</v>
      </c>
      <c r="Y9309" s="93" t="s">
        <v>1011</v>
      </c>
      <c r="Z9309" s="134">
        <f>VLOOKUP(W9309,Sheet2!$B:$D,3,FALSE)</f>
        <v>1.76</v>
      </c>
      <c r="AA9309" s="93">
        <f>AA9308/9</f>
        <v>0.70546737213403876</v>
      </c>
      <c r="AB9309" s="93">
        <f>AD9309/AC9306</f>
        <v>2.4948000000000006</v>
      </c>
      <c r="AC9309" s="93">
        <f>AC9306/AA9309</f>
        <v>29.172149999999995</v>
      </c>
      <c r="AD9309" s="94">
        <f t="shared" si="6270"/>
        <v>51.342983999999994</v>
      </c>
      <c r="AE9309" s="190"/>
      <c r="AF9309" s="191"/>
      <c r="AG9309" s="191"/>
      <c r="AH9309" s="191"/>
      <c r="AI9309" s="186"/>
      <c r="AK9309" s="171"/>
    </row>
    <row r="9310" spans="1:37" s="102" customFormat="1" ht="19.899999999999999" customHeight="1" x14ac:dyDescent="0.25">
      <c r="A9310" s="45"/>
      <c r="B9310" s="59"/>
      <c r="C9310" s="137"/>
      <c r="D9310" s="59"/>
      <c r="E9310" s="116"/>
      <c r="F9310" s="120"/>
      <c r="G9310" s="120"/>
      <c r="H9310" s="120"/>
      <c r="I9310" s="60"/>
      <c r="J9310" s="116"/>
      <c r="K9310" s="213"/>
      <c r="L9310" s="120"/>
      <c r="M9310" s="120"/>
      <c r="N9310" s="167"/>
      <c r="O9310" s="120"/>
      <c r="P9310" s="120"/>
      <c r="Q9310" s="120"/>
      <c r="R9310" s="120"/>
      <c r="S9310" s="120"/>
      <c r="T9310" s="221"/>
      <c r="U9310" s="89"/>
      <c r="V9310" s="61"/>
      <c r="W9310" s="92" t="s">
        <v>161</v>
      </c>
      <c r="X9310" s="93" t="s">
        <v>29</v>
      </c>
      <c r="Y9310" s="93" t="s">
        <v>93</v>
      </c>
      <c r="Z9310" s="134">
        <f>VLOOKUP(W9310,Sheet2!$B:$D,3,FALSE)</f>
        <v>48</v>
      </c>
      <c r="AA9310" s="93">
        <f>(16*0.85*1.5)/((2.5*2.5*3)-(1*1*3))</f>
        <v>1.2952380952380951</v>
      </c>
      <c r="AB9310" s="93">
        <f>AD9310/AC9306</f>
        <v>37.058823529411768</v>
      </c>
      <c r="AC9310" s="93">
        <f>AC9306/AA9310</f>
        <v>15.888970588235292</v>
      </c>
      <c r="AD9310" s="94">
        <f>AC9310*Z9310</f>
        <v>762.67058823529396</v>
      </c>
      <c r="AE9310" s="190"/>
      <c r="AF9310" s="191"/>
      <c r="AG9310" s="191"/>
      <c r="AH9310" s="191"/>
      <c r="AI9310" s="186"/>
      <c r="AK9310" s="171"/>
    </row>
    <row r="9311" spans="1:37" s="102" customFormat="1" ht="19.899999999999999" customHeight="1" x14ac:dyDescent="0.25">
      <c r="A9311" s="45"/>
      <c r="B9311" s="59"/>
      <c r="C9311" s="137"/>
      <c r="D9311" s="59"/>
      <c r="E9311" s="116"/>
      <c r="F9311" s="120"/>
      <c r="G9311" s="120"/>
      <c r="H9311" s="120"/>
      <c r="I9311" s="60"/>
      <c r="J9311" s="116"/>
      <c r="K9311" s="213"/>
      <c r="L9311" s="120"/>
      <c r="M9311" s="120"/>
      <c r="N9311" s="167"/>
      <c r="O9311" s="120"/>
      <c r="P9311" s="120"/>
      <c r="Q9311" s="120"/>
      <c r="R9311" s="120"/>
      <c r="S9311" s="120"/>
      <c r="T9311" s="221"/>
      <c r="U9311" s="89"/>
      <c r="V9311" s="61"/>
      <c r="W9311" s="92" t="s">
        <v>65</v>
      </c>
      <c r="X9311" s="93" t="s">
        <v>30</v>
      </c>
      <c r="Y9311" s="93" t="s">
        <v>1011</v>
      </c>
      <c r="Z9311" s="134">
        <f>VLOOKUP(W9311,Sheet2!$B:$D,3,FALSE)</f>
        <v>1.76</v>
      </c>
      <c r="AA9311" s="93">
        <f>AA9310/10</f>
        <v>0.12952380952380951</v>
      </c>
      <c r="AB9311" s="93">
        <f>AD9311/AC9306</f>
        <v>13.588235294117647</v>
      </c>
      <c r="AC9311" s="93">
        <f>AC9306/AA9311</f>
        <v>158.8897058823529</v>
      </c>
      <c r="AD9311" s="94">
        <f>AC9311*Z9311</f>
        <v>279.6458823529411</v>
      </c>
      <c r="AE9311" s="190"/>
      <c r="AF9311" s="191"/>
      <c r="AG9311" s="191"/>
      <c r="AH9311" s="191"/>
      <c r="AI9311" s="186"/>
      <c r="AK9311" s="171"/>
    </row>
    <row r="9312" spans="1:37" s="102" customFormat="1" ht="19.899999999999999" customHeight="1" x14ac:dyDescent="0.25">
      <c r="A9312" s="45"/>
      <c r="B9312" s="59"/>
      <c r="C9312" s="137"/>
      <c r="D9312" s="59"/>
      <c r="E9312" s="116"/>
      <c r="F9312" s="120"/>
      <c r="G9312" s="120"/>
      <c r="H9312" s="120"/>
      <c r="I9312" s="60"/>
      <c r="J9312" s="116"/>
      <c r="K9312" s="213"/>
      <c r="L9312" s="120"/>
      <c r="M9312" s="120"/>
      <c r="N9312" s="167"/>
      <c r="O9312" s="120"/>
      <c r="P9312" s="120"/>
      <c r="Q9312" s="120"/>
      <c r="R9312" s="120"/>
      <c r="S9312" s="120"/>
      <c r="T9312" s="221"/>
      <c r="U9312" s="89"/>
      <c r="V9312" s="61"/>
      <c r="W9312" s="92" t="s">
        <v>173</v>
      </c>
      <c r="X9312" s="93" t="s">
        <v>29</v>
      </c>
      <c r="Y9312" s="93" t="s">
        <v>93</v>
      </c>
      <c r="Z9312" s="134">
        <f>VLOOKUP(W9312,Sheet2!$B:$D,3,FALSE)</f>
        <v>36</v>
      </c>
      <c r="AA9312" s="93">
        <f>50/((2.5*2.5*3)-(1*1*3))</f>
        <v>3.1746031746031744</v>
      </c>
      <c r="AB9312" s="93">
        <f>AD9312/AC9306</f>
        <v>11.340000000000002</v>
      </c>
      <c r="AC9312" s="93">
        <f>AC9306/AA9312</f>
        <v>6.4826999999999986</v>
      </c>
      <c r="AD9312" s="94">
        <f>AC9312*Z9312</f>
        <v>233.37719999999996</v>
      </c>
      <c r="AE9312" s="190"/>
      <c r="AF9312" s="191"/>
      <c r="AG9312" s="191"/>
      <c r="AH9312" s="191"/>
      <c r="AI9312" s="186"/>
      <c r="AK9312" s="171"/>
    </row>
    <row r="9313" spans="1:41" s="102" customFormat="1" ht="19.899999999999999" customHeight="1" x14ac:dyDescent="0.25">
      <c r="A9313" s="45"/>
      <c r="B9313" s="59"/>
      <c r="C9313" s="137"/>
      <c r="D9313" s="59"/>
      <c r="E9313" s="116"/>
      <c r="F9313" s="120"/>
      <c r="G9313" s="120"/>
      <c r="H9313" s="120"/>
      <c r="I9313" s="60"/>
      <c r="J9313" s="116"/>
      <c r="K9313" s="213"/>
      <c r="L9313" s="120"/>
      <c r="M9313" s="120"/>
      <c r="N9313" s="167"/>
      <c r="O9313" s="120"/>
      <c r="P9313" s="120"/>
      <c r="Q9313" s="120"/>
      <c r="R9313" s="120"/>
      <c r="S9313" s="120"/>
      <c r="T9313" s="221"/>
      <c r="U9313" s="89"/>
      <c r="V9313" s="61"/>
      <c r="W9313" s="92" t="s">
        <v>65</v>
      </c>
      <c r="X9313" s="93" t="s">
        <v>30</v>
      </c>
      <c r="Y9313" s="93" t="s">
        <v>1011</v>
      </c>
      <c r="Z9313" s="134">
        <f>VLOOKUP(W9313,Sheet2!$B:$D,3,FALSE)</f>
        <v>1.76</v>
      </c>
      <c r="AA9313" s="93">
        <f>AA9312/9</f>
        <v>0.35273368606701938</v>
      </c>
      <c r="AB9313" s="93">
        <f>AD9313/AC9306</f>
        <v>4.9896000000000011</v>
      </c>
      <c r="AC9313" s="93">
        <f>AC9306/AA9313</f>
        <v>58.34429999999999</v>
      </c>
      <c r="AD9313" s="94">
        <f>AC9313*Z9313</f>
        <v>102.68596799999999</v>
      </c>
      <c r="AE9313" s="190"/>
      <c r="AF9313" s="191"/>
      <c r="AG9313" s="191"/>
      <c r="AH9313" s="191"/>
      <c r="AI9313" s="186"/>
      <c r="AK9313" s="171"/>
    </row>
    <row r="9314" spans="1:41" s="102" customFormat="1" ht="19.899999999999999" customHeight="1" x14ac:dyDescent="0.25">
      <c r="A9314" s="45"/>
      <c r="B9314" s="59"/>
      <c r="C9314" s="137"/>
      <c r="D9314" s="59"/>
      <c r="E9314" s="116"/>
      <c r="F9314" s="120"/>
      <c r="G9314" s="120"/>
      <c r="H9314" s="120"/>
      <c r="I9314" s="60"/>
      <c r="J9314" s="116"/>
      <c r="K9314" s="213"/>
      <c r="L9314" s="120"/>
      <c r="M9314" s="120"/>
      <c r="N9314" s="167"/>
      <c r="O9314" s="120"/>
      <c r="P9314" s="120"/>
      <c r="Q9314" s="120"/>
      <c r="R9314" s="120"/>
      <c r="S9314" s="120"/>
      <c r="T9314" s="221"/>
      <c r="U9314" s="89"/>
      <c r="V9314" s="61"/>
      <c r="W9314" s="92" t="s">
        <v>1030</v>
      </c>
      <c r="X9314" s="93" t="s">
        <v>29</v>
      </c>
      <c r="Y9314" s="93" t="s">
        <v>93</v>
      </c>
      <c r="Z9314" s="134">
        <f>VLOOKUP(W9314,Sheet2!$B:$D,3,FALSE)</f>
        <v>23</v>
      </c>
      <c r="AA9314" s="93">
        <v>3</v>
      </c>
      <c r="AB9314" s="93">
        <f>AD9314/AC9306</f>
        <v>7.666666666666667</v>
      </c>
      <c r="AC9314" s="93">
        <f>AC9306/AA9314</f>
        <v>6.8599999999999985</v>
      </c>
      <c r="AD9314" s="94">
        <f t="shared" ref="AD9314:AD9315" si="6272">AC9314*Z9314</f>
        <v>157.77999999999997</v>
      </c>
      <c r="AE9314" s="190"/>
      <c r="AF9314" s="191"/>
      <c r="AG9314" s="191"/>
      <c r="AH9314" s="191"/>
      <c r="AI9314" s="186"/>
      <c r="AK9314" s="171"/>
    </row>
    <row r="9315" spans="1:41" s="102" customFormat="1" ht="19.899999999999999" customHeight="1" x14ac:dyDescent="0.25">
      <c r="A9315" s="45"/>
      <c r="B9315" s="59"/>
      <c r="C9315" s="137"/>
      <c r="D9315" s="59"/>
      <c r="E9315" s="116"/>
      <c r="F9315" s="120"/>
      <c r="G9315" s="120"/>
      <c r="H9315" s="120"/>
      <c r="I9315" s="60"/>
      <c r="J9315" s="116"/>
      <c r="K9315" s="213"/>
      <c r="L9315" s="120"/>
      <c r="M9315" s="120"/>
      <c r="N9315" s="167"/>
      <c r="O9315" s="120"/>
      <c r="P9315" s="120"/>
      <c r="Q9315" s="120"/>
      <c r="R9315" s="120"/>
      <c r="S9315" s="120"/>
      <c r="T9315" s="221"/>
      <c r="U9315" s="89"/>
      <c r="V9315" s="61"/>
      <c r="W9315" s="92" t="s">
        <v>65</v>
      </c>
      <c r="X9315" s="93" t="s">
        <v>30</v>
      </c>
      <c r="Y9315" s="93" t="s">
        <v>1011</v>
      </c>
      <c r="Z9315" s="134">
        <f>VLOOKUP(W9315,Sheet2!$B:$D,3,FALSE)</f>
        <v>1.76</v>
      </c>
      <c r="AA9315" s="93">
        <f>AA9314/3</f>
        <v>1</v>
      </c>
      <c r="AB9315" s="93">
        <f>AD9315/AC9306</f>
        <v>1.76</v>
      </c>
      <c r="AC9315" s="93">
        <f>AC9306/AA9315</f>
        <v>20.579999999999995</v>
      </c>
      <c r="AD9315" s="94">
        <f t="shared" si="6272"/>
        <v>36.22079999999999</v>
      </c>
      <c r="AE9315" s="190"/>
      <c r="AF9315" s="191"/>
      <c r="AG9315" s="191"/>
      <c r="AH9315" s="191"/>
      <c r="AI9315" s="186"/>
      <c r="AK9315" s="171"/>
    </row>
    <row r="9316" spans="1:41" ht="20.100000000000001" customHeight="1" x14ac:dyDescent="0.25">
      <c r="A9316" s="277" t="s">
        <v>703</v>
      </c>
      <c r="B9316" s="278"/>
      <c r="C9316" s="64" t="s">
        <v>816</v>
      </c>
      <c r="D9316" s="46" t="s">
        <v>215</v>
      </c>
      <c r="E9316" s="114">
        <v>6.8099999999999987</v>
      </c>
      <c r="F9316" s="44">
        <v>11249</v>
      </c>
      <c r="G9316" s="44">
        <f t="shared" si="5545"/>
        <v>76605.689999999988</v>
      </c>
      <c r="H9316" s="44">
        <f t="shared" si="5546"/>
        <v>5566.1802494720969</v>
      </c>
      <c r="I9316" s="43">
        <f t="shared" si="5547"/>
        <v>37905.687498904976</v>
      </c>
      <c r="J9316" s="112">
        <f t="shared" si="5548"/>
        <v>6.8099999999999987</v>
      </c>
      <c r="K9316" s="211">
        <f t="shared" si="5549"/>
        <v>6.8099999999999987</v>
      </c>
      <c r="L9316" s="44"/>
      <c r="M9316" s="44">
        <f t="shared" si="5550"/>
        <v>6.8099999999999987</v>
      </c>
      <c r="N9316" s="173">
        <f t="shared" si="5551"/>
        <v>1</v>
      </c>
      <c r="O9316" s="44">
        <f t="shared" si="5552"/>
        <v>11249</v>
      </c>
      <c r="P9316" s="44">
        <f t="shared" si="5553"/>
        <v>76605.689999999988</v>
      </c>
      <c r="Q9316" s="44">
        <f t="shared" si="5554"/>
        <v>5566.1802494720969</v>
      </c>
      <c r="R9316" s="44">
        <f t="shared" si="5555"/>
        <v>37905.687498904976</v>
      </c>
      <c r="S9316" s="123"/>
      <c r="T9316" s="219">
        <f t="shared" si="5556"/>
        <v>37905.687498904976</v>
      </c>
      <c r="U9316" s="87"/>
      <c r="V9316" s="47"/>
      <c r="W9316" s="48"/>
      <c r="X9316" s="48"/>
      <c r="Y9316" s="48"/>
      <c r="Z9316" s="135"/>
      <c r="AA9316" s="49"/>
      <c r="AB9316" s="50">
        <f t="shared" si="5557"/>
        <v>5566.1802494720969</v>
      </c>
      <c r="AC9316" s="42">
        <f t="shared" si="5558"/>
        <v>6.8099999999999987</v>
      </c>
      <c r="AD9316" s="90">
        <f>AD9317+AD9322+AD9332+AD9335</f>
        <v>37905.687498904976</v>
      </c>
      <c r="AE9316" s="188">
        <f t="shared" ref="AE9316" si="6273">AE9317+AE9322+AE9332+AE9335</f>
        <v>0</v>
      </c>
      <c r="AF9316" s="189">
        <f t="shared" ref="AF9316" si="6274">AF9317+AF9322+AF9332+AF9335</f>
        <v>0</v>
      </c>
      <c r="AG9316" s="189">
        <f t="shared" ref="AG9316" si="6275">AG9317+AG9322+AG9332+AG9335</f>
        <v>0</v>
      </c>
      <c r="AH9316" s="189">
        <f t="shared" ref="AH9316" si="6276">AH9317+AH9322+AH9332+AH9335</f>
        <v>0</v>
      </c>
      <c r="AI9316" s="161">
        <f t="shared" ref="AI9316" si="6277">SUM(AE9316:AH9316)</f>
        <v>0</v>
      </c>
      <c r="AK9316" s="169">
        <v>5</v>
      </c>
      <c r="AO9316" s="19" t="s">
        <v>63</v>
      </c>
    </row>
    <row r="9317" spans="1:41" s="103" customFormat="1" ht="19.899999999999999" customHeight="1" x14ac:dyDescent="0.25">
      <c r="A9317" s="51"/>
      <c r="B9317" s="52"/>
      <c r="C9317" s="165"/>
      <c r="D9317" s="52"/>
      <c r="E9317" s="115"/>
      <c r="F9317" s="58"/>
      <c r="G9317" s="58"/>
      <c r="H9317" s="58"/>
      <c r="I9317" s="55"/>
      <c r="J9317" s="113">
        <f>J9316</f>
        <v>6.8099999999999987</v>
      </c>
      <c r="K9317" s="212">
        <f>K9316</f>
        <v>6.8099999999999987</v>
      </c>
      <c r="L9317" s="58"/>
      <c r="M9317" s="58">
        <f>K9317-L9317</f>
        <v>6.8099999999999987</v>
      </c>
      <c r="N9317" s="166"/>
      <c r="O9317" s="58"/>
      <c r="P9317" s="58"/>
      <c r="Q9317" s="58"/>
      <c r="R9317" s="58"/>
      <c r="S9317" s="58"/>
      <c r="T9317" s="220"/>
      <c r="U9317" s="88"/>
      <c r="V9317" s="56"/>
      <c r="W9317" s="57" t="s">
        <v>1506</v>
      </c>
      <c r="X9317" s="53"/>
      <c r="Y9317" s="91" t="s">
        <v>35</v>
      </c>
      <c r="Z9317" s="136">
        <f>AD9317/AC9317</f>
        <v>87.983137254901962</v>
      </c>
      <c r="AA9317" s="58"/>
      <c r="AB9317" s="53">
        <f>AD9317/AC9317</f>
        <v>87.983137254901962</v>
      </c>
      <c r="AC9317" s="53">
        <f>M9317+$AE$10</f>
        <v>6.8099999999999987</v>
      </c>
      <c r="AD9317" s="54">
        <f>SUM(AD9318:AD9321)</f>
        <v>599.16516470588226</v>
      </c>
      <c r="AE9317" s="184">
        <f>SUMIFS($AD$37:$AD$12971,$V$37:$V$12971,$V9317,$X$37:$X$12971,AE$13)</f>
        <v>0</v>
      </c>
      <c r="AF9317" s="185">
        <f>SUMIFS($AD$37:$AD$12971,$V$37:$V$12971,$V9317,$X$37:$X$12971,AF$13)</f>
        <v>0</v>
      </c>
      <c r="AG9317" s="185">
        <f>SUMIFS($AD$37:$AD$12971,$V$37:$V$12971,$V9317,$X$37:$X$12971,AG$13)</f>
        <v>0</v>
      </c>
      <c r="AH9317" s="187">
        <f>SUMIFS($AD$37:$AD$12971,$V$37:$V$12971,$V9317,$X$37:$X$12971,AH$13)</f>
        <v>0</v>
      </c>
      <c r="AI9317" s="161">
        <f t="shared" ref="AI9317" si="6278">SUM(AE9317:AH9317)</f>
        <v>0</v>
      </c>
      <c r="AK9317" s="172"/>
    </row>
    <row r="9318" spans="1:41" s="102" customFormat="1" ht="19.899999999999999" customHeight="1" x14ac:dyDescent="0.25">
      <c r="A9318" s="45"/>
      <c r="B9318" s="59"/>
      <c r="C9318" s="137"/>
      <c r="D9318" s="59"/>
      <c r="E9318" s="116"/>
      <c r="F9318" s="120"/>
      <c r="G9318" s="120"/>
      <c r="H9318" s="120"/>
      <c r="I9318" s="60"/>
      <c r="J9318" s="116"/>
      <c r="K9318" s="213"/>
      <c r="L9318" s="120"/>
      <c r="M9318" s="120"/>
      <c r="N9318" s="167"/>
      <c r="O9318" s="120"/>
      <c r="P9318" s="120"/>
      <c r="Q9318" s="120"/>
      <c r="R9318" s="120"/>
      <c r="S9318" s="120"/>
      <c r="T9318" s="221"/>
      <c r="U9318" s="89"/>
      <c r="V9318" s="61"/>
      <c r="W9318" s="92" t="s">
        <v>129</v>
      </c>
      <c r="X9318" s="93" t="s">
        <v>29</v>
      </c>
      <c r="Y9318" s="93" t="s">
        <v>93</v>
      </c>
      <c r="Z9318" s="134">
        <f>VLOOKUP(W9318,Sheet2!$B:$D,3,FALSE)</f>
        <v>56</v>
      </c>
      <c r="AA9318" s="93">
        <f>100/(2.5*2.5*3.5)</f>
        <v>4.5714285714285712</v>
      </c>
      <c r="AB9318" s="93">
        <f t="shared" ref="AB9318" si="6279">AD9318/AC9317</f>
        <v>12.25</v>
      </c>
      <c r="AC9318" s="93">
        <f>AC9317/AA9318</f>
        <v>1.4896874999999998</v>
      </c>
      <c r="AD9318" s="94">
        <f t="shared" ref="AD9318:AD9319" si="6280">AC9318*Z9318</f>
        <v>83.422499999999985</v>
      </c>
      <c r="AE9318" s="190"/>
      <c r="AF9318" s="191"/>
      <c r="AG9318" s="191"/>
      <c r="AH9318" s="191"/>
      <c r="AI9318" s="186"/>
      <c r="AK9318" s="171"/>
    </row>
    <row r="9319" spans="1:41" s="102" customFormat="1" ht="19.899999999999999" customHeight="1" x14ac:dyDescent="0.25">
      <c r="A9319" s="45"/>
      <c r="B9319" s="59"/>
      <c r="C9319" s="137"/>
      <c r="D9319" s="59"/>
      <c r="E9319" s="116"/>
      <c r="F9319" s="120"/>
      <c r="G9319" s="120"/>
      <c r="H9319" s="120"/>
      <c r="I9319" s="60"/>
      <c r="J9319" s="116"/>
      <c r="K9319" s="213"/>
      <c r="L9319" s="120"/>
      <c r="M9319" s="120"/>
      <c r="N9319" s="167"/>
      <c r="O9319" s="120"/>
      <c r="P9319" s="120"/>
      <c r="Q9319" s="120"/>
      <c r="R9319" s="120"/>
      <c r="S9319" s="120"/>
      <c r="T9319" s="221"/>
      <c r="U9319" s="89"/>
      <c r="V9319" s="61"/>
      <c r="W9319" s="92" t="s">
        <v>65</v>
      </c>
      <c r="X9319" s="93" t="s">
        <v>30</v>
      </c>
      <c r="Y9319" s="93" t="s">
        <v>1011</v>
      </c>
      <c r="Z9319" s="134">
        <f>VLOOKUP(W9319,Sheet2!$B:$D,3,FALSE)</f>
        <v>1.76</v>
      </c>
      <c r="AA9319" s="93">
        <f>AA9318/14</f>
        <v>0.32653061224489793</v>
      </c>
      <c r="AB9319" s="93">
        <f>AD9319/AC9317</f>
        <v>5.39</v>
      </c>
      <c r="AC9319" s="93">
        <f>AC9317/AA9319</f>
        <v>20.855624999999996</v>
      </c>
      <c r="AD9319" s="94">
        <f t="shared" si="6280"/>
        <v>36.705899999999993</v>
      </c>
      <c r="AE9319" s="190"/>
      <c r="AF9319" s="191"/>
      <c r="AG9319" s="191"/>
      <c r="AH9319" s="191"/>
      <c r="AI9319" s="186"/>
      <c r="AK9319" s="171"/>
    </row>
    <row r="9320" spans="1:41" s="102" customFormat="1" ht="19.899999999999999" customHeight="1" x14ac:dyDescent="0.25">
      <c r="A9320" s="45"/>
      <c r="B9320" s="59"/>
      <c r="C9320" s="137"/>
      <c r="D9320" s="59"/>
      <c r="E9320" s="116"/>
      <c r="F9320" s="120"/>
      <c r="G9320" s="120"/>
      <c r="H9320" s="120"/>
      <c r="I9320" s="60"/>
      <c r="J9320" s="116"/>
      <c r="K9320" s="213"/>
      <c r="L9320" s="120"/>
      <c r="M9320" s="120"/>
      <c r="N9320" s="167"/>
      <c r="O9320" s="120"/>
      <c r="P9320" s="120"/>
      <c r="Q9320" s="120"/>
      <c r="R9320" s="120"/>
      <c r="S9320" s="120"/>
      <c r="T9320" s="221"/>
      <c r="U9320" s="89"/>
      <c r="V9320" s="61"/>
      <c r="W9320" s="92" t="s">
        <v>161</v>
      </c>
      <c r="X9320" s="93" t="s">
        <v>29</v>
      </c>
      <c r="Y9320" s="93" t="s">
        <v>93</v>
      </c>
      <c r="Z9320" s="134">
        <f>VLOOKUP(W9320,Sheet2!$B:$D,3,FALSE)</f>
        <v>48</v>
      </c>
      <c r="AA9320" s="93">
        <f>(16*0.85*1.5)/(2.5*2.5*3.5)</f>
        <v>0.9325714285714285</v>
      </c>
      <c r="AB9320" s="93">
        <f>AD9320/AC9317</f>
        <v>51.470588235294123</v>
      </c>
      <c r="AC9320" s="93">
        <f>AC9317/AA9320</f>
        <v>7.3023897058823524</v>
      </c>
      <c r="AD9320" s="94">
        <f>AC9320*Z9320</f>
        <v>350.51470588235293</v>
      </c>
      <c r="AE9320" s="190"/>
      <c r="AF9320" s="191"/>
      <c r="AG9320" s="191"/>
      <c r="AH9320" s="191"/>
      <c r="AI9320" s="186"/>
      <c r="AK9320" s="171"/>
    </row>
    <row r="9321" spans="1:41" s="102" customFormat="1" ht="19.899999999999999" customHeight="1" x14ac:dyDescent="0.25">
      <c r="A9321" s="45"/>
      <c r="B9321" s="59"/>
      <c r="C9321" s="137"/>
      <c r="D9321" s="59"/>
      <c r="E9321" s="116"/>
      <c r="F9321" s="120"/>
      <c r="G9321" s="120"/>
      <c r="H9321" s="120"/>
      <c r="I9321" s="60"/>
      <c r="J9321" s="116"/>
      <c r="K9321" s="213"/>
      <c r="L9321" s="120"/>
      <c r="M9321" s="120"/>
      <c r="N9321" s="167"/>
      <c r="O9321" s="120"/>
      <c r="P9321" s="120"/>
      <c r="Q9321" s="120"/>
      <c r="R9321" s="120"/>
      <c r="S9321" s="120"/>
      <c r="T9321" s="221"/>
      <c r="U9321" s="89"/>
      <c r="V9321" s="61"/>
      <c r="W9321" s="92" t="s">
        <v>65</v>
      </c>
      <c r="X9321" s="93" t="s">
        <v>30</v>
      </c>
      <c r="Y9321" s="93" t="s">
        <v>1011</v>
      </c>
      <c r="Z9321" s="134">
        <f>VLOOKUP(W9321,Sheet2!$B:$D,3,FALSE)</f>
        <v>1.76</v>
      </c>
      <c r="AA9321" s="93">
        <f>AA9320/10</f>
        <v>9.3257142857142844E-2</v>
      </c>
      <c r="AB9321" s="93">
        <f>AD9321/AC9317</f>
        <v>18.872549019607845</v>
      </c>
      <c r="AC9321" s="93">
        <f>AC9317/AA9321</f>
        <v>73.023897058823522</v>
      </c>
      <c r="AD9321" s="94">
        <f>AC9321*Z9321</f>
        <v>128.52205882352939</v>
      </c>
      <c r="AE9321" s="190"/>
      <c r="AF9321" s="191"/>
      <c r="AG9321" s="191"/>
      <c r="AH9321" s="191"/>
      <c r="AI9321" s="186"/>
      <c r="AK9321" s="171"/>
    </row>
    <row r="9322" spans="1:41" s="103" customFormat="1" ht="19.899999999999999" customHeight="1" x14ac:dyDescent="0.25">
      <c r="A9322" s="51"/>
      <c r="B9322" s="52"/>
      <c r="C9322" s="165"/>
      <c r="D9322" s="52"/>
      <c r="E9322" s="115"/>
      <c r="F9322" s="58"/>
      <c r="G9322" s="58"/>
      <c r="H9322" s="58"/>
      <c r="I9322" s="55"/>
      <c r="J9322" s="113">
        <f>J9316</f>
        <v>6.8099999999999987</v>
      </c>
      <c r="K9322" s="212">
        <f>K9316</f>
        <v>6.8099999999999987</v>
      </c>
      <c r="L9322" s="58"/>
      <c r="M9322" s="58">
        <f>K9322-L9322</f>
        <v>6.8099999999999987</v>
      </c>
      <c r="N9322" s="166"/>
      <c r="O9322" s="58"/>
      <c r="P9322" s="58"/>
      <c r="Q9322" s="58"/>
      <c r="R9322" s="58"/>
      <c r="S9322" s="58"/>
      <c r="T9322" s="220"/>
      <c r="U9322" s="88"/>
      <c r="V9322" s="56"/>
      <c r="W9322" s="57" t="s">
        <v>1636</v>
      </c>
      <c r="X9322" s="53"/>
      <c r="Y9322" s="91" t="s">
        <v>35</v>
      </c>
      <c r="Z9322" s="136">
        <f>AD9322/AC9322</f>
        <v>4207.2030769230778</v>
      </c>
      <c r="AA9322" s="58"/>
      <c r="AB9322" s="53">
        <f>AD9322/AC9322</f>
        <v>4207.2030769230778</v>
      </c>
      <c r="AC9322" s="53">
        <f>M9322+$AE$10</f>
        <v>6.8099999999999987</v>
      </c>
      <c r="AD9322" s="54">
        <f>SUM(AD9323:AD9331)</f>
        <v>28651.052953846152</v>
      </c>
      <c r="AE9322" s="184">
        <f>SUMIFS($AD$37:$AD$12971,$V$37:$V$12971,$V9322,$X$37:$X$12971,AE$13)</f>
        <v>0</v>
      </c>
      <c r="AF9322" s="185">
        <f>SUMIFS($AD$37:$AD$12971,$V$37:$V$12971,$V9322,$X$37:$X$12971,AF$13)</f>
        <v>0</v>
      </c>
      <c r="AG9322" s="185">
        <f>SUMIFS($AD$37:$AD$12971,$V$37:$V$12971,$V9322,$X$37:$X$12971,AG$13)</f>
        <v>0</v>
      </c>
      <c r="AH9322" s="187">
        <f>SUMIFS($AD$37:$AD$12971,$V$37:$V$12971,$V9322,$X$37:$X$12971,AH$13)</f>
        <v>0</v>
      </c>
      <c r="AI9322" s="161">
        <f t="shared" ref="AI9322" si="6281">SUM(AE9322:AH9322)</f>
        <v>0</v>
      </c>
      <c r="AK9322" s="172"/>
    </row>
    <row r="9323" spans="1:41" s="102" customFormat="1" ht="19.899999999999999" customHeight="1" x14ac:dyDescent="0.25">
      <c r="A9323" s="45"/>
      <c r="B9323" s="59"/>
      <c r="C9323" s="137"/>
      <c r="D9323" s="59"/>
      <c r="E9323" s="116"/>
      <c r="F9323" s="120"/>
      <c r="G9323" s="120"/>
      <c r="H9323" s="120"/>
      <c r="I9323" s="60"/>
      <c r="J9323" s="116"/>
      <c r="K9323" s="213"/>
      <c r="L9323" s="120"/>
      <c r="M9323" s="120"/>
      <c r="N9323" s="167"/>
      <c r="O9323" s="120"/>
      <c r="P9323" s="120"/>
      <c r="Q9323" s="120"/>
      <c r="R9323" s="120"/>
      <c r="S9323" s="120"/>
      <c r="T9323" s="221"/>
      <c r="U9323" s="89"/>
      <c r="V9323" s="61"/>
      <c r="W9323" s="92" t="s">
        <v>1353</v>
      </c>
      <c r="X9323" s="93" t="s">
        <v>30</v>
      </c>
      <c r="Y9323" s="93" t="s">
        <v>66</v>
      </c>
      <c r="Z9323" s="134">
        <f>VLOOKUP(W9323,Sheet2!$B:$D,3,FALSE)</f>
        <v>350</v>
      </c>
      <c r="AA9323" s="93">
        <f>1/((1*3.5*0.2*4)+(1*1*0.3))</f>
        <v>0.32258064516129031</v>
      </c>
      <c r="AB9323" s="93">
        <f>AD9323/AC9322</f>
        <v>1085</v>
      </c>
      <c r="AC9323" s="93">
        <f>AC9322/AA9323</f>
        <v>21.110999999999997</v>
      </c>
      <c r="AD9323" s="94">
        <f t="shared" ref="AD9323:AD9324" si="6282">AC9323*Z9323</f>
        <v>7388.8499999999985</v>
      </c>
      <c r="AE9323" s="190"/>
      <c r="AF9323" s="191"/>
      <c r="AG9323" s="191"/>
      <c r="AH9323" s="191"/>
      <c r="AI9323" s="186"/>
      <c r="AK9323" s="171"/>
    </row>
    <row r="9324" spans="1:41" s="102" customFormat="1" ht="19.899999999999999" customHeight="1" x14ac:dyDescent="0.25">
      <c r="A9324" s="45"/>
      <c r="B9324" s="59"/>
      <c r="C9324" s="137"/>
      <c r="D9324" s="59"/>
      <c r="E9324" s="116"/>
      <c r="F9324" s="120"/>
      <c r="G9324" s="120"/>
      <c r="H9324" s="120"/>
      <c r="I9324" s="60"/>
      <c r="J9324" s="116"/>
      <c r="K9324" s="213"/>
      <c r="L9324" s="120"/>
      <c r="M9324" s="120"/>
      <c r="N9324" s="167"/>
      <c r="O9324" s="120"/>
      <c r="P9324" s="120"/>
      <c r="Q9324" s="120"/>
      <c r="R9324" s="120"/>
      <c r="S9324" s="120"/>
      <c r="T9324" s="221"/>
      <c r="U9324" s="89"/>
      <c r="V9324" s="61"/>
      <c r="W9324" s="92" t="s">
        <v>99</v>
      </c>
      <c r="X9324" s="93" t="s">
        <v>30</v>
      </c>
      <c r="Y9324" s="93" t="s">
        <v>67</v>
      </c>
      <c r="Z9324" s="134">
        <f>VLOOKUP(W9324,Sheet2!$B:$D,3,FALSE)</f>
        <v>2500</v>
      </c>
      <c r="AA9324" s="93">
        <f>AA9323/0.08</f>
        <v>4.032258064516129</v>
      </c>
      <c r="AB9324" s="93">
        <f>AD9324/AC9322</f>
        <v>620</v>
      </c>
      <c r="AC9324" s="93">
        <f>AC9322/AA9324</f>
        <v>1.6888799999999997</v>
      </c>
      <c r="AD9324" s="94">
        <f t="shared" si="6282"/>
        <v>4222.1999999999989</v>
      </c>
      <c r="AE9324" s="190"/>
      <c r="AF9324" s="191"/>
      <c r="AG9324" s="191"/>
      <c r="AH9324" s="191"/>
      <c r="AI9324" s="186"/>
      <c r="AK9324" s="171"/>
    </row>
    <row r="9325" spans="1:41" s="102" customFormat="1" ht="19.899999999999999" customHeight="1" x14ac:dyDescent="0.25">
      <c r="A9325" s="45"/>
      <c r="B9325" s="59"/>
      <c r="C9325" s="137"/>
      <c r="D9325" s="59"/>
      <c r="E9325" s="116"/>
      <c r="F9325" s="120"/>
      <c r="G9325" s="120"/>
      <c r="H9325" s="120"/>
      <c r="I9325" s="60"/>
      <c r="J9325" s="116"/>
      <c r="K9325" s="213"/>
      <c r="L9325" s="120"/>
      <c r="M9325" s="120"/>
      <c r="N9325" s="167"/>
      <c r="O9325" s="120"/>
      <c r="P9325" s="120"/>
      <c r="Q9325" s="120"/>
      <c r="R9325" s="120"/>
      <c r="S9325" s="120"/>
      <c r="T9325" s="221"/>
      <c r="U9325" s="89"/>
      <c r="V9325" s="61"/>
      <c r="W9325" s="92" t="s">
        <v>1533</v>
      </c>
      <c r="X9325" s="93" t="s">
        <v>32</v>
      </c>
      <c r="Y9325" s="93" t="s">
        <v>66</v>
      </c>
      <c r="Z9325" s="134">
        <f>VLOOKUP(W9325,Sheet2!$B:$D,3,FALSE)</f>
        <v>300</v>
      </c>
      <c r="AA9325" s="93">
        <f>AA9323</f>
        <v>0.32258064516129031</v>
      </c>
      <c r="AB9325" s="93">
        <f>AD9325/AC9322</f>
        <v>930.00000000000011</v>
      </c>
      <c r="AC9325" s="93">
        <f>AC9322/AA9325</f>
        <v>21.110999999999997</v>
      </c>
      <c r="AD9325" s="94">
        <f>AC9325*Z9325</f>
        <v>6333.2999999999993</v>
      </c>
      <c r="AE9325" s="190"/>
      <c r="AF9325" s="191"/>
      <c r="AG9325" s="191"/>
      <c r="AH9325" s="191"/>
      <c r="AI9325" s="186"/>
      <c r="AK9325" s="171"/>
    </row>
    <row r="9326" spans="1:41" s="102" customFormat="1" ht="19.899999999999999" customHeight="1" x14ac:dyDescent="0.25">
      <c r="A9326" s="45"/>
      <c r="B9326" s="59"/>
      <c r="C9326" s="137"/>
      <c r="D9326" s="59"/>
      <c r="E9326" s="116"/>
      <c r="F9326" s="120"/>
      <c r="G9326" s="120"/>
      <c r="H9326" s="120"/>
      <c r="I9326" s="60"/>
      <c r="J9326" s="116"/>
      <c r="K9326" s="213"/>
      <c r="L9326" s="120"/>
      <c r="M9326" s="120"/>
      <c r="N9326" s="167"/>
      <c r="O9326" s="120"/>
      <c r="P9326" s="120"/>
      <c r="Q9326" s="120"/>
      <c r="R9326" s="120"/>
      <c r="S9326" s="120"/>
      <c r="T9326" s="221"/>
      <c r="U9326" s="89"/>
      <c r="V9326" s="61"/>
      <c r="W9326" s="92" t="s">
        <v>1634</v>
      </c>
      <c r="X9326" s="93" t="s">
        <v>30</v>
      </c>
      <c r="Y9326" s="93" t="s">
        <v>35</v>
      </c>
      <c r="Z9326" s="134">
        <f>VLOOKUP(W9326,Sheet2!$B:$D,3,FALSE)</f>
        <v>1250</v>
      </c>
      <c r="AA9326" s="93">
        <v>1</v>
      </c>
      <c r="AB9326" s="93">
        <f>AD9326/AC9322</f>
        <v>1250</v>
      </c>
      <c r="AC9326" s="93">
        <f>AC9322/AA9326</f>
        <v>6.8099999999999987</v>
      </c>
      <c r="AD9326" s="94">
        <f t="shared" ref="AD9326:AD9327" si="6283">AC9326*Z9326</f>
        <v>8512.4999999999982</v>
      </c>
      <c r="AE9326" s="190"/>
      <c r="AF9326" s="191"/>
      <c r="AG9326" s="191"/>
      <c r="AH9326" s="191"/>
      <c r="AI9326" s="186"/>
      <c r="AK9326" s="171"/>
    </row>
    <row r="9327" spans="1:41" s="102" customFormat="1" ht="19.899999999999999" customHeight="1" x14ac:dyDescent="0.25">
      <c r="A9327" s="45"/>
      <c r="B9327" s="59"/>
      <c r="C9327" s="137"/>
      <c r="D9327" s="59"/>
      <c r="E9327" s="116"/>
      <c r="F9327" s="120"/>
      <c r="G9327" s="120"/>
      <c r="H9327" s="120"/>
      <c r="I9327" s="60"/>
      <c r="J9327" s="116"/>
      <c r="K9327" s="213"/>
      <c r="L9327" s="120"/>
      <c r="M9327" s="120"/>
      <c r="N9327" s="167"/>
      <c r="O9327" s="120"/>
      <c r="P9327" s="120"/>
      <c r="Q9327" s="120"/>
      <c r="R9327" s="120"/>
      <c r="S9327" s="120"/>
      <c r="T9327" s="221"/>
      <c r="U9327" s="89"/>
      <c r="V9327" s="61"/>
      <c r="W9327" s="92" t="s">
        <v>142</v>
      </c>
      <c r="X9327" s="93" t="s">
        <v>29</v>
      </c>
      <c r="Y9327" s="93" t="s">
        <v>93</v>
      </c>
      <c r="Z9327" s="134">
        <f>VLOOKUP(W9327,Sheet2!$B:$D,3,FALSE)</f>
        <v>67.692307692307693</v>
      </c>
      <c r="AA9327" s="93">
        <v>4</v>
      </c>
      <c r="AB9327" s="93">
        <f>AD9327/AC9322</f>
        <v>16.923076923076923</v>
      </c>
      <c r="AC9327" s="93">
        <f>AC9322/AA9327</f>
        <v>1.7024999999999997</v>
      </c>
      <c r="AD9327" s="94">
        <f t="shared" si="6283"/>
        <v>115.24615384615383</v>
      </c>
      <c r="AE9327" s="190"/>
      <c r="AF9327" s="191"/>
      <c r="AG9327" s="191"/>
      <c r="AH9327" s="191"/>
      <c r="AI9327" s="186"/>
      <c r="AK9327" s="171"/>
    </row>
    <row r="9328" spans="1:41" s="102" customFormat="1" ht="19.899999999999999" customHeight="1" x14ac:dyDescent="0.25">
      <c r="A9328" s="45"/>
      <c r="B9328" s="59"/>
      <c r="C9328" s="137"/>
      <c r="D9328" s="59"/>
      <c r="E9328" s="116"/>
      <c r="F9328" s="120"/>
      <c r="G9328" s="120"/>
      <c r="H9328" s="120"/>
      <c r="I9328" s="60"/>
      <c r="J9328" s="116"/>
      <c r="K9328" s="213"/>
      <c r="L9328" s="120"/>
      <c r="M9328" s="120"/>
      <c r="N9328" s="167"/>
      <c r="O9328" s="120"/>
      <c r="P9328" s="120"/>
      <c r="Q9328" s="120"/>
      <c r="R9328" s="120"/>
      <c r="S9328" s="120"/>
      <c r="T9328" s="221"/>
      <c r="U9328" s="89"/>
      <c r="V9328" s="61"/>
      <c r="W9328" s="92" t="s">
        <v>65</v>
      </c>
      <c r="X9328" s="93" t="s">
        <v>30</v>
      </c>
      <c r="Y9328" s="93" t="s">
        <v>93</v>
      </c>
      <c r="Z9328" s="134">
        <f>VLOOKUP(W9328,Sheet2!$B:$D,3,FALSE)</f>
        <v>1.76</v>
      </c>
      <c r="AA9328" s="93">
        <f>AA9327/12</f>
        <v>0.33333333333333331</v>
      </c>
      <c r="AB9328" s="93">
        <f>AD9328/AC9322</f>
        <v>5.28</v>
      </c>
      <c r="AC9328" s="93">
        <f>AC9322/AA9328</f>
        <v>20.429999999999996</v>
      </c>
      <c r="AD9328" s="94">
        <f>AC9328*Z9328</f>
        <v>35.956799999999994</v>
      </c>
      <c r="AE9328" s="190"/>
      <c r="AF9328" s="191"/>
      <c r="AG9328" s="191"/>
      <c r="AH9328" s="191"/>
      <c r="AI9328" s="186"/>
      <c r="AK9328" s="171"/>
    </row>
    <row r="9329" spans="1:37" s="102" customFormat="1" ht="19.899999999999999" customHeight="1" x14ac:dyDescent="0.25">
      <c r="A9329" s="45"/>
      <c r="B9329" s="59"/>
      <c r="C9329" s="137"/>
      <c r="D9329" s="59"/>
      <c r="E9329" s="116"/>
      <c r="F9329" s="120"/>
      <c r="G9329" s="120"/>
      <c r="H9329" s="120"/>
      <c r="I9329" s="60"/>
      <c r="J9329" s="116"/>
      <c r="K9329" s="213"/>
      <c r="L9329" s="120"/>
      <c r="M9329" s="120"/>
      <c r="N9329" s="167"/>
      <c r="O9329" s="120"/>
      <c r="P9329" s="120"/>
      <c r="Q9329" s="120"/>
      <c r="R9329" s="120"/>
      <c r="S9329" s="120"/>
      <c r="T9329" s="221"/>
      <c r="U9329" s="89"/>
      <c r="V9329" s="61"/>
      <c r="W9329" s="92" t="s">
        <v>1357</v>
      </c>
      <c r="X9329" s="93" t="s">
        <v>30</v>
      </c>
      <c r="Y9329" s="93" t="s">
        <v>1349</v>
      </c>
      <c r="Z9329" s="134">
        <f>VLOOKUP(W9329,Sheet2!$B:$D,3,FALSE)</f>
        <v>150</v>
      </c>
      <c r="AA9329" s="93">
        <v>1</v>
      </c>
      <c r="AB9329" s="93">
        <f>AD9329/AC9322</f>
        <v>150</v>
      </c>
      <c r="AC9329" s="93">
        <f>AC9322/AA9329</f>
        <v>6.8099999999999987</v>
      </c>
      <c r="AD9329" s="94">
        <f>AC9329*Z9329</f>
        <v>1021.4999999999998</v>
      </c>
      <c r="AE9329" s="190"/>
      <c r="AF9329" s="191"/>
      <c r="AG9329" s="191"/>
      <c r="AH9329" s="191"/>
      <c r="AI9329" s="186"/>
      <c r="AK9329" s="171"/>
    </row>
    <row r="9330" spans="1:37" s="102" customFormat="1" ht="19.899999999999999" customHeight="1" x14ac:dyDescent="0.25">
      <c r="A9330" s="45"/>
      <c r="B9330" s="59"/>
      <c r="C9330" s="137"/>
      <c r="D9330" s="59"/>
      <c r="E9330" s="116"/>
      <c r="F9330" s="120"/>
      <c r="G9330" s="120"/>
      <c r="H9330" s="120"/>
      <c r="I9330" s="60"/>
      <c r="J9330" s="116"/>
      <c r="K9330" s="213"/>
      <c r="L9330" s="120"/>
      <c r="M9330" s="120"/>
      <c r="N9330" s="167"/>
      <c r="O9330" s="120"/>
      <c r="P9330" s="120"/>
      <c r="Q9330" s="120"/>
      <c r="R9330" s="120"/>
      <c r="S9330" s="120"/>
      <c r="T9330" s="221"/>
      <c r="U9330" s="89"/>
      <c r="V9330" s="61"/>
      <c r="W9330" s="92" t="s">
        <v>107</v>
      </c>
      <c r="X9330" s="93" t="s">
        <v>31</v>
      </c>
      <c r="Y9330" s="93" t="s">
        <v>93</v>
      </c>
      <c r="Z9330" s="134">
        <f>VLOOKUP(W9330,Sheet2!$B:$D,3,FALSE)</f>
        <v>17</v>
      </c>
      <c r="AA9330" s="93">
        <f>1/5</f>
        <v>0.2</v>
      </c>
      <c r="AB9330" s="93">
        <f>AD9330/AC9322</f>
        <v>84.999999999999986</v>
      </c>
      <c r="AC9330" s="93">
        <f>AC9322/AA9330</f>
        <v>34.04999999999999</v>
      </c>
      <c r="AD9330" s="94">
        <f>AC9330*Z9330</f>
        <v>578.8499999999998</v>
      </c>
      <c r="AE9330" s="190"/>
      <c r="AF9330" s="191"/>
      <c r="AG9330" s="191"/>
      <c r="AH9330" s="191"/>
      <c r="AI9330" s="186"/>
      <c r="AK9330" s="171"/>
    </row>
    <row r="9331" spans="1:37" s="102" customFormat="1" ht="19.899999999999999" customHeight="1" x14ac:dyDescent="0.25">
      <c r="A9331" s="45"/>
      <c r="B9331" s="59"/>
      <c r="C9331" s="137"/>
      <c r="D9331" s="59"/>
      <c r="E9331" s="116"/>
      <c r="F9331" s="120"/>
      <c r="G9331" s="120"/>
      <c r="H9331" s="120"/>
      <c r="I9331" s="60"/>
      <c r="J9331" s="116"/>
      <c r="K9331" s="213"/>
      <c r="L9331" s="120"/>
      <c r="M9331" s="120"/>
      <c r="N9331" s="167"/>
      <c r="O9331" s="120"/>
      <c r="P9331" s="120"/>
      <c r="Q9331" s="120"/>
      <c r="R9331" s="120"/>
      <c r="S9331" s="120"/>
      <c r="T9331" s="221"/>
      <c r="U9331" s="89"/>
      <c r="V9331" s="61"/>
      <c r="W9331" s="92" t="s">
        <v>112</v>
      </c>
      <c r="X9331" s="93" t="s">
        <v>31</v>
      </c>
      <c r="Y9331" s="93" t="s">
        <v>93</v>
      </c>
      <c r="Z9331" s="134">
        <f>VLOOKUP(W9331,Sheet2!$B:$D,3,FALSE)</f>
        <v>13</v>
      </c>
      <c r="AA9331" s="93">
        <f>AA9330</f>
        <v>0.2</v>
      </c>
      <c r="AB9331" s="93">
        <f>AD9331/AC9322</f>
        <v>64.999999999999986</v>
      </c>
      <c r="AC9331" s="93">
        <f>AC9322/AA9331</f>
        <v>34.04999999999999</v>
      </c>
      <c r="AD9331" s="94">
        <f>AC9331*Z9331</f>
        <v>442.64999999999986</v>
      </c>
      <c r="AE9331" s="190"/>
      <c r="AF9331" s="191"/>
      <c r="AG9331" s="191"/>
      <c r="AH9331" s="191"/>
      <c r="AI9331" s="186"/>
      <c r="AK9331" s="171"/>
    </row>
    <row r="9332" spans="1:37" s="103" customFormat="1" ht="19.899999999999999" customHeight="1" x14ac:dyDescent="0.25">
      <c r="A9332" s="51"/>
      <c r="B9332" s="52"/>
      <c r="C9332" s="165"/>
      <c r="D9332" s="52"/>
      <c r="E9332" s="115"/>
      <c r="F9332" s="58"/>
      <c r="G9332" s="58"/>
      <c r="H9332" s="58"/>
      <c r="I9332" s="55"/>
      <c r="J9332" s="113">
        <f>J9316</f>
        <v>6.8099999999999987</v>
      </c>
      <c r="K9332" s="212">
        <f>K9316</f>
        <v>6.8099999999999987</v>
      </c>
      <c r="L9332" s="58"/>
      <c r="M9332" s="58">
        <f>K9332-L9332</f>
        <v>6.8099999999999987</v>
      </c>
      <c r="N9332" s="166"/>
      <c r="O9332" s="58"/>
      <c r="P9332" s="58"/>
      <c r="Q9332" s="58"/>
      <c r="R9332" s="58"/>
      <c r="S9332" s="58"/>
      <c r="T9332" s="220"/>
      <c r="U9332" s="88"/>
      <c r="V9332" s="56"/>
      <c r="W9332" s="57" t="s">
        <v>1358</v>
      </c>
      <c r="X9332" s="53"/>
      <c r="Y9332" s="91" t="s">
        <v>35</v>
      </c>
      <c r="Z9332" s="136">
        <f>AD9332/AC9332</f>
        <v>980.00000000000011</v>
      </c>
      <c r="AA9332" s="58"/>
      <c r="AB9332" s="53">
        <f>AD9332/AC9332</f>
        <v>980.00000000000011</v>
      </c>
      <c r="AC9332" s="53">
        <f>M9332+$AE$10</f>
        <v>6.8099999999999987</v>
      </c>
      <c r="AD9332" s="54">
        <f>SUM(AD9333:AD9334)</f>
        <v>6673.7999999999993</v>
      </c>
      <c r="AE9332" s="184">
        <f>SUMIFS($AD$37:$AD$12971,$V$37:$V$12971,$V9332,$X$37:$X$12971,AE$13)</f>
        <v>0</v>
      </c>
      <c r="AF9332" s="185">
        <f>SUMIFS($AD$37:$AD$12971,$V$37:$V$12971,$V9332,$X$37:$X$12971,AF$13)</f>
        <v>0</v>
      </c>
      <c r="AG9332" s="185">
        <f>SUMIFS($AD$37:$AD$12971,$V$37:$V$12971,$V9332,$X$37:$X$12971,AG$13)</f>
        <v>0</v>
      </c>
      <c r="AH9332" s="187">
        <f>SUMIFS($AD$37:$AD$12971,$V$37:$V$12971,$V9332,$X$37:$X$12971,AH$13)</f>
        <v>0</v>
      </c>
      <c r="AI9332" s="161">
        <f t="shared" ref="AI9332" si="6284">SUM(AE9332:AH9332)</f>
        <v>0</v>
      </c>
      <c r="AK9332" s="172"/>
    </row>
    <row r="9333" spans="1:37" s="102" customFormat="1" ht="19.899999999999999" customHeight="1" x14ac:dyDescent="0.25">
      <c r="A9333" s="45"/>
      <c r="B9333" s="59"/>
      <c r="C9333" s="137"/>
      <c r="D9333" s="59"/>
      <c r="E9333" s="116"/>
      <c r="F9333" s="120"/>
      <c r="G9333" s="120"/>
      <c r="H9333" s="120"/>
      <c r="I9333" s="60"/>
      <c r="J9333" s="116"/>
      <c r="K9333" s="213"/>
      <c r="L9333" s="120"/>
      <c r="M9333" s="120"/>
      <c r="N9333" s="167"/>
      <c r="O9333" s="120"/>
      <c r="P9333" s="120"/>
      <c r="Q9333" s="120"/>
      <c r="R9333" s="120"/>
      <c r="S9333" s="120"/>
      <c r="T9333" s="221"/>
      <c r="U9333" s="89"/>
      <c r="V9333" s="61"/>
      <c r="W9333" s="92" t="s">
        <v>1359</v>
      </c>
      <c r="X9333" s="93" t="s">
        <v>32</v>
      </c>
      <c r="Y9333" s="93" t="s">
        <v>64</v>
      </c>
      <c r="Z9333" s="134">
        <f>VLOOKUP(W9333,Sheet2!$B:$D,3,FALSE)</f>
        <v>40</v>
      </c>
      <c r="AA9333" s="93">
        <f>1/(1*3.5*4)</f>
        <v>7.1428571428571425E-2</v>
      </c>
      <c r="AB9333" s="93">
        <f t="shared" ref="AB9333" si="6285">AD9333/AC9332</f>
        <v>560</v>
      </c>
      <c r="AC9333" s="93">
        <f>AC9332/AA9333</f>
        <v>95.339999999999989</v>
      </c>
      <c r="AD9333" s="94">
        <f t="shared" ref="AD9333:AD9334" si="6286">AC9333*Z9333</f>
        <v>3813.5999999999995</v>
      </c>
      <c r="AE9333" s="190"/>
      <c r="AF9333" s="191"/>
      <c r="AG9333" s="191"/>
      <c r="AH9333" s="191"/>
      <c r="AI9333" s="186"/>
      <c r="AK9333" s="171"/>
    </row>
    <row r="9334" spans="1:37" s="102" customFormat="1" ht="19.899999999999999" customHeight="1" x14ac:dyDescent="0.25">
      <c r="A9334" s="45"/>
      <c r="B9334" s="59"/>
      <c r="C9334" s="137"/>
      <c r="D9334" s="59"/>
      <c r="E9334" s="116"/>
      <c r="F9334" s="120"/>
      <c r="G9334" s="120"/>
      <c r="H9334" s="120"/>
      <c r="I9334" s="60"/>
      <c r="J9334" s="116"/>
      <c r="K9334" s="213"/>
      <c r="L9334" s="120"/>
      <c r="M9334" s="120"/>
      <c r="N9334" s="167"/>
      <c r="O9334" s="120"/>
      <c r="P9334" s="120"/>
      <c r="Q9334" s="120"/>
      <c r="R9334" s="120"/>
      <c r="S9334" s="120"/>
      <c r="T9334" s="221"/>
      <c r="U9334" s="89"/>
      <c r="V9334" s="61"/>
      <c r="W9334" s="92" t="s">
        <v>1360</v>
      </c>
      <c r="X9334" s="93" t="s">
        <v>32</v>
      </c>
      <c r="Y9334" s="93" t="s">
        <v>64</v>
      </c>
      <c r="Z9334" s="134">
        <f>VLOOKUP(W9334,Sheet2!$B:$D,3,FALSE)</f>
        <v>30</v>
      </c>
      <c r="AA9334" s="93">
        <f>AA9333</f>
        <v>7.1428571428571425E-2</v>
      </c>
      <c r="AB9334" s="93">
        <f>AD9334/AC9332</f>
        <v>420.00000000000006</v>
      </c>
      <c r="AC9334" s="93">
        <f>AC9332/AA9334</f>
        <v>95.339999999999989</v>
      </c>
      <c r="AD9334" s="94">
        <f t="shared" si="6286"/>
        <v>2860.2</v>
      </c>
      <c r="AE9334" s="190"/>
      <c r="AF9334" s="191"/>
      <c r="AG9334" s="191"/>
      <c r="AH9334" s="191"/>
      <c r="AI9334" s="186"/>
      <c r="AK9334" s="171"/>
    </row>
    <row r="9335" spans="1:37" s="103" customFormat="1" ht="19.899999999999999" customHeight="1" x14ac:dyDescent="0.25">
      <c r="A9335" s="51"/>
      <c r="B9335" s="52"/>
      <c r="C9335" s="165"/>
      <c r="D9335" s="52"/>
      <c r="E9335" s="115"/>
      <c r="F9335" s="58"/>
      <c r="G9335" s="58"/>
      <c r="H9335" s="58"/>
      <c r="I9335" s="55"/>
      <c r="J9335" s="113">
        <f>J9316</f>
        <v>6.8099999999999987</v>
      </c>
      <c r="K9335" s="212">
        <f>K9316</f>
        <v>6.8099999999999987</v>
      </c>
      <c r="L9335" s="58"/>
      <c r="M9335" s="58">
        <f>K9335-L9335</f>
        <v>6.8099999999999987</v>
      </c>
      <c r="N9335" s="166"/>
      <c r="O9335" s="58"/>
      <c r="P9335" s="58"/>
      <c r="Q9335" s="58"/>
      <c r="R9335" s="58"/>
      <c r="S9335" s="58"/>
      <c r="T9335" s="220"/>
      <c r="U9335" s="88"/>
      <c r="V9335" s="56"/>
      <c r="W9335" s="57" t="s">
        <v>1272</v>
      </c>
      <c r="X9335" s="53"/>
      <c r="Y9335" s="91" t="s">
        <v>35</v>
      </c>
      <c r="Z9335" s="136">
        <f>AD9335/AC9335</f>
        <v>290.99403529411762</v>
      </c>
      <c r="AA9335" s="58"/>
      <c r="AB9335" s="53">
        <f>AD9335/AC9335</f>
        <v>290.99403529411762</v>
      </c>
      <c r="AC9335" s="53">
        <f>M9335+$AE$10</f>
        <v>6.8099999999999987</v>
      </c>
      <c r="AD9335" s="54">
        <f>SUM(AD9336:AD9344)</f>
        <v>1981.6693803529406</v>
      </c>
      <c r="AE9335" s="184">
        <f>SUMIFS($AD$37:$AD$12971,$V$37:$V$12971,$V9335,$X$37:$X$12971,AE$13)</f>
        <v>0</v>
      </c>
      <c r="AF9335" s="185">
        <f>SUMIFS($AD$37:$AD$12971,$V$37:$V$12971,$V9335,$X$37:$X$12971,AF$13)</f>
        <v>0</v>
      </c>
      <c r="AG9335" s="185">
        <f>SUMIFS($AD$37:$AD$12971,$V$37:$V$12971,$V9335,$X$37:$X$12971,AG$13)</f>
        <v>0</v>
      </c>
      <c r="AH9335" s="187">
        <f>SUMIFS($AD$37:$AD$12971,$V$37:$V$12971,$V9335,$X$37:$X$12971,AH$13)</f>
        <v>0</v>
      </c>
      <c r="AI9335" s="161">
        <f t="shared" ref="AI9335" si="6287">SUM(AE9335:AH9335)</f>
        <v>0</v>
      </c>
      <c r="AK9335" s="172"/>
    </row>
    <row r="9336" spans="1:37" s="102" customFormat="1" ht="19.899999999999999" customHeight="1" x14ac:dyDescent="0.25">
      <c r="A9336" s="45"/>
      <c r="B9336" s="59"/>
      <c r="C9336" s="137"/>
      <c r="D9336" s="59"/>
      <c r="E9336" s="116"/>
      <c r="F9336" s="120"/>
      <c r="G9336" s="120"/>
      <c r="H9336" s="120"/>
      <c r="I9336" s="60"/>
      <c r="J9336" s="116"/>
      <c r="K9336" s="213"/>
      <c r="L9336" s="120"/>
      <c r="M9336" s="120"/>
      <c r="N9336" s="167"/>
      <c r="O9336" s="120"/>
      <c r="P9336" s="120"/>
      <c r="Q9336" s="120"/>
      <c r="R9336" s="120"/>
      <c r="S9336" s="120"/>
      <c r="T9336" s="221"/>
      <c r="U9336" s="89"/>
      <c r="V9336" s="61"/>
      <c r="W9336" s="92" t="s">
        <v>1273</v>
      </c>
      <c r="X9336" s="93" t="s">
        <v>30</v>
      </c>
      <c r="Y9336" s="93" t="s">
        <v>66</v>
      </c>
      <c r="Z9336" s="134">
        <f>VLOOKUP(W9336,Sheet2!$B:$D,3,FALSE)</f>
        <v>10</v>
      </c>
      <c r="AA9336" s="93">
        <f>1/((2.5*2.5*3.5)-(1*1*3.5))</f>
        <v>5.4421768707482991E-2</v>
      </c>
      <c r="AB9336" s="93">
        <f>AD9336/AC9335</f>
        <v>183.75000000000003</v>
      </c>
      <c r="AC9336" s="93">
        <f>AC9335/AA9336</f>
        <v>125.13374999999998</v>
      </c>
      <c r="AD9336" s="94">
        <f t="shared" ref="AD9336:AD9338" si="6288">AC9336*Z9336</f>
        <v>1251.3374999999999</v>
      </c>
      <c r="AE9336" s="190"/>
      <c r="AF9336" s="191"/>
      <c r="AG9336" s="191"/>
      <c r="AH9336" s="191"/>
      <c r="AI9336" s="186"/>
      <c r="AK9336" s="171"/>
    </row>
    <row r="9337" spans="1:37" s="102" customFormat="1" ht="19.899999999999999" customHeight="1" x14ac:dyDescent="0.25">
      <c r="A9337" s="45"/>
      <c r="B9337" s="59"/>
      <c r="C9337" s="137"/>
      <c r="D9337" s="59"/>
      <c r="E9337" s="116"/>
      <c r="F9337" s="120"/>
      <c r="G9337" s="120"/>
      <c r="H9337" s="120"/>
      <c r="I9337" s="60"/>
      <c r="J9337" s="116"/>
      <c r="K9337" s="213"/>
      <c r="L9337" s="120"/>
      <c r="M9337" s="120"/>
      <c r="N9337" s="167"/>
      <c r="O9337" s="120"/>
      <c r="P9337" s="120"/>
      <c r="Q9337" s="120"/>
      <c r="R9337" s="120"/>
      <c r="S9337" s="120"/>
      <c r="T9337" s="221"/>
      <c r="U9337" s="89"/>
      <c r="V9337" s="61"/>
      <c r="W9337" s="92" t="s">
        <v>134</v>
      </c>
      <c r="X9337" s="93" t="s">
        <v>29</v>
      </c>
      <c r="Y9337" s="93" t="s">
        <v>93</v>
      </c>
      <c r="Z9337" s="134">
        <f>VLOOKUP(W9337,Sheet2!$B:$D,3,FALSE)</f>
        <v>65.599999999999994</v>
      </c>
      <c r="AA9337" s="93">
        <f>100/((2.5*2.5*3.5)-(1*1*3.5))</f>
        <v>5.4421768707482991</v>
      </c>
      <c r="AB9337" s="93">
        <f t="shared" ref="AB9337" si="6289">AD9337/AC9335</f>
        <v>12.054</v>
      </c>
      <c r="AC9337" s="93">
        <f>AC9335/AA9337</f>
        <v>1.2513374999999998</v>
      </c>
      <c r="AD9337" s="94">
        <f t="shared" si="6288"/>
        <v>82.087739999999982</v>
      </c>
      <c r="AE9337" s="190"/>
      <c r="AF9337" s="191"/>
      <c r="AG9337" s="191"/>
      <c r="AH9337" s="191"/>
      <c r="AI9337" s="186"/>
      <c r="AK9337" s="171"/>
    </row>
    <row r="9338" spans="1:37" s="102" customFormat="1" ht="19.899999999999999" customHeight="1" x14ac:dyDescent="0.25">
      <c r="A9338" s="45"/>
      <c r="B9338" s="59"/>
      <c r="C9338" s="137"/>
      <c r="D9338" s="59"/>
      <c r="E9338" s="116"/>
      <c r="F9338" s="120"/>
      <c r="G9338" s="120"/>
      <c r="H9338" s="120"/>
      <c r="I9338" s="60"/>
      <c r="J9338" s="116"/>
      <c r="K9338" s="213"/>
      <c r="L9338" s="120"/>
      <c r="M9338" s="120"/>
      <c r="N9338" s="167"/>
      <c r="O9338" s="120"/>
      <c r="P9338" s="120"/>
      <c r="Q9338" s="120"/>
      <c r="R9338" s="120"/>
      <c r="S9338" s="120"/>
      <c r="T9338" s="221"/>
      <c r="U9338" s="89"/>
      <c r="V9338" s="61"/>
      <c r="W9338" s="92" t="s">
        <v>65</v>
      </c>
      <c r="X9338" s="93" t="s">
        <v>30</v>
      </c>
      <c r="Y9338" s="93" t="s">
        <v>1011</v>
      </c>
      <c r="Z9338" s="134">
        <f>VLOOKUP(W9338,Sheet2!$B:$D,3,FALSE)</f>
        <v>1.76</v>
      </c>
      <c r="AA9338" s="93">
        <f>AA9337/9</f>
        <v>0.60468631897203329</v>
      </c>
      <c r="AB9338" s="93">
        <f>AD9338/AC9335</f>
        <v>2.9106000000000001</v>
      </c>
      <c r="AC9338" s="93">
        <f>AC9335/AA9338</f>
        <v>11.262037499999998</v>
      </c>
      <c r="AD9338" s="94">
        <f t="shared" si="6288"/>
        <v>19.821185999999997</v>
      </c>
      <c r="AE9338" s="190"/>
      <c r="AF9338" s="191"/>
      <c r="AG9338" s="191"/>
      <c r="AH9338" s="191"/>
      <c r="AI9338" s="186"/>
      <c r="AK9338" s="171"/>
    </row>
    <row r="9339" spans="1:37" s="102" customFormat="1" ht="19.899999999999999" customHeight="1" x14ac:dyDescent="0.25">
      <c r="A9339" s="45"/>
      <c r="B9339" s="59"/>
      <c r="C9339" s="137"/>
      <c r="D9339" s="59"/>
      <c r="E9339" s="116"/>
      <c r="F9339" s="120"/>
      <c r="G9339" s="120"/>
      <c r="H9339" s="120"/>
      <c r="I9339" s="60"/>
      <c r="J9339" s="116"/>
      <c r="K9339" s="213"/>
      <c r="L9339" s="120"/>
      <c r="M9339" s="120"/>
      <c r="N9339" s="167"/>
      <c r="O9339" s="120"/>
      <c r="P9339" s="120"/>
      <c r="Q9339" s="120"/>
      <c r="R9339" s="120"/>
      <c r="S9339" s="120"/>
      <c r="T9339" s="221"/>
      <c r="U9339" s="89"/>
      <c r="V9339" s="61"/>
      <c r="W9339" s="92" t="s">
        <v>161</v>
      </c>
      <c r="X9339" s="93" t="s">
        <v>29</v>
      </c>
      <c r="Y9339" s="93" t="s">
        <v>93</v>
      </c>
      <c r="Z9339" s="134">
        <f>VLOOKUP(W9339,Sheet2!$B:$D,3,FALSE)</f>
        <v>48</v>
      </c>
      <c r="AA9339" s="93">
        <f>(16*0.85*1.5)/((2.5*2.5*3.5)-(1*1*3.5))</f>
        <v>1.1102040816326531</v>
      </c>
      <c r="AB9339" s="93">
        <f>AD9339/AC9335</f>
        <v>43.235294117647058</v>
      </c>
      <c r="AC9339" s="93">
        <f>AC9335/AA9339</f>
        <v>6.1340073529411754</v>
      </c>
      <c r="AD9339" s="94">
        <f>AC9339*Z9339</f>
        <v>294.43235294117642</v>
      </c>
      <c r="AE9339" s="190"/>
      <c r="AF9339" s="191"/>
      <c r="AG9339" s="191"/>
      <c r="AH9339" s="191"/>
      <c r="AI9339" s="186"/>
      <c r="AK9339" s="171"/>
    </row>
    <row r="9340" spans="1:37" s="102" customFormat="1" ht="19.899999999999999" customHeight="1" x14ac:dyDescent="0.25">
      <c r="A9340" s="45"/>
      <c r="B9340" s="59"/>
      <c r="C9340" s="137"/>
      <c r="D9340" s="59"/>
      <c r="E9340" s="116"/>
      <c r="F9340" s="120"/>
      <c r="G9340" s="120"/>
      <c r="H9340" s="120"/>
      <c r="I9340" s="60"/>
      <c r="J9340" s="116"/>
      <c r="K9340" s="213"/>
      <c r="L9340" s="120"/>
      <c r="M9340" s="120"/>
      <c r="N9340" s="167"/>
      <c r="O9340" s="120"/>
      <c r="P9340" s="120"/>
      <c r="Q9340" s="120"/>
      <c r="R9340" s="120"/>
      <c r="S9340" s="120"/>
      <c r="T9340" s="221"/>
      <c r="U9340" s="89"/>
      <c r="V9340" s="61"/>
      <c r="W9340" s="92" t="s">
        <v>65</v>
      </c>
      <c r="X9340" s="93" t="s">
        <v>30</v>
      </c>
      <c r="Y9340" s="93" t="s">
        <v>1011</v>
      </c>
      <c r="Z9340" s="134">
        <f>VLOOKUP(W9340,Sheet2!$B:$D,3,FALSE)</f>
        <v>1.76</v>
      </c>
      <c r="AA9340" s="93">
        <f>AA9339/10</f>
        <v>0.11102040816326531</v>
      </c>
      <c r="AB9340" s="93">
        <f>AD9340/AC9335</f>
        <v>15.852941176470589</v>
      </c>
      <c r="AC9340" s="93">
        <f>AC9335/AA9340</f>
        <v>61.340073529411754</v>
      </c>
      <c r="AD9340" s="94">
        <f>AC9340*Z9340</f>
        <v>107.95852941176469</v>
      </c>
      <c r="AE9340" s="190"/>
      <c r="AF9340" s="191"/>
      <c r="AG9340" s="191"/>
      <c r="AH9340" s="191"/>
      <c r="AI9340" s="186"/>
      <c r="AK9340" s="171"/>
    </row>
    <row r="9341" spans="1:37" s="102" customFormat="1" ht="19.899999999999999" customHeight="1" x14ac:dyDescent="0.25">
      <c r="A9341" s="45"/>
      <c r="B9341" s="59"/>
      <c r="C9341" s="137"/>
      <c r="D9341" s="59"/>
      <c r="E9341" s="116"/>
      <c r="F9341" s="120"/>
      <c r="G9341" s="120"/>
      <c r="H9341" s="120"/>
      <c r="I9341" s="60"/>
      <c r="J9341" s="116"/>
      <c r="K9341" s="213"/>
      <c r="L9341" s="120"/>
      <c r="M9341" s="120"/>
      <c r="N9341" s="167"/>
      <c r="O9341" s="120"/>
      <c r="P9341" s="120"/>
      <c r="Q9341" s="120"/>
      <c r="R9341" s="120"/>
      <c r="S9341" s="120"/>
      <c r="T9341" s="221"/>
      <c r="U9341" s="89"/>
      <c r="V9341" s="61"/>
      <c r="W9341" s="92" t="s">
        <v>173</v>
      </c>
      <c r="X9341" s="93" t="s">
        <v>29</v>
      </c>
      <c r="Y9341" s="93" t="s">
        <v>93</v>
      </c>
      <c r="Z9341" s="134">
        <f>VLOOKUP(W9341,Sheet2!$B:$D,3,FALSE)</f>
        <v>36</v>
      </c>
      <c r="AA9341" s="93">
        <f>50/((2.5*2.5*3.5)-(1*1*3.5))</f>
        <v>2.7210884353741496</v>
      </c>
      <c r="AB9341" s="93">
        <f>AD9341/AC9335</f>
        <v>13.23</v>
      </c>
      <c r="AC9341" s="93">
        <f>AC9335/AA9341</f>
        <v>2.5026749999999995</v>
      </c>
      <c r="AD9341" s="94">
        <f>AC9341*Z9341</f>
        <v>90.096299999999985</v>
      </c>
      <c r="AE9341" s="190"/>
      <c r="AF9341" s="191"/>
      <c r="AG9341" s="191"/>
      <c r="AH9341" s="191"/>
      <c r="AI9341" s="186"/>
      <c r="AK9341" s="171"/>
    </row>
    <row r="9342" spans="1:37" s="102" customFormat="1" ht="19.899999999999999" customHeight="1" x14ac:dyDescent="0.25">
      <c r="A9342" s="45"/>
      <c r="B9342" s="59"/>
      <c r="C9342" s="137"/>
      <c r="D9342" s="59"/>
      <c r="E9342" s="116"/>
      <c r="F9342" s="120"/>
      <c r="G9342" s="120"/>
      <c r="H9342" s="120"/>
      <c r="I9342" s="60"/>
      <c r="J9342" s="116"/>
      <c r="K9342" s="213"/>
      <c r="L9342" s="120"/>
      <c r="M9342" s="120"/>
      <c r="N9342" s="167"/>
      <c r="O9342" s="120"/>
      <c r="P9342" s="120"/>
      <c r="Q9342" s="120"/>
      <c r="R9342" s="120"/>
      <c r="S9342" s="120"/>
      <c r="T9342" s="221"/>
      <c r="U9342" s="89"/>
      <c r="V9342" s="61"/>
      <c r="W9342" s="92" t="s">
        <v>65</v>
      </c>
      <c r="X9342" s="93" t="s">
        <v>30</v>
      </c>
      <c r="Y9342" s="93" t="s">
        <v>1011</v>
      </c>
      <c r="Z9342" s="134">
        <f>VLOOKUP(W9342,Sheet2!$B:$D,3,FALSE)</f>
        <v>1.76</v>
      </c>
      <c r="AA9342" s="93">
        <f>AA9341/9</f>
        <v>0.30234315948601664</v>
      </c>
      <c r="AB9342" s="93">
        <f>AD9342/AC9335</f>
        <v>5.8212000000000002</v>
      </c>
      <c r="AC9342" s="93">
        <f>AC9335/AA9342</f>
        <v>22.524074999999996</v>
      </c>
      <c r="AD9342" s="94">
        <f>AC9342*Z9342</f>
        <v>39.642371999999995</v>
      </c>
      <c r="AE9342" s="190"/>
      <c r="AF9342" s="191"/>
      <c r="AG9342" s="191"/>
      <c r="AH9342" s="191"/>
      <c r="AI9342" s="186"/>
      <c r="AK9342" s="171"/>
    </row>
    <row r="9343" spans="1:37" s="102" customFormat="1" ht="19.899999999999999" customHeight="1" x14ac:dyDescent="0.25">
      <c r="A9343" s="45"/>
      <c r="B9343" s="59"/>
      <c r="C9343" s="137"/>
      <c r="D9343" s="59"/>
      <c r="E9343" s="116"/>
      <c r="F9343" s="120"/>
      <c r="G9343" s="120"/>
      <c r="H9343" s="120"/>
      <c r="I9343" s="60"/>
      <c r="J9343" s="116"/>
      <c r="K9343" s="213"/>
      <c r="L9343" s="120"/>
      <c r="M9343" s="120"/>
      <c r="N9343" s="167"/>
      <c r="O9343" s="120"/>
      <c r="P9343" s="120"/>
      <c r="Q9343" s="120"/>
      <c r="R9343" s="120"/>
      <c r="S9343" s="120"/>
      <c r="T9343" s="221"/>
      <c r="U9343" s="89"/>
      <c r="V9343" s="61"/>
      <c r="W9343" s="92" t="s">
        <v>1030</v>
      </c>
      <c r="X9343" s="93" t="s">
        <v>29</v>
      </c>
      <c r="Y9343" s="93" t="s">
        <v>93</v>
      </c>
      <c r="Z9343" s="134">
        <f>VLOOKUP(W9343,Sheet2!$B:$D,3,FALSE)</f>
        <v>23</v>
      </c>
      <c r="AA9343" s="93">
        <v>2</v>
      </c>
      <c r="AB9343" s="93">
        <f>AD9343/AC9335</f>
        <v>11.5</v>
      </c>
      <c r="AC9343" s="93">
        <f>AC9335/AA9343</f>
        <v>3.4049999999999994</v>
      </c>
      <c r="AD9343" s="94">
        <f t="shared" ref="AD9343:AD9344" si="6290">AC9343*Z9343</f>
        <v>78.314999999999984</v>
      </c>
      <c r="AE9343" s="190"/>
      <c r="AF9343" s="191"/>
      <c r="AG9343" s="191"/>
      <c r="AH9343" s="191"/>
      <c r="AI9343" s="186"/>
      <c r="AK9343" s="171"/>
    </row>
    <row r="9344" spans="1:37" s="102" customFormat="1" ht="19.899999999999999" customHeight="1" x14ac:dyDescent="0.25">
      <c r="A9344" s="45"/>
      <c r="B9344" s="59"/>
      <c r="C9344" s="137"/>
      <c r="D9344" s="59"/>
      <c r="E9344" s="116"/>
      <c r="F9344" s="120"/>
      <c r="G9344" s="120"/>
      <c r="H9344" s="120"/>
      <c r="I9344" s="60"/>
      <c r="J9344" s="116"/>
      <c r="K9344" s="213"/>
      <c r="L9344" s="120"/>
      <c r="M9344" s="120"/>
      <c r="N9344" s="167"/>
      <c r="O9344" s="120"/>
      <c r="P9344" s="120"/>
      <c r="Q9344" s="120"/>
      <c r="R9344" s="120"/>
      <c r="S9344" s="120"/>
      <c r="T9344" s="221"/>
      <c r="U9344" s="89"/>
      <c r="V9344" s="61"/>
      <c r="W9344" s="92" t="s">
        <v>65</v>
      </c>
      <c r="X9344" s="93" t="s">
        <v>30</v>
      </c>
      <c r="Y9344" s="93" t="s">
        <v>1011</v>
      </c>
      <c r="Z9344" s="134">
        <f>VLOOKUP(W9344,Sheet2!$B:$D,3,FALSE)</f>
        <v>1.76</v>
      </c>
      <c r="AA9344" s="93">
        <f>AA9343/3</f>
        <v>0.66666666666666663</v>
      </c>
      <c r="AB9344" s="93">
        <f>AD9344/AC9335</f>
        <v>2.64</v>
      </c>
      <c r="AC9344" s="93">
        <f>AC9335/AA9344</f>
        <v>10.214999999999998</v>
      </c>
      <c r="AD9344" s="94">
        <f t="shared" si="6290"/>
        <v>17.978399999999997</v>
      </c>
      <c r="AE9344" s="190"/>
      <c r="AF9344" s="191"/>
      <c r="AG9344" s="191"/>
      <c r="AH9344" s="191"/>
      <c r="AI9344" s="186"/>
      <c r="AK9344" s="171"/>
    </row>
    <row r="9345" spans="1:41" ht="20.100000000000001" customHeight="1" x14ac:dyDescent="0.25">
      <c r="A9345" s="277" t="s">
        <v>703</v>
      </c>
      <c r="B9345" s="278"/>
      <c r="C9345" s="64" t="s">
        <v>818</v>
      </c>
      <c r="D9345" s="46" t="s">
        <v>215</v>
      </c>
      <c r="E9345" s="114">
        <v>1.8600000000000003</v>
      </c>
      <c r="F9345" s="44">
        <v>12583</v>
      </c>
      <c r="G9345" s="44">
        <f t="shared" si="5545"/>
        <v>23404.380000000005</v>
      </c>
      <c r="H9345" s="44">
        <f t="shared" si="5546"/>
        <v>6112.4398455505279</v>
      </c>
      <c r="I9345" s="43">
        <f t="shared" si="5547"/>
        <v>11369.138112723984</v>
      </c>
      <c r="J9345" s="112">
        <f t="shared" si="5548"/>
        <v>1.8600000000000003</v>
      </c>
      <c r="K9345" s="211">
        <f t="shared" si="5549"/>
        <v>1.8600000000000003</v>
      </c>
      <c r="L9345" s="44"/>
      <c r="M9345" s="44">
        <f t="shared" si="5550"/>
        <v>1.8600000000000003</v>
      </c>
      <c r="N9345" s="173">
        <f t="shared" si="5551"/>
        <v>1</v>
      </c>
      <c r="O9345" s="44">
        <f t="shared" si="5552"/>
        <v>12583</v>
      </c>
      <c r="P9345" s="44">
        <f t="shared" si="5553"/>
        <v>23404.380000000005</v>
      </c>
      <c r="Q9345" s="44">
        <f t="shared" si="5554"/>
        <v>6112.4398455505279</v>
      </c>
      <c r="R9345" s="44">
        <f t="shared" si="5555"/>
        <v>11369.138112723984</v>
      </c>
      <c r="S9345" s="123"/>
      <c r="T9345" s="219">
        <f t="shared" si="5556"/>
        <v>11369.138112723984</v>
      </c>
      <c r="U9345" s="87"/>
      <c r="V9345" s="47"/>
      <c r="W9345" s="48"/>
      <c r="X9345" s="48"/>
      <c r="Y9345" s="48"/>
      <c r="Z9345" s="135"/>
      <c r="AA9345" s="49"/>
      <c r="AB9345" s="50">
        <f t="shared" si="5557"/>
        <v>6112.4398455505279</v>
      </c>
      <c r="AC9345" s="42">
        <f t="shared" si="5558"/>
        <v>1.8600000000000003</v>
      </c>
      <c r="AD9345" s="90">
        <f>AD9346+AD9351+AD9361+AD9364</f>
        <v>11369.138112723984</v>
      </c>
      <c r="AE9345" s="188">
        <f t="shared" ref="AE9345" si="6291">AE9346+AE9351+AE9361+AE9364</f>
        <v>0</v>
      </c>
      <c r="AF9345" s="189">
        <f t="shared" ref="AF9345" si="6292">AF9346+AF9351+AF9361+AF9364</f>
        <v>0</v>
      </c>
      <c r="AG9345" s="189">
        <f t="shared" ref="AG9345" si="6293">AG9346+AG9351+AG9361+AG9364</f>
        <v>0</v>
      </c>
      <c r="AH9345" s="189">
        <f t="shared" ref="AH9345" si="6294">AH9346+AH9351+AH9361+AH9364</f>
        <v>0</v>
      </c>
      <c r="AI9345" s="161">
        <f t="shared" ref="AI9345" si="6295">SUM(AE9345:AH9345)</f>
        <v>0</v>
      </c>
      <c r="AK9345" s="169">
        <v>5</v>
      </c>
      <c r="AO9345" s="19" t="s">
        <v>63</v>
      </c>
    </row>
    <row r="9346" spans="1:41" s="103" customFormat="1" ht="19.899999999999999" customHeight="1" x14ac:dyDescent="0.25">
      <c r="A9346" s="51"/>
      <c r="B9346" s="52"/>
      <c r="C9346" s="165"/>
      <c r="D9346" s="52"/>
      <c r="E9346" s="115"/>
      <c r="F9346" s="58"/>
      <c r="G9346" s="58"/>
      <c r="H9346" s="58"/>
      <c r="I9346" s="55"/>
      <c r="J9346" s="113">
        <f>J9345</f>
        <v>1.8600000000000003</v>
      </c>
      <c r="K9346" s="212">
        <f>K9345</f>
        <v>1.8600000000000003</v>
      </c>
      <c r="L9346" s="58"/>
      <c r="M9346" s="58">
        <f>K9346-L9346</f>
        <v>1.8600000000000003</v>
      </c>
      <c r="N9346" s="166"/>
      <c r="O9346" s="58"/>
      <c r="P9346" s="58"/>
      <c r="Q9346" s="58"/>
      <c r="R9346" s="58"/>
      <c r="S9346" s="58"/>
      <c r="T9346" s="220"/>
      <c r="U9346" s="88"/>
      <c r="V9346" s="56"/>
      <c r="W9346" s="57" t="s">
        <v>1638</v>
      </c>
      <c r="X9346" s="53"/>
      <c r="Y9346" s="91" t="s">
        <v>35</v>
      </c>
      <c r="Z9346" s="136">
        <f>AD9346/AC9346</f>
        <v>100.55215686274509</v>
      </c>
      <c r="AA9346" s="58"/>
      <c r="AB9346" s="53">
        <f>AD9346/AC9346</f>
        <v>100.55215686274509</v>
      </c>
      <c r="AC9346" s="53">
        <f>M9346+$AE$10</f>
        <v>1.8600000000000003</v>
      </c>
      <c r="AD9346" s="54">
        <f>SUM(AD9347:AD9350)</f>
        <v>187.02701176470592</v>
      </c>
      <c r="AE9346" s="184">
        <f>SUMIFS($AD$37:$AD$12971,$V$37:$V$12971,$V9346,$X$37:$X$12971,AE$13)</f>
        <v>0</v>
      </c>
      <c r="AF9346" s="185">
        <f>SUMIFS($AD$37:$AD$12971,$V$37:$V$12971,$V9346,$X$37:$X$12971,AF$13)</f>
        <v>0</v>
      </c>
      <c r="AG9346" s="185">
        <f>SUMIFS($AD$37:$AD$12971,$V$37:$V$12971,$V9346,$X$37:$X$12971,AG$13)</f>
        <v>0</v>
      </c>
      <c r="AH9346" s="187">
        <f>SUMIFS($AD$37:$AD$12971,$V$37:$V$12971,$V9346,$X$37:$X$12971,AH$13)</f>
        <v>0</v>
      </c>
      <c r="AI9346" s="161">
        <f t="shared" ref="AI9346" si="6296">SUM(AE9346:AH9346)</f>
        <v>0</v>
      </c>
      <c r="AK9346" s="172"/>
    </row>
    <row r="9347" spans="1:41" s="102" customFormat="1" ht="19.899999999999999" customHeight="1" x14ac:dyDescent="0.25">
      <c r="A9347" s="45"/>
      <c r="B9347" s="59"/>
      <c r="C9347" s="137"/>
      <c r="D9347" s="59"/>
      <c r="E9347" s="116"/>
      <c r="F9347" s="120"/>
      <c r="G9347" s="120"/>
      <c r="H9347" s="120"/>
      <c r="I9347" s="60"/>
      <c r="J9347" s="116"/>
      <c r="K9347" s="213"/>
      <c r="L9347" s="120"/>
      <c r="M9347" s="120"/>
      <c r="N9347" s="167"/>
      <c r="O9347" s="120"/>
      <c r="P9347" s="120"/>
      <c r="Q9347" s="120"/>
      <c r="R9347" s="120"/>
      <c r="S9347" s="120"/>
      <c r="T9347" s="221"/>
      <c r="U9347" s="89"/>
      <c r="V9347" s="61"/>
      <c r="W9347" s="92" t="s">
        <v>129</v>
      </c>
      <c r="X9347" s="93" t="s">
        <v>29</v>
      </c>
      <c r="Y9347" s="93" t="s">
        <v>93</v>
      </c>
      <c r="Z9347" s="134">
        <f>VLOOKUP(W9347,Sheet2!$B:$D,3,FALSE)</f>
        <v>56</v>
      </c>
      <c r="AA9347" s="93">
        <f>100/(2.5*2.5*4)</f>
        <v>4</v>
      </c>
      <c r="AB9347" s="93">
        <f t="shared" ref="AB9347" si="6297">AD9347/AC9346</f>
        <v>14.000000000000002</v>
      </c>
      <c r="AC9347" s="93">
        <f>AC9346/AA9347</f>
        <v>0.46500000000000008</v>
      </c>
      <c r="AD9347" s="94">
        <f t="shared" ref="AD9347:AD9348" si="6298">AC9347*Z9347</f>
        <v>26.040000000000006</v>
      </c>
      <c r="AE9347" s="190"/>
      <c r="AF9347" s="191"/>
      <c r="AG9347" s="191"/>
      <c r="AH9347" s="191"/>
      <c r="AI9347" s="186"/>
      <c r="AK9347" s="171"/>
    </row>
    <row r="9348" spans="1:41" s="102" customFormat="1" ht="19.899999999999999" customHeight="1" x14ac:dyDescent="0.25">
      <c r="A9348" s="45"/>
      <c r="B9348" s="59"/>
      <c r="C9348" s="137"/>
      <c r="D9348" s="59"/>
      <c r="E9348" s="116"/>
      <c r="F9348" s="120"/>
      <c r="G9348" s="120"/>
      <c r="H9348" s="120"/>
      <c r="I9348" s="60"/>
      <c r="J9348" s="116"/>
      <c r="K9348" s="213"/>
      <c r="L9348" s="120"/>
      <c r="M9348" s="120"/>
      <c r="N9348" s="167"/>
      <c r="O9348" s="120"/>
      <c r="P9348" s="120"/>
      <c r="Q9348" s="120"/>
      <c r="R9348" s="120"/>
      <c r="S9348" s="120"/>
      <c r="T9348" s="221"/>
      <c r="U9348" s="89"/>
      <c r="V9348" s="61"/>
      <c r="W9348" s="92" t="s">
        <v>65</v>
      </c>
      <c r="X9348" s="93" t="s">
        <v>30</v>
      </c>
      <c r="Y9348" s="93" t="s">
        <v>1011</v>
      </c>
      <c r="Z9348" s="134">
        <f>VLOOKUP(W9348,Sheet2!$B:$D,3,FALSE)</f>
        <v>1.76</v>
      </c>
      <c r="AA9348" s="93">
        <f>AA9347/14</f>
        <v>0.2857142857142857</v>
      </c>
      <c r="AB9348" s="93">
        <f>AD9348/AC9346</f>
        <v>6.16</v>
      </c>
      <c r="AC9348" s="93">
        <f>AC9346/AA9348</f>
        <v>6.5100000000000016</v>
      </c>
      <c r="AD9348" s="94">
        <f t="shared" si="6298"/>
        <v>11.457600000000003</v>
      </c>
      <c r="AE9348" s="190"/>
      <c r="AF9348" s="191"/>
      <c r="AG9348" s="191"/>
      <c r="AH9348" s="191"/>
      <c r="AI9348" s="186"/>
      <c r="AK9348" s="171"/>
    </row>
    <row r="9349" spans="1:41" s="102" customFormat="1" ht="19.899999999999999" customHeight="1" x14ac:dyDescent="0.25">
      <c r="A9349" s="45"/>
      <c r="B9349" s="59"/>
      <c r="C9349" s="137"/>
      <c r="D9349" s="59"/>
      <c r="E9349" s="116"/>
      <c r="F9349" s="120"/>
      <c r="G9349" s="120"/>
      <c r="H9349" s="120"/>
      <c r="I9349" s="60"/>
      <c r="J9349" s="116"/>
      <c r="K9349" s="213"/>
      <c r="L9349" s="120"/>
      <c r="M9349" s="120"/>
      <c r="N9349" s="167"/>
      <c r="O9349" s="120"/>
      <c r="P9349" s="120"/>
      <c r="Q9349" s="120"/>
      <c r="R9349" s="120"/>
      <c r="S9349" s="120"/>
      <c r="T9349" s="221"/>
      <c r="U9349" s="89"/>
      <c r="V9349" s="61"/>
      <c r="W9349" s="92" t="s">
        <v>161</v>
      </c>
      <c r="X9349" s="93" t="s">
        <v>29</v>
      </c>
      <c r="Y9349" s="93" t="s">
        <v>93</v>
      </c>
      <c r="Z9349" s="134">
        <f>VLOOKUP(W9349,Sheet2!$B:$D,3,FALSE)</f>
        <v>48</v>
      </c>
      <c r="AA9349" s="93">
        <f>(16*0.85*1.5)/(2.5*2.5*4)</f>
        <v>0.81599999999999995</v>
      </c>
      <c r="AB9349" s="93">
        <f>AD9349/AC9346</f>
        <v>58.82352941176471</v>
      </c>
      <c r="AC9349" s="93">
        <f>AC9346/AA9349</f>
        <v>2.2794117647058827</v>
      </c>
      <c r="AD9349" s="94">
        <f>AC9349*Z9349</f>
        <v>109.41176470588238</v>
      </c>
      <c r="AE9349" s="190"/>
      <c r="AF9349" s="191"/>
      <c r="AG9349" s="191"/>
      <c r="AH9349" s="191"/>
      <c r="AI9349" s="186"/>
      <c r="AK9349" s="171"/>
    </row>
    <row r="9350" spans="1:41" s="102" customFormat="1" ht="19.899999999999999" customHeight="1" x14ac:dyDescent="0.25">
      <c r="A9350" s="45"/>
      <c r="B9350" s="59"/>
      <c r="C9350" s="137"/>
      <c r="D9350" s="59"/>
      <c r="E9350" s="116"/>
      <c r="F9350" s="120"/>
      <c r="G9350" s="120"/>
      <c r="H9350" s="120"/>
      <c r="I9350" s="60"/>
      <c r="J9350" s="116"/>
      <c r="K9350" s="213"/>
      <c r="L9350" s="120"/>
      <c r="M9350" s="120"/>
      <c r="N9350" s="167"/>
      <c r="O9350" s="120"/>
      <c r="P9350" s="120"/>
      <c r="Q9350" s="120"/>
      <c r="R9350" s="120"/>
      <c r="S9350" s="120"/>
      <c r="T9350" s="221"/>
      <c r="U9350" s="89"/>
      <c r="V9350" s="61"/>
      <c r="W9350" s="92" t="s">
        <v>65</v>
      </c>
      <c r="X9350" s="93" t="s">
        <v>30</v>
      </c>
      <c r="Y9350" s="93" t="s">
        <v>1011</v>
      </c>
      <c r="Z9350" s="134">
        <f>VLOOKUP(W9350,Sheet2!$B:$D,3,FALSE)</f>
        <v>1.76</v>
      </c>
      <c r="AA9350" s="93">
        <f>AA9349/10</f>
        <v>8.1599999999999992E-2</v>
      </c>
      <c r="AB9350" s="93">
        <f>AD9350/AC9346</f>
        <v>21.568627450980397</v>
      </c>
      <c r="AC9350" s="93">
        <f>AC9346/AA9350</f>
        <v>22.79411764705883</v>
      </c>
      <c r="AD9350" s="94">
        <f>AC9350*Z9350</f>
        <v>40.117647058823543</v>
      </c>
      <c r="AE9350" s="190"/>
      <c r="AF9350" s="191"/>
      <c r="AG9350" s="191"/>
      <c r="AH9350" s="191"/>
      <c r="AI9350" s="186"/>
      <c r="AK9350" s="171"/>
    </row>
    <row r="9351" spans="1:41" s="103" customFormat="1" ht="19.899999999999999" customHeight="1" x14ac:dyDescent="0.25">
      <c r="A9351" s="51"/>
      <c r="B9351" s="52"/>
      <c r="C9351" s="165"/>
      <c r="D9351" s="52"/>
      <c r="E9351" s="115"/>
      <c r="F9351" s="58"/>
      <c r="G9351" s="58"/>
      <c r="H9351" s="58"/>
      <c r="I9351" s="55"/>
      <c r="J9351" s="113">
        <f>J9345</f>
        <v>1.8600000000000003</v>
      </c>
      <c r="K9351" s="212">
        <f>K9345</f>
        <v>1.8600000000000003</v>
      </c>
      <c r="L9351" s="58"/>
      <c r="M9351" s="58">
        <f>K9351-L9351</f>
        <v>1.8600000000000003</v>
      </c>
      <c r="N9351" s="166"/>
      <c r="O9351" s="58"/>
      <c r="P9351" s="58"/>
      <c r="Q9351" s="58"/>
      <c r="R9351" s="58"/>
      <c r="S9351" s="58"/>
      <c r="T9351" s="220"/>
      <c r="U9351" s="88"/>
      <c r="V9351" s="56"/>
      <c r="W9351" s="57" t="s">
        <v>1636</v>
      </c>
      <c r="X9351" s="53"/>
      <c r="Y9351" s="91" t="s">
        <v>35</v>
      </c>
      <c r="Z9351" s="136">
        <f>AD9351/AC9351</f>
        <v>4547.2030769230769</v>
      </c>
      <c r="AA9351" s="58"/>
      <c r="AB9351" s="53">
        <f>AD9351/AC9351</f>
        <v>4547.2030769230769</v>
      </c>
      <c r="AC9351" s="53">
        <f>M9351+$AE$10</f>
        <v>1.8600000000000003</v>
      </c>
      <c r="AD9351" s="54">
        <f>SUM(AD9352:AD9360)</f>
        <v>8457.7977230769247</v>
      </c>
      <c r="AE9351" s="184">
        <f>SUMIFS($AD$37:$AD$12971,$V$37:$V$12971,$V9351,$X$37:$X$12971,AE$13)</f>
        <v>0</v>
      </c>
      <c r="AF9351" s="185">
        <f>SUMIFS($AD$37:$AD$12971,$V$37:$V$12971,$V9351,$X$37:$X$12971,AF$13)</f>
        <v>0</v>
      </c>
      <c r="AG9351" s="185">
        <f>SUMIFS($AD$37:$AD$12971,$V$37:$V$12971,$V9351,$X$37:$X$12971,AG$13)</f>
        <v>0</v>
      </c>
      <c r="AH9351" s="187">
        <f>SUMIFS($AD$37:$AD$12971,$V$37:$V$12971,$V9351,$X$37:$X$12971,AH$13)</f>
        <v>0</v>
      </c>
      <c r="AI9351" s="161">
        <f t="shared" ref="AI9351" si="6299">SUM(AE9351:AH9351)</f>
        <v>0</v>
      </c>
      <c r="AK9351" s="172"/>
    </row>
    <row r="9352" spans="1:41" s="102" customFormat="1" ht="19.899999999999999" customHeight="1" x14ac:dyDescent="0.25">
      <c r="A9352" s="45"/>
      <c r="B9352" s="59"/>
      <c r="C9352" s="137"/>
      <c r="D9352" s="59"/>
      <c r="E9352" s="116"/>
      <c r="F9352" s="120"/>
      <c r="G9352" s="120"/>
      <c r="H9352" s="120"/>
      <c r="I9352" s="60"/>
      <c r="J9352" s="116"/>
      <c r="K9352" s="213"/>
      <c r="L9352" s="120"/>
      <c r="M9352" s="120"/>
      <c r="N9352" s="167"/>
      <c r="O9352" s="120"/>
      <c r="P9352" s="120"/>
      <c r="Q9352" s="120"/>
      <c r="R9352" s="120"/>
      <c r="S9352" s="120"/>
      <c r="T9352" s="221"/>
      <c r="U9352" s="89"/>
      <c r="V9352" s="61"/>
      <c r="W9352" s="92" t="s">
        <v>1353</v>
      </c>
      <c r="X9352" s="93" t="s">
        <v>30</v>
      </c>
      <c r="Y9352" s="93" t="s">
        <v>66</v>
      </c>
      <c r="Z9352" s="134">
        <f>VLOOKUP(W9352,Sheet2!$B:$D,3,FALSE)</f>
        <v>350</v>
      </c>
      <c r="AA9352" s="93">
        <f>1/((1*4*0.2*4)+(1*1*0.3))</f>
        <v>0.2857142857142857</v>
      </c>
      <c r="AB9352" s="93">
        <f>AD9352/AC9351</f>
        <v>1225</v>
      </c>
      <c r="AC9352" s="93">
        <f>AC9351/AA9352</f>
        <v>6.5100000000000016</v>
      </c>
      <c r="AD9352" s="94">
        <f t="shared" ref="AD9352:AD9353" si="6300">AC9352*Z9352</f>
        <v>2278.5000000000005</v>
      </c>
      <c r="AE9352" s="190"/>
      <c r="AF9352" s="191"/>
      <c r="AG9352" s="191"/>
      <c r="AH9352" s="191"/>
      <c r="AI9352" s="186"/>
      <c r="AK9352" s="171"/>
    </row>
    <row r="9353" spans="1:41" s="102" customFormat="1" ht="19.899999999999999" customHeight="1" x14ac:dyDescent="0.25">
      <c r="A9353" s="45"/>
      <c r="B9353" s="59"/>
      <c r="C9353" s="137"/>
      <c r="D9353" s="59"/>
      <c r="E9353" s="116"/>
      <c r="F9353" s="120"/>
      <c r="G9353" s="120"/>
      <c r="H9353" s="120"/>
      <c r="I9353" s="60"/>
      <c r="J9353" s="116"/>
      <c r="K9353" s="213"/>
      <c r="L9353" s="120"/>
      <c r="M9353" s="120"/>
      <c r="N9353" s="167"/>
      <c r="O9353" s="120"/>
      <c r="P9353" s="120"/>
      <c r="Q9353" s="120"/>
      <c r="R9353" s="120"/>
      <c r="S9353" s="120"/>
      <c r="T9353" s="221"/>
      <c r="U9353" s="89"/>
      <c r="V9353" s="61"/>
      <c r="W9353" s="92" t="s">
        <v>99</v>
      </c>
      <c r="X9353" s="93" t="s">
        <v>30</v>
      </c>
      <c r="Y9353" s="93" t="s">
        <v>67</v>
      </c>
      <c r="Z9353" s="134">
        <f>VLOOKUP(W9353,Sheet2!$B:$D,3,FALSE)</f>
        <v>2500</v>
      </c>
      <c r="AA9353" s="93">
        <f>AA9352/0.08</f>
        <v>3.5714285714285712</v>
      </c>
      <c r="AB9353" s="93">
        <f>AD9353/AC9351</f>
        <v>700.00000000000011</v>
      </c>
      <c r="AC9353" s="93">
        <f>AC9351/AA9353</f>
        <v>0.52080000000000015</v>
      </c>
      <c r="AD9353" s="94">
        <f t="shared" si="6300"/>
        <v>1302.0000000000005</v>
      </c>
      <c r="AE9353" s="190"/>
      <c r="AF9353" s="191"/>
      <c r="AG9353" s="191"/>
      <c r="AH9353" s="191"/>
      <c r="AI9353" s="186"/>
      <c r="AK9353" s="171"/>
    </row>
    <row r="9354" spans="1:41" s="102" customFormat="1" ht="19.899999999999999" customHeight="1" x14ac:dyDescent="0.25">
      <c r="A9354" s="45"/>
      <c r="B9354" s="59"/>
      <c r="C9354" s="137"/>
      <c r="D9354" s="59"/>
      <c r="E9354" s="116"/>
      <c r="F9354" s="120"/>
      <c r="G9354" s="120"/>
      <c r="H9354" s="120"/>
      <c r="I9354" s="60"/>
      <c r="J9354" s="116"/>
      <c r="K9354" s="213"/>
      <c r="L9354" s="120"/>
      <c r="M9354" s="120"/>
      <c r="N9354" s="167"/>
      <c r="O9354" s="120"/>
      <c r="P9354" s="120"/>
      <c r="Q9354" s="120"/>
      <c r="R9354" s="120"/>
      <c r="S9354" s="120"/>
      <c r="T9354" s="221"/>
      <c r="U9354" s="89"/>
      <c r="V9354" s="61"/>
      <c r="W9354" s="92" t="s">
        <v>1533</v>
      </c>
      <c r="X9354" s="93" t="s">
        <v>32</v>
      </c>
      <c r="Y9354" s="93" t="s">
        <v>66</v>
      </c>
      <c r="Z9354" s="134">
        <f>VLOOKUP(W9354,Sheet2!$B:$D,3,FALSE)</f>
        <v>300</v>
      </c>
      <c r="AA9354" s="93">
        <f>AA9352</f>
        <v>0.2857142857142857</v>
      </c>
      <c r="AB9354" s="93">
        <f>AD9354/AC9351</f>
        <v>1050</v>
      </c>
      <c r="AC9354" s="93">
        <f>AC9351/AA9354</f>
        <v>6.5100000000000016</v>
      </c>
      <c r="AD9354" s="94">
        <f>AC9354*Z9354</f>
        <v>1953.0000000000005</v>
      </c>
      <c r="AE9354" s="190"/>
      <c r="AF9354" s="191"/>
      <c r="AG9354" s="191"/>
      <c r="AH9354" s="191"/>
      <c r="AI9354" s="186"/>
      <c r="AK9354" s="171"/>
    </row>
    <row r="9355" spans="1:41" s="102" customFormat="1" ht="19.899999999999999" customHeight="1" x14ac:dyDescent="0.25">
      <c r="A9355" s="45"/>
      <c r="B9355" s="59"/>
      <c r="C9355" s="137"/>
      <c r="D9355" s="59"/>
      <c r="E9355" s="116"/>
      <c r="F9355" s="120"/>
      <c r="G9355" s="120"/>
      <c r="H9355" s="120"/>
      <c r="I9355" s="60"/>
      <c r="J9355" s="116"/>
      <c r="K9355" s="213"/>
      <c r="L9355" s="120"/>
      <c r="M9355" s="120"/>
      <c r="N9355" s="167"/>
      <c r="O9355" s="120"/>
      <c r="P9355" s="120"/>
      <c r="Q9355" s="120"/>
      <c r="R9355" s="120"/>
      <c r="S9355" s="120"/>
      <c r="T9355" s="221"/>
      <c r="U9355" s="89"/>
      <c r="V9355" s="61"/>
      <c r="W9355" s="92" t="s">
        <v>1634</v>
      </c>
      <c r="X9355" s="93" t="s">
        <v>30</v>
      </c>
      <c r="Y9355" s="93" t="s">
        <v>35</v>
      </c>
      <c r="Z9355" s="134">
        <f>VLOOKUP(W9355,Sheet2!$B:$D,3,FALSE)</f>
        <v>1250</v>
      </c>
      <c r="AA9355" s="93">
        <v>1</v>
      </c>
      <c r="AB9355" s="93">
        <f>AD9355/AC9351</f>
        <v>1250</v>
      </c>
      <c r="AC9355" s="93">
        <f>AC9351/AA9355</f>
        <v>1.8600000000000003</v>
      </c>
      <c r="AD9355" s="94">
        <f t="shared" ref="AD9355:AD9356" si="6301">AC9355*Z9355</f>
        <v>2325.0000000000005</v>
      </c>
      <c r="AE9355" s="190"/>
      <c r="AF9355" s="191"/>
      <c r="AG9355" s="191"/>
      <c r="AH9355" s="191"/>
      <c r="AI9355" s="186"/>
      <c r="AK9355" s="171"/>
    </row>
    <row r="9356" spans="1:41" s="102" customFormat="1" ht="19.899999999999999" customHeight="1" x14ac:dyDescent="0.25">
      <c r="A9356" s="45"/>
      <c r="B9356" s="59"/>
      <c r="C9356" s="137"/>
      <c r="D9356" s="59"/>
      <c r="E9356" s="116"/>
      <c r="F9356" s="120"/>
      <c r="G9356" s="120"/>
      <c r="H9356" s="120"/>
      <c r="I9356" s="60"/>
      <c r="J9356" s="116"/>
      <c r="K9356" s="213"/>
      <c r="L9356" s="120"/>
      <c r="M9356" s="120"/>
      <c r="N9356" s="167"/>
      <c r="O9356" s="120"/>
      <c r="P9356" s="120"/>
      <c r="Q9356" s="120"/>
      <c r="R9356" s="120"/>
      <c r="S9356" s="120"/>
      <c r="T9356" s="221"/>
      <c r="U9356" s="89"/>
      <c r="V9356" s="61"/>
      <c r="W9356" s="92" t="s">
        <v>142</v>
      </c>
      <c r="X9356" s="93" t="s">
        <v>29</v>
      </c>
      <c r="Y9356" s="93" t="s">
        <v>93</v>
      </c>
      <c r="Z9356" s="134">
        <f>VLOOKUP(W9356,Sheet2!$B:$D,3,FALSE)</f>
        <v>67.692307692307693</v>
      </c>
      <c r="AA9356" s="93">
        <v>4</v>
      </c>
      <c r="AB9356" s="93">
        <f>AD9356/AC9351</f>
        <v>16.923076923076923</v>
      </c>
      <c r="AC9356" s="93">
        <f>AC9351/AA9356</f>
        <v>0.46500000000000008</v>
      </c>
      <c r="AD9356" s="94">
        <f t="shared" si="6301"/>
        <v>31.476923076923082</v>
      </c>
      <c r="AE9356" s="190"/>
      <c r="AF9356" s="191"/>
      <c r="AG9356" s="191"/>
      <c r="AH9356" s="191"/>
      <c r="AI9356" s="186"/>
      <c r="AK9356" s="171"/>
    </row>
    <row r="9357" spans="1:41" s="102" customFormat="1" ht="19.899999999999999" customHeight="1" x14ac:dyDescent="0.25">
      <c r="A9357" s="45"/>
      <c r="B9357" s="59"/>
      <c r="C9357" s="137"/>
      <c r="D9357" s="59"/>
      <c r="E9357" s="116"/>
      <c r="F9357" s="120"/>
      <c r="G9357" s="120"/>
      <c r="H9357" s="120"/>
      <c r="I9357" s="60"/>
      <c r="J9357" s="116"/>
      <c r="K9357" s="213"/>
      <c r="L9357" s="120"/>
      <c r="M9357" s="120"/>
      <c r="N9357" s="167"/>
      <c r="O9357" s="120"/>
      <c r="P9357" s="120"/>
      <c r="Q9357" s="120"/>
      <c r="R9357" s="120"/>
      <c r="S9357" s="120"/>
      <c r="T9357" s="221"/>
      <c r="U9357" s="89"/>
      <c r="V9357" s="61"/>
      <c r="W9357" s="92" t="s">
        <v>65</v>
      </c>
      <c r="X9357" s="93" t="s">
        <v>30</v>
      </c>
      <c r="Y9357" s="93" t="s">
        <v>93</v>
      </c>
      <c r="Z9357" s="134">
        <f>VLOOKUP(W9357,Sheet2!$B:$D,3,FALSE)</f>
        <v>1.76</v>
      </c>
      <c r="AA9357" s="93">
        <f>AA9356/12</f>
        <v>0.33333333333333331</v>
      </c>
      <c r="AB9357" s="93">
        <f>AD9357/AC9351</f>
        <v>5.28</v>
      </c>
      <c r="AC9357" s="93">
        <f>AC9351/AA9357</f>
        <v>5.580000000000001</v>
      </c>
      <c r="AD9357" s="94">
        <f>AC9357*Z9357</f>
        <v>9.820800000000002</v>
      </c>
      <c r="AE9357" s="190"/>
      <c r="AF9357" s="191"/>
      <c r="AG9357" s="191"/>
      <c r="AH9357" s="191"/>
      <c r="AI9357" s="186"/>
      <c r="AK9357" s="171"/>
    </row>
    <row r="9358" spans="1:41" s="102" customFormat="1" ht="19.899999999999999" customHeight="1" x14ac:dyDescent="0.25">
      <c r="A9358" s="45"/>
      <c r="B9358" s="59"/>
      <c r="C9358" s="137"/>
      <c r="D9358" s="59"/>
      <c r="E9358" s="116"/>
      <c r="F9358" s="120"/>
      <c r="G9358" s="120"/>
      <c r="H9358" s="120"/>
      <c r="I9358" s="60"/>
      <c r="J9358" s="116"/>
      <c r="K9358" s="213"/>
      <c r="L9358" s="120"/>
      <c r="M9358" s="120"/>
      <c r="N9358" s="167"/>
      <c r="O9358" s="120"/>
      <c r="P9358" s="120"/>
      <c r="Q9358" s="120"/>
      <c r="R9358" s="120"/>
      <c r="S9358" s="120"/>
      <c r="T9358" s="221"/>
      <c r="U9358" s="89"/>
      <c r="V9358" s="61"/>
      <c r="W9358" s="92" t="s">
        <v>1357</v>
      </c>
      <c r="X9358" s="93" t="s">
        <v>30</v>
      </c>
      <c r="Y9358" s="93" t="s">
        <v>1349</v>
      </c>
      <c r="Z9358" s="134">
        <f>VLOOKUP(W9358,Sheet2!$B:$D,3,FALSE)</f>
        <v>150</v>
      </c>
      <c r="AA9358" s="93">
        <v>1</v>
      </c>
      <c r="AB9358" s="93">
        <f>AD9358/AC9351</f>
        <v>150</v>
      </c>
      <c r="AC9358" s="93">
        <f>AC9351/AA9358</f>
        <v>1.8600000000000003</v>
      </c>
      <c r="AD9358" s="94">
        <f>AC9358*Z9358</f>
        <v>279.00000000000006</v>
      </c>
      <c r="AE9358" s="190"/>
      <c r="AF9358" s="191"/>
      <c r="AG9358" s="191"/>
      <c r="AH9358" s="191"/>
      <c r="AI9358" s="186"/>
      <c r="AK9358" s="171"/>
    </row>
    <row r="9359" spans="1:41" s="102" customFormat="1" ht="19.899999999999999" customHeight="1" x14ac:dyDescent="0.25">
      <c r="A9359" s="45"/>
      <c r="B9359" s="59"/>
      <c r="C9359" s="137"/>
      <c r="D9359" s="59"/>
      <c r="E9359" s="116"/>
      <c r="F9359" s="120"/>
      <c r="G9359" s="120"/>
      <c r="H9359" s="120"/>
      <c r="I9359" s="60"/>
      <c r="J9359" s="116"/>
      <c r="K9359" s="213"/>
      <c r="L9359" s="120"/>
      <c r="M9359" s="120"/>
      <c r="N9359" s="167"/>
      <c r="O9359" s="120"/>
      <c r="P9359" s="120"/>
      <c r="Q9359" s="120"/>
      <c r="R9359" s="120"/>
      <c r="S9359" s="120"/>
      <c r="T9359" s="221"/>
      <c r="U9359" s="89"/>
      <c r="V9359" s="61"/>
      <c r="W9359" s="92" t="s">
        <v>107</v>
      </c>
      <c r="X9359" s="93" t="s">
        <v>31</v>
      </c>
      <c r="Y9359" s="93" t="s">
        <v>93</v>
      </c>
      <c r="Z9359" s="134">
        <f>VLOOKUP(W9359,Sheet2!$B:$D,3,FALSE)</f>
        <v>17</v>
      </c>
      <c r="AA9359" s="93">
        <f>1/5</f>
        <v>0.2</v>
      </c>
      <c r="AB9359" s="93">
        <f>AD9359/AC9351</f>
        <v>85</v>
      </c>
      <c r="AC9359" s="93">
        <f>AC9351/AA9359</f>
        <v>9.3000000000000007</v>
      </c>
      <c r="AD9359" s="94">
        <f>AC9359*Z9359</f>
        <v>158.10000000000002</v>
      </c>
      <c r="AE9359" s="190"/>
      <c r="AF9359" s="191"/>
      <c r="AG9359" s="191"/>
      <c r="AH9359" s="191"/>
      <c r="AI9359" s="186"/>
      <c r="AK9359" s="171"/>
    </row>
    <row r="9360" spans="1:41" s="102" customFormat="1" ht="19.899999999999999" customHeight="1" x14ac:dyDescent="0.25">
      <c r="A9360" s="45"/>
      <c r="B9360" s="59"/>
      <c r="C9360" s="137"/>
      <c r="D9360" s="59"/>
      <c r="E9360" s="116"/>
      <c r="F9360" s="120"/>
      <c r="G9360" s="120"/>
      <c r="H9360" s="120"/>
      <c r="I9360" s="60"/>
      <c r="J9360" s="116"/>
      <c r="K9360" s="213"/>
      <c r="L9360" s="120"/>
      <c r="M9360" s="120"/>
      <c r="N9360" s="167"/>
      <c r="O9360" s="120"/>
      <c r="P9360" s="120"/>
      <c r="Q9360" s="120"/>
      <c r="R9360" s="120"/>
      <c r="S9360" s="120"/>
      <c r="T9360" s="221"/>
      <c r="U9360" s="89"/>
      <c r="V9360" s="61"/>
      <c r="W9360" s="92" t="s">
        <v>112</v>
      </c>
      <c r="X9360" s="93" t="s">
        <v>31</v>
      </c>
      <c r="Y9360" s="93" t="s">
        <v>93</v>
      </c>
      <c r="Z9360" s="134">
        <f>VLOOKUP(W9360,Sheet2!$B:$D,3,FALSE)</f>
        <v>13</v>
      </c>
      <c r="AA9360" s="93">
        <f>AA9359</f>
        <v>0.2</v>
      </c>
      <c r="AB9360" s="93">
        <f>AD9360/AC9351</f>
        <v>64.999999999999986</v>
      </c>
      <c r="AC9360" s="93">
        <f>AC9351/AA9360</f>
        <v>9.3000000000000007</v>
      </c>
      <c r="AD9360" s="94">
        <f>AC9360*Z9360</f>
        <v>120.9</v>
      </c>
      <c r="AE9360" s="190"/>
      <c r="AF9360" s="191"/>
      <c r="AG9360" s="191"/>
      <c r="AH9360" s="191"/>
      <c r="AI9360" s="186"/>
      <c r="AK9360" s="171"/>
    </row>
    <row r="9361" spans="1:41" s="103" customFormat="1" ht="19.899999999999999" customHeight="1" x14ac:dyDescent="0.25">
      <c r="A9361" s="51"/>
      <c r="B9361" s="52"/>
      <c r="C9361" s="165"/>
      <c r="D9361" s="52"/>
      <c r="E9361" s="115"/>
      <c r="F9361" s="58"/>
      <c r="G9361" s="58"/>
      <c r="H9361" s="58"/>
      <c r="I9361" s="55"/>
      <c r="J9361" s="113">
        <f>J9345</f>
        <v>1.8600000000000003</v>
      </c>
      <c r="K9361" s="212">
        <f>K9345</f>
        <v>1.8600000000000003</v>
      </c>
      <c r="L9361" s="58"/>
      <c r="M9361" s="58">
        <f>K9361-L9361</f>
        <v>1.8600000000000003</v>
      </c>
      <c r="N9361" s="166"/>
      <c r="O9361" s="58"/>
      <c r="P9361" s="58"/>
      <c r="Q9361" s="58"/>
      <c r="R9361" s="58"/>
      <c r="S9361" s="58"/>
      <c r="T9361" s="220"/>
      <c r="U9361" s="88"/>
      <c r="V9361" s="56"/>
      <c r="W9361" s="57" t="s">
        <v>1358</v>
      </c>
      <c r="X9361" s="53"/>
      <c r="Y9361" s="91" t="s">
        <v>35</v>
      </c>
      <c r="Z9361" s="136">
        <f>AD9361/AC9361</f>
        <v>1120</v>
      </c>
      <c r="AA9361" s="58"/>
      <c r="AB9361" s="53">
        <f>AD9361/AC9361</f>
        <v>1120</v>
      </c>
      <c r="AC9361" s="53">
        <f>M9361+$AE$10</f>
        <v>1.8600000000000003</v>
      </c>
      <c r="AD9361" s="54">
        <f>SUM(AD9362:AD9363)</f>
        <v>2083.2000000000003</v>
      </c>
      <c r="AE9361" s="184">
        <f>SUMIFS($AD$37:$AD$12971,$V$37:$V$12971,$V9361,$X$37:$X$12971,AE$13)</f>
        <v>0</v>
      </c>
      <c r="AF9361" s="185">
        <f>SUMIFS($AD$37:$AD$12971,$V$37:$V$12971,$V9361,$X$37:$X$12971,AF$13)</f>
        <v>0</v>
      </c>
      <c r="AG9361" s="185">
        <f>SUMIFS($AD$37:$AD$12971,$V$37:$V$12971,$V9361,$X$37:$X$12971,AG$13)</f>
        <v>0</v>
      </c>
      <c r="AH9361" s="187">
        <f>SUMIFS($AD$37:$AD$12971,$V$37:$V$12971,$V9361,$X$37:$X$12971,AH$13)</f>
        <v>0</v>
      </c>
      <c r="AI9361" s="161">
        <f t="shared" ref="AI9361" si="6302">SUM(AE9361:AH9361)</f>
        <v>0</v>
      </c>
      <c r="AK9361" s="172"/>
    </row>
    <row r="9362" spans="1:41" s="102" customFormat="1" ht="19.899999999999999" customHeight="1" x14ac:dyDescent="0.25">
      <c r="A9362" s="45"/>
      <c r="B9362" s="59"/>
      <c r="C9362" s="137"/>
      <c r="D9362" s="59"/>
      <c r="E9362" s="116"/>
      <c r="F9362" s="120"/>
      <c r="G9362" s="120"/>
      <c r="H9362" s="120"/>
      <c r="I9362" s="60"/>
      <c r="J9362" s="116"/>
      <c r="K9362" s="213"/>
      <c r="L9362" s="120"/>
      <c r="M9362" s="120"/>
      <c r="N9362" s="167"/>
      <c r="O9362" s="120"/>
      <c r="P9362" s="120"/>
      <c r="Q9362" s="120"/>
      <c r="R9362" s="120"/>
      <c r="S9362" s="120"/>
      <c r="T9362" s="221"/>
      <c r="U9362" s="89"/>
      <c r="V9362" s="61"/>
      <c r="W9362" s="92" t="s">
        <v>1359</v>
      </c>
      <c r="X9362" s="93" t="s">
        <v>32</v>
      </c>
      <c r="Y9362" s="93" t="s">
        <v>64</v>
      </c>
      <c r="Z9362" s="134">
        <f>VLOOKUP(W9362,Sheet2!$B:$D,3,FALSE)</f>
        <v>40</v>
      </c>
      <c r="AA9362" s="93">
        <f>1/(1*4*4)</f>
        <v>6.25E-2</v>
      </c>
      <c r="AB9362" s="93">
        <f t="shared" ref="AB9362" si="6303">AD9362/AC9361</f>
        <v>639.99999999999989</v>
      </c>
      <c r="AC9362" s="93">
        <f>AC9361/AA9362</f>
        <v>29.760000000000005</v>
      </c>
      <c r="AD9362" s="94">
        <f t="shared" ref="AD9362:AD9363" si="6304">AC9362*Z9362</f>
        <v>1190.4000000000001</v>
      </c>
      <c r="AE9362" s="190"/>
      <c r="AF9362" s="191"/>
      <c r="AG9362" s="191"/>
      <c r="AH9362" s="191"/>
      <c r="AI9362" s="186"/>
      <c r="AK9362" s="171"/>
    </row>
    <row r="9363" spans="1:41" s="102" customFormat="1" ht="19.899999999999999" customHeight="1" x14ac:dyDescent="0.25">
      <c r="A9363" s="45"/>
      <c r="B9363" s="59"/>
      <c r="C9363" s="137"/>
      <c r="D9363" s="59"/>
      <c r="E9363" s="116"/>
      <c r="F9363" s="120"/>
      <c r="G9363" s="120"/>
      <c r="H9363" s="120"/>
      <c r="I9363" s="60"/>
      <c r="J9363" s="116"/>
      <c r="K9363" s="213"/>
      <c r="L9363" s="120"/>
      <c r="M9363" s="120"/>
      <c r="N9363" s="167"/>
      <c r="O9363" s="120"/>
      <c r="P9363" s="120"/>
      <c r="Q9363" s="120"/>
      <c r="R9363" s="120"/>
      <c r="S9363" s="120"/>
      <c r="T9363" s="221"/>
      <c r="U9363" s="89"/>
      <c r="V9363" s="61"/>
      <c r="W9363" s="92" t="s">
        <v>1360</v>
      </c>
      <c r="X9363" s="93" t="s">
        <v>32</v>
      </c>
      <c r="Y9363" s="93" t="s">
        <v>64</v>
      </c>
      <c r="Z9363" s="134">
        <f>VLOOKUP(W9363,Sheet2!$B:$D,3,FALSE)</f>
        <v>30</v>
      </c>
      <c r="AA9363" s="93">
        <f>AA9362</f>
        <v>6.25E-2</v>
      </c>
      <c r="AB9363" s="93">
        <f>AD9363/AC9361</f>
        <v>480</v>
      </c>
      <c r="AC9363" s="93">
        <f>AC9361/AA9363</f>
        <v>29.760000000000005</v>
      </c>
      <c r="AD9363" s="94">
        <f t="shared" si="6304"/>
        <v>892.80000000000018</v>
      </c>
      <c r="AE9363" s="190"/>
      <c r="AF9363" s="191"/>
      <c r="AG9363" s="191"/>
      <c r="AH9363" s="191"/>
      <c r="AI9363" s="186"/>
      <c r="AK9363" s="171"/>
    </row>
    <row r="9364" spans="1:41" s="103" customFormat="1" ht="19.899999999999999" customHeight="1" x14ac:dyDescent="0.25">
      <c r="A9364" s="51"/>
      <c r="B9364" s="52"/>
      <c r="C9364" s="165"/>
      <c r="D9364" s="52"/>
      <c r="E9364" s="115"/>
      <c r="F9364" s="58"/>
      <c r="G9364" s="58"/>
      <c r="H9364" s="58"/>
      <c r="I9364" s="55"/>
      <c r="J9364" s="113">
        <f>J9345</f>
        <v>1.8600000000000003</v>
      </c>
      <c r="K9364" s="212">
        <f>K9345</f>
        <v>1.8600000000000003</v>
      </c>
      <c r="L9364" s="58"/>
      <c r="M9364" s="58">
        <f>K9364-L9364</f>
        <v>1.8600000000000003</v>
      </c>
      <c r="N9364" s="166"/>
      <c r="O9364" s="58"/>
      <c r="P9364" s="58"/>
      <c r="Q9364" s="58"/>
      <c r="R9364" s="58"/>
      <c r="S9364" s="58"/>
      <c r="T9364" s="220"/>
      <c r="U9364" s="88"/>
      <c r="V9364" s="56"/>
      <c r="W9364" s="57" t="s">
        <v>1272</v>
      </c>
      <c r="X9364" s="53"/>
      <c r="Y9364" s="91" t="s">
        <v>35</v>
      </c>
      <c r="Z9364" s="136">
        <f>AD9364/AC9364</f>
        <v>344.68461176470583</v>
      </c>
      <c r="AA9364" s="58"/>
      <c r="AB9364" s="53">
        <f>AD9364/AC9364</f>
        <v>344.68461176470583</v>
      </c>
      <c r="AC9364" s="53">
        <f>M9364+$AE$10</f>
        <v>1.8600000000000003</v>
      </c>
      <c r="AD9364" s="54">
        <f>SUM(AD9365:AD9373)</f>
        <v>641.11337788235301</v>
      </c>
      <c r="AE9364" s="184">
        <f>SUMIFS($AD$37:$AD$12971,$V$37:$V$12971,$V9364,$X$37:$X$12971,AE$13)</f>
        <v>0</v>
      </c>
      <c r="AF9364" s="185">
        <f>SUMIFS($AD$37:$AD$12971,$V$37:$V$12971,$V9364,$X$37:$X$12971,AF$13)</f>
        <v>0</v>
      </c>
      <c r="AG9364" s="185">
        <f>SUMIFS($AD$37:$AD$12971,$V$37:$V$12971,$V9364,$X$37:$X$12971,AG$13)</f>
        <v>0</v>
      </c>
      <c r="AH9364" s="187">
        <f>SUMIFS($AD$37:$AD$12971,$V$37:$V$12971,$V9364,$X$37:$X$12971,AH$13)</f>
        <v>0</v>
      </c>
      <c r="AI9364" s="161">
        <f t="shared" ref="AI9364" si="6305">SUM(AE9364:AH9364)</f>
        <v>0</v>
      </c>
      <c r="AK9364" s="172"/>
    </row>
    <row r="9365" spans="1:41" s="102" customFormat="1" ht="19.899999999999999" customHeight="1" x14ac:dyDescent="0.25">
      <c r="A9365" s="45"/>
      <c r="B9365" s="59"/>
      <c r="C9365" s="137"/>
      <c r="D9365" s="59"/>
      <c r="E9365" s="116"/>
      <c r="F9365" s="120"/>
      <c r="G9365" s="120"/>
      <c r="H9365" s="120"/>
      <c r="I9365" s="60"/>
      <c r="J9365" s="116"/>
      <c r="K9365" s="213"/>
      <c r="L9365" s="120"/>
      <c r="M9365" s="120"/>
      <c r="N9365" s="167"/>
      <c r="O9365" s="120"/>
      <c r="P9365" s="120"/>
      <c r="Q9365" s="120"/>
      <c r="R9365" s="120"/>
      <c r="S9365" s="120"/>
      <c r="T9365" s="221"/>
      <c r="U9365" s="89"/>
      <c r="V9365" s="61"/>
      <c r="W9365" s="92" t="s">
        <v>1273</v>
      </c>
      <c r="X9365" s="93" t="s">
        <v>30</v>
      </c>
      <c r="Y9365" s="93" t="s">
        <v>66</v>
      </c>
      <c r="Z9365" s="134">
        <f>VLOOKUP(W9365,Sheet2!$B:$D,3,FALSE)</f>
        <v>10</v>
      </c>
      <c r="AA9365" s="93">
        <f>1/((2.5*2.5*4)-(1*1*4))</f>
        <v>4.7619047619047616E-2</v>
      </c>
      <c r="AB9365" s="93">
        <f>AD9365/AC9364</f>
        <v>210</v>
      </c>
      <c r="AC9365" s="93">
        <f>AC9364/AA9365</f>
        <v>39.060000000000009</v>
      </c>
      <c r="AD9365" s="94">
        <f t="shared" ref="AD9365:AD9367" si="6306">AC9365*Z9365</f>
        <v>390.60000000000008</v>
      </c>
      <c r="AE9365" s="190"/>
      <c r="AF9365" s="191"/>
      <c r="AG9365" s="191"/>
      <c r="AH9365" s="191"/>
      <c r="AI9365" s="186"/>
      <c r="AK9365" s="171"/>
    </row>
    <row r="9366" spans="1:41" s="102" customFormat="1" ht="19.899999999999999" customHeight="1" x14ac:dyDescent="0.25">
      <c r="A9366" s="45"/>
      <c r="B9366" s="59"/>
      <c r="C9366" s="137"/>
      <c r="D9366" s="59"/>
      <c r="E9366" s="116"/>
      <c r="F9366" s="120"/>
      <c r="G9366" s="120"/>
      <c r="H9366" s="120"/>
      <c r="I9366" s="60"/>
      <c r="J9366" s="116"/>
      <c r="K9366" s="213"/>
      <c r="L9366" s="120"/>
      <c r="M9366" s="120"/>
      <c r="N9366" s="167"/>
      <c r="O9366" s="120"/>
      <c r="P9366" s="120"/>
      <c r="Q9366" s="120"/>
      <c r="R9366" s="120"/>
      <c r="S9366" s="120"/>
      <c r="T9366" s="221"/>
      <c r="U9366" s="89"/>
      <c r="V9366" s="61"/>
      <c r="W9366" s="92" t="s">
        <v>134</v>
      </c>
      <c r="X9366" s="93" t="s">
        <v>29</v>
      </c>
      <c r="Y9366" s="93" t="s">
        <v>93</v>
      </c>
      <c r="Z9366" s="134">
        <f>VLOOKUP(W9366,Sheet2!$B:$D,3,FALSE)</f>
        <v>65.599999999999994</v>
      </c>
      <c r="AA9366" s="93">
        <f>100/((2.5*2.5*4)-(1*1*4))</f>
        <v>4.7619047619047619</v>
      </c>
      <c r="AB9366" s="93">
        <f t="shared" ref="AB9366" si="6307">AD9366/AC9364</f>
        <v>13.775999999999998</v>
      </c>
      <c r="AC9366" s="93">
        <f>AC9364/AA9366</f>
        <v>0.39060000000000006</v>
      </c>
      <c r="AD9366" s="94">
        <f t="shared" si="6306"/>
        <v>25.623360000000002</v>
      </c>
      <c r="AE9366" s="190"/>
      <c r="AF9366" s="191"/>
      <c r="AG9366" s="191"/>
      <c r="AH9366" s="191"/>
      <c r="AI9366" s="186"/>
      <c r="AK9366" s="171"/>
    </row>
    <row r="9367" spans="1:41" s="102" customFormat="1" ht="19.899999999999999" customHeight="1" x14ac:dyDescent="0.25">
      <c r="A9367" s="45"/>
      <c r="B9367" s="59"/>
      <c r="C9367" s="137"/>
      <c r="D9367" s="59"/>
      <c r="E9367" s="116"/>
      <c r="F9367" s="120"/>
      <c r="G9367" s="120"/>
      <c r="H9367" s="120"/>
      <c r="I9367" s="60"/>
      <c r="J9367" s="116"/>
      <c r="K9367" s="213"/>
      <c r="L9367" s="120"/>
      <c r="M9367" s="120"/>
      <c r="N9367" s="167"/>
      <c r="O9367" s="120"/>
      <c r="P9367" s="120"/>
      <c r="Q9367" s="120"/>
      <c r="R9367" s="120"/>
      <c r="S9367" s="120"/>
      <c r="T9367" s="221"/>
      <c r="U9367" s="89"/>
      <c r="V9367" s="61"/>
      <c r="W9367" s="92" t="s">
        <v>65</v>
      </c>
      <c r="X9367" s="93" t="s">
        <v>30</v>
      </c>
      <c r="Y9367" s="93" t="s">
        <v>1011</v>
      </c>
      <c r="Z9367" s="134">
        <f>VLOOKUP(W9367,Sheet2!$B:$D,3,FALSE)</f>
        <v>1.76</v>
      </c>
      <c r="AA9367" s="93">
        <f>AA9366/9</f>
        <v>0.52910052910052907</v>
      </c>
      <c r="AB9367" s="93">
        <f>AD9367/AC9364</f>
        <v>3.3264</v>
      </c>
      <c r="AC9367" s="93">
        <f>AC9364/AA9367</f>
        <v>3.515400000000001</v>
      </c>
      <c r="AD9367" s="94">
        <f t="shared" si="6306"/>
        <v>6.1871040000000015</v>
      </c>
      <c r="AE9367" s="190"/>
      <c r="AF9367" s="191"/>
      <c r="AG9367" s="191"/>
      <c r="AH9367" s="191"/>
      <c r="AI9367" s="186"/>
      <c r="AK9367" s="171"/>
    </row>
    <row r="9368" spans="1:41" s="102" customFormat="1" ht="19.899999999999999" customHeight="1" x14ac:dyDescent="0.25">
      <c r="A9368" s="45"/>
      <c r="B9368" s="59"/>
      <c r="C9368" s="137"/>
      <c r="D9368" s="59"/>
      <c r="E9368" s="116"/>
      <c r="F9368" s="120"/>
      <c r="G9368" s="120"/>
      <c r="H9368" s="120"/>
      <c r="I9368" s="60"/>
      <c r="J9368" s="116"/>
      <c r="K9368" s="213"/>
      <c r="L9368" s="120"/>
      <c r="M9368" s="120"/>
      <c r="N9368" s="167"/>
      <c r="O9368" s="120"/>
      <c r="P9368" s="120"/>
      <c r="Q9368" s="120"/>
      <c r="R9368" s="120"/>
      <c r="S9368" s="120"/>
      <c r="T9368" s="221"/>
      <c r="U9368" s="89"/>
      <c r="V9368" s="61"/>
      <c r="W9368" s="92" t="s">
        <v>161</v>
      </c>
      <c r="X9368" s="93" t="s">
        <v>29</v>
      </c>
      <c r="Y9368" s="93" t="s">
        <v>93</v>
      </c>
      <c r="Z9368" s="134">
        <f>VLOOKUP(W9368,Sheet2!$B:$D,3,FALSE)</f>
        <v>48</v>
      </c>
      <c r="AA9368" s="93">
        <f>(16*0.85*1.5)/((2.5*2.5*4)-(1*1*4))</f>
        <v>0.97142857142857131</v>
      </c>
      <c r="AB9368" s="93">
        <f>AD9368/AC9364</f>
        <v>49.411764705882362</v>
      </c>
      <c r="AC9368" s="93">
        <f>AC9364/AA9368</f>
        <v>1.9147058823529417</v>
      </c>
      <c r="AD9368" s="94">
        <f>AC9368*Z9368</f>
        <v>91.905882352941205</v>
      </c>
      <c r="AE9368" s="190"/>
      <c r="AF9368" s="191"/>
      <c r="AG9368" s="191"/>
      <c r="AH9368" s="191"/>
      <c r="AI9368" s="186"/>
      <c r="AK9368" s="171"/>
    </row>
    <row r="9369" spans="1:41" s="102" customFormat="1" ht="19.899999999999999" customHeight="1" x14ac:dyDescent="0.25">
      <c r="A9369" s="45"/>
      <c r="B9369" s="59"/>
      <c r="C9369" s="137"/>
      <c r="D9369" s="59"/>
      <c r="E9369" s="116"/>
      <c r="F9369" s="120"/>
      <c r="G9369" s="120"/>
      <c r="H9369" s="120"/>
      <c r="I9369" s="60"/>
      <c r="J9369" s="116"/>
      <c r="K9369" s="213"/>
      <c r="L9369" s="120"/>
      <c r="M9369" s="120"/>
      <c r="N9369" s="167"/>
      <c r="O9369" s="120"/>
      <c r="P9369" s="120"/>
      <c r="Q9369" s="120"/>
      <c r="R9369" s="120"/>
      <c r="S9369" s="120"/>
      <c r="T9369" s="221"/>
      <c r="U9369" s="89"/>
      <c r="V9369" s="61"/>
      <c r="W9369" s="92" t="s">
        <v>65</v>
      </c>
      <c r="X9369" s="93" t="s">
        <v>30</v>
      </c>
      <c r="Y9369" s="93" t="s">
        <v>1011</v>
      </c>
      <c r="Z9369" s="134">
        <f>VLOOKUP(W9369,Sheet2!$B:$D,3,FALSE)</f>
        <v>1.76</v>
      </c>
      <c r="AA9369" s="93">
        <f>AA9368/10</f>
        <v>9.7142857142857128E-2</v>
      </c>
      <c r="AB9369" s="93">
        <f>AD9369/AC9364</f>
        <v>18.117647058823533</v>
      </c>
      <c r="AC9369" s="93">
        <f>AC9364/AA9369</f>
        <v>19.147058823529417</v>
      </c>
      <c r="AD9369" s="94">
        <f>AC9369*Z9369</f>
        <v>33.698823529411776</v>
      </c>
      <c r="AE9369" s="190"/>
      <c r="AF9369" s="191"/>
      <c r="AG9369" s="191"/>
      <c r="AH9369" s="191"/>
      <c r="AI9369" s="186"/>
      <c r="AK9369" s="171"/>
    </row>
    <row r="9370" spans="1:41" s="102" customFormat="1" ht="19.899999999999999" customHeight="1" x14ac:dyDescent="0.25">
      <c r="A9370" s="45"/>
      <c r="B9370" s="59"/>
      <c r="C9370" s="137"/>
      <c r="D9370" s="59"/>
      <c r="E9370" s="116"/>
      <c r="F9370" s="120"/>
      <c r="G9370" s="120"/>
      <c r="H9370" s="120"/>
      <c r="I9370" s="60"/>
      <c r="J9370" s="116"/>
      <c r="K9370" s="213"/>
      <c r="L9370" s="120"/>
      <c r="M9370" s="120"/>
      <c r="N9370" s="167"/>
      <c r="O9370" s="120"/>
      <c r="P9370" s="120"/>
      <c r="Q9370" s="120"/>
      <c r="R9370" s="120"/>
      <c r="S9370" s="120"/>
      <c r="T9370" s="221"/>
      <c r="U9370" s="89"/>
      <c r="V9370" s="61"/>
      <c r="W9370" s="92" t="s">
        <v>173</v>
      </c>
      <c r="X9370" s="93" t="s">
        <v>29</v>
      </c>
      <c r="Y9370" s="93" t="s">
        <v>93</v>
      </c>
      <c r="Z9370" s="134">
        <f>VLOOKUP(W9370,Sheet2!$B:$D,3,FALSE)</f>
        <v>36</v>
      </c>
      <c r="AA9370" s="93">
        <f>50/((2.5*2.5*4)-(1*1*4))</f>
        <v>2.3809523809523809</v>
      </c>
      <c r="AB9370" s="93">
        <f>AD9370/AC9364</f>
        <v>15.12</v>
      </c>
      <c r="AC9370" s="93">
        <f>AC9364/AA9370</f>
        <v>0.78120000000000012</v>
      </c>
      <c r="AD9370" s="94">
        <f>AC9370*Z9370</f>
        <v>28.123200000000004</v>
      </c>
      <c r="AE9370" s="190"/>
      <c r="AF9370" s="191"/>
      <c r="AG9370" s="191"/>
      <c r="AH9370" s="191"/>
      <c r="AI9370" s="186"/>
      <c r="AK9370" s="171"/>
    </row>
    <row r="9371" spans="1:41" s="102" customFormat="1" ht="19.899999999999999" customHeight="1" x14ac:dyDescent="0.25">
      <c r="A9371" s="45"/>
      <c r="B9371" s="59"/>
      <c r="C9371" s="137"/>
      <c r="D9371" s="59"/>
      <c r="E9371" s="116"/>
      <c r="F9371" s="120"/>
      <c r="G9371" s="120"/>
      <c r="H9371" s="120"/>
      <c r="I9371" s="60"/>
      <c r="J9371" s="116"/>
      <c r="K9371" s="213"/>
      <c r="L9371" s="120"/>
      <c r="M9371" s="120"/>
      <c r="N9371" s="167"/>
      <c r="O9371" s="120"/>
      <c r="P9371" s="120"/>
      <c r="Q9371" s="120"/>
      <c r="R9371" s="120"/>
      <c r="S9371" s="120"/>
      <c r="T9371" s="221"/>
      <c r="U9371" s="89"/>
      <c r="V9371" s="61"/>
      <c r="W9371" s="92" t="s">
        <v>65</v>
      </c>
      <c r="X9371" s="93" t="s">
        <v>30</v>
      </c>
      <c r="Y9371" s="93" t="s">
        <v>1011</v>
      </c>
      <c r="Z9371" s="134">
        <f>VLOOKUP(W9371,Sheet2!$B:$D,3,FALSE)</f>
        <v>1.76</v>
      </c>
      <c r="AA9371" s="93">
        <f>AA9370/9</f>
        <v>0.26455026455026454</v>
      </c>
      <c r="AB9371" s="93">
        <f>AD9371/AC9364</f>
        <v>6.6528</v>
      </c>
      <c r="AC9371" s="93">
        <f>AC9364/AA9371</f>
        <v>7.0308000000000019</v>
      </c>
      <c r="AD9371" s="94">
        <f>AC9371*Z9371</f>
        <v>12.374208000000003</v>
      </c>
      <c r="AE9371" s="190"/>
      <c r="AF9371" s="191"/>
      <c r="AG9371" s="191"/>
      <c r="AH9371" s="191"/>
      <c r="AI9371" s="186"/>
      <c r="AK9371" s="171"/>
    </row>
    <row r="9372" spans="1:41" s="102" customFormat="1" ht="19.899999999999999" customHeight="1" x14ac:dyDescent="0.25">
      <c r="A9372" s="45"/>
      <c r="B9372" s="59"/>
      <c r="C9372" s="137"/>
      <c r="D9372" s="59"/>
      <c r="E9372" s="116"/>
      <c r="F9372" s="120"/>
      <c r="G9372" s="120"/>
      <c r="H9372" s="120"/>
      <c r="I9372" s="60"/>
      <c r="J9372" s="116"/>
      <c r="K9372" s="213"/>
      <c r="L9372" s="120"/>
      <c r="M9372" s="120"/>
      <c r="N9372" s="167"/>
      <c r="O9372" s="120"/>
      <c r="P9372" s="120"/>
      <c r="Q9372" s="120"/>
      <c r="R9372" s="120"/>
      <c r="S9372" s="120"/>
      <c r="T9372" s="221"/>
      <c r="U9372" s="89"/>
      <c r="V9372" s="61"/>
      <c r="W9372" s="92" t="s">
        <v>1030</v>
      </c>
      <c r="X9372" s="93" t="s">
        <v>29</v>
      </c>
      <c r="Y9372" s="93" t="s">
        <v>93</v>
      </c>
      <c r="Z9372" s="134">
        <f>VLOOKUP(W9372,Sheet2!$B:$D,3,FALSE)</f>
        <v>23</v>
      </c>
      <c r="AA9372" s="93">
        <v>1</v>
      </c>
      <c r="AB9372" s="93">
        <f>AD9372/AC9364</f>
        <v>23</v>
      </c>
      <c r="AC9372" s="93">
        <f>AC9364/AA9372</f>
        <v>1.8600000000000003</v>
      </c>
      <c r="AD9372" s="94">
        <f t="shared" ref="AD9372:AD9373" si="6308">AC9372*Z9372</f>
        <v>42.780000000000008</v>
      </c>
      <c r="AE9372" s="190"/>
      <c r="AF9372" s="191"/>
      <c r="AG9372" s="191"/>
      <c r="AH9372" s="191"/>
      <c r="AI9372" s="186"/>
      <c r="AK9372" s="171"/>
    </row>
    <row r="9373" spans="1:41" s="102" customFormat="1" ht="19.899999999999999" customHeight="1" x14ac:dyDescent="0.25">
      <c r="A9373" s="45"/>
      <c r="B9373" s="59"/>
      <c r="C9373" s="137"/>
      <c r="D9373" s="59"/>
      <c r="E9373" s="116"/>
      <c r="F9373" s="120"/>
      <c r="G9373" s="120"/>
      <c r="H9373" s="120"/>
      <c r="I9373" s="60"/>
      <c r="J9373" s="116"/>
      <c r="K9373" s="213"/>
      <c r="L9373" s="120"/>
      <c r="M9373" s="120"/>
      <c r="N9373" s="167"/>
      <c r="O9373" s="120"/>
      <c r="P9373" s="120"/>
      <c r="Q9373" s="120"/>
      <c r="R9373" s="120"/>
      <c r="S9373" s="120"/>
      <c r="T9373" s="221"/>
      <c r="U9373" s="89"/>
      <c r="V9373" s="61"/>
      <c r="W9373" s="92" t="s">
        <v>65</v>
      </c>
      <c r="X9373" s="93" t="s">
        <v>30</v>
      </c>
      <c r="Y9373" s="93" t="s">
        <v>1011</v>
      </c>
      <c r="Z9373" s="134">
        <f>VLOOKUP(W9373,Sheet2!$B:$D,3,FALSE)</f>
        <v>1.76</v>
      </c>
      <c r="AA9373" s="93">
        <f>AA9372/3</f>
        <v>0.33333333333333331</v>
      </c>
      <c r="AB9373" s="93">
        <f>AD9373/AC9364</f>
        <v>5.28</v>
      </c>
      <c r="AC9373" s="93">
        <f>AC9364/AA9373</f>
        <v>5.580000000000001</v>
      </c>
      <c r="AD9373" s="94">
        <f t="shared" si="6308"/>
        <v>9.820800000000002</v>
      </c>
      <c r="AE9373" s="190"/>
      <c r="AF9373" s="191"/>
      <c r="AG9373" s="191"/>
      <c r="AH9373" s="191"/>
      <c r="AI9373" s="186"/>
      <c r="AK9373" s="171"/>
    </row>
    <row r="9374" spans="1:41" ht="20.100000000000001" customHeight="1" x14ac:dyDescent="0.25">
      <c r="A9374" s="277" t="s">
        <v>703</v>
      </c>
      <c r="B9374" s="278"/>
      <c r="C9374" s="64" t="s">
        <v>840</v>
      </c>
      <c r="D9374" s="46" t="s">
        <v>215</v>
      </c>
      <c r="E9374" s="114">
        <v>0.29000000000000004</v>
      </c>
      <c r="F9374" s="44">
        <v>17921</v>
      </c>
      <c r="G9374" s="44">
        <f t="shared" si="5545"/>
        <v>5197.0900000000011</v>
      </c>
      <c r="H9374" s="44">
        <f t="shared" si="5546"/>
        <v>7204.959037707391</v>
      </c>
      <c r="I9374" s="43">
        <f t="shared" si="5547"/>
        <v>2089.4381209351436</v>
      </c>
      <c r="J9374" s="112">
        <f t="shared" si="5548"/>
        <v>0.29000000000000004</v>
      </c>
      <c r="K9374" s="211">
        <f t="shared" si="5549"/>
        <v>0.29000000000000004</v>
      </c>
      <c r="L9374" s="44"/>
      <c r="M9374" s="44">
        <f t="shared" si="5550"/>
        <v>0.29000000000000004</v>
      </c>
      <c r="N9374" s="173">
        <f t="shared" si="5551"/>
        <v>1</v>
      </c>
      <c r="O9374" s="44">
        <f t="shared" si="5552"/>
        <v>17921</v>
      </c>
      <c r="P9374" s="44">
        <f t="shared" si="5553"/>
        <v>5197.0900000000011</v>
      </c>
      <c r="Q9374" s="44">
        <f t="shared" si="5554"/>
        <v>7204.959037707391</v>
      </c>
      <c r="R9374" s="44">
        <f t="shared" si="5555"/>
        <v>2089.4381209351436</v>
      </c>
      <c r="S9374" s="123"/>
      <c r="T9374" s="219">
        <f t="shared" si="5556"/>
        <v>2089.4381209351436</v>
      </c>
      <c r="U9374" s="87"/>
      <c r="V9374" s="47"/>
      <c r="W9374" s="48"/>
      <c r="X9374" s="48"/>
      <c r="Y9374" s="48"/>
      <c r="Z9374" s="135"/>
      <c r="AA9374" s="49"/>
      <c r="AB9374" s="50">
        <f t="shared" si="5557"/>
        <v>7204.959037707391</v>
      </c>
      <c r="AC9374" s="42">
        <f t="shared" si="5558"/>
        <v>0.29000000000000004</v>
      </c>
      <c r="AD9374" s="90">
        <f>AD9375+AD9380+AD9390+AD9393</f>
        <v>2089.4381209351436</v>
      </c>
      <c r="AE9374" s="188">
        <f t="shared" ref="AE9374" si="6309">AE9375+AE9380+AE9390+AE9393</f>
        <v>0</v>
      </c>
      <c r="AF9374" s="189">
        <f t="shared" ref="AF9374" si="6310">AF9375+AF9380+AF9390+AF9393</f>
        <v>0</v>
      </c>
      <c r="AG9374" s="189">
        <f t="shared" ref="AG9374" si="6311">AG9375+AG9380+AG9390+AG9393</f>
        <v>0</v>
      </c>
      <c r="AH9374" s="189">
        <f t="shared" ref="AH9374" si="6312">AH9375+AH9380+AH9390+AH9393</f>
        <v>0</v>
      </c>
      <c r="AI9374" s="161">
        <f t="shared" ref="AI9374" si="6313">SUM(AE9374:AH9374)</f>
        <v>0</v>
      </c>
      <c r="AK9374" s="169">
        <v>5</v>
      </c>
      <c r="AO9374" s="19" t="s">
        <v>63</v>
      </c>
    </row>
    <row r="9375" spans="1:41" s="103" customFormat="1" ht="19.899999999999999" customHeight="1" x14ac:dyDescent="0.25">
      <c r="A9375" s="51"/>
      <c r="B9375" s="52"/>
      <c r="C9375" s="165"/>
      <c r="D9375" s="52"/>
      <c r="E9375" s="115"/>
      <c r="F9375" s="58"/>
      <c r="G9375" s="58"/>
      <c r="H9375" s="58"/>
      <c r="I9375" s="55"/>
      <c r="J9375" s="113">
        <f>J9374</f>
        <v>0.29000000000000004</v>
      </c>
      <c r="K9375" s="212">
        <f>K9374</f>
        <v>0.29000000000000004</v>
      </c>
      <c r="L9375" s="58"/>
      <c r="M9375" s="58">
        <f>K9375-L9375</f>
        <v>0.29000000000000004</v>
      </c>
      <c r="N9375" s="166"/>
      <c r="O9375" s="58"/>
      <c r="P9375" s="58"/>
      <c r="Q9375" s="58"/>
      <c r="R9375" s="58"/>
      <c r="S9375" s="58"/>
      <c r="T9375" s="220"/>
      <c r="U9375" s="88"/>
      <c r="V9375" s="56"/>
      <c r="W9375" s="57" t="s">
        <v>1639</v>
      </c>
      <c r="X9375" s="53"/>
      <c r="Y9375" s="91" t="s">
        <v>35</v>
      </c>
      <c r="Z9375" s="136">
        <f>AD9375/AC9375</f>
        <v>125.69019607843137</v>
      </c>
      <c r="AA9375" s="58"/>
      <c r="AB9375" s="53">
        <f>AD9375/AC9375</f>
        <v>125.69019607843137</v>
      </c>
      <c r="AC9375" s="53">
        <f>M9375+$AE$10</f>
        <v>0.29000000000000004</v>
      </c>
      <c r="AD9375" s="54">
        <f>SUM(AD9376:AD9379)</f>
        <v>36.450156862745104</v>
      </c>
      <c r="AE9375" s="184">
        <f>SUMIFS($AD$37:$AD$12971,$V$37:$V$12971,$V9375,$X$37:$X$12971,AE$13)</f>
        <v>0</v>
      </c>
      <c r="AF9375" s="185">
        <f>SUMIFS($AD$37:$AD$12971,$V$37:$V$12971,$V9375,$X$37:$X$12971,AF$13)</f>
        <v>0</v>
      </c>
      <c r="AG9375" s="185">
        <f>SUMIFS($AD$37:$AD$12971,$V$37:$V$12971,$V9375,$X$37:$X$12971,AG$13)</f>
        <v>0</v>
      </c>
      <c r="AH9375" s="187">
        <f>SUMIFS($AD$37:$AD$12971,$V$37:$V$12971,$V9375,$X$37:$X$12971,AH$13)</f>
        <v>0</v>
      </c>
      <c r="AI9375" s="161">
        <f t="shared" ref="AI9375" si="6314">SUM(AE9375:AH9375)</f>
        <v>0</v>
      </c>
      <c r="AK9375" s="172"/>
    </row>
    <row r="9376" spans="1:41" s="102" customFormat="1" ht="19.899999999999999" customHeight="1" x14ac:dyDescent="0.25">
      <c r="A9376" s="45"/>
      <c r="B9376" s="59"/>
      <c r="C9376" s="137"/>
      <c r="D9376" s="59"/>
      <c r="E9376" s="116"/>
      <c r="F9376" s="120"/>
      <c r="G9376" s="120"/>
      <c r="H9376" s="120"/>
      <c r="I9376" s="60"/>
      <c r="J9376" s="116"/>
      <c r="K9376" s="213"/>
      <c r="L9376" s="120"/>
      <c r="M9376" s="120"/>
      <c r="N9376" s="167"/>
      <c r="O9376" s="120"/>
      <c r="P9376" s="120"/>
      <c r="Q9376" s="120"/>
      <c r="R9376" s="120"/>
      <c r="S9376" s="120"/>
      <c r="T9376" s="221"/>
      <c r="U9376" s="89"/>
      <c r="V9376" s="61"/>
      <c r="W9376" s="92" t="s">
        <v>129</v>
      </c>
      <c r="X9376" s="93" t="s">
        <v>29</v>
      </c>
      <c r="Y9376" s="93" t="s">
        <v>93</v>
      </c>
      <c r="Z9376" s="134">
        <f>VLOOKUP(W9376,Sheet2!$B:$D,3,FALSE)</f>
        <v>56</v>
      </c>
      <c r="AA9376" s="93">
        <f>100/(2.5*2.5*5)</f>
        <v>3.2</v>
      </c>
      <c r="AB9376" s="93">
        <f t="shared" ref="AB9376" si="6315">AD9376/AC9375</f>
        <v>17.5</v>
      </c>
      <c r="AC9376" s="93">
        <f>AC9375/AA9376</f>
        <v>9.0625000000000011E-2</v>
      </c>
      <c r="AD9376" s="94">
        <f t="shared" ref="AD9376:AD9377" si="6316">AC9376*Z9376</f>
        <v>5.0750000000000011</v>
      </c>
      <c r="AE9376" s="190"/>
      <c r="AF9376" s="191"/>
      <c r="AG9376" s="191"/>
      <c r="AH9376" s="191"/>
      <c r="AI9376" s="186"/>
      <c r="AK9376" s="171"/>
    </row>
    <row r="9377" spans="1:37" s="102" customFormat="1" ht="19.899999999999999" customHeight="1" x14ac:dyDescent="0.25">
      <c r="A9377" s="45"/>
      <c r="B9377" s="59"/>
      <c r="C9377" s="137"/>
      <c r="D9377" s="59"/>
      <c r="E9377" s="116"/>
      <c r="F9377" s="120"/>
      <c r="G9377" s="120"/>
      <c r="H9377" s="120"/>
      <c r="I9377" s="60"/>
      <c r="J9377" s="116"/>
      <c r="K9377" s="213"/>
      <c r="L9377" s="120"/>
      <c r="M9377" s="120"/>
      <c r="N9377" s="167"/>
      <c r="O9377" s="120"/>
      <c r="P9377" s="120"/>
      <c r="Q9377" s="120"/>
      <c r="R9377" s="120"/>
      <c r="S9377" s="120"/>
      <c r="T9377" s="221"/>
      <c r="U9377" s="89"/>
      <c r="V9377" s="61"/>
      <c r="W9377" s="92" t="s">
        <v>65</v>
      </c>
      <c r="X9377" s="93" t="s">
        <v>30</v>
      </c>
      <c r="Y9377" s="93" t="s">
        <v>1011</v>
      </c>
      <c r="Z9377" s="134">
        <f>VLOOKUP(W9377,Sheet2!$B:$D,3,FALSE)</f>
        <v>1.76</v>
      </c>
      <c r="AA9377" s="93">
        <f>AA9376/14</f>
        <v>0.22857142857142859</v>
      </c>
      <c r="AB9377" s="93">
        <f>AD9377/AC9375</f>
        <v>7.6999999999999993</v>
      </c>
      <c r="AC9377" s="93">
        <f>AC9375/AA9377</f>
        <v>1.26875</v>
      </c>
      <c r="AD9377" s="94">
        <f t="shared" si="6316"/>
        <v>2.2330000000000001</v>
      </c>
      <c r="AE9377" s="190"/>
      <c r="AF9377" s="191"/>
      <c r="AG9377" s="191"/>
      <c r="AH9377" s="191"/>
      <c r="AI9377" s="186"/>
      <c r="AK9377" s="171"/>
    </row>
    <row r="9378" spans="1:37" s="102" customFormat="1" ht="19.899999999999999" customHeight="1" x14ac:dyDescent="0.25">
      <c r="A9378" s="45"/>
      <c r="B9378" s="59"/>
      <c r="C9378" s="137"/>
      <c r="D9378" s="59"/>
      <c r="E9378" s="116"/>
      <c r="F9378" s="120"/>
      <c r="G9378" s="120"/>
      <c r="H9378" s="120"/>
      <c r="I9378" s="60"/>
      <c r="J9378" s="116"/>
      <c r="K9378" s="213"/>
      <c r="L9378" s="120"/>
      <c r="M9378" s="120"/>
      <c r="N9378" s="167"/>
      <c r="O9378" s="120"/>
      <c r="P9378" s="120"/>
      <c r="Q9378" s="120"/>
      <c r="R9378" s="120"/>
      <c r="S9378" s="120"/>
      <c r="T9378" s="221"/>
      <c r="U9378" s="89"/>
      <c r="V9378" s="61"/>
      <c r="W9378" s="92" t="s">
        <v>161</v>
      </c>
      <c r="X9378" s="93" t="s">
        <v>29</v>
      </c>
      <c r="Y9378" s="93" t="s">
        <v>93</v>
      </c>
      <c r="Z9378" s="134">
        <f>VLOOKUP(W9378,Sheet2!$B:$D,3,FALSE)</f>
        <v>48</v>
      </c>
      <c r="AA9378" s="93">
        <f>(16*0.85*1.5)/(2.5*2.5*5)</f>
        <v>0.65279999999999994</v>
      </c>
      <c r="AB9378" s="93">
        <f>AD9378/AC9375</f>
        <v>73.529411764705884</v>
      </c>
      <c r="AC9378" s="93">
        <f>AC9375/AA9378</f>
        <v>0.44424019607843146</v>
      </c>
      <c r="AD9378" s="94">
        <f>AC9378*Z9378</f>
        <v>21.32352941176471</v>
      </c>
      <c r="AE9378" s="190"/>
      <c r="AF9378" s="191"/>
      <c r="AG9378" s="191"/>
      <c r="AH9378" s="191"/>
      <c r="AI9378" s="186"/>
      <c r="AK9378" s="171"/>
    </row>
    <row r="9379" spans="1:37" s="102" customFormat="1" ht="19.899999999999999" customHeight="1" x14ac:dyDescent="0.25">
      <c r="A9379" s="45"/>
      <c r="B9379" s="59"/>
      <c r="C9379" s="137"/>
      <c r="D9379" s="59"/>
      <c r="E9379" s="116"/>
      <c r="F9379" s="120"/>
      <c r="G9379" s="120"/>
      <c r="H9379" s="120"/>
      <c r="I9379" s="60"/>
      <c r="J9379" s="116"/>
      <c r="K9379" s="213"/>
      <c r="L9379" s="120"/>
      <c r="M9379" s="120"/>
      <c r="N9379" s="167"/>
      <c r="O9379" s="120"/>
      <c r="P9379" s="120"/>
      <c r="Q9379" s="120"/>
      <c r="R9379" s="120"/>
      <c r="S9379" s="120"/>
      <c r="T9379" s="221"/>
      <c r="U9379" s="89"/>
      <c r="V9379" s="61"/>
      <c r="W9379" s="92" t="s">
        <v>65</v>
      </c>
      <c r="X9379" s="93" t="s">
        <v>30</v>
      </c>
      <c r="Y9379" s="93" t="s">
        <v>1011</v>
      </c>
      <c r="Z9379" s="134">
        <f>VLOOKUP(W9379,Sheet2!$B:$D,3,FALSE)</f>
        <v>1.76</v>
      </c>
      <c r="AA9379" s="93">
        <f>AA9378/10</f>
        <v>6.5279999999999991E-2</v>
      </c>
      <c r="AB9379" s="93">
        <f>AD9379/AC9375</f>
        <v>26.960784313725494</v>
      </c>
      <c r="AC9379" s="93">
        <f>AC9375/AA9379</f>
        <v>4.4424019607843146</v>
      </c>
      <c r="AD9379" s="94">
        <f>AC9379*Z9379</f>
        <v>7.8186274509803937</v>
      </c>
      <c r="AE9379" s="190"/>
      <c r="AF9379" s="191"/>
      <c r="AG9379" s="191"/>
      <c r="AH9379" s="191"/>
      <c r="AI9379" s="186"/>
      <c r="AK9379" s="171"/>
    </row>
    <row r="9380" spans="1:37" s="103" customFormat="1" ht="19.899999999999999" customHeight="1" x14ac:dyDescent="0.25">
      <c r="A9380" s="51"/>
      <c r="B9380" s="52"/>
      <c r="C9380" s="165"/>
      <c r="D9380" s="52"/>
      <c r="E9380" s="115"/>
      <c r="F9380" s="58"/>
      <c r="G9380" s="58"/>
      <c r="H9380" s="58"/>
      <c r="I9380" s="55"/>
      <c r="J9380" s="113">
        <f>J9374</f>
        <v>0.29000000000000004</v>
      </c>
      <c r="K9380" s="212">
        <f>K9374</f>
        <v>0.29000000000000004</v>
      </c>
      <c r="L9380" s="58"/>
      <c r="M9380" s="58">
        <f>K9380-L9380</f>
        <v>0.29000000000000004</v>
      </c>
      <c r="N9380" s="166"/>
      <c r="O9380" s="58"/>
      <c r="P9380" s="58"/>
      <c r="Q9380" s="58"/>
      <c r="R9380" s="58"/>
      <c r="S9380" s="58"/>
      <c r="T9380" s="220"/>
      <c r="U9380" s="88"/>
      <c r="V9380" s="56"/>
      <c r="W9380" s="57" t="s">
        <v>1636</v>
      </c>
      <c r="X9380" s="53"/>
      <c r="Y9380" s="91" t="s">
        <v>35</v>
      </c>
      <c r="Z9380" s="136">
        <f>AD9380/AC9380</f>
        <v>5227.2030769230769</v>
      </c>
      <c r="AA9380" s="58"/>
      <c r="AB9380" s="53">
        <f>AD9380/AC9380</f>
        <v>5227.2030769230769</v>
      </c>
      <c r="AC9380" s="53">
        <f>M9380+$AE$10</f>
        <v>0.29000000000000004</v>
      </c>
      <c r="AD9380" s="54">
        <f>SUM(AD9381:AD9389)</f>
        <v>1515.8888923076925</v>
      </c>
      <c r="AE9380" s="184">
        <f>SUMIFS($AD$37:$AD$12971,$V$37:$V$12971,$V9380,$X$37:$X$12971,AE$13)</f>
        <v>0</v>
      </c>
      <c r="AF9380" s="185">
        <f>SUMIFS($AD$37:$AD$12971,$V$37:$V$12971,$V9380,$X$37:$X$12971,AF$13)</f>
        <v>0</v>
      </c>
      <c r="AG9380" s="185">
        <f>SUMIFS($AD$37:$AD$12971,$V$37:$V$12971,$V9380,$X$37:$X$12971,AG$13)</f>
        <v>0</v>
      </c>
      <c r="AH9380" s="187">
        <f>SUMIFS($AD$37:$AD$12971,$V$37:$V$12971,$V9380,$X$37:$X$12971,AH$13)</f>
        <v>0</v>
      </c>
      <c r="AI9380" s="161">
        <f t="shared" ref="AI9380" si="6317">SUM(AE9380:AH9380)</f>
        <v>0</v>
      </c>
      <c r="AK9380" s="172"/>
    </row>
    <row r="9381" spans="1:37" s="102" customFormat="1" ht="19.899999999999999" customHeight="1" x14ac:dyDescent="0.25">
      <c r="A9381" s="45"/>
      <c r="B9381" s="59"/>
      <c r="C9381" s="137"/>
      <c r="D9381" s="59"/>
      <c r="E9381" s="116"/>
      <c r="F9381" s="120"/>
      <c r="G9381" s="120"/>
      <c r="H9381" s="120"/>
      <c r="I9381" s="60"/>
      <c r="J9381" s="116"/>
      <c r="K9381" s="213"/>
      <c r="L9381" s="120"/>
      <c r="M9381" s="120"/>
      <c r="N9381" s="167"/>
      <c r="O9381" s="120"/>
      <c r="P9381" s="120"/>
      <c r="Q9381" s="120"/>
      <c r="R9381" s="120"/>
      <c r="S9381" s="120"/>
      <c r="T9381" s="221"/>
      <c r="U9381" s="89"/>
      <c r="V9381" s="61"/>
      <c r="W9381" s="92" t="s">
        <v>1353</v>
      </c>
      <c r="X9381" s="93" t="s">
        <v>30</v>
      </c>
      <c r="Y9381" s="93" t="s">
        <v>66</v>
      </c>
      <c r="Z9381" s="134">
        <f>VLOOKUP(W9381,Sheet2!$B:$D,3,FALSE)</f>
        <v>350</v>
      </c>
      <c r="AA9381" s="93">
        <f>1/((1*5*0.2*4)+(1*1*0.3))</f>
        <v>0.23255813953488372</v>
      </c>
      <c r="AB9381" s="93">
        <f>AD9381/AC9380</f>
        <v>1505</v>
      </c>
      <c r="AC9381" s="93">
        <f>AC9380/AA9381</f>
        <v>1.2470000000000001</v>
      </c>
      <c r="AD9381" s="94">
        <f t="shared" ref="AD9381:AD9382" si="6318">AC9381*Z9381</f>
        <v>436.45000000000005</v>
      </c>
      <c r="AE9381" s="190"/>
      <c r="AF9381" s="191"/>
      <c r="AG9381" s="191"/>
      <c r="AH9381" s="191"/>
      <c r="AI9381" s="186"/>
      <c r="AK9381" s="171"/>
    </row>
    <row r="9382" spans="1:37" s="102" customFormat="1" ht="19.899999999999999" customHeight="1" x14ac:dyDescent="0.25">
      <c r="A9382" s="45"/>
      <c r="B9382" s="59"/>
      <c r="C9382" s="137"/>
      <c r="D9382" s="59"/>
      <c r="E9382" s="116"/>
      <c r="F9382" s="120"/>
      <c r="G9382" s="120"/>
      <c r="H9382" s="120"/>
      <c r="I9382" s="60"/>
      <c r="J9382" s="116"/>
      <c r="K9382" s="213"/>
      <c r="L9382" s="120"/>
      <c r="M9382" s="120"/>
      <c r="N9382" s="167"/>
      <c r="O9382" s="120"/>
      <c r="P9382" s="120"/>
      <c r="Q9382" s="120"/>
      <c r="R9382" s="120"/>
      <c r="S9382" s="120"/>
      <c r="T9382" s="221"/>
      <c r="U9382" s="89"/>
      <c r="V9382" s="61"/>
      <c r="W9382" s="92" t="s">
        <v>99</v>
      </c>
      <c r="X9382" s="93" t="s">
        <v>30</v>
      </c>
      <c r="Y9382" s="93" t="s">
        <v>67</v>
      </c>
      <c r="Z9382" s="134">
        <f>VLOOKUP(W9382,Sheet2!$B:$D,3,FALSE)</f>
        <v>2500</v>
      </c>
      <c r="AA9382" s="93">
        <f>AA9381/0.08</f>
        <v>2.9069767441860463</v>
      </c>
      <c r="AB9382" s="93">
        <f>AD9382/AC9380</f>
        <v>860</v>
      </c>
      <c r="AC9382" s="93">
        <f>AC9380/AA9382</f>
        <v>9.9760000000000015E-2</v>
      </c>
      <c r="AD9382" s="94">
        <f t="shared" si="6318"/>
        <v>249.40000000000003</v>
      </c>
      <c r="AE9382" s="190"/>
      <c r="AF9382" s="191"/>
      <c r="AG9382" s="191"/>
      <c r="AH9382" s="191"/>
      <c r="AI9382" s="186"/>
      <c r="AK9382" s="171"/>
    </row>
    <row r="9383" spans="1:37" s="102" customFormat="1" ht="19.899999999999999" customHeight="1" x14ac:dyDescent="0.25">
      <c r="A9383" s="45"/>
      <c r="B9383" s="59"/>
      <c r="C9383" s="137"/>
      <c r="D9383" s="59"/>
      <c r="E9383" s="116"/>
      <c r="F9383" s="120"/>
      <c r="G9383" s="120"/>
      <c r="H9383" s="120"/>
      <c r="I9383" s="60"/>
      <c r="J9383" s="116"/>
      <c r="K9383" s="213"/>
      <c r="L9383" s="120"/>
      <c r="M9383" s="120"/>
      <c r="N9383" s="167"/>
      <c r="O9383" s="120"/>
      <c r="P9383" s="120"/>
      <c r="Q9383" s="120"/>
      <c r="R9383" s="120"/>
      <c r="S9383" s="120"/>
      <c r="T9383" s="221"/>
      <c r="U9383" s="89"/>
      <c r="V9383" s="61"/>
      <c r="W9383" s="92" t="s">
        <v>1533</v>
      </c>
      <c r="X9383" s="93" t="s">
        <v>32</v>
      </c>
      <c r="Y9383" s="93" t="s">
        <v>66</v>
      </c>
      <c r="Z9383" s="134">
        <f>VLOOKUP(W9383,Sheet2!$B:$D,3,FALSE)</f>
        <v>300</v>
      </c>
      <c r="AA9383" s="93">
        <f>AA9381</f>
        <v>0.23255813953488372</v>
      </c>
      <c r="AB9383" s="93">
        <f>AD9383/AC9380</f>
        <v>1290</v>
      </c>
      <c r="AC9383" s="93">
        <f>AC9380/AA9383</f>
        <v>1.2470000000000001</v>
      </c>
      <c r="AD9383" s="94">
        <f>AC9383*Z9383</f>
        <v>374.1</v>
      </c>
      <c r="AE9383" s="190"/>
      <c r="AF9383" s="191"/>
      <c r="AG9383" s="191"/>
      <c r="AH9383" s="191"/>
      <c r="AI9383" s="186"/>
      <c r="AK9383" s="171"/>
    </row>
    <row r="9384" spans="1:37" s="102" customFormat="1" ht="19.899999999999999" customHeight="1" x14ac:dyDescent="0.25">
      <c r="A9384" s="45"/>
      <c r="B9384" s="59"/>
      <c r="C9384" s="137"/>
      <c r="D9384" s="59"/>
      <c r="E9384" s="116"/>
      <c r="F9384" s="120"/>
      <c r="G9384" s="120"/>
      <c r="H9384" s="120"/>
      <c r="I9384" s="60"/>
      <c r="J9384" s="116"/>
      <c r="K9384" s="213"/>
      <c r="L9384" s="120"/>
      <c r="M9384" s="120"/>
      <c r="N9384" s="167"/>
      <c r="O9384" s="120"/>
      <c r="P9384" s="120"/>
      <c r="Q9384" s="120"/>
      <c r="R9384" s="120"/>
      <c r="S9384" s="120"/>
      <c r="T9384" s="221"/>
      <c r="U9384" s="89"/>
      <c r="V9384" s="61"/>
      <c r="W9384" s="92" t="s">
        <v>1634</v>
      </c>
      <c r="X9384" s="93" t="s">
        <v>30</v>
      </c>
      <c r="Y9384" s="93" t="s">
        <v>35</v>
      </c>
      <c r="Z9384" s="134">
        <f>VLOOKUP(W9384,Sheet2!$B:$D,3,FALSE)</f>
        <v>1250</v>
      </c>
      <c r="AA9384" s="93">
        <v>1</v>
      </c>
      <c r="AB9384" s="93">
        <f>AD9384/AC9380</f>
        <v>1250</v>
      </c>
      <c r="AC9384" s="93">
        <f>AC9380/AA9384</f>
        <v>0.29000000000000004</v>
      </c>
      <c r="AD9384" s="94">
        <f t="shared" ref="AD9384:AD9385" si="6319">AC9384*Z9384</f>
        <v>362.50000000000006</v>
      </c>
      <c r="AE9384" s="190"/>
      <c r="AF9384" s="191"/>
      <c r="AG9384" s="191"/>
      <c r="AH9384" s="191"/>
      <c r="AI9384" s="186"/>
      <c r="AK9384" s="171"/>
    </row>
    <row r="9385" spans="1:37" s="102" customFormat="1" ht="19.899999999999999" customHeight="1" x14ac:dyDescent="0.25">
      <c r="A9385" s="45"/>
      <c r="B9385" s="59"/>
      <c r="C9385" s="137"/>
      <c r="D9385" s="59"/>
      <c r="E9385" s="116"/>
      <c r="F9385" s="120"/>
      <c r="G9385" s="120"/>
      <c r="H9385" s="120"/>
      <c r="I9385" s="60"/>
      <c r="J9385" s="116"/>
      <c r="K9385" s="213"/>
      <c r="L9385" s="120"/>
      <c r="M9385" s="120"/>
      <c r="N9385" s="167"/>
      <c r="O9385" s="120"/>
      <c r="P9385" s="120"/>
      <c r="Q9385" s="120"/>
      <c r="R9385" s="120"/>
      <c r="S9385" s="120"/>
      <c r="T9385" s="221"/>
      <c r="U9385" s="89"/>
      <c r="V9385" s="61"/>
      <c r="W9385" s="92" t="s">
        <v>142</v>
      </c>
      <c r="X9385" s="93" t="s">
        <v>29</v>
      </c>
      <c r="Y9385" s="93" t="s">
        <v>93</v>
      </c>
      <c r="Z9385" s="134">
        <f>VLOOKUP(W9385,Sheet2!$B:$D,3,FALSE)</f>
        <v>67.692307692307693</v>
      </c>
      <c r="AA9385" s="93">
        <v>4</v>
      </c>
      <c r="AB9385" s="93">
        <f>AD9385/AC9380</f>
        <v>16.923076923076923</v>
      </c>
      <c r="AC9385" s="93">
        <f>AC9380/AA9385</f>
        <v>7.2500000000000009E-2</v>
      </c>
      <c r="AD9385" s="94">
        <f t="shared" si="6319"/>
        <v>4.907692307692308</v>
      </c>
      <c r="AE9385" s="190"/>
      <c r="AF9385" s="191"/>
      <c r="AG9385" s="191"/>
      <c r="AH9385" s="191"/>
      <c r="AI9385" s="186"/>
      <c r="AK9385" s="171"/>
    </row>
    <row r="9386" spans="1:37" s="102" customFormat="1" ht="19.899999999999999" customHeight="1" x14ac:dyDescent="0.25">
      <c r="A9386" s="45"/>
      <c r="B9386" s="59"/>
      <c r="C9386" s="137"/>
      <c r="D9386" s="59"/>
      <c r="E9386" s="116"/>
      <c r="F9386" s="120"/>
      <c r="G9386" s="120"/>
      <c r="H9386" s="120"/>
      <c r="I9386" s="60"/>
      <c r="J9386" s="116"/>
      <c r="K9386" s="213"/>
      <c r="L9386" s="120"/>
      <c r="M9386" s="120"/>
      <c r="N9386" s="167"/>
      <c r="O9386" s="120"/>
      <c r="P9386" s="120"/>
      <c r="Q9386" s="120"/>
      <c r="R9386" s="120"/>
      <c r="S9386" s="120"/>
      <c r="T9386" s="221"/>
      <c r="U9386" s="89"/>
      <c r="V9386" s="61"/>
      <c r="W9386" s="92" t="s">
        <v>65</v>
      </c>
      <c r="X9386" s="93" t="s">
        <v>30</v>
      </c>
      <c r="Y9386" s="93" t="s">
        <v>93</v>
      </c>
      <c r="Z9386" s="134">
        <f>VLOOKUP(W9386,Sheet2!$B:$D,3,FALSE)</f>
        <v>1.76</v>
      </c>
      <c r="AA9386" s="93">
        <f>AA9385/12</f>
        <v>0.33333333333333331</v>
      </c>
      <c r="AB9386" s="93">
        <f>AD9386/AC9380</f>
        <v>5.2799999999999994</v>
      </c>
      <c r="AC9386" s="93">
        <f>AC9380/AA9386</f>
        <v>0.87000000000000011</v>
      </c>
      <c r="AD9386" s="94">
        <f>AC9386*Z9386</f>
        <v>1.5312000000000001</v>
      </c>
      <c r="AE9386" s="190"/>
      <c r="AF9386" s="191"/>
      <c r="AG9386" s="191"/>
      <c r="AH9386" s="191"/>
      <c r="AI9386" s="186"/>
      <c r="AK9386" s="171"/>
    </row>
    <row r="9387" spans="1:37" s="102" customFormat="1" ht="19.899999999999999" customHeight="1" x14ac:dyDescent="0.25">
      <c r="A9387" s="45"/>
      <c r="B9387" s="59"/>
      <c r="C9387" s="137"/>
      <c r="D9387" s="59"/>
      <c r="E9387" s="116"/>
      <c r="F9387" s="120"/>
      <c r="G9387" s="120"/>
      <c r="H9387" s="120"/>
      <c r="I9387" s="60"/>
      <c r="J9387" s="116"/>
      <c r="K9387" s="213"/>
      <c r="L9387" s="120"/>
      <c r="M9387" s="120"/>
      <c r="N9387" s="167"/>
      <c r="O9387" s="120"/>
      <c r="P9387" s="120"/>
      <c r="Q9387" s="120"/>
      <c r="R9387" s="120"/>
      <c r="S9387" s="120"/>
      <c r="T9387" s="221"/>
      <c r="U9387" s="89"/>
      <c r="V9387" s="61"/>
      <c r="W9387" s="92" t="s">
        <v>1357</v>
      </c>
      <c r="X9387" s="93" t="s">
        <v>30</v>
      </c>
      <c r="Y9387" s="93" t="s">
        <v>1349</v>
      </c>
      <c r="Z9387" s="134">
        <f>VLOOKUP(W9387,Sheet2!$B:$D,3,FALSE)</f>
        <v>150</v>
      </c>
      <c r="AA9387" s="93">
        <v>1</v>
      </c>
      <c r="AB9387" s="93">
        <f>AD9387/AC9380</f>
        <v>150</v>
      </c>
      <c r="AC9387" s="93">
        <f>AC9380/AA9387</f>
        <v>0.29000000000000004</v>
      </c>
      <c r="AD9387" s="94">
        <f>AC9387*Z9387</f>
        <v>43.500000000000007</v>
      </c>
      <c r="AE9387" s="190"/>
      <c r="AF9387" s="191"/>
      <c r="AG9387" s="191"/>
      <c r="AH9387" s="191"/>
      <c r="AI9387" s="186"/>
      <c r="AK9387" s="171"/>
    </row>
    <row r="9388" spans="1:37" s="102" customFormat="1" ht="19.899999999999999" customHeight="1" x14ac:dyDescent="0.25">
      <c r="A9388" s="45"/>
      <c r="B9388" s="59"/>
      <c r="C9388" s="137"/>
      <c r="D9388" s="59"/>
      <c r="E9388" s="116"/>
      <c r="F9388" s="120"/>
      <c r="G9388" s="120"/>
      <c r="H9388" s="120"/>
      <c r="I9388" s="60"/>
      <c r="J9388" s="116"/>
      <c r="K9388" s="213"/>
      <c r="L9388" s="120"/>
      <c r="M9388" s="120"/>
      <c r="N9388" s="167"/>
      <c r="O9388" s="120"/>
      <c r="P9388" s="120"/>
      <c r="Q9388" s="120"/>
      <c r="R9388" s="120"/>
      <c r="S9388" s="120"/>
      <c r="T9388" s="221"/>
      <c r="U9388" s="89"/>
      <c r="V9388" s="61"/>
      <c r="W9388" s="92" t="s">
        <v>107</v>
      </c>
      <c r="X9388" s="93" t="s">
        <v>31</v>
      </c>
      <c r="Y9388" s="93" t="s">
        <v>93</v>
      </c>
      <c r="Z9388" s="134">
        <f>VLOOKUP(W9388,Sheet2!$B:$D,3,FALSE)</f>
        <v>17</v>
      </c>
      <c r="AA9388" s="93">
        <f>1/5</f>
        <v>0.2</v>
      </c>
      <c r="AB9388" s="93">
        <f>AD9388/AC9380</f>
        <v>85</v>
      </c>
      <c r="AC9388" s="93">
        <f>AC9380/AA9388</f>
        <v>1.4500000000000002</v>
      </c>
      <c r="AD9388" s="94">
        <f>AC9388*Z9388</f>
        <v>24.650000000000002</v>
      </c>
      <c r="AE9388" s="190"/>
      <c r="AF9388" s="191"/>
      <c r="AG9388" s="191"/>
      <c r="AH9388" s="191"/>
      <c r="AI9388" s="186"/>
      <c r="AK9388" s="171"/>
    </row>
    <row r="9389" spans="1:37" s="102" customFormat="1" ht="19.899999999999999" customHeight="1" x14ac:dyDescent="0.25">
      <c r="A9389" s="45"/>
      <c r="B9389" s="59"/>
      <c r="C9389" s="137"/>
      <c r="D9389" s="59"/>
      <c r="E9389" s="116"/>
      <c r="F9389" s="120"/>
      <c r="G9389" s="120"/>
      <c r="H9389" s="120"/>
      <c r="I9389" s="60"/>
      <c r="J9389" s="116"/>
      <c r="K9389" s="213"/>
      <c r="L9389" s="120"/>
      <c r="M9389" s="120"/>
      <c r="N9389" s="167"/>
      <c r="O9389" s="120"/>
      <c r="P9389" s="120"/>
      <c r="Q9389" s="120"/>
      <c r="R9389" s="120"/>
      <c r="S9389" s="120"/>
      <c r="T9389" s="221"/>
      <c r="U9389" s="89"/>
      <c r="V9389" s="61"/>
      <c r="W9389" s="92" t="s">
        <v>112</v>
      </c>
      <c r="X9389" s="93" t="s">
        <v>31</v>
      </c>
      <c r="Y9389" s="93" t="s">
        <v>93</v>
      </c>
      <c r="Z9389" s="134">
        <f>VLOOKUP(W9389,Sheet2!$B:$D,3,FALSE)</f>
        <v>13</v>
      </c>
      <c r="AA9389" s="93">
        <f>AA9388</f>
        <v>0.2</v>
      </c>
      <c r="AB9389" s="93">
        <f>AD9389/AC9380</f>
        <v>65</v>
      </c>
      <c r="AC9389" s="93">
        <f>AC9380/AA9389</f>
        <v>1.4500000000000002</v>
      </c>
      <c r="AD9389" s="94">
        <f>AC9389*Z9389</f>
        <v>18.850000000000001</v>
      </c>
      <c r="AE9389" s="190"/>
      <c r="AF9389" s="191"/>
      <c r="AG9389" s="191"/>
      <c r="AH9389" s="191"/>
      <c r="AI9389" s="186"/>
      <c r="AK9389" s="171"/>
    </row>
    <row r="9390" spans="1:37" s="103" customFormat="1" ht="19.899999999999999" customHeight="1" x14ac:dyDescent="0.25">
      <c r="A9390" s="51"/>
      <c r="B9390" s="52"/>
      <c r="C9390" s="165"/>
      <c r="D9390" s="52"/>
      <c r="E9390" s="115"/>
      <c r="F9390" s="58"/>
      <c r="G9390" s="58"/>
      <c r="H9390" s="58"/>
      <c r="I9390" s="55"/>
      <c r="J9390" s="113">
        <f>J9374</f>
        <v>0.29000000000000004</v>
      </c>
      <c r="K9390" s="212">
        <f>K9374</f>
        <v>0.29000000000000004</v>
      </c>
      <c r="L9390" s="58"/>
      <c r="M9390" s="58">
        <f>K9390-L9390</f>
        <v>0.29000000000000004</v>
      </c>
      <c r="N9390" s="166"/>
      <c r="O9390" s="58"/>
      <c r="P9390" s="58"/>
      <c r="Q9390" s="58"/>
      <c r="R9390" s="58"/>
      <c r="S9390" s="58"/>
      <c r="T9390" s="220"/>
      <c r="U9390" s="88"/>
      <c r="V9390" s="56"/>
      <c r="W9390" s="57" t="s">
        <v>1358</v>
      </c>
      <c r="X9390" s="53"/>
      <c r="Y9390" s="91" t="s">
        <v>35</v>
      </c>
      <c r="Z9390" s="136">
        <f>AD9390/AC9390</f>
        <v>1400</v>
      </c>
      <c r="AA9390" s="58"/>
      <c r="AB9390" s="53">
        <f>AD9390/AC9390</f>
        <v>1400</v>
      </c>
      <c r="AC9390" s="53">
        <f>M9390+$AE$10</f>
        <v>0.29000000000000004</v>
      </c>
      <c r="AD9390" s="54">
        <f>SUM(AD9391:AD9392)</f>
        <v>406.00000000000006</v>
      </c>
      <c r="AE9390" s="184">
        <f>SUMIFS($AD$37:$AD$12971,$V$37:$V$12971,$V9390,$X$37:$X$12971,AE$13)</f>
        <v>0</v>
      </c>
      <c r="AF9390" s="185">
        <f>SUMIFS($AD$37:$AD$12971,$V$37:$V$12971,$V9390,$X$37:$X$12971,AF$13)</f>
        <v>0</v>
      </c>
      <c r="AG9390" s="185">
        <f>SUMIFS($AD$37:$AD$12971,$V$37:$V$12971,$V9390,$X$37:$X$12971,AG$13)</f>
        <v>0</v>
      </c>
      <c r="AH9390" s="187">
        <f>SUMIFS($AD$37:$AD$12971,$V$37:$V$12971,$V9390,$X$37:$X$12971,AH$13)</f>
        <v>0</v>
      </c>
      <c r="AI9390" s="161">
        <f t="shared" ref="AI9390" si="6320">SUM(AE9390:AH9390)</f>
        <v>0</v>
      </c>
      <c r="AK9390" s="172"/>
    </row>
    <row r="9391" spans="1:37" s="102" customFormat="1" ht="19.899999999999999" customHeight="1" x14ac:dyDescent="0.25">
      <c r="A9391" s="45"/>
      <c r="B9391" s="59"/>
      <c r="C9391" s="137"/>
      <c r="D9391" s="59"/>
      <c r="E9391" s="116"/>
      <c r="F9391" s="120"/>
      <c r="G9391" s="120"/>
      <c r="H9391" s="120"/>
      <c r="I9391" s="60"/>
      <c r="J9391" s="116"/>
      <c r="K9391" s="213"/>
      <c r="L9391" s="120"/>
      <c r="M9391" s="120"/>
      <c r="N9391" s="167"/>
      <c r="O9391" s="120"/>
      <c r="P9391" s="120"/>
      <c r="Q9391" s="120"/>
      <c r="R9391" s="120"/>
      <c r="S9391" s="120"/>
      <c r="T9391" s="221"/>
      <c r="U9391" s="89"/>
      <c r="V9391" s="61"/>
      <c r="W9391" s="92" t="s">
        <v>1359</v>
      </c>
      <c r="X9391" s="93" t="s">
        <v>32</v>
      </c>
      <c r="Y9391" s="93" t="s">
        <v>64</v>
      </c>
      <c r="Z9391" s="134">
        <f>VLOOKUP(W9391,Sheet2!$B:$D,3,FALSE)</f>
        <v>40</v>
      </c>
      <c r="AA9391" s="93">
        <f>1/(1*5*4)</f>
        <v>0.05</v>
      </c>
      <c r="AB9391" s="93">
        <f t="shared" ref="AB9391" si="6321">AD9391/AC9390</f>
        <v>800</v>
      </c>
      <c r="AC9391" s="93">
        <f>AC9390/AA9391</f>
        <v>5.8000000000000007</v>
      </c>
      <c r="AD9391" s="94">
        <f t="shared" ref="AD9391:AD9392" si="6322">AC9391*Z9391</f>
        <v>232.00000000000003</v>
      </c>
      <c r="AE9391" s="190"/>
      <c r="AF9391" s="191"/>
      <c r="AG9391" s="191"/>
      <c r="AH9391" s="191"/>
      <c r="AI9391" s="186"/>
      <c r="AK9391" s="171"/>
    </row>
    <row r="9392" spans="1:37" s="102" customFormat="1" ht="19.899999999999999" customHeight="1" x14ac:dyDescent="0.25">
      <c r="A9392" s="45"/>
      <c r="B9392" s="59"/>
      <c r="C9392" s="137"/>
      <c r="D9392" s="59"/>
      <c r="E9392" s="116"/>
      <c r="F9392" s="120"/>
      <c r="G9392" s="120"/>
      <c r="H9392" s="120"/>
      <c r="I9392" s="60"/>
      <c r="J9392" s="116"/>
      <c r="K9392" s="213"/>
      <c r="L9392" s="120"/>
      <c r="M9392" s="120"/>
      <c r="N9392" s="167"/>
      <c r="O9392" s="120"/>
      <c r="P9392" s="120"/>
      <c r="Q9392" s="120"/>
      <c r="R9392" s="120"/>
      <c r="S9392" s="120"/>
      <c r="T9392" s="221"/>
      <c r="U9392" s="89"/>
      <c r="V9392" s="61"/>
      <c r="W9392" s="92" t="s">
        <v>1360</v>
      </c>
      <c r="X9392" s="93" t="s">
        <v>32</v>
      </c>
      <c r="Y9392" s="93" t="s">
        <v>64</v>
      </c>
      <c r="Z9392" s="134">
        <f>VLOOKUP(W9392,Sheet2!$B:$D,3,FALSE)</f>
        <v>30</v>
      </c>
      <c r="AA9392" s="93">
        <f>AA9391</f>
        <v>0.05</v>
      </c>
      <c r="AB9392" s="93">
        <f>AD9392/AC9390</f>
        <v>600</v>
      </c>
      <c r="AC9392" s="93">
        <f>AC9390/AA9392</f>
        <v>5.8000000000000007</v>
      </c>
      <c r="AD9392" s="94">
        <f t="shared" si="6322"/>
        <v>174.00000000000003</v>
      </c>
      <c r="AE9392" s="190"/>
      <c r="AF9392" s="191"/>
      <c r="AG9392" s="191"/>
      <c r="AH9392" s="191"/>
      <c r="AI9392" s="186"/>
      <c r="AK9392" s="171"/>
    </row>
    <row r="9393" spans="1:41" s="103" customFormat="1" ht="19.899999999999999" customHeight="1" x14ac:dyDescent="0.25">
      <c r="A9393" s="51"/>
      <c r="B9393" s="52"/>
      <c r="C9393" s="165"/>
      <c r="D9393" s="52"/>
      <c r="E9393" s="115"/>
      <c r="F9393" s="58"/>
      <c r="G9393" s="58"/>
      <c r="H9393" s="58"/>
      <c r="I9393" s="55"/>
      <c r="J9393" s="113">
        <f>J9374</f>
        <v>0.29000000000000004</v>
      </c>
      <c r="K9393" s="212">
        <f>K9374</f>
        <v>0.29000000000000004</v>
      </c>
      <c r="L9393" s="58"/>
      <c r="M9393" s="58">
        <f>K9393-L9393</f>
        <v>0.29000000000000004</v>
      </c>
      <c r="N9393" s="166"/>
      <c r="O9393" s="58"/>
      <c r="P9393" s="58"/>
      <c r="Q9393" s="58"/>
      <c r="R9393" s="58"/>
      <c r="S9393" s="58"/>
      <c r="T9393" s="220"/>
      <c r="U9393" s="88"/>
      <c r="V9393" s="56"/>
      <c r="W9393" s="57" t="s">
        <v>1272</v>
      </c>
      <c r="X9393" s="53"/>
      <c r="Y9393" s="91" t="s">
        <v>35</v>
      </c>
      <c r="Z9393" s="136">
        <f>AD9393/AC9393</f>
        <v>452.06576470588232</v>
      </c>
      <c r="AA9393" s="58"/>
      <c r="AB9393" s="53">
        <f>AD9393/AC9393</f>
        <v>452.06576470588232</v>
      </c>
      <c r="AC9393" s="53">
        <f>M9393+$AE$10</f>
        <v>0.29000000000000004</v>
      </c>
      <c r="AD9393" s="54">
        <f>SUM(AD9394:AD9402)</f>
        <v>131.09907176470588</v>
      </c>
      <c r="AE9393" s="184">
        <f>SUMIFS($AD$37:$AD$12971,$V$37:$V$12971,$V9393,$X$37:$X$12971,AE$13)</f>
        <v>0</v>
      </c>
      <c r="AF9393" s="185">
        <f>SUMIFS($AD$37:$AD$12971,$V$37:$V$12971,$V9393,$X$37:$X$12971,AF$13)</f>
        <v>0</v>
      </c>
      <c r="AG9393" s="185">
        <f>SUMIFS($AD$37:$AD$12971,$V$37:$V$12971,$V9393,$X$37:$X$12971,AG$13)</f>
        <v>0</v>
      </c>
      <c r="AH9393" s="187">
        <f>SUMIFS($AD$37:$AD$12971,$V$37:$V$12971,$V9393,$X$37:$X$12971,AH$13)</f>
        <v>0</v>
      </c>
      <c r="AI9393" s="161">
        <f t="shared" ref="AI9393" si="6323">SUM(AE9393:AH9393)</f>
        <v>0</v>
      </c>
      <c r="AK9393" s="172"/>
    </row>
    <row r="9394" spans="1:41" s="102" customFormat="1" ht="19.899999999999999" customHeight="1" x14ac:dyDescent="0.25">
      <c r="A9394" s="45"/>
      <c r="B9394" s="59"/>
      <c r="C9394" s="137"/>
      <c r="D9394" s="59"/>
      <c r="E9394" s="116"/>
      <c r="F9394" s="120"/>
      <c r="G9394" s="120"/>
      <c r="H9394" s="120"/>
      <c r="I9394" s="60"/>
      <c r="J9394" s="116"/>
      <c r="K9394" s="213"/>
      <c r="L9394" s="120"/>
      <c r="M9394" s="120"/>
      <c r="N9394" s="167"/>
      <c r="O9394" s="120"/>
      <c r="P9394" s="120"/>
      <c r="Q9394" s="120"/>
      <c r="R9394" s="120"/>
      <c r="S9394" s="120"/>
      <c r="T9394" s="221"/>
      <c r="U9394" s="89"/>
      <c r="V9394" s="61"/>
      <c r="W9394" s="92" t="s">
        <v>1273</v>
      </c>
      <c r="X9394" s="93" t="s">
        <v>30</v>
      </c>
      <c r="Y9394" s="93" t="s">
        <v>66</v>
      </c>
      <c r="Z9394" s="134">
        <f>VLOOKUP(W9394,Sheet2!$B:$D,3,FALSE)</f>
        <v>10</v>
      </c>
      <c r="AA9394" s="93">
        <f>1/((2.5*2.5*5)-(1*1*5))</f>
        <v>3.8095238095238099E-2</v>
      </c>
      <c r="AB9394" s="93">
        <f>AD9394/AC9393</f>
        <v>262.49999999999994</v>
      </c>
      <c r="AC9394" s="93">
        <f>AC9393/AA9394</f>
        <v>7.6124999999999998</v>
      </c>
      <c r="AD9394" s="94">
        <f t="shared" ref="AD9394:AD9396" si="6324">AC9394*Z9394</f>
        <v>76.125</v>
      </c>
      <c r="AE9394" s="190"/>
      <c r="AF9394" s="191"/>
      <c r="AG9394" s="191"/>
      <c r="AH9394" s="191"/>
      <c r="AI9394" s="186"/>
      <c r="AK9394" s="171"/>
    </row>
    <row r="9395" spans="1:41" s="102" customFormat="1" ht="19.899999999999999" customHeight="1" x14ac:dyDescent="0.25">
      <c r="A9395" s="45"/>
      <c r="B9395" s="59"/>
      <c r="C9395" s="137"/>
      <c r="D9395" s="59"/>
      <c r="E9395" s="116"/>
      <c r="F9395" s="120"/>
      <c r="G9395" s="120"/>
      <c r="H9395" s="120"/>
      <c r="I9395" s="60"/>
      <c r="J9395" s="116"/>
      <c r="K9395" s="213"/>
      <c r="L9395" s="120"/>
      <c r="M9395" s="120"/>
      <c r="N9395" s="167"/>
      <c r="O9395" s="120"/>
      <c r="P9395" s="120"/>
      <c r="Q9395" s="120"/>
      <c r="R9395" s="120"/>
      <c r="S9395" s="120"/>
      <c r="T9395" s="221"/>
      <c r="U9395" s="89"/>
      <c r="V9395" s="61"/>
      <c r="W9395" s="92" t="s">
        <v>134</v>
      </c>
      <c r="X9395" s="93" t="s">
        <v>29</v>
      </c>
      <c r="Y9395" s="93" t="s">
        <v>93</v>
      </c>
      <c r="Z9395" s="134">
        <f>VLOOKUP(W9395,Sheet2!$B:$D,3,FALSE)</f>
        <v>65.599999999999994</v>
      </c>
      <c r="AA9395" s="93">
        <f>100/((2.5*2.5*5)-(1*1*5))</f>
        <v>3.8095238095238093</v>
      </c>
      <c r="AB9395" s="93">
        <f t="shared" ref="AB9395" si="6325">AD9395/AC9393</f>
        <v>17.22</v>
      </c>
      <c r="AC9395" s="93">
        <f>AC9393/AA9395</f>
        <v>7.6125000000000012E-2</v>
      </c>
      <c r="AD9395" s="94">
        <f t="shared" si="6324"/>
        <v>4.9938000000000002</v>
      </c>
      <c r="AE9395" s="190"/>
      <c r="AF9395" s="191"/>
      <c r="AG9395" s="191"/>
      <c r="AH9395" s="191"/>
      <c r="AI9395" s="186"/>
      <c r="AK9395" s="171"/>
    </row>
    <row r="9396" spans="1:41" s="102" customFormat="1" ht="19.899999999999999" customHeight="1" x14ac:dyDescent="0.25">
      <c r="A9396" s="45"/>
      <c r="B9396" s="59"/>
      <c r="C9396" s="137"/>
      <c r="D9396" s="59"/>
      <c r="E9396" s="116"/>
      <c r="F9396" s="120"/>
      <c r="G9396" s="120"/>
      <c r="H9396" s="120"/>
      <c r="I9396" s="60"/>
      <c r="J9396" s="116"/>
      <c r="K9396" s="213"/>
      <c r="L9396" s="120"/>
      <c r="M9396" s="120"/>
      <c r="N9396" s="167"/>
      <c r="O9396" s="120"/>
      <c r="P9396" s="120"/>
      <c r="Q9396" s="120"/>
      <c r="R9396" s="120"/>
      <c r="S9396" s="120"/>
      <c r="T9396" s="221"/>
      <c r="U9396" s="89"/>
      <c r="V9396" s="61"/>
      <c r="W9396" s="92" t="s">
        <v>65</v>
      </c>
      <c r="X9396" s="93" t="s">
        <v>30</v>
      </c>
      <c r="Y9396" s="93" t="s">
        <v>1011</v>
      </c>
      <c r="Z9396" s="134">
        <f>VLOOKUP(W9396,Sheet2!$B:$D,3,FALSE)</f>
        <v>1.76</v>
      </c>
      <c r="AA9396" s="93">
        <f>AA9395/9</f>
        <v>0.42328042328042326</v>
      </c>
      <c r="AB9396" s="93">
        <f>AD9396/AC9393</f>
        <v>4.1579999999999995</v>
      </c>
      <c r="AC9396" s="93">
        <f>AC9393/AA9396</f>
        <v>0.6851250000000001</v>
      </c>
      <c r="AD9396" s="94">
        <f t="shared" si="6324"/>
        <v>1.2058200000000001</v>
      </c>
      <c r="AE9396" s="190"/>
      <c r="AF9396" s="191"/>
      <c r="AG9396" s="191"/>
      <c r="AH9396" s="191"/>
      <c r="AI9396" s="186"/>
      <c r="AK9396" s="171"/>
    </row>
    <row r="9397" spans="1:41" s="102" customFormat="1" ht="19.899999999999999" customHeight="1" x14ac:dyDescent="0.25">
      <c r="A9397" s="45"/>
      <c r="B9397" s="59"/>
      <c r="C9397" s="137"/>
      <c r="D9397" s="59"/>
      <c r="E9397" s="116"/>
      <c r="F9397" s="120"/>
      <c r="G9397" s="120"/>
      <c r="H9397" s="120"/>
      <c r="I9397" s="60"/>
      <c r="J9397" s="116"/>
      <c r="K9397" s="213"/>
      <c r="L9397" s="120"/>
      <c r="M9397" s="120"/>
      <c r="N9397" s="167"/>
      <c r="O9397" s="120"/>
      <c r="P9397" s="120"/>
      <c r="Q9397" s="120"/>
      <c r="R9397" s="120"/>
      <c r="S9397" s="120"/>
      <c r="T9397" s="221"/>
      <c r="U9397" s="89"/>
      <c r="V9397" s="61"/>
      <c r="W9397" s="92" t="s">
        <v>161</v>
      </c>
      <c r="X9397" s="93" t="s">
        <v>29</v>
      </c>
      <c r="Y9397" s="93" t="s">
        <v>93</v>
      </c>
      <c r="Z9397" s="134">
        <f>VLOOKUP(W9397,Sheet2!$B:$D,3,FALSE)</f>
        <v>48</v>
      </c>
      <c r="AA9397" s="93">
        <f>(16*0.85*1.5)/((2.5*2.5*5)-(1*1*5))</f>
        <v>0.77714285714285714</v>
      </c>
      <c r="AB9397" s="93">
        <f>AD9397/AC9393</f>
        <v>61.764705882352942</v>
      </c>
      <c r="AC9397" s="93">
        <f>AC9393/AA9397</f>
        <v>0.37316176470588241</v>
      </c>
      <c r="AD9397" s="94">
        <f>AC9397*Z9397</f>
        <v>17.911764705882355</v>
      </c>
      <c r="AE9397" s="190"/>
      <c r="AF9397" s="191"/>
      <c r="AG9397" s="191"/>
      <c r="AH9397" s="191"/>
      <c r="AI9397" s="186"/>
      <c r="AK9397" s="171"/>
    </row>
    <row r="9398" spans="1:41" s="102" customFormat="1" ht="19.899999999999999" customHeight="1" x14ac:dyDescent="0.25">
      <c r="A9398" s="45"/>
      <c r="B9398" s="59"/>
      <c r="C9398" s="137"/>
      <c r="D9398" s="59"/>
      <c r="E9398" s="116"/>
      <c r="F9398" s="120"/>
      <c r="G9398" s="120"/>
      <c r="H9398" s="120"/>
      <c r="I9398" s="60"/>
      <c r="J9398" s="116"/>
      <c r="K9398" s="213"/>
      <c r="L9398" s="120"/>
      <c r="M9398" s="120"/>
      <c r="N9398" s="167"/>
      <c r="O9398" s="120"/>
      <c r="P9398" s="120"/>
      <c r="Q9398" s="120"/>
      <c r="R9398" s="120"/>
      <c r="S9398" s="120"/>
      <c r="T9398" s="221"/>
      <c r="U9398" s="89"/>
      <c r="V9398" s="61"/>
      <c r="W9398" s="92" t="s">
        <v>65</v>
      </c>
      <c r="X9398" s="93" t="s">
        <v>30</v>
      </c>
      <c r="Y9398" s="93" t="s">
        <v>1011</v>
      </c>
      <c r="Z9398" s="134">
        <f>VLOOKUP(W9398,Sheet2!$B:$D,3,FALSE)</f>
        <v>1.76</v>
      </c>
      <c r="AA9398" s="93">
        <f>AA9397/10</f>
        <v>7.7714285714285708E-2</v>
      </c>
      <c r="AB9398" s="93">
        <f>AD9398/AC9393</f>
        <v>22.647058823529413</v>
      </c>
      <c r="AC9398" s="93">
        <f>AC9393/AA9398</f>
        <v>3.7316176470588243</v>
      </c>
      <c r="AD9398" s="94">
        <f>AC9398*Z9398</f>
        <v>6.5676470588235309</v>
      </c>
      <c r="AE9398" s="190"/>
      <c r="AF9398" s="191"/>
      <c r="AG9398" s="191"/>
      <c r="AH9398" s="191"/>
      <c r="AI9398" s="186"/>
      <c r="AK9398" s="171"/>
    </row>
    <row r="9399" spans="1:41" s="102" customFormat="1" ht="19.899999999999999" customHeight="1" x14ac:dyDescent="0.25">
      <c r="A9399" s="45"/>
      <c r="B9399" s="59"/>
      <c r="C9399" s="137"/>
      <c r="D9399" s="59"/>
      <c r="E9399" s="116"/>
      <c r="F9399" s="120"/>
      <c r="G9399" s="120"/>
      <c r="H9399" s="120"/>
      <c r="I9399" s="60"/>
      <c r="J9399" s="116"/>
      <c r="K9399" s="213"/>
      <c r="L9399" s="120"/>
      <c r="M9399" s="120"/>
      <c r="N9399" s="167"/>
      <c r="O9399" s="120"/>
      <c r="P9399" s="120"/>
      <c r="Q9399" s="120"/>
      <c r="R9399" s="120"/>
      <c r="S9399" s="120"/>
      <c r="T9399" s="221"/>
      <c r="U9399" s="89"/>
      <c r="V9399" s="61"/>
      <c r="W9399" s="92" t="s">
        <v>173</v>
      </c>
      <c r="X9399" s="93" t="s">
        <v>29</v>
      </c>
      <c r="Y9399" s="93" t="s">
        <v>93</v>
      </c>
      <c r="Z9399" s="134">
        <f>VLOOKUP(W9399,Sheet2!$B:$D,3,FALSE)</f>
        <v>36</v>
      </c>
      <c r="AA9399" s="93">
        <f>50/((2.5*2.5*5)-(1*1*5))</f>
        <v>1.9047619047619047</v>
      </c>
      <c r="AB9399" s="93">
        <f>AD9399/AC9393</f>
        <v>18.899999999999999</v>
      </c>
      <c r="AC9399" s="93">
        <f>AC9393/AA9399</f>
        <v>0.15225000000000002</v>
      </c>
      <c r="AD9399" s="94">
        <f>AC9399*Z9399</f>
        <v>5.4810000000000008</v>
      </c>
      <c r="AE9399" s="190"/>
      <c r="AF9399" s="191"/>
      <c r="AG9399" s="191"/>
      <c r="AH9399" s="191"/>
      <c r="AI9399" s="186"/>
      <c r="AK9399" s="171"/>
    </row>
    <row r="9400" spans="1:41" s="102" customFormat="1" ht="19.899999999999999" customHeight="1" x14ac:dyDescent="0.25">
      <c r="A9400" s="45"/>
      <c r="B9400" s="59"/>
      <c r="C9400" s="137"/>
      <c r="D9400" s="59"/>
      <c r="E9400" s="116"/>
      <c r="F9400" s="120"/>
      <c r="G9400" s="120"/>
      <c r="H9400" s="120"/>
      <c r="I9400" s="60"/>
      <c r="J9400" s="116"/>
      <c r="K9400" s="213"/>
      <c r="L9400" s="120"/>
      <c r="M9400" s="120"/>
      <c r="N9400" s="167"/>
      <c r="O9400" s="120"/>
      <c r="P9400" s="120"/>
      <c r="Q9400" s="120"/>
      <c r="R9400" s="120"/>
      <c r="S9400" s="120"/>
      <c r="T9400" s="221"/>
      <c r="U9400" s="89"/>
      <c r="V9400" s="61"/>
      <c r="W9400" s="92" t="s">
        <v>65</v>
      </c>
      <c r="X9400" s="93" t="s">
        <v>30</v>
      </c>
      <c r="Y9400" s="93" t="s">
        <v>1011</v>
      </c>
      <c r="Z9400" s="134">
        <f>VLOOKUP(W9400,Sheet2!$B:$D,3,FALSE)</f>
        <v>1.76</v>
      </c>
      <c r="AA9400" s="93">
        <f>AA9399/9</f>
        <v>0.21164021164021163</v>
      </c>
      <c r="AB9400" s="93">
        <f>AD9400/AC9393</f>
        <v>8.3159999999999989</v>
      </c>
      <c r="AC9400" s="93">
        <f>AC9393/AA9400</f>
        <v>1.3702500000000002</v>
      </c>
      <c r="AD9400" s="94">
        <f>AC9400*Z9400</f>
        <v>2.4116400000000002</v>
      </c>
      <c r="AE9400" s="190"/>
      <c r="AF9400" s="191"/>
      <c r="AG9400" s="191"/>
      <c r="AH9400" s="191"/>
      <c r="AI9400" s="186"/>
      <c r="AK9400" s="171"/>
    </row>
    <row r="9401" spans="1:41" s="102" customFormat="1" ht="19.899999999999999" customHeight="1" x14ac:dyDescent="0.25">
      <c r="A9401" s="45"/>
      <c r="B9401" s="59"/>
      <c r="C9401" s="137"/>
      <c r="D9401" s="59"/>
      <c r="E9401" s="116"/>
      <c r="F9401" s="120"/>
      <c r="G9401" s="120"/>
      <c r="H9401" s="120"/>
      <c r="I9401" s="60"/>
      <c r="J9401" s="116"/>
      <c r="K9401" s="213"/>
      <c r="L9401" s="120"/>
      <c r="M9401" s="120"/>
      <c r="N9401" s="167"/>
      <c r="O9401" s="120"/>
      <c r="P9401" s="120"/>
      <c r="Q9401" s="120"/>
      <c r="R9401" s="120"/>
      <c r="S9401" s="120"/>
      <c r="T9401" s="221"/>
      <c r="U9401" s="89"/>
      <c r="V9401" s="61"/>
      <c r="W9401" s="92" t="s">
        <v>1030</v>
      </c>
      <c r="X9401" s="93" t="s">
        <v>29</v>
      </c>
      <c r="Y9401" s="93" t="s">
        <v>93</v>
      </c>
      <c r="Z9401" s="134">
        <f>VLOOKUP(W9401,Sheet2!$B:$D,3,FALSE)</f>
        <v>23</v>
      </c>
      <c r="AA9401" s="93">
        <v>0.5</v>
      </c>
      <c r="AB9401" s="93">
        <f>AD9401/AC9393</f>
        <v>46</v>
      </c>
      <c r="AC9401" s="93">
        <f>AC9393/AA9401</f>
        <v>0.58000000000000007</v>
      </c>
      <c r="AD9401" s="94">
        <f t="shared" ref="AD9401:AD9402" si="6326">AC9401*Z9401</f>
        <v>13.340000000000002</v>
      </c>
      <c r="AE9401" s="190"/>
      <c r="AF9401" s="191"/>
      <c r="AG9401" s="191"/>
      <c r="AH9401" s="191"/>
      <c r="AI9401" s="186"/>
      <c r="AK9401" s="171"/>
    </row>
    <row r="9402" spans="1:41" s="102" customFormat="1" ht="19.899999999999999" customHeight="1" x14ac:dyDescent="0.25">
      <c r="A9402" s="45"/>
      <c r="B9402" s="59"/>
      <c r="C9402" s="137"/>
      <c r="D9402" s="59"/>
      <c r="E9402" s="116"/>
      <c r="F9402" s="120"/>
      <c r="G9402" s="120"/>
      <c r="H9402" s="120"/>
      <c r="I9402" s="60"/>
      <c r="J9402" s="116"/>
      <c r="K9402" s="213"/>
      <c r="L9402" s="120"/>
      <c r="M9402" s="120"/>
      <c r="N9402" s="167"/>
      <c r="O9402" s="120"/>
      <c r="P9402" s="120"/>
      <c r="Q9402" s="120"/>
      <c r="R9402" s="120"/>
      <c r="S9402" s="120"/>
      <c r="T9402" s="221"/>
      <c r="U9402" s="89"/>
      <c r="V9402" s="61"/>
      <c r="W9402" s="92" t="s">
        <v>65</v>
      </c>
      <c r="X9402" s="93" t="s">
        <v>30</v>
      </c>
      <c r="Y9402" s="93" t="s">
        <v>1011</v>
      </c>
      <c r="Z9402" s="134">
        <f>VLOOKUP(W9402,Sheet2!$B:$D,3,FALSE)</f>
        <v>1.76</v>
      </c>
      <c r="AA9402" s="93">
        <f>AA9401/3</f>
        <v>0.16666666666666666</v>
      </c>
      <c r="AB9402" s="93">
        <f>AD9402/AC9393</f>
        <v>10.559999999999999</v>
      </c>
      <c r="AC9402" s="93">
        <f>AC9393/AA9402</f>
        <v>1.7400000000000002</v>
      </c>
      <c r="AD9402" s="94">
        <f t="shared" si="6326"/>
        <v>3.0624000000000002</v>
      </c>
      <c r="AE9402" s="190"/>
      <c r="AF9402" s="191"/>
      <c r="AG9402" s="191"/>
      <c r="AH9402" s="191"/>
      <c r="AI9402" s="186"/>
      <c r="AK9402" s="171"/>
    </row>
    <row r="9403" spans="1:41" s="102" customFormat="1" ht="20.100000000000001" customHeight="1" x14ac:dyDescent="0.25">
      <c r="A9403" s="45" t="s">
        <v>703</v>
      </c>
      <c r="B9403" s="276"/>
      <c r="C9403" s="286" t="s">
        <v>841</v>
      </c>
      <c r="D9403" s="59"/>
      <c r="E9403" s="116"/>
      <c r="F9403" s="120"/>
      <c r="G9403" s="120"/>
      <c r="H9403" s="120"/>
      <c r="I9403" s="60"/>
      <c r="J9403" s="116"/>
      <c r="K9403" s="213"/>
      <c r="L9403" s="120"/>
      <c r="M9403" s="120"/>
      <c r="N9403" s="167"/>
      <c r="O9403" s="120"/>
      <c r="P9403" s="120"/>
      <c r="Q9403" s="120"/>
      <c r="R9403" s="120"/>
      <c r="S9403" s="120"/>
      <c r="T9403" s="221"/>
      <c r="U9403" s="89"/>
      <c r="V9403" s="61"/>
      <c r="W9403" s="92"/>
      <c r="X9403" s="38"/>
      <c r="Y9403" s="93"/>
      <c r="Z9403" s="134"/>
      <c r="AA9403" s="93"/>
      <c r="AB9403" s="93"/>
      <c r="AC9403" s="93"/>
      <c r="AD9403" s="94"/>
      <c r="AE9403" s="190"/>
      <c r="AF9403" s="191"/>
      <c r="AG9403" s="191"/>
      <c r="AH9403" s="191"/>
      <c r="AI9403" s="186"/>
      <c r="AK9403" s="171"/>
    </row>
    <row r="9404" spans="1:41" ht="20.100000000000001" customHeight="1" x14ac:dyDescent="0.25">
      <c r="A9404" s="277" t="s">
        <v>703</v>
      </c>
      <c r="B9404" s="278"/>
      <c r="C9404" s="64" t="s">
        <v>839</v>
      </c>
      <c r="D9404" s="46" t="s">
        <v>215</v>
      </c>
      <c r="E9404" s="114">
        <v>14.179999999999996</v>
      </c>
      <c r="F9404" s="44">
        <v>8854</v>
      </c>
      <c r="G9404" s="44">
        <f t="shared" si="5545"/>
        <v>125549.71999999997</v>
      </c>
      <c r="H9404" s="44">
        <f t="shared" si="5546"/>
        <v>4519.8734651583709</v>
      </c>
      <c r="I9404" s="43">
        <f t="shared" si="5547"/>
        <v>64091.80573594568</v>
      </c>
      <c r="J9404" s="112">
        <f t="shared" si="5548"/>
        <v>14.179999999999996</v>
      </c>
      <c r="K9404" s="211">
        <f t="shared" si="5549"/>
        <v>14.179999999999996</v>
      </c>
      <c r="L9404" s="44"/>
      <c r="M9404" s="44">
        <f t="shared" si="5550"/>
        <v>14.179999999999996</v>
      </c>
      <c r="N9404" s="173">
        <f t="shared" si="5551"/>
        <v>1</v>
      </c>
      <c r="O9404" s="44">
        <f t="shared" si="5552"/>
        <v>8854</v>
      </c>
      <c r="P9404" s="44">
        <f t="shared" si="5553"/>
        <v>125549.71999999997</v>
      </c>
      <c r="Q9404" s="44">
        <f t="shared" si="5554"/>
        <v>4519.8734651583709</v>
      </c>
      <c r="R9404" s="44">
        <f t="shared" si="5555"/>
        <v>64091.80573594568</v>
      </c>
      <c r="S9404" s="123"/>
      <c r="T9404" s="219">
        <f t="shared" si="5556"/>
        <v>64091.80573594568</v>
      </c>
      <c r="U9404" s="87"/>
      <c r="V9404" s="47"/>
      <c r="W9404" s="48"/>
      <c r="X9404" s="48"/>
      <c r="Y9404" s="48"/>
      <c r="Z9404" s="135"/>
      <c r="AA9404" s="49"/>
      <c r="AB9404" s="50">
        <f t="shared" si="5557"/>
        <v>4519.8734651583709</v>
      </c>
      <c r="AC9404" s="42">
        <f t="shared" si="5558"/>
        <v>14.179999999999996</v>
      </c>
      <c r="AD9404" s="90">
        <f>AD9405+AD9410+AD9420+AD9423</f>
        <v>64091.805735945687</v>
      </c>
      <c r="AE9404" s="188">
        <f t="shared" ref="AE9404" si="6327">AE9405+AE9410+AE9420+AE9423</f>
        <v>0</v>
      </c>
      <c r="AF9404" s="189">
        <f t="shared" ref="AF9404" si="6328">AF9405+AF9410+AF9420+AF9423</f>
        <v>0</v>
      </c>
      <c r="AG9404" s="189">
        <f t="shared" ref="AG9404" si="6329">AG9405+AG9410+AG9420+AG9423</f>
        <v>0</v>
      </c>
      <c r="AH9404" s="189">
        <f t="shared" ref="AH9404" si="6330">AH9405+AH9410+AH9420+AH9423</f>
        <v>0</v>
      </c>
      <c r="AI9404" s="161">
        <f t="shared" ref="AI9404" si="6331">SUM(AE9404:AH9404)</f>
        <v>0</v>
      </c>
      <c r="AK9404" s="169">
        <v>5</v>
      </c>
      <c r="AO9404" s="19" t="s">
        <v>63</v>
      </c>
    </row>
    <row r="9405" spans="1:41" s="103" customFormat="1" ht="19.899999999999999" customHeight="1" x14ac:dyDescent="0.25">
      <c r="A9405" s="51"/>
      <c r="B9405" s="52"/>
      <c r="C9405" s="165"/>
      <c r="D9405" s="52"/>
      <c r="E9405" s="115"/>
      <c r="F9405" s="58"/>
      <c r="G9405" s="58"/>
      <c r="H9405" s="58"/>
      <c r="I9405" s="55"/>
      <c r="J9405" s="113">
        <f>J9404</f>
        <v>14.179999999999996</v>
      </c>
      <c r="K9405" s="212">
        <f>K9404</f>
        <v>14.179999999999996</v>
      </c>
      <c r="L9405" s="58"/>
      <c r="M9405" s="58">
        <f>K9405-L9405</f>
        <v>14.179999999999996</v>
      </c>
      <c r="N9405" s="166"/>
      <c r="O9405" s="58"/>
      <c r="P9405" s="58"/>
      <c r="Q9405" s="58"/>
      <c r="R9405" s="58"/>
      <c r="S9405" s="58"/>
      <c r="T9405" s="220"/>
      <c r="U9405" s="88"/>
      <c r="V9405" s="56"/>
      <c r="W9405" s="57" t="s">
        <v>1640</v>
      </c>
      <c r="X9405" s="53"/>
      <c r="Y9405" s="91" t="s">
        <v>35</v>
      </c>
      <c r="Z9405" s="136">
        <f>AD9405/AC9405</f>
        <v>54.298164705882357</v>
      </c>
      <c r="AA9405" s="58"/>
      <c r="AB9405" s="53">
        <f>AD9405/AC9405</f>
        <v>54.298164705882357</v>
      </c>
      <c r="AC9405" s="53">
        <f>M9405+$AE$10</f>
        <v>14.179999999999996</v>
      </c>
      <c r="AD9405" s="54">
        <f>SUM(AD9406:AD9409)</f>
        <v>769.94797552941156</v>
      </c>
      <c r="AE9405" s="184">
        <f>SUMIFS($AD$37:$AD$12971,$V$37:$V$12971,$V9405,$X$37:$X$12971,AE$13)</f>
        <v>0</v>
      </c>
      <c r="AF9405" s="185">
        <f>SUMIFS($AD$37:$AD$12971,$V$37:$V$12971,$V9405,$X$37:$X$12971,AF$13)</f>
        <v>0</v>
      </c>
      <c r="AG9405" s="185">
        <f>SUMIFS($AD$37:$AD$12971,$V$37:$V$12971,$V9405,$X$37:$X$12971,AG$13)</f>
        <v>0</v>
      </c>
      <c r="AH9405" s="187">
        <f>SUMIFS($AD$37:$AD$12971,$V$37:$V$12971,$V9405,$X$37:$X$12971,AH$13)</f>
        <v>0</v>
      </c>
      <c r="AI9405" s="161">
        <f t="shared" ref="AI9405" si="6332">SUM(AE9405:AH9405)</f>
        <v>0</v>
      </c>
      <c r="AK9405" s="172"/>
    </row>
    <row r="9406" spans="1:41" s="102" customFormat="1" ht="19.899999999999999" customHeight="1" x14ac:dyDescent="0.25">
      <c r="A9406" s="45"/>
      <c r="B9406" s="59"/>
      <c r="C9406" s="137"/>
      <c r="D9406" s="59"/>
      <c r="E9406" s="116"/>
      <c r="F9406" s="120"/>
      <c r="G9406" s="120"/>
      <c r="H9406" s="120"/>
      <c r="I9406" s="60"/>
      <c r="J9406" s="116"/>
      <c r="K9406" s="213"/>
      <c r="L9406" s="120"/>
      <c r="M9406" s="120"/>
      <c r="N9406" s="167"/>
      <c r="O9406" s="120"/>
      <c r="P9406" s="120"/>
      <c r="Q9406" s="120"/>
      <c r="R9406" s="120"/>
      <c r="S9406" s="120"/>
      <c r="T9406" s="221"/>
      <c r="U9406" s="89"/>
      <c r="V9406" s="61"/>
      <c r="W9406" s="92" t="s">
        <v>129</v>
      </c>
      <c r="X9406" s="93" t="s">
        <v>29</v>
      </c>
      <c r="Y9406" s="93" t="s">
        <v>93</v>
      </c>
      <c r="Z9406" s="134">
        <f>VLOOKUP(W9406,Sheet2!$B:$D,3,FALSE)</f>
        <v>56</v>
      </c>
      <c r="AA9406" s="93">
        <f>100/(3*3*1.5)</f>
        <v>7.4074074074074074</v>
      </c>
      <c r="AB9406" s="93">
        <f t="shared" ref="AB9406" si="6333">AD9406/AC9405</f>
        <v>7.5600000000000005</v>
      </c>
      <c r="AC9406" s="93">
        <f>AC9405/AA9406</f>
        <v>1.9142999999999994</v>
      </c>
      <c r="AD9406" s="94">
        <f t="shared" ref="AD9406:AD9407" si="6334">AC9406*Z9406</f>
        <v>107.20079999999997</v>
      </c>
      <c r="AE9406" s="190"/>
      <c r="AF9406" s="191"/>
      <c r="AG9406" s="191"/>
      <c r="AH9406" s="191"/>
      <c r="AI9406" s="186"/>
      <c r="AK9406" s="171"/>
    </row>
    <row r="9407" spans="1:41" s="102" customFormat="1" ht="19.899999999999999" customHeight="1" x14ac:dyDescent="0.25">
      <c r="A9407" s="45"/>
      <c r="B9407" s="59"/>
      <c r="C9407" s="137"/>
      <c r="D9407" s="59"/>
      <c r="E9407" s="116"/>
      <c r="F9407" s="120"/>
      <c r="G9407" s="120"/>
      <c r="H9407" s="120"/>
      <c r="I9407" s="60"/>
      <c r="J9407" s="116"/>
      <c r="K9407" s="213"/>
      <c r="L9407" s="120"/>
      <c r="M9407" s="120"/>
      <c r="N9407" s="167"/>
      <c r="O9407" s="120"/>
      <c r="P9407" s="120"/>
      <c r="Q9407" s="120"/>
      <c r="R9407" s="120"/>
      <c r="S9407" s="120"/>
      <c r="T9407" s="221"/>
      <c r="U9407" s="89"/>
      <c r="V9407" s="61"/>
      <c r="W9407" s="92" t="s">
        <v>65</v>
      </c>
      <c r="X9407" s="93" t="s">
        <v>30</v>
      </c>
      <c r="Y9407" s="93" t="s">
        <v>1011</v>
      </c>
      <c r="Z9407" s="134">
        <f>VLOOKUP(W9407,Sheet2!$B:$D,3,FALSE)</f>
        <v>1.76</v>
      </c>
      <c r="AA9407" s="93">
        <f>AA9406/14</f>
        <v>0.52910052910052907</v>
      </c>
      <c r="AB9407" s="93">
        <f>AD9407/AC9405</f>
        <v>3.3264000000000005</v>
      </c>
      <c r="AC9407" s="93">
        <f>AC9405/AA9407</f>
        <v>26.800199999999993</v>
      </c>
      <c r="AD9407" s="94">
        <f t="shared" si="6334"/>
        <v>47.168351999999992</v>
      </c>
      <c r="AE9407" s="190"/>
      <c r="AF9407" s="191"/>
      <c r="AG9407" s="191"/>
      <c r="AH9407" s="191"/>
      <c r="AI9407" s="186"/>
      <c r="AK9407" s="171"/>
    </row>
    <row r="9408" spans="1:41" s="102" customFormat="1" ht="19.899999999999999" customHeight="1" x14ac:dyDescent="0.25">
      <c r="A9408" s="45"/>
      <c r="B9408" s="59"/>
      <c r="C9408" s="137"/>
      <c r="D9408" s="59"/>
      <c r="E9408" s="116"/>
      <c r="F9408" s="120"/>
      <c r="G9408" s="120"/>
      <c r="H9408" s="120"/>
      <c r="I9408" s="60"/>
      <c r="J9408" s="116"/>
      <c r="K9408" s="213"/>
      <c r="L9408" s="120"/>
      <c r="M9408" s="120"/>
      <c r="N9408" s="167"/>
      <c r="O9408" s="120"/>
      <c r="P9408" s="120"/>
      <c r="Q9408" s="120"/>
      <c r="R9408" s="120"/>
      <c r="S9408" s="120"/>
      <c r="T9408" s="221"/>
      <c r="U9408" s="89"/>
      <c r="V9408" s="61"/>
      <c r="W9408" s="92" t="s">
        <v>161</v>
      </c>
      <c r="X9408" s="93" t="s">
        <v>29</v>
      </c>
      <c r="Y9408" s="93" t="s">
        <v>93</v>
      </c>
      <c r="Z9408" s="134">
        <f>VLOOKUP(W9408,Sheet2!$B:$D,3,FALSE)</f>
        <v>48</v>
      </c>
      <c r="AA9408" s="93">
        <f>(16*0.85*1.5)/(3*3*1.5)</f>
        <v>1.5111111111111111</v>
      </c>
      <c r="AB9408" s="93">
        <f>AD9408/AC9405</f>
        <v>31.764705882352938</v>
      </c>
      <c r="AC9408" s="93">
        <f>AC9405/AA9408</f>
        <v>9.383823529411762</v>
      </c>
      <c r="AD9408" s="94">
        <f>AC9408*Z9408</f>
        <v>450.42352941176455</v>
      </c>
      <c r="AE9408" s="190"/>
      <c r="AF9408" s="191"/>
      <c r="AG9408" s="191"/>
      <c r="AH9408" s="191"/>
      <c r="AI9408" s="186"/>
      <c r="AK9408" s="171"/>
    </row>
    <row r="9409" spans="1:37" s="102" customFormat="1" ht="19.899999999999999" customHeight="1" x14ac:dyDescent="0.25">
      <c r="A9409" s="45"/>
      <c r="B9409" s="59"/>
      <c r="C9409" s="137"/>
      <c r="D9409" s="59"/>
      <c r="E9409" s="116"/>
      <c r="F9409" s="120"/>
      <c r="G9409" s="120"/>
      <c r="H9409" s="120"/>
      <c r="I9409" s="60"/>
      <c r="J9409" s="116"/>
      <c r="K9409" s="213"/>
      <c r="L9409" s="120"/>
      <c r="M9409" s="120"/>
      <c r="N9409" s="167"/>
      <c r="O9409" s="120"/>
      <c r="P9409" s="120"/>
      <c r="Q9409" s="120"/>
      <c r="R9409" s="120"/>
      <c r="S9409" s="120"/>
      <c r="T9409" s="221"/>
      <c r="U9409" s="89"/>
      <c r="V9409" s="61"/>
      <c r="W9409" s="92" t="s">
        <v>65</v>
      </c>
      <c r="X9409" s="93" t="s">
        <v>30</v>
      </c>
      <c r="Y9409" s="93" t="s">
        <v>1011</v>
      </c>
      <c r="Z9409" s="134">
        <f>VLOOKUP(W9409,Sheet2!$B:$D,3,FALSE)</f>
        <v>1.76</v>
      </c>
      <c r="AA9409" s="93">
        <f>AA9408/10</f>
        <v>0.15111111111111111</v>
      </c>
      <c r="AB9409" s="93">
        <f>AD9409/AC9405</f>
        <v>11.647058823529413</v>
      </c>
      <c r="AC9409" s="93">
        <f>AC9405/AA9409</f>
        <v>93.838235294117624</v>
      </c>
      <c r="AD9409" s="94">
        <f>AC9409*Z9409</f>
        <v>165.15529411764703</v>
      </c>
      <c r="AE9409" s="190"/>
      <c r="AF9409" s="191"/>
      <c r="AG9409" s="191"/>
      <c r="AH9409" s="191"/>
      <c r="AI9409" s="186"/>
      <c r="AK9409" s="171"/>
    </row>
    <row r="9410" spans="1:37" s="103" customFormat="1" ht="19.899999999999999" customHeight="1" x14ac:dyDescent="0.25">
      <c r="A9410" s="51"/>
      <c r="B9410" s="52"/>
      <c r="C9410" s="165"/>
      <c r="D9410" s="52"/>
      <c r="E9410" s="115"/>
      <c r="F9410" s="58"/>
      <c r="G9410" s="58"/>
      <c r="H9410" s="58"/>
      <c r="I9410" s="55"/>
      <c r="J9410" s="113">
        <f>J9404</f>
        <v>14.179999999999996</v>
      </c>
      <c r="K9410" s="212">
        <f>K9404</f>
        <v>14.179999999999996</v>
      </c>
      <c r="L9410" s="58"/>
      <c r="M9410" s="58">
        <f>K9410-L9410</f>
        <v>14.179999999999996</v>
      </c>
      <c r="N9410" s="166"/>
      <c r="O9410" s="58"/>
      <c r="P9410" s="58"/>
      <c r="Q9410" s="58"/>
      <c r="R9410" s="58"/>
      <c r="S9410" s="58"/>
      <c r="T9410" s="220"/>
      <c r="U9410" s="88"/>
      <c r="V9410" s="56"/>
      <c r="W9410" s="57" t="s">
        <v>1636</v>
      </c>
      <c r="X9410" s="53"/>
      <c r="Y9410" s="91" t="s">
        <v>35</v>
      </c>
      <c r="Z9410" s="136">
        <f>AD9410/AC9410</f>
        <v>3675.9530769230773</v>
      </c>
      <c r="AA9410" s="58"/>
      <c r="AB9410" s="53">
        <f>AD9410/AC9410</f>
        <v>3675.9530769230773</v>
      </c>
      <c r="AC9410" s="53">
        <f>M9410+$AE$10</f>
        <v>14.179999999999996</v>
      </c>
      <c r="AD9410" s="54">
        <f>SUM(AD9411:AD9419)</f>
        <v>52125.014630769219</v>
      </c>
      <c r="AE9410" s="184">
        <f>SUMIFS($AD$37:$AD$12971,$V$37:$V$12971,$V9410,$X$37:$X$12971,AE$13)</f>
        <v>0</v>
      </c>
      <c r="AF9410" s="185">
        <f>SUMIFS($AD$37:$AD$12971,$V$37:$V$12971,$V9410,$X$37:$X$12971,AF$13)</f>
        <v>0</v>
      </c>
      <c r="AG9410" s="185">
        <f>SUMIFS($AD$37:$AD$12971,$V$37:$V$12971,$V9410,$X$37:$X$12971,AG$13)</f>
        <v>0</v>
      </c>
      <c r="AH9410" s="187">
        <f>SUMIFS($AD$37:$AD$12971,$V$37:$V$12971,$V9410,$X$37:$X$12971,AH$13)</f>
        <v>0</v>
      </c>
      <c r="AI9410" s="161">
        <f t="shared" ref="AI9410" si="6335">SUM(AE9410:AH9410)</f>
        <v>0</v>
      </c>
      <c r="AK9410" s="172"/>
    </row>
    <row r="9411" spans="1:37" s="102" customFormat="1" ht="19.899999999999999" customHeight="1" x14ac:dyDescent="0.25">
      <c r="A9411" s="45"/>
      <c r="B9411" s="59"/>
      <c r="C9411" s="137"/>
      <c r="D9411" s="59"/>
      <c r="E9411" s="116"/>
      <c r="F9411" s="120"/>
      <c r="G9411" s="120"/>
      <c r="H9411" s="120"/>
      <c r="I9411" s="60"/>
      <c r="J9411" s="116"/>
      <c r="K9411" s="213"/>
      <c r="L9411" s="120"/>
      <c r="M9411" s="120"/>
      <c r="N9411" s="167"/>
      <c r="O9411" s="120"/>
      <c r="P9411" s="120"/>
      <c r="Q9411" s="120"/>
      <c r="R9411" s="120"/>
      <c r="S9411" s="120"/>
      <c r="T9411" s="221"/>
      <c r="U9411" s="89"/>
      <c r="V9411" s="61"/>
      <c r="W9411" s="92" t="s">
        <v>1353</v>
      </c>
      <c r="X9411" s="93" t="s">
        <v>30</v>
      </c>
      <c r="Y9411" s="93" t="s">
        <v>66</v>
      </c>
      <c r="Z9411" s="134">
        <f>VLOOKUP(W9411,Sheet2!$B:$D,3,FALSE)</f>
        <v>350</v>
      </c>
      <c r="AA9411" s="93">
        <f>1/((1.5*1.5*0.2*4)+(1.5*1.5*0.3))</f>
        <v>0.40404040404040403</v>
      </c>
      <c r="AB9411" s="93">
        <f>AD9411/AC9410</f>
        <v>866.25</v>
      </c>
      <c r="AC9411" s="93">
        <f>AC9410/AA9411</f>
        <v>35.095499999999994</v>
      </c>
      <c r="AD9411" s="94">
        <f t="shared" ref="AD9411:AD9412" si="6336">AC9411*Z9411</f>
        <v>12283.424999999997</v>
      </c>
      <c r="AE9411" s="190"/>
      <c r="AF9411" s="191"/>
      <c r="AG9411" s="191"/>
      <c r="AH9411" s="191"/>
      <c r="AI9411" s="186"/>
      <c r="AK9411" s="171"/>
    </row>
    <row r="9412" spans="1:37" s="102" customFormat="1" ht="19.899999999999999" customHeight="1" x14ac:dyDescent="0.25">
      <c r="A9412" s="45"/>
      <c r="B9412" s="59"/>
      <c r="C9412" s="137"/>
      <c r="D9412" s="59"/>
      <c r="E9412" s="116"/>
      <c r="F9412" s="120"/>
      <c r="G9412" s="120"/>
      <c r="H9412" s="120"/>
      <c r="I9412" s="60"/>
      <c r="J9412" s="116"/>
      <c r="K9412" s="213"/>
      <c r="L9412" s="120"/>
      <c r="M9412" s="120"/>
      <c r="N9412" s="167"/>
      <c r="O9412" s="120"/>
      <c r="P9412" s="120"/>
      <c r="Q9412" s="120"/>
      <c r="R9412" s="120"/>
      <c r="S9412" s="120"/>
      <c r="T9412" s="221"/>
      <c r="U9412" s="89"/>
      <c r="V9412" s="61"/>
      <c r="W9412" s="92" t="s">
        <v>99</v>
      </c>
      <c r="X9412" s="93" t="s">
        <v>30</v>
      </c>
      <c r="Y9412" s="93" t="s">
        <v>67</v>
      </c>
      <c r="Z9412" s="134">
        <f>VLOOKUP(W9412,Sheet2!$B:$D,3,FALSE)</f>
        <v>2500</v>
      </c>
      <c r="AA9412" s="93">
        <f>AA9411/0.08</f>
        <v>5.0505050505050502</v>
      </c>
      <c r="AB9412" s="93">
        <f>AD9412/AC9410</f>
        <v>495.00000000000006</v>
      </c>
      <c r="AC9412" s="93">
        <f>AC9410/AA9412</f>
        <v>2.8076399999999992</v>
      </c>
      <c r="AD9412" s="94">
        <f t="shared" si="6336"/>
        <v>7019.0999999999985</v>
      </c>
      <c r="AE9412" s="190"/>
      <c r="AF9412" s="191"/>
      <c r="AG9412" s="191"/>
      <c r="AH9412" s="191"/>
      <c r="AI9412" s="186"/>
      <c r="AK9412" s="171"/>
    </row>
    <row r="9413" spans="1:37" s="102" customFormat="1" ht="19.899999999999999" customHeight="1" x14ac:dyDescent="0.25">
      <c r="A9413" s="45"/>
      <c r="B9413" s="59"/>
      <c r="C9413" s="137"/>
      <c r="D9413" s="59"/>
      <c r="E9413" s="116"/>
      <c r="F9413" s="120"/>
      <c r="G9413" s="120"/>
      <c r="H9413" s="120"/>
      <c r="I9413" s="60"/>
      <c r="J9413" s="116"/>
      <c r="K9413" s="213"/>
      <c r="L9413" s="120"/>
      <c r="M9413" s="120"/>
      <c r="N9413" s="167"/>
      <c r="O9413" s="120"/>
      <c r="P9413" s="120"/>
      <c r="Q9413" s="120"/>
      <c r="R9413" s="120"/>
      <c r="S9413" s="120"/>
      <c r="T9413" s="221"/>
      <c r="U9413" s="89"/>
      <c r="V9413" s="61"/>
      <c r="W9413" s="92" t="s">
        <v>1533</v>
      </c>
      <c r="X9413" s="93" t="s">
        <v>32</v>
      </c>
      <c r="Y9413" s="93" t="s">
        <v>66</v>
      </c>
      <c r="Z9413" s="134">
        <f>VLOOKUP(W9413,Sheet2!$B:$D,3,FALSE)</f>
        <v>300</v>
      </c>
      <c r="AA9413" s="93">
        <f>AA9411</f>
        <v>0.40404040404040403</v>
      </c>
      <c r="AB9413" s="93">
        <f>AD9413/AC9410</f>
        <v>742.5</v>
      </c>
      <c r="AC9413" s="93">
        <f>AC9410/AA9413</f>
        <v>35.095499999999994</v>
      </c>
      <c r="AD9413" s="94">
        <f>AC9413*Z9413</f>
        <v>10528.649999999998</v>
      </c>
      <c r="AE9413" s="190"/>
      <c r="AF9413" s="191"/>
      <c r="AG9413" s="191"/>
      <c r="AH9413" s="191"/>
      <c r="AI9413" s="186"/>
      <c r="AK9413" s="171"/>
    </row>
    <row r="9414" spans="1:37" s="102" customFormat="1" ht="19.899999999999999" customHeight="1" x14ac:dyDescent="0.25">
      <c r="A9414" s="45"/>
      <c r="B9414" s="59"/>
      <c r="C9414" s="137"/>
      <c r="D9414" s="59"/>
      <c r="E9414" s="116"/>
      <c r="F9414" s="120"/>
      <c r="G9414" s="120"/>
      <c r="H9414" s="120"/>
      <c r="I9414" s="60"/>
      <c r="J9414" s="116"/>
      <c r="K9414" s="213"/>
      <c r="L9414" s="120"/>
      <c r="M9414" s="120"/>
      <c r="N9414" s="167"/>
      <c r="O9414" s="120"/>
      <c r="P9414" s="120"/>
      <c r="Q9414" s="120"/>
      <c r="R9414" s="120"/>
      <c r="S9414" s="120"/>
      <c r="T9414" s="221"/>
      <c r="U9414" s="89"/>
      <c r="V9414" s="61"/>
      <c r="W9414" s="92" t="s">
        <v>1634</v>
      </c>
      <c r="X9414" s="93" t="s">
        <v>30</v>
      </c>
      <c r="Y9414" s="93" t="s">
        <v>35</v>
      </c>
      <c r="Z9414" s="134">
        <f>VLOOKUP(W9414,Sheet2!$B:$D,3,FALSE)</f>
        <v>1250</v>
      </c>
      <c r="AA9414" s="93">
        <v>1</v>
      </c>
      <c r="AB9414" s="93">
        <f>AD9414/AC9410</f>
        <v>1250</v>
      </c>
      <c r="AC9414" s="93">
        <f>AC9410/AA9414</f>
        <v>14.179999999999996</v>
      </c>
      <c r="AD9414" s="94">
        <f t="shared" ref="AD9414:AD9415" si="6337">AC9414*Z9414</f>
        <v>17724.999999999996</v>
      </c>
      <c r="AE9414" s="190"/>
      <c r="AF9414" s="191"/>
      <c r="AG9414" s="191"/>
      <c r="AH9414" s="191"/>
      <c r="AI9414" s="186"/>
      <c r="AK9414" s="171"/>
    </row>
    <row r="9415" spans="1:37" s="102" customFormat="1" ht="19.899999999999999" customHeight="1" x14ac:dyDescent="0.25">
      <c r="A9415" s="45"/>
      <c r="B9415" s="59"/>
      <c r="C9415" s="137"/>
      <c r="D9415" s="59"/>
      <c r="E9415" s="116"/>
      <c r="F9415" s="120"/>
      <c r="G9415" s="120"/>
      <c r="H9415" s="120"/>
      <c r="I9415" s="60"/>
      <c r="J9415" s="116"/>
      <c r="K9415" s="213"/>
      <c r="L9415" s="120"/>
      <c r="M9415" s="120"/>
      <c r="N9415" s="167"/>
      <c r="O9415" s="120"/>
      <c r="P9415" s="120"/>
      <c r="Q9415" s="120"/>
      <c r="R9415" s="120"/>
      <c r="S9415" s="120"/>
      <c r="T9415" s="221"/>
      <c r="U9415" s="89"/>
      <c r="V9415" s="61"/>
      <c r="W9415" s="92" t="s">
        <v>142</v>
      </c>
      <c r="X9415" s="93" t="s">
        <v>29</v>
      </c>
      <c r="Y9415" s="93" t="s">
        <v>93</v>
      </c>
      <c r="Z9415" s="134">
        <f>VLOOKUP(W9415,Sheet2!$B:$D,3,FALSE)</f>
        <v>67.692307692307693</v>
      </c>
      <c r="AA9415" s="93">
        <v>4</v>
      </c>
      <c r="AB9415" s="93">
        <f>AD9415/AC9410</f>
        <v>16.923076923076923</v>
      </c>
      <c r="AC9415" s="93">
        <f>AC9410/AA9415</f>
        <v>3.544999999999999</v>
      </c>
      <c r="AD9415" s="94">
        <f t="shared" si="6337"/>
        <v>239.96923076923071</v>
      </c>
      <c r="AE9415" s="190"/>
      <c r="AF9415" s="191"/>
      <c r="AG9415" s="191"/>
      <c r="AH9415" s="191"/>
      <c r="AI9415" s="186"/>
      <c r="AK9415" s="171"/>
    </row>
    <row r="9416" spans="1:37" s="102" customFormat="1" ht="19.899999999999999" customHeight="1" x14ac:dyDescent="0.25">
      <c r="A9416" s="45"/>
      <c r="B9416" s="59"/>
      <c r="C9416" s="137"/>
      <c r="D9416" s="59"/>
      <c r="E9416" s="116"/>
      <c r="F9416" s="120"/>
      <c r="G9416" s="120"/>
      <c r="H9416" s="120"/>
      <c r="I9416" s="60"/>
      <c r="J9416" s="116"/>
      <c r="K9416" s="213"/>
      <c r="L9416" s="120"/>
      <c r="M9416" s="120"/>
      <c r="N9416" s="167"/>
      <c r="O9416" s="120"/>
      <c r="P9416" s="120"/>
      <c r="Q9416" s="120"/>
      <c r="R9416" s="120"/>
      <c r="S9416" s="120"/>
      <c r="T9416" s="221"/>
      <c r="U9416" s="89"/>
      <c r="V9416" s="61"/>
      <c r="W9416" s="92" t="s">
        <v>65</v>
      </c>
      <c r="X9416" s="93" t="s">
        <v>30</v>
      </c>
      <c r="Y9416" s="93" t="s">
        <v>93</v>
      </c>
      <c r="Z9416" s="134">
        <f>VLOOKUP(W9416,Sheet2!$B:$D,3,FALSE)</f>
        <v>1.76</v>
      </c>
      <c r="AA9416" s="93">
        <f>AA9415/12</f>
        <v>0.33333333333333331</v>
      </c>
      <c r="AB9416" s="93">
        <f>AD9416/AC9410</f>
        <v>5.28</v>
      </c>
      <c r="AC9416" s="93">
        <f>AC9410/AA9416</f>
        <v>42.539999999999992</v>
      </c>
      <c r="AD9416" s="94">
        <f>AC9416*Z9416</f>
        <v>74.870399999999989</v>
      </c>
      <c r="AE9416" s="190"/>
      <c r="AF9416" s="191"/>
      <c r="AG9416" s="191"/>
      <c r="AH9416" s="191"/>
      <c r="AI9416" s="186"/>
      <c r="AK9416" s="171"/>
    </row>
    <row r="9417" spans="1:37" s="102" customFormat="1" ht="19.899999999999999" customHeight="1" x14ac:dyDescent="0.25">
      <c r="A9417" s="45"/>
      <c r="B9417" s="59"/>
      <c r="C9417" s="137"/>
      <c r="D9417" s="59"/>
      <c r="E9417" s="116"/>
      <c r="F9417" s="120"/>
      <c r="G9417" s="120"/>
      <c r="H9417" s="120"/>
      <c r="I9417" s="60"/>
      <c r="J9417" s="116"/>
      <c r="K9417" s="213"/>
      <c r="L9417" s="120"/>
      <c r="M9417" s="120"/>
      <c r="N9417" s="167"/>
      <c r="O9417" s="120"/>
      <c r="P9417" s="120"/>
      <c r="Q9417" s="120"/>
      <c r="R9417" s="120"/>
      <c r="S9417" s="120"/>
      <c r="T9417" s="221"/>
      <c r="U9417" s="89"/>
      <c r="V9417" s="61"/>
      <c r="W9417" s="92" t="s">
        <v>1357</v>
      </c>
      <c r="X9417" s="93" t="s">
        <v>30</v>
      </c>
      <c r="Y9417" s="93" t="s">
        <v>1349</v>
      </c>
      <c r="Z9417" s="134">
        <f>VLOOKUP(W9417,Sheet2!$B:$D,3,FALSE)</f>
        <v>150</v>
      </c>
      <c r="AA9417" s="93">
        <v>1</v>
      </c>
      <c r="AB9417" s="93">
        <f>AD9417/AC9410</f>
        <v>150</v>
      </c>
      <c r="AC9417" s="93">
        <f>AC9410/AA9417</f>
        <v>14.179999999999996</v>
      </c>
      <c r="AD9417" s="94">
        <f>AC9417*Z9417</f>
        <v>2126.9999999999995</v>
      </c>
      <c r="AE9417" s="190"/>
      <c r="AF9417" s="191"/>
      <c r="AG9417" s="191"/>
      <c r="AH9417" s="191"/>
      <c r="AI9417" s="186"/>
      <c r="AK9417" s="171"/>
    </row>
    <row r="9418" spans="1:37" s="102" customFormat="1" ht="19.899999999999999" customHeight="1" x14ac:dyDescent="0.25">
      <c r="A9418" s="45"/>
      <c r="B9418" s="59"/>
      <c r="C9418" s="137"/>
      <c r="D9418" s="59"/>
      <c r="E9418" s="116"/>
      <c r="F9418" s="120"/>
      <c r="G9418" s="120"/>
      <c r="H9418" s="120"/>
      <c r="I9418" s="60"/>
      <c r="J9418" s="116"/>
      <c r="K9418" s="213"/>
      <c r="L9418" s="120"/>
      <c r="M9418" s="120"/>
      <c r="N9418" s="167"/>
      <c r="O9418" s="120"/>
      <c r="P9418" s="120"/>
      <c r="Q9418" s="120"/>
      <c r="R9418" s="120"/>
      <c r="S9418" s="120"/>
      <c r="T9418" s="221"/>
      <c r="U9418" s="89"/>
      <c r="V9418" s="61"/>
      <c r="W9418" s="92" t="s">
        <v>107</v>
      </c>
      <c r="X9418" s="93" t="s">
        <v>31</v>
      </c>
      <c r="Y9418" s="93" t="s">
        <v>93</v>
      </c>
      <c r="Z9418" s="134">
        <f>VLOOKUP(W9418,Sheet2!$B:$D,3,FALSE)</f>
        <v>17</v>
      </c>
      <c r="AA9418" s="93">
        <f>1/5</f>
        <v>0.2</v>
      </c>
      <c r="AB9418" s="93">
        <f>AD9418/AC9410</f>
        <v>85</v>
      </c>
      <c r="AC9418" s="93">
        <f>AC9410/AA9418</f>
        <v>70.899999999999977</v>
      </c>
      <c r="AD9418" s="94">
        <f>AC9418*Z9418</f>
        <v>1205.2999999999997</v>
      </c>
      <c r="AE9418" s="190"/>
      <c r="AF9418" s="191"/>
      <c r="AG9418" s="191"/>
      <c r="AH9418" s="191"/>
      <c r="AI9418" s="186"/>
      <c r="AK9418" s="171"/>
    </row>
    <row r="9419" spans="1:37" s="102" customFormat="1" ht="19.899999999999999" customHeight="1" x14ac:dyDescent="0.25">
      <c r="A9419" s="45"/>
      <c r="B9419" s="59"/>
      <c r="C9419" s="137"/>
      <c r="D9419" s="59"/>
      <c r="E9419" s="116"/>
      <c r="F9419" s="120"/>
      <c r="G9419" s="120"/>
      <c r="H9419" s="120"/>
      <c r="I9419" s="60"/>
      <c r="J9419" s="116"/>
      <c r="K9419" s="213"/>
      <c r="L9419" s="120"/>
      <c r="M9419" s="120"/>
      <c r="N9419" s="167"/>
      <c r="O9419" s="120"/>
      <c r="P9419" s="120"/>
      <c r="Q9419" s="120"/>
      <c r="R9419" s="120"/>
      <c r="S9419" s="120"/>
      <c r="T9419" s="221"/>
      <c r="U9419" s="89"/>
      <c r="V9419" s="61"/>
      <c r="W9419" s="92" t="s">
        <v>112</v>
      </c>
      <c r="X9419" s="93" t="s">
        <v>31</v>
      </c>
      <c r="Y9419" s="93" t="s">
        <v>93</v>
      </c>
      <c r="Z9419" s="134">
        <f>VLOOKUP(W9419,Sheet2!$B:$D,3,FALSE)</f>
        <v>13</v>
      </c>
      <c r="AA9419" s="93">
        <f>AA9418</f>
        <v>0.2</v>
      </c>
      <c r="AB9419" s="93">
        <f>AD9419/AC9410</f>
        <v>65</v>
      </c>
      <c r="AC9419" s="93">
        <f>AC9410/AA9419</f>
        <v>70.899999999999977</v>
      </c>
      <c r="AD9419" s="94">
        <f>AC9419*Z9419</f>
        <v>921.6999999999997</v>
      </c>
      <c r="AE9419" s="190"/>
      <c r="AF9419" s="191"/>
      <c r="AG9419" s="191"/>
      <c r="AH9419" s="191"/>
      <c r="AI9419" s="186"/>
      <c r="AK9419" s="171"/>
    </row>
    <row r="9420" spans="1:37" s="103" customFormat="1" ht="19.899999999999999" customHeight="1" x14ac:dyDescent="0.25">
      <c r="A9420" s="51"/>
      <c r="B9420" s="52"/>
      <c r="C9420" s="165"/>
      <c r="D9420" s="52"/>
      <c r="E9420" s="115"/>
      <c r="F9420" s="58"/>
      <c r="G9420" s="58"/>
      <c r="H9420" s="58"/>
      <c r="I9420" s="55"/>
      <c r="J9420" s="113">
        <f>J9404</f>
        <v>14.179999999999996</v>
      </c>
      <c r="K9420" s="212">
        <f>K9404</f>
        <v>14.179999999999996</v>
      </c>
      <c r="L9420" s="58"/>
      <c r="M9420" s="58">
        <f>K9420-L9420</f>
        <v>14.179999999999996</v>
      </c>
      <c r="N9420" s="166"/>
      <c r="O9420" s="58"/>
      <c r="P9420" s="58"/>
      <c r="Q9420" s="58"/>
      <c r="R9420" s="58"/>
      <c r="S9420" s="58"/>
      <c r="T9420" s="220"/>
      <c r="U9420" s="88"/>
      <c r="V9420" s="56"/>
      <c r="W9420" s="57" t="s">
        <v>1358</v>
      </c>
      <c r="X9420" s="53"/>
      <c r="Y9420" s="91" t="s">
        <v>35</v>
      </c>
      <c r="Z9420" s="136">
        <f>AD9420/AC9420</f>
        <v>630</v>
      </c>
      <c r="AA9420" s="58"/>
      <c r="AB9420" s="53">
        <f>AD9420/AC9420</f>
        <v>630</v>
      </c>
      <c r="AC9420" s="53">
        <f>M9420+$AE$10</f>
        <v>14.179999999999996</v>
      </c>
      <c r="AD9420" s="54">
        <f>SUM(AD9421:AD9422)</f>
        <v>8933.3999999999978</v>
      </c>
      <c r="AE9420" s="184">
        <f>SUMIFS($AD$37:$AD$12971,$V$37:$V$12971,$V9420,$X$37:$X$12971,AE$13)</f>
        <v>0</v>
      </c>
      <c r="AF9420" s="185">
        <f>SUMIFS($AD$37:$AD$12971,$V$37:$V$12971,$V9420,$X$37:$X$12971,AF$13)</f>
        <v>0</v>
      </c>
      <c r="AG9420" s="185">
        <f>SUMIFS($AD$37:$AD$12971,$V$37:$V$12971,$V9420,$X$37:$X$12971,AG$13)</f>
        <v>0</v>
      </c>
      <c r="AH9420" s="187">
        <f>SUMIFS($AD$37:$AD$12971,$V$37:$V$12971,$V9420,$X$37:$X$12971,AH$13)</f>
        <v>0</v>
      </c>
      <c r="AI9420" s="161">
        <f t="shared" ref="AI9420" si="6338">SUM(AE9420:AH9420)</f>
        <v>0</v>
      </c>
      <c r="AK9420" s="172"/>
    </row>
    <row r="9421" spans="1:37" s="102" customFormat="1" ht="19.899999999999999" customHeight="1" x14ac:dyDescent="0.25">
      <c r="A9421" s="45"/>
      <c r="B9421" s="59"/>
      <c r="C9421" s="137"/>
      <c r="D9421" s="59"/>
      <c r="E9421" s="116"/>
      <c r="F9421" s="120"/>
      <c r="G9421" s="120"/>
      <c r="H9421" s="120"/>
      <c r="I9421" s="60"/>
      <c r="J9421" s="116"/>
      <c r="K9421" s="213"/>
      <c r="L9421" s="120"/>
      <c r="M9421" s="120"/>
      <c r="N9421" s="167"/>
      <c r="O9421" s="120"/>
      <c r="P9421" s="120"/>
      <c r="Q9421" s="120"/>
      <c r="R9421" s="120"/>
      <c r="S9421" s="120"/>
      <c r="T9421" s="221"/>
      <c r="U9421" s="89"/>
      <c r="V9421" s="61"/>
      <c r="W9421" s="92" t="s">
        <v>1359</v>
      </c>
      <c r="X9421" s="93" t="s">
        <v>32</v>
      </c>
      <c r="Y9421" s="93" t="s">
        <v>64</v>
      </c>
      <c r="Z9421" s="134">
        <f>VLOOKUP(W9421,Sheet2!$B:$D,3,FALSE)</f>
        <v>40</v>
      </c>
      <c r="AA9421" s="93">
        <f>1/(1.5*1.5*4)</f>
        <v>0.1111111111111111</v>
      </c>
      <c r="AB9421" s="93">
        <f t="shared" ref="AB9421" si="6339">AD9421/AC9420</f>
        <v>360.00000000000006</v>
      </c>
      <c r="AC9421" s="93">
        <f>AC9420/AA9421</f>
        <v>127.61999999999998</v>
      </c>
      <c r="AD9421" s="94">
        <f t="shared" ref="AD9421:AD9422" si="6340">AC9421*Z9421</f>
        <v>5104.7999999999993</v>
      </c>
      <c r="AE9421" s="190"/>
      <c r="AF9421" s="191"/>
      <c r="AG9421" s="191"/>
      <c r="AH9421" s="191"/>
      <c r="AI9421" s="186"/>
      <c r="AK9421" s="171"/>
    </row>
    <row r="9422" spans="1:37" s="102" customFormat="1" ht="19.899999999999999" customHeight="1" x14ac:dyDescent="0.25">
      <c r="A9422" s="45"/>
      <c r="B9422" s="59"/>
      <c r="C9422" s="137"/>
      <c r="D9422" s="59"/>
      <c r="E9422" s="116"/>
      <c r="F9422" s="120"/>
      <c r="G9422" s="120"/>
      <c r="H9422" s="120"/>
      <c r="I9422" s="60"/>
      <c r="J9422" s="116"/>
      <c r="K9422" s="213"/>
      <c r="L9422" s="120"/>
      <c r="M9422" s="120"/>
      <c r="N9422" s="167"/>
      <c r="O9422" s="120"/>
      <c r="P9422" s="120"/>
      <c r="Q9422" s="120"/>
      <c r="R9422" s="120"/>
      <c r="S9422" s="120"/>
      <c r="T9422" s="221"/>
      <c r="U9422" s="89"/>
      <c r="V9422" s="61"/>
      <c r="W9422" s="92" t="s">
        <v>1360</v>
      </c>
      <c r="X9422" s="93" t="s">
        <v>32</v>
      </c>
      <c r="Y9422" s="93" t="s">
        <v>64</v>
      </c>
      <c r="Z9422" s="134">
        <f>VLOOKUP(W9422,Sheet2!$B:$D,3,FALSE)</f>
        <v>30</v>
      </c>
      <c r="AA9422" s="93">
        <f>AA9421</f>
        <v>0.1111111111111111</v>
      </c>
      <c r="AB9422" s="93">
        <f>AD9422/AC9420</f>
        <v>270.00000000000006</v>
      </c>
      <c r="AC9422" s="93">
        <f>AC9420/AA9422</f>
        <v>127.61999999999998</v>
      </c>
      <c r="AD9422" s="94">
        <f t="shared" si="6340"/>
        <v>3828.5999999999995</v>
      </c>
      <c r="AE9422" s="190"/>
      <c r="AF9422" s="191"/>
      <c r="AG9422" s="191"/>
      <c r="AH9422" s="191"/>
      <c r="AI9422" s="186"/>
      <c r="AK9422" s="171"/>
    </row>
    <row r="9423" spans="1:37" s="103" customFormat="1" ht="19.899999999999999" customHeight="1" x14ac:dyDescent="0.25">
      <c r="A9423" s="51"/>
      <c r="B9423" s="52"/>
      <c r="C9423" s="165"/>
      <c r="D9423" s="52"/>
      <c r="E9423" s="115"/>
      <c r="F9423" s="58"/>
      <c r="G9423" s="58"/>
      <c r="H9423" s="58"/>
      <c r="I9423" s="55"/>
      <c r="J9423" s="113">
        <f>J9404</f>
        <v>14.179999999999996</v>
      </c>
      <c r="K9423" s="212">
        <f>K9404</f>
        <v>14.179999999999996</v>
      </c>
      <c r="L9423" s="58"/>
      <c r="M9423" s="58">
        <f>K9423-L9423</f>
        <v>14.179999999999996</v>
      </c>
      <c r="N9423" s="166"/>
      <c r="O9423" s="58"/>
      <c r="P9423" s="58"/>
      <c r="Q9423" s="58"/>
      <c r="R9423" s="58"/>
      <c r="S9423" s="58"/>
      <c r="T9423" s="220"/>
      <c r="U9423" s="88"/>
      <c r="V9423" s="56"/>
      <c r="W9423" s="57" t="s">
        <v>1272</v>
      </c>
      <c r="X9423" s="53"/>
      <c r="Y9423" s="91" t="s">
        <v>35</v>
      </c>
      <c r="Z9423" s="136">
        <f>AD9423/AC9423</f>
        <v>159.62222352941174</v>
      </c>
      <c r="AA9423" s="58"/>
      <c r="AB9423" s="53">
        <f>AD9423/AC9423</f>
        <v>159.62222352941174</v>
      </c>
      <c r="AC9423" s="53">
        <f>M9423+$AE$10</f>
        <v>14.179999999999996</v>
      </c>
      <c r="AD9423" s="54">
        <f>SUM(AD9424:AD9432)</f>
        <v>2263.443129647058</v>
      </c>
      <c r="AE9423" s="184">
        <f>SUMIFS($AD$37:$AD$12971,$V$37:$V$12971,$V9423,$X$37:$X$12971,AE$13)</f>
        <v>0</v>
      </c>
      <c r="AF9423" s="185">
        <f>SUMIFS($AD$37:$AD$12971,$V$37:$V$12971,$V9423,$X$37:$X$12971,AF$13)</f>
        <v>0</v>
      </c>
      <c r="AG9423" s="185">
        <f>SUMIFS($AD$37:$AD$12971,$V$37:$V$12971,$V9423,$X$37:$X$12971,AG$13)</f>
        <v>0</v>
      </c>
      <c r="AH9423" s="187">
        <f>SUMIFS($AD$37:$AD$12971,$V$37:$V$12971,$V9423,$X$37:$X$12971,AH$13)</f>
        <v>0</v>
      </c>
      <c r="AI9423" s="161">
        <f t="shared" ref="AI9423" si="6341">SUM(AE9423:AH9423)</f>
        <v>0</v>
      </c>
      <c r="AK9423" s="172"/>
    </row>
    <row r="9424" spans="1:37" s="102" customFormat="1" ht="19.899999999999999" customHeight="1" x14ac:dyDescent="0.25">
      <c r="A9424" s="45"/>
      <c r="B9424" s="59"/>
      <c r="C9424" s="137"/>
      <c r="D9424" s="59"/>
      <c r="E9424" s="116"/>
      <c r="F9424" s="120"/>
      <c r="G9424" s="120"/>
      <c r="H9424" s="120"/>
      <c r="I9424" s="60"/>
      <c r="J9424" s="116"/>
      <c r="K9424" s="213"/>
      <c r="L9424" s="120"/>
      <c r="M9424" s="120"/>
      <c r="N9424" s="167"/>
      <c r="O9424" s="120"/>
      <c r="P9424" s="120"/>
      <c r="Q9424" s="120"/>
      <c r="R9424" s="120"/>
      <c r="S9424" s="120"/>
      <c r="T9424" s="221"/>
      <c r="U9424" s="89"/>
      <c r="V9424" s="61"/>
      <c r="W9424" s="92" t="s">
        <v>1273</v>
      </c>
      <c r="X9424" s="93" t="s">
        <v>30</v>
      </c>
      <c r="Y9424" s="93" t="s">
        <v>66</v>
      </c>
      <c r="Z9424" s="134">
        <f>VLOOKUP(W9424,Sheet2!$B:$D,3,FALSE)</f>
        <v>10</v>
      </c>
      <c r="AA9424" s="93">
        <f>1/((3*3*1.5)-(1.5*1.5*1.5))</f>
        <v>9.8765432098765427E-2</v>
      </c>
      <c r="AB9424" s="93">
        <f>AD9424/AC9423</f>
        <v>101.25</v>
      </c>
      <c r="AC9424" s="93">
        <f>AC9423/AA9424</f>
        <v>143.57249999999996</v>
      </c>
      <c r="AD9424" s="94">
        <f t="shared" ref="AD9424:AD9426" si="6342">AC9424*Z9424</f>
        <v>1435.7249999999997</v>
      </c>
      <c r="AE9424" s="190"/>
      <c r="AF9424" s="191"/>
      <c r="AG9424" s="191"/>
      <c r="AH9424" s="191"/>
      <c r="AI9424" s="186"/>
      <c r="AK9424" s="171"/>
    </row>
    <row r="9425" spans="1:41" s="102" customFormat="1" ht="19.899999999999999" customHeight="1" x14ac:dyDescent="0.25">
      <c r="A9425" s="45"/>
      <c r="B9425" s="59"/>
      <c r="C9425" s="137"/>
      <c r="D9425" s="59"/>
      <c r="E9425" s="116"/>
      <c r="F9425" s="120"/>
      <c r="G9425" s="120"/>
      <c r="H9425" s="120"/>
      <c r="I9425" s="60"/>
      <c r="J9425" s="116"/>
      <c r="K9425" s="213"/>
      <c r="L9425" s="120"/>
      <c r="M9425" s="120"/>
      <c r="N9425" s="167"/>
      <c r="O9425" s="120"/>
      <c r="P9425" s="120"/>
      <c r="Q9425" s="120"/>
      <c r="R9425" s="120"/>
      <c r="S9425" s="120"/>
      <c r="T9425" s="221"/>
      <c r="U9425" s="89"/>
      <c r="V9425" s="61"/>
      <c r="W9425" s="92" t="s">
        <v>134</v>
      </c>
      <c r="X9425" s="93" t="s">
        <v>29</v>
      </c>
      <c r="Y9425" s="93" t="s">
        <v>93</v>
      </c>
      <c r="Z9425" s="134">
        <f>VLOOKUP(W9425,Sheet2!$B:$D,3,FALSE)</f>
        <v>65.599999999999994</v>
      </c>
      <c r="AA9425" s="93">
        <f>100/((3*3*1.5)-(1.5*1.5*1.5))</f>
        <v>9.8765432098765427</v>
      </c>
      <c r="AB9425" s="93">
        <f t="shared" ref="AB9425" si="6343">AD9425/AC9423</f>
        <v>6.6419999999999995</v>
      </c>
      <c r="AC9425" s="93">
        <f>AC9423/AA9425</f>
        <v>1.4357249999999997</v>
      </c>
      <c r="AD9425" s="94">
        <f t="shared" si="6342"/>
        <v>94.183559999999972</v>
      </c>
      <c r="AE9425" s="190"/>
      <c r="AF9425" s="191"/>
      <c r="AG9425" s="191"/>
      <c r="AH9425" s="191"/>
      <c r="AI9425" s="186"/>
      <c r="AK9425" s="171"/>
    </row>
    <row r="9426" spans="1:41" s="102" customFormat="1" ht="19.899999999999999" customHeight="1" x14ac:dyDescent="0.25">
      <c r="A9426" s="45"/>
      <c r="B9426" s="59"/>
      <c r="C9426" s="137"/>
      <c r="D9426" s="59"/>
      <c r="E9426" s="116"/>
      <c r="F9426" s="120"/>
      <c r="G9426" s="120"/>
      <c r="H9426" s="120"/>
      <c r="I9426" s="60"/>
      <c r="J9426" s="116"/>
      <c r="K9426" s="213"/>
      <c r="L9426" s="120"/>
      <c r="M9426" s="120"/>
      <c r="N9426" s="167"/>
      <c r="O9426" s="120"/>
      <c r="P9426" s="120"/>
      <c r="Q9426" s="120"/>
      <c r="R9426" s="120"/>
      <c r="S9426" s="120"/>
      <c r="T9426" s="221"/>
      <c r="U9426" s="89"/>
      <c r="V9426" s="61"/>
      <c r="W9426" s="92" t="s">
        <v>65</v>
      </c>
      <c r="X9426" s="93" t="s">
        <v>30</v>
      </c>
      <c r="Y9426" s="93" t="s">
        <v>1011</v>
      </c>
      <c r="Z9426" s="134">
        <f>VLOOKUP(W9426,Sheet2!$B:$D,3,FALSE)</f>
        <v>1.76</v>
      </c>
      <c r="AA9426" s="93">
        <f>AA9425/9</f>
        <v>1.0973936899862826</v>
      </c>
      <c r="AB9426" s="93">
        <f>AD9426/AC9423</f>
        <v>1.6037999999999999</v>
      </c>
      <c r="AC9426" s="93">
        <f>AC9423/AA9426</f>
        <v>12.921524999999995</v>
      </c>
      <c r="AD9426" s="94">
        <f t="shared" si="6342"/>
        <v>22.741883999999992</v>
      </c>
      <c r="AE9426" s="190"/>
      <c r="AF9426" s="191"/>
      <c r="AG9426" s="191"/>
      <c r="AH9426" s="191"/>
      <c r="AI9426" s="186"/>
      <c r="AK9426" s="171"/>
    </row>
    <row r="9427" spans="1:41" s="102" customFormat="1" ht="19.899999999999999" customHeight="1" x14ac:dyDescent="0.25">
      <c r="A9427" s="45"/>
      <c r="B9427" s="59"/>
      <c r="C9427" s="137"/>
      <c r="D9427" s="59"/>
      <c r="E9427" s="116"/>
      <c r="F9427" s="120"/>
      <c r="G9427" s="120"/>
      <c r="H9427" s="120"/>
      <c r="I9427" s="60"/>
      <c r="J9427" s="116"/>
      <c r="K9427" s="213"/>
      <c r="L9427" s="120"/>
      <c r="M9427" s="120"/>
      <c r="N9427" s="167"/>
      <c r="O9427" s="120"/>
      <c r="P9427" s="120"/>
      <c r="Q9427" s="120"/>
      <c r="R9427" s="120"/>
      <c r="S9427" s="120"/>
      <c r="T9427" s="221"/>
      <c r="U9427" s="89"/>
      <c r="V9427" s="61"/>
      <c r="W9427" s="92" t="s">
        <v>161</v>
      </c>
      <c r="X9427" s="93" t="s">
        <v>29</v>
      </c>
      <c r="Y9427" s="93" t="s">
        <v>93</v>
      </c>
      <c r="Z9427" s="134">
        <f>VLOOKUP(W9427,Sheet2!$B:$D,3,FALSE)</f>
        <v>48</v>
      </c>
      <c r="AA9427" s="93">
        <f>(16*0.85*1.5)/((3*3*1.5)-(1.5*1.5*1.5))</f>
        <v>2.0148148148148146</v>
      </c>
      <c r="AB9427" s="93">
        <f>AD9427/AC9423</f>
        <v>23.823529411764707</v>
      </c>
      <c r="AC9427" s="93">
        <f>AC9423/AA9427</f>
        <v>7.037867647058822</v>
      </c>
      <c r="AD9427" s="94">
        <f>AC9427*Z9427</f>
        <v>337.81764705882347</v>
      </c>
      <c r="AE9427" s="190"/>
      <c r="AF9427" s="191"/>
      <c r="AG9427" s="191"/>
      <c r="AH9427" s="191"/>
      <c r="AI9427" s="186"/>
      <c r="AK9427" s="171"/>
    </row>
    <row r="9428" spans="1:41" s="102" customFormat="1" ht="19.899999999999999" customHeight="1" x14ac:dyDescent="0.25">
      <c r="A9428" s="45"/>
      <c r="B9428" s="59"/>
      <c r="C9428" s="137"/>
      <c r="D9428" s="59"/>
      <c r="E9428" s="116"/>
      <c r="F9428" s="120"/>
      <c r="G9428" s="120"/>
      <c r="H9428" s="120"/>
      <c r="I9428" s="60"/>
      <c r="J9428" s="116"/>
      <c r="K9428" s="213"/>
      <c r="L9428" s="120"/>
      <c r="M9428" s="120"/>
      <c r="N9428" s="167"/>
      <c r="O9428" s="120"/>
      <c r="P9428" s="120"/>
      <c r="Q9428" s="120"/>
      <c r="R9428" s="120"/>
      <c r="S9428" s="120"/>
      <c r="T9428" s="221"/>
      <c r="U9428" s="89"/>
      <c r="V9428" s="61"/>
      <c r="W9428" s="92" t="s">
        <v>65</v>
      </c>
      <c r="X9428" s="93" t="s">
        <v>30</v>
      </c>
      <c r="Y9428" s="93" t="s">
        <v>1011</v>
      </c>
      <c r="Z9428" s="134">
        <f>VLOOKUP(W9428,Sheet2!$B:$D,3,FALSE)</f>
        <v>1.76</v>
      </c>
      <c r="AA9428" s="93">
        <f>AA9427/10</f>
        <v>0.20148148148148146</v>
      </c>
      <c r="AB9428" s="93">
        <f>AD9428/AC9423</f>
        <v>8.7352941176470615</v>
      </c>
      <c r="AC9428" s="93">
        <f>AC9423/AA9428</f>
        <v>70.378676470588232</v>
      </c>
      <c r="AD9428" s="94">
        <f>AC9428*Z9428</f>
        <v>123.86647058823529</v>
      </c>
      <c r="AE9428" s="190"/>
      <c r="AF9428" s="191"/>
      <c r="AG9428" s="191"/>
      <c r="AH9428" s="191"/>
      <c r="AI9428" s="186"/>
      <c r="AK9428" s="171"/>
    </row>
    <row r="9429" spans="1:41" s="102" customFormat="1" ht="19.899999999999999" customHeight="1" x14ac:dyDescent="0.25">
      <c r="A9429" s="45"/>
      <c r="B9429" s="59"/>
      <c r="C9429" s="137"/>
      <c r="D9429" s="59"/>
      <c r="E9429" s="116"/>
      <c r="F9429" s="120"/>
      <c r="G9429" s="120"/>
      <c r="H9429" s="120"/>
      <c r="I9429" s="60"/>
      <c r="J9429" s="116"/>
      <c r="K9429" s="213"/>
      <c r="L9429" s="120"/>
      <c r="M9429" s="120"/>
      <c r="N9429" s="167"/>
      <c r="O9429" s="120"/>
      <c r="P9429" s="120"/>
      <c r="Q9429" s="120"/>
      <c r="R9429" s="120"/>
      <c r="S9429" s="120"/>
      <c r="T9429" s="221"/>
      <c r="U9429" s="89"/>
      <c r="V9429" s="61"/>
      <c r="W9429" s="92" t="s">
        <v>173</v>
      </c>
      <c r="X9429" s="93" t="s">
        <v>29</v>
      </c>
      <c r="Y9429" s="93" t="s">
        <v>93</v>
      </c>
      <c r="Z9429" s="134">
        <f>VLOOKUP(W9429,Sheet2!$B:$D,3,FALSE)</f>
        <v>36</v>
      </c>
      <c r="AA9429" s="93">
        <f>50/((3*3*1.5)-(1.5*1.5*1.5))</f>
        <v>4.9382716049382713</v>
      </c>
      <c r="AB9429" s="93">
        <f>AD9429/AC9423</f>
        <v>7.29</v>
      </c>
      <c r="AC9429" s="93">
        <f>AC9423/AA9429</f>
        <v>2.8714499999999994</v>
      </c>
      <c r="AD9429" s="94">
        <f>AC9429*Z9429</f>
        <v>103.37219999999998</v>
      </c>
      <c r="AE9429" s="190"/>
      <c r="AF9429" s="191"/>
      <c r="AG9429" s="191"/>
      <c r="AH9429" s="191"/>
      <c r="AI9429" s="186"/>
      <c r="AK9429" s="171"/>
    </row>
    <row r="9430" spans="1:41" s="102" customFormat="1" ht="19.899999999999999" customHeight="1" x14ac:dyDescent="0.25">
      <c r="A9430" s="45"/>
      <c r="B9430" s="59"/>
      <c r="C9430" s="137"/>
      <c r="D9430" s="59"/>
      <c r="E9430" s="116"/>
      <c r="F9430" s="120"/>
      <c r="G9430" s="120"/>
      <c r="H9430" s="120"/>
      <c r="I9430" s="60"/>
      <c r="J9430" s="116"/>
      <c r="K9430" s="213"/>
      <c r="L9430" s="120"/>
      <c r="M9430" s="120"/>
      <c r="N9430" s="167"/>
      <c r="O9430" s="120"/>
      <c r="P9430" s="120"/>
      <c r="Q9430" s="120"/>
      <c r="R9430" s="120"/>
      <c r="S9430" s="120"/>
      <c r="T9430" s="221"/>
      <c r="U9430" s="89"/>
      <c r="V9430" s="61"/>
      <c r="W9430" s="92" t="s">
        <v>65</v>
      </c>
      <c r="X9430" s="93" t="s">
        <v>30</v>
      </c>
      <c r="Y9430" s="93" t="s">
        <v>1011</v>
      </c>
      <c r="Z9430" s="134">
        <f>VLOOKUP(W9430,Sheet2!$B:$D,3,FALSE)</f>
        <v>1.76</v>
      </c>
      <c r="AA9430" s="93">
        <f>AA9429/9</f>
        <v>0.54869684499314131</v>
      </c>
      <c r="AB9430" s="93">
        <f>AD9430/AC9423</f>
        <v>3.2075999999999998</v>
      </c>
      <c r="AC9430" s="93">
        <f>AC9423/AA9430</f>
        <v>25.843049999999991</v>
      </c>
      <c r="AD9430" s="94">
        <f>AC9430*Z9430</f>
        <v>45.483767999999984</v>
      </c>
      <c r="AE9430" s="190"/>
      <c r="AF9430" s="191"/>
      <c r="AG9430" s="191"/>
      <c r="AH9430" s="191"/>
      <c r="AI9430" s="186"/>
      <c r="AK9430" s="171"/>
    </row>
    <row r="9431" spans="1:41" s="102" customFormat="1" ht="19.899999999999999" customHeight="1" x14ac:dyDescent="0.25">
      <c r="A9431" s="45"/>
      <c r="B9431" s="59"/>
      <c r="C9431" s="137"/>
      <c r="D9431" s="59"/>
      <c r="E9431" s="116"/>
      <c r="F9431" s="120"/>
      <c r="G9431" s="120"/>
      <c r="H9431" s="120"/>
      <c r="I9431" s="60"/>
      <c r="J9431" s="116"/>
      <c r="K9431" s="213"/>
      <c r="L9431" s="120"/>
      <c r="M9431" s="120"/>
      <c r="N9431" s="167"/>
      <c r="O9431" s="120"/>
      <c r="P9431" s="120"/>
      <c r="Q9431" s="120"/>
      <c r="R9431" s="120"/>
      <c r="S9431" s="120"/>
      <c r="T9431" s="221"/>
      <c r="U9431" s="89"/>
      <c r="V9431" s="61"/>
      <c r="W9431" s="92" t="s">
        <v>1030</v>
      </c>
      <c r="X9431" s="93" t="s">
        <v>29</v>
      </c>
      <c r="Y9431" s="93" t="s">
        <v>93</v>
      </c>
      <c r="Z9431" s="134">
        <f>VLOOKUP(W9431,Sheet2!$B:$D,3,FALSE)</f>
        <v>23</v>
      </c>
      <c r="AA9431" s="93">
        <v>4</v>
      </c>
      <c r="AB9431" s="93">
        <f>AD9431/AC9423</f>
        <v>5.75</v>
      </c>
      <c r="AC9431" s="93">
        <f>AC9423/AA9431</f>
        <v>3.544999999999999</v>
      </c>
      <c r="AD9431" s="94">
        <f t="shared" ref="AD9431:AD9432" si="6344">AC9431*Z9431</f>
        <v>81.534999999999982</v>
      </c>
      <c r="AE9431" s="190"/>
      <c r="AF9431" s="191"/>
      <c r="AG9431" s="191"/>
      <c r="AH9431" s="191"/>
      <c r="AI9431" s="186"/>
      <c r="AK9431" s="171"/>
    </row>
    <row r="9432" spans="1:41" s="102" customFormat="1" ht="19.899999999999999" customHeight="1" x14ac:dyDescent="0.25">
      <c r="A9432" s="45"/>
      <c r="B9432" s="59"/>
      <c r="C9432" s="137"/>
      <c r="D9432" s="59"/>
      <c r="E9432" s="116"/>
      <c r="F9432" s="120"/>
      <c r="G9432" s="120"/>
      <c r="H9432" s="120"/>
      <c r="I9432" s="60"/>
      <c r="J9432" s="116"/>
      <c r="K9432" s="213"/>
      <c r="L9432" s="120"/>
      <c r="M9432" s="120"/>
      <c r="N9432" s="167"/>
      <c r="O9432" s="120"/>
      <c r="P9432" s="120"/>
      <c r="Q9432" s="120"/>
      <c r="R9432" s="120"/>
      <c r="S9432" s="120"/>
      <c r="T9432" s="221"/>
      <c r="U9432" s="89"/>
      <c r="V9432" s="61"/>
      <c r="W9432" s="92" t="s">
        <v>65</v>
      </c>
      <c r="X9432" s="93" t="s">
        <v>30</v>
      </c>
      <c r="Y9432" s="93" t="s">
        <v>1011</v>
      </c>
      <c r="Z9432" s="134">
        <f>VLOOKUP(W9432,Sheet2!$B:$D,3,FALSE)</f>
        <v>1.76</v>
      </c>
      <c r="AA9432" s="93">
        <f>AA9431/3</f>
        <v>1.3333333333333333</v>
      </c>
      <c r="AB9432" s="93">
        <f>AD9432/AC9423</f>
        <v>1.32</v>
      </c>
      <c r="AC9432" s="93">
        <f>AC9423/AA9432</f>
        <v>10.634999999999998</v>
      </c>
      <c r="AD9432" s="94">
        <f t="shared" si="6344"/>
        <v>18.717599999999997</v>
      </c>
      <c r="AE9432" s="190"/>
      <c r="AF9432" s="191"/>
      <c r="AG9432" s="191"/>
      <c r="AH9432" s="191"/>
      <c r="AI9432" s="186"/>
      <c r="AK9432" s="171"/>
    </row>
    <row r="9433" spans="1:41" ht="20.100000000000001" customHeight="1" x14ac:dyDescent="0.25">
      <c r="A9433" s="277" t="s">
        <v>703</v>
      </c>
      <c r="B9433" s="278"/>
      <c r="C9433" s="64" t="s">
        <v>810</v>
      </c>
      <c r="D9433" s="46" t="s">
        <v>215</v>
      </c>
      <c r="E9433" s="114">
        <v>51.29000000000002</v>
      </c>
      <c r="F9433" s="44">
        <v>10722</v>
      </c>
      <c r="G9433" s="44">
        <f t="shared" si="5545"/>
        <v>549931.38000000024</v>
      </c>
      <c r="H9433" s="44">
        <f t="shared" si="5546"/>
        <v>5308.8235945701363</v>
      </c>
      <c r="I9433" s="43">
        <f t="shared" si="5547"/>
        <v>272289.5621655024</v>
      </c>
      <c r="J9433" s="112">
        <f t="shared" si="5548"/>
        <v>51.29000000000002</v>
      </c>
      <c r="K9433" s="211">
        <f t="shared" si="5549"/>
        <v>51.29000000000002</v>
      </c>
      <c r="L9433" s="44"/>
      <c r="M9433" s="44">
        <f t="shared" si="5550"/>
        <v>51.29000000000002</v>
      </c>
      <c r="N9433" s="173">
        <f t="shared" si="5551"/>
        <v>1</v>
      </c>
      <c r="O9433" s="44">
        <f t="shared" si="5552"/>
        <v>10722</v>
      </c>
      <c r="P9433" s="44">
        <f t="shared" si="5553"/>
        <v>549931.38000000024</v>
      </c>
      <c r="Q9433" s="44">
        <f t="shared" si="5554"/>
        <v>5308.8235945701363</v>
      </c>
      <c r="R9433" s="44">
        <f t="shared" si="5555"/>
        <v>272289.5621655024</v>
      </c>
      <c r="S9433" s="123"/>
      <c r="T9433" s="219">
        <f t="shared" si="5556"/>
        <v>272289.5621655024</v>
      </c>
      <c r="U9433" s="87"/>
      <c r="V9433" s="47"/>
      <c r="W9433" s="48"/>
      <c r="X9433" s="48"/>
      <c r="Y9433" s="48"/>
      <c r="Z9433" s="135"/>
      <c r="AA9433" s="49"/>
      <c r="AB9433" s="50">
        <f t="shared" si="5557"/>
        <v>5308.8235945701363</v>
      </c>
      <c r="AC9433" s="42">
        <f t="shared" si="5558"/>
        <v>51.29000000000002</v>
      </c>
      <c r="AD9433" s="90">
        <f>AD9434+AD9439+AD9449+AD9452</f>
        <v>272289.5621655024</v>
      </c>
      <c r="AE9433" s="188">
        <f t="shared" ref="AE9433" si="6345">AE9434+AE9439+AE9449+AE9452</f>
        <v>0</v>
      </c>
      <c r="AF9433" s="189">
        <f t="shared" ref="AF9433" si="6346">AF9434+AF9439+AF9449+AF9452</f>
        <v>0</v>
      </c>
      <c r="AG9433" s="189">
        <f t="shared" ref="AG9433" si="6347">AG9434+AG9439+AG9449+AG9452</f>
        <v>0</v>
      </c>
      <c r="AH9433" s="189">
        <f t="shared" ref="AH9433" si="6348">AH9434+AH9439+AH9449+AH9452</f>
        <v>0</v>
      </c>
      <c r="AI9433" s="161">
        <f t="shared" ref="AI9433" si="6349">SUM(AE9433:AH9433)</f>
        <v>0</v>
      </c>
      <c r="AK9433" s="169">
        <v>5</v>
      </c>
      <c r="AO9433" s="19" t="s">
        <v>63</v>
      </c>
    </row>
    <row r="9434" spans="1:41" s="103" customFormat="1" ht="19.899999999999999" customHeight="1" x14ac:dyDescent="0.25">
      <c r="A9434" s="51"/>
      <c r="B9434" s="52"/>
      <c r="C9434" s="165"/>
      <c r="D9434" s="52"/>
      <c r="E9434" s="115"/>
      <c r="F9434" s="58"/>
      <c r="G9434" s="58"/>
      <c r="H9434" s="58"/>
      <c r="I9434" s="55"/>
      <c r="J9434" s="113">
        <f>J9433</f>
        <v>51.29000000000002</v>
      </c>
      <c r="K9434" s="212">
        <f>K9433</f>
        <v>51.29000000000002</v>
      </c>
      <c r="L9434" s="58"/>
      <c r="M9434" s="58">
        <f>K9434-L9434</f>
        <v>51.29000000000002</v>
      </c>
      <c r="N9434" s="166"/>
      <c r="O9434" s="58"/>
      <c r="P9434" s="58"/>
      <c r="Q9434" s="58"/>
      <c r="R9434" s="58"/>
      <c r="S9434" s="58"/>
      <c r="T9434" s="220"/>
      <c r="U9434" s="88"/>
      <c r="V9434" s="56"/>
      <c r="W9434" s="57" t="s">
        <v>1509</v>
      </c>
      <c r="X9434" s="53"/>
      <c r="Y9434" s="91" t="s">
        <v>35</v>
      </c>
      <c r="Z9434" s="136">
        <f>AD9434/AC9434</f>
        <v>72.397552941176471</v>
      </c>
      <c r="AA9434" s="58"/>
      <c r="AB9434" s="53">
        <f>AD9434/AC9434</f>
        <v>72.397552941176471</v>
      </c>
      <c r="AC9434" s="53">
        <f>M9434+$AE$10</f>
        <v>51.29000000000002</v>
      </c>
      <c r="AD9434" s="54">
        <f>SUM(AD9435:AD9438)</f>
        <v>3713.2704903529425</v>
      </c>
      <c r="AE9434" s="184">
        <f>SUMIFS($AD$37:$AD$12971,$V$37:$V$12971,$V9434,$X$37:$X$12971,AE$13)</f>
        <v>0</v>
      </c>
      <c r="AF9434" s="185">
        <f>SUMIFS($AD$37:$AD$12971,$V$37:$V$12971,$V9434,$X$37:$X$12971,AF$13)</f>
        <v>0</v>
      </c>
      <c r="AG9434" s="185">
        <f>SUMIFS($AD$37:$AD$12971,$V$37:$V$12971,$V9434,$X$37:$X$12971,AG$13)</f>
        <v>0</v>
      </c>
      <c r="AH9434" s="187">
        <f>SUMIFS($AD$37:$AD$12971,$V$37:$V$12971,$V9434,$X$37:$X$12971,AH$13)</f>
        <v>0</v>
      </c>
      <c r="AI9434" s="161">
        <f t="shared" ref="AI9434" si="6350">SUM(AE9434:AH9434)</f>
        <v>0</v>
      </c>
      <c r="AK9434" s="172"/>
    </row>
    <row r="9435" spans="1:41" s="102" customFormat="1" ht="19.899999999999999" customHeight="1" x14ac:dyDescent="0.25">
      <c r="A9435" s="45"/>
      <c r="B9435" s="59"/>
      <c r="C9435" s="137"/>
      <c r="D9435" s="59"/>
      <c r="E9435" s="116"/>
      <c r="F9435" s="120"/>
      <c r="G9435" s="120"/>
      <c r="H9435" s="120"/>
      <c r="I9435" s="60"/>
      <c r="J9435" s="116"/>
      <c r="K9435" s="213"/>
      <c r="L9435" s="120"/>
      <c r="M9435" s="120"/>
      <c r="N9435" s="167"/>
      <c r="O9435" s="120"/>
      <c r="P9435" s="120"/>
      <c r="Q9435" s="120"/>
      <c r="R9435" s="120"/>
      <c r="S9435" s="120"/>
      <c r="T9435" s="221"/>
      <c r="U9435" s="89"/>
      <c r="V9435" s="61"/>
      <c r="W9435" s="92" t="s">
        <v>129</v>
      </c>
      <c r="X9435" s="93" t="s">
        <v>29</v>
      </c>
      <c r="Y9435" s="93" t="s">
        <v>93</v>
      </c>
      <c r="Z9435" s="134">
        <f>VLOOKUP(W9435,Sheet2!$B:$D,3,FALSE)</f>
        <v>56</v>
      </c>
      <c r="AA9435" s="93">
        <f>100/(3*3*2)</f>
        <v>5.5555555555555554</v>
      </c>
      <c r="AB9435" s="93">
        <f t="shared" ref="AB9435" si="6351">AD9435/AC9434</f>
        <v>10.08</v>
      </c>
      <c r="AC9435" s="93">
        <f>AC9434/AA9435</f>
        <v>9.2322000000000042</v>
      </c>
      <c r="AD9435" s="94">
        <f t="shared" ref="AD9435:AD9436" si="6352">AC9435*Z9435</f>
        <v>517.00320000000022</v>
      </c>
      <c r="AE9435" s="190"/>
      <c r="AF9435" s="191"/>
      <c r="AG9435" s="191"/>
      <c r="AH9435" s="191"/>
      <c r="AI9435" s="186"/>
      <c r="AK9435" s="171"/>
    </row>
    <row r="9436" spans="1:41" s="102" customFormat="1" ht="19.899999999999999" customHeight="1" x14ac:dyDescent="0.25">
      <c r="A9436" s="45"/>
      <c r="B9436" s="59"/>
      <c r="C9436" s="137"/>
      <c r="D9436" s="59"/>
      <c r="E9436" s="116"/>
      <c r="F9436" s="120"/>
      <c r="G9436" s="120"/>
      <c r="H9436" s="120"/>
      <c r="I9436" s="60"/>
      <c r="J9436" s="116"/>
      <c r="K9436" s="213"/>
      <c r="L9436" s="120"/>
      <c r="M9436" s="120"/>
      <c r="N9436" s="167"/>
      <c r="O9436" s="120"/>
      <c r="P9436" s="120"/>
      <c r="Q9436" s="120"/>
      <c r="R9436" s="120"/>
      <c r="S9436" s="120"/>
      <c r="T9436" s="221"/>
      <c r="U9436" s="89"/>
      <c r="V9436" s="61"/>
      <c r="W9436" s="92" t="s">
        <v>65</v>
      </c>
      <c r="X9436" s="93" t="s">
        <v>30</v>
      </c>
      <c r="Y9436" s="93" t="s">
        <v>1011</v>
      </c>
      <c r="Z9436" s="134">
        <f>VLOOKUP(W9436,Sheet2!$B:$D,3,FALSE)</f>
        <v>1.76</v>
      </c>
      <c r="AA9436" s="93">
        <f>AA9435/14</f>
        <v>0.3968253968253968</v>
      </c>
      <c r="AB9436" s="93">
        <f>AD9436/AC9434</f>
        <v>4.4352</v>
      </c>
      <c r="AC9436" s="93">
        <f>AC9434/AA9436</f>
        <v>129.25080000000005</v>
      </c>
      <c r="AD9436" s="94">
        <f t="shared" si="6352"/>
        <v>227.4814080000001</v>
      </c>
      <c r="AE9436" s="190"/>
      <c r="AF9436" s="191"/>
      <c r="AG9436" s="191"/>
      <c r="AH9436" s="191"/>
      <c r="AI9436" s="186"/>
      <c r="AK9436" s="171"/>
    </row>
    <row r="9437" spans="1:41" s="102" customFormat="1" ht="19.899999999999999" customHeight="1" x14ac:dyDescent="0.25">
      <c r="A9437" s="45"/>
      <c r="B9437" s="59"/>
      <c r="C9437" s="137"/>
      <c r="D9437" s="59"/>
      <c r="E9437" s="116"/>
      <c r="F9437" s="120"/>
      <c r="G9437" s="120"/>
      <c r="H9437" s="120"/>
      <c r="I9437" s="60"/>
      <c r="J9437" s="116"/>
      <c r="K9437" s="213"/>
      <c r="L9437" s="120"/>
      <c r="M9437" s="120"/>
      <c r="N9437" s="167"/>
      <c r="O9437" s="120"/>
      <c r="P9437" s="120"/>
      <c r="Q9437" s="120"/>
      <c r="R9437" s="120"/>
      <c r="S9437" s="120"/>
      <c r="T9437" s="221"/>
      <c r="U9437" s="89"/>
      <c r="V9437" s="61"/>
      <c r="W9437" s="92" t="s">
        <v>161</v>
      </c>
      <c r="X9437" s="93" t="s">
        <v>29</v>
      </c>
      <c r="Y9437" s="93" t="s">
        <v>93</v>
      </c>
      <c r="Z9437" s="134">
        <f>VLOOKUP(W9437,Sheet2!$B:$D,3,FALSE)</f>
        <v>48</v>
      </c>
      <c r="AA9437" s="93">
        <f>(16*0.85*1.5)/(3*3*2)</f>
        <v>1.1333333333333333</v>
      </c>
      <c r="AB9437" s="93">
        <f>AD9437/AC9434</f>
        <v>42.352941176470587</v>
      </c>
      <c r="AC9437" s="93">
        <f>AC9434/AA9437</f>
        <v>45.255882352941192</v>
      </c>
      <c r="AD9437" s="94">
        <f>AC9437*Z9437</f>
        <v>2172.2823529411771</v>
      </c>
      <c r="AE9437" s="190"/>
      <c r="AF9437" s="191"/>
      <c r="AG9437" s="191"/>
      <c r="AH9437" s="191"/>
      <c r="AI9437" s="186"/>
      <c r="AK9437" s="171"/>
    </row>
    <row r="9438" spans="1:41" s="102" customFormat="1" ht="19.899999999999999" customHeight="1" x14ac:dyDescent="0.25">
      <c r="A9438" s="45"/>
      <c r="B9438" s="59"/>
      <c r="C9438" s="137"/>
      <c r="D9438" s="59"/>
      <c r="E9438" s="116"/>
      <c r="F9438" s="120"/>
      <c r="G9438" s="120"/>
      <c r="H9438" s="120"/>
      <c r="I9438" s="60"/>
      <c r="J9438" s="116"/>
      <c r="K9438" s="213"/>
      <c r="L9438" s="120"/>
      <c r="M9438" s="120"/>
      <c r="N9438" s="167"/>
      <c r="O9438" s="120"/>
      <c r="P9438" s="120"/>
      <c r="Q9438" s="120"/>
      <c r="R9438" s="120"/>
      <c r="S9438" s="120"/>
      <c r="T9438" s="221"/>
      <c r="U9438" s="89"/>
      <c r="V9438" s="61"/>
      <c r="W9438" s="92" t="s">
        <v>65</v>
      </c>
      <c r="X9438" s="93" t="s">
        <v>30</v>
      </c>
      <c r="Y9438" s="93" t="s">
        <v>1011</v>
      </c>
      <c r="Z9438" s="134">
        <f>VLOOKUP(W9438,Sheet2!$B:$D,3,FALSE)</f>
        <v>1.76</v>
      </c>
      <c r="AA9438" s="93">
        <f>AA9437/10</f>
        <v>0.11333333333333333</v>
      </c>
      <c r="AB9438" s="93">
        <f>AD9438/AC9434</f>
        <v>15.529411764705886</v>
      </c>
      <c r="AC9438" s="93">
        <f>AC9434/AA9438</f>
        <v>452.558823529412</v>
      </c>
      <c r="AD9438" s="94">
        <f>AC9438*Z9438</f>
        <v>796.50352941176516</v>
      </c>
      <c r="AE9438" s="190"/>
      <c r="AF9438" s="191"/>
      <c r="AG9438" s="191"/>
      <c r="AH9438" s="191"/>
      <c r="AI9438" s="186"/>
      <c r="AK9438" s="171"/>
    </row>
    <row r="9439" spans="1:41" s="103" customFormat="1" ht="19.899999999999999" customHeight="1" x14ac:dyDescent="0.25">
      <c r="A9439" s="51"/>
      <c r="B9439" s="52"/>
      <c r="C9439" s="165"/>
      <c r="D9439" s="52"/>
      <c r="E9439" s="115"/>
      <c r="F9439" s="58"/>
      <c r="G9439" s="58"/>
      <c r="H9439" s="58"/>
      <c r="I9439" s="55"/>
      <c r="J9439" s="113">
        <f>J9433</f>
        <v>51.29000000000002</v>
      </c>
      <c r="K9439" s="212">
        <f>K9433</f>
        <v>51.29000000000002</v>
      </c>
      <c r="L9439" s="58"/>
      <c r="M9439" s="58">
        <f>K9439-L9439</f>
        <v>51.29000000000002</v>
      </c>
      <c r="N9439" s="166"/>
      <c r="O9439" s="58"/>
      <c r="P9439" s="58"/>
      <c r="Q9439" s="58"/>
      <c r="R9439" s="58"/>
      <c r="S9439" s="58"/>
      <c r="T9439" s="220"/>
      <c r="U9439" s="88"/>
      <c r="V9439" s="56"/>
      <c r="W9439" s="57" t="s">
        <v>1636</v>
      </c>
      <c r="X9439" s="53"/>
      <c r="Y9439" s="91" t="s">
        <v>35</v>
      </c>
      <c r="Z9439" s="136">
        <f>AD9439/AC9439</f>
        <v>4185.9530769230778</v>
      </c>
      <c r="AA9439" s="58"/>
      <c r="AB9439" s="53">
        <f>AD9439/AC9439</f>
        <v>4185.9530769230778</v>
      </c>
      <c r="AC9439" s="53">
        <f>M9439+$AE$10</f>
        <v>51.29000000000002</v>
      </c>
      <c r="AD9439" s="54">
        <f>SUM(AD9440:AD9448)</f>
        <v>214697.53331538473</v>
      </c>
      <c r="AE9439" s="184">
        <f>SUMIFS($AD$37:$AD$12971,$V$37:$V$12971,$V9439,$X$37:$X$12971,AE$13)</f>
        <v>0</v>
      </c>
      <c r="AF9439" s="185">
        <f>SUMIFS($AD$37:$AD$12971,$V$37:$V$12971,$V9439,$X$37:$X$12971,AF$13)</f>
        <v>0</v>
      </c>
      <c r="AG9439" s="185">
        <f>SUMIFS($AD$37:$AD$12971,$V$37:$V$12971,$V9439,$X$37:$X$12971,AG$13)</f>
        <v>0</v>
      </c>
      <c r="AH9439" s="187">
        <f>SUMIFS($AD$37:$AD$12971,$V$37:$V$12971,$V9439,$X$37:$X$12971,AH$13)</f>
        <v>0</v>
      </c>
      <c r="AI9439" s="161">
        <f t="shared" ref="AI9439" si="6353">SUM(AE9439:AH9439)</f>
        <v>0</v>
      </c>
      <c r="AK9439" s="172"/>
    </row>
    <row r="9440" spans="1:41" s="102" customFormat="1" ht="19.899999999999999" customHeight="1" x14ac:dyDescent="0.25">
      <c r="A9440" s="45"/>
      <c r="B9440" s="59"/>
      <c r="C9440" s="137"/>
      <c r="D9440" s="59"/>
      <c r="E9440" s="116"/>
      <c r="F9440" s="120"/>
      <c r="G9440" s="120"/>
      <c r="H9440" s="120"/>
      <c r="I9440" s="60"/>
      <c r="J9440" s="116"/>
      <c r="K9440" s="213"/>
      <c r="L9440" s="120"/>
      <c r="M9440" s="120"/>
      <c r="N9440" s="167"/>
      <c r="O9440" s="120"/>
      <c r="P9440" s="120"/>
      <c r="Q9440" s="120"/>
      <c r="R9440" s="120"/>
      <c r="S9440" s="120"/>
      <c r="T9440" s="221"/>
      <c r="U9440" s="89"/>
      <c r="V9440" s="61"/>
      <c r="W9440" s="92" t="s">
        <v>1353</v>
      </c>
      <c r="X9440" s="93" t="s">
        <v>30</v>
      </c>
      <c r="Y9440" s="93" t="s">
        <v>66</v>
      </c>
      <c r="Z9440" s="134">
        <f>VLOOKUP(W9440,Sheet2!$B:$D,3,FALSE)</f>
        <v>350</v>
      </c>
      <c r="AA9440" s="93">
        <f>1/((1.5*2*0.2*4)+(1.5*1.5*0.3))</f>
        <v>0.32520325203252032</v>
      </c>
      <c r="AB9440" s="93">
        <f>AD9440/AC9439</f>
        <v>1076.25</v>
      </c>
      <c r="AC9440" s="93">
        <f>AC9439/AA9440</f>
        <v>157.71675000000008</v>
      </c>
      <c r="AD9440" s="94">
        <f t="shared" ref="AD9440:AD9441" si="6354">AC9440*Z9440</f>
        <v>55200.862500000025</v>
      </c>
      <c r="AE9440" s="190"/>
      <c r="AF9440" s="191"/>
      <c r="AG9440" s="191"/>
      <c r="AH9440" s="191"/>
      <c r="AI9440" s="186"/>
      <c r="AK9440" s="171"/>
    </row>
    <row r="9441" spans="1:37" s="102" customFormat="1" ht="19.899999999999999" customHeight="1" x14ac:dyDescent="0.25">
      <c r="A9441" s="45"/>
      <c r="B9441" s="59"/>
      <c r="C9441" s="137"/>
      <c r="D9441" s="59"/>
      <c r="E9441" s="116"/>
      <c r="F9441" s="120"/>
      <c r="G9441" s="120"/>
      <c r="H9441" s="120"/>
      <c r="I9441" s="60"/>
      <c r="J9441" s="116"/>
      <c r="K9441" s="213"/>
      <c r="L9441" s="120"/>
      <c r="M9441" s="120"/>
      <c r="N9441" s="167"/>
      <c r="O9441" s="120"/>
      <c r="P9441" s="120"/>
      <c r="Q9441" s="120"/>
      <c r="R9441" s="120"/>
      <c r="S9441" s="120"/>
      <c r="T9441" s="221"/>
      <c r="U9441" s="89"/>
      <c r="V9441" s="61"/>
      <c r="W9441" s="92" t="s">
        <v>99</v>
      </c>
      <c r="X9441" s="93" t="s">
        <v>30</v>
      </c>
      <c r="Y9441" s="93" t="s">
        <v>67</v>
      </c>
      <c r="Z9441" s="134">
        <f>VLOOKUP(W9441,Sheet2!$B:$D,3,FALSE)</f>
        <v>2500</v>
      </c>
      <c r="AA9441" s="93">
        <f>AA9440/0.08</f>
        <v>4.0650406504065035</v>
      </c>
      <c r="AB9441" s="93">
        <f>AD9441/AC9439</f>
        <v>615.00000000000011</v>
      </c>
      <c r="AC9441" s="93">
        <f>AC9439/AA9441</f>
        <v>12.617340000000008</v>
      </c>
      <c r="AD9441" s="94">
        <f t="shared" si="6354"/>
        <v>31543.35000000002</v>
      </c>
      <c r="AE9441" s="190"/>
      <c r="AF9441" s="191"/>
      <c r="AG9441" s="191"/>
      <c r="AH9441" s="191"/>
      <c r="AI9441" s="186"/>
      <c r="AK9441" s="171"/>
    </row>
    <row r="9442" spans="1:37" s="102" customFormat="1" ht="19.899999999999999" customHeight="1" x14ac:dyDescent="0.25">
      <c r="A9442" s="45"/>
      <c r="B9442" s="59"/>
      <c r="C9442" s="137"/>
      <c r="D9442" s="59"/>
      <c r="E9442" s="116"/>
      <c r="F9442" s="120"/>
      <c r="G9442" s="120"/>
      <c r="H9442" s="120"/>
      <c r="I9442" s="60"/>
      <c r="J9442" s="116"/>
      <c r="K9442" s="213"/>
      <c r="L9442" s="120"/>
      <c r="M9442" s="120"/>
      <c r="N9442" s="167"/>
      <c r="O9442" s="120"/>
      <c r="P9442" s="120"/>
      <c r="Q9442" s="120"/>
      <c r="R9442" s="120"/>
      <c r="S9442" s="120"/>
      <c r="T9442" s="221"/>
      <c r="U9442" s="89"/>
      <c r="V9442" s="61"/>
      <c r="W9442" s="92" t="s">
        <v>1533</v>
      </c>
      <c r="X9442" s="93" t="s">
        <v>32</v>
      </c>
      <c r="Y9442" s="93" t="s">
        <v>66</v>
      </c>
      <c r="Z9442" s="134">
        <f>VLOOKUP(W9442,Sheet2!$B:$D,3,FALSE)</f>
        <v>300</v>
      </c>
      <c r="AA9442" s="93">
        <f>AA9440</f>
        <v>0.32520325203252032</v>
      </c>
      <c r="AB9442" s="93">
        <f>AD9442/AC9439</f>
        <v>922.50000000000011</v>
      </c>
      <c r="AC9442" s="93">
        <f>AC9439/AA9442</f>
        <v>157.71675000000008</v>
      </c>
      <c r="AD9442" s="94">
        <f>AC9442*Z9442</f>
        <v>47315.025000000023</v>
      </c>
      <c r="AE9442" s="190"/>
      <c r="AF9442" s="191"/>
      <c r="AG9442" s="191"/>
      <c r="AH9442" s="191"/>
      <c r="AI9442" s="186"/>
      <c r="AK9442" s="171"/>
    </row>
    <row r="9443" spans="1:37" s="102" customFormat="1" ht="19.899999999999999" customHeight="1" x14ac:dyDescent="0.25">
      <c r="A9443" s="45"/>
      <c r="B9443" s="59"/>
      <c r="C9443" s="137"/>
      <c r="D9443" s="59"/>
      <c r="E9443" s="116"/>
      <c r="F9443" s="120"/>
      <c r="G9443" s="120"/>
      <c r="H9443" s="120"/>
      <c r="I9443" s="60"/>
      <c r="J9443" s="116"/>
      <c r="K9443" s="213"/>
      <c r="L9443" s="120"/>
      <c r="M9443" s="120"/>
      <c r="N9443" s="167"/>
      <c r="O9443" s="120"/>
      <c r="P9443" s="120"/>
      <c r="Q9443" s="120"/>
      <c r="R9443" s="120"/>
      <c r="S9443" s="120"/>
      <c r="T9443" s="221"/>
      <c r="U9443" s="89"/>
      <c r="V9443" s="61"/>
      <c r="W9443" s="92" t="s">
        <v>1634</v>
      </c>
      <c r="X9443" s="93" t="s">
        <v>30</v>
      </c>
      <c r="Y9443" s="93" t="s">
        <v>35</v>
      </c>
      <c r="Z9443" s="134">
        <f>VLOOKUP(W9443,Sheet2!$B:$D,3,FALSE)</f>
        <v>1250</v>
      </c>
      <c r="AA9443" s="93">
        <v>1</v>
      </c>
      <c r="AB9443" s="93">
        <f>AD9443/AC9439</f>
        <v>1250</v>
      </c>
      <c r="AC9443" s="93">
        <f>AC9439/AA9443</f>
        <v>51.29000000000002</v>
      </c>
      <c r="AD9443" s="94">
        <f t="shared" ref="AD9443:AD9444" si="6355">AC9443*Z9443</f>
        <v>64112.500000000029</v>
      </c>
      <c r="AE9443" s="190"/>
      <c r="AF9443" s="191"/>
      <c r="AG9443" s="191"/>
      <c r="AH9443" s="191"/>
      <c r="AI9443" s="186"/>
      <c r="AK9443" s="171"/>
    </row>
    <row r="9444" spans="1:37" s="102" customFormat="1" ht="19.899999999999999" customHeight="1" x14ac:dyDescent="0.25">
      <c r="A9444" s="45"/>
      <c r="B9444" s="59"/>
      <c r="C9444" s="137"/>
      <c r="D9444" s="59"/>
      <c r="E9444" s="116"/>
      <c r="F9444" s="120"/>
      <c r="G9444" s="120"/>
      <c r="H9444" s="120"/>
      <c r="I9444" s="60"/>
      <c r="J9444" s="116"/>
      <c r="K9444" s="213"/>
      <c r="L9444" s="120"/>
      <c r="M9444" s="120"/>
      <c r="N9444" s="167"/>
      <c r="O9444" s="120"/>
      <c r="P9444" s="120"/>
      <c r="Q9444" s="120"/>
      <c r="R9444" s="120"/>
      <c r="S9444" s="120"/>
      <c r="T9444" s="221"/>
      <c r="U9444" s="89"/>
      <c r="V9444" s="61"/>
      <c r="W9444" s="92" t="s">
        <v>142</v>
      </c>
      <c r="X9444" s="93" t="s">
        <v>29</v>
      </c>
      <c r="Y9444" s="93" t="s">
        <v>93</v>
      </c>
      <c r="Z9444" s="134">
        <f>VLOOKUP(W9444,Sheet2!$B:$D,3,FALSE)</f>
        <v>67.692307692307693</v>
      </c>
      <c r="AA9444" s="93">
        <v>4</v>
      </c>
      <c r="AB9444" s="93">
        <f>AD9444/AC9439</f>
        <v>16.923076923076923</v>
      </c>
      <c r="AC9444" s="93">
        <f>AC9439/AA9444</f>
        <v>12.822500000000005</v>
      </c>
      <c r="AD9444" s="94">
        <f t="shared" si="6355"/>
        <v>867.98461538461572</v>
      </c>
      <c r="AE9444" s="190"/>
      <c r="AF9444" s="191"/>
      <c r="AG9444" s="191"/>
      <c r="AH9444" s="191"/>
      <c r="AI9444" s="186"/>
      <c r="AK9444" s="171"/>
    </row>
    <row r="9445" spans="1:37" s="102" customFormat="1" ht="19.899999999999999" customHeight="1" x14ac:dyDescent="0.25">
      <c r="A9445" s="45"/>
      <c r="B9445" s="59"/>
      <c r="C9445" s="137"/>
      <c r="D9445" s="59"/>
      <c r="E9445" s="116"/>
      <c r="F9445" s="120"/>
      <c r="G9445" s="120"/>
      <c r="H9445" s="120"/>
      <c r="I9445" s="60"/>
      <c r="J9445" s="116"/>
      <c r="K9445" s="213"/>
      <c r="L9445" s="120"/>
      <c r="M9445" s="120"/>
      <c r="N9445" s="167"/>
      <c r="O9445" s="120"/>
      <c r="P9445" s="120"/>
      <c r="Q9445" s="120"/>
      <c r="R9445" s="120"/>
      <c r="S9445" s="120"/>
      <c r="T9445" s="221"/>
      <c r="U9445" s="89"/>
      <c r="V9445" s="61"/>
      <c r="W9445" s="92" t="s">
        <v>65</v>
      </c>
      <c r="X9445" s="93" t="s">
        <v>30</v>
      </c>
      <c r="Y9445" s="93" t="s">
        <v>93</v>
      </c>
      <c r="Z9445" s="134">
        <f>VLOOKUP(W9445,Sheet2!$B:$D,3,FALSE)</f>
        <v>1.76</v>
      </c>
      <c r="AA9445" s="93">
        <f>AA9444/12</f>
        <v>0.33333333333333331</v>
      </c>
      <c r="AB9445" s="93">
        <f>AD9445/AC9439</f>
        <v>5.28</v>
      </c>
      <c r="AC9445" s="93">
        <f>AC9439/AA9445</f>
        <v>153.87000000000006</v>
      </c>
      <c r="AD9445" s="94">
        <f>AC9445*Z9445</f>
        <v>270.8112000000001</v>
      </c>
      <c r="AE9445" s="190"/>
      <c r="AF9445" s="191"/>
      <c r="AG9445" s="191"/>
      <c r="AH9445" s="191"/>
      <c r="AI9445" s="186"/>
      <c r="AK9445" s="171"/>
    </row>
    <row r="9446" spans="1:37" s="102" customFormat="1" ht="19.899999999999999" customHeight="1" x14ac:dyDescent="0.25">
      <c r="A9446" s="45"/>
      <c r="B9446" s="59"/>
      <c r="C9446" s="137"/>
      <c r="D9446" s="59"/>
      <c r="E9446" s="116"/>
      <c r="F9446" s="120"/>
      <c r="G9446" s="120"/>
      <c r="H9446" s="120"/>
      <c r="I9446" s="60"/>
      <c r="J9446" s="116"/>
      <c r="K9446" s="213"/>
      <c r="L9446" s="120"/>
      <c r="M9446" s="120"/>
      <c r="N9446" s="167"/>
      <c r="O9446" s="120"/>
      <c r="P9446" s="120"/>
      <c r="Q9446" s="120"/>
      <c r="R9446" s="120"/>
      <c r="S9446" s="120"/>
      <c r="T9446" s="221"/>
      <c r="U9446" s="89"/>
      <c r="V9446" s="61"/>
      <c r="W9446" s="92" t="s">
        <v>1357</v>
      </c>
      <c r="X9446" s="93" t="s">
        <v>30</v>
      </c>
      <c r="Y9446" s="93" t="s">
        <v>1349</v>
      </c>
      <c r="Z9446" s="134">
        <f>VLOOKUP(W9446,Sheet2!$B:$D,3,FALSE)</f>
        <v>150</v>
      </c>
      <c r="AA9446" s="93">
        <v>1</v>
      </c>
      <c r="AB9446" s="93">
        <f>AD9446/AC9439</f>
        <v>150</v>
      </c>
      <c r="AC9446" s="93">
        <f>AC9439/AA9446</f>
        <v>51.29000000000002</v>
      </c>
      <c r="AD9446" s="94">
        <f>AC9446*Z9446</f>
        <v>7693.5000000000027</v>
      </c>
      <c r="AE9446" s="190"/>
      <c r="AF9446" s="191"/>
      <c r="AG9446" s="191"/>
      <c r="AH9446" s="191"/>
      <c r="AI9446" s="186"/>
      <c r="AK9446" s="171"/>
    </row>
    <row r="9447" spans="1:37" s="102" customFormat="1" ht="19.899999999999999" customHeight="1" x14ac:dyDescent="0.25">
      <c r="A9447" s="45"/>
      <c r="B9447" s="59"/>
      <c r="C9447" s="137"/>
      <c r="D9447" s="59"/>
      <c r="E9447" s="116"/>
      <c r="F9447" s="120"/>
      <c r="G9447" s="120"/>
      <c r="H9447" s="120"/>
      <c r="I9447" s="60"/>
      <c r="J9447" s="116"/>
      <c r="K9447" s="213"/>
      <c r="L9447" s="120"/>
      <c r="M9447" s="120"/>
      <c r="N9447" s="167"/>
      <c r="O9447" s="120"/>
      <c r="P9447" s="120"/>
      <c r="Q9447" s="120"/>
      <c r="R9447" s="120"/>
      <c r="S9447" s="120"/>
      <c r="T9447" s="221"/>
      <c r="U9447" s="89"/>
      <c r="V9447" s="61"/>
      <c r="W9447" s="92" t="s">
        <v>107</v>
      </c>
      <c r="X9447" s="93" t="s">
        <v>31</v>
      </c>
      <c r="Y9447" s="93" t="s">
        <v>93</v>
      </c>
      <c r="Z9447" s="134">
        <f>VLOOKUP(W9447,Sheet2!$B:$D,3,FALSE)</f>
        <v>17</v>
      </c>
      <c r="AA9447" s="93">
        <f>1/5</f>
        <v>0.2</v>
      </c>
      <c r="AB9447" s="93">
        <f>AD9447/AC9439</f>
        <v>85</v>
      </c>
      <c r="AC9447" s="93">
        <f>AC9439/AA9447</f>
        <v>256.4500000000001</v>
      </c>
      <c r="AD9447" s="94">
        <f>AC9447*Z9447</f>
        <v>4359.6500000000015</v>
      </c>
      <c r="AE9447" s="190"/>
      <c r="AF9447" s="191"/>
      <c r="AG9447" s="191"/>
      <c r="AH9447" s="191"/>
      <c r="AI9447" s="186"/>
      <c r="AK9447" s="171"/>
    </row>
    <row r="9448" spans="1:37" s="102" customFormat="1" ht="19.899999999999999" customHeight="1" x14ac:dyDescent="0.25">
      <c r="A9448" s="45"/>
      <c r="B9448" s="59"/>
      <c r="C9448" s="137"/>
      <c r="D9448" s="59"/>
      <c r="E9448" s="116"/>
      <c r="F9448" s="120"/>
      <c r="G9448" s="120"/>
      <c r="H9448" s="120"/>
      <c r="I9448" s="60"/>
      <c r="J9448" s="116"/>
      <c r="K9448" s="213"/>
      <c r="L9448" s="120"/>
      <c r="M9448" s="120"/>
      <c r="N9448" s="167"/>
      <c r="O9448" s="120"/>
      <c r="P9448" s="120"/>
      <c r="Q9448" s="120"/>
      <c r="R9448" s="120"/>
      <c r="S9448" s="120"/>
      <c r="T9448" s="221"/>
      <c r="U9448" s="89"/>
      <c r="V9448" s="61"/>
      <c r="W9448" s="92" t="s">
        <v>112</v>
      </c>
      <c r="X9448" s="93" t="s">
        <v>31</v>
      </c>
      <c r="Y9448" s="93" t="s">
        <v>93</v>
      </c>
      <c r="Z9448" s="134">
        <f>VLOOKUP(W9448,Sheet2!$B:$D,3,FALSE)</f>
        <v>13</v>
      </c>
      <c r="AA9448" s="93">
        <f>AA9447</f>
        <v>0.2</v>
      </c>
      <c r="AB9448" s="93">
        <f>AD9448/AC9439</f>
        <v>65</v>
      </c>
      <c r="AC9448" s="93">
        <f>AC9439/AA9448</f>
        <v>256.4500000000001</v>
      </c>
      <c r="AD9448" s="94">
        <f>AC9448*Z9448</f>
        <v>3333.8500000000013</v>
      </c>
      <c r="AE9448" s="190"/>
      <c r="AF9448" s="191"/>
      <c r="AG9448" s="191"/>
      <c r="AH9448" s="191"/>
      <c r="AI9448" s="186"/>
      <c r="AK9448" s="171"/>
    </row>
    <row r="9449" spans="1:37" s="103" customFormat="1" ht="19.899999999999999" customHeight="1" x14ac:dyDescent="0.25">
      <c r="A9449" s="51"/>
      <c r="B9449" s="52"/>
      <c r="C9449" s="165"/>
      <c r="D9449" s="52"/>
      <c r="E9449" s="115"/>
      <c r="F9449" s="58"/>
      <c r="G9449" s="58"/>
      <c r="H9449" s="58"/>
      <c r="I9449" s="55"/>
      <c r="J9449" s="113">
        <f>J9433</f>
        <v>51.29000000000002</v>
      </c>
      <c r="K9449" s="212">
        <f>K9433</f>
        <v>51.29000000000002</v>
      </c>
      <c r="L9449" s="58"/>
      <c r="M9449" s="58">
        <f>K9449-L9449</f>
        <v>51.29000000000002</v>
      </c>
      <c r="N9449" s="166"/>
      <c r="O9449" s="58"/>
      <c r="P9449" s="58"/>
      <c r="Q9449" s="58"/>
      <c r="R9449" s="58"/>
      <c r="S9449" s="58"/>
      <c r="T9449" s="220"/>
      <c r="U9449" s="88"/>
      <c r="V9449" s="56"/>
      <c r="W9449" s="57" t="s">
        <v>1358</v>
      </c>
      <c r="X9449" s="53"/>
      <c r="Y9449" s="91" t="s">
        <v>35</v>
      </c>
      <c r="Z9449" s="136">
        <f>AD9449/AC9449</f>
        <v>840.00000000000011</v>
      </c>
      <c r="AA9449" s="58"/>
      <c r="AB9449" s="53">
        <f>AD9449/AC9449</f>
        <v>840.00000000000011</v>
      </c>
      <c r="AC9449" s="53">
        <f>M9449+$AE$10</f>
        <v>51.29000000000002</v>
      </c>
      <c r="AD9449" s="54">
        <f>SUM(AD9450:AD9451)</f>
        <v>43083.60000000002</v>
      </c>
      <c r="AE9449" s="184">
        <f>SUMIFS($AD$37:$AD$12971,$V$37:$V$12971,$V9449,$X$37:$X$12971,AE$13)</f>
        <v>0</v>
      </c>
      <c r="AF9449" s="185">
        <f>SUMIFS($AD$37:$AD$12971,$V$37:$V$12971,$V9449,$X$37:$X$12971,AF$13)</f>
        <v>0</v>
      </c>
      <c r="AG9449" s="185">
        <f>SUMIFS($AD$37:$AD$12971,$V$37:$V$12971,$V9449,$X$37:$X$12971,AG$13)</f>
        <v>0</v>
      </c>
      <c r="AH9449" s="187">
        <f>SUMIFS($AD$37:$AD$12971,$V$37:$V$12971,$V9449,$X$37:$X$12971,AH$13)</f>
        <v>0</v>
      </c>
      <c r="AI9449" s="161">
        <f t="shared" ref="AI9449" si="6356">SUM(AE9449:AH9449)</f>
        <v>0</v>
      </c>
      <c r="AK9449" s="172"/>
    </row>
    <row r="9450" spans="1:37" s="102" customFormat="1" ht="19.899999999999999" customHeight="1" x14ac:dyDescent="0.25">
      <c r="A9450" s="45"/>
      <c r="B9450" s="59"/>
      <c r="C9450" s="137"/>
      <c r="D9450" s="59"/>
      <c r="E9450" s="116"/>
      <c r="F9450" s="120"/>
      <c r="G9450" s="120"/>
      <c r="H9450" s="120"/>
      <c r="I9450" s="60"/>
      <c r="J9450" s="116"/>
      <c r="K9450" s="213"/>
      <c r="L9450" s="120"/>
      <c r="M9450" s="120"/>
      <c r="N9450" s="167"/>
      <c r="O9450" s="120"/>
      <c r="P9450" s="120"/>
      <c r="Q9450" s="120"/>
      <c r="R9450" s="120"/>
      <c r="S9450" s="120"/>
      <c r="T9450" s="221"/>
      <c r="U9450" s="89"/>
      <c r="V9450" s="61"/>
      <c r="W9450" s="92" t="s">
        <v>1359</v>
      </c>
      <c r="X9450" s="93" t="s">
        <v>32</v>
      </c>
      <c r="Y9450" s="93" t="s">
        <v>64</v>
      </c>
      <c r="Z9450" s="134">
        <f>VLOOKUP(W9450,Sheet2!$B:$D,3,FALSE)</f>
        <v>40</v>
      </c>
      <c r="AA9450" s="93">
        <f>1/(1.5*2*4)</f>
        <v>8.3333333333333329E-2</v>
      </c>
      <c r="AB9450" s="93">
        <f t="shared" ref="AB9450" si="6357">AD9450/AC9449</f>
        <v>480.00000000000006</v>
      </c>
      <c r="AC9450" s="93">
        <f>AC9449/AA9450</f>
        <v>615.48000000000025</v>
      </c>
      <c r="AD9450" s="94">
        <f t="shared" ref="AD9450:AD9451" si="6358">AC9450*Z9450</f>
        <v>24619.200000000012</v>
      </c>
      <c r="AE9450" s="190"/>
      <c r="AF9450" s="191"/>
      <c r="AG9450" s="191"/>
      <c r="AH9450" s="191"/>
      <c r="AI9450" s="186"/>
      <c r="AK9450" s="171"/>
    </row>
    <row r="9451" spans="1:37" s="102" customFormat="1" ht="19.899999999999999" customHeight="1" x14ac:dyDescent="0.25">
      <c r="A9451" s="45"/>
      <c r="B9451" s="59"/>
      <c r="C9451" s="137"/>
      <c r="D9451" s="59"/>
      <c r="E9451" s="116"/>
      <c r="F9451" s="120"/>
      <c r="G9451" s="120"/>
      <c r="H9451" s="120"/>
      <c r="I9451" s="60"/>
      <c r="J9451" s="116"/>
      <c r="K9451" s="213"/>
      <c r="L9451" s="120"/>
      <c r="M9451" s="120"/>
      <c r="N9451" s="167"/>
      <c r="O9451" s="120"/>
      <c r="P9451" s="120"/>
      <c r="Q9451" s="120"/>
      <c r="R9451" s="120"/>
      <c r="S9451" s="120"/>
      <c r="T9451" s="221"/>
      <c r="U9451" s="89"/>
      <c r="V9451" s="61"/>
      <c r="W9451" s="92" t="s">
        <v>1360</v>
      </c>
      <c r="X9451" s="93" t="s">
        <v>32</v>
      </c>
      <c r="Y9451" s="93" t="s">
        <v>64</v>
      </c>
      <c r="Z9451" s="134">
        <f>VLOOKUP(W9451,Sheet2!$B:$D,3,FALSE)</f>
        <v>30</v>
      </c>
      <c r="AA9451" s="93">
        <f>AA9450</f>
        <v>8.3333333333333329E-2</v>
      </c>
      <c r="AB9451" s="93">
        <f>AD9451/AC9449</f>
        <v>360</v>
      </c>
      <c r="AC9451" s="93">
        <f>AC9449/AA9451</f>
        <v>615.48000000000025</v>
      </c>
      <c r="AD9451" s="94">
        <f t="shared" si="6358"/>
        <v>18464.400000000009</v>
      </c>
      <c r="AE9451" s="190"/>
      <c r="AF9451" s="191"/>
      <c r="AG9451" s="191"/>
      <c r="AH9451" s="191"/>
      <c r="AI9451" s="186"/>
      <c r="AK9451" s="171"/>
    </row>
    <row r="9452" spans="1:37" s="103" customFormat="1" ht="19.899999999999999" customHeight="1" x14ac:dyDescent="0.25">
      <c r="A9452" s="51"/>
      <c r="B9452" s="52"/>
      <c r="C9452" s="165"/>
      <c r="D9452" s="52"/>
      <c r="E9452" s="115"/>
      <c r="F9452" s="58"/>
      <c r="G9452" s="58"/>
      <c r="H9452" s="58"/>
      <c r="I9452" s="55"/>
      <c r="J9452" s="113">
        <f>J9433</f>
        <v>51.29000000000002</v>
      </c>
      <c r="K9452" s="212">
        <f>K9433</f>
        <v>51.29000000000002</v>
      </c>
      <c r="L9452" s="58"/>
      <c r="M9452" s="58">
        <f>K9452-L9452</f>
        <v>51.29000000000002</v>
      </c>
      <c r="N9452" s="166"/>
      <c r="O9452" s="58"/>
      <c r="P9452" s="58"/>
      <c r="Q9452" s="58"/>
      <c r="R9452" s="58"/>
      <c r="S9452" s="58"/>
      <c r="T9452" s="220"/>
      <c r="U9452" s="88"/>
      <c r="V9452" s="56"/>
      <c r="W9452" s="57" t="s">
        <v>1272</v>
      </c>
      <c r="X9452" s="53"/>
      <c r="Y9452" s="91" t="s">
        <v>35</v>
      </c>
      <c r="Z9452" s="136">
        <f>AD9452/AC9452</f>
        <v>210.47296470588236</v>
      </c>
      <c r="AA9452" s="58"/>
      <c r="AB9452" s="53">
        <f>AD9452/AC9452</f>
        <v>210.47296470588236</v>
      </c>
      <c r="AC9452" s="53">
        <f>M9452+$AE$10</f>
        <v>51.29000000000002</v>
      </c>
      <c r="AD9452" s="54">
        <f>SUM(AD9453:AD9461)</f>
        <v>10795.158359764711</v>
      </c>
      <c r="AE9452" s="184">
        <f>SUMIFS($AD$37:$AD$12971,$V$37:$V$12971,$V9452,$X$37:$X$12971,AE$13)</f>
        <v>0</v>
      </c>
      <c r="AF9452" s="185">
        <f>SUMIFS($AD$37:$AD$12971,$V$37:$V$12971,$V9452,$X$37:$X$12971,AF$13)</f>
        <v>0</v>
      </c>
      <c r="AG9452" s="185">
        <f>SUMIFS($AD$37:$AD$12971,$V$37:$V$12971,$V9452,$X$37:$X$12971,AG$13)</f>
        <v>0</v>
      </c>
      <c r="AH9452" s="187">
        <f>SUMIFS($AD$37:$AD$12971,$V$37:$V$12971,$V9452,$X$37:$X$12971,AH$13)</f>
        <v>0</v>
      </c>
      <c r="AI9452" s="161">
        <f t="shared" ref="AI9452" si="6359">SUM(AE9452:AH9452)</f>
        <v>0</v>
      </c>
      <c r="AK9452" s="172"/>
    </row>
    <row r="9453" spans="1:37" s="102" customFormat="1" ht="19.899999999999999" customHeight="1" x14ac:dyDescent="0.25">
      <c r="A9453" s="45"/>
      <c r="B9453" s="59"/>
      <c r="C9453" s="137"/>
      <c r="D9453" s="59"/>
      <c r="E9453" s="116"/>
      <c r="F9453" s="120"/>
      <c r="G9453" s="120"/>
      <c r="H9453" s="120"/>
      <c r="I9453" s="60"/>
      <c r="J9453" s="116"/>
      <c r="K9453" s="213"/>
      <c r="L9453" s="120"/>
      <c r="M9453" s="120"/>
      <c r="N9453" s="167"/>
      <c r="O9453" s="120"/>
      <c r="P9453" s="120"/>
      <c r="Q9453" s="120"/>
      <c r="R9453" s="120"/>
      <c r="S9453" s="120"/>
      <c r="T9453" s="221"/>
      <c r="U9453" s="89"/>
      <c r="V9453" s="61"/>
      <c r="W9453" s="92" t="s">
        <v>1273</v>
      </c>
      <c r="X9453" s="93" t="s">
        <v>30</v>
      </c>
      <c r="Y9453" s="93" t="s">
        <v>66</v>
      </c>
      <c r="Z9453" s="134">
        <f>VLOOKUP(W9453,Sheet2!$B:$D,3,FALSE)</f>
        <v>10</v>
      </c>
      <c r="AA9453" s="93">
        <f>1/((3*3*2)-(1.5*1.5*2))</f>
        <v>7.407407407407407E-2</v>
      </c>
      <c r="AB9453" s="93">
        <f>AD9453/AC9452</f>
        <v>135</v>
      </c>
      <c r="AC9453" s="93">
        <f>AC9452/AA9453</f>
        <v>692.4150000000003</v>
      </c>
      <c r="AD9453" s="94">
        <f t="shared" ref="AD9453:AD9455" si="6360">AC9453*Z9453</f>
        <v>6924.1500000000033</v>
      </c>
      <c r="AE9453" s="190"/>
      <c r="AF9453" s="191"/>
      <c r="AG9453" s="191"/>
      <c r="AH9453" s="191"/>
      <c r="AI9453" s="186"/>
      <c r="AK9453" s="171"/>
    </row>
    <row r="9454" spans="1:37" s="102" customFormat="1" ht="19.899999999999999" customHeight="1" x14ac:dyDescent="0.25">
      <c r="A9454" s="45"/>
      <c r="B9454" s="59"/>
      <c r="C9454" s="137"/>
      <c r="D9454" s="59"/>
      <c r="E9454" s="116"/>
      <c r="F9454" s="120"/>
      <c r="G9454" s="120"/>
      <c r="H9454" s="120"/>
      <c r="I9454" s="60"/>
      <c r="J9454" s="116"/>
      <c r="K9454" s="213"/>
      <c r="L9454" s="120"/>
      <c r="M9454" s="120"/>
      <c r="N9454" s="167"/>
      <c r="O9454" s="120"/>
      <c r="P9454" s="120"/>
      <c r="Q9454" s="120"/>
      <c r="R9454" s="120"/>
      <c r="S9454" s="120"/>
      <c r="T9454" s="221"/>
      <c r="U9454" s="89"/>
      <c r="V9454" s="61"/>
      <c r="W9454" s="92" t="s">
        <v>134</v>
      </c>
      <c r="X9454" s="93" t="s">
        <v>29</v>
      </c>
      <c r="Y9454" s="93" t="s">
        <v>93</v>
      </c>
      <c r="Z9454" s="134">
        <f>VLOOKUP(W9454,Sheet2!$B:$D,3,FALSE)</f>
        <v>65.599999999999994</v>
      </c>
      <c r="AA9454" s="93">
        <f>100/((3*3*2)-(1.5*1.5*2))</f>
        <v>7.4074074074074074</v>
      </c>
      <c r="AB9454" s="93">
        <f t="shared" ref="AB9454" si="6361">AD9454/AC9452</f>
        <v>8.8559999999999981</v>
      </c>
      <c r="AC9454" s="93">
        <f>AC9452/AA9454</f>
        <v>6.9241500000000027</v>
      </c>
      <c r="AD9454" s="94">
        <f t="shared" si="6360"/>
        <v>454.22424000000012</v>
      </c>
      <c r="AE9454" s="190"/>
      <c r="AF9454" s="191"/>
      <c r="AG9454" s="191"/>
      <c r="AH9454" s="191"/>
      <c r="AI9454" s="186"/>
      <c r="AK9454" s="171"/>
    </row>
    <row r="9455" spans="1:37" s="102" customFormat="1" ht="19.899999999999999" customHeight="1" x14ac:dyDescent="0.25">
      <c r="A9455" s="45"/>
      <c r="B9455" s="59"/>
      <c r="C9455" s="137"/>
      <c r="D9455" s="59"/>
      <c r="E9455" s="116"/>
      <c r="F9455" s="120"/>
      <c r="G9455" s="120"/>
      <c r="H9455" s="120"/>
      <c r="I9455" s="60"/>
      <c r="J9455" s="116"/>
      <c r="K9455" s="213"/>
      <c r="L9455" s="120"/>
      <c r="M9455" s="120"/>
      <c r="N9455" s="167"/>
      <c r="O9455" s="120"/>
      <c r="P9455" s="120"/>
      <c r="Q9455" s="120"/>
      <c r="R9455" s="120"/>
      <c r="S9455" s="120"/>
      <c r="T9455" s="221"/>
      <c r="U9455" s="89"/>
      <c r="V9455" s="61"/>
      <c r="W9455" s="92" t="s">
        <v>65</v>
      </c>
      <c r="X9455" s="93" t="s">
        <v>30</v>
      </c>
      <c r="Y9455" s="93" t="s">
        <v>1011</v>
      </c>
      <c r="Z9455" s="134">
        <f>VLOOKUP(W9455,Sheet2!$B:$D,3,FALSE)</f>
        <v>1.76</v>
      </c>
      <c r="AA9455" s="93">
        <f>AA9454/9</f>
        <v>0.82304526748971196</v>
      </c>
      <c r="AB9455" s="93">
        <f>AD9455/AC9452</f>
        <v>2.1384000000000003</v>
      </c>
      <c r="AC9455" s="93">
        <f>AC9452/AA9455</f>
        <v>62.317350000000026</v>
      </c>
      <c r="AD9455" s="94">
        <f t="shared" si="6360"/>
        <v>109.67853600000005</v>
      </c>
      <c r="AE9455" s="190"/>
      <c r="AF9455" s="191"/>
      <c r="AG9455" s="191"/>
      <c r="AH9455" s="191"/>
      <c r="AI9455" s="186"/>
      <c r="AK9455" s="171"/>
    </row>
    <row r="9456" spans="1:37" s="102" customFormat="1" ht="19.899999999999999" customHeight="1" x14ac:dyDescent="0.25">
      <c r="A9456" s="45"/>
      <c r="B9456" s="59"/>
      <c r="C9456" s="137"/>
      <c r="D9456" s="59"/>
      <c r="E9456" s="116"/>
      <c r="F9456" s="120"/>
      <c r="G9456" s="120"/>
      <c r="H9456" s="120"/>
      <c r="I9456" s="60"/>
      <c r="J9456" s="116"/>
      <c r="K9456" s="213"/>
      <c r="L9456" s="120"/>
      <c r="M9456" s="120"/>
      <c r="N9456" s="167"/>
      <c r="O9456" s="120"/>
      <c r="P9456" s="120"/>
      <c r="Q9456" s="120"/>
      <c r="R9456" s="120"/>
      <c r="S9456" s="120"/>
      <c r="T9456" s="221"/>
      <c r="U9456" s="89"/>
      <c r="V9456" s="61"/>
      <c r="W9456" s="92" t="s">
        <v>161</v>
      </c>
      <c r="X9456" s="93" t="s">
        <v>29</v>
      </c>
      <c r="Y9456" s="93" t="s">
        <v>93</v>
      </c>
      <c r="Z9456" s="134">
        <f>VLOOKUP(W9456,Sheet2!$B:$D,3,FALSE)</f>
        <v>48</v>
      </c>
      <c r="AA9456" s="93">
        <f>(16*0.85*1.5)/((3*3*2)-(1.5*1.5*2))</f>
        <v>1.5111111111111111</v>
      </c>
      <c r="AB9456" s="93">
        <f>AD9456/AC9452</f>
        <v>31.764705882352942</v>
      </c>
      <c r="AC9456" s="93">
        <f>AC9452/AA9456</f>
        <v>33.9419117647059</v>
      </c>
      <c r="AD9456" s="94">
        <f>AC9456*Z9456</f>
        <v>1629.2117647058831</v>
      </c>
      <c r="AE9456" s="190"/>
      <c r="AF9456" s="191"/>
      <c r="AG9456" s="191"/>
      <c r="AH9456" s="191"/>
      <c r="AI9456" s="186"/>
      <c r="AK9456" s="171"/>
    </row>
    <row r="9457" spans="1:41" s="102" customFormat="1" ht="19.899999999999999" customHeight="1" x14ac:dyDescent="0.25">
      <c r="A9457" s="45"/>
      <c r="B9457" s="59"/>
      <c r="C9457" s="137"/>
      <c r="D9457" s="59"/>
      <c r="E9457" s="116"/>
      <c r="F9457" s="120"/>
      <c r="G9457" s="120"/>
      <c r="H9457" s="120"/>
      <c r="I9457" s="60"/>
      <c r="J9457" s="116"/>
      <c r="K9457" s="213"/>
      <c r="L9457" s="120"/>
      <c r="M9457" s="120"/>
      <c r="N9457" s="167"/>
      <c r="O9457" s="120"/>
      <c r="P9457" s="120"/>
      <c r="Q9457" s="120"/>
      <c r="R9457" s="120"/>
      <c r="S9457" s="120"/>
      <c r="T9457" s="221"/>
      <c r="U9457" s="89"/>
      <c r="V9457" s="61"/>
      <c r="W9457" s="92" t="s">
        <v>65</v>
      </c>
      <c r="X9457" s="93" t="s">
        <v>30</v>
      </c>
      <c r="Y9457" s="93" t="s">
        <v>1011</v>
      </c>
      <c r="Z9457" s="134">
        <f>VLOOKUP(W9457,Sheet2!$B:$D,3,FALSE)</f>
        <v>1.76</v>
      </c>
      <c r="AA9457" s="93">
        <f>AA9456/10</f>
        <v>0.15111111111111111</v>
      </c>
      <c r="AB9457" s="93">
        <f>AD9457/AC9452</f>
        <v>11.647058823529411</v>
      </c>
      <c r="AC9457" s="93">
        <f>AC9452/AA9457</f>
        <v>339.41911764705895</v>
      </c>
      <c r="AD9457" s="94">
        <f>AC9457*Z9457</f>
        <v>597.37764705882375</v>
      </c>
      <c r="AE9457" s="190"/>
      <c r="AF9457" s="191"/>
      <c r="AG9457" s="191"/>
      <c r="AH9457" s="191"/>
      <c r="AI9457" s="186"/>
      <c r="AK9457" s="171"/>
    </row>
    <row r="9458" spans="1:41" s="102" customFormat="1" ht="19.899999999999999" customHeight="1" x14ac:dyDescent="0.25">
      <c r="A9458" s="45"/>
      <c r="B9458" s="59"/>
      <c r="C9458" s="137"/>
      <c r="D9458" s="59"/>
      <c r="E9458" s="116"/>
      <c r="F9458" s="120"/>
      <c r="G9458" s="120"/>
      <c r="H9458" s="120"/>
      <c r="I9458" s="60"/>
      <c r="J9458" s="116"/>
      <c r="K9458" s="213"/>
      <c r="L9458" s="120"/>
      <c r="M9458" s="120"/>
      <c r="N9458" s="167"/>
      <c r="O9458" s="120"/>
      <c r="P9458" s="120"/>
      <c r="Q9458" s="120"/>
      <c r="R9458" s="120"/>
      <c r="S9458" s="120"/>
      <c r="T9458" s="221"/>
      <c r="U9458" s="89"/>
      <c r="V9458" s="61"/>
      <c r="W9458" s="92" t="s">
        <v>173</v>
      </c>
      <c r="X9458" s="93" t="s">
        <v>29</v>
      </c>
      <c r="Y9458" s="93" t="s">
        <v>93</v>
      </c>
      <c r="Z9458" s="134">
        <f>VLOOKUP(W9458,Sheet2!$B:$D,3,FALSE)</f>
        <v>36</v>
      </c>
      <c r="AA9458" s="93">
        <f>50/((3*3*2)-(1.5*1.5*2))</f>
        <v>3.7037037037037037</v>
      </c>
      <c r="AB9458" s="93">
        <f>AD9458/AC9452</f>
        <v>9.7200000000000006</v>
      </c>
      <c r="AC9458" s="93">
        <f>AC9452/AA9458</f>
        <v>13.848300000000005</v>
      </c>
      <c r="AD9458" s="94">
        <f>AC9458*Z9458</f>
        <v>498.53880000000021</v>
      </c>
      <c r="AE9458" s="190"/>
      <c r="AF9458" s="191"/>
      <c r="AG9458" s="191"/>
      <c r="AH9458" s="191"/>
      <c r="AI9458" s="186"/>
      <c r="AK9458" s="171"/>
    </row>
    <row r="9459" spans="1:41" s="102" customFormat="1" ht="19.899999999999999" customHeight="1" x14ac:dyDescent="0.25">
      <c r="A9459" s="45"/>
      <c r="B9459" s="59"/>
      <c r="C9459" s="137"/>
      <c r="D9459" s="59"/>
      <c r="E9459" s="116"/>
      <c r="F9459" s="120"/>
      <c r="G9459" s="120"/>
      <c r="H9459" s="120"/>
      <c r="I9459" s="60"/>
      <c r="J9459" s="116"/>
      <c r="K9459" s="213"/>
      <c r="L9459" s="120"/>
      <c r="M9459" s="120"/>
      <c r="N9459" s="167"/>
      <c r="O9459" s="120"/>
      <c r="P9459" s="120"/>
      <c r="Q9459" s="120"/>
      <c r="R9459" s="120"/>
      <c r="S9459" s="120"/>
      <c r="T9459" s="221"/>
      <c r="U9459" s="89"/>
      <c r="V9459" s="61"/>
      <c r="W9459" s="92" t="s">
        <v>65</v>
      </c>
      <c r="X9459" s="93" t="s">
        <v>30</v>
      </c>
      <c r="Y9459" s="93" t="s">
        <v>1011</v>
      </c>
      <c r="Z9459" s="134">
        <f>VLOOKUP(W9459,Sheet2!$B:$D,3,FALSE)</f>
        <v>1.76</v>
      </c>
      <c r="AA9459" s="93">
        <f>AA9458/9</f>
        <v>0.41152263374485598</v>
      </c>
      <c r="AB9459" s="93">
        <f>AD9459/AC9452</f>
        <v>4.2768000000000006</v>
      </c>
      <c r="AC9459" s="93">
        <f>AC9452/AA9459</f>
        <v>124.63470000000005</v>
      </c>
      <c r="AD9459" s="94">
        <f>AC9459*Z9459</f>
        <v>219.3570720000001</v>
      </c>
      <c r="AE9459" s="190"/>
      <c r="AF9459" s="191"/>
      <c r="AG9459" s="191"/>
      <c r="AH9459" s="191"/>
      <c r="AI9459" s="186"/>
      <c r="AK9459" s="171"/>
    </row>
    <row r="9460" spans="1:41" s="102" customFormat="1" ht="19.899999999999999" customHeight="1" x14ac:dyDescent="0.25">
      <c r="A9460" s="45"/>
      <c r="B9460" s="59"/>
      <c r="C9460" s="137"/>
      <c r="D9460" s="59"/>
      <c r="E9460" s="116"/>
      <c r="F9460" s="120"/>
      <c r="G9460" s="120"/>
      <c r="H9460" s="120"/>
      <c r="I9460" s="60"/>
      <c r="J9460" s="116"/>
      <c r="K9460" s="213"/>
      <c r="L9460" s="120"/>
      <c r="M9460" s="120"/>
      <c r="N9460" s="167"/>
      <c r="O9460" s="120"/>
      <c r="P9460" s="120"/>
      <c r="Q9460" s="120"/>
      <c r="R9460" s="120"/>
      <c r="S9460" s="120"/>
      <c r="T9460" s="221"/>
      <c r="U9460" s="89"/>
      <c r="V9460" s="61"/>
      <c r="W9460" s="92" t="s">
        <v>1030</v>
      </c>
      <c r="X9460" s="93" t="s">
        <v>29</v>
      </c>
      <c r="Y9460" s="93" t="s">
        <v>93</v>
      </c>
      <c r="Z9460" s="134">
        <f>VLOOKUP(W9460,Sheet2!$B:$D,3,FALSE)</f>
        <v>23</v>
      </c>
      <c r="AA9460" s="93">
        <v>4</v>
      </c>
      <c r="AB9460" s="93">
        <f>AD9460/AC9452</f>
        <v>5.75</v>
      </c>
      <c r="AC9460" s="93">
        <f>AC9452/AA9460</f>
        <v>12.822500000000005</v>
      </c>
      <c r="AD9460" s="94">
        <f t="shared" ref="AD9460:AD9461" si="6362">AC9460*Z9460</f>
        <v>294.91750000000013</v>
      </c>
      <c r="AE9460" s="190"/>
      <c r="AF9460" s="191"/>
      <c r="AG9460" s="191"/>
      <c r="AH9460" s="191"/>
      <c r="AI9460" s="186"/>
      <c r="AK9460" s="171"/>
    </row>
    <row r="9461" spans="1:41" s="102" customFormat="1" ht="19.899999999999999" customHeight="1" x14ac:dyDescent="0.25">
      <c r="A9461" s="45"/>
      <c r="B9461" s="59"/>
      <c r="C9461" s="137"/>
      <c r="D9461" s="59"/>
      <c r="E9461" s="116"/>
      <c r="F9461" s="120"/>
      <c r="G9461" s="120"/>
      <c r="H9461" s="120"/>
      <c r="I9461" s="60"/>
      <c r="J9461" s="116"/>
      <c r="K9461" s="213"/>
      <c r="L9461" s="120"/>
      <c r="M9461" s="120"/>
      <c r="N9461" s="167"/>
      <c r="O9461" s="120"/>
      <c r="P9461" s="120"/>
      <c r="Q9461" s="120"/>
      <c r="R9461" s="120"/>
      <c r="S9461" s="120"/>
      <c r="T9461" s="221"/>
      <c r="U9461" s="89"/>
      <c r="V9461" s="61"/>
      <c r="W9461" s="92" t="s">
        <v>65</v>
      </c>
      <c r="X9461" s="93" t="s">
        <v>30</v>
      </c>
      <c r="Y9461" s="93" t="s">
        <v>1011</v>
      </c>
      <c r="Z9461" s="134">
        <f>VLOOKUP(W9461,Sheet2!$B:$D,3,FALSE)</f>
        <v>1.76</v>
      </c>
      <c r="AA9461" s="93">
        <f>AA9460/3</f>
        <v>1.3333333333333333</v>
      </c>
      <c r="AB9461" s="93">
        <f>AD9461/AC9452</f>
        <v>1.32</v>
      </c>
      <c r="AC9461" s="93">
        <f>AC9452/AA9461</f>
        <v>38.467500000000015</v>
      </c>
      <c r="AD9461" s="94">
        <f t="shared" si="6362"/>
        <v>67.702800000000025</v>
      </c>
      <c r="AE9461" s="190"/>
      <c r="AF9461" s="191"/>
      <c r="AG9461" s="191"/>
      <c r="AH9461" s="191"/>
      <c r="AI9461" s="186"/>
      <c r="AK9461" s="171"/>
    </row>
    <row r="9462" spans="1:41" ht="20.100000000000001" customHeight="1" x14ac:dyDescent="0.25">
      <c r="A9462" s="277" t="s">
        <v>703</v>
      </c>
      <c r="B9462" s="278"/>
      <c r="C9462" s="64" t="s">
        <v>812</v>
      </c>
      <c r="D9462" s="46" t="s">
        <v>215</v>
      </c>
      <c r="E9462" s="114">
        <v>72.88</v>
      </c>
      <c r="F9462" s="44">
        <v>12611</v>
      </c>
      <c r="G9462" s="44">
        <f t="shared" si="5545"/>
        <v>919089.67999999993</v>
      </c>
      <c r="H9462" s="44">
        <f t="shared" si="5546"/>
        <v>6100.1303906485664</v>
      </c>
      <c r="I9462" s="43">
        <f t="shared" si="5547"/>
        <v>444577.50287046749</v>
      </c>
      <c r="J9462" s="112">
        <f t="shared" si="5548"/>
        <v>72.88</v>
      </c>
      <c r="K9462" s="211">
        <f t="shared" si="5549"/>
        <v>72.88</v>
      </c>
      <c r="L9462" s="44"/>
      <c r="M9462" s="44">
        <f t="shared" si="5550"/>
        <v>72.88</v>
      </c>
      <c r="N9462" s="173">
        <f t="shared" si="5551"/>
        <v>1</v>
      </c>
      <c r="O9462" s="44">
        <f t="shared" si="5552"/>
        <v>12611</v>
      </c>
      <c r="P9462" s="44">
        <f t="shared" si="5553"/>
        <v>919089.67999999993</v>
      </c>
      <c r="Q9462" s="44">
        <f t="shared" si="5554"/>
        <v>6100.1303906485664</v>
      </c>
      <c r="R9462" s="44">
        <f t="shared" si="5555"/>
        <v>444577.50287046749</v>
      </c>
      <c r="S9462" s="123"/>
      <c r="T9462" s="219">
        <f t="shared" si="5556"/>
        <v>444577.50287046749</v>
      </c>
      <c r="U9462" s="87"/>
      <c r="V9462" s="47"/>
      <c r="W9462" s="48"/>
      <c r="X9462" s="48"/>
      <c r="Y9462" s="48"/>
      <c r="Z9462" s="135"/>
      <c r="AA9462" s="49"/>
      <c r="AB9462" s="50">
        <f t="shared" si="5557"/>
        <v>6100.1303906485664</v>
      </c>
      <c r="AC9462" s="42">
        <f t="shared" si="5558"/>
        <v>72.88</v>
      </c>
      <c r="AD9462" s="90">
        <f>AD9463+AD9468+AD9478+AD9481</f>
        <v>444577.50287046749</v>
      </c>
      <c r="AE9462" s="188">
        <f t="shared" ref="AE9462" si="6363">AE9463+AE9468+AE9478+AE9481</f>
        <v>0</v>
      </c>
      <c r="AF9462" s="189">
        <f t="shared" ref="AF9462" si="6364">AF9463+AF9468+AF9478+AF9481</f>
        <v>0</v>
      </c>
      <c r="AG9462" s="189">
        <f t="shared" ref="AG9462" si="6365">AG9463+AG9468+AG9478+AG9481</f>
        <v>0</v>
      </c>
      <c r="AH9462" s="189">
        <f t="shared" ref="AH9462" si="6366">AH9463+AH9468+AH9478+AH9481</f>
        <v>0</v>
      </c>
      <c r="AI9462" s="161">
        <f t="shared" ref="AI9462" si="6367">SUM(AE9462:AH9462)</f>
        <v>0</v>
      </c>
      <c r="AK9462" s="169">
        <v>5</v>
      </c>
      <c r="AO9462" s="19" t="s">
        <v>63</v>
      </c>
    </row>
    <row r="9463" spans="1:41" s="103" customFormat="1" ht="19.899999999999999" customHeight="1" x14ac:dyDescent="0.25">
      <c r="A9463" s="51"/>
      <c r="B9463" s="52"/>
      <c r="C9463" s="165"/>
      <c r="D9463" s="52"/>
      <c r="E9463" s="115"/>
      <c r="F9463" s="58"/>
      <c r="G9463" s="58"/>
      <c r="H9463" s="58"/>
      <c r="I9463" s="55"/>
      <c r="J9463" s="113">
        <f>J9462</f>
        <v>72.88</v>
      </c>
      <c r="K9463" s="212">
        <f>K9462</f>
        <v>72.88</v>
      </c>
      <c r="L9463" s="58"/>
      <c r="M9463" s="58">
        <f>K9463-L9463</f>
        <v>72.88</v>
      </c>
      <c r="N9463" s="166"/>
      <c r="O9463" s="58"/>
      <c r="P9463" s="58"/>
      <c r="Q9463" s="58"/>
      <c r="R9463" s="58"/>
      <c r="S9463" s="58"/>
      <c r="T9463" s="220"/>
      <c r="U9463" s="88"/>
      <c r="V9463" s="56"/>
      <c r="W9463" s="57" t="s">
        <v>1641</v>
      </c>
      <c r="X9463" s="53"/>
      <c r="Y9463" s="91" t="s">
        <v>35</v>
      </c>
      <c r="Z9463" s="136">
        <f>AD9463/AC9463</f>
        <v>90.496941176470585</v>
      </c>
      <c r="AA9463" s="58"/>
      <c r="AB9463" s="53">
        <f>AD9463/AC9463</f>
        <v>90.496941176470585</v>
      </c>
      <c r="AC9463" s="53">
        <f>M9463+$AE$10</f>
        <v>72.88</v>
      </c>
      <c r="AD9463" s="54">
        <f>SUM(AD9464:AD9467)</f>
        <v>6595.4170729411762</v>
      </c>
      <c r="AE9463" s="184">
        <f>SUMIFS($AD$37:$AD$12971,$V$37:$V$12971,$V9463,$X$37:$X$12971,AE$13)</f>
        <v>0</v>
      </c>
      <c r="AF9463" s="185">
        <f>SUMIFS($AD$37:$AD$12971,$V$37:$V$12971,$V9463,$X$37:$X$12971,AF$13)</f>
        <v>0</v>
      </c>
      <c r="AG9463" s="185">
        <f>SUMIFS($AD$37:$AD$12971,$V$37:$V$12971,$V9463,$X$37:$X$12971,AG$13)</f>
        <v>0</v>
      </c>
      <c r="AH9463" s="187">
        <f>SUMIFS($AD$37:$AD$12971,$V$37:$V$12971,$V9463,$X$37:$X$12971,AH$13)</f>
        <v>0</v>
      </c>
      <c r="AI9463" s="161">
        <f t="shared" ref="AI9463" si="6368">SUM(AE9463:AH9463)</f>
        <v>0</v>
      </c>
      <c r="AK9463" s="172"/>
    </row>
    <row r="9464" spans="1:41" s="102" customFormat="1" ht="19.899999999999999" customHeight="1" x14ac:dyDescent="0.25">
      <c r="A9464" s="45"/>
      <c r="B9464" s="59"/>
      <c r="C9464" s="137"/>
      <c r="D9464" s="59"/>
      <c r="E9464" s="116"/>
      <c r="F9464" s="120"/>
      <c r="G9464" s="120"/>
      <c r="H9464" s="120"/>
      <c r="I9464" s="60"/>
      <c r="J9464" s="116"/>
      <c r="K9464" s="213"/>
      <c r="L9464" s="120"/>
      <c r="M9464" s="120"/>
      <c r="N9464" s="167"/>
      <c r="O9464" s="120"/>
      <c r="P9464" s="120"/>
      <c r="Q9464" s="120"/>
      <c r="R9464" s="120"/>
      <c r="S9464" s="120"/>
      <c r="T9464" s="221"/>
      <c r="U9464" s="89"/>
      <c r="V9464" s="61"/>
      <c r="W9464" s="92" t="s">
        <v>129</v>
      </c>
      <c r="X9464" s="93" t="s">
        <v>29</v>
      </c>
      <c r="Y9464" s="93" t="s">
        <v>93</v>
      </c>
      <c r="Z9464" s="134">
        <f>VLOOKUP(W9464,Sheet2!$B:$D,3,FALSE)</f>
        <v>56</v>
      </c>
      <c r="AA9464" s="93">
        <f>100/(3*3*2.5)</f>
        <v>4.4444444444444446</v>
      </c>
      <c r="AB9464" s="93">
        <f t="shared" ref="AB9464" si="6369">AD9464/AC9463</f>
        <v>12.600000000000001</v>
      </c>
      <c r="AC9464" s="93">
        <f>AC9463/AA9464</f>
        <v>16.398</v>
      </c>
      <c r="AD9464" s="94">
        <f t="shared" ref="AD9464:AD9465" si="6370">AC9464*Z9464</f>
        <v>918.28800000000001</v>
      </c>
      <c r="AE9464" s="190"/>
      <c r="AF9464" s="191"/>
      <c r="AG9464" s="191"/>
      <c r="AH9464" s="191"/>
      <c r="AI9464" s="186"/>
      <c r="AK9464" s="171"/>
    </row>
    <row r="9465" spans="1:41" s="102" customFormat="1" ht="19.899999999999999" customHeight="1" x14ac:dyDescent="0.25">
      <c r="A9465" s="45"/>
      <c r="B9465" s="59"/>
      <c r="C9465" s="137"/>
      <c r="D9465" s="59"/>
      <c r="E9465" s="116"/>
      <c r="F9465" s="120"/>
      <c r="G9465" s="120"/>
      <c r="H9465" s="120"/>
      <c r="I9465" s="60"/>
      <c r="J9465" s="116"/>
      <c r="K9465" s="213"/>
      <c r="L9465" s="120"/>
      <c r="M9465" s="120"/>
      <c r="N9465" s="167"/>
      <c r="O9465" s="120"/>
      <c r="P9465" s="120"/>
      <c r="Q9465" s="120"/>
      <c r="R9465" s="120"/>
      <c r="S9465" s="120"/>
      <c r="T9465" s="221"/>
      <c r="U9465" s="89"/>
      <c r="V9465" s="61"/>
      <c r="W9465" s="92" t="s">
        <v>65</v>
      </c>
      <c r="X9465" s="93" t="s">
        <v>30</v>
      </c>
      <c r="Y9465" s="93" t="s">
        <v>1011</v>
      </c>
      <c r="Z9465" s="134">
        <f>VLOOKUP(W9465,Sheet2!$B:$D,3,FALSE)</f>
        <v>1.76</v>
      </c>
      <c r="AA9465" s="93">
        <f>AA9464/14</f>
        <v>0.3174603174603175</v>
      </c>
      <c r="AB9465" s="93">
        <f>AD9465/AC9463</f>
        <v>5.5439999999999987</v>
      </c>
      <c r="AC9465" s="93">
        <f>AC9463/AA9465</f>
        <v>229.57199999999995</v>
      </c>
      <c r="AD9465" s="94">
        <f t="shared" si="6370"/>
        <v>404.04671999999988</v>
      </c>
      <c r="AE9465" s="190"/>
      <c r="AF9465" s="191"/>
      <c r="AG9465" s="191"/>
      <c r="AH9465" s="191"/>
      <c r="AI9465" s="186"/>
      <c r="AK9465" s="171"/>
    </row>
    <row r="9466" spans="1:41" s="102" customFormat="1" ht="19.899999999999999" customHeight="1" x14ac:dyDescent="0.25">
      <c r="A9466" s="45"/>
      <c r="B9466" s="59"/>
      <c r="C9466" s="137"/>
      <c r="D9466" s="59"/>
      <c r="E9466" s="116"/>
      <c r="F9466" s="120"/>
      <c r="G9466" s="120"/>
      <c r="H9466" s="120"/>
      <c r="I9466" s="60"/>
      <c r="J9466" s="116"/>
      <c r="K9466" s="213"/>
      <c r="L9466" s="120"/>
      <c r="M9466" s="120"/>
      <c r="N9466" s="167"/>
      <c r="O9466" s="120"/>
      <c r="P9466" s="120"/>
      <c r="Q9466" s="120"/>
      <c r="R9466" s="120"/>
      <c r="S9466" s="120"/>
      <c r="T9466" s="221"/>
      <c r="U9466" s="89"/>
      <c r="V9466" s="61"/>
      <c r="W9466" s="92" t="s">
        <v>161</v>
      </c>
      <c r="X9466" s="93" t="s">
        <v>29</v>
      </c>
      <c r="Y9466" s="93" t="s">
        <v>93</v>
      </c>
      <c r="Z9466" s="134">
        <f>VLOOKUP(W9466,Sheet2!$B:$D,3,FALSE)</f>
        <v>48</v>
      </c>
      <c r="AA9466" s="93">
        <f>(16*0.85*1.5)/(3*3*2.5)</f>
        <v>0.90666666666666662</v>
      </c>
      <c r="AB9466" s="93">
        <f>AD9466/AC9463</f>
        <v>52.941176470588232</v>
      </c>
      <c r="AC9466" s="93">
        <f>AC9463/AA9466</f>
        <v>80.382352941176464</v>
      </c>
      <c r="AD9466" s="94">
        <f>AC9466*Z9466</f>
        <v>3858.3529411764703</v>
      </c>
      <c r="AE9466" s="190"/>
      <c r="AF9466" s="191"/>
      <c r="AG9466" s="191"/>
      <c r="AH9466" s="191"/>
      <c r="AI9466" s="186"/>
      <c r="AK9466" s="171"/>
    </row>
    <row r="9467" spans="1:41" s="102" customFormat="1" ht="19.899999999999999" customHeight="1" x14ac:dyDescent="0.25">
      <c r="A9467" s="45"/>
      <c r="B9467" s="59"/>
      <c r="C9467" s="137"/>
      <c r="D9467" s="59"/>
      <c r="E9467" s="116"/>
      <c r="F9467" s="120"/>
      <c r="G9467" s="120"/>
      <c r="H9467" s="120"/>
      <c r="I9467" s="60"/>
      <c r="J9467" s="116"/>
      <c r="K9467" s="213"/>
      <c r="L9467" s="120"/>
      <c r="M9467" s="120"/>
      <c r="N9467" s="167"/>
      <c r="O9467" s="120"/>
      <c r="P9467" s="120"/>
      <c r="Q9467" s="120"/>
      <c r="R9467" s="120"/>
      <c r="S9467" s="120"/>
      <c r="T9467" s="221"/>
      <c r="U9467" s="89"/>
      <c r="V9467" s="61"/>
      <c r="W9467" s="92" t="s">
        <v>65</v>
      </c>
      <c r="X9467" s="93" t="s">
        <v>30</v>
      </c>
      <c r="Y9467" s="93" t="s">
        <v>1011</v>
      </c>
      <c r="Z9467" s="134">
        <f>VLOOKUP(W9467,Sheet2!$B:$D,3,FALSE)</f>
        <v>1.76</v>
      </c>
      <c r="AA9467" s="93">
        <f>AA9466/10</f>
        <v>9.0666666666666659E-2</v>
      </c>
      <c r="AB9467" s="93">
        <f>AD9467/AC9463</f>
        <v>19.411764705882355</v>
      </c>
      <c r="AC9467" s="93">
        <f>AC9463/AA9467</f>
        <v>803.82352941176475</v>
      </c>
      <c r="AD9467" s="94">
        <f>AC9467*Z9467</f>
        <v>1414.7294117647059</v>
      </c>
      <c r="AE9467" s="190"/>
      <c r="AF9467" s="191"/>
      <c r="AG9467" s="191"/>
      <c r="AH9467" s="191"/>
      <c r="AI9467" s="186"/>
      <c r="AK9467" s="171"/>
    </row>
    <row r="9468" spans="1:41" s="103" customFormat="1" ht="19.899999999999999" customHeight="1" x14ac:dyDescent="0.25">
      <c r="A9468" s="51"/>
      <c r="B9468" s="52"/>
      <c r="C9468" s="165"/>
      <c r="D9468" s="52"/>
      <c r="E9468" s="115"/>
      <c r="F9468" s="58"/>
      <c r="G9468" s="58"/>
      <c r="H9468" s="58"/>
      <c r="I9468" s="55"/>
      <c r="J9468" s="113">
        <f>J9462</f>
        <v>72.88</v>
      </c>
      <c r="K9468" s="212">
        <f>K9462</f>
        <v>72.88</v>
      </c>
      <c r="L9468" s="58"/>
      <c r="M9468" s="58">
        <f>K9468-L9468</f>
        <v>72.88</v>
      </c>
      <c r="N9468" s="166"/>
      <c r="O9468" s="58"/>
      <c r="P9468" s="58"/>
      <c r="Q9468" s="58"/>
      <c r="R9468" s="58"/>
      <c r="S9468" s="58"/>
      <c r="T9468" s="220"/>
      <c r="U9468" s="88"/>
      <c r="V9468" s="56"/>
      <c r="W9468" s="57" t="s">
        <v>1636</v>
      </c>
      <c r="X9468" s="53"/>
      <c r="Y9468" s="91" t="s">
        <v>35</v>
      </c>
      <c r="Z9468" s="136">
        <f>AD9468/AC9468</f>
        <v>4695.953076923076</v>
      </c>
      <c r="AA9468" s="58"/>
      <c r="AB9468" s="53">
        <f>AD9468/AC9468</f>
        <v>4695.953076923076</v>
      </c>
      <c r="AC9468" s="53">
        <f>M9468+$AE$10</f>
        <v>72.88</v>
      </c>
      <c r="AD9468" s="54">
        <f>SUM(AD9469:AD9477)</f>
        <v>342241.06024615373</v>
      </c>
      <c r="AE9468" s="184">
        <f>SUMIFS($AD$37:$AD$12971,$V$37:$V$12971,$V9468,$X$37:$X$12971,AE$13)</f>
        <v>0</v>
      </c>
      <c r="AF9468" s="185">
        <f>SUMIFS($AD$37:$AD$12971,$V$37:$V$12971,$V9468,$X$37:$X$12971,AF$13)</f>
        <v>0</v>
      </c>
      <c r="AG9468" s="185">
        <f>SUMIFS($AD$37:$AD$12971,$V$37:$V$12971,$V9468,$X$37:$X$12971,AG$13)</f>
        <v>0</v>
      </c>
      <c r="AH9468" s="187">
        <f>SUMIFS($AD$37:$AD$12971,$V$37:$V$12971,$V9468,$X$37:$X$12971,AH$13)</f>
        <v>0</v>
      </c>
      <c r="AI9468" s="161">
        <f t="shared" ref="AI9468" si="6371">SUM(AE9468:AH9468)</f>
        <v>0</v>
      </c>
      <c r="AK9468" s="172"/>
    </row>
    <row r="9469" spans="1:41" s="102" customFormat="1" ht="19.899999999999999" customHeight="1" x14ac:dyDescent="0.25">
      <c r="A9469" s="45"/>
      <c r="B9469" s="59"/>
      <c r="C9469" s="137"/>
      <c r="D9469" s="59"/>
      <c r="E9469" s="116"/>
      <c r="F9469" s="120"/>
      <c r="G9469" s="120"/>
      <c r="H9469" s="120"/>
      <c r="I9469" s="60"/>
      <c r="J9469" s="116"/>
      <c r="K9469" s="213"/>
      <c r="L9469" s="120"/>
      <c r="M9469" s="120"/>
      <c r="N9469" s="167"/>
      <c r="O9469" s="120"/>
      <c r="P9469" s="120"/>
      <c r="Q9469" s="120"/>
      <c r="R9469" s="120"/>
      <c r="S9469" s="120"/>
      <c r="T9469" s="221"/>
      <c r="U9469" s="89"/>
      <c r="V9469" s="61"/>
      <c r="W9469" s="92" t="s">
        <v>1353</v>
      </c>
      <c r="X9469" s="93" t="s">
        <v>30</v>
      </c>
      <c r="Y9469" s="93" t="s">
        <v>66</v>
      </c>
      <c r="Z9469" s="134">
        <f>VLOOKUP(W9469,Sheet2!$B:$D,3,FALSE)</f>
        <v>350</v>
      </c>
      <c r="AA9469" s="93">
        <f>1/((1.5*2.5*0.2*4)+(1.5*1.5*0.3))</f>
        <v>0.27210884353741499</v>
      </c>
      <c r="AB9469" s="93">
        <f>AD9469/AC9468</f>
        <v>1286.2499999999998</v>
      </c>
      <c r="AC9469" s="93">
        <f>AC9468/AA9469</f>
        <v>267.83399999999995</v>
      </c>
      <c r="AD9469" s="94">
        <f t="shared" ref="AD9469:AD9470" si="6372">AC9469*Z9469</f>
        <v>93741.89999999998</v>
      </c>
      <c r="AE9469" s="190"/>
      <c r="AF9469" s="191"/>
      <c r="AG9469" s="191"/>
      <c r="AH9469" s="191"/>
      <c r="AI9469" s="186"/>
      <c r="AK9469" s="171"/>
    </row>
    <row r="9470" spans="1:41" s="102" customFormat="1" ht="19.899999999999999" customHeight="1" x14ac:dyDescent="0.25">
      <c r="A9470" s="45"/>
      <c r="B9470" s="59"/>
      <c r="C9470" s="137"/>
      <c r="D9470" s="59"/>
      <c r="E9470" s="116"/>
      <c r="F9470" s="120"/>
      <c r="G9470" s="120"/>
      <c r="H9470" s="120"/>
      <c r="I9470" s="60"/>
      <c r="J9470" s="116"/>
      <c r="K9470" s="213"/>
      <c r="L9470" s="120"/>
      <c r="M9470" s="120"/>
      <c r="N9470" s="167"/>
      <c r="O9470" s="120"/>
      <c r="P9470" s="120"/>
      <c r="Q9470" s="120"/>
      <c r="R9470" s="120"/>
      <c r="S9470" s="120"/>
      <c r="T9470" s="221"/>
      <c r="U9470" s="89"/>
      <c r="V9470" s="61"/>
      <c r="W9470" s="92" t="s">
        <v>99</v>
      </c>
      <c r="X9470" s="93" t="s">
        <v>30</v>
      </c>
      <c r="Y9470" s="93" t="s">
        <v>67</v>
      </c>
      <c r="Z9470" s="134">
        <f>VLOOKUP(W9470,Sheet2!$B:$D,3,FALSE)</f>
        <v>2500</v>
      </c>
      <c r="AA9470" s="93">
        <f>AA9469/0.08</f>
        <v>3.4013605442176873</v>
      </c>
      <c r="AB9470" s="93">
        <f>AD9470/AC9468</f>
        <v>734.99999999999989</v>
      </c>
      <c r="AC9470" s="93">
        <f>AC9468/AA9470</f>
        <v>21.426719999999996</v>
      </c>
      <c r="AD9470" s="94">
        <f t="shared" si="6372"/>
        <v>53566.799999999988</v>
      </c>
      <c r="AE9470" s="190"/>
      <c r="AF9470" s="191"/>
      <c r="AG9470" s="191"/>
      <c r="AH9470" s="191"/>
      <c r="AI9470" s="186"/>
      <c r="AK9470" s="171"/>
    </row>
    <row r="9471" spans="1:41" s="102" customFormat="1" ht="19.899999999999999" customHeight="1" x14ac:dyDescent="0.25">
      <c r="A9471" s="45"/>
      <c r="B9471" s="59"/>
      <c r="C9471" s="137"/>
      <c r="D9471" s="59"/>
      <c r="E9471" s="116"/>
      <c r="F9471" s="120"/>
      <c r="G9471" s="120"/>
      <c r="H9471" s="120"/>
      <c r="I9471" s="60"/>
      <c r="J9471" s="116"/>
      <c r="K9471" s="213"/>
      <c r="L9471" s="120"/>
      <c r="M9471" s="120"/>
      <c r="N9471" s="167"/>
      <c r="O9471" s="120"/>
      <c r="P9471" s="120"/>
      <c r="Q9471" s="120"/>
      <c r="R9471" s="120"/>
      <c r="S9471" s="120"/>
      <c r="T9471" s="221"/>
      <c r="U9471" s="89"/>
      <c r="V9471" s="61"/>
      <c r="W9471" s="92" t="s">
        <v>1533</v>
      </c>
      <c r="X9471" s="93" t="s">
        <v>32</v>
      </c>
      <c r="Y9471" s="93" t="s">
        <v>66</v>
      </c>
      <c r="Z9471" s="134">
        <f>VLOOKUP(W9471,Sheet2!$B:$D,3,FALSE)</f>
        <v>300</v>
      </c>
      <c r="AA9471" s="93">
        <f>AA9469</f>
        <v>0.27210884353741499</v>
      </c>
      <c r="AB9471" s="93">
        <f>AD9471/AC9468</f>
        <v>1102.4999999999998</v>
      </c>
      <c r="AC9471" s="93">
        <f>AC9468/AA9471</f>
        <v>267.83399999999995</v>
      </c>
      <c r="AD9471" s="94">
        <f>AC9471*Z9471</f>
        <v>80350.199999999983</v>
      </c>
      <c r="AE9471" s="190"/>
      <c r="AF9471" s="191"/>
      <c r="AG9471" s="191"/>
      <c r="AH9471" s="191"/>
      <c r="AI9471" s="186"/>
      <c r="AK9471" s="171"/>
    </row>
    <row r="9472" spans="1:41" s="102" customFormat="1" ht="19.899999999999999" customHeight="1" x14ac:dyDescent="0.25">
      <c r="A9472" s="45"/>
      <c r="B9472" s="59"/>
      <c r="C9472" s="137"/>
      <c r="D9472" s="59"/>
      <c r="E9472" s="116"/>
      <c r="F9472" s="120"/>
      <c r="G9472" s="120"/>
      <c r="H9472" s="120"/>
      <c r="I9472" s="60"/>
      <c r="J9472" s="116"/>
      <c r="K9472" s="213"/>
      <c r="L9472" s="120"/>
      <c r="M9472" s="120"/>
      <c r="N9472" s="167"/>
      <c r="O9472" s="120"/>
      <c r="P9472" s="120"/>
      <c r="Q9472" s="120"/>
      <c r="R9472" s="120"/>
      <c r="S9472" s="120"/>
      <c r="T9472" s="221"/>
      <c r="U9472" s="89"/>
      <c r="V9472" s="61"/>
      <c r="W9472" s="92" t="s">
        <v>1634</v>
      </c>
      <c r="X9472" s="93" t="s">
        <v>30</v>
      </c>
      <c r="Y9472" s="93" t="s">
        <v>35</v>
      </c>
      <c r="Z9472" s="134">
        <f>VLOOKUP(W9472,Sheet2!$B:$D,3,FALSE)</f>
        <v>1250</v>
      </c>
      <c r="AA9472" s="93">
        <v>1</v>
      </c>
      <c r="AB9472" s="93">
        <f>AD9472/AC9468</f>
        <v>1250</v>
      </c>
      <c r="AC9472" s="93">
        <f>AC9468/AA9472</f>
        <v>72.88</v>
      </c>
      <c r="AD9472" s="94">
        <f t="shared" ref="AD9472:AD9473" si="6373">AC9472*Z9472</f>
        <v>91100</v>
      </c>
      <c r="AE9472" s="190"/>
      <c r="AF9472" s="191"/>
      <c r="AG9472" s="191"/>
      <c r="AH9472" s="191"/>
      <c r="AI9472" s="186"/>
      <c r="AK9472" s="171"/>
    </row>
    <row r="9473" spans="1:37" s="102" customFormat="1" ht="19.899999999999999" customHeight="1" x14ac:dyDescent="0.25">
      <c r="A9473" s="45"/>
      <c r="B9473" s="59"/>
      <c r="C9473" s="137"/>
      <c r="D9473" s="59"/>
      <c r="E9473" s="116"/>
      <c r="F9473" s="120"/>
      <c r="G9473" s="120"/>
      <c r="H9473" s="120"/>
      <c r="I9473" s="60"/>
      <c r="J9473" s="116"/>
      <c r="K9473" s="213"/>
      <c r="L9473" s="120"/>
      <c r="M9473" s="120"/>
      <c r="N9473" s="167"/>
      <c r="O9473" s="120"/>
      <c r="P9473" s="120"/>
      <c r="Q9473" s="120"/>
      <c r="R9473" s="120"/>
      <c r="S9473" s="120"/>
      <c r="T9473" s="221"/>
      <c r="U9473" s="89"/>
      <c r="V9473" s="61"/>
      <c r="W9473" s="92" t="s">
        <v>142</v>
      </c>
      <c r="X9473" s="93" t="s">
        <v>29</v>
      </c>
      <c r="Y9473" s="93" t="s">
        <v>93</v>
      </c>
      <c r="Z9473" s="134">
        <f>VLOOKUP(W9473,Sheet2!$B:$D,3,FALSE)</f>
        <v>67.692307692307693</v>
      </c>
      <c r="AA9473" s="93">
        <v>4</v>
      </c>
      <c r="AB9473" s="93">
        <f>AD9473/AC9468</f>
        <v>16.923076923076923</v>
      </c>
      <c r="AC9473" s="93">
        <f>AC9468/AA9473</f>
        <v>18.22</v>
      </c>
      <c r="AD9473" s="94">
        <f t="shared" si="6373"/>
        <v>1233.353846153846</v>
      </c>
      <c r="AE9473" s="190"/>
      <c r="AF9473" s="191"/>
      <c r="AG9473" s="191"/>
      <c r="AH9473" s="191"/>
      <c r="AI9473" s="186"/>
      <c r="AK9473" s="171"/>
    </row>
    <row r="9474" spans="1:37" s="102" customFormat="1" ht="19.899999999999999" customHeight="1" x14ac:dyDescent="0.25">
      <c r="A9474" s="45"/>
      <c r="B9474" s="59"/>
      <c r="C9474" s="137"/>
      <c r="D9474" s="59"/>
      <c r="E9474" s="116"/>
      <c r="F9474" s="120"/>
      <c r="G9474" s="120"/>
      <c r="H9474" s="120"/>
      <c r="I9474" s="60"/>
      <c r="J9474" s="116"/>
      <c r="K9474" s="213"/>
      <c r="L9474" s="120"/>
      <c r="M9474" s="120"/>
      <c r="N9474" s="167"/>
      <c r="O9474" s="120"/>
      <c r="P9474" s="120"/>
      <c r="Q9474" s="120"/>
      <c r="R9474" s="120"/>
      <c r="S9474" s="120"/>
      <c r="T9474" s="221"/>
      <c r="U9474" s="89"/>
      <c r="V9474" s="61"/>
      <c r="W9474" s="92" t="s">
        <v>65</v>
      </c>
      <c r="X9474" s="93" t="s">
        <v>30</v>
      </c>
      <c r="Y9474" s="93" t="s">
        <v>93</v>
      </c>
      <c r="Z9474" s="134">
        <f>VLOOKUP(W9474,Sheet2!$B:$D,3,FALSE)</f>
        <v>1.76</v>
      </c>
      <c r="AA9474" s="93">
        <f>AA9473/12</f>
        <v>0.33333333333333331</v>
      </c>
      <c r="AB9474" s="93">
        <f>AD9474/AC9468</f>
        <v>5.28</v>
      </c>
      <c r="AC9474" s="93">
        <f>AC9468/AA9474</f>
        <v>218.64</v>
      </c>
      <c r="AD9474" s="94">
        <f>AC9474*Z9474</f>
        <v>384.8064</v>
      </c>
      <c r="AE9474" s="190"/>
      <c r="AF9474" s="191"/>
      <c r="AG9474" s="191"/>
      <c r="AH9474" s="191"/>
      <c r="AI9474" s="186"/>
      <c r="AK9474" s="171"/>
    </row>
    <row r="9475" spans="1:37" s="102" customFormat="1" ht="19.899999999999999" customHeight="1" x14ac:dyDescent="0.25">
      <c r="A9475" s="45"/>
      <c r="B9475" s="59"/>
      <c r="C9475" s="137"/>
      <c r="D9475" s="59"/>
      <c r="E9475" s="116"/>
      <c r="F9475" s="120"/>
      <c r="G9475" s="120"/>
      <c r="H9475" s="120"/>
      <c r="I9475" s="60"/>
      <c r="J9475" s="116"/>
      <c r="K9475" s="213"/>
      <c r="L9475" s="120"/>
      <c r="M9475" s="120"/>
      <c r="N9475" s="167"/>
      <c r="O9475" s="120"/>
      <c r="P9475" s="120"/>
      <c r="Q9475" s="120"/>
      <c r="R9475" s="120"/>
      <c r="S9475" s="120"/>
      <c r="T9475" s="221"/>
      <c r="U9475" s="89"/>
      <c r="V9475" s="61"/>
      <c r="W9475" s="92" t="s">
        <v>1357</v>
      </c>
      <c r="X9475" s="93" t="s">
        <v>30</v>
      </c>
      <c r="Y9475" s="93" t="s">
        <v>1349</v>
      </c>
      <c r="Z9475" s="134">
        <f>VLOOKUP(W9475,Sheet2!$B:$D,3,FALSE)</f>
        <v>150</v>
      </c>
      <c r="AA9475" s="93">
        <v>1</v>
      </c>
      <c r="AB9475" s="93">
        <f>AD9475/AC9468</f>
        <v>150</v>
      </c>
      <c r="AC9475" s="93">
        <f>AC9468/AA9475</f>
        <v>72.88</v>
      </c>
      <c r="AD9475" s="94">
        <f>AC9475*Z9475</f>
        <v>10932</v>
      </c>
      <c r="AE9475" s="190"/>
      <c r="AF9475" s="191"/>
      <c r="AG9475" s="191"/>
      <c r="AH9475" s="191"/>
      <c r="AI9475" s="186"/>
      <c r="AK9475" s="171"/>
    </row>
    <row r="9476" spans="1:37" s="102" customFormat="1" ht="19.899999999999999" customHeight="1" x14ac:dyDescent="0.25">
      <c r="A9476" s="45"/>
      <c r="B9476" s="59"/>
      <c r="C9476" s="137"/>
      <c r="D9476" s="59"/>
      <c r="E9476" s="116"/>
      <c r="F9476" s="120"/>
      <c r="G9476" s="120"/>
      <c r="H9476" s="120"/>
      <c r="I9476" s="60"/>
      <c r="J9476" s="116"/>
      <c r="K9476" s="213"/>
      <c r="L9476" s="120"/>
      <c r="M9476" s="120"/>
      <c r="N9476" s="167"/>
      <c r="O9476" s="120"/>
      <c r="P9476" s="120"/>
      <c r="Q9476" s="120"/>
      <c r="R9476" s="120"/>
      <c r="S9476" s="120"/>
      <c r="T9476" s="221"/>
      <c r="U9476" s="89"/>
      <c r="V9476" s="61"/>
      <c r="W9476" s="92" t="s">
        <v>107</v>
      </c>
      <c r="X9476" s="93" t="s">
        <v>31</v>
      </c>
      <c r="Y9476" s="93" t="s">
        <v>93</v>
      </c>
      <c r="Z9476" s="134">
        <f>VLOOKUP(W9476,Sheet2!$B:$D,3,FALSE)</f>
        <v>17</v>
      </c>
      <c r="AA9476" s="93">
        <f>1/5</f>
        <v>0.2</v>
      </c>
      <c r="AB9476" s="93">
        <f>AD9476/AC9468</f>
        <v>85</v>
      </c>
      <c r="AC9476" s="93">
        <f>AC9468/AA9476</f>
        <v>364.4</v>
      </c>
      <c r="AD9476" s="94">
        <f>AC9476*Z9476</f>
        <v>6194.7999999999993</v>
      </c>
      <c r="AE9476" s="190"/>
      <c r="AF9476" s="191"/>
      <c r="AG9476" s="191"/>
      <c r="AH9476" s="191"/>
      <c r="AI9476" s="186"/>
      <c r="AK9476" s="171"/>
    </row>
    <row r="9477" spans="1:37" s="102" customFormat="1" ht="19.899999999999999" customHeight="1" x14ac:dyDescent="0.25">
      <c r="A9477" s="45"/>
      <c r="B9477" s="59"/>
      <c r="C9477" s="137"/>
      <c r="D9477" s="59"/>
      <c r="E9477" s="116"/>
      <c r="F9477" s="120"/>
      <c r="G9477" s="120"/>
      <c r="H9477" s="120"/>
      <c r="I9477" s="60"/>
      <c r="J9477" s="116"/>
      <c r="K9477" s="213"/>
      <c r="L9477" s="120"/>
      <c r="M9477" s="120"/>
      <c r="N9477" s="167"/>
      <c r="O9477" s="120"/>
      <c r="P9477" s="120"/>
      <c r="Q9477" s="120"/>
      <c r="R9477" s="120"/>
      <c r="S9477" s="120"/>
      <c r="T9477" s="221"/>
      <c r="U9477" s="89"/>
      <c r="V9477" s="61"/>
      <c r="W9477" s="92" t="s">
        <v>112</v>
      </c>
      <c r="X9477" s="93" t="s">
        <v>31</v>
      </c>
      <c r="Y9477" s="93" t="s">
        <v>93</v>
      </c>
      <c r="Z9477" s="134">
        <f>VLOOKUP(W9477,Sheet2!$B:$D,3,FALSE)</f>
        <v>13</v>
      </c>
      <c r="AA9477" s="93">
        <f>AA9476</f>
        <v>0.2</v>
      </c>
      <c r="AB9477" s="93">
        <f>AD9477/AC9468</f>
        <v>65</v>
      </c>
      <c r="AC9477" s="93">
        <f>AC9468/AA9477</f>
        <v>364.4</v>
      </c>
      <c r="AD9477" s="94">
        <f>AC9477*Z9477</f>
        <v>4737.2</v>
      </c>
      <c r="AE9477" s="190"/>
      <c r="AF9477" s="191"/>
      <c r="AG9477" s="191"/>
      <c r="AH9477" s="191"/>
      <c r="AI9477" s="186"/>
      <c r="AK9477" s="171"/>
    </row>
    <row r="9478" spans="1:37" s="103" customFormat="1" ht="19.899999999999999" customHeight="1" x14ac:dyDescent="0.25">
      <c r="A9478" s="51"/>
      <c r="B9478" s="52"/>
      <c r="C9478" s="165"/>
      <c r="D9478" s="52"/>
      <c r="E9478" s="115"/>
      <c r="F9478" s="58"/>
      <c r="G9478" s="58"/>
      <c r="H9478" s="58"/>
      <c r="I9478" s="55"/>
      <c r="J9478" s="113">
        <f>J9462</f>
        <v>72.88</v>
      </c>
      <c r="K9478" s="212">
        <f>K9462</f>
        <v>72.88</v>
      </c>
      <c r="L9478" s="58"/>
      <c r="M9478" s="58">
        <f>K9478-L9478</f>
        <v>72.88</v>
      </c>
      <c r="N9478" s="166"/>
      <c r="O9478" s="58"/>
      <c r="P9478" s="58"/>
      <c r="Q9478" s="58"/>
      <c r="R9478" s="58"/>
      <c r="S9478" s="58"/>
      <c r="T9478" s="220"/>
      <c r="U9478" s="88"/>
      <c r="V9478" s="56"/>
      <c r="W9478" s="57" t="s">
        <v>1358</v>
      </c>
      <c r="X9478" s="53"/>
      <c r="Y9478" s="91" t="s">
        <v>35</v>
      </c>
      <c r="Z9478" s="136">
        <f>AD9478/AC9478</f>
        <v>1050</v>
      </c>
      <c r="AA9478" s="58"/>
      <c r="AB9478" s="53">
        <f>AD9478/AC9478</f>
        <v>1050</v>
      </c>
      <c r="AC9478" s="53">
        <f>M9478+$AE$10</f>
        <v>72.88</v>
      </c>
      <c r="AD9478" s="54">
        <f>SUM(AD9479:AD9480)</f>
        <v>76524</v>
      </c>
      <c r="AE9478" s="184">
        <f>SUMIFS($AD$37:$AD$12971,$V$37:$V$12971,$V9478,$X$37:$X$12971,AE$13)</f>
        <v>0</v>
      </c>
      <c r="AF9478" s="185">
        <f>SUMIFS($AD$37:$AD$12971,$V$37:$V$12971,$V9478,$X$37:$X$12971,AF$13)</f>
        <v>0</v>
      </c>
      <c r="AG9478" s="185">
        <f>SUMIFS($AD$37:$AD$12971,$V$37:$V$12971,$V9478,$X$37:$X$12971,AG$13)</f>
        <v>0</v>
      </c>
      <c r="AH9478" s="187">
        <f>SUMIFS($AD$37:$AD$12971,$V$37:$V$12971,$V9478,$X$37:$X$12971,AH$13)</f>
        <v>0</v>
      </c>
      <c r="AI9478" s="161">
        <f t="shared" ref="AI9478" si="6374">SUM(AE9478:AH9478)</f>
        <v>0</v>
      </c>
      <c r="AK9478" s="172"/>
    </row>
    <row r="9479" spans="1:37" s="102" customFormat="1" ht="19.899999999999999" customHeight="1" x14ac:dyDescent="0.25">
      <c r="A9479" s="45"/>
      <c r="B9479" s="59"/>
      <c r="C9479" s="137"/>
      <c r="D9479" s="59"/>
      <c r="E9479" s="116"/>
      <c r="F9479" s="120"/>
      <c r="G9479" s="120"/>
      <c r="H9479" s="120"/>
      <c r="I9479" s="60"/>
      <c r="J9479" s="116"/>
      <c r="K9479" s="213"/>
      <c r="L9479" s="120"/>
      <c r="M9479" s="120"/>
      <c r="N9479" s="167"/>
      <c r="O9479" s="120"/>
      <c r="P9479" s="120"/>
      <c r="Q9479" s="120"/>
      <c r="R9479" s="120"/>
      <c r="S9479" s="120"/>
      <c r="T9479" s="221"/>
      <c r="U9479" s="89"/>
      <c r="V9479" s="61"/>
      <c r="W9479" s="92" t="s">
        <v>1359</v>
      </c>
      <c r="X9479" s="93" t="s">
        <v>32</v>
      </c>
      <c r="Y9479" s="93" t="s">
        <v>64</v>
      </c>
      <c r="Z9479" s="134">
        <f>VLOOKUP(W9479,Sheet2!$B:$D,3,FALSE)</f>
        <v>40</v>
      </c>
      <c r="AA9479" s="93">
        <f>1/(1.5*2.5*4)</f>
        <v>6.6666666666666666E-2</v>
      </c>
      <c r="AB9479" s="93">
        <f t="shared" ref="AB9479" si="6375">AD9479/AC9478</f>
        <v>600</v>
      </c>
      <c r="AC9479" s="93">
        <f>AC9478/AA9479</f>
        <v>1093.2</v>
      </c>
      <c r="AD9479" s="94">
        <f t="shared" ref="AD9479:AD9480" si="6376">AC9479*Z9479</f>
        <v>43728</v>
      </c>
      <c r="AE9479" s="190"/>
      <c r="AF9479" s="191"/>
      <c r="AG9479" s="191"/>
      <c r="AH9479" s="191"/>
      <c r="AI9479" s="186"/>
      <c r="AK9479" s="171"/>
    </row>
    <row r="9480" spans="1:37" s="102" customFormat="1" ht="19.899999999999999" customHeight="1" x14ac:dyDescent="0.25">
      <c r="A9480" s="45"/>
      <c r="B9480" s="59"/>
      <c r="C9480" s="137"/>
      <c r="D9480" s="59"/>
      <c r="E9480" s="116"/>
      <c r="F9480" s="120"/>
      <c r="G9480" s="120"/>
      <c r="H9480" s="120"/>
      <c r="I9480" s="60"/>
      <c r="J9480" s="116"/>
      <c r="K9480" s="213"/>
      <c r="L9480" s="120"/>
      <c r="M9480" s="120"/>
      <c r="N9480" s="167"/>
      <c r="O9480" s="120"/>
      <c r="P9480" s="120"/>
      <c r="Q9480" s="120"/>
      <c r="R9480" s="120"/>
      <c r="S9480" s="120"/>
      <c r="T9480" s="221"/>
      <c r="U9480" s="89"/>
      <c r="V9480" s="61"/>
      <c r="W9480" s="92" t="s">
        <v>1360</v>
      </c>
      <c r="X9480" s="93" t="s">
        <v>32</v>
      </c>
      <c r="Y9480" s="93" t="s">
        <v>64</v>
      </c>
      <c r="Z9480" s="134">
        <f>VLOOKUP(W9480,Sheet2!$B:$D,3,FALSE)</f>
        <v>30</v>
      </c>
      <c r="AA9480" s="93">
        <f>AA9479</f>
        <v>6.6666666666666666E-2</v>
      </c>
      <c r="AB9480" s="93">
        <f>AD9480/AC9478</f>
        <v>450</v>
      </c>
      <c r="AC9480" s="93">
        <f>AC9478/AA9480</f>
        <v>1093.2</v>
      </c>
      <c r="AD9480" s="94">
        <f t="shared" si="6376"/>
        <v>32796</v>
      </c>
      <c r="AE9480" s="190"/>
      <c r="AF9480" s="191"/>
      <c r="AG9480" s="191"/>
      <c r="AH9480" s="191"/>
      <c r="AI9480" s="186"/>
      <c r="AK9480" s="171"/>
    </row>
    <row r="9481" spans="1:37" s="103" customFormat="1" ht="19.899999999999999" customHeight="1" x14ac:dyDescent="0.25">
      <c r="A9481" s="51"/>
      <c r="B9481" s="52"/>
      <c r="C9481" s="165"/>
      <c r="D9481" s="52"/>
      <c r="E9481" s="115"/>
      <c r="F9481" s="58"/>
      <c r="G9481" s="58"/>
      <c r="H9481" s="58"/>
      <c r="I9481" s="55"/>
      <c r="J9481" s="113">
        <f>J9462</f>
        <v>72.88</v>
      </c>
      <c r="K9481" s="212">
        <f>K9462</f>
        <v>72.88</v>
      </c>
      <c r="L9481" s="58"/>
      <c r="M9481" s="58">
        <f>K9481-L9481</f>
        <v>72.88</v>
      </c>
      <c r="N9481" s="166"/>
      <c r="O9481" s="58"/>
      <c r="P9481" s="58"/>
      <c r="Q9481" s="58"/>
      <c r="R9481" s="58"/>
      <c r="S9481" s="58"/>
      <c r="T9481" s="220"/>
      <c r="U9481" s="88"/>
      <c r="V9481" s="56"/>
      <c r="W9481" s="57" t="s">
        <v>1272</v>
      </c>
      <c r="X9481" s="53"/>
      <c r="Y9481" s="91" t="s">
        <v>35</v>
      </c>
      <c r="Z9481" s="136">
        <f>AD9481/AC9481</f>
        <v>263.68037254901964</v>
      </c>
      <c r="AA9481" s="58"/>
      <c r="AB9481" s="53">
        <f>AD9481/AC9481</f>
        <v>263.68037254901964</v>
      </c>
      <c r="AC9481" s="53">
        <f>M9481+$AE$10</f>
        <v>72.88</v>
      </c>
      <c r="AD9481" s="54">
        <f>SUM(AD9482:AD9490)</f>
        <v>19217.02555137255</v>
      </c>
      <c r="AE9481" s="184">
        <f>SUMIFS($AD$37:$AD$12971,$V$37:$V$12971,$V9481,$X$37:$X$12971,AE$13)</f>
        <v>0</v>
      </c>
      <c r="AF9481" s="185">
        <f>SUMIFS($AD$37:$AD$12971,$V$37:$V$12971,$V9481,$X$37:$X$12971,AF$13)</f>
        <v>0</v>
      </c>
      <c r="AG9481" s="185">
        <f>SUMIFS($AD$37:$AD$12971,$V$37:$V$12971,$V9481,$X$37:$X$12971,AG$13)</f>
        <v>0</v>
      </c>
      <c r="AH9481" s="187">
        <f>SUMIFS($AD$37:$AD$12971,$V$37:$V$12971,$V9481,$X$37:$X$12971,AH$13)</f>
        <v>0</v>
      </c>
      <c r="AI9481" s="161">
        <f t="shared" ref="AI9481" si="6377">SUM(AE9481:AH9481)</f>
        <v>0</v>
      </c>
      <c r="AK9481" s="172"/>
    </row>
    <row r="9482" spans="1:37" s="102" customFormat="1" ht="19.899999999999999" customHeight="1" x14ac:dyDescent="0.25">
      <c r="A9482" s="45"/>
      <c r="B9482" s="59"/>
      <c r="C9482" s="137"/>
      <c r="D9482" s="59"/>
      <c r="E9482" s="116"/>
      <c r="F9482" s="120"/>
      <c r="G9482" s="120"/>
      <c r="H9482" s="120"/>
      <c r="I9482" s="60"/>
      <c r="J9482" s="116"/>
      <c r="K9482" s="213"/>
      <c r="L9482" s="120"/>
      <c r="M9482" s="120"/>
      <c r="N9482" s="167"/>
      <c r="O9482" s="120"/>
      <c r="P9482" s="120"/>
      <c r="Q9482" s="120"/>
      <c r="R9482" s="120"/>
      <c r="S9482" s="120"/>
      <c r="T9482" s="221"/>
      <c r="U9482" s="89"/>
      <c r="V9482" s="61"/>
      <c r="W9482" s="92" t="s">
        <v>1273</v>
      </c>
      <c r="X9482" s="93" t="s">
        <v>30</v>
      </c>
      <c r="Y9482" s="93" t="s">
        <v>66</v>
      </c>
      <c r="Z9482" s="134">
        <f>VLOOKUP(W9482,Sheet2!$B:$D,3,FALSE)</f>
        <v>10</v>
      </c>
      <c r="AA9482" s="93">
        <f>1/((3*3*2.5)-(1.5*1.5*2.5))</f>
        <v>5.9259259259259262E-2</v>
      </c>
      <c r="AB9482" s="93">
        <f>AD9482/AC9481</f>
        <v>168.75</v>
      </c>
      <c r="AC9482" s="93">
        <f>AC9481/AA9482</f>
        <v>1229.8499999999999</v>
      </c>
      <c r="AD9482" s="94">
        <f t="shared" ref="AD9482:AD9484" si="6378">AC9482*Z9482</f>
        <v>12298.5</v>
      </c>
      <c r="AE9482" s="190"/>
      <c r="AF9482" s="191"/>
      <c r="AG9482" s="191"/>
      <c r="AH9482" s="191"/>
      <c r="AI9482" s="186"/>
      <c r="AK9482" s="171"/>
    </row>
    <row r="9483" spans="1:37" s="102" customFormat="1" ht="19.899999999999999" customHeight="1" x14ac:dyDescent="0.25">
      <c r="A9483" s="45"/>
      <c r="B9483" s="59"/>
      <c r="C9483" s="137"/>
      <c r="D9483" s="59"/>
      <c r="E9483" s="116"/>
      <c r="F9483" s="120"/>
      <c r="G9483" s="120"/>
      <c r="H9483" s="120"/>
      <c r="I9483" s="60"/>
      <c r="J9483" s="116"/>
      <c r="K9483" s="213"/>
      <c r="L9483" s="120"/>
      <c r="M9483" s="120"/>
      <c r="N9483" s="167"/>
      <c r="O9483" s="120"/>
      <c r="P9483" s="120"/>
      <c r="Q9483" s="120"/>
      <c r="R9483" s="120"/>
      <c r="S9483" s="120"/>
      <c r="T9483" s="221"/>
      <c r="U9483" s="89"/>
      <c r="V9483" s="61"/>
      <c r="W9483" s="92" t="s">
        <v>134</v>
      </c>
      <c r="X9483" s="93" t="s">
        <v>29</v>
      </c>
      <c r="Y9483" s="93" t="s">
        <v>93</v>
      </c>
      <c r="Z9483" s="134">
        <f>VLOOKUP(W9483,Sheet2!$B:$D,3,FALSE)</f>
        <v>65.599999999999994</v>
      </c>
      <c r="AA9483" s="93">
        <f>100/((3*3*2.5)-(1.5*1.5*2.5))</f>
        <v>5.9259259259259256</v>
      </c>
      <c r="AB9483" s="93">
        <f t="shared" ref="AB9483" si="6379">AD9483/AC9481</f>
        <v>11.07</v>
      </c>
      <c r="AC9483" s="93">
        <f>AC9481/AA9483</f>
        <v>12.298500000000001</v>
      </c>
      <c r="AD9483" s="94">
        <f t="shared" si="6378"/>
        <v>806.78160000000003</v>
      </c>
      <c r="AE9483" s="190"/>
      <c r="AF9483" s="191"/>
      <c r="AG9483" s="191"/>
      <c r="AH9483" s="191"/>
      <c r="AI9483" s="186"/>
      <c r="AK9483" s="171"/>
    </row>
    <row r="9484" spans="1:37" s="102" customFormat="1" ht="19.899999999999999" customHeight="1" x14ac:dyDescent="0.25">
      <c r="A9484" s="45"/>
      <c r="B9484" s="59"/>
      <c r="C9484" s="137"/>
      <c r="D9484" s="59"/>
      <c r="E9484" s="116"/>
      <c r="F9484" s="120"/>
      <c r="G9484" s="120"/>
      <c r="H9484" s="120"/>
      <c r="I9484" s="60"/>
      <c r="J9484" s="116"/>
      <c r="K9484" s="213"/>
      <c r="L9484" s="120"/>
      <c r="M9484" s="120"/>
      <c r="N9484" s="167"/>
      <c r="O9484" s="120"/>
      <c r="P9484" s="120"/>
      <c r="Q9484" s="120"/>
      <c r="R9484" s="120"/>
      <c r="S9484" s="120"/>
      <c r="T9484" s="221"/>
      <c r="U9484" s="89"/>
      <c r="V9484" s="61"/>
      <c r="W9484" s="92" t="s">
        <v>65</v>
      </c>
      <c r="X9484" s="93" t="s">
        <v>30</v>
      </c>
      <c r="Y9484" s="93" t="s">
        <v>1011</v>
      </c>
      <c r="Z9484" s="134">
        <f>VLOOKUP(W9484,Sheet2!$B:$D,3,FALSE)</f>
        <v>1.76</v>
      </c>
      <c r="AA9484" s="93">
        <f>AA9483/9</f>
        <v>0.65843621399176955</v>
      </c>
      <c r="AB9484" s="93">
        <f>AD9484/AC9481</f>
        <v>2.673</v>
      </c>
      <c r="AC9484" s="93">
        <f>AC9481/AA9484</f>
        <v>110.6865</v>
      </c>
      <c r="AD9484" s="94">
        <f t="shared" si="6378"/>
        <v>194.80823999999998</v>
      </c>
      <c r="AE9484" s="190"/>
      <c r="AF9484" s="191"/>
      <c r="AG9484" s="191"/>
      <c r="AH9484" s="191"/>
      <c r="AI9484" s="186"/>
      <c r="AK9484" s="171"/>
    </row>
    <row r="9485" spans="1:37" s="102" customFormat="1" ht="19.899999999999999" customHeight="1" x14ac:dyDescent="0.25">
      <c r="A9485" s="45"/>
      <c r="B9485" s="59"/>
      <c r="C9485" s="137"/>
      <c r="D9485" s="59"/>
      <c r="E9485" s="116"/>
      <c r="F9485" s="120"/>
      <c r="G9485" s="120"/>
      <c r="H9485" s="120"/>
      <c r="I9485" s="60"/>
      <c r="J9485" s="116"/>
      <c r="K9485" s="213"/>
      <c r="L9485" s="120"/>
      <c r="M9485" s="120"/>
      <c r="N9485" s="167"/>
      <c r="O9485" s="120"/>
      <c r="P9485" s="120"/>
      <c r="Q9485" s="120"/>
      <c r="R9485" s="120"/>
      <c r="S9485" s="120"/>
      <c r="T9485" s="221"/>
      <c r="U9485" s="89"/>
      <c r="V9485" s="61"/>
      <c r="W9485" s="92" t="s">
        <v>161</v>
      </c>
      <c r="X9485" s="93" t="s">
        <v>29</v>
      </c>
      <c r="Y9485" s="93" t="s">
        <v>93</v>
      </c>
      <c r="Z9485" s="134">
        <f>VLOOKUP(W9485,Sheet2!$B:$D,3,FALSE)</f>
        <v>48</v>
      </c>
      <c r="AA9485" s="93">
        <f>(16*0.85*1.5)/((3*3*2.5)-(1.5*1.5*2.5))</f>
        <v>1.2088888888888889</v>
      </c>
      <c r="AB9485" s="93">
        <f>AD9485/AC9481</f>
        <v>39.705882352941174</v>
      </c>
      <c r="AC9485" s="93">
        <f>AC9481/AA9485</f>
        <v>60.286764705882348</v>
      </c>
      <c r="AD9485" s="94">
        <f>AC9485*Z9485</f>
        <v>2893.7647058823527</v>
      </c>
      <c r="AE9485" s="190"/>
      <c r="AF9485" s="191"/>
      <c r="AG9485" s="191"/>
      <c r="AH9485" s="191"/>
      <c r="AI9485" s="186"/>
      <c r="AK9485" s="171"/>
    </row>
    <row r="9486" spans="1:37" s="102" customFormat="1" ht="19.899999999999999" customHeight="1" x14ac:dyDescent="0.25">
      <c r="A9486" s="45"/>
      <c r="B9486" s="59"/>
      <c r="C9486" s="137"/>
      <c r="D9486" s="59"/>
      <c r="E9486" s="116"/>
      <c r="F9486" s="120"/>
      <c r="G9486" s="120"/>
      <c r="H9486" s="120"/>
      <c r="I9486" s="60"/>
      <c r="J9486" s="116"/>
      <c r="K9486" s="213"/>
      <c r="L9486" s="120"/>
      <c r="M9486" s="120"/>
      <c r="N9486" s="167"/>
      <c r="O9486" s="120"/>
      <c r="P9486" s="120"/>
      <c r="Q9486" s="120"/>
      <c r="R9486" s="120"/>
      <c r="S9486" s="120"/>
      <c r="T9486" s="221"/>
      <c r="U9486" s="89"/>
      <c r="V9486" s="61"/>
      <c r="W9486" s="92" t="s">
        <v>65</v>
      </c>
      <c r="X9486" s="93" t="s">
        <v>30</v>
      </c>
      <c r="Y9486" s="93" t="s">
        <v>1011</v>
      </c>
      <c r="Z9486" s="134">
        <f>VLOOKUP(W9486,Sheet2!$B:$D,3,FALSE)</f>
        <v>1.76</v>
      </c>
      <c r="AA9486" s="93">
        <f>AA9485/10</f>
        <v>0.12088888888888889</v>
      </c>
      <c r="AB9486" s="93">
        <f>AD9486/AC9481</f>
        <v>14.558823529411763</v>
      </c>
      <c r="AC9486" s="93">
        <f>AC9481/AA9486</f>
        <v>602.86764705882342</v>
      </c>
      <c r="AD9486" s="94">
        <f>AC9486*Z9486</f>
        <v>1061.0470588235291</v>
      </c>
      <c r="AE9486" s="190"/>
      <c r="AF9486" s="191"/>
      <c r="AG9486" s="191"/>
      <c r="AH9486" s="191"/>
      <c r="AI9486" s="186"/>
      <c r="AK9486" s="171"/>
    </row>
    <row r="9487" spans="1:37" s="102" customFormat="1" ht="19.899999999999999" customHeight="1" x14ac:dyDescent="0.25">
      <c r="A9487" s="45"/>
      <c r="B9487" s="59"/>
      <c r="C9487" s="137"/>
      <c r="D9487" s="59"/>
      <c r="E9487" s="116"/>
      <c r="F9487" s="120"/>
      <c r="G9487" s="120"/>
      <c r="H9487" s="120"/>
      <c r="I9487" s="60"/>
      <c r="J9487" s="116"/>
      <c r="K9487" s="213"/>
      <c r="L9487" s="120"/>
      <c r="M9487" s="120"/>
      <c r="N9487" s="167"/>
      <c r="O9487" s="120"/>
      <c r="P9487" s="120"/>
      <c r="Q9487" s="120"/>
      <c r="R9487" s="120"/>
      <c r="S9487" s="120"/>
      <c r="T9487" s="221"/>
      <c r="U9487" s="89"/>
      <c r="V9487" s="61"/>
      <c r="W9487" s="92" t="s">
        <v>173</v>
      </c>
      <c r="X9487" s="93" t="s">
        <v>29</v>
      </c>
      <c r="Y9487" s="93" t="s">
        <v>93</v>
      </c>
      <c r="Z9487" s="134">
        <f>VLOOKUP(W9487,Sheet2!$B:$D,3,FALSE)</f>
        <v>36</v>
      </c>
      <c r="AA9487" s="93">
        <f>50/((3*3*2.5)-(1.5*1.5*2.5))</f>
        <v>2.9629629629629628</v>
      </c>
      <c r="AB9487" s="93">
        <f>AD9487/AC9481</f>
        <v>12.150000000000002</v>
      </c>
      <c r="AC9487" s="93">
        <f>AC9481/AA9487</f>
        <v>24.597000000000001</v>
      </c>
      <c r="AD9487" s="94">
        <f>AC9487*Z9487</f>
        <v>885.49200000000008</v>
      </c>
      <c r="AE9487" s="190"/>
      <c r="AF9487" s="191"/>
      <c r="AG9487" s="191"/>
      <c r="AH9487" s="191"/>
      <c r="AI9487" s="186"/>
      <c r="AK9487" s="171"/>
    </row>
    <row r="9488" spans="1:37" s="102" customFormat="1" ht="19.899999999999999" customHeight="1" x14ac:dyDescent="0.25">
      <c r="A9488" s="45"/>
      <c r="B9488" s="59"/>
      <c r="C9488" s="137"/>
      <c r="D9488" s="59"/>
      <c r="E9488" s="116"/>
      <c r="F9488" s="120"/>
      <c r="G9488" s="120"/>
      <c r="H9488" s="120"/>
      <c r="I9488" s="60"/>
      <c r="J9488" s="116"/>
      <c r="K9488" s="213"/>
      <c r="L9488" s="120"/>
      <c r="M9488" s="120"/>
      <c r="N9488" s="167"/>
      <c r="O9488" s="120"/>
      <c r="P9488" s="120"/>
      <c r="Q9488" s="120"/>
      <c r="R9488" s="120"/>
      <c r="S9488" s="120"/>
      <c r="T9488" s="221"/>
      <c r="U9488" s="89"/>
      <c r="V9488" s="61"/>
      <c r="W9488" s="92" t="s">
        <v>65</v>
      </c>
      <c r="X9488" s="93" t="s">
        <v>30</v>
      </c>
      <c r="Y9488" s="93" t="s">
        <v>1011</v>
      </c>
      <c r="Z9488" s="134">
        <f>VLOOKUP(W9488,Sheet2!$B:$D,3,FALSE)</f>
        <v>1.76</v>
      </c>
      <c r="AA9488" s="93">
        <f>AA9487/9</f>
        <v>0.32921810699588477</v>
      </c>
      <c r="AB9488" s="93">
        <f>AD9488/AC9481</f>
        <v>5.3460000000000001</v>
      </c>
      <c r="AC9488" s="93">
        <f>AC9481/AA9488</f>
        <v>221.37299999999999</v>
      </c>
      <c r="AD9488" s="94">
        <f>AC9488*Z9488</f>
        <v>389.61647999999997</v>
      </c>
      <c r="AE9488" s="190"/>
      <c r="AF9488" s="191"/>
      <c r="AG9488" s="191"/>
      <c r="AH9488" s="191"/>
      <c r="AI9488" s="186"/>
      <c r="AK9488" s="171"/>
    </row>
    <row r="9489" spans="1:41" s="102" customFormat="1" ht="19.899999999999999" customHeight="1" x14ac:dyDescent="0.25">
      <c r="A9489" s="45"/>
      <c r="B9489" s="59"/>
      <c r="C9489" s="137"/>
      <c r="D9489" s="59"/>
      <c r="E9489" s="116"/>
      <c r="F9489" s="120"/>
      <c r="G9489" s="120"/>
      <c r="H9489" s="120"/>
      <c r="I9489" s="60"/>
      <c r="J9489" s="116"/>
      <c r="K9489" s="213"/>
      <c r="L9489" s="120"/>
      <c r="M9489" s="120"/>
      <c r="N9489" s="167"/>
      <c r="O9489" s="120"/>
      <c r="P9489" s="120"/>
      <c r="Q9489" s="120"/>
      <c r="R9489" s="120"/>
      <c r="S9489" s="120"/>
      <c r="T9489" s="221"/>
      <c r="U9489" s="89"/>
      <c r="V9489" s="61"/>
      <c r="W9489" s="92" t="s">
        <v>1030</v>
      </c>
      <c r="X9489" s="93" t="s">
        <v>29</v>
      </c>
      <c r="Y9489" s="93" t="s">
        <v>93</v>
      </c>
      <c r="Z9489" s="134">
        <f>VLOOKUP(W9489,Sheet2!$B:$D,3,FALSE)</f>
        <v>23</v>
      </c>
      <c r="AA9489" s="93">
        <v>3</v>
      </c>
      <c r="AB9489" s="93">
        <f>AD9489/AC9481</f>
        <v>7.666666666666667</v>
      </c>
      <c r="AC9489" s="93">
        <f>AC9481/AA9489</f>
        <v>24.293333333333333</v>
      </c>
      <c r="AD9489" s="94">
        <f t="shared" ref="AD9489:AD9490" si="6380">AC9489*Z9489</f>
        <v>558.74666666666667</v>
      </c>
      <c r="AE9489" s="190"/>
      <c r="AF9489" s="191"/>
      <c r="AG9489" s="191"/>
      <c r="AH9489" s="191"/>
      <c r="AI9489" s="186"/>
      <c r="AK9489" s="171"/>
    </row>
    <row r="9490" spans="1:41" s="102" customFormat="1" ht="19.899999999999999" customHeight="1" x14ac:dyDescent="0.25">
      <c r="A9490" s="45"/>
      <c r="B9490" s="59"/>
      <c r="C9490" s="137"/>
      <c r="D9490" s="59"/>
      <c r="E9490" s="116"/>
      <c r="F9490" s="120"/>
      <c r="G9490" s="120"/>
      <c r="H9490" s="120"/>
      <c r="I9490" s="60"/>
      <c r="J9490" s="116"/>
      <c r="K9490" s="213"/>
      <c r="L9490" s="120"/>
      <c r="M9490" s="120"/>
      <c r="N9490" s="167"/>
      <c r="O9490" s="120"/>
      <c r="P9490" s="120"/>
      <c r="Q9490" s="120"/>
      <c r="R9490" s="120"/>
      <c r="S9490" s="120"/>
      <c r="T9490" s="221"/>
      <c r="U9490" s="89"/>
      <c r="V9490" s="61"/>
      <c r="W9490" s="92" t="s">
        <v>65</v>
      </c>
      <c r="X9490" s="93" t="s">
        <v>30</v>
      </c>
      <c r="Y9490" s="93" t="s">
        <v>1011</v>
      </c>
      <c r="Z9490" s="134">
        <f>VLOOKUP(W9490,Sheet2!$B:$D,3,FALSE)</f>
        <v>1.76</v>
      </c>
      <c r="AA9490" s="93">
        <f>AA9489/3</f>
        <v>1</v>
      </c>
      <c r="AB9490" s="93">
        <f>AD9490/AC9481</f>
        <v>1.76</v>
      </c>
      <c r="AC9490" s="93">
        <f>AC9481/AA9490</f>
        <v>72.88</v>
      </c>
      <c r="AD9490" s="94">
        <f t="shared" si="6380"/>
        <v>128.2688</v>
      </c>
      <c r="AE9490" s="190"/>
      <c r="AF9490" s="191"/>
      <c r="AG9490" s="191"/>
      <c r="AH9490" s="191"/>
      <c r="AI9490" s="186"/>
      <c r="AK9490" s="171"/>
    </row>
    <row r="9491" spans="1:41" ht="20.100000000000001" customHeight="1" x14ac:dyDescent="0.25">
      <c r="A9491" s="277" t="s">
        <v>703</v>
      </c>
      <c r="B9491" s="278"/>
      <c r="C9491" s="64" t="s">
        <v>814</v>
      </c>
      <c r="D9491" s="46" t="s">
        <v>215</v>
      </c>
      <c r="E9491" s="114">
        <v>60.610000000000099</v>
      </c>
      <c r="F9491" s="44">
        <v>14502</v>
      </c>
      <c r="G9491" s="44">
        <f t="shared" si="5545"/>
        <v>878966.22000000149</v>
      </c>
      <c r="H9491" s="44">
        <f t="shared" si="5546"/>
        <v>6889.0805200603327</v>
      </c>
      <c r="I9491" s="43">
        <f t="shared" si="5547"/>
        <v>417547.17032085743</v>
      </c>
      <c r="J9491" s="112">
        <f t="shared" si="5548"/>
        <v>60.610000000000099</v>
      </c>
      <c r="K9491" s="211">
        <f t="shared" si="5549"/>
        <v>60.610000000000099</v>
      </c>
      <c r="L9491" s="44"/>
      <c r="M9491" s="44">
        <f t="shared" si="5550"/>
        <v>60.610000000000099</v>
      </c>
      <c r="N9491" s="173">
        <f t="shared" si="5551"/>
        <v>1</v>
      </c>
      <c r="O9491" s="44">
        <f t="shared" si="5552"/>
        <v>14502</v>
      </c>
      <c r="P9491" s="44">
        <f t="shared" si="5553"/>
        <v>878966.22000000149</v>
      </c>
      <c r="Q9491" s="44">
        <f t="shared" si="5554"/>
        <v>6889.0805200603327</v>
      </c>
      <c r="R9491" s="44">
        <f t="shared" si="5555"/>
        <v>417547.17032085743</v>
      </c>
      <c r="S9491" s="123"/>
      <c r="T9491" s="219">
        <f t="shared" si="5556"/>
        <v>417547.17032085743</v>
      </c>
      <c r="U9491" s="87"/>
      <c r="V9491" s="47"/>
      <c r="W9491" s="48"/>
      <c r="X9491" s="48"/>
      <c r="Y9491" s="48"/>
      <c r="Z9491" s="135"/>
      <c r="AA9491" s="49"/>
      <c r="AB9491" s="50">
        <f t="shared" si="5557"/>
        <v>6889.0805200603327</v>
      </c>
      <c r="AC9491" s="42">
        <f t="shared" si="5558"/>
        <v>60.610000000000099</v>
      </c>
      <c r="AD9491" s="90">
        <f>AD9492+AD9497+AD9507+AD9510</f>
        <v>417547.17032085743</v>
      </c>
      <c r="AE9491" s="188">
        <f t="shared" ref="AE9491" si="6381">AE9492+AE9497+AE9507+AE9510</f>
        <v>0</v>
      </c>
      <c r="AF9491" s="189">
        <f t="shared" ref="AF9491" si="6382">AF9492+AF9497+AF9507+AF9510</f>
        <v>0</v>
      </c>
      <c r="AG9491" s="189">
        <f t="shared" ref="AG9491" si="6383">AG9492+AG9497+AG9507+AG9510</f>
        <v>0</v>
      </c>
      <c r="AH9491" s="189">
        <f t="shared" ref="AH9491" si="6384">AH9492+AH9497+AH9507+AH9510</f>
        <v>0</v>
      </c>
      <c r="AI9491" s="161">
        <f t="shared" ref="AI9491" si="6385">SUM(AE9491:AH9491)</f>
        <v>0</v>
      </c>
      <c r="AK9491" s="169">
        <v>5</v>
      </c>
      <c r="AO9491" s="19" t="s">
        <v>63</v>
      </c>
    </row>
    <row r="9492" spans="1:41" s="103" customFormat="1" ht="19.899999999999999" customHeight="1" x14ac:dyDescent="0.25">
      <c r="A9492" s="51"/>
      <c r="B9492" s="52"/>
      <c r="C9492" s="165"/>
      <c r="D9492" s="52"/>
      <c r="E9492" s="115"/>
      <c r="F9492" s="58"/>
      <c r="G9492" s="58"/>
      <c r="H9492" s="58"/>
      <c r="I9492" s="55"/>
      <c r="J9492" s="113">
        <f>J9491</f>
        <v>60.610000000000099</v>
      </c>
      <c r="K9492" s="212">
        <f>K9491</f>
        <v>60.610000000000099</v>
      </c>
      <c r="L9492" s="58"/>
      <c r="M9492" s="58">
        <f>K9492-L9492</f>
        <v>60.610000000000099</v>
      </c>
      <c r="N9492" s="166"/>
      <c r="O9492" s="58"/>
      <c r="P9492" s="58"/>
      <c r="Q9492" s="58"/>
      <c r="R9492" s="58"/>
      <c r="S9492" s="58"/>
      <c r="T9492" s="220"/>
      <c r="U9492" s="88"/>
      <c r="V9492" s="56"/>
      <c r="W9492" s="57" t="s">
        <v>1511</v>
      </c>
      <c r="X9492" s="53"/>
      <c r="Y9492" s="91" t="s">
        <v>35</v>
      </c>
      <c r="Z9492" s="136">
        <f>AD9492/AC9492</f>
        <v>108.59632941176471</v>
      </c>
      <c r="AA9492" s="58"/>
      <c r="AB9492" s="53">
        <f>AD9492/AC9492</f>
        <v>108.59632941176471</v>
      </c>
      <c r="AC9492" s="53">
        <f>M9492+$AE$10</f>
        <v>60.610000000000099</v>
      </c>
      <c r="AD9492" s="54">
        <f>SUM(AD9493:AD9496)</f>
        <v>6582.0235256470696</v>
      </c>
      <c r="AE9492" s="184">
        <f>SUMIFS($AD$37:$AD$12971,$V$37:$V$12971,$V9492,$X$37:$X$12971,AE$13)</f>
        <v>0</v>
      </c>
      <c r="AF9492" s="185">
        <f>SUMIFS($AD$37:$AD$12971,$V$37:$V$12971,$V9492,$X$37:$X$12971,AF$13)</f>
        <v>0</v>
      </c>
      <c r="AG9492" s="185">
        <f>SUMIFS($AD$37:$AD$12971,$V$37:$V$12971,$V9492,$X$37:$X$12971,AG$13)</f>
        <v>0</v>
      </c>
      <c r="AH9492" s="187">
        <f>SUMIFS($AD$37:$AD$12971,$V$37:$V$12971,$V9492,$X$37:$X$12971,AH$13)</f>
        <v>0</v>
      </c>
      <c r="AI9492" s="161">
        <f t="shared" ref="AI9492" si="6386">SUM(AE9492:AH9492)</f>
        <v>0</v>
      </c>
      <c r="AK9492" s="172"/>
    </row>
    <row r="9493" spans="1:41" s="102" customFormat="1" ht="19.899999999999999" customHeight="1" x14ac:dyDescent="0.25">
      <c r="A9493" s="45"/>
      <c r="B9493" s="59"/>
      <c r="C9493" s="137"/>
      <c r="D9493" s="59"/>
      <c r="E9493" s="116"/>
      <c r="F9493" s="120"/>
      <c r="G9493" s="120"/>
      <c r="H9493" s="120"/>
      <c r="I9493" s="60"/>
      <c r="J9493" s="116"/>
      <c r="K9493" s="213"/>
      <c r="L9493" s="120"/>
      <c r="M9493" s="120"/>
      <c r="N9493" s="167"/>
      <c r="O9493" s="120"/>
      <c r="P9493" s="120"/>
      <c r="Q9493" s="120"/>
      <c r="R9493" s="120"/>
      <c r="S9493" s="120"/>
      <c r="T9493" s="221"/>
      <c r="U9493" s="89"/>
      <c r="V9493" s="61"/>
      <c r="W9493" s="92" t="s">
        <v>129</v>
      </c>
      <c r="X9493" s="93" t="s">
        <v>29</v>
      </c>
      <c r="Y9493" s="93" t="s">
        <v>93</v>
      </c>
      <c r="Z9493" s="134">
        <f>VLOOKUP(W9493,Sheet2!$B:$D,3,FALSE)</f>
        <v>56</v>
      </c>
      <c r="AA9493" s="93">
        <f>100/(3*3*3)</f>
        <v>3.7037037037037037</v>
      </c>
      <c r="AB9493" s="93">
        <f t="shared" ref="AB9493" si="6387">AD9493/AC9492</f>
        <v>15.120000000000001</v>
      </c>
      <c r="AC9493" s="93">
        <f>AC9492/AA9493</f>
        <v>16.364700000000028</v>
      </c>
      <c r="AD9493" s="94">
        <f t="shared" ref="AD9493:AD9494" si="6388">AC9493*Z9493</f>
        <v>916.42320000000154</v>
      </c>
      <c r="AE9493" s="190"/>
      <c r="AF9493" s="191"/>
      <c r="AG9493" s="191"/>
      <c r="AH9493" s="191"/>
      <c r="AI9493" s="186"/>
      <c r="AK9493" s="171"/>
    </row>
    <row r="9494" spans="1:41" s="102" customFormat="1" ht="19.899999999999999" customHeight="1" x14ac:dyDescent="0.25">
      <c r="A9494" s="45"/>
      <c r="B9494" s="59"/>
      <c r="C9494" s="137"/>
      <c r="D9494" s="59"/>
      <c r="E9494" s="116"/>
      <c r="F9494" s="120"/>
      <c r="G9494" s="120"/>
      <c r="H9494" s="120"/>
      <c r="I9494" s="60"/>
      <c r="J9494" s="116"/>
      <c r="K9494" s="213"/>
      <c r="L9494" s="120"/>
      <c r="M9494" s="120"/>
      <c r="N9494" s="167"/>
      <c r="O9494" s="120"/>
      <c r="P9494" s="120"/>
      <c r="Q9494" s="120"/>
      <c r="R9494" s="120"/>
      <c r="S9494" s="120"/>
      <c r="T9494" s="221"/>
      <c r="U9494" s="89"/>
      <c r="V9494" s="61"/>
      <c r="W9494" s="92" t="s">
        <v>65</v>
      </c>
      <c r="X9494" s="93" t="s">
        <v>30</v>
      </c>
      <c r="Y9494" s="93" t="s">
        <v>1011</v>
      </c>
      <c r="Z9494" s="134">
        <f>VLOOKUP(W9494,Sheet2!$B:$D,3,FALSE)</f>
        <v>1.76</v>
      </c>
      <c r="AA9494" s="93">
        <f>AA9493/14</f>
        <v>0.26455026455026454</v>
      </c>
      <c r="AB9494" s="93">
        <f>AD9494/AC9492</f>
        <v>6.6528</v>
      </c>
      <c r="AC9494" s="93">
        <f>AC9492/AA9494</f>
        <v>229.10580000000039</v>
      </c>
      <c r="AD9494" s="94">
        <f t="shared" si="6388"/>
        <v>403.22620800000067</v>
      </c>
      <c r="AE9494" s="190"/>
      <c r="AF9494" s="191"/>
      <c r="AG9494" s="191"/>
      <c r="AH9494" s="191"/>
      <c r="AI9494" s="186"/>
      <c r="AK9494" s="171"/>
    </row>
    <row r="9495" spans="1:41" s="102" customFormat="1" ht="19.899999999999999" customHeight="1" x14ac:dyDescent="0.25">
      <c r="A9495" s="45"/>
      <c r="B9495" s="59"/>
      <c r="C9495" s="137"/>
      <c r="D9495" s="59"/>
      <c r="E9495" s="116"/>
      <c r="F9495" s="120"/>
      <c r="G9495" s="120"/>
      <c r="H9495" s="120"/>
      <c r="I9495" s="60"/>
      <c r="J9495" s="116"/>
      <c r="K9495" s="213"/>
      <c r="L9495" s="120"/>
      <c r="M9495" s="120"/>
      <c r="N9495" s="167"/>
      <c r="O9495" s="120"/>
      <c r="P9495" s="120"/>
      <c r="Q9495" s="120"/>
      <c r="R9495" s="120"/>
      <c r="S9495" s="120"/>
      <c r="T9495" s="221"/>
      <c r="U9495" s="89"/>
      <c r="V9495" s="61"/>
      <c r="W9495" s="92" t="s">
        <v>161</v>
      </c>
      <c r="X9495" s="93" t="s">
        <v>29</v>
      </c>
      <c r="Y9495" s="93" t="s">
        <v>93</v>
      </c>
      <c r="Z9495" s="134">
        <f>VLOOKUP(W9495,Sheet2!$B:$D,3,FALSE)</f>
        <v>48</v>
      </c>
      <c r="AA9495" s="93">
        <f>(16*0.85*1.5)/(3*3*3)</f>
        <v>0.75555555555555554</v>
      </c>
      <c r="AB9495" s="93">
        <f>AD9495/AC9492</f>
        <v>63.529411764705877</v>
      </c>
      <c r="AC9495" s="93">
        <f>AC9492/AA9495</f>
        <v>80.219117647058951</v>
      </c>
      <c r="AD9495" s="94">
        <f>AC9495*Z9495</f>
        <v>3850.5176470588294</v>
      </c>
      <c r="AE9495" s="190"/>
      <c r="AF9495" s="191"/>
      <c r="AG9495" s="191"/>
      <c r="AH9495" s="191"/>
      <c r="AI9495" s="186"/>
      <c r="AK9495" s="171"/>
    </row>
    <row r="9496" spans="1:41" s="102" customFormat="1" ht="19.899999999999999" customHeight="1" x14ac:dyDescent="0.25">
      <c r="A9496" s="45"/>
      <c r="B9496" s="59"/>
      <c r="C9496" s="137"/>
      <c r="D9496" s="59"/>
      <c r="E9496" s="116"/>
      <c r="F9496" s="120"/>
      <c r="G9496" s="120"/>
      <c r="H9496" s="120"/>
      <c r="I9496" s="60"/>
      <c r="J9496" s="116"/>
      <c r="K9496" s="213"/>
      <c r="L9496" s="120"/>
      <c r="M9496" s="120"/>
      <c r="N9496" s="167"/>
      <c r="O9496" s="120"/>
      <c r="P9496" s="120"/>
      <c r="Q9496" s="120"/>
      <c r="R9496" s="120"/>
      <c r="S9496" s="120"/>
      <c r="T9496" s="221"/>
      <c r="U9496" s="89"/>
      <c r="V9496" s="61"/>
      <c r="W9496" s="92" t="s">
        <v>65</v>
      </c>
      <c r="X9496" s="93" t="s">
        <v>30</v>
      </c>
      <c r="Y9496" s="93" t="s">
        <v>1011</v>
      </c>
      <c r="Z9496" s="134">
        <f>VLOOKUP(W9496,Sheet2!$B:$D,3,FALSE)</f>
        <v>1.76</v>
      </c>
      <c r="AA9496" s="93">
        <f>AA9495/10</f>
        <v>7.5555555555555556E-2</v>
      </c>
      <c r="AB9496" s="93">
        <f>AD9496/AC9492</f>
        <v>23.294117647058826</v>
      </c>
      <c r="AC9496" s="93">
        <f>AC9492/AA9496</f>
        <v>802.19117647058954</v>
      </c>
      <c r="AD9496" s="94">
        <f>AC9496*Z9496</f>
        <v>1411.8564705882377</v>
      </c>
      <c r="AE9496" s="190"/>
      <c r="AF9496" s="191"/>
      <c r="AG9496" s="191"/>
      <c r="AH9496" s="191"/>
      <c r="AI9496" s="186"/>
      <c r="AK9496" s="171"/>
    </row>
    <row r="9497" spans="1:41" s="103" customFormat="1" ht="19.899999999999999" customHeight="1" x14ac:dyDescent="0.25">
      <c r="A9497" s="51"/>
      <c r="B9497" s="52"/>
      <c r="C9497" s="165"/>
      <c r="D9497" s="52"/>
      <c r="E9497" s="115"/>
      <c r="F9497" s="58"/>
      <c r="G9497" s="58"/>
      <c r="H9497" s="58"/>
      <c r="I9497" s="55"/>
      <c r="J9497" s="113">
        <f>J9491</f>
        <v>60.610000000000099</v>
      </c>
      <c r="K9497" s="212">
        <f>K9491</f>
        <v>60.610000000000099</v>
      </c>
      <c r="L9497" s="58"/>
      <c r="M9497" s="58">
        <f>K9497-L9497</f>
        <v>60.610000000000099</v>
      </c>
      <c r="N9497" s="166"/>
      <c r="O9497" s="58"/>
      <c r="P9497" s="58"/>
      <c r="Q9497" s="58"/>
      <c r="R9497" s="58"/>
      <c r="S9497" s="58"/>
      <c r="T9497" s="220"/>
      <c r="U9497" s="88"/>
      <c r="V9497" s="56"/>
      <c r="W9497" s="57" t="s">
        <v>1636</v>
      </c>
      <c r="X9497" s="53"/>
      <c r="Y9497" s="91" t="s">
        <v>35</v>
      </c>
      <c r="Z9497" s="136">
        <f>AD9497/AC9497</f>
        <v>5205.9530769230778</v>
      </c>
      <c r="AA9497" s="58"/>
      <c r="AB9497" s="53">
        <f>AD9497/AC9497</f>
        <v>5205.9530769230778</v>
      </c>
      <c r="AC9497" s="53">
        <f>M9497+$AE$10</f>
        <v>60.610000000000099</v>
      </c>
      <c r="AD9497" s="54">
        <f>SUM(AD9498:AD9506)</f>
        <v>315532.81599230826</v>
      </c>
      <c r="AE9497" s="184">
        <f>SUMIFS($AD$37:$AD$12971,$V$37:$V$12971,$V9497,$X$37:$X$12971,AE$13)</f>
        <v>0</v>
      </c>
      <c r="AF9497" s="185">
        <f>SUMIFS($AD$37:$AD$12971,$V$37:$V$12971,$V9497,$X$37:$X$12971,AF$13)</f>
        <v>0</v>
      </c>
      <c r="AG9497" s="185">
        <f>SUMIFS($AD$37:$AD$12971,$V$37:$V$12971,$V9497,$X$37:$X$12971,AG$13)</f>
        <v>0</v>
      </c>
      <c r="AH9497" s="187">
        <f>SUMIFS($AD$37:$AD$12971,$V$37:$V$12971,$V9497,$X$37:$X$12971,AH$13)</f>
        <v>0</v>
      </c>
      <c r="AI9497" s="161">
        <f t="shared" ref="AI9497" si="6389">SUM(AE9497:AH9497)</f>
        <v>0</v>
      </c>
      <c r="AK9497" s="172"/>
    </row>
    <row r="9498" spans="1:41" s="102" customFormat="1" ht="19.899999999999999" customHeight="1" x14ac:dyDescent="0.25">
      <c r="A9498" s="45"/>
      <c r="B9498" s="59"/>
      <c r="C9498" s="137"/>
      <c r="D9498" s="59"/>
      <c r="E9498" s="116"/>
      <c r="F9498" s="120"/>
      <c r="G9498" s="120"/>
      <c r="H9498" s="120"/>
      <c r="I9498" s="60"/>
      <c r="J9498" s="116"/>
      <c r="K9498" s="213"/>
      <c r="L9498" s="120"/>
      <c r="M9498" s="120"/>
      <c r="N9498" s="167"/>
      <c r="O9498" s="120"/>
      <c r="P9498" s="120"/>
      <c r="Q9498" s="120"/>
      <c r="R9498" s="120"/>
      <c r="S9498" s="120"/>
      <c r="T9498" s="221"/>
      <c r="U9498" s="89"/>
      <c r="V9498" s="61"/>
      <c r="W9498" s="92" t="s">
        <v>1353</v>
      </c>
      <c r="X9498" s="93" t="s">
        <v>30</v>
      </c>
      <c r="Y9498" s="93" t="s">
        <v>66</v>
      </c>
      <c r="Z9498" s="134">
        <f>VLOOKUP(W9498,Sheet2!$B:$D,3,FALSE)</f>
        <v>350</v>
      </c>
      <c r="AA9498" s="93">
        <f>1/((1.5*3*0.2*4)+(1.5*1.5*0.3))</f>
        <v>0.23391812865497075</v>
      </c>
      <c r="AB9498" s="93">
        <f>AD9498/AC9497</f>
        <v>1496.2500000000005</v>
      </c>
      <c r="AC9498" s="93">
        <f>AC9497/AA9498</f>
        <v>259.10775000000046</v>
      </c>
      <c r="AD9498" s="94">
        <f t="shared" ref="AD9498:AD9499" si="6390">AC9498*Z9498</f>
        <v>90687.712500000169</v>
      </c>
      <c r="AE9498" s="190"/>
      <c r="AF9498" s="191"/>
      <c r="AG9498" s="191"/>
      <c r="AH9498" s="191"/>
      <c r="AI9498" s="186"/>
      <c r="AK9498" s="171"/>
    </row>
    <row r="9499" spans="1:41" s="102" customFormat="1" ht="19.899999999999999" customHeight="1" x14ac:dyDescent="0.25">
      <c r="A9499" s="45"/>
      <c r="B9499" s="59"/>
      <c r="C9499" s="137"/>
      <c r="D9499" s="59"/>
      <c r="E9499" s="116"/>
      <c r="F9499" s="120"/>
      <c r="G9499" s="120"/>
      <c r="H9499" s="120"/>
      <c r="I9499" s="60"/>
      <c r="J9499" s="116"/>
      <c r="K9499" s="213"/>
      <c r="L9499" s="120"/>
      <c r="M9499" s="120"/>
      <c r="N9499" s="167"/>
      <c r="O9499" s="120"/>
      <c r="P9499" s="120"/>
      <c r="Q9499" s="120"/>
      <c r="R9499" s="120"/>
      <c r="S9499" s="120"/>
      <c r="T9499" s="221"/>
      <c r="U9499" s="89"/>
      <c r="V9499" s="61"/>
      <c r="W9499" s="92" t="s">
        <v>99</v>
      </c>
      <c r="X9499" s="93" t="s">
        <v>30</v>
      </c>
      <c r="Y9499" s="93" t="s">
        <v>67</v>
      </c>
      <c r="Z9499" s="134">
        <f>VLOOKUP(W9499,Sheet2!$B:$D,3,FALSE)</f>
        <v>2500</v>
      </c>
      <c r="AA9499" s="93">
        <f>AA9498/0.08</f>
        <v>2.9239766081871341</v>
      </c>
      <c r="AB9499" s="93">
        <f>AD9499/AC9497</f>
        <v>855.00000000000011</v>
      </c>
      <c r="AC9499" s="93">
        <f>AC9497/AA9499</f>
        <v>20.728620000000035</v>
      </c>
      <c r="AD9499" s="94">
        <f t="shared" si="6390"/>
        <v>51821.55000000009</v>
      </c>
      <c r="AE9499" s="190"/>
      <c r="AF9499" s="191"/>
      <c r="AG9499" s="191"/>
      <c r="AH9499" s="191"/>
      <c r="AI9499" s="186"/>
      <c r="AK9499" s="171"/>
    </row>
    <row r="9500" spans="1:41" s="102" customFormat="1" ht="19.899999999999999" customHeight="1" x14ac:dyDescent="0.25">
      <c r="A9500" s="45"/>
      <c r="B9500" s="59"/>
      <c r="C9500" s="137"/>
      <c r="D9500" s="59"/>
      <c r="E9500" s="116"/>
      <c r="F9500" s="120"/>
      <c r="G9500" s="120"/>
      <c r="H9500" s="120"/>
      <c r="I9500" s="60"/>
      <c r="J9500" s="116"/>
      <c r="K9500" s="213"/>
      <c r="L9500" s="120"/>
      <c r="M9500" s="120"/>
      <c r="N9500" s="167"/>
      <c r="O9500" s="120"/>
      <c r="P9500" s="120"/>
      <c r="Q9500" s="120"/>
      <c r="R9500" s="120"/>
      <c r="S9500" s="120"/>
      <c r="T9500" s="221"/>
      <c r="U9500" s="89"/>
      <c r="V9500" s="61"/>
      <c r="W9500" s="92" t="s">
        <v>1533</v>
      </c>
      <c r="X9500" s="93" t="s">
        <v>32</v>
      </c>
      <c r="Y9500" s="93" t="s">
        <v>66</v>
      </c>
      <c r="Z9500" s="134">
        <f>VLOOKUP(W9500,Sheet2!$B:$D,3,FALSE)</f>
        <v>300</v>
      </c>
      <c r="AA9500" s="93">
        <f>AA9498</f>
        <v>0.23391812865497075</v>
      </c>
      <c r="AB9500" s="93">
        <f>AD9500/AC9497</f>
        <v>1282.5000000000002</v>
      </c>
      <c r="AC9500" s="93">
        <f>AC9497/AA9500</f>
        <v>259.10775000000046</v>
      </c>
      <c r="AD9500" s="94">
        <f>AC9500*Z9500</f>
        <v>77732.325000000143</v>
      </c>
      <c r="AE9500" s="190"/>
      <c r="AF9500" s="191"/>
      <c r="AG9500" s="191"/>
      <c r="AH9500" s="191"/>
      <c r="AI9500" s="186"/>
      <c r="AK9500" s="171"/>
    </row>
    <row r="9501" spans="1:41" s="102" customFormat="1" ht="19.899999999999999" customHeight="1" x14ac:dyDescent="0.25">
      <c r="A9501" s="45"/>
      <c r="B9501" s="59"/>
      <c r="C9501" s="137"/>
      <c r="D9501" s="59"/>
      <c r="E9501" s="116"/>
      <c r="F9501" s="120"/>
      <c r="G9501" s="120"/>
      <c r="H9501" s="120"/>
      <c r="I9501" s="60"/>
      <c r="J9501" s="116"/>
      <c r="K9501" s="213"/>
      <c r="L9501" s="120"/>
      <c r="M9501" s="120"/>
      <c r="N9501" s="167"/>
      <c r="O9501" s="120"/>
      <c r="P9501" s="120"/>
      <c r="Q9501" s="120"/>
      <c r="R9501" s="120"/>
      <c r="S9501" s="120"/>
      <c r="T9501" s="221"/>
      <c r="U9501" s="89"/>
      <c r="V9501" s="61"/>
      <c r="W9501" s="92" t="s">
        <v>1634</v>
      </c>
      <c r="X9501" s="93" t="s">
        <v>30</v>
      </c>
      <c r="Y9501" s="93" t="s">
        <v>35</v>
      </c>
      <c r="Z9501" s="134">
        <f>VLOOKUP(W9501,Sheet2!$B:$D,3,FALSE)</f>
        <v>1250</v>
      </c>
      <c r="AA9501" s="93">
        <v>1</v>
      </c>
      <c r="AB9501" s="93">
        <f>AD9501/AC9497</f>
        <v>1249.9999999999998</v>
      </c>
      <c r="AC9501" s="93">
        <f>AC9497/AA9501</f>
        <v>60.610000000000099</v>
      </c>
      <c r="AD9501" s="94">
        <f t="shared" ref="AD9501:AD9502" si="6391">AC9501*Z9501</f>
        <v>75762.500000000116</v>
      </c>
      <c r="AE9501" s="190"/>
      <c r="AF9501" s="191"/>
      <c r="AG9501" s="191"/>
      <c r="AH9501" s="191"/>
      <c r="AI9501" s="186"/>
      <c r="AK9501" s="171"/>
    </row>
    <row r="9502" spans="1:41" s="102" customFormat="1" ht="19.899999999999999" customHeight="1" x14ac:dyDescent="0.25">
      <c r="A9502" s="45"/>
      <c r="B9502" s="59"/>
      <c r="C9502" s="137"/>
      <c r="D9502" s="59"/>
      <c r="E9502" s="116"/>
      <c r="F9502" s="120"/>
      <c r="G9502" s="120"/>
      <c r="H9502" s="120"/>
      <c r="I9502" s="60"/>
      <c r="J9502" s="116"/>
      <c r="K9502" s="213"/>
      <c r="L9502" s="120"/>
      <c r="M9502" s="120"/>
      <c r="N9502" s="167"/>
      <c r="O9502" s="120"/>
      <c r="P9502" s="120"/>
      <c r="Q9502" s="120"/>
      <c r="R9502" s="120"/>
      <c r="S9502" s="120"/>
      <c r="T9502" s="221"/>
      <c r="U9502" s="89"/>
      <c r="V9502" s="61"/>
      <c r="W9502" s="92" t="s">
        <v>142</v>
      </c>
      <c r="X9502" s="93" t="s">
        <v>29</v>
      </c>
      <c r="Y9502" s="93" t="s">
        <v>93</v>
      </c>
      <c r="Z9502" s="134">
        <f>VLOOKUP(W9502,Sheet2!$B:$D,3,FALSE)</f>
        <v>67.692307692307693</v>
      </c>
      <c r="AA9502" s="93">
        <v>4</v>
      </c>
      <c r="AB9502" s="93">
        <f>AD9502/AC9497</f>
        <v>16.923076923076923</v>
      </c>
      <c r="AC9502" s="93">
        <f>AC9497/AA9502</f>
        <v>15.152500000000025</v>
      </c>
      <c r="AD9502" s="94">
        <f t="shared" si="6391"/>
        <v>1025.7076923076941</v>
      </c>
      <c r="AE9502" s="190"/>
      <c r="AF9502" s="191"/>
      <c r="AG9502" s="191"/>
      <c r="AH9502" s="191"/>
      <c r="AI9502" s="186"/>
      <c r="AK9502" s="171"/>
    </row>
    <row r="9503" spans="1:41" s="102" customFormat="1" ht="19.899999999999999" customHeight="1" x14ac:dyDescent="0.25">
      <c r="A9503" s="45"/>
      <c r="B9503" s="59"/>
      <c r="C9503" s="137"/>
      <c r="D9503" s="59"/>
      <c r="E9503" s="116"/>
      <c r="F9503" s="120"/>
      <c r="G9503" s="120"/>
      <c r="H9503" s="120"/>
      <c r="I9503" s="60"/>
      <c r="J9503" s="116"/>
      <c r="K9503" s="213"/>
      <c r="L9503" s="120"/>
      <c r="M9503" s="120"/>
      <c r="N9503" s="167"/>
      <c r="O9503" s="120"/>
      <c r="P9503" s="120"/>
      <c r="Q9503" s="120"/>
      <c r="R9503" s="120"/>
      <c r="S9503" s="120"/>
      <c r="T9503" s="221"/>
      <c r="U9503" s="89"/>
      <c r="V9503" s="61"/>
      <c r="W9503" s="92" t="s">
        <v>65</v>
      </c>
      <c r="X9503" s="93" t="s">
        <v>30</v>
      </c>
      <c r="Y9503" s="93" t="s">
        <v>93</v>
      </c>
      <c r="Z9503" s="134">
        <f>VLOOKUP(W9503,Sheet2!$B:$D,3,FALSE)</f>
        <v>1.76</v>
      </c>
      <c r="AA9503" s="93">
        <f>AA9502/12</f>
        <v>0.33333333333333331</v>
      </c>
      <c r="AB9503" s="93">
        <f>AD9503/AC9497</f>
        <v>5.28</v>
      </c>
      <c r="AC9503" s="93">
        <f>AC9497/AA9503</f>
        <v>181.8300000000003</v>
      </c>
      <c r="AD9503" s="94">
        <f>AC9503*Z9503</f>
        <v>320.02080000000052</v>
      </c>
      <c r="AE9503" s="190"/>
      <c r="AF9503" s="191"/>
      <c r="AG9503" s="191"/>
      <c r="AH9503" s="191"/>
      <c r="AI9503" s="186"/>
      <c r="AK9503" s="171"/>
    </row>
    <row r="9504" spans="1:41" s="102" customFormat="1" ht="19.899999999999999" customHeight="1" x14ac:dyDescent="0.25">
      <c r="A9504" s="45"/>
      <c r="B9504" s="59"/>
      <c r="C9504" s="137"/>
      <c r="D9504" s="59"/>
      <c r="E9504" s="116"/>
      <c r="F9504" s="120"/>
      <c r="G9504" s="120"/>
      <c r="H9504" s="120"/>
      <c r="I9504" s="60"/>
      <c r="J9504" s="116"/>
      <c r="K9504" s="213"/>
      <c r="L9504" s="120"/>
      <c r="M9504" s="120"/>
      <c r="N9504" s="167"/>
      <c r="O9504" s="120"/>
      <c r="P9504" s="120"/>
      <c r="Q9504" s="120"/>
      <c r="R9504" s="120"/>
      <c r="S9504" s="120"/>
      <c r="T9504" s="221"/>
      <c r="U9504" s="89"/>
      <c r="V9504" s="61"/>
      <c r="W9504" s="92" t="s">
        <v>1357</v>
      </c>
      <c r="X9504" s="93" t="s">
        <v>30</v>
      </c>
      <c r="Y9504" s="93" t="s">
        <v>1349</v>
      </c>
      <c r="Z9504" s="134">
        <f>VLOOKUP(W9504,Sheet2!$B:$D,3,FALSE)</f>
        <v>150</v>
      </c>
      <c r="AA9504" s="93">
        <v>1</v>
      </c>
      <c r="AB9504" s="93">
        <f>AD9504/AC9497</f>
        <v>150</v>
      </c>
      <c r="AC9504" s="93">
        <f>AC9497/AA9504</f>
        <v>60.610000000000099</v>
      </c>
      <c r="AD9504" s="94">
        <f>AC9504*Z9504</f>
        <v>9091.5000000000146</v>
      </c>
      <c r="AE9504" s="190"/>
      <c r="AF9504" s="191"/>
      <c r="AG9504" s="191"/>
      <c r="AH9504" s="191"/>
      <c r="AI9504" s="186"/>
      <c r="AK9504" s="171"/>
    </row>
    <row r="9505" spans="1:41" s="102" customFormat="1" ht="19.899999999999999" customHeight="1" x14ac:dyDescent="0.25">
      <c r="A9505" s="45"/>
      <c r="B9505" s="59"/>
      <c r="C9505" s="137"/>
      <c r="D9505" s="59"/>
      <c r="E9505" s="116"/>
      <c r="F9505" s="120"/>
      <c r="G9505" s="120"/>
      <c r="H9505" s="120"/>
      <c r="I9505" s="60"/>
      <c r="J9505" s="116"/>
      <c r="K9505" s="213"/>
      <c r="L9505" s="120"/>
      <c r="M9505" s="120"/>
      <c r="N9505" s="167"/>
      <c r="O9505" s="120"/>
      <c r="P9505" s="120"/>
      <c r="Q9505" s="120"/>
      <c r="R9505" s="120"/>
      <c r="S9505" s="120"/>
      <c r="T9505" s="221"/>
      <c r="U9505" s="89"/>
      <c r="V9505" s="61"/>
      <c r="W9505" s="92" t="s">
        <v>107</v>
      </c>
      <c r="X9505" s="93" t="s">
        <v>31</v>
      </c>
      <c r="Y9505" s="93" t="s">
        <v>93</v>
      </c>
      <c r="Z9505" s="134">
        <f>VLOOKUP(W9505,Sheet2!$B:$D,3,FALSE)</f>
        <v>17</v>
      </c>
      <c r="AA9505" s="93">
        <f>1/5</f>
        <v>0.2</v>
      </c>
      <c r="AB9505" s="93">
        <f>AD9505/AC9497</f>
        <v>84.999999999999986</v>
      </c>
      <c r="AC9505" s="93">
        <f>AC9497/AA9505</f>
        <v>303.05000000000047</v>
      </c>
      <c r="AD9505" s="94">
        <f>AC9505*Z9505</f>
        <v>5151.8500000000076</v>
      </c>
      <c r="AE9505" s="190"/>
      <c r="AF9505" s="191"/>
      <c r="AG9505" s="191"/>
      <c r="AH9505" s="191"/>
      <c r="AI9505" s="186"/>
      <c r="AK9505" s="171"/>
    </row>
    <row r="9506" spans="1:41" s="102" customFormat="1" ht="19.899999999999999" customHeight="1" x14ac:dyDescent="0.25">
      <c r="A9506" s="45"/>
      <c r="B9506" s="59"/>
      <c r="C9506" s="137"/>
      <c r="D9506" s="59"/>
      <c r="E9506" s="116"/>
      <c r="F9506" s="120"/>
      <c r="G9506" s="120"/>
      <c r="H9506" s="120"/>
      <c r="I9506" s="60"/>
      <c r="J9506" s="116"/>
      <c r="K9506" s="213"/>
      <c r="L9506" s="120"/>
      <c r="M9506" s="120"/>
      <c r="N9506" s="167"/>
      <c r="O9506" s="120"/>
      <c r="P9506" s="120"/>
      <c r="Q9506" s="120"/>
      <c r="R9506" s="120"/>
      <c r="S9506" s="120"/>
      <c r="T9506" s="221"/>
      <c r="U9506" s="89"/>
      <c r="V9506" s="61"/>
      <c r="W9506" s="92" t="s">
        <v>112</v>
      </c>
      <c r="X9506" s="93" t="s">
        <v>31</v>
      </c>
      <c r="Y9506" s="93" t="s">
        <v>93</v>
      </c>
      <c r="Z9506" s="134">
        <f>VLOOKUP(W9506,Sheet2!$B:$D,3,FALSE)</f>
        <v>13</v>
      </c>
      <c r="AA9506" s="93">
        <f>AA9505</f>
        <v>0.2</v>
      </c>
      <c r="AB9506" s="93">
        <f>AD9506/AC9497</f>
        <v>65</v>
      </c>
      <c r="AC9506" s="93">
        <f>AC9497/AA9506</f>
        <v>303.05000000000047</v>
      </c>
      <c r="AD9506" s="94">
        <f>AC9506*Z9506</f>
        <v>3939.650000000006</v>
      </c>
      <c r="AE9506" s="190"/>
      <c r="AF9506" s="191"/>
      <c r="AG9506" s="191"/>
      <c r="AH9506" s="191"/>
      <c r="AI9506" s="186"/>
      <c r="AK9506" s="171"/>
    </row>
    <row r="9507" spans="1:41" s="103" customFormat="1" ht="19.899999999999999" customHeight="1" x14ac:dyDescent="0.25">
      <c r="A9507" s="51"/>
      <c r="B9507" s="52"/>
      <c r="C9507" s="165"/>
      <c r="D9507" s="52"/>
      <c r="E9507" s="115"/>
      <c r="F9507" s="58"/>
      <c r="G9507" s="58"/>
      <c r="H9507" s="58"/>
      <c r="I9507" s="55"/>
      <c r="J9507" s="113">
        <f>J9491</f>
        <v>60.610000000000099</v>
      </c>
      <c r="K9507" s="212">
        <f>K9491</f>
        <v>60.610000000000099</v>
      </c>
      <c r="L9507" s="58"/>
      <c r="M9507" s="58">
        <f>K9507-L9507</f>
        <v>60.610000000000099</v>
      </c>
      <c r="N9507" s="166"/>
      <c r="O9507" s="58"/>
      <c r="P9507" s="58"/>
      <c r="Q9507" s="58"/>
      <c r="R9507" s="58"/>
      <c r="S9507" s="58"/>
      <c r="T9507" s="220"/>
      <c r="U9507" s="88"/>
      <c r="V9507" s="56"/>
      <c r="W9507" s="57" t="s">
        <v>1358</v>
      </c>
      <c r="X9507" s="53"/>
      <c r="Y9507" s="91" t="s">
        <v>35</v>
      </c>
      <c r="Z9507" s="136">
        <f>AD9507/AC9507</f>
        <v>1260</v>
      </c>
      <c r="AA9507" s="58"/>
      <c r="AB9507" s="53">
        <f>AD9507/AC9507</f>
        <v>1260</v>
      </c>
      <c r="AC9507" s="53">
        <f>M9507+$AE$10</f>
        <v>60.610000000000099</v>
      </c>
      <c r="AD9507" s="54">
        <f>SUM(AD9508:AD9509)</f>
        <v>76368.600000000122</v>
      </c>
      <c r="AE9507" s="184">
        <f>SUMIFS($AD$37:$AD$12971,$V$37:$V$12971,$V9507,$X$37:$X$12971,AE$13)</f>
        <v>0</v>
      </c>
      <c r="AF9507" s="185">
        <f>SUMIFS($AD$37:$AD$12971,$V$37:$V$12971,$V9507,$X$37:$X$12971,AF$13)</f>
        <v>0</v>
      </c>
      <c r="AG9507" s="185">
        <f>SUMIFS($AD$37:$AD$12971,$V$37:$V$12971,$V9507,$X$37:$X$12971,AG$13)</f>
        <v>0</v>
      </c>
      <c r="AH9507" s="187">
        <f>SUMIFS($AD$37:$AD$12971,$V$37:$V$12971,$V9507,$X$37:$X$12971,AH$13)</f>
        <v>0</v>
      </c>
      <c r="AI9507" s="161">
        <f t="shared" ref="AI9507" si="6392">SUM(AE9507:AH9507)</f>
        <v>0</v>
      </c>
      <c r="AK9507" s="172"/>
    </row>
    <row r="9508" spans="1:41" s="102" customFormat="1" ht="19.899999999999999" customHeight="1" x14ac:dyDescent="0.25">
      <c r="A9508" s="45"/>
      <c r="B9508" s="59"/>
      <c r="C9508" s="137"/>
      <c r="D9508" s="59"/>
      <c r="E9508" s="116"/>
      <c r="F9508" s="120"/>
      <c r="G9508" s="120"/>
      <c r="H9508" s="120"/>
      <c r="I9508" s="60"/>
      <c r="J9508" s="116"/>
      <c r="K9508" s="213"/>
      <c r="L9508" s="120"/>
      <c r="M9508" s="120"/>
      <c r="N9508" s="167"/>
      <c r="O9508" s="120"/>
      <c r="P9508" s="120"/>
      <c r="Q9508" s="120"/>
      <c r="R9508" s="120"/>
      <c r="S9508" s="120"/>
      <c r="T9508" s="221"/>
      <c r="U9508" s="89"/>
      <c r="V9508" s="61"/>
      <c r="W9508" s="92" t="s">
        <v>1359</v>
      </c>
      <c r="X9508" s="93" t="s">
        <v>32</v>
      </c>
      <c r="Y9508" s="93" t="s">
        <v>64</v>
      </c>
      <c r="Z9508" s="134">
        <f>VLOOKUP(W9508,Sheet2!$B:$D,3,FALSE)</f>
        <v>40</v>
      </c>
      <c r="AA9508" s="93">
        <f>1/(1.5*3*4)</f>
        <v>5.5555555555555552E-2</v>
      </c>
      <c r="AB9508" s="93">
        <f t="shared" ref="AB9508" si="6393">AD9508/AC9507</f>
        <v>720</v>
      </c>
      <c r="AC9508" s="93">
        <f>AC9507/AA9508</f>
        <v>1090.9800000000018</v>
      </c>
      <c r="AD9508" s="94">
        <f t="shared" ref="AD9508:AD9509" si="6394">AC9508*Z9508</f>
        <v>43639.20000000007</v>
      </c>
      <c r="AE9508" s="190"/>
      <c r="AF9508" s="191"/>
      <c r="AG9508" s="191"/>
      <c r="AH9508" s="191"/>
      <c r="AI9508" s="186"/>
      <c r="AK9508" s="171"/>
    </row>
    <row r="9509" spans="1:41" s="102" customFormat="1" ht="19.899999999999999" customHeight="1" x14ac:dyDescent="0.25">
      <c r="A9509" s="45"/>
      <c r="B9509" s="59"/>
      <c r="C9509" s="137"/>
      <c r="D9509" s="59"/>
      <c r="E9509" s="116"/>
      <c r="F9509" s="120"/>
      <c r="G9509" s="120"/>
      <c r="H9509" s="120"/>
      <c r="I9509" s="60"/>
      <c r="J9509" s="116"/>
      <c r="K9509" s="213"/>
      <c r="L9509" s="120"/>
      <c r="M9509" s="120"/>
      <c r="N9509" s="167"/>
      <c r="O9509" s="120"/>
      <c r="P9509" s="120"/>
      <c r="Q9509" s="120"/>
      <c r="R9509" s="120"/>
      <c r="S9509" s="120"/>
      <c r="T9509" s="221"/>
      <c r="U9509" s="89"/>
      <c r="V9509" s="61"/>
      <c r="W9509" s="92" t="s">
        <v>1360</v>
      </c>
      <c r="X9509" s="93" t="s">
        <v>32</v>
      </c>
      <c r="Y9509" s="93" t="s">
        <v>64</v>
      </c>
      <c r="Z9509" s="134">
        <f>VLOOKUP(W9509,Sheet2!$B:$D,3,FALSE)</f>
        <v>30</v>
      </c>
      <c r="AA9509" s="93">
        <f>AA9508</f>
        <v>5.5555555555555552E-2</v>
      </c>
      <c r="AB9509" s="93">
        <f>AD9509/AC9507</f>
        <v>540</v>
      </c>
      <c r="AC9509" s="93">
        <f>AC9507/AA9509</f>
        <v>1090.9800000000018</v>
      </c>
      <c r="AD9509" s="94">
        <f t="shared" si="6394"/>
        <v>32729.400000000056</v>
      </c>
      <c r="AE9509" s="190"/>
      <c r="AF9509" s="191"/>
      <c r="AG9509" s="191"/>
      <c r="AH9509" s="191"/>
      <c r="AI9509" s="186"/>
      <c r="AK9509" s="171"/>
    </row>
    <row r="9510" spans="1:41" s="103" customFormat="1" ht="19.899999999999999" customHeight="1" x14ac:dyDescent="0.25">
      <c r="A9510" s="51"/>
      <c r="B9510" s="52"/>
      <c r="C9510" s="165"/>
      <c r="D9510" s="52"/>
      <c r="E9510" s="115"/>
      <c r="F9510" s="58"/>
      <c r="G9510" s="58"/>
      <c r="H9510" s="58"/>
      <c r="I9510" s="55"/>
      <c r="J9510" s="113">
        <f>J9491</f>
        <v>60.610000000000099</v>
      </c>
      <c r="K9510" s="212">
        <f>K9491</f>
        <v>60.610000000000099</v>
      </c>
      <c r="L9510" s="58"/>
      <c r="M9510" s="58">
        <f>K9510-L9510</f>
        <v>60.610000000000099</v>
      </c>
      <c r="N9510" s="166"/>
      <c r="O9510" s="58"/>
      <c r="P9510" s="58"/>
      <c r="Q9510" s="58"/>
      <c r="R9510" s="58"/>
      <c r="S9510" s="58"/>
      <c r="T9510" s="220"/>
      <c r="U9510" s="88"/>
      <c r="V9510" s="56"/>
      <c r="W9510" s="57" t="s">
        <v>1272</v>
      </c>
      <c r="X9510" s="53"/>
      <c r="Y9510" s="91" t="s">
        <v>35</v>
      </c>
      <c r="Z9510" s="136">
        <f>AD9510/AC9510</f>
        <v>314.53111372549017</v>
      </c>
      <c r="AA9510" s="58"/>
      <c r="AB9510" s="53">
        <f>AD9510/AC9510</f>
        <v>314.53111372549017</v>
      </c>
      <c r="AC9510" s="53">
        <f>M9510+$AE$10</f>
        <v>60.610000000000099</v>
      </c>
      <c r="AD9510" s="54">
        <f>SUM(AD9511:AD9519)</f>
        <v>19063.730802901991</v>
      </c>
      <c r="AE9510" s="184">
        <f>SUMIFS($AD$37:$AD$12971,$V$37:$V$12971,$V9510,$X$37:$X$12971,AE$13)</f>
        <v>0</v>
      </c>
      <c r="AF9510" s="185">
        <f>SUMIFS($AD$37:$AD$12971,$V$37:$V$12971,$V9510,$X$37:$X$12971,AF$13)</f>
        <v>0</v>
      </c>
      <c r="AG9510" s="185">
        <f>SUMIFS($AD$37:$AD$12971,$V$37:$V$12971,$V9510,$X$37:$X$12971,AG$13)</f>
        <v>0</v>
      </c>
      <c r="AH9510" s="187">
        <f>SUMIFS($AD$37:$AD$12971,$V$37:$V$12971,$V9510,$X$37:$X$12971,AH$13)</f>
        <v>0</v>
      </c>
      <c r="AI9510" s="161">
        <f t="shared" ref="AI9510" si="6395">SUM(AE9510:AH9510)</f>
        <v>0</v>
      </c>
      <c r="AK9510" s="172"/>
    </row>
    <row r="9511" spans="1:41" s="102" customFormat="1" ht="19.899999999999999" customHeight="1" x14ac:dyDescent="0.25">
      <c r="A9511" s="45"/>
      <c r="B9511" s="59"/>
      <c r="C9511" s="137"/>
      <c r="D9511" s="59"/>
      <c r="E9511" s="116"/>
      <c r="F9511" s="120"/>
      <c r="G9511" s="120"/>
      <c r="H9511" s="120"/>
      <c r="I9511" s="60"/>
      <c r="J9511" s="116"/>
      <c r="K9511" s="213"/>
      <c r="L9511" s="120"/>
      <c r="M9511" s="120"/>
      <c r="N9511" s="167"/>
      <c r="O9511" s="120"/>
      <c r="P9511" s="120"/>
      <c r="Q9511" s="120"/>
      <c r="R9511" s="120"/>
      <c r="S9511" s="120"/>
      <c r="T9511" s="221"/>
      <c r="U9511" s="89"/>
      <c r="V9511" s="61"/>
      <c r="W9511" s="92" t="s">
        <v>1273</v>
      </c>
      <c r="X9511" s="93" t="s">
        <v>30</v>
      </c>
      <c r="Y9511" s="93" t="s">
        <v>66</v>
      </c>
      <c r="Z9511" s="134">
        <f>VLOOKUP(W9511,Sheet2!$B:$D,3,FALSE)</f>
        <v>10</v>
      </c>
      <c r="AA9511" s="93">
        <f>1/((3*3*3)-(1.5*1.5*3))</f>
        <v>4.9382716049382713E-2</v>
      </c>
      <c r="AB9511" s="93">
        <f>AD9511/AC9510</f>
        <v>202.5</v>
      </c>
      <c r="AC9511" s="93">
        <f>AC9510/AA9511</f>
        <v>1227.352500000002</v>
      </c>
      <c r="AD9511" s="94">
        <f t="shared" ref="AD9511:AD9513" si="6396">AC9511*Z9511</f>
        <v>12273.52500000002</v>
      </c>
      <c r="AE9511" s="190"/>
      <c r="AF9511" s="191"/>
      <c r="AG9511" s="191"/>
      <c r="AH9511" s="191"/>
      <c r="AI9511" s="186"/>
      <c r="AK9511" s="171"/>
    </row>
    <row r="9512" spans="1:41" s="102" customFormat="1" ht="19.899999999999999" customHeight="1" x14ac:dyDescent="0.25">
      <c r="A9512" s="45"/>
      <c r="B9512" s="59"/>
      <c r="C9512" s="137"/>
      <c r="D9512" s="59"/>
      <c r="E9512" s="116"/>
      <c r="F9512" s="120"/>
      <c r="G9512" s="120"/>
      <c r="H9512" s="120"/>
      <c r="I9512" s="60"/>
      <c r="J9512" s="116"/>
      <c r="K9512" s="213"/>
      <c r="L9512" s="120"/>
      <c r="M9512" s="120"/>
      <c r="N9512" s="167"/>
      <c r="O9512" s="120"/>
      <c r="P9512" s="120"/>
      <c r="Q9512" s="120"/>
      <c r="R9512" s="120"/>
      <c r="S9512" s="120"/>
      <c r="T9512" s="221"/>
      <c r="U9512" s="89"/>
      <c r="V9512" s="61"/>
      <c r="W9512" s="92" t="s">
        <v>134</v>
      </c>
      <c r="X9512" s="93" t="s">
        <v>29</v>
      </c>
      <c r="Y9512" s="93" t="s">
        <v>93</v>
      </c>
      <c r="Z9512" s="134">
        <f>VLOOKUP(W9512,Sheet2!$B:$D,3,FALSE)</f>
        <v>65.599999999999994</v>
      </c>
      <c r="AA9512" s="93">
        <f>100/((3*3*3)-(1.5*1.5*3))</f>
        <v>4.9382716049382713</v>
      </c>
      <c r="AB9512" s="93">
        <f t="shared" ref="AB9512" si="6397">AD9512/AC9510</f>
        <v>13.283999999999999</v>
      </c>
      <c r="AC9512" s="93">
        <f>AC9510/AA9512</f>
        <v>12.273525000000021</v>
      </c>
      <c r="AD9512" s="94">
        <f t="shared" si="6396"/>
        <v>805.14324000000124</v>
      </c>
      <c r="AE9512" s="190"/>
      <c r="AF9512" s="191"/>
      <c r="AG9512" s="191"/>
      <c r="AH9512" s="191"/>
      <c r="AI9512" s="186"/>
      <c r="AK9512" s="171"/>
    </row>
    <row r="9513" spans="1:41" s="102" customFormat="1" ht="19.899999999999999" customHeight="1" x14ac:dyDescent="0.25">
      <c r="A9513" s="45"/>
      <c r="B9513" s="59"/>
      <c r="C9513" s="137"/>
      <c r="D9513" s="59"/>
      <c r="E9513" s="116"/>
      <c r="F9513" s="120"/>
      <c r="G9513" s="120"/>
      <c r="H9513" s="120"/>
      <c r="I9513" s="60"/>
      <c r="J9513" s="116"/>
      <c r="K9513" s="213"/>
      <c r="L9513" s="120"/>
      <c r="M9513" s="120"/>
      <c r="N9513" s="167"/>
      <c r="O9513" s="120"/>
      <c r="P9513" s="120"/>
      <c r="Q9513" s="120"/>
      <c r="R9513" s="120"/>
      <c r="S9513" s="120"/>
      <c r="T9513" s="221"/>
      <c r="U9513" s="89"/>
      <c r="V9513" s="61"/>
      <c r="W9513" s="92" t="s">
        <v>65</v>
      </c>
      <c r="X9513" s="93" t="s">
        <v>30</v>
      </c>
      <c r="Y9513" s="93" t="s">
        <v>1011</v>
      </c>
      <c r="Z9513" s="134">
        <f>VLOOKUP(W9513,Sheet2!$B:$D,3,FALSE)</f>
        <v>1.76</v>
      </c>
      <c r="AA9513" s="93">
        <f>AA9512/9</f>
        <v>0.54869684499314131</v>
      </c>
      <c r="AB9513" s="93">
        <f>AD9513/AC9510</f>
        <v>3.2075999999999998</v>
      </c>
      <c r="AC9513" s="93">
        <f>AC9510/AA9513</f>
        <v>110.46172500000017</v>
      </c>
      <c r="AD9513" s="94">
        <f t="shared" si="6396"/>
        <v>194.4126360000003</v>
      </c>
      <c r="AE9513" s="190"/>
      <c r="AF9513" s="191"/>
      <c r="AG9513" s="191"/>
      <c r="AH9513" s="191"/>
      <c r="AI9513" s="186"/>
      <c r="AK9513" s="171"/>
    </row>
    <row r="9514" spans="1:41" s="102" customFormat="1" ht="19.899999999999999" customHeight="1" x14ac:dyDescent="0.25">
      <c r="A9514" s="45"/>
      <c r="B9514" s="59"/>
      <c r="C9514" s="137"/>
      <c r="D9514" s="59"/>
      <c r="E9514" s="116"/>
      <c r="F9514" s="120"/>
      <c r="G9514" s="120"/>
      <c r="H9514" s="120"/>
      <c r="I9514" s="60"/>
      <c r="J9514" s="116"/>
      <c r="K9514" s="213"/>
      <c r="L9514" s="120"/>
      <c r="M9514" s="120"/>
      <c r="N9514" s="167"/>
      <c r="O9514" s="120"/>
      <c r="P9514" s="120"/>
      <c r="Q9514" s="120"/>
      <c r="R9514" s="120"/>
      <c r="S9514" s="120"/>
      <c r="T9514" s="221"/>
      <c r="U9514" s="89"/>
      <c r="V9514" s="61"/>
      <c r="W9514" s="92" t="s">
        <v>161</v>
      </c>
      <c r="X9514" s="93" t="s">
        <v>29</v>
      </c>
      <c r="Y9514" s="93" t="s">
        <v>93</v>
      </c>
      <c r="Z9514" s="134">
        <f>VLOOKUP(W9514,Sheet2!$B:$D,3,FALSE)</f>
        <v>48</v>
      </c>
      <c r="AA9514" s="93">
        <f>(16*0.85*1.5)/((3*3*3)-(1.5*1.5*3))</f>
        <v>1.0074074074074073</v>
      </c>
      <c r="AB9514" s="93">
        <f>AD9514/AC9510</f>
        <v>47.64705882352942</v>
      </c>
      <c r="AC9514" s="93">
        <f>AC9510/AA9514</f>
        <v>60.164338235294224</v>
      </c>
      <c r="AD9514" s="94">
        <f>AC9514*Z9514</f>
        <v>2887.8882352941228</v>
      </c>
      <c r="AE9514" s="190"/>
      <c r="AF9514" s="191"/>
      <c r="AG9514" s="191"/>
      <c r="AH9514" s="191"/>
      <c r="AI9514" s="186"/>
      <c r="AK9514" s="171"/>
    </row>
    <row r="9515" spans="1:41" s="102" customFormat="1" ht="19.899999999999999" customHeight="1" x14ac:dyDescent="0.25">
      <c r="A9515" s="45"/>
      <c r="B9515" s="59"/>
      <c r="C9515" s="137"/>
      <c r="D9515" s="59"/>
      <c r="E9515" s="116"/>
      <c r="F9515" s="120"/>
      <c r="G9515" s="120"/>
      <c r="H9515" s="120"/>
      <c r="I9515" s="60"/>
      <c r="J9515" s="116"/>
      <c r="K9515" s="213"/>
      <c r="L9515" s="120"/>
      <c r="M9515" s="120"/>
      <c r="N9515" s="167"/>
      <c r="O9515" s="120"/>
      <c r="P9515" s="120"/>
      <c r="Q9515" s="120"/>
      <c r="R9515" s="120"/>
      <c r="S9515" s="120"/>
      <c r="T9515" s="221"/>
      <c r="U9515" s="89"/>
      <c r="V9515" s="61"/>
      <c r="W9515" s="92" t="s">
        <v>65</v>
      </c>
      <c r="X9515" s="93" t="s">
        <v>30</v>
      </c>
      <c r="Y9515" s="93" t="s">
        <v>1011</v>
      </c>
      <c r="Z9515" s="134">
        <f>VLOOKUP(W9515,Sheet2!$B:$D,3,FALSE)</f>
        <v>1.76</v>
      </c>
      <c r="AA9515" s="93">
        <f>AA9514/10</f>
        <v>0.10074074074074073</v>
      </c>
      <c r="AB9515" s="93">
        <f>AD9515/AC9510</f>
        <v>17.47058823529412</v>
      </c>
      <c r="AC9515" s="93">
        <f>AC9510/AA9515</f>
        <v>601.64338235294224</v>
      </c>
      <c r="AD9515" s="94">
        <f>AC9515*Z9515</f>
        <v>1058.8923529411784</v>
      </c>
      <c r="AE9515" s="190"/>
      <c r="AF9515" s="191"/>
      <c r="AG9515" s="191"/>
      <c r="AH9515" s="191"/>
      <c r="AI9515" s="186"/>
      <c r="AK9515" s="171"/>
    </row>
    <row r="9516" spans="1:41" s="102" customFormat="1" ht="19.899999999999999" customHeight="1" x14ac:dyDescent="0.25">
      <c r="A9516" s="45"/>
      <c r="B9516" s="59"/>
      <c r="C9516" s="137"/>
      <c r="D9516" s="59"/>
      <c r="E9516" s="116"/>
      <c r="F9516" s="120"/>
      <c r="G9516" s="120"/>
      <c r="H9516" s="120"/>
      <c r="I9516" s="60"/>
      <c r="J9516" s="116"/>
      <c r="K9516" s="213"/>
      <c r="L9516" s="120"/>
      <c r="M9516" s="120"/>
      <c r="N9516" s="167"/>
      <c r="O9516" s="120"/>
      <c r="P9516" s="120"/>
      <c r="Q9516" s="120"/>
      <c r="R9516" s="120"/>
      <c r="S9516" s="120"/>
      <c r="T9516" s="221"/>
      <c r="U9516" s="89"/>
      <c r="V9516" s="61"/>
      <c r="W9516" s="92" t="s">
        <v>173</v>
      </c>
      <c r="X9516" s="93" t="s">
        <v>29</v>
      </c>
      <c r="Y9516" s="93" t="s">
        <v>93</v>
      </c>
      <c r="Z9516" s="134">
        <f>VLOOKUP(W9516,Sheet2!$B:$D,3,FALSE)</f>
        <v>36</v>
      </c>
      <c r="AA9516" s="93">
        <f>50/((3*3*3)-(1.5*1.5*3))</f>
        <v>2.4691358024691357</v>
      </c>
      <c r="AB9516" s="93">
        <f>AD9516/AC9510</f>
        <v>14.58</v>
      </c>
      <c r="AC9516" s="93">
        <f>AC9510/AA9516</f>
        <v>24.547050000000041</v>
      </c>
      <c r="AD9516" s="94">
        <f>AC9516*Z9516</f>
        <v>883.69380000000149</v>
      </c>
      <c r="AE9516" s="190"/>
      <c r="AF9516" s="191"/>
      <c r="AG9516" s="191"/>
      <c r="AH9516" s="191"/>
      <c r="AI9516" s="186"/>
      <c r="AK9516" s="171"/>
    </row>
    <row r="9517" spans="1:41" s="102" customFormat="1" ht="19.899999999999999" customHeight="1" x14ac:dyDescent="0.25">
      <c r="A9517" s="45"/>
      <c r="B9517" s="59"/>
      <c r="C9517" s="137"/>
      <c r="D9517" s="59"/>
      <c r="E9517" s="116"/>
      <c r="F9517" s="120"/>
      <c r="G9517" s="120"/>
      <c r="H9517" s="120"/>
      <c r="I9517" s="60"/>
      <c r="J9517" s="116"/>
      <c r="K9517" s="213"/>
      <c r="L9517" s="120"/>
      <c r="M9517" s="120"/>
      <c r="N9517" s="167"/>
      <c r="O9517" s="120"/>
      <c r="P9517" s="120"/>
      <c r="Q9517" s="120"/>
      <c r="R9517" s="120"/>
      <c r="S9517" s="120"/>
      <c r="T9517" s="221"/>
      <c r="U9517" s="89"/>
      <c r="V9517" s="61"/>
      <c r="W9517" s="92" t="s">
        <v>65</v>
      </c>
      <c r="X9517" s="93" t="s">
        <v>30</v>
      </c>
      <c r="Y9517" s="93" t="s">
        <v>1011</v>
      </c>
      <c r="Z9517" s="134">
        <f>VLOOKUP(W9517,Sheet2!$B:$D,3,FALSE)</f>
        <v>1.76</v>
      </c>
      <c r="AA9517" s="93">
        <f>AA9516/9</f>
        <v>0.27434842249657065</v>
      </c>
      <c r="AB9517" s="93">
        <f>AD9517/AC9510</f>
        <v>6.4151999999999996</v>
      </c>
      <c r="AC9517" s="93">
        <f>AC9510/AA9517</f>
        <v>220.92345000000034</v>
      </c>
      <c r="AD9517" s="94">
        <f>AC9517*Z9517</f>
        <v>388.82527200000061</v>
      </c>
      <c r="AE9517" s="190"/>
      <c r="AF9517" s="191"/>
      <c r="AG9517" s="191"/>
      <c r="AH9517" s="191"/>
      <c r="AI9517" s="186"/>
      <c r="AK9517" s="171"/>
    </row>
    <row r="9518" spans="1:41" s="102" customFormat="1" ht="19.899999999999999" customHeight="1" x14ac:dyDescent="0.25">
      <c r="A9518" s="45"/>
      <c r="B9518" s="59"/>
      <c r="C9518" s="137"/>
      <c r="D9518" s="59"/>
      <c r="E9518" s="116"/>
      <c r="F9518" s="120"/>
      <c r="G9518" s="120"/>
      <c r="H9518" s="120"/>
      <c r="I9518" s="60"/>
      <c r="J9518" s="116"/>
      <c r="K9518" s="213"/>
      <c r="L9518" s="120"/>
      <c r="M9518" s="120"/>
      <c r="N9518" s="167"/>
      <c r="O9518" s="120"/>
      <c r="P9518" s="120"/>
      <c r="Q9518" s="120"/>
      <c r="R9518" s="120"/>
      <c r="S9518" s="120"/>
      <c r="T9518" s="221"/>
      <c r="U9518" s="89"/>
      <c r="V9518" s="61"/>
      <c r="W9518" s="92" t="s">
        <v>1030</v>
      </c>
      <c r="X9518" s="93" t="s">
        <v>29</v>
      </c>
      <c r="Y9518" s="93" t="s">
        <v>93</v>
      </c>
      <c r="Z9518" s="134">
        <f>VLOOKUP(W9518,Sheet2!$B:$D,3,FALSE)</f>
        <v>23</v>
      </c>
      <c r="AA9518" s="93">
        <v>3</v>
      </c>
      <c r="AB9518" s="93">
        <f>AD9518/AC9510</f>
        <v>7.6666666666666661</v>
      </c>
      <c r="AC9518" s="93">
        <f>AC9510/AA9518</f>
        <v>20.203333333333365</v>
      </c>
      <c r="AD9518" s="94">
        <f t="shared" ref="AD9518:AD9519" si="6398">AC9518*Z9518</f>
        <v>464.67666666666742</v>
      </c>
      <c r="AE9518" s="190"/>
      <c r="AF9518" s="191"/>
      <c r="AG9518" s="191"/>
      <c r="AH9518" s="191"/>
      <c r="AI9518" s="186"/>
      <c r="AK9518" s="171"/>
    </row>
    <row r="9519" spans="1:41" s="102" customFormat="1" ht="19.899999999999999" customHeight="1" x14ac:dyDescent="0.25">
      <c r="A9519" s="45"/>
      <c r="B9519" s="59"/>
      <c r="C9519" s="137"/>
      <c r="D9519" s="59"/>
      <c r="E9519" s="116"/>
      <c r="F9519" s="120"/>
      <c r="G9519" s="120"/>
      <c r="H9519" s="120"/>
      <c r="I9519" s="60"/>
      <c r="J9519" s="116"/>
      <c r="K9519" s="213"/>
      <c r="L9519" s="120"/>
      <c r="M9519" s="120"/>
      <c r="N9519" s="167"/>
      <c r="O9519" s="120"/>
      <c r="P9519" s="120"/>
      <c r="Q9519" s="120"/>
      <c r="R9519" s="120"/>
      <c r="S9519" s="120"/>
      <c r="T9519" s="221"/>
      <c r="U9519" s="89"/>
      <c r="V9519" s="61"/>
      <c r="W9519" s="92" t="s">
        <v>65</v>
      </c>
      <c r="X9519" s="93" t="s">
        <v>30</v>
      </c>
      <c r="Y9519" s="93" t="s">
        <v>1011</v>
      </c>
      <c r="Z9519" s="134">
        <f>VLOOKUP(W9519,Sheet2!$B:$D,3,FALSE)</f>
        <v>1.76</v>
      </c>
      <c r="AA9519" s="93">
        <f>AA9518/3</f>
        <v>1</v>
      </c>
      <c r="AB9519" s="93">
        <f>AD9519/AC9510</f>
        <v>1.76</v>
      </c>
      <c r="AC9519" s="93">
        <f>AC9510/AA9519</f>
        <v>60.610000000000099</v>
      </c>
      <c r="AD9519" s="94">
        <f t="shared" si="6398"/>
        <v>106.67360000000018</v>
      </c>
      <c r="AE9519" s="190"/>
      <c r="AF9519" s="191"/>
      <c r="AG9519" s="191"/>
      <c r="AH9519" s="191"/>
      <c r="AI9519" s="186"/>
      <c r="AK9519" s="171"/>
    </row>
    <row r="9520" spans="1:41" ht="20.100000000000001" customHeight="1" x14ac:dyDescent="0.25">
      <c r="A9520" s="277" t="s">
        <v>703</v>
      </c>
      <c r="B9520" s="278"/>
      <c r="C9520" s="64" t="s">
        <v>816</v>
      </c>
      <c r="D9520" s="46" t="s">
        <v>215</v>
      </c>
      <c r="E9520" s="114">
        <v>20.799999999999997</v>
      </c>
      <c r="F9520" s="44">
        <v>16391</v>
      </c>
      <c r="G9520" s="44">
        <f t="shared" si="5545"/>
        <v>340932.79999999993</v>
      </c>
      <c r="H9520" s="44">
        <f t="shared" si="5546"/>
        <v>7682.7439828054312</v>
      </c>
      <c r="I9520" s="43">
        <f t="shared" si="5547"/>
        <v>159801.07484235294</v>
      </c>
      <c r="J9520" s="112">
        <f t="shared" si="5548"/>
        <v>20.799999999999997</v>
      </c>
      <c r="K9520" s="211">
        <f t="shared" si="5549"/>
        <v>20.799999999999997</v>
      </c>
      <c r="L9520" s="44"/>
      <c r="M9520" s="44">
        <f t="shared" si="5550"/>
        <v>20.799999999999997</v>
      </c>
      <c r="N9520" s="173">
        <f t="shared" si="5551"/>
        <v>1</v>
      </c>
      <c r="O9520" s="44">
        <f t="shared" si="5552"/>
        <v>16391</v>
      </c>
      <c r="P9520" s="44">
        <f t="shared" si="5553"/>
        <v>340932.79999999993</v>
      </c>
      <c r="Q9520" s="44">
        <f t="shared" si="5554"/>
        <v>7682.7439828054312</v>
      </c>
      <c r="R9520" s="44">
        <f t="shared" si="5555"/>
        <v>159801.07484235294</v>
      </c>
      <c r="S9520" s="123"/>
      <c r="T9520" s="219">
        <f t="shared" si="5556"/>
        <v>159801.07484235294</v>
      </c>
      <c r="U9520" s="87"/>
      <c r="V9520" s="47"/>
      <c r="W9520" s="48"/>
      <c r="X9520" s="48"/>
      <c r="Y9520" s="48"/>
      <c r="Z9520" s="135"/>
      <c r="AA9520" s="49"/>
      <c r="AB9520" s="50">
        <f t="shared" si="5557"/>
        <v>7682.7439828054312</v>
      </c>
      <c r="AC9520" s="42">
        <f t="shared" si="5558"/>
        <v>20.799999999999997</v>
      </c>
      <c r="AD9520" s="90">
        <f>AD9521+AD9526+AD9536+AD9539</f>
        <v>159801.07484235294</v>
      </c>
      <c r="AE9520" s="188">
        <f t="shared" ref="AE9520" si="6399">AE9521+AE9526+AE9536+AE9539</f>
        <v>0</v>
      </c>
      <c r="AF9520" s="189">
        <f t="shared" ref="AF9520" si="6400">AF9521+AF9526+AF9536+AF9539</f>
        <v>0</v>
      </c>
      <c r="AG9520" s="189">
        <f t="shared" ref="AG9520" si="6401">AG9521+AG9526+AG9536+AG9539</f>
        <v>0</v>
      </c>
      <c r="AH9520" s="189">
        <f t="shared" ref="AH9520" si="6402">AH9521+AH9526+AH9536+AH9539</f>
        <v>0</v>
      </c>
      <c r="AI9520" s="161">
        <f t="shared" ref="AI9520:AI9549" si="6403">SUM(AE9520:AH9520)</f>
        <v>0</v>
      </c>
      <c r="AK9520" s="169">
        <v>5</v>
      </c>
      <c r="AO9520" s="19" t="s">
        <v>63</v>
      </c>
    </row>
    <row r="9521" spans="1:37" s="103" customFormat="1" ht="19.899999999999999" customHeight="1" x14ac:dyDescent="0.25">
      <c r="A9521" s="51"/>
      <c r="B9521" s="52"/>
      <c r="C9521" s="165"/>
      <c r="D9521" s="52"/>
      <c r="E9521" s="115"/>
      <c r="F9521" s="58"/>
      <c r="G9521" s="58"/>
      <c r="H9521" s="58"/>
      <c r="I9521" s="55"/>
      <c r="J9521" s="113">
        <f>J9520</f>
        <v>20.799999999999997</v>
      </c>
      <c r="K9521" s="212">
        <f>K9520</f>
        <v>20.799999999999997</v>
      </c>
      <c r="L9521" s="58"/>
      <c r="M9521" s="58">
        <f>K9521-L9521</f>
        <v>20.799999999999997</v>
      </c>
      <c r="N9521" s="166"/>
      <c r="O9521" s="58"/>
      <c r="P9521" s="58"/>
      <c r="Q9521" s="58"/>
      <c r="R9521" s="58"/>
      <c r="S9521" s="58"/>
      <c r="T9521" s="220"/>
      <c r="U9521" s="88"/>
      <c r="V9521" s="56"/>
      <c r="W9521" s="57" t="s">
        <v>1512</v>
      </c>
      <c r="X9521" s="53"/>
      <c r="Y9521" s="91" t="s">
        <v>35</v>
      </c>
      <c r="Z9521" s="136">
        <f>AD9521/AC9521</f>
        <v>126.69571764705881</v>
      </c>
      <c r="AA9521" s="58"/>
      <c r="AB9521" s="53">
        <f>AD9521/AC9521</f>
        <v>126.69571764705881</v>
      </c>
      <c r="AC9521" s="53">
        <f>M9521+$AE$10</f>
        <v>20.799999999999997</v>
      </c>
      <c r="AD9521" s="54">
        <f>SUM(AD9522:AD9525)</f>
        <v>2635.270927058823</v>
      </c>
      <c r="AE9521" s="184">
        <f>SUMIFS($AD$37:$AD$12971,$V$37:$V$12971,$V9521,$X$37:$X$12971,AE$13)</f>
        <v>0</v>
      </c>
      <c r="AF9521" s="185">
        <f>SUMIFS($AD$37:$AD$12971,$V$37:$V$12971,$V9521,$X$37:$X$12971,AF$13)</f>
        <v>0</v>
      </c>
      <c r="AG9521" s="185">
        <f>SUMIFS($AD$37:$AD$12971,$V$37:$V$12971,$V9521,$X$37:$X$12971,AG$13)</f>
        <v>0</v>
      </c>
      <c r="AH9521" s="187">
        <f>SUMIFS($AD$37:$AD$12971,$V$37:$V$12971,$V9521,$X$37:$X$12971,AH$13)</f>
        <v>0</v>
      </c>
      <c r="AI9521" s="161">
        <f t="shared" ref="AI9521" si="6404">SUM(AE9521:AH9521)</f>
        <v>0</v>
      </c>
      <c r="AK9521" s="172"/>
    </row>
    <row r="9522" spans="1:37" s="102" customFormat="1" ht="19.899999999999999" customHeight="1" x14ac:dyDescent="0.25">
      <c r="A9522" s="45"/>
      <c r="B9522" s="59"/>
      <c r="C9522" s="137"/>
      <c r="D9522" s="59"/>
      <c r="E9522" s="116"/>
      <c r="F9522" s="120"/>
      <c r="G9522" s="120"/>
      <c r="H9522" s="120"/>
      <c r="I9522" s="60"/>
      <c r="J9522" s="116"/>
      <c r="K9522" s="213"/>
      <c r="L9522" s="120"/>
      <c r="M9522" s="120"/>
      <c r="N9522" s="167"/>
      <c r="O9522" s="120"/>
      <c r="P9522" s="120"/>
      <c r="Q9522" s="120"/>
      <c r="R9522" s="120"/>
      <c r="S9522" s="120"/>
      <c r="T9522" s="221"/>
      <c r="U9522" s="89"/>
      <c r="V9522" s="61"/>
      <c r="W9522" s="92" t="s">
        <v>129</v>
      </c>
      <c r="X9522" s="93" t="s">
        <v>29</v>
      </c>
      <c r="Y9522" s="93" t="s">
        <v>93</v>
      </c>
      <c r="Z9522" s="134">
        <f>VLOOKUP(W9522,Sheet2!$B:$D,3,FALSE)</f>
        <v>56</v>
      </c>
      <c r="AA9522" s="93">
        <f>100/(3*3*3.5)</f>
        <v>3.1746031746031744</v>
      </c>
      <c r="AB9522" s="93">
        <f t="shared" ref="AB9522" si="6405">AD9522/AC9521</f>
        <v>17.64</v>
      </c>
      <c r="AC9522" s="93">
        <f>AC9521/AA9522</f>
        <v>6.5519999999999996</v>
      </c>
      <c r="AD9522" s="94">
        <f t="shared" ref="AD9522:AD9523" si="6406">AC9522*Z9522</f>
        <v>366.91199999999998</v>
      </c>
      <c r="AE9522" s="190"/>
      <c r="AF9522" s="191"/>
      <c r="AG9522" s="191"/>
      <c r="AH9522" s="191"/>
      <c r="AI9522" s="186"/>
      <c r="AK9522" s="171"/>
    </row>
    <row r="9523" spans="1:37" s="102" customFormat="1" ht="19.899999999999999" customHeight="1" x14ac:dyDescent="0.25">
      <c r="A9523" s="45"/>
      <c r="B9523" s="59"/>
      <c r="C9523" s="137"/>
      <c r="D9523" s="59"/>
      <c r="E9523" s="116"/>
      <c r="F9523" s="120"/>
      <c r="G9523" s="120"/>
      <c r="H9523" s="120"/>
      <c r="I9523" s="60"/>
      <c r="J9523" s="116"/>
      <c r="K9523" s="213"/>
      <c r="L9523" s="120"/>
      <c r="M9523" s="120"/>
      <c r="N9523" s="167"/>
      <c r="O9523" s="120"/>
      <c r="P9523" s="120"/>
      <c r="Q9523" s="120"/>
      <c r="R9523" s="120"/>
      <c r="S9523" s="120"/>
      <c r="T9523" s="221"/>
      <c r="U9523" s="89"/>
      <c r="V9523" s="61"/>
      <c r="W9523" s="92" t="s">
        <v>65</v>
      </c>
      <c r="X9523" s="93" t="s">
        <v>30</v>
      </c>
      <c r="Y9523" s="93" t="s">
        <v>1011</v>
      </c>
      <c r="Z9523" s="134">
        <f>VLOOKUP(W9523,Sheet2!$B:$D,3,FALSE)</f>
        <v>1.76</v>
      </c>
      <c r="AA9523" s="93">
        <f>AA9522/14</f>
        <v>0.22675736961451246</v>
      </c>
      <c r="AB9523" s="93">
        <f>AD9523/AC9521</f>
        <v>7.7615999999999996</v>
      </c>
      <c r="AC9523" s="93">
        <f>AC9521/AA9523</f>
        <v>91.727999999999994</v>
      </c>
      <c r="AD9523" s="94">
        <f t="shared" si="6406"/>
        <v>161.44127999999998</v>
      </c>
      <c r="AE9523" s="190"/>
      <c r="AF9523" s="191"/>
      <c r="AG9523" s="191"/>
      <c r="AH9523" s="191"/>
      <c r="AI9523" s="186"/>
      <c r="AK9523" s="171"/>
    </row>
    <row r="9524" spans="1:37" s="102" customFormat="1" ht="19.899999999999999" customHeight="1" x14ac:dyDescent="0.25">
      <c r="A9524" s="45"/>
      <c r="B9524" s="59"/>
      <c r="C9524" s="137"/>
      <c r="D9524" s="59"/>
      <c r="E9524" s="116"/>
      <c r="F9524" s="120"/>
      <c r="G9524" s="120"/>
      <c r="H9524" s="120"/>
      <c r="I9524" s="60"/>
      <c r="J9524" s="116"/>
      <c r="K9524" s="213"/>
      <c r="L9524" s="120"/>
      <c r="M9524" s="120"/>
      <c r="N9524" s="167"/>
      <c r="O9524" s="120"/>
      <c r="P9524" s="120"/>
      <c r="Q9524" s="120"/>
      <c r="R9524" s="120"/>
      <c r="S9524" s="120"/>
      <c r="T9524" s="221"/>
      <c r="U9524" s="89"/>
      <c r="V9524" s="61"/>
      <c r="W9524" s="92" t="s">
        <v>161</v>
      </c>
      <c r="X9524" s="93" t="s">
        <v>29</v>
      </c>
      <c r="Y9524" s="93" t="s">
        <v>93</v>
      </c>
      <c r="Z9524" s="134">
        <f>VLOOKUP(W9524,Sheet2!$B:$D,3,FALSE)</f>
        <v>48</v>
      </c>
      <c r="AA9524" s="93">
        <f>(16*0.85*1.5)/(3*3*3.5)</f>
        <v>0.64761904761904754</v>
      </c>
      <c r="AB9524" s="93">
        <f>AD9524/AC9521</f>
        <v>74.117647058823536</v>
      </c>
      <c r="AC9524" s="93">
        <f>AC9521/AA9524</f>
        <v>32.117647058823529</v>
      </c>
      <c r="AD9524" s="94">
        <f>AC9524*Z9524</f>
        <v>1541.6470588235293</v>
      </c>
      <c r="AE9524" s="190"/>
      <c r="AF9524" s="191"/>
      <c r="AG9524" s="191"/>
      <c r="AH9524" s="191"/>
      <c r="AI9524" s="186"/>
      <c r="AK9524" s="171"/>
    </row>
    <row r="9525" spans="1:37" s="102" customFormat="1" ht="19.899999999999999" customHeight="1" x14ac:dyDescent="0.25">
      <c r="A9525" s="45"/>
      <c r="B9525" s="59"/>
      <c r="C9525" s="137"/>
      <c r="D9525" s="59"/>
      <c r="E9525" s="116"/>
      <c r="F9525" s="120"/>
      <c r="G9525" s="120"/>
      <c r="H9525" s="120"/>
      <c r="I9525" s="60"/>
      <c r="J9525" s="116"/>
      <c r="K9525" s="213"/>
      <c r="L9525" s="120"/>
      <c r="M9525" s="120"/>
      <c r="N9525" s="167"/>
      <c r="O9525" s="120"/>
      <c r="P9525" s="120"/>
      <c r="Q9525" s="120"/>
      <c r="R9525" s="120"/>
      <c r="S9525" s="120"/>
      <c r="T9525" s="221"/>
      <c r="U9525" s="89"/>
      <c r="V9525" s="61"/>
      <c r="W9525" s="92" t="s">
        <v>65</v>
      </c>
      <c r="X9525" s="93" t="s">
        <v>30</v>
      </c>
      <c r="Y9525" s="93" t="s">
        <v>1011</v>
      </c>
      <c r="Z9525" s="134">
        <f>VLOOKUP(W9525,Sheet2!$B:$D,3,FALSE)</f>
        <v>1.76</v>
      </c>
      <c r="AA9525" s="93">
        <f>AA9524/10</f>
        <v>6.4761904761904757E-2</v>
      </c>
      <c r="AB9525" s="93">
        <f>AD9525/AC9521</f>
        <v>27.176470588235297</v>
      </c>
      <c r="AC9525" s="93">
        <f>AC9521/AA9525</f>
        <v>321.1764705882353</v>
      </c>
      <c r="AD9525" s="94">
        <f>AC9525*Z9525</f>
        <v>565.2705882352941</v>
      </c>
      <c r="AE9525" s="190"/>
      <c r="AF9525" s="191"/>
      <c r="AG9525" s="191"/>
      <c r="AH9525" s="191"/>
      <c r="AI9525" s="186"/>
      <c r="AK9525" s="171"/>
    </row>
    <row r="9526" spans="1:37" s="103" customFormat="1" ht="19.899999999999999" customHeight="1" x14ac:dyDescent="0.25">
      <c r="A9526" s="51"/>
      <c r="B9526" s="52"/>
      <c r="C9526" s="165"/>
      <c r="D9526" s="52"/>
      <c r="E9526" s="115"/>
      <c r="F9526" s="58"/>
      <c r="G9526" s="58"/>
      <c r="H9526" s="58"/>
      <c r="I9526" s="55"/>
      <c r="J9526" s="113">
        <f>J9520</f>
        <v>20.799999999999997</v>
      </c>
      <c r="K9526" s="212">
        <f>K9520</f>
        <v>20.799999999999997</v>
      </c>
      <c r="L9526" s="58"/>
      <c r="M9526" s="58">
        <f>K9526-L9526</f>
        <v>20.799999999999997</v>
      </c>
      <c r="N9526" s="166"/>
      <c r="O9526" s="58"/>
      <c r="P9526" s="58"/>
      <c r="Q9526" s="58"/>
      <c r="R9526" s="58"/>
      <c r="S9526" s="58"/>
      <c r="T9526" s="220"/>
      <c r="U9526" s="88"/>
      <c r="V9526" s="56"/>
      <c r="W9526" s="57" t="s">
        <v>1636</v>
      </c>
      <c r="X9526" s="53"/>
      <c r="Y9526" s="91" t="s">
        <v>35</v>
      </c>
      <c r="Z9526" s="136">
        <f>AD9526/AC9526</f>
        <v>5715.9530769230778</v>
      </c>
      <c r="AA9526" s="58"/>
      <c r="AB9526" s="53">
        <f>AD9526/AC9526</f>
        <v>5715.9530769230778</v>
      </c>
      <c r="AC9526" s="53">
        <f>M9526+$AE$10</f>
        <v>20.799999999999997</v>
      </c>
      <c r="AD9526" s="54">
        <f>SUM(AD9527:AD9535)</f>
        <v>118891.82399999999</v>
      </c>
      <c r="AE9526" s="184">
        <f>SUMIFS($AD$37:$AD$12971,$V$37:$V$12971,$V9526,$X$37:$X$12971,AE$13)</f>
        <v>0</v>
      </c>
      <c r="AF9526" s="185">
        <f>SUMIFS($AD$37:$AD$12971,$V$37:$V$12971,$V9526,$X$37:$X$12971,AF$13)</f>
        <v>0</v>
      </c>
      <c r="AG9526" s="185">
        <f>SUMIFS($AD$37:$AD$12971,$V$37:$V$12971,$V9526,$X$37:$X$12971,AG$13)</f>
        <v>0</v>
      </c>
      <c r="AH9526" s="187">
        <f>SUMIFS($AD$37:$AD$12971,$V$37:$V$12971,$V9526,$X$37:$X$12971,AH$13)</f>
        <v>0</v>
      </c>
      <c r="AI9526" s="161">
        <f t="shared" ref="AI9526" si="6407">SUM(AE9526:AH9526)</f>
        <v>0</v>
      </c>
      <c r="AK9526" s="172"/>
    </row>
    <row r="9527" spans="1:37" s="102" customFormat="1" ht="19.899999999999999" customHeight="1" x14ac:dyDescent="0.25">
      <c r="A9527" s="45"/>
      <c r="B9527" s="59"/>
      <c r="C9527" s="137"/>
      <c r="D9527" s="59"/>
      <c r="E9527" s="116"/>
      <c r="F9527" s="120"/>
      <c r="G9527" s="120"/>
      <c r="H9527" s="120"/>
      <c r="I9527" s="60"/>
      <c r="J9527" s="116"/>
      <c r="K9527" s="213"/>
      <c r="L9527" s="120"/>
      <c r="M9527" s="120"/>
      <c r="N9527" s="167"/>
      <c r="O9527" s="120"/>
      <c r="P9527" s="120"/>
      <c r="Q9527" s="120"/>
      <c r="R9527" s="120"/>
      <c r="S9527" s="120"/>
      <c r="T9527" s="221"/>
      <c r="U9527" s="89"/>
      <c r="V9527" s="61"/>
      <c r="W9527" s="92" t="s">
        <v>1353</v>
      </c>
      <c r="X9527" s="93" t="s">
        <v>30</v>
      </c>
      <c r="Y9527" s="93" t="s">
        <v>66</v>
      </c>
      <c r="Z9527" s="134">
        <f>VLOOKUP(W9527,Sheet2!$B:$D,3,FALSE)</f>
        <v>350</v>
      </c>
      <c r="AA9527" s="93">
        <f>1/((1.5*3.5*0.2*4)+(1.5*1.5*0.3))</f>
        <v>0.20512820512820512</v>
      </c>
      <c r="AB9527" s="93">
        <f>AD9527/AC9526</f>
        <v>1706.2500000000002</v>
      </c>
      <c r="AC9527" s="93">
        <f>AC9526/AA9527</f>
        <v>101.39999999999999</v>
      </c>
      <c r="AD9527" s="94">
        <f t="shared" ref="AD9527:AD9528" si="6408">AC9527*Z9527</f>
        <v>35490</v>
      </c>
      <c r="AE9527" s="190"/>
      <c r="AF9527" s="191"/>
      <c r="AG9527" s="191"/>
      <c r="AH9527" s="191"/>
      <c r="AI9527" s="186"/>
      <c r="AK9527" s="171"/>
    </row>
    <row r="9528" spans="1:37" s="102" customFormat="1" ht="19.899999999999999" customHeight="1" x14ac:dyDescent="0.25">
      <c r="A9528" s="45"/>
      <c r="B9528" s="59"/>
      <c r="C9528" s="137"/>
      <c r="D9528" s="59"/>
      <c r="E9528" s="116"/>
      <c r="F9528" s="120"/>
      <c r="G9528" s="120"/>
      <c r="H9528" s="120"/>
      <c r="I9528" s="60"/>
      <c r="J9528" s="116"/>
      <c r="K9528" s="213"/>
      <c r="L9528" s="120"/>
      <c r="M9528" s="120"/>
      <c r="N9528" s="167"/>
      <c r="O9528" s="120"/>
      <c r="P9528" s="120"/>
      <c r="Q9528" s="120"/>
      <c r="R9528" s="120"/>
      <c r="S9528" s="120"/>
      <c r="T9528" s="221"/>
      <c r="U9528" s="89"/>
      <c r="V9528" s="61"/>
      <c r="W9528" s="92" t="s">
        <v>99</v>
      </c>
      <c r="X9528" s="93" t="s">
        <v>30</v>
      </c>
      <c r="Y9528" s="93" t="s">
        <v>67</v>
      </c>
      <c r="Z9528" s="134">
        <f>VLOOKUP(W9528,Sheet2!$B:$D,3,FALSE)</f>
        <v>2500</v>
      </c>
      <c r="AA9528" s="93">
        <f>AA9527/0.08</f>
        <v>2.5641025641025639</v>
      </c>
      <c r="AB9528" s="93">
        <f>AD9528/AC9526</f>
        <v>975.00000000000011</v>
      </c>
      <c r="AC9528" s="93">
        <f>AC9526/AA9528</f>
        <v>8.1120000000000001</v>
      </c>
      <c r="AD9528" s="94">
        <f t="shared" si="6408"/>
        <v>20280</v>
      </c>
      <c r="AE9528" s="190"/>
      <c r="AF9528" s="191"/>
      <c r="AG9528" s="191"/>
      <c r="AH9528" s="191"/>
      <c r="AI9528" s="186"/>
      <c r="AK9528" s="171"/>
    </row>
    <row r="9529" spans="1:37" s="102" customFormat="1" ht="19.899999999999999" customHeight="1" x14ac:dyDescent="0.25">
      <c r="A9529" s="45"/>
      <c r="B9529" s="59"/>
      <c r="C9529" s="137"/>
      <c r="D9529" s="59"/>
      <c r="E9529" s="116"/>
      <c r="F9529" s="120"/>
      <c r="G9529" s="120"/>
      <c r="H9529" s="120"/>
      <c r="I9529" s="60"/>
      <c r="J9529" s="116"/>
      <c r="K9529" s="213"/>
      <c r="L9529" s="120"/>
      <c r="M9529" s="120"/>
      <c r="N9529" s="167"/>
      <c r="O9529" s="120"/>
      <c r="P9529" s="120"/>
      <c r="Q9529" s="120"/>
      <c r="R9529" s="120"/>
      <c r="S9529" s="120"/>
      <c r="T9529" s="221"/>
      <c r="U9529" s="89"/>
      <c r="V9529" s="61"/>
      <c r="W9529" s="92" t="s">
        <v>1533</v>
      </c>
      <c r="X9529" s="93" t="s">
        <v>32</v>
      </c>
      <c r="Y9529" s="93" t="s">
        <v>66</v>
      </c>
      <c r="Z9529" s="134">
        <f>VLOOKUP(W9529,Sheet2!$B:$D,3,FALSE)</f>
        <v>300</v>
      </c>
      <c r="AA9529" s="93">
        <f>AA9527</f>
        <v>0.20512820512820512</v>
      </c>
      <c r="AB9529" s="93">
        <f>AD9529/AC9526</f>
        <v>1462.5</v>
      </c>
      <c r="AC9529" s="93">
        <f>AC9526/AA9529</f>
        <v>101.39999999999999</v>
      </c>
      <c r="AD9529" s="94">
        <f>AC9529*Z9529</f>
        <v>30419.999999999996</v>
      </c>
      <c r="AE9529" s="190"/>
      <c r="AF9529" s="191"/>
      <c r="AG9529" s="191"/>
      <c r="AH9529" s="191"/>
      <c r="AI9529" s="186"/>
      <c r="AK9529" s="171"/>
    </row>
    <row r="9530" spans="1:37" s="102" customFormat="1" ht="19.899999999999999" customHeight="1" x14ac:dyDescent="0.25">
      <c r="A9530" s="45"/>
      <c r="B9530" s="59"/>
      <c r="C9530" s="137"/>
      <c r="D9530" s="59"/>
      <c r="E9530" s="116"/>
      <c r="F9530" s="120"/>
      <c r="G9530" s="120"/>
      <c r="H9530" s="120"/>
      <c r="I9530" s="60"/>
      <c r="J9530" s="116"/>
      <c r="K9530" s="213"/>
      <c r="L9530" s="120"/>
      <c r="M9530" s="120"/>
      <c r="N9530" s="167"/>
      <c r="O9530" s="120"/>
      <c r="P9530" s="120"/>
      <c r="Q9530" s="120"/>
      <c r="R9530" s="120"/>
      <c r="S9530" s="120"/>
      <c r="T9530" s="221"/>
      <c r="U9530" s="89"/>
      <c r="V9530" s="61"/>
      <c r="W9530" s="92" t="s">
        <v>1634</v>
      </c>
      <c r="X9530" s="93" t="s">
        <v>30</v>
      </c>
      <c r="Y9530" s="93" t="s">
        <v>35</v>
      </c>
      <c r="Z9530" s="134">
        <f>VLOOKUP(W9530,Sheet2!$B:$D,3,FALSE)</f>
        <v>1250</v>
      </c>
      <c r="AA9530" s="93">
        <v>1</v>
      </c>
      <c r="AB9530" s="93">
        <f>AD9530/AC9526</f>
        <v>1250</v>
      </c>
      <c r="AC9530" s="93">
        <f>AC9526/AA9530</f>
        <v>20.799999999999997</v>
      </c>
      <c r="AD9530" s="94">
        <f t="shared" ref="AD9530:AD9531" si="6409">AC9530*Z9530</f>
        <v>25999.999999999996</v>
      </c>
      <c r="AE9530" s="190"/>
      <c r="AF9530" s="191"/>
      <c r="AG9530" s="191"/>
      <c r="AH9530" s="191"/>
      <c r="AI9530" s="186"/>
      <c r="AK9530" s="171"/>
    </row>
    <row r="9531" spans="1:37" s="102" customFormat="1" ht="19.899999999999999" customHeight="1" x14ac:dyDescent="0.25">
      <c r="A9531" s="45"/>
      <c r="B9531" s="59"/>
      <c r="C9531" s="137"/>
      <c r="D9531" s="59"/>
      <c r="E9531" s="116"/>
      <c r="F9531" s="120"/>
      <c r="G9531" s="120"/>
      <c r="H9531" s="120"/>
      <c r="I9531" s="60"/>
      <c r="J9531" s="116"/>
      <c r="K9531" s="213"/>
      <c r="L9531" s="120"/>
      <c r="M9531" s="120"/>
      <c r="N9531" s="167"/>
      <c r="O9531" s="120"/>
      <c r="P9531" s="120"/>
      <c r="Q9531" s="120"/>
      <c r="R9531" s="120"/>
      <c r="S9531" s="120"/>
      <c r="T9531" s="221"/>
      <c r="U9531" s="89"/>
      <c r="V9531" s="61"/>
      <c r="W9531" s="92" t="s">
        <v>142</v>
      </c>
      <c r="X9531" s="93" t="s">
        <v>29</v>
      </c>
      <c r="Y9531" s="93" t="s">
        <v>93</v>
      </c>
      <c r="Z9531" s="134">
        <f>VLOOKUP(W9531,Sheet2!$B:$D,3,FALSE)</f>
        <v>67.692307692307693</v>
      </c>
      <c r="AA9531" s="93">
        <v>4</v>
      </c>
      <c r="AB9531" s="93">
        <f>AD9531/AC9526</f>
        <v>16.923076923076923</v>
      </c>
      <c r="AC9531" s="93">
        <f>AC9526/AA9531</f>
        <v>5.1999999999999993</v>
      </c>
      <c r="AD9531" s="94">
        <f t="shared" si="6409"/>
        <v>351.99999999999994</v>
      </c>
      <c r="AE9531" s="190"/>
      <c r="AF9531" s="191"/>
      <c r="AG9531" s="191"/>
      <c r="AH9531" s="191"/>
      <c r="AI9531" s="186"/>
      <c r="AK9531" s="171"/>
    </row>
    <row r="9532" spans="1:37" s="102" customFormat="1" ht="19.899999999999999" customHeight="1" x14ac:dyDescent="0.25">
      <c r="A9532" s="45"/>
      <c r="B9532" s="59"/>
      <c r="C9532" s="137"/>
      <c r="D9532" s="59"/>
      <c r="E9532" s="116"/>
      <c r="F9532" s="120"/>
      <c r="G9532" s="120"/>
      <c r="H9532" s="120"/>
      <c r="I9532" s="60"/>
      <c r="J9532" s="116"/>
      <c r="K9532" s="213"/>
      <c r="L9532" s="120"/>
      <c r="M9532" s="120"/>
      <c r="N9532" s="167"/>
      <c r="O9532" s="120"/>
      <c r="P9532" s="120"/>
      <c r="Q9532" s="120"/>
      <c r="R9532" s="120"/>
      <c r="S9532" s="120"/>
      <c r="T9532" s="221"/>
      <c r="U9532" s="89"/>
      <c r="V9532" s="61"/>
      <c r="W9532" s="92" t="s">
        <v>65</v>
      </c>
      <c r="X9532" s="93" t="s">
        <v>30</v>
      </c>
      <c r="Y9532" s="93" t="s">
        <v>93</v>
      </c>
      <c r="Z9532" s="134">
        <f>VLOOKUP(W9532,Sheet2!$B:$D,3,FALSE)</f>
        <v>1.76</v>
      </c>
      <c r="AA9532" s="93">
        <f>AA9531/12</f>
        <v>0.33333333333333331</v>
      </c>
      <c r="AB9532" s="93">
        <f>AD9532/AC9526</f>
        <v>5.28</v>
      </c>
      <c r="AC9532" s="93">
        <f>AC9526/AA9532</f>
        <v>62.399999999999991</v>
      </c>
      <c r="AD9532" s="94">
        <f>AC9532*Z9532</f>
        <v>109.82399999999998</v>
      </c>
      <c r="AE9532" s="190"/>
      <c r="AF9532" s="191"/>
      <c r="AG9532" s="191"/>
      <c r="AH9532" s="191"/>
      <c r="AI9532" s="186"/>
      <c r="AK9532" s="171"/>
    </row>
    <row r="9533" spans="1:37" s="102" customFormat="1" ht="19.899999999999999" customHeight="1" x14ac:dyDescent="0.25">
      <c r="A9533" s="45"/>
      <c r="B9533" s="59"/>
      <c r="C9533" s="137"/>
      <c r="D9533" s="59"/>
      <c r="E9533" s="116"/>
      <c r="F9533" s="120"/>
      <c r="G9533" s="120"/>
      <c r="H9533" s="120"/>
      <c r="I9533" s="60"/>
      <c r="J9533" s="116"/>
      <c r="K9533" s="213"/>
      <c r="L9533" s="120"/>
      <c r="M9533" s="120"/>
      <c r="N9533" s="167"/>
      <c r="O9533" s="120"/>
      <c r="P9533" s="120"/>
      <c r="Q9533" s="120"/>
      <c r="R9533" s="120"/>
      <c r="S9533" s="120"/>
      <c r="T9533" s="221"/>
      <c r="U9533" s="89"/>
      <c r="V9533" s="61"/>
      <c r="W9533" s="92" t="s">
        <v>1357</v>
      </c>
      <c r="X9533" s="93" t="s">
        <v>30</v>
      </c>
      <c r="Y9533" s="93" t="s">
        <v>1349</v>
      </c>
      <c r="Z9533" s="134">
        <f>VLOOKUP(W9533,Sheet2!$B:$D,3,FALSE)</f>
        <v>150</v>
      </c>
      <c r="AA9533" s="93">
        <v>1</v>
      </c>
      <c r="AB9533" s="93">
        <f>AD9533/AC9526</f>
        <v>150</v>
      </c>
      <c r="AC9533" s="93">
        <f>AC9526/AA9533</f>
        <v>20.799999999999997</v>
      </c>
      <c r="AD9533" s="94">
        <f>AC9533*Z9533</f>
        <v>3119.9999999999995</v>
      </c>
      <c r="AE9533" s="190"/>
      <c r="AF9533" s="191"/>
      <c r="AG9533" s="191"/>
      <c r="AH9533" s="191"/>
      <c r="AI9533" s="186"/>
      <c r="AK9533" s="171"/>
    </row>
    <row r="9534" spans="1:37" s="102" customFormat="1" ht="19.899999999999999" customHeight="1" x14ac:dyDescent="0.25">
      <c r="A9534" s="45"/>
      <c r="B9534" s="59"/>
      <c r="C9534" s="137"/>
      <c r="D9534" s="59"/>
      <c r="E9534" s="116"/>
      <c r="F9534" s="120"/>
      <c r="G9534" s="120"/>
      <c r="H9534" s="120"/>
      <c r="I9534" s="60"/>
      <c r="J9534" s="116"/>
      <c r="K9534" s="213"/>
      <c r="L9534" s="120"/>
      <c r="M9534" s="120"/>
      <c r="N9534" s="167"/>
      <c r="O9534" s="120"/>
      <c r="P9534" s="120"/>
      <c r="Q9534" s="120"/>
      <c r="R9534" s="120"/>
      <c r="S9534" s="120"/>
      <c r="T9534" s="221"/>
      <c r="U9534" s="89"/>
      <c r="V9534" s="61"/>
      <c r="W9534" s="92" t="s">
        <v>107</v>
      </c>
      <c r="X9534" s="93" t="s">
        <v>31</v>
      </c>
      <c r="Y9534" s="93" t="s">
        <v>93</v>
      </c>
      <c r="Z9534" s="134">
        <f>VLOOKUP(W9534,Sheet2!$B:$D,3,FALSE)</f>
        <v>17</v>
      </c>
      <c r="AA9534" s="93">
        <f>1/5</f>
        <v>0.2</v>
      </c>
      <c r="AB9534" s="93">
        <f>AD9534/AC9526</f>
        <v>85</v>
      </c>
      <c r="AC9534" s="93">
        <f>AC9526/AA9534</f>
        <v>103.99999999999999</v>
      </c>
      <c r="AD9534" s="94">
        <f>AC9534*Z9534</f>
        <v>1767.9999999999998</v>
      </c>
      <c r="AE9534" s="190"/>
      <c r="AF9534" s="191"/>
      <c r="AG9534" s="191"/>
      <c r="AH9534" s="191"/>
      <c r="AI9534" s="186"/>
      <c r="AK9534" s="171"/>
    </row>
    <row r="9535" spans="1:37" s="102" customFormat="1" ht="19.899999999999999" customHeight="1" x14ac:dyDescent="0.25">
      <c r="A9535" s="45"/>
      <c r="B9535" s="59"/>
      <c r="C9535" s="137"/>
      <c r="D9535" s="59"/>
      <c r="E9535" s="116"/>
      <c r="F9535" s="120"/>
      <c r="G9535" s="120"/>
      <c r="H9535" s="120"/>
      <c r="I9535" s="60"/>
      <c r="J9535" s="116"/>
      <c r="K9535" s="213"/>
      <c r="L9535" s="120"/>
      <c r="M9535" s="120"/>
      <c r="N9535" s="167"/>
      <c r="O9535" s="120"/>
      <c r="P9535" s="120"/>
      <c r="Q9535" s="120"/>
      <c r="R9535" s="120"/>
      <c r="S9535" s="120"/>
      <c r="T9535" s="221"/>
      <c r="U9535" s="89"/>
      <c r="V9535" s="61"/>
      <c r="W9535" s="92" t="s">
        <v>112</v>
      </c>
      <c r="X9535" s="93" t="s">
        <v>31</v>
      </c>
      <c r="Y9535" s="93" t="s">
        <v>93</v>
      </c>
      <c r="Z9535" s="134">
        <f>VLOOKUP(W9535,Sheet2!$B:$D,3,FALSE)</f>
        <v>13</v>
      </c>
      <c r="AA9535" s="93">
        <f>AA9534</f>
        <v>0.2</v>
      </c>
      <c r="AB9535" s="93">
        <f>AD9535/AC9526</f>
        <v>65</v>
      </c>
      <c r="AC9535" s="93">
        <f>AC9526/AA9535</f>
        <v>103.99999999999999</v>
      </c>
      <c r="AD9535" s="94">
        <f>AC9535*Z9535</f>
        <v>1351.9999999999998</v>
      </c>
      <c r="AE9535" s="190"/>
      <c r="AF9535" s="191"/>
      <c r="AG9535" s="191"/>
      <c r="AH9535" s="191"/>
      <c r="AI9535" s="186"/>
      <c r="AK9535" s="171"/>
    </row>
    <row r="9536" spans="1:37" s="103" customFormat="1" ht="19.899999999999999" customHeight="1" x14ac:dyDescent="0.25">
      <c r="A9536" s="51"/>
      <c r="B9536" s="52"/>
      <c r="C9536" s="165"/>
      <c r="D9536" s="52"/>
      <c r="E9536" s="115"/>
      <c r="F9536" s="58"/>
      <c r="G9536" s="58"/>
      <c r="H9536" s="58"/>
      <c r="I9536" s="55"/>
      <c r="J9536" s="113">
        <f>J9520</f>
        <v>20.799999999999997</v>
      </c>
      <c r="K9536" s="212">
        <f>K9520</f>
        <v>20.799999999999997</v>
      </c>
      <c r="L9536" s="58"/>
      <c r="M9536" s="58">
        <f>K9536-L9536</f>
        <v>20.799999999999997</v>
      </c>
      <c r="N9536" s="166"/>
      <c r="O9536" s="58"/>
      <c r="P9536" s="58"/>
      <c r="Q9536" s="58"/>
      <c r="R9536" s="58"/>
      <c r="S9536" s="58"/>
      <c r="T9536" s="220"/>
      <c r="U9536" s="88"/>
      <c r="V9536" s="56"/>
      <c r="W9536" s="57" t="s">
        <v>1358</v>
      </c>
      <c r="X9536" s="53"/>
      <c r="Y9536" s="91" t="s">
        <v>35</v>
      </c>
      <c r="Z9536" s="136">
        <f>AD9536/AC9536</f>
        <v>1470.0000000000002</v>
      </c>
      <c r="AA9536" s="58"/>
      <c r="AB9536" s="53">
        <f>AD9536/AC9536</f>
        <v>1470.0000000000002</v>
      </c>
      <c r="AC9536" s="53">
        <f>M9536+$AE$10</f>
        <v>20.799999999999997</v>
      </c>
      <c r="AD9536" s="54">
        <f>SUM(AD9537:AD9538)</f>
        <v>30576</v>
      </c>
      <c r="AE9536" s="184">
        <f>SUMIFS($AD$37:$AD$12971,$V$37:$V$12971,$V9536,$X$37:$X$12971,AE$13)</f>
        <v>0</v>
      </c>
      <c r="AF9536" s="185">
        <f>SUMIFS($AD$37:$AD$12971,$V$37:$V$12971,$V9536,$X$37:$X$12971,AF$13)</f>
        <v>0</v>
      </c>
      <c r="AG9536" s="185">
        <f>SUMIFS($AD$37:$AD$12971,$V$37:$V$12971,$V9536,$X$37:$X$12971,AG$13)</f>
        <v>0</v>
      </c>
      <c r="AH9536" s="187">
        <f>SUMIFS($AD$37:$AD$12971,$V$37:$V$12971,$V9536,$X$37:$X$12971,AH$13)</f>
        <v>0</v>
      </c>
      <c r="AI9536" s="161">
        <f t="shared" ref="AI9536" si="6410">SUM(AE9536:AH9536)</f>
        <v>0</v>
      </c>
      <c r="AK9536" s="172"/>
    </row>
    <row r="9537" spans="1:41" s="102" customFormat="1" ht="19.899999999999999" customHeight="1" x14ac:dyDescent="0.25">
      <c r="A9537" s="45"/>
      <c r="B9537" s="59"/>
      <c r="C9537" s="137"/>
      <c r="D9537" s="59"/>
      <c r="E9537" s="116"/>
      <c r="F9537" s="120"/>
      <c r="G9537" s="120"/>
      <c r="H9537" s="120"/>
      <c r="I9537" s="60"/>
      <c r="J9537" s="116"/>
      <c r="K9537" s="213"/>
      <c r="L9537" s="120"/>
      <c r="M9537" s="120"/>
      <c r="N9537" s="167"/>
      <c r="O9537" s="120"/>
      <c r="P9537" s="120"/>
      <c r="Q9537" s="120"/>
      <c r="R9537" s="120"/>
      <c r="S9537" s="120"/>
      <c r="T9537" s="221"/>
      <c r="U9537" s="89"/>
      <c r="V9537" s="61"/>
      <c r="W9537" s="92" t="s">
        <v>1359</v>
      </c>
      <c r="X9537" s="93" t="s">
        <v>32</v>
      </c>
      <c r="Y9537" s="93" t="s">
        <v>64</v>
      </c>
      <c r="Z9537" s="134">
        <f>VLOOKUP(W9537,Sheet2!$B:$D,3,FALSE)</f>
        <v>40</v>
      </c>
      <c r="AA9537" s="93">
        <f>1/(1.5*3.5*4)</f>
        <v>4.7619047619047616E-2</v>
      </c>
      <c r="AB9537" s="93">
        <f t="shared" ref="AB9537" si="6411">AD9537/AC9536</f>
        <v>840.00000000000011</v>
      </c>
      <c r="AC9537" s="93">
        <f>AC9536/AA9537</f>
        <v>436.79999999999995</v>
      </c>
      <c r="AD9537" s="94">
        <f t="shared" ref="AD9537:AD9538" si="6412">AC9537*Z9537</f>
        <v>17472</v>
      </c>
      <c r="AE9537" s="190"/>
      <c r="AF9537" s="191"/>
      <c r="AG9537" s="191"/>
      <c r="AH9537" s="191"/>
      <c r="AI9537" s="186"/>
      <c r="AK9537" s="171"/>
    </row>
    <row r="9538" spans="1:41" s="102" customFormat="1" ht="19.899999999999999" customHeight="1" x14ac:dyDescent="0.25">
      <c r="A9538" s="45"/>
      <c r="B9538" s="59"/>
      <c r="C9538" s="137"/>
      <c r="D9538" s="59"/>
      <c r="E9538" s="116"/>
      <c r="F9538" s="120"/>
      <c r="G9538" s="120"/>
      <c r="H9538" s="120"/>
      <c r="I9538" s="60"/>
      <c r="J9538" s="116"/>
      <c r="K9538" s="213"/>
      <c r="L9538" s="120"/>
      <c r="M9538" s="120"/>
      <c r="N9538" s="167"/>
      <c r="O9538" s="120"/>
      <c r="P9538" s="120"/>
      <c r="Q9538" s="120"/>
      <c r="R9538" s="120"/>
      <c r="S9538" s="120"/>
      <c r="T9538" s="221"/>
      <c r="U9538" s="89"/>
      <c r="V9538" s="61"/>
      <c r="W9538" s="92" t="s">
        <v>1360</v>
      </c>
      <c r="X9538" s="93" t="s">
        <v>32</v>
      </c>
      <c r="Y9538" s="93" t="s">
        <v>64</v>
      </c>
      <c r="Z9538" s="134">
        <f>VLOOKUP(W9538,Sheet2!$B:$D,3,FALSE)</f>
        <v>30</v>
      </c>
      <c r="AA9538" s="93">
        <f>AA9537</f>
        <v>4.7619047619047616E-2</v>
      </c>
      <c r="AB9538" s="93">
        <f>AD9538/AC9536</f>
        <v>630</v>
      </c>
      <c r="AC9538" s="93">
        <f>AC9536/AA9538</f>
        <v>436.79999999999995</v>
      </c>
      <c r="AD9538" s="94">
        <f t="shared" si="6412"/>
        <v>13103.999999999998</v>
      </c>
      <c r="AE9538" s="190"/>
      <c r="AF9538" s="191"/>
      <c r="AG9538" s="191"/>
      <c r="AH9538" s="191"/>
      <c r="AI9538" s="186"/>
      <c r="AK9538" s="171"/>
    </row>
    <row r="9539" spans="1:41" s="103" customFormat="1" ht="19.899999999999999" customHeight="1" x14ac:dyDescent="0.25">
      <c r="A9539" s="51"/>
      <c r="B9539" s="52"/>
      <c r="C9539" s="165"/>
      <c r="D9539" s="52"/>
      <c r="E9539" s="115"/>
      <c r="F9539" s="58"/>
      <c r="G9539" s="58"/>
      <c r="H9539" s="58"/>
      <c r="I9539" s="55"/>
      <c r="J9539" s="113">
        <f>J9520</f>
        <v>20.799999999999997</v>
      </c>
      <c r="K9539" s="212">
        <f>K9520</f>
        <v>20.799999999999997</v>
      </c>
      <c r="L9539" s="58"/>
      <c r="M9539" s="58">
        <f>K9539-L9539</f>
        <v>20.799999999999997</v>
      </c>
      <c r="N9539" s="166"/>
      <c r="O9539" s="58"/>
      <c r="P9539" s="58"/>
      <c r="Q9539" s="58"/>
      <c r="R9539" s="58"/>
      <c r="S9539" s="58"/>
      <c r="T9539" s="220"/>
      <c r="U9539" s="88"/>
      <c r="V9539" s="56"/>
      <c r="W9539" s="57" t="s">
        <v>1272</v>
      </c>
      <c r="X9539" s="53"/>
      <c r="Y9539" s="91" t="s">
        <v>35</v>
      </c>
      <c r="Z9539" s="136">
        <f>AD9539/AC9539</f>
        <v>370.09518823529419</v>
      </c>
      <c r="AA9539" s="58"/>
      <c r="AB9539" s="53">
        <f>AD9539/AC9539</f>
        <v>370.09518823529419</v>
      </c>
      <c r="AC9539" s="53">
        <f>M9539+$AE$10</f>
        <v>20.799999999999997</v>
      </c>
      <c r="AD9539" s="54">
        <f>SUM(AD9540:AD9548)</f>
        <v>7697.9799152941177</v>
      </c>
      <c r="AE9539" s="184">
        <f>SUMIFS($AD$37:$AD$12971,$V$37:$V$12971,$V9539,$X$37:$X$12971,AE$13)</f>
        <v>0</v>
      </c>
      <c r="AF9539" s="185">
        <f>SUMIFS($AD$37:$AD$12971,$V$37:$V$12971,$V9539,$X$37:$X$12971,AF$13)</f>
        <v>0</v>
      </c>
      <c r="AG9539" s="185">
        <f>SUMIFS($AD$37:$AD$12971,$V$37:$V$12971,$V9539,$X$37:$X$12971,AG$13)</f>
        <v>0</v>
      </c>
      <c r="AH9539" s="187">
        <f>SUMIFS($AD$37:$AD$12971,$V$37:$V$12971,$V9539,$X$37:$X$12971,AH$13)</f>
        <v>0</v>
      </c>
      <c r="AI9539" s="161">
        <f t="shared" ref="AI9539" si="6413">SUM(AE9539:AH9539)</f>
        <v>0</v>
      </c>
      <c r="AK9539" s="172"/>
    </row>
    <row r="9540" spans="1:41" s="102" customFormat="1" ht="19.899999999999999" customHeight="1" x14ac:dyDescent="0.25">
      <c r="A9540" s="45"/>
      <c r="B9540" s="59"/>
      <c r="C9540" s="137"/>
      <c r="D9540" s="59"/>
      <c r="E9540" s="116"/>
      <c r="F9540" s="120"/>
      <c r="G9540" s="120"/>
      <c r="H9540" s="120"/>
      <c r="I9540" s="60"/>
      <c r="J9540" s="116"/>
      <c r="K9540" s="213"/>
      <c r="L9540" s="120"/>
      <c r="M9540" s="120"/>
      <c r="N9540" s="167"/>
      <c r="O9540" s="120"/>
      <c r="P9540" s="120"/>
      <c r="Q9540" s="120"/>
      <c r="R9540" s="120"/>
      <c r="S9540" s="120"/>
      <c r="T9540" s="221"/>
      <c r="U9540" s="89"/>
      <c r="V9540" s="61"/>
      <c r="W9540" s="92" t="s">
        <v>1273</v>
      </c>
      <c r="X9540" s="93" t="s">
        <v>30</v>
      </c>
      <c r="Y9540" s="93" t="s">
        <v>66</v>
      </c>
      <c r="Z9540" s="134">
        <f>VLOOKUP(W9540,Sheet2!$B:$D,3,FALSE)</f>
        <v>10</v>
      </c>
      <c r="AA9540" s="93">
        <f>1/((3*3*3.5)-(1.5*1.5*3.5))</f>
        <v>4.2328042328042326E-2</v>
      </c>
      <c r="AB9540" s="93">
        <f>AD9540/AC9539</f>
        <v>236.25000000000003</v>
      </c>
      <c r="AC9540" s="93">
        <f>AC9539/AA9540</f>
        <v>491.4</v>
      </c>
      <c r="AD9540" s="94">
        <f t="shared" ref="AD9540:AD9542" si="6414">AC9540*Z9540</f>
        <v>4914</v>
      </c>
      <c r="AE9540" s="190"/>
      <c r="AF9540" s="191"/>
      <c r="AG9540" s="191"/>
      <c r="AH9540" s="191"/>
      <c r="AI9540" s="186"/>
      <c r="AK9540" s="171"/>
    </row>
    <row r="9541" spans="1:41" s="102" customFormat="1" ht="19.899999999999999" customHeight="1" x14ac:dyDescent="0.25">
      <c r="A9541" s="45"/>
      <c r="B9541" s="59"/>
      <c r="C9541" s="137"/>
      <c r="D9541" s="59"/>
      <c r="E9541" s="116"/>
      <c r="F9541" s="120"/>
      <c r="G9541" s="120"/>
      <c r="H9541" s="120"/>
      <c r="I9541" s="60"/>
      <c r="J9541" s="116"/>
      <c r="K9541" s="213"/>
      <c r="L9541" s="120"/>
      <c r="M9541" s="120"/>
      <c r="N9541" s="167"/>
      <c r="O9541" s="120"/>
      <c r="P9541" s="120"/>
      <c r="Q9541" s="120"/>
      <c r="R9541" s="120"/>
      <c r="S9541" s="120"/>
      <c r="T9541" s="221"/>
      <c r="U9541" s="89"/>
      <c r="V9541" s="61"/>
      <c r="W9541" s="92" t="s">
        <v>134</v>
      </c>
      <c r="X9541" s="93" t="s">
        <v>29</v>
      </c>
      <c r="Y9541" s="93" t="s">
        <v>93</v>
      </c>
      <c r="Z9541" s="134">
        <f>VLOOKUP(W9541,Sheet2!$B:$D,3,FALSE)</f>
        <v>65.599999999999994</v>
      </c>
      <c r="AA9541" s="93">
        <f>100/((3*3*3.5)-(1.5*1.5*3.5))</f>
        <v>4.2328042328042326</v>
      </c>
      <c r="AB9541" s="93">
        <f t="shared" ref="AB9541" si="6415">AD9541/AC9539</f>
        <v>15.498000000000001</v>
      </c>
      <c r="AC9541" s="93">
        <f>AC9539/AA9541</f>
        <v>4.9139999999999997</v>
      </c>
      <c r="AD9541" s="94">
        <f t="shared" si="6414"/>
        <v>322.35839999999996</v>
      </c>
      <c r="AE9541" s="190"/>
      <c r="AF9541" s="191"/>
      <c r="AG9541" s="191"/>
      <c r="AH9541" s="191"/>
      <c r="AI9541" s="186"/>
      <c r="AK9541" s="171"/>
    </row>
    <row r="9542" spans="1:41" s="102" customFormat="1" ht="19.899999999999999" customHeight="1" x14ac:dyDescent="0.25">
      <c r="A9542" s="45"/>
      <c r="B9542" s="59"/>
      <c r="C9542" s="137"/>
      <c r="D9542" s="59"/>
      <c r="E9542" s="116"/>
      <c r="F9542" s="120"/>
      <c r="G9542" s="120"/>
      <c r="H9542" s="120"/>
      <c r="I9542" s="60"/>
      <c r="J9542" s="116"/>
      <c r="K9542" s="213"/>
      <c r="L9542" s="120"/>
      <c r="M9542" s="120"/>
      <c r="N9542" s="167"/>
      <c r="O9542" s="120"/>
      <c r="P9542" s="120"/>
      <c r="Q9542" s="120"/>
      <c r="R9542" s="120"/>
      <c r="S9542" s="120"/>
      <c r="T9542" s="221"/>
      <c r="U9542" s="89"/>
      <c r="V9542" s="61"/>
      <c r="W9542" s="92" t="s">
        <v>65</v>
      </c>
      <c r="X9542" s="93" t="s">
        <v>30</v>
      </c>
      <c r="Y9542" s="93" t="s">
        <v>1011</v>
      </c>
      <c r="Z9542" s="134">
        <f>VLOOKUP(W9542,Sheet2!$B:$D,3,FALSE)</f>
        <v>1.76</v>
      </c>
      <c r="AA9542" s="93">
        <f>AA9541/9</f>
        <v>0.47031158142269253</v>
      </c>
      <c r="AB9542" s="93">
        <f>AD9542/AC9539</f>
        <v>3.7422</v>
      </c>
      <c r="AC9542" s="93">
        <f>AC9539/AA9542</f>
        <v>44.225999999999992</v>
      </c>
      <c r="AD9542" s="94">
        <f t="shared" si="6414"/>
        <v>77.837759999999989</v>
      </c>
      <c r="AE9542" s="190"/>
      <c r="AF9542" s="191"/>
      <c r="AG9542" s="191"/>
      <c r="AH9542" s="191"/>
      <c r="AI9542" s="186"/>
      <c r="AK9542" s="171"/>
    </row>
    <row r="9543" spans="1:41" s="102" customFormat="1" ht="19.899999999999999" customHeight="1" x14ac:dyDescent="0.25">
      <c r="A9543" s="45"/>
      <c r="B9543" s="59"/>
      <c r="C9543" s="137"/>
      <c r="D9543" s="59"/>
      <c r="E9543" s="116"/>
      <c r="F9543" s="120"/>
      <c r="G9543" s="120"/>
      <c r="H9543" s="120"/>
      <c r="I9543" s="60"/>
      <c r="J9543" s="116"/>
      <c r="K9543" s="213"/>
      <c r="L9543" s="120"/>
      <c r="M9543" s="120"/>
      <c r="N9543" s="167"/>
      <c r="O9543" s="120"/>
      <c r="P9543" s="120"/>
      <c r="Q9543" s="120"/>
      <c r="R9543" s="120"/>
      <c r="S9543" s="120"/>
      <c r="T9543" s="221"/>
      <c r="U9543" s="89"/>
      <c r="V9543" s="61"/>
      <c r="W9543" s="92" t="s">
        <v>161</v>
      </c>
      <c r="X9543" s="93" t="s">
        <v>29</v>
      </c>
      <c r="Y9543" s="93" t="s">
        <v>93</v>
      </c>
      <c r="Z9543" s="134">
        <f>VLOOKUP(W9543,Sheet2!$B:$D,3,FALSE)</f>
        <v>48</v>
      </c>
      <c r="AA9543" s="93">
        <f>(16*0.85*1.5)/((3*3*3.5)-(1.5*1.5*3.5))</f>
        <v>0.86349206349206342</v>
      </c>
      <c r="AB9543" s="93">
        <f>AD9543/AC9539</f>
        <v>55.588235294117645</v>
      </c>
      <c r="AC9543" s="93">
        <f>AC9539/AA9543</f>
        <v>24.088235294117645</v>
      </c>
      <c r="AD9543" s="94">
        <f>AC9543*Z9543</f>
        <v>1156.2352941176468</v>
      </c>
      <c r="AE9543" s="190"/>
      <c r="AF9543" s="191"/>
      <c r="AG9543" s="191"/>
      <c r="AH9543" s="191"/>
      <c r="AI9543" s="186"/>
      <c r="AK9543" s="171"/>
    </row>
    <row r="9544" spans="1:41" s="102" customFormat="1" ht="19.899999999999999" customHeight="1" x14ac:dyDescent="0.25">
      <c r="A9544" s="45"/>
      <c r="B9544" s="59"/>
      <c r="C9544" s="137"/>
      <c r="D9544" s="59"/>
      <c r="E9544" s="116"/>
      <c r="F9544" s="120"/>
      <c r="G9544" s="120"/>
      <c r="H9544" s="120"/>
      <c r="I9544" s="60"/>
      <c r="J9544" s="116"/>
      <c r="K9544" s="213"/>
      <c r="L9544" s="120"/>
      <c r="M9544" s="120"/>
      <c r="N9544" s="167"/>
      <c r="O9544" s="120"/>
      <c r="P9544" s="120"/>
      <c r="Q9544" s="120"/>
      <c r="R9544" s="120"/>
      <c r="S9544" s="120"/>
      <c r="T9544" s="221"/>
      <c r="U9544" s="89"/>
      <c r="V9544" s="61"/>
      <c r="W9544" s="92" t="s">
        <v>65</v>
      </c>
      <c r="X9544" s="93" t="s">
        <v>30</v>
      </c>
      <c r="Y9544" s="93" t="s">
        <v>1011</v>
      </c>
      <c r="Z9544" s="134">
        <f>VLOOKUP(W9544,Sheet2!$B:$D,3,FALSE)</f>
        <v>1.76</v>
      </c>
      <c r="AA9544" s="93">
        <f>AA9543/10</f>
        <v>8.6349206349206342E-2</v>
      </c>
      <c r="AB9544" s="93">
        <f>AD9544/AC9539</f>
        <v>20.382352941176471</v>
      </c>
      <c r="AC9544" s="93">
        <f>AC9539/AA9544</f>
        <v>240.88235294117646</v>
      </c>
      <c r="AD9544" s="94">
        <f>AC9544*Z9544</f>
        <v>423.95294117647057</v>
      </c>
      <c r="AE9544" s="190"/>
      <c r="AF9544" s="191"/>
      <c r="AG9544" s="191"/>
      <c r="AH9544" s="191"/>
      <c r="AI9544" s="186"/>
      <c r="AK9544" s="171"/>
    </row>
    <row r="9545" spans="1:41" s="102" customFormat="1" ht="19.899999999999999" customHeight="1" x14ac:dyDescent="0.25">
      <c r="A9545" s="45"/>
      <c r="B9545" s="59"/>
      <c r="C9545" s="137"/>
      <c r="D9545" s="59"/>
      <c r="E9545" s="116"/>
      <c r="F9545" s="120"/>
      <c r="G9545" s="120"/>
      <c r="H9545" s="120"/>
      <c r="I9545" s="60"/>
      <c r="J9545" s="116"/>
      <c r="K9545" s="213"/>
      <c r="L9545" s="120"/>
      <c r="M9545" s="120"/>
      <c r="N9545" s="167"/>
      <c r="O9545" s="120"/>
      <c r="P9545" s="120"/>
      <c r="Q9545" s="120"/>
      <c r="R9545" s="120"/>
      <c r="S9545" s="120"/>
      <c r="T9545" s="221"/>
      <c r="U9545" s="89"/>
      <c r="V9545" s="61"/>
      <c r="W9545" s="92" t="s">
        <v>173</v>
      </c>
      <c r="X9545" s="93" t="s">
        <v>29</v>
      </c>
      <c r="Y9545" s="93" t="s">
        <v>93</v>
      </c>
      <c r="Z9545" s="134">
        <f>VLOOKUP(W9545,Sheet2!$B:$D,3,FALSE)</f>
        <v>36</v>
      </c>
      <c r="AA9545" s="93">
        <f>50/((3*3*3.5)-(1.5*1.5*3.5))</f>
        <v>2.1164021164021163</v>
      </c>
      <c r="AB9545" s="93">
        <f>AD9545/AC9539</f>
        <v>17.010000000000002</v>
      </c>
      <c r="AC9545" s="93">
        <f>AC9539/AA9545</f>
        <v>9.8279999999999994</v>
      </c>
      <c r="AD9545" s="94">
        <f>AC9545*Z9545</f>
        <v>353.80799999999999</v>
      </c>
      <c r="AE9545" s="190"/>
      <c r="AF9545" s="191"/>
      <c r="AG9545" s="191"/>
      <c r="AH9545" s="191"/>
      <c r="AI9545" s="186"/>
      <c r="AK9545" s="171"/>
    </row>
    <row r="9546" spans="1:41" s="102" customFormat="1" ht="19.899999999999999" customHeight="1" x14ac:dyDescent="0.25">
      <c r="A9546" s="45"/>
      <c r="B9546" s="59"/>
      <c r="C9546" s="137"/>
      <c r="D9546" s="59"/>
      <c r="E9546" s="116"/>
      <c r="F9546" s="120"/>
      <c r="G9546" s="120"/>
      <c r="H9546" s="120"/>
      <c r="I9546" s="60"/>
      <c r="J9546" s="116"/>
      <c r="K9546" s="213"/>
      <c r="L9546" s="120"/>
      <c r="M9546" s="120"/>
      <c r="N9546" s="167"/>
      <c r="O9546" s="120"/>
      <c r="P9546" s="120"/>
      <c r="Q9546" s="120"/>
      <c r="R9546" s="120"/>
      <c r="S9546" s="120"/>
      <c r="T9546" s="221"/>
      <c r="U9546" s="89"/>
      <c r="V9546" s="61"/>
      <c r="W9546" s="92" t="s">
        <v>65</v>
      </c>
      <c r="X9546" s="93" t="s">
        <v>30</v>
      </c>
      <c r="Y9546" s="93" t="s">
        <v>1011</v>
      </c>
      <c r="Z9546" s="134">
        <f>VLOOKUP(W9546,Sheet2!$B:$D,3,FALSE)</f>
        <v>1.76</v>
      </c>
      <c r="AA9546" s="93">
        <f>AA9545/9</f>
        <v>0.23515579071134626</v>
      </c>
      <c r="AB9546" s="93">
        <f>AD9546/AC9539</f>
        <v>7.4843999999999999</v>
      </c>
      <c r="AC9546" s="93">
        <f>AC9539/AA9546</f>
        <v>88.451999999999984</v>
      </c>
      <c r="AD9546" s="94">
        <f>AC9546*Z9546</f>
        <v>155.67551999999998</v>
      </c>
      <c r="AE9546" s="190"/>
      <c r="AF9546" s="191"/>
      <c r="AG9546" s="191"/>
      <c r="AH9546" s="191"/>
      <c r="AI9546" s="186"/>
      <c r="AK9546" s="171"/>
    </row>
    <row r="9547" spans="1:41" s="102" customFormat="1" ht="19.899999999999999" customHeight="1" x14ac:dyDescent="0.25">
      <c r="A9547" s="45"/>
      <c r="B9547" s="59"/>
      <c r="C9547" s="137"/>
      <c r="D9547" s="59"/>
      <c r="E9547" s="116"/>
      <c r="F9547" s="120"/>
      <c r="G9547" s="120"/>
      <c r="H9547" s="120"/>
      <c r="I9547" s="60"/>
      <c r="J9547" s="116"/>
      <c r="K9547" s="213"/>
      <c r="L9547" s="120"/>
      <c r="M9547" s="120"/>
      <c r="N9547" s="167"/>
      <c r="O9547" s="120"/>
      <c r="P9547" s="120"/>
      <c r="Q9547" s="120"/>
      <c r="R9547" s="120"/>
      <c r="S9547" s="120"/>
      <c r="T9547" s="221"/>
      <c r="U9547" s="89"/>
      <c r="V9547" s="61"/>
      <c r="W9547" s="92" t="s">
        <v>1030</v>
      </c>
      <c r="X9547" s="93" t="s">
        <v>29</v>
      </c>
      <c r="Y9547" s="93" t="s">
        <v>93</v>
      </c>
      <c r="Z9547" s="134">
        <f>VLOOKUP(W9547,Sheet2!$B:$D,3,FALSE)</f>
        <v>23</v>
      </c>
      <c r="AA9547" s="93">
        <v>2</v>
      </c>
      <c r="AB9547" s="93">
        <f>AD9547/AC9539</f>
        <v>11.5</v>
      </c>
      <c r="AC9547" s="93">
        <f>AC9539/AA9547</f>
        <v>10.399999999999999</v>
      </c>
      <c r="AD9547" s="94">
        <f t="shared" ref="AD9547:AD9548" si="6416">AC9547*Z9547</f>
        <v>239.19999999999996</v>
      </c>
      <c r="AE9547" s="190"/>
      <c r="AF9547" s="191"/>
      <c r="AG9547" s="191"/>
      <c r="AH9547" s="191"/>
      <c r="AI9547" s="186"/>
      <c r="AK9547" s="171"/>
    </row>
    <row r="9548" spans="1:41" s="102" customFormat="1" ht="19.899999999999999" customHeight="1" x14ac:dyDescent="0.25">
      <c r="A9548" s="45"/>
      <c r="B9548" s="59"/>
      <c r="C9548" s="137"/>
      <c r="D9548" s="59"/>
      <c r="E9548" s="116"/>
      <c r="F9548" s="120"/>
      <c r="G9548" s="120"/>
      <c r="H9548" s="120"/>
      <c r="I9548" s="60"/>
      <c r="J9548" s="116"/>
      <c r="K9548" s="213"/>
      <c r="L9548" s="120"/>
      <c r="M9548" s="120"/>
      <c r="N9548" s="167"/>
      <c r="O9548" s="120"/>
      <c r="P9548" s="120"/>
      <c r="Q9548" s="120"/>
      <c r="R9548" s="120"/>
      <c r="S9548" s="120"/>
      <c r="T9548" s="221"/>
      <c r="U9548" s="89"/>
      <c r="V9548" s="61"/>
      <c r="W9548" s="92" t="s">
        <v>65</v>
      </c>
      <c r="X9548" s="93" t="s">
        <v>30</v>
      </c>
      <c r="Y9548" s="93" t="s">
        <v>1011</v>
      </c>
      <c r="Z9548" s="134">
        <f>VLOOKUP(W9548,Sheet2!$B:$D,3,FALSE)</f>
        <v>1.76</v>
      </c>
      <c r="AA9548" s="93">
        <f>AA9547/3</f>
        <v>0.66666666666666663</v>
      </c>
      <c r="AB9548" s="93">
        <f>AD9548/AC9539</f>
        <v>2.64</v>
      </c>
      <c r="AC9548" s="93">
        <f>AC9539/AA9548</f>
        <v>31.199999999999996</v>
      </c>
      <c r="AD9548" s="94">
        <f t="shared" si="6416"/>
        <v>54.911999999999992</v>
      </c>
      <c r="AE9548" s="190"/>
      <c r="AF9548" s="191"/>
      <c r="AG9548" s="191"/>
      <c r="AH9548" s="191"/>
      <c r="AI9548" s="186"/>
      <c r="AK9548" s="171"/>
    </row>
    <row r="9549" spans="1:41" ht="20.100000000000001" customHeight="1" x14ac:dyDescent="0.25">
      <c r="A9549" s="277" t="s">
        <v>703</v>
      </c>
      <c r="B9549" s="278"/>
      <c r="C9549" s="64" t="s">
        <v>818</v>
      </c>
      <c r="D9549" s="46" t="s">
        <v>215</v>
      </c>
      <c r="E9549" s="114">
        <v>4.9499999999999993</v>
      </c>
      <c r="F9549" s="44">
        <v>18282</v>
      </c>
      <c r="G9549" s="44">
        <f t="shared" si="5545"/>
        <v>90495.9</v>
      </c>
      <c r="H9549" s="44">
        <f t="shared" si="5546"/>
        <v>8485.8341122171951</v>
      </c>
      <c r="I9549" s="43">
        <f t="shared" si="5547"/>
        <v>42004.878855475108</v>
      </c>
      <c r="J9549" s="112">
        <f t="shared" si="5548"/>
        <v>4.9499999999999993</v>
      </c>
      <c r="K9549" s="211">
        <f t="shared" si="5549"/>
        <v>4.9499999999999993</v>
      </c>
      <c r="L9549" s="44"/>
      <c r="M9549" s="44">
        <f t="shared" si="5550"/>
        <v>4.9499999999999993</v>
      </c>
      <c r="N9549" s="173">
        <f t="shared" si="5551"/>
        <v>1</v>
      </c>
      <c r="O9549" s="44">
        <f t="shared" si="5552"/>
        <v>18282</v>
      </c>
      <c r="P9549" s="44">
        <f t="shared" si="5553"/>
        <v>90495.9</v>
      </c>
      <c r="Q9549" s="44">
        <f t="shared" si="5554"/>
        <v>8485.8341122171951</v>
      </c>
      <c r="R9549" s="44">
        <f t="shared" si="5555"/>
        <v>42004.878855475108</v>
      </c>
      <c r="S9549" s="123"/>
      <c r="T9549" s="219">
        <f t="shared" si="5556"/>
        <v>42004.878855475108</v>
      </c>
      <c r="U9549" s="87"/>
      <c r="V9549" s="47"/>
      <c r="W9549" s="48"/>
      <c r="X9549" s="48"/>
      <c r="Y9549" s="48"/>
      <c r="Z9549" s="135"/>
      <c r="AA9549" s="49"/>
      <c r="AB9549" s="50">
        <f t="shared" si="5557"/>
        <v>8485.8341122171951</v>
      </c>
      <c r="AC9549" s="42">
        <f t="shared" si="5558"/>
        <v>4.9499999999999993</v>
      </c>
      <c r="AD9549" s="90">
        <f>AD9550+AD9555+AD9565+AD9568</f>
        <v>42004.878855475108</v>
      </c>
      <c r="AE9549" s="188">
        <f t="shared" ref="AE9549" si="6417">AE9550+AE9555+AE9565+AE9568</f>
        <v>0</v>
      </c>
      <c r="AF9549" s="189">
        <f t="shared" ref="AF9549" si="6418">AF9550+AF9555+AF9565+AF9568</f>
        <v>0</v>
      </c>
      <c r="AG9549" s="189">
        <f t="shared" ref="AG9549" si="6419">AG9550+AG9555+AG9565+AG9568</f>
        <v>0</v>
      </c>
      <c r="AH9549" s="189">
        <f t="shared" ref="AH9549" si="6420">AH9550+AH9555+AH9565+AH9568</f>
        <v>0</v>
      </c>
      <c r="AI9549" s="161">
        <f t="shared" si="6403"/>
        <v>0</v>
      </c>
      <c r="AK9549" s="169">
        <v>5</v>
      </c>
      <c r="AO9549" s="19" t="s">
        <v>63</v>
      </c>
    </row>
    <row r="9550" spans="1:41" s="103" customFormat="1" ht="19.899999999999999" customHeight="1" x14ac:dyDescent="0.25">
      <c r="A9550" s="51"/>
      <c r="B9550" s="52"/>
      <c r="C9550" s="165"/>
      <c r="D9550" s="52"/>
      <c r="E9550" s="115"/>
      <c r="F9550" s="58"/>
      <c r="G9550" s="58"/>
      <c r="H9550" s="58"/>
      <c r="I9550" s="55"/>
      <c r="J9550" s="113">
        <f>J9549</f>
        <v>4.9499999999999993</v>
      </c>
      <c r="K9550" s="212">
        <f>K9549</f>
        <v>4.9499999999999993</v>
      </c>
      <c r="L9550" s="58"/>
      <c r="M9550" s="58">
        <f>K9550-L9550</f>
        <v>4.9499999999999993</v>
      </c>
      <c r="N9550" s="166"/>
      <c r="O9550" s="58"/>
      <c r="P9550" s="58"/>
      <c r="Q9550" s="58"/>
      <c r="R9550" s="58"/>
      <c r="S9550" s="58"/>
      <c r="T9550" s="220"/>
      <c r="U9550" s="88"/>
      <c r="V9550" s="56"/>
      <c r="W9550" s="57" t="s">
        <v>1513</v>
      </c>
      <c r="X9550" s="53"/>
      <c r="Y9550" s="91" t="s">
        <v>35</v>
      </c>
      <c r="Z9550" s="136">
        <f>AD9550/AC9550</f>
        <v>144.79510588235294</v>
      </c>
      <c r="AA9550" s="58"/>
      <c r="AB9550" s="53">
        <f>AD9550/AC9550</f>
        <v>144.79510588235294</v>
      </c>
      <c r="AC9550" s="53">
        <f>M9550+$AE$10</f>
        <v>4.9499999999999993</v>
      </c>
      <c r="AD9550" s="54">
        <f>SUM(AD9551:AD9554)</f>
        <v>716.735774117647</v>
      </c>
      <c r="AE9550" s="184">
        <f>SUMIFS($AD$37:$AD$12971,$V$37:$V$12971,$V9550,$X$37:$X$12971,AE$13)</f>
        <v>0</v>
      </c>
      <c r="AF9550" s="185">
        <f>SUMIFS($AD$37:$AD$12971,$V$37:$V$12971,$V9550,$X$37:$X$12971,AF$13)</f>
        <v>0</v>
      </c>
      <c r="AG9550" s="185">
        <f>SUMIFS($AD$37:$AD$12971,$V$37:$V$12971,$V9550,$X$37:$X$12971,AG$13)</f>
        <v>0</v>
      </c>
      <c r="AH9550" s="187">
        <f>SUMIFS($AD$37:$AD$12971,$V$37:$V$12971,$V9550,$X$37:$X$12971,AH$13)</f>
        <v>0</v>
      </c>
      <c r="AI9550" s="161">
        <f t="shared" ref="AI9550" si="6421">SUM(AE9550:AH9550)</f>
        <v>0</v>
      </c>
      <c r="AK9550" s="172"/>
    </row>
    <row r="9551" spans="1:41" s="102" customFormat="1" ht="19.899999999999999" customHeight="1" x14ac:dyDescent="0.25">
      <c r="A9551" s="45"/>
      <c r="B9551" s="59"/>
      <c r="C9551" s="137"/>
      <c r="D9551" s="59"/>
      <c r="E9551" s="116"/>
      <c r="F9551" s="120"/>
      <c r="G9551" s="120"/>
      <c r="H9551" s="120"/>
      <c r="I9551" s="60"/>
      <c r="J9551" s="116"/>
      <c r="K9551" s="213"/>
      <c r="L9551" s="120"/>
      <c r="M9551" s="120"/>
      <c r="N9551" s="167"/>
      <c r="O9551" s="120"/>
      <c r="P9551" s="120"/>
      <c r="Q9551" s="120"/>
      <c r="R9551" s="120"/>
      <c r="S9551" s="120"/>
      <c r="T9551" s="221"/>
      <c r="U9551" s="89"/>
      <c r="V9551" s="61"/>
      <c r="W9551" s="92" t="s">
        <v>129</v>
      </c>
      <c r="X9551" s="93" t="s">
        <v>29</v>
      </c>
      <c r="Y9551" s="93" t="s">
        <v>93</v>
      </c>
      <c r="Z9551" s="134">
        <f>VLOOKUP(W9551,Sheet2!$B:$D,3,FALSE)</f>
        <v>56</v>
      </c>
      <c r="AA9551" s="93">
        <f>100/(3*3*4)</f>
        <v>2.7777777777777777</v>
      </c>
      <c r="AB9551" s="93">
        <f t="shared" ref="AB9551" si="6422">AD9551/AC9550</f>
        <v>20.16</v>
      </c>
      <c r="AC9551" s="93">
        <f>AC9550/AA9551</f>
        <v>1.7819999999999998</v>
      </c>
      <c r="AD9551" s="94">
        <f t="shared" ref="AD9551:AD9552" si="6423">AC9551*Z9551</f>
        <v>99.791999999999987</v>
      </c>
      <c r="AE9551" s="190"/>
      <c r="AF9551" s="191"/>
      <c r="AG9551" s="191"/>
      <c r="AH9551" s="191"/>
      <c r="AI9551" s="186"/>
      <c r="AK9551" s="171"/>
    </row>
    <row r="9552" spans="1:41" s="102" customFormat="1" ht="19.899999999999999" customHeight="1" x14ac:dyDescent="0.25">
      <c r="A9552" s="45"/>
      <c r="B9552" s="59"/>
      <c r="C9552" s="137"/>
      <c r="D9552" s="59"/>
      <c r="E9552" s="116"/>
      <c r="F9552" s="120"/>
      <c r="G9552" s="120"/>
      <c r="H9552" s="120"/>
      <c r="I9552" s="60"/>
      <c r="J9552" s="116"/>
      <c r="K9552" s="213"/>
      <c r="L9552" s="120"/>
      <c r="M9552" s="120"/>
      <c r="N9552" s="167"/>
      <c r="O9552" s="120"/>
      <c r="P9552" s="120"/>
      <c r="Q9552" s="120"/>
      <c r="R9552" s="120"/>
      <c r="S9552" s="120"/>
      <c r="T9552" s="221"/>
      <c r="U9552" s="89"/>
      <c r="V9552" s="61"/>
      <c r="W9552" s="92" t="s">
        <v>65</v>
      </c>
      <c r="X9552" s="93" t="s">
        <v>30</v>
      </c>
      <c r="Y9552" s="93" t="s">
        <v>1011</v>
      </c>
      <c r="Z9552" s="134">
        <f>VLOOKUP(W9552,Sheet2!$B:$D,3,FALSE)</f>
        <v>1.76</v>
      </c>
      <c r="AA9552" s="93">
        <f>AA9551/14</f>
        <v>0.1984126984126984</v>
      </c>
      <c r="AB9552" s="93">
        <f>AD9552/AC9550</f>
        <v>8.8704000000000001</v>
      </c>
      <c r="AC9552" s="93">
        <f>AC9550/AA9552</f>
        <v>24.947999999999997</v>
      </c>
      <c r="AD9552" s="94">
        <f t="shared" si="6423"/>
        <v>43.908479999999997</v>
      </c>
      <c r="AE9552" s="190"/>
      <c r="AF9552" s="191"/>
      <c r="AG9552" s="191"/>
      <c r="AH9552" s="191"/>
      <c r="AI9552" s="186"/>
      <c r="AK9552" s="171"/>
    </row>
    <row r="9553" spans="1:37" s="102" customFormat="1" ht="19.899999999999999" customHeight="1" x14ac:dyDescent="0.25">
      <c r="A9553" s="45"/>
      <c r="B9553" s="59"/>
      <c r="C9553" s="137"/>
      <c r="D9553" s="59"/>
      <c r="E9553" s="116"/>
      <c r="F9553" s="120"/>
      <c r="G9553" s="120"/>
      <c r="H9553" s="120"/>
      <c r="I9553" s="60"/>
      <c r="J9553" s="116"/>
      <c r="K9553" s="213"/>
      <c r="L9553" s="120"/>
      <c r="M9553" s="120"/>
      <c r="N9553" s="167"/>
      <c r="O9553" s="120"/>
      <c r="P9553" s="120"/>
      <c r="Q9553" s="120"/>
      <c r="R9553" s="120"/>
      <c r="S9553" s="120"/>
      <c r="T9553" s="221"/>
      <c r="U9553" s="89"/>
      <c r="V9553" s="61"/>
      <c r="W9553" s="92" t="s">
        <v>161</v>
      </c>
      <c r="X9553" s="93" t="s">
        <v>29</v>
      </c>
      <c r="Y9553" s="93" t="s">
        <v>93</v>
      </c>
      <c r="Z9553" s="134">
        <f>VLOOKUP(W9553,Sheet2!$B:$D,3,FALSE)</f>
        <v>48</v>
      </c>
      <c r="AA9553" s="93">
        <f>(16*0.85*1.5)/(3*3*4)</f>
        <v>0.56666666666666665</v>
      </c>
      <c r="AB9553" s="93">
        <f>AD9553/AC9550</f>
        <v>84.705882352941174</v>
      </c>
      <c r="AC9553" s="93">
        <f>AC9550/AA9553</f>
        <v>8.735294117647058</v>
      </c>
      <c r="AD9553" s="94">
        <f>AC9553*Z9553</f>
        <v>419.29411764705878</v>
      </c>
      <c r="AE9553" s="190"/>
      <c r="AF9553" s="191"/>
      <c r="AG9553" s="191"/>
      <c r="AH9553" s="191"/>
      <c r="AI9553" s="186"/>
      <c r="AK9553" s="171"/>
    </row>
    <row r="9554" spans="1:37" s="102" customFormat="1" ht="19.899999999999999" customHeight="1" x14ac:dyDescent="0.25">
      <c r="A9554" s="45"/>
      <c r="B9554" s="59"/>
      <c r="C9554" s="137"/>
      <c r="D9554" s="59"/>
      <c r="E9554" s="116"/>
      <c r="F9554" s="120"/>
      <c r="G9554" s="120"/>
      <c r="H9554" s="120"/>
      <c r="I9554" s="60"/>
      <c r="J9554" s="116"/>
      <c r="K9554" s="213"/>
      <c r="L9554" s="120"/>
      <c r="M9554" s="120"/>
      <c r="N9554" s="167"/>
      <c r="O9554" s="120"/>
      <c r="P9554" s="120"/>
      <c r="Q9554" s="120"/>
      <c r="R9554" s="120"/>
      <c r="S9554" s="120"/>
      <c r="T9554" s="221"/>
      <c r="U9554" s="89"/>
      <c r="V9554" s="61"/>
      <c r="W9554" s="92" t="s">
        <v>65</v>
      </c>
      <c r="X9554" s="93" t="s">
        <v>30</v>
      </c>
      <c r="Y9554" s="93" t="s">
        <v>1011</v>
      </c>
      <c r="Z9554" s="134">
        <f>VLOOKUP(W9554,Sheet2!$B:$D,3,FALSE)</f>
        <v>1.76</v>
      </c>
      <c r="AA9554" s="93">
        <f>AA9553/10</f>
        <v>5.6666666666666664E-2</v>
      </c>
      <c r="AB9554" s="93">
        <f>AD9554/AC9550</f>
        <v>31.058823529411764</v>
      </c>
      <c r="AC9554" s="93">
        <f>AC9550/AA9554</f>
        <v>87.35294117647058</v>
      </c>
      <c r="AD9554" s="94">
        <f>AC9554*Z9554</f>
        <v>153.74117647058821</v>
      </c>
      <c r="AE9554" s="190"/>
      <c r="AF9554" s="191"/>
      <c r="AG9554" s="191"/>
      <c r="AH9554" s="191"/>
      <c r="AI9554" s="186"/>
      <c r="AK9554" s="171"/>
    </row>
    <row r="9555" spans="1:37" s="103" customFormat="1" ht="19.899999999999999" customHeight="1" x14ac:dyDescent="0.25">
      <c r="A9555" s="51"/>
      <c r="B9555" s="52"/>
      <c r="C9555" s="165"/>
      <c r="D9555" s="52"/>
      <c r="E9555" s="115"/>
      <c r="F9555" s="58"/>
      <c r="G9555" s="58"/>
      <c r="H9555" s="58"/>
      <c r="I9555" s="55"/>
      <c r="J9555" s="113">
        <f>J9549</f>
        <v>4.9499999999999993</v>
      </c>
      <c r="K9555" s="212">
        <f>K9549</f>
        <v>4.9499999999999993</v>
      </c>
      <c r="L9555" s="58"/>
      <c r="M9555" s="58">
        <f>K9555-L9555</f>
        <v>4.9499999999999993</v>
      </c>
      <c r="N9555" s="166"/>
      <c r="O9555" s="58"/>
      <c r="P9555" s="58"/>
      <c r="Q9555" s="58"/>
      <c r="R9555" s="58"/>
      <c r="S9555" s="58"/>
      <c r="T9555" s="220"/>
      <c r="U9555" s="88"/>
      <c r="V9555" s="56"/>
      <c r="W9555" s="57" t="s">
        <v>1636</v>
      </c>
      <c r="X9555" s="53"/>
      <c r="Y9555" s="91" t="s">
        <v>35</v>
      </c>
      <c r="Z9555" s="136">
        <f>AD9555/AC9555</f>
        <v>6225.9530769230769</v>
      </c>
      <c r="AA9555" s="58"/>
      <c r="AB9555" s="53">
        <f>AD9555/AC9555</f>
        <v>6225.9530769230769</v>
      </c>
      <c r="AC9555" s="53">
        <f>M9555+$AE$10</f>
        <v>4.9499999999999993</v>
      </c>
      <c r="AD9555" s="54">
        <f>SUM(AD9556:AD9564)</f>
        <v>30818.467730769225</v>
      </c>
      <c r="AE9555" s="184">
        <f>SUMIFS($AD$37:$AD$12971,$V$37:$V$12971,$V9555,$X$37:$X$12971,AE$13)</f>
        <v>0</v>
      </c>
      <c r="AF9555" s="185">
        <f>SUMIFS($AD$37:$AD$12971,$V$37:$V$12971,$V9555,$X$37:$X$12971,AF$13)</f>
        <v>0</v>
      </c>
      <c r="AG9555" s="185">
        <f>SUMIFS($AD$37:$AD$12971,$V$37:$V$12971,$V9555,$X$37:$X$12971,AG$13)</f>
        <v>0</v>
      </c>
      <c r="AH9555" s="187">
        <f>SUMIFS($AD$37:$AD$12971,$V$37:$V$12971,$V9555,$X$37:$X$12971,AH$13)</f>
        <v>0</v>
      </c>
      <c r="AI9555" s="161">
        <f t="shared" ref="AI9555" si="6424">SUM(AE9555:AH9555)</f>
        <v>0</v>
      </c>
      <c r="AK9555" s="172"/>
    </row>
    <row r="9556" spans="1:37" s="102" customFormat="1" ht="19.899999999999999" customHeight="1" x14ac:dyDescent="0.25">
      <c r="A9556" s="45"/>
      <c r="B9556" s="59"/>
      <c r="C9556" s="137"/>
      <c r="D9556" s="59"/>
      <c r="E9556" s="116"/>
      <c r="F9556" s="120"/>
      <c r="G9556" s="120"/>
      <c r="H9556" s="120"/>
      <c r="I9556" s="60"/>
      <c r="J9556" s="116"/>
      <c r="K9556" s="213"/>
      <c r="L9556" s="120"/>
      <c r="M9556" s="120"/>
      <c r="N9556" s="167"/>
      <c r="O9556" s="120"/>
      <c r="P9556" s="120"/>
      <c r="Q9556" s="120"/>
      <c r="R9556" s="120"/>
      <c r="S9556" s="120"/>
      <c r="T9556" s="221"/>
      <c r="U9556" s="89"/>
      <c r="V9556" s="61"/>
      <c r="W9556" s="92" t="s">
        <v>1353</v>
      </c>
      <c r="X9556" s="93" t="s">
        <v>30</v>
      </c>
      <c r="Y9556" s="93" t="s">
        <v>66</v>
      </c>
      <c r="Z9556" s="134">
        <f>VLOOKUP(W9556,Sheet2!$B:$D,3,FALSE)</f>
        <v>350</v>
      </c>
      <c r="AA9556" s="93">
        <f>1/((1.5*4*0.2*4)+(1.5*1.5*0.3))</f>
        <v>0.18264840182648401</v>
      </c>
      <c r="AB9556" s="93">
        <f>AD9556/AC9555</f>
        <v>1916.25</v>
      </c>
      <c r="AC9556" s="93">
        <f>AC9555/AA9556</f>
        <v>27.101249999999997</v>
      </c>
      <c r="AD9556" s="94">
        <f t="shared" ref="AD9556:AD9557" si="6425">AC9556*Z9556</f>
        <v>9485.4374999999982</v>
      </c>
      <c r="AE9556" s="190"/>
      <c r="AF9556" s="191"/>
      <c r="AG9556" s="191"/>
      <c r="AH9556" s="191"/>
      <c r="AI9556" s="186"/>
      <c r="AK9556" s="171"/>
    </row>
    <row r="9557" spans="1:37" s="102" customFormat="1" ht="19.899999999999999" customHeight="1" x14ac:dyDescent="0.25">
      <c r="A9557" s="45"/>
      <c r="B9557" s="59"/>
      <c r="C9557" s="137"/>
      <c r="D9557" s="59"/>
      <c r="E9557" s="116"/>
      <c r="F9557" s="120"/>
      <c r="G9557" s="120"/>
      <c r="H9557" s="120"/>
      <c r="I9557" s="60"/>
      <c r="J9557" s="116"/>
      <c r="K9557" s="213"/>
      <c r="L9557" s="120"/>
      <c r="M9557" s="120"/>
      <c r="N9557" s="167"/>
      <c r="O9557" s="120"/>
      <c r="P9557" s="120"/>
      <c r="Q9557" s="120"/>
      <c r="R9557" s="120"/>
      <c r="S9557" s="120"/>
      <c r="T9557" s="221"/>
      <c r="U9557" s="89"/>
      <c r="V9557" s="61"/>
      <c r="W9557" s="92" t="s">
        <v>99</v>
      </c>
      <c r="X9557" s="93" t="s">
        <v>30</v>
      </c>
      <c r="Y9557" s="93" t="s">
        <v>67</v>
      </c>
      <c r="Z9557" s="134">
        <f>VLOOKUP(W9557,Sheet2!$B:$D,3,FALSE)</f>
        <v>2500</v>
      </c>
      <c r="AA9557" s="93">
        <f>AA9556/0.08</f>
        <v>2.2831050228310499</v>
      </c>
      <c r="AB9557" s="93">
        <f>AD9557/AC9555</f>
        <v>1095.0000000000002</v>
      </c>
      <c r="AC9557" s="93">
        <f>AC9555/AA9557</f>
        <v>2.1680999999999999</v>
      </c>
      <c r="AD9557" s="94">
        <f t="shared" si="6425"/>
        <v>5420.25</v>
      </c>
      <c r="AE9557" s="190"/>
      <c r="AF9557" s="191"/>
      <c r="AG9557" s="191"/>
      <c r="AH9557" s="191"/>
      <c r="AI9557" s="186"/>
      <c r="AK9557" s="171"/>
    </row>
    <row r="9558" spans="1:37" s="102" customFormat="1" ht="19.899999999999999" customHeight="1" x14ac:dyDescent="0.25">
      <c r="A9558" s="45"/>
      <c r="B9558" s="59"/>
      <c r="C9558" s="137"/>
      <c r="D9558" s="59"/>
      <c r="E9558" s="116"/>
      <c r="F9558" s="120"/>
      <c r="G9558" s="120"/>
      <c r="H9558" s="120"/>
      <c r="I9558" s="60"/>
      <c r="J9558" s="116"/>
      <c r="K9558" s="213"/>
      <c r="L9558" s="120"/>
      <c r="M9558" s="120"/>
      <c r="N9558" s="167"/>
      <c r="O9558" s="120"/>
      <c r="P9558" s="120"/>
      <c r="Q9558" s="120"/>
      <c r="R9558" s="120"/>
      <c r="S9558" s="120"/>
      <c r="T9558" s="221"/>
      <c r="U9558" s="89"/>
      <c r="V9558" s="61"/>
      <c r="W9558" s="92" t="s">
        <v>1533</v>
      </c>
      <c r="X9558" s="93" t="s">
        <v>32</v>
      </c>
      <c r="Y9558" s="93" t="s">
        <v>66</v>
      </c>
      <c r="Z9558" s="134">
        <f>VLOOKUP(W9558,Sheet2!$B:$D,3,FALSE)</f>
        <v>300</v>
      </c>
      <c r="AA9558" s="93">
        <f>AA9556</f>
        <v>0.18264840182648401</v>
      </c>
      <c r="AB9558" s="93">
        <f>AD9558/AC9555</f>
        <v>1642.5</v>
      </c>
      <c r="AC9558" s="93">
        <f>AC9555/AA9558</f>
        <v>27.101249999999997</v>
      </c>
      <c r="AD9558" s="94">
        <f>AC9558*Z9558</f>
        <v>8130.3749999999991</v>
      </c>
      <c r="AE9558" s="190"/>
      <c r="AF9558" s="191"/>
      <c r="AG9558" s="191"/>
      <c r="AH9558" s="191"/>
      <c r="AI9558" s="186"/>
      <c r="AK9558" s="171"/>
    </row>
    <row r="9559" spans="1:37" s="102" customFormat="1" ht="19.899999999999999" customHeight="1" x14ac:dyDescent="0.25">
      <c r="A9559" s="45"/>
      <c r="B9559" s="59"/>
      <c r="C9559" s="137"/>
      <c r="D9559" s="59"/>
      <c r="E9559" s="116"/>
      <c r="F9559" s="120"/>
      <c r="G9559" s="120"/>
      <c r="H9559" s="120"/>
      <c r="I9559" s="60"/>
      <c r="J9559" s="116"/>
      <c r="K9559" s="213"/>
      <c r="L9559" s="120"/>
      <c r="M9559" s="120"/>
      <c r="N9559" s="167"/>
      <c r="O9559" s="120"/>
      <c r="P9559" s="120"/>
      <c r="Q9559" s="120"/>
      <c r="R9559" s="120"/>
      <c r="S9559" s="120"/>
      <c r="T9559" s="221"/>
      <c r="U9559" s="89"/>
      <c r="V9559" s="61"/>
      <c r="W9559" s="92" t="s">
        <v>1634</v>
      </c>
      <c r="X9559" s="93" t="s">
        <v>30</v>
      </c>
      <c r="Y9559" s="93" t="s">
        <v>35</v>
      </c>
      <c r="Z9559" s="134">
        <f>VLOOKUP(W9559,Sheet2!$B:$D,3,FALSE)</f>
        <v>1250</v>
      </c>
      <c r="AA9559" s="93">
        <v>1</v>
      </c>
      <c r="AB9559" s="93">
        <f>AD9559/AC9555</f>
        <v>1250</v>
      </c>
      <c r="AC9559" s="93">
        <f>AC9555/AA9559</f>
        <v>4.9499999999999993</v>
      </c>
      <c r="AD9559" s="94">
        <f t="shared" ref="AD9559:AD9560" si="6426">AC9559*Z9559</f>
        <v>6187.4999999999991</v>
      </c>
      <c r="AE9559" s="190"/>
      <c r="AF9559" s="191"/>
      <c r="AG9559" s="191"/>
      <c r="AH9559" s="191"/>
      <c r="AI9559" s="186"/>
      <c r="AK9559" s="171"/>
    </row>
    <row r="9560" spans="1:37" s="102" customFormat="1" ht="19.899999999999999" customHeight="1" x14ac:dyDescent="0.25">
      <c r="A9560" s="45"/>
      <c r="B9560" s="59"/>
      <c r="C9560" s="137"/>
      <c r="D9560" s="59"/>
      <c r="E9560" s="116"/>
      <c r="F9560" s="120"/>
      <c r="G9560" s="120"/>
      <c r="H9560" s="120"/>
      <c r="I9560" s="60"/>
      <c r="J9560" s="116"/>
      <c r="K9560" s="213"/>
      <c r="L9560" s="120"/>
      <c r="M9560" s="120"/>
      <c r="N9560" s="167"/>
      <c r="O9560" s="120"/>
      <c r="P9560" s="120"/>
      <c r="Q9560" s="120"/>
      <c r="R9560" s="120"/>
      <c r="S9560" s="120"/>
      <c r="T9560" s="221"/>
      <c r="U9560" s="89"/>
      <c r="V9560" s="61"/>
      <c r="W9560" s="92" t="s">
        <v>142</v>
      </c>
      <c r="X9560" s="93" t="s">
        <v>29</v>
      </c>
      <c r="Y9560" s="93" t="s">
        <v>93</v>
      </c>
      <c r="Z9560" s="134">
        <f>VLOOKUP(W9560,Sheet2!$B:$D,3,FALSE)</f>
        <v>67.692307692307693</v>
      </c>
      <c r="AA9560" s="93">
        <v>4</v>
      </c>
      <c r="AB9560" s="93">
        <f>AD9560/AC9555</f>
        <v>16.923076923076923</v>
      </c>
      <c r="AC9560" s="93">
        <f>AC9555/AA9560</f>
        <v>1.2374999999999998</v>
      </c>
      <c r="AD9560" s="94">
        <f t="shared" si="6426"/>
        <v>83.769230769230759</v>
      </c>
      <c r="AE9560" s="190"/>
      <c r="AF9560" s="191"/>
      <c r="AG9560" s="191"/>
      <c r="AH9560" s="191"/>
      <c r="AI9560" s="186"/>
      <c r="AK9560" s="171"/>
    </row>
    <row r="9561" spans="1:37" s="102" customFormat="1" ht="19.899999999999999" customHeight="1" x14ac:dyDescent="0.25">
      <c r="A9561" s="45"/>
      <c r="B9561" s="59"/>
      <c r="C9561" s="137"/>
      <c r="D9561" s="59"/>
      <c r="E9561" s="116"/>
      <c r="F9561" s="120"/>
      <c r="G9561" s="120"/>
      <c r="H9561" s="120"/>
      <c r="I9561" s="60"/>
      <c r="J9561" s="116"/>
      <c r="K9561" s="213"/>
      <c r="L9561" s="120"/>
      <c r="M9561" s="120"/>
      <c r="N9561" s="167"/>
      <c r="O9561" s="120"/>
      <c r="P9561" s="120"/>
      <c r="Q9561" s="120"/>
      <c r="R9561" s="120"/>
      <c r="S9561" s="120"/>
      <c r="T9561" s="221"/>
      <c r="U9561" s="89"/>
      <c r="V9561" s="61"/>
      <c r="W9561" s="92" t="s">
        <v>65</v>
      </c>
      <c r="X9561" s="93" t="s">
        <v>30</v>
      </c>
      <c r="Y9561" s="93" t="s">
        <v>93</v>
      </c>
      <c r="Z9561" s="134">
        <f>VLOOKUP(W9561,Sheet2!$B:$D,3,FALSE)</f>
        <v>1.76</v>
      </c>
      <c r="AA9561" s="93">
        <f>AA9560/12</f>
        <v>0.33333333333333331</v>
      </c>
      <c r="AB9561" s="93">
        <f>AD9561/AC9555</f>
        <v>5.28</v>
      </c>
      <c r="AC9561" s="93">
        <f>AC9555/AA9561</f>
        <v>14.849999999999998</v>
      </c>
      <c r="AD9561" s="94">
        <f>AC9561*Z9561</f>
        <v>26.135999999999996</v>
      </c>
      <c r="AE9561" s="190"/>
      <c r="AF9561" s="191"/>
      <c r="AG9561" s="191"/>
      <c r="AH9561" s="191"/>
      <c r="AI9561" s="186"/>
      <c r="AK9561" s="171"/>
    </row>
    <row r="9562" spans="1:37" s="102" customFormat="1" ht="19.899999999999999" customHeight="1" x14ac:dyDescent="0.25">
      <c r="A9562" s="45"/>
      <c r="B9562" s="59"/>
      <c r="C9562" s="137"/>
      <c r="D9562" s="59"/>
      <c r="E9562" s="116"/>
      <c r="F9562" s="120"/>
      <c r="G9562" s="120"/>
      <c r="H9562" s="120"/>
      <c r="I9562" s="60"/>
      <c r="J9562" s="116"/>
      <c r="K9562" s="213"/>
      <c r="L9562" s="120"/>
      <c r="M9562" s="120"/>
      <c r="N9562" s="167"/>
      <c r="O9562" s="120"/>
      <c r="P9562" s="120"/>
      <c r="Q9562" s="120"/>
      <c r="R9562" s="120"/>
      <c r="S9562" s="120"/>
      <c r="T9562" s="221"/>
      <c r="U9562" s="89"/>
      <c r="V9562" s="61"/>
      <c r="W9562" s="92" t="s">
        <v>1357</v>
      </c>
      <c r="X9562" s="93" t="s">
        <v>30</v>
      </c>
      <c r="Y9562" s="93" t="s">
        <v>1349</v>
      </c>
      <c r="Z9562" s="134">
        <f>VLOOKUP(W9562,Sheet2!$B:$D,3,FALSE)</f>
        <v>150</v>
      </c>
      <c r="AA9562" s="93">
        <v>1</v>
      </c>
      <c r="AB9562" s="93">
        <f>AD9562/AC9555</f>
        <v>150</v>
      </c>
      <c r="AC9562" s="93">
        <f>AC9555/AA9562</f>
        <v>4.9499999999999993</v>
      </c>
      <c r="AD9562" s="94">
        <f>AC9562*Z9562</f>
        <v>742.49999999999989</v>
      </c>
      <c r="AE9562" s="190"/>
      <c r="AF9562" s="191"/>
      <c r="AG9562" s="191"/>
      <c r="AH9562" s="191"/>
      <c r="AI9562" s="186"/>
      <c r="AK9562" s="171"/>
    </row>
    <row r="9563" spans="1:37" s="102" customFormat="1" ht="19.899999999999999" customHeight="1" x14ac:dyDescent="0.25">
      <c r="A9563" s="45"/>
      <c r="B9563" s="59"/>
      <c r="C9563" s="137"/>
      <c r="D9563" s="59"/>
      <c r="E9563" s="116"/>
      <c r="F9563" s="120"/>
      <c r="G9563" s="120"/>
      <c r="H9563" s="120"/>
      <c r="I9563" s="60"/>
      <c r="J9563" s="116"/>
      <c r="K9563" s="213"/>
      <c r="L9563" s="120"/>
      <c r="M9563" s="120"/>
      <c r="N9563" s="167"/>
      <c r="O9563" s="120"/>
      <c r="P9563" s="120"/>
      <c r="Q9563" s="120"/>
      <c r="R9563" s="120"/>
      <c r="S9563" s="120"/>
      <c r="T9563" s="221"/>
      <c r="U9563" s="89"/>
      <c r="V9563" s="61"/>
      <c r="W9563" s="92" t="s">
        <v>107</v>
      </c>
      <c r="X9563" s="93" t="s">
        <v>31</v>
      </c>
      <c r="Y9563" s="93" t="s">
        <v>93</v>
      </c>
      <c r="Z9563" s="134">
        <f>VLOOKUP(W9563,Sheet2!$B:$D,3,FALSE)</f>
        <v>17</v>
      </c>
      <c r="AA9563" s="93">
        <f>1/5</f>
        <v>0.2</v>
      </c>
      <c r="AB9563" s="93">
        <f>AD9563/AC9555</f>
        <v>85</v>
      </c>
      <c r="AC9563" s="93">
        <f>AC9555/AA9563</f>
        <v>24.749999999999996</v>
      </c>
      <c r="AD9563" s="94">
        <f>AC9563*Z9563</f>
        <v>420.74999999999994</v>
      </c>
      <c r="AE9563" s="190"/>
      <c r="AF9563" s="191"/>
      <c r="AG9563" s="191"/>
      <c r="AH9563" s="191"/>
      <c r="AI9563" s="186"/>
      <c r="AK9563" s="171"/>
    </row>
    <row r="9564" spans="1:37" s="102" customFormat="1" ht="19.899999999999999" customHeight="1" x14ac:dyDescent="0.25">
      <c r="A9564" s="45"/>
      <c r="B9564" s="59"/>
      <c r="C9564" s="137"/>
      <c r="D9564" s="59"/>
      <c r="E9564" s="116"/>
      <c r="F9564" s="120"/>
      <c r="G9564" s="120"/>
      <c r="H9564" s="120"/>
      <c r="I9564" s="60"/>
      <c r="J9564" s="116"/>
      <c r="K9564" s="213"/>
      <c r="L9564" s="120"/>
      <c r="M9564" s="120"/>
      <c r="N9564" s="167"/>
      <c r="O9564" s="120"/>
      <c r="P9564" s="120"/>
      <c r="Q9564" s="120"/>
      <c r="R9564" s="120"/>
      <c r="S9564" s="120"/>
      <c r="T9564" s="221"/>
      <c r="U9564" s="89"/>
      <c r="V9564" s="61"/>
      <c r="W9564" s="92" t="s">
        <v>112</v>
      </c>
      <c r="X9564" s="93" t="s">
        <v>31</v>
      </c>
      <c r="Y9564" s="93" t="s">
        <v>93</v>
      </c>
      <c r="Z9564" s="134">
        <f>VLOOKUP(W9564,Sheet2!$B:$D,3,FALSE)</f>
        <v>13</v>
      </c>
      <c r="AA9564" s="93">
        <f>AA9563</f>
        <v>0.2</v>
      </c>
      <c r="AB9564" s="93">
        <f>AD9564/AC9555</f>
        <v>65</v>
      </c>
      <c r="AC9564" s="93">
        <f>AC9555/AA9564</f>
        <v>24.749999999999996</v>
      </c>
      <c r="AD9564" s="94">
        <f>AC9564*Z9564</f>
        <v>321.74999999999994</v>
      </c>
      <c r="AE9564" s="190"/>
      <c r="AF9564" s="191"/>
      <c r="AG9564" s="191"/>
      <c r="AH9564" s="191"/>
      <c r="AI9564" s="186"/>
      <c r="AK9564" s="171"/>
    </row>
    <row r="9565" spans="1:37" s="103" customFormat="1" ht="19.899999999999999" customHeight="1" x14ac:dyDescent="0.25">
      <c r="A9565" s="51"/>
      <c r="B9565" s="52"/>
      <c r="C9565" s="165"/>
      <c r="D9565" s="52"/>
      <c r="E9565" s="115"/>
      <c r="F9565" s="58"/>
      <c r="G9565" s="58"/>
      <c r="H9565" s="58"/>
      <c r="I9565" s="55"/>
      <c r="J9565" s="113">
        <f>J9549</f>
        <v>4.9499999999999993</v>
      </c>
      <c r="K9565" s="212">
        <f>K9549</f>
        <v>4.9499999999999993</v>
      </c>
      <c r="L9565" s="58"/>
      <c r="M9565" s="58">
        <f>K9565-L9565</f>
        <v>4.9499999999999993</v>
      </c>
      <c r="N9565" s="166"/>
      <c r="O9565" s="58"/>
      <c r="P9565" s="58"/>
      <c r="Q9565" s="58"/>
      <c r="R9565" s="58"/>
      <c r="S9565" s="58"/>
      <c r="T9565" s="220"/>
      <c r="U9565" s="88"/>
      <c r="V9565" s="56"/>
      <c r="W9565" s="57" t="s">
        <v>1358</v>
      </c>
      <c r="X9565" s="53"/>
      <c r="Y9565" s="91" t="s">
        <v>35</v>
      </c>
      <c r="Z9565" s="136">
        <f>AD9565/AC9565</f>
        <v>1679.9999999999998</v>
      </c>
      <c r="AA9565" s="58"/>
      <c r="AB9565" s="53">
        <f>AD9565/AC9565</f>
        <v>1679.9999999999998</v>
      </c>
      <c r="AC9565" s="53">
        <f>M9565+$AE$10</f>
        <v>4.9499999999999993</v>
      </c>
      <c r="AD9565" s="54">
        <f>SUM(AD9566:AD9567)</f>
        <v>8315.9999999999982</v>
      </c>
      <c r="AE9565" s="184">
        <f>SUMIFS($AD$37:$AD$12971,$V$37:$V$12971,$V9565,$X$37:$X$12971,AE$13)</f>
        <v>0</v>
      </c>
      <c r="AF9565" s="185">
        <f>SUMIFS($AD$37:$AD$12971,$V$37:$V$12971,$V9565,$X$37:$X$12971,AF$13)</f>
        <v>0</v>
      </c>
      <c r="AG9565" s="185">
        <f>SUMIFS($AD$37:$AD$12971,$V$37:$V$12971,$V9565,$X$37:$X$12971,AG$13)</f>
        <v>0</v>
      </c>
      <c r="AH9565" s="187">
        <f>SUMIFS($AD$37:$AD$12971,$V$37:$V$12971,$V9565,$X$37:$X$12971,AH$13)</f>
        <v>0</v>
      </c>
      <c r="AI9565" s="161">
        <f t="shared" ref="AI9565" si="6427">SUM(AE9565:AH9565)</f>
        <v>0</v>
      </c>
      <c r="AK9565" s="172"/>
    </row>
    <row r="9566" spans="1:37" s="102" customFormat="1" ht="19.899999999999999" customHeight="1" x14ac:dyDescent="0.25">
      <c r="A9566" s="45"/>
      <c r="B9566" s="59"/>
      <c r="C9566" s="137"/>
      <c r="D9566" s="59"/>
      <c r="E9566" s="116"/>
      <c r="F9566" s="120"/>
      <c r="G9566" s="120"/>
      <c r="H9566" s="120"/>
      <c r="I9566" s="60"/>
      <c r="J9566" s="116"/>
      <c r="K9566" s="213"/>
      <c r="L9566" s="120"/>
      <c r="M9566" s="120"/>
      <c r="N9566" s="167"/>
      <c r="O9566" s="120"/>
      <c r="P9566" s="120"/>
      <c r="Q9566" s="120"/>
      <c r="R9566" s="120"/>
      <c r="S9566" s="120"/>
      <c r="T9566" s="221"/>
      <c r="U9566" s="89"/>
      <c r="V9566" s="61"/>
      <c r="W9566" s="92" t="s">
        <v>1359</v>
      </c>
      <c r="X9566" s="93" t="s">
        <v>32</v>
      </c>
      <c r="Y9566" s="93" t="s">
        <v>64</v>
      </c>
      <c r="Z9566" s="134">
        <f>VLOOKUP(W9566,Sheet2!$B:$D,3,FALSE)</f>
        <v>40</v>
      </c>
      <c r="AA9566" s="93">
        <f>1/(1.5*4*4)</f>
        <v>4.1666666666666664E-2</v>
      </c>
      <c r="AB9566" s="93">
        <f t="shared" ref="AB9566" si="6428">AD9566/AC9565</f>
        <v>960</v>
      </c>
      <c r="AC9566" s="93">
        <f>AC9565/AA9566</f>
        <v>118.79999999999998</v>
      </c>
      <c r="AD9566" s="94">
        <f t="shared" ref="AD9566:AD9567" si="6429">AC9566*Z9566</f>
        <v>4751.9999999999991</v>
      </c>
      <c r="AE9566" s="190"/>
      <c r="AF9566" s="191"/>
      <c r="AG9566" s="191"/>
      <c r="AH9566" s="191"/>
      <c r="AI9566" s="186"/>
      <c r="AK9566" s="171"/>
    </row>
    <row r="9567" spans="1:37" s="102" customFormat="1" ht="19.899999999999999" customHeight="1" x14ac:dyDescent="0.25">
      <c r="A9567" s="45"/>
      <c r="B9567" s="59"/>
      <c r="C9567" s="137"/>
      <c r="D9567" s="59"/>
      <c r="E9567" s="116"/>
      <c r="F9567" s="120"/>
      <c r="G9567" s="120"/>
      <c r="H9567" s="120"/>
      <c r="I9567" s="60"/>
      <c r="J9567" s="116"/>
      <c r="K9567" s="213"/>
      <c r="L9567" s="120"/>
      <c r="M9567" s="120"/>
      <c r="N9567" s="167"/>
      <c r="O9567" s="120"/>
      <c r="P9567" s="120"/>
      <c r="Q9567" s="120"/>
      <c r="R9567" s="120"/>
      <c r="S9567" s="120"/>
      <c r="T9567" s="221"/>
      <c r="U9567" s="89"/>
      <c r="V9567" s="61"/>
      <c r="W9567" s="92" t="s">
        <v>1360</v>
      </c>
      <c r="X9567" s="93" t="s">
        <v>32</v>
      </c>
      <c r="Y9567" s="93" t="s">
        <v>64</v>
      </c>
      <c r="Z9567" s="134">
        <f>VLOOKUP(W9567,Sheet2!$B:$D,3,FALSE)</f>
        <v>30</v>
      </c>
      <c r="AA9567" s="93">
        <f>AA9566</f>
        <v>4.1666666666666664E-2</v>
      </c>
      <c r="AB9567" s="93">
        <f>AD9567/AC9565</f>
        <v>720</v>
      </c>
      <c r="AC9567" s="93">
        <f>AC9565/AA9567</f>
        <v>118.79999999999998</v>
      </c>
      <c r="AD9567" s="94">
        <f t="shared" si="6429"/>
        <v>3563.9999999999995</v>
      </c>
      <c r="AE9567" s="190"/>
      <c r="AF9567" s="191"/>
      <c r="AG9567" s="191"/>
      <c r="AH9567" s="191"/>
      <c r="AI9567" s="186"/>
      <c r="AK9567" s="171"/>
    </row>
    <row r="9568" spans="1:37" s="103" customFormat="1" ht="19.899999999999999" customHeight="1" x14ac:dyDescent="0.25">
      <c r="A9568" s="51"/>
      <c r="B9568" s="52"/>
      <c r="C9568" s="165"/>
      <c r="D9568" s="52"/>
      <c r="E9568" s="115"/>
      <c r="F9568" s="58"/>
      <c r="G9568" s="58"/>
      <c r="H9568" s="58"/>
      <c r="I9568" s="55"/>
      <c r="J9568" s="113">
        <f>J9549</f>
        <v>4.9499999999999993</v>
      </c>
      <c r="K9568" s="212">
        <f>K9549</f>
        <v>4.9499999999999993</v>
      </c>
      <c r="L9568" s="58"/>
      <c r="M9568" s="58">
        <f>K9568-L9568</f>
        <v>4.9499999999999993</v>
      </c>
      <c r="N9568" s="166"/>
      <c r="O9568" s="58"/>
      <c r="P9568" s="58"/>
      <c r="Q9568" s="58"/>
      <c r="R9568" s="58"/>
      <c r="S9568" s="58"/>
      <c r="T9568" s="220"/>
      <c r="U9568" s="88"/>
      <c r="V9568" s="56"/>
      <c r="W9568" s="57" t="s">
        <v>1272</v>
      </c>
      <c r="X9568" s="53"/>
      <c r="Y9568" s="91" t="s">
        <v>35</v>
      </c>
      <c r="Z9568" s="136">
        <f>AD9568/AC9568</f>
        <v>435.08592941176465</v>
      </c>
      <c r="AA9568" s="58"/>
      <c r="AB9568" s="53">
        <f>AD9568/AC9568</f>
        <v>435.08592941176465</v>
      </c>
      <c r="AC9568" s="53">
        <f>M9568+$AE$10</f>
        <v>4.9499999999999993</v>
      </c>
      <c r="AD9568" s="54">
        <f>SUM(AD9569:AD9577)</f>
        <v>2153.6753505882348</v>
      </c>
      <c r="AE9568" s="184">
        <f>SUMIFS($AD$37:$AD$12971,$V$37:$V$12971,$V9568,$X$37:$X$12971,AE$13)</f>
        <v>0</v>
      </c>
      <c r="AF9568" s="185">
        <f>SUMIFS($AD$37:$AD$12971,$V$37:$V$12971,$V9568,$X$37:$X$12971,AF$13)</f>
        <v>0</v>
      </c>
      <c r="AG9568" s="185">
        <f>SUMIFS($AD$37:$AD$12971,$V$37:$V$12971,$V9568,$X$37:$X$12971,AG$13)</f>
        <v>0</v>
      </c>
      <c r="AH9568" s="187">
        <f>SUMIFS($AD$37:$AD$12971,$V$37:$V$12971,$V9568,$X$37:$X$12971,AH$13)</f>
        <v>0</v>
      </c>
      <c r="AI9568" s="161">
        <f t="shared" ref="AI9568" si="6430">SUM(AE9568:AH9568)</f>
        <v>0</v>
      </c>
      <c r="AK9568" s="172"/>
    </row>
    <row r="9569" spans="1:41" s="102" customFormat="1" ht="19.899999999999999" customHeight="1" x14ac:dyDescent="0.25">
      <c r="A9569" s="45"/>
      <c r="B9569" s="59"/>
      <c r="C9569" s="137"/>
      <c r="D9569" s="59"/>
      <c r="E9569" s="116"/>
      <c r="F9569" s="120"/>
      <c r="G9569" s="120"/>
      <c r="H9569" s="120"/>
      <c r="I9569" s="60"/>
      <c r="J9569" s="116"/>
      <c r="K9569" s="213"/>
      <c r="L9569" s="120"/>
      <c r="M9569" s="120"/>
      <c r="N9569" s="167"/>
      <c r="O9569" s="120"/>
      <c r="P9569" s="120"/>
      <c r="Q9569" s="120"/>
      <c r="R9569" s="120"/>
      <c r="S9569" s="120"/>
      <c r="T9569" s="221"/>
      <c r="U9569" s="89"/>
      <c r="V9569" s="61"/>
      <c r="W9569" s="92" t="s">
        <v>1273</v>
      </c>
      <c r="X9569" s="93" t="s">
        <v>30</v>
      </c>
      <c r="Y9569" s="93" t="s">
        <v>66</v>
      </c>
      <c r="Z9569" s="134">
        <f>VLOOKUP(W9569,Sheet2!$B:$D,3,FALSE)</f>
        <v>10</v>
      </c>
      <c r="AA9569" s="93">
        <f>1/((3*3*4)-(1.5*1.5*4))</f>
        <v>3.7037037037037035E-2</v>
      </c>
      <c r="AB9569" s="93">
        <f>AD9569/AC9568</f>
        <v>270</v>
      </c>
      <c r="AC9569" s="93">
        <f>AC9568/AA9569</f>
        <v>133.64999999999998</v>
      </c>
      <c r="AD9569" s="94">
        <f t="shared" ref="AD9569:AD9571" si="6431">AC9569*Z9569</f>
        <v>1336.4999999999998</v>
      </c>
      <c r="AE9569" s="190"/>
      <c r="AF9569" s="191"/>
      <c r="AG9569" s="191"/>
      <c r="AH9569" s="191"/>
      <c r="AI9569" s="186"/>
      <c r="AK9569" s="171"/>
    </row>
    <row r="9570" spans="1:41" s="102" customFormat="1" ht="19.899999999999999" customHeight="1" x14ac:dyDescent="0.25">
      <c r="A9570" s="45"/>
      <c r="B9570" s="59"/>
      <c r="C9570" s="137"/>
      <c r="D9570" s="59"/>
      <c r="E9570" s="116"/>
      <c r="F9570" s="120"/>
      <c r="G9570" s="120"/>
      <c r="H9570" s="120"/>
      <c r="I9570" s="60"/>
      <c r="J9570" s="116"/>
      <c r="K9570" s="213"/>
      <c r="L9570" s="120"/>
      <c r="M9570" s="120"/>
      <c r="N9570" s="167"/>
      <c r="O9570" s="120"/>
      <c r="P9570" s="120"/>
      <c r="Q9570" s="120"/>
      <c r="R9570" s="120"/>
      <c r="S9570" s="120"/>
      <c r="T9570" s="221"/>
      <c r="U9570" s="89"/>
      <c r="V9570" s="61"/>
      <c r="W9570" s="92" t="s">
        <v>134</v>
      </c>
      <c r="X9570" s="93" t="s">
        <v>29</v>
      </c>
      <c r="Y9570" s="93" t="s">
        <v>93</v>
      </c>
      <c r="Z9570" s="134">
        <f>VLOOKUP(W9570,Sheet2!$B:$D,3,FALSE)</f>
        <v>65.599999999999994</v>
      </c>
      <c r="AA9570" s="93">
        <f>100/((3*3*4)-(1.5*1.5*4))</f>
        <v>3.7037037037037037</v>
      </c>
      <c r="AB9570" s="93">
        <f t="shared" ref="AB9570" si="6432">AD9570/AC9568</f>
        <v>17.711999999999996</v>
      </c>
      <c r="AC9570" s="93">
        <f>AC9568/AA9570</f>
        <v>1.3364999999999998</v>
      </c>
      <c r="AD9570" s="94">
        <f t="shared" si="6431"/>
        <v>87.674399999999977</v>
      </c>
      <c r="AE9570" s="190"/>
      <c r="AF9570" s="191"/>
      <c r="AG9570" s="191"/>
      <c r="AH9570" s="191"/>
      <c r="AI9570" s="186"/>
      <c r="AK9570" s="171"/>
    </row>
    <row r="9571" spans="1:41" s="102" customFormat="1" ht="19.899999999999999" customHeight="1" x14ac:dyDescent="0.25">
      <c r="A9571" s="45"/>
      <c r="B9571" s="59"/>
      <c r="C9571" s="137"/>
      <c r="D9571" s="59"/>
      <c r="E9571" s="116"/>
      <c r="F9571" s="120"/>
      <c r="G9571" s="120"/>
      <c r="H9571" s="120"/>
      <c r="I9571" s="60"/>
      <c r="J9571" s="116"/>
      <c r="K9571" s="213"/>
      <c r="L9571" s="120"/>
      <c r="M9571" s="120"/>
      <c r="N9571" s="167"/>
      <c r="O9571" s="120"/>
      <c r="P9571" s="120"/>
      <c r="Q9571" s="120"/>
      <c r="R9571" s="120"/>
      <c r="S9571" s="120"/>
      <c r="T9571" s="221"/>
      <c r="U9571" s="89"/>
      <c r="V9571" s="61"/>
      <c r="W9571" s="92" t="s">
        <v>65</v>
      </c>
      <c r="X9571" s="93" t="s">
        <v>30</v>
      </c>
      <c r="Y9571" s="93" t="s">
        <v>1011</v>
      </c>
      <c r="Z9571" s="134">
        <f>VLOOKUP(W9571,Sheet2!$B:$D,3,FALSE)</f>
        <v>1.76</v>
      </c>
      <c r="AA9571" s="93">
        <f>AA9570/9</f>
        <v>0.41152263374485598</v>
      </c>
      <c r="AB9571" s="93">
        <f>AD9571/AC9568</f>
        <v>4.2767999999999997</v>
      </c>
      <c r="AC9571" s="93">
        <f>AC9568/AA9571</f>
        <v>12.028499999999998</v>
      </c>
      <c r="AD9571" s="94">
        <f t="shared" si="6431"/>
        <v>21.170159999999996</v>
      </c>
      <c r="AE9571" s="190"/>
      <c r="AF9571" s="191"/>
      <c r="AG9571" s="191"/>
      <c r="AH9571" s="191"/>
      <c r="AI9571" s="186"/>
      <c r="AK9571" s="171"/>
    </row>
    <row r="9572" spans="1:41" s="102" customFormat="1" ht="19.899999999999999" customHeight="1" x14ac:dyDescent="0.25">
      <c r="A9572" s="45"/>
      <c r="B9572" s="59"/>
      <c r="C9572" s="137"/>
      <c r="D9572" s="59"/>
      <c r="E9572" s="116"/>
      <c r="F9572" s="120"/>
      <c r="G9572" s="120"/>
      <c r="H9572" s="120"/>
      <c r="I9572" s="60"/>
      <c r="J9572" s="116"/>
      <c r="K9572" s="213"/>
      <c r="L9572" s="120"/>
      <c r="M9572" s="120"/>
      <c r="N9572" s="167"/>
      <c r="O9572" s="120"/>
      <c r="P9572" s="120"/>
      <c r="Q9572" s="120"/>
      <c r="R9572" s="120"/>
      <c r="S9572" s="120"/>
      <c r="T9572" s="221"/>
      <c r="U9572" s="89"/>
      <c r="V9572" s="61"/>
      <c r="W9572" s="92" t="s">
        <v>161</v>
      </c>
      <c r="X9572" s="93" t="s">
        <v>29</v>
      </c>
      <c r="Y9572" s="93" t="s">
        <v>93</v>
      </c>
      <c r="Z9572" s="134">
        <f>VLOOKUP(W9572,Sheet2!$B:$D,3,FALSE)</f>
        <v>48</v>
      </c>
      <c r="AA9572" s="93">
        <f>(16*0.85*1.5)/((3*3*4)-(1.5*1.5*4))</f>
        <v>0.75555555555555554</v>
      </c>
      <c r="AB9572" s="93">
        <f>AD9572/AC9568</f>
        <v>63.529411764705884</v>
      </c>
      <c r="AC9572" s="93">
        <f>AC9568/AA9572</f>
        <v>6.5514705882352935</v>
      </c>
      <c r="AD9572" s="94">
        <f>AC9572*Z9572</f>
        <v>314.47058823529409</v>
      </c>
      <c r="AE9572" s="190"/>
      <c r="AF9572" s="191"/>
      <c r="AG9572" s="191"/>
      <c r="AH9572" s="191"/>
      <c r="AI9572" s="186"/>
      <c r="AK9572" s="171"/>
    </row>
    <row r="9573" spans="1:41" s="102" customFormat="1" ht="19.899999999999999" customHeight="1" x14ac:dyDescent="0.25">
      <c r="A9573" s="45"/>
      <c r="B9573" s="59"/>
      <c r="C9573" s="137"/>
      <c r="D9573" s="59"/>
      <c r="E9573" s="116"/>
      <c r="F9573" s="120"/>
      <c r="G9573" s="120"/>
      <c r="H9573" s="120"/>
      <c r="I9573" s="60"/>
      <c r="J9573" s="116"/>
      <c r="K9573" s="213"/>
      <c r="L9573" s="120"/>
      <c r="M9573" s="120"/>
      <c r="N9573" s="167"/>
      <c r="O9573" s="120"/>
      <c r="P9573" s="120"/>
      <c r="Q9573" s="120"/>
      <c r="R9573" s="120"/>
      <c r="S9573" s="120"/>
      <c r="T9573" s="221"/>
      <c r="U9573" s="89"/>
      <c r="V9573" s="61"/>
      <c r="W9573" s="92" t="s">
        <v>65</v>
      </c>
      <c r="X9573" s="93" t="s">
        <v>30</v>
      </c>
      <c r="Y9573" s="93" t="s">
        <v>1011</v>
      </c>
      <c r="Z9573" s="134">
        <f>VLOOKUP(W9573,Sheet2!$B:$D,3,FALSE)</f>
        <v>1.76</v>
      </c>
      <c r="AA9573" s="93">
        <f>AA9572/10</f>
        <v>7.5555555555555556E-2</v>
      </c>
      <c r="AB9573" s="93">
        <f>AD9573/AC9568</f>
        <v>23.294117647058822</v>
      </c>
      <c r="AC9573" s="93">
        <f>AC9568/AA9573</f>
        <v>65.514705882352928</v>
      </c>
      <c r="AD9573" s="94">
        <f>AC9573*Z9573</f>
        <v>115.30588235294115</v>
      </c>
      <c r="AE9573" s="190"/>
      <c r="AF9573" s="191"/>
      <c r="AG9573" s="191"/>
      <c r="AH9573" s="191"/>
      <c r="AI9573" s="186"/>
      <c r="AK9573" s="171"/>
    </row>
    <row r="9574" spans="1:41" s="102" customFormat="1" ht="19.899999999999999" customHeight="1" x14ac:dyDescent="0.25">
      <c r="A9574" s="45"/>
      <c r="B9574" s="59"/>
      <c r="C9574" s="137"/>
      <c r="D9574" s="59"/>
      <c r="E9574" s="116"/>
      <c r="F9574" s="120"/>
      <c r="G9574" s="120"/>
      <c r="H9574" s="120"/>
      <c r="I9574" s="60"/>
      <c r="J9574" s="116"/>
      <c r="K9574" s="213"/>
      <c r="L9574" s="120"/>
      <c r="M9574" s="120"/>
      <c r="N9574" s="167"/>
      <c r="O9574" s="120"/>
      <c r="P9574" s="120"/>
      <c r="Q9574" s="120"/>
      <c r="R9574" s="120"/>
      <c r="S9574" s="120"/>
      <c r="T9574" s="221"/>
      <c r="U9574" s="89"/>
      <c r="V9574" s="61"/>
      <c r="W9574" s="92" t="s">
        <v>173</v>
      </c>
      <c r="X9574" s="93" t="s">
        <v>29</v>
      </c>
      <c r="Y9574" s="93" t="s">
        <v>93</v>
      </c>
      <c r="Z9574" s="134">
        <f>VLOOKUP(W9574,Sheet2!$B:$D,3,FALSE)</f>
        <v>36</v>
      </c>
      <c r="AA9574" s="93">
        <f>50/((3*3*4)-(1.5*1.5*4))</f>
        <v>1.8518518518518519</v>
      </c>
      <c r="AB9574" s="93">
        <f>AD9574/AC9568</f>
        <v>19.439999999999998</v>
      </c>
      <c r="AC9574" s="93">
        <f>AC9568/AA9574</f>
        <v>2.6729999999999996</v>
      </c>
      <c r="AD9574" s="94">
        <f>AC9574*Z9574</f>
        <v>96.22799999999998</v>
      </c>
      <c r="AE9574" s="190"/>
      <c r="AF9574" s="191"/>
      <c r="AG9574" s="191"/>
      <c r="AH9574" s="191"/>
      <c r="AI9574" s="186"/>
      <c r="AK9574" s="171"/>
    </row>
    <row r="9575" spans="1:41" s="102" customFormat="1" ht="19.899999999999999" customHeight="1" x14ac:dyDescent="0.25">
      <c r="A9575" s="45"/>
      <c r="B9575" s="59"/>
      <c r="C9575" s="137"/>
      <c r="D9575" s="59"/>
      <c r="E9575" s="116"/>
      <c r="F9575" s="120"/>
      <c r="G9575" s="120"/>
      <c r="H9575" s="120"/>
      <c r="I9575" s="60"/>
      <c r="J9575" s="116"/>
      <c r="K9575" s="213"/>
      <c r="L9575" s="120"/>
      <c r="M9575" s="120"/>
      <c r="N9575" s="167"/>
      <c r="O9575" s="120"/>
      <c r="P9575" s="120"/>
      <c r="Q9575" s="120"/>
      <c r="R9575" s="120"/>
      <c r="S9575" s="120"/>
      <c r="T9575" s="221"/>
      <c r="U9575" s="89"/>
      <c r="V9575" s="61"/>
      <c r="W9575" s="92" t="s">
        <v>65</v>
      </c>
      <c r="X9575" s="93" t="s">
        <v>30</v>
      </c>
      <c r="Y9575" s="93" t="s">
        <v>1011</v>
      </c>
      <c r="Z9575" s="134">
        <f>VLOOKUP(W9575,Sheet2!$B:$D,3,FALSE)</f>
        <v>1.76</v>
      </c>
      <c r="AA9575" s="93">
        <f>AA9574/9</f>
        <v>0.20576131687242799</v>
      </c>
      <c r="AB9575" s="93">
        <f>AD9575/AC9568</f>
        <v>8.5535999999999994</v>
      </c>
      <c r="AC9575" s="93">
        <f>AC9568/AA9575</f>
        <v>24.056999999999995</v>
      </c>
      <c r="AD9575" s="94">
        <f>AC9575*Z9575</f>
        <v>42.340319999999991</v>
      </c>
      <c r="AE9575" s="190"/>
      <c r="AF9575" s="191"/>
      <c r="AG9575" s="191"/>
      <c r="AH9575" s="191"/>
      <c r="AI9575" s="186"/>
      <c r="AK9575" s="171"/>
    </row>
    <row r="9576" spans="1:41" s="102" customFormat="1" ht="19.899999999999999" customHeight="1" x14ac:dyDescent="0.25">
      <c r="A9576" s="45"/>
      <c r="B9576" s="59"/>
      <c r="C9576" s="137"/>
      <c r="D9576" s="59"/>
      <c r="E9576" s="116"/>
      <c r="F9576" s="120"/>
      <c r="G9576" s="120"/>
      <c r="H9576" s="120"/>
      <c r="I9576" s="60"/>
      <c r="J9576" s="116"/>
      <c r="K9576" s="213"/>
      <c r="L9576" s="120"/>
      <c r="M9576" s="120"/>
      <c r="N9576" s="167"/>
      <c r="O9576" s="120"/>
      <c r="P9576" s="120"/>
      <c r="Q9576" s="120"/>
      <c r="R9576" s="120"/>
      <c r="S9576" s="120"/>
      <c r="T9576" s="221"/>
      <c r="U9576" s="89"/>
      <c r="V9576" s="61"/>
      <c r="W9576" s="92" t="s">
        <v>1030</v>
      </c>
      <c r="X9576" s="93" t="s">
        <v>29</v>
      </c>
      <c r="Y9576" s="93" t="s">
        <v>93</v>
      </c>
      <c r="Z9576" s="134">
        <f>VLOOKUP(W9576,Sheet2!$B:$D,3,FALSE)</f>
        <v>23</v>
      </c>
      <c r="AA9576" s="93">
        <v>1</v>
      </c>
      <c r="AB9576" s="93">
        <f>AD9576/AC9568</f>
        <v>23</v>
      </c>
      <c r="AC9576" s="93">
        <f>AC9568/AA9576</f>
        <v>4.9499999999999993</v>
      </c>
      <c r="AD9576" s="94">
        <f t="shared" ref="AD9576:AD9577" si="6433">AC9576*Z9576</f>
        <v>113.84999999999998</v>
      </c>
      <c r="AE9576" s="190"/>
      <c r="AF9576" s="191"/>
      <c r="AG9576" s="191"/>
      <c r="AH9576" s="191"/>
      <c r="AI9576" s="186"/>
      <c r="AK9576" s="171"/>
    </row>
    <row r="9577" spans="1:41" s="102" customFormat="1" ht="19.899999999999999" customHeight="1" x14ac:dyDescent="0.25">
      <c r="A9577" s="45"/>
      <c r="B9577" s="59"/>
      <c r="C9577" s="137"/>
      <c r="D9577" s="59"/>
      <c r="E9577" s="116"/>
      <c r="F9577" s="120"/>
      <c r="G9577" s="120"/>
      <c r="H9577" s="120"/>
      <c r="I9577" s="60"/>
      <c r="J9577" s="116"/>
      <c r="K9577" s="213"/>
      <c r="L9577" s="120"/>
      <c r="M9577" s="120"/>
      <c r="N9577" s="167"/>
      <c r="O9577" s="120"/>
      <c r="P9577" s="120"/>
      <c r="Q9577" s="120"/>
      <c r="R9577" s="120"/>
      <c r="S9577" s="120"/>
      <c r="T9577" s="221"/>
      <c r="U9577" s="89"/>
      <c r="V9577" s="61"/>
      <c r="W9577" s="92" t="s">
        <v>65</v>
      </c>
      <c r="X9577" s="93" t="s">
        <v>30</v>
      </c>
      <c r="Y9577" s="93" t="s">
        <v>1011</v>
      </c>
      <c r="Z9577" s="134">
        <f>VLOOKUP(W9577,Sheet2!$B:$D,3,FALSE)</f>
        <v>1.76</v>
      </c>
      <c r="AA9577" s="93">
        <f>AA9576/3</f>
        <v>0.33333333333333331</v>
      </c>
      <c r="AB9577" s="93">
        <f>AD9577/AC9568</f>
        <v>5.28</v>
      </c>
      <c r="AC9577" s="93">
        <f>AC9568/AA9577</f>
        <v>14.849999999999998</v>
      </c>
      <c r="AD9577" s="94">
        <f t="shared" si="6433"/>
        <v>26.135999999999996</v>
      </c>
      <c r="AE9577" s="190"/>
      <c r="AF9577" s="191"/>
      <c r="AG9577" s="191"/>
      <c r="AH9577" s="191"/>
      <c r="AI9577" s="186"/>
      <c r="AK9577" s="171"/>
    </row>
    <row r="9578" spans="1:41" ht="20.100000000000001" customHeight="1" x14ac:dyDescent="0.25">
      <c r="A9578" s="277" t="s">
        <v>703</v>
      </c>
      <c r="B9578" s="278"/>
      <c r="C9578" s="64" t="s">
        <v>840</v>
      </c>
      <c r="D9578" s="46" t="s">
        <v>215</v>
      </c>
      <c r="E9578" s="114"/>
      <c r="F9578" s="44">
        <v>0</v>
      </c>
      <c r="G9578" s="44">
        <f t="shared" si="5545"/>
        <v>0</v>
      </c>
      <c r="H9578" s="44">
        <f t="shared" si="5546"/>
        <v>0</v>
      </c>
      <c r="I9578" s="43">
        <f t="shared" si="5547"/>
        <v>0</v>
      </c>
      <c r="J9578" s="112">
        <f t="shared" si="5548"/>
        <v>0</v>
      </c>
      <c r="K9578" s="211">
        <f t="shared" si="5549"/>
        <v>0</v>
      </c>
      <c r="L9578" s="44"/>
      <c r="M9578" s="44">
        <f t="shared" si="5550"/>
        <v>0</v>
      </c>
      <c r="N9578" s="173">
        <f t="shared" si="5551"/>
        <v>0</v>
      </c>
      <c r="O9578" s="44">
        <f t="shared" si="5552"/>
        <v>0</v>
      </c>
      <c r="P9578" s="44">
        <f t="shared" si="5553"/>
        <v>0</v>
      </c>
      <c r="Q9578" s="44">
        <f t="shared" si="5554"/>
        <v>0</v>
      </c>
      <c r="R9578" s="44">
        <f t="shared" si="5555"/>
        <v>0</v>
      </c>
      <c r="S9578" s="123"/>
      <c r="T9578" s="219">
        <f t="shared" si="5556"/>
        <v>0</v>
      </c>
      <c r="U9578" s="87"/>
      <c r="V9578" s="47"/>
      <c r="W9578" s="48"/>
      <c r="X9578" s="48"/>
      <c r="Y9578" s="48"/>
      <c r="Z9578" s="135"/>
      <c r="AA9578" s="49"/>
      <c r="AB9578" s="50">
        <f t="shared" si="5557"/>
        <v>0</v>
      </c>
      <c r="AC9578" s="42">
        <f t="shared" si="5558"/>
        <v>9.9999999999999998E-20</v>
      </c>
      <c r="AD9578" s="90"/>
      <c r="AE9578" s="188"/>
      <c r="AF9578" s="189"/>
      <c r="AG9578" s="189"/>
      <c r="AH9578" s="189"/>
      <c r="AI9578" s="161"/>
    </row>
    <row r="9579" spans="1:41" s="102" customFormat="1" ht="20.100000000000001" customHeight="1" x14ac:dyDescent="0.25">
      <c r="A9579" s="45" t="s">
        <v>703</v>
      </c>
      <c r="B9579" s="276"/>
      <c r="C9579" s="286" t="s">
        <v>842</v>
      </c>
      <c r="D9579" s="59"/>
      <c r="E9579" s="116"/>
      <c r="F9579" s="120"/>
      <c r="G9579" s="120"/>
      <c r="H9579" s="120"/>
      <c r="I9579" s="60"/>
      <c r="J9579" s="116"/>
      <c r="K9579" s="213"/>
      <c r="L9579" s="120"/>
      <c r="M9579" s="120"/>
      <c r="N9579" s="167"/>
      <c r="O9579" s="120"/>
      <c r="P9579" s="120"/>
      <c r="Q9579" s="120"/>
      <c r="R9579" s="120"/>
      <c r="S9579" s="120"/>
      <c r="T9579" s="221"/>
      <c r="U9579" s="89"/>
      <c r="V9579" s="61"/>
      <c r="W9579" s="92"/>
      <c r="X9579" s="38"/>
      <c r="Y9579" s="93"/>
      <c r="Z9579" s="134"/>
      <c r="AA9579" s="93"/>
      <c r="AB9579" s="93"/>
      <c r="AC9579" s="93"/>
      <c r="AD9579" s="94"/>
      <c r="AE9579" s="190"/>
      <c r="AF9579" s="191"/>
      <c r="AG9579" s="191"/>
      <c r="AH9579" s="191"/>
      <c r="AI9579" s="186"/>
      <c r="AK9579" s="171"/>
    </row>
    <row r="9580" spans="1:41" s="102" customFormat="1" ht="105" x14ac:dyDescent="0.25">
      <c r="A9580" s="45" t="s">
        <v>703</v>
      </c>
      <c r="B9580" s="276"/>
      <c r="C9580" s="286" t="s">
        <v>843</v>
      </c>
      <c r="D9580" s="59"/>
      <c r="E9580" s="116"/>
      <c r="F9580" s="120"/>
      <c r="G9580" s="120"/>
      <c r="H9580" s="120"/>
      <c r="I9580" s="60"/>
      <c r="J9580" s="116"/>
      <c r="K9580" s="213"/>
      <c r="L9580" s="120"/>
      <c r="M9580" s="120"/>
      <c r="N9580" s="167"/>
      <c r="O9580" s="120"/>
      <c r="P9580" s="120"/>
      <c r="Q9580" s="120"/>
      <c r="R9580" s="120"/>
      <c r="S9580" s="120"/>
      <c r="T9580" s="221"/>
      <c r="U9580" s="89"/>
      <c r="V9580" s="61"/>
      <c r="W9580" s="92"/>
      <c r="X9580" s="38"/>
      <c r="Y9580" s="93"/>
      <c r="Z9580" s="134"/>
      <c r="AA9580" s="93"/>
      <c r="AB9580" s="93"/>
      <c r="AC9580" s="93"/>
      <c r="AD9580" s="94"/>
      <c r="AE9580" s="190"/>
      <c r="AF9580" s="191"/>
      <c r="AG9580" s="191"/>
      <c r="AH9580" s="191"/>
      <c r="AI9580" s="186"/>
      <c r="AK9580" s="171"/>
    </row>
    <row r="9581" spans="1:41" ht="20.100000000000001" customHeight="1" x14ac:dyDescent="0.25">
      <c r="A9581" s="277" t="s">
        <v>703</v>
      </c>
      <c r="B9581" s="278"/>
      <c r="C9581" s="64" t="s">
        <v>844</v>
      </c>
      <c r="D9581" s="46" t="s">
        <v>215</v>
      </c>
      <c r="E9581" s="114">
        <v>245.3750250400513</v>
      </c>
      <c r="F9581" s="44">
        <v>5980</v>
      </c>
      <c r="G9581" s="44">
        <f t="shared" si="5545"/>
        <v>1467342.6497395067</v>
      </c>
      <c r="H9581" s="44">
        <f t="shared" si="5546"/>
        <v>3962.7514612368013</v>
      </c>
      <c r="I9581" s="43">
        <f t="shared" si="5547"/>
        <v>972360.23902848002</v>
      </c>
      <c r="J9581" s="112">
        <f t="shared" si="5548"/>
        <v>245.3750250400513</v>
      </c>
      <c r="K9581" s="211">
        <f t="shared" si="5549"/>
        <v>245.3750250400513</v>
      </c>
      <c r="L9581" s="44"/>
      <c r="M9581" s="44">
        <f t="shared" si="5550"/>
        <v>245.3750250400513</v>
      </c>
      <c r="N9581" s="173">
        <f t="shared" si="5551"/>
        <v>1</v>
      </c>
      <c r="O9581" s="44">
        <f t="shared" si="5552"/>
        <v>5980</v>
      </c>
      <c r="P9581" s="44">
        <f t="shared" si="5553"/>
        <v>1467342.6497395067</v>
      </c>
      <c r="Q9581" s="44">
        <f t="shared" si="5554"/>
        <v>3962.7514612368013</v>
      </c>
      <c r="R9581" s="44">
        <f t="shared" si="5555"/>
        <v>972360.23902848002</v>
      </c>
      <c r="S9581" s="123"/>
      <c r="T9581" s="219">
        <f t="shared" si="5556"/>
        <v>972360.23902848002</v>
      </c>
      <c r="U9581" s="87"/>
      <c r="V9581" s="47"/>
      <c r="W9581" s="48"/>
      <c r="X9581" s="48"/>
      <c r="Y9581" s="48"/>
      <c r="Z9581" s="135"/>
      <c r="AA9581" s="49"/>
      <c r="AB9581" s="50">
        <f t="shared" si="5557"/>
        <v>3962.7514612368013</v>
      </c>
      <c r="AC9581" s="42">
        <f t="shared" si="5558"/>
        <v>245.3750250400513</v>
      </c>
      <c r="AD9581" s="90">
        <f>AD9582+AD9587+AD9597+AD9600</f>
        <v>972360.23902848002</v>
      </c>
      <c r="AE9581" s="188">
        <f t="shared" ref="AE9581" si="6434">AE9582+AE9587+AE9597+AE9600</f>
        <v>0</v>
      </c>
      <c r="AF9581" s="189">
        <f t="shared" ref="AF9581" si="6435">AF9582+AF9587+AF9597+AF9600</f>
        <v>0</v>
      </c>
      <c r="AG9581" s="189">
        <f t="shared" ref="AG9581" si="6436">AG9582+AG9587+AG9597+AG9600</f>
        <v>0</v>
      </c>
      <c r="AH9581" s="189">
        <f t="shared" ref="AH9581" si="6437">AH9582+AH9587+AH9597+AH9600</f>
        <v>0</v>
      </c>
      <c r="AI9581" s="161">
        <f t="shared" ref="AI9581:AI9610" si="6438">SUM(AE9581:AH9581)</f>
        <v>0</v>
      </c>
      <c r="AK9581" s="169">
        <v>5</v>
      </c>
      <c r="AO9581" s="19" t="s">
        <v>63</v>
      </c>
    </row>
    <row r="9582" spans="1:41" s="103" customFormat="1" ht="19.899999999999999" customHeight="1" x14ac:dyDescent="0.25">
      <c r="A9582" s="51"/>
      <c r="B9582" s="52"/>
      <c r="C9582" s="165"/>
      <c r="D9582" s="52"/>
      <c r="E9582" s="115"/>
      <c r="F9582" s="58"/>
      <c r="G9582" s="58"/>
      <c r="H9582" s="58"/>
      <c r="I9582" s="55"/>
      <c r="J9582" s="113">
        <f>J9581</f>
        <v>245.3750250400513</v>
      </c>
      <c r="K9582" s="212">
        <f>K9581</f>
        <v>245.3750250400513</v>
      </c>
      <c r="L9582" s="58"/>
      <c r="M9582" s="58">
        <f>K9582-L9582</f>
        <v>245.3750250400513</v>
      </c>
      <c r="N9582" s="166"/>
      <c r="O9582" s="58"/>
      <c r="P9582" s="58"/>
      <c r="Q9582" s="58"/>
      <c r="R9582" s="58"/>
      <c r="S9582" s="58"/>
      <c r="T9582" s="220"/>
      <c r="U9582" s="88"/>
      <c r="V9582" s="56"/>
      <c r="W9582" s="57" t="s">
        <v>1485</v>
      </c>
      <c r="X9582" s="53"/>
      <c r="Y9582" s="91" t="s">
        <v>35</v>
      </c>
      <c r="Z9582" s="136">
        <f>AD9582/AC9582</f>
        <v>50.276078431372554</v>
      </c>
      <c r="AA9582" s="58"/>
      <c r="AB9582" s="53">
        <f>AD9582/AC9582</f>
        <v>50.276078431372554</v>
      </c>
      <c r="AC9582" s="53">
        <f>M9582+$AE$10</f>
        <v>245.3750250400513</v>
      </c>
      <c r="AD9582" s="54">
        <f>SUM(AD9583:AD9586)</f>
        <v>12336.494004013623</v>
      </c>
      <c r="AE9582" s="184">
        <f>SUMIFS($AD$37:$AD$12971,$V$37:$V$12971,$V9582,$X$37:$X$12971,AE$13)</f>
        <v>0</v>
      </c>
      <c r="AF9582" s="185">
        <f>SUMIFS($AD$37:$AD$12971,$V$37:$V$12971,$V9582,$X$37:$X$12971,AF$13)</f>
        <v>0</v>
      </c>
      <c r="AG9582" s="185">
        <f>SUMIFS($AD$37:$AD$12971,$V$37:$V$12971,$V9582,$X$37:$X$12971,AG$13)</f>
        <v>0</v>
      </c>
      <c r="AH9582" s="187">
        <f>SUMIFS($AD$37:$AD$12971,$V$37:$V$12971,$V9582,$X$37:$X$12971,AH$13)</f>
        <v>0</v>
      </c>
      <c r="AI9582" s="161">
        <f t="shared" ref="AI9582" si="6439">SUM(AE9582:AH9582)</f>
        <v>0</v>
      </c>
      <c r="AK9582" s="172"/>
    </row>
    <row r="9583" spans="1:41" s="102" customFormat="1" ht="19.899999999999999" customHeight="1" x14ac:dyDescent="0.25">
      <c r="A9583" s="45"/>
      <c r="B9583" s="59"/>
      <c r="C9583" s="137"/>
      <c r="D9583" s="59"/>
      <c r="E9583" s="116"/>
      <c r="F9583" s="120"/>
      <c r="G9583" s="120"/>
      <c r="H9583" s="120"/>
      <c r="I9583" s="60"/>
      <c r="J9583" s="116"/>
      <c r="K9583" s="213"/>
      <c r="L9583" s="120"/>
      <c r="M9583" s="120"/>
      <c r="N9583" s="167"/>
      <c r="O9583" s="120"/>
      <c r="P9583" s="120"/>
      <c r="Q9583" s="120"/>
      <c r="R9583" s="120"/>
      <c r="S9583" s="120"/>
      <c r="T9583" s="221"/>
      <c r="U9583" s="89"/>
      <c r="V9583" s="61"/>
      <c r="W9583" s="92" t="s">
        <v>129</v>
      </c>
      <c r="X9583" s="93" t="s">
        <v>29</v>
      </c>
      <c r="Y9583" s="93" t="s">
        <v>93</v>
      </c>
      <c r="Z9583" s="134">
        <f>VLOOKUP(W9583,Sheet2!$B:$D,3,FALSE)</f>
        <v>56</v>
      </c>
      <c r="AA9583" s="93">
        <f>100/(2.5*2.5*2)</f>
        <v>8</v>
      </c>
      <c r="AB9583" s="93">
        <f t="shared" ref="AB9583" si="6440">AD9583/AC9582</f>
        <v>7</v>
      </c>
      <c r="AC9583" s="93">
        <f>AC9582/AA9583</f>
        <v>30.671878130006412</v>
      </c>
      <c r="AD9583" s="94">
        <f t="shared" ref="AD9583:AD9584" si="6441">AC9583*Z9583</f>
        <v>1717.6251752803591</v>
      </c>
      <c r="AE9583" s="190"/>
      <c r="AF9583" s="191"/>
      <c r="AG9583" s="191"/>
      <c r="AH9583" s="191"/>
      <c r="AI9583" s="186"/>
      <c r="AK9583" s="171"/>
    </row>
    <row r="9584" spans="1:41" s="102" customFormat="1" ht="19.899999999999999" customHeight="1" x14ac:dyDescent="0.25">
      <c r="A9584" s="45"/>
      <c r="B9584" s="59"/>
      <c r="C9584" s="137"/>
      <c r="D9584" s="59"/>
      <c r="E9584" s="116"/>
      <c r="F9584" s="120"/>
      <c r="G9584" s="120"/>
      <c r="H9584" s="120"/>
      <c r="I9584" s="60"/>
      <c r="J9584" s="116"/>
      <c r="K9584" s="213"/>
      <c r="L9584" s="120"/>
      <c r="M9584" s="120"/>
      <c r="N9584" s="167"/>
      <c r="O9584" s="120"/>
      <c r="P9584" s="120"/>
      <c r="Q9584" s="120"/>
      <c r="R9584" s="120"/>
      <c r="S9584" s="120"/>
      <c r="T9584" s="221"/>
      <c r="U9584" s="89"/>
      <c r="V9584" s="61"/>
      <c r="W9584" s="92" t="s">
        <v>65</v>
      </c>
      <c r="X9584" s="93" t="s">
        <v>30</v>
      </c>
      <c r="Y9584" s="93" t="s">
        <v>1011</v>
      </c>
      <c r="Z9584" s="134">
        <f>VLOOKUP(W9584,Sheet2!$B:$D,3,FALSE)</f>
        <v>1.76</v>
      </c>
      <c r="AA9584" s="93">
        <f>AA9583/14</f>
        <v>0.5714285714285714</v>
      </c>
      <c r="AB9584" s="93">
        <f>AD9584/AC9582</f>
        <v>3.08</v>
      </c>
      <c r="AC9584" s="93">
        <f>AC9582/AA9584</f>
        <v>429.40629382008979</v>
      </c>
      <c r="AD9584" s="94">
        <f t="shared" si="6441"/>
        <v>755.75507712335798</v>
      </c>
      <c r="AE9584" s="190"/>
      <c r="AF9584" s="191"/>
      <c r="AG9584" s="191"/>
      <c r="AH9584" s="191"/>
      <c r="AI9584" s="186"/>
      <c r="AK9584" s="171"/>
    </row>
    <row r="9585" spans="1:37" s="102" customFormat="1" ht="19.899999999999999" customHeight="1" x14ac:dyDescent="0.25">
      <c r="A9585" s="45"/>
      <c r="B9585" s="59"/>
      <c r="C9585" s="137"/>
      <c r="D9585" s="59"/>
      <c r="E9585" s="116"/>
      <c r="F9585" s="120"/>
      <c r="G9585" s="120"/>
      <c r="H9585" s="120"/>
      <c r="I9585" s="60"/>
      <c r="J9585" s="116"/>
      <c r="K9585" s="213"/>
      <c r="L9585" s="120"/>
      <c r="M9585" s="120"/>
      <c r="N9585" s="167"/>
      <c r="O9585" s="120"/>
      <c r="P9585" s="120"/>
      <c r="Q9585" s="120"/>
      <c r="R9585" s="120"/>
      <c r="S9585" s="120"/>
      <c r="T9585" s="221"/>
      <c r="U9585" s="89"/>
      <c r="V9585" s="61"/>
      <c r="W9585" s="92" t="s">
        <v>161</v>
      </c>
      <c r="X9585" s="93" t="s">
        <v>29</v>
      </c>
      <c r="Y9585" s="93" t="s">
        <v>93</v>
      </c>
      <c r="Z9585" s="134">
        <f>VLOOKUP(W9585,Sheet2!$B:$D,3,FALSE)</f>
        <v>48</v>
      </c>
      <c r="AA9585" s="93">
        <f>(16*0.85*1.5)/(2.5*2.5*2)</f>
        <v>1.6319999999999999</v>
      </c>
      <c r="AB9585" s="93">
        <f>AD9585/AC9582</f>
        <v>29.411764705882355</v>
      </c>
      <c r="AC9585" s="93">
        <f>AC9582/AA9585</f>
        <v>150.35234377454125</v>
      </c>
      <c r="AD9585" s="94">
        <f>AC9585*Z9585</f>
        <v>7216.9125011779797</v>
      </c>
      <c r="AE9585" s="190"/>
      <c r="AF9585" s="191"/>
      <c r="AG9585" s="191"/>
      <c r="AH9585" s="191"/>
      <c r="AI9585" s="186"/>
      <c r="AK9585" s="171"/>
    </row>
    <row r="9586" spans="1:37" s="102" customFormat="1" ht="19.899999999999999" customHeight="1" x14ac:dyDescent="0.25">
      <c r="A9586" s="45"/>
      <c r="B9586" s="59"/>
      <c r="C9586" s="137"/>
      <c r="D9586" s="59"/>
      <c r="E9586" s="116"/>
      <c r="F9586" s="120"/>
      <c r="G9586" s="120"/>
      <c r="H9586" s="120"/>
      <c r="I9586" s="60"/>
      <c r="J9586" s="116"/>
      <c r="K9586" s="213"/>
      <c r="L9586" s="120"/>
      <c r="M9586" s="120"/>
      <c r="N9586" s="167"/>
      <c r="O9586" s="120"/>
      <c r="P9586" s="120"/>
      <c r="Q9586" s="120"/>
      <c r="R9586" s="120"/>
      <c r="S9586" s="120"/>
      <c r="T9586" s="221"/>
      <c r="U9586" s="89"/>
      <c r="V9586" s="61"/>
      <c r="W9586" s="92" t="s">
        <v>65</v>
      </c>
      <c r="X9586" s="93" t="s">
        <v>30</v>
      </c>
      <c r="Y9586" s="93" t="s">
        <v>1011</v>
      </c>
      <c r="Z9586" s="134">
        <f>VLOOKUP(W9586,Sheet2!$B:$D,3,FALSE)</f>
        <v>1.76</v>
      </c>
      <c r="AA9586" s="93">
        <f>AA9585/10</f>
        <v>0.16319999999999998</v>
      </c>
      <c r="AB9586" s="93">
        <f>AD9586/AC9582</f>
        <v>10.784313725490199</v>
      </c>
      <c r="AC9586" s="93">
        <f>AC9582/AA9586</f>
        <v>1503.5234377454126</v>
      </c>
      <c r="AD9586" s="94">
        <f>AC9586*Z9586</f>
        <v>2646.2012504319264</v>
      </c>
      <c r="AE9586" s="190"/>
      <c r="AF9586" s="191"/>
      <c r="AG9586" s="191"/>
      <c r="AH9586" s="191"/>
      <c r="AI9586" s="186"/>
      <c r="AK9586" s="171"/>
    </row>
    <row r="9587" spans="1:37" s="103" customFormat="1" ht="19.899999999999999" customHeight="1" x14ac:dyDescent="0.25">
      <c r="A9587" s="51"/>
      <c r="B9587" s="52"/>
      <c r="C9587" s="165"/>
      <c r="D9587" s="52"/>
      <c r="E9587" s="115"/>
      <c r="F9587" s="58"/>
      <c r="G9587" s="58"/>
      <c r="H9587" s="58"/>
      <c r="I9587" s="55"/>
      <c r="J9587" s="113">
        <f>J9581</f>
        <v>245.3750250400513</v>
      </c>
      <c r="K9587" s="212">
        <f>K9581</f>
        <v>245.3750250400513</v>
      </c>
      <c r="L9587" s="58"/>
      <c r="M9587" s="58">
        <f>K9587-L9587</f>
        <v>245.3750250400513</v>
      </c>
      <c r="N9587" s="166"/>
      <c r="O9587" s="58"/>
      <c r="P9587" s="58"/>
      <c r="Q9587" s="58"/>
      <c r="R9587" s="58"/>
      <c r="S9587" s="58"/>
      <c r="T9587" s="220"/>
      <c r="U9587" s="88"/>
      <c r="V9587" s="56"/>
      <c r="W9587" s="57" t="s">
        <v>1642</v>
      </c>
      <c r="X9587" s="53"/>
      <c r="Y9587" s="91" t="s">
        <v>35</v>
      </c>
      <c r="Z9587" s="136">
        <f>AD9587/AC9587</f>
        <v>3187.2030769230764</v>
      </c>
      <c r="AA9587" s="58"/>
      <c r="AB9587" s="53">
        <f>AD9587/AC9587</f>
        <v>3187.2030769230764</v>
      </c>
      <c r="AC9587" s="53">
        <f>M9587+$AE$10</f>
        <v>245.3750250400513</v>
      </c>
      <c r="AD9587" s="54">
        <f>SUM(AD9588:AD9596)</f>
        <v>782060.03480772837</v>
      </c>
      <c r="AE9587" s="184">
        <f>SUMIFS($AD$37:$AD$12971,$V$37:$V$12971,$V9587,$X$37:$X$12971,AE$13)</f>
        <v>0</v>
      </c>
      <c r="AF9587" s="185">
        <f>SUMIFS($AD$37:$AD$12971,$V$37:$V$12971,$V9587,$X$37:$X$12971,AF$13)</f>
        <v>0</v>
      </c>
      <c r="AG9587" s="185">
        <f>SUMIFS($AD$37:$AD$12971,$V$37:$V$12971,$V9587,$X$37:$X$12971,AG$13)</f>
        <v>0</v>
      </c>
      <c r="AH9587" s="187">
        <f>SUMIFS($AD$37:$AD$12971,$V$37:$V$12971,$V9587,$X$37:$X$12971,AH$13)</f>
        <v>0</v>
      </c>
      <c r="AI9587" s="161">
        <f t="shared" ref="AI9587" si="6442">SUM(AE9587:AH9587)</f>
        <v>0</v>
      </c>
      <c r="AK9587" s="172"/>
    </row>
    <row r="9588" spans="1:37" s="102" customFormat="1" ht="19.899999999999999" customHeight="1" x14ac:dyDescent="0.25">
      <c r="A9588" s="45"/>
      <c r="B9588" s="59"/>
      <c r="C9588" s="137"/>
      <c r="D9588" s="59"/>
      <c r="E9588" s="116"/>
      <c r="F9588" s="120"/>
      <c r="G9588" s="120"/>
      <c r="H9588" s="120"/>
      <c r="I9588" s="60"/>
      <c r="J9588" s="116"/>
      <c r="K9588" s="213"/>
      <c r="L9588" s="120"/>
      <c r="M9588" s="120"/>
      <c r="N9588" s="167"/>
      <c r="O9588" s="120"/>
      <c r="P9588" s="120"/>
      <c r="Q9588" s="120"/>
      <c r="R9588" s="120"/>
      <c r="S9588" s="120"/>
      <c r="T9588" s="221"/>
      <c r="U9588" s="89"/>
      <c r="V9588" s="61"/>
      <c r="W9588" s="92" t="s">
        <v>1353</v>
      </c>
      <c r="X9588" s="93" t="s">
        <v>30</v>
      </c>
      <c r="Y9588" s="93" t="s">
        <v>66</v>
      </c>
      <c r="Z9588" s="134">
        <f>VLOOKUP(W9588,Sheet2!$B:$D,3,FALSE)</f>
        <v>350</v>
      </c>
      <c r="AA9588" s="93">
        <f>1/((1*2*0.2*4)+(1*1*0.3))</f>
        <v>0.52631578947368418</v>
      </c>
      <c r="AB9588" s="93">
        <f>AD9588/AC9587</f>
        <v>665</v>
      </c>
      <c r="AC9588" s="93">
        <f>AC9587/AA9588</f>
        <v>466.21254757609751</v>
      </c>
      <c r="AD9588" s="94">
        <f t="shared" ref="AD9588:AD9589" si="6443">AC9588*Z9588</f>
        <v>163174.39165163413</v>
      </c>
      <c r="AE9588" s="190"/>
      <c r="AF9588" s="191"/>
      <c r="AG9588" s="191"/>
      <c r="AH9588" s="191"/>
      <c r="AI9588" s="186"/>
      <c r="AK9588" s="171"/>
    </row>
    <row r="9589" spans="1:37" s="102" customFormat="1" ht="19.899999999999999" customHeight="1" x14ac:dyDescent="0.25">
      <c r="A9589" s="45"/>
      <c r="B9589" s="59"/>
      <c r="C9589" s="137"/>
      <c r="D9589" s="59"/>
      <c r="E9589" s="116"/>
      <c r="F9589" s="120"/>
      <c r="G9589" s="120"/>
      <c r="H9589" s="120"/>
      <c r="I9589" s="60"/>
      <c r="J9589" s="116"/>
      <c r="K9589" s="213"/>
      <c r="L9589" s="120"/>
      <c r="M9589" s="120"/>
      <c r="N9589" s="167"/>
      <c r="O9589" s="120"/>
      <c r="P9589" s="120"/>
      <c r="Q9589" s="120"/>
      <c r="R9589" s="120"/>
      <c r="S9589" s="120"/>
      <c r="T9589" s="221"/>
      <c r="U9589" s="89"/>
      <c r="V9589" s="61"/>
      <c r="W9589" s="92" t="s">
        <v>99</v>
      </c>
      <c r="X9589" s="93" t="s">
        <v>30</v>
      </c>
      <c r="Y9589" s="93" t="s">
        <v>67</v>
      </c>
      <c r="Z9589" s="134">
        <f>VLOOKUP(W9589,Sheet2!$B:$D,3,FALSE)</f>
        <v>2500</v>
      </c>
      <c r="AA9589" s="93">
        <f>AA9588/0.08</f>
        <v>6.5789473684210522</v>
      </c>
      <c r="AB9589" s="93">
        <f>AD9589/AC9587</f>
        <v>380</v>
      </c>
      <c r="AC9589" s="93">
        <f>AC9587/AA9589</f>
        <v>37.297003806087801</v>
      </c>
      <c r="AD9589" s="94">
        <f t="shared" si="6443"/>
        <v>93242.509515219499</v>
      </c>
      <c r="AE9589" s="190"/>
      <c r="AF9589" s="191"/>
      <c r="AG9589" s="191"/>
      <c r="AH9589" s="191"/>
      <c r="AI9589" s="186"/>
      <c r="AK9589" s="171"/>
    </row>
    <row r="9590" spans="1:37" s="102" customFormat="1" ht="19.899999999999999" customHeight="1" x14ac:dyDescent="0.25">
      <c r="A9590" s="45"/>
      <c r="B9590" s="59"/>
      <c r="C9590" s="137"/>
      <c r="D9590" s="59"/>
      <c r="E9590" s="116"/>
      <c r="F9590" s="120"/>
      <c r="G9590" s="120"/>
      <c r="H9590" s="120"/>
      <c r="I9590" s="60"/>
      <c r="J9590" s="116"/>
      <c r="K9590" s="213"/>
      <c r="L9590" s="120"/>
      <c r="M9590" s="120"/>
      <c r="N9590" s="167"/>
      <c r="O9590" s="120"/>
      <c r="P9590" s="120"/>
      <c r="Q9590" s="120"/>
      <c r="R9590" s="120"/>
      <c r="S9590" s="120"/>
      <c r="T9590" s="221"/>
      <c r="U9590" s="89"/>
      <c r="V9590" s="61"/>
      <c r="W9590" s="92" t="s">
        <v>1533</v>
      </c>
      <c r="X9590" s="93" t="s">
        <v>32</v>
      </c>
      <c r="Y9590" s="93" t="s">
        <v>66</v>
      </c>
      <c r="Z9590" s="134">
        <f>VLOOKUP(W9590,Sheet2!$B:$D,3,FALSE)</f>
        <v>300</v>
      </c>
      <c r="AA9590" s="93">
        <f>AA9588</f>
        <v>0.52631578947368418</v>
      </c>
      <c r="AB9590" s="93">
        <f>AD9590/AC9587</f>
        <v>570.00000000000011</v>
      </c>
      <c r="AC9590" s="93">
        <f>AC9587/AA9590</f>
        <v>466.21254757609751</v>
      </c>
      <c r="AD9590" s="94">
        <f>AC9590*Z9590</f>
        <v>139863.76427282926</v>
      </c>
      <c r="AE9590" s="190"/>
      <c r="AF9590" s="191"/>
      <c r="AG9590" s="191"/>
      <c r="AH9590" s="191"/>
      <c r="AI9590" s="186"/>
      <c r="AK9590" s="171"/>
    </row>
    <row r="9591" spans="1:37" s="102" customFormat="1" ht="19.899999999999999" customHeight="1" x14ac:dyDescent="0.25">
      <c r="A9591" s="45"/>
      <c r="B9591" s="59"/>
      <c r="C9591" s="137"/>
      <c r="D9591" s="59"/>
      <c r="E9591" s="116"/>
      <c r="F9591" s="120"/>
      <c r="G9591" s="120"/>
      <c r="H9591" s="120"/>
      <c r="I9591" s="60"/>
      <c r="J9591" s="116"/>
      <c r="K9591" s="213"/>
      <c r="L9591" s="120"/>
      <c r="M9591" s="120"/>
      <c r="N9591" s="167"/>
      <c r="O9591" s="120"/>
      <c r="P9591" s="120"/>
      <c r="Q9591" s="120"/>
      <c r="R9591" s="120"/>
      <c r="S9591" s="120"/>
      <c r="T9591" s="221"/>
      <c r="U9591" s="89"/>
      <c r="V9591" s="61"/>
      <c r="W9591" s="92" t="s">
        <v>1634</v>
      </c>
      <c r="X9591" s="93" t="s">
        <v>30</v>
      </c>
      <c r="Y9591" s="93" t="s">
        <v>35</v>
      </c>
      <c r="Z9591" s="134">
        <f>VLOOKUP(W9591,Sheet2!$B:$D,3,FALSE)</f>
        <v>1250</v>
      </c>
      <c r="AA9591" s="93">
        <v>1</v>
      </c>
      <c r="AB9591" s="93">
        <f>AD9591/AC9587</f>
        <v>1250</v>
      </c>
      <c r="AC9591" s="93">
        <f>AC9587/AA9591</f>
        <v>245.3750250400513</v>
      </c>
      <c r="AD9591" s="94">
        <f t="shared" ref="AD9591:AD9592" si="6444">AC9591*Z9591</f>
        <v>306718.78130006412</v>
      </c>
      <c r="AE9591" s="190"/>
      <c r="AF9591" s="191"/>
      <c r="AG9591" s="191"/>
      <c r="AH9591" s="191"/>
      <c r="AI9591" s="186"/>
      <c r="AK9591" s="171"/>
    </row>
    <row r="9592" spans="1:37" s="102" customFormat="1" ht="19.899999999999999" customHeight="1" x14ac:dyDescent="0.25">
      <c r="A9592" s="45"/>
      <c r="B9592" s="59"/>
      <c r="C9592" s="137"/>
      <c r="D9592" s="59"/>
      <c r="E9592" s="116"/>
      <c r="F9592" s="120"/>
      <c r="G9592" s="120"/>
      <c r="H9592" s="120"/>
      <c r="I9592" s="60"/>
      <c r="J9592" s="116"/>
      <c r="K9592" s="213"/>
      <c r="L9592" s="120"/>
      <c r="M9592" s="120"/>
      <c r="N9592" s="167"/>
      <c r="O9592" s="120"/>
      <c r="P9592" s="120"/>
      <c r="Q9592" s="120"/>
      <c r="R9592" s="120"/>
      <c r="S9592" s="120"/>
      <c r="T9592" s="221"/>
      <c r="U9592" s="89"/>
      <c r="V9592" s="61"/>
      <c r="W9592" s="92" t="s">
        <v>142</v>
      </c>
      <c r="X9592" s="93" t="s">
        <v>29</v>
      </c>
      <c r="Y9592" s="93" t="s">
        <v>93</v>
      </c>
      <c r="Z9592" s="134">
        <f>VLOOKUP(W9592,Sheet2!$B:$D,3,FALSE)</f>
        <v>67.692307692307693</v>
      </c>
      <c r="AA9592" s="93">
        <v>4</v>
      </c>
      <c r="AB9592" s="93">
        <f>AD9592/AC9587</f>
        <v>16.923076923076923</v>
      </c>
      <c r="AC9592" s="93">
        <f>AC9587/AA9592</f>
        <v>61.343756260012825</v>
      </c>
      <c r="AD9592" s="94">
        <f t="shared" si="6444"/>
        <v>4152.5004237547146</v>
      </c>
      <c r="AE9592" s="190"/>
      <c r="AF9592" s="191"/>
      <c r="AG9592" s="191"/>
      <c r="AH9592" s="191"/>
      <c r="AI9592" s="186"/>
      <c r="AK9592" s="171"/>
    </row>
    <row r="9593" spans="1:37" s="102" customFormat="1" ht="19.899999999999999" customHeight="1" x14ac:dyDescent="0.25">
      <c r="A9593" s="45"/>
      <c r="B9593" s="59"/>
      <c r="C9593" s="137"/>
      <c r="D9593" s="59"/>
      <c r="E9593" s="116"/>
      <c r="F9593" s="120"/>
      <c r="G9593" s="120"/>
      <c r="H9593" s="120"/>
      <c r="I9593" s="60"/>
      <c r="J9593" s="116"/>
      <c r="K9593" s="213"/>
      <c r="L9593" s="120"/>
      <c r="M9593" s="120"/>
      <c r="N9593" s="167"/>
      <c r="O9593" s="120"/>
      <c r="P9593" s="120"/>
      <c r="Q9593" s="120"/>
      <c r="R9593" s="120"/>
      <c r="S9593" s="120"/>
      <c r="T9593" s="221"/>
      <c r="U9593" s="89"/>
      <c r="V9593" s="61"/>
      <c r="W9593" s="92" t="s">
        <v>65</v>
      </c>
      <c r="X9593" s="93" t="s">
        <v>30</v>
      </c>
      <c r="Y9593" s="93" t="s">
        <v>93</v>
      </c>
      <c r="Z9593" s="134">
        <f>VLOOKUP(W9593,Sheet2!$B:$D,3,FALSE)</f>
        <v>1.76</v>
      </c>
      <c r="AA9593" s="93">
        <f>AA9592/12</f>
        <v>0.33333333333333331</v>
      </c>
      <c r="AB9593" s="93">
        <f>AD9593/AC9587</f>
        <v>5.28</v>
      </c>
      <c r="AC9593" s="93">
        <f>AC9587/AA9593</f>
        <v>736.12507512015395</v>
      </c>
      <c r="AD9593" s="94">
        <f>AC9593*Z9593</f>
        <v>1295.580132211471</v>
      </c>
      <c r="AE9593" s="190"/>
      <c r="AF9593" s="191"/>
      <c r="AG9593" s="191"/>
      <c r="AH9593" s="191"/>
      <c r="AI9593" s="186"/>
      <c r="AK9593" s="171"/>
    </row>
    <row r="9594" spans="1:37" s="102" customFormat="1" ht="19.899999999999999" customHeight="1" x14ac:dyDescent="0.25">
      <c r="A9594" s="45"/>
      <c r="B9594" s="59"/>
      <c r="C9594" s="137"/>
      <c r="D9594" s="59"/>
      <c r="E9594" s="116"/>
      <c r="F9594" s="120"/>
      <c r="G9594" s="120"/>
      <c r="H9594" s="120"/>
      <c r="I9594" s="60"/>
      <c r="J9594" s="116"/>
      <c r="K9594" s="213"/>
      <c r="L9594" s="120"/>
      <c r="M9594" s="120"/>
      <c r="N9594" s="167"/>
      <c r="O9594" s="120"/>
      <c r="P9594" s="120"/>
      <c r="Q9594" s="120"/>
      <c r="R9594" s="120"/>
      <c r="S9594" s="120"/>
      <c r="T9594" s="221"/>
      <c r="U9594" s="89"/>
      <c r="V9594" s="61"/>
      <c r="W9594" s="92" t="s">
        <v>1357</v>
      </c>
      <c r="X9594" s="93" t="s">
        <v>30</v>
      </c>
      <c r="Y9594" s="93" t="s">
        <v>1349</v>
      </c>
      <c r="Z9594" s="134">
        <f>VLOOKUP(W9594,Sheet2!$B:$D,3,FALSE)</f>
        <v>150</v>
      </c>
      <c r="AA9594" s="93">
        <v>1</v>
      </c>
      <c r="AB9594" s="93">
        <f>AD9594/AC9587</f>
        <v>150</v>
      </c>
      <c r="AC9594" s="93">
        <f>AC9587/AA9594</f>
        <v>245.3750250400513</v>
      </c>
      <c r="AD9594" s="94">
        <f>AC9594*Z9594</f>
        <v>36806.253756007696</v>
      </c>
      <c r="AE9594" s="190"/>
      <c r="AF9594" s="191"/>
      <c r="AG9594" s="191"/>
      <c r="AH9594" s="191"/>
      <c r="AI9594" s="186"/>
      <c r="AK9594" s="171"/>
    </row>
    <row r="9595" spans="1:37" s="102" customFormat="1" ht="19.899999999999999" customHeight="1" x14ac:dyDescent="0.25">
      <c r="A9595" s="45"/>
      <c r="B9595" s="59"/>
      <c r="C9595" s="137"/>
      <c r="D9595" s="59"/>
      <c r="E9595" s="116"/>
      <c r="F9595" s="120"/>
      <c r="G9595" s="120"/>
      <c r="H9595" s="120"/>
      <c r="I9595" s="60"/>
      <c r="J9595" s="116"/>
      <c r="K9595" s="213"/>
      <c r="L9595" s="120"/>
      <c r="M9595" s="120"/>
      <c r="N9595" s="167"/>
      <c r="O9595" s="120"/>
      <c r="P9595" s="120"/>
      <c r="Q9595" s="120"/>
      <c r="R9595" s="120"/>
      <c r="S9595" s="120"/>
      <c r="T9595" s="221"/>
      <c r="U9595" s="89"/>
      <c r="V9595" s="61"/>
      <c r="W9595" s="92" t="s">
        <v>107</v>
      </c>
      <c r="X9595" s="93" t="s">
        <v>31</v>
      </c>
      <c r="Y9595" s="93" t="s">
        <v>93</v>
      </c>
      <c r="Z9595" s="134">
        <f>VLOOKUP(W9595,Sheet2!$B:$D,3,FALSE)</f>
        <v>17</v>
      </c>
      <c r="AA9595" s="93">
        <f>1/5</f>
        <v>0.2</v>
      </c>
      <c r="AB9595" s="93">
        <f>AD9595/AC9587</f>
        <v>84.999999999999986</v>
      </c>
      <c r="AC9595" s="93">
        <f>AC9587/AA9595</f>
        <v>1226.8751252002564</v>
      </c>
      <c r="AD9595" s="94">
        <f>AC9595*Z9595</f>
        <v>20856.877128404358</v>
      </c>
      <c r="AE9595" s="190"/>
      <c r="AF9595" s="191"/>
      <c r="AG9595" s="191"/>
      <c r="AH9595" s="191"/>
      <c r="AI9595" s="186"/>
      <c r="AK9595" s="171"/>
    </row>
    <row r="9596" spans="1:37" s="102" customFormat="1" ht="19.899999999999999" customHeight="1" x14ac:dyDescent="0.25">
      <c r="A9596" s="45"/>
      <c r="B9596" s="59"/>
      <c r="C9596" s="137"/>
      <c r="D9596" s="59"/>
      <c r="E9596" s="116"/>
      <c r="F9596" s="120"/>
      <c r="G9596" s="120"/>
      <c r="H9596" s="120"/>
      <c r="I9596" s="60"/>
      <c r="J9596" s="116"/>
      <c r="K9596" s="213"/>
      <c r="L9596" s="120"/>
      <c r="M9596" s="120"/>
      <c r="N9596" s="167"/>
      <c r="O9596" s="120"/>
      <c r="P9596" s="120"/>
      <c r="Q9596" s="120"/>
      <c r="R9596" s="120"/>
      <c r="S9596" s="120"/>
      <c r="T9596" s="221"/>
      <c r="U9596" s="89"/>
      <c r="V9596" s="61"/>
      <c r="W9596" s="92" t="s">
        <v>112</v>
      </c>
      <c r="X9596" s="93" t="s">
        <v>31</v>
      </c>
      <c r="Y9596" s="93" t="s">
        <v>93</v>
      </c>
      <c r="Z9596" s="134">
        <f>VLOOKUP(W9596,Sheet2!$B:$D,3,FALSE)</f>
        <v>13</v>
      </c>
      <c r="AA9596" s="93">
        <f>AA9595</f>
        <v>0.2</v>
      </c>
      <c r="AB9596" s="93">
        <f>AD9596/AC9587</f>
        <v>65</v>
      </c>
      <c r="AC9596" s="93">
        <f>AC9587/AA9596</f>
        <v>1226.8751252002564</v>
      </c>
      <c r="AD9596" s="94">
        <f>AC9596*Z9596</f>
        <v>15949.376627603333</v>
      </c>
      <c r="AE9596" s="190"/>
      <c r="AF9596" s="191"/>
      <c r="AG9596" s="191"/>
      <c r="AH9596" s="191"/>
      <c r="AI9596" s="186"/>
      <c r="AK9596" s="171"/>
    </row>
    <row r="9597" spans="1:37" s="103" customFormat="1" ht="19.899999999999999" customHeight="1" x14ac:dyDescent="0.25">
      <c r="A9597" s="51"/>
      <c r="B9597" s="52"/>
      <c r="C9597" s="165"/>
      <c r="D9597" s="52"/>
      <c r="E9597" s="115"/>
      <c r="F9597" s="58"/>
      <c r="G9597" s="58"/>
      <c r="H9597" s="58"/>
      <c r="I9597" s="55"/>
      <c r="J9597" s="113">
        <f>J9581</f>
        <v>245.3750250400513</v>
      </c>
      <c r="K9597" s="212">
        <f>K9581</f>
        <v>245.3750250400513</v>
      </c>
      <c r="L9597" s="58"/>
      <c r="M9597" s="58">
        <f>K9597-L9597</f>
        <v>245.3750250400513</v>
      </c>
      <c r="N9597" s="166"/>
      <c r="O9597" s="58"/>
      <c r="P9597" s="58"/>
      <c r="Q9597" s="58"/>
      <c r="R9597" s="58"/>
      <c r="S9597" s="58"/>
      <c r="T9597" s="220"/>
      <c r="U9597" s="88"/>
      <c r="V9597" s="56"/>
      <c r="W9597" s="57" t="s">
        <v>1358</v>
      </c>
      <c r="X9597" s="53"/>
      <c r="Y9597" s="91" t="s">
        <v>35</v>
      </c>
      <c r="Z9597" s="136">
        <f>AD9597/AC9597</f>
        <v>560</v>
      </c>
      <c r="AA9597" s="58"/>
      <c r="AB9597" s="53">
        <f>AD9597/AC9597</f>
        <v>560</v>
      </c>
      <c r="AC9597" s="53">
        <f>M9597+$AE$10</f>
        <v>245.3750250400513</v>
      </c>
      <c r="AD9597" s="54">
        <f>SUM(AD9598:AD9599)</f>
        <v>137410.01402242872</v>
      </c>
      <c r="AE9597" s="184">
        <f>SUMIFS($AD$37:$AD$12971,$V$37:$V$12971,$V9597,$X$37:$X$12971,AE$13)</f>
        <v>0</v>
      </c>
      <c r="AF9597" s="185">
        <f>SUMIFS($AD$37:$AD$12971,$V$37:$V$12971,$V9597,$X$37:$X$12971,AF$13)</f>
        <v>0</v>
      </c>
      <c r="AG9597" s="185">
        <f>SUMIFS($AD$37:$AD$12971,$V$37:$V$12971,$V9597,$X$37:$X$12971,AG$13)</f>
        <v>0</v>
      </c>
      <c r="AH9597" s="187">
        <f>SUMIFS($AD$37:$AD$12971,$V$37:$V$12971,$V9597,$X$37:$X$12971,AH$13)</f>
        <v>0</v>
      </c>
      <c r="AI9597" s="161">
        <f t="shared" ref="AI9597" si="6445">SUM(AE9597:AH9597)</f>
        <v>0</v>
      </c>
      <c r="AK9597" s="172"/>
    </row>
    <row r="9598" spans="1:37" s="102" customFormat="1" ht="19.899999999999999" customHeight="1" x14ac:dyDescent="0.25">
      <c r="A9598" s="45"/>
      <c r="B9598" s="59"/>
      <c r="C9598" s="137"/>
      <c r="D9598" s="59"/>
      <c r="E9598" s="116"/>
      <c r="F9598" s="120"/>
      <c r="G9598" s="120"/>
      <c r="H9598" s="120"/>
      <c r="I9598" s="60"/>
      <c r="J9598" s="116"/>
      <c r="K9598" s="213"/>
      <c r="L9598" s="120"/>
      <c r="M9598" s="120"/>
      <c r="N9598" s="167"/>
      <c r="O9598" s="120"/>
      <c r="P9598" s="120"/>
      <c r="Q9598" s="120"/>
      <c r="R9598" s="120"/>
      <c r="S9598" s="120"/>
      <c r="T9598" s="221"/>
      <c r="U9598" s="89"/>
      <c r="V9598" s="61"/>
      <c r="W9598" s="92" t="s">
        <v>1359</v>
      </c>
      <c r="X9598" s="93" t="s">
        <v>32</v>
      </c>
      <c r="Y9598" s="93" t="s">
        <v>64</v>
      </c>
      <c r="Z9598" s="134">
        <f>VLOOKUP(W9598,Sheet2!$B:$D,3,FALSE)</f>
        <v>40</v>
      </c>
      <c r="AA9598" s="93">
        <f>1/(1*2*4)</f>
        <v>0.125</v>
      </c>
      <c r="AB9598" s="93">
        <f t="shared" ref="AB9598" si="6446">AD9598/AC9597</f>
        <v>320</v>
      </c>
      <c r="AC9598" s="93">
        <f>AC9597/AA9598</f>
        <v>1963.0002003204104</v>
      </c>
      <c r="AD9598" s="94">
        <f t="shared" ref="AD9598:AD9599" si="6447">AC9598*Z9598</f>
        <v>78520.008012816412</v>
      </c>
      <c r="AE9598" s="190"/>
      <c r="AF9598" s="191"/>
      <c r="AG9598" s="191"/>
      <c r="AH9598" s="191"/>
      <c r="AI9598" s="186"/>
      <c r="AK9598" s="171"/>
    </row>
    <row r="9599" spans="1:37" s="102" customFormat="1" ht="19.899999999999999" customHeight="1" x14ac:dyDescent="0.25">
      <c r="A9599" s="45"/>
      <c r="B9599" s="59"/>
      <c r="C9599" s="137"/>
      <c r="D9599" s="59"/>
      <c r="E9599" s="116"/>
      <c r="F9599" s="120"/>
      <c r="G9599" s="120"/>
      <c r="H9599" s="120"/>
      <c r="I9599" s="60"/>
      <c r="J9599" s="116"/>
      <c r="K9599" s="213"/>
      <c r="L9599" s="120"/>
      <c r="M9599" s="120"/>
      <c r="N9599" s="167"/>
      <c r="O9599" s="120"/>
      <c r="P9599" s="120"/>
      <c r="Q9599" s="120"/>
      <c r="R9599" s="120"/>
      <c r="S9599" s="120"/>
      <c r="T9599" s="221"/>
      <c r="U9599" s="89"/>
      <c r="V9599" s="61"/>
      <c r="W9599" s="92" t="s">
        <v>1360</v>
      </c>
      <c r="X9599" s="93" t="s">
        <v>32</v>
      </c>
      <c r="Y9599" s="93" t="s">
        <v>64</v>
      </c>
      <c r="Z9599" s="134">
        <f>VLOOKUP(W9599,Sheet2!$B:$D,3,FALSE)</f>
        <v>30</v>
      </c>
      <c r="AA9599" s="93">
        <f>AA9598</f>
        <v>0.125</v>
      </c>
      <c r="AB9599" s="93">
        <f>AD9599/AC9597</f>
        <v>240</v>
      </c>
      <c r="AC9599" s="93">
        <f>AC9597/AA9599</f>
        <v>1963.0002003204104</v>
      </c>
      <c r="AD9599" s="94">
        <f t="shared" si="6447"/>
        <v>58890.006009612312</v>
      </c>
      <c r="AE9599" s="190"/>
      <c r="AF9599" s="191"/>
      <c r="AG9599" s="191"/>
      <c r="AH9599" s="191"/>
      <c r="AI9599" s="186"/>
      <c r="AK9599" s="171"/>
    </row>
    <row r="9600" spans="1:37" s="103" customFormat="1" ht="19.899999999999999" customHeight="1" x14ac:dyDescent="0.25">
      <c r="A9600" s="51"/>
      <c r="B9600" s="52"/>
      <c r="C9600" s="165"/>
      <c r="D9600" s="52"/>
      <c r="E9600" s="115"/>
      <c r="F9600" s="58"/>
      <c r="G9600" s="58"/>
      <c r="H9600" s="58"/>
      <c r="I9600" s="55"/>
      <c r="J9600" s="113">
        <f>J9581</f>
        <v>245.3750250400513</v>
      </c>
      <c r="K9600" s="212">
        <f>K9581</f>
        <v>245.3750250400513</v>
      </c>
      <c r="L9600" s="58"/>
      <c r="M9600" s="58">
        <f>K9600-L9600</f>
        <v>245.3750250400513</v>
      </c>
      <c r="N9600" s="166"/>
      <c r="O9600" s="58"/>
      <c r="P9600" s="58"/>
      <c r="Q9600" s="58"/>
      <c r="R9600" s="58"/>
      <c r="S9600" s="58"/>
      <c r="T9600" s="220"/>
      <c r="U9600" s="88"/>
      <c r="V9600" s="56"/>
      <c r="W9600" s="57" t="s">
        <v>1272</v>
      </c>
      <c r="X9600" s="53"/>
      <c r="Y9600" s="91" t="s">
        <v>35</v>
      </c>
      <c r="Z9600" s="136">
        <f>AD9600/AC9600</f>
        <v>165.27230588235298</v>
      </c>
      <c r="AA9600" s="58"/>
      <c r="AB9600" s="53">
        <f>AD9600/AC9600</f>
        <v>165.27230588235298</v>
      </c>
      <c r="AC9600" s="53">
        <f>M9600+$AE$10</f>
        <v>245.3750250400513</v>
      </c>
      <c r="AD9600" s="54">
        <f>SUM(AD9601:AD9609)</f>
        <v>40553.696194309377</v>
      </c>
      <c r="AE9600" s="184">
        <f>SUMIFS($AD$37:$AD$12971,$V$37:$V$12971,$V9600,$X$37:$X$12971,AE$13)</f>
        <v>0</v>
      </c>
      <c r="AF9600" s="185">
        <f>SUMIFS($AD$37:$AD$12971,$V$37:$V$12971,$V9600,$X$37:$X$12971,AF$13)</f>
        <v>0</v>
      </c>
      <c r="AG9600" s="185">
        <f>SUMIFS($AD$37:$AD$12971,$V$37:$V$12971,$V9600,$X$37:$X$12971,AG$13)</f>
        <v>0</v>
      </c>
      <c r="AH9600" s="187">
        <f>SUMIFS($AD$37:$AD$12971,$V$37:$V$12971,$V9600,$X$37:$X$12971,AH$13)</f>
        <v>0</v>
      </c>
      <c r="AI9600" s="161">
        <f t="shared" ref="AI9600" si="6448">SUM(AE9600:AH9600)</f>
        <v>0</v>
      </c>
      <c r="AK9600" s="172"/>
    </row>
    <row r="9601" spans="1:41" s="102" customFormat="1" ht="19.899999999999999" customHeight="1" x14ac:dyDescent="0.25">
      <c r="A9601" s="45"/>
      <c r="B9601" s="59"/>
      <c r="C9601" s="137"/>
      <c r="D9601" s="59"/>
      <c r="E9601" s="116"/>
      <c r="F9601" s="120"/>
      <c r="G9601" s="120"/>
      <c r="H9601" s="120"/>
      <c r="I9601" s="60"/>
      <c r="J9601" s="116"/>
      <c r="K9601" s="213"/>
      <c r="L9601" s="120"/>
      <c r="M9601" s="120"/>
      <c r="N9601" s="167"/>
      <c r="O9601" s="120"/>
      <c r="P9601" s="120"/>
      <c r="Q9601" s="120"/>
      <c r="R9601" s="120"/>
      <c r="S9601" s="120"/>
      <c r="T9601" s="221"/>
      <c r="U9601" s="89"/>
      <c r="V9601" s="61"/>
      <c r="W9601" s="92" t="s">
        <v>1273</v>
      </c>
      <c r="X9601" s="93" t="s">
        <v>30</v>
      </c>
      <c r="Y9601" s="93" t="s">
        <v>66</v>
      </c>
      <c r="Z9601" s="134">
        <f>VLOOKUP(W9601,Sheet2!$B:$D,3,FALSE)</f>
        <v>10</v>
      </c>
      <c r="AA9601" s="93">
        <f>1/((2.5*2.5*2)-(1*1*2))</f>
        <v>9.5238095238095233E-2</v>
      </c>
      <c r="AB9601" s="93">
        <f>AD9601/AC9600</f>
        <v>105.00000000000001</v>
      </c>
      <c r="AC9601" s="93">
        <f>AC9600/AA9601</f>
        <v>2576.4377629205387</v>
      </c>
      <c r="AD9601" s="94">
        <f t="shared" ref="AD9601:AD9603" si="6449">AC9601*Z9601</f>
        <v>25764.377629205388</v>
      </c>
      <c r="AE9601" s="190"/>
      <c r="AF9601" s="191"/>
      <c r="AG9601" s="191"/>
      <c r="AH9601" s="191"/>
      <c r="AI9601" s="186"/>
      <c r="AK9601" s="171"/>
    </row>
    <row r="9602" spans="1:41" s="102" customFormat="1" ht="19.899999999999999" customHeight="1" x14ac:dyDescent="0.25">
      <c r="A9602" s="45"/>
      <c r="B9602" s="59"/>
      <c r="C9602" s="137"/>
      <c r="D9602" s="59"/>
      <c r="E9602" s="116"/>
      <c r="F9602" s="120"/>
      <c r="G9602" s="120"/>
      <c r="H9602" s="120"/>
      <c r="I9602" s="60"/>
      <c r="J9602" s="116"/>
      <c r="K9602" s="213"/>
      <c r="L9602" s="120"/>
      <c r="M9602" s="120"/>
      <c r="N9602" s="167"/>
      <c r="O9602" s="120"/>
      <c r="P9602" s="120"/>
      <c r="Q9602" s="120"/>
      <c r="R9602" s="120"/>
      <c r="S9602" s="120"/>
      <c r="T9602" s="221"/>
      <c r="U9602" s="89"/>
      <c r="V9602" s="61"/>
      <c r="W9602" s="92" t="s">
        <v>134</v>
      </c>
      <c r="X9602" s="93" t="s">
        <v>29</v>
      </c>
      <c r="Y9602" s="93" t="s">
        <v>93</v>
      </c>
      <c r="Z9602" s="134">
        <f>VLOOKUP(W9602,Sheet2!$B:$D,3,FALSE)</f>
        <v>65.599999999999994</v>
      </c>
      <c r="AA9602" s="93">
        <f>100/((2.5*2.5*2)-(1*1*2))</f>
        <v>9.5238095238095237</v>
      </c>
      <c r="AB9602" s="93">
        <f t="shared" ref="AB9602" si="6450">AD9602/AC9600</f>
        <v>6.8879999999999999</v>
      </c>
      <c r="AC9602" s="93">
        <f>AC9600/AA9602</f>
        <v>25.764377629205388</v>
      </c>
      <c r="AD9602" s="94">
        <f t="shared" si="6449"/>
        <v>1690.1431724758734</v>
      </c>
      <c r="AE9602" s="190"/>
      <c r="AF9602" s="191"/>
      <c r="AG9602" s="191"/>
      <c r="AH9602" s="191"/>
      <c r="AI9602" s="186"/>
      <c r="AK9602" s="171"/>
    </row>
    <row r="9603" spans="1:41" s="102" customFormat="1" ht="19.899999999999999" customHeight="1" x14ac:dyDescent="0.25">
      <c r="A9603" s="45"/>
      <c r="B9603" s="59"/>
      <c r="C9603" s="137"/>
      <c r="D9603" s="59"/>
      <c r="E9603" s="116"/>
      <c r="F9603" s="120"/>
      <c r="G9603" s="120"/>
      <c r="H9603" s="120"/>
      <c r="I9603" s="60"/>
      <c r="J9603" s="116"/>
      <c r="K9603" s="213"/>
      <c r="L9603" s="120"/>
      <c r="M9603" s="120"/>
      <c r="N9603" s="167"/>
      <c r="O9603" s="120"/>
      <c r="P9603" s="120"/>
      <c r="Q9603" s="120"/>
      <c r="R9603" s="120"/>
      <c r="S9603" s="120"/>
      <c r="T9603" s="221"/>
      <c r="U9603" s="89"/>
      <c r="V9603" s="61"/>
      <c r="W9603" s="92" t="s">
        <v>65</v>
      </c>
      <c r="X9603" s="93" t="s">
        <v>30</v>
      </c>
      <c r="Y9603" s="93" t="s">
        <v>1011</v>
      </c>
      <c r="Z9603" s="134">
        <f>VLOOKUP(W9603,Sheet2!$B:$D,3,FALSE)</f>
        <v>1.76</v>
      </c>
      <c r="AA9603" s="93">
        <f>AA9602/9</f>
        <v>1.0582010582010581</v>
      </c>
      <c r="AB9603" s="93">
        <f>AD9603/AC9600</f>
        <v>1.6632000000000002</v>
      </c>
      <c r="AC9603" s="93">
        <f>AC9600/AA9603</f>
        <v>231.8793986628485</v>
      </c>
      <c r="AD9603" s="94">
        <f t="shared" si="6449"/>
        <v>408.10774164661336</v>
      </c>
      <c r="AE9603" s="190"/>
      <c r="AF9603" s="191"/>
      <c r="AG9603" s="191"/>
      <c r="AH9603" s="191"/>
      <c r="AI9603" s="186"/>
      <c r="AK9603" s="171"/>
    </row>
    <row r="9604" spans="1:41" s="102" customFormat="1" ht="19.899999999999999" customHeight="1" x14ac:dyDescent="0.25">
      <c r="A9604" s="45"/>
      <c r="B9604" s="59"/>
      <c r="C9604" s="137"/>
      <c r="D9604" s="59"/>
      <c r="E9604" s="116"/>
      <c r="F9604" s="120"/>
      <c r="G9604" s="120"/>
      <c r="H9604" s="120"/>
      <c r="I9604" s="60"/>
      <c r="J9604" s="116"/>
      <c r="K9604" s="213"/>
      <c r="L9604" s="120"/>
      <c r="M9604" s="120"/>
      <c r="N9604" s="167"/>
      <c r="O9604" s="120"/>
      <c r="P9604" s="120"/>
      <c r="Q9604" s="120"/>
      <c r="R9604" s="120"/>
      <c r="S9604" s="120"/>
      <c r="T9604" s="221"/>
      <c r="U9604" s="89"/>
      <c r="V9604" s="61"/>
      <c r="W9604" s="92" t="s">
        <v>161</v>
      </c>
      <c r="X9604" s="93" t="s">
        <v>29</v>
      </c>
      <c r="Y9604" s="93" t="s">
        <v>93</v>
      </c>
      <c r="Z9604" s="134">
        <f>VLOOKUP(W9604,Sheet2!$B:$D,3,FALSE)</f>
        <v>48</v>
      </c>
      <c r="AA9604" s="93">
        <f>(16*0.85*1.5)/((2.5*2.5*2)-(1*1*2))</f>
        <v>1.9428571428571426</v>
      </c>
      <c r="AB9604" s="93">
        <f>AD9604/AC9600</f>
        <v>24.705882352941178</v>
      </c>
      <c r="AC9604" s="93">
        <f>AC9600/AA9604</f>
        <v>126.29596877061465</v>
      </c>
      <c r="AD9604" s="94">
        <f>AC9604*Z9604</f>
        <v>6062.2065009895032</v>
      </c>
      <c r="AE9604" s="190"/>
      <c r="AF9604" s="191"/>
      <c r="AG9604" s="191"/>
      <c r="AH9604" s="191"/>
      <c r="AI9604" s="186"/>
      <c r="AK9604" s="171"/>
    </row>
    <row r="9605" spans="1:41" s="102" customFormat="1" ht="19.899999999999999" customHeight="1" x14ac:dyDescent="0.25">
      <c r="A9605" s="45"/>
      <c r="B9605" s="59"/>
      <c r="C9605" s="137"/>
      <c r="D9605" s="59"/>
      <c r="E9605" s="116"/>
      <c r="F9605" s="120"/>
      <c r="G9605" s="120"/>
      <c r="H9605" s="120"/>
      <c r="I9605" s="60"/>
      <c r="J9605" s="116"/>
      <c r="K9605" s="213"/>
      <c r="L9605" s="120"/>
      <c r="M9605" s="120"/>
      <c r="N9605" s="167"/>
      <c r="O9605" s="120"/>
      <c r="P9605" s="120"/>
      <c r="Q9605" s="120"/>
      <c r="R9605" s="120"/>
      <c r="S9605" s="120"/>
      <c r="T9605" s="221"/>
      <c r="U9605" s="89"/>
      <c r="V9605" s="61"/>
      <c r="W9605" s="92" t="s">
        <v>65</v>
      </c>
      <c r="X9605" s="93" t="s">
        <v>30</v>
      </c>
      <c r="Y9605" s="93" t="s">
        <v>1011</v>
      </c>
      <c r="Z9605" s="134">
        <f>VLOOKUP(W9605,Sheet2!$B:$D,3,FALSE)</f>
        <v>1.76</v>
      </c>
      <c r="AA9605" s="93">
        <f>AA9604/10</f>
        <v>0.19428571428571426</v>
      </c>
      <c r="AB9605" s="93">
        <f>AD9605/AC9600</f>
        <v>9.0588235294117645</v>
      </c>
      <c r="AC9605" s="93">
        <f>AC9600/AA9605</f>
        <v>1262.9596877061465</v>
      </c>
      <c r="AD9605" s="94">
        <f>AC9605*Z9605</f>
        <v>2222.8090503628177</v>
      </c>
      <c r="AE9605" s="190"/>
      <c r="AF9605" s="191"/>
      <c r="AG9605" s="191"/>
      <c r="AH9605" s="191"/>
      <c r="AI9605" s="186"/>
      <c r="AK9605" s="171"/>
    </row>
    <row r="9606" spans="1:41" s="102" customFormat="1" ht="19.899999999999999" customHeight="1" x14ac:dyDescent="0.25">
      <c r="A9606" s="45"/>
      <c r="B9606" s="59"/>
      <c r="C9606" s="137"/>
      <c r="D9606" s="59"/>
      <c r="E9606" s="116"/>
      <c r="F9606" s="120"/>
      <c r="G9606" s="120"/>
      <c r="H9606" s="120"/>
      <c r="I9606" s="60"/>
      <c r="J9606" s="116"/>
      <c r="K9606" s="213"/>
      <c r="L9606" s="120"/>
      <c r="M9606" s="120"/>
      <c r="N9606" s="167"/>
      <c r="O9606" s="120"/>
      <c r="P9606" s="120"/>
      <c r="Q9606" s="120"/>
      <c r="R9606" s="120"/>
      <c r="S9606" s="120"/>
      <c r="T9606" s="221"/>
      <c r="U9606" s="89"/>
      <c r="V9606" s="61"/>
      <c r="W9606" s="92" t="s">
        <v>173</v>
      </c>
      <c r="X9606" s="93" t="s">
        <v>29</v>
      </c>
      <c r="Y9606" s="93" t="s">
        <v>93</v>
      </c>
      <c r="Z9606" s="134">
        <f>VLOOKUP(W9606,Sheet2!$B:$D,3,FALSE)</f>
        <v>36</v>
      </c>
      <c r="AA9606" s="93">
        <f>50/((2.5*2.5*2)-(1*1*2))</f>
        <v>4.7619047619047619</v>
      </c>
      <c r="AB9606" s="93">
        <f>AD9606/AC9600</f>
        <v>7.5600000000000005</v>
      </c>
      <c r="AC9606" s="93">
        <f>AC9600/AA9606</f>
        <v>51.528755258410776</v>
      </c>
      <c r="AD9606" s="94">
        <f>AC9606*Z9606</f>
        <v>1855.035189302788</v>
      </c>
      <c r="AE9606" s="190"/>
      <c r="AF9606" s="191"/>
      <c r="AG9606" s="191"/>
      <c r="AH9606" s="191"/>
      <c r="AI9606" s="186"/>
      <c r="AK9606" s="171"/>
    </row>
    <row r="9607" spans="1:41" s="102" customFormat="1" ht="19.899999999999999" customHeight="1" x14ac:dyDescent="0.25">
      <c r="A9607" s="45"/>
      <c r="B9607" s="59"/>
      <c r="C9607" s="137"/>
      <c r="D9607" s="59"/>
      <c r="E9607" s="116"/>
      <c r="F9607" s="120"/>
      <c r="G9607" s="120"/>
      <c r="H9607" s="120"/>
      <c r="I9607" s="60"/>
      <c r="J9607" s="116"/>
      <c r="K9607" s="213"/>
      <c r="L9607" s="120"/>
      <c r="M9607" s="120"/>
      <c r="N9607" s="167"/>
      <c r="O9607" s="120"/>
      <c r="P9607" s="120"/>
      <c r="Q9607" s="120"/>
      <c r="R9607" s="120"/>
      <c r="S9607" s="120"/>
      <c r="T9607" s="221"/>
      <c r="U9607" s="89"/>
      <c r="V9607" s="61"/>
      <c r="W9607" s="92" t="s">
        <v>65</v>
      </c>
      <c r="X9607" s="93" t="s">
        <v>30</v>
      </c>
      <c r="Y9607" s="93" t="s">
        <v>1011</v>
      </c>
      <c r="Z9607" s="134">
        <f>VLOOKUP(W9607,Sheet2!$B:$D,3,FALSE)</f>
        <v>1.76</v>
      </c>
      <c r="AA9607" s="93">
        <f>AA9606/9</f>
        <v>0.52910052910052907</v>
      </c>
      <c r="AB9607" s="93">
        <f>AD9607/AC9600</f>
        <v>3.3264000000000005</v>
      </c>
      <c r="AC9607" s="93">
        <f>AC9600/AA9607</f>
        <v>463.758797325697</v>
      </c>
      <c r="AD9607" s="94">
        <f>AC9607*Z9607</f>
        <v>816.21548329322673</v>
      </c>
      <c r="AE9607" s="190"/>
      <c r="AF9607" s="191"/>
      <c r="AG9607" s="191"/>
      <c r="AH9607" s="191"/>
      <c r="AI9607" s="186"/>
      <c r="AK9607" s="171"/>
    </row>
    <row r="9608" spans="1:41" s="102" customFormat="1" ht="19.899999999999999" customHeight="1" x14ac:dyDescent="0.25">
      <c r="A9608" s="45"/>
      <c r="B9608" s="59"/>
      <c r="C9608" s="137"/>
      <c r="D9608" s="59"/>
      <c r="E9608" s="116"/>
      <c r="F9608" s="120"/>
      <c r="G9608" s="120"/>
      <c r="H9608" s="120"/>
      <c r="I9608" s="60"/>
      <c r="J9608" s="116"/>
      <c r="K9608" s="213"/>
      <c r="L9608" s="120"/>
      <c r="M9608" s="120"/>
      <c r="N9608" s="167"/>
      <c r="O9608" s="120"/>
      <c r="P9608" s="120"/>
      <c r="Q9608" s="120"/>
      <c r="R9608" s="120"/>
      <c r="S9608" s="120"/>
      <c r="T9608" s="221"/>
      <c r="U9608" s="89"/>
      <c r="V9608" s="61"/>
      <c r="W9608" s="92" t="s">
        <v>1030</v>
      </c>
      <c r="X9608" s="93" t="s">
        <v>29</v>
      </c>
      <c r="Y9608" s="93" t="s">
        <v>93</v>
      </c>
      <c r="Z9608" s="134">
        <f>VLOOKUP(W9608,Sheet2!$B:$D,3,FALSE)</f>
        <v>23</v>
      </c>
      <c r="AA9608" s="93">
        <v>4</v>
      </c>
      <c r="AB9608" s="93">
        <f>AD9608/AC9600</f>
        <v>5.75</v>
      </c>
      <c r="AC9608" s="93">
        <f>AC9600/AA9608</f>
        <v>61.343756260012825</v>
      </c>
      <c r="AD9608" s="94">
        <f t="shared" ref="AD9608:AD9609" si="6451">AC9608*Z9608</f>
        <v>1410.906393980295</v>
      </c>
      <c r="AE9608" s="190"/>
      <c r="AF9608" s="191"/>
      <c r="AG9608" s="191"/>
      <c r="AH9608" s="191"/>
      <c r="AI9608" s="186"/>
      <c r="AK9608" s="171"/>
    </row>
    <row r="9609" spans="1:41" s="102" customFormat="1" ht="19.899999999999999" customHeight="1" x14ac:dyDescent="0.25">
      <c r="A9609" s="45"/>
      <c r="B9609" s="59"/>
      <c r="C9609" s="137"/>
      <c r="D9609" s="59"/>
      <c r="E9609" s="116"/>
      <c r="F9609" s="120"/>
      <c r="G9609" s="120"/>
      <c r="H9609" s="120"/>
      <c r="I9609" s="60"/>
      <c r="J9609" s="116"/>
      <c r="K9609" s="213"/>
      <c r="L9609" s="120"/>
      <c r="M9609" s="120"/>
      <c r="N9609" s="167"/>
      <c r="O9609" s="120"/>
      <c r="P9609" s="120"/>
      <c r="Q9609" s="120"/>
      <c r="R9609" s="120"/>
      <c r="S9609" s="120"/>
      <c r="T9609" s="221"/>
      <c r="U9609" s="89"/>
      <c r="V9609" s="61"/>
      <c r="W9609" s="92" t="s">
        <v>65</v>
      </c>
      <c r="X9609" s="93" t="s">
        <v>30</v>
      </c>
      <c r="Y9609" s="93" t="s">
        <v>1011</v>
      </c>
      <c r="Z9609" s="134">
        <f>VLOOKUP(W9609,Sheet2!$B:$D,3,FALSE)</f>
        <v>1.76</v>
      </c>
      <c r="AA9609" s="93">
        <f>AA9608/3</f>
        <v>1.3333333333333333</v>
      </c>
      <c r="AB9609" s="93">
        <f>AD9609/AC9600</f>
        <v>1.32</v>
      </c>
      <c r="AC9609" s="93">
        <f>AC9600/AA9609</f>
        <v>184.03126878003849</v>
      </c>
      <c r="AD9609" s="94">
        <f t="shared" si="6451"/>
        <v>323.89503305286775</v>
      </c>
      <c r="AE9609" s="190"/>
      <c r="AF9609" s="191"/>
      <c r="AG9609" s="191"/>
      <c r="AH9609" s="191"/>
      <c r="AI9609" s="186"/>
      <c r="AK9609" s="171"/>
    </row>
    <row r="9610" spans="1:41" ht="20.100000000000001" customHeight="1" x14ac:dyDescent="0.25">
      <c r="A9610" s="277" t="s">
        <v>703</v>
      </c>
      <c r="B9610" s="278"/>
      <c r="C9610" s="64" t="s">
        <v>845</v>
      </c>
      <c r="D9610" s="46" t="s">
        <v>215</v>
      </c>
      <c r="E9610" s="114">
        <v>104.23000000000005</v>
      </c>
      <c r="F9610" s="44">
        <v>20504</v>
      </c>
      <c r="G9610" s="44">
        <f t="shared" si="5545"/>
        <v>2137131.9200000009</v>
      </c>
      <c r="H9610" s="44">
        <f t="shared" si="5546"/>
        <v>12376.193678986423</v>
      </c>
      <c r="I9610" s="43">
        <f t="shared" si="5547"/>
        <v>1289970.6671607555</v>
      </c>
      <c r="J9610" s="112">
        <f t="shared" si="5548"/>
        <v>104.23000000000005</v>
      </c>
      <c r="K9610" s="211">
        <f t="shared" si="5549"/>
        <v>104.23000000000005</v>
      </c>
      <c r="L9610" s="44"/>
      <c r="M9610" s="44">
        <f t="shared" si="5550"/>
        <v>104.23000000000005</v>
      </c>
      <c r="N9610" s="173">
        <f t="shared" si="5551"/>
        <v>1</v>
      </c>
      <c r="O9610" s="44">
        <f t="shared" si="5552"/>
        <v>20504</v>
      </c>
      <c r="P9610" s="44">
        <f t="shared" si="5553"/>
        <v>2137131.9200000009</v>
      </c>
      <c r="Q9610" s="44">
        <f t="shared" si="5554"/>
        <v>12376.193678986423</v>
      </c>
      <c r="R9610" s="44">
        <f t="shared" si="5555"/>
        <v>1289970.6671607555</v>
      </c>
      <c r="S9610" s="123"/>
      <c r="T9610" s="219">
        <f t="shared" si="5556"/>
        <v>1289970.6671607555</v>
      </c>
      <c r="U9610" s="87"/>
      <c r="V9610" s="47"/>
      <c r="W9610" s="48"/>
      <c r="X9610" s="48"/>
      <c r="Y9610" s="48"/>
      <c r="Z9610" s="135"/>
      <c r="AA9610" s="49"/>
      <c r="AB9610" s="50">
        <f t="shared" si="5557"/>
        <v>12376.193678986423</v>
      </c>
      <c r="AC9610" s="42">
        <f t="shared" si="5558"/>
        <v>104.23000000000005</v>
      </c>
      <c r="AD9610" s="90">
        <f>AD9611+AD9616+AD9628+AD9631</f>
        <v>1289970.6671607555</v>
      </c>
      <c r="AE9610" s="188">
        <f t="shared" ref="AE9610" si="6452">AE9611+AE9616+AE9628+AE9631</f>
        <v>0</v>
      </c>
      <c r="AF9610" s="189">
        <f t="shared" ref="AF9610" si="6453">AF9611+AF9616+AF9628+AF9631</f>
        <v>0</v>
      </c>
      <c r="AG9610" s="189">
        <f t="shared" ref="AG9610" si="6454">AG9611+AG9616+AG9628+AG9631</f>
        <v>0</v>
      </c>
      <c r="AH9610" s="189">
        <f t="shared" ref="AH9610" si="6455">AH9611+AH9616+AH9628+AH9631</f>
        <v>0</v>
      </c>
      <c r="AI9610" s="161">
        <f t="shared" si="6438"/>
        <v>0</v>
      </c>
      <c r="AK9610" s="169">
        <v>5</v>
      </c>
      <c r="AO9610" s="19" t="s">
        <v>63</v>
      </c>
    </row>
    <row r="9611" spans="1:41" s="103" customFormat="1" ht="19.899999999999999" customHeight="1" x14ac:dyDescent="0.25">
      <c r="A9611" s="51"/>
      <c r="B9611" s="52"/>
      <c r="C9611" s="165"/>
      <c r="D9611" s="52"/>
      <c r="E9611" s="115"/>
      <c r="F9611" s="58"/>
      <c r="G9611" s="58"/>
      <c r="H9611" s="58"/>
      <c r="I9611" s="55"/>
      <c r="J9611" s="113">
        <f>J9610</f>
        <v>104.23000000000005</v>
      </c>
      <c r="K9611" s="212">
        <f>K9610</f>
        <v>104.23000000000005</v>
      </c>
      <c r="L9611" s="58"/>
      <c r="M9611" s="58">
        <f>K9611-L9611</f>
        <v>104.23000000000005</v>
      </c>
      <c r="N9611" s="166"/>
      <c r="O9611" s="58"/>
      <c r="P9611" s="58"/>
      <c r="Q9611" s="58"/>
      <c r="R9611" s="58"/>
      <c r="S9611" s="58"/>
      <c r="T9611" s="220"/>
      <c r="U9611" s="88"/>
      <c r="V9611" s="56"/>
      <c r="W9611" s="57" t="s">
        <v>1644</v>
      </c>
      <c r="X9611" s="53"/>
      <c r="Y9611" s="91" t="s">
        <v>35</v>
      </c>
      <c r="Z9611" s="136">
        <f>AD9611/AC9611</f>
        <v>123.07584000000001</v>
      </c>
      <c r="AA9611" s="58"/>
      <c r="AB9611" s="53">
        <f>AD9611/AC9611</f>
        <v>123.07584000000001</v>
      </c>
      <c r="AC9611" s="53">
        <f>M9611+$AE$10</f>
        <v>104.23000000000005</v>
      </c>
      <c r="AD9611" s="54">
        <f>SUM(AD9612:AD9615)</f>
        <v>12828.194803200007</v>
      </c>
      <c r="AE9611" s="184">
        <f>SUMIFS($AD$37:$AD$12971,$V$37:$V$12971,$V9611,$X$37:$X$12971,AE$13)</f>
        <v>0</v>
      </c>
      <c r="AF9611" s="185">
        <f>SUMIFS($AD$37:$AD$12971,$V$37:$V$12971,$V9611,$X$37:$X$12971,AF$13)</f>
        <v>0</v>
      </c>
      <c r="AG9611" s="185">
        <f>SUMIFS($AD$37:$AD$12971,$V$37:$V$12971,$V9611,$X$37:$X$12971,AG$13)</f>
        <v>0</v>
      </c>
      <c r="AH9611" s="187">
        <f>SUMIFS($AD$37:$AD$12971,$V$37:$V$12971,$V9611,$X$37:$X$12971,AH$13)</f>
        <v>0</v>
      </c>
      <c r="AI9611" s="161">
        <f t="shared" ref="AI9611" si="6456">SUM(AE9611:AH9611)</f>
        <v>0</v>
      </c>
      <c r="AK9611" s="172"/>
    </row>
    <row r="9612" spans="1:41" s="102" customFormat="1" ht="19.899999999999999" customHeight="1" x14ac:dyDescent="0.25">
      <c r="A9612" s="45"/>
      <c r="B9612" s="59"/>
      <c r="C9612" s="137"/>
      <c r="D9612" s="59"/>
      <c r="E9612" s="116"/>
      <c r="F9612" s="120"/>
      <c r="G9612" s="120"/>
      <c r="H9612" s="120"/>
      <c r="I9612" s="60"/>
      <c r="J9612" s="116"/>
      <c r="K9612" s="213"/>
      <c r="L9612" s="120"/>
      <c r="M9612" s="120"/>
      <c r="N9612" s="167"/>
      <c r="O9612" s="120"/>
      <c r="P9612" s="120"/>
      <c r="Q9612" s="120"/>
      <c r="R9612" s="120"/>
      <c r="S9612" s="120"/>
      <c r="T9612" s="221"/>
      <c r="U9612" s="89"/>
      <c r="V9612" s="61"/>
      <c r="W9612" s="92" t="s">
        <v>129</v>
      </c>
      <c r="X9612" s="93" t="s">
        <v>29</v>
      </c>
      <c r="Y9612" s="93" t="s">
        <v>93</v>
      </c>
      <c r="Z9612" s="134">
        <f>VLOOKUP(W9612,Sheet2!$B:$D,3,FALSE)</f>
        <v>56</v>
      </c>
      <c r="AA9612" s="93">
        <f>100/(4.5*3.4*2)</f>
        <v>3.2679738562091507</v>
      </c>
      <c r="AB9612" s="93">
        <f t="shared" ref="AB9612" si="6457">AD9612/AC9611</f>
        <v>17.135999999999996</v>
      </c>
      <c r="AC9612" s="93">
        <f>AC9611/AA9612</f>
        <v>31.894380000000009</v>
      </c>
      <c r="AD9612" s="94">
        <f t="shared" ref="AD9612:AD9613" si="6458">AC9612*Z9612</f>
        <v>1786.0852800000005</v>
      </c>
      <c r="AE9612" s="190"/>
      <c r="AF9612" s="191"/>
      <c r="AG9612" s="191"/>
      <c r="AH9612" s="191"/>
      <c r="AI9612" s="186"/>
      <c r="AK9612" s="171"/>
    </row>
    <row r="9613" spans="1:41" s="102" customFormat="1" ht="19.899999999999999" customHeight="1" x14ac:dyDescent="0.25">
      <c r="A9613" s="45"/>
      <c r="B9613" s="59"/>
      <c r="C9613" s="137"/>
      <c r="D9613" s="59"/>
      <c r="E9613" s="116"/>
      <c r="F9613" s="120"/>
      <c r="G9613" s="120"/>
      <c r="H9613" s="120"/>
      <c r="I9613" s="60"/>
      <c r="J9613" s="116"/>
      <c r="K9613" s="213"/>
      <c r="L9613" s="120"/>
      <c r="M9613" s="120"/>
      <c r="N9613" s="167"/>
      <c r="O9613" s="120"/>
      <c r="P9613" s="120"/>
      <c r="Q9613" s="120"/>
      <c r="R9613" s="120"/>
      <c r="S9613" s="120"/>
      <c r="T9613" s="221"/>
      <c r="U9613" s="89"/>
      <c r="V9613" s="61"/>
      <c r="W9613" s="92" t="s">
        <v>65</v>
      </c>
      <c r="X9613" s="93" t="s">
        <v>30</v>
      </c>
      <c r="Y9613" s="93" t="s">
        <v>1011</v>
      </c>
      <c r="Z9613" s="134">
        <f>VLOOKUP(W9613,Sheet2!$B:$D,3,FALSE)</f>
        <v>1.76</v>
      </c>
      <c r="AA9613" s="93">
        <f>AA9612/14</f>
        <v>0.23342670401493934</v>
      </c>
      <c r="AB9613" s="93">
        <f>AD9613/AC9611</f>
        <v>7.5398399999999981</v>
      </c>
      <c r="AC9613" s="93">
        <f>AC9611/AA9613</f>
        <v>446.52132000000012</v>
      </c>
      <c r="AD9613" s="94">
        <f t="shared" si="6458"/>
        <v>785.87752320000016</v>
      </c>
      <c r="AE9613" s="190"/>
      <c r="AF9613" s="191"/>
      <c r="AG9613" s="191"/>
      <c r="AH9613" s="191"/>
      <c r="AI9613" s="186"/>
      <c r="AK9613" s="171"/>
    </row>
    <row r="9614" spans="1:41" s="102" customFormat="1" ht="19.899999999999999" customHeight="1" x14ac:dyDescent="0.25">
      <c r="A9614" s="45"/>
      <c r="B9614" s="59"/>
      <c r="C9614" s="137"/>
      <c r="D9614" s="59"/>
      <c r="E9614" s="116"/>
      <c r="F9614" s="120"/>
      <c r="G9614" s="120"/>
      <c r="H9614" s="120"/>
      <c r="I9614" s="60"/>
      <c r="J9614" s="116"/>
      <c r="K9614" s="213"/>
      <c r="L9614" s="120"/>
      <c r="M9614" s="120"/>
      <c r="N9614" s="167"/>
      <c r="O9614" s="120"/>
      <c r="P9614" s="120"/>
      <c r="Q9614" s="120"/>
      <c r="R9614" s="120"/>
      <c r="S9614" s="120"/>
      <c r="T9614" s="221"/>
      <c r="U9614" s="89"/>
      <c r="V9614" s="61"/>
      <c r="W9614" s="92" t="s">
        <v>161</v>
      </c>
      <c r="X9614" s="93" t="s">
        <v>29</v>
      </c>
      <c r="Y9614" s="93" t="s">
        <v>93</v>
      </c>
      <c r="Z9614" s="134">
        <f>VLOOKUP(W9614,Sheet2!$B:$D,3,FALSE)</f>
        <v>48</v>
      </c>
      <c r="AA9614" s="93">
        <f>(16*0.85*1.5)/(4.5*3.4*2)</f>
        <v>0.66666666666666663</v>
      </c>
      <c r="AB9614" s="93">
        <f>AD9614/AC9611</f>
        <v>72</v>
      </c>
      <c r="AC9614" s="93">
        <f>AC9611/AA9614</f>
        <v>156.34500000000008</v>
      </c>
      <c r="AD9614" s="94">
        <f>AC9614*Z9614</f>
        <v>7504.560000000004</v>
      </c>
      <c r="AE9614" s="190"/>
      <c r="AF9614" s="191"/>
      <c r="AG9614" s="191"/>
      <c r="AH9614" s="191"/>
      <c r="AI9614" s="186"/>
      <c r="AK9614" s="171"/>
    </row>
    <row r="9615" spans="1:41" s="102" customFormat="1" ht="19.899999999999999" customHeight="1" x14ac:dyDescent="0.25">
      <c r="A9615" s="45"/>
      <c r="B9615" s="59"/>
      <c r="C9615" s="137"/>
      <c r="D9615" s="59"/>
      <c r="E9615" s="116"/>
      <c r="F9615" s="120"/>
      <c r="G9615" s="120"/>
      <c r="H9615" s="120"/>
      <c r="I9615" s="60"/>
      <c r="J9615" s="116"/>
      <c r="K9615" s="213"/>
      <c r="L9615" s="120"/>
      <c r="M9615" s="120"/>
      <c r="N9615" s="167"/>
      <c r="O9615" s="120"/>
      <c r="P9615" s="120"/>
      <c r="Q9615" s="120"/>
      <c r="R9615" s="120"/>
      <c r="S9615" s="120"/>
      <c r="T9615" s="221"/>
      <c r="U9615" s="89"/>
      <c r="V9615" s="61"/>
      <c r="W9615" s="92" t="s">
        <v>65</v>
      </c>
      <c r="X9615" s="93" t="s">
        <v>30</v>
      </c>
      <c r="Y9615" s="93" t="s">
        <v>1011</v>
      </c>
      <c r="Z9615" s="134">
        <f>VLOOKUP(W9615,Sheet2!$B:$D,3,FALSE)</f>
        <v>1.76</v>
      </c>
      <c r="AA9615" s="93">
        <f>AA9614/10</f>
        <v>6.6666666666666666E-2</v>
      </c>
      <c r="AB9615" s="93">
        <f>AD9615/AC9611</f>
        <v>26.400000000000002</v>
      </c>
      <c r="AC9615" s="93">
        <f>AC9611/AA9615</f>
        <v>1563.4500000000007</v>
      </c>
      <c r="AD9615" s="94">
        <f>AC9615*Z9615</f>
        <v>2751.6720000000014</v>
      </c>
      <c r="AE9615" s="190"/>
      <c r="AF9615" s="191"/>
      <c r="AG9615" s="191"/>
      <c r="AH9615" s="191"/>
      <c r="AI9615" s="186"/>
      <c r="AK9615" s="171"/>
    </row>
    <row r="9616" spans="1:41" s="103" customFormat="1" ht="19.899999999999999" customHeight="1" x14ac:dyDescent="0.25">
      <c r="A9616" s="51"/>
      <c r="B9616" s="52"/>
      <c r="C9616" s="165"/>
      <c r="D9616" s="52"/>
      <c r="E9616" s="115"/>
      <c r="F9616" s="58"/>
      <c r="G9616" s="58"/>
      <c r="H9616" s="58"/>
      <c r="I9616" s="55"/>
      <c r="J9616" s="113">
        <f>J9610</f>
        <v>104.23000000000005</v>
      </c>
      <c r="K9616" s="212">
        <f>K9610</f>
        <v>104.23000000000005</v>
      </c>
      <c r="L9616" s="58"/>
      <c r="M9616" s="58">
        <f>K9616-L9616</f>
        <v>104.23000000000005</v>
      </c>
      <c r="N9616" s="166"/>
      <c r="O9616" s="58"/>
      <c r="P9616" s="58"/>
      <c r="Q9616" s="58"/>
      <c r="R9616" s="58"/>
      <c r="S9616" s="58"/>
      <c r="T9616" s="220"/>
      <c r="U9616" s="88"/>
      <c r="V9616" s="56"/>
      <c r="W9616" s="57" t="s">
        <v>1643</v>
      </c>
      <c r="X9616" s="53"/>
      <c r="Y9616" s="91" t="s">
        <v>35</v>
      </c>
      <c r="Z9616" s="136">
        <f>AD9616/AC9616</f>
        <v>10442.562307692308</v>
      </c>
      <c r="AA9616" s="58"/>
      <c r="AB9616" s="53">
        <f>AD9616/AC9616</f>
        <v>10442.562307692308</v>
      </c>
      <c r="AC9616" s="53">
        <f>M9616+$AE$10</f>
        <v>104.23000000000005</v>
      </c>
      <c r="AD9616" s="54">
        <f>SUM(AD9617:AD9627)</f>
        <v>1088428.2693307698</v>
      </c>
      <c r="AE9616" s="184">
        <f>SUMIFS($AD$37:$AD$12971,$V$37:$V$12971,$V9616,$X$37:$X$12971,AE$13)</f>
        <v>0</v>
      </c>
      <c r="AF9616" s="185">
        <f>SUMIFS($AD$37:$AD$12971,$V$37:$V$12971,$V9616,$X$37:$X$12971,AF$13)</f>
        <v>0</v>
      </c>
      <c r="AG9616" s="185">
        <f>SUMIFS($AD$37:$AD$12971,$V$37:$V$12971,$V9616,$X$37:$X$12971,AG$13)</f>
        <v>0</v>
      </c>
      <c r="AH9616" s="187">
        <f>SUMIFS($AD$37:$AD$12971,$V$37:$V$12971,$V9616,$X$37:$X$12971,AH$13)</f>
        <v>0</v>
      </c>
      <c r="AI9616" s="161">
        <f t="shared" ref="AI9616" si="6459">SUM(AE9616:AH9616)</f>
        <v>0</v>
      </c>
      <c r="AK9616" s="172"/>
    </row>
    <row r="9617" spans="1:37" s="102" customFormat="1" ht="19.899999999999999" customHeight="1" x14ac:dyDescent="0.25">
      <c r="A9617" s="45"/>
      <c r="B9617" s="59"/>
      <c r="C9617" s="137"/>
      <c r="D9617" s="59"/>
      <c r="E9617" s="116"/>
      <c r="F9617" s="120"/>
      <c r="G9617" s="120"/>
      <c r="H9617" s="120"/>
      <c r="I9617" s="60"/>
      <c r="J9617" s="116"/>
      <c r="K9617" s="213"/>
      <c r="L9617" s="120"/>
      <c r="M9617" s="120"/>
      <c r="N9617" s="167"/>
      <c r="O9617" s="120"/>
      <c r="P9617" s="120"/>
      <c r="Q9617" s="120"/>
      <c r="R9617" s="120"/>
      <c r="S9617" s="120"/>
      <c r="T9617" s="221"/>
      <c r="U9617" s="89"/>
      <c r="V9617" s="61"/>
      <c r="W9617" s="92" t="s">
        <v>1032</v>
      </c>
      <c r="X9617" s="93" t="s">
        <v>30</v>
      </c>
      <c r="Y9617" s="93" t="s">
        <v>66</v>
      </c>
      <c r="Z9617" s="134">
        <f>VLOOKUP(W9617,Sheet2!$B:$D,3,FALSE)</f>
        <v>250</v>
      </c>
      <c r="AA9617" s="93">
        <f>1/(3.5*2.4*0.1)</f>
        <v>1.1904761904761905</v>
      </c>
      <c r="AB9617" s="93">
        <f>AD9617/AC9616</f>
        <v>210</v>
      </c>
      <c r="AC9617" s="93">
        <f>AC9616/AA9617</f>
        <v>87.553200000000047</v>
      </c>
      <c r="AD9617" s="94">
        <f t="shared" ref="AD9617:AD9619" si="6460">AC9617*Z9617</f>
        <v>21888.30000000001</v>
      </c>
      <c r="AE9617" s="190"/>
      <c r="AF9617" s="191"/>
      <c r="AG9617" s="191"/>
      <c r="AH9617" s="191"/>
      <c r="AI9617" s="186"/>
      <c r="AK9617" s="171"/>
    </row>
    <row r="9618" spans="1:37" s="102" customFormat="1" ht="19.899999999999999" customHeight="1" x14ac:dyDescent="0.25">
      <c r="A9618" s="45"/>
      <c r="B9618" s="59"/>
      <c r="C9618" s="137"/>
      <c r="D9618" s="59"/>
      <c r="E9618" s="116"/>
      <c r="F9618" s="120"/>
      <c r="G9618" s="120"/>
      <c r="H9618" s="120"/>
      <c r="I9618" s="60"/>
      <c r="J9618" s="116"/>
      <c r="K9618" s="213"/>
      <c r="L9618" s="120"/>
      <c r="M9618" s="120"/>
      <c r="N9618" s="167"/>
      <c r="O9618" s="120"/>
      <c r="P9618" s="120"/>
      <c r="Q9618" s="120"/>
      <c r="R9618" s="120"/>
      <c r="S9618" s="120"/>
      <c r="T9618" s="221"/>
      <c r="U9618" s="89"/>
      <c r="V9618" s="61"/>
      <c r="W9618" s="92" t="s">
        <v>1353</v>
      </c>
      <c r="X9618" s="93" t="s">
        <v>30</v>
      </c>
      <c r="Y9618" s="93" t="s">
        <v>66</v>
      </c>
      <c r="Z9618" s="134">
        <f>VLOOKUP(W9618,Sheet2!$B:$D,3,FALSE)</f>
        <v>350</v>
      </c>
      <c r="AA9618" s="93">
        <f>1/((3.3*2*0.25*2)+(2.2*2*0.25*2)+(3.3*2.2*0.25))</f>
        <v>0.13670539986329461</v>
      </c>
      <c r="AB9618" s="93">
        <f>AD9618/AC9616</f>
        <v>2560.25</v>
      </c>
      <c r="AC9618" s="93">
        <f>AC9616/AA9618</f>
        <v>762.44245000000035</v>
      </c>
      <c r="AD9618" s="94">
        <f t="shared" ref="AD9618" si="6461">AC9618*Z9618</f>
        <v>266854.8575000001</v>
      </c>
      <c r="AE9618" s="190"/>
      <c r="AF9618" s="191"/>
      <c r="AG9618" s="191"/>
      <c r="AH9618" s="191"/>
      <c r="AI9618" s="186"/>
      <c r="AK9618" s="171"/>
    </row>
    <row r="9619" spans="1:37" s="102" customFormat="1" ht="19.899999999999999" customHeight="1" x14ac:dyDescent="0.25">
      <c r="A9619" s="45"/>
      <c r="B9619" s="59"/>
      <c r="C9619" s="137"/>
      <c r="D9619" s="59"/>
      <c r="E9619" s="116"/>
      <c r="F9619" s="120"/>
      <c r="G9619" s="120"/>
      <c r="H9619" s="120"/>
      <c r="I9619" s="60"/>
      <c r="J9619" s="116"/>
      <c r="K9619" s="213"/>
      <c r="L9619" s="120"/>
      <c r="M9619" s="120"/>
      <c r="N9619" s="167"/>
      <c r="O9619" s="120"/>
      <c r="P9619" s="120"/>
      <c r="Q9619" s="120"/>
      <c r="R9619" s="120"/>
      <c r="S9619" s="120"/>
      <c r="T9619" s="221"/>
      <c r="U9619" s="89"/>
      <c r="V9619" s="61"/>
      <c r="W9619" s="92" t="s">
        <v>99</v>
      </c>
      <c r="X9619" s="93" t="s">
        <v>30</v>
      </c>
      <c r="Y9619" s="93" t="s">
        <v>67</v>
      </c>
      <c r="Z9619" s="134">
        <f>VLOOKUP(W9619,Sheet2!$B:$D,3,FALSE)</f>
        <v>2500</v>
      </c>
      <c r="AA9619" s="93">
        <f>AA9618/0.08</f>
        <v>1.7088174982911826</v>
      </c>
      <c r="AB9619" s="93">
        <f>AD9619/AC9616</f>
        <v>1463</v>
      </c>
      <c r="AC9619" s="93">
        <f>AC9616/AA9619</f>
        <v>60.995396000000028</v>
      </c>
      <c r="AD9619" s="94">
        <f t="shared" si="6460"/>
        <v>152488.49000000008</v>
      </c>
      <c r="AE9619" s="190"/>
      <c r="AF9619" s="191"/>
      <c r="AG9619" s="191"/>
      <c r="AH9619" s="191"/>
      <c r="AI9619" s="186"/>
      <c r="AK9619" s="171"/>
    </row>
    <row r="9620" spans="1:37" s="102" customFormat="1" ht="19.899999999999999" customHeight="1" x14ac:dyDescent="0.25">
      <c r="A9620" s="45"/>
      <c r="B9620" s="59"/>
      <c r="C9620" s="137"/>
      <c r="D9620" s="59"/>
      <c r="E9620" s="116"/>
      <c r="F9620" s="120"/>
      <c r="G9620" s="120"/>
      <c r="H9620" s="120"/>
      <c r="I9620" s="60"/>
      <c r="J9620" s="116"/>
      <c r="K9620" s="213"/>
      <c r="L9620" s="120"/>
      <c r="M9620" s="120"/>
      <c r="N9620" s="167"/>
      <c r="O9620" s="120"/>
      <c r="P9620" s="120"/>
      <c r="Q9620" s="120"/>
      <c r="R9620" s="120"/>
      <c r="S9620" s="120"/>
      <c r="T9620" s="221"/>
      <c r="U9620" s="89"/>
      <c r="V9620" s="61"/>
      <c r="W9620" s="92" t="s">
        <v>1354</v>
      </c>
      <c r="X9620" s="93" t="s">
        <v>32</v>
      </c>
      <c r="Y9620" s="93" t="s">
        <v>66</v>
      </c>
      <c r="Z9620" s="134">
        <f>VLOOKUP(W9620,Sheet2!$B:$D,3,FALSE)</f>
        <v>150</v>
      </c>
      <c r="AA9620" s="93">
        <f>AA9617</f>
        <v>1.1904761904761905</v>
      </c>
      <c r="AB9620" s="93">
        <f>AD9620/AC9616</f>
        <v>126.00000000000001</v>
      </c>
      <c r="AC9620" s="93">
        <f>AC9616/AA9620</f>
        <v>87.553200000000047</v>
      </c>
      <c r="AD9620" s="94">
        <f>AC9620*Z9620</f>
        <v>13132.980000000007</v>
      </c>
      <c r="AE9620" s="190"/>
      <c r="AF9620" s="191"/>
      <c r="AG9620" s="191"/>
      <c r="AH9620" s="191"/>
      <c r="AI9620" s="186"/>
      <c r="AK9620" s="171"/>
    </row>
    <row r="9621" spans="1:37" s="102" customFormat="1" ht="19.899999999999999" customHeight="1" x14ac:dyDescent="0.25">
      <c r="A9621" s="45"/>
      <c r="B9621" s="59"/>
      <c r="C9621" s="137"/>
      <c r="D9621" s="59"/>
      <c r="E9621" s="116"/>
      <c r="F9621" s="120"/>
      <c r="G9621" s="120"/>
      <c r="H9621" s="120"/>
      <c r="I9621" s="60"/>
      <c r="J9621" s="116"/>
      <c r="K9621" s="213"/>
      <c r="L9621" s="120"/>
      <c r="M9621" s="120"/>
      <c r="N9621" s="167"/>
      <c r="O9621" s="120"/>
      <c r="P9621" s="120"/>
      <c r="Q9621" s="120"/>
      <c r="R9621" s="120"/>
      <c r="S9621" s="120"/>
      <c r="T9621" s="221"/>
      <c r="U9621" s="89"/>
      <c r="V9621" s="61"/>
      <c r="W9621" s="92" t="s">
        <v>1533</v>
      </c>
      <c r="X9621" s="93" t="s">
        <v>32</v>
      </c>
      <c r="Y9621" s="93" t="s">
        <v>66</v>
      </c>
      <c r="Z9621" s="134">
        <f>VLOOKUP(W9621,Sheet2!$B:$D,3,FALSE)</f>
        <v>300</v>
      </c>
      <c r="AA9621" s="93">
        <f>AA9618</f>
        <v>0.13670539986329461</v>
      </c>
      <c r="AB9621" s="93">
        <f>AD9621/AC9616</f>
        <v>2194.5</v>
      </c>
      <c r="AC9621" s="93">
        <f>AC9616/AA9621</f>
        <v>762.44245000000035</v>
      </c>
      <c r="AD9621" s="94">
        <f>AC9621*Z9621</f>
        <v>228732.7350000001</v>
      </c>
      <c r="AE9621" s="190"/>
      <c r="AF9621" s="191"/>
      <c r="AG9621" s="191"/>
      <c r="AH9621" s="191"/>
      <c r="AI9621" s="186"/>
      <c r="AK9621" s="171"/>
    </row>
    <row r="9622" spans="1:37" s="102" customFormat="1" ht="19.899999999999999" customHeight="1" x14ac:dyDescent="0.25">
      <c r="A9622" s="45"/>
      <c r="B9622" s="59"/>
      <c r="C9622" s="137"/>
      <c r="D9622" s="59"/>
      <c r="E9622" s="116"/>
      <c r="F9622" s="120"/>
      <c r="G9622" s="120"/>
      <c r="H9622" s="120"/>
      <c r="I9622" s="60"/>
      <c r="J9622" s="116"/>
      <c r="K9622" s="213"/>
      <c r="L9622" s="120"/>
      <c r="M9622" s="120"/>
      <c r="N9622" s="167"/>
      <c r="O9622" s="120"/>
      <c r="P9622" s="120"/>
      <c r="Q9622" s="120"/>
      <c r="R9622" s="120"/>
      <c r="S9622" s="120"/>
      <c r="T9622" s="221"/>
      <c r="U9622" s="89"/>
      <c r="V9622" s="61"/>
      <c r="W9622" s="92" t="s">
        <v>1356</v>
      </c>
      <c r="X9622" s="93" t="s">
        <v>30</v>
      </c>
      <c r="Y9622" s="93" t="s">
        <v>35</v>
      </c>
      <c r="Z9622" s="134">
        <f>VLOOKUP(W9622,Sheet2!$B:$D,3,FALSE)</f>
        <v>3500</v>
      </c>
      <c r="AA9622" s="93">
        <v>1</v>
      </c>
      <c r="AB9622" s="93">
        <f>AD9622/AC9616</f>
        <v>3500</v>
      </c>
      <c r="AC9622" s="93">
        <f>AC9616/AA9622</f>
        <v>104.23000000000005</v>
      </c>
      <c r="AD9622" s="94">
        <f t="shared" ref="AD9622:AD9623" si="6462">AC9622*Z9622</f>
        <v>364805.00000000017</v>
      </c>
      <c r="AE9622" s="190"/>
      <c r="AF9622" s="191"/>
      <c r="AG9622" s="191"/>
      <c r="AH9622" s="191"/>
      <c r="AI9622" s="186"/>
      <c r="AK9622" s="171"/>
    </row>
    <row r="9623" spans="1:37" s="102" customFormat="1" ht="19.899999999999999" customHeight="1" x14ac:dyDescent="0.25">
      <c r="A9623" s="45"/>
      <c r="B9623" s="59"/>
      <c r="C9623" s="137"/>
      <c r="D9623" s="59"/>
      <c r="E9623" s="116"/>
      <c r="F9623" s="120"/>
      <c r="G9623" s="120"/>
      <c r="H9623" s="120"/>
      <c r="I9623" s="60"/>
      <c r="J9623" s="116"/>
      <c r="K9623" s="213"/>
      <c r="L9623" s="120"/>
      <c r="M9623" s="120"/>
      <c r="N9623" s="167"/>
      <c r="O9623" s="120"/>
      <c r="P9623" s="120"/>
      <c r="Q9623" s="120"/>
      <c r="R9623" s="120"/>
      <c r="S9623" s="120"/>
      <c r="T9623" s="221"/>
      <c r="U9623" s="89"/>
      <c r="V9623" s="61"/>
      <c r="W9623" s="92" t="s">
        <v>142</v>
      </c>
      <c r="X9623" s="93" t="s">
        <v>29</v>
      </c>
      <c r="Y9623" s="93" t="s">
        <v>93</v>
      </c>
      <c r="Z9623" s="134">
        <f>VLOOKUP(W9623,Sheet2!$B:$D,3,FALSE)</f>
        <v>67.692307692307693</v>
      </c>
      <c r="AA9623" s="93">
        <v>1</v>
      </c>
      <c r="AB9623" s="93">
        <f>AD9623/AC9616</f>
        <v>67.692307692307693</v>
      </c>
      <c r="AC9623" s="93">
        <f>AC9616/AA9623</f>
        <v>104.23000000000005</v>
      </c>
      <c r="AD9623" s="94">
        <f t="shared" si="6462"/>
        <v>7055.5692307692343</v>
      </c>
      <c r="AE9623" s="190"/>
      <c r="AF9623" s="191"/>
      <c r="AG9623" s="191"/>
      <c r="AH9623" s="191"/>
      <c r="AI9623" s="186"/>
      <c r="AK9623" s="171"/>
    </row>
    <row r="9624" spans="1:37" s="102" customFormat="1" ht="19.899999999999999" customHeight="1" x14ac:dyDescent="0.25">
      <c r="A9624" s="45"/>
      <c r="B9624" s="59"/>
      <c r="C9624" s="137"/>
      <c r="D9624" s="59"/>
      <c r="E9624" s="116"/>
      <c r="F9624" s="120"/>
      <c r="G9624" s="120"/>
      <c r="H9624" s="120"/>
      <c r="I9624" s="60"/>
      <c r="J9624" s="116"/>
      <c r="K9624" s="213"/>
      <c r="L9624" s="120"/>
      <c r="M9624" s="120"/>
      <c r="N9624" s="167"/>
      <c r="O9624" s="120"/>
      <c r="P9624" s="120"/>
      <c r="Q9624" s="120"/>
      <c r="R9624" s="120"/>
      <c r="S9624" s="120"/>
      <c r="T9624" s="221"/>
      <c r="U9624" s="89"/>
      <c r="V9624" s="61"/>
      <c r="W9624" s="92" t="s">
        <v>65</v>
      </c>
      <c r="X9624" s="93" t="s">
        <v>30</v>
      </c>
      <c r="Y9624" s="93" t="s">
        <v>93</v>
      </c>
      <c r="Z9624" s="134">
        <f>VLOOKUP(W9624,Sheet2!$B:$D,3,FALSE)</f>
        <v>1.76</v>
      </c>
      <c r="AA9624" s="93">
        <f>AA9623/12</f>
        <v>8.3333333333333329E-2</v>
      </c>
      <c r="AB9624" s="93">
        <f>AD9624/AC9616</f>
        <v>21.12</v>
      </c>
      <c r="AC9624" s="93">
        <f>AC9616/AA9624</f>
        <v>1250.7600000000007</v>
      </c>
      <c r="AD9624" s="94">
        <f>AC9624*Z9624</f>
        <v>2201.3376000000012</v>
      </c>
      <c r="AE9624" s="190"/>
      <c r="AF9624" s="191"/>
      <c r="AG9624" s="191"/>
      <c r="AH9624" s="191"/>
      <c r="AI9624" s="186"/>
      <c r="AK9624" s="171"/>
    </row>
    <row r="9625" spans="1:37" s="102" customFormat="1" ht="19.899999999999999" customHeight="1" x14ac:dyDescent="0.25">
      <c r="A9625" s="45"/>
      <c r="B9625" s="59"/>
      <c r="C9625" s="137"/>
      <c r="D9625" s="59"/>
      <c r="E9625" s="116"/>
      <c r="F9625" s="120"/>
      <c r="G9625" s="120"/>
      <c r="H9625" s="120"/>
      <c r="I9625" s="60"/>
      <c r="J9625" s="116"/>
      <c r="K9625" s="213"/>
      <c r="L9625" s="120"/>
      <c r="M9625" s="120"/>
      <c r="N9625" s="167"/>
      <c r="O9625" s="120"/>
      <c r="P9625" s="120"/>
      <c r="Q9625" s="120"/>
      <c r="R9625" s="120"/>
      <c r="S9625" s="120"/>
      <c r="T9625" s="221"/>
      <c r="U9625" s="89"/>
      <c r="V9625" s="61"/>
      <c r="W9625" s="92" t="s">
        <v>1357</v>
      </c>
      <c r="X9625" s="93" t="s">
        <v>30</v>
      </c>
      <c r="Y9625" s="93" t="s">
        <v>1349</v>
      </c>
      <c r="Z9625" s="134">
        <f>VLOOKUP(W9625,Sheet2!$B:$D,3,FALSE)</f>
        <v>150</v>
      </c>
      <c r="AA9625" s="93">
        <v>1</v>
      </c>
      <c r="AB9625" s="93">
        <f>AD9625/AC9616</f>
        <v>150</v>
      </c>
      <c r="AC9625" s="93">
        <f>AC9616/AA9625</f>
        <v>104.23000000000005</v>
      </c>
      <c r="AD9625" s="94">
        <f>AC9625*Z9625</f>
        <v>15634.500000000007</v>
      </c>
      <c r="AE9625" s="190"/>
      <c r="AF9625" s="191"/>
      <c r="AG9625" s="191"/>
      <c r="AH9625" s="191"/>
      <c r="AI9625" s="186"/>
      <c r="AK9625" s="171"/>
    </row>
    <row r="9626" spans="1:37" s="102" customFormat="1" ht="19.899999999999999" customHeight="1" x14ac:dyDescent="0.25">
      <c r="A9626" s="45"/>
      <c r="B9626" s="59"/>
      <c r="C9626" s="137"/>
      <c r="D9626" s="59"/>
      <c r="E9626" s="116"/>
      <c r="F9626" s="120"/>
      <c r="G9626" s="120"/>
      <c r="H9626" s="120"/>
      <c r="I9626" s="60"/>
      <c r="J9626" s="116"/>
      <c r="K9626" s="213"/>
      <c r="L9626" s="120"/>
      <c r="M9626" s="120"/>
      <c r="N9626" s="167"/>
      <c r="O9626" s="120"/>
      <c r="P9626" s="120"/>
      <c r="Q9626" s="120"/>
      <c r="R9626" s="120"/>
      <c r="S9626" s="120"/>
      <c r="T9626" s="221"/>
      <c r="U9626" s="89"/>
      <c r="V9626" s="61"/>
      <c r="W9626" s="92" t="s">
        <v>107</v>
      </c>
      <c r="X9626" s="93" t="s">
        <v>31</v>
      </c>
      <c r="Y9626" s="93" t="s">
        <v>93</v>
      </c>
      <c r="Z9626" s="134">
        <f>VLOOKUP(W9626,Sheet2!$B:$D,3,FALSE)</f>
        <v>17</v>
      </c>
      <c r="AA9626" s="93">
        <f>1/5</f>
        <v>0.2</v>
      </c>
      <c r="AB9626" s="93">
        <f>AD9626/AC9616</f>
        <v>84.999999999999986</v>
      </c>
      <c r="AC9626" s="93">
        <f>AC9616/AA9626</f>
        <v>521.1500000000002</v>
      </c>
      <c r="AD9626" s="94">
        <f>AC9626*Z9626</f>
        <v>8859.5500000000029</v>
      </c>
      <c r="AE9626" s="190"/>
      <c r="AF9626" s="191"/>
      <c r="AG9626" s="191"/>
      <c r="AH9626" s="191"/>
      <c r="AI9626" s="186"/>
      <c r="AK9626" s="171"/>
    </row>
    <row r="9627" spans="1:37" s="102" customFormat="1" ht="19.899999999999999" customHeight="1" x14ac:dyDescent="0.25">
      <c r="A9627" s="45"/>
      <c r="B9627" s="59"/>
      <c r="C9627" s="137"/>
      <c r="D9627" s="59"/>
      <c r="E9627" s="116"/>
      <c r="F9627" s="120"/>
      <c r="G9627" s="120"/>
      <c r="H9627" s="120"/>
      <c r="I9627" s="60"/>
      <c r="J9627" s="116"/>
      <c r="K9627" s="213"/>
      <c r="L9627" s="120"/>
      <c r="M9627" s="120"/>
      <c r="N9627" s="167"/>
      <c r="O9627" s="120"/>
      <c r="P9627" s="120"/>
      <c r="Q9627" s="120"/>
      <c r="R9627" s="120"/>
      <c r="S9627" s="120"/>
      <c r="T9627" s="221"/>
      <c r="U9627" s="89"/>
      <c r="V9627" s="61"/>
      <c r="W9627" s="92" t="s">
        <v>112</v>
      </c>
      <c r="X9627" s="93" t="s">
        <v>31</v>
      </c>
      <c r="Y9627" s="93" t="s">
        <v>93</v>
      </c>
      <c r="Z9627" s="134">
        <f>VLOOKUP(W9627,Sheet2!$B:$D,3,FALSE)</f>
        <v>13</v>
      </c>
      <c r="AA9627" s="93">
        <f>AA9626</f>
        <v>0.2</v>
      </c>
      <c r="AB9627" s="93">
        <f>AD9627/AC9616</f>
        <v>65</v>
      </c>
      <c r="AC9627" s="93">
        <f>AC9616/AA9627</f>
        <v>521.1500000000002</v>
      </c>
      <c r="AD9627" s="94">
        <f>AC9627*Z9627</f>
        <v>6774.9500000000025</v>
      </c>
      <c r="AE9627" s="190"/>
      <c r="AF9627" s="191"/>
      <c r="AG9627" s="191"/>
      <c r="AH9627" s="191"/>
      <c r="AI9627" s="186"/>
      <c r="AK9627" s="171"/>
    </row>
    <row r="9628" spans="1:37" s="103" customFormat="1" ht="19.899999999999999" customHeight="1" x14ac:dyDescent="0.25">
      <c r="A9628" s="51"/>
      <c r="B9628" s="52"/>
      <c r="C9628" s="165"/>
      <c r="D9628" s="52"/>
      <c r="E9628" s="115"/>
      <c r="F9628" s="58"/>
      <c r="G9628" s="58"/>
      <c r="H9628" s="58"/>
      <c r="I9628" s="55"/>
      <c r="J9628" s="113">
        <f>J9610</f>
        <v>104.23000000000005</v>
      </c>
      <c r="K9628" s="212">
        <f>K9610</f>
        <v>104.23000000000005</v>
      </c>
      <c r="L9628" s="58"/>
      <c r="M9628" s="58">
        <f>K9628-L9628</f>
        <v>104.23000000000005</v>
      </c>
      <c r="N9628" s="166"/>
      <c r="O9628" s="58"/>
      <c r="P9628" s="58"/>
      <c r="Q9628" s="58"/>
      <c r="R9628" s="58"/>
      <c r="S9628" s="58"/>
      <c r="T9628" s="220"/>
      <c r="U9628" s="88"/>
      <c r="V9628" s="56"/>
      <c r="W9628" s="57" t="s">
        <v>1358</v>
      </c>
      <c r="X9628" s="53"/>
      <c r="Y9628" s="91" t="s">
        <v>35</v>
      </c>
      <c r="Z9628" s="136">
        <f>AD9628/AC9628</f>
        <v>1540</v>
      </c>
      <c r="AA9628" s="58"/>
      <c r="AB9628" s="53">
        <f>AD9628/AC9628</f>
        <v>1540</v>
      </c>
      <c r="AC9628" s="53">
        <f>M9628+$AE$10</f>
        <v>104.23000000000005</v>
      </c>
      <c r="AD9628" s="54">
        <f>SUM(AD9629:AD9630)</f>
        <v>160514.20000000007</v>
      </c>
      <c r="AE9628" s="184">
        <f>SUMIFS($AD$37:$AD$12971,$V$37:$V$12971,$V9628,$X$37:$X$12971,AE$13)</f>
        <v>0</v>
      </c>
      <c r="AF9628" s="185">
        <f>SUMIFS($AD$37:$AD$12971,$V$37:$V$12971,$V9628,$X$37:$X$12971,AF$13)</f>
        <v>0</v>
      </c>
      <c r="AG9628" s="185">
        <f>SUMIFS($AD$37:$AD$12971,$V$37:$V$12971,$V9628,$X$37:$X$12971,AG$13)</f>
        <v>0</v>
      </c>
      <c r="AH9628" s="187">
        <f>SUMIFS($AD$37:$AD$12971,$V$37:$V$12971,$V9628,$X$37:$X$12971,AH$13)</f>
        <v>0</v>
      </c>
      <c r="AI9628" s="161">
        <f t="shared" ref="AI9628" si="6463">SUM(AE9628:AH9628)</f>
        <v>0</v>
      </c>
      <c r="AK9628" s="172"/>
    </row>
    <row r="9629" spans="1:37" s="102" customFormat="1" ht="19.899999999999999" customHeight="1" x14ac:dyDescent="0.25">
      <c r="A9629" s="45"/>
      <c r="B9629" s="59"/>
      <c r="C9629" s="137"/>
      <c r="D9629" s="59"/>
      <c r="E9629" s="116"/>
      <c r="F9629" s="120"/>
      <c r="G9629" s="120"/>
      <c r="H9629" s="120"/>
      <c r="I9629" s="60"/>
      <c r="J9629" s="116"/>
      <c r="K9629" s="213"/>
      <c r="L9629" s="120"/>
      <c r="M9629" s="120"/>
      <c r="N9629" s="167"/>
      <c r="O9629" s="120"/>
      <c r="P9629" s="120"/>
      <c r="Q9629" s="120"/>
      <c r="R9629" s="120"/>
      <c r="S9629" s="120"/>
      <c r="T9629" s="221"/>
      <c r="U9629" s="89"/>
      <c r="V9629" s="61"/>
      <c r="W9629" s="92" t="s">
        <v>1359</v>
      </c>
      <c r="X9629" s="93" t="s">
        <v>32</v>
      </c>
      <c r="Y9629" s="93" t="s">
        <v>64</v>
      </c>
      <c r="Z9629" s="134">
        <f>VLOOKUP(W9629,Sheet2!$B:$D,3,FALSE)</f>
        <v>40</v>
      </c>
      <c r="AA9629" s="93">
        <f>1/((3.3*2*2)+(2.2*2*2))</f>
        <v>4.5454545454545456E-2</v>
      </c>
      <c r="AB9629" s="93">
        <f t="shared" ref="AB9629" si="6464">AD9629/AC9628</f>
        <v>880</v>
      </c>
      <c r="AC9629" s="93">
        <f>AC9628/AA9629</f>
        <v>2293.0600000000009</v>
      </c>
      <c r="AD9629" s="94">
        <f t="shared" ref="AD9629:AD9630" si="6465">AC9629*Z9629</f>
        <v>91722.400000000038</v>
      </c>
      <c r="AE9629" s="190"/>
      <c r="AF9629" s="191"/>
      <c r="AG9629" s="191"/>
      <c r="AH9629" s="191"/>
      <c r="AI9629" s="186"/>
      <c r="AK9629" s="171"/>
    </row>
    <row r="9630" spans="1:37" s="102" customFormat="1" ht="19.899999999999999" customHeight="1" x14ac:dyDescent="0.25">
      <c r="A9630" s="45"/>
      <c r="B9630" s="59"/>
      <c r="C9630" s="137"/>
      <c r="D9630" s="59"/>
      <c r="E9630" s="116"/>
      <c r="F9630" s="120"/>
      <c r="G9630" s="120"/>
      <c r="H9630" s="120"/>
      <c r="I9630" s="60"/>
      <c r="J9630" s="116"/>
      <c r="K9630" s="213"/>
      <c r="L9630" s="120"/>
      <c r="M9630" s="120"/>
      <c r="N9630" s="167"/>
      <c r="O9630" s="120"/>
      <c r="P9630" s="120"/>
      <c r="Q9630" s="120"/>
      <c r="R9630" s="120"/>
      <c r="S9630" s="120"/>
      <c r="T9630" s="221"/>
      <c r="U9630" s="89"/>
      <c r="V9630" s="61"/>
      <c r="W9630" s="92" t="s">
        <v>1360</v>
      </c>
      <c r="X9630" s="93" t="s">
        <v>32</v>
      </c>
      <c r="Y9630" s="93" t="s">
        <v>64</v>
      </c>
      <c r="Z9630" s="134">
        <f>VLOOKUP(W9630,Sheet2!$B:$D,3,FALSE)</f>
        <v>30</v>
      </c>
      <c r="AA9630" s="93">
        <f>AA9629</f>
        <v>4.5454545454545456E-2</v>
      </c>
      <c r="AB9630" s="93">
        <f>AD9630/AC9628</f>
        <v>660</v>
      </c>
      <c r="AC9630" s="93">
        <f>AC9628/AA9630</f>
        <v>2293.0600000000009</v>
      </c>
      <c r="AD9630" s="94">
        <f t="shared" si="6465"/>
        <v>68791.800000000032</v>
      </c>
      <c r="AE9630" s="190"/>
      <c r="AF9630" s="191"/>
      <c r="AG9630" s="191"/>
      <c r="AH9630" s="191"/>
      <c r="AI9630" s="186"/>
      <c r="AK9630" s="171"/>
    </row>
    <row r="9631" spans="1:37" s="103" customFormat="1" ht="19.899999999999999" customHeight="1" x14ac:dyDescent="0.25">
      <c r="A9631" s="51"/>
      <c r="B9631" s="52"/>
      <c r="C9631" s="165"/>
      <c r="D9631" s="52"/>
      <c r="E9631" s="115"/>
      <c r="F9631" s="58"/>
      <c r="G9631" s="58"/>
      <c r="H9631" s="58"/>
      <c r="I9631" s="55"/>
      <c r="J9631" s="113">
        <f>J9610</f>
        <v>104.23000000000005</v>
      </c>
      <c r="K9631" s="212">
        <f>K9610</f>
        <v>104.23000000000005</v>
      </c>
      <c r="L9631" s="58"/>
      <c r="M9631" s="58">
        <f>K9631-L9631</f>
        <v>104.23000000000005</v>
      </c>
      <c r="N9631" s="166"/>
      <c r="O9631" s="58"/>
      <c r="P9631" s="58"/>
      <c r="Q9631" s="58"/>
      <c r="R9631" s="58"/>
      <c r="S9631" s="58"/>
      <c r="T9631" s="220"/>
      <c r="U9631" s="88"/>
      <c r="V9631" s="56"/>
      <c r="W9631" s="57" t="s">
        <v>1272</v>
      </c>
      <c r="X9631" s="53"/>
      <c r="Y9631" s="91" t="s">
        <v>35</v>
      </c>
      <c r="Z9631" s="136">
        <f>AD9631/AC9631</f>
        <v>270.5555312941176</v>
      </c>
      <c r="AA9631" s="58"/>
      <c r="AB9631" s="53">
        <f>AD9631/AC9631</f>
        <v>270.5555312941176</v>
      </c>
      <c r="AC9631" s="53">
        <f>M9631+$AE$10</f>
        <v>104.23000000000005</v>
      </c>
      <c r="AD9631" s="54">
        <f>SUM(AD9632:AD9640)</f>
        <v>28200.003026785889</v>
      </c>
      <c r="AE9631" s="184">
        <f>SUMIFS($AD$37:$AD$12971,$V$37:$V$12971,$V9631,$X$37:$X$12971,AE$13)</f>
        <v>0</v>
      </c>
      <c r="AF9631" s="185">
        <f>SUMIFS($AD$37:$AD$12971,$V$37:$V$12971,$V9631,$X$37:$X$12971,AF$13)</f>
        <v>0</v>
      </c>
      <c r="AG9631" s="185">
        <f>SUMIFS($AD$37:$AD$12971,$V$37:$V$12971,$V9631,$X$37:$X$12971,AG$13)</f>
        <v>0</v>
      </c>
      <c r="AH9631" s="187">
        <f>SUMIFS($AD$37:$AD$12971,$V$37:$V$12971,$V9631,$X$37:$X$12971,AH$13)</f>
        <v>0</v>
      </c>
      <c r="AI9631" s="161">
        <f t="shared" ref="AI9631" si="6466">SUM(AE9631:AH9631)</f>
        <v>0</v>
      </c>
      <c r="AK9631" s="172"/>
    </row>
    <row r="9632" spans="1:37" s="102" customFormat="1" ht="19.899999999999999" customHeight="1" x14ac:dyDescent="0.25">
      <c r="A9632" s="45"/>
      <c r="B9632" s="59"/>
      <c r="C9632" s="137"/>
      <c r="D9632" s="59"/>
      <c r="E9632" s="116"/>
      <c r="F9632" s="120"/>
      <c r="G9632" s="120"/>
      <c r="H9632" s="120"/>
      <c r="I9632" s="60"/>
      <c r="J9632" s="116"/>
      <c r="K9632" s="213"/>
      <c r="L9632" s="120"/>
      <c r="M9632" s="120"/>
      <c r="N9632" s="167"/>
      <c r="O9632" s="120"/>
      <c r="P9632" s="120"/>
      <c r="Q9632" s="120"/>
      <c r="R9632" s="120"/>
      <c r="S9632" s="120"/>
      <c r="T9632" s="221"/>
      <c r="U9632" s="89"/>
      <c r="V9632" s="61"/>
      <c r="W9632" s="92" t="s">
        <v>1273</v>
      </c>
      <c r="X9632" s="93" t="s">
        <v>30</v>
      </c>
      <c r="Y9632" s="93" t="s">
        <v>66</v>
      </c>
      <c r="Z9632" s="134">
        <f>VLOOKUP(W9632,Sheet2!$B:$D,3,FALSE)</f>
        <v>10</v>
      </c>
      <c r="AA9632" s="93">
        <f>1/((4.5*3.4*2)-(3.3*2.2*2))</f>
        <v>6.2189054726368168E-2</v>
      </c>
      <c r="AB9632" s="93">
        <f>AD9632/AC9631</f>
        <v>160.79999999999998</v>
      </c>
      <c r="AC9632" s="93">
        <f>AC9631/AA9632</f>
        <v>1676.0184000000006</v>
      </c>
      <c r="AD9632" s="94">
        <f t="shared" ref="AD9632:AD9634" si="6467">AC9632*Z9632</f>
        <v>16760.184000000005</v>
      </c>
      <c r="AE9632" s="190"/>
      <c r="AF9632" s="191"/>
      <c r="AG9632" s="191"/>
      <c r="AH9632" s="191"/>
      <c r="AI9632" s="186"/>
      <c r="AK9632" s="171"/>
    </row>
    <row r="9633" spans="1:41" s="102" customFormat="1" ht="19.899999999999999" customHeight="1" x14ac:dyDescent="0.25">
      <c r="A9633" s="45"/>
      <c r="B9633" s="59"/>
      <c r="C9633" s="137"/>
      <c r="D9633" s="59"/>
      <c r="E9633" s="116"/>
      <c r="F9633" s="120"/>
      <c r="G9633" s="120"/>
      <c r="H9633" s="120"/>
      <c r="I9633" s="60"/>
      <c r="J9633" s="116"/>
      <c r="K9633" s="213"/>
      <c r="L9633" s="120"/>
      <c r="M9633" s="120"/>
      <c r="N9633" s="167"/>
      <c r="O9633" s="120"/>
      <c r="P9633" s="120"/>
      <c r="Q9633" s="120"/>
      <c r="R9633" s="120"/>
      <c r="S9633" s="120"/>
      <c r="T9633" s="221"/>
      <c r="U9633" s="89"/>
      <c r="V9633" s="61"/>
      <c r="W9633" s="92" t="s">
        <v>134</v>
      </c>
      <c r="X9633" s="93" t="s">
        <v>29</v>
      </c>
      <c r="Y9633" s="93" t="s">
        <v>93</v>
      </c>
      <c r="Z9633" s="134">
        <f>VLOOKUP(W9633,Sheet2!$B:$D,3,FALSE)</f>
        <v>65.599999999999994</v>
      </c>
      <c r="AA9633" s="93">
        <f>100/((4.5*3.4*2)-(3.3*2.2*2))</f>
        <v>6.2189054726368163</v>
      </c>
      <c r="AB9633" s="93">
        <f t="shared" ref="AB9633" si="6468">AD9633/AC9631</f>
        <v>10.548479999999998</v>
      </c>
      <c r="AC9633" s="93">
        <f>AC9631/AA9633</f>
        <v>16.760184000000006</v>
      </c>
      <c r="AD9633" s="94">
        <f t="shared" si="6467"/>
        <v>1099.4680704000002</v>
      </c>
      <c r="AE9633" s="190"/>
      <c r="AF9633" s="191"/>
      <c r="AG9633" s="191"/>
      <c r="AH9633" s="191"/>
      <c r="AI9633" s="186"/>
      <c r="AK9633" s="171"/>
    </row>
    <row r="9634" spans="1:41" s="102" customFormat="1" ht="19.899999999999999" customHeight="1" x14ac:dyDescent="0.25">
      <c r="A9634" s="45"/>
      <c r="B9634" s="59"/>
      <c r="C9634" s="137"/>
      <c r="D9634" s="59"/>
      <c r="E9634" s="116"/>
      <c r="F9634" s="120"/>
      <c r="G9634" s="120"/>
      <c r="H9634" s="120"/>
      <c r="I9634" s="60"/>
      <c r="J9634" s="116"/>
      <c r="K9634" s="213"/>
      <c r="L9634" s="120"/>
      <c r="M9634" s="120"/>
      <c r="N9634" s="167"/>
      <c r="O9634" s="120"/>
      <c r="P9634" s="120"/>
      <c r="Q9634" s="120"/>
      <c r="R9634" s="120"/>
      <c r="S9634" s="120"/>
      <c r="T9634" s="221"/>
      <c r="U9634" s="89"/>
      <c r="V9634" s="61"/>
      <c r="W9634" s="92" t="s">
        <v>65</v>
      </c>
      <c r="X9634" s="93" t="s">
        <v>30</v>
      </c>
      <c r="Y9634" s="93" t="s">
        <v>1011</v>
      </c>
      <c r="Z9634" s="134">
        <f>VLOOKUP(W9634,Sheet2!$B:$D,3,FALSE)</f>
        <v>1.76</v>
      </c>
      <c r="AA9634" s="93">
        <f>AA9633/9</f>
        <v>0.69098949695964629</v>
      </c>
      <c r="AB9634" s="93">
        <f>AD9634/AC9631</f>
        <v>2.547072</v>
      </c>
      <c r="AC9634" s="93">
        <f>AC9631/AA9634</f>
        <v>150.84165600000006</v>
      </c>
      <c r="AD9634" s="94">
        <f t="shared" si="6467"/>
        <v>265.4813145600001</v>
      </c>
      <c r="AE9634" s="190"/>
      <c r="AF9634" s="191"/>
      <c r="AG9634" s="191"/>
      <c r="AH9634" s="191"/>
      <c r="AI9634" s="186"/>
      <c r="AK9634" s="171"/>
    </row>
    <row r="9635" spans="1:41" s="102" customFormat="1" ht="19.899999999999999" customHeight="1" x14ac:dyDescent="0.25">
      <c r="A9635" s="45"/>
      <c r="B9635" s="59"/>
      <c r="C9635" s="137"/>
      <c r="D9635" s="59"/>
      <c r="E9635" s="116"/>
      <c r="F9635" s="120"/>
      <c r="G9635" s="120"/>
      <c r="H9635" s="120"/>
      <c r="I9635" s="60"/>
      <c r="J9635" s="116"/>
      <c r="K9635" s="213"/>
      <c r="L9635" s="120"/>
      <c r="M9635" s="120"/>
      <c r="N9635" s="167"/>
      <c r="O9635" s="120"/>
      <c r="P9635" s="120"/>
      <c r="Q9635" s="120"/>
      <c r="R9635" s="120"/>
      <c r="S9635" s="120"/>
      <c r="T9635" s="221"/>
      <c r="U9635" s="89"/>
      <c r="V9635" s="61"/>
      <c r="W9635" s="92" t="s">
        <v>161</v>
      </c>
      <c r="X9635" s="93" t="s">
        <v>29</v>
      </c>
      <c r="Y9635" s="93" t="s">
        <v>93</v>
      </c>
      <c r="Z9635" s="134">
        <f>VLOOKUP(W9635,Sheet2!$B:$D,3,FALSE)</f>
        <v>48</v>
      </c>
      <c r="AA9635" s="93">
        <f>(16*0.85*1.5)/((4.5*3.4*2)-(3.3*2.2*2))</f>
        <v>1.2686567164179106</v>
      </c>
      <c r="AB9635" s="93">
        <f>AD9635/AC9631</f>
        <v>37.835294117647059</v>
      </c>
      <c r="AC9635" s="93">
        <f>AC9631/AA9635</f>
        <v>82.157764705882386</v>
      </c>
      <c r="AD9635" s="94">
        <f>AC9635*Z9635</f>
        <v>3943.5727058823545</v>
      </c>
      <c r="AE9635" s="190"/>
      <c r="AF9635" s="191"/>
      <c r="AG9635" s="191"/>
      <c r="AH9635" s="191"/>
      <c r="AI9635" s="186"/>
      <c r="AK9635" s="171"/>
    </row>
    <row r="9636" spans="1:41" s="102" customFormat="1" ht="19.899999999999999" customHeight="1" x14ac:dyDescent="0.25">
      <c r="A9636" s="45"/>
      <c r="B9636" s="59"/>
      <c r="C9636" s="137"/>
      <c r="D9636" s="59"/>
      <c r="E9636" s="116"/>
      <c r="F9636" s="120"/>
      <c r="G9636" s="120"/>
      <c r="H9636" s="120"/>
      <c r="I9636" s="60"/>
      <c r="J9636" s="116"/>
      <c r="K9636" s="213"/>
      <c r="L9636" s="120"/>
      <c r="M9636" s="120"/>
      <c r="N9636" s="167"/>
      <c r="O9636" s="120"/>
      <c r="P9636" s="120"/>
      <c r="Q9636" s="120"/>
      <c r="R9636" s="120"/>
      <c r="S9636" s="120"/>
      <c r="T9636" s="221"/>
      <c r="U9636" s="89"/>
      <c r="V9636" s="61"/>
      <c r="W9636" s="92" t="s">
        <v>65</v>
      </c>
      <c r="X9636" s="93" t="s">
        <v>30</v>
      </c>
      <c r="Y9636" s="93" t="s">
        <v>1011</v>
      </c>
      <c r="Z9636" s="134">
        <f>VLOOKUP(W9636,Sheet2!$B:$D,3,FALSE)</f>
        <v>1.76</v>
      </c>
      <c r="AA9636" s="93">
        <f>AA9635/10</f>
        <v>0.12686567164179105</v>
      </c>
      <c r="AB9636" s="93">
        <f>AD9636/AC9631</f>
        <v>13.872941176470588</v>
      </c>
      <c r="AC9636" s="93">
        <f>AC9631/AA9636</f>
        <v>821.57764705882391</v>
      </c>
      <c r="AD9636" s="94">
        <f>AC9636*Z9636</f>
        <v>1445.97665882353</v>
      </c>
      <c r="AE9636" s="190"/>
      <c r="AF9636" s="191"/>
      <c r="AG9636" s="191"/>
      <c r="AH9636" s="191"/>
      <c r="AI9636" s="186"/>
      <c r="AK9636" s="171"/>
    </row>
    <row r="9637" spans="1:41" s="102" customFormat="1" ht="19.899999999999999" customHeight="1" x14ac:dyDescent="0.25">
      <c r="A9637" s="45"/>
      <c r="B9637" s="59"/>
      <c r="C9637" s="137"/>
      <c r="D9637" s="59"/>
      <c r="E9637" s="116"/>
      <c r="F9637" s="120"/>
      <c r="G9637" s="120"/>
      <c r="H9637" s="120"/>
      <c r="I9637" s="60"/>
      <c r="J9637" s="116"/>
      <c r="K9637" s="213"/>
      <c r="L9637" s="120"/>
      <c r="M9637" s="120"/>
      <c r="N9637" s="167"/>
      <c r="O9637" s="120"/>
      <c r="P9637" s="120"/>
      <c r="Q9637" s="120"/>
      <c r="R9637" s="120"/>
      <c r="S9637" s="120"/>
      <c r="T9637" s="221"/>
      <c r="U9637" s="89"/>
      <c r="V9637" s="61"/>
      <c r="W9637" s="92" t="s">
        <v>173</v>
      </c>
      <c r="X9637" s="93" t="s">
        <v>29</v>
      </c>
      <c r="Y9637" s="93" t="s">
        <v>93</v>
      </c>
      <c r="Z9637" s="134">
        <f>VLOOKUP(W9637,Sheet2!$B:$D,3,FALSE)</f>
        <v>36</v>
      </c>
      <c r="AA9637" s="93">
        <f>50/((4.5*3.4*2)-(3.3*2.2*2))</f>
        <v>3.1094527363184081</v>
      </c>
      <c r="AB9637" s="93">
        <f>AD9637/AC9631</f>
        <v>11.577599999999999</v>
      </c>
      <c r="AC9637" s="93">
        <f>AC9631/AA9637</f>
        <v>33.520368000000012</v>
      </c>
      <c r="AD9637" s="94">
        <f>AC9637*Z9637</f>
        <v>1206.7332480000005</v>
      </c>
      <c r="AE9637" s="190"/>
      <c r="AF9637" s="191"/>
      <c r="AG9637" s="191"/>
      <c r="AH9637" s="191"/>
      <c r="AI9637" s="186"/>
      <c r="AK9637" s="171"/>
    </row>
    <row r="9638" spans="1:41" s="102" customFormat="1" ht="19.899999999999999" customHeight="1" x14ac:dyDescent="0.25">
      <c r="A9638" s="45"/>
      <c r="B9638" s="59"/>
      <c r="C9638" s="137"/>
      <c r="D9638" s="59"/>
      <c r="E9638" s="116"/>
      <c r="F9638" s="120"/>
      <c r="G9638" s="120"/>
      <c r="H9638" s="120"/>
      <c r="I9638" s="60"/>
      <c r="J9638" s="116"/>
      <c r="K9638" s="213"/>
      <c r="L9638" s="120"/>
      <c r="M9638" s="120"/>
      <c r="N9638" s="167"/>
      <c r="O9638" s="120"/>
      <c r="P9638" s="120"/>
      <c r="Q9638" s="120"/>
      <c r="R9638" s="120"/>
      <c r="S9638" s="120"/>
      <c r="T9638" s="221"/>
      <c r="U9638" s="89"/>
      <c r="V9638" s="61"/>
      <c r="W9638" s="92" t="s">
        <v>65</v>
      </c>
      <c r="X9638" s="93" t="s">
        <v>30</v>
      </c>
      <c r="Y9638" s="93" t="s">
        <v>1011</v>
      </c>
      <c r="Z9638" s="134">
        <f>VLOOKUP(W9638,Sheet2!$B:$D,3,FALSE)</f>
        <v>1.76</v>
      </c>
      <c r="AA9638" s="93">
        <f>AA9637/9</f>
        <v>0.34549474847982314</v>
      </c>
      <c r="AB9638" s="93">
        <f>AD9638/AC9631</f>
        <v>5.094144</v>
      </c>
      <c r="AC9638" s="93">
        <f>AC9631/AA9638</f>
        <v>301.68331200000011</v>
      </c>
      <c r="AD9638" s="94">
        <f>AC9638*Z9638</f>
        <v>530.9626291200002</v>
      </c>
      <c r="AE9638" s="190"/>
      <c r="AF9638" s="191"/>
      <c r="AG9638" s="191"/>
      <c r="AH9638" s="191"/>
      <c r="AI9638" s="186"/>
      <c r="AK9638" s="171"/>
    </row>
    <row r="9639" spans="1:41" s="102" customFormat="1" ht="19.899999999999999" customHeight="1" x14ac:dyDescent="0.25">
      <c r="A9639" s="45"/>
      <c r="B9639" s="59"/>
      <c r="C9639" s="137"/>
      <c r="D9639" s="59"/>
      <c r="E9639" s="116"/>
      <c r="F9639" s="120"/>
      <c r="G9639" s="120"/>
      <c r="H9639" s="120"/>
      <c r="I9639" s="60"/>
      <c r="J9639" s="116"/>
      <c r="K9639" s="213"/>
      <c r="L9639" s="120"/>
      <c r="M9639" s="120"/>
      <c r="N9639" s="167"/>
      <c r="O9639" s="120"/>
      <c r="P9639" s="120"/>
      <c r="Q9639" s="120"/>
      <c r="R9639" s="120"/>
      <c r="S9639" s="120"/>
      <c r="T9639" s="221"/>
      <c r="U9639" s="89"/>
      <c r="V9639" s="61"/>
      <c r="W9639" s="92" t="s">
        <v>1030</v>
      </c>
      <c r="X9639" s="93" t="s">
        <v>29</v>
      </c>
      <c r="Y9639" s="93" t="s">
        <v>93</v>
      </c>
      <c r="Z9639" s="134">
        <f>VLOOKUP(W9639,Sheet2!$B:$D,3,FALSE)</f>
        <v>23</v>
      </c>
      <c r="AA9639" s="93">
        <v>1</v>
      </c>
      <c r="AB9639" s="93">
        <f>AD9639/AC9631</f>
        <v>22.999999999999996</v>
      </c>
      <c r="AC9639" s="93">
        <f>AC9631/AA9639</f>
        <v>104.23000000000005</v>
      </c>
      <c r="AD9639" s="94">
        <f t="shared" ref="AD9639:AD9640" si="6469">AC9639*Z9639</f>
        <v>2397.2900000000009</v>
      </c>
      <c r="AE9639" s="190"/>
      <c r="AF9639" s="191"/>
      <c r="AG9639" s="191"/>
      <c r="AH9639" s="191"/>
      <c r="AI9639" s="186"/>
      <c r="AK9639" s="171"/>
    </row>
    <row r="9640" spans="1:41" s="102" customFormat="1" ht="19.899999999999999" customHeight="1" x14ac:dyDescent="0.25">
      <c r="A9640" s="45"/>
      <c r="B9640" s="59"/>
      <c r="C9640" s="137"/>
      <c r="D9640" s="59"/>
      <c r="E9640" s="116"/>
      <c r="F9640" s="120"/>
      <c r="G9640" s="120"/>
      <c r="H9640" s="120"/>
      <c r="I9640" s="60"/>
      <c r="J9640" s="116"/>
      <c r="K9640" s="213"/>
      <c r="L9640" s="120"/>
      <c r="M9640" s="120"/>
      <c r="N9640" s="167"/>
      <c r="O9640" s="120"/>
      <c r="P9640" s="120"/>
      <c r="Q9640" s="120"/>
      <c r="R9640" s="120"/>
      <c r="S9640" s="120"/>
      <c r="T9640" s="221"/>
      <c r="U9640" s="89"/>
      <c r="V9640" s="61"/>
      <c r="W9640" s="92" t="s">
        <v>65</v>
      </c>
      <c r="X9640" s="93" t="s">
        <v>30</v>
      </c>
      <c r="Y9640" s="93" t="s">
        <v>1011</v>
      </c>
      <c r="Z9640" s="134">
        <f>VLOOKUP(W9640,Sheet2!$B:$D,3,FALSE)</f>
        <v>1.76</v>
      </c>
      <c r="AA9640" s="93">
        <f>AA9639/3</f>
        <v>0.33333333333333331</v>
      </c>
      <c r="AB9640" s="93">
        <f>AD9640/AC9631</f>
        <v>5.28</v>
      </c>
      <c r="AC9640" s="93">
        <f>AC9631/AA9640</f>
        <v>312.69000000000017</v>
      </c>
      <c r="AD9640" s="94">
        <f t="shared" si="6469"/>
        <v>550.3344000000003</v>
      </c>
      <c r="AE9640" s="190"/>
      <c r="AF9640" s="191"/>
      <c r="AG9640" s="191"/>
      <c r="AH9640" s="191"/>
      <c r="AI9640" s="186"/>
      <c r="AK9640" s="171"/>
    </row>
    <row r="9641" spans="1:41" s="102" customFormat="1" ht="20.100000000000001" customHeight="1" x14ac:dyDescent="0.25">
      <c r="A9641" s="45" t="s">
        <v>703</v>
      </c>
      <c r="B9641" s="276"/>
      <c r="C9641" s="286" t="s">
        <v>844</v>
      </c>
      <c r="D9641" s="59"/>
      <c r="E9641" s="116"/>
      <c r="F9641" s="120">
        <v>0</v>
      </c>
      <c r="G9641" s="120">
        <f t="shared" si="5545"/>
        <v>0</v>
      </c>
      <c r="H9641" s="120">
        <f t="shared" si="5546"/>
        <v>0</v>
      </c>
      <c r="I9641" s="60">
        <f t="shared" si="5547"/>
        <v>0</v>
      </c>
      <c r="J9641" s="116">
        <f t="shared" si="5548"/>
        <v>0</v>
      </c>
      <c r="K9641" s="213">
        <f t="shared" si="5549"/>
        <v>0</v>
      </c>
      <c r="L9641" s="120"/>
      <c r="M9641" s="120">
        <f t="shared" si="5550"/>
        <v>0</v>
      </c>
      <c r="N9641" s="167">
        <f t="shared" si="5551"/>
        <v>0</v>
      </c>
      <c r="O9641" s="120">
        <f t="shared" si="5552"/>
        <v>0</v>
      </c>
      <c r="P9641" s="120">
        <f t="shared" si="5553"/>
        <v>0</v>
      </c>
      <c r="Q9641" s="120">
        <f t="shared" si="5554"/>
        <v>0</v>
      </c>
      <c r="R9641" s="120">
        <f t="shared" si="5555"/>
        <v>0</v>
      </c>
      <c r="S9641" s="120"/>
      <c r="T9641" s="221">
        <f t="shared" si="5556"/>
        <v>0</v>
      </c>
      <c r="U9641" s="89"/>
      <c r="V9641" s="61"/>
      <c r="W9641" s="92"/>
      <c r="X9641" s="38"/>
      <c r="Y9641" s="93"/>
      <c r="Z9641" s="134"/>
      <c r="AA9641" s="93"/>
      <c r="AB9641" s="93"/>
      <c r="AC9641" s="93"/>
      <c r="AD9641" s="94"/>
      <c r="AE9641" s="190"/>
      <c r="AF9641" s="191"/>
      <c r="AG9641" s="191"/>
      <c r="AH9641" s="191"/>
      <c r="AI9641" s="186"/>
      <c r="AK9641" s="171"/>
    </row>
    <row r="9642" spans="1:41" s="102" customFormat="1" ht="105" x14ac:dyDescent="0.25">
      <c r="A9642" s="45" t="s">
        <v>703</v>
      </c>
      <c r="B9642" s="276"/>
      <c r="C9642" s="286" t="s">
        <v>846</v>
      </c>
      <c r="D9642" s="59"/>
      <c r="E9642" s="116"/>
      <c r="F9642" s="120">
        <v>0</v>
      </c>
      <c r="G9642" s="120">
        <f t="shared" si="5545"/>
        <v>0</v>
      </c>
      <c r="H9642" s="120">
        <f t="shared" si="5546"/>
        <v>0</v>
      </c>
      <c r="I9642" s="60">
        <f t="shared" si="5547"/>
        <v>0</v>
      </c>
      <c r="J9642" s="116">
        <f t="shared" si="5548"/>
        <v>0</v>
      </c>
      <c r="K9642" s="213">
        <f t="shared" si="5549"/>
        <v>0</v>
      </c>
      <c r="L9642" s="120"/>
      <c r="M9642" s="120">
        <f t="shared" si="5550"/>
        <v>0</v>
      </c>
      <c r="N9642" s="167">
        <f t="shared" si="5551"/>
        <v>0</v>
      </c>
      <c r="O9642" s="120">
        <f t="shared" si="5552"/>
        <v>0</v>
      </c>
      <c r="P9642" s="120">
        <f t="shared" si="5553"/>
        <v>0</v>
      </c>
      <c r="Q9642" s="120">
        <f t="shared" si="5554"/>
        <v>0</v>
      </c>
      <c r="R9642" s="120">
        <f t="shared" si="5555"/>
        <v>0</v>
      </c>
      <c r="S9642" s="120"/>
      <c r="T9642" s="221">
        <f t="shared" si="5556"/>
        <v>0</v>
      </c>
      <c r="U9642" s="89"/>
      <c r="V9642" s="61"/>
      <c r="W9642" s="92"/>
      <c r="X9642" s="38"/>
      <c r="Y9642" s="93"/>
      <c r="Z9642" s="134"/>
      <c r="AA9642" s="93"/>
      <c r="AB9642" s="93"/>
      <c r="AC9642" s="93"/>
      <c r="AD9642" s="94"/>
      <c r="AE9642" s="190"/>
      <c r="AF9642" s="191"/>
      <c r="AG9642" s="191"/>
      <c r="AH9642" s="191"/>
      <c r="AI9642" s="186"/>
      <c r="AK9642" s="171"/>
    </row>
    <row r="9643" spans="1:41" ht="20.100000000000001" customHeight="1" x14ac:dyDescent="0.25">
      <c r="A9643" s="277" t="s">
        <v>703</v>
      </c>
      <c r="B9643" s="278"/>
      <c r="C9643" s="64" t="s">
        <v>847</v>
      </c>
      <c r="D9643" s="46" t="s">
        <v>215</v>
      </c>
      <c r="E9643" s="114">
        <v>307.05000000000052</v>
      </c>
      <c r="F9643" s="44">
        <v>4721</v>
      </c>
      <c r="G9643" s="44">
        <f t="shared" si="5545"/>
        <v>1449583.0500000024</v>
      </c>
      <c r="H9643" s="44">
        <f t="shared" si="5546"/>
        <v>3017.0160485550527</v>
      </c>
      <c r="I9643" s="43">
        <f t="shared" si="5547"/>
        <v>926374.77770883054</v>
      </c>
      <c r="J9643" s="112">
        <f t="shared" si="5548"/>
        <v>307.05000000000052</v>
      </c>
      <c r="K9643" s="211">
        <f t="shared" si="5549"/>
        <v>307.05000000000052</v>
      </c>
      <c r="L9643" s="44"/>
      <c r="M9643" s="44">
        <f t="shared" si="5550"/>
        <v>307.05000000000052</v>
      </c>
      <c r="N9643" s="173">
        <f t="shared" si="5551"/>
        <v>1</v>
      </c>
      <c r="O9643" s="44">
        <f t="shared" si="5552"/>
        <v>4721</v>
      </c>
      <c r="P9643" s="44">
        <f t="shared" si="5553"/>
        <v>1449583.0500000024</v>
      </c>
      <c r="Q9643" s="44">
        <f t="shared" si="5554"/>
        <v>3017.0160485550527</v>
      </c>
      <c r="R9643" s="44">
        <f t="shared" si="5555"/>
        <v>926374.77770883054</v>
      </c>
      <c r="S9643" s="123"/>
      <c r="T9643" s="219">
        <f t="shared" si="5556"/>
        <v>926374.77770883054</v>
      </c>
      <c r="U9643" s="87"/>
      <c r="V9643" s="47"/>
      <c r="W9643" s="48"/>
      <c r="X9643" s="48"/>
      <c r="Y9643" s="48"/>
      <c r="Z9643" s="135"/>
      <c r="AA9643" s="49"/>
      <c r="AB9643" s="50">
        <f t="shared" si="5557"/>
        <v>3017.0160485550527</v>
      </c>
      <c r="AC9643" s="42">
        <f t="shared" si="5558"/>
        <v>307.05000000000052</v>
      </c>
      <c r="AD9643" s="90">
        <f>AD9644+AD9649+AD9661+AD9664</f>
        <v>926374.77770883054</v>
      </c>
      <c r="AE9643" s="188">
        <f t="shared" ref="AE9643:AH9643" si="6470">AE9644+AE9649+AE9661+AE9664</f>
        <v>0</v>
      </c>
      <c r="AF9643" s="189">
        <f t="shared" si="6470"/>
        <v>0</v>
      </c>
      <c r="AG9643" s="189">
        <f t="shared" si="6470"/>
        <v>0</v>
      </c>
      <c r="AH9643" s="189">
        <f t="shared" si="6470"/>
        <v>0</v>
      </c>
      <c r="AI9643" s="161">
        <f t="shared" ref="AI9643" si="6471">SUM(AE9643:AH9643)</f>
        <v>0</v>
      </c>
      <c r="AK9643" s="169">
        <v>5</v>
      </c>
      <c r="AO9643" s="19" t="s">
        <v>63</v>
      </c>
    </row>
    <row r="9644" spans="1:41" s="103" customFormat="1" ht="19.899999999999999" customHeight="1" x14ac:dyDescent="0.25">
      <c r="A9644" s="51"/>
      <c r="B9644" s="52"/>
      <c r="C9644" s="165"/>
      <c r="D9644" s="52"/>
      <c r="E9644" s="115"/>
      <c r="F9644" s="58"/>
      <c r="G9644" s="58"/>
      <c r="H9644" s="58"/>
      <c r="I9644" s="55"/>
      <c r="J9644" s="113">
        <f>J9643</f>
        <v>307.05000000000052</v>
      </c>
      <c r="K9644" s="212">
        <f>K9643</f>
        <v>307.05000000000052</v>
      </c>
      <c r="L9644" s="58"/>
      <c r="M9644" s="58">
        <f>K9644-L9644</f>
        <v>307.05000000000052</v>
      </c>
      <c r="N9644" s="166"/>
      <c r="O9644" s="58"/>
      <c r="P9644" s="58"/>
      <c r="Q9644" s="58"/>
      <c r="R9644" s="58"/>
      <c r="S9644" s="58"/>
      <c r="T9644" s="220"/>
      <c r="U9644" s="88"/>
      <c r="V9644" s="56"/>
      <c r="W9644" s="57" t="s">
        <v>1646</v>
      </c>
      <c r="X9644" s="53"/>
      <c r="Y9644" s="91" t="s">
        <v>35</v>
      </c>
      <c r="Z9644" s="136">
        <f>AD9644/AC9644</f>
        <v>19.466897568627456</v>
      </c>
      <c r="AA9644" s="58"/>
      <c r="AB9644" s="53">
        <f>AD9644/AC9644</f>
        <v>19.466897568627456</v>
      </c>
      <c r="AC9644" s="53">
        <f>M9644+$AE$10</f>
        <v>307.05000000000052</v>
      </c>
      <c r="AD9644" s="54">
        <f>SUM(AD9645:AD9648)</f>
        <v>5977.31089844707</v>
      </c>
      <c r="AE9644" s="184">
        <f>SUMIFS($AD$37:$AD$12971,$V$37:$V$12971,$V9644,$X$37:$X$12971,AE$13)</f>
        <v>0</v>
      </c>
      <c r="AF9644" s="185">
        <f>SUMIFS($AD$37:$AD$12971,$V$37:$V$12971,$V9644,$X$37:$X$12971,AF$13)</f>
        <v>0</v>
      </c>
      <c r="AG9644" s="185">
        <f>SUMIFS($AD$37:$AD$12971,$V$37:$V$12971,$V9644,$X$37:$X$12971,AG$13)</f>
        <v>0</v>
      </c>
      <c r="AH9644" s="187">
        <f>SUMIFS($AD$37:$AD$12971,$V$37:$V$12971,$V9644,$X$37:$X$12971,AH$13)</f>
        <v>0</v>
      </c>
      <c r="AI9644" s="161">
        <f t="shared" ref="AI9644" si="6472">SUM(AE9644:AH9644)</f>
        <v>0</v>
      </c>
      <c r="AK9644" s="172"/>
    </row>
    <row r="9645" spans="1:41" s="102" customFormat="1" ht="19.899999999999999" customHeight="1" x14ac:dyDescent="0.25">
      <c r="A9645" s="45"/>
      <c r="B9645" s="59"/>
      <c r="C9645" s="137"/>
      <c r="D9645" s="59"/>
      <c r="E9645" s="116"/>
      <c r="F9645" s="120"/>
      <c r="G9645" s="120"/>
      <c r="H9645" s="120"/>
      <c r="I9645" s="60"/>
      <c r="J9645" s="116"/>
      <c r="K9645" s="213"/>
      <c r="L9645" s="120"/>
      <c r="M9645" s="120"/>
      <c r="N9645" s="167"/>
      <c r="O9645" s="120"/>
      <c r="P9645" s="120"/>
      <c r="Q9645" s="120"/>
      <c r="R9645" s="120"/>
      <c r="S9645" s="120"/>
      <c r="T9645" s="221"/>
      <c r="U9645" s="89"/>
      <c r="V9645" s="61"/>
      <c r="W9645" s="92" t="s">
        <v>129</v>
      </c>
      <c r="X9645" s="93" t="s">
        <v>29</v>
      </c>
      <c r="Y9645" s="93" t="s">
        <v>93</v>
      </c>
      <c r="Z9645" s="134">
        <f>VLOOKUP(W9645,Sheet2!$B:$D,3,FALSE)</f>
        <v>56</v>
      </c>
      <c r="AA9645" s="93">
        <f>100/(2.2*2.2*1)</f>
        <v>20.661157024793386</v>
      </c>
      <c r="AB9645" s="93">
        <f t="shared" ref="AB9645" si="6473">AD9645/AC9644</f>
        <v>2.7103999999999999</v>
      </c>
      <c r="AC9645" s="93">
        <f>AC9644/AA9645</f>
        <v>14.861220000000026</v>
      </c>
      <c r="AD9645" s="94">
        <f t="shared" ref="AD9645:AD9646" si="6474">AC9645*Z9645</f>
        <v>832.22832000000142</v>
      </c>
      <c r="AE9645" s="190"/>
      <c r="AF9645" s="191"/>
      <c r="AG9645" s="191"/>
      <c r="AH9645" s="191"/>
      <c r="AI9645" s="186"/>
      <c r="AK9645" s="171"/>
    </row>
    <row r="9646" spans="1:41" s="102" customFormat="1" ht="19.899999999999999" customHeight="1" x14ac:dyDescent="0.25">
      <c r="A9646" s="45"/>
      <c r="B9646" s="59"/>
      <c r="C9646" s="137"/>
      <c r="D9646" s="59"/>
      <c r="E9646" s="116"/>
      <c r="F9646" s="120"/>
      <c r="G9646" s="120"/>
      <c r="H9646" s="120"/>
      <c r="I9646" s="60"/>
      <c r="J9646" s="116"/>
      <c r="K9646" s="213"/>
      <c r="L9646" s="120"/>
      <c r="M9646" s="120"/>
      <c r="N9646" s="167"/>
      <c r="O9646" s="120"/>
      <c r="P9646" s="120"/>
      <c r="Q9646" s="120"/>
      <c r="R9646" s="120"/>
      <c r="S9646" s="120"/>
      <c r="T9646" s="221"/>
      <c r="U9646" s="89"/>
      <c r="V9646" s="61"/>
      <c r="W9646" s="92" t="s">
        <v>65</v>
      </c>
      <c r="X9646" s="93" t="s">
        <v>30</v>
      </c>
      <c r="Y9646" s="93" t="s">
        <v>1011</v>
      </c>
      <c r="Z9646" s="134">
        <f>VLOOKUP(W9646,Sheet2!$B:$D,3,FALSE)</f>
        <v>1.76</v>
      </c>
      <c r="AA9646" s="93">
        <f>AA9645/14</f>
        <v>1.4757969303423848</v>
      </c>
      <c r="AB9646" s="93">
        <f>AD9646/AC9644</f>
        <v>1.1925760000000001</v>
      </c>
      <c r="AC9646" s="93">
        <f>AC9644/AA9646</f>
        <v>208.05708000000035</v>
      </c>
      <c r="AD9646" s="94">
        <f t="shared" si="6474"/>
        <v>366.18046080000062</v>
      </c>
      <c r="AE9646" s="190"/>
      <c r="AF9646" s="191"/>
      <c r="AG9646" s="191"/>
      <c r="AH9646" s="191"/>
      <c r="AI9646" s="186"/>
      <c r="AK9646" s="171"/>
    </row>
    <row r="9647" spans="1:41" s="102" customFormat="1" ht="19.899999999999999" customHeight="1" x14ac:dyDescent="0.25">
      <c r="A9647" s="45"/>
      <c r="B9647" s="59"/>
      <c r="C9647" s="137"/>
      <c r="D9647" s="59"/>
      <c r="E9647" s="116"/>
      <c r="F9647" s="120"/>
      <c r="G9647" s="120"/>
      <c r="H9647" s="120"/>
      <c r="I9647" s="60"/>
      <c r="J9647" s="116"/>
      <c r="K9647" s="213"/>
      <c r="L9647" s="120"/>
      <c r="M9647" s="120"/>
      <c r="N9647" s="167"/>
      <c r="O9647" s="120"/>
      <c r="P9647" s="120"/>
      <c r="Q9647" s="120"/>
      <c r="R9647" s="120"/>
      <c r="S9647" s="120"/>
      <c r="T9647" s="221"/>
      <c r="U9647" s="89"/>
      <c r="V9647" s="61"/>
      <c r="W9647" s="92" t="s">
        <v>161</v>
      </c>
      <c r="X9647" s="93" t="s">
        <v>29</v>
      </c>
      <c r="Y9647" s="93" t="s">
        <v>93</v>
      </c>
      <c r="Z9647" s="134">
        <f>VLOOKUP(W9647,Sheet2!$B:$D,3,FALSE)</f>
        <v>48</v>
      </c>
      <c r="AA9647" s="93">
        <f>(16*0.85*1.5)/(2.2*2.2*1)</f>
        <v>4.2148760330578501</v>
      </c>
      <c r="AB9647" s="93">
        <f>AD9647/AC9644</f>
        <v>11.388235294117649</v>
      </c>
      <c r="AC9647" s="93">
        <f>AC9644/AA9647</f>
        <v>72.849117647058961</v>
      </c>
      <c r="AD9647" s="94">
        <f>AC9647*Z9647</f>
        <v>3496.7576470588301</v>
      </c>
      <c r="AE9647" s="190"/>
      <c r="AF9647" s="191"/>
      <c r="AG9647" s="191"/>
      <c r="AH9647" s="191"/>
      <c r="AI9647" s="186"/>
      <c r="AK9647" s="171"/>
    </row>
    <row r="9648" spans="1:41" s="102" customFormat="1" ht="19.899999999999999" customHeight="1" x14ac:dyDescent="0.25">
      <c r="A9648" s="45"/>
      <c r="B9648" s="59"/>
      <c r="C9648" s="137"/>
      <c r="D9648" s="59"/>
      <c r="E9648" s="116"/>
      <c r="F9648" s="120"/>
      <c r="G9648" s="120"/>
      <c r="H9648" s="120"/>
      <c r="I9648" s="60"/>
      <c r="J9648" s="116"/>
      <c r="K9648" s="213"/>
      <c r="L9648" s="120"/>
      <c r="M9648" s="120"/>
      <c r="N9648" s="167"/>
      <c r="O9648" s="120"/>
      <c r="P9648" s="120"/>
      <c r="Q9648" s="120"/>
      <c r="R9648" s="120"/>
      <c r="S9648" s="120"/>
      <c r="T9648" s="221"/>
      <c r="U9648" s="89"/>
      <c r="V9648" s="61"/>
      <c r="W9648" s="92" t="s">
        <v>65</v>
      </c>
      <c r="X9648" s="93" t="s">
        <v>30</v>
      </c>
      <c r="Y9648" s="93" t="s">
        <v>1011</v>
      </c>
      <c r="Z9648" s="134">
        <f>VLOOKUP(W9648,Sheet2!$B:$D,3,FALSE)</f>
        <v>1.76</v>
      </c>
      <c r="AA9648" s="93">
        <f>AA9647/10</f>
        <v>0.421487603305785</v>
      </c>
      <c r="AB9648" s="93">
        <f>AD9648/AC9644</f>
        <v>4.1756862745098058</v>
      </c>
      <c r="AC9648" s="93">
        <f>AC9644/AA9648</f>
        <v>728.49117647058972</v>
      </c>
      <c r="AD9648" s="94">
        <f>AC9648*Z9648</f>
        <v>1282.1444705882379</v>
      </c>
      <c r="AE9648" s="190"/>
      <c r="AF9648" s="191"/>
      <c r="AG9648" s="191"/>
      <c r="AH9648" s="191"/>
      <c r="AI9648" s="186"/>
      <c r="AK9648" s="171"/>
    </row>
    <row r="9649" spans="1:37" s="103" customFormat="1" ht="19.899999999999999" customHeight="1" x14ac:dyDescent="0.25">
      <c r="A9649" s="51"/>
      <c r="B9649" s="52"/>
      <c r="C9649" s="165"/>
      <c r="D9649" s="52"/>
      <c r="E9649" s="115"/>
      <c r="F9649" s="58"/>
      <c r="G9649" s="58"/>
      <c r="H9649" s="58"/>
      <c r="I9649" s="55"/>
      <c r="J9649" s="113">
        <f>J9643</f>
        <v>307.05000000000052</v>
      </c>
      <c r="K9649" s="212">
        <f>K9643</f>
        <v>307.05000000000052</v>
      </c>
      <c r="L9649" s="58"/>
      <c r="M9649" s="58">
        <f>K9649-L9649</f>
        <v>307.05000000000052</v>
      </c>
      <c r="N9649" s="166"/>
      <c r="O9649" s="58"/>
      <c r="P9649" s="58"/>
      <c r="Q9649" s="58"/>
      <c r="R9649" s="58"/>
      <c r="S9649" s="58"/>
      <c r="T9649" s="220"/>
      <c r="U9649" s="88"/>
      <c r="V9649" s="56"/>
      <c r="W9649" s="57" t="s">
        <v>1645</v>
      </c>
      <c r="X9649" s="53"/>
      <c r="Y9649" s="91" t="s">
        <v>35</v>
      </c>
      <c r="Z9649" s="136">
        <f>AD9649/AC9649</f>
        <v>2631.4123076923079</v>
      </c>
      <c r="AA9649" s="58"/>
      <c r="AB9649" s="53">
        <f>AD9649/AC9649</f>
        <v>2631.4123076923079</v>
      </c>
      <c r="AC9649" s="53">
        <f>M9649+$AE$10</f>
        <v>307.05000000000052</v>
      </c>
      <c r="AD9649" s="54">
        <f>SUM(AD9650:AD9660)</f>
        <v>807975.14907692454</v>
      </c>
      <c r="AE9649" s="184">
        <f>SUMIFS($AD$37:$AD$12971,$V$37:$V$12971,$V9649,$X$37:$X$12971,AE$13)</f>
        <v>0</v>
      </c>
      <c r="AF9649" s="185">
        <f>SUMIFS($AD$37:$AD$12971,$V$37:$V$12971,$V9649,$X$37:$X$12971,AF$13)</f>
        <v>0</v>
      </c>
      <c r="AG9649" s="185">
        <f>SUMIFS($AD$37:$AD$12971,$V$37:$V$12971,$V9649,$X$37:$X$12971,AG$13)</f>
        <v>0</v>
      </c>
      <c r="AH9649" s="187">
        <f>SUMIFS($AD$37:$AD$12971,$V$37:$V$12971,$V9649,$X$37:$X$12971,AH$13)</f>
        <v>0</v>
      </c>
      <c r="AI9649" s="161">
        <f t="shared" ref="AI9649" si="6475">SUM(AE9649:AH9649)</f>
        <v>0</v>
      </c>
      <c r="AK9649" s="172"/>
    </row>
    <row r="9650" spans="1:37" s="102" customFormat="1" ht="19.899999999999999" customHeight="1" x14ac:dyDescent="0.25">
      <c r="A9650" s="45"/>
      <c r="B9650" s="59"/>
      <c r="C9650" s="137"/>
      <c r="D9650" s="59"/>
      <c r="E9650" s="116"/>
      <c r="F9650" s="120"/>
      <c r="G9650" s="120"/>
      <c r="H9650" s="120"/>
      <c r="I9650" s="60"/>
      <c r="J9650" s="116"/>
      <c r="K9650" s="213"/>
      <c r="L9650" s="120"/>
      <c r="M9650" s="120"/>
      <c r="N9650" s="167"/>
      <c r="O9650" s="120"/>
      <c r="P9650" s="120"/>
      <c r="Q9650" s="120"/>
      <c r="R9650" s="120"/>
      <c r="S9650" s="120"/>
      <c r="T9650" s="221"/>
      <c r="U9650" s="89"/>
      <c r="V9650" s="61"/>
      <c r="W9650" s="92" t="s">
        <v>1032</v>
      </c>
      <c r="X9650" s="93" t="s">
        <v>30</v>
      </c>
      <c r="Y9650" s="93" t="s">
        <v>66</v>
      </c>
      <c r="Z9650" s="134">
        <f>VLOOKUP(W9650,Sheet2!$B:$D,3,FALSE)</f>
        <v>250</v>
      </c>
      <c r="AA9650" s="93">
        <f>1/(1.2*1.2*0.1)</f>
        <v>6.9444444444444446</v>
      </c>
      <c r="AB9650" s="93">
        <f>AD9650/AC9649</f>
        <v>36</v>
      </c>
      <c r="AC9650" s="93">
        <f>AC9649/AA9650</f>
        <v>44.215200000000074</v>
      </c>
      <c r="AD9650" s="94">
        <f t="shared" ref="AD9650" si="6476">AC9650*Z9650</f>
        <v>11053.800000000019</v>
      </c>
      <c r="AE9650" s="190"/>
      <c r="AF9650" s="191"/>
      <c r="AG9650" s="191"/>
      <c r="AH9650" s="191"/>
      <c r="AI9650" s="186"/>
      <c r="AK9650" s="171"/>
    </row>
    <row r="9651" spans="1:37" s="102" customFormat="1" ht="19.899999999999999" customHeight="1" x14ac:dyDescent="0.25">
      <c r="A9651" s="45"/>
      <c r="B9651" s="59"/>
      <c r="C9651" s="137"/>
      <c r="D9651" s="59"/>
      <c r="E9651" s="116"/>
      <c r="F9651" s="120"/>
      <c r="G9651" s="120"/>
      <c r="H9651" s="120"/>
      <c r="I9651" s="60"/>
      <c r="J9651" s="116"/>
      <c r="K9651" s="213"/>
      <c r="L9651" s="120"/>
      <c r="M9651" s="120"/>
      <c r="N9651" s="167"/>
      <c r="O9651" s="120"/>
      <c r="P9651" s="120"/>
      <c r="Q9651" s="120"/>
      <c r="R9651" s="120"/>
      <c r="S9651" s="120"/>
      <c r="T9651" s="221"/>
      <c r="U9651" s="89"/>
      <c r="V9651" s="61"/>
      <c r="W9651" s="92" t="s">
        <v>1353</v>
      </c>
      <c r="X9651" s="93" t="s">
        <v>30</v>
      </c>
      <c r="Y9651" s="93" t="s">
        <v>66</v>
      </c>
      <c r="Z9651" s="134">
        <f>VLOOKUP(W9651,Sheet2!$B:$D,3,FALSE)</f>
        <v>350</v>
      </c>
      <c r="AA9651" s="93">
        <f>1/((1*1*0.2*4)+(1*1*0.3))</f>
        <v>0.90909090909090906</v>
      </c>
      <c r="AB9651" s="93">
        <f>AD9651/AC9649</f>
        <v>385</v>
      </c>
      <c r="AC9651" s="93">
        <f>AC9649/AA9651</f>
        <v>337.75500000000056</v>
      </c>
      <c r="AD9651" s="94">
        <f t="shared" ref="AD9651:AD9652" si="6477">AC9651*Z9651</f>
        <v>118214.2500000002</v>
      </c>
      <c r="AE9651" s="190"/>
      <c r="AF9651" s="191"/>
      <c r="AG9651" s="191"/>
      <c r="AH9651" s="191"/>
      <c r="AI9651" s="186"/>
      <c r="AK9651" s="171"/>
    </row>
    <row r="9652" spans="1:37" s="102" customFormat="1" ht="19.899999999999999" customHeight="1" x14ac:dyDescent="0.25">
      <c r="A9652" s="45"/>
      <c r="B9652" s="59"/>
      <c r="C9652" s="137"/>
      <c r="D9652" s="59"/>
      <c r="E9652" s="116"/>
      <c r="F9652" s="120"/>
      <c r="G9652" s="120"/>
      <c r="H9652" s="120"/>
      <c r="I9652" s="60"/>
      <c r="J9652" s="116"/>
      <c r="K9652" s="213"/>
      <c r="L9652" s="120"/>
      <c r="M9652" s="120"/>
      <c r="N9652" s="167"/>
      <c r="O9652" s="120"/>
      <c r="P9652" s="120"/>
      <c r="Q9652" s="120"/>
      <c r="R9652" s="120"/>
      <c r="S9652" s="120"/>
      <c r="T9652" s="221"/>
      <c r="U9652" s="89"/>
      <c r="V9652" s="61"/>
      <c r="W9652" s="92" t="s">
        <v>99</v>
      </c>
      <c r="X9652" s="93" t="s">
        <v>30</v>
      </c>
      <c r="Y9652" s="93" t="s">
        <v>67</v>
      </c>
      <c r="Z9652" s="134">
        <f>VLOOKUP(W9652,Sheet2!$B:$D,3,FALSE)</f>
        <v>2500</v>
      </c>
      <c r="AA9652" s="93">
        <f>AA9651/0.08</f>
        <v>11.363636363636363</v>
      </c>
      <c r="AB9652" s="93">
        <f>AD9652/AC9649</f>
        <v>220</v>
      </c>
      <c r="AC9652" s="93">
        <f>AC9649/AA9652</f>
        <v>27.020400000000048</v>
      </c>
      <c r="AD9652" s="94">
        <f t="shared" si="6477"/>
        <v>67551.000000000116</v>
      </c>
      <c r="AE9652" s="190"/>
      <c r="AF9652" s="191"/>
      <c r="AG9652" s="191"/>
      <c r="AH9652" s="191"/>
      <c r="AI9652" s="186"/>
      <c r="AK9652" s="171"/>
    </row>
    <row r="9653" spans="1:37" s="102" customFormat="1" ht="19.899999999999999" customHeight="1" x14ac:dyDescent="0.25">
      <c r="A9653" s="45"/>
      <c r="B9653" s="59"/>
      <c r="C9653" s="137"/>
      <c r="D9653" s="59"/>
      <c r="E9653" s="116"/>
      <c r="F9653" s="120"/>
      <c r="G9653" s="120"/>
      <c r="H9653" s="120"/>
      <c r="I9653" s="60"/>
      <c r="J9653" s="116"/>
      <c r="K9653" s="213"/>
      <c r="L9653" s="120"/>
      <c r="M9653" s="120"/>
      <c r="N9653" s="167"/>
      <c r="O9653" s="120"/>
      <c r="P9653" s="120"/>
      <c r="Q9653" s="120"/>
      <c r="R9653" s="120"/>
      <c r="S9653" s="120"/>
      <c r="T9653" s="221"/>
      <c r="U9653" s="89"/>
      <c r="V9653" s="61"/>
      <c r="W9653" s="92" t="s">
        <v>1354</v>
      </c>
      <c r="X9653" s="93" t="s">
        <v>32</v>
      </c>
      <c r="Y9653" s="93" t="s">
        <v>66</v>
      </c>
      <c r="Z9653" s="134">
        <f>VLOOKUP(W9653,Sheet2!$B:$D,3,FALSE)</f>
        <v>150</v>
      </c>
      <c r="AA9653" s="93">
        <f>AA9650</f>
        <v>6.9444444444444446</v>
      </c>
      <c r="AB9653" s="93">
        <f>AD9653/AC9649</f>
        <v>21.599999999999998</v>
      </c>
      <c r="AC9653" s="93">
        <f>AC9649/AA9653</f>
        <v>44.215200000000074</v>
      </c>
      <c r="AD9653" s="94">
        <f>AC9653*Z9653</f>
        <v>6632.2800000000107</v>
      </c>
      <c r="AE9653" s="190"/>
      <c r="AF9653" s="191"/>
      <c r="AG9653" s="191"/>
      <c r="AH9653" s="191"/>
      <c r="AI9653" s="186"/>
      <c r="AK9653" s="171"/>
    </row>
    <row r="9654" spans="1:37" s="102" customFormat="1" ht="19.899999999999999" customHeight="1" x14ac:dyDescent="0.25">
      <c r="A9654" s="45"/>
      <c r="B9654" s="59"/>
      <c r="C9654" s="137"/>
      <c r="D9654" s="59"/>
      <c r="E9654" s="116"/>
      <c r="F9654" s="120"/>
      <c r="G9654" s="120"/>
      <c r="H9654" s="120"/>
      <c r="I9654" s="60"/>
      <c r="J9654" s="116"/>
      <c r="K9654" s="213"/>
      <c r="L9654" s="120"/>
      <c r="M9654" s="120"/>
      <c r="N9654" s="167"/>
      <c r="O9654" s="120"/>
      <c r="P9654" s="120"/>
      <c r="Q9654" s="120"/>
      <c r="R9654" s="120"/>
      <c r="S9654" s="120"/>
      <c r="T9654" s="221"/>
      <c r="U9654" s="89"/>
      <c r="V9654" s="61"/>
      <c r="W9654" s="92" t="s">
        <v>1533</v>
      </c>
      <c r="X9654" s="93" t="s">
        <v>32</v>
      </c>
      <c r="Y9654" s="93" t="s">
        <v>66</v>
      </c>
      <c r="Z9654" s="134">
        <f>VLOOKUP(W9654,Sheet2!$B:$D,3,FALSE)</f>
        <v>300</v>
      </c>
      <c r="AA9654" s="93">
        <f>AA9651</f>
        <v>0.90909090909090906</v>
      </c>
      <c r="AB9654" s="93">
        <f>AD9654/AC9649</f>
        <v>330</v>
      </c>
      <c r="AC9654" s="93">
        <f>AC9649/AA9654</f>
        <v>337.75500000000056</v>
      </c>
      <c r="AD9654" s="94">
        <f>AC9654*Z9654</f>
        <v>101326.50000000017</v>
      </c>
      <c r="AE9654" s="190"/>
      <c r="AF9654" s="191"/>
      <c r="AG9654" s="191"/>
      <c r="AH9654" s="191"/>
      <c r="AI9654" s="186"/>
      <c r="AK9654" s="171"/>
    </row>
    <row r="9655" spans="1:37" s="102" customFormat="1" ht="19.899999999999999" customHeight="1" x14ac:dyDescent="0.25">
      <c r="A9655" s="45"/>
      <c r="B9655" s="59"/>
      <c r="C9655" s="137"/>
      <c r="D9655" s="59"/>
      <c r="E9655" s="116"/>
      <c r="F9655" s="120"/>
      <c r="G9655" s="120"/>
      <c r="H9655" s="120"/>
      <c r="I9655" s="60"/>
      <c r="J9655" s="116"/>
      <c r="K9655" s="213"/>
      <c r="L9655" s="120"/>
      <c r="M9655" s="120"/>
      <c r="N9655" s="167"/>
      <c r="O9655" s="120"/>
      <c r="P9655" s="120"/>
      <c r="Q9655" s="120"/>
      <c r="R9655" s="120"/>
      <c r="S9655" s="120"/>
      <c r="T9655" s="221"/>
      <c r="U9655" s="89"/>
      <c r="V9655" s="61"/>
      <c r="W9655" s="92" t="s">
        <v>1634</v>
      </c>
      <c r="X9655" s="93" t="s">
        <v>30</v>
      </c>
      <c r="Y9655" s="93" t="s">
        <v>35</v>
      </c>
      <c r="Z9655" s="134">
        <f>VLOOKUP(W9655,Sheet2!$B:$D,3,FALSE)</f>
        <v>1250</v>
      </c>
      <c r="AA9655" s="93">
        <v>1</v>
      </c>
      <c r="AB9655" s="93">
        <f>AD9655/AC9649</f>
        <v>1250</v>
      </c>
      <c r="AC9655" s="93">
        <f>AC9649/AA9655</f>
        <v>307.05000000000052</v>
      </c>
      <c r="AD9655" s="94">
        <f t="shared" ref="AD9655:AD9656" si="6478">AC9655*Z9655</f>
        <v>383812.50000000064</v>
      </c>
      <c r="AE9655" s="190"/>
      <c r="AF9655" s="191"/>
      <c r="AG9655" s="191"/>
      <c r="AH9655" s="191"/>
      <c r="AI9655" s="186"/>
      <c r="AK9655" s="171"/>
    </row>
    <row r="9656" spans="1:37" s="102" customFormat="1" ht="19.899999999999999" customHeight="1" x14ac:dyDescent="0.25">
      <c r="A9656" s="45"/>
      <c r="B9656" s="59"/>
      <c r="C9656" s="137"/>
      <c r="D9656" s="59"/>
      <c r="E9656" s="116"/>
      <c r="F9656" s="120"/>
      <c r="G9656" s="120"/>
      <c r="H9656" s="120"/>
      <c r="I9656" s="60"/>
      <c r="J9656" s="116"/>
      <c r="K9656" s="213"/>
      <c r="L9656" s="120"/>
      <c r="M9656" s="120"/>
      <c r="N9656" s="167"/>
      <c r="O9656" s="120"/>
      <c r="P9656" s="120"/>
      <c r="Q9656" s="120"/>
      <c r="R9656" s="120"/>
      <c r="S9656" s="120"/>
      <c r="T9656" s="221"/>
      <c r="U9656" s="89"/>
      <c r="V9656" s="61"/>
      <c r="W9656" s="92" t="s">
        <v>142</v>
      </c>
      <c r="X9656" s="93" t="s">
        <v>29</v>
      </c>
      <c r="Y9656" s="93" t="s">
        <v>93</v>
      </c>
      <c r="Z9656" s="134">
        <f>VLOOKUP(W9656,Sheet2!$B:$D,3,FALSE)</f>
        <v>67.692307692307693</v>
      </c>
      <c r="AA9656" s="93">
        <v>1</v>
      </c>
      <c r="AB9656" s="93">
        <f>AD9656/AC9649</f>
        <v>67.692307692307693</v>
      </c>
      <c r="AC9656" s="93">
        <f>AC9649/AA9656</f>
        <v>307.05000000000052</v>
      </c>
      <c r="AD9656" s="94">
        <f t="shared" si="6478"/>
        <v>20784.923076923114</v>
      </c>
      <c r="AE9656" s="190"/>
      <c r="AF9656" s="191"/>
      <c r="AG9656" s="191"/>
      <c r="AH9656" s="191"/>
      <c r="AI9656" s="186"/>
      <c r="AK9656" s="171"/>
    </row>
    <row r="9657" spans="1:37" s="102" customFormat="1" ht="19.899999999999999" customHeight="1" x14ac:dyDescent="0.25">
      <c r="A9657" s="45"/>
      <c r="B9657" s="59"/>
      <c r="C9657" s="137"/>
      <c r="D9657" s="59"/>
      <c r="E9657" s="116"/>
      <c r="F9657" s="120"/>
      <c r="G9657" s="120"/>
      <c r="H9657" s="120"/>
      <c r="I9657" s="60"/>
      <c r="J9657" s="116"/>
      <c r="K9657" s="213"/>
      <c r="L9657" s="120"/>
      <c r="M9657" s="120"/>
      <c r="N9657" s="167"/>
      <c r="O9657" s="120"/>
      <c r="P9657" s="120"/>
      <c r="Q9657" s="120"/>
      <c r="R9657" s="120"/>
      <c r="S9657" s="120"/>
      <c r="T9657" s="221"/>
      <c r="U9657" s="89"/>
      <c r="V9657" s="61"/>
      <c r="W9657" s="92" t="s">
        <v>65</v>
      </c>
      <c r="X9657" s="93" t="s">
        <v>30</v>
      </c>
      <c r="Y9657" s="93" t="s">
        <v>93</v>
      </c>
      <c r="Z9657" s="134">
        <f>VLOOKUP(W9657,Sheet2!$B:$D,3,FALSE)</f>
        <v>1.76</v>
      </c>
      <c r="AA9657" s="93">
        <f>AA9656/12</f>
        <v>8.3333333333333329E-2</v>
      </c>
      <c r="AB9657" s="93">
        <f>AD9657/AC9649</f>
        <v>21.119999999999997</v>
      </c>
      <c r="AC9657" s="93">
        <f>AC9649/AA9657</f>
        <v>3684.6000000000063</v>
      </c>
      <c r="AD9657" s="94">
        <f>AC9657*Z9657</f>
        <v>6484.8960000000106</v>
      </c>
      <c r="AE9657" s="190"/>
      <c r="AF9657" s="191"/>
      <c r="AG9657" s="191"/>
      <c r="AH9657" s="191"/>
      <c r="AI9657" s="186"/>
      <c r="AK9657" s="171"/>
    </row>
    <row r="9658" spans="1:37" s="102" customFormat="1" ht="19.899999999999999" customHeight="1" x14ac:dyDescent="0.25">
      <c r="A9658" s="45"/>
      <c r="B9658" s="59"/>
      <c r="C9658" s="137"/>
      <c r="D9658" s="59"/>
      <c r="E9658" s="116"/>
      <c r="F9658" s="120"/>
      <c r="G9658" s="120"/>
      <c r="H9658" s="120"/>
      <c r="I9658" s="60"/>
      <c r="J9658" s="116"/>
      <c r="K9658" s="213"/>
      <c r="L9658" s="120"/>
      <c r="M9658" s="120"/>
      <c r="N9658" s="167"/>
      <c r="O9658" s="120"/>
      <c r="P9658" s="120"/>
      <c r="Q9658" s="120"/>
      <c r="R9658" s="120"/>
      <c r="S9658" s="120"/>
      <c r="T9658" s="221"/>
      <c r="U9658" s="89"/>
      <c r="V9658" s="61"/>
      <c r="W9658" s="92" t="s">
        <v>1357</v>
      </c>
      <c r="X9658" s="93" t="s">
        <v>30</v>
      </c>
      <c r="Y9658" s="93" t="s">
        <v>1349</v>
      </c>
      <c r="Z9658" s="134">
        <f>VLOOKUP(W9658,Sheet2!$B:$D,3,FALSE)</f>
        <v>150</v>
      </c>
      <c r="AA9658" s="93">
        <v>1</v>
      </c>
      <c r="AB9658" s="93">
        <f>AD9658/AC9649</f>
        <v>150</v>
      </c>
      <c r="AC9658" s="93">
        <f>AC9649/AA9658</f>
        <v>307.05000000000052</v>
      </c>
      <c r="AD9658" s="94">
        <f>AC9658*Z9658</f>
        <v>46057.50000000008</v>
      </c>
      <c r="AE9658" s="190"/>
      <c r="AF9658" s="191"/>
      <c r="AG9658" s="191"/>
      <c r="AH9658" s="191"/>
      <c r="AI9658" s="186"/>
      <c r="AK9658" s="171"/>
    </row>
    <row r="9659" spans="1:37" s="102" customFormat="1" ht="19.899999999999999" customHeight="1" x14ac:dyDescent="0.25">
      <c r="A9659" s="45"/>
      <c r="B9659" s="59"/>
      <c r="C9659" s="137"/>
      <c r="D9659" s="59"/>
      <c r="E9659" s="116"/>
      <c r="F9659" s="120"/>
      <c r="G9659" s="120"/>
      <c r="H9659" s="120"/>
      <c r="I9659" s="60"/>
      <c r="J9659" s="116"/>
      <c r="K9659" s="213"/>
      <c r="L9659" s="120"/>
      <c r="M9659" s="120"/>
      <c r="N9659" s="167"/>
      <c r="O9659" s="120"/>
      <c r="P9659" s="120"/>
      <c r="Q9659" s="120"/>
      <c r="R9659" s="120"/>
      <c r="S9659" s="120"/>
      <c r="T9659" s="221"/>
      <c r="U9659" s="89"/>
      <c r="V9659" s="61"/>
      <c r="W9659" s="92" t="s">
        <v>107</v>
      </c>
      <c r="X9659" s="93" t="s">
        <v>31</v>
      </c>
      <c r="Y9659" s="93" t="s">
        <v>93</v>
      </c>
      <c r="Z9659" s="134">
        <f>VLOOKUP(W9659,Sheet2!$B:$D,3,FALSE)</f>
        <v>17</v>
      </c>
      <c r="AA9659" s="93">
        <f>1/5</f>
        <v>0.2</v>
      </c>
      <c r="AB9659" s="93">
        <f>AD9659/AC9649</f>
        <v>85</v>
      </c>
      <c r="AC9659" s="93">
        <f>AC9649/AA9659</f>
        <v>1535.2500000000025</v>
      </c>
      <c r="AD9659" s="94">
        <f>AC9659*Z9659</f>
        <v>26099.250000000044</v>
      </c>
      <c r="AE9659" s="190"/>
      <c r="AF9659" s="191"/>
      <c r="AG9659" s="191"/>
      <c r="AH9659" s="191"/>
      <c r="AI9659" s="186"/>
      <c r="AK9659" s="171"/>
    </row>
    <row r="9660" spans="1:37" s="102" customFormat="1" ht="19.899999999999999" customHeight="1" x14ac:dyDescent="0.25">
      <c r="A9660" s="45"/>
      <c r="B9660" s="59"/>
      <c r="C9660" s="137"/>
      <c r="D9660" s="59"/>
      <c r="E9660" s="116"/>
      <c r="F9660" s="120"/>
      <c r="G9660" s="120"/>
      <c r="H9660" s="120"/>
      <c r="I9660" s="60"/>
      <c r="J9660" s="116"/>
      <c r="K9660" s="213"/>
      <c r="L9660" s="120"/>
      <c r="M9660" s="120"/>
      <c r="N9660" s="167"/>
      <c r="O9660" s="120"/>
      <c r="P9660" s="120"/>
      <c r="Q9660" s="120"/>
      <c r="R9660" s="120"/>
      <c r="S9660" s="120"/>
      <c r="T9660" s="221"/>
      <c r="U9660" s="89"/>
      <c r="V9660" s="61"/>
      <c r="W9660" s="92" t="s">
        <v>112</v>
      </c>
      <c r="X9660" s="93" t="s">
        <v>31</v>
      </c>
      <c r="Y9660" s="93" t="s">
        <v>93</v>
      </c>
      <c r="Z9660" s="134">
        <f>VLOOKUP(W9660,Sheet2!$B:$D,3,FALSE)</f>
        <v>13</v>
      </c>
      <c r="AA9660" s="93">
        <f>AA9659</f>
        <v>0.2</v>
      </c>
      <c r="AB9660" s="93">
        <f>AD9660/AC9649</f>
        <v>65</v>
      </c>
      <c r="AC9660" s="93">
        <f>AC9649/AA9660</f>
        <v>1535.2500000000025</v>
      </c>
      <c r="AD9660" s="94">
        <f>AC9660*Z9660</f>
        <v>19958.250000000033</v>
      </c>
      <c r="AE9660" s="190"/>
      <c r="AF9660" s="191"/>
      <c r="AG9660" s="191"/>
      <c r="AH9660" s="191"/>
      <c r="AI9660" s="186"/>
      <c r="AK9660" s="171"/>
    </row>
    <row r="9661" spans="1:37" s="103" customFormat="1" ht="19.899999999999999" customHeight="1" x14ac:dyDescent="0.25">
      <c r="A9661" s="51"/>
      <c r="B9661" s="52"/>
      <c r="C9661" s="165"/>
      <c r="D9661" s="52"/>
      <c r="E9661" s="115"/>
      <c r="F9661" s="58"/>
      <c r="G9661" s="58"/>
      <c r="H9661" s="58"/>
      <c r="I9661" s="55"/>
      <c r="J9661" s="113">
        <f>J9643</f>
        <v>307.05000000000052</v>
      </c>
      <c r="K9661" s="212">
        <f>K9643</f>
        <v>307.05000000000052</v>
      </c>
      <c r="L9661" s="58"/>
      <c r="M9661" s="58">
        <f>K9661-L9661</f>
        <v>307.05000000000052</v>
      </c>
      <c r="N9661" s="166"/>
      <c r="O9661" s="58"/>
      <c r="P9661" s="58"/>
      <c r="Q9661" s="58"/>
      <c r="R9661" s="58"/>
      <c r="S9661" s="58"/>
      <c r="T9661" s="220"/>
      <c r="U9661" s="88"/>
      <c r="V9661" s="56"/>
      <c r="W9661" s="57" t="s">
        <v>1358</v>
      </c>
      <c r="X9661" s="53"/>
      <c r="Y9661" s="91" t="s">
        <v>35</v>
      </c>
      <c r="Z9661" s="136">
        <f>AD9661/AC9661</f>
        <v>280</v>
      </c>
      <c r="AA9661" s="58"/>
      <c r="AB9661" s="53">
        <f>AD9661/AC9661</f>
        <v>280</v>
      </c>
      <c r="AC9661" s="53">
        <f>M9661+$AE$10</f>
        <v>307.05000000000052</v>
      </c>
      <c r="AD9661" s="54">
        <f>SUM(AD9662:AD9663)</f>
        <v>85974.000000000146</v>
      </c>
      <c r="AE9661" s="184">
        <f>SUMIFS($AD$37:$AD$12971,$V$37:$V$12971,$V9661,$X$37:$X$12971,AE$13)</f>
        <v>0</v>
      </c>
      <c r="AF9661" s="185">
        <f>SUMIFS($AD$37:$AD$12971,$V$37:$V$12971,$V9661,$X$37:$X$12971,AF$13)</f>
        <v>0</v>
      </c>
      <c r="AG9661" s="185">
        <f>SUMIFS($AD$37:$AD$12971,$V$37:$V$12971,$V9661,$X$37:$X$12971,AG$13)</f>
        <v>0</v>
      </c>
      <c r="AH9661" s="187">
        <f>SUMIFS($AD$37:$AD$12971,$V$37:$V$12971,$V9661,$X$37:$X$12971,AH$13)</f>
        <v>0</v>
      </c>
      <c r="AI9661" s="161">
        <f t="shared" ref="AI9661" si="6479">SUM(AE9661:AH9661)</f>
        <v>0</v>
      </c>
      <c r="AK9661" s="172"/>
    </row>
    <row r="9662" spans="1:37" s="102" customFormat="1" ht="19.899999999999999" customHeight="1" x14ac:dyDescent="0.25">
      <c r="A9662" s="45"/>
      <c r="B9662" s="59"/>
      <c r="C9662" s="137"/>
      <c r="D9662" s="59"/>
      <c r="E9662" s="116"/>
      <c r="F9662" s="120"/>
      <c r="G9662" s="120"/>
      <c r="H9662" s="120"/>
      <c r="I9662" s="60"/>
      <c r="J9662" s="116"/>
      <c r="K9662" s="213"/>
      <c r="L9662" s="120"/>
      <c r="M9662" s="120"/>
      <c r="N9662" s="167"/>
      <c r="O9662" s="120"/>
      <c r="P9662" s="120"/>
      <c r="Q9662" s="120"/>
      <c r="R9662" s="120"/>
      <c r="S9662" s="120"/>
      <c r="T9662" s="221"/>
      <c r="U9662" s="89"/>
      <c r="V9662" s="61"/>
      <c r="W9662" s="92" t="s">
        <v>1359</v>
      </c>
      <c r="X9662" s="93" t="s">
        <v>32</v>
      </c>
      <c r="Y9662" s="93" t="s">
        <v>64</v>
      </c>
      <c r="Z9662" s="134">
        <f>VLOOKUP(W9662,Sheet2!$B:$D,3,FALSE)</f>
        <v>40</v>
      </c>
      <c r="AA9662" s="93">
        <f>1/(1*1*4)</f>
        <v>0.25</v>
      </c>
      <c r="AB9662" s="93">
        <f t="shared" ref="AB9662" si="6480">AD9662/AC9661</f>
        <v>160</v>
      </c>
      <c r="AC9662" s="93">
        <f>AC9661/AA9662</f>
        <v>1228.2000000000021</v>
      </c>
      <c r="AD9662" s="94">
        <f t="shared" ref="AD9662:AD9663" si="6481">AC9662*Z9662</f>
        <v>49128.000000000087</v>
      </c>
      <c r="AE9662" s="190"/>
      <c r="AF9662" s="191"/>
      <c r="AG9662" s="191"/>
      <c r="AH9662" s="191"/>
      <c r="AI9662" s="186"/>
      <c r="AK9662" s="171"/>
    </row>
    <row r="9663" spans="1:37" s="102" customFormat="1" ht="19.899999999999999" customHeight="1" x14ac:dyDescent="0.25">
      <c r="A9663" s="45"/>
      <c r="B9663" s="59"/>
      <c r="C9663" s="137"/>
      <c r="D9663" s="59"/>
      <c r="E9663" s="116"/>
      <c r="F9663" s="120"/>
      <c r="G9663" s="120"/>
      <c r="H9663" s="120"/>
      <c r="I9663" s="60"/>
      <c r="J9663" s="116"/>
      <c r="K9663" s="213"/>
      <c r="L9663" s="120"/>
      <c r="M9663" s="120"/>
      <c r="N9663" s="167"/>
      <c r="O9663" s="120"/>
      <c r="P9663" s="120"/>
      <c r="Q9663" s="120"/>
      <c r="R9663" s="120"/>
      <c r="S9663" s="120"/>
      <c r="T9663" s="221"/>
      <c r="U9663" s="89"/>
      <c r="V9663" s="61"/>
      <c r="W9663" s="92" t="s">
        <v>1360</v>
      </c>
      <c r="X9663" s="93" t="s">
        <v>32</v>
      </c>
      <c r="Y9663" s="93" t="s">
        <v>64</v>
      </c>
      <c r="Z9663" s="134">
        <f>VLOOKUP(W9663,Sheet2!$B:$D,3,FALSE)</f>
        <v>30</v>
      </c>
      <c r="AA9663" s="93">
        <f>AA9662</f>
        <v>0.25</v>
      </c>
      <c r="AB9663" s="93">
        <f>AD9663/AC9661</f>
        <v>120.00000000000001</v>
      </c>
      <c r="AC9663" s="93">
        <f>AC9661/AA9663</f>
        <v>1228.2000000000021</v>
      </c>
      <c r="AD9663" s="94">
        <f t="shared" si="6481"/>
        <v>36846.000000000065</v>
      </c>
      <c r="AE9663" s="190"/>
      <c r="AF9663" s="191"/>
      <c r="AG9663" s="191"/>
      <c r="AH9663" s="191"/>
      <c r="AI9663" s="186"/>
      <c r="AK9663" s="171"/>
    </row>
    <row r="9664" spans="1:37" s="103" customFormat="1" ht="19.899999999999999" customHeight="1" x14ac:dyDescent="0.25">
      <c r="A9664" s="51"/>
      <c r="B9664" s="52"/>
      <c r="C9664" s="165"/>
      <c r="D9664" s="52"/>
      <c r="E9664" s="115"/>
      <c r="F9664" s="58"/>
      <c r="G9664" s="58"/>
      <c r="H9664" s="58"/>
      <c r="I9664" s="55"/>
      <c r="J9664" s="113">
        <f>J9643</f>
        <v>307.05000000000052</v>
      </c>
      <c r="K9664" s="212">
        <f>K9643</f>
        <v>307.05000000000052</v>
      </c>
      <c r="L9664" s="58"/>
      <c r="M9664" s="58">
        <f>K9664-L9664</f>
        <v>307.05000000000052</v>
      </c>
      <c r="N9664" s="166"/>
      <c r="O9664" s="58"/>
      <c r="P9664" s="58"/>
      <c r="Q9664" s="58"/>
      <c r="R9664" s="58"/>
      <c r="S9664" s="58"/>
      <c r="T9664" s="220"/>
      <c r="U9664" s="88"/>
      <c r="V9664" s="56"/>
      <c r="W9664" s="57" t="s">
        <v>1272</v>
      </c>
      <c r="X9664" s="53"/>
      <c r="Y9664" s="91" t="s">
        <v>35</v>
      </c>
      <c r="Z9664" s="136">
        <f>AD9664/AC9664</f>
        <v>86.136843294117654</v>
      </c>
      <c r="AA9664" s="58"/>
      <c r="AB9664" s="53">
        <f>AD9664/AC9664</f>
        <v>86.136843294117654</v>
      </c>
      <c r="AC9664" s="53">
        <f>M9664+$AE$10</f>
        <v>307.05000000000052</v>
      </c>
      <c r="AD9664" s="54">
        <f>SUM(AD9665:AD9673)</f>
        <v>26448.317733458869</v>
      </c>
      <c r="AE9664" s="184">
        <f>SUMIFS($AD$37:$AD$12971,$V$37:$V$12971,$V9664,$X$37:$X$12971,AE$13)</f>
        <v>0</v>
      </c>
      <c r="AF9664" s="185">
        <f>SUMIFS($AD$37:$AD$12971,$V$37:$V$12971,$V9664,$X$37:$X$12971,AF$13)</f>
        <v>0</v>
      </c>
      <c r="AG9664" s="185">
        <f>SUMIFS($AD$37:$AD$12971,$V$37:$V$12971,$V9664,$X$37:$X$12971,AG$13)</f>
        <v>0</v>
      </c>
      <c r="AH9664" s="187">
        <f>SUMIFS($AD$37:$AD$12971,$V$37:$V$12971,$V9664,$X$37:$X$12971,AH$13)</f>
        <v>0</v>
      </c>
      <c r="AI9664" s="161">
        <f t="shared" ref="AI9664" si="6482">SUM(AE9664:AH9664)</f>
        <v>0</v>
      </c>
      <c r="AK9664" s="172"/>
    </row>
    <row r="9665" spans="1:41" s="102" customFormat="1" ht="19.899999999999999" customHeight="1" x14ac:dyDescent="0.25">
      <c r="A9665" s="45"/>
      <c r="B9665" s="59"/>
      <c r="C9665" s="137"/>
      <c r="D9665" s="59"/>
      <c r="E9665" s="116"/>
      <c r="F9665" s="120"/>
      <c r="G9665" s="120"/>
      <c r="H9665" s="120"/>
      <c r="I9665" s="60"/>
      <c r="J9665" s="116"/>
      <c r="K9665" s="213"/>
      <c r="L9665" s="120"/>
      <c r="M9665" s="120"/>
      <c r="N9665" s="167"/>
      <c r="O9665" s="120"/>
      <c r="P9665" s="120"/>
      <c r="Q9665" s="120"/>
      <c r="R9665" s="120"/>
      <c r="S9665" s="120"/>
      <c r="T9665" s="221"/>
      <c r="U9665" s="89"/>
      <c r="V9665" s="61"/>
      <c r="W9665" s="92" t="s">
        <v>1273</v>
      </c>
      <c r="X9665" s="93" t="s">
        <v>30</v>
      </c>
      <c r="Y9665" s="93" t="s">
        <v>66</v>
      </c>
      <c r="Z9665" s="134">
        <f>VLOOKUP(W9665,Sheet2!$B:$D,3,FALSE)</f>
        <v>10</v>
      </c>
      <c r="AA9665" s="93">
        <f>1/((2.2*2.2*1)-(1*1*1))</f>
        <v>0.26041666666666663</v>
      </c>
      <c r="AB9665" s="93">
        <f>AD9665/AC9664</f>
        <v>38.400000000000006</v>
      </c>
      <c r="AC9665" s="93">
        <f>AC9664/AA9665</f>
        <v>1179.0720000000022</v>
      </c>
      <c r="AD9665" s="94">
        <f t="shared" ref="AD9665:AD9667" si="6483">AC9665*Z9665</f>
        <v>11790.720000000021</v>
      </c>
      <c r="AE9665" s="190"/>
      <c r="AF9665" s="191"/>
      <c r="AG9665" s="191"/>
      <c r="AH9665" s="191"/>
      <c r="AI9665" s="186"/>
      <c r="AK9665" s="171"/>
    </row>
    <row r="9666" spans="1:41" s="102" customFormat="1" ht="19.899999999999999" customHeight="1" x14ac:dyDescent="0.25">
      <c r="A9666" s="45"/>
      <c r="B9666" s="59"/>
      <c r="C9666" s="137"/>
      <c r="D9666" s="59"/>
      <c r="E9666" s="116"/>
      <c r="F9666" s="120"/>
      <c r="G9666" s="120"/>
      <c r="H9666" s="120"/>
      <c r="I9666" s="60"/>
      <c r="J9666" s="116"/>
      <c r="K9666" s="213"/>
      <c r="L9666" s="120"/>
      <c r="M9666" s="120"/>
      <c r="N9666" s="167"/>
      <c r="O9666" s="120"/>
      <c r="P9666" s="120"/>
      <c r="Q9666" s="120"/>
      <c r="R9666" s="120"/>
      <c r="S9666" s="120"/>
      <c r="T9666" s="221"/>
      <c r="U9666" s="89"/>
      <c r="V9666" s="61"/>
      <c r="W9666" s="92" t="s">
        <v>134</v>
      </c>
      <c r="X9666" s="93" t="s">
        <v>29</v>
      </c>
      <c r="Y9666" s="93" t="s">
        <v>93</v>
      </c>
      <c r="Z9666" s="134">
        <f>VLOOKUP(W9666,Sheet2!$B:$D,3,FALSE)</f>
        <v>65.599999999999994</v>
      </c>
      <c r="AA9666" s="93">
        <f>100/((2.2*2.2*1)-(1*1*1))</f>
        <v>26.041666666666661</v>
      </c>
      <c r="AB9666" s="93">
        <f t="shared" ref="AB9666" si="6484">AD9666/AC9664</f>
        <v>2.5190400000000004</v>
      </c>
      <c r="AC9666" s="93">
        <f>AC9664/AA9666</f>
        <v>11.790720000000023</v>
      </c>
      <c r="AD9666" s="94">
        <f t="shared" si="6483"/>
        <v>773.47123200000146</v>
      </c>
      <c r="AE9666" s="190"/>
      <c r="AF9666" s="191"/>
      <c r="AG9666" s="191"/>
      <c r="AH9666" s="191"/>
      <c r="AI9666" s="186"/>
      <c r="AK9666" s="171"/>
    </row>
    <row r="9667" spans="1:41" s="102" customFormat="1" ht="19.899999999999999" customHeight="1" x14ac:dyDescent="0.25">
      <c r="A9667" s="45"/>
      <c r="B9667" s="59"/>
      <c r="C9667" s="137"/>
      <c r="D9667" s="59"/>
      <c r="E9667" s="116"/>
      <c r="F9667" s="120"/>
      <c r="G9667" s="120"/>
      <c r="H9667" s="120"/>
      <c r="I9667" s="60"/>
      <c r="J9667" s="116"/>
      <c r="K9667" s="213"/>
      <c r="L9667" s="120"/>
      <c r="M9667" s="120"/>
      <c r="N9667" s="167"/>
      <c r="O9667" s="120"/>
      <c r="P9667" s="120"/>
      <c r="Q9667" s="120"/>
      <c r="R9667" s="120"/>
      <c r="S9667" s="120"/>
      <c r="T9667" s="221"/>
      <c r="U9667" s="89"/>
      <c r="V9667" s="61"/>
      <c r="W9667" s="92" t="s">
        <v>65</v>
      </c>
      <c r="X9667" s="93" t="s">
        <v>30</v>
      </c>
      <c r="Y9667" s="93" t="s">
        <v>1011</v>
      </c>
      <c r="Z9667" s="134">
        <f>VLOOKUP(W9667,Sheet2!$B:$D,3,FALSE)</f>
        <v>1.76</v>
      </c>
      <c r="AA9667" s="93">
        <f>AA9666/9</f>
        <v>2.8935185185185177</v>
      </c>
      <c r="AB9667" s="93">
        <f>AD9667/AC9664</f>
        <v>0.60825600000000013</v>
      </c>
      <c r="AC9667" s="93">
        <f>AC9664/AA9667</f>
        <v>106.11648000000021</v>
      </c>
      <c r="AD9667" s="94">
        <f t="shared" si="6483"/>
        <v>186.76500480000036</v>
      </c>
      <c r="AE9667" s="190"/>
      <c r="AF9667" s="191"/>
      <c r="AG9667" s="191"/>
      <c r="AH9667" s="191"/>
      <c r="AI9667" s="186"/>
      <c r="AK9667" s="171"/>
    </row>
    <row r="9668" spans="1:41" s="102" customFormat="1" ht="19.899999999999999" customHeight="1" x14ac:dyDescent="0.25">
      <c r="A9668" s="45"/>
      <c r="B9668" s="59"/>
      <c r="C9668" s="137"/>
      <c r="D9668" s="59"/>
      <c r="E9668" s="116"/>
      <c r="F9668" s="120"/>
      <c r="G9668" s="120"/>
      <c r="H9668" s="120"/>
      <c r="I9668" s="60"/>
      <c r="J9668" s="116"/>
      <c r="K9668" s="213"/>
      <c r="L9668" s="120"/>
      <c r="M9668" s="120"/>
      <c r="N9668" s="167"/>
      <c r="O9668" s="120"/>
      <c r="P9668" s="120"/>
      <c r="Q9668" s="120"/>
      <c r="R9668" s="120"/>
      <c r="S9668" s="120"/>
      <c r="T9668" s="221"/>
      <c r="U9668" s="89"/>
      <c r="V9668" s="61"/>
      <c r="W9668" s="92" t="s">
        <v>161</v>
      </c>
      <c r="X9668" s="93" t="s">
        <v>29</v>
      </c>
      <c r="Y9668" s="93" t="s">
        <v>93</v>
      </c>
      <c r="Z9668" s="134">
        <f>VLOOKUP(W9668,Sheet2!$B:$D,3,FALSE)</f>
        <v>48</v>
      </c>
      <c r="AA9668" s="93">
        <f>(16*0.85*1.5)/((2.2*2.2*1)-(1*1*1))</f>
        <v>5.3124999999999982</v>
      </c>
      <c r="AB9668" s="93">
        <f>AD9668/AC9664</f>
        <v>9.0352941176470623</v>
      </c>
      <c r="AC9668" s="93">
        <f>AC9664/AA9668</f>
        <v>57.79764705882365</v>
      </c>
      <c r="AD9668" s="94">
        <f>AC9668*Z9668</f>
        <v>2774.2870588235351</v>
      </c>
      <c r="AE9668" s="190"/>
      <c r="AF9668" s="191"/>
      <c r="AG9668" s="191"/>
      <c r="AH9668" s="191"/>
      <c r="AI9668" s="186"/>
      <c r="AK9668" s="171"/>
    </row>
    <row r="9669" spans="1:41" s="102" customFormat="1" ht="19.899999999999999" customHeight="1" x14ac:dyDescent="0.25">
      <c r="A9669" s="45"/>
      <c r="B9669" s="59"/>
      <c r="C9669" s="137"/>
      <c r="D9669" s="59"/>
      <c r="E9669" s="116"/>
      <c r="F9669" s="120"/>
      <c r="G9669" s="120"/>
      <c r="H9669" s="120"/>
      <c r="I9669" s="60"/>
      <c r="J9669" s="116"/>
      <c r="K9669" s="213"/>
      <c r="L9669" s="120"/>
      <c r="M9669" s="120"/>
      <c r="N9669" s="167"/>
      <c r="O9669" s="120"/>
      <c r="P9669" s="120"/>
      <c r="Q9669" s="120"/>
      <c r="R9669" s="120"/>
      <c r="S9669" s="120"/>
      <c r="T9669" s="221"/>
      <c r="U9669" s="89"/>
      <c r="V9669" s="61"/>
      <c r="W9669" s="92" t="s">
        <v>65</v>
      </c>
      <c r="X9669" s="93" t="s">
        <v>30</v>
      </c>
      <c r="Y9669" s="93" t="s">
        <v>1011</v>
      </c>
      <c r="Z9669" s="134">
        <f>VLOOKUP(W9669,Sheet2!$B:$D,3,FALSE)</f>
        <v>1.76</v>
      </c>
      <c r="AA9669" s="93">
        <f>AA9668/10</f>
        <v>0.53124999999999978</v>
      </c>
      <c r="AB9669" s="93">
        <f>AD9669/AC9664</f>
        <v>3.3129411764705896</v>
      </c>
      <c r="AC9669" s="93">
        <f>AC9664/AA9669</f>
        <v>577.97647058823657</v>
      </c>
      <c r="AD9669" s="94">
        <f>AC9669*Z9669</f>
        <v>1017.2385882352963</v>
      </c>
      <c r="AE9669" s="190"/>
      <c r="AF9669" s="191"/>
      <c r="AG9669" s="191"/>
      <c r="AH9669" s="191"/>
      <c r="AI9669" s="186"/>
      <c r="AK9669" s="171"/>
    </row>
    <row r="9670" spans="1:41" s="102" customFormat="1" ht="19.899999999999999" customHeight="1" x14ac:dyDescent="0.25">
      <c r="A9670" s="45"/>
      <c r="B9670" s="59"/>
      <c r="C9670" s="137"/>
      <c r="D9670" s="59"/>
      <c r="E9670" s="116"/>
      <c r="F9670" s="120"/>
      <c r="G9670" s="120"/>
      <c r="H9670" s="120"/>
      <c r="I9670" s="60"/>
      <c r="J9670" s="116"/>
      <c r="K9670" s="213"/>
      <c r="L9670" s="120"/>
      <c r="M9670" s="120"/>
      <c r="N9670" s="167"/>
      <c r="O9670" s="120"/>
      <c r="P9670" s="120"/>
      <c r="Q9670" s="120"/>
      <c r="R9670" s="120"/>
      <c r="S9670" s="120"/>
      <c r="T9670" s="221"/>
      <c r="U9670" s="89"/>
      <c r="V9670" s="61"/>
      <c r="W9670" s="92" t="s">
        <v>173</v>
      </c>
      <c r="X9670" s="93" t="s">
        <v>29</v>
      </c>
      <c r="Y9670" s="93" t="s">
        <v>93</v>
      </c>
      <c r="Z9670" s="134">
        <f>VLOOKUP(W9670,Sheet2!$B:$D,3,FALSE)</f>
        <v>36</v>
      </c>
      <c r="AA9670" s="93">
        <f>50/((2.2*2.2*1)-(1*1*1))</f>
        <v>13.02083333333333</v>
      </c>
      <c r="AB9670" s="93">
        <f>AD9670/AC9664</f>
        <v>2.7648000000000006</v>
      </c>
      <c r="AC9670" s="93">
        <f>AC9664/AA9670</f>
        <v>23.581440000000047</v>
      </c>
      <c r="AD9670" s="94">
        <f>AC9670*Z9670</f>
        <v>848.93184000000167</v>
      </c>
      <c r="AE9670" s="190"/>
      <c r="AF9670" s="191"/>
      <c r="AG9670" s="191"/>
      <c r="AH9670" s="191"/>
      <c r="AI9670" s="186"/>
      <c r="AK9670" s="171"/>
    </row>
    <row r="9671" spans="1:41" s="102" customFormat="1" ht="19.899999999999999" customHeight="1" x14ac:dyDescent="0.25">
      <c r="A9671" s="45"/>
      <c r="B9671" s="59"/>
      <c r="C9671" s="137"/>
      <c r="D9671" s="59"/>
      <c r="E9671" s="116"/>
      <c r="F9671" s="120"/>
      <c r="G9671" s="120"/>
      <c r="H9671" s="120"/>
      <c r="I9671" s="60"/>
      <c r="J9671" s="116"/>
      <c r="K9671" s="213"/>
      <c r="L9671" s="120"/>
      <c r="M9671" s="120"/>
      <c r="N9671" s="167"/>
      <c r="O9671" s="120"/>
      <c r="P9671" s="120"/>
      <c r="Q9671" s="120"/>
      <c r="R9671" s="120"/>
      <c r="S9671" s="120"/>
      <c r="T9671" s="221"/>
      <c r="U9671" s="89"/>
      <c r="V9671" s="61"/>
      <c r="W9671" s="92" t="s">
        <v>65</v>
      </c>
      <c r="X9671" s="93" t="s">
        <v>30</v>
      </c>
      <c r="Y9671" s="93" t="s">
        <v>1011</v>
      </c>
      <c r="Z9671" s="134">
        <f>VLOOKUP(W9671,Sheet2!$B:$D,3,FALSE)</f>
        <v>1.76</v>
      </c>
      <c r="AA9671" s="93">
        <f>AA9670/9</f>
        <v>1.4467592592592589</v>
      </c>
      <c r="AB9671" s="93">
        <f>AD9671/AC9664</f>
        <v>1.2165120000000003</v>
      </c>
      <c r="AC9671" s="93">
        <f>AC9664/AA9671</f>
        <v>212.23296000000042</v>
      </c>
      <c r="AD9671" s="94">
        <f>AC9671*Z9671</f>
        <v>373.53000960000071</v>
      </c>
      <c r="AE9671" s="190"/>
      <c r="AF9671" s="191"/>
      <c r="AG9671" s="191"/>
      <c r="AH9671" s="191"/>
      <c r="AI9671" s="186"/>
      <c r="AK9671" s="171"/>
    </row>
    <row r="9672" spans="1:41" s="102" customFormat="1" ht="19.899999999999999" customHeight="1" x14ac:dyDescent="0.25">
      <c r="A9672" s="45"/>
      <c r="B9672" s="59"/>
      <c r="C9672" s="137"/>
      <c r="D9672" s="59"/>
      <c r="E9672" s="116"/>
      <c r="F9672" s="120"/>
      <c r="G9672" s="120"/>
      <c r="H9672" s="120"/>
      <c r="I9672" s="60"/>
      <c r="J9672" s="116"/>
      <c r="K9672" s="213"/>
      <c r="L9672" s="120"/>
      <c r="M9672" s="120"/>
      <c r="N9672" s="167"/>
      <c r="O9672" s="120"/>
      <c r="P9672" s="120"/>
      <c r="Q9672" s="120"/>
      <c r="R9672" s="120"/>
      <c r="S9672" s="120"/>
      <c r="T9672" s="221"/>
      <c r="U9672" s="89"/>
      <c r="V9672" s="61"/>
      <c r="W9672" s="92" t="s">
        <v>1030</v>
      </c>
      <c r="X9672" s="93" t="s">
        <v>29</v>
      </c>
      <c r="Y9672" s="93" t="s">
        <v>93</v>
      </c>
      <c r="Z9672" s="134">
        <f>VLOOKUP(W9672,Sheet2!$B:$D,3,FALSE)</f>
        <v>23</v>
      </c>
      <c r="AA9672" s="93">
        <v>1</v>
      </c>
      <c r="AB9672" s="93">
        <f>AD9672/AC9664</f>
        <v>23</v>
      </c>
      <c r="AC9672" s="93">
        <f>AC9664/AA9672</f>
        <v>307.05000000000052</v>
      </c>
      <c r="AD9672" s="94">
        <f t="shared" ref="AD9672:AD9673" si="6485">AC9672*Z9672</f>
        <v>7062.1500000000124</v>
      </c>
      <c r="AE9672" s="190"/>
      <c r="AF9672" s="191"/>
      <c r="AG9672" s="191"/>
      <c r="AH9672" s="191"/>
      <c r="AI9672" s="186"/>
      <c r="AK9672" s="171"/>
    </row>
    <row r="9673" spans="1:41" s="102" customFormat="1" ht="19.899999999999999" customHeight="1" x14ac:dyDescent="0.25">
      <c r="A9673" s="45"/>
      <c r="B9673" s="59"/>
      <c r="C9673" s="137"/>
      <c r="D9673" s="59"/>
      <c r="E9673" s="116"/>
      <c r="F9673" s="120"/>
      <c r="G9673" s="120"/>
      <c r="H9673" s="120"/>
      <c r="I9673" s="60"/>
      <c r="J9673" s="116"/>
      <c r="K9673" s="213"/>
      <c r="L9673" s="120"/>
      <c r="M9673" s="120"/>
      <c r="N9673" s="167"/>
      <c r="O9673" s="120"/>
      <c r="P9673" s="120"/>
      <c r="Q9673" s="120"/>
      <c r="R9673" s="120"/>
      <c r="S9673" s="120"/>
      <c r="T9673" s="221"/>
      <c r="U9673" s="89"/>
      <c r="V9673" s="61"/>
      <c r="W9673" s="92" t="s">
        <v>65</v>
      </c>
      <c r="X9673" s="93" t="s">
        <v>30</v>
      </c>
      <c r="Y9673" s="93" t="s">
        <v>1011</v>
      </c>
      <c r="Z9673" s="134">
        <f>VLOOKUP(W9673,Sheet2!$B:$D,3,FALSE)</f>
        <v>1.76</v>
      </c>
      <c r="AA9673" s="93">
        <f>AA9672/3</f>
        <v>0.33333333333333331</v>
      </c>
      <c r="AB9673" s="93">
        <f>AD9673/AC9664</f>
        <v>5.2799999999999994</v>
      </c>
      <c r="AC9673" s="93">
        <f>AC9664/AA9673</f>
        <v>921.15000000000157</v>
      </c>
      <c r="AD9673" s="94">
        <f t="shared" si="6485"/>
        <v>1621.2240000000027</v>
      </c>
      <c r="AE9673" s="190"/>
      <c r="AF9673" s="191"/>
      <c r="AG9673" s="191"/>
      <c r="AH9673" s="191"/>
      <c r="AI9673" s="186"/>
      <c r="AK9673" s="171"/>
    </row>
    <row r="9674" spans="1:41" s="102" customFormat="1" ht="30" x14ac:dyDescent="0.25">
      <c r="A9674" s="45" t="s">
        <v>703</v>
      </c>
      <c r="B9674" s="276"/>
      <c r="C9674" s="286" t="s">
        <v>848</v>
      </c>
      <c r="D9674" s="59"/>
      <c r="E9674" s="116"/>
      <c r="F9674" s="120">
        <v>0</v>
      </c>
      <c r="G9674" s="120">
        <f t="shared" si="5545"/>
        <v>0</v>
      </c>
      <c r="H9674" s="120">
        <f t="shared" si="5546"/>
        <v>0</v>
      </c>
      <c r="I9674" s="60">
        <f t="shared" si="5547"/>
        <v>0</v>
      </c>
      <c r="J9674" s="116">
        <f t="shared" si="5548"/>
        <v>0</v>
      </c>
      <c r="K9674" s="213">
        <f t="shared" si="5549"/>
        <v>0</v>
      </c>
      <c r="L9674" s="120"/>
      <c r="M9674" s="120">
        <f t="shared" si="5550"/>
        <v>0</v>
      </c>
      <c r="N9674" s="167">
        <f t="shared" si="5551"/>
        <v>0</v>
      </c>
      <c r="O9674" s="120">
        <f t="shared" si="5552"/>
        <v>0</v>
      </c>
      <c r="P9674" s="120">
        <f t="shared" si="5553"/>
        <v>0</v>
      </c>
      <c r="Q9674" s="120">
        <f t="shared" si="5554"/>
        <v>0</v>
      </c>
      <c r="R9674" s="120">
        <f t="shared" si="5555"/>
        <v>0</v>
      </c>
      <c r="S9674" s="120"/>
      <c r="T9674" s="221">
        <f t="shared" si="5556"/>
        <v>0</v>
      </c>
      <c r="U9674" s="89"/>
      <c r="V9674" s="61"/>
      <c r="W9674" s="92"/>
      <c r="X9674" s="38"/>
      <c r="Y9674" s="93"/>
      <c r="Z9674" s="134"/>
      <c r="AA9674" s="93"/>
      <c r="AB9674" s="93"/>
      <c r="AC9674" s="93"/>
      <c r="AD9674" s="94"/>
      <c r="AE9674" s="190"/>
      <c r="AF9674" s="191"/>
      <c r="AG9674" s="191"/>
      <c r="AH9674" s="191"/>
      <c r="AI9674" s="186"/>
      <c r="AK9674" s="171"/>
    </row>
    <row r="9675" spans="1:41" s="102" customFormat="1" ht="30" x14ac:dyDescent="0.25">
      <c r="A9675" s="45" t="s">
        <v>703</v>
      </c>
      <c r="B9675" s="276"/>
      <c r="C9675" s="286" t="s">
        <v>849</v>
      </c>
      <c r="D9675" s="59" t="s">
        <v>215</v>
      </c>
      <c r="E9675" s="116"/>
      <c r="F9675" s="120">
        <v>0</v>
      </c>
      <c r="G9675" s="120">
        <f t="shared" si="5545"/>
        <v>0</v>
      </c>
      <c r="H9675" s="120">
        <f t="shared" si="5546"/>
        <v>0</v>
      </c>
      <c r="I9675" s="60">
        <f t="shared" si="5547"/>
        <v>0</v>
      </c>
      <c r="J9675" s="116">
        <f t="shared" si="5548"/>
        <v>0</v>
      </c>
      <c r="K9675" s="213">
        <f t="shared" si="5549"/>
        <v>0</v>
      </c>
      <c r="L9675" s="120"/>
      <c r="M9675" s="120">
        <f t="shared" si="5550"/>
        <v>0</v>
      </c>
      <c r="N9675" s="167">
        <f t="shared" si="5551"/>
        <v>0</v>
      </c>
      <c r="O9675" s="120">
        <f t="shared" si="5552"/>
        <v>0</v>
      </c>
      <c r="P9675" s="120">
        <f t="shared" si="5553"/>
        <v>0</v>
      </c>
      <c r="Q9675" s="120">
        <f t="shared" si="5554"/>
        <v>0</v>
      </c>
      <c r="R9675" s="120">
        <f t="shared" si="5555"/>
        <v>0</v>
      </c>
      <c r="S9675" s="120"/>
      <c r="T9675" s="221">
        <f t="shared" si="5556"/>
        <v>0</v>
      </c>
      <c r="U9675" s="89"/>
      <c r="V9675" s="61"/>
      <c r="W9675" s="92"/>
      <c r="X9675" s="38"/>
      <c r="Y9675" s="93"/>
      <c r="Z9675" s="134"/>
      <c r="AA9675" s="93"/>
      <c r="AB9675" s="93"/>
      <c r="AC9675" s="93"/>
      <c r="AD9675" s="94"/>
      <c r="AE9675" s="190"/>
      <c r="AF9675" s="191"/>
      <c r="AG9675" s="191"/>
      <c r="AH9675" s="191"/>
      <c r="AI9675" s="186"/>
      <c r="AK9675" s="171"/>
    </row>
    <row r="9676" spans="1:41" ht="51" x14ac:dyDescent="0.25">
      <c r="A9676" s="277" t="s">
        <v>703</v>
      </c>
      <c r="B9676" s="278"/>
      <c r="C9676" s="64" t="s">
        <v>850</v>
      </c>
      <c r="D9676" s="46" t="s">
        <v>215</v>
      </c>
      <c r="E9676" s="114">
        <v>70.8</v>
      </c>
      <c r="F9676" s="44">
        <v>19456</v>
      </c>
      <c r="G9676" s="44">
        <f t="shared" si="5545"/>
        <v>1377484.8</v>
      </c>
      <c r="H9676" s="44">
        <f t="shared" si="5546"/>
        <v>13368.308552470591</v>
      </c>
      <c r="I9676" s="43">
        <f t="shared" si="5547"/>
        <v>946476.24551491777</v>
      </c>
      <c r="J9676" s="112">
        <f t="shared" si="5548"/>
        <v>70.8</v>
      </c>
      <c r="K9676" s="211">
        <f t="shared" si="5549"/>
        <v>70.8</v>
      </c>
      <c r="L9676" s="44"/>
      <c r="M9676" s="44">
        <f t="shared" si="5550"/>
        <v>70.8</v>
      </c>
      <c r="N9676" s="173">
        <f t="shared" si="5551"/>
        <v>1</v>
      </c>
      <c r="O9676" s="44">
        <f t="shared" si="5552"/>
        <v>19456</v>
      </c>
      <c r="P9676" s="44">
        <f t="shared" si="5553"/>
        <v>1377484.8</v>
      </c>
      <c r="Q9676" s="44">
        <f t="shared" si="5554"/>
        <v>13368.308552470591</v>
      </c>
      <c r="R9676" s="44">
        <f t="shared" si="5555"/>
        <v>946476.24551491777</v>
      </c>
      <c r="S9676" s="123"/>
      <c r="T9676" s="219">
        <f t="shared" si="5556"/>
        <v>946476.24551491777</v>
      </c>
      <c r="U9676" s="87"/>
      <c r="V9676" s="47"/>
      <c r="W9676" s="48"/>
      <c r="X9676" s="48"/>
      <c r="Y9676" s="48"/>
      <c r="Z9676" s="135"/>
      <c r="AA9676" s="49"/>
      <c r="AB9676" s="50">
        <f t="shared" si="5557"/>
        <v>13368.308552470591</v>
      </c>
      <c r="AC9676" s="42">
        <f t="shared" si="5558"/>
        <v>70.8</v>
      </c>
      <c r="AD9676" s="90">
        <f>AD9677+AD9682+AD9694+AD9697</f>
        <v>946476.24551491777</v>
      </c>
      <c r="AE9676" s="188">
        <f t="shared" ref="AE9676:AH9676" si="6486">AE9677+AE9682+AE9694+AE9697</f>
        <v>0</v>
      </c>
      <c r="AF9676" s="189">
        <f t="shared" si="6486"/>
        <v>0</v>
      </c>
      <c r="AG9676" s="189">
        <f t="shared" si="6486"/>
        <v>0</v>
      </c>
      <c r="AH9676" s="189">
        <f t="shared" si="6486"/>
        <v>0</v>
      </c>
      <c r="AI9676" s="161">
        <f t="shared" ref="AI9676" si="6487">SUM(AE9676:AH9676)</f>
        <v>0</v>
      </c>
      <c r="AK9676" s="169">
        <v>5</v>
      </c>
      <c r="AO9676" s="19" t="s">
        <v>63</v>
      </c>
    </row>
    <row r="9677" spans="1:41" s="103" customFormat="1" ht="19.899999999999999" customHeight="1" x14ac:dyDescent="0.25">
      <c r="A9677" s="51"/>
      <c r="B9677" s="52"/>
      <c r="C9677" s="165"/>
      <c r="D9677" s="52"/>
      <c r="E9677" s="115"/>
      <c r="F9677" s="58"/>
      <c r="G9677" s="58"/>
      <c r="H9677" s="58"/>
      <c r="I9677" s="55"/>
      <c r="J9677" s="113">
        <f>J9676</f>
        <v>70.8</v>
      </c>
      <c r="K9677" s="212">
        <f>K9676</f>
        <v>70.8</v>
      </c>
      <c r="L9677" s="58"/>
      <c r="M9677" s="58">
        <f>K9677-L9677</f>
        <v>70.8</v>
      </c>
      <c r="N9677" s="166"/>
      <c r="O9677" s="58"/>
      <c r="P9677" s="58"/>
      <c r="Q9677" s="58"/>
      <c r="R9677" s="58"/>
      <c r="S9677" s="58"/>
      <c r="T9677" s="220"/>
      <c r="U9677" s="88"/>
      <c r="V9677" s="56"/>
      <c r="W9677" s="57" t="s">
        <v>1647</v>
      </c>
      <c r="X9677" s="53"/>
      <c r="Y9677" s="91" t="s">
        <v>35</v>
      </c>
      <c r="Z9677" s="136">
        <f>AD9677/AC9677</f>
        <v>147.8116705882353</v>
      </c>
      <c r="AA9677" s="58"/>
      <c r="AB9677" s="53">
        <f>AD9677/AC9677</f>
        <v>147.8116705882353</v>
      </c>
      <c r="AC9677" s="53">
        <f>M9677+$AE$10</f>
        <v>70.8</v>
      </c>
      <c r="AD9677" s="54">
        <f>SUM(AD9678:AD9681)</f>
        <v>10465.06627764706</v>
      </c>
      <c r="AE9677" s="184">
        <f>SUMIFS($AD$37:$AD$12971,$V$37:$V$12971,$V9677,$X$37:$X$12971,AE$13)</f>
        <v>0</v>
      </c>
      <c r="AF9677" s="185">
        <f>SUMIFS($AD$37:$AD$12971,$V$37:$V$12971,$V9677,$X$37:$X$12971,AF$13)</f>
        <v>0</v>
      </c>
      <c r="AG9677" s="185">
        <f>SUMIFS($AD$37:$AD$12971,$V$37:$V$12971,$V9677,$X$37:$X$12971,AG$13)</f>
        <v>0</v>
      </c>
      <c r="AH9677" s="187">
        <f>SUMIFS($AD$37:$AD$12971,$V$37:$V$12971,$V9677,$X$37:$X$12971,AH$13)</f>
        <v>0</v>
      </c>
      <c r="AI9677" s="161">
        <f t="shared" ref="AI9677" si="6488">SUM(AE9677:AH9677)</f>
        <v>0</v>
      </c>
      <c r="AK9677" s="172"/>
    </row>
    <row r="9678" spans="1:41" s="102" customFormat="1" ht="19.899999999999999" customHeight="1" x14ac:dyDescent="0.25">
      <c r="A9678" s="45"/>
      <c r="B9678" s="59"/>
      <c r="C9678" s="137"/>
      <c r="D9678" s="59"/>
      <c r="E9678" s="116"/>
      <c r="F9678" s="120"/>
      <c r="G9678" s="120"/>
      <c r="H9678" s="120"/>
      <c r="I9678" s="60"/>
      <c r="J9678" s="116"/>
      <c r="K9678" s="213"/>
      <c r="L9678" s="120"/>
      <c r="M9678" s="120"/>
      <c r="N9678" s="167"/>
      <c r="O9678" s="120"/>
      <c r="P9678" s="120"/>
      <c r="Q9678" s="120"/>
      <c r="R9678" s="120"/>
      <c r="S9678" s="120"/>
      <c r="T9678" s="221"/>
      <c r="U9678" s="89"/>
      <c r="V9678" s="61"/>
      <c r="W9678" s="92" t="s">
        <v>129</v>
      </c>
      <c r="X9678" s="93" t="s">
        <v>29</v>
      </c>
      <c r="Y9678" s="93" t="s">
        <v>93</v>
      </c>
      <c r="Z9678" s="134">
        <f>VLOOKUP(W9678,Sheet2!$B:$D,3,FALSE)</f>
        <v>56</v>
      </c>
      <c r="AA9678" s="93">
        <f>100/(3.5*3.5*3)</f>
        <v>2.7210884353741496</v>
      </c>
      <c r="AB9678" s="93">
        <f t="shared" ref="AB9678" si="6489">AD9678/AC9677</f>
        <v>20.58</v>
      </c>
      <c r="AC9678" s="93">
        <f>AC9677/AA9678</f>
        <v>26.018999999999998</v>
      </c>
      <c r="AD9678" s="94">
        <f t="shared" ref="AD9678:AD9679" si="6490">AC9678*Z9678</f>
        <v>1457.0639999999999</v>
      </c>
      <c r="AE9678" s="190"/>
      <c r="AF9678" s="191"/>
      <c r="AG9678" s="191"/>
      <c r="AH9678" s="191"/>
      <c r="AI9678" s="186"/>
      <c r="AK9678" s="171"/>
    </row>
    <row r="9679" spans="1:41" s="102" customFormat="1" ht="19.899999999999999" customHeight="1" x14ac:dyDescent="0.25">
      <c r="A9679" s="45"/>
      <c r="B9679" s="59"/>
      <c r="C9679" s="137"/>
      <c r="D9679" s="59"/>
      <c r="E9679" s="116"/>
      <c r="F9679" s="120"/>
      <c r="G9679" s="120"/>
      <c r="H9679" s="120"/>
      <c r="I9679" s="60"/>
      <c r="J9679" s="116"/>
      <c r="K9679" s="213"/>
      <c r="L9679" s="120"/>
      <c r="M9679" s="120"/>
      <c r="N9679" s="167"/>
      <c r="O9679" s="120"/>
      <c r="P9679" s="120"/>
      <c r="Q9679" s="120"/>
      <c r="R9679" s="120"/>
      <c r="S9679" s="120"/>
      <c r="T9679" s="221"/>
      <c r="U9679" s="89"/>
      <c r="V9679" s="61"/>
      <c r="W9679" s="92" t="s">
        <v>65</v>
      </c>
      <c r="X9679" s="93" t="s">
        <v>30</v>
      </c>
      <c r="Y9679" s="93" t="s">
        <v>1011</v>
      </c>
      <c r="Z9679" s="134">
        <f>VLOOKUP(W9679,Sheet2!$B:$D,3,FALSE)</f>
        <v>1.76</v>
      </c>
      <c r="AA9679" s="93">
        <f>AA9678/14</f>
        <v>0.1943634596695821</v>
      </c>
      <c r="AB9679" s="93">
        <f>AD9679/AC9677</f>
        <v>9.055200000000001</v>
      </c>
      <c r="AC9679" s="93">
        <f>AC9677/AA9679</f>
        <v>364.26600000000002</v>
      </c>
      <c r="AD9679" s="94">
        <f t="shared" si="6490"/>
        <v>641.10816</v>
      </c>
      <c r="AE9679" s="190"/>
      <c r="AF9679" s="191"/>
      <c r="AG9679" s="191"/>
      <c r="AH9679" s="191"/>
      <c r="AI9679" s="186"/>
      <c r="AK9679" s="171"/>
    </row>
    <row r="9680" spans="1:41" s="102" customFormat="1" ht="19.899999999999999" customHeight="1" x14ac:dyDescent="0.25">
      <c r="A9680" s="45"/>
      <c r="B9680" s="59"/>
      <c r="C9680" s="137"/>
      <c r="D9680" s="59"/>
      <c r="E9680" s="116"/>
      <c r="F9680" s="120"/>
      <c r="G9680" s="120"/>
      <c r="H9680" s="120"/>
      <c r="I9680" s="60"/>
      <c r="J9680" s="116"/>
      <c r="K9680" s="213"/>
      <c r="L9680" s="120"/>
      <c r="M9680" s="120"/>
      <c r="N9680" s="167"/>
      <c r="O9680" s="120"/>
      <c r="P9680" s="120"/>
      <c r="Q9680" s="120"/>
      <c r="R9680" s="120"/>
      <c r="S9680" s="120"/>
      <c r="T9680" s="221"/>
      <c r="U9680" s="89"/>
      <c r="V9680" s="61"/>
      <c r="W9680" s="92" t="s">
        <v>161</v>
      </c>
      <c r="X9680" s="93" t="s">
        <v>29</v>
      </c>
      <c r="Y9680" s="93" t="s">
        <v>93</v>
      </c>
      <c r="Z9680" s="134">
        <f>VLOOKUP(W9680,Sheet2!$B:$D,3,FALSE)</f>
        <v>48</v>
      </c>
      <c r="AA9680" s="93">
        <f>(16*0.85*1.5)/(3.5*3.5*3)</f>
        <v>0.55510204081632653</v>
      </c>
      <c r="AB9680" s="93">
        <f>AD9680/AC9677</f>
        <v>86.470588235294116</v>
      </c>
      <c r="AC9680" s="93">
        <f>AC9677/AA9680</f>
        <v>127.54411764705883</v>
      </c>
      <c r="AD9680" s="94">
        <f>AC9680*Z9680</f>
        <v>6122.1176470588234</v>
      </c>
      <c r="AE9680" s="190"/>
      <c r="AF9680" s="191"/>
      <c r="AG9680" s="191"/>
      <c r="AH9680" s="191"/>
      <c r="AI9680" s="186"/>
      <c r="AK9680" s="171"/>
    </row>
    <row r="9681" spans="1:37" s="102" customFormat="1" ht="19.899999999999999" customHeight="1" x14ac:dyDescent="0.25">
      <c r="A9681" s="45"/>
      <c r="B9681" s="59"/>
      <c r="C9681" s="137"/>
      <c r="D9681" s="59"/>
      <c r="E9681" s="116"/>
      <c r="F9681" s="120"/>
      <c r="G9681" s="120"/>
      <c r="H9681" s="120"/>
      <c r="I9681" s="60"/>
      <c r="J9681" s="116"/>
      <c r="K9681" s="213"/>
      <c r="L9681" s="120"/>
      <c r="M9681" s="120"/>
      <c r="N9681" s="167"/>
      <c r="O9681" s="120"/>
      <c r="P9681" s="120"/>
      <c r="Q9681" s="120"/>
      <c r="R9681" s="120"/>
      <c r="S9681" s="120"/>
      <c r="T9681" s="221"/>
      <c r="U9681" s="89"/>
      <c r="V9681" s="61"/>
      <c r="W9681" s="92" t="s">
        <v>65</v>
      </c>
      <c r="X9681" s="93" t="s">
        <v>30</v>
      </c>
      <c r="Y9681" s="93" t="s">
        <v>1011</v>
      </c>
      <c r="Z9681" s="134">
        <f>VLOOKUP(W9681,Sheet2!$B:$D,3,FALSE)</f>
        <v>1.76</v>
      </c>
      <c r="AA9681" s="93">
        <f>AA9680/10</f>
        <v>5.5510204081632653E-2</v>
      </c>
      <c r="AB9681" s="93">
        <f>AD9681/AC9677</f>
        <v>31.705882352941181</v>
      </c>
      <c r="AC9681" s="93">
        <f>AC9677/AA9681</f>
        <v>1275.4411764705883</v>
      </c>
      <c r="AD9681" s="94">
        <f>AC9681*Z9681</f>
        <v>2244.7764705882355</v>
      </c>
      <c r="AE9681" s="190"/>
      <c r="AF9681" s="191"/>
      <c r="AG9681" s="191"/>
      <c r="AH9681" s="191"/>
      <c r="AI9681" s="186"/>
      <c r="AK9681" s="171"/>
    </row>
    <row r="9682" spans="1:37" s="103" customFormat="1" ht="19.899999999999999" customHeight="1" x14ac:dyDescent="0.25">
      <c r="A9682" s="51"/>
      <c r="B9682" s="52"/>
      <c r="C9682" s="165"/>
      <c r="D9682" s="52"/>
      <c r="E9682" s="115"/>
      <c r="F9682" s="58"/>
      <c r="G9682" s="58"/>
      <c r="H9682" s="58"/>
      <c r="I9682" s="55"/>
      <c r="J9682" s="113">
        <f>J9676</f>
        <v>70.8</v>
      </c>
      <c r="K9682" s="212">
        <f>K9676</f>
        <v>70.8</v>
      </c>
      <c r="L9682" s="58"/>
      <c r="M9682" s="58">
        <f>K9682-L9682</f>
        <v>70.8</v>
      </c>
      <c r="N9682" s="166"/>
      <c r="O9682" s="58"/>
      <c r="P9682" s="58"/>
      <c r="Q9682" s="58"/>
      <c r="R9682" s="58"/>
      <c r="S9682" s="58"/>
      <c r="T9682" s="220"/>
      <c r="U9682" s="88"/>
      <c r="V9682" s="56"/>
      <c r="W9682" s="57" t="s">
        <v>1648</v>
      </c>
      <c r="X9682" s="53"/>
      <c r="Y9682" s="91" t="s">
        <v>35</v>
      </c>
      <c r="Z9682" s="136">
        <f>AD9682/AC9682</f>
        <v>10981.000000000004</v>
      </c>
      <c r="AA9682" s="58"/>
      <c r="AB9682" s="53">
        <f>AD9682/AC9682</f>
        <v>10981.000000000004</v>
      </c>
      <c r="AC9682" s="53">
        <f>M9682+$AE$10</f>
        <v>70.8</v>
      </c>
      <c r="AD9682" s="54">
        <f>SUM(AD9683:AD9693)</f>
        <v>777454.80000000016</v>
      </c>
      <c r="AE9682" s="184">
        <f>SUMIFS($AD$37:$AD$12971,$V$37:$V$12971,$V9682,$X$37:$X$12971,AE$13)</f>
        <v>0</v>
      </c>
      <c r="AF9682" s="185">
        <f>SUMIFS($AD$37:$AD$12971,$V$37:$V$12971,$V9682,$X$37:$X$12971,AF$13)</f>
        <v>0</v>
      </c>
      <c r="AG9682" s="185">
        <f>SUMIFS($AD$37:$AD$12971,$V$37:$V$12971,$V9682,$X$37:$X$12971,AG$13)</f>
        <v>0</v>
      </c>
      <c r="AH9682" s="187">
        <f>SUMIFS($AD$37:$AD$12971,$V$37:$V$12971,$V9682,$X$37:$X$12971,AH$13)</f>
        <v>0</v>
      </c>
      <c r="AI9682" s="161">
        <f t="shared" ref="AI9682" si="6491">SUM(AE9682:AH9682)</f>
        <v>0</v>
      </c>
      <c r="AK9682" s="172"/>
    </row>
    <row r="9683" spans="1:37" s="102" customFormat="1" ht="19.899999999999999" customHeight="1" x14ac:dyDescent="0.25">
      <c r="A9683" s="45"/>
      <c r="B9683" s="59"/>
      <c r="C9683" s="137"/>
      <c r="D9683" s="59"/>
      <c r="E9683" s="116"/>
      <c r="F9683" s="120"/>
      <c r="G9683" s="120"/>
      <c r="H9683" s="120"/>
      <c r="I9683" s="60"/>
      <c r="J9683" s="116"/>
      <c r="K9683" s="213"/>
      <c r="L9683" s="120"/>
      <c r="M9683" s="120"/>
      <c r="N9683" s="167"/>
      <c r="O9683" s="120"/>
      <c r="P9683" s="120"/>
      <c r="Q9683" s="120"/>
      <c r="R9683" s="120"/>
      <c r="S9683" s="120"/>
      <c r="T9683" s="221"/>
      <c r="U9683" s="89"/>
      <c r="V9683" s="61"/>
      <c r="W9683" s="92" t="s">
        <v>1032</v>
      </c>
      <c r="X9683" s="93" t="s">
        <v>30</v>
      </c>
      <c r="Y9683" s="93" t="s">
        <v>66</v>
      </c>
      <c r="Z9683" s="134">
        <f>VLOOKUP(W9683,Sheet2!$B:$D,3,FALSE)</f>
        <v>250</v>
      </c>
      <c r="AA9683" s="93">
        <f>1/(2.4*2.4*0.1)</f>
        <v>1.7361111111111112</v>
      </c>
      <c r="AB9683" s="93">
        <f>AD9683/AC9682</f>
        <v>144.00000000000003</v>
      </c>
      <c r="AC9683" s="93">
        <f>AC9682/AA9683</f>
        <v>40.780799999999999</v>
      </c>
      <c r="AD9683" s="94">
        <f t="shared" ref="AD9683:AD9685" si="6492">AC9683*Z9683</f>
        <v>10195.200000000001</v>
      </c>
      <c r="AE9683" s="190"/>
      <c r="AF9683" s="191"/>
      <c r="AG9683" s="191"/>
      <c r="AH9683" s="191"/>
      <c r="AI9683" s="186"/>
      <c r="AK9683" s="171"/>
    </row>
    <row r="9684" spans="1:37" s="102" customFormat="1" ht="19.899999999999999" customHeight="1" x14ac:dyDescent="0.25">
      <c r="A9684" s="45"/>
      <c r="B9684" s="59"/>
      <c r="C9684" s="137"/>
      <c r="D9684" s="59"/>
      <c r="E9684" s="116"/>
      <c r="F9684" s="120"/>
      <c r="G9684" s="120"/>
      <c r="H9684" s="120"/>
      <c r="I9684" s="60"/>
      <c r="J9684" s="116"/>
      <c r="K9684" s="213"/>
      <c r="L9684" s="120"/>
      <c r="M9684" s="120"/>
      <c r="N9684" s="167"/>
      <c r="O9684" s="120"/>
      <c r="P9684" s="120"/>
      <c r="Q9684" s="120"/>
      <c r="R9684" s="120"/>
      <c r="S9684" s="120"/>
      <c r="T9684" s="221"/>
      <c r="U9684" s="89"/>
      <c r="V9684" s="61"/>
      <c r="W9684" s="92" t="s">
        <v>1353</v>
      </c>
      <c r="X9684" s="93" t="s">
        <v>30</v>
      </c>
      <c r="Y9684" s="93" t="s">
        <v>66</v>
      </c>
      <c r="Z9684" s="134">
        <f>VLOOKUP(W9684,Sheet2!$B:$D,3,FALSE)</f>
        <v>350</v>
      </c>
      <c r="AA9684" s="93">
        <f>1/((2.2*3*0.25*4)+(2.2*2.2*0.3))</f>
        <v>0.12419274714356679</v>
      </c>
      <c r="AB9684" s="93">
        <f>AD9684/AC9682</f>
        <v>2818.2000000000003</v>
      </c>
      <c r="AC9684" s="93">
        <f>AC9682/AA9684</f>
        <v>570.08160000000009</v>
      </c>
      <c r="AD9684" s="94">
        <f t="shared" si="6492"/>
        <v>199528.56000000003</v>
      </c>
      <c r="AE9684" s="190"/>
      <c r="AF9684" s="191"/>
      <c r="AG9684" s="191"/>
      <c r="AH9684" s="191"/>
      <c r="AI9684" s="186"/>
      <c r="AK9684" s="171"/>
    </row>
    <row r="9685" spans="1:37" s="102" customFormat="1" ht="19.899999999999999" customHeight="1" x14ac:dyDescent="0.25">
      <c r="A9685" s="45"/>
      <c r="B9685" s="59"/>
      <c r="C9685" s="137"/>
      <c r="D9685" s="59"/>
      <c r="E9685" s="116"/>
      <c r="F9685" s="120"/>
      <c r="G9685" s="120"/>
      <c r="H9685" s="120"/>
      <c r="I9685" s="60"/>
      <c r="J9685" s="116"/>
      <c r="K9685" s="213"/>
      <c r="L9685" s="120"/>
      <c r="M9685" s="120"/>
      <c r="N9685" s="167"/>
      <c r="O9685" s="120"/>
      <c r="P9685" s="120"/>
      <c r="Q9685" s="120"/>
      <c r="R9685" s="120"/>
      <c r="S9685" s="120"/>
      <c r="T9685" s="221"/>
      <c r="U9685" s="89"/>
      <c r="V9685" s="61"/>
      <c r="W9685" s="92" t="s">
        <v>99</v>
      </c>
      <c r="X9685" s="93" t="s">
        <v>30</v>
      </c>
      <c r="Y9685" s="93" t="s">
        <v>67</v>
      </c>
      <c r="Z9685" s="134">
        <f>VLOOKUP(W9685,Sheet2!$B:$D,3,FALSE)</f>
        <v>2500</v>
      </c>
      <c r="AA9685" s="93">
        <f>AA9684/0.08</f>
        <v>1.5524093392945848</v>
      </c>
      <c r="AB9685" s="93">
        <f>AD9685/AC9682</f>
        <v>1610.4000000000003</v>
      </c>
      <c r="AC9685" s="93">
        <f>AC9682/AA9685</f>
        <v>45.606528000000012</v>
      </c>
      <c r="AD9685" s="94">
        <f t="shared" si="6492"/>
        <v>114016.32000000002</v>
      </c>
      <c r="AE9685" s="190"/>
      <c r="AF9685" s="191"/>
      <c r="AG9685" s="191"/>
      <c r="AH9685" s="191"/>
      <c r="AI9685" s="186"/>
      <c r="AK9685" s="171"/>
    </row>
    <row r="9686" spans="1:37" s="102" customFormat="1" ht="19.899999999999999" customHeight="1" x14ac:dyDescent="0.25">
      <c r="A9686" s="45"/>
      <c r="B9686" s="59"/>
      <c r="C9686" s="137"/>
      <c r="D9686" s="59"/>
      <c r="E9686" s="116"/>
      <c r="F9686" s="120"/>
      <c r="G9686" s="120"/>
      <c r="H9686" s="120"/>
      <c r="I9686" s="60"/>
      <c r="J9686" s="116"/>
      <c r="K9686" s="213"/>
      <c r="L9686" s="120"/>
      <c r="M9686" s="120"/>
      <c r="N9686" s="167"/>
      <c r="O9686" s="120"/>
      <c r="P9686" s="120"/>
      <c r="Q9686" s="120"/>
      <c r="R9686" s="120"/>
      <c r="S9686" s="120"/>
      <c r="T9686" s="221"/>
      <c r="U9686" s="89"/>
      <c r="V9686" s="61"/>
      <c r="W9686" s="92" t="s">
        <v>1354</v>
      </c>
      <c r="X9686" s="93" t="s">
        <v>32</v>
      </c>
      <c r="Y9686" s="93" t="s">
        <v>66</v>
      </c>
      <c r="Z9686" s="134">
        <f>VLOOKUP(W9686,Sheet2!$B:$D,3,FALSE)</f>
        <v>150</v>
      </c>
      <c r="AA9686" s="93">
        <f>AA9683</f>
        <v>1.7361111111111112</v>
      </c>
      <c r="AB9686" s="93">
        <f>AD9686/AC9682</f>
        <v>86.4</v>
      </c>
      <c r="AC9686" s="93">
        <f>AC9682/AA9686</f>
        <v>40.780799999999999</v>
      </c>
      <c r="AD9686" s="94">
        <f>AC9686*Z9686</f>
        <v>6117.12</v>
      </c>
      <c r="AE9686" s="190"/>
      <c r="AF9686" s="191"/>
      <c r="AG9686" s="191"/>
      <c r="AH9686" s="191"/>
      <c r="AI9686" s="186"/>
      <c r="AK9686" s="171"/>
    </row>
    <row r="9687" spans="1:37" s="102" customFormat="1" ht="19.899999999999999" customHeight="1" x14ac:dyDescent="0.25">
      <c r="A9687" s="45"/>
      <c r="B9687" s="59"/>
      <c r="C9687" s="137"/>
      <c r="D9687" s="59"/>
      <c r="E9687" s="116"/>
      <c r="F9687" s="120"/>
      <c r="G9687" s="120"/>
      <c r="H9687" s="120"/>
      <c r="I9687" s="60"/>
      <c r="J9687" s="116"/>
      <c r="K9687" s="213"/>
      <c r="L9687" s="120"/>
      <c r="M9687" s="120"/>
      <c r="N9687" s="167"/>
      <c r="O9687" s="120"/>
      <c r="P9687" s="120"/>
      <c r="Q9687" s="120"/>
      <c r="R9687" s="120"/>
      <c r="S9687" s="120"/>
      <c r="T9687" s="221"/>
      <c r="U9687" s="89"/>
      <c r="V9687" s="61"/>
      <c r="W9687" s="92" t="s">
        <v>1533</v>
      </c>
      <c r="X9687" s="93" t="s">
        <v>32</v>
      </c>
      <c r="Y9687" s="93" t="s">
        <v>66</v>
      </c>
      <c r="Z9687" s="134">
        <f>VLOOKUP(W9687,Sheet2!$B:$D,3,FALSE)</f>
        <v>300</v>
      </c>
      <c r="AA9687" s="93">
        <f>AA9684</f>
        <v>0.12419274714356679</v>
      </c>
      <c r="AB9687" s="93">
        <f>AD9687/AC9682</f>
        <v>2415.6000000000008</v>
      </c>
      <c r="AC9687" s="93">
        <f>AC9682/AA9687</f>
        <v>570.08160000000009</v>
      </c>
      <c r="AD9687" s="94">
        <f>AC9687*Z9687</f>
        <v>171024.48000000004</v>
      </c>
      <c r="AE9687" s="190"/>
      <c r="AF9687" s="191"/>
      <c r="AG9687" s="191"/>
      <c r="AH9687" s="191"/>
      <c r="AI9687" s="186"/>
      <c r="AK9687" s="171"/>
    </row>
    <row r="9688" spans="1:37" s="102" customFormat="1" ht="19.899999999999999" customHeight="1" x14ac:dyDescent="0.25">
      <c r="A9688" s="45"/>
      <c r="B9688" s="59"/>
      <c r="C9688" s="137"/>
      <c r="D9688" s="59"/>
      <c r="E9688" s="116"/>
      <c r="F9688" s="120"/>
      <c r="G9688" s="120"/>
      <c r="H9688" s="120"/>
      <c r="I9688" s="60"/>
      <c r="J9688" s="116"/>
      <c r="K9688" s="213"/>
      <c r="L9688" s="120"/>
      <c r="M9688" s="120"/>
      <c r="N9688" s="167"/>
      <c r="O9688" s="120"/>
      <c r="P9688" s="120"/>
      <c r="Q9688" s="120"/>
      <c r="R9688" s="120"/>
      <c r="S9688" s="120"/>
      <c r="T9688" s="221"/>
      <c r="U9688" s="89"/>
      <c r="V9688" s="61"/>
      <c r="W9688" s="92" t="s">
        <v>1356</v>
      </c>
      <c r="X9688" s="93" t="s">
        <v>30</v>
      </c>
      <c r="Y9688" s="93" t="s">
        <v>35</v>
      </c>
      <c r="Z9688" s="134">
        <f>VLOOKUP(W9688,Sheet2!$B:$D,3,FALSE)</f>
        <v>3500</v>
      </c>
      <c r="AA9688" s="93">
        <v>1</v>
      </c>
      <c r="AB9688" s="93">
        <f>AD9688/AC9682</f>
        <v>3500</v>
      </c>
      <c r="AC9688" s="93">
        <f>AC9682/AA9688</f>
        <v>70.8</v>
      </c>
      <c r="AD9688" s="94">
        <f t="shared" ref="AD9688:AD9689" si="6493">AC9688*Z9688</f>
        <v>247800</v>
      </c>
      <c r="AE9688" s="190"/>
      <c r="AF9688" s="191"/>
      <c r="AG9688" s="191"/>
      <c r="AH9688" s="191"/>
      <c r="AI9688" s="186"/>
      <c r="AK9688" s="171"/>
    </row>
    <row r="9689" spans="1:37" s="102" customFormat="1" ht="19.899999999999999" customHeight="1" x14ac:dyDescent="0.25">
      <c r="A9689" s="45"/>
      <c r="B9689" s="59"/>
      <c r="C9689" s="137"/>
      <c r="D9689" s="59"/>
      <c r="E9689" s="116"/>
      <c r="F9689" s="120"/>
      <c r="G9689" s="120"/>
      <c r="H9689" s="120"/>
      <c r="I9689" s="60"/>
      <c r="J9689" s="116"/>
      <c r="K9689" s="213"/>
      <c r="L9689" s="120"/>
      <c r="M9689" s="120"/>
      <c r="N9689" s="167"/>
      <c r="O9689" s="120"/>
      <c r="P9689" s="120"/>
      <c r="Q9689" s="120"/>
      <c r="R9689" s="120"/>
      <c r="S9689" s="120"/>
      <c r="T9689" s="221"/>
      <c r="U9689" s="89"/>
      <c r="V9689" s="61"/>
      <c r="W9689" s="92" t="s">
        <v>174</v>
      </c>
      <c r="X9689" s="93" t="s">
        <v>29</v>
      </c>
      <c r="Y9689" s="93" t="s">
        <v>93</v>
      </c>
      <c r="Z9689" s="134">
        <f>VLOOKUP(W9689,Sheet2!$B:$D,3,FALSE)</f>
        <v>80</v>
      </c>
      <c r="AA9689" s="93">
        <v>1</v>
      </c>
      <c r="AB9689" s="93">
        <f>AD9689/AC9682</f>
        <v>80</v>
      </c>
      <c r="AC9689" s="93">
        <f>AC9682/AA9689</f>
        <v>70.8</v>
      </c>
      <c r="AD9689" s="94">
        <f t="shared" si="6493"/>
        <v>5664</v>
      </c>
      <c r="AE9689" s="190"/>
      <c r="AF9689" s="191"/>
      <c r="AG9689" s="191"/>
      <c r="AH9689" s="191"/>
      <c r="AI9689" s="186"/>
      <c r="AK9689" s="171"/>
    </row>
    <row r="9690" spans="1:37" s="102" customFormat="1" ht="19.899999999999999" customHeight="1" x14ac:dyDescent="0.25">
      <c r="A9690" s="45"/>
      <c r="B9690" s="59"/>
      <c r="C9690" s="137"/>
      <c r="D9690" s="59"/>
      <c r="E9690" s="116"/>
      <c r="F9690" s="120"/>
      <c r="G9690" s="120"/>
      <c r="H9690" s="120"/>
      <c r="I9690" s="60"/>
      <c r="J9690" s="116"/>
      <c r="K9690" s="213"/>
      <c r="L9690" s="120"/>
      <c r="M9690" s="120"/>
      <c r="N9690" s="167"/>
      <c r="O9690" s="120"/>
      <c r="P9690" s="120"/>
      <c r="Q9690" s="120"/>
      <c r="R9690" s="120"/>
      <c r="S9690" s="120"/>
      <c r="T9690" s="221"/>
      <c r="U9690" s="89"/>
      <c r="V9690" s="61"/>
      <c r="W9690" s="92" t="s">
        <v>65</v>
      </c>
      <c r="X9690" s="93" t="s">
        <v>30</v>
      </c>
      <c r="Y9690" s="93" t="s">
        <v>93</v>
      </c>
      <c r="Z9690" s="134">
        <f>VLOOKUP(W9690,Sheet2!$B:$D,3,FALSE)</f>
        <v>1.76</v>
      </c>
      <c r="AA9690" s="93">
        <f>AA9689/15</f>
        <v>6.6666666666666666E-2</v>
      </c>
      <c r="AB9690" s="93">
        <f>AD9690/AC9682</f>
        <v>26.400000000000002</v>
      </c>
      <c r="AC9690" s="93">
        <f>AC9682/AA9690</f>
        <v>1062</v>
      </c>
      <c r="AD9690" s="94">
        <f>AC9690*Z9690</f>
        <v>1869.1200000000001</v>
      </c>
      <c r="AE9690" s="190"/>
      <c r="AF9690" s="191"/>
      <c r="AG9690" s="191"/>
      <c r="AH9690" s="191"/>
      <c r="AI9690" s="186"/>
      <c r="AK9690" s="171"/>
    </row>
    <row r="9691" spans="1:37" s="102" customFormat="1" ht="19.899999999999999" customHeight="1" x14ac:dyDescent="0.25">
      <c r="A9691" s="45"/>
      <c r="B9691" s="59"/>
      <c r="C9691" s="137"/>
      <c r="D9691" s="59"/>
      <c r="E9691" s="116"/>
      <c r="F9691" s="120"/>
      <c r="G9691" s="120"/>
      <c r="H9691" s="120"/>
      <c r="I9691" s="60"/>
      <c r="J9691" s="116"/>
      <c r="K9691" s="213"/>
      <c r="L9691" s="120"/>
      <c r="M9691" s="120"/>
      <c r="N9691" s="167"/>
      <c r="O9691" s="120"/>
      <c r="P9691" s="120"/>
      <c r="Q9691" s="120"/>
      <c r="R9691" s="120"/>
      <c r="S9691" s="120"/>
      <c r="T9691" s="221"/>
      <c r="U9691" s="89"/>
      <c r="V9691" s="61"/>
      <c r="W9691" s="92" t="s">
        <v>1357</v>
      </c>
      <c r="X9691" s="93" t="s">
        <v>30</v>
      </c>
      <c r="Y9691" s="93" t="s">
        <v>1349</v>
      </c>
      <c r="Z9691" s="134">
        <f>VLOOKUP(W9691,Sheet2!$B:$D,3,FALSE)</f>
        <v>150</v>
      </c>
      <c r="AA9691" s="93">
        <v>1</v>
      </c>
      <c r="AB9691" s="93">
        <f>AD9691/AC9682</f>
        <v>150</v>
      </c>
      <c r="AC9691" s="93">
        <f>AC9682/AA9691</f>
        <v>70.8</v>
      </c>
      <c r="AD9691" s="94">
        <f>AC9691*Z9691</f>
        <v>10620</v>
      </c>
      <c r="AE9691" s="190"/>
      <c r="AF9691" s="191"/>
      <c r="AG9691" s="191"/>
      <c r="AH9691" s="191"/>
      <c r="AI9691" s="186"/>
      <c r="AK9691" s="171"/>
    </row>
    <row r="9692" spans="1:37" s="102" customFormat="1" ht="19.899999999999999" customHeight="1" x14ac:dyDescent="0.25">
      <c r="A9692" s="45"/>
      <c r="B9692" s="59"/>
      <c r="C9692" s="137"/>
      <c r="D9692" s="59"/>
      <c r="E9692" s="116"/>
      <c r="F9692" s="120"/>
      <c r="G9692" s="120"/>
      <c r="H9692" s="120"/>
      <c r="I9692" s="60"/>
      <c r="J9692" s="116"/>
      <c r="K9692" s="213"/>
      <c r="L9692" s="120"/>
      <c r="M9692" s="120"/>
      <c r="N9692" s="167"/>
      <c r="O9692" s="120"/>
      <c r="P9692" s="120"/>
      <c r="Q9692" s="120"/>
      <c r="R9692" s="120"/>
      <c r="S9692" s="120"/>
      <c r="T9692" s="221"/>
      <c r="U9692" s="89"/>
      <c r="V9692" s="61"/>
      <c r="W9692" s="92" t="s">
        <v>107</v>
      </c>
      <c r="X9692" s="93" t="s">
        <v>31</v>
      </c>
      <c r="Y9692" s="93" t="s">
        <v>93</v>
      </c>
      <c r="Z9692" s="134">
        <f>VLOOKUP(W9692,Sheet2!$B:$D,3,FALSE)</f>
        <v>17</v>
      </c>
      <c r="AA9692" s="93">
        <f>1/5</f>
        <v>0.2</v>
      </c>
      <c r="AB9692" s="93">
        <f>AD9692/AC9682</f>
        <v>84.999999999999986</v>
      </c>
      <c r="AC9692" s="93">
        <f>AC9682/AA9692</f>
        <v>353.99999999999994</v>
      </c>
      <c r="AD9692" s="94">
        <f>AC9692*Z9692</f>
        <v>6017.9999999999991</v>
      </c>
      <c r="AE9692" s="190"/>
      <c r="AF9692" s="191"/>
      <c r="AG9692" s="191"/>
      <c r="AH9692" s="191"/>
      <c r="AI9692" s="186"/>
      <c r="AK9692" s="171"/>
    </row>
    <row r="9693" spans="1:37" s="102" customFormat="1" ht="19.899999999999999" customHeight="1" x14ac:dyDescent="0.25">
      <c r="A9693" s="45"/>
      <c r="B9693" s="59"/>
      <c r="C9693" s="137"/>
      <c r="D9693" s="59"/>
      <c r="E9693" s="116"/>
      <c r="F9693" s="120"/>
      <c r="G9693" s="120"/>
      <c r="H9693" s="120"/>
      <c r="I9693" s="60"/>
      <c r="J9693" s="116"/>
      <c r="K9693" s="213"/>
      <c r="L9693" s="120"/>
      <c r="M9693" s="120"/>
      <c r="N9693" s="167"/>
      <c r="O9693" s="120"/>
      <c r="P9693" s="120"/>
      <c r="Q9693" s="120"/>
      <c r="R9693" s="120"/>
      <c r="S9693" s="120"/>
      <c r="T9693" s="221"/>
      <c r="U9693" s="89"/>
      <c r="V9693" s="61"/>
      <c r="W9693" s="92" t="s">
        <v>112</v>
      </c>
      <c r="X9693" s="93" t="s">
        <v>31</v>
      </c>
      <c r="Y9693" s="93" t="s">
        <v>93</v>
      </c>
      <c r="Z9693" s="134">
        <f>VLOOKUP(W9693,Sheet2!$B:$D,3,FALSE)</f>
        <v>13</v>
      </c>
      <c r="AA9693" s="93">
        <f>AA9692</f>
        <v>0.2</v>
      </c>
      <c r="AB9693" s="93">
        <f>AD9693/AC9682</f>
        <v>64.999999999999986</v>
      </c>
      <c r="AC9693" s="93">
        <f>AC9682/AA9693</f>
        <v>353.99999999999994</v>
      </c>
      <c r="AD9693" s="94">
        <f>AC9693*Z9693</f>
        <v>4601.9999999999991</v>
      </c>
      <c r="AE9693" s="190"/>
      <c r="AF9693" s="191"/>
      <c r="AG9693" s="191"/>
      <c r="AH9693" s="191"/>
      <c r="AI9693" s="186"/>
      <c r="AK9693" s="171"/>
    </row>
    <row r="9694" spans="1:37" s="103" customFormat="1" ht="19.899999999999999" customHeight="1" x14ac:dyDescent="0.25">
      <c r="A9694" s="51"/>
      <c r="B9694" s="52"/>
      <c r="C9694" s="165"/>
      <c r="D9694" s="52"/>
      <c r="E9694" s="115"/>
      <c r="F9694" s="58"/>
      <c r="G9694" s="58"/>
      <c r="H9694" s="58"/>
      <c r="I9694" s="55"/>
      <c r="J9694" s="113">
        <f>J9676</f>
        <v>70.8</v>
      </c>
      <c r="K9694" s="212">
        <f>K9676</f>
        <v>70.8</v>
      </c>
      <c r="L9694" s="58"/>
      <c r="M9694" s="58">
        <f>K9694-L9694</f>
        <v>70.8</v>
      </c>
      <c r="N9694" s="166"/>
      <c r="O9694" s="58"/>
      <c r="P9694" s="58"/>
      <c r="Q9694" s="58"/>
      <c r="R9694" s="58"/>
      <c r="S9694" s="58"/>
      <c r="T9694" s="220"/>
      <c r="U9694" s="88"/>
      <c r="V9694" s="56"/>
      <c r="W9694" s="57" t="s">
        <v>1358</v>
      </c>
      <c r="X9694" s="53"/>
      <c r="Y9694" s="91" t="s">
        <v>35</v>
      </c>
      <c r="Z9694" s="136">
        <f>AD9694/AC9694</f>
        <v>1848.0000000000002</v>
      </c>
      <c r="AA9694" s="58"/>
      <c r="AB9694" s="53">
        <f>AD9694/AC9694</f>
        <v>1848.0000000000002</v>
      </c>
      <c r="AC9694" s="53">
        <f>M9694+$AE$10</f>
        <v>70.8</v>
      </c>
      <c r="AD9694" s="54">
        <f>SUM(AD9695:AD9696)</f>
        <v>130838.40000000001</v>
      </c>
      <c r="AE9694" s="184">
        <f>SUMIFS($AD$37:$AD$12971,$V$37:$V$12971,$V9694,$X$37:$X$12971,AE$13)</f>
        <v>0</v>
      </c>
      <c r="AF9694" s="185">
        <f>SUMIFS($AD$37:$AD$12971,$V$37:$V$12971,$V9694,$X$37:$X$12971,AF$13)</f>
        <v>0</v>
      </c>
      <c r="AG9694" s="185">
        <f>SUMIFS($AD$37:$AD$12971,$V$37:$V$12971,$V9694,$X$37:$X$12971,AG$13)</f>
        <v>0</v>
      </c>
      <c r="AH9694" s="187">
        <f>SUMIFS($AD$37:$AD$12971,$V$37:$V$12971,$V9694,$X$37:$X$12971,AH$13)</f>
        <v>0</v>
      </c>
      <c r="AI9694" s="161">
        <f t="shared" ref="AI9694" si="6494">SUM(AE9694:AH9694)</f>
        <v>0</v>
      </c>
      <c r="AK9694" s="172"/>
    </row>
    <row r="9695" spans="1:37" s="102" customFormat="1" ht="19.899999999999999" customHeight="1" x14ac:dyDescent="0.25">
      <c r="A9695" s="45"/>
      <c r="B9695" s="59"/>
      <c r="C9695" s="137"/>
      <c r="D9695" s="59"/>
      <c r="E9695" s="116"/>
      <c r="F9695" s="120"/>
      <c r="G9695" s="120"/>
      <c r="H9695" s="120"/>
      <c r="I9695" s="60"/>
      <c r="J9695" s="116"/>
      <c r="K9695" s="213"/>
      <c r="L9695" s="120"/>
      <c r="M9695" s="120"/>
      <c r="N9695" s="167"/>
      <c r="O9695" s="120"/>
      <c r="P9695" s="120"/>
      <c r="Q9695" s="120"/>
      <c r="R9695" s="120"/>
      <c r="S9695" s="120"/>
      <c r="T9695" s="221"/>
      <c r="U9695" s="89"/>
      <c r="V9695" s="61"/>
      <c r="W9695" s="92" t="s">
        <v>1359</v>
      </c>
      <c r="X9695" s="93" t="s">
        <v>32</v>
      </c>
      <c r="Y9695" s="93" t="s">
        <v>64</v>
      </c>
      <c r="Z9695" s="134">
        <f>VLOOKUP(W9695,Sheet2!$B:$D,3,FALSE)</f>
        <v>40</v>
      </c>
      <c r="AA9695" s="93">
        <f>1/(2.2*3*4)</f>
        <v>3.7878787878787873E-2</v>
      </c>
      <c r="AB9695" s="93">
        <f t="shared" ref="AB9695" si="6495">AD9695/AC9694</f>
        <v>1056</v>
      </c>
      <c r="AC9695" s="93">
        <f>AC9694/AA9695</f>
        <v>1869.1200000000001</v>
      </c>
      <c r="AD9695" s="94">
        <f t="shared" ref="AD9695:AD9696" si="6496">AC9695*Z9695</f>
        <v>74764.800000000003</v>
      </c>
      <c r="AE9695" s="190"/>
      <c r="AF9695" s="191"/>
      <c r="AG9695" s="191"/>
      <c r="AH9695" s="191"/>
      <c r="AI9695" s="186"/>
      <c r="AK9695" s="171"/>
    </row>
    <row r="9696" spans="1:37" s="102" customFormat="1" ht="19.899999999999999" customHeight="1" x14ac:dyDescent="0.25">
      <c r="A9696" s="45"/>
      <c r="B9696" s="59"/>
      <c r="C9696" s="137"/>
      <c r="D9696" s="59"/>
      <c r="E9696" s="116"/>
      <c r="F9696" s="120"/>
      <c r="G9696" s="120"/>
      <c r="H9696" s="120"/>
      <c r="I9696" s="60"/>
      <c r="J9696" s="116"/>
      <c r="K9696" s="213"/>
      <c r="L9696" s="120"/>
      <c r="M9696" s="120"/>
      <c r="N9696" s="167"/>
      <c r="O9696" s="120"/>
      <c r="P9696" s="120"/>
      <c r="Q9696" s="120"/>
      <c r="R9696" s="120"/>
      <c r="S9696" s="120"/>
      <c r="T9696" s="221"/>
      <c r="U9696" s="89"/>
      <c r="V9696" s="61"/>
      <c r="W9696" s="92" t="s">
        <v>1360</v>
      </c>
      <c r="X9696" s="93" t="s">
        <v>32</v>
      </c>
      <c r="Y9696" s="93" t="s">
        <v>64</v>
      </c>
      <c r="Z9696" s="134">
        <f>VLOOKUP(W9696,Sheet2!$B:$D,3,FALSE)</f>
        <v>30</v>
      </c>
      <c r="AA9696" s="93">
        <f>AA9695</f>
        <v>3.7878787878787873E-2</v>
      </c>
      <c r="AB9696" s="93">
        <f>AD9696/AC9694</f>
        <v>792.00000000000011</v>
      </c>
      <c r="AC9696" s="93">
        <f>AC9694/AA9696</f>
        <v>1869.1200000000001</v>
      </c>
      <c r="AD9696" s="94">
        <f t="shared" si="6496"/>
        <v>56073.600000000006</v>
      </c>
      <c r="AE9696" s="190"/>
      <c r="AF9696" s="191"/>
      <c r="AG9696" s="191"/>
      <c r="AH9696" s="191"/>
      <c r="AI9696" s="186"/>
      <c r="AK9696" s="171"/>
    </row>
    <row r="9697" spans="1:41" s="103" customFormat="1" ht="19.899999999999999" customHeight="1" x14ac:dyDescent="0.25">
      <c r="A9697" s="51"/>
      <c r="B9697" s="52"/>
      <c r="C9697" s="165"/>
      <c r="D9697" s="52"/>
      <c r="E9697" s="115"/>
      <c r="F9697" s="58"/>
      <c r="G9697" s="58"/>
      <c r="H9697" s="58"/>
      <c r="I9697" s="55"/>
      <c r="J9697" s="113">
        <f>J9676</f>
        <v>70.8</v>
      </c>
      <c r="K9697" s="212">
        <f>K9676</f>
        <v>70.8</v>
      </c>
      <c r="L9697" s="58"/>
      <c r="M9697" s="58">
        <f>K9697-L9697</f>
        <v>70.8</v>
      </c>
      <c r="N9697" s="166"/>
      <c r="O9697" s="58"/>
      <c r="P9697" s="58"/>
      <c r="Q9697" s="58"/>
      <c r="R9697" s="58"/>
      <c r="S9697" s="58"/>
      <c r="T9697" s="220"/>
      <c r="U9697" s="88"/>
      <c r="V9697" s="56"/>
      <c r="W9697" s="57" t="s">
        <v>1272</v>
      </c>
      <c r="X9697" s="53"/>
      <c r="Y9697" s="91" t="s">
        <v>35</v>
      </c>
      <c r="Z9697" s="136">
        <f>AD9697/AC9697</f>
        <v>391.49688188235297</v>
      </c>
      <c r="AA9697" s="58"/>
      <c r="AB9697" s="53">
        <f>AD9697/AC9697</f>
        <v>391.49688188235297</v>
      </c>
      <c r="AC9697" s="53">
        <f>M9697+$AE$10</f>
        <v>70.8</v>
      </c>
      <c r="AD9697" s="54">
        <f>SUM(AD9698:AD9706)</f>
        <v>27717.979237270589</v>
      </c>
      <c r="AE9697" s="184">
        <f>SUMIFS($AD$37:$AD$12971,$V$37:$V$12971,$V9697,$X$37:$X$12971,AE$13)</f>
        <v>0</v>
      </c>
      <c r="AF9697" s="185">
        <f>SUMIFS($AD$37:$AD$12971,$V$37:$V$12971,$V9697,$X$37:$X$12971,AF$13)</f>
        <v>0</v>
      </c>
      <c r="AG9697" s="185">
        <f>SUMIFS($AD$37:$AD$12971,$V$37:$V$12971,$V9697,$X$37:$X$12971,AG$13)</f>
        <v>0</v>
      </c>
      <c r="AH9697" s="187">
        <f>SUMIFS($AD$37:$AD$12971,$V$37:$V$12971,$V9697,$X$37:$X$12971,AH$13)</f>
        <v>0</v>
      </c>
      <c r="AI9697" s="161">
        <f t="shared" ref="AI9697" si="6497">SUM(AE9697:AH9697)</f>
        <v>0</v>
      </c>
      <c r="AK9697" s="172"/>
    </row>
    <row r="9698" spans="1:41" s="102" customFormat="1" ht="19.899999999999999" customHeight="1" x14ac:dyDescent="0.25">
      <c r="A9698" s="45"/>
      <c r="B9698" s="59"/>
      <c r="C9698" s="137"/>
      <c r="D9698" s="59"/>
      <c r="E9698" s="116"/>
      <c r="F9698" s="120"/>
      <c r="G9698" s="120"/>
      <c r="H9698" s="120"/>
      <c r="I9698" s="60"/>
      <c r="J9698" s="116"/>
      <c r="K9698" s="213"/>
      <c r="L9698" s="120"/>
      <c r="M9698" s="120"/>
      <c r="N9698" s="167"/>
      <c r="O9698" s="120"/>
      <c r="P9698" s="120"/>
      <c r="Q9698" s="120"/>
      <c r="R9698" s="120"/>
      <c r="S9698" s="120"/>
      <c r="T9698" s="221"/>
      <c r="U9698" s="89"/>
      <c r="V9698" s="61"/>
      <c r="W9698" s="92" t="s">
        <v>1273</v>
      </c>
      <c r="X9698" s="93" t="s">
        <v>30</v>
      </c>
      <c r="Y9698" s="93" t="s">
        <v>66</v>
      </c>
      <c r="Z9698" s="134">
        <f>VLOOKUP(W9698,Sheet2!$B:$D,3,FALSE)</f>
        <v>10</v>
      </c>
      <c r="AA9698" s="93">
        <f>1/((3.5*3.5*3)-(2.2*2.2*3))</f>
        <v>4.4984255510571308E-2</v>
      </c>
      <c r="AB9698" s="93">
        <f>AD9698/AC9697</f>
        <v>222.29999999999995</v>
      </c>
      <c r="AC9698" s="93">
        <f>AC9697/AA9698</f>
        <v>1573.8839999999996</v>
      </c>
      <c r="AD9698" s="94">
        <f t="shared" ref="AD9698:AD9700" si="6498">AC9698*Z9698</f>
        <v>15738.839999999997</v>
      </c>
      <c r="AE9698" s="190"/>
      <c r="AF9698" s="191"/>
      <c r="AG9698" s="191"/>
      <c r="AH9698" s="191"/>
      <c r="AI9698" s="186"/>
      <c r="AK9698" s="171"/>
    </row>
    <row r="9699" spans="1:41" s="102" customFormat="1" ht="19.899999999999999" customHeight="1" x14ac:dyDescent="0.25">
      <c r="A9699" s="45"/>
      <c r="B9699" s="59"/>
      <c r="C9699" s="137"/>
      <c r="D9699" s="59"/>
      <c r="E9699" s="116"/>
      <c r="F9699" s="120"/>
      <c r="G9699" s="120"/>
      <c r="H9699" s="120"/>
      <c r="I9699" s="60"/>
      <c r="J9699" s="116"/>
      <c r="K9699" s="213"/>
      <c r="L9699" s="120"/>
      <c r="M9699" s="120"/>
      <c r="N9699" s="167"/>
      <c r="O9699" s="120"/>
      <c r="P9699" s="120"/>
      <c r="Q9699" s="120"/>
      <c r="R9699" s="120"/>
      <c r="S9699" s="120"/>
      <c r="T9699" s="221"/>
      <c r="U9699" s="89"/>
      <c r="V9699" s="61"/>
      <c r="W9699" s="92" t="s">
        <v>134</v>
      </c>
      <c r="X9699" s="93" t="s">
        <v>29</v>
      </c>
      <c r="Y9699" s="93" t="s">
        <v>93</v>
      </c>
      <c r="Z9699" s="134">
        <f>VLOOKUP(W9699,Sheet2!$B:$D,3,FALSE)</f>
        <v>65.599999999999994</v>
      </c>
      <c r="AA9699" s="93">
        <f>100/((3.5*3.5*3)-(2.2*2.2*3))</f>
        <v>4.4984255510571307</v>
      </c>
      <c r="AB9699" s="93">
        <f t="shared" ref="AB9699" si="6499">AD9699/AC9697</f>
        <v>14.582879999999996</v>
      </c>
      <c r="AC9699" s="93">
        <f>AC9697/AA9699</f>
        <v>15.738839999999996</v>
      </c>
      <c r="AD9699" s="94">
        <f t="shared" si="6498"/>
        <v>1032.4679039999996</v>
      </c>
      <c r="AE9699" s="190"/>
      <c r="AF9699" s="191"/>
      <c r="AG9699" s="191"/>
      <c r="AH9699" s="191"/>
      <c r="AI9699" s="186"/>
      <c r="AK9699" s="171"/>
    </row>
    <row r="9700" spans="1:41" s="102" customFormat="1" ht="19.899999999999999" customHeight="1" x14ac:dyDescent="0.25">
      <c r="A9700" s="45"/>
      <c r="B9700" s="59"/>
      <c r="C9700" s="137"/>
      <c r="D9700" s="59"/>
      <c r="E9700" s="116"/>
      <c r="F9700" s="120"/>
      <c r="G9700" s="120"/>
      <c r="H9700" s="120"/>
      <c r="I9700" s="60"/>
      <c r="J9700" s="116"/>
      <c r="K9700" s="213"/>
      <c r="L9700" s="120"/>
      <c r="M9700" s="120"/>
      <c r="N9700" s="167"/>
      <c r="O9700" s="120"/>
      <c r="P9700" s="120"/>
      <c r="Q9700" s="120"/>
      <c r="R9700" s="120"/>
      <c r="S9700" s="120"/>
      <c r="T9700" s="221"/>
      <c r="U9700" s="89"/>
      <c r="V9700" s="61"/>
      <c r="W9700" s="92" t="s">
        <v>65</v>
      </c>
      <c r="X9700" s="93" t="s">
        <v>30</v>
      </c>
      <c r="Y9700" s="93" t="s">
        <v>1011</v>
      </c>
      <c r="Z9700" s="134">
        <f>VLOOKUP(W9700,Sheet2!$B:$D,3,FALSE)</f>
        <v>1.76</v>
      </c>
      <c r="AA9700" s="93">
        <f>AA9699/9</f>
        <v>0.49982506122857007</v>
      </c>
      <c r="AB9700" s="93">
        <f>AD9700/AC9697</f>
        <v>3.5212319999999995</v>
      </c>
      <c r="AC9700" s="93">
        <f>AC9697/AA9700</f>
        <v>141.64955999999998</v>
      </c>
      <c r="AD9700" s="94">
        <f t="shared" si="6498"/>
        <v>249.30322559999996</v>
      </c>
      <c r="AE9700" s="190"/>
      <c r="AF9700" s="191"/>
      <c r="AG9700" s="191"/>
      <c r="AH9700" s="191"/>
      <c r="AI9700" s="186"/>
      <c r="AK9700" s="171"/>
    </row>
    <row r="9701" spans="1:41" s="102" customFormat="1" ht="19.899999999999999" customHeight="1" x14ac:dyDescent="0.25">
      <c r="A9701" s="45"/>
      <c r="B9701" s="59"/>
      <c r="C9701" s="137"/>
      <c r="D9701" s="59"/>
      <c r="E9701" s="116"/>
      <c r="F9701" s="120"/>
      <c r="G9701" s="120"/>
      <c r="H9701" s="120"/>
      <c r="I9701" s="60"/>
      <c r="J9701" s="116"/>
      <c r="K9701" s="213"/>
      <c r="L9701" s="120"/>
      <c r="M9701" s="120"/>
      <c r="N9701" s="167"/>
      <c r="O9701" s="120"/>
      <c r="P9701" s="120"/>
      <c r="Q9701" s="120"/>
      <c r="R9701" s="120"/>
      <c r="S9701" s="120"/>
      <c r="T9701" s="221"/>
      <c r="U9701" s="89"/>
      <c r="V9701" s="61"/>
      <c r="W9701" s="92" t="s">
        <v>161</v>
      </c>
      <c r="X9701" s="93" t="s">
        <v>29</v>
      </c>
      <c r="Y9701" s="93" t="s">
        <v>93</v>
      </c>
      <c r="Z9701" s="134">
        <f>VLOOKUP(W9701,Sheet2!$B:$D,3,FALSE)</f>
        <v>48</v>
      </c>
      <c r="AA9701" s="93">
        <f>(16*0.85*1.5)/((3.5*3.5*3)-(2.2*2.2*3))</f>
        <v>0.91767881241565463</v>
      </c>
      <c r="AB9701" s="93">
        <f>AD9701/AC9697</f>
        <v>52.305882352941175</v>
      </c>
      <c r="AC9701" s="93">
        <f>AC9697/AA9701</f>
        <v>77.151176470588226</v>
      </c>
      <c r="AD9701" s="94">
        <f>AC9701*Z9701</f>
        <v>3703.2564705882351</v>
      </c>
      <c r="AE9701" s="190"/>
      <c r="AF9701" s="191"/>
      <c r="AG9701" s="191"/>
      <c r="AH9701" s="191"/>
      <c r="AI9701" s="186"/>
      <c r="AK9701" s="171"/>
    </row>
    <row r="9702" spans="1:41" s="102" customFormat="1" ht="19.899999999999999" customHeight="1" x14ac:dyDescent="0.25">
      <c r="A9702" s="45"/>
      <c r="B9702" s="59"/>
      <c r="C9702" s="137"/>
      <c r="D9702" s="59"/>
      <c r="E9702" s="116"/>
      <c r="F9702" s="120"/>
      <c r="G9702" s="120"/>
      <c r="H9702" s="120"/>
      <c r="I9702" s="60"/>
      <c r="J9702" s="116"/>
      <c r="K9702" s="213"/>
      <c r="L9702" s="120"/>
      <c r="M9702" s="120"/>
      <c r="N9702" s="167"/>
      <c r="O9702" s="120"/>
      <c r="P9702" s="120"/>
      <c r="Q9702" s="120"/>
      <c r="R9702" s="120"/>
      <c r="S9702" s="120"/>
      <c r="T9702" s="221"/>
      <c r="U9702" s="89"/>
      <c r="V9702" s="61"/>
      <c r="W9702" s="92" t="s">
        <v>65</v>
      </c>
      <c r="X9702" s="93" t="s">
        <v>30</v>
      </c>
      <c r="Y9702" s="93" t="s">
        <v>1011</v>
      </c>
      <c r="Z9702" s="134">
        <f>VLOOKUP(W9702,Sheet2!$B:$D,3,FALSE)</f>
        <v>1.76</v>
      </c>
      <c r="AA9702" s="93">
        <f>AA9701/10</f>
        <v>9.1767881241565458E-2</v>
      </c>
      <c r="AB9702" s="93">
        <f>AD9702/AC9697</f>
        <v>19.178823529411762</v>
      </c>
      <c r="AC9702" s="93">
        <f>AC9697/AA9702</f>
        <v>771.51176470588223</v>
      </c>
      <c r="AD9702" s="94">
        <f>AC9702*Z9702</f>
        <v>1357.8607058823527</v>
      </c>
      <c r="AE9702" s="190"/>
      <c r="AF9702" s="191"/>
      <c r="AG9702" s="191"/>
      <c r="AH9702" s="191"/>
      <c r="AI9702" s="186"/>
      <c r="AK9702" s="171"/>
    </row>
    <row r="9703" spans="1:41" s="102" customFormat="1" ht="19.899999999999999" customHeight="1" x14ac:dyDescent="0.25">
      <c r="A9703" s="45"/>
      <c r="B9703" s="59"/>
      <c r="C9703" s="137"/>
      <c r="D9703" s="59"/>
      <c r="E9703" s="116"/>
      <c r="F9703" s="120"/>
      <c r="G9703" s="120"/>
      <c r="H9703" s="120"/>
      <c r="I9703" s="60"/>
      <c r="J9703" s="116"/>
      <c r="K9703" s="213"/>
      <c r="L9703" s="120"/>
      <c r="M9703" s="120"/>
      <c r="N9703" s="167"/>
      <c r="O9703" s="120"/>
      <c r="P9703" s="120"/>
      <c r="Q9703" s="120"/>
      <c r="R9703" s="120"/>
      <c r="S9703" s="120"/>
      <c r="T9703" s="221"/>
      <c r="U9703" s="89"/>
      <c r="V9703" s="61"/>
      <c r="W9703" s="92" t="s">
        <v>173</v>
      </c>
      <c r="X9703" s="93" t="s">
        <v>29</v>
      </c>
      <c r="Y9703" s="93" t="s">
        <v>93</v>
      </c>
      <c r="Z9703" s="134">
        <f>VLOOKUP(W9703,Sheet2!$B:$D,3,FALSE)</f>
        <v>36</v>
      </c>
      <c r="AA9703" s="93">
        <f>50/((3.5*3.5*3)-(2.2*2.2*3))</f>
        <v>2.2492127755285654</v>
      </c>
      <c r="AB9703" s="93">
        <f>AD9703/AC9697</f>
        <v>16.005599999999994</v>
      </c>
      <c r="AC9703" s="93">
        <f>AC9697/AA9703</f>
        <v>31.477679999999992</v>
      </c>
      <c r="AD9703" s="94">
        <f>AC9703*Z9703</f>
        <v>1133.1964799999996</v>
      </c>
      <c r="AE9703" s="190"/>
      <c r="AF9703" s="191"/>
      <c r="AG9703" s="191"/>
      <c r="AH9703" s="191"/>
      <c r="AI9703" s="186"/>
      <c r="AK9703" s="171"/>
    </row>
    <row r="9704" spans="1:41" s="102" customFormat="1" ht="19.899999999999999" customHeight="1" x14ac:dyDescent="0.25">
      <c r="A9704" s="45"/>
      <c r="B9704" s="59"/>
      <c r="C9704" s="137"/>
      <c r="D9704" s="59"/>
      <c r="E9704" s="116"/>
      <c r="F9704" s="120"/>
      <c r="G9704" s="120"/>
      <c r="H9704" s="120"/>
      <c r="I9704" s="60"/>
      <c r="J9704" s="116"/>
      <c r="K9704" s="213"/>
      <c r="L9704" s="120"/>
      <c r="M9704" s="120"/>
      <c r="N9704" s="167"/>
      <c r="O9704" s="120"/>
      <c r="P9704" s="120"/>
      <c r="Q9704" s="120"/>
      <c r="R9704" s="120"/>
      <c r="S9704" s="120"/>
      <c r="T9704" s="221"/>
      <c r="U9704" s="89"/>
      <c r="V9704" s="61"/>
      <c r="W9704" s="92" t="s">
        <v>65</v>
      </c>
      <c r="X9704" s="93" t="s">
        <v>30</v>
      </c>
      <c r="Y9704" s="93" t="s">
        <v>1011</v>
      </c>
      <c r="Z9704" s="134">
        <f>VLOOKUP(W9704,Sheet2!$B:$D,3,FALSE)</f>
        <v>1.76</v>
      </c>
      <c r="AA9704" s="93">
        <f>AA9703/9</f>
        <v>0.24991253061428503</v>
      </c>
      <c r="AB9704" s="93">
        <f>AD9704/AC9697</f>
        <v>7.0424639999999989</v>
      </c>
      <c r="AC9704" s="93">
        <f>AC9697/AA9704</f>
        <v>283.29911999999996</v>
      </c>
      <c r="AD9704" s="94">
        <f>AC9704*Z9704</f>
        <v>498.60645119999992</v>
      </c>
      <c r="AE9704" s="190"/>
      <c r="AF9704" s="191"/>
      <c r="AG9704" s="191"/>
      <c r="AH9704" s="191"/>
      <c r="AI9704" s="186"/>
      <c r="AK9704" s="171"/>
    </row>
    <row r="9705" spans="1:41" s="102" customFormat="1" ht="19.899999999999999" customHeight="1" x14ac:dyDescent="0.25">
      <c r="A9705" s="45"/>
      <c r="B9705" s="59"/>
      <c r="C9705" s="137"/>
      <c r="D9705" s="59"/>
      <c r="E9705" s="116"/>
      <c r="F9705" s="120"/>
      <c r="G9705" s="120"/>
      <c r="H9705" s="120"/>
      <c r="I9705" s="60"/>
      <c r="J9705" s="116"/>
      <c r="K9705" s="213"/>
      <c r="L9705" s="120"/>
      <c r="M9705" s="120"/>
      <c r="N9705" s="167"/>
      <c r="O9705" s="120"/>
      <c r="P9705" s="120"/>
      <c r="Q9705" s="120"/>
      <c r="R9705" s="120"/>
      <c r="S9705" s="120"/>
      <c r="T9705" s="221"/>
      <c r="U9705" s="89"/>
      <c r="V9705" s="61"/>
      <c r="W9705" s="92" t="s">
        <v>1030</v>
      </c>
      <c r="X9705" s="93" t="s">
        <v>29</v>
      </c>
      <c r="Y9705" s="93" t="s">
        <v>93</v>
      </c>
      <c r="Z9705" s="134">
        <f>VLOOKUP(W9705,Sheet2!$B:$D,3,FALSE)</f>
        <v>23</v>
      </c>
      <c r="AA9705" s="93">
        <v>0.5</v>
      </c>
      <c r="AB9705" s="93">
        <f>AD9705/AC9697</f>
        <v>46</v>
      </c>
      <c r="AC9705" s="93">
        <f>AC9697/AA9705</f>
        <v>141.6</v>
      </c>
      <c r="AD9705" s="94">
        <f t="shared" ref="AD9705:AD9706" si="6500">AC9705*Z9705</f>
        <v>3256.7999999999997</v>
      </c>
      <c r="AE9705" s="190"/>
      <c r="AF9705" s="191"/>
      <c r="AG9705" s="191"/>
      <c r="AH9705" s="191"/>
      <c r="AI9705" s="186"/>
      <c r="AK9705" s="171"/>
    </row>
    <row r="9706" spans="1:41" s="102" customFormat="1" ht="19.899999999999999" customHeight="1" x14ac:dyDescent="0.25">
      <c r="A9706" s="45"/>
      <c r="B9706" s="59"/>
      <c r="C9706" s="137"/>
      <c r="D9706" s="59"/>
      <c r="E9706" s="116"/>
      <c r="F9706" s="120"/>
      <c r="G9706" s="120"/>
      <c r="H9706" s="120"/>
      <c r="I9706" s="60"/>
      <c r="J9706" s="116"/>
      <c r="K9706" s="213"/>
      <c r="L9706" s="120"/>
      <c r="M9706" s="120"/>
      <c r="N9706" s="167"/>
      <c r="O9706" s="120"/>
      <c r="P9706" s="120"/>
      <c r="Q9706" s="120"/>
      <c r="R9706" s="120"/>
      <c r="S9706" s="120"/>
      <c r="T9706" s="221"/>
      <c r="U9706" s="89"/>
      <c r="V9706" s="61"/>
      <c r="W9706" s="92" t="s">
        <v>65</v>
      </c>
      <c r="X9706" s="93" t="s">
        <v>30</v>
      </c>
      <c r="Y9706" s="93" t="s">
        <v>1011</v>
      </c>
      <c r="Z9706" s="134">
        <f>VLOOKUP(W9706,Sheet2!$B:$D,3,FALSE)</f>
        <v>1.76</v>
      </c>
      <c r="AA9706" s="93">
        <f>AA9705/3</f>
        <v>0.16666666666666666</v>
      </c>
      <c r="AB9706" s="93">
        <f>AD9706/AC9697</f>
        <v>10.56</v>
      </c>
      <c r="AC9706" s="93">
        <f>AC9697/AA9706</f>
        <v>424.8</v>
      </c>
      <c r="AD9706" s="94">
        <f t="shared" si="6500"/>
        <v>747.64800000000002</v>
      </c>
      <c r="AE9706" s="190"/>
      <c r="AF9706" s="191"/>
      <c r="AG9706" s="191"/>
      <c r="AH9706" s="191"/>
      <c r="AI9706" s="186"/>
      <c r="AK9706" s="171"/>
    </row>
    <row r="9707" spans="1:41" s="102" customFormat="1" ht="20.100000000000001" customHeight="1" x14ac:dyDescent="0.25">
      <c r="A9707" s="45" t="s">
        <v>703</v>
      </c>
      <c r="B9707" s="276"/>
      <c r="C9707" s="286" t="s">
        <v>377</v>
      </c>
      <c r="D9707" s="59"/>
      <c r="E9707" s="116"/>
      <c r="F9707" s="120"/>
      <c r="G9707" s="120">
        <f t="shared" si="5545"/>
        <v>0</v>
      </c>
      <c r="H9707" s="120">
        <f t="shared" si="5546"/>
        <v>0</v>
      </c>
      <c r="I9707" s="60">
        <f t="shared" si="5547"/>
        <v>0</v>
      </c>
      <c r="J9707" s="116">
        <f t="shared" si="5548"/>
        <v>0</v>
      </c>
      <c r="K9707" s="213">
        <f t="shared" si="5549"/>
        <v>0</v>
      </c>
      <c r="L9707" s="120"/>
      <c r="M9707" s="120">
        <f t="shared" si="5550"/>
        <v>0</v>
      </c>
      <c r="N9707" s="167">
        <f t="shared" si="5551"/>
        <v>0</v>
      </c>
      <c r="O9707" s="120">
        <f t="shared" si="5552"/>
        <v>0</v>
      </c>
      <c r="P9707" s="120">
        <f t="shared" si="5553"/>
        <v>0</v>
      </c>
      <c r="Q9707" s="120">
        <f t="shared" si="5554"/>
        <v>0</v>
      </c>
      <c r="R9707" s="120">
        <f t="shared" si="5555"/>
        <v>0</v>
      </c>
      <c r="S9707" s="120"/>
      <c r="T9707" s="221">
        <f t="shared" si="5556"/>
        <v>0</v>
      </c>
      <c r="U9707" s="89"/>
      <c r="V9707" s="61"/>
      <c r="W9707" s="92"/>
      <c r="X9707" s="38"/>
      <c r="Y9707" s="93"/>
      <c r="Z9707" s="134"/>
      <c r="AA9707" s="93"/>
      <c r="AB9707" s="93"/>
      <c r="AC9707" s="93"/>
      <c r="AD9707" s="94"/>
      <c r="AE9707" s="190"/>
      <c r="AF9707" s="191"/>
      <c r="AG9707" s="191"/>
      <c r="AH9707" s="191"/>
      <c r="AI9707" s="186"/>
      <c r="AK9707" s="171"/>
    </row>
    <row r="9708" spans="1:41" s="102" customFormat="1" ht="60" x14ac:dyDescent="0.25">
      <c r="A9708" s="45" t="s">
        <v>703</v>
      </c>
      <c r="B9708" s="276"/>
      <c r="C9708" s="286" t="s">
        <v>851</v>
      </c>
      <c r="D9708" s="59"/>
      <c r="E9708" s="116"/>
      <c r="F9708" s="120"/>
      <c r="G9708" s="120">
        <f t="shared" si="5545"/>
        <v>0</v>
      </c>
      <c r="H9708" s="120">
        <f t="shared" si="5546"/>
        <v>0</v>
      </c>
      <c r="I9708" s="60">
        <f t="shared" si="5547"/>
        <v>0</v>
      </c>
      <c r="J9708" s="116">
        <f t="shared" si="5548"/>
        <v>0</v>
      </c>
      <c r="K9708" s="213">
        <f t="shared" si="5549"/>
        <v>0</v>
      </c>
      <c r="L9708" s="120"/>
      <c r="M9708" s="120">
        <f t="shared" si="5550"/>
        <v>0</v>
      </c>
      <c r="N9708" s="167">
        <f t="shared" si="5551"/>
        <v>0</v>
      </c>
      <c r="O9708" s="120">
        <f t="shared" si="5552"/>
        <v>0</v>
      </c>
      <c r="P9708" s="120">
        <f t="shared" si="5553"/>
        <v>0</v>
      </c>
      <c r="Q9708" s="120">
        <f t="shared" si="5554"/>
        <v>0</v>
      </c>
      <c r="R9708" s="120">
        <f t="shared" si="5555"/>
        <v>0</v>
      </c>
      <c r="S9708" s="120"/>
      <c r="T9708" s="221">
        <f t="shared" si="5556"/>
        <v>0</v>
      </c>
      <c r="U9708" s="89"/>
      <c r="V9708" s="61"/>
      <c r="W9708" s="92"/>
      <c r="X9708" s="38"/>
      <c r="Y9708" s="93"/>
      <c r="Z9708" s="134"/>
      <c r="AA9708" s="93"/>
      <c r="AB9708" s="93"/>
      <c r="AC9708" s="93"/>
      <c r="AD9708" s="94"/>
      <c r="AE9708" s="190"/>
      <c r="AF9708" s="191"/>
      <c r="AG9708" s="191"/>
      <c r="AH9708" s="191"/>
      <c r="AI9708" s="186"/>
      <c r="AK9708" s="171"/>
    </row>
    <row r="9709" spans="1:41" ht="20.100000000000001" customHeight="1" x14ac:dyDescent="0.25">
      <c r="A9709" s="277" t="s">
        <v>703</v>
      </c>
      <c r="B9709" s="278"/>
      <c r="C9709" s="64" t="s">
        <v>379</v>
      </c>
      <c r="D9709" s="46" t="s">
        <v>97</v>
      </c>
      <c r="E9709" s="114"/>
      <c r="F9709" s="44">
        <v>0</v>
      </c>
      <c r="G9709" s="44">
        <f t="shared" si="5545"/>
        <v>0</v>
      </c>
      <c r="H9709" s="44">
        <f t="shared" si="5546"/>
        <v>0</v>
      </c>
      <c r="I9709" s="43">
        <f t="shared" si="5547"/>
        <v>0</v>
      </c>
      <c r="J9709" s="112">
        <f t="shared" si="5548"/>
        <v>0</v>
      </c>
      <c r="K9709" s="211">
        <f t="shared" si="5549"/>
        <v>0</v>
      </c>
      <c r="L9709" s="44"/>
      <c r="M9709" s="44">
        <f t="shared" si="5550"/>
        <v>0</v>
      </c>
      <c r="N9709" s="173">
        <f t="shared" si="5551"/>
        <v>0</v>
      </c>
      <c r="O9709" s="44">
        <f t="shared" si="5552"/>
        <v>0</v>
      </c>
      <c r="P9709" s="44">
        <f t="shared" si="5553"/>
        <v>0</v>
      </c>
      <c r="Q9709" s="44">
        <f t="shared" si="5554"/>
        <v>0</v>
      </c>
      <c r="R9709" s="44">
        <f t="shared" si="5555"/>
        <v>0</v>
      </c>
      <c r="S9709" s="123"/>
      <c r="T9709" s="219">
        <f t="shared" si="5556"/>
        <v>0</v>
      </c>
      <c r="U9709" s="87"/>
      <c r="V9709" s="47"/>
      <c r="W9709" s="48"/>
      <c r="X9709" s="48"/>
      <c r="Y9709" s="48"/>
      <c r="Z9709" s="135"/>
      <c r="AA9709" s="49"/>
      <c r="AB9709" s="50">
        <f t="shared" si="5557"/>
        <v>0</v>
      </c>
      <c r="AC9709" s="42">
        <f t="shared" si="5558"/>
        <v>9.9999999999999998E-20</v>
      </c>
      <c r="AD9709" s="90"/>
      <c r="AE9709" s="188"/>
      <c r="AF9709" s="189"/>
      <c r="AG9709" s="189"/>
      <c r="AH9709" s="189"/>
      <c r="AI9709" s="161"/>
    </row>
    <row r="9710" spans="1:41" ht="20.100000000000001" customHeight="1" x14ac:dyDescent="0.25">
      <c r="A9710" s="277" t="s">
        <v>703</v>
      </c>
      <c r="B9710" s="278"/>
      <c r="C9710" s="64" t="s">
        <v>852</v>
      </c>
      <c r="D9710" s="46" t="s">
        <v>97</v>
      </c>
      <c r="E9710" s="114">
        <v>5810.0009999999984</v>
      </c>
      <c r="F9710" s="44">
        <v>116</v>
      </c>
      <c r="G9710" s="44">
        <f t="shared" si="5545"/>
        <v>673960.11599999981</v>
      </c>
      <c r="H9710" s="44">
        <f t="shared" si="5546"/>
        <v>63.590186837647046</v>
      </c>
      <c r="I9710" s="43">
        <f t="shared" si="5547"/>
        <v>369459.04911691608</v>
      </c>
      <c r="J9710" s="112">
        <f t="shared" si="5548"/>
        <v>5810.0009999999984</v>
      </c>
      <c r="K9710" s="211">
        <f t="shared" si="5549"/>
        <v>5810.0009999999984</v>
      </c>
      <c r="L9710" s="44"/>
      <c r="M9710" s="44">
        <f t="shared" si="5550"/>
        <v>5810.0009999999984</v>
      </c>
      <c r="N9710" s="173">
        <f t="shared" si="5551"/>
        <v>1</v>
      </c>
      <c r="O9710" s="44">
        <f t="shared" si="5552"/>
        <v>116</v>
      </c>
      <c r="P9710" s="44">
        <f t="shared" si="5553"/>
        <v>673960.11599999981</v>
      </c>
      <c r="Q9710" s="44">
        <f t="shared" si="5554"/>
        <v>63.590186837647046</v>
      </c>
      <c r="R9710" s="44">
        <f t="shared" si="5555"/>
        <v>369459.04911691608</v>
      </c>
      <c r="S9710" s="123"/>
      <c r="T9710" s="219">
        <f t="shared" si="5556"/>
        <v>369459.04911691608</v>
      </c>
      <c r="U9710" s="87"/>
      <c r="V9710" s="47"/>
      <c r="W9710" s="48"/>
      <c r="X9710" s="48"/>
      <c r="Y9710" s="48"/>
      <c r="Z9710" s="135"/>
      <c r="AA9710" s="49"/>
      <c r="AB9710" s="50">
        <f t="shared" si="5557"/>
        <v>63.590186837647046</v>
      </c>
      <c r="AC9710" s="42">
        <f t="shared" si="5558"/>
        <v>5810.0009999999984</v>
      </c>
      <c r="AD9710" s="90">
        <f>AD9711</f>
        <v>369459.04911691608</v>
      </c>
      <c r="AE9710" s="188">
        <f t="shared" ref="AE9710:AH9710" si="6501">AE9711</f>
        <v>0</v>
      </c>
      <c r="AF9710" s="189">
        <f t="shared" si="6501"/>
        <v>0</v>
      </c>
      <c r="AG9710" s="189">
        <f t="shared" si="6501"/>
        <v>0</v>
      </c>
      <c r="AH9710" s="189">
        <f t="shared" si="6501"/>
        <v>0</v>
      </c>
      <c r="AI9710" s="161">
        <f t="shared" ref="AI9710" si="6502">SUM(AE9710:AH9710)</f>
        <v>0</v>
      </c>
      <c r="AK9710" s="169">
        <v>5</v>
      </c>
      <c r="AO9710" s="19" t="s">
        <v>63</v>
      </c>
    </row>
    <row r="9711" spans="1:41" s="103" customFormat="1" ht="19.899999999999999" customHeight="1" x14ac:dyDescent="0.25">
      <c r="A9711" s="51"/>
      <c r="B9711" s="52"/>
      <c r="C9711" s="165"/>
      <c r="D9711" s="52"/>
      <c r="E9711" s="115"/>
      <c r="F9711" s="58"/>
      <c r="G9711" s="58"/>
      <c r="H9711" s="58"/>
      <c r="I9711" s="55"/>
      <c r="J9711" s="113">
        <f>J9710</f>
        <v>5810.0009999999984</v>
      </c>
      <c r="K9711" s="212">
        <f>K9710</f>
        <v>5810.0009999999984</v>
      </c>
      <c r="L9711" s="58"/>
      <c r="M9711" s="58">
        <f>K9711-L9711</f>
        <v>5810.0009999999984</v>
      </c>
      <c r="N9711" s="166"/>
      <c r="O9711" s="58"/>
      <c r="P9711" s="58"/>
      <c r="Q9711" s="58"/>
      <c r="R9711" s="58"/>
      <c r="S9711" s="58"/>
      <c r="T9711" s="220"/>
      <c r="U9711" s="88"/>
      <c r="V9711" s="56"/>
      <c r="W9711" s="57" t="s">
        <v>1571</v>
      </c>
      <c r="X9711" s="53"/>
      <c r="Y9711" s="91" t="s">
        <v>68</v>
      </c>
      <c r="Z9711" s="136">
        <f>AD9711/AC9711</f>
        <v>63.590186837647046</v>
      </c>
      <c r="AA9711" s="58"/>
      <c r="AB9711" s="53">
        <f>AD9711/AC9711</f>
        <v>63.590186837647046</v>
      </c>
      <c r="AC9711" s="53">
        <f>M9711+$AE$10</f>
        <v>5810.0009999999984</v>
      </c>
      <c r="AD9711" s="54">
        <f>SUM(AD9712:AD9718)</f>
        <v>369459.04911691608</v>
      </c>
      <c r="AE9711" s="184">
        <f>SUMIFS($AD$37:$AD$12971,$V$37:$V$12971,$V9711,$X$37:$X$12971,AE$13)</f>
        <v>0</v>
      </c>
      <c r="AF9711" s="185">
        <f>SUMIFS($AD$37:$AD$12971,$V$37:$V$12971,$V9711,$X$37:$X$12971,AF$13)</f>
        <v>0</v>
      </c>
      <c r="AG9711" s="185">
        <f>SUMIFS($AD$37:$AD$12971,$V$37:$V$12971,$V9711,$X$37:$X$12971,AG$13)</f>
        <v>0</v>
      </c>
      <c r="AH9711" s="187">
        <f>SUMIFS($AD$37:$AD$12971,$V$37:$V$12971,$V9711,$X$37:$X$12971,AH$13)</f>
        <v>0</v>
      </c>
      <c r="AI9711" s="161">
        <f t="shared" ref="AI9711" si="6503">SUM(AE9711:AH9711)</f>
        <v>0</v>
      </c>
      <c r="AK9711" s="172"/>
    </row>
    <row r="9712" spans="1:41" s="102" customFormat="1" ht="19.899999999999999" customHeight="1" x14ac:dyDescent="0.25">
      <c r="A9712" s="45"/>
      <c r="B9712" s="59"/>
      <c r="C9712" s="137"/>
      <c r="D9712" s="59"/>
      <c r="E9712" s="116"/>
      <c r="F9712" s="120"/>
      <c r="G9712" s="120"/>
      <c r="H9712" s="120"/>
      <c r="I9712" s="60"/>
      <c r="J9712" s="116"/>
      <c r="K9712" s="213"/>
      <c r="L9712" s="120"/>
      <c r="M9712" s="120"/>
      <c r="N9712" s="167"/>
      <c r="O9712" s="120"/>
      <c r="P9712" s="120"/>
      <c r="Q9712" s="120"/>
      <c r="R9712" s="120"/>
      <c r="S9712" s="120"/>
      <c r="T9712" s="221"/>
      <c r="U9712" s="89"/>
      <c r="V9712" s="61"/>
      <c r="W9712" s="92" t="s">
        <v>1570</v>
      </c>
      <c r="X9712" s="93" t="s">
        <v>30</v>
      </c>
      <c r="Y9712" s="93" t="s">
        <v>66</v>
      </c>
      <c r="Z9712" s="134">
        <f>VLOOKUP(W9712,Sheet2!$B:$D,3,FALSE)</f>
        <v>70</v>
      </c>
      <c r="AA9712" s="93">
        <f>1/((1*(0.3+0.3+0.3))-(3.14/4*0.3*0.3))</f>
        <v>1.2057635497678907</v>
      </c>
      <c r="AB9712" s="93">
        <f>AD9712/AC9711</f>
        <v>58.054499999999997</v>
      </c>
      <c r="AC9712" s="93">
        <f>AC9711/AA9712</f>
        <v>4818.524329349998</v>
      </c>
      <c r="AD9712" s="94">
        <f t="shared" ref="AD9712:AD9714" si="6504">AC9712*Z9712</f>
        <v>337296.70305449987</v>
      </c>
      <c r="AE9712" s="190"/>
      <c r="AF9712" s="191"/>
      <c r="AG9712" s="191"/>
      <c r="AH9712" s="191"/>
      <c r="AI9712" s="186"/>
      <c r="AK9712" s="171"/>
    </row>
    <row r="9713" spans="1:41" s="102" customFormat="1" ht="19.899999999999999" customHeight="1" x14ac:dyDescent="0.25">
      <c r="A9713" s="45"/>
      <c r="B9713" s="59"/>
      <c r="C9713" s="137"/>
      <c r="D9713" s="59"/>
      <c r="E9713" s="116"/>
      <c r="F9713" s="120"/>
      <c r="G9713" s="120"/>
      <c r="H9713" s="120"/>
      <c r="I9713" s="60"/>
      <c r="J9713" s="116"/>
      <c r="K9713" s="213"/>
      <c r="L9713" s="120"/>
      <c r="M9713" s="120"/>
      <c r="N9713" s="167"/>
      <c r="O9713" s="120"/>
      <c r="P9713" s="120"/>
      <c r="Q9713" s="120"/>
      <c r="R9713" s="120"/>
      <c r="S9713" s="120"/>
      <c r="T9713" s="221"/>
      <c r="U9713" s="89"/>
      <c r="V9713" s="61"/>
      <c r="W9713" s="92" t="s">
        <v>134</v>
      </c>
      <c r="X9713" s="93" t="s">
        <v>29</v>
      </c>
      <c r="Y9713" s="93" t="s">
        <v>93</v>
      </c>
      <c r="Z9713" s="134">
        <f>VLOOKUP(W9713,Sheet2!$B:$D,3,FALSE)</f>
        <v>65.599999999999994</v>
      </c>
      <c r="AA9713" s="93">
        <f>100/((1*(0.3+0.3+0.3))-(3.14/4*0.3*0.3))</f>
        <v>120.57635497678906</v>
      </c>
      <c r="AB9713" s="93">
        <f>AD9713/AC9711</f>
        <v>0.5440535999999998</v>
      </c>
      <c r="AC9713" s="93">
        <f>AC9711/AA9713</f>
        <v>48.18524329349998</v>
      </c>
      <c r="AD9713" s="94">
        <f t="shared" si="6504"/>
        <v>3160.9519600535982</v>
      </c>
      <c r="AE9713" s="190"/>
      <c r="AF9713" s="191"/>
      <c r="AG9713" s="191"/>
      <c r="AH9713" s="191"/>
      <c r="AI9713" s="186"/>
      <c r="AK9713" s="171"/>
    </row>
    <row r="9714" spans="1:41" s="102" customFormat="1" ht="19.899999999999999" customHeight="1" x14ac:dyDescent="0.25">
      <c r="A9714" s="45"/>
      <c r="B9714" s="59"/>
      <c r="C9714" s="137"/>
      <c r="D9714" s="59"/>
      <c r="E9714" s="116"/>
      <c r="F9714" s="120"/>
      <c r="G9714" s="120"/>
      <c r="H9714" s="120"/>
      <c r="I9714" s="60"/>
      <c r="J9714" s="116"/>
      <c r="K9714" s="213"/>
      <c r="L9714" s="120"/>
      <c r="M9714" s="120"/>
      <c r="N9714" s="167"/>
      <c r="O9714" s="120"/>
      <c r="P9714" s="120"/>
      <c r="Q9714" s="120"/>
      <c r="R9714" s="120"/>
      <c r="S9714" s="120"/>
      <c r="T9714" s="221"/>
      <c r="U9714" s="89"/>
      <c r="V9714" s="61"/>
      <c r="W9714" s="92" t="s">
        <v>65</v>
      </c>
      <c r="X9714" s="93" t="s">
        <v>30</v>
      </c>
      <c r="Y9714" s="93" t="s">
        <v>1011</v>
      </c>
      <c r="Z9714" s="134">
        <f>VLOOKUP(W9714,Sheet2!$B:$D,3,FALSE)</f>
        <v>1.76</v>
      </c>
      <c r="AA9714" s="93">
        <f>AA9713/9</f>
        <v>13.397372775198784</v>
      </c>
      <c r="AB9714" s="93">
        <f>AD9714/AC9711</f>
        <v>0.13136903999999999</v>
      </c>
      <c r="AC9714" s="93">
        <f>AC9711/AA9714</f>
        <v>433.66718964149987</v>
      </c>
      <c r="AD9714" s="94">
        <f t="shared" si="6504"/>
        <v>763.25425376903979</v>
      </c>
      <c r="AE9714" s="190"/>
      <c r="AF9714" s="191"/>
      <c r="AG9714" s="191"/>
      <c r="AH9714" s="191"/>
      <c r="AI9714" s="186"/>
      <c r="AK9714" s="171"/>
    </row>
    <row r="9715" spans="1:41" s="102" customFormat="1" ht="19.899999999999999" customHeight="1" x14ac:dyDescent="0.25">
      <c r="A9715" s="45"/>
      <c r="B9715" s="59"/>
      <c r="C9715" s="137"/>
      <c r="D9715" s="59"/>
      <c r="E9715" s="116"/>
      <c r="F9715" s="120"/>
      <c r="G9715" s="120"/>
      <c r="H9715" s="120"/>
      <c r="I9715" s="60"/>
      <c r="J9715" s="116"/>
      <c r="K9715" s="213"/>
      <c r="L9715" s="120"/>
      <c r="M9715" s="120"/>
      <c r="N9715" s="167"/>
      <c r="O9715" s="120"/>
      <c r="P9715" s="120"/>
      <c r="Q9715" s="120"/>
      <c r="R9715" s="120"/>
      <c r="S9715" s="120"/>
      <c r="T9715" s="221"/>
      <c r="U9715" s="89"/>
      <c r="V9715" s="61"/>
      <c r="W9715" s="92" t="s">
        <v>161</v>
      </c>
      <c r="X9715" s="93" t="s">
        <v>29</v>
      </c>
      <c r="Y9715" s="93" t="s">
        <v>93</v>
      </c>
      <c r="Z9715" s="134">
        <f>VLOOKUP(W9715,Sheet2!$B:$D,3,FALSE)</f>
        <v>48</v>
      </c>
      <c r="AA9715" s="93">
        <f>(16*0.85*1)/((1*(0.3+0.3+0.3))-(3.14/4*0.3*0.3))</f>
        <v>16.398384276843313</v>
      </c>
      <c r="AB9715" s="93">
        <f>AD9715/AC9711</f>
        <v>2.9271176470588229</v>
      </c>
      <c r="AC9715" s="93">
        <f>AC9711/AA9715</f>
        <v>354.3032595110293</v>
      </c>
      <c r="AD9715" s="94">
        <f>AC9715*Z9715</f>
        <v>17006.556456529404</v>
      </c>
      <c r="AE9715" s="190"/>
      <c r="AF9715" s="191"/>
      <c r="AG9715" s="191"/>
      <c r="AH9715" s="191"/>
      <c r="AI9715" s="186"/>
      <c r="AK9715" s="171"/>
    </row>
    <row r="9716" spans="1:41" s="102" customFormat="1" ht="19.899999999999999" customHeight="1" x14ac:dyDescent="0.25">
      <c r="A9716" s="45"/>
      <c r="B9716" s="59"/>
      <c r="C9716" s="137"/>
      <c r="D9716" s="59"/>
      <c r="E9716" s="116"/>
      <c r="F9716" s="120"/>
      <c r="G9716" s="120"/>
      <c r="H9716" s="120"/>
      <c r="I9716" s="60"/>
      <c r="J9716" s="116"/>
      <c r="K9716" s="213"/>
      <c r="L9716" s="120"/>
      <c r="M9716" s="120"/>
      <c r="N9716" s="167"/>
      <c r="O9716" s="120"/>
      <c r="P9716" s="120"/>
      <c r="Q9716" s="120"/>
      <c r="R9716" s="120"/>
      <c r="S9716" s="120"/>
      <c r="T9716" s="221"/>
      <c r="U9716" s="89"/>
      <c r="V9716" s="61"/>
      <c r="W9716" s="92" t="s">
        <v>65</v>
      </c>
      <c r="X9716" s="93" t="s">
        <v>30</v>
      </c>
      <c r="Y9716" s="93" t="s">
        <v>1011</v>
      </c>
      <c r="Z9716" s="134">
        <f>VLOOKUP(W9716,Sheet2!$B:$D,3,FALSE)</f>
        <v>1.76</v>
      </c>
      <c r="AA9716" s="93">
        <f>AA9715/10</f>
        <v>1.6398384276843312</v>
      </c>
      <c r="AB9716" s="93">
        <f>AD9716/AC9711</f>
        <v>1.0732764705882352</v>
      </c>
      <c r="AC9716" s="93">
        <f>AC9711/AA9716</f>
        <v>3543.0325951102927</v>
      </c>
      <c r="AD9716" s="94">
        <f>AC9716*Z9716</f>
        <v>6235.7373673941156</v>
      </c>
      <c r="AE9716" s="190"/>
      <c r="AF9716" s="191"/>
      <c r="AG9716" s="191"/>
      <c r="AH9716" s="191"/>
      <c r="AI9716" s="186"/>
      <c r="AK9716" s="171"/>
    </row>
    <row r="9717" spans="1:41" s="102" customFormat="1" ht="19.899999999999999" customHeight="1" x14ac:dyDescent="0.25">
      <c r="A9717" s="45"/>
      <c r="B9717" s="59"/>
      <c r="C9717" s="137"/>
      <c r="D9717" s="59"/>
      <c r="E9717" s="116"/>
      <c r="F9717" s="120"/>
      <c r="G9717" s="120"/>
      <c r="H9717" s="120"/>
      <c r="I9717" s="60"/>
      <c r="J9717" s="116"/>
      <c r="K9717" s="213"/>
      <c r="L9717" s="120"/>
      <c r="M9717" s="120"/>
      <c r="N9717" s="167"/>
      <c r="O9717" s="120"/>
      <c r="P9717" s="120"/>
      <c r="Q9717" s="120"/>
      <c r="R9717" s="120"/>
      <c r="S9717" s="120"/>
      <c r="T9717" s="221"/>
      <c r="U9717" s="89"/>
      <c r="V9717" s="61"/>
      <c r="W9717" s="92" t="s">
        <v>173</v>
      </c>
      <c r="X9717" s="93" t="s">
        <v>29</v>
      </c>
      <c r="Y9717" s="93" t="s">
        <v>93</v>
      </c>
      <c r="Z9717" s="134">
        <f>VLOOKUP(W9717,Sheet2!$B:$D,3,FALSE)</f>
        <v>36</v>
      </c>
      <c r="AA9717" s="93">
        <f>50/((1*(0.3+0.3+0.3))-(3.14/4*0.3*0.3))</f>
        <v>60.288177488394531</v>
      </c>
      <c r="AB9717" s="93">
        <f>AD9717/AC9711</f>
        <v>0.59713199999999989</v>
      </c>
      <c r="AC9717" s="93">
        <f>AC9711/AA9717</f>
        <v>96.370486586999959</v>
      </c>
      <c r="AD9717" s="94">
        <f>AC9717*Z9717</f>
        <v>3469.3375171319985</v>
      </c>
      <c r="AE9717" s="190"/>
      <c r="AF9717" s="191"/>
      <c r="AG9717" s="191"/>
      <c r="AH9717" s="191"/>
      <c r="AI9717" s="186"/>
      <c r="AK9717" s="171"/>
    </row>
    <row r="9718" spans="1:41" s="102" customFormat="1" ht="19.899999999999999" customHeight="1" x14ac:dyDescent="0.25">
      <c r="A9718" s="45"/>
      <c r="B9718" s="59"/>
      <c r="C9718" s="137"/>
      <c r="D9718" s="59"/>
      <c r="E9718" s="116"/>
      <c r="F9718" s="120"/>
      <c r="G9718" s="120"/>
      <c r="H9718" s="120"/>
      <c r="I9718" s="60"/>
      <c r="J9718" s="116"/>
      <c r="K9718" s="213"/>
      <c r="L9718" s="120"/>
      <c r="M9718" s="120"/>
      <c r="N9718" s="167"/>
      <c r="O9718" s="120"/>
      <c r="P9718" s="120"/>
      <c r="Q9718" s="120"/>
      <c r="R9718" s="120"/>
      <c r="S9718" s="120"/>
      <c r="T9718" s="221"/>
      <c r="U9718" s="89"/>
      <c r="V9718" s="61"/>
      <c r="W9718" s="92" t="s">
        <v>65</v>
      </c>
      <c r="X9718" s="93" t="s">
        <v>30</v>
      </c>
      <c r="Y9718" s="93" t="s">
        <v>1011</v>
      </c>
      <c r="Z9718" s="134">
        <f>VLOOKUP(W9718,Sheet2!$B:$D,3,FALSE)</f>
        <v>1.76</v>
      </c>
      <c r="AA9718" s="93">
        <f>AA9717/9</f>
        <v>6.6986863875993921</v>
      </c>
      <c r="AB9718" s="93">
        <f>AD9718/AC9711</f>
        <v>0.26273807999999998</v>
      </c>
      <c r="AC9718" s="93">
        <f>AC9711/AA9718</f>
        <v>867.33437928299975</v>
      </c>
      <c r="AD9718" s="94">
        <f>AC9718*Z9718</f>
        <v>1526.5085075380796</v>
      </c>
      <c r="AE9718" s="190"/>
      <c r="AF9718" s="191"/>
      <c r="AG9718" s="191"/>
      <c r="AH9718" s="191"/>
      <c r="AI9718" s="186"/>
      <c r="AK9718" s="171"/>
    </row>
    <row r="9719" spans="1:41" ht="20.100000000000001" customHeight="1" x14ac:dyDescent="0.25">
      <c r="A9719" s="277" t="s">
        <v>703</v>
      </c>
      <c r="B9719" s="278"/>
      <c r="C9719" s="64" t="s">
        <v>853</v>
      </c>
      <c r="D9719" s="46" t="s">
        <v>97</v>
      </c>
      <c r="E9719" s="114">
        <v>65.346000000000458</v>
      </c>
      <c r="F9719" s="44">
        <v>156</v>
      </c>
      <c r="G9719" s="44">
        <f t="shared" si="5545"/>
        <v>10193.976000000072</v>
      </c>
      <c r="H9719" s="44">
        <f t="shared" si="5546"/>
        <v>82.379329280000007</v>
      </c>
      <c r="I9719" s="43">
        <f t="shared" si="5547"/>
        <v>5383.1596511309181</v>
      </c>
      <c r="J9719" s="112">
        <f t="shared" si="5548"/>
        <v>65.346000000000458</v>
      </c>
      <c r="K9719" s="211">
        <f t="shared" si="5549"/>
        <v>65.346000000000458</v>
      </c>
      <c r="L9719" s="44"/>
      <c r="M9719" s="44">
        <f t="shared" si="5550"/>
        <v>65.346000000000458</v>
      </c>
      <c r="N9719" s="173">
        <f t="shared" si="5551"/>
        <v>1</v>
      </c>
      <c r="O9719" s="44">
        <f t="shared" si="5552"/>
        <v>156</v>
      </c>
      <c r="P9719" s="44">
        <f t="shared" si="5553"/>
        <v>10193.976000000072</v>
      </c>
      <c r="Q9719" s="44">
        <f t="shared" si="5554"/>
        <v>82.379329280000007</v>
      </c>
      <c r="R9719" s="44">
        <f t="shared" si="5555"/>
        <v>5383.1596511309181</v>
      </c>
      <c r="S9719" s="123"/>
      <c r="T9719" s="219">
        <f t="shared" si="5556"/>
        <v>5383.1596511309181</v>
      </c>
      <c r="U9719" s="87"/>
      <c r="V9719" s="47"/>
      <c r="W9719" s="48"/>
      <c r="X9719" s="48"/>
      <c r="Y9719" s="48"/>
      <c r="Z9719" s="135"/>
      <c r="AA9719" s="49"/>
      <c r="AB9719" s="50">
        <f t="shared" si="5557"/>
        <v>82.379329280000007</v>
      </c>
      <c r="AC9719" s="42">
        <f t="shared" si="5558"/>
        <v>65.346000000000458</v>
      </c>
      <c r="AD9719" s="90">
        <f>AD9720</f>
        <v>5383.1596511309181</v>
      </c>
      <c r="AE9719" s="188">
        <f t="shared" ref="AE9719:AH9719" si="6505">AE9720</f>
        <v>0</v>
      </c>
      <c r="AF9719" s="189">
        <f t="shared" si="6505"/>
        <v>0</v>
      </c>
      <c r="AG9719" s="189">
        <f t="shared" si="6505"/>
        <v>0</v>
      </c>
      <c r="AH9719" s="189">
        <f t="shared" si="6505"/>
        <v>0</v>
      </c>
      <c r="AI9719" s="161">
        <f t="shared" ref="AI9719" si="6506">SUM(AE9719:AH9719)</f>
        <v>0</v>
      </c>
      <c r="AK9719" s="169">
        <v>5</v>
      </c>
      <c r="AO9719" s="19" t="s">
        <v>63</v>
      </c>
    </row>
    <row r="9720" spans="1:41" s="103" customFormat="1" ht="19.899999999999999" customHeight="1" x14ac:dyDescent="0.25">
      <c r="A9720" s="51"/>
      <c r="B9720" s="52"/>
      <c r="C9720" s="165"/>
      <c r="D9720" s="52"/>
      <c r="E9720" s="115"/>
      <c r="F9720" s="58"/>
      <c r="G9720" s="58"/>
      <c r="H9720" s="58"/>
      <c r="I9720" s="55"/>
      <c r="J9720" s="113">
        <f>J9719</f>
        <v>65.346000000000458</v>
      </c>
      <c r="K9720" s="212">
        <f>K9719</f>
        <v>65.346000000000458</v>
      </c>
      <c r="L9720" s="58"/>
      <c r="M9720" s="58">
        <f>K9720-L9720</f>
        <v>65.346000000000458</v>
      </c>
      <c r="N9720" s="166"/>
      <c r="O9720" s="58"/>
      <c r="P9720" s="58"/>
      <c r="Q9720" s="58"/>
      <c r="R9720" s="58"/>
      <c r="S9720" s="58"/>
      <c r="T9720" s="220"/>
      <c r="U9720" s="88"/>
      <c r="V9720" s="56"/>
      <c r="W9720" s="57" t="s">
        <v>1572</v>
      </c>
      <c r="X9720" s="53"/>
      <c r="Y9720" s="91" t="s">
        <v>68</v>
      </c>
      <c r="Z9720" s="136">
        <f>AD9720/AC9720</f>
        <v>82.379329280000007</v>
      </c>
      <c r="AA9720" s="58"/>
      <c r="AB9720" s="53">
        <f>AD9720/AC9720</f>
        <v>82.379329280000007</v>
      </c>
      <c r="AC9720" s="53">
        <f>M9720+$AE$10</f>
        <v>65.346000000000458</v>
      </c>
      <c r="AD9720" s="54">
        <f>SUM(AD9721:AD9727)</f>
        <v>5383.1596511309181</v>
      </c>
      <c r="AE9720" s="184">
        <f>SUMIFS($AD$37:$AD$12971,$V$37:$V$12971,$V9720,$X$37:$X$12971,AE$13)</f>
        <v>0</v>
      </c>
      <c r="AF9720" s="185">
        <f>SUMIFS($AD$37:$AD$12971,$V$37:$V$12971,$V9720,$X$37:$X$12971,AF$13)</f>
        <v>0</v>
      </c>
      <c r="AG9720" s="185">
        <f>SUMIFS($AD$37:$AD$12971,$V$37:$V$12971,$V9720,$X$37:$X$12971,AG$13)</f>
        <v>0</v>
      </c>
      <c r="AH9720" s="187">
        <f>SUMIFS($AD$37:$AD$12971,$V$37:$V$12971,$V9720,$X$37:$X$12971,AH$13)</f>
        <v>0</v>
      </c>
      <c r="AI9720" s="161">
        <f t="shared" ref="AI9720" si="6507">SUM(AE9720:AH9720)</f>
        <v>0</v>
      </c>
      <c r="AK9720" s="172"/>
    </row>
    <row r="9721" spans="1:41" s="102" customFormat="1" ht="19.899999999999999" customHeight="1" x14ac:dyDescent="0.25">
      <c r="A9721" s="45"/>
      <c r="B9721" s="59"/>
      <c r="C9721" s="137"/>
      <c r="D9721" s="59"/>
      <c r="E9721" s="116"/>
      <c r="F9721" s="120"/>
      <c r="G9721" s="120"/>
      <c r="H9721" s="120"/>
      <c r="I9721" s="60"/>
      <c r="J9721" s="116"/>
      <c r="K9721" s="213"/>
      <c r="L9721" s="120"/>
      <c r="M9721" s="120"/>
      <c r="N9721" s="167"/>
      <c r="O9721" s="120"/>
      <c r="P9721" s="120"/>
      <c r="Q9721" s="120"/>
      <c r="R9721" s="120"/>
      <c r="S9721" s="120"/>
      <c r="T9721" s="221"/>
      <c r="U9721" s="89"/>
      <c r="V9721" s="61"/>
      <c r="W9721" s="92" t="s">
        <v>1570</v>
      </c>
      <c r="X9721" s="93" t="s">
        <v>30</v>
      </c>
      <c r="Y9721" s="93" t="s">
        <v>66</v>
      </c>
      <c r="Z9721" s="134">
        <f>VLOOKUP(W9721,Sheet2!$B:$D,3,FALSE)</f>
        <v>70</v>
      </c>
      <c r="AA9721" s="93">
        <f>1/((1.2*(0.4+0.3+0.3))-(3.14/4*0.4*0.4))</f>
        <v>0.93075204765450481</v>
      </c>
      <c r="AB9721" s="93">
        <f>AD9721/AC9720</f>
        <v>75.208000000000013</v>
      </c>
      <c r="AC9721" s="93">
        <f>AC9720/AA9721</f>
        <v>70.207742400000498</v>
      </c>
      <c r="AD9721" s="94">
        <f t="shared" ref="AD9721:AD9723" si="6508">AC9721*Z9721</f>
        <v>4914.541968000035</v>
      </c>
      <c r="AE9721" s="190"/>
      <c r="AF9721" s="191"/>
      <c r="AG9721" s="191"/>
      <c r="AH9721" s="191"/>
      <c r="AI9721" s="186"/>
      <c r="AK9721" s="171"/>
    </row>
    <row r="9722" spans="1:41" s="102" customFormat="1" ht="19.899999999999999" customHeight="1" x14ac:dyDescent="0.25">
      <c r="A9722" s="45"/>
      <c r="B9722" s="59"/>
      <c r="C9722" s="137"/>
      <c r="D9722" s="59"/>
      <c r="E9722" s="116"/>
      <c r="F9722" s="120"/>
      <c r="G9722" s="120"/>
      <c r="H9722" s="120"/>
      <c r="I9722" s="60"/>
      <c r="J9722" s="116"/>
      <c r="K9722" s="213"/>
      <c r="L9722" s="120"/>
      <c r="M9722" s="120"/>
      <c r="N9722" s="167"/>
      <c r="O9722" s="120"/>
      <c r="P9722" s="120"/>
      <c r="Q9722" s="120"/>
      <c r="R9722" s="120"/>
      <c r="S9722" s="120"/>
      <c r="T9722" s="221"/>
      <c r="U9722" s="89"/>
      <c r="V9722" s="61"/>
      <c r="W9722" s="92" t="s">
        <v>134</v>
      </c>
      <c r="X9722" s="93" t="s">
        <v>29</v>
      </c>
      <c r="Y9722" s="93" t="s">
        <v>93</v>
      </c>
      <c r="Z9722" s="134">
        <f>VLOOKUP(W9722,Sheet2!$B:$D,3,FALSE)</f>
        <v>65.599999999999994</v>
      </c>
      <c r="AA9722" s="93">
        <f>100/((1.2*(0.4+0.3+0.3))-(3.14/4*0.4*0.4))</f>
        <v>93.075204765450479</v>
      </c>
      <c r="AB9722" s="93">
        <f>AD9722/AC9720</f>
        <v>0.70480639999999994</v>
      </c>
      <c r="AC9722" s="93">
        <f>AC9720/AA9722</f>
        <v>0.70207742400000495</v>
      </c>
      <c r="AD9722" s="94">
        <f t="shared" si="6508"/>
        <v>46.056279014400317</v>
      </c>
      <c r="AE9722" s="190"/>
      <c r="AF9722" s="191"/>
      <c r="AG9722" s="191"/>
      <c r="AH9722" s="191"/>
      <c r="AI9722" s="186"/>
      <c r="AK9722" s="171"/>
    </row>
    <row r="9723" spans="1:41" s="102" customFormat="1" ht="19.899999999999999" customHeight="1" x14ac:dyDescent="0.25">
      <c r="A9723" s="45"/>
      <c r="B9723" s="59"/>
      <c r="C9723" s="137"/>
      <c r="D9723" s="59"/>
      <c r="E9723" s="116"/>
      <c r="F9723" s="120"/>
      <c r="G9723" s="120"/>
      <c r="H9723" s="120"/>
      <c r="I9723" s="60"/>
      <c r="J9723" s="116"/>
      <c r="K9723" s="213"/>
      <c r="L9723" s="120"/>
      <c r="M9723" s="120"/>
      <c r="N9723" s="167"/>
      <c r="O9723" s="120"/>
      <c r="P9723" s="120"/>
      <c r="Q9723" s="120"/>
      <c r="R9723" s="120"/>
      <c r="S9723" s="120"/>
      <c r="T9723" s="221"/>
      <c r="U9723" s="89"/>
      <c r="V9723" s="61"/>
      <c r="W9723" s="92" t="s">
        <v>65</v>
      </c>
      <c r="X9723" s="93" t="s">
        <v>30</v>
      </c>
      <c r="Y9723" s="93" t="s">
        <v>1011</v>
      </c>
      <c r="Z9723" s="134">
        <f>VLOOKUP(W9723,Sheet2!$B:$D,3,FALSE)</f>
        <v>1.76</v>
      </c>
      <c r="AA9723" s="93">
        <f>AA9722/9</f>
        <v>10.341689418383387</v>
      </c>
      <c r="AB9723" s="93">
        <f>AD9723/AC9720</f>
        <v>0.17018496000000002</v>
      </c>
      <c r="AC9723" s="93">
        <f>AC9720/AA9723</f>
        <v>6.3186968160000445</v>
      </c>
      <c r="AD9723" s="94">
        <f t="shared" si="6508"/>
        <v>11.120906396160079</v>
      </c>
      <c r="AE9723" s="190"/>
      <c r="AF9723" s="191"/>
      <c r="AG9723" s="191"/>
      <c r="AH9723" s="191"/>
      <c r="AI9723" s="186"/>
      <c r="AK9723" s="171"/>
    </row>
    <row r="9724" spans="1:41" s="102" customFormat="1" ht="19.899999999999999" customHeight="1" x14ac:dyDescent="0.25">
      <c r="A9724" s="45"/>
      <c r="B9724" s="59"/>
      <c r="C9724" s="137"/>
      <c r="D9724" s="59"/>
      <c r="E9724" s="116"/>
      <c r="F9724" s="120"/>
      <c r="G9724" s="120"/>
      <c r="H9724" s="120"/>
      <c r="I9724" s="60"/>
      <c r="J9724" s="116"/>
      <c r="K9724" s="213"/>
      <c r="L9724" s="120"/>
      <c r="M9724" s="120"/>
      <c r="N9724" s="167"/>
      <c r="O9724" s="120"/>
      <c r="P9724" s="120"/>
      <c r="Q9724" s="120"/>
      <c r="R9724" s="120"/>
      <c r="S9724" s="120"/>
      <c r="T9724" s="221"/>
      <c r="U9724" s="89"/>
      <c r="V9724" s="61"/>
      <c r="W9724" s="92" t="s">
        <v>161</v>
      </c>
      <c r="X9724" s="93" t="s">
        <v>29</v>
      </c>
      <c r="Y9724" s="93" t="s">
        <v>93</v>
      </c>
      <c r="Z9724" s="134">
        <f>VLOOKUP(W9724,Sheet2!$B:$D,3,FALSE)</f>
        <v>48</v>
      </c>
      <c r="AA9724" s="93">
        <f>(16*0.85*1)/((1.2*(0.4+0.3+0.3))-(3.14/4*0.4*0.4))</f>
        <v>12.658227848101266</v>
      </c>
      <c r="AB9724" s="93">
        <f>AD9724/AC9720</f>
        <v>3.7919999999999994</v>
      </c>
      <c r="AC9724" s="93">
        <f>AC9720/AA9724</f>
        <v>5.1623340000000359</v>
      </c>
      <c r="AD9724" s="94">
        <f>AC9724*Z9724</f>
        <v>247.79203200000171</v>
      </c>
      <c r="AE9724" s="190"/>
      <c r="AF9724" s="191"/>
      <c r="AG9724" s="191"/>
      <c r="AH9724" s="191"/>
      <c r="AI9724" s="186"/>
      <c r="AK9724" s="171"/>
    </row>
    <row r="9725" spans="1:41" s="102" customFormat="1" ht="19.899999999999999" customHeight="1" x14ac:dyDescent="0.25">
      <c r="A9725" s="45"/>
      <c r="B9725" s="59"/>
      <c r="C9725" s="137"/>
      <c r="D9725" s="59"/>
      <c r="E9725" s="116"/>
      <c r="F9725" s="120"/>
      <c r="G9725" s="120"/>
      <c r="H9725" s="120"/>
      <c r="I9725" s="60"/>
      <c r="J9725" s="116"/>
      <c r="K9725" s="213"/>
      <c r="L9725" s="120"/>
      <c r="M9725" s="120"/>
      <c r="N9725" s="167"/>
      <c r="O9725" s="120"/>
      <c r="P9725" s="120"/>
      <c r="Q9725" s="120"/>
      <c r="R9725" s="120"/>
      <c r="S9725" s="120"/>
      <c r="T9725" s="221"/>
      <c r="U9725" s="89"/>
      <c r="V9725" s="61"/>
      <c r="W9725" s="92" t="s">
        <v>65</v>
      </c>
      <c r="X9725" s="93" t="s">
        <v>30</v>
      </c>
      <c r="Y9725" s="93" t="s">
        <v>1011</v>
      </c>
      <c r="Z9725" s="134">
        <f>VLOOKUP(W9725,Sheet2!$B:$D,3,FALSE)</f>
        <v>1.76</v>
      </c>
      <c r="AA9725" s="93">
        <f>AA9724/10</f>
        <v>1.2658227848101267</v>
      </c>
      <c r="AB9725" s="93">
        <f>AD9725/AC9720</f>
        <v>1.3903999999999999</v>
      </c>
      <c r="AC9725" s="93">
        <f>AC9720/AA9725</f>
        <v>51.623340000000361</v>
      </c>
      <c r="AD9725" s="94">
        <f>AC9725*Z9725</f>
        <v>90.857078400000631</v>
      </c>
      <c r="AE9725" s="190"/>
      <c r="AF9725" s="191"/>
      <c r="AG9725" s="191"/>
      <c r="AH9725" s="191"/>
      <c r="AI9725" s="186"/>
      <c r="AK9725" s="171"/>
    </row>
    <row r="9726" spans="1:41" s="102" customFormat="1" ht="19.899999999999999" customHeight="1" x14ac:dyDescent="0.25">
      <c r="A9726" s="45"/>
      <c r="B9726" s="59"/>
      <c r="C9726" s="137"/>
      <c r="D9726" s="59"/>
      <c r="E9726" s="116"/>
      <c r="F9726" s="120"/>
      <c r="G9726" s="120"/>
      <c r="H9726" s="120"/>
      <c r="I9726" s="60"/>
      <c r="J9726" s="116"/>
      <c r="K9726" s="213"/>
      <c r="L9726" s="120"/>
      <c r="M9726" s="120"/>
      <c r="N9726" s="167"/>
      <c r="O9726" s="120"/>
      <c r="P9726" s="120"/>
      <c r="Q9726" s="120"/>
      <c r="R9726" s="120"/>
      <c r="S9726" s="120"/>
      <c r="T9726" s="221"/>
      <c r="U9726" s="89"/>
      <c r="V9726" s="61"/>
      <c r="W9726" s="92" t="s">
        <v>173</v>
      </c>
      <c r="X9726" s="93" t="s">
        <v>29</v>
      </c>
      <c r="Y9726" s="93" t="s">
        <v>93</v>
      </c>
      <c r="Z9726" s="134">
        <f>VLOOKUP(W9726,Sheet2!$B:$D,3,FALSE)</f>
        <v>36</v>
      </c>
      <c r="AA9726" s="93">
        <f>50/((1.2*(0.4+0.3+0.3))-(3.14/4*0.4*0.4))</f>
        <v>46.53760238272524</v>
      </c>
      <c r="AB9726" s="93">
        <f>AD9726/AC9720</f>
        <v>0.77356800000000003</v>
      </c>
      <c r="AC9726" s="93">
        <f>AC9720/AA9726</f>
        <v>1.4041548480000099</v>
      </c>
      <c r="AD9726" s="94">
        <f>AC9726*Z9726</f>
        <v>50.549574528000356</v>
      </c>
      <c r="AE9726" s="190"/>
      <c r="AF9726" s="191"/>
      <c r="AG9726" s="191"/>
      <c r="AH9726" s="191"/>
      <c r="AI9726" s="186"/>
      <c r="AK9726" s="171"/>
    </row>
    <row r="9727" spans="1:41" s="102" customFormat="1" ht="19.899999999999999" customHeight="1" x14ac:dyDescent="0.25">
      <c r="A9727" s="45"/>
      <c r="B9727" s="59"/>
      <c r="C9727" s="137"/>
      <c r="D9727" s="59"/>
      <c r="E9727" s="116"/>
      <c r="F9727" s="120"/>
      <c r="G9727" s="120"/>
      <c r="H9727" s="120"/>
      <c r="I9727" s="60"/>
      <c r="J9727" s="116"/>
      <c r="K9727" s="213"/>
      <c r="L9727" s="120"/>
      <c r="M9727" s="120"/>
      <c r="N9727" s="167"/>
      <c r="O9727" s="120"/>
      <c r="P9727" s="120"/>
      <c r="Q9727" s="120"/>
      <c r="R9727" s="120"/>
      <c r="S9727" s="120"/>
      <c r="T9727" s="221"/>
      <c r="U9727" s="89"/>
      <c r="V9727" s="61"/>
      <c r="W9727" s="92" t="s">
        <v>65</v>
      </c>
      <c r="X9727" s="93" t="s">
        <v>30</v>
      </c>
      <c r="Y9727" s="93" t="s">
        <v>1011</v>
      </c>
      <c r="Z9727" s="134">
        <f>VLOOKUP(W9727,Sheet2!$B:$D,3,FALSE)</f>
        <v>1.76</v>
      </c>
      <c r="AA9727" s="93">
        <f>AA9726/9</f>
        <v>5.1708447091916936</v>
      </c>
      <c r="AB9727" s="93">
        <f>AD9727/AC9720</f>
        <v>0.34036992000000005</v>
      </c>
      <c r="AC9727" s="93">
        <f>AC9720/AA9727</f>
        <v>12.637393632000089</v>
      </c>
      <c r="AD9727" s="94">
        <f>AC9727*Z9727</f>
        <v>22.241812792320157</v>
      </c>
      <c r="AE9727" s="190"/>
      <c r="AF9727" s="191"/>
      <c r="AG9727" s="191"/>
      <c r="AH9727" s="191"/>
      <c r="AI9727" s="186"/>
      <c r="AK9727" s="171"/>
    </row>
    <row r="9728" spans="1:41" ht="20.100000000000001" customHeight="1" x14ac:dyDescent="0.25">
      <c r="A9728" s="277" t="s">
        <v>703</v>
      </c>
      <c r="B9728" s="278"/>
      <c r="C9728" s="64" t="s">
        <v>853</v>
      </c>
      <c r="D9728" s="46"/>
      <c r="E9728" s="114"/>
      <c r="F9728" s="44">
        <v>0</v>
      </c>
      <c r="G9728" s="44">
        <f t="shared" si="5545"/>
        <v>0</v>
      </c>
      <c r="H9728" s="44">
        <f t="shared" si="5546"/>
        <v>0</v>
      </c>
      <c r="I9728" s="43">
        <f t="shared" si="5547"/>
        <v>0</v>
      </c>
      <c r="J9728" s="112">
        <f t="shared" si="5548"/>
        <v>0</v>
      </c>
      <c r="K9728" s="211">
        <f t="shared" si="5549"/>
        <v>0</v>
      </c>
      <c r="L9728" s="44"/>
      <c r="M9728" s="44">
        <f t="shared" si="5550"/>
        <v>0</v>
      </c>
      <c r="N9728" s="173">
        <f t="shared" si="5551"/>
        <v>0</v>
      </c>
      <c r="O9728" s="44">
        <f t="shared" si="5552"/>
        <v>0</v>
      </c>
      <c r="P9728" s="44">
        <f t="shared" si="5553"/>
        <v>0</v>
      </c>
      <c r="Q9728" s="44">
        <f t="shared" si="5554"/>
        <v>0</v>
      </c>
      <c r="R9728" s="44">
        <f t="shared" si="5555"/>
        <v>0</v>
      </c>
      <c r="S9728" s="123"/>
      <c r="T9728" s="219">
        <f t="shared" si="5556"/>
        <v>0</v>
      </c>
      <c r="U9728" s="87"/>
      <c r="V9728" s="47"/>
      <c r="W9728" s="48"/>
      <c r="X9728" s="48"/>
      <c r="Y9728" s="48"/>
      <c r="Z9728" s="135"/>
      <c r="AA9728" s="49"/>
      <c r="AB9728" s="50">
        <f t="shared" si="5557"/>
        <v>0</v>
      </c>
      <c r="AC9728" s="42">
        <f t="shared" si="5558"/>
        <v>9.9999999999999998E-20</v>
      </c>
      <c r="AD9728" s="90"/>
      <c r="AE9728" s="188"/>
      <c r="AF9728" s="189"/>
      <c r="AG9728" s="189"/>
      <c r="AH9728" s="189"/>
      <c r="AI9728" s="161"/>
    </row>
    <row r="9729" spans="1:41" ht="20.100000000000001" customHeight="1" x14ac:dyDescent="0.25">
      <c r="A9729" s="277" t="s">
        <v>703</v>
      </c>
      <c r="B9729" s="278"/>
      <c r="C9729" s="64" t="s">
        <v>854</v>
      </c>
      <c r="D9729" s="46" t="s">
        <v>97</v>
      </c>
      <c r="E9729" s="114">
        <v>86.001000000000204</v>
      </c>
      <c r="F9729" s="44">
        <v>187</v>
      </c>
      <c r="G9729" s="44">
        <f t="shared" si="5545"/>
        <v>16082.187000000038</v>
      </c>
      <c r="H9729" s="44">
        <f t="shared" si="5546"/>
        <v>111.46588788235294</v>
      </c>
      <c r="I9729" s="43">
        <f t="shared" si="5547"/>
        <v>9586.1778237702583</v>
      </c>
      <c r="J9729" s="112">
        <f t="shared" si="5548"/>
        <v>86.001000000000204</v>
      </c>
      <c r="K9729" s="211">
        <f t="shared" si="5549"/>
        <v>86.001000000000204</v>
      </c>
      <c r="L9729" s="44"/>
      <c r="M9729" s="44">
        <f t="shared" si="5550"/>
        <v>86.001000000000204</v>
      </c>
      <c r="N9729" s="173">
        <f t="shared" si="5551"/>
        <v>1</v>
      </c>
      <c r="O9729" s="44">
        <f t="shared" si="5552"/>
        <v>187</v>
      </c>
      <c r="P9729" s="44">
        <f t="shared" si="5553"/>
        <v>16082.187000000038</v>
      </c>
      <c r="Q9729" s="44">
        <f t="shared" si="5554"/>
        <v>111.46588788235294</v>
      </c>
      <c r="R9729" s="44">
        <f t="shared" si="5555"/>
        <v>9586.1778237702583</v>
      </c>
      <c r="S9729" s="123"/>
      <c r="T9729" s="219">
        <f t="shared" si="5556"/>
        <v>9586.1778237702583</v>
      </c>
      <c r="U9729" s="87"/>
      <c r="V9729" s="47"/>
      <c r="W9729" s="48"/>
      <c r="X9729" s="48"/>
      <c r="Y9729" s="48"/>
      <c r="Z9729" s="135"/>
      <c r="AA9729" s="49"/>
      <c r="AB9729" s="50">
        <f t="shared" si="5557"/>
        <v>111.46588788235294</v>
      </c>
      <c r="AC9729" s="42">
        <f t="shared" si="5558"/>
        <v>86.001000000000204</v>
      </c>
      <c r="AD9729" s="90">
        <f>AD9730</f>
        <v>9586.1778237702583</v>
      </c>
      <c r="AE9729" s="188">
        <f t="shared" ref="AE9729" si="6509">AE9730</f>
        <v>0</v>
      </c>
      <c r="AF9729" s="189">
        <f t="shared" ref="AF9729" si="6510">AF9730</f>
        <v>0</v>
      </c>
      <c r="AG9729" s="189">
        <f t="shared" ref="AG9729" si="6511">AG9730</f>
        <v>0</v>
      </c>
      <c r="AH9729" s="189">
        <f t="shared" ref="AH9729" si="6512">AH9730</f>
        <v>0</v>
      </c>
      <c r="AI9729" s="161">
        <f t="shared" ref="AI9729" si="6513">SUM(AE9729:AH9729)</f>
        <v>0</v>
      </c>
      <c r="AK9729" s="169">
        <v>5</v>
      </c>
      <c r="AO9729" s="19" t="s">
        <v>63</v>
      </c>
    </row>
    <row r="9730" spans="1:41" s="103" customFormat="1" ht="19.899999999999999" customHeight="1" x14ac:dyDescent="0.25">
      <c r="A9730" s="51"/>
      <c r="B9730" s="52"/>
      <c r="C9730" s="165"/>
      <c r="D9730" s="52"/>
      <c r="E9730" s="115"/>
      <c r="F9730" s="58"/>
      <c r="G9730" s="58"/>
      <c r="H9730" s="58"/>
      <c r="I9730" s="55"/>
      <c r="J9730" s="113">
        <f>J9729</f>
        <v>86.001000000000204</v>
      </c>
      <c r="K9730" s="212">
        <f>K9729</f>
        <v>86.001000000000204</v>
      </c>
      <c r="L9730" s="58"/>
      <c r="M9730" s="58">
        <f>K9730-L9730</f>
        <v>86.001000000000204</v>
      </c>
      <c r="N9730" s="166"/>
      <c r="O9730" s="58"/>
      <c r="P9730" s="58"/>
      <c r="Q9730" s="58"/>
      <c r="R9730" s="58"/>
      <c r="S9730" s="58"/>
      <c r="T9730" s="220"/>
      <c r="U9730" s="88"/>
      <c r="V9730" s="56"/>
      <c r="W9730" s="57" t="s">
        <v>1573</v>
      </c>
      <c r="X9730" s="53"/>
      <c r="Y9730" s="91" t="s">
        <v>68</v>
      </c>
      <c r="Z9730" s="136">
        <f>AD9730/AC9730</f>
        <v>111.46588788235294</v>
      </c>
      <c r="AA9730" s="58"/>
      <c r="AB9730" s="53">
        <f>AD9730/AC9730</f>
        <v>111.46588788235294</v>
      </c>
      <c r="AC9730" s="53">
        <f>M9730+$AE$10</f>
        <v>86.001000000000204</v>
      </c>
      <c r="AD9730" s="54">
        <f>SUM(AD9731:AD9737)</f>
        <v>9586.1778237702583</v>
      </c>
      <c r="AE9730" s="184">
        <f>SUMIFS($AD$37:$AD$12971,$V$37:$V$12971,$V9730,$X$37:$X$12971,AE$13)</f>
        <v>0</v>
      </c>
      <c r="AF9730" s="185">
        <f>SUMIFS($AD$37:$AD$12971,$V$37:$V$12971,$V9730,$X$37:$X$12971,AF$13)</f>
        <v>0</v>
      </c>
      <c r="AG9730" s="185">
        <f>SUMIFS($AD$37:$AD$12971,$V$37:$V$12971,$V9730,$X$37:$X$12971,AG$13)</f>
        <v>0</v>
      </c>
      <c r="AH9730" s="187">
        <f>SUMIFS($AD$37:$AD$12971,$V$37:$V$12971,$V9730,$X$37:$X$12971,AH$13)</f>
        <v>0</v>
      </c>
      <c r="AI9730" s="161">
        <f t="shared" ref="AI9730" si="6514">SUM(AE9730:AH9730)</f>
        <v>0</v>
      </c>
      <c r="AK9730" s="172"/>
    </row>
    <row r="9731" spans="1:41" s="102" customFormat="1" ht="19.899999999999999" customHeight="1" x14ac:dyDescent="0.25">
      <c r="A9731" s="45"/>
      <c r="B9731" s="59"/>
      <c r="C9731" s="137"/>
      <c r="D9731" s="59"/>
      <c r="E9731" s="116"/>
      <c r="F9731" s="120"/>
      <c r="G9731" s="120"/>
      <c r="H9731" s="120"/>
      <c r="I9731" s="60"/>
      <c r="J9731" s="116"/>
      <c r="K9731" s="213"/>
      <c r="L9731" s="120"/>
      <c r="M9731" s="120"/>
      <c r="N9731" s="167"/>
      <c r="O9731" s="120"/>
      <c r="P9731" s="120"/>
      <c r="Q9731" s="120"/>
      <c r="R9731" s="120"/>
      <c r="S9731" s="120"/>
      <c r="T9731" s="221"/>
      <c r="U9731" s="89"/>
      <c r="V9731" s="61"/>
      <c r="W9731" s="92" t="s">
        <v>1570</v>
      </c>
      <c r="X9731" s="93" t="s">
        <v>30</v>
      </c>
      <c r="Y9731" s="93" t="s">
        <v>66</v>
      </c>
      <c r="Z9731" s="134">
        <f>VLOOKUP(W9731,Sheet2!$B:$D,3,FALSE)</f>
        <v>70</v>
      </c>
      <c r="AA9731" s="93">
        <f>1/((1.5*(0.5+0.3+0.3))-(3.14/4*0.5*0.5))</f>
        <v>0.68787618228718828</v>
      </c>
      <c r="AB9731" s="93">
        <f>AD9731/AC9730</f>
        <v>101.7625</v>
      </c>
      <c r="AC9731" s="93">
        <f>AC9730/AA9731</f>
        <v>125.0239537500003</v>
      </c>
      <c r="AD9731" s="94">
        <f t="shared" ref="AD9731:AD9733" si="6515">AC9731*Z9731</f>
        <v>8751.6767625000211</v>
      </c>
      <c r="AE9731" s="190"/>
      <c r="AF9731" s="191"/>
      <c r="AG9731" s="191"/>
      <c r="AH9731" s="191"/>
      <c r="AI9731" s="186"/>
      <c r="AK9731" s="171"/>
    </row>
    <row r="9732" spans="1:41" s="102" customFormat="1" ht="19.899999999999999" customHeight="1" x14ac:dyDescent="0.25">
      <c r="A9732" s="45"/>
      <c r="B9732" s="59"/>
      <c r="C9732" s="137"/>
      <c r="D9732" s="59"/>
      <c r="E9732" s="116"/>
      <c r="F9732" s="120"/>
      <c r="G9732" s="120"/>
      <c r="H9732" s="120"/>
      <c r="I9732" s="60"/>
      <c r="J9732" s="116"/>
      <c r="K9732" s="213"/>
      <c r="L9732" s="120"/>
      <c r="M9732" s="120"/>
      <c r="N9732" s="167"/>
      <c r="O9732" s="120"/>
      <c r="P9732" s="120"/>
      <c r="Q9732" s="120"/>
      <c r="R9732" s="120"/>
      <c r="S9732" s="120"/>
      <c r="T9732" s="221"/>
      <c r="U9732" s="89"/>
      <c r="V9732" s="61"/>
      <c r="W9732" s="92" t="s">
        <v>134</v>
      </c>
      <c r="X9732" s="93" t="s">
        <v>29</v>
      </c>
      <c r="Y9732" s="93" t="s">
        <v>93</v>
      </c>
      <c r="Z9732" s="134">
        <f>VLOOKUP(W9732,Sheet2!$B:$D,3,FALSE)</f>
        <v>65.599999999999994</v>
      </c>
      <c r="AA9732" s="93">
        <f>100/((1.5*(0.5+0.3+0.3))-(3.14/4*0.5*0.5))</f>
        <v>68.787618228718827</v>
      </c>
      <c r="AB9732" s="93">
        <f>AD9732/AC9730</f>
        <v>0.95365999999999995</v>
      </c>
      <c r="AC9732" s="93">
        <f>AC9730/AA9732</f>
        <v>1.2502395375000031</v>
      </c>
      <c r="AD9732" s="94">
        <f t="shared" si="6515"/>
        <v>82.015713660000188</v>
      </c>
      <c r="AE9732" s="190"/>
      <c r="AF9732" s="191"/>
      <c r="AG9732" s="191"/>
      <c r="AH9732" s="191"/>
      <c r="AI9732" s="186"/>
      <c r="AK9732" s="171"/>
    </row>
    <row r="9733" spans="1:41" s="102" customFormat="1" ht="19.899999999999999" customHeight="1" x14ac:dyDescent="0.25">
      <c r="A9733" s="45"/>
      <c r="B9733" s="59"/>
      <c r="C9733" s="137"/>
      <c r="D9733" s="59"/>
      <c r="E9733" s="116"/>
      <c r="F9733" s="120"/>
      <c r="G9733" s="120"/>
      <c r="H9733" s="120"/>
      <c r="I9733" s="60"/>
      <c r="J9733" s="116"/>
      <c r="K9733" s="213"/>
      <c r="L9733" s="120"/>
      <c r="M9733" s="120"/>
      <c r="N9733" s="167"/>
      <c r="O9733" s="120"/>
      <c r="P9733" s="120"/>
      <c r="Q9733" s="120"/>
      <c r="R9733" s="120"/>
      <c r="S9733" s="120"/>
      <c r="T9733" s="221"/>
      <c r="U9733" s="89"/>
      <c r="V9733" s="61"/>
      <c r="W9733" s="92" t="s">
        <v>65</v>
      </c>
      <c r="X9733" s="93" t="s">
        <v>30</v>
      </c>
      <c r="Y9733" s="93" t="s">
        <v>1011</v>
      </c>
      <c r="Z9733" s="134">
        <f>VLOOKUP(W9733,Sheet2!$B:$D,3,FALSE)</f>
        <v>1.76</v>
      </c>
      <c r="AA9733" s="93">
        <f>AA9732/9</f>
        <v>7.6430686920798694</v>
      </c>
      <c r="AB9733" s="93">
        <f>AD9733/AC9730</f>
        <v>0.23027400000000001</v>
      </c>
      <c r="AC9733" s="93">
        <f>AC9730/AA9733</f>
        <v>11.252155837500027</v>
      </c>
      <c r="AD9733" s="94">
        <f t="shared" si="6515"/>
        <v>19.803794274000047</v>
      </c>
      <c r="AE9733" s="190"/>
      <c r="AF9733" s="191"/>
      <c r="AG9733" s="191"/>
      <c r="AH9733" s="191"/>
      <c r="AI9733" s="186"/>
      <c r="AK9733" s="171"/>
    </row>
    <row r="9734" spans="1:41" s="102" customFormat="1" ht="19.899999999999999" customHeight="1" x14ac:dyDescent="0.25">
      <c r="A9734" s="45"/>
      <c r="B9734" s="59"/>
      <c r="C9734" s="137"/>
      <c r="D9734" s="59"/>
      <c r="E9734" s="116"/>
      <c r="F9734" s="120"/>
      <c r="G9734" s="120"/>
      <c r="H9734" s="120"/>
      <c r="I9734" s="60"/>
      <c r="J9734" s="116"/>
      <c r="K9734" s="213"/>
      <c r="L9734" s="120"/>
      <c r="M9734" s="120"/>
      <c r="N9734" s="167"/>
      <c r="O9734" s="120"/>
      <c r="P9734" s="120"/>
      <c r="Q9734" s="120"/>
      <c r="R9734" s="120"/>
      <c r="S9734" s="120"/>
      <c r="T9734" s="221"/>
      <c r="U9734" s="89"/>
      <c r="V9734" s="61"/>
      <c r="W9734" s="92" t="s">
        <v>161</v>
      </c>
      <c r="X9734" s="93" t="s">
        <v>29</v>
      </c>
      <c r="Y9734" s="93" t="s">
        <v>93</v>
      </c>
      <c r="Z9734" s="134">
        <f>VLOOKUP(W9734,Sheet2!$B:$D,3,FALSE)</f>
        <v>48</v>
      </c>
      <c r="AA9734" s="93">
        <f>(16*0.85*1)/((1.5*(0.5+0.3+0.3))-(3.14/4*0.5*0.5))</f>
        <v>9.3551160791057608</v>
      </c>
      <c r="AB9734" s="93">
        <f>AD9734/AC9730</f>
        <v>5.1308823529411764</v>
      </c>
      <c r="AC9734" s="93">
        <f>AC9730/AA9734</f>
        <v>9.1929377757353166</v>
      </c>
      <c r="AD9734" s="94">
        <f>AC9734*Z9734</f>
        <v>441.2610132352952</v>
      </c>
      <c r="AE9734" s="190"/>
      <c r="AF9734" s="191"/>
      <c r="AG9734" s="191"/>
      <c r="AH9734" s="191"/>
      <c r="AI9734" s="186"/>
      <c r="AK9734" s="171"/>
    </row>
    <row r="9735" spans="1:41" s="102" customFormat="1" ht="19.899999999999999" customHeight="1" x14ac:dyDescent="0.25">
      <c r="A9735" s="45"/>
      <c r="B9735" s="59"/>
      <c r="C9735" s="137"/>
      <c r="D9735" s="59"/>
      <c r="E9735" s="116"/>
      <c r="F9735" s="120"/>
      <c r="G9735" s="120"/>
      <c r="H9735" s="120"/>
      <c r="I9735" s="60"/>
      <c r="J9735" s="116"/>
      <c r="K9735" s="213"/>
      <c r="L9735" s="120"/>
      <c r="M9735" s="120"/>
      <c r="N9735" s="167"/>
      <c r="O9735" s="120"/>
      <c r="P9735" s="120"/>
      <c r="Q9735" s="120"/>
      <c r="R9735" s="120"/>
      <c r="S9735" s="120"/>
      <c r="T9735" s="221"/>
      <c r="U9735" s="89"/>
      <c r="V9735" s="61"/>
      <c r="W9735" s="92" t="s">
        <v>65</v>
      </c>
      <c r="X9735" s="93" t="s">
        <v>30</v>
      </c>
      <c r="Y9735" s="93" t="s">
        <v>1011</v>
      </c>
      <c r="Z9735" s="134">
        <f>VLOOKUP(W9735,Sheet2!$B:$D,3,FALSE)</f>
        <v>1.76</v>
      </c>
      <c r="AA9735" s="93">
        <f>AA9734/10</f>
        <v>0.93551160791057608</v>
      </c>
      <c r="AB9735" s="93">
        <f>AD9735/AC9730</f>
        <v>1.8813235294117649</v>
      </c>
      <c r="AC9735" s="93">
        <f>AC9730/AA9735</f>
        <v>91.929377757353166</v>
      </c>
      <c r="AD9735" s="94">
        <f>AC9735*Z9735</f>
        <v>161.79570485294158</v>
      </c>
      <c r="AE9735" s="190"/>
      <c r="AF9735" s="191"/>
      <c r="AG9735" s="191"/>
      <c r="AH9735" s="191"/>
      <c r="AI9735" s="186"/>
      <c r="AK9735" s="171"/>
    </row>
    <row r="9736" spans="1:41" s="102" customFormat="1" ht="19.899999999999999" customHeight="1" x14ac:dyDescent="0.25">
      <c r="A9736" s="45"/>
      <c r="B9736" s="59"/>
      <c r="C9736" s="137"/>
      <c r="D9736" s="59"/>
      <c r="E9736" s="116"/>
      <c r="F9736" s="120"/>
      <c r="G9736" s="120"/>
      <c r="H9736" s="120"/>
      <c r="I9736" s="60"/>
      <c r="J9736" s="116"/>
      <c r="K9736" s="213"/>
      <c r="L9736" s="120"/>
      <c r="M9736" s="120"/>
      <c r="N9736" s="167"/>
      <c r="O9736" s="120"/>
      <c r="P9736" s="120"/>
      <c r="Q9736" s="120"/>
      <c r="R9736" s="120"/>
      <c r="S9736" s="120"/>
      <c r="T9736" s="221"/>
      <c r="U9736" s="89"/>
      <c r="V9736" s="61"/>
      <c r="W9736" s="92" t="s">
        <v>173</v>
      </c>
      <c r="X9736" s="93" t="s">
        <v>29</v>
      </c>
      <c r="Y9736" s="93" t="s">
        <v>93</v>
      </c>
      <c r="Z9736" s="134">
        <f>VLOOKUP(W9736,Sheet2!$B:$D,3,FALSE)</f>
        <v>36</v>
      </c>
      <c r="AA9736" s="93">
        <f>50/((1.5*(0.5+0.3+0.3))-(3.14/4*0.5*0.5))</f>
        <v>34.393809114359414</v>
      </c>
      <c r="AB9736" s="93">
        <f>AD9736/AC9730</f>
        <v>1.0467</v>
      </c>
      <c r="AC9736" s="93">
        <f>AC9730/AA9736</f>
        <v>2.5004790750000061</v>
      </c>
      <c r="AD9736" s="94">
        <f>AC9736*Z9736</f>
        <v>90.017246700000214</v>
      </c>
      <c r="AE9736" s="190"/>
      <c r="AF9736" s="191"/>
      <c r="AG9736" s="191"/>
      <c r="AH9736" s="191"/>
      <c r="AI9736" s="186"/>
      <c r="AK9736" s="171"/>
    </row>
    <row r="9737" spans="1:41" s="102" customFormat="1" ht="19.899999999999999" customHeight="1" x14ac:dyDescent="0.25">
      <c r="A9737" s="45"/>
      <c r="B9737" s="59"/>
      <c r="C9737" s="137"/>
      <c r="D9737" s="59"/>
      <c r="E9737" s="116"/>
      <c r="F9737" s="120"/>
      <c r="G9737" s="120"/>
      <c r="H9737" s="120"/>
      <c r="I9737" s="60"/>
      <c r="J9737" s="116"/>
      <c r="K9737" s="213"/>
      <c r="L9737" s="120"/>
      <c r="M9737" s="120"/>
      <c r="N9737" s="167"/>
      <c r="O9737" s="120"/>
      <c r="P9737" s="120"/>
      <c r="Q9737" s="120"/>
      <c r="R9737" s="120"/>
      <c r="S9737" s="120"/>
      <c r="T9737" s="221"/>
      <c r="U9737" s="89"/>
      <c r="V9737" s="61"/>
      <c r="W9737" s="92" t="s">
        <v>65</v>
      </c>
      <c r="X9737" s="93" t="s">
        <v>30</v>
      </c>
      <c r="Y9737" s="93" t="s">
        <v>1011</v>
      </c>
      <c r="Z9737" s="134">
        <f>VLOOKUP(W9737,Sheet2!$B:$D,3,FALSE)</f>
        <v>1.76</v>
      </c>
      <c r="AA9737" s="93">
        <f>AA9736/9</f>
        <v>3.8215343460399347</v>
      </c>
      <c r="AB9737" s="93">
        <f>AD9737/AC9730</f>
        <v>0.46054800000000001</v>
      </c>
      <c r="AC9737" s="93">
        <f>AC9730/AA9737</f>
        <v>22.504311675000054</v>
      </c>
      <c r="AD9737" s="94">
        <f>AC9737*Z9737</f>
        <v>39.607588548000095</v>
      </c>
      <c r="AE9737" s="190"/>
      <c r="AF9737" s="191"/>
      <c r="AG9737" s="191"/>
      <c r="AH9737" s="191"/>
      <c r="AI9737" s="186"/>
      <c r="AK9737" s="171"/>
    </row>
    <row r="9738" spans="1:41" ht="20.100000000000001" customHeight="1" x14ac:dyDescent="0.25">
      <c r="A9738" s="277" t="s">
        <v>703</v>
      </c>
      <c r="B9738" s="278"/>
      <c r="C9738" s="64" t="s">
        <v>855</v>
      </c>
      <c r="D9738" s="46" t="s">
        <v>97</v>
      </c>
      <c r="E9738" s="114"/>
      <c r="F9738" s="44">
        <v>0</v>
      </c>
      <c r="G9738" s="44">
        <f t="shared" si="5545"/>
        <v>0</v>
      </c>
      <c r="H9738" s="44">
        <f t="shared" si="5546"/>
        <v>0</v>
      </c>
      <c r="I9738" s="43">
        <f t="shared" si="5547"/>
        <v>0</v>
      </c>
      <c r="J9738" s="112">
        <f t="shared" si="5548"/>
        <v>0</v>
      </c>
      <c r="K9738" s="211">
        <f t="shared" si="5549"/>
        <v>0</v>
      </c>
      <c r="L9738" s="44"/>
      <c r="M9738" s="44">
        <f t="shared" si="5550"/>
        <v>0</v>
      </c>
      <c r="N9738" s="173">
        <f t="shared" si="5551"/>
        <v>0</v>
      </c>
      <c r="O9738" s="44">
        <f t="shared" si="5552"/>
        <v>0</v>
      </c>
      <c r="P9738" s="44">
        <f t="shared" si="5553"/>
        <v>0</v>
      </c>
      <c r="Q9738" s="44">
        <f t="shared" si="5554"/>
        <v>0</v>
      </c>
      <c r="R9738" s="44">
        <f t="shared" si="5555"/>
        <v>0</v>
      </c>
      <c r="S9738" s="123"/>
      <c r="T9738" s="219">
        <f t="shared" si="5556"/>
        <v>0</v>
      </c>
      <c r="U9738" s="87"/>
      <c r="V9738" s="47"/>
      <c r="W9738" s="48"/>
      <c r="X9738" s="48"/>
      <c r="Y9738" s="48"/>
      <c r="Z9738" s="135"/>
      <c r="AA9738" s="49"/>
      <c r="AB9738" s="50">
        <f t="shared" si="5557"/>
        <v>0</v>
      </c>
      <c r="AC9738" s="42">
        <f t="shared" si="5558"/>
        <v>9.9999999999999998E-20</v>
      </c>
      <c r="AD9738" s="90"/>
      <c r="AE9738" s="188"/>
      <c r="AF9738" s="189"/>
      <c r="AG9738" s="189"/>
      <c r="AH9738" s="189"/>
      <c r="AI9738" s="161"/>
    </row>
    <row r="9739" spans="1:41" ht="20.100000000000001" customHeight="1" x14ac:dyDescent="0.25">
      <c r="A9739" s="277" t="s">
        <v>703</v>
      </c>
      <c r="B9739" s="278"/>
      <c r="C9739" s="64" t="s">
        <v>856</v>
      </c>
      <c r="D9739" s="46" t="s">
        <v>97</v>
      </c>
      <c r="E9739" s="114">
        <v>30.5</v>
      </c>
      <c r="F9739" s="44">
        <v>248</v>
      </c>
      <c r="G9739" s="44">
        <f t="shared" si="5545"/>
        <v>7564</v>
      </c>
      <c r="H9739" s="44">
        <f t="shared" si="5546"/>
        <v>139.95821733176473</v>
      </c>
      <c r="I9739" s="43">
        <f t="shared" si="5547"/>
        <v>4268.725628618824</v>
      </c>
      <c r="J9739" s="112">
        <f t="shared" si="5548"/>
        <v>30.5</v>
      </c>
      <c r="K9739" s="211">
        <f t="shared" si="5549"/>
        <v>30.5</v>
      </c>
      <c r="L9739" s="44"/>
      <c r="M9739" s="44">
        <f t="shared" si="5550"/>
        <v>30.5</v>
      </c>
      <c r="N9739" s="173">
        <f t="shared" si="5551"/>
        <v>1</v>
      </c>
      <c r="O9739" s="44">
        <f t="shared" si="5552"/>
        <v>248</v>
      </c>
      <c r="P9739" s="44">
        <f t="shared" si="5553"/>
        <v>7564</v>
      </c>
      <c r="Q9739" s="44">
        <f t="shared" si="5554"/>
        <v>139.95821733176473</v>
      </c>
      <c r="R9739" s="44">
        <f t="shared" si="5555"/>
        <v>4268.725628618824</v>
      </c>
      <c r="S9739" s="123"/>
      <c r="T9739" s="219">
        <f t="shared" si="5556"/>
        <v>4268.725628618824</v>
      </c>
      <c r="U9739" s="87"/>
      <c r="V9739" s="47"/>
      <c r="W9739" s="48"/>
      <c r="X9739" s="48"/>
      <c r="Y9739" s="48"/>
      <c r="Z9739" s="135"/>
      <c r="AA9739" s="49"/>
      <c r="AB9739" s="50">
        <f t="shared" si="5557"/>
        <v>139.95821733176473</v>
      </c>
      <c r="AC9739" s="42">
        <f t="shared" si="5558"/>
        <v>30.5</v>
      </c>
      <c r="AD9739" s="90">
        <f>AD9740</f>
        <v>4268.725628618824</v>
      </c>
      <c r="AE9739" s="188">
        <f t="shared" ref="AE9739" si="6516">AE9740</f>
        <v>0</v>
      </c>
      <c r="AF9739" s="189">
        <f t="shared" ref="AF9739" si="6517">AF9740</f>
        <v>0</v>
      </c>
      <c r="AG9739" s="189">
        <f t="shared" ref="AG9739" si="6518">AG9740</f>
        <v>0</v>
      </c>
      <c r="AH9739" s="189">
        <f t="shared" ref="AH9739" si="6519">AH9740</f>
        <v>0</v>
      </c>
      <c r="AI9739" s="161">
        <f t="shared" ref="AI9739" si="6520">SUM(AE9739:AH9739)</f>
        <v>0</v>
      </c>
      <c r="AK9739" s="169">
        <v>5</v>
      </c>
      <c r="AO9739" s="19" t="s">
        <v>63</v>
      </c>
    </row>
    <row r="9740" spans="1:41" s="103" customFormat="1" ht="19.899999999999999" customHeight="1" x14ac:dyDescent="0.25">
      <c r="A9740" s="51"/>
      <c r="B9740" s="52"/>
      <c r="C9740" s="165"/>
      <c r="D9740" s="52"/>
      <c r="E9740" s="115"/>
      <c r="F9740" s="58"/>
      <c r="G9740" s="58"/>
      <c r="H9740" s="58"/>
      <c r="I9740" s="55"/>
      <c r="J9740" s="113">
        <f>J9739</f>
        <v>30.5</v>
      </c>
      <c r="K9740" s="212">
        <f>K9739</f>
        <v>30.5</v>
      </c>
      <c r="L9740" s="58"/>
      <c r="M9740" s="58">
        <f>K9740-L9740</f>
        <v>30.5</v>
      </c>
      <c r="N9740" s="166"/>
      <c r="O9740" s="58"/>
      <c r="P9740" s="58"/>
      <c r="Q9740" s="58"/>
      <c r="R9740" s="58"/>
      <c r="S9740" s="58"/>
      <c r="T9740" s="220"/>
      <c r="U9740" s="88"/>
      <c r="V9740" s="56"/>
      <c r="W9740" s="57" t="s">
        <v>1575</v>
      </c>
      <c r="X9740" s="53"/>
      <c r="Y9740" s="91" t="s">
        <v>68</v>
      </c>
      <c r="Z9740" s="136">
        <f>AD9740/AC9740</f>
        <v>139.95821733176473</v>
      </c>
      <c r="AA9740" s="58"/>
      <c r="AB9740" s="53">
        <f>AD9740/AC9740</f>
        <v>139.95821733176473</v>
      </c>
      <c r="AC9740" s="53">
        <f>M9740+$AE$10</f>
        <v>30.5</v>
      </c>
      <c r="AD9740" s="54">
        <f>SUM(AD9741:AD9747)</f>
        <v>4268.725628618824</v>
      </c>
      <c r="AE9740" s="184">
        <f>SUMIFS($AD$37:$AD$12971,$V$37:$V$12971,$V9740,$X$37:$X$12971,AE$13)</f>
        <v>0</v>
      </c>
      <c r="AF9740" s="185">
        <f>SUMIFS($AD$37:$AD$12971,$V$37:$V$12971,$V9740,$X$37:$X$12971,AF$13)</f>
        <v>0</v>
      </c>
      <c r="AG9740" s="185">
        <f>SUMIFS($AD$37:$AD$12971,$V$37:$V$12971,$V9740,$X$37:$X$12971,AG$13)</f>
        <v>0</v>
      </c>
      <c r="AH9740" s="187">
        <f>SUMIFS($AD$37:$AD$12971,$V$37:$V$12971,$V9740,$X$37:$X$12971,AH$13)</f>
        <v>0</v>
      </c>
      <c r="AI9740" s="161">
        <f t="shared" ref="AI9740" si="6521">SUM(AE9740:AH9740)</f>
        <v>0</v>
      </c>
      <c r="AK9740" s="172"/>
    </row>
    <row r="9741" spans="1:41" s="102" customFormat="1" ht="19.899999999999999" customHeight="1" x14ac:dyDescent="0.25">
      <c r="A9741" s="45"/>
      <c r="B9741" s="59"/>
      <c r="C9741" s="137"/>
      <c r="D9741" s="59"/>
      <c r="E9741" s="116"/>
      <c r="F9741" s="120"/>
      <c r="G9741" s="120"/>
      <c r="H9741" s="120"/>
      <c r="I9741" s="60"/>
      <c r="J9741" s="116"/>
      <c r="K9741" s="213"/>
      <c r="L9741" s="120"/>
      <c r="M9741" s="120"/>
      <c r="N9741" s="167"/>
      <c r="O9741" s="120"/>
      <c r="P9741" s="120"/>
      <c r="Q9741" s="120"/>
      <c r="R9741" s="120"/>
      <c r="S9741" s="120"/>
      <c r="T9741" s="221"/>
      <c r="U9741" s="89"/>
      <c r="V9741" s="61"/>
      <c r="W9741" s="92" t="s">
        <v>1570</v>
      </c>
      <c r="X9741" s="93" t="s">
        <v>30</v>
      </c>
      <c r="Y9741" s="93" t="s">
        <v>66</v>
      </c>
      <c r="Z9741" s="134">
        <f>VLOOKUP(W9741,Sheet2!$B:$D,3,FALSE)</f>
        <v>70</v>
      </c>
      <c r="AA9741" s="93">
        <f>1/((1.7*(0.7+0.3+0.3))-(3.14/4*0.7*0.7))</f>
        <v>0.54784014024707595</v>
      </c>
      <c r="AB9741" s="93">
        <f>AD9741/AC9740</f>
        <v>127.77449999999997</v>
      </c>
      <c r="AC9741" s="93">
        <f>AC9740/AA9741</f>
        <v>55.673174999999993</v>
      </c>
      <c r="AD9741" s="94">
        <f t="shared" ref="AD9741:AD9743" si="6522">AC9741*Z9741</f>
        <v>3897.1222499999994</v>
      </c>
      <c r="AE9741" s="190"/>
      <c r="AF9741" s="191"/>
      <c r="AG9741" s="191"/>
      <c r="AH9741" s="191"/>
      <c r="AI9741" s="186"/>
      <c r="AK9741" s="171"/>
    </row>
    <row r="9742" spans="1:41" s="102" customFormat="1" ht="19.899999999999999" customHeight="1" x14ac:dyDescent="0.25">
      <c r="A9742" s="45"/>
      <c r="B9742" s="59"/>
      <c r="C9742" s="137"/>
      <c r="D9742" s="59"/>
      <c r="E9742" s="116"/>
      <c r="F9742" s="120"/>
      <c r="G9742" s="120"/>
      <c r="H9742" s="120"/>
      <c r="I9742" s="60"/>
      <c r="J9742" s="116"/>
      <c r="K9742" s="213"/>
      <c r="L9742" s="120"/>
      <c r="M9742" s="120"/>
      <c r="N9742" s="167"/>
      <c r="O9742" s="120"/>
      <c r="P9742" s="120"/>
      <c r="Q9742" s="120"/>
      <c r="R9742" s="120"/>
      <c r="S9742" s="120"/>
      <c r="T9742" s="221"/>
      <c r="U9742" s="89"/>
      <c r="V9742" s="61"/>
      <c r="W9742" s="92" t="s">
        <v>134</v>
      </c>
      <c r="X9742" s="93" t="s">
        <v>29</v>
      </c>
      <c r="Y9742" s="93" t="s">
        <v>93</v>
      </c>
      <c r="Z9742" s="134">
        <f>VLOOKUP(W9742,Sheet2!$B:$D,3,FALSE)</f>
        <v>65.599999999999994</v>
      </c>
      <c r="AA9742" s="93">
        <f>100/((1.7*(0.7+0.3+0.3))-(3.14/4*0.7*0.7))</f>
        <v>54.784014024707588</v>
      </c>
      <c r="AB9742" s="93">
        <f>AD9742/AC9740</f>
        <v>1.1974296</v>
      </c>
      <c r="AC9742" s="93">
        <f>AC9740/AA9742</f>
        <v>0.55673174999999997</v>
      </c>
      <c r="AD9742" s="94">
        <f t="shared" si="6522"/>
        <v>36.521602799999997</v>
      </c>
      <c r="AE9742" s="190"/>
      <c r="AF9742" s="191"/>
      <c r="AG9742" s="191"/>
      <c r="AH9742" s="191"/>
      <c r="AI9742" s="186"/>
      <c r="AK9742" s="171"/>
    </row>
    <row r="9743" spans="1:41" s="102" customFormat="1" ht="19.899999999999999" customHeight="1" x14ac:dyDescent="0.25">
      <c r="A9743" s="45"/>
      <c r="B9743" s="59"/>
      <c r="C9743" s="137"/>
      <c r="D9743" s="59"/>
      <c r="E9743" s="116"/>
      <c r="F9743" s="120"/>
      <c r="G9743" s="120"/>
      <c r="H9743" s="120"/>
      <c r="I9743" s="60"/>
      <c r="J9743" s="116"/>
      <c r="K9743" s="213"/>
      <c r="L9743" s="120"/>
      <c r="M9743" s="120"/>
      <c r="N9743" s="167"/>
      <c r="O9743" s="120"/>
      <c r="P9743" s="120"/>
      <c r="Q9743" s="120"/>
      <c r="R9743" s="120"/>
      <c r="S9743" s="120"/>
      <c r="T9743" s="221"/>
      <c r="U9743" s="89"/>
      <c r="V9743" s="61"/>
      <c r="W9743" s="92" t="s">
        <v>65</v>
      </c>
      <c r="X9743" s="93" t="s">
        <v>30</v>
      </c>
      <c r="Y9743" s="93" t="s">
        <v>1011</v>
      </c>
      <c r="Z9743" s="134">
        <f>VLOOKUP(W9743,Sheet2!$B:$D,3,FALSE)</f>
        <v>1.76</v>
      </c>
      <c r="AA9743" s="93">
        <f>AA9742/9</f>
        <v>6.0871126694119546</v>
      </c>
      <c r="AB9743" s="93">
        <f>AD9743/AC9740</f>
        <v>0.28913544000000002</v>
      </c>
      <c r="AC9743" s="93">
        <f>AC9740/AA9743</f>
        <v>5.0105857499999997</v>
      </c>
      <c r="AD9743" s="94">
        <f t="shared" si="6522"/>
        <v>8.8186309200000004</v>
      </c>
      <c r="AE9743" s="190"/>
      <c r="AF9743" s="191"/>
      <c r="AG9743" s="191"/>
      <c r="AH9743" s="191"/>
      <c r="AI9743" s="186"/>
      <c r="AK9743" s="171"/>
    </row>
    <row r="9744" spans="1:41" s="102" customFormat="1" ht="19.899999999999999" customHeight="1" x14ac:dyDescent="0.25">
      <c r="A9744" s="45"/>
      <c r="B9744" s="59"/>
      <c r="C9744" s="137"/>
      <c r="D9744" s="59"/>
      <c r="E9744" s="116"/>
      <c r="F9744" s="120"/>
      <c r="G9744" s="120"/>
      <c r="H9744" s="120"/>
      <c r="I9744" s="60"/>
      <c r="J9744" s="116"/>
      <c r="K9744" s="213"/>
      <c r="L9744" s="120"/>
      <c r="M9744" s="120"/>
      <c r="N9744" s="167"/>
      <c r="O9744" s="120"/>
      <c r="P9744" s="120"/>
      <c r="Q9744" s="120"/>
      <c r="R9744" s="120"/>
      <c r="S9744" s="120"/>
      <c r="T9744" s="221"/>
      <c r="U9744" s="89"/>
      <c r="V9744" s="61"/>
      <c r="W9744" s="92" t="s">
        <v>161</v>
      </c>
      <c r="X9744" s="93" t="s">
        <v>29</v>
      </c>
      <c r="Y9744" s="93" t="s">
        <v>93</v>
      </c>
      <c r="Z9744" s="134">
        <f>VLOOKUP(W9744,Sheet2!$B:$D,3,FALSE)</f>
        <v>48</v>
      </c>
      <c r="AA9744" s="93">
        <f>(16*0.85*1)/((1.7*(0.7+0.3+0.3))-(3.14/4*0.7*0.7))</f>
        <v>7.4506259073602319</v>
      </c>
      <c r="AB9744" s="93">
        <f>AD9744/AC9740</f>
        <v>6.4424117647058834</v>
      </c>
      <c r="AC9744" s="93">
        <f>AC9740/AA9744</f>
        <v>4.0936158088235297</v>
      </c>
      <c r="AD9744" s="94">
        <f>AC9744*Z9744</f>
        <v>196.49355882352944</v>
      </c>
      <c r="AE9744" s="190"/>
      <c r="AF9744" s="191"/>
      <c r="AG9744" s="191"/>
      <c r="AH9744" s="191"/>
      <c r="AI9744" s="186"/>
      <c r="AK9744" s="171"/>
    </row>
    <row r="9745" spans="1:37" s="102" customFormat="1" ht="19.899999999999999" customHeight="1" x14ac:dyDescent="0.25">
      <c r="A9745" s="45"/>
      <c r="B9745" s="59"/>
      <c r="C9745" s="137"/>
      <c r="D9745" s="59"/>
      <c r="E9745" s="116"/>
      <c r="F9745" s="120"/>
      <c r="G9745" s="120"/>
      <c r="H9745" s="120"/>
      <c r="I9745" s="60"/>
      <c r="J9745" s="116"/>
      <c r="K9745" s="213"/>
      <c r="L9745" s="120"/>
      <c r="M9745" s="120"/>
      <c r="N9745" s="167"/>
      <c r="O9745" s="120"/>
      <c r="P9745" s="120"/>
      <c r="Q9745" s="120"/>
      <c r="R9745" s="120"/>
      <c r="S9745" s="120"/>
      <c r="T9745" s="221"/>
      <c r="U9745" s="89"/>
      <c r="V9745" s="61"/>
      <c r="W9745" s="92" t="s">
        <v>65</v>
      </c>
      <c r="X9745" s="93" t="s">
        <v>30</v>
      </c>
      <c r="Y9745" s="93" t="s">
        <v>1011</v>
      </c>
      <c r="Z9745" s="134">
        <f>VLOOKUP(W9745,Sheet2!$B:$D,3,FALSE)</f>
        <v>1.76</v>
      </c>
      <c r="AA9745" s="93">
        <f>AA9744/10</f>
        <v>0.74506259073602321</v>
      </c>
      <c r="AB9745" s="93">
        <f>AD9745/AC9740</f>
        <v>2.3622176470588236</v>
      </c>
      <c r="AC9745" s="93">
        <f>AC9740/AA9745</f>
        <v>40.936158088235295</v>
      </c>
      <c r="AD9745" s="94">
        <f>AC9745*Z9745</f>
        <v>72.047638235294116</v>
      </c>
      <c r="AE9745" s="190"/>
      <c r="AF9745" s="191"/>
      <c r="AG9745" s="191"/>
      <c r="AH9745" s="191"/>
      <c r="AI9745" s="186"/>
      <c r="AK9745" s="171"/>
    </row>
    <row r="9746" spans="1:37" s="102" customFormat="1" ht="19.899999999999999" customHeight="1" x14ac:dyDescent="0.25">
      <c r="A9746" s="45"/>
      <c r="B9746" s="59"/>
      <c r="C9746" s="137"/>
      <c r="D9746" s="59"/>
      <c r="E9746" s="116"/>
      <c r="F9746" s="120"/>
      <c r="G9746" s="120"/>
      <c r="H9746" s="120"/>
      <c r="I9746" s="60"/>
      <c r="J9746" s="116"/>
      <c r="K9746" s="213"/>
      <c r="L9746" s="120"/>
      <c r="M9746" s="120"/>
      <c r="N9746" s="167"/>
      <c r="O9746" s="120"/>
      <c r="P9746" s="120"/>
      <c r="Q9746" s="120"/>
      <c r="R9746" s="120"/>
      <c r="S9746" s="120"/>
      <c r="T9746" s="221"/>
      <c r="U9746" s="89"/>
      <c r="V9746" s="61"/>
      <c r="W9746" s="92" t="s">
        <v>173</v>
      </c>
      <c r="X9746" s="93" t="s">
        <v>29</v>
      </c>
      <c r="Y9746" s="93" t="s">
        <v>93</v>
      </c>
      <c r="Z9746" s="134">
        <f>VLOOKUP(W9746,Sheet2!$B:$D,3,FALSE)</f>
        <v>36</v>
      </c>
      <c r="AA9746" s="93">
        <f>50/((1.7*(0.7+0.3+0.3))-(3.14/4*0.7*0.7))</f>
        <v>27.392007012353794</v>
      </c>
      <c r="AB9746" s="93">
        <f>AD9746/AC9740</f>
        <v>1.314252</v>
      </c>
      <c r="AC9746" s="93">
        <f>AC9740/AA9746</f>
        <v>1.1134634999999999</v>
      </c>
      <c r="AD9746" s="94">
        <f>AC9746*Z9746</f>
        <v>40.084685999999998</v>
      </c>
      <c r="AE9746" s="190"/>
      <c r="AF9746" s="191"/>
      <c r="AG9746" s="191"/>
      <c r="AH9746" s="191"/>
      <c r="AI9746" s="186"/>
      <c r="AK9746" s="171"/>
    </row>
    <row r="9747" spans="1:37" s="102" customFormat="1" ht="19.899999999999999" customHeight="1" x14ac:dyDescent="0.25">
      <c r="A9747" s="45"/>
      <c r="B9747" s="59"/>
      <c r="C9747" s="137"/>
      <c r="D9747" s="59"/>
      <c r="E9747" s="116"/>
      <c r="F9747" s="120"/>
      <c r="G9747" s="120"/>
      <c r="H9747" s="120"/>
      <c r="I9747" s="60"/>
      <c r="J9747" s="116"/>
      <c r="K9747" s="213"/>
      <c r="L9747" s="120"/>
      <c r="M9747" s="120"/>
      <c r="N9747" s="167"/>
      <c r="O9747" s="120"/>
      <c r="P9747" s="120"/>
      <c r="Q9747" s="120"/>
      <c r="R9747" s="120"/>
      <c r="S9747" s="120"/>
      <c r="T9747" s="221"/>
      <c r="U9747" s="89"/>
      <c r="V9747" s="61"/>
      <c r="W9747" s="92" t="s">
        <v>65</v>
      </c>
      <c r="X9747" s="93" t="s">
        <v>30</v>
      </c>
      <c r="Y9747" s="93" t="s">
        <v>1011</v>
      </c>
      <c r="Z9747" s="134">
        <f>VLOOKUP(W9747,Sheet2!$B:$D,3,FALSE)</f>
        <v>1.76</v>
      </c>
      <c r="AA9747" s="93">
        <f>AA9746/9</f>
        <v>3.0435563347059773</v>
      </c>
      <c r="AB9747" s="93">
        <f>AD9747/AC9740</f>
        <v>0.57827088000000004</v>
      </c>
      <c r="AC9747" s="93">
        <f>AC9740/AA9747</f>
        <v>10.021171499999999</v>
      </c>
      <c r="AD9747" s="94">
        <f>AC9747*Z9747</f>
        <v>17.637261840000001</v>
      </c>
      <c r="AE9747" s="190"/>
      <c r="AF9747" s="191"/>
      <c r="AG9747" s="191"/>
      <c r="AH9747" s="191"/>
      <c r="AI9747" s="186"/>
      <c r="AK9747" s="171"/>
    </row>
    <row r="9748" spans="1:37" ht="20.100000000000001" customHeight="1" x14ac:dyDescent="0.25">
      <c r="A9748" s="277" t="s">
        <v>703</v>
      </c>
      <c r="B9748" s="278"/>
      <c r="C9748" s="64" t="s">
        <v>857</v>
      </c>
      <c r="D9748" s="46" t="s">
        <v>97</v>
      </c>
      <c r="E9748" s="114"/>
      <c r="F9748" s="44">
        <v>0</v>
      </c>
      <c r="G9748" s="44">
        <f t="shared" si="5545"/>
        <v>0</v>
      </c>
      <c r="H9748" s="44">
        <f t="shared" si="5546"/>
        <v>0</v>
      </c>
      <c r="I9748" s="43">
        <f t="shared" si="5547"/>
        <v>0</v>
      </c>
      <c r="J9748" s="112">
        <f t="shared" si="5548"/>
        <v>0</v>
      </c>
      <c r="K9748" s="211">
        <f t="shared" si="5549"/>
        <v>0</v>
      </c>
      <c r="L9748" s="44"/>
      <c r="M9748" s="44">
        <f t="shared" si="5550"/>
        <v>0</v>
      </c>
      <c r="N9748" s="173">
        <f t="shared" si="5551"/>
        <v>0</v>
      </c>
      <c r="O9748" s="44">
        <f t="shared" si="5552"/>
        <v>0</v>
      </c>
      <c r="P9748" s="44">
        <f t="shared" si="5553"/>
        <v>0</v>
      </c>
      <c r="Q9748" s="44">
        <f t="shared" si="5554"/>
        <v>0</v>
      </c>
      <c r="R9748" s="44">
        <f t="shared" si="5555"/>
        <v>0</v>
      </c>
      <c r="S9748" s="123"/>
      <c r="T9748" s="219">
        <f t="shared" si="5556"/>
        <v>0</v>
      </c>
      <c r="U9748" s="87"/>
      <c r="V9748" s="47"/>
      <c r="W9748" s="48"/>
      <c r="X9748" s="48"/>
      <c r="Y9748" s="48"/>
      <c r="Z9748" s="135"/>
      <c r="AA9748" s="49"/>
      <c r="AB9748" s="50">
        <f t="shared" si="5557"/>
        <v>0</v>
      </c>
      <c r="AC9748" s="42">
        <f t="shared" si="5558"/>
        <v>9.9999999999999998E-20</v>
      </c>
      <c r="AD9748" s="90"/>
      <c r="AE9748" s="188"/>
      <c r="AF9748" s="189"/>
      <c r="AG9748" s="189"/>
      <c r="AH9748" s="189"/>
      <c r="AI9748" s="161"/>
    </row>
    <row r="9749" spans="1:37" s="102" customFormat="1" ht="20.100000000000001" customHeight="1" x14ac:dyDescent="0.25">
      <c r="A9749" s="45" t="s">
        <v>703</v>
      </c>
      <c r="B9749" s="276"/>
      <c r="C9749" s="286" t="s">
        <v>858</v>
      </c>
      <c r="D9749" s="59"/>
      <c r="E9749" s="116"/>
      <c r="F9749" s="120">
        <v>0</v>
      </c>
      <c r="G9749" s="120">
        <f t="shared" si="5545"/>
        <v>0</v>
      </c>
      <c r="H9749" s="120">
        <f t="shared" si="5546"/>
        <v>0</v>
      </c>
      <c r="I9749" s="60">
        <f t="shared" si="5547"/>
        <v>0</v>
      </c>
      <c r="J9749" s="116">
        <f t="shared" si="5548"/>
        <v>0</v>
      </c>
      <c r="K9749" s="213">
        <f t="shared" si="5549"/>
        <v>0</v>
      </c>
      <c r="L9749" s="120"/>
      <c r="M9749" s="120">
        <f t="shared" si="5550"/>
        <v>0</v>
      </c>
      <c r="N9749" s="167">
        <f t="shared" si="5551"/>
        <v>0</v>
      </c>
      <c r="O9749" s="120">
        <f t="shared" si="5552"/>
        <v>0</v>
      </c>
      <c r="P9749" s="120">
        <f t="shared" si="5553"/>
        <v>0</v>
      </c>
      <c r="Q9749" s="120">
        <f t="shared" si="5554"/>
        <v>0</v>
      </c>
      <c r="R9749" s="120">
        <f t="shared" si="5555"/>
        <v>0</v>
      </c>
      <c r="S9749" s="120"/>
      <c r="T9749" s="221">
        <f t="shared" si="5556"/>
        <v>0</v>
      </c>
      <c r="U9749" s="89"/>
      <c r="V9749" s="61"/>
      <c r="W9749" s="92"/>
      <c r="X9749" s="38"/>
      <c r="Y9749" s="93"/>
      <c r="Z9749" s="134"/>
      <c r="AA9749" s="93"/>
      <c r="AB9749" s="93">
        <f t="shared" si="5557"/>
        <v>0</v>
      </c>
      <c r="AC9749" s="93">
        <f t="shared" si="5558"/>
        <v>9.9999999999999998E-20</v>
      </c>
      <c r="AD9749" s="94"/>
      <c r="AE9749" s="190"/>
      <c r="AF9749" s="191"/>
      <c r="AG9749" s="191"/>
      <c r="AH9749" s="191"/>
      <c r="AI9749" s="186"/>
      <c r="AK9749" s="171"/>
    </row>
    <row r="9750" spans="1:37" s="102" customFormat="1" ht="20.100000000000001" customHeight="1" x14ac:dyDescent="0.25">
      <c r="A9750" s="45" t="s">
        <v>703</v>
      </c>
      <c r="B9750" s="276"/>
      <c r="C9750" s="286" t="s">
        <v>859</v>
      </c>
      <c r="D9750" s="59"/>
      <c r="E9750" s="116"/>
      <c r="F9750" s="120">
        <v>0</v>
      </c>
      <c r="G9750" s="120">
        <f t="shared" si="5545"/>
        <v>0</v>
      </c>
      <c r="H9750" s="120">
        <f t="shared" si="5546"/>
        <v>0</v>
      </c>
      <c r="I9750" s="60">
        <f t="shared" si="5547"/>
        <v>0</v>
      </c>
      <c r="J9750" s="116">
        <f t="shared" si="5548"/>
        <v>0</v>
      </c>
      <c r="K9750" s="213">
        <f t="shared" si="5549"/>
        <v>0</v>
      </c>
      <c r="L9750" s="120"/>
      <c r="M9750" s="120">
        <f t="shared" si="5550"/>
        <v>0</v>
      </c>
      <c r="N9750" s="167">
        <f t="shared" si="5551"/>
        <v>0</v>
      </c>
      <c r="O9750" s="120">
        <f t="shared" si="5552"/>
        <v>0</v>
      </c>
      <c r="P9750" s="120">
        <f t="shared" si="5553"/>
        <v>0</v>
      </c>
      <c r="Q9750" s="120">
        <f t="shared" si="5554"/>
        <v>0</v>
      </c>
      <c r="R9750" s="120">
        <f t="shared" si="5555"/>
        <v>0</v>
      </c>
      <c r="S9750" s="120"/>
      <c r="T9750" s="221">
        <f t="shared" si="5556"/>
        <v>0</v>
      </c>
      <c r="U9750" s="89"/>
      <c r="V9750" s="61"/>
      <c r="W9750" s="92"/>
      <c r="X9750" s="38"/>
      <c r="Y9750" s="93"/>
      <c r="Z9750" s="134"/>
      <c r="AA9750" s="93"/>
      <c r="AB9750" s="93">
        <f t="shared" si="5557"/>
        <v>0</v>
      </c>
      <c r="AC9750" s="93">
        <f t="shared" si="5558"/>
        <v>9.9999999999999998E-20</v>
      </c>
      <c r="AD9750" s="94"/>
      <c r="AE9750" s="190"/>
      <c r="AF9750" s="191"/>
      <c r="AG9750" s="191"/>
      <c r="AH9750" s="191"/>
      <c r="AI9750" s="186"/>
      <c r="AK9750" s="171"/>
    </row>
    <row r="9751" spans="1:37" ht="20.100000000000001" customHeight="1" x14ac:dyDescent="0.25">
      <c r="A9751" s="277" t="s">
        <v>703</v>
      </c>
      <c r="B9751" s="278"/>
      <c r="C9751" s="64" t="s">
        <v>852</v>
      </c>
      <c r="D9751" s="46" t="s">
        <v>97</v>
      </c>
      <c r="E9751" s="114"/>
      <c r="F9751" s="44">
        <v>0</v>
      </c>
      <c r="G9751" s="44">
        <f t="shared" si="5545"/>
        <v>0</v>
      </c>
      <c r="H9751" s="44">
        <f t="shared" si="5546"/>
        <v>0</v>
      </c>
      <c r="I9751" s="43">
        <f t="shared" si="5547"/>
        <v>0</v>
      </c>
      <c r="J9751" s="112">
        <f t="shared" si="5548"/>
        <v>0</v>
      </c>
      <c r="K9751" s="211">
        <f t="shared" si="5549"/>
        <v>0</v>
      </c>
      <c r="L9751" s="44"/>
      <c r="M9751" s="44">
        <f t="shared" si="5550"/>
        <v>0</v>
      </c>
      <c r="N9751" s="173">
        <f t="shared" si="5551"/>
        <v>0</v>
      </c>
      <c r="O9751" s="44">
        <f t="shared" si="5552"/>
        <v>0</v>
      </c>
      <c r="P9751" s="44">
        <f t="shared" si="5553"/>
        <v>0</v>
      </c>
      <c r="Q9751" s="44">
        <f t="shared" si="5554"/>
        <v>0</v>
      </c>
      <c r="R9751" s="44">
        <f t="shared" si="5555"/>
        <v>0</v>
      </c>
      <c r="S9751" s="123"/>
      <c r="T9751" s="219">
        <f t="shared" si="5556"/>
        <v>0</v>
      </c>
      <c r="U9751" s="87"/>
      <c r="V9751" s="47"/>
      <c r="W9751" s="48"/>
      <c r="X9751" s="48"/>
      <c r="Y9751" s="48"/>
      <c r="Z9751" s="135"/>
      <c r="AA9751" s="49"/>
      <c r="AB9751" s="50">
        <f t="shared" si="5557"/>
        <v>0</v>
      </c>
      <c r="AC9751" s="42">
        <f t="shared" si="5558"/>
        <v>9.9999999999999998E-20</v>
      </c>
      <c r="AD9751" s="90"/>
      <c r="AE9751" s="188"/>
      <c r="AF9751" s="189"/>
      <c r="AG9751" s="189"/>
      <c r="AH9751" s="189"/>
      <c r="AI9751" s="161"/>
    </row>
    <row r="9752" spans="1:37" ht="20.100000000000001" customHeight="1" x14ac:dyDescent="0.25">
      <c r="A9752" s="277" t="s">
        <v>703</v>
      </c>
      <c r="B9752" s="278"/>
      <c r="C9752" s="64" t="s">
        <v>853</v>
      </c>
      <c r="D9752" s="46" t="s">
        <v>97</v>
      </c>
      <c r="E9752" s="114"/>
      <c r="F9752" s="44">
        <v>0</v>
      </c>
      <c r="G9752" s="44">
        <f t="shared" si="5545"/>
        <v>0</v>
      </c>
      <c r="H9752" s="44">
        <f t="shared" si="5546"/>
        <v>0</v>
      </c>
      <c r="I9752" s="43">
        <f t="shared" si="5547"/>
        <v>0</v>
      </c>
      <c r="J9752" s="112">
        <f t="shared" si="5548"/>
        <v>0</v>
      </c>
      <c r="K9752" s="211">
        <f t="shared" si="5549"/>
        <v>0</v>
      </c>
      <c r="L9752" s="44"/>
      <c r="M9752" s="44">
        <f t="shared" si="5550"/>
        <v>0</v>
      </c>
      <c r="N9752" s="173">
        <f t="shared" si="5551"/>
        <v>0</v>
      </c>
      <c r="O9752" s="44">
        <f t="shared" si="5552"/>
        <v>0</v>
      </c>
      <c r="P9752" s="44">
        <f t="shared" si="5553"/>
        <v>0</v>
      </c>
      <c r="Q9752" s="44">
        <f t="shared" si="5554"/>
        <v>0</v>
      </c>
      <c r="R9752" s="44">
        <f t="shared" si="5555"/>
        <v>0</v>
      </c>
      <c r="S9752" s="123"/>
      <c r="T9752" s="219">
        <f t="shared" si="5556"/>
        <v>0</v>
      </c>
      <c r="U9752" s="87"/>
      <c r="V9752" s="47"/>
      <c r="W9752" s="48"/>
      <c r="X9752" s="48"/>
      <c r="Y9752" s="48"/>
      <c r="Z9752" s="135"/>
      <c r="AA9752" s="49"/>
      <c r="AB9752" s="50">
        <f t="shared" si="5557"/>
        <v>0</v>
      </c>
      <c r="AC9752" s="42">
        <f t="shared" si="5558"/>
        <v>9.9999999999999998E-20</v>
      </c>
      <c r="AD9752" s="90"/>
      <c r="AE9752" s="188"/>
      <c r="AF9752" s="189"/>
      <c r="AG9752" s="189"/>
      <c r="AH9752" s="189"/>
      <c r="AI9752" s="161"/>
    </row>
    <row r="9753" spans="1:37" ht="20.100000000000001" customHeight="1" x14ac:dyDescent="0.25">
      <c r="A9753" s="277" t="s">
        <v>703</v>
      </c>
      <c r="B9753" s="278"/>
      <c r="C9753" s="64" t="s">
        <v>854</v>
      </c>
      <c r="D9753" s="46" t="s">
        <v>97</v>
      </c>
      <c r="E9753" s="114"/>
      <c r="F9753" s="44">
        <v>0</v>
      </c>
      <c r="G9753" s="44">
        <f t="shared" si="5545"/>
        <v>0</v>
      </c>
      <c r="H9753" s="44">
        <f t="shared" si="5546"/>
        <v>0</v>
      </c>
      <c r="I9753" s="43">
        <f t="shared" si="5547"/>
        <v>0</v>
      </c>
      <c r="J9753" s="112">
        <f t="shared" si="5548"/>
        <v>0</v>
      </c>
      <c r="K9753" s="211">
        <f t="shared" si="5549"/>
        <v>0</v>
      </c>
      <c r="L9753" s="44"/>
      <c r="M9753" s="44">
        <f t="shared" si="5550"/>
        <v>0</v>
      </c>
      <c r="N9753" s="173">
        <f t="shared" si="5551"/>
        <v>0</v>
      </c>
      <c r="O9753" s="44">
        <f t="shared" si="5552"/>
        <v>0</v>
      </c>
      <c r="P9753" s="44">
        <f t="shared" si="5553"/>
        <v>0</v>
      </c>
      <c r="Q9753" s="44">
        <f t="shared" si="5554"/>
        <v>0</v>
      </c>
      <c r="R9753" s="44">
        <f t="shared" si="5555"/>
        <v>0</v>
      </c>
      <c r="S9753" s="123"/>
      <c r="T9753" s="219">
        <f t="shared" si="5556"/>
        <v>0</v>
      </c>
      <c r="U9753" s="87"/>
      <c r="V9753" s="47"/>
      <c r="W9753" s="48"/>
      <c r="X9753" s="48"/>
      <c r="Y9753" s="48"/>
      <c r="Z9753" s="135"/>
      <c r="AA9753" s="49"/>
      <c r="AB9753" s="50">
        <f t="shared" si="5557"/>
        <v>0</v>
      </c>
      <c r="AC9753" s="42">
        <f t="shared" si="5558"/>
        <v>9.9999999999999998E-20</v>
      </c>
      <c r="AD9753" s="90"/>
      <c r="AE9753" s="188"/>
      <c r="AF9753" s="189"/>
      <c r="AG9753" s="189"/>
      <c r="AH9753" s="189"/>
      <c r="AI9753" s="161"/>
    </row>
    <row r="9754" spans="1:37" ht="20.100000000000001" customHeight="1" x14ac:dyDescent="0.25">
      <c r="A9754" s="277" t="s">
        <v>703</v>
      </c>
      <c r="B9754" s="278"/>
      <c r="C9754" s="64" t="s">
        <v>855</v>
      </c>
      <c r="D9754" s="46" t="s">
        <v>97</v>
      </c>
      <c r="E9754" s="114"/>
      <c r="F9754" s="44">
        <v>0</v>
      </c>
      <c r="G9754" s="44">
        <f t="shared" si="5545"/>
        <v>0</v>
      </c>
      <c r="H9754" s="44">
        <f t="shared" si="5546"/>
        <v>0</v>
      </c>
      <c r="I9754" s="43">
        <f t="shared" si="5547"/>
        <v>0</v>
      </c>
      <c r="J9754" s="112">
        <f t="shared" si="5548"/>
        <v>0</v>
      </c>
      <c r="K9754" s="211">
        <f t="shared" si="5549"/>
        <v>0</v>
      </c>
      <c r="L9754" s="44"/>
      <c r="M9754" s="44">
        <f t="shared" si="5550"/>
        <v>0</v>
      </c>
      <c r="N9754" s="173">
        <f t="shared" si="5551"/>
        <v>0</v>
      </c>
      <c r="O9754" s="44">
        <f t="shared" si="5552"/>
        <v>0</v>
      </c>
      <c r="P9754" s="44">
        <f t="shared" si="5553"/>
        <v>0</v>
      </c>
      <c r="Q9754" s="44">
        <f t="shared" si="5554"/>
        <v>0</v>
      </c>
      <c r="R9754" s="44">
        <f t="shared" si="5555"/>
        <v>0</v>
      </c>
      <c r="S9754" s="123"/>
      <c r="T9754" s="219">
        <f t="shared" si="5556"/>
        <v>0</v>
      </c>
      <c r="U9754" s="87"/>
      <c r="V9754" s="47"/>
      <c r="W9754" s="48"/>
      <c r="X9754" s="48"/>
      <c r="Y9754" s="48"/>
      <c r="Z9754" s="135"/>
      <c r="AA9754" s="49"/>
      <c r="AB9754" s="50">
        <f t="shared" si="5557"/>
        <v>0</v>
      </c>
      <c r="AC9754" s="42">
        <f t="shared" si="5558"/>
        <v>9.9999999999999998E-20</v>
      </c>
      <c r="AD9754" s="90"/>
      <c r="AE9754" s="188"/>
      <c r="AF9754" s="189"/>
      <c r="AG9754" s="189"/>
      <c r="AH9754" s="189"/>
      <c r="AI9754" s="161"/>
    </row>
    <row r="9755" spans="1:37" ht="20.100000000000001" customHeight="1" x14ac:dyDescent="0.25">
      <c r="A9755" s="277" t="s">
        <v>703</v>
      </c>
      <c r="B9755" s="278"/>
      <c r="C9755" s="64" t="s">
        <v>856</v>
      </c>
      <c r="D9755" s="46" t="s">
        <v>97</v>
      </c>
      <c r="E9755" s="114"/>
      <c r="F9755" s="44">
        <v>0</v>
      </c>
      <c r="G9755" s="44">
        <f t="shared" si="5545"/>
        <v>0</v>
      </c>
      <c r="H9755" s="44">
        <f t="shared" si="5546"/>
        <v>0</v>
      </c>
      <c r="I9755" s="43">
        <f t="shared" si="5547"/>
        <v>0</v>
      </c>
      <c r="J9755" s="112">
        <f t="shared" si="5548"/>
        <v>0</v>
      </c>
      <c r="K9755" s="211">
        <f t="shared" si="5549"/>
        <v>0</v>
      </c>
      <c r="L9755" s="44"/>
      <c r="M9755" s="44">
        <f t="shared" si="5550"/>
        <v>0</v>
      </c>
      <c r="N9755" s="173">
        <f t="shared" si="5551"/>
        <v>0</v>
      </c>
      <c r="O9755" s="44">
        <f t="shared" si="5552"/>
        <v>0</v>
      </c>
      <c r="P9755" s="44">
        <f t="shared" si="5553"/>
        <v>0</v>
      </c>
      <c r="Q9755" s="44">
        <f t="shared" si="5554"/>
        <v>0</v>
      </c>
      <c r="R9755" s="44">
        <f t="shared" si="5555"/>
        <v>0</v>
      </c>
      <c r="S9755" s="123"/>
      <c r="T9755" s="219">
        <f t="shared" si="5556"/>
        <v>0</v>
      </c>
      <c r="U9755" s="87"/>
      <c r="V9755" s="47"/>
      <c r="W9755" s="48"/>
      <c r="X9755" s="48"/>
      <c r="Y9755" s="48"/>
      <c r="Z9755" s="135"/>
      <c r="AA9755" s="49"/>
      <c r="AB9755" s="50">
        <f t="shared" si="5557"/>
        <v>0</v>
      </c>
      <c r="AC9755" s="42">
        <f t="shared" si="5558"/>
        <v>9.9999999999999998E-20</v>
      </c>
      <c r="AD9755" s="90"/>
      <c r="AE9755" s="188"/>
      <c r="AF9755" s="189"/>
      <c r="AG9755" s="189"/>
      <c r="AH9755" s="189"/>
      <c r="AI9755" s="161"/>
    </row>
    <row r="9756" spans="1:37" ht="20.100000000000001" customHeight="1" x14ac:dyDescent="0.25">
      <c r="A9756" s="277" t="s">
        <v>703</v>
      </c>
      <c r="B9756" s="278"/>
      <c r="C9756" s="64" t="s">
        <v>857</v>
      </c>
      <c r="D9756" s="46" t="s">
        <v>97</v>
      </c>
      <c r="E9756" s="114"/>
      <c r="F9756" s="44">
        <v>0</v>
      </c>
      <c r="G9756" s="44">
        <f t="shared" si="5545"/>
        <v>0</v>
      </c>
      <c r="H9756" s="44">
        <f t="shared" si="5546"/>
        <v>0</v>
      </c>
      <c r="I9756" s="43">
        <f t="shared" si="5547"/>
        <v>0</v>
      </c>
      <c r="J9756" s="112">
        <f t="shared" si="5548"/>
        <v>0</v>
      </c>
      <c r="K9756" s="211">
        <f t="shared" si="5549"/>
        <v>0</v>
      </c>
      <c r="L9756" s="44"/>
      <c r="M9756" s="44">
        <f t="shared" si="5550"/>
        <v>0</v>
      </c>
      <c r="N9756" s="173">
        <f t="shared" si="5551"/>
        <v>0</v>
      </c>
      <c r="O9756" s="44">
        <f t="shared" si="5552"/>
        <v>0</v>
      </c>
      <c r="P9756" s="44">
        <f t="shared" si="5553"/>
        <v>0</v>
      </c>
      <c r="Q9756" s="44">
        <f t="shared" si="5554"/>
        <v>0</v>
      </c>
      <c r="R9756" s="44">
        <f t="shared" si="5555"/>
        <v>0</v>
      </c>
      <c r="S9756" s="123"/>
      <c r="T9756" s="219">
        <f t="shared" si="5556"/>
        <v>0</v>
      </c>
      <c r="U9756" s="87"/>
      <c r="V9756" s="47"/>
      <c r="W9756" s="48"/>
      <c r="X9756" s="48"/>
      <c r="Y9756" s="48"/>
      <c r="Z9756" s="135"/>
      <c r="AA9756" s="49"/>
      <c r="AB9756" s="50">
        <f t="shared" si="5557"/>
        <v>0</v>
      </c>
      <c r="AC9756" s="42">
        <f t="shared" si="5558"/>
        <v>9.9999999999999998E-20</v>
      </c>
      <c r="AD9756" s="90"/>
      <c r="AE9756" s="188"/>
      <c r="AF9756" s="189"/>
      <c r="AG9756" s="189"/>
      <c r="AH9756" s="189"/>
      <c r="AI9756" s="161"/>
    </row>
    <row r="9757" spans="1:37" s="102" customFormat="1" ht="20.100000000000001" customHeight="1" x14ac:dyDescent="0.25">
      <c r="A9757" s="45" t="s">
        <v>703</v>
      </c>
      <c r="B9757" s="276"/>
      <c r="C9757" s="286" t="s">
        <v>392</v>
      </c>
      <c r="D9757" s="59"/>
      <c r="E9757" s="116"/>
      <c r="F9757" s="120">
        <v>0</v>
      </c>
      <c r="G9757" s="120">
        <f t="shared" si="5545"/>
        <v>0</v>
      </c>
      <c r="H9757" s="120">
        <f t="shared" si="5546"/>
        <v>0</v>
      </c>
      <c r="I9757" s="60">
        <f t="shared" si="5547"/>
        <v>0</v>
      </c>
      <c r="J9757" s="116">
        <f t="shared" si="5548"/>
        <v>0</v>
      </c>
      <c r="K9757" s="213">
        <f t="shared" si="5549"/>
        <v>0</v>
      </c>
      <c r="L9757" s="120"/>
      <c r="M9757" s="120">
        <f t="shared" si="5550"/>
        <v>0</v>
      </c>
      <c r="N9757" s="167">
        <f t="shared" si="5551"/>
        <v>0</v>
      </c>
      <c r="O9757" s="120">
        <f t="shared" si="5552"/>
        <v>0</v>
      </c>
      <c r="P9757" s="120">
        <f t="shared" si="5553"/>
        <v>0</v>
      </c>
      <c r="Q9757" s="120">
        <f t="shared" si="5554"/>
        <v>0</v>
      </c>
      <c r="R9757" s="120">
        <f t="shared" si="5555"/>
        <v>0</v>
      </c>
      <c r="S9757" s="120"/>
      <c r="T9757" s="221">
        <f t="shared" si="5556"/>
        <v>0</v>
      </c>
      <c r="U9757" s="89"/>
      <c r="V9757" s="61"/>
      <c r="W9757" s="92"/>
      <c r="X9757" s="38"/>
      <c r="Y9757" s="93"/>
      <c r="Z9757" s="134"/>
      <c r="AA9757" s="93"/>
      <c r="AB9757" s="93">
        <f t="shared" si="5557"/>
        <v>0</v>
      </c>
      <c r="AC9757" s="93">
        <f t="shared" si="5558"/>
        <v>9.9999999999999998E-20</v>
      </c>
      <c r="AD9757" s="94"/>
      <c r="AE9757" s="190"/>
      <c r="AF9757" s="191"/>
      <c r="AG9757" s="191"/>
      <c r="AH9757" s="191"/>
      <c r="AI9757" s="186"/>
      <c r="AK9757" s="171"/>
    </row>
    <row r="9758" spans="1:37" ht="20.100000000000001" customHeight="1" x14ac:dyDescent="0.25">
      <c r="A9758" s="277" t="s">
        <v>703</v>
      </c>
      <c r="B9758" s="278"/>
      <c r="C9758" s="64" t="s">
        <v>679</v>
      </c>
      <c r="D9758" s="46" t="s">
        <v>201</v>
      </c>
      <c r="E9758" s="114"/>
      <c r="F9758" s="44">
        <v>0</v>
      </c>
      <c r="G9758" s="44">
        <f t="shared" si="5545"/>
        <v>0</v>
      </c>
      <c r="H9758" s="44">
        <f t="shared" si="5546"/>
        <v>0</v>
      </c>
      <c r="I9758" s="43">
        <f t="shared" si="5547"/>
        <v>0</v>
      </c>
      <c r="J9758" s="112">
        <f t="shared" si="5548"/>
        <v>0</v>
      </c>
      <c r="K9758" s="211">
        <f t="shared" si="5549"/>
        <v>0</v>
      </c>
      <c r="L9758" s="44"/>
      <c r="M9758" s="44">
        <f t="shared" si="5550"/>
        <v>0</v>
      </c>
      <c r="N9758" s="173">
        <f t="shared" si="5551"/>
        <v>0</v>
      </c>
      <c r="O9758" s="44">
        <f t="shared" si="5552"/>
        <v>0</v>
      </c>
      <c r="P9758" s="44">
        <f t="shared" si="5553"/>
        <v>0</v>
      </c>
      <c r="Q9758" s="44">
        <f t="shared" si="5554"/>
        <v>0</v>
      </c>
      <c r="R9758" s="44">
        <f t="shared" si="5555"/>
        <v>0</v>
      </c>
      <c r="S9758" s="123"/>
      <c r="T9758" s="219">
        <f t="shared" si="5556"/>
        <v>0</v>
      </c>
      <c r="U9758" s="87"/>
      <c r="V9758" s="47"/>
      <c r="W9758" s="48"/>
      <c r="X9758" s="48"/>
      <c r="Y9758" s="48"/>
      <c r="Z9758" s="135"/>
      <c r="AA9758" s="49"/>
      <c r="AB9758" s="50">
        <f t="shared" si="5557"/>
        <v>0</v>
      </c>
      <c r="AC9758" s="42">
        <f t="shared" si="5558"/>
        <v>9.9999999999999998E-20</v>
      </c>
      <c r="AD9758" s="90"/>
      <c r="AE9758" s="188"/>
      <c r="AF9758" s="189"/>
      <c r="AG9758" s="189"/>
      <c r="AH9758" s="189"/>
      <c r="AI9758" s="161"/>
    </row>
    <row r="9759" spans="1:37" s="102" customFormat="1" ht="20.100000000000001" customHeight="1" x14ac:dyDescent="0.25">
      <c r="A9759" s="45" t="s">
        <v>703</v>
      </c>
      <c r="B9759" s="276"/>
      <c r="C9759" s="286" t="s">
        <v>860</v>
      </c>
      <c r="D9759" s="59"/>
      <c r="E9759" s="116"/>
      <c r="F9759" s="120">
        <v>0</v>
      </c>
      <c r="G9759" s="120">
        <f t="shared" si="5545"/>
        <v>0</v>
      </c>
      <c r="H9759" s="120">
        <f t="shared" si="5546"/>
        <v>0</v>
      </c>
      <c r="I9759" s="60">
        <f t="shared" si="5547"/>
        <v>0</v>
      </c>
      <c r="J9759" s="116">
        <f t="shared" si="5548"/>
        <v>0</v>
      </c>
      <c r="K9759" s="213">
        <f t="shared" si="5549"/>
        <v>0</v>
      </c>
      <c r="L9759" s="120"/>
      <c r="M9759" s="120">
        <f t="shared" si="5550"/>
        <v>0</v>
      </c>
      <c r="N9759" s="167">
        <f t="shared" si="5551"/>
        <v>0</v>
      </c>
      <c r="O9759" s="120">
        <f t="shared" si="5552"/>
        <v>0</v>
      </c>
      <c r="P9759" s="120">
        <f t="shared" si="5553"/>
        <v>0</v>
      </c>
      <c r="Q9759" s="120">
        <f t="shared" si="5554"/>
        <v>0</v>
      </c>
      <c r="R9759" s="120">
        <f t="shared" si="5555"/>
        <v>0</v>
      </c>
      <c r="S9759" s="120"/>
      <c r="T9759" s="221">
        <f t="shared" si="5556"/>
        <v>0</v>
      </c>
      <c r="U9759" s="89"/>
      <c r="V9759" s="61"/>
      <c r="W9759" s="92"/>
      <c r="X9759" s="38"/>
      <c r="Y9759" s="93"/>
      <c r="Z9759" s="134"/>
      <c r="AA9759" s="93"/>
      <c r="AB9759" s="93">
        <f t="shared" si="5557"/>
        <v>0</v>
      </c>
      <c r="AC9759" s="93">
        <f t="shared" si="5558"/>
        <v>9.9999999999999998E-20</v>
      </c>
      <c r="AD9759" s="94"/>
      <c r="AE9759" s="190"/>
      <c r="AF9759" s="191"/>
      <c r="AG9759" s="191"/>
      <c r="AH9759" s="191"/>
      <c r="AI9759" s="186"/>
      <c r="AK9759" s="171"/>
    </row>
    <row r="9760" spans="1:37" s="102" customFormat="1" ht="20.100000000000001" customHeight="1" x14ac:dyDescent="0.25">
      <c r="A9760" s="45" t="s">
        <v>703</v>
      </c>
      <c r="B9760" s="276"/>
      <c r="C9760" s="286" t="s">
        <v>861</v>
      </c>
      <c r="D9760" s="59"/>
      <c r="E9760" s="116"/>
      <c r="F9760" s="120">
        <v>0</v>
      </c>
      <c r="G9760" s="120">
        <f t="shared" si="5545"/>
        <v>0</v>
      </c>
      <c r="H9760" s="120">
        <f t="shared" si="5546"/>
        <v>0</v>
      </c>
      <c r="I9760" s="60">
        <f t="shared" si="5547"/>
        <v>0</v>
      </c>
      <c r="J9760" s="116">
        <f t="shared" si="5548"/>
        <v>0</v>
      </c>
      <c r="K9760" s="213">
        <f t="shared" si="5549"/>
        <v>0</v>
      </c>
      <c r="L9760" s="120"/>
      <c r="M9760" s="120">
        <f t="shared" si="5550"/>
        <v>0</v>
      </c>
      <c r="N9760" s="167">
        <f t="shared" si="5551"/>
        <v>0</v>
      </c>
      <c r="O9760" s="120">
        <f t="shared" si="5552"/>
        <v>0</v>
      </c>
      <c r="P9760" s="120">
        <f t="shared" si="5553"/>
        <v>0</v>
      </c>
      <c r="Q9760" s="120">
        <f t="shared" si="5554"/>
        <v>0</v>
      </c>
      <c r="R9760" s="120">
        <f t="shared" si="5555"/>
        <v>0</v>
      </c>
      <c r="S9760" s="120"/>
      <c r="T9760" s="221">
        <f t="shared" si="5556"/>
        <v>0</v>
      </c>
      <c r="U9760" s="89"/>
      <c r="V9760" s="61"/>
      <c r="W9760" s="92"/>
      <c r="X9760" s="38"/>
      <c r="Y9760" s="93"/>
      <c r="Z9760" s="134"/>
      <c r="AA9760" s="93"/>
      <c r="AB9760" s="93">
        <f t="shared" si="5557"/>
        <v>0</v>
      </c>
      <c r="AC9760" s="93">
        <f t="shared" si="5558"/>
        <v>9.9999999999999998E-20</v>
      </c>
      <c r="AD9760" s="94"/>
      <c r="AE9760" s="190"/>
      <c r="AF9760" s="191"/>
      <c r="AG9760" s="191"/>
      <c r="AH9760" s="191"/>
      <c r="AI9760" s="186"/>
      <c r="AK9760" s="171"/>
    </row>
    <row r="9761" spans="1:37" ht="20.100000000000001" customHeight="1" x14ac:dyDescent="0.25">
      <c r="A9761" s="277" t="s">
        <v>703</v>
      </c>
      <c r="B9761" s="278"/>
      <c r="C9761" s="64" t="s">
        <v>862</v>
      </c>
      <c r="D9761" s="46"/>
      <c r="E9761" s="114"/>
      <c r="F9761" s="44">
        <v>0</v>
      </c>
      <c r="G9761" s="44">
        <f t="shared" si="5545"/>
        <v>0</v>
      </c>
      <c r="H9761" s="44">
        <f t="shared" si="5546"/>
        <v>0</v>
      </c>
      <c r="I9761" s="43">
        <f t="shared" si="5547"/>
        <v>0</v>
      </c>
      <c r="J9761" s="112">
        <f t="shared" si="5548"/>
        <v>0</v>
      </c>
      <c r="K9761" s="211">
        <f t="shared" si="5549"/>
        <v>0</v>
      </c>
      <c r="L9761" s="44"/>
      <c r="M9761" s="44">
        <f t="shared" si="5550"/>
        <v>0</v>
      </c>
      <c r="N9761" s="173">
        <f t="shared" si="5551"/>
        <v>0</v>
      </c>
      <c r="O9761" s="44">
        <f t="shared" si="5552"/>
        <v>0</v>
      </c>
      <c r="P9761" s="44">
        <f t="shared" si="5553"/>
        <v>0</v>
      </c>
      <c r="Q9761" s="44">
        <f t="shared" si="5554"/>
        <v>0</v>
      </c>
      <c r="R9761" s="44">
        <f t="shared" si="5555"/>
        <v>0</v>
      </c>
      <c r="S9761" s="123"/>
      <c r="T9761" s="219">
        <f t="shared" si="5556"/>
        <v>0</v>
      </c>
      <c r="U9761" s="87"/>
      <c r="V9761" s="47"/>
      <c r="W9761" s="48"/>
      <c r="X9761" s="48"/>
      <c r="Y9761" s="48"/>
      <c r="Z9761" s="135"/>
      <c r="AA9761" s="49"/>
      <c r="AB9761" s="50">
        <f t="shared" si="5557"/>
        <v>0</v>
      </c>
      <c r="AC9761" s="42">
        <f t="shared" si="5558"/>
        <v>9.9999999999999998E-20</v>
      </c>
      <c r="AD9761" s="90"/>
      <c r="AE9761" s="188"/>
      <c r="AF9761" s="189"/>
      <c r="AG9761" s="189"/>
      <c r="AH9761" s="189"/>
      <c r="AI9761" s="161"/>
    </row>
    <row r="9762" spans="1:37" ht="20.100000000000001" customHeight="1" x14ac:dyDescent="0.25">
      <c r="A9762" s="277" t="s">
        <v>703</v>
      </c>
      <c r="B9762" s="278"/>
      <c r="C9762" s="64" t="s">
        <v>863</v>
      </c>
      <c r="D9762" s="46" t="s">
        <v>201</v>
      </c>
      <c r="E9762" s="114"/>
      <c r="F9762" s="44">
        <v>0</v>
      </c>
      <c r="G9762" s="44">
        <f t="shared" si="5545"/>
        <v>0</v>
      </c>
      <c r="H9762" s="44">
        <f t="shared" si="5546"/>
        <v>0</v>
      </c>
      <c r="I9762" s="43">
        <f t="shared" si="5547"/>
        <v>0</v>
      </c>
      <c r="J9762" s="112">
        <f t="shared" si="5548"/>
        <v>0</v>
      </c>
      <c r="K9762" s="211">
        <f t="shared" si="5549"/>
        <v>0</v>
      </c>
      <c r="L9762" s="44"/>
      <c r="M9762" s="44">
        <f t="shared" si="5550"/>
        <v>0</v>
      </c>
      <c r="N9762" s="173">
        <f t="shared" si="5551"/>
        <v>0</v>
      </c>
      <c r="O9762" s="44">
        <f t="shared" si="5552"/>
        <v>0</v>
      </c>
      <c r="P9762" s="44">
        <f t="shared" si="5553"/>
        <v>0</v>
      </c>
      <c r="Q9762" s="44">
        <f t="shared" si="5554"/>
        <v>0</v>
      </c>
      <c r="R9762" s="44">
        <f t="shared" si="5555"/>
        <v>0</v>
      </c>
      <c r="S9762" s="123"/>
      <c r="T9762" s="219">
        <f t="shared" si="5556"/>
        <v>0</v>
      </c>
      <c r="U9762" s="87"/>
      <c r="V9762" s="47"/>
      <c r="W9762" s="48"/>
      <c r="X9762" s="48"/>
      <c r="Y9762" s="48"/>
      <c r="Z9762" s="135"/>
      <c r="AA9762" s="49"/>
      <c r="AB9762" s="50">
        <f t="shared" si="5557"/>
        <v>0</v>
      </c>
      <c r="AC9762" s="42">
        <f t="shared" si="5558"/>
        <v>9.9999999999999998E-20</v>
      </c>
      <c r="AD9762" s="90"/>
      <c r="AE9762" s="188"/>
      <c r="AF9762" s="189"/>
      <c r="AG9762" s="189"/>
      <c r="AH9762" s="189"/>
      <c r="AI9762" s="161"/>
    </row>
    <row r="9763" spans="1:37" ht="20.100000000000001" customHeight="1" x14ac:dyDescent="0.25">
      <c r="A9763" s="277" t="s">
        <v>703</v>
      </c>
      <c r="B9763" s="278"/>
      <c r="C9763" s="64" t="s">
        <v>864</v>
      </c>
      <c r="D9763" s="46" t="s">
        <v>201</v>
      </c>
      <c r="E9763" s="114"/>
      <c r="F9763" s="44">
        <v>0</v>
      </c>
      <c r="G9763" s="44">
        <f t="shared" si="5545"/>
        <v>0</v>
      </c>
      <c r="H9763" s="44">
        <f t="shared" si="5546"/>
        <v>0</v>
      </c>
      <c r="I9763" s="43">
        <f t="shared" si="5547"/>
        <v>0</v>
      </c>
      <c r="J9763" s="112">
        <f t="shared" si="5548"/>
        <v>0</v>
      </c>
      <c r="K9763" s="211">
        <f t="shared" si="5549"/>
        <v>0</v>
      </c>
      <c r="L9763" s="44"/>
      <c r="M9763" s="44">
        <f t="shared" si="5550"/>
        <v>0</v>
      </c>
      <c r="N9763" s="173">
        <f t="shared" si="5551"/>
        <v>0</v>
      </c>
      <c r="O9763" s="44">
        <f t="shared" si="5552"/>
        <v>0</v>
      </c>
      <c r="P9763" s="44">
        <f t="shared" si="5553"/>
        <v>0</v>
      </c>
      <c r="Q9763" s="44">
        <f t="shared" si="5554"/>
        <v>0</v>
      </c>
      <c r="R9763" s="44">
        <f t="shared" si="5555"/>
        <v>0</v>
      </c>
      <c r="S9763" s="123"/>
      <c r="T9763" s="219">
        <f t="shared" si="5556"/>
        <v>0</v>
      </c>
      <c r="U9763" s="87"/>
      <c r="V9763" s="47"/>
      <c r="W9763" s="48"/>
      <c r="X9763" s="48"/>
      <c r="Y9763" s="48"/>
      <c r="Z9763" s="135"/>
      <c r="AA9763" s="49"/>
      <c r="AB9763" s="50">
        <f t="shared" si="5557"/>
        <v>0</v>
      </c>
      <c r="AC9763" s="42">
        <f t="shared" si="5558"/>
        <v>9.9999999999999998E-20</v>
      </c>
      <c r="AD9763" s="90"/>
      <c r="AE9763" s="188"/>
      <c r="AF9763" s="189"/>
      <c r="AG9763" s="189"/>
      <c r="AH9763" s="189"/>
      <c r="AI9763" s="161"/>
    </row>
    <row r="9764" spans="1:37" ht="20.100000000000001" customHeight="1" x14ac:dyDescent="0.25">
      <c r="A9764" s="277" t="s">
        <v>703</v>
      </c>
      <c r="B9764" s="278"/>
      <c r="C9764" s="64" t="s">
        <v>865</v>
      </c>
      <c r="D9764" s="46" t="s">
        <v>201</v>
      </c>
      <c r="E9764" s="114"/>
      <c r="F9764" s="44">
        <v>0</v>
      </c>
      <c r="G9764" s="44">
        <f t="shared" si="5545"/>
        <v>0</v>
      </c>
      <c r="H9764" s="44">
        <f t="shared" si="5546"/>
        <v>0</v>
      </c>
      <c r="I9764" s="43">
        <f t="shared" si="5547"/>
        <v>0</v>
      </c>
      <c r="J9764" s="112">
        <f t="shared" si="5548"/>
        <v>0</v>
      </c>
      <c r="K9764" s="211">
        <f t="shared" si="5549"/>
        <v>0</v>
      </c>
      <c r="L9764" s="44"/>
      <c r="M9764" s="44">
        <f t="shared" si="5550"/>
        <v>0</v>
      </c>
      <c r="N9764" s="173">
        <f t="shared" si="5551"/>
        <v>0</v>
      </c>
      <c r="O9764" s="44">
        <f t="shared" si="5552"/>
        <v>0</v>
      </c>
      <c r="P9764" s="44">
        <f t="shared" si="5553"/>
        <v>0</v>
      </c>
      <c r="Q9764" s="44">
        <f t="shared" si="5554"/>
        <v>0</v>
      </c>
      <c r="R9764" s="44">
        <f t="shared" si="5555"/>
        <v>0</v>
      </c>
      <c r="S9764" s="123"/>
      <c r="T9764" s="219">
        <f t="shared" si="5556"/>
        <v>0</v>
      </c>
      <c r="U9764" s="87"/>
      <c r="V9764" s="47"/>
      <c r="W9764" s="48"/>
      <c r="X9764" s="48"/>
      <c r="Y9764" s="48"/>
      <c r="Z9764" s="135"/>
      <c r="AA9764" s="49"/>
      <c r="AB9764" s="50">
        <f t="shared" si="5557"/>
        <v>0</v>
      </c>
      <c r="AC9764" s="42">
        <f t="shared" si="5558"/>
        <v>9.9999999999999998E-20</v>
      </c>
      <c r="AD9764" s="90"/>
      <c r="AE9764" s="188"/>
      <c r="AF9764" s="189"/>
      <c r="AG9764" s="189"/>
      <c r="AH9764" s="189"/>
      <c r="AI9764" s="161"/>
    </row>
    <row r="9765" spans="1:37" s="102" customFormat="1" ht="20.100000000000001" customHeight="1" x14ac:dyDescent="0.25">
      <c r="A9765" s="45" t="s">
        <v>703</v>
      </c>
      <c r="B9765" s="276"/>
      <c r="C9765" s="286" t="s">
        <v>866</v>
      </c>
      <c r="D9765" s="59"/>
      <c r="E9765" s="116"/>
      <c r="F9765" s="120">
        <v>0</v>
      </c>
      <c r="G9765" s="120">
        <f t="shared" si="5545"/>
        <v>0</v>
      </c>
      <c r="H9765" s="120">
        <f t="shared" si="5546"/>
        <v>0</v>
      </c>
      <c r="I9765" s="60">
        <f t="shared" si="5547"/>
        <v>0</v>
      </c>
      <c r="J9765" s="116">
        <f t="shared" si="5548"/>
        <v>0</v>
      </c>
      <c r="K9765" s="213">
        <f t="shared" si="5549"/>
        <v>0</v>
      </c>
      <c r="L9765" s="120"/>
      <c r="M9765" s="120">
        <f t="shared" si="5550"/>
        <v>0</v>
      </c>
      <c r="N9765" s="167">
        <f t="shared" si="5551"/>
        <v>0</v>
      </c>
      <c r="O9765" s="120">
        <f t="shared" si="5552"/>
        <v>0</v>
      </c>
      <c r="P9765" s="120">
        <f t="shared" si="5553"/>
        <v>0</v>
      </c>
      <c r="Q9765" s="120">
        <f t="shared" si="5554"/>
        <v>0</v>
      </c>
      <c r="R9765" s="120">
        <f t="shared" si="5555"/>
        <v>0</v>
      </c>
      <c r="S9765" s="120"/>
      <c r="T9765" s="221">
        <f t="shared" si="5556"/>
        <v>0</v>
      </c>
      <c r="U9765" s="89"/>
      <c r="V9765" s="61"/>
      <c r="W9765" s="92"/>
      <c r="X9765" s="38"/>
      <c r="Y9765" s="93"/>
      <c r="Z9765" s="134"/>
      <c r="AA9765" s="93"/>
      <c r="AB9765" s="93">
        <f t="shared" si="5557"/>
        <v>0</v>
      </c>
      <c r="AC9765" s="93">
        <f t="shared" si="5558"/>
        <v>9.9999999999999998E-20</v>
      </c>
      <c r="AD9765" s="94"/>
      <c r="AE9765" s="190"/>
      <c r="AF9765" s="191"/>
      <c r="AG9765" s="191"/>
      <c r="AH9765" s="191"/>
      <c r="AI9765" s="186"/>
      <c r="AK9765" s="171"/>
    </row>
    <row r="9766" spans="1:37" ht="20.100000000000001" customHeight="1" x14ac:dyDescent="0.25">
      <c r="A9766" s="277" t="s">
        <v>703</v>
      </c>
      <c r="B9766" s="278"/>
      <c r="C9766" s="64" t="s">
        <v>861</v>
      </c>
      <c r="D9766" s="46" t="s">
        <v>201</v>
      </c>
      <c r="E9766" s="114"/>
      <c r="F9766" s="44">
        <v>0</v>
      </c>
      <c r="G9766" s="44">
        <f t="shared" si="5545"/>
        <v>0</v>
      </c>
      <c r="H9766" s="44">
        <f t="shared" si="5546"/>
        <v>0</v>
      </c>
      <c r="I9766" s="43">
        <f t="shared" si="5547"/>
        <v>0</v>
      </c>
      <c r="J9766" s="112">
        <f t="shared" si="5548"/>
        <v>0</v>
      </c>
      <c r="K9766" s="211">
        <f t="shared" si="5549"/>
        <v>0</v>
      </c>
      <c r="L9766" s="44"/>
      <c r="M9766" s="44">
        <f t="shared" si="5550"/>
        <v>0</v>
      </c>
      <c r="N9766" s="173">
        <f t="shared" si="5551"/>
        <v>0</v>
      </c>
      <c r="O9766" s="44">
        <f t="shared" si="5552"/>
        <v>0</v>
      </c>
      <c r="P9766" s="44">
        <f t="shared" si="5553"/>
        <v>0</v>
      </c>
      <c r="Q9766" s="44">
        <f t="shared" si="5554"/>
        <v>0</v>
      </c>
      <c r="R9766" s="44">
        <f t="shared" si="5555"/>
        <v>0</v>
      </c>
      <c r="S9766" s="123"/>
      <c r="T9766" s="219">
        <f t="shared" si="5556"/>
        <v>0</v>
      </c>
      <c r="U9766" s="87"/>
      <c r="V9766" s="47"/>
      <c r="W9766" s="48"/>
      <c r="X9766" s="48"/>
      <c r="Y9766" s="48"/>
      <c r="Z9766" s="135"/>
      <c r="AA9766" s="49"/>
      <c r="AB9766" s="50">
        <f t="shared" si="5557"/>
        <v>0</v>
      </c>
      <c r="AC9766" s="42">
        <f t="shared" si="5558"/>
        <v>9.9999999999999998E-20</v>
      </c>
      <c r="AD9766" s="90"/>
      <c r="AE9766" s="188"/>
      <c r="AF9766" s="189"/>
      <c r="AG9766" s="189"/>
      <c r="AH9766" s="189"/>
      <c r="AI9766" s="161"/>
    </row>
    <row r="9767" spans="1:37" ht="20.100000000000001" customHeight="1" x14ac:dyDescent="0.25">
      <c r="A9767" s="277" t="s">
        <v>703</v>
      </c>
      <c r="B9767" s="278"/>
      <c r="C9767" s="64" t="s">
        <v>867</v>
      </c>
      <c r="D9767" s="46" t="s">
        <v>201</v>
      </c>
      <c r="E9767" s="114"/>
      <c r="F9767" s="44">
        <v>0</v>
      </c>
      <c r="G9767" s="44">
        <f t="shared" si="5545"/>
        <v>0</v>
      </c>
      <c r="H9767" s="44">
        <f t="shared" si="5546"/>
        <v>0</v>
      </c>
      <c r="I9767" s="43">
        <f t="shared" si="5547"/>
        <v>0</v>
      </c>
      <c r="J9767" s="112">
        <f t="shared" si="5548"/>
        <v>0</v>
      </c>
      <c r="K9767" s="211">
        <f t="shared" si="5549"/>
        <v>0</v>
      </c>
      <c r="L9767" s="44"/>
      <c r="M9767" s="44">
        <f t="shared" si="5550"/>
        <v>0</v>
      </c>
      <c r="N9767" s="173">
        <f t="shared" si="5551"/>
        <v>0</v>
      </c>
      <c r="O9767" s="44">
        <f t="shared" si="5552"/>
        <v>0</v>
      </c>
      <c r="P9767" s="44">
        <f t="shared" si="5553"/>
        <v>0</v>
      </c>
      <c r="Q9767" s="44">
        <f t="shared" si="5554"/>
        <v>0</v>
      </c>
      <c r="R9767" s="44">
        <f t="shared" si="5555"/>
        <v>0</v>
      </c>
      <c r="S9767" s="123"/>
      <c r="T9767" s="219">
        <f t="shared" si="5556"/>
        <v>0</v>
      </c>
      <c r="U9767" s="87"/>
      <c r="V9767" s="47"/>
      <c r="W9767" s="48"/>
      <c r="X9767" s="48"/>
      <c r="Y9767" s="48"/>
      <c r="Z9767" s="135"/>
      <c r="AA9767" s="49"/>
      <c r="AB9767" s="50">
        <f t="shared" si="5557"/>
        <v>0</v>
      </c>
      <c r="AC9767" s="42">
        <f t="shared" si="5558"/>
        <v>9.9999999999999998E-20</v>
      </c>
      <c r="AD9767" s="90"/>
      <c r="AE9767" s="188"/>
      <c r="AF9767" s="189"/>
      <c r="AG9767" s="189"/>
      <c r="AH9767" s="189"/>
      <c r="AI9767" s="161"/>
    </row>
    <row r="9768" spans="1:37" s="102" customFormat="1" ht="20.100000000000001" customHeight="1" x14ac:dyDescent="0.25">
      <c r="A9768" s="45" t="s">
        <v>703</v>
      </c>
      <c r="B9768" s="276"/>
      <c r="C9768" s="286" t="s">
        <v>868</v>
      </c>
      <c r="D9768" s="59"/>
      <c r="E9768" s="116"/>
      <c r="F9768" s="120">
        <v>0</v>
      </c>
      <c r="G9768" s="120">
        <f t="shared" si="5545"/>
        <v>0</v>
      </c>
      <c r="H9768" s="120">
        <f t="shared" si="5546"/>
        <v>0</v>
      </c>
      <c r="I9768" s="60">
        <f t="shared" si="5547"/>
        <v>0</v>
      </c>
      <c r="J9768" s="116">
        <f t="shared" si="5548"/>
        <v>0</v>
      </c>
      <c r="K9768" s="213">
        <f t="shared" si="5549"/>
        <v>0</v>
      </c>
      <c r="L9768" s="120"/>
      <c r="M9768" s="120">
        <f t="shared" si="5550"/>
        <v>0</v>
      </c>
      <c r="N9768" s="167">
        <f t="shared" si="5551"/>
        <v>0</v>
      </c>
      <c r="O9768" s="120">
        <f t="shared" si="5552"/>
        <v>0</v>
      </c>
      <c r="P9768" s="120">
        <f t="shared" si="5553"/>
        <v>0</v>
      </c>
      <c r="Q9768" s="120">
        <f t="shared" si="5554"/>
        <v>0</v>
      </c>
      <c r="R9768" s="120">
        <f t="shared" si="5555"/>
        <v>0</v>
      </c>
      <c r="S9768" s="120"/>
      <c r="T9768" s="221">
        <f t="shared" si="5556"/>
        <v>0</v>
      </c>
      <c r="U9768" s="89"/>
      <c r="V9768" s="61"/>
      <c r="W9768" s="92"/>
      <c r="X9768" s="38"/>
      <c r="Y9768" s="93"/>
      <c r="Z9768" s="134"/>
      <c r="AA9768" s="93"/>
      <c r="AB9768" s="93">
        <f t="shared" si="5557"/>
        <v>0</v>
      </c>
      <c r="AC9768" s="93">
        <f t="shared" si="5558"/>
        <v>9.9999999999999998E-20</v>
      </c>
      <c r="AD9768" s="94"/>
      <c r="AE9768" s="190"/>
      <c r="AF9768" s="191"/>
      <c r="AG9768" s="191"/>
      <c r="AH9768" s="191"/>
      <c r="AI9768" s="186"/>
      <c r="AK9768" s="171"/>
    </row>
    <row r="9769" spans="1:37" ht="20.100000000000001" customHeight="1" x14ac:dyDescent="0.25">
      <c r="A9769" s="277" t="s">
        <v>703</v>
      </c>
      <c r="B9769" s="278"/>
      <c r="C9769" s="64" t="s">
        <v>869</v>
      </c>
      <c r="D9769" s="46" t="s">
        <v>201</v>
      </c>
      <c r="E9769" s="114"/>
      <c r="F9769" s="44">
        <v>0</v>
      </c>
      <c r="G9769" s="44">
        <f t="shared" si="5545"/>
        <v>0</v>
      </c>
      <c r="H9769" s="44">
        <f t="shared" si="5546"/>
        <v>0</v>
      </c>
      <c r="I9769" s="43">
        <f t="shared" si="5547"/>
        <v>0</v>
      </c>
      <c r="J9769" s="112">
        <f t="shared" si="5548"/>
        <v>0</v>
      </c>
      <c r="K9769" s="211">
        <f t="shared" si="5549"/>
        <v>0</v>
      </c>
      <c r="L9769" s="44"/>
      <c r="M9769" s="44">
        <f t="shared" si="5550"/>
        <v>0</v>
      </c>
      <c r="N9769" s="173">
        <f t="shared" si="5551"/>
        <v>0</v>
      </c>
      <c r="O9769" s="44">
        <f t="shared" si="5552"/>
        <v>0</v>
      </c>
      <c r="P9769" s="44">
        <f t="shared" si="5553"/>
        <v>0</v>
      </c>
      <c r="Q9769" s="44">
        <f t="shared" si="5554"/>
        <v>0</v>
      </c>
      <c r="R9769" s="44">
        <f t="shared" si="5555"/>
        <v>0</v>
      </c>
      <c r="S9769" s="123"/>
      <c r="T9769" s="219">
        <f t="shared" si="5556"/>
        <v>0</v>
      </c>
      <c r="U9769" s="87"/>
      <c r="V9769" s="47"/>
      <c r="W9769" s="48"/>
      <c r="X9769" s="48"/>
      <c r="Y9769" s="48"/>
      <c r="Z9769" s="135"/>
      <c r="AA9769" s="49"/>
      <c r="AB9769" s="50">
        <f t="shared" si="5557"/>
        <v>0</v>
      </c>
      <c r="AC9769" s="42">
        <f t="shared" si="5558"/>
        <v>9.9999999999999998E-20</v>
      </c>
      <c r="AD9769" s="90"/>
      <c r="AE9769" s="188"/>
      <c r="AF9769" s="189"/>
      <c r="AG9769" s="189"/>
      <c r="AH9769" s="189"/>
      <c r="AI9769" s="161"/>
    </row>
    <row r="9770" spans="1:37" ht="20.100000000000001" customHeight="1" x14ac:dyDescent="0.25">
      <c r="A9770" s="277" t="s">
        <v>703</v>
      </c>
      <c r="B9770" s="278"/>
      <c r="C9770" s="64" t="s">
        <v>870</v>
      </c>
      <c r="D9770" s="46" t="s">
        <v>201</v>
      </c>
      <c r="E9770" s="114"/>
      <c r="F9770" s="44">
        <v>0</v>
      </c>
      <c r="G9770" s="44">
        <f t="shared" si="5545"/>
        <v>0</v>
      </c>
      <c r="H9770" s="44">
        <f t="shared" si="5546"/>
        <v>0</v>
      </c>
      <c r="I9770" s="43">
        <f t="shared" si="5547"/>
        <v>0</v>
      </c>
      <c r="J9770" s="112">
        <f t="shared" si="5548"/>
        <v>0</v>
      </c>
      <c r="K9770" s="211">
        <f t="shared" si="5549"/>
        <v>0</v>
      </c>
      <c r="L9770" s="44"/>
      <c r="M9770" s="44">
        <f t="shared" si="5550"/>
        <v>0</v>
      </c>
      <c r="N9770" s="173">
        <f t="shared" si="5551"/>
        <v>0</v>
      </c>
      <c r="O9770" s="44">
        <f t="shared" si="5552"/>
        <v>0</v>
      </c>
      <c r="P9770" s="44">
        <f t="shared" si="5553"/>
        <v>0</v>
      </c>
      <c r="Q9770" s="44">
        <f t="shared" si="5554"/>
        <v>0</v>
      </c>
      <c r="R9770" s="44">
        <f t="shared" si="5555"/>
        <v>0</v>
      </c>
      <c r="S9770" s="123"/>
      <c r="T9770" s="219">
        <f t="shared" si="5556"/>
        <v>0</v>
      </c>
      <c r="U9770" s="87"/>
      <c r="V9770" s="47"/>
      <c r="W9770" s="48"/>
      <c r="X9770" s="48"/>
      <c r="Y9770" s="48"/>
      <c r="Z9770" s="135"/>
      <c r="AA9770" s="49"/>
      <c r="AB9770" s="50">
        <f t="shared" si="5557"/>
        <v>0</v>
      </c>
      <c r="AC9770" s="42">
        <f t="shared" si="5558"/>
        <v>9.9999999999999998E-20</v>
      </c>
      <c r="AD9770" s="90"/>
      <c r="AE9770" s="188"/>
      <c r="AF9770" s="189"/>
      <c r="AG9770" s="189"/>
      <c r="AH9770" s="189"/>
      <c r="AI9770" s="161"/>
    </row>
    <row r="9771" spans="1:37" s="102" customFormat="1" ht="20.100000000000001" customHeight="1" x14ac:dyDescent="0.25">
      <c r="A9771" s="45" t="s">
        <v>703</v>
      </c>
      <c r="B9771" s="276"/>
      <c r="C9771" s="286" t="s">
        <v>871</v>
      </c>
      <c r="D9771" s="59"/>
      <c r="E9771" s="116"/>
      <c r="F9771" s="120">
        <v>0</v>
      </c>
      <c r="G9771" s="120">
        <f t="shared" si="5545"/>
        <v>0</v>
      </c>
      <c r="H9771" s="120">
        <f t="shared" si="5546"/>
        <v>0</v>
      </c>
      <c r="I9771" s="60">
        <f t="shared" si="5547"/>
        <v>0</v>
      </c>
      <c r="J9771" s="116">
        <f t="shared" si="5548"/>
        <v>0</v>
      </c>
      <c r="K9771" s="213">
        <f t="shared" si="5549"/>
        <v>0</v>
      </c>
      <c r="L9771" s="120"/>
      <c r="M9771" s="120">
        <f t="shared" si="5550"/>
        <v>0</v>
      </c>
      <c r="N9771" s="167">
        <f t="shared" si="5551"/>
        <v>0</v>
      </c>
      <c r="O9771" s="120">
        <f t="shared" si="5552"/>
        <v>0</v>
      </c>
      <c r="P9771" s="120">
        <f t="shared" si="5553"/>
        <v>0</v>
      </c>
      <c r="Q9771" s="120">
        <f t="shared" si="5554"/>
        <v>0</v>
      </c>
      <c r="R9771" s="120">
        <f t="shared" si="5555"/>
        <v>0</v>
      </c>
      <c r="S9771" s="120"/>
      <c r="T9771" s="221">
        <f t="shared" si="5556"/>
        <v>0</v>
      </c>
      <c r="U9771" s="89"/>
      <c r="V9771" s="61"/>
      <c r="W9771" s="92"/>
      <c r="X9771" s="38"/>
      <c r="Y9771" s="93"/>
      <c r="Z9771" s="134"/>
      <c r="AA9771" s="93"/>
      <c r="AB9771" s="93">
        <f t="shared" si="5557"/>
        <v>0</v>
      </c>
      <c r="AC9771" s="93">
        <f t="shared" si="5558"/>
        <v>9.9999999999999998E-20</v>
      </c>
      <c r="AD9771" s="94"/>
      <c r="AE9771" s="190"/>
      <c r="AF9771" s="191"/>
      <c r="AG9771" s="191"/>
      <c r="AH9771" s="191"/>
      <c r="AI9771" s="186"/>
      <c r="AK9771" s="171"/>
    </row>
    <row r="9772" spans="1:37" ht="20.100000000000001" customHeight="1" x14ac:dyDescent="0.25">
      <c r="A9772" s="277" t="s">
        <v>703</v>
      </c>
      <c r="B9772" s="278"/>
      <c r="C9772" s="64" t="s">
        <v>872</v>
      </c>
      <c r="D9772" s="46" t="s">
        <v>201</v>
      </c>
      <c r="E9772" s="114"/>
      <c r="F9772" s="44">
        <v>0</v>
      </c>
      <c r="G9772" s="44">
        <f t="shared" si="5545"/>
        <v>0</v>
      </c>
      <c r="H9772" s="44">
        <f t="shared" si="5546"/>
        <v>0</v>
      </c>
      <c r="I9772" s="43">
        <f t="shared" si="5547"/>
        <v>0</v>
      </c>
      <c r="J9772" s="112">
        <f t="shared" si="5548"/>
        <v>0</v>
      </c>
      <c r="K9772" s="211">
        <f t="shared" si="5549"/>
        <v>0</v>
      </c>
      <c r="L9772" s="44"/>
      <c r="M9772" s="44">
        <f t="shared" si="5550"/>
        <v>0</v>
      </c>
      <c r="N9772" s="173">
        <f t="shared" si="5551"/>
        <v>0</v>
      </c>
      <c r="O9772" s="44">
        <f t="shared" si="5552"/>
        <v>0</v>
      </c>
      <c r="P9772" s="44">
        <f t="shared" si="5553"/>
        <v>0</v>
      </c>
      <c r="Q9772" s="44">
        <f t="shared" si="5554"/>
        <v>0</v>
      </c>
      <c r="R9772" s="44">
        <f t="shared" si="5555"/>
        <v>0</v>
      </c>
      <c r="S9772" s="123"/>
      <c r="T9772" s="219">
        <f t="shared" si="5556"/>
        <v>0</v>
      </c>
      <c r="U9772" s="87"/>
      <c r="V9772" s="47"/>
      <c r="W9772" s="48"/>
      <c r="X9772" s="48"/>
      <c r="Y9772" s="48"/>
      <c r="Z9772" s="135"/>
      <c r="AA9772" s="49"/>
      <c r="AB9772" s="50">
        <f t="shared" si="5557"/>
        <v>0</v>
      </c>
      <c r="AC9772" s="42">
        <f t="shared" si="5558"/>
        <v>9.9999999999999998E-20</v>
      </c>
      <c r="AD9772" s="90"/>
      <c r="AE9772" s="188"/>
      <c r="AF9772" s="189"/>
      <c r="AG9772" s="189"/>
      <c r="AH9772" s="189"/>
      <c r="AI9772" s="161"/>
    </row>
    <row r="9773" spans="1:37" ht="20.100000000000001" customHeight="1" x14ac:dyDescent="0.25">
      <c r="A9773" s="277" t="s">
        <v>703</v>
      </c>
      <c r="B9773" s="278"/>
      <c r="C9773" s="64" t="s">
        <v>873</v>
      </c>
      <c r="D9773" s="46" t="s">
        <v>201</v>
      </c>
      <c r="E9773" s="114"/>
      <c r="F9773" s="44">
        <v>0</v>
      </c>
      <c r="G9773" s="44">
        <f t="shared" si="5545"/>
        <v>0</v>
      </c>
      <c r="H9773" s="44">
        <f t="shared" si="5546"/>
        <v>0</v>
      </c>
      <c r="I9773" s="43">
        <f t="shared" si="5547"/>
        <v>0</v>
      </c>
      <c r="J9773" s="112">
        <f t="shared" si="5548"/>
        <v>0</v>
      </c>
      <c r="K9773" s="211">
        <f t="shared" si="5549"/>
        <v>0</v>
      </c>
      <c r="L9773" s="44"/>
      <c r="M9773" s="44">
        <f t="shared" si="5550"/>
        <v>0</v>
      </c>
      <c r="N9773" s="173">
        <f t="shared" si="5551"/>
        <v>0</v>
      </c>
      <c r="O9773" s="44">
        <f t="shared" si="5552"/>
        <v>0</v>
      </c>
      <c r="P9773" s="44">
        <f t="shared" si="5553"/>
        <v>0</v>
      </c>
      <c r="Q9773" s="44">
        <f t="shared" si="5554"/>
        <v>0</v>
      </c>
      <c r="R9773" s="44">
        <f t="shared" si="5555"/>
        <v>0</v>
      </c>
      <c r="S9773" s="123"/>
      <c r="T9773" s="219">
        <f t="shared" si="5556"/>
        <v>0</v>
      </c>
      <c r="U9773" s="87"/>
      <c r="V9773" s="47"/>
      <c r="W9773" s="48"/>
      <c r="X9773" s="48"/>
      <c r="Y9773" s="48"/>
      <c r="Z9773" s="135"/>
      <c r="AA9773" s="49"/>
      <c r="AB9773" s="50">
        <f t="shared" si="5557"/>
        <v>0</v>
      </c>
      <c r="AC9773" s="42">
        <f t="shared" si="5558"/>
        <v>9.9999999999999998E-20</v>
      </c>
      <c r="AD9773" s="90"/>
      <c r="AE9773" s="188"/>
      <c r="AF9773" s="189"/>
      <c r="AG9773" s="189"/>
      <c r="AH9773" s="189"/>
      <c r="AI9773" s="161"/>
    </row>
    <row r="9774" spans="1:37" s="102" customFormat="1" ht="20.100000000000001" customHeight="1" x14ac:dyDescent="0.25">
      <c r="A9774" s="45" t="s">
        <v>703</v>
      </c>
      <c r="B9774" s="276"/>
      <c r="C9774" s="286" t="s">
        <v>874</v>
      </c>
      <c r="D9774" s="59"/>
      <c r="E9774" s="116"/>
      <c r="F9774" s="120">
        <v>0</v>
      </c>
      <c r="G9774" s="120">
        <f t="shared" si="5545"/>
        <v>0</v>
      </c>
      <c r="H9774" s="120">
        <f t="shared" si="5546"/>
        <v>0</v>
      </c>
      <c r="I9774" s="60">
        <f t="shared" si="5547"/>
        <v>0</v>
      </c>
      <c r="J9774" s="116">
        <f t="shared" si="5548"/>
        <v>0</v>
      </c>
      <c r="K9774" s="213">
        <f t="shared" si="5549"/>
        <v>0</v>
      </c>
      <c r="L9774" s="120"/>
      <c r="M9774" s="120">
        <f t="shared" si="5550"/>
        <v>0</v>
      </c>
      <c r="N9774" s="167">
        <f t="shared" si="5551"/>
        <v>0</v>
      </c>
      <c r="O9774" s="120">
        <f t="shared" si="5552"/>
        <v>0</v>
      </c>
      <c r="P9774" s="120">
        <f t="shared" si="5553"/>
        <v>0</v>
      </c>
      <c r="Q9774" s="120">
        <f t="shared" si="5554"/>
        <v>0</v>
      </c>
      <c r="R9774" s="120">
        <f t="shared" si="5555"/>
        <v>0</v>
      </c>
      <c r="S9774" s="120"/>
      <c r="T9774" s="221">
        <f t="shared" si="5556"/>
        <v>0</v>
      </c>
      <c r="U9774" s="89"/>
      <c r="V9774" s="61"/>
      <c r="W9774" s="92"/>
      <c r="X9774" s="38"/>
      <c r="Y9774" s="93"/>
      <c r="Z9774" s="134"/>
      <c r="AA9774" s="93"/>
      <c r="AB9774" s="93">
        <f t="shared" si="5557"/>
        <v>0</v>
      </c>
      <c r="AC9774" s="93">
        <f t="shared" si="5558"/>
        <v>9.9999999999999998E-20</v>
      </c>
      <c r="AD9774" s="94"/>
      <c r="AE9774" s="190"/>
      <c r="AF9774" s="191"/>
      <c r="AG9774" s="191"/>
      <c r="AH9774" s="191"/>
      <c r="AI9774" s="186"/>
      <c r="AK9774" s="171"/>
    </row>
    <row r="9775" spans="1:37" ht="20.100000000000001" customHeight="1" x14ac:dyDescent="0.25">
      <c r="A9775" s="277" t="s">
        <v>703</v>
      </c>
      <c r="B9775" s="278"/>
      <c r="C9775" s="64" t="s">
        <v>875</v>
      </c>
      <c r="D9775" s="46" t="s">
        <v>201</v>
      </c>
      <c r="E9775" s="114"/>
      <c r="F9775" s="44">
        <v>0</v>
      </c>
      <c r="G9775" s="44">
        <f t="shared" si="5545"/>
        <v>0</v>
      </c>
      <c r="H9775" s="44">
        <f t="shared" si="5546"/>
        <v>0</v>
      </c>
      <c r="I9775" s="43">
        <f t="shared" si="5547"/>
        <v>0</v>
      </c>
      <c r="J9775" s="112">
        <f t="shared" si="5548"/>
        <v>0</v>
      </c>
      <c r="K9775" s="211">
        <f t="shared" si="5549"/>
        <v>0</v>
      </c>
      <c r="L9775" s="44"/>
      <c r="M9775" s="44">
        <f t="shared" si="5550"/>
        <v>0</v>
      </c>
      <c r="N9775" s="173">
        <f t="shared" si="5551"/>
        <v>0</v>
      </c>
      <c r="O9775" s="44">
        <f t="shared" si="5552"/>
        <v>0</v>
      </c>
      <c r="P9775" s="44">
        <f t="shared" si="5553"/>
        <v>0</v>
      </c>
      <c r="Q9775" s="44">
        <f t="shared" si="5554"/>
        <v>0</v>
      </c>
      <c r="R9775" s="44">
        <f t="shared" si="5555"/>
        <v>0</v>
      </c>
      <c r="S9775" s="123"/>
      <c r="T9775" s="219">
        <f t="shared" si="5556"/>
        <v>0</v>
      </c>
      <c r="U9775" s="87"/>
      <c r="V9775" s="47"/>
      <c r="W9775" s="48"/>
      <c r="X9775" s="48"/>
      <c r="Y9775" s="48"/>
      <c r="Z9775" s="135"/>
      <c r="AA9775" s="49"/>
      <c r="AB9775" s="50">
        <f t="shared" si="5557"/>
        <v>0</v>
      </c>
      <c r="AC9775" s="42">
        <f t="shared" si="5558"/>
        <v>9.9999999999999998E-20</v>
      </c>
      <c r="AD9775" s="90"/>
      <c r="AE9775" s="188"/>
      <c r="AF9775" s="189"/>
      <c r="AG9775" s="189"/>
      <c r="AH9775" s="189"/>
      <c r="AI9775" s="161"/>
    </row>
    <row r="9776" spans="1:37" ht="20.100000000000001" customHeight="1" x14ac:dyDescent="0.25">
      <c r="A9776" s="277" t="s">
        <v>703</v>
      </c>
      <c r="B9776" s="278"/>
      <c r="C9776" s="64" t="s">
        <v>876</v>
      </c>
      <c r="D9776" s="46" t="s">
        <v>201</v>
      </c>
      <c r="E9776" s="114"/>
      <c r="F9776" s="44">
        <v>0</v>
      </c>
      <c r="G9776" s="44">
        <f t="shared" ref="G9776:G9866" si="6523">F9776*E9776</f>
        <v>0</v>
      </c>
      <c r="H9776" s="44">
        <f t="shared" ref="H9776:H9866" si="6524">AB9776</f>
        <v>0</v>
      </c>
      <c r="I9776" s="43">
        <f t="shared" ref="I9776:I9866" si="6525">H9776*E9776</f>
        <v>0</v>
      </c>
      <c r="J9776" s="112">
        <f t="shared" ref="J9776:J9866" si="6526">E9776</f>
        <v>0</v>
      </c>
      <c r="K9776" s="211">
        <f t="shared" ref="K9776:K9866" si="6527">J9776</f>
        <v>0</v>
      </c>
      <c r="L9776" s="44"/>
      <c r="M9776" s="44">
        <f t="shared" ref="M9776:M9866" si="6528">K9776-L9776</f>
        <v>0</v>
      </c>
      <c r="N9776" s="173">
        <f t="shared" ref="N9776:N9866" si="6529">IFERROR(M9776/K9776,0)</f>
        <v>0</v>
      </c>
      <c r="O9776" s="44">
        <f t="shared" ref="O9776:O9866" si="6530">F9776</f>
        <v>0</v>
      </c>
      <c r="P9776" s="44">
        <f t="shared" ref="P9776:P9866" si="6531">K9776*O9776</f>
        <v>0</v>
      </c>
      <c r="Q9776" s="44">
        <f t="shared" ref="Q9776:Q9866" si="6532">AB9776</f>
        <v>0</v>
      </c>
      <c r="R9776" s="44">
        <f t="shared" ref="R9776:R9866" si="6533">M9776*Q9776</f>
        <v>0</v>
      </c>
      <c r="S9776" s="123"/>
      <c r="T9776" s="219">
        <f t="shared" ref="T9776:T9866" si="6534">S9776+R9776</f>
        <v>0</v>
      </c>
      <c r="U9776" s="87"/>
      <c r="V9776" s="47"/>
      <c r="W9776" s="48"/>
      <c r="X9776" s="48"/>
      <c r="Y9776" s="48"/>
      <c r="Z9776" s="135"/>
      <c r="AA9776" s="49"/>
      <c r="AB9776" s="50">
        <f t="shared" ref="AB9776:AB9866" si="6535">AD9776/AC9776</f>
        <v>0</v>
      </c>
      <c r="AC9776" s="42">
        <f t="shared" ref="AC9776:AC9866" si="6536">M9776+$AE$10</f>
        <v>9.9999999999999998E-20</v>
      </c>
      <c r="AD9776" s="90"/>
      <c r="AE9776" s="188"/>
      <c r="AF9776" s="189"/>
      <c r="AG9776" s="189"/>
      <c r="AH9776" s="189"/>
      <c r="AI9776" s="161"/>
    </row>
    <row r="9777" spans="1:37" ht="20.100000000000001" customHeight="1" x14ac:dyDescent="0.25">
      <c r="A9777" s="277" t="s">
        <v>703</v>
      </c>
      <c r="B9777" s="278"/>
      <c r="C9777" s="64" t="s">
        <v>877</v>
      </c>
      <c r="D9777" s="46" t="s">
        <v>201</v>
      </c>
      <c r="E9777" s="114"/>
      <c r="F9777" s="44">
        <v>0</v>
      </c>
      <c r="G9777" s="44">
        <f t="shared" si="6523"/>
        <v>0</v>
      </c>
      <c r="H9777" s="44">
        <f t="shared" si="6524"/>
        <v>0</v>
      </c>
      <c r="I9777" s="43">
        <f t="shared" si="6525"/>
        <v>0</v>
      </c>
      <c r="J9777" s="112">
        <f t="shared" si="6526"/>
        <v>0</v>
      </c>
      <c r="K9777" s="211">
        <f t="shared" si="6527"/>
        <v>0</v>
      </c>
      <c r="L9777" s="44"/>
      <c r="M9777" s="44">
        <f t="shared" si="6528"/>
        <v>0</v>
      </c>
      <c r="N9777" s="173">
        <f t="shared" si="6529"/>
        <v>0</v>
      </c>
      <c r="O9777" s="44">
        <f t="shared" si="6530"/>
        <v>0</v>
      </c>
      <c r="P9777" s="44">
        <f t="shared" si="6531"/>
        <v>0</v>
      </c>
      <c r="Q9777" s="44">
        <f t="shared" si="6532"/>
        <v>0</v>
      </c>
      <c r="R9777" s="44">
        <f t="shared" si="6533"/>
        <v>0</v>
      </c>
      <c r="S9777" s="123"/>
      <c r="T9777" s="219">
        <f t="shared" si="6534"/>
        <v>0</v>
      </c>
      <c r="U9777" s="87"/>
      <c r="V9777" s="47"/>
      <c r="W9777" s="48"/>
      <c r="X9777" s="48"/>
      <c r="Y9777" s="48"/>
      <c r="Z9777" s="135"/>
      <c r="AA9777" s="49"/>
      <c r="AB9777" s="50">
        <f t="shared" si="6535"/>
        <v>0</v>
      </c>
      <c r="AC9777" s="42">
        <f t="shared" si="6536"/>
        <v>9.9999999999999998E-20</v>
      </c>
      <c r="AD9777" s="90"/>
      <c r="AE9777" s="188"/>
      <c r="AF9777" s="189"/>
      <c r="AG9777" s="189"/>
      <c r="AH9777" s="189"/>
      <c r="AI9777" s="161"/>
    </row>
    <row r="9778" spans="1:37" ht="20.100000000000001" customHeight="1" x14ac:dyDescent="0.25">
      <c r="A9778" s="277" t="s">
        <v>703</v>
      </c>
      <c r="B9778" s="278"/>
      <c r="C9778" s="64" t="s">
        <v>878</v>
      </c>
      <c r="D9778" s="46" t="s">
        <v>201</v>
      </c>
      <c r="E9778" s="114"/>
      <c r="F9778" s="44">
        <v>0</v>
      </c>
      <c r="G9778" s="44">
        <f t="shared" si="6523"/>
        <v>0</v>
      </c>
      <c r="H9778" s="44">
        <f t="shared" si="6524"/>
        <v>0</v>
      </c>
      <c r="I9778" s="43">
        <f t="shared" si="6525"/>
        <v>0</v>
      </c>
      <c r="J9778" s="112">
        <f t="shared" si="6526"/>
        <v>0</v>
      </c>
      <c r="K9778" s="211">
        <f t="shared" si="6527"/>
        <v>0</v>
      </c>
      <c r="L9778" s="44"/>
      <c r="M9778" s="44">
        <f t="shared" si="6528"/>
        <v>0</v>
      </c>
      <c r="N9778" s="173">
        <f t="shared" si="6529"/>
        <v>0</v>
      </c>
      <c r="O9778" s="44">
        <f t="shared" si="6530"/>
        <v>0</v>
      </c>
      <c r="P9778" s="44">
        <f t="shared" si="6531"/>
        <v>0</v>
      </c>
      <c r="Q9778" s="44">
        <f t="shared" si="6532"/>
        <v>0</v>
      </c>
      <c r="R9778" s="44">
        <f t="shared" si="6533"/>
        <v>0</v>
      </c>
      <c r="S9778" s="123"/>
      <c r="T9778" s="219">
        <f t="shared" si="6534"/>
        <v>0</v>
      </c>
      <c r="U9778" s="87"/>
      <c r="V9778" s="47"/>
      <c r="W9778" s="48"/>
      <c r="X9778" s="48"/>
      <c r="Y9778" s="48"/>
      <c r="Z9778" s="135"/>
      <c r="AA9778" s="49"/>
      <c r="AB9778" s="50">
        <f t="shared" si="6535"/>
        <v>0</v>
      </c>
      <c r="AC9778" s="42">
        <f t="shared" si="6536"/>
        <v>9.9999999999999998E-20</v>
      </c>
      <c r="AD9778" s="90"/>
      <c r="AE9778" s="188"/>
      <c r="AF9778" s="189"/>
      <c r="AG9778" s="189"/>
      <c r="AH9778" s="189"/>
      <c r="AI9778" s="161"/>
    </row>
    <row r="9779" spans="1:37" ht="20.100000000000001" customHeight="1" x14ac:dyDescent="0.25">
      <c r="A9779" s="277" t="s">
        <v>703</v>
      </c>
      <c r="B9779" s="278"/>
      <c r="C9779" s="64" t="s">
        <v>879</v>
      </c>
      <c r="D9779" s="46" t="s">
        <v>201</v>
      </c>
      <c r="E9779" s="114"/>
      <c r="F9779" s="44">
        <v>0</v>
      </c>
      <c r="G9779" s="44">
        <f t="shared" si="6523"/>
        <v>0</v>
      </c>
      <c r="H9779" s="44">
        <f t="shared" si="6524"/>
        <v>0</v>
      </c>
      <c r="I9779" s="43">
        <f t="shared" si="6525"/>
        <v>0</v>
      </c>
      <c r="J9779" s="112">
        <f t="shared" si="6526"/>
        <v>0</v>
      </c>
      <c r="K9779" s="211">
        <f t="shared" si="6527"/>
        <v>0</v>
      </c>
      <c r="L9779" s="44"/>
      <c r="M9779" s="44">
        <f t="shared" si="6528"/>
        <v>0</v>
      </c>
      <c r="N9779" s="173">
        <f t="shared" si="6529"/>
        <v>0</v>
      </c>
      <c r="O9779" s="44">
        <f t="shared" si="6530"/>
        <v>0</v>
      </c>
      <c r="P9779" s="44">
        <f t="shared" si="6531"/>
        <v>0</v>
      </c>
      <c r="Q9779" s="44">
        <f t="shared" si="6532"/>
        <v>0</v>
      </c>
      <c r="R9779" s="44">
        <f t="shared" si="6533"/>
        <v>0</v>
      </c>
      <c r="S9779" s="123"/>
      <c r="T9779" s="219">
        <f t="shared" si="6534"/>
        <v>0</v>
      </c>
      <c r="U9779" s="87"/>
      <c r="V9779" s="47"/>
      <c r="W9779" s="48"/>
      <c r="X9779" s="48"/>
      <c r="Y9779" s="48"/>
      <c r="Z9779" s="135"/>
      <c r="AA9779" s="49"/>
      <c r="AB9779" s="50">
        <f t="shared" si="6535"/>
        <v>0</v>
      </c>
      <c r="AC9779" s="42">
        <f t="shared" si="6536"/>
        <v>9.9999999999999998E-20</v>
      </c>
      <c r="AD9779" s="90"/>
      <c r="AE9779" s="188"/>
      <c r="AF9779" s="189"/>
      <c r="AG9779" s="189"/>
      <c r="AH9779" s="189"/>
      <c r="AI9779" s="161"/>
    </row>
    <row r="9780" spans="1:37" ht="20.100000000000001" customHeight="1" x14ac:dyDescent="0.25">
      <c r="A9780" s="277" t="s">
        <v>703</v>
      </c>
      <c r="B9780" s="278"/>
      <c r="C9780" s="64" t="s">
        <v>880</v>
      </c>
      <c r="D9780" s="46" t="s">
        <v>201</v>
      </c>
      <c r="E9780" s="114"/>
      <c r="F9780" s="44">
        <v>0</v>
      </c>
      <c r="G9780" s="44">
        <f t="shared" si="6523"/>
        <v>0</v>
      </c>
      <c r="H9780" s="44">
        <f t="shared" si="6524"/>
        <v>0</v>
      </c>
      <c r="I9780" s="43">
        <f t="shared" si="6525"/>
        <v>0</v>
      </c>
      <c r="J9780" s="112">
        <f t="shared" si="6526"/>
        <v>0</v>
      </c>
      <c r="K9780" s="211">
        <f t="shared" si="6527"/>
        <v>0</v>
      </c>
      <c r="L9780" s="44"/>
      <c r="M9780" s="44">
        <f t="shared" si="6528"/>
        <v>0</v>
      </c>
      <c r="N9780" s="173">
        <f t="shared" si="6529"/>
        <v>0</v>
      </c>
      <c r="O9780" s="44">
        <f t="shared" si="6530"/>
        <v>0</v>
      </c>
      <c r="P9780" s="44">
        <f t="shared" si="6531"/>
        <v>0</v>
      </c>
      <c r="Q9780" s="44">
        <f t="shared" si="6532"/>
        <v>0</v>
      </c>
      <c r="R9780" s="44">
        <f t="shared" si="6533"/>
        <v>0</v>
      </c>
      <c r="S9780" s="123"/>
      <c r="T9780" s="219">
        <f t="shared" si="6534"/>
        <v>0</v>
      </c>
      <c r="U9780" s="87"/>
      <c r="V9780" s="47"/>
      <c r="W9780" s="48"/>
      <c r="X9780" s="48"/>
      <c r="Y9780" s="48"/>
      <c r="Z9780" s="135"/>
      <c r="AA9780" s="49"/>
      <c r="AB9780" s="50">
        <f t="shared" si="6535"/>
        <v>0</v>
      </c>
      <c r="AC9780" s="42">
        <f t="shared" si="6536"/>
        <v>9.9999999999999998E-20</v>
      </c>
      <c r="AD9780" s="90"/>
      <c r="AE9780" s="188"/>
      <c r="AF9780" s="189"/>
      <c r="AG9780" s="189"/>
      <c r="AH9780" s="189"/>
      <c r="AI9780" s="161"/>
    </row>
    <row r="9781" spans="1:37" ht="20.100000000000001" customHeight="1" x14ac:dyDescent="0.25">
      <c r="A9781" s="277" t="s">
        <v>703</v>
      </c>
      <c r="B9781" s="278"/>
      <c r="C9781" s="64" t="s">
        <v>881</v>
      </c>
      <c r="D9781" s="46" t="s">
        <v>201</v>
      </c>
      <c r="E9781" s="114"/>
      <c r="F9781" s="44">
        <v>0</v>
      </c>
      <c r="G9781" s="44">
        <f t="shared" si="6523"/>
        <v>0</v>
      </c>
      <c r="H9781" s="44">
        <f t="shared" si="6524"/>
        <v>0</v>
      </c>
      <c r="I9781" s="43">
        <f t="shared" si="6525"/>
        <v>0</v>
      </c>
      <c r="J9781" s="112">
        <f t="shared" si="6526"/>
        <v>0</v>
      </c>
      <c r="K9781" s="211">
        <f t="shared" si="6527"/>
        <v>0</v>
      </c>
      <c r="L9781" s="44"/>
      <c r="M9781" s="44">
        <f t="shared" si="6528"/>
        <v>0</v>
      </c>
      <c r="N9781" s="173">
        <f t="shared" si="6529"/>
        <v>0</v>
      </c>
      <c r="O9781" s="44">
        <f t="shared" si="6530"/>
        <v>0</v>
      </c>
      <c r="P9781" s="44">
        <f t="shared" si="6531"/>
        <v>0</v>
      </c>
      <c r="Q9781" s="44">
        <f t="shared" si="6532"/>
        <v>0</v>
      </c>
      <c r="R9781" s="44">
        <f t="shared" si="6533"/>
        <v>0</v>
      </c>
      <c r="S9781" s="123"/>
      <c r="T9781" s="219">
        <f t="shared" si="6534"/>
        <v>0</v>
      </c>
      <c r="U9781" s="87"/>
      <c r="V9781" s="47"/>
      <c r="W9781" s="48"/>
      <c r="X9781" s="48"/>
      <c r="Y9781" s="48"/>
      <c r="Z9781" s="135"/>
      <c r="AA9781" s="49"/>
      <c r="AB9781" s="50">
        <f t="shared" si="6535"/>
        <v>0</v>
      </c>
      <c r="AC9781" s="42">
        <f t="shared" si="6536"/>
        <v>9.9999999999999998E-20</v>
      </c>
      <c r="AD9781" s="90"/>
      <c r="AE9781" s="188"/>
      <c r="AF9781" s="189"/>
      <c r="AG9781" s="189"/>
      <c r="AH9781" s="189"/>
      <c r="AI9781" s="161"/>
    </row>
    <row r="9782" spans="1:37" ht="20.100000000000001" customHeight="1" x14ac:dyDescent="0.25">
      <c r="A9782" s="277" t="s">
        <v>703</v>
      </c>
      <c r="B9782" s="278"/>
      <c r="C9782" s="64" t="s">
        <v>882</v>
      </c>
      <c r="D9782" s="46" t="s">
        <v>201</v>
      </c>
      <c r="E9782" s="114"/>
      <c r="F9782" s="44">
        <v>0</v>
      </c>
      <c r="G9782" s="44">
        <f t="shared" si="6523"/>
        <v>0</v>
      </c>
      <c r="H9782" s="44">
        <f t="shared" si="6524"/>
        <v>0</v>
      </c>
      <c r="I9782" s="43">
        <f t="shared" si="6525"/>
        <v>0</v>
      </c>
      <c r="J9782" s="112">
        <f t="shared" si="6526"/>
        <v>0</v>
      </c>
      <c r="K9782" s="211">
        <f t="shared" si="6527"/>
        <v>0</v>
      </c>
      <c r="L9782" s="44"/>
      <c r="M9782" s="44">
        <f t="shared" si="6528"/>
        <v>0</v>
      </c>
      <c r="N9782" s="173">
        <f t="shared" si="6529"/>
        <v>0</v>
      </c>
      <c r="O9782" s="44">
        <f t="shared" si="6530"/>
        <v>0</v>
      </c>
      <c r="P9782" s="44">
        <f t="shared" si="6531"/>
        <v>0</v>
      </c>
      <c r="Q9782" s="44">
        <f t="shared" si="6532"/>
        <v>0</v>
      </c>
      <c r="R9782" s="44">
        <f t="shared" si="6533"/>
        <v>0</v>
      </c>
      <c r="S9782" s="123"/>
      <c r="T9782" s="219">
        <f t="shared" si="6534"/>
        <v>0</v>
      </c>
      <c r="U9782" s="87"/>
      <c r="V9782" s="47"/>
      <c r="W9782" s="48"/>
      <c r="X9782" s="48"/>
      <c r="Y9782" s="48"/>
      <c r="Z9782" s="135"/>
      <c r="AA9782" s="49"/>
      <c r="AB9782" s="50">
        <f t="shared" si="6535"/>
        <v>0</v>
      </c>
      <c r="AC9782" s="42">
        <f t="shared" si="6536"/>
        <v>9.9999999999999998E-20</v>
      </c>
      <c r="AD9782" s="90"/>
      <c r="AE9782" s="188"/>
      <c r="AF9782" s="189"/>
      <c r="AG9782" s="189"/>
      <c r="AH9782" s="189"/>
      <c r="AI9782" s="161"/>
    </row>
    <row r="9783" spans="1:37" ht="20.100000000000001" customHeight="1" x14ac:dyDescent="0.25">
      <c r="A9783" s="277" t="s">
        <v>703</v>
      </c>
      <c r="B9783" s="278"/>
      <c r="C9783" s="64" t="s">
        <v>883</v>
      </c>
      <c r="D9783" s="46" t="s">
        <v>201</v>
      </c>
      <c r="E9783" s="114"/>
      <c r="F9783" s="44">
        <v>0</v>
      </c>
      <c r="G9783" s="44">
        <f t="shared" si="6523"/>
        <v>0</v>
      </c>
      <c r="H9783" s="44">
        <f t="shared" si="6524"/>
        <v>0</v>
      </c>
      <c r="I9783" s="43">
        <f t="shared" si="6525"/>
        <v>0</v>
      </c>
      <c r="J9783" s="112">
        <f t="shared" si="6526"/>
        <v>0</v>
      </c>
      <c r="K9783" s="211">
        <f t="shared" si="6527"/>
        <v>0</v>
      </c>
      <c r="L9783" s="44"/>
      <c r="M9783" s="44">
        <f t="shared" si="6528"/>
        <v>0</v>
      </c>
      <c r="N9783" s="173">
        <f t="shared" si="6529"/>
        <v>0</v>
      </c>
      <c r="O9783" s="44">
        <f t="shared" si="6530"/>
        <v>0</v>
      </c>
      <c r="P9783" s="44">
        <f t="shared" si="6531"/>
        <v>0</v>
      </c>
      <c r="Q9783" s="44">
        <f t="shared" si="6532"/>
        <v>0</v>
      </c>
      <c r="R9783" s="44">
        <f t="shared" si="6533"/>
        <v>0</v>
      </c>
      <c r="S9783" s="123"/>
      <c r="T9783" s="219">
        <f t="shared" si="6534"/>
        <v>0</v>
      </c>
      <c r="U9783" s="87"/>
      <c r="V9783" s="47"/>
      <c r="W9783" s="48"/>
      <c r="X9783" s="48"/>
      <c r="Y9783" s="48"/>
      <c r="Z9783" s="135"/>
      <c r="AA9783" s="49"/>
      <c r="AB9783" s="50">
        <f t="shared" si="6535"/>
        <v>0</v>
      </c>
      <c r="AC9783" s="42">
        <f t="shared" si="6536"/>
        <v>9.9999999999999998E-20</v>
      </c>
      <c r="AD9783" s="90"/>
      <c r="AE9783" s="188"/>
      <c r="AF9783" s="189"/>
      <c r="AG9783" s="189"/>
      <c r="AH9783" s="189"/>
      <c r="AI9783" s="161"/>
    </row>
    <row r="9784" spans="1:37" ht="20.100000000000001" customHeight="1" x14ac:dyDescent="0.25">
      <c r="A9784" s="277" t="s">
        <v>703</v>
      </c>
      <c r="B9784" s="278"/>
      <c r="C9784" s="64" t="s">
        <v>884</v>
      </c>
      <c r="D9784" s="46" t="s">
        <v>201</v>
      </c>
      <c r="E9784" s="114"/>
      <c r="F9784" s="44">
        <v>0</v>
      </c>
      <c r="G9784" s="44">
        <f t="shared" si="6523"/>
        <v>0</v>
      </c>
      <c r="H9784" s="44">
        <f t="shared" si="6524"/>
        <v>0</v>
      </c>
      <c r="I9784" s="43">
        <f t="shared" si="6525"/>
        <v>0</v>
      </c>
      <c r="J9784" s="112">
        <f t="shared" si="6526"/>
        <v>0</v>
      </c>
      <c r="K9784" s="211">
        <f t="shared" si="6527"/>
        <v>0</v>
      </c>
      <c r="L9784" s="44"/>
      <c r="M9784" s="44">
        <f t="shared" si="6528"/>
        <v>0</v>
      </c>
      <c r="N9784" s="173">
        <f t="shared" si="6529"/>
        <v>0</v>
      </c>
      <c r="O9784" s="44">
        <f t="shared" si="6530"/>
        <v>0</v>
      </c>
      <c r="P9784" s="44">
        <f t="shared" si="6531"/>
        <v>0</v>
      </c>
      <c r="Q9784" s="44">
        <f t="shared" si="6532"/>
        <v>0</v>
      </c>
      <c r="R9784" s="44">
        <f t="shared" si="6533"/>
        <v>0</v>
      </c>
      <c r="S9784" s="123"/>
      <c r="T9784" s="219">
        <f t="shared" si="6534"/>
        <v>0</v>
      </c>
      <c r="U9784" s="87"/>
      <c r="V9784" s="47"/>
      <c r="W9784" s="48"/>
      <c r="X9784" s="48"/>
      <c r="Y9784" s="48"/>
      <c r="Z9784" s="135"/>
      <c r="AA9784" s="49"/>
      <c r="AB9784" s="50">
        <f t="shared" si="6535"/>
        <v>0</v>
      </c>
      <c r="AC9784" s="42">
        <f t="shared" si="6536"/>
        <v>9.9999999999999998E-20</v>
      </c>
      <c r="AD9784" s="90"/>
      <c r="AE9784" s="188"/>
      <c r="AF9784" s="189"/>
      <c r="AG9784" s="189"/>
      <c r="AH9784" s="189"/>
      <c r="AI9784" s="161"/>
    </row>
    <row r="9785" spans="1:37" s="102" customFormat="1" ht="20.100000000000001" customHeight="1" x14ac:dyDescent="0.25">
      <c r="A9785" s="45" t="s">
        <v>703</v>
      </c>
      <c r="B9785" s="276"/>
      <c r="C9785" s="286" t="s">
        <v>885</v>
      </c>
      <c r="D9785" s="59"/>
      <c r="E9785" s="116"/>
      <c r="F9785" s="120">
        <v>0</v>
      </c>
      <c r="G9785" s="120">
        <f t="shared" si="6523"/>
        <v>0</v>
      </c>
      <c r="H9785" s="120">
        <f t="shared" si="6524"/>
        <v>0</v>
      </c>
      <c r="I9785" s="60">
        <f t="shared" si="6525"/>
        <v>0</v>
      </c>
      <c r="J9785" s="116">
        <f t="shared" si="6526"/>
        <v>0</v>
      </c>
      <c r="K9785" s="213">
        <f t="shared" si="6527"/>
        <v>0</v>
      </c>
      <c r="L9785" s="120"/>
      <c r="M9785" s="120">
        <f t="shared" si="6528"/>
        <v>0</v>
      </c>
      <c r="N9785" s="167">
        <f t="shared" si="6529"/>
        <v>0</v>
      </c>
      <c r="O9785" s="120">
        <f t="shared" si="6530"/>
        <v>0</v>
      </c>
      <c r="P9785" s="120">
        <f t="shared" si="6531"/>
        <v>0</v>
      </c>
      <c r="Q9785" s="120">
        <f t="shared" si="6532"/>
        <v>0</v>
      </c>
      <c r="R9785" s="120">
        <f t="shared" si="6533"/>
        <v>0</v>
      </c>
      <c r="S9785" s="120"/>
      <c r="T9785" s="221">
        <f t="shared" si="6534"/>
        <v>0</v>
      </c>
      <c r="U9785" s="89"/>
      <c r="V9785" s="61"/>
      <c r="W9785" s="92"/>
      <c r="X9785" s="38"/>
      <c r="Y9785" s="93"/>
      <c r="Z9785" s="134"/>
      <c r="AA9785" s="93"/>
      <c r="AB9785" s="93">
        <f t="shared" si="6535"/>
        <v>0</v>
      </c>
      <c r="AC9785" s="93">
        <f t="shared" si="6536"/>
        <v>9.9999999999999998E-20</v>
      </c>
      <c r="AD9785" s="94"/>
      <c r="AE9785" s="190"/>
      <c r="AF9785" s="191"/>
      <c r="AG9785" s="191"/>
      <c r="AH9785" s="191"/>
      <c r="AI9785" s="186"/>
      <c r="AK9785" s="171"/>
    </row>
    <row r="9786" spans="1:37" ht="20.100000000000001" customHeight="1" x14ac:dyDescent="0.25">
      <c r="A9786" s="277" t="s">
        <v>703</v>
      </c>
      <c r="B9786" s="278"/>
      <c r="C9786" s="64" t="s">
        <v>886</v>
      </c>
      <c r="D9786" s="46" t="s">
        <v>196</v>
      </c>
      <c r="E9786" s="114"/>
      <c r="F9786" s="44">
        <v>0</v>
      </c>
      <c r="G9786" s="44">
        <f t="shared" si="6523"/>
        <v>0</v>
      </c>
      <c r="H9786" s="44">
        <f t="shared" si="6524"/>
        <v>0</v>
      </c>
      <c r="I9786" s="43">
        <f t="shared" si="6525"/>
        <v>0</v>
      </c>
      <c r="J9786" s="112">
        <f t="shared" si="6526"/>
        <v>0</v>
      </c>
      <c r="K9786" s="211">
        <f t="shared" si="6527"/>
        <v>0</v>
      </c>
      <c r="L9786" s="44"/>
      <c r="M9786" s="44">
        <f t="shared" si="6528"/>
        <v>0</v>
      </c>
      <c r="N9786" s="173">
        <f t="shared" si="6529"/>
        <v>0</v>
      </c>
      <c r="O9786" s="44">
        <f t="shared" si="6530"/>
        <v>0</v>
      </c>
      <c r="P9786" s="44">
        <f t="shared" si="6531"/>
        <v>0</v>
      </c>
      <c r="Q9786" s="44">
        <f t="shared" si="6532"/>
        <v>0</v>
      </c>
      <c r="R9786" s="44">
        <f t="shared" si="6533"/>
        <v>0</v>
      </c>
      <c r="S9786" s="123"/>
      <c r="T9786" s="219">
        <f t="shared" si="6534"/>
        <v>0</v>
      </c>
      <c r="U9786" s="87"/>
      <c r="V9786" s="47"/>
      <c r="W9786" s="48"/>
      <c r="X9786" s="48"/>
      <c r="Y9786" s="48"/>
      <c r="Z9786" s="135"/>
      <c r="AA9786" s="49"/>
      <c r="AB9786" s="50">
        <f t="shared" si="6535"/>
        <v>0</v>
      </c>
      <c r="AC9786" s="42">
        <f t="shared" si="6536"/>
        <v>9.9999999999999998E-20</v>
      </c>
      <c r="AD9786" s="90"/>
      <c r="AE9786" s="188"/>
      <c r="AF9786" s="189"/>
      <c r="AG9786" s="189"/>
      <c r="AH9786" s="189"/>
      <c r="AI9786" s="161"/>
    </row>
    <row r="9787" spans="1:37" ht="20.100000000000001" customHeight="1" x14ac:dyDescent="0.25">
      <c r="A9787" s="277" t="s">
        <v>703</v>
      </c>
      <c r="B9787" s="278"/>
      <c r="C9787" s="64" t="s">
        <v>887</v>
      </c>
      <c r="D9787" s="46" t="s">
        <v>196</v>
      </c>
      <c r="E9787" s="114"/>
      <c r="F9787" s="44">
        <v>0</v>
      </c>
      <c r="G9787" s="44">
        <f t="shared" si="6523"/>
        <v>0</v>
      </c>
      <c r="H9787" s="44">
        <f t="shared" si="6524"/>
        <v>0</v>
      </c>
      <c r="I9787" s="43">
        <f t="shared" si="6525"/>
        <v>0</v>
      </c>
      <c r="J9787" s="112">
        <f t="shared" si="6526"/>
        <v>0</v>
      </c>
      <c r="K9787" s="211">
        <f t="shared" si="6527"/>
        <v>0</v>
      </c>
      <c r="L9787" s="44"/>
      <c r="M9787" s="44">
        <f t="shared" si="6528"/>
        <v>0</v>
      </c>
      <c r="N9787" s="173">
        <f t="shared" si="6529"/>
        <v>0</v>
      </c>
      <c r="O9787" s="44">
        <f t="shared" si="6530"/>
        <v>0</v>
      </c>
      <c r="P9787" s="44">
        <f t="shared" si="6531"/>
        <v>0</v>
      </c>
      <c r="Q9787" s="44">
        <f t="shared" si="6532"/>
        <v>0</v>
      </c>
      <c r="R9787" s="44">
        <f t="shared" si="6533"/>
        <v>0</v>
      </c>
      <c r="S9787" s="123"/>
      <c r="T9787" s="219">
        <f t="shared" si="6534"/>
        <v>0</v>
      </c>
      <c r="U9787" s="87"/>
      <c r="V9787" s="47"/>
      <c r="W9787" s="48"/>
      <c r="X9787" s="48"/>
      <c r="Y9787" s="48"/>
      <c r="Z9787" s="135"/>
      <c r="AA9787" s="49"/>
      <c r="AB9787" s="50">
        <f t="shared" si="6535"/>
        <v>0</v>
      </c>
      <c r="AC9787" s="42">
        <f t="shared" si="6536"/>
        <v>9.9999999999999998E-20</v>
      </c>
      <c r="AD9787" s="90"/>
      <c r="AE9787" s="188"/>
      <c r="AF9787" s="189"/>
      <c r="AG9787" s="189"/>
      <c r="AH9787" s="189"/>
      <c r="AI9787" s="161"/>
    </row>
    <row r="9788" spans="1:37" ht="20.100000000000001" customHeight="1" x14ac:dyDescent="0.25">
      <c r="A9788" s="277" t="s">
        <v>703</v>
      </c>
      <c r="B9788" s="278"/>
      <c r="C9788" s="64" t="s">
        <v>888</v>
      </c>
      <c r="D9788" s="46" t="s">
        <v>196</v>
      </c>
      <c r="E9788" s="114"/>
      <c r="F9788" s="44">
        <v>0</v>
      </c>
      <c r="G9788" s="44">
        <f t="shared" si="6523"/>
        <v>0</v>
      </c>
      <c r="H9788" s="44">
        <f t="shared" si="6524"/>
        <v>0</v>
      </c>
      <c r="I9788" s="43">
        <f t="shared" si="6525"/>
        <v>0</v>
      </c>
      <c r="J9788" s="112">
        <f t="shared" si="6526"/>
        <v>0</v>
      </c>
      <c r="K9788" s="211">
        <f t="shared" si="6527"/>
        <v>0</v>
      </c>
      <c r="L9788" s="44"/>
      <c r="M9788" s="44">
        <f t="shared" si="6528"/>
        <v>0</v>
      </c>
      <c r="N9788" s="173">
        <f t="shared" si="6529"/>
        <v>0</v>
      </c>
      <c r="O9788" s="44">
        <f t="shared" si="6530"/>
        <v>0</v>
      </c>
      <c r="P9788" s="44">
        <f t="shared" si="6531"/>
        <v>0</v>
      </c>
      <c r="Q9788" s="44">
        <f t="shared" si="6532"/>
        <v>0</v>
      </c>
      <c r="R9788" s="44">
        <f t="shared" si="6533"/>
        <v>0</v>
      </c>
      <c r="S9788" s="123"/>
      <c r="T9788" s="219">
        <f t="shared" si="6534"/>
        <v>0</v>
      </c>
      <c r="U9788" s="87"/>
      <c r="V9788" s="47"/>
      <c r="W9788" s="48"/>
      <c r="X9788" s="48"/>
      <c r="Y9788" s="48"/>
      <c r="Z9788" s="135"/>
      <c r="AA9788" s="49"/>
      <c r="AB9788" s="50">
        <f t="shared" si="6535"/>
        <v>0</v>
      </c>
      <c r="AC9788" s="42">
        <f t="shared" si="6536"/>
        <v>9.9999999999999998E-20</v>
      </c>
      <c r="AD9788" s="90"/>
      <c r="AE9788" s="188"/>
      <c r="AF9788" s="189"/>
      <c r="AG9788" s="189"/>
      <c r="AH9788" s="189"/>
      <c r="AI9788" s="161"/>
    </row>
    <row r="9789" spans="1:37" ht="20.100000000000001" customHeight="1" x14ac:dyDescent="0.25">
      <c r="A9789" s="277" t="s">
        <v>703</v>
      </c>
      <c r="B9789" s="278"/>
      <c r="C9789" s="64" t="s">
        <v>889</v>
      </c>
      <c r="D9789" s="46" t="s">
        <v>196</v>
      </c>
      <c r="E9789" s="114"/>
      <c r="F9789" s="44">
        <v>0</v>
      </c>
      <c r="G9789" s="44">
        <f t="shared" si="6523"/>
        <v>0</v>
      </c>
      <c r="H9789" s="44">
        <f t="shared" si="6524"/>
        <v>0</v>
      </c>
      <c r="I9789" s="43">
        <f t="shared" si="6525"/>
        <v>0</v>
      </c>
      <c r="J9789" s="112">
        <f t="shared" si="6526"/>
        <v>0</v>
      </c>
      <c r="K9789" s="211">
        <f t="shared" si="6527"/>
        <v>0</v>
      </c>
      <c r="L9789" s="44"/>
      <c r="M9789" s="44">
        <f t="shared" si="6528"/>
        <v>0</v>
      </c>
      <c r="N9789" s="173">
        <f t="shared" si="6529"/>
        <v>0</v>
      </c>
      <c r="O9789" s="44">
        <f t="shared" si="6530"/>
        <v>0</v>
      </c>
      <c r="P9789" s="44">
        <f t="shared" si="6531"/>
        <v>0</v>
      </c>
      <c r="Q9789" s="44">
        <f t="shared" si="6532"/>
        <v>0</v>
      </c>
      <c r="R9789" s="44">
        <f t="shared" si="6533"/>
        <v>0</v>
      </c>
      <c r="S9789" s="123"/>
      <c r="T9789" s="219">
        <f t="shared" si="6534"/>
        <v>0</v>
      </c>
      <c r="U9789" s="87"/>
      <c r="V9789" s="47"/>
      <c r="W9789" s="48"/>
      <c r="X9789" s="48"/>
      <c r="Y9789" s="48"/>
      <c r="Z9789" s="135"/>
      <c r="AA9789" s="49"/>
      <c r="AB9789" s="50">
        <f t="shared" si="6535"/>
        <v>0</v>
      </c>
      <c r="AC9789" s="42">
        <f t="shared" si="6536"/>
        <v>9.9999999999999998E-20</v>
      </c>
      <c r="AD9789" s="90"/>
      <c r="AE9789" s="188"/>
      <c r="AF9789" s="189"/>
      <c r="AG9789" s="189"/>
      <c r="AH9789" s="189"/>
      <c r="AI9789" s="161"/>
    </row>
    <row r="9790" spans="1:37" ht="20.100000000000001" customHeight="1" x14ac:dyDescent="0.25">
      <c r="A9790" s="277" t="s">
        <v>703</v>
      </c>
      <c r="B9790" s="278"/>
      <c r="C9790" s="64" t="s">
        <v>890</v>
      </c>
      <c r="D9790" s="46" t="s">
        <v>196</v>
      </c>
      <c r="E9790" s="114"/>
      <c r="F9790" s="44">
        <v>0</v>
      </c>
      <c r="G9790" s="44">
        <f t="shared" si="6523"/>
        <v>0</v>
      </c>
      <c r="H9790" s="44">
        <f t="shared" si="6524"/>
        <v>0</v>
      </c>
      <c r="I9790" s="43">
        <f t="shared" si="6525"/>
        <v>0</v>
      </c>
      <c r="J9790" s="112">
        <f t="shared" si="6526"/>
        <v>0</v>
      </c>
      <c r="K9790" s="211">
        <f t="shared" si="6527"/>
        <v>0</v>
      </c>
      <c r="L9790" s="44"/>
      <c r="M9790" s="44">
        <f t="shared" si="6528"/>
        <v>0</v>
      </c>
      <c r="N9790" s="173">
        <f t="shared" si="6529"/>
        <v>0</v>
      </c>
      <c r="O9790" s="44">
        <f t="shared" si="6530"/>
        <v>0</v>
      </c>
      <c r="P9790" s="44">
        <f t="shared" si="6531"/>
        <v>0</v>
      </c>
      <c r="Q9790" s="44">
        <f t="shared" si="6532"/>
        <v>0</v>
      </c>
      <c r="R9790" s="44">
        <f t="shared" si="6533"/>
        <v>0</v>
      </c>
      <c r="S9790" s="123"/>
      <c r="T9790" s="219">
        <f t="shared" si="6534"/>
        <v>0</v>
      </c>
      <c r="U9790" s="87"/>
      <c r="V9790" s="47"/>
      <c r="W9790" s="48"/>
      <c r="X9790" s="48"/>
      <c r="Y9790" s="48"/>
      <c r="Z9790" s="135"/>
      <c r="AA9790" s="49"/>
      <c r="AB9790" s="50">
        <f t="shared" si="6535"/>
        <v>0</v>
      </c>
      <c r="AC9790" s="42">
        <f t="shared" si="6536"/>
        <v>9.9999999999999998E-20</v>
      </c>
      <c r="AD9790" s="90"/>
      <c r="AE9790" s="188"/>
      <c r="AF9790" s="189"/>
      <c r="AG9790" s="189"/>
      <c r="AH9790" s="189"/>
      <c r="AI9790" s="161"/>
    </row>
    <row r="9791" spans="1:37" s="102" customFormat="1" ht="20.100000000000001" customHeight="1" x14ac:dyDescent="0.25">
      <c r="A9791" s="45" t="s">
        <v>703</v>
      </c>
      <c r="B9791" s="276"/>
      <c r="C9791" s="286" t="s">
        <v>891</v>
      </c>
      <c r="D9791" s="59"/>
      <c r="E9791" s="116"/>
      <c r="F9791" s="120">
        <v>0</v>
      </c>
      <c r="G9791" s="120">
        <f t="shared" si="6523"/>
        <v>0</v>
      </c>
      <c r="H9791" s="120">
        <f t="shared" si="6524"/>
        <v>0</v>
      </c>
      <c r="I9791" s="60">
        <f t="shared" si="6525"/>
        <v>0</v>
      </c>
      <c r="J9791" s="116">
        <f t="shared" si="6526"/>
        <v>0</v>
      </c>
      <c r="K9791" s="213">
        <f t="shared" si="6527"/>
        <v>0</v>
      </c>
      <c r="L9791" s="120"/>
      <c r="M9791" s="120">
        <f t="shared" si="6528"/>
        <v>0</v>
      </c>
      <c r="N9791" s="167">
        <f t="shared" si="6529"/>
        <v>0</v>
      </c>
      <c r="O9791" s="120">
        <f t="shared" si="6530"/>
        <v>0</v>
      </c>
      <c r="P9791" s="120">
        <f t="shared" si="6531"/>
        <v>0</v>
      </c>
      <c r="Q9791" s="120">
        <f t="shared" si="6532"/>
        <v>0</v>
      </c>
      <c r="R9791" s="120">
        <f t="shared" si="6533"/>
        <v>0</v>
      </c>
      <c r="S9791" s="120"/>
      <c r="T9791" s="221">
        <f t="shared" si="6534"/>
        <v>0</v>
      </c>
      <c r="U9791" s="89"/>
      <c r="V9791" s="61"/>
      <c r="W9791" s="92"/>
      <c r="X9791" s="38"/>
      <c r="Y9791" s="93"/>
      <c r="Z9791" s="134"/>
      <c r="AA9791" s="93"/>
      <c r="AB9791" s="93">
        <f t="shared" si="6535"/>
        <v>0</v>
      </c>
      <c r="AC9791" s="93">
        <f t="shared" si="6536"/>
        <v>9.9999999999999998E-20</v>
      </c>
      <c r="AD9791" s="94"/>
      <c r="AE9791" s="190"/>
      <c r="AF9791" s="191"/>
      <c r="AG9791" s="191"/>
      <c r="AH9791" s="191"/>
      <c r="AI9791" s="186"/>
      <c r="AK9791" s="171"/>
    </row>
    <row r="9792" spans="1:37" ht="20.100000000000001" customHeight="1" x14ac:dyDescent="0.25">
      <c r="A9792" s="277" t="s">
        <v>703</v>
      </c>
      <c r="B9792" s="278"/>
      <c r="C9792" s="64" t="s">
        <v>892</v>
      </c>
      <c r="D9792" s="46" t="s">
        <v>196</v>
      </c>
      <c r="E9792" s="114"/>
      <c r="F9792" s="44">
        <v>0</v>
      </c>
      <c r="G9792" s="44">
        <f t="shared" si="6523"/>
        <v>0</v>
      </c>
      <c r="H9792" s="44">
        <f t="shared" si="6524"/>
        <v>0</v>
      </c>
      <c r="I9792" s="43">
        <f t="shared" si="6525"/>
        <v>0</v>
      </c>
      <c r="J9792" s="112">
        <f t="shared" si="6526"/>
        <v>0</v>
      </c>
      <c r="K9792" s="211">
        <f t="shared" si="6527"/>
        <v>0</v>
      </c>
      <c r="L9792" s="44"/>
      <c r="M9792" s="44">
        <f t="shared" si="6528"/>
        <v>0</v>
      </c>
      <c r="N9792" s="173">
        <f t="shared" si="6529"/>
        <v>0</v>
      </c>
      <c r="O9792" s="44">
        <f t="shared" si="6530"/>
        <v>0</v>
      </c>
      <c r="P9792" s="44">
        <f t="shared" si="6531"/>
        <v>0</v>
      </c>
      <c r="Q9792" s="44">
        <f t="shared" si="6532"/>
        <v>0</v>
      </c>
      <c r="R9792" s="44">
        <f t="shared" si="6533"/>
        <v>0</v>
      </c>
      <c r="S9792" s="123"/>
      <c r="T9792" s="219">
        <f t="shared" si="6534"/>
        <v>0</v>
      </c>
      <c r="U9792" s="87"/>
      <c r="V9792" s="47"/>
      <c r="W9792" s="48"/>
      <c r="X9792" s="48"/>
      <c r="Y9792" s="48"/>
      <c r="Z9792" s="135"/>
      <c r="AA9792" s="49"/>
      <c r="AB9792" s="50">
        <f t="shared" si="6535"/>
        <v>0</v>
      </c>
      <c r="AC9792" s="42">
        <f t="shared" si="6536"/>
        <v>9.9999999999999998E-20</v>
      </c>
      <c r="AD9792" s="90"/>
      <c r="AE9792" s="188"/>
      <c r="AF9792" s="189"/>
      <c r="AG9792" s="189"/>
      <c r="AH9792" s="189"/>
      <c r="AI9792" s="161"/>
    </row>
    <row r="9793" spans="1:37" s="102" customFormat="1" ht="20.100000000000001" customHeight="1" x14ac:dyDescent="0.25">
      <c r="A9793" s="45" t="s">
        <v>703</v>
      </c>
      <c r="B9793" s="276"/>
      <c r="C9793" s="286" t="s">
        <v>893</v>
      </c>
      <c r="D9793" s="59"/>
      <c r="E9793" s="116"/>
      <c r="F9793" s="120">
        <v>0</v>
      </c>
      <c r="G9793" s="120">
        <f t="shared" si="6523"/>
        <v>0</v>
      </c>
      <c r="H9793" s="120">
        <f t="shared" si="6524"/>
        <v>0</v>
      </c>
      <c r="I9793" s="60">
        <f t="shared" si="6525"/>
        <v>0</v>
      </c>
      <c r="J9793" s="116">
        <f t="shared" si="6526"/>
        <v>0</v>
      </c>
      <c r="K9793" s="213">
        <f t="shared" si="6527"/>
        <v>0</v>
      </c>
      <c r="L9793" s="120"/>
      <c r="M9793" s="120">
        <f t="shared" si="6528"/>
        <v>0</v>
      </c>
      <c r="N9793" s="167">
        <f t="shared" si="6529"/>
        <v>0</v>
      </c>
      <c r="O9793" s="120">
        <f t="shared" si="6530"/>
        <v>0</v>
      </c>
      <c r="P9793" s="120">
        <f t="shared" si="6531"/>
        <v>0</v>
      </c>
      <c r="Q9793" s="120">
        <f t="shared" si="6532"/>
        <v>0</v>
      </c>
      <c r="R9793" s="120">
        <f t="shared" si="6533"/>
        <v>0</v>
      </c>
      <c r="S9793" s="120"/>
      <c r="T9793" s="221">
        <f t="shared" si="6534"/>
        <v>0</v>
      </c>
      <c r="U9793" s="89"/>
      <c r="V9793" s="61"/>
      <c r="W9793" s="92"/>
      <c r="X9793" s="38"/>
      <c r="Y9793" s="93"/>
      <c r="Z9793" s="134"/>
      <c r="AA9793" s="93"/>
      <c r="AB9793" s="93">
        <f t="shared" si="6535"/>
        <v>0</v>
      </c>
      <c r="AC9793" s="93">
        <f t="shared" si="6536"/>
        <v>9.9999999999999998E-20</v>
      </c>
      <c r="AD9793" s="94"/>
      <c r="AE9793" s="190"/>
      <c r="AF9793" s="191"/>
      <c r="AG9793" s="191"/>
      <c r="AH9793" s="191"/>
      <c r="AI9793" s="186"/>
      <c r="AK9793" s="171"/>
    </row>
    <row r="9794" spans="1:37" ht="20.100000000000001" customHeight="1" x14ac:dyDescent="0.25">
      <c r="A9794" s="277" t="s">
        <v>703</v>
      </c>
      <c r="B9794" s="278"/>
      <c r="C9794" s="64" t="s">
        <v>894</v>
      </c>
      <c r="D9794" s="46" t="s">
        <v>895</v>
      </c>
      <c r="E9794" s="114"/>
      <c r="F9794" s="44">
        <v>0</v>
      </c>
      <c r="G9794" s="44">
        <f t="shared" si="6523"/>
        <v>0</v>
      </c>
      <c r="H9794" s="44">
        <f t="shared" si="6524"/>
        <v>0</v>
      </c>
      <c r="I9794" s="43">
        <f t="shared" si="6525"/>
        <v>0</v>
      </c>
      <c r="J9794" s="112">
        <f t="shared" si="6526"/>
        <v>0</v>
      </c>
      <c r="K9794" s="211">
        <f t="shared" si="6527"/>
        <v>0</v>
      </c>
      <c r="L9794" s="44"/>
      <c r="M9794" s="44">
        <f t="shared" si="6528"/>
        <v>0</v>
      </c>
      <c r="N9794" s="173">
        <f t="shared" si="6529"/>
        <v>0</v>
      </c>
      <c r="O9794" s="44">
        <f t="shared" si="6530"/>
        <v>0</v>
      </c>
      <c r="P9794" s="44">
        <f t="shared" si="6531"/>
        <v>0</v>
      </c>
      <c r="Q9794" s="44">
        <f t="shared" si="6532"/>
        <v>0</v>
      </c>
      <c r="R9794" s="44">
        <f t="shared" si="6533"/>
        <v>0</v>
      </c>
      <c r="S9794" s="123"/>
      <c r="T9794" s="219">
        <f t="shared" si="6534"/>
        <v>0</v>
      </c>
      <c r="U9794" s="87"/>
      <c r="V9794" s="47"/>
      <c r="W9794" s="48"/>
      <c r="X9794" s="48"/>
      <c r="Y9794" s="48"/>
      <c r="Z9794" s="135"/>
      <c r="AA9794" s="49"/>
      <c r="AB9794" s="50">
        <f t="shared" si="6535"/>
        <v>0</v>
      </c>
      <c r="AC9794" s="42">
        <f t="shared" si="6536"/>
        <v>9.9999999999999998E-20</v>
      </c>
      <c r="AD9794" s="90"/>
      <c r="AE9794" s="188"/>
      <c r="AF9794" s="189"/>
      <c r="AG9794" s="189"/>
      <c r="AH9794" s="189"/>
      <c r="AI9794" s="161"/>
    </row>
    <row r="9795" spans="1:37" ht="20.100000000000001" customHeight="1" x14ac:dyDescent="0.25">
      <c r="A9795" s="277" t="s">
        <v>703</v>
      </c>
      <c r="B9795" s="278"/>
      <c r="C9795" s="64" t="s">
        <v>896</v>
      </c>
      <c r="D9795" s="46" t="s">
        <v>895</v>
      </c>
      <c r="E9795" s="114"/>
      <c r="F9795" s="44">
        <v>0</v>
      </c>
      <c r="G9795" s="44">
        <f t="shared" si="6523"/>
        <v>0</v>
      </c>
      <c r="H9795" s="44">
        <f t="shared" si="6524"/>
        <v>0</v>
      </c>
      <c r="I9795" s="43">
        <f t="shared" si="6525"/>
        <v>0</v>
      </c>
      <c r="J9795" s="112">
        <f t="shared" si="6526"/>
        <v>0</v>
      </c>
      <c r="K9795" s="211">
        <f t="shared" si="6527"/>
        <v>0</v>
      </c>
      <c r="L9795" s="44"/>
      <c r="M9795" s="44">
        <f t="shared" si="6528"/>
        <v>0</v>
      </c>
      <c r="N9795" s="173">
        <f t="shared" si="6529"/>
        <v>0</v>
      </c>
      <c r="O9795" s="44">
        <f t="shared" si="6530"/>
        <v>0</v>
      </c>
      <c r="P9795" s="44">
        <f t="shared" si="6531"/>
        <v>0</v>
      </c>
      <c r="Q9795" s="44">
        <f t="shared" si="6532"/>
        <v>0</v>
      </c>
      <c r="R9795" s="44">
        <f t="shared" si="6533"/>
        <v>0</v>
      </c>
      <c r="S9795" s="123"/>
      <c r="T9795" s="219">
        <f t="shared" si="6534"/>
        <v>0</v>
      </c>
      <c r="U9795" s="87"/>
      <c r="V9795" s="47"/>
      <c r="W9795" s="48"/>
      <c r="X9795" s="48"/>
      <c r="Y9795" s="48"/>
      <c r="Z9795" s="135"/>
      <c r="AA9795" s="49"/>
      <c r="AB9795" s="50">
        <f t="shared" si="6535"/>
        <v>0</v>
      </c>
      <c r="AC9795" s="42">
        <f t="shared" si="6536"/>
        <v>9.9999999999999998E-20</v>
      </c>
      <c r="AD9795" s="90"/>
      <c r="AE9795" s="188"/>
      <c r="AF9795" s="189"/>
      <c r="AG9795" s="189"/>
      <c r="AH9795" s="189"/>
      <c r="AI9795" s="161"/>
    </row>
    <row r="9796" spans="1:37" ht="20.100000000000001" customHeight="1" x14ac:dyDescent="0.25">
      <c r="A9796" s="277" t="s">
        <v>703</v>
      </c>
      <c r="B9796" s="278"/>
      <c r="C9796" s="64" t="s">
        <v>897</v>
      </c>
      <c r="D9796" s="46" t="s">
        <v>895</v>
      </c>
      <c r="E9796" s="114"/>
      <c r="F9796" s="44">
        <v>0</v>
      </c>
      <c r="G9796" s="44">
        <f t="shared" si="6523"/>
        <v>0</v>
      </c>
      <c r="H9796" s="44">
        <f t="shared" si="6524"/>
        <v>0</v>
      </c>
      <c r="I9796" s="43">
        <f t="shared" si="6525"/>
        <v>0</v>
      </c>
      <c r="J9796" s="112">
        <f t="shared" si="6526"/>
        <v>0</v>
      </c>
      <c r="K9796" s="211">
        <f t="shared" si="6527"/>
        <v>0</v>
      </c>
      <c r="L9796" s="44"/>
      <c r="M9796" s="44">
        <f t="shared" si="6528"/>
        <v>0</v>
      </c>
      <c r="N9796" s="173">
        <f t="shared" si="6529"/>
        <v>0</v>
      </c>
      <c r="O9796" s="44">
        <f t="shared" si="6530"/>
        <v>0</v>
      </c>
      <c r="P9796" s="44">
        <f t="shared" si="6531"/>
        <v>0</v>
      </c>
      <c r="Q9796" s="44">
        <f t="shared" si="6532"/>
        <v>0</v>
      </c>
      <c r="R9796" s="44">
        <f t="shared" si="6533"/>
        <v>0</v>
      </c>
      <c r="S9796" s="123"/>
      <c r="T9796" s="219">
        <f t="shared" si="6534"/>
        <v>0</v>
      </c>
      <c r="U9796" s="87"/>
      <c r="V9796" s="47"/>
      <c r="W9796" s="48"/>
      <c r="X9796" s="48"/>
      <c r="Y9796" s="48"/>
      <c r="Z9796" s="135"/>
      <c r="AA9796" s="49"/>
      <c r="AB9796" s="50">
        <f t="shared" si="6535"/>
        <v>0</v>
      </c>
      <c r="AC9796" s="42">
        <f t="shared" si="6536"/>
        <v>9.9999999999999998E-20</v>
      </c>
      <c r="AD9796" s="90"/>
      <c r="AE9796" s="188"/>
      <c r="AF9796" s="189"/>
      <c r="AG9796" s="189"/>
      <c r="AH9796" s="189"/>
      <c r="AI9796" s="161"/>
    </row>
    <row r="9797" spans="1:37" ht="20.100000000000001" customHeight="1" x14ac:dyDescent="0.25">
      <c r="A9797" s="277" t="s">
        <v>703</v>
      </c>
      <c r="B9797" s="278"/>
      <c r="C9797" s="64" t="s">
        <v>898</v>
      </c>
      <c r="D9797" s="46" t="s">
        <v>895</v>
      </c>
      <c r="E9797" s="114"/>
      <c r="F9797" s="44">
        <v>0</v>
      </c>
      <c r="G9797" s="44">
        <f t="shared" si="6523"/>
        <v>0</v>
      </c>
      <c r="H9797" s="44">
        <f t="shared" si="6524"/>
        <v>0</v>
      </c>
      <c r="I9797" s="43">
        <f t="shared" si="6525"/>
        <v>0</v>
      </c>
      <c r="J9797" s="112">
        <f t="shared" si="6526"/>
        <v>0</v>
      </c>
      <c r="K9797" s="211">
        <f t="shared" si="6527"/>
        <v>0</v>
      </c>
      <c r="L9797" s="44"/>
      <c r="M9797" s="44">
        <f t="shared" si="6528"/>
        <v>0</v>
      </c>
      <c r="N9797" s="173">
        <f t="shared" si="6529"/>
        <v>0</v>
      </c>
      <c r="O9797" s="44">
        <f t="shared" si="6530"/>
        <v>0</v>
      </c>
      <c r="P9797" s="44">
        <f t="shared" si="6531"/>
        <v>0</v>
      </c>
      <c r="Q9797" s="44">
        <f t="shared" si="6532"/>
        <v>0</v>
      </c>
      <c r="R9797" s="44">
        <f t="shared" si="6533"/>
        <v>0</v>
      </c>
      <c r="S9797" s="123"/>
      <c r="T9797" s="219">
        <f t="shared" si="6534"/>
        <v>0</v>
      </c>
      <c r="U9797" s="87"/>
      <c r="V9797" s="47"/>
      <c r="W9797" s="48"/>
      <c r="X9797" s="48"/>
      <c r="Y9797" s="48"/>
      <c r="Z9797" s="135"/>
      <c r="AA9797" s="49"/>
      <c r="AB9797" s="50">
        <f t="shared" si="6535"/>
        <v>0</v>
      </c>
      <c r="AC9797" s="42">
        <f t="shared" si="6536"/>
        <v>9.9999999999999998E-20</v>
      </c>
      <c r="AD9797" s="90"/>
      <c r="AE9797" s="188"/>
      <c r="AF9797" s="189"/>
      <c r="AG9797" s="189"/>
      <c r="AH9797" s="189"/>
      <c r="AI9797" s="161"/>
    </row>
    <row r="9798" spans="1:37" ht="20.100000000000001" customHeight="1" x14ac:dyDescent="0.25">
      <c r="A9798" s="277" t="s">
        <v>703</v>
      </c>
      <c r="B9798" s="278"/>
      <c r="C9798" s="64" t="s">
        <v>899</v>
      </c>
      <c r="D9798" s="46" t="s">
        <v>895</v>
      </c>
      <c r="E9798" s="114"/>
      <c r="F9798" s="44">
        <v>0</v>
      </c>
      <c r="G9798" s="44">
        <f t="shared" si="6523"/>
        <v>0</v>
      </c>
      <c r="H9798" s="44">
        <f t="shared" si="6524"/>
        <v>0</v>
      </c>
      <c r="I9798" s="43">
        <f t="shared" si="6525"/>
        <v>0</v>
      </c>
      <c r="J9798" s="112">
        <f t="shared" si="6526"/>
        <v>0</v>
      </c>
      <c r="K9798" s="211">
        <f t="shared" si="6527"/>
        <v>0</v>
      </c>
      <c r="L9798" s="44"/>
      <c r="M9798" s="44">
        <f t="shared" si="6528"/>
        <v>0</v>
      </c>
      <c r="N9798" s="173">
        <f t="shared" si="6529"/>
        <v>0</v>
      </c>
      <c r="O9798" s="44">
        <f t="shared" si="6530"/>
        <v>0</v>
      </c>
      <c r="P9798" s="44">
        <f t="shared" si="6531"/>
        <v>0</v>
      </c>
      <c r="Q9798" s="44">
        <f t="shared" si="6532"/>
        <v>0</v>
      </c>
      <c r="R9798" s="44">
        <f t="shared" si="6533"/>
        <v>0</v>
      </c>
      <c r="S9798" s="123"/>
      <c r="T9798" s="219">
        <f t="shared" si="6534"/>
        <v>0</v>
      </c>
      <c r="U9798" s="87"/>
      <c r="V9798" s="47"/>
      <c r="W9798" s="48"/>
      <c r="X9798" s="48"/>
      <c r="Y9798" s="48"/>
      <c r="Z9798" s="135"/>
      <c r="AA9798" s="49"/>
      <c r="AB9798" s="50">
        <f t="shared" si="6535"/>
        <v>0</v>
      </c>
      <c r="AC9798" s="42">
        <f t="shared" si="6536"/>
        <v>9.9999999999999998E-20</v>
      </c>
      <c r="AD9798" s="90"/>
      <c r="AE9798" s="188"/>
      <c r="AF9798" s="189"/>
      <c r="AG9798" s="189"/>
      <c r="AH9798" s="189"/>
      <c r="AI9798" s="161"/>
    </row>
    <row r="9799" spans="1:37" ht="20.100000000000001" customHeight="1" x14ac:dyDescent="0.25">
      <c r="A9799" s="277" t="s">
        <v>703</v>
      </c>
      <c r="B9799" s="278"/>
      <c r="C9799" s="64" t="s">
        <v>900</v>
      </c>
      <c r="D9799" s="46" t="s">
        <v>895</v>
      </c>
      <c r="E9799" s="114"/>
      <c r="F9799" s="44">
        <v>0</v>
      </c>
      <c r="G9799" s="44">
        <f t="shared" si="6523"/>
        <v>0</v>
      </c>
      <c r="H9799" s="44">
        <f t="shared" si="6524"/>
        <v>0</v>
      </c>
      <c r="I9799" s="43">
        <f t="shared" si="6525"/>
        <v>0</v>
      </c>
      <c r="J9799" s="112">
        <f t="shared" si="6526"/>
        <v>0</v>
      </c>
      <c r="K9799" s="211">
        <f t="shared" si="6527"/>
        <v>0</v>
      </c>
      <c r="L9799" s="44"/>
      <c r="M9799" s="44">
        <f t="shared" si="6528"/>
        <v>0</v>
      </c>
      <c r="N9799" s="173">
        <f t="shared" si="6529"/>
        <v>0</v>
      </c>
      <c r="O9799" s="44">
        <f t="shared" si="6530"/>
        <v>0</v>
      </c>
      <c r="P9799" s="44">
        <f t="shared" si="6531"/>
        <v>0</v>
      </c>
      <c r="Q9799" s="44">
        <f t="shared" si="6532"/>
        <v>0</v>
      </c>
      <c r="R9799" s="44">
        <f t="shared" si="6533"/>
        <v>0</v>
      </c>
      <c r="S9799" s="123"/>
      <c r="T9799" s="219">
        <f t="shared" si="6534"/>
        <v>0</v>
      </c>
      <c r="U9799" s="87"/>
      <c r="V9799" s="47"/>
      <c r="W9799" s="48"/>
      <c r="X9799" s="48"/>
      <c r="Y9799" s="48"/>
      <c r="Z9799" s="135"/>
      <c r="AA9799" s="49"/>
      <c r="AB9799" s="50">
        <f t="shared" si="6535"/>
        <v>0</v>
      </c>
      <c r="AC9799" s="42">
        <f t="shared" si="6536"/>
        <v>9.9999999999999998E-20</v>
      </c>
      <c r="AD9799" s="90"/>
      <c r="AE9799" s="188"/>
      <c r="AF9799" s="189"/>
      <c r="AG9799" s="189"/>
      <c r="AH9799" s="189"/>
      <c r="AI9799" s="161"/>
    </row>
    <row r="9800" spans="1:37" ht="20.100000000000001" customHeight="1" x14ac:dyDescent="0.25">
      <c r="A9800" s="277" t="s">
        <v>703</v>
      </c>
      <c r="B9800" s="278"/>
      <c r="C9800" s="64" t="s">
        <v>901</v>
      </c>
      <c r="D9800" s="46"/>
      <c r="E9800" s="114"/>
      <c r="F9800" s="44">
        <v>0</v>
      </c>
      <c r="G9800" s="44">
        <f t="shared" si="6523"/>
        <v>0</v>
      </c>
      <c r="H9800" s="44">
        <f t="shared" si="6524"/>
        <v>0</v>
      </c>
      <c r="I9800" s="43">
        <f t="shared" si="6525"/>
        <v>0</v>
      </c>
      <c r="J9800" s="112">
        <f t="shared" si="6526"/>
        <v>0</v>
      </c>
      <c r="K9800" s="211">
        <f t="shared" si="6527"/>
        <v>0</v>
      </c>
      <c r="L9800" s="44"/>
      <c r="M9800" s="44">
        <f t="shared" si="6528"/>
        <v>0</v>
      </c>
      <c r="N9800" s="173">
        <f t="shared" si="6529"/>
        <v>0</v>
      </c>
      <c r="O9800" s="44">
        <f t="shared" si="6530"/>
        <v>0</v>
      </c>
      <c r="P9800" s="44">
        <f t="shared" si="6531"/>
        <v>0</v>
      </c>
      <c r="Q9800" s="44">
        <f t="shared" si="6532"/>
        <v>0</v>
      </c>
      <c r="R9800" s="44">
        <f t="shared" si="6533"/>
        <v>0</v>
      </c>
      <c r="S9800" s="123"/>
      <c r="T9800" s="219">
        <f t="shared" si="6534"/>
        <v>0</v>
      </c>
      <c r="U9800" s="87"/>
      <c r="V9800" s="47"/>
      <c r="W9800" s="48"/>
      <c r="X9800" s="48"/>
      <c r="Y9800" s="48"/>
      <c r="Z9800" s="135"/>
      <c r="AA9800" s="49"/>
      <c r="AB9800" s="50">
        <f t="shared" si="6535"/>
        <v>0</v>
      </c>
      <c r="AC9800" s="42">
        <f t="shared" si="6536"/>
        <v>9.9999999999999998E-20</v>
      </c>
      <c r="AD9800" s="90"/>
      <c r="AE9800" s="188"/>
      <c r="AF9800" s="189"/>
      <c r="AG9800" s="189"/>
      <c r="AH9800" s="189"/>
      <c r="AI9800" s="161"/>
    </row>
    <row r="9801" spans="1:37" ht="20.100000000000001" customHeight="1" x14ac:dyDescent="0.25">
      <c r="A9801" s="277" t="s">
        <v>703</v>
      </c>
      <c r="B9801" s="278"/>
      <c r="C9801" s="64" t="s">
        <v>902</v>
      </c>
      <c r="D9801" s="46" t="s">
        <v>196</v>
      </c>
      <c r="E9801" s="114"/>
      <c r="F9801" s="44">
        <v>0</v>
      </c>
      <c r="G9801" s="44">
        <f t="shared" si="6523"/>
        <v>0</v>
      </c>
      <c r="H9801" s="44">
        <f t="shared" si="6524"/>
        <v>0</v>
      </c>
      <c r="I9801" s="43">
        <f t="shared" si="6525"/>
        <v>0</v>
      </c>
      <c r="J9801" s="112">
        <f t="shared" si="6526"/>
        <v>0</v>
      </c>
      <c r="K9801" s="211">
        <f t="shared" si="6527"/>
        <v>0</v>
      </c>
      <c r="L9801" s="44"/>
      <c r="M9801" s="44">
        <f t="shared" si="6528"/>
        <v>0</v>
      </c>
      <c r="N9801" s="173">
        <f t="shared" si="6529"/>
        <v>0</v>
      </c>
      <c r="O9801" s="44">
        <f t="shared" si="6530"/>
        <v>0</v>
      </c>
      <c r="P9801" s="44">
        <f t="shared" si="6531"/>
        <v>0</v>
      </c>
      <c r="Q9801" s="44">
        <f t="shared" si="6532"/>
        <v>0</v>
      </c>
      <c r="R9801" s="44">
        <f t="shared" si="6533"/>
        <v>0</v>
      </c>
      <c r="S9801" s="123"/>
      <c r="T9801" s="219">
        <f t="shared" si="6534"/>
        <v>0</v>
      </c>
      <c r="U9801" s="87"/>
      <c r="V9801" s="47"/>
      <c r="W9801" s="48"/>
      <c r="X9801" s="48"/>
      <c r="Y9801" s="48"/>
      <c r="Z9801" s="135"/>
      <c r="AA9801" s="49"/>
      <c r="AB9801" s="50">
        <f t="shared" si="6535"/>
        <v>0</v>
      </c>
      <c r="AC9801" s="42">
        <f t="shared" si="6536"/>
        <v>9.9999999999999998E-20</v>
      </c>
      <c r="AD9801" s="90"/>
      <c r="AE9801" s="188"/>
      <c r="AF9801" s="189"/>
      <c r="AG9801" s="189"/>
      <c r="AH9801" s="189"/>
      <c r="AI9801" s="161"/>
    </row>
    <row r="9802" spans="1:37" s="102" customFormat="1" ht="20.100000000000001" customHeight="1" x14ac:dyDescent="0.25">
      <c r="A9802" s="45" t="s">
        <v>703</v>
      </c>
      <c r="B9802" s="276"/>
      <c r="C9802" s="286" t="s">
        <v>903</v>
      </c>
      <c r="D9802" s="59"/>
      <c r="E9802" s="116"/>
      <c r="F9802" s="120">
        <v>0</v>
      </c>
      <c r="G9802" s="120">
        <f t="shared" si="6523"/>
        <v>0</v>
      </c>
      <c r="H9802" s="120">
        <f t="shared" si="6524"/>
        <v>0</v>
      </c>
      <c r="I9802" s="60">
        <f t="shared" si="6525"/>
        <v>0</v>
      </c>
      <c r="J9802" s="116">
        <f t="shared" si="6526"/>
        <v>0</v>
      </c>
      <c r="K9802" s="213">
        <f t="shared" si="6527"/>
        <v>0</v>
      </c>
      <c r="L9802" s="120"/>
      <c r="M9802" s="120">
        <f t="shared" si="6528"/>
        <v>0</v>
      </c>
      <c r="N9802" s="167">
        <f t="shared" si="6529"/>
        <v>0</v>
      </c>
      <c r="O9802" s="120">
        <f t="shared" si="6530"/>
        <v>0</v>
      </c>
      <c r="P9802" s="120">
        <f t="shared" si="6531"/>
        <v>0</v>
      </c>
      <c r="Q9802" s="120">
        <f t="shared" si="6532"/>
        <v>0</v>
      </c>
      <c r="R9802" s="120">
        <f t="shared" si="6533"/>
        <v>0</v>
      </c>
      <c r="S9802" s="120"/>
      <c r="T9802" s="221">
        <f t="shared" si="6534"/>
        <v>0</v>
      </c>
      <c r="U9802" s="89"/>
      <c r="V9802" s="61"/>
      <c r="W9802" s="92"/>
      <c r="X9802" s="38"/>
      <c r="Y9802" s="93"/>
      <c r="Z9802" s="134"/>
      <c r="AA9802" s="93"/>
      <c r="AB9802" s="93">
        <f t="shared" si="6535"/>
        <v>0</v>
      </c>
      <c r="AC9802" s="93">
        <f t="shared" si="6536"/>
        <v>9.9999999999999998E-20</v>
      </c>
      <c r="AD9802" s="94"/>
      <c r="AE9802" s="190"/>
      <c r="AF9802" s="191"/>
      <c r="AG9802" s="191"/>
      <c r="AH9802" s="191"/>
      <c r="AI9802" s="186"/>
      <c r="AK9802" s="171"/>
    </row>
    <row r="9803" spans="1:37" s="102" customFormat="1" ht="20.100000000000001" customHeight="1" x14ac:dyDescent="0.25">
      <c r="A9803" s="45" t="s">
        <v>703</v>
      </c>
      <c r="B9803" s="276"/>
      <c r="C9803" s="286" t="s">
        <v>904</v>
      </c>
      <c r="D9803" s="59"/>
      <c r="E9803" s="116"/>
      <c r="F9803" s="120">
        <v>0</v>
      </c>
      <c r="G9803" s="120">
        <f t="shared" si="6523"/>
        <v>0</v>
      </c>
      <c r="H9803" s="120">
        <f t="shared" si="6524"/>
        <v>0</v>
      </c>
      <c r="I9803" s="60">
        <f t="shared" si="6525"/>
        <v>0</v>
      </c>
      <c r="J9803" s="116">
        <f t="shared" si="6526"/>
        <v>0</v>
      </c>
      <c r="K9803" s="213">
        <f t="shared" si="6527"/>
        <v>0</v>
      </c>
      <c r="L9803" s="120"/>
      <c r="M9803" s="120">
        <f t="shared" si="6528"/>
        <v>0</v>
      </c>
      <c r="N9803" s="167">
        <f t="shared" si="6529"/>
        <v>0</v>
      </c>
      <c r="O9803" s="120">
        <f t="shared" si="6530"/>
        <v>0</v>
      </c>
      <c r="P9803" s="120">
        <f t="shared" si="6531"/>
        <v>0</v>
      </c>
      <c r="Q9803" s="120">
        <f t="shared" si="6532"/>
        <v>0</v>
      </c>
      <c r="R9803" s="120">
        <f t="shared" si="6533"/>
        <v>0</v>
      </c>
      <c r="S9803" s="120"/>
      <c r="T9803" s="221">
        <f t="shared" si="6534"/>
        <v>0</v>
      </c>
      <c r="U9803" s="89"/>
      <c r="V9803" s="61"/>
      <c r="W9803" s="92"/>
      <c r="X9803" s="38"/>
      <c r="Y9803" s="93"/>
      <c r="Z9803" s="134"/>
      <c r="AA9803" s="93"/>
      <c r="AB9803" s="93">
        <f t="shared" si="6535"/>
        <v>0</v>
      </c>
      <c r="AC9803" s="93">
        <f t="shared" si="6536"/>
        <v>9.9999999999999998E-20</v>
      </c>
      <c r="AD9803" s="94"/>
      <c r="AE9803" s="190"/>
      <c r="AF9803" s="191"/>
      <c r="AG9803" s="191"/>
      <c r="AH9803" s="191"/>
      <c r="AI9803" s="186"/>
      <c r="AK9803" s="171"/>
    </row>
    <row r="9804" spans="1:37" ht="20.100000000000001" customHeight="1" x14ac:dyDescent="0.25">
      <c r="A9804" s="277" t="s">
        <v>703</v>
      </c>
      <c r="B9804" s="278"/>
      <c r="C9804" s="64" t="s">
        <v>905</v>
      </c>
      <c r="D9804" s="46" t="s">
        <v>201</v>
      </c>
      <c r="E9804" s="114"/>
      <c r="F9804" s="44">
        <v>0</v>
      </c>
      <c r="G9804" s="44">
        <f t="shared" si="6523"/>
        <v>0</v>
      </c>
      <c r="H9804" s="44">
        <f t="shared" si="6524"/>
        <v>0</v>
      </c>
      <c r="I9804" s="43">
        <f t="shared" si="6525"/>
        <v>0</v>
      </c>
      <c r="J9804" s="112">
        <f t="shared" si="6526"/>
        <v>0</v>
      </c>
      <c r="K9804" s="211">
        <f t="shared" si="6527"/>
        <v>0</v>
      </c>
      <c r="L9804" s="44"/>
      <c r="M9804" s="44">
        <f t="shared" si="6528"/>
        <v>0</v>
      </c>
      <c r="N9804" s="173">
        <f t="shared" si="6529"/>
        <v>0</v>
      </c>
      <c r="O9804" s="44">
        <f t="shared" si="6530"/>
        <v>0</v>
      </c>
      <c r="P9804" s="44">
        <f t="shared" si="6531"/>
        <v>0</v>
      </c>
      <c r="Q9804" s="44">
        <f t="shared" si="6532"/>
        <v>0</v>
      </c>
      <c r="R9804" s="44">
        <f t="shared" si="6533"/>
        <v>0</v>
      </c>
      <c r="S9804" s="123"/>
      <c r="T9804" s="219">
        <f t="shared" si="6534"/>
        <v>0</v>
      </c>
      <c r="U9804" s="87"/>
      <c r="V9804" s="47"/>
      <c r="W9804" s="48"/>
      <c r="X9804" s="48"/>
      <c r="Y9804" s="48"/>
      <c r="Z9804" s="135"/>
      <c r="AA9804" s="49"/>
      <c r="AB9804" s="50">
        <f t="shared" si="6535"/>
        <v>0</v>
      </c>
      <c r="AC9804" s="42">
        <f t="shared" si="6536"/>
        <v>9.9999999999999998E-20</v>
      </c>
      <c r="AD9804" s="90"/>
      <c r="AE9804" s="188"/>
      <c r="AF9804" s="189"/>
      <c r="AG9804" s="189"/>
      <c r="AH9804" s="189"/>
      <c r="AI9804" s="161"/>
    </row>
    <row r="9805" spans="1:37" s="102" customFormat="1" ht="20.100000000000001" customHeight="1" x14ac:dyDescent="0.25">
      <c r="A9805" s="45" t="s">
        <v>703</v>
      </c>
      <c r="B9805" s="276"/>
      <c r="C9805" s="286" t="s">
        <v>906</v>
      </c>
      <c r="D9805" s="59"/>
      <c r="E9805" s="116"/>
      <c r="F9805" s="120">
        <v>0</v>
      </c>
      <c r="G9805" s="120">
        <f t="shared" si="6523"/>
        <v>0</v>
      </c>
      <c r="H9805" s="120">
        <f t="shared" si="6524"/>
        <v>0</v>
      </c>
      <c r="I9805" s="60">
        <f t="shared" si="6525"/>
        <v>0</v>
      </c>
      <c r="J9805" s="116">
        <f t="shared" si="6526"/>
        <v>0</v>
      </c>
      <c r="K9805" s="213">
        <f t="shared" si="6527"/>
        <v>0</v>
      </c>
      <c r="L9805" s="120"/>
      <c r="M9805" s="120">
        <f t="shared" si="6528"/>
        <v>0</v>
      </c>
      <c r="N9805" s="167">
        <f t="shared" si="6529"/>
        <v>0</v>
      </c>
      <c r="O9805" s="120">
        <f t="shared" si="6530"/>
        <v>0</v>
      </c>
      <c r="P9805" s="120">
        <f t="shared" si="6531"/>
        <v>0</v>
      </c>
      <c r="Q9805" s="120">
        <f t="shared" si="6532"/>
        <v>0</v>
      </c>
      <c r="R9805" s="120">
        <f t="shared" si="6533"/>
        <v>0</v>
      </c>
      <c r="S9805" s="120"/>
      <c r="T9805" s="221">
        <f t="shared" si="6534"/>
        <v>0</v>
      </c>
      <c r="U9805" s="89"/>
      <c r="V9805" s="61"/>
      <c r="W9805" s="92"/>
      <c r="X9805" s="38"/>
      <c r="Y9805" s="93"/>
      <c r="Z9805" s="134"/>
      <c r="AA9805" s="93"/>
      <c r="AB9805" s="93">
        <f t="shared" si="6535"/>
        <v>0</v>
      </c>
      <c r="AC9805" s="93">
        <f t="shared" si="6536"/>
        <v>9.9999999999999998E-20</v>
      </c>
      <c r="AD9805" s="94"/>
      <c r="AE9805" s="190"/>
      <c r="AF9805" s="191"/>
      <c r="AG9805" s="191"/>
      <c r="AH9805" s="191"/>
      <c r="AI9805" s="186"/>
      <c r="AK9805" s="171"/>
    </row>
    <row r="9806" spans="1:37" s="102" customFormat="1" ht="20.100000000000001" customHeight="1" x14ac:dyDescent="0.25">
      <c r="A9806" s="45" t="s">
        <v>703</v>
      </c>
      <c r="B9806" s="276"/>
      <c r="C9806" s="286" t="s">
        <v>907</v>
      </c>
      <c r="D9806" s="59"/>
      <c r="E9806" s="116"/>
      <c r="F9806" s="120">
        <v>0</v>
      </c>
      <c r="G9806" s="120">
        <f t="shared" si="6523"/>
        <v>0</v>
      </c>
      <c r="H9806" s="120">
        <f t="shared" si="6524"/>
        <v>0</v>
      </c>
      <c r="I9806" s="60">
        <f t="shared" si="6525"/>
        <v>0</v>
      </c>
      <c r="J9806" s="116">
        <f t="shared" si="6526"/>
        <v>0</v>
      </c>
      <c r="K9806" s="213">
        <f t="shared" si="6527"/>
        <v>0</v>
      </c>
      <c r="L9806" s="120"/>
      <c r="M9806" s="120">
        <f t="shared" si="6528"/>
        <v>0</v>
      </c>
      <c r="N9806" s="167">
        <f t="shared" si="6529"/>
        <v>0</v>
      </c>
      <c r="O9806" s="120">
        <f t="shared" si="6530"/>
        <v>0</v>
      </c>
      <c r="P9806" s="120">
        <f t="shared" si="6531"/>
        <v>0</v>
      </c>
      <c r="Q9806" s="120">
        <f t="shared" si="6532"/>
        <v>0</v>
      </c>
      <c r="R9806" s="120">
        <f t="shared" si="6533"/>
        <v>0</v>
      </c>
      <c r="S9806" s="120"/>
      <c r="T9806" s="221">
        <f t="shared" si="6534"/>
        <v>0</v>
      </c>
      <c r="U9806" s="89"/>
      <c r="V9806" s="61"/>
      <c r="W9806" s="92"/>
      <c r="X9806" s="38"/>
      <c r="Y9806" s="93"/>
      <c r="Z9806" s="134"/>
      <c r="AA9806" s="93"/>
      <c r="AB9806" s="93">
        <f t="shared" si="6535"/>
        <v>0</v>
      </c>
      <c r="AC9806" s="93">
        <f t="shared" si="6536"/>
        <v>9.9999999999999998E-20</v>
      </c>
      <c r="AD9806" s="94"/>
      <c r="AE9806" s="190"/>
      <c r="AF9806" s="191"/>
      <c r="AG9806" s="191"/>
      <c r="AH9806" s="191"/>
      <c r="AI9806" s="186"/>
      <c r="AK9806" s="171"/>
    </row>
    <row r="9807" spans="1:37" s="102" customFormat="1" ht="20.100000000000001" customHeight="1" x14ac:dyDescent="0.25">
      <c r="A9807" s="45" t="s">
        <v>703</v>
      </c>
      <c r="B9807" s="276"/>
      <c r="C9807" s="286" t="s">
        <v>908</v>
      </c>
      <c r="D9807" s="59"/>
      <c r="E9807" s="116"/>
      <c r="F9807" s="120">
        <v>0</v>
      </c>
      <c r="G9807" s="120">
        <f t="shared" si="6523"/>
        <v>0</v>
      </c>
      <c r="H9807" s="120">
        <f t="shared" si="6524"/>
        <v>0</v>
      </c>
      <c r="I9807" s="60">
        <f t="shared" si="6525"/>
        <v>0</v>
      </c>
      <c r="J9807" s="116">
        <f t="shared" si="6526"/>
        <v>0</v>
      </c>
      <c r="K9807" s="213">
        <f t="shared" si="6527"/>
        <v>0</v>
      </c>
      <c r="L9807" s="120"/>
      <c r="M9807" s="120">
        <f t="shared" si="6528"/>
        <v>0</v>
      </c>
      <c r="N9807" s="167">
        <f t="shared" si="6529"/>
        <v>0</v>
      </c>
      <c r="O9807" s="120">
        <f t="shared" si="6530"/>
        <v>0</v>
      </c>
      <c r="P9807" s="120">
        <f t="shared" si="6531"/>
        <v>0</v>
      </c>
      <c r="Q9807" s="120">
        <f t="shared" si="6532"/>
        <v>0</v>
      </c>
      <c r="R9807" s="120">
        <f t="shared" si="6533"/>
        <v>0</v>
      </c>
      <c r="S9807" s="120"/>
      <c r="T9807" s="221">
        <f t="shared" si="6534"/>
        <v>0</v>
      </c>
      <c r="U9807" s="89"/>
      <c r="V9807" s="61"/>
      <c r="W9807" s="92"/>
      <c r="X9807" s="38"/>
      <c r="Y9807" s="93"/>
      <c r="Z9807" s="134"/>
      <c r="AA9807" s="93"/>
      <c r="AB9807" s="93">
        <f t="shared" si="6535"/>
        <v>0</v>
      </c>
      <c r="AC9807" s="93">
        <f t="shared" si="6536"/>
        <v>9.9999999999999998E-20</v>
      </c>
      <c r="AD9807" s="94"/>
      <c r="AE9807" s="190"/>
      <c r="AF9807" s="191"/>
      <c r="AG9807" s="191"/>
      <c r="AH9807" s="191"/>
      <c r="AI9807" s="186"/>
      <c r="AK9807" s="171"/>
    </row>
    <row r="9808" spans="1:37" ht="20.100000000000001" customHeight="1" x14ac:dyDescent="0.25">
      <c r="A9808" s="277" t="s">
        <v>703</v>
      </c>
      <c r="B9808" s="278"/>
      <c r="C9808" s="64" t="s">
        <v>909</v>
      </c>
      <c r="D9808" s="46" t="s">
        <v>201</v>
      </c>
      <c r="E9808" s="114"/>
      <c r="F9808" s="44">
        <v>0</v>
      </c>
      <c r="G9808" s="44">
        <f t="shared" si="6523"/>
        <v>0</v>
      </c>
      <c r="H9808" s="44">
        <f t="shared" si="6524"/>
        <v>0</v>
      </c>
      <c r="I9808" s="43">
        <f t="shared" si="6525"/>
        <v>0</v>
      </c>
      <c r="J9808" s="112">
        <f t="shared" si="6526"/>
        <v>0</v>
      </c>
      <c r="K9808" s="211">
        <f t="shared" si="6527"/>
        <v>0</v>
      </c>
      <c r="L9808" s="44"/>
      <c r="M9808" s="44">
        <f t="shared" si="6528"/>
        <v>0</v>
      </c>
      <c r="N9808" s="173">
        <f t="shared" si="6529"/>
        <v>0</v>
      </c>
      <c r="O9808" s="44">
        <f t="shared" si="6530"/>
        <v>0</v>
      </c>
      <c r="P9808" s="44">
        <f t="shared" si="6531"/>
        <v>0</v>
      </c>
      <c r="Q9808" s="44">
        <f t="shared" si="6532"/>
        <v>0</v>
      </c>
      <c r="R9808" s="44">
        <f t="shared" si="6533"/>
        <v>0</v>
      </c>
      <c r="S9808" s="123"/>
      <c r="T9808" s="219">
        <f t="shared" si="6534"/>
        <v>0</v>
      </c>
      <c r="U9808" s="87"/>
      <c r="V9808" s="47"/>
      <c r="W9808" s="48"/>
      <c r="X9808" s="48"/>
      <c r="Y9808" s="48"/>
      <c r="Z9808" s="135"/>
      <c r="AA9808" s="49"/>
      <c r="AB9808" s="50">
        <f t="shared" si="6535"/>
        <v>0</v>
      </c>
      <c r="AC9808" s="42">
        <f t="shared" si="6536"/>
        <v>9.9999999999999998E-20</v>
      </c>
      <c r="AD9808" s="90"/>
      <c r="AE9808" s="188"/>
      <c r="AF9808" s="189"/>
      <c r="AG9808" s="189"/>
      <c r="AH9808" s="189"/>
      <c r="AI9808" s="161"/>
    </row>
    <row r="9809" spans="1:37" ht="20.100000000000001" customHeight="1" x14ac:dyDescent="0.25">
      <c r="A9809" s="277" t="s">
        <v>703</v>
      </c>
      <c r="B9809" s="278"/>
      <c r="C9809" s="64" t="s">
        <v>910</v>
      </c>
      <c r="D9809" s="46" t="s">
        <v>201</v>
      </c>
      <c r="E9809" s="114"/>
      <c r="F9809" s="44">
        <v>0</v>
      </c>
      <c r="G9809" s="44">
        <f t="shared" si="6523"/>
        <v>0</v>
      </c>
      <c r="H9809" s="44">
        <f t="shared" si="6524"/>
        <v>0</v>
      </c>
      <c r="I9809" s="43">
        <f t="shared" si="6525"/>
        <v>0</v>
      </c>
      <c r="J9809" s="112">
        <f t="shared" si="6526"/>
        <v>0</v>
      </c>
      <c r="K9809" s="211">
        <f t="shared" si="6527"/>
        <v>0</v>
      </c>
      <c r="L9809" s="44"/>
      <c r="M9809" s="44">
        <f t="shared" si="6528"/>
        <v>0</v>
      </c>
      <c r="N9809" s="173">
        <f t="shared" si="6529"/>
        <v>0</v>
      </c>
      <c r="O9809" s="44">
        <f t="shared" si="6530"/>
        <v>0</v>
      </c>
      <c r="P9809" s="44">
        <f t="shared" si="6531"/>
        <v>0</v>
      </c>
      <c r="Q9809" s="44">
        <f t="shared" si="6532"/>
        <v>0</v>
      </c>
      <c r="R9809" s="44">
        <f t="shared" si="6533"/>
        <v>0</v>
      </c>
      <c r="S9809" s="123"/>
      <c r="T9809" s="219">
        <f t="shared" si="6534"/>
        <v>0</v>
      </c>
      <c r="U9809" s="87"/>
      <c r="V9809" s="47"/>
      <c r="W9809" s="48"/>
      <c r="X9809" s="48"/>
      <c r="Y9809" s="48"/>
      <c r="Z9809" s="135"/>
      <c r="AA9809" s="49"/>
      <c r="AB9809" s="50">
        <f t="shared" si="6535"/>
        <v>0</v>
      </c>
      <c r="AC9809" s="42">
        <f t="shared" si="6536"/>
        <v>9.9999999999999998E-20</v>
      </c>
      <c r="AD9809" s="90"/>
      <c r="AE9809" s="188"/>
      <c r="AF9809" s="189"/>
      <c r="AG9809" s="189"/>
      <c r="AH9809" s="189"/>
      <c r="AI9809" s="161"/>
    </row>
    <row r="9810" spans="1:37" s="102" customFormat="1" ht="20.100000000000001" customHeight="1" x14ac:dyDescent="0.25">
      <c r="A9810" s="45" t="s">
        <v>703</v>
      </c>
      <c r="B9810" s="276"/>
      <c r="C9810" s="286" t="s">
        <v>911</v>
      </c>
      <c r="D9810" s="59"/>
      <c r="E9810" s="116"/>
      <c r="F9810" s="120">
        <v>0</v>
      </c>
      <c r="G9810" s="120">
        <f t="shared" si="6523"/>
        <v>0</v>
      </c>
      <c r="H9810" s="120">
        <f t="shared" si="6524"/>
        <v>0</v>
      </c>
      <c r="I9810" s="60">
        <f t="shared" si="6525"/>
        <v>0</v>
      </c>
      <c r="J9810" s="116">
        <f t="shared" si="6526"/>
        <v>0</v>
      </c>
      <c r="K9810" s="213">
        <f t="shared" si="6527"/>
        <v>0</v>
      </c>
      <c r="L9810" s="120"/>
      <c r="M9810" s="120">
        <f t="shared" si="6528"/>
        <v>0</v>
      </c>
      <c r="N9810" s="167">
        <f t="shared" si="6529"/>
        <v>0</v>
      </c>
      <c r="O9810" s="120">
        <f t="shared" si="6530"/>
        <v>0</v>
      </c>
      <c r="P9810" s="120">
        <f t="shared" si="6531"/>
        <v>0</v>
      </c>
      <c r="Q9810" s="120">
        <f t="shared" si="6532"/>
        <v>0</v>
      </c>
      <c r="R9810" s="120">
        <f t="shared" si="6533"/>
        <v>0</v>
      </c>
      <c r="S9810" s="120"/>
      <c r="T9810" s="221">
        <f t="shared" si="6534"/>
        <v>0</v>
      </c>
      <c r="U9810" s="89"/>
      <c r="V9810" s="61"/>
      <c r="W9810" s="92"/>
      <c r="X9810" s="38"/>
      <c r="Y9810" s="93"/>
      <c r="Z9810" s="134"/>
      <c r="AA9810" s="93"/>
      <c r="AB9810" s="93">
        <f t="shared" si="6535"/>
        <v>0</v>
      </c>
      <c r="AC9810" s="93">
        <f t="shared" si="6536"/>
        <v>9.9999999999999998E-20</v>
      </c>
      <c r="AD9810" s="94"/>
      <c r="AE9810" s="190"/>
      <c r="AF9810" s="191"/>
      <c r="AG9810" s="191"/>
      <c r="AH9810" s="191"/>
      <c r="AI9810" s="186"/>
      <c r="AK9810" s="171"/>
    </row>
    <row r="9811" spans="1:37" s="102" customFormat="1" ht="20.100000000000001" customHeight="1" x14ac:dyDescent="0.25">
      <c r="A9811" s="45" t="s">
        <v>703</v>
      </c>
      <c r="B9811" s="276"/>
      <c r="C9811" s="286" t="s">
        <v>912</v>
      </c>
      <c r="D9811" s="59"/>
      <c r="E9811" s="116"/>
      <c r="F9811" s="120">
        <v>0</v>
      </c>
      <c r="G9811" s="120">
        <f t="shared" si="6523"/>
        <v>0</v>
      </c>
      <c r="H9811" s="120">
        <f t="shared" si="6524"/>
        <v>0</v>
      </c>
      <c r="I9811" s="60">
        <f t="shared" si="6525"/>
        <v>0</v>
      </c>
      <c r="J9811" s="116">
        <f t="shared" si="6526"/>
        <v>0</v>
      </c>
      <c r="K9811" s="213">
        <f t="shared" si="6527"/>
        <v>0</v>
      </c>
      <c r="L9811" s="120"/>
      <c r="M9811" s="120">
        <f t="shared" si="6528"/>
        <v>0</v>
      </c>
      <c r="N9811" s="167">
        <f t="shared" si="6529"/>
        <v>0</v>
      </c>
      <c r="O9811" s="120">
        <f t="shared" si="6530"/>
        <v>0</v>
      </c>
      <c r="P9811" s="120">
        <f t="shared" si="6531"/>
        <v>0</v>
      </c>
      <c r="Q9811" s="120">
        <f t="shared" si="6532"/>
        <v>0</v>
      </c>
      <c r="R9811" s="120">
        <f t="shared" si="6533"/>
        <v>0</v>
      </c>
      <c r="S9811" s="120"/>
      <c r="T9811" s="221">
        <f t="shared" si="6534"/>
        <v>0</v>
      </c>
      <c r="U9811" s="89"/>
      <c r="V9811" s="61"/>
      <c r="W9811" s="92"/>
      <c r="X9811" s="38"/>
      <c r="Y9811" s="93"/>
      <c r="Z9811" s="134"/>
      <c r="AA9811" s="93"/>
      <c r="AB9811" s="93">
        <f t="shared" si="6535"/>
        <v>0</v>
      </c>
      <c r="AC9811" s="93">
        <f t="shared" si="6536"/>
        <v>9.9999999999999998E-20</v>
      </c>
      <c r="AD9811" s="94"/>
      <c r="AE9811" s="190"/>
      <c r="AF9811" s="191"/>
      <c r="AG9811" s="191"/>
      <c r="AH9811" s="191"/>
      <c r="AI9811" s="186"/>
      <c r="AK9811" s="171"/>
    </row>
    <row r="9812" spans="1:37" ht="20.100000000000001" customHeight="1" x14ac:dyDescent="0.25">
      <c r="A9812" s="277" t="s">
        <v>703</v>
      </c>
      <c r="B9812" s="278"/>
      <c r="C9812" s="64" t="s">
        <v>913</v>
      </c>
      <c r="D9812" s="46" t="s">
        <v>196</v>
      </c>
      <c r="E9812" s="114"/>
      <c r="F9812" s="44">
        <v>0</v>
      </c>
      <c r="G9812" s="44">
        <f t="shared" si="6523"/>
        <v>0</v>
      </c>
      <c r="H9812" s="44">
        <f t="shared" si="6524"/>
        <v>0</v>
      </c>
      <c r="I9812" s="43">
        <f t="shared" si="6525"/>
        <v>0</v>
      </c>
      <c r="J9812" s="112">
        <f t="shared" si="6526"/>
        <v>0</v>
      </c>
      <c r="K9812" s="211">
        <f t="shared" si="6527"/>
        <v>0</v>
      </c>
      <c r="L9812" s="44"/>
      <c r="M9812" s="44">
        <f t="shared" si="6528"/>
        <v>0</v>
      </c>
      <c r="N9812" s="173">
        <f t="shared" si="6529"/>
        <v>0</v>
      </c>
      <c r="O9812" s="44">
        <f t="shared" si="6530"/>
        <v>0</v>
      </c>
      <c r="P9812" s="44">
        <f t="shared" si="6531"/>
        <v>0</v>
      </c>
      <c r="Q9812" s="44">
        <f t="shared" si="6532"/>
        <v>0</v>
      </c>
      <c r="R9812" s="44">
        <f t="shared" si="6533"/>
        <v>0</v>
      </c>
      <c r="S9812" s="123"/>
      <c r="T9812" s="219">
        <f t="shared" si="6534"/>
        <v>0</v>
      </c>
      <c r="U9812" s="87"/>
      <c r="V9812" s="47"/>
      <c r="W9812" s="48"/>
      <c r="X9812" s="48"/>
      <c r="Y9812" s="48"/>
      <c r="Z9812" s="135"/>
      <c r="AA9812" s="49"/>
      <c r="AB9812" s="50">
        <f t="shared" si="6535"/>
        <v>0</v>
      </c>
      <c r="AC9812" s="42">
        <f t="shared" si="6536"/>
        <v>9.9999999999999998E-20</v>
      </c>
      <c r="AD9812" s="90"/>
      <c r="AE9812" s="188"/>
      <c r="AF9812" s="189"/>
      <c r="AG9812" s="189"/>
      <c r="AH9812" s="189"/>
      <c r="AI9812" s="161"/>
    </row>
    <row r="9813" spans="1:37" ht="20.100000000000001" customHeight="1" x14ac:dyDescent="0.25">
      <c r="A9813" s="277" t="s">
        <v>703</v>
      </c>
      <c r="B9813" s="278"/>
      <c r="C9813" s="64" t="s">
        <v>914</v>
      </c>
      <c r="D9813" s="46" t="s">
        <v>196</v>
      </c>
      <c r="E9813" s="114"/>
      <c r="F9813" s="44">
        <v>0</v>
      </c>
      <c r="G9813" s="44">
        <f t="shared" si="6523"/>
        <v>0</v>
      </c>
      <c r="H9813" s="44">
        <f t="shared" si="6524"/>
        <v>0</v>
      </c>
      <c r="I9813" s="43">
        <f t="shared" si="6525"/>
        <v>0</v>
      </c>
      <c r="J9813" s="112">
        <f t="shared" si="6526"/>
        <v>0</v>
      </c>
      <c r="K9813" s="211">
        <f t="shared" si="6527"/>
        <v>0</v>
      </c>
      <c r="L9813" s="44"/>
      <c r="M9813" s="44">
        <f t="shared" si="6528"/>
        <v>0</v>
      </c>
      <c r="N9813" s="173">
        <f t="shared" si="6529"/>
        <v>0</v>
      </c>
      <c r="O9813" s="44">
        <f t="shared" si="6530"/>
        <v>0</v>
      </c>
      <c r="P9813" s="44">
        <f t="shared" si="6531"/>
        <v>0</v>
      </c>
      <c r="Q9813" s="44">
        <f t="shared" si="6532"/>
        <v>0</v>
      </c>
      <c r="R9813" s="44">
        <f t="shared" si="6533"/>
        <v>0</v>
      </c>
      <c r="S9813" s="123"/>
      <c r="T9813" s="219">
        <f t="shared" si="6534"/>
        <v>0</v>
      </c>
      <c r="U9813" s="87"/>
      <c r="V9813" s="47"/>
      <c r="W9813" s="48"/>
      <c r="X9813" s="48"/>
      <c r="Y9813" s="48"/>
      <c r="Z9813" s="135"/>
      <c r="AA9813" s="49"/>
      <c r="AB9813" s="50">
        <f t="shared" si="6535"/>
        <v>0</v>
      </c>
      <c r="AC9813" s="42">
        <f t="shared" si="6536"/>
        <v>9.9999999999999998E-20</v>
      </c>
      <c r="AD9813" s="90"/>
      <c r="AE9813" s="188"/>
      <c r="AF9813" s="189"/>
      <c r="AG9813" s="189"/>
      <c r="AH9813" s="189"/>
      <c r="AI9813" s="161"/>
    </row>
    <row r="9814" spans="1:37" ht="20.100000000000001" customHeight="1" x14ac:dyDescent="0.25">
      <c r="A9814" s="277" t="s">
        <v>703</v>
      </c>
      <c r="B9814" s="278"/>
      <c r="C9814" s="64" t="s">
        <v>915</v>
      </c>
      <c r="D9814" s="46" t="s">
        <v>196</v>
      </c>
      <c r="E9814" s="114"/>
      <c r="F9814" s="44">
        <v>0</v>
      </c>
      <c r="G9814" s="44">
        <f t="shared" si="6523"/>
        <v>0</v>
      </c>
      <c r="H9814" s="44">
        <f t="shared" si="6524"/>
        <v>0</v>
      </c>
      <c r="I9814" s="43">
        <f t="shared" si="6525"/>
        <v>0</v>
      </c>
      <c r="J9814" s="112">
        <f t="shared" si="6526"/>
        <v>0</v>
      </c>
      <c r="K9814" s="211">
        <f t="shared" si="6527"/>
        <v>0</v>
      </c>
      <c r="L9814" s="44"/>
      <c r="M9814" s="44">
        <f t="shared" si="6528"/>
        <v>0</v>
      </c>
      <c r="N9814" s="173">
        <f t="shared" si="6529"/>
        <v>0</v>
      </c>
      <c r="O9814" s="44">
        <f t="shared" si="6530"/>
        <v>0</v>
      </c>
      <c r="P9814" s="44">
        <f t="shared" si="6531"/>
        <v>0</v>
      </c>
      <c r="Q9814" s="44">
        <f t="shared" si="6532"/>
        <v>0</v>
      </c>
      <c r="R9814" s="44">
        <f t="shared" si="6533"/>
        <v>0</v>
      </c>
      <c r="S9814" s="123"/>
      <c r="T9814" s="219">
        <f t="shared" si="6534"/>
        <v>0</v>
      </c>
      <c r="U9814" s="87"/>
      <c r="V9814" s="47"/>
      <c r="W9814" s="48"/>
      <c r="X9814" s="48"/>
      <c r="Y9814" s="48"/>
      <c r="Z9814" s="135"/>
      <c r="AA9814" s="49"/>
      <c r="AB9814" s="50">
        <f t="shared" si="6535"/>
        <v>0</v>
      </c>
      <c r="AC9814" s="42">
        <f t="shared" si="6536"/>
        <v>9.9999999999999998E-20</v>
      </c>
      <c r="AD9814" s="90"/>
      <c r="AE9814" s="188"/>
      <c r="AF9814" s="189"/>
      <c r="AG9814" s="189"/>
      <c r="AH9814" s="189"/>
      <c r="AI9814" s="161"/>
    </row>
    <row r="9815" spans="1:37" ht="20.100000000000001" customHeight="1" x14ac:dyDescent="0.25">
      <c r="A9815" s="277" t="s">
        <v>703</v>
      </c>
      <c r="B9815" s="278"/>
      <c r="C9815" s="64" t="s">
        <v>889</v>
      </c>
      <c r="D9815" s="46" t="s">
        <v>196</v>
      </c>
      <c r="E9815" s="114"/>
      <c r="F9815" s="44">
        <v>0</v>
      </c>
      <c r="G9815" s="44">
        <f t="shared" si="6523"/>
        <v>0</v>
      </c>
      <c r="H9815" s="44">
        <f t="shared" si="6524"/>
        <v>0</v>
      </c>
      <c r="I9815" s="43">
        <f t="shared" si="6525"/>
        <v>0</v>
      </c>
      <c r="J9815" s="112">
        <f t="shared" si="6526"/>
        <v>0</v>
      </c>
      <c r="K9815" s="211">
        <f t="shared" si="6527"/>
        <v>0</v>
      </c>
      <c r="L9815" s="44"/>
      <c r="M9815" s="44">
        <f t="shared" si="6528"/>
        <v>0</v>
      </c>
      <c r="N9815" s="173">
        <f t="shared" si="6529"/>
        <v>0</v>
      </c>
      <c r="O9815" s="44">
        <f t="shared" si="6530"/>
        <v>0</v>
      </c>
      <c r="P9815" s="44">
        <f t="shared" si="6531"/>
        <v>0</v>
      </c>
      <c r="Q9815" s="44">
        <f t="shared" si="6532"/>
        <v>0</v>
      </c>
      <c r="R9815" s="44">
        <f t="shared" si="6533"/>
        <v>0</v>
      </c>
      <c r="S9815" s="123"/>
      <c r="T9815" s="219">
        <f t="shared" si="6534"/>
        <v>0</v>
      </c>
      <c r="U9815" s="87"/>
      <c r="V9815" s="47"/>
      <c r="W9815" s="48"/>
      <c r="X9815" s="48"/>
      <c r="Y9815" s="48"/>
      <c r="Z9815" s="135"/>
      <c r="AA9815" s="49"/>
      <c r="AB9815" s="50">
        <f t="shared" si="6535"/>
        <v>0</v>
      </c>
      <c r="AC9815" s="42">
        <f t="shared" si="6536"/>
        <v>9.9999999999999998E-20</v>
      </c>
      <c r="AD9815" s="90"/>
      <c r="AE9815" s="188"/>
      <c r="AF9815" s="189"/>
      <c r="AG9815" s="189"/>
      <c r="AH9815" s="189"/>
      <c r="AI9815" s="161"/>
    </row>
    <row r="9816" spans="1:37" s="102" customFormat="1" ht="20.100000000000001" customHeight="1" x14ac:dyDescent="0.25">
      <c r="A9816" s="45" t="s">
        <v>703</v>
      </c>
      <c r="B9816" s="276"/>
      <c r="C9816" s="286" t="s">
        <v>891</v>
      </c>
      <c r="D9816" s="59"/>
      <c r="E9816" s="116"/>
      <c r="F9816" s="120">
        <v>0</v>
      </c>
      <c r="G9816" s="120">
        <f t="shared" si="6523"/>
        <v>0</v>
      </c>
      <c r="H9816" s="120">
        <f t="shared" si="6524"/>
        <v>0</v>
      </c>
      <c r="I9816" s="60">
        <f t="shared" si="6525"/>
        <v>0</v>
      </c>
      <c r="J9816" s="116">
        <f t="shared" si="6526"/>
        <v>0</v>
      </c>
      <c r="K9816" s="213">
        <f t="shared" si="6527"/>
        <v>0</v>
      </c>
      <c r="L9816" s="120"/>
      <c r="M9816" s="120">
        <f t="shared" si="6528"/>
        <v>0</v>
      </c>
      <c r="N9816" s="167">
        <f t="shared" si="6529"/>
        <v>0</v>
      </c>
      <c r="O9816" s="120">
        <f t="shared" si="6530"/>
        <v>0</v>
      </c>
      <c r="P9816" s="120">
        <f t="shared" si="6531"/>
        <v>0</v>
      </c>
      <c r="Q9816" s="120">
        <f t="shared" si="6532"/>
        <v>0</v>
      </c>
      <c r="R9816" s="120">
        <f t="shared" si="6533"/>
        <v>0</v>
      </c>
      <c r="S9816" s="120"/>
      <c r="T9816" s="221">
        <f t="shared" si="6534"/>
        <v>0</v>
      </c>
      <c r="U9816" s="89"/>
      <c r="V9816" s="61"/>
      <c r="W9816" s="92"/>
      <c r="X9816" s="38"/>
      <c r="Y9816" s="93"/>
      <c r="Z9816" s="134"/>
      <c r="AA9816" s="93"/>
      <c r="AB9816" s="93">
        <f t="shared" si="6535"/>
        <v>0</v>
      </c>
      <c r="AC9816" s="93">
        <f t="shared" si="6536"/>
        <v>9.9999999999999998E-20</v>
      </c>
      <c r="AD9816" s="94"/>
      <c r="AE9816" s="190"/>
      <c r="AF9816" s="191"/>
      <c r="AG9816" s="191"/>
      <c r="AH9816" s="191"/>
      <c r="AI9816" s="186"/>
      <c r="AK9816" s="171"/>
    </row>
    <row r="9817" spans="1:37" ht="20.100000000000001" customHeight="1" x14ac:dyDescent="0.25">
      <c r="A9817" s="277" t="s">
        <v>703</v>
      </c>
      <c r="B9817" s="278"/>
      <c r="C9817" s="64" t="s">
        <v>892</v>
      </c>
      <c r="D9817" s="46" t="s">
        <v>196</v>
      </c>
      <c r="E9817" s="114"/>
      <c r="F9817" s="44">
        <v>0</v>
      </c>
      <c r="G9817" s="44">
        <f t="shared" si="6523"/>
        <v>0</v>
      </c>
      <c r="H9817" s="44">
        <f t="shared" si="6524"/>
        <v>0</v>
      </c>
      <c r="I9817" s="43">
        <f t="shared" si="6525"/>
        <v>0</v>
      </c>
      <c r="J9817" s="112">
        <f t="shared" si="6526"/>
        <v>0</v>
      </c>
      <c r="K9817" s="211">
        <f t="shared" si="6527"/>
        <v>0</v>
      </c>
      <c r="L9817" s="44"/>
      <c r="M9817" s="44">
        <f t="shared" si="6528"/>
        <v>0</v>
      </c>
      <c r="N9817" s="173">
        <f t="shared" si="6529"/>
        <v>0</v>
      </c>
      <c r="O9817" s="44">
        <f t="shared" si="6530"/>
        <v>0</v>
      </c>
      <c r="P9817" s="44">
        <f t="shared" si="6531"/>
        <v>0</v>
      </c>
      <c r="Q9817" s="44">
        <f t="shared" si="6532"/>
        <v>0</v>
      </c>
      <c r="R9817" s="44">
        <f t="shared" si="6533"/>
        <v>0</v>
      </c>
      <c r="S9817" s="123"/>
      <c r="T9817" s="219">
        <f t="shared" si="6534"/>
        <v>0</v>
      </c>
      <c r="U9817" s="87"/>
      <c r="V9817" s="47"/>
      <c r="W9817" s="48"/>
      <c r="X9817" s="48"/>
      <c r="Y9817" s="48"/>
      <c r="Z9817" s="135"/>
      <c r="AA9817" s="49"/>
      <c r="AB9817" s="50">
        <f t="shared" si="6535"/>
        <v>0</v>
      </c>
      <c r="AC9817" s="42">
        <f t="shared" si="6536"/>
        <v>9.9999999999999998E-20</v>
      </c>
      <c r="AD9817" s="90"/>
      <c r="AE9817" s="188"/>
      <c r="AF9817" s="189"/>
      <c r="AG9817" s="189"/>
      <c r="AH9817" s="189"/>
      <c r="AI9817" s="161"/>
    </row>
    <row r="9818" spans="1:37" s="102" customFormat="1" ht="20.100000000000001" customHeight="1" x14ac:dyDescent="0.25">
      <c r="A9818" s="45" t="s">
        <v>703</v>
      </c>
      <c r="B9818" s="276"/>
      <c r="C9818" s="286" t="s">
        <v>916</v>
      </c>
      <c r="D9818" s="59"/>
      <c r="E9818" s="116"/>
      <c r="F9818" s="120">
        <v>0</v>
      </c>
      <c r="G9818" s="120">
        <f t="shared" si="6523"/>
        <v>0</v>
      </c>
      <c r="H9818" s="120">
        <f t="shared" si="6524"/>
        <v>0</v>
      </c>
      <c r="I9818" s="60">
        <f t="shared" si="6525"/>
        <v>0</v>
      </c>
      <c r="J9818" s="116">
        <f t="shared" si="6526"/>
        <v>0</v>
      </c>
      <c r="K9818" s="213">
        <f t="shared" si="6527"/>
        <v>0</v>
      </c>
      <c r="L9818" s="120"/>
      <c r="M9818" s="120">
        <f t="shared" si="6528"/>
        <v>0</v>
      </c>
      <c r="N9818" s="167">
        <f t="shared" si="6529"/>
        <v>0</v>
      </c>
      <c r="O9818" s="120">
        <f t="shared" si="6530"/>
        <v>0</v>
      </c>
      <c r="P9818" s="120">
        <f t="shared" si="6531"/>
        <v>0</v>
      </c>
      <c r="Q9818" s="120">
        <f t="shared" si="6532"/>
        <v>0</v>
      </c>
      <c r="R9818" s="120">
        <f t="shared" si="6533"/>
        <v>0</v>
      </c>
      <c r="S9818" s="120"/>
      <c r="T9818" s="221">
        <f t="shared" si="6534"/>
        <v>0</v>
      </c>
      <c r="U9818" s="89"/>
      <c r="V9818" s="61"/>
      <c r="W9818" s="92"/>
      <c r="X9818" s="38"/>
      <c r="Y9818" s="93"/>
      <c r="Z9818" s="134"/>
      <c r="AA9818" s="93"/>
      <c r="AB9818" s="93">
        <f t="shared" si="6535"/>
        <v>0</v>
      </c>
      <c r="AC9818" s="93">
        <f t="shared" si="6536"/>
        <v>9.9999999999999998E-20</v>
      </c>
      <c r="AD9818" s="94"/>
      <c r="AE9818" s="190"/>
      <c r="AF9818" s="191"/>
      <c r="AG9818" s="191"/>
      <c r="AH9818" s="191"/>
      <c r="AI9818" s="186"/>
      <c r="AK9818" s="171"/>
    </row>
    <row r="9819" spans="1:37" ht="20.100000000000001" customHeight="1" x14ac:dyDescent="0.25">
      <c r="A9819" s="277" t="s">
        <v>703</v>
      </c>
      <c r="B9819" s="278"/>
      <c r="C9819" s="64" t="s">
        <v>917</v>
      </c>
      <c r="D9819" s="46" t="s">
        <v>196</v>
      </c>
      <c r="E9819" s="114"/>
      <c r="F9819" s="44">
        <v>0</v>
      </c>
      <c r="G9819" s="44">
        <f t="shared" si="6523"/>
        <v>0</v>
      </c>
      <c r="H9819" s="44">
        <f t="shared" si="6524"/>
        <v>0</v>
      </c>
      <c r="I9819" s="43">
        <f t="shared" si="6525"/>
        <v>0</v>
      </c>
      <c r="J9819" s="112">
        <f t="shared" si="6526"/>
        <v>0</v>
      </c>
      <c r="K9819" s="211">
        <f t="shared" si="6527"/>
        <v>0</v>
      </c>
      <c r="L9819" s="44"/>
      <c r="M9819" s="44">
        <f t="shared" si="6528"/>
        <v>0</v>
      </c>
      <c r="N9819" s="173">
        <f t="shared" si="6529"/>
        <v>0</v>
      </c>
      <c r="O9819" s="44">
        <f t="shared" si="6530"/>
        <v>0</v>
      </c>
      <c r="P9819" s="44">
        <f t="shared" si="6531"/>
        <v>0</v>
      </c>
      <c r="Q9819" s="44">
        <f t="shared" si="6532"/>
        <v>0</v>
      </c>
      <c r="R9819" s="44">
        <f t="shared" si="6533"/>
        <v>0</v>
      </c>
      <c r="S9819" s="123"/>
      <c r="T9819" s="219">
        <f t="shared" si="6534"/>
        <v>0</v>
      </c>
      <c r="U9819" s="87"/>
      <c r="V9819" s="47"/>
      <c r="W9819" s="48"/>
      <c r="X9819" s="48"/>
      <c r="Y9819" s="48"/>
      <c r="Z9819" s="135"/>
      <c r="AA9819" s="49"/>
      <c r="AB9819" s="50">
        <f t="shared" si="6535"/>
        <v>0</v>
      </c>
      <c r="AC9819" s="42">
        <f t="shared" si="6536"/>
        <v>9.9999999999999998E-20</v>
      </c>
      <c r="AD9819" s="90"/>
      <c r="AE9819" s="188"/>
      <c r="AF9819" s="189"/>
      <c r="AG9819" s="189"/>
      <c r="AH9819" s="189"/>
      <c r="AI9819" s="161"/>
    </row>
    <row r="9820" spans="1:37" s="102" customFormat="1" ht="20.100000000000001" customHeight="1" x14ac:dyDescent="0.25">
      <c r="A9820" s="45" t="s">
        <v>703</v>
      </c>
      <c r="B9820" s="276"/>
      <c r="C9820" s="286" t="s">
        <v>918</v>
      </c>
      <c r="D9820" s="59"/>
      <c r="E9820" s="116"/>
      <c r="F9820" s="120">
        <v>0</v>
      </c>
      <c r="G9820" s="120">
        <f t="shared" si="6523"/>
        <v>0</v>
      </c>
      <c r="H9820" s="120">
        <f t="shared" si="6524"/>
        <v>0</v>
      </c>
      <c r="I9820" s="60">
        <f t="shared" si="6525"/>
        <v>0</v>
      </c>
      <c r="J9820" s="116">
        <f t="shared" si="6526"/>
        <v>0</v>
      </c>
      <c r="K9820" s="213">
        <f t="shared" si="6527"/>
        <v>0</v>
      </c>
      <c r="L9820" s="120"/>
      <c r="M9820" s="120">
        <f t="shared" si="6528"/>
        <v>0</v>
      </c>
      <c r="N9820" s="167">
        <f t="shared" si="6529"/>
        <v>0</v>
      </c>
      <c r="O9820" s="120">
        <f t="shared" si="6530"/>
        <v>0</v>
      </c>
      <c r="P9820" s="120">
        <f t="shared" si="6531"/>
        <v>0</v>
      </c>
      <c r="Q9820" s="120">
        <f t="shared" si="6532"/>
        <v>0</v>
      </c>
      <c r="R9820" s="120">
        <f t="shared" si="6533"/>
        <v>0</v>
      </c>
      <c r="S9820" s="120"/>
      <c r="T9820" s="221">
        <f t="shared" si="6534"/>
        <v>0</v>
      </c>
      <c r="U9820" s="89"/>
      <c r="V9820" s="61"/>
      <c r="W9820" s="92"/>
      <c r="X9820" s="38"/>
      <c r="Y9820" s="93"/>
      <c r="Z9820" s="134"/>
      <c r="AA9820" s="93"/>
      <c r="AB9820" s="93">
        <f t="shared" si="6535"/>
        <v>0</v>
      </c>
      <c r="AC9820" s="93">
        <f t="shared" si="6536"/>
        <v>9.9999999999999998E-20</v>
      </c>
      <c r="AD9820" s="94"/>
      <c r="AE9820" s="190"/>
      <c r="AF9820" s="191"/>
      <c r="AG9820" s="191"/>
      <c r="AH9820" s="191"/>
      <c r="AI9820" s="186"/>
      <c r="AK9820" s="171"/>
    </row>
    <row r="9821" spans="1:37" s="102" customFormat="1" ht="20.100000000000001" customHeight="1" x14ac:dyDescent="0.25">
      <c r="A9821" s="45" t="s">
        <v>703</v>
      </c>
      <c r="B9821" s="276"/>
      <c r="C9821" s="286" t="s">
        <v>919</v>
      </c>
      <c r="D9821" s="59"/>
      <c r="E9821" s="116"/>
      <c r="F9821" s="120">
        <v>0</v>
      </c>
      <c r="G9821" s="120">
        <f t="shared" si="6523"/>
        <v>0</v>
      </c>
      <c r="H9821" s="120">
        <f t="shared" si="6524"/>
        <v>0</v>
      </c>
      <c r="I9821" s="60">
        <f t="shared" si="6525"/>
        <v>0</v>
      </c>
      <c r="J9821" s="116">
        <f t="shared" si="6526"/>
        <v>0</v>
      </c>
      <c r="K9821" s="213">
        <f t="shared" si="6527"/>
        <v>0</v>
      </c>
      <c r="L9821" s="120"/>
      <c r="M9821" s="120">
        <f t="shared" si="6528"/>
        <v>0</v>
      </c>
      <c r="N9821" s="167">
        <f t="shared" si="6529"/>
        <v>0</v>
      </c>
      <c r="O9821" s="120">
        <f t="shared" si="6530"/>
        <v>0</v>
      </c>
      <c r="P9821" s="120">
        <f t="shared" si="6531"/>
        <v>0</v>
      </c>
      <c r="Q9821" s="120">
        <f t="shared" si="6532"/>
        <v>0</v>
      </c>
      <c r="R9821" s="120">
        <f t="shared" si="6533"/>
        <v>0</v>
      </c>
      <c r="S9821" s="120"/>
      <c r="T9821" s="221">
        <f t="shared" si="6534"/>
        <v>0</v>
      </c>
      <c r="U9821" s="89"/>
      <c r="V9821" s="61"/>
      <c r="W9821" s="92"/>
      <c r="X9821" s="38"/>
      <c r="Y9821" s="93"/>
      <c r="Z9821" s="134"/>
      <c r="AA9821" s="93"/>
      <c r="AB9821" s="93">
        <f t="shared" si="6535"/>
        <v>0</v>
      </c>
      <c r="AC9821" s="93">
        <f t="shared" si="6536"/>
        <v>9.9999999999999998E-20</v>
      </c>
      <c r="AD9821" s="94"/>
      <c r="AE9821" s="190"/>
      <c r="AF9821" s="191"/>
      <c r="AG9821" s="191"/>
      <c r="AH9821" s="191"/>
      <c r="AI9821" s="186"/>
      <c r="AK9821" s="171"/>
    </row>
    <row r="9822" spans="1:37" ht="20.100000000000001" customHeight="1" x14ac:dyDescent="0.25">
      <c r="A9822" s="277" t="s">
        <v>703</v>
      </c>
      <c r="B9822" s="278"/>
      <c r="C9822" s="64" t="s">
        <v>920</v>
      </c>
      <c r="D9822" s="46" t="s">
        <v>921</v>
      </c>
      <c r="E9822" s="114"/>
      <c r="F9822" s="44">
        <v>0</v>
      </c>
      <c r="G9822" s="44">
        <f t="shared" si="6523"/>
        <v>0</v>
      </c>
      <c r="H9822" s="44">
        <f t="shared" si="6524"/>
        <v>0</v>
      </c>
      <c r="I9822" s="43">
        <f t="shared" si="6525"/>
        <v>0</v>
      </c>
      <c r="J9822" s="112">
        <f t="shared" si="6526"/>
        <v>0</v>
      </c>
      <c r="K9822" s="211">
        <f t="shared" si="6527"/>
        <v>0</v>
      </c>
      <c r="L9822" s="44"/>
      <c r="M9822" s="44">
        <f t="shared" si="6528"/>
        <v>0</v>
      </c>
      <c r="N9822" s="173">
        <f t="shared" si="6529"/>
        <v>0</v>
      </c>
      <c r="O9822" s="44">
        <f t="shared" si="6530"/>
        <v>0</v>
      </c>
      <c r="P9822" s="44">
        <f t="shared" si="6531"/>
        <v>0</v>
      </c>
      <c r="Q9822" s="44">
        <f t="shared" si="6532"/>
        <v>0</v>
      </c>
      <c r="R9822" s="44">
        <f t="shared" si="6533"/>
        <v>0</v>
      </c>
      <c r="S9822" s="123"/>
      <c r="T9822" s="219">
        <f t="shared" si="6534"/>
        <v>0</v>
      </c>
      <c r="U9822" s="87"/>
      <c r="V9822" s="47"/>
      <c r="W9822" s="48"/>
      <c r="X9822" s="48"/>
      <c r="Y9822" s="48"/>
      <c r="Z9822" s="135"/>
      <c r="AA9822" s="49"/>
      <c r="AB9822" s="50">
        <f t="shared" si="6535"/>
        <v>0</v>
      </c>
      <c r="AC9822" s="42">
        <f t="shared" si="6536"/>
        <v>9.9999999999999998E-20</v>
      </c>
      <c r="AD9822" s="90"/>
      <c r="AE9822" s="188"/>
      <c r="AF9822" s="189"/>
      <c r="AG9822" s="189"/>
      <c r="AH9822" s="189"/>
      <c r="AI9822" s="161"/>
    </row>
    <row r="9823" spans="1:37" s="102" customFormat="1" ht="20.100000000000001" customHeight="1" x14ac:dyDescent="0.25">
      <c r="A9823" s="45" t="s">
        <v>703</v>
      </c>
      <c r="B9823" s="276"/>
      <c r="C9823" s="286" t="s">
        <v>901</v>
      </c>
      <c r="D9823" s="59"/>
      <c r="E9823" s="116"/>
      <c r="F9823" s="120">
        <v>0</v>
      </c>
      <c r="G9823" s="120">
        <f t="shared" si="6523"/>
        <v>0</v>
      </c>
      <c r="H9823" s="120">
        <f t="shared" si="6524"/>
        <v>0</v>
      </c>
      <c r="I9823" s="60">
        <f t="shared" si="6525"/>
        <v>0</v>
      </c>
      <c r="J9823" s="116">
        <f t="shared" si="6526"/>
        <v>0</v>
      </c>
      <c r="K9823" s="213">
        <f t="shared" si="6527"/>
        <v>0</v>
      </c>
      <c r="L9823" s="120"/>
      <c r="M9823" s="120">
        <f t="shared" si="6528"/>
        <v>0</v>
      </c>
      <c r="N9823" s="167">
        <f t="shared" si="6529"/>
        <v>0</v>
      </c>
      <c r="O9823" s="120">
        <f t="shared" si="6530"/>
        <v>0</v>
      </c>
      <c r="P9823" s="120">
        <f t="shared" si="6531"/>
        <v>0</v>
      </c>
      <c r="Q9823" s="120">
        <f t="shared" si="6532"/>
        <v>0</v>
      </c>
      <c r="R9823" s="120">
        <f t="shared" si="6533"/>
        <v>0</v>
      </c>
      <c r="S9823" s="120"/>
      <c r="T9823" s="221">
        <f t="shared" si="6534"/>
        <v>0</v>
      </c>
      <c r="U9823" s="89"/>
      <c r="V9823" s="61"/>
      <c r="W9823" s="92"/>
      <c r="X9823" s="38"/>
      <c r="Y9823" s="93"/>
      <c r="Z9823" s="134"/>
      <c r="AA9823" s="93"/>
      <c r="AB9823" s="93">
        <f t="shared" si="6535"/>
        <v>0</v>
      </c>
      <c r="AC9823" s="93">
        <f t="shared" si="6536"/>
        <v>9.9999999999999998E-20</v>
      </c>
      <c r="AD9823" s="94"/>
      <c r="AE9823" s="190"/>
      <c r="AF9823" s="191"/>
      <c r="AG9823" s="191"/>
      <c r="AH9823" s="191"/>
      <c r="AI9823" s="186"/>
      <c r="AK9823" s="171"/>
    </row>
    <row r="9824" spans="1:37" s="102" customFormat="1" ht="20.100000000000001" customHeight="1" x14ac:dyDescent="0.25">
      <c r="A9824" s="45" t="s">
        <v>703</v>
      </c>
      <c r="B9824" s="276"/>
      <c r="C9824" s="286" t="s">
        <v>902</v>
      </c>
      <c r="D9824" s="59"/>
      <c r="E9824" s="116"/>
      <c r="F9824" s="120">
        <v>0</v>
      </c>
      <c r="G9824" s="120">
        <f t="shared" si="6523"/>
        <v>0</v>
      </c>
      <c r="H9824" s="120">
        <f t="shared" si="6524"/>
        <v>0</v>
      </c>
      <c r="I9824" s="60">
        <f t="shared" si="6525"/>
        <v>0</v>
      </c>
      <c r="J9824" s="116">
        <f t="shared" si="6526"/>
        <v>0</v>
      </c>
      <c r="K9824" s="213">
        <f t="shared" si="6527"/>
        <v>0</v>
      </c>
      <c r="L9824" s="120"/>
      <c r="M9824" s="120">
        <f t="shared" si="6528"/>
        <v>0</v>
      </c>
      <c r="N9824" s="167">
        <f t="shared" si="6529"/>
        <v>0</v>
      </c>
      <c r="O9824" s="120">
        <f t="shared" si="6530"/>
        <v>0</v>
      </c>
      <c r="P9824" s="120">
        <f t="shared" si="6531"/>
        <v>0</v>
      </c>
      <c r="Q9824" s="120">
        <f t="shared" si="6532"/>
        <v>0</v>
      </c>
      <c r="R9824" s="120">
        <f t="shared" si="6533"/>
        <v>0</v>
      </c>
      <c r="S9824" s="120"/>
      <c r="T9824" s="221">
        <f t="shared" si="6534"/>
        <v>0</v>
      </c>
      <c r="U9824" s="89"/>
      <c r="V9824" s="61"/>
      <c r="W9824" s="92"/>
      <c r="X9824" s="38"/>
      <c r="Y9824" s="93"/>
      <c r="Z9824" s="134"/>
      <c r="AA9824" s="93"/>
      <c r="AB9824" s="93">
        <f t="shared" si="6535"/>
        <v>0</v>
      </c>
      <c r="AC9824" s="93">
        <f t="shared" si="6536"/>
        <v>9.9999999999999998E-20</v>
      </c>
      <c r="AD9824" s="94"/>
      <c r="AE9824" s="190"/>
      <c r="AF9824" s="191"/>
      <c r="AG9824" s="191"/>
      <c r="AH9824" s="191"/>
      <c r="AI9824" s="186"/>
      <c r="AK9824" s="171"/>
    </row>
    <row r="9825" spans="1:37" ht="20.100000000000001" customHeight="1" x14ac:dyDescent="0.25">
      <c r="A9825" s="277" t="s">
        <v>703</v>
      </c>
      <c r="B9825" s="278"/>
      <c r="C9825" s="64" t="s">
        <v>922</v>
      </c>
      <c r="D9825" s="46" t="s">
        <v>196</v>
      </c>
      <c r="E9825" s="114"/>
      <c r="F9825" s="44">
        <v>0</v>
      </c>
      <c r="G9825" s="44">
        <f t="shared" si="6523"/>
        <v>0</v>
      </c>
      <c r="H9825" s="44">
        <f t="shared" si="6524"/>
        <v>0</v>
      </c>
      <c r="I9825" s="43">
        <f t="shared" si="6525"/>
        <v>0</v>
      </c>
      <c r="J9825" s="112">
        <f t="shared" si="6526"/>
        <v>0</v>
      </c>
      <c r="K9825" s="211">
        <f t="shared" si="6527"/>
        <v>0</v>
      </c>
      <c r="L9825" s="44"/>
      <c r="M9825" s="44">
        <f t="shared" si="6528"/>
        <v>0</v>
      </c>
      <c r="N9825" s="173">
        <f t="shared" si="6529"/>
        <v>0</v>
      </c>
      <c r="O9825" s="44">
        <f t="shared" si="6530"/>
        <v>0</v>
      </c>
      <c r="P9825" s="44">
        <f t="shared" si="6531"/>
        <v>0</v>
      </c>
      <c r="Q9825" s="44">
        <f t="shared" si="6532"/>
        <v>0</v>
      </c>
      <c r="R9825" s="44">
        <f t="shared" si="6533"/>
        <v>0</v>
      </c>
      <c r="S9825" s="123"/>
      <c r="T9825" s="219">
        <f t="shared" si="6534"/>
        <v>0</v>
      </c>
      <c r="U9825" s="87"/>
      <c r="V9825" s="47"/>
      <c r="W9825" s="48"/>
      <c r="X9825" s="48"/>
      <c r="Y9825" s="48"/>
      <c r="Z9825" s="135"/>
      <c r="AA9825" s="49"/>
      <c r="AB9825" s="50">
        <f t="shared" si="6535"/>
        <v>0</v>
      </c>
      <c r="AC9825" s="42">
        <f t="shared" si="6536"/>
        <v>9.9999999999999998E-20</v>
      </c>
      <c r="AD9825" s="90"/>
      <c r="AE9825" s="188"/>
      <c r="AF9825" s="189"/>
      <c r="AG9825" s="189"/>
      <c r="AH9825" s="189"/>
      <c r="AI9825" s="161"/>
    </row>
    <row r="9826" spans="1:37" s="102" customFormat="1" ht="20.100000000000001" customHeight="1" x14ac:dyDescent="0.25">
      <c r="A9826" s="45" t="s">
        <v>703</v>
      </c>
      <c r="B9826" s="276"/>
      <c r="C9826" s="286" t="s">
        <v>923</v>
      </c>
      <c r="D9826" s="59"/>
      <c r="E9826" s="116"/>
      <c r="F9826" s="120">
        <v>0</v>
      </c>
      <c r="G9826" s="120">
        <f t="shared" si="6523"/>
        <v>0</v>
      </c>
      <c r="H9826" s="120">
        <f t="shared" si="6524"/>
        <v>0</v>
      </c>
      <c r="I9826" s="60">
        <f t="shared" si="6525"/>
        <v>0</v>
      </c>
      <c r="J9826" s="116">
        <f t="shared" si="6526"/>
        <v>0</v>
      </c>
      <c r="K9826" s="213">
        <f t="shared" si="6527"/>
        <v>0</v>
      </c>
      <c r="L9826" s="120"/>
      <c r="M9826" s="120">
        <f t="shared" si="6528"/>
        <v>0</v>
      </c>
      <c r="N9826" s="167">
        <f t="shared" si="6529"/>
        <v>0</v>
      </c>
      <c r="O9826" s="120">
        <f t="shared" si="6530"/>
        <v>0</v>
      </c>
      <c r="P9826" s="120">
        <f t="shared" si="6531"/>
        <v>0</v>
      </c>
      <c r="Q9826" s="120">
        <f t="shared" si="6532"/>
        <v>0</v>
      </c>
      <c r="R9826" s="120">
        <f t="shared" si="6533"/>
        <v>0</v>
      </c>
      <c r="S9826" s="120"/>
      <c r="T9826" s="221">
        <f t="shared" si="6534"/>
        <v>0</v>
      </c>
      <c r="U9826" s="89"/>
      <c r="V9826" s="61"/>
      <c r="W9826" s="92"/>
      <c r="X9826" s="38"/>
      <c r="Y9826" s="93"/>
      <c r="Z9826" s="134"/>
      <c r="AA9826" s="93"/>
      <c r="AB9826" s="93">
        <f t="shared" si="6535"/>
        <v>0</v>
      </c>
      <c r="AC9826" s="93">
        <f t="shared" si="6536"/>
        <v>9.9999999999999998E-20</v>
      </c>
      <c r="AD9826" s="94"/>
      <c r="AE9826" s="190"/>
      <c r="AF9826" s="191"/>
      <c r="AG9826" s="191"/>
      <c r="AH9826" s="191"/>
      <c r="AI9826" s="186"/>
      <c r="AK9826" s="171"/>
    </row>
    <row r="9827" spans="1:37" s="102" customFormat="1" ht="20.100000000000001" customHeight="1" x14ac:dyDescent="0.25">
      <c r="A9827" s="45" t="s">
        <v>703</v>
      </c>
      <c r="B9827" s="276"/>
      <c r="C9827" s="286" t="s">
        <v>924</v>
      </c>
      <c r="D9827" s="59"/>
      <c r="E9827" s="116"/>
      <c r="F9827" s="120">
        <v>0</v>
      </c>
      <c r="G9827" s="120">
        <f t="shared" si="6523"/>
        <v>0</v>
      </c>
      <c r="H9827" s="120">
        <f t="shared" si="6524"/>
        <v>0</v>
      </c>
      <c r="I9827" s="60">
        <f t="shared" si="6525"/>
        <v>0</v>
      </c>
      <c r="J9827" s="116">
        <f t="shared" si="6526"/>
        <v>0</v>
      </c>
      <c r="K9827" s="213">
        <f t="shared" si="6527"/>
        <v>0</v>
      </c>
      <c r="L9827" s="120"/>
      <c r="M9827" s="120">
        <f t="shared" si="6528"/>
        <v>0</v>
      </c>
      <c r="N9827" s="167">
        <f t="shared" si="6529"/>
        <v>0</v>
      </c>
      <c r="O9827" s="120">
        <f t="shared" si="6530"/>
        <v>0</v>
      </c>
      <c r="P9827" s="120">
        <f t="shared" si="6531"/>
        <v>0</v>
      </c>
      <c r="Q9827" s="120">
        <f t="shared" si="6532"/>
        <v>0</v>
      </c>
      <c r="R9827" s="120">
        <f t="shared" si="6533"/>
        <v>0</v>
      </c>
      <c r="S9827" s="120"/>
      <c r="T9827" s="221">
        <f t="shared" si="6534"/>
        <v>0</v>
      </c>
      <c r="U9827" s="89"/>
      <c r="V9827" s="61"/>
      <c r="W9827" s="92"/>
      <c r="X9827" s="38"/>
      <c r="Y9827" s="93"/>
      <c r="Z9827" s="134"/>
      <c r="AA9827" s="93"/>
      <c r="AB9827" s="93">
        <f t="shared" si="6535"/>
        <v>0</v>
      </c>
      <c r="AC9827" s="93">
        <f t="shared" si="6536"/>
        <v>9.9999999999999998E-20</v>
      </c>
      <c r="AD9827" s="94"/>
      <c r="AE9827" s="190"/>
      <c r="AF9827" s="191"/>
      <c r="AG9827" s="191"/>
      <c r="AH9827" s="191"/>
      <c r="AI9827" s="186"/>
      <c r="AK9827" s="171"/>
    </row>
    <row r="9828" spans="1:37" ht="20.100000000000001" customHeight="1" x14ac:dyDescent="0.25">
      <c r="A9828" s="277" t="s">
        <v>703</v>
      </c>
      <c r="B9828" s="278"/>
      <c r="C9828" s="64" t="s">
        <v>862</v>
      </c>
      <c r="D9828" s="46" t="s">
        <v>201</v>
      </c>
      <c r="E9828" s="114"/>
      <c r="F9828" s="44">
        <v>0</v>
      </c>
      <c r="G9828" s="44">
        <f t="shared" si="6523"/>
        <v>0</v>
      </c>
      <c r="H9828" s="44">
        <f t="shared" si="6524"/>
        <v>0</v>
      </c>
      <c r="I9828" s="43">
        <f t="shared" si="6525"/>
        <v>0</v>
      </c>
      <c r="J9828" s="112">
        <f t="shared" si="6526"/>
        <v>0</v>
      </c>
      <c r="K9828" s="211">
        <f t="shared" si="6527"/>
        <v>0</v>
      </c>
      <c r="L9828" s="44"/>
      <c r="M9828" s="44">
        <f t="shared" si="6528"/>
        <v>0</v>
      </c>
      <c r="N9828" s="173">
        <f t="shared" si="6529"/>
        <v>0</v>
      </c>
      <c r="O9828" s="44">
        <f t="shared" si="6530"/>
        <v>0</v>
      </c>
      <c r="P9828" s="44">
        <f t="shared" si="6531"/>
        <v>0</v>
      </c>
      <c r="Q9828" s="44">
        <f t="shared" si="6532"/>
        <v>0</v>
      </c>
      <c r="R9828" s="44">
        <f t="shared" si="6533"/>
        <v>0</v>
      </c>
      <c r="S9828" s="123"/>
      <c r="T9828" s="219">
        <f t="shared" si="6534"/>
        <v>0</v>
      </c>
      <c r="U9828" s="87"/>
      <c r="V9828" s="47"/>
      <c r="W9828" s="48"/>
      <c r="X9828" s="48"/>
      <c r="Y9828" s="48"/>
      <c r="Z9828" s="135"/>
      <c r="AA9828" s="49"/>
      <c r="AB9828" s="50">
        <f t="shared" si="6535"/>
        <v>0</v>
      </c>
      <c r="AC9828" s="42">
        <f t="shared" si="6536"/>
        <v>9.9999999999999998E-20</v>
      </c>
      <c r="AD9828" s="90"/>
      <c r="AE9828" s="188"/>
      <c r="AF9828" s="189"/>
      <c r="AG9828" s="189"/>
      <c r="AH9828" s="189"/>
      <c r="AI9828" s="161"/>
    </row>
    <row r="9829" spans="1:37" ht="20.100000000000001" customHeight="1" x14ac:dyDescent="0.25">
      <c r="A9829" s="277" t="s">
        <v>703</v>
      </c>
      <c r="B9829" s="278"/>
      <c r="C9829" s="64" t="s">
        <v>925</v>
      </c>
      <c r="D9829" s="46" t="s">
        <v>201</v>
      </c>
      <c r="E9829" s="114"/>
      <c r="F9829" s="44">
        <v>0</v>
      </c>
      <c r="G9829" s="44">
        <f t="shared" si="6523"/>
        <v>0</v>
      </c>
      <c r="H9829" s="44">
        <f t="shared" si="6524"/>
        <v>0</v>
      </c>
      <c r="I9829" s="43">
        <f t="shared" si="6525"/>
        <v>0</v>
      </c>
      <c r="J9829" s="112">
        <f t="shared" si="6526"/>
        <v>0</v>
      </c>
      <c r="K9829" s="211">
        <f t="shared" si="6527"/>
        <v>0</v>
      </c>
      <c r="L9829" s="44"/>
      <c r="M9829" s="44">
        <f t="shared" si="6528"/>
        <v>0</v>
      </c>
      <c r="N9829" s="173">
        <f t="shared" si="6529"/>
        <v>0</v>
      </c>
      <c r="O9829" s="44">
        <f t="shared" si="6530"/>
        <v>0</v>
      </c>
      <c r="P9829" s="44">
        <f t="shared" si="6531"/>
        <v>0</v>
      </c>
      <c r="Q9829" s="44">
        <f t="shared" si="6532"/>
        <v>0</v>
      </c>
      <c r="R9829" s="44">
        <f t="shared" si="6533"/>
        <v>0</v>
      </c>
      <c r="S9829" s="123"/>
      <c r="T9829" s="219">
        <f t="shared" si="6534"/>
        <v>0</v>
      </c>
      <c r="U9829" s="87"/>
      <c r="V9829" s="47"/>
      <c r="W9829" s="48"/>
      <c r="X9829" s="48"/>
      <c r="Y9829" s="48"/>
      <c r="Z9829" s="135"/>
      <c r="AA9829" s="49"/>
      <c r="AB9829" s="50">
        <f t="shared" si="6535"/>
        <v>0</v>
      </c>
      <c r="AC9829" s="42">
        <f t="shared" si="6536"/>
        <v>9.9999999999999998E-20</v>
      </c>
      <c r="AD9829" s="90"/>
      <c r="AE9829" s="188"/>
      <c r="AF9829" s="189"/>
      <c r="AG9829" s="189"/>
      <c r="AH9829" s="189"/>
      <c r="AI9829" s="161"/>
    </row>
    <row r="9830" spans="1:37" s="102" customFormat="1" ht="20.100000000000001" customHeight="1" x14ac:dyDescent="0.25">
      <c r="A9830" s="45" t="s">
        <v>703</v>
      </c>
      <c r="B9830" s="276"/>
      <c r="C9830" s="286" t="s">
        <v>926</v>
      </c>
      <c r="D9830" s="59"/>
      <c r="E9830" s="116"/>
      <c r="F9830" s="120">
        <v>0</v>
      </c>
      <c r="G9830" s="120">
        <f t="shared" si="6523"/>
        <v>0</v>
      </c>
      <c r="H9830" s="120">
        <f t="shared" si="6524"/>
        <v>0</v>
      </c>
      <c r="I9830" s="60">
        <f t="shared" si="6525"/>
        <v>0</v>
      </c>
      <c r="J9830" s="116">
        <f t="shared" si="6526"/>
        <v>0</v>
      </c>
      <c r="K9830" s="213">
        <f t="shared" si="6527"/>
        <v>0</v>
      </c>
      <c r="L9830" s="120"/>
      <c r="M9830" s="120">
        <f t="shared" si="6528"/>
        <v>0</v>
      </c>
      <c r="N9830" s="167">
        <f t="shared" si="6529"/>
        <v>0</v>
      </c>
      <c r="O9830" s="120">
        <f t="shared" si="6530"/>
        <v>0</v>
      </c>
      <c r="P9830" s="120">
        <f t="shared" si="6531"/>
        <v>0</v>
      </c>
      <c r="Q9830" s="120">
        <f t="shared" si="6532"/>
        <v>0</v>
      </c>
      <c r="R9830" s="120">
        <f t="shared" si="6533"/>
        <v>0</v>
      </c>
      <c r="S9830" s="120"/>
      <c r="T9830" s="221">
        <f t="shared" si="6534"/>
        <v>0</v>
      </c>
      <c r="U9830" s="89"/>
      <c r="V9830" s="61"/>
      <c r="W9830" s="92"/>
      <c r="X9830" s="38"/>
      <c r="Y9830" s="93"/>
      <c r="Z9830" s="134"/>
      <c r="AA9830" s="93"/>
      <c r="AB9830" s="93">
        <f t="shared" si="6535"/>
        <v>0</v>
      </c>
      <c r="AC9830" s="93">
        <f t="shared" si="6536"/>
        <v>9.9999999999999998E-20</v>
      </c>
      <c r="AD9830" s="94"/>
      <c r="AE9830" s="190"/>
      <c r="AF9830" s="191"/>
      <c r="AG9830" s="191"/>
      <c r="AH9830" s="191"/>
      <c r="AI9830" s="186"/>
      <c r="AK9830" s="171"/>
    </row>
    <row r="9831" spans="1:37" s="102" customFormat="1" ht="20.100000000000001" customHeight="1" x14ac:dyDescent="0.25">
      <c r="A9831" s="45" t="s">
        <v>703</v>
      </c>
      <c r="B9831" s="276"/>
      <c r="C9831" s="286" t="s">
        <v>927</v>
      </c>
      <c r="D9831" s="59"/>
      <c r="E9831" s="116"/>
      <c r="F9831" s="120">
        <v>0</v>
      </c>
      <c r="G9831" s="120">
        <f t="shared" si="6523"/>
        <v>0</v>
      </c>
      <c r="H9831" s="120">
        <f t="shared" si="6524"/>
        <v>0</v>
      </c>
      <c r="I9831" s="60">
        <f t="shared" si="6525"/>
        <v>0</v>
      </c>
      <c r="J9831" s="116">
        <f t="shared" si="6526"/>
        <v>0</v>
      </c>
      <c r="K9831" s="213">
        <f t="shared" si="6527"/>
        <v>0</v>
      </c>
      <c r="L9831" s="120"/>
      <c r="M9831" s="120">
        <f t="shared" si="6528"/>
        <v>0</v>
      </c>
      <c r="N9831" s="167">
        <f t="shared" si="6529"/>
        <v>0</v>
      </c>
      <c r="O9831" s="120">
        <f t="shared" si="6530"/>
        <v>0</v>
      </c>
      <c r="P9831" s="120">
        <f t="shared" si="6531"/>
        <v>0</v>
      </c>
      <c r="Q9831" s="120">
        <f t="shared" si="6532"/>
        <v>0</v>
      </c>
      <c r="R9831" s="120">
        <f t="shared" si="6533"/>
        <v>0</v>
      </c>
      <c r="S9831" s="120"/>
      <c r="T9831" s="221">
        <f t="shared" si="6534"/>
        <v>0</v>
      </c>
      <c r="U9831" s="89"/>
      <c r="V9831" s="61"/>
      <c r="W9831" s="92"/>
      <c r="X9831" s="38"/>
      <c r="Y9831" s="93"/>
      <c r="Z9831" s="134"/>
      <c r="AA9831" s="93"/>
      <c r="AB9831" s="93">
        <f t="shared" si="6535"/>
        <v>0</v>
      </c>
      <c r="AC9831" s="93">
        <f t="shared" si="6536"/>
        <v>9.9999999999999998E-20</v>
      </c>
      <c r="AD9831" s="94"/>
      <c r="AE9831" s="190"/>
      <c r="AF9831" s="191"/>
      <c r="AG9831" s="191"/>
      <c r="AH9831" s="191"/>
      <c r="AI9831" s="186"/>
      <c r="AK9831" s="171"/>
    </row>
    <row r="9832" spans="1:37" ht="20.100000000000001" customHeight="1" x14ac:dyDescent="0.25">
      <c r="A9832" s="277" t="s">
        <v>703</v>
      </c>
      <c r="B9832" s="278"/>
      <c r="C9832" s="64" t="s">
        <v>861</v>
      </c>
      <c r="D9832" s="46" t="s">
        <v>201</v>
      </c>
      <c r="E9832" s="114"/>
      <c r="F9832" s="44">
        <v>0</v>
      </c>
      <c r="G9832" s="44">
        <f t="shared" si="6523"/>
        <v>0</v>
      </c>
      <c r="H9832" s="44">
        <f t="shared" si="6524"/>
        <v>0</v>
      </c>
      <c r="I9832" s="43">
        <f t="shared" si="6525"/>
        <v>0</v>
      </c>
      <c r="J9832" s="112">
        <f t="shared" si="6526"/>
        <v>0</v>
      </c>
      <c r="K9832" s="211">
        <f t="shared" si="6527"/>
        <v>0</v>
      </c>
      <c r="L9832" s="44"/>
      <c r="M9832" s="44">
        <f t="shared" si="6528"/>
        <v>0</v>
      </c>
      <c r="N9832" s="173">
        <f t="shared" si="6529"/>
        <v>0</v>
      </c>
      <c r="O9832" s="44">
        <f t="shared" si="6530"/>
        <v>0</v>
      </c>
      <c r="P9832" s="44">
        <f t="shared" si="6531"/>
        <v>0</v>
      </c>
      <c r="Q9832" s="44">
        <f t="shared" si="6532"/>
        <v>0</v>
      </c>
      <c r="R9832" s="44">
        <f t="shared" si="6533"/>
        <v>0</v>
      </c>
      <c r="S9832" s="123"/>
      <c r="T9832" s="219">
        <f t="shared" si="6534"/>
        <v>0</v>
      </c>
      <c r="U9832" s="87"/>
      <c r="V9832" s="47"/>
      <c r="W9832" s="48"/>
      <c r="X9832" s="48"/>
      <c r="Y9832" s="48"/>
      <c r="Z9832" s="135"/>
      <c r="AA9832" s="49"/>
      <c r="AB9832" s="50">
        <f t="shared" si="6535"/>
        <v>0</v>
      </c>
      <c r="AC9832" s="42">
        <f t="shared" si="6536"/>
        <v>9.9999999999999998E-20</v>
      </c>
      <c r="AD9832" s="90"/>
      <c r="AE9832" s="188"/>
      <c r="AF9832" s="189"/>
      <c r="AG9832" s="189"/>
      <c r="AH9832" s="189"/>
      <c r="AI9832" s="161"/>
    </row>
    <row r="9833" spans="1:37" ht="20.100000000000001" customHeight="1" x14ac:dyDescent="0.25">
      <c r="A9833" s="277" t="s">
        <v>703</v>
      </c>
      <c r="B9833" s="278"/>
      <c r="C9833" s="64" t="s">
        <v>867</v>
      </c>
      <c r="D9833" s="46" t="s">
        <v>201</v>
      </c>
      <c r="E9833" s="114"/>
      <c r="F9833" s="44">
        <v>0</v>
      </c>
      <c r="G9833" s="44">
        <f t="shared" si="6523"/>
        <v>0</v>
      </c>
      <c r="H9833" s="44">
        <f t="shared" si="6524"/>
        <v>0</v>
      </c>
      <c r="I9833" s="43">
        <f t="shared" si="6525"/>
        <v>0</v>
      </c>
      <c r="J9833" s="112">
        <f t="shared" si="6526"/>
        <v>0</v>
      </c>
      <c r="K9833" s="211">
        <f t="shared" si="6527"/>
        <v>0</v>
      </c>
      <c r="L9833" s="44"/>
      <c r="M9833" s="44">
        <f t="shared" si="6528"/>
        <v>0</v>
      </c>
      <c r="N9833" s="173">
        <f t="shared" si="6529"/>
        <v>0</v>
      </c>
      <c r="O9833" s="44">
        <f t="shared" si="6530"/>
        <v>0</v>
      </c>
      <c r="P9833" s="44">
        <f t="shared" si="6531"/>
        <v>0</v>
      </c>
      <c r="Q9833" s="44">
        <f t="shared" si="6532"/>
        <v>0</v>
      </c>
      <c r="R9833" s="44">
        <f t="shared" si="6533"/>
        <v>0</v>
      </c>
      <c r="S9833" s="123"/>
      <c r="T9833" s="219">
        <f t="shared" si="6534"/>
        <v>0</v>
      </c>
      <c r="U9833" s="87"/>
      <c r="V9833" s="47"/>
      <c r="W9833" s="48"/>
      <c r="X9833" s="48"/>
      <c r="Y9833" s="48"/>
      <c r="Z9833" s="135"/>
      <c r="AA9833" s="49"/>
      <c r="AB9833" s="50">
        <f t="shared" si="6535"/>
        <v>0</v>
      </c>
      <c r="AC9833" s="42">
        <f t="shared" si="6536"/>
        <v>9.9999999999999998E-20</v>
      </c>
      <c r="AD9833" s="90"/>
      <c r="AE9833" s="188"/>
      <c r="AF9833" s="189"/>
      <c r="AG9833" s="189"/>
      <c r="AH9833" s="189"/>
      <c r="AI9833" s="161"/>
    </row>
    <row r="9834" spans="1:37" s="102" customFormat="1" ht="20.100000000000001" customHeight="1" x14ac:dyDescent="0.25">
      <c r="A9834" s="45" t="s">
        <v>703</v>
      </c>
      <c r="B9834" s="276"/>
      <c r="C9834" s="286" t="s">
        <v>868</v>
      </c>
      <c r="D9834" s="59"/>
      <c r="E9834" s="116"/>
      <c r="F9834" s="120">
        <v>0</v>
      </c>
      <c r="G9834" s="120">
        <f t="shared" si="6523"/>
        <v>0</v>
      </c>
      <c r="H9834" s="120">
        <f t="shared" si="6524"/>
        <v>0</v>
      </c>
      <c r="I9834" s="60">
        <f t="shared" si="6525"/>
        <v>0</v>
      </c>
      <c r="J9834" s="116">
        <f t="shared" si="6526"/>
        <v>0</v>
      </c>
      <c r="K9834" s="213">
        <f t="shared" si="6527"/>
        <v>0</v>
      </c>
      <c r="L9834" s="120"/>
      <c r="M9834" s="120">
        <f t="shared" si="6528"/>
        <v>0</v>
      </c>
      <c r="N9834" s="167">
        <f t="shared" si="6529"/>
        <v>0</v>
      </c>
      <c r="O9834" s="120">
        <f t="shared" si="6530"/>
        <v>0</v>
      </c>
      <c r="P9834" s="120">
        <f t="shared" si="6531"/>
        <v>0</v>
      </c>
      <c r="Q9834" s="120">
        <f t="shared" si="6532"/>
        <v>0</v>
      </c>
      <c r="R9834" s="120">
        <f t="shared" si="6533"/>
        <v>0</v>
      </c>
      <c r="S9834" s="120"/>
      <c r="T9834" s="221">
        <f t="shared" si="6534"/>
        <v>0</v>
      </c>
      <c r="U9834" s="89"/>
      <c r="V9834" s="61"/>
      <c r="W9834" s="92"/>
      <c r="X9834" s="38"/>
      <c r="Y9834" s="93"/>
      <c r="Z9834" s="134"/>
      <c r="AA9834" s="93"/>
      <c r="AB9834" s="93">
        <f t="shared" si="6535"/>
        <v>0</v>
      </c>
      <c r="AC9834" s="93">
        <f t="shared" si="6536"/>
        <v>9.9999999999999998E-20</v>
      </c>
      <c r="AD9834" s="94"/>
      <c r="AE9834" s="190"/>
      <c r="AF9834" s="191"/>
      <c r="AG9834" s="191"/>
      <c r="AH9834" s="191"/>
      <c r="AI9834" s="186"/>
      <c r="AK9834" s="171"/>
    </row>
    <row r="9835" spans="1:37" ht="20.100000000000001" customHeight="1" x14ac:dyDescent="0.25">
      <c r="A9835" s="277" t="s">
        <v>703</v>
      </c>
      <c r="B9835" s="278"/>
      <c r="C9835" s="64" t="s">
        <v>928</v>
      </c>
      <c r="D9835" s="46" t="s">
        <v>201</v>
      </c>
      <c r="E9835" s="114"/>
      <c r="F9835" s="44">
        <v>0</v>
      </c>
      <c r="G9835" s="44">
        <f t="shared" si="6523"/>
        <v>0</v>
      </c>
      <c r="H9835" s="44">
        <f t="shared" si="6524"/>
        <v>0</v>
      </c>
      <c r="I9835" s="43">
        <f t="shared" si="6525"/>
        <v>0</v>
      </c>
      <c r="J9835" s="112">
        <f t="shared" si="6526"/>
        <v>0</v>
      </c>
      <c r="K9835" s="211">
        <f t="shared" si="6527"/>
        <v>0</v>
      </c>
      <c r="L9835" s="44"/>
      <c r="M9835" s="44">
        <f t="shared" si="6528"/>
        <v>0</v>
      </c>
      <c r="N9835" s="173">
        <f t="shared" si="6529"/>
        <v>0</v>
      </c>
      <c r="O9835" s="44">
        <f t="shared" si="6530"/>
        <v>0</v>
      </c>
      <c r="P9835" s="44">
        <f t="shared" si="6531"/>
        <v>0</v>
      </c>
      <c r="Q9835" s="44">
        <f t="shared" si="6532"/>
        <v>0</v>
      </c>
      <c r="R9835" s="44">
        <f t="shared" si="6533"/>
        <v>0</v>
      </c>
      <c r="S9835" s="123"/>
      <c r="T9835" s="219">
        <f t="shared" si="6534"/>
        <v>0</v>
      </c>
      <c r="U9835" s="87"/>
      <c r="V9835" s="47"/>
      <c r="W9835" s="48"/>
      <c r="X9835" s="48"/>
      <c r="Y9835" s="48"/>
      <c r="Z9835" s="135"/>
      <c r="AA9835" s="49"/>
      <c r="AB9835" s="50">
        <f t="shared" si="6535"/>
        <v>0</v>
      </c>
      <c r="AC9835" s="42">
        <f t="shared" si="6536"/>
        <v>9.9999999999999998E-20</v>
      </c>
      <c r="AD9835" s="90"/>
      <c r="AE9835" s="188"/>
      <c r="AF9835" s="189"/>
      <c r="AG9835" s="189"/>
      <c r="AH9835" s="189"/>
      <c r="AI9835" s="161"/>
    </row>
    <row r="9836" spans="1:37" ht="20.100000000000001" customHeight="1" x14ac:dyDescent="0.25">
      <c r="A9836" s="277" t="s">
        <v>703</v>
      </c>
      <c r="B9836" s="278"/>
      <c r="C9836" s="64" t="s">
        <v>870</v>
      </c>
      <c r="D9836" s="46" t="s">
        <v>201</v>
      </c>
      <c r="E9836" s="114"/>
      <c r="F9836" s="44">
        <v>0</v>
      </c>
      <c r="G9836" s="44">
        <f t="shared" si="6523"/>
        <v>0</v>
      </c>
      <c r="H9836" s="44">
        <f t="shared" si="6524"/>
        <v>0</v>
      </c>
      <c r="I9836" s="43">
        <f t="shared" si="6525"/>
        <v>0</v>
      </c>
      <c r="J9836" s="112">
        <f t="shared" si="6526"/>
        <v>0</v>
      </c>
      <c r="K9836" s="211">
        <f t="shared" si="6527"/>
        <v>0</v>
      </c>
      <c r="L9836" s="44"/>
      <c r="M9836" s="44">
        <f t="shared" si="6528"/>
        <v>0</v>
      </c>
      <c r="N9836" s="173">
        <f t="shared" si="6529"/>
        <v>0</v>
      </c>
      <c r="O9836" s="44">
        <f t="shared" si="6530"/>
        <v>0</v>
      </c>
      <c r="P9836" s="44">
        <f t="shared" si="6531"/>
        <v>0</v>
      </c>
      <c r="Q9836" s="44">
        <f t="shared" si="6532"/>
        <v>0</v>
      </c>
      <c r="R9836" s="44">
        <f t="shared" si="6533"/>
        <v>0</v>
      </c>
      <c r="S9836" s="123"/>
      <c r="T9836" s="219">
        <f t="shared" si="6534"/>
        <v>0</v>
      </c>
      <c r="U9836" s="87"/>
      <c r="V9836" s="47"/>
      <c r="W9836" s="48"/>
      <c r="X9836" s="48"/>
      <c r="Y9836" s="48"/>
      <c r="Z9836" s="135"/>
      <c r="AA9836" s="49"/>
      <c r="AB9836" s="50">
        <f t="shared" si="6535"/>
        <v>0</v>
      </c>
      <c r="AC9836" s="42">
        <f t="shared" si="6536"/>
        <v>9.9999999999999998E-20</v>
      </c>
      <c r="AD9836" s="90"/>
      <c r="AE9836" s="188"/>
      <c r="AF9836" s="189"/>
      <c r="AG9836" s="189"/>
      <c r="AH9836" s="189"/>
      <c r="AI9836" s="161"/>
    </row>
    <row r="9837" spans="1:37" s="102" customFormat="1" ht="20.100000000000001" customHeight="1" x14ac:dyDescent="0.25">
      <c r="A9837" s="45" t="s">
        <v>703</v>
      </c>
      <c r="B9837" s="276"/>
      <c r="C9837" s="286" t="s">
        <v>871</v>
      </c>
      <c r="D9837" s="59"/>
      <c r="E9837" s="116"/>
      <c r="F9837" s="120">
        <v>0</v>
      </c>
      <c r="G9837" s="120">
        <f t="shared" si="6523"/>
        <v>0</v>
      </c>
      <c r="H9837" s="120">
        <f t="shared" si="6524"/>
        <v>0</v>
      </c>
      <c r="I9837" s="60">
        <f t="shared" si="6525"/>
        <v>0</v>
      </c>
      <c r="J9837" s="116">
        <f t="shared" si="6526"/>
        <v>0</v>
      </c>
      <c r="K9837" s="213">
        <f t="shared" si="6527"/>
        <v>0</v>
      </c>
      <c r="L9837" s="120"/>
      <c r="M9837" s="120">
        <f t="shared" si="6528"/>
        <v>0</v>
      </c>
      <c r="N9837" s="167">
        <f t="shared" si="6529"/>
        <v>0</v>
      </c>
      <c r="O9837" s="120">
        <f t="shared" si="6530"/>
        <v>0</v>
      </c>
      <c r="P9837" s="120">
        <f t="shared" si="6531"/>
        <v>0</v>
      </c>
      <c r="Q9837" s="120">
        <f t="shared" si="6532"/>
        <v>0</v>
      </c>
      <c r="R9837" s="120">
        <f t="shared" si="6533"/>
        <v>0</v>
      </c>
      <c r="S9837" s="120"/>
      <c r="T9837" s="221">
        <f t="shared" si="6534"/>
        <v>0</v>
      </c>
      <c r="U9837" s="89"/>
      <c r="V9837" s="61"/>
      <c r="W9837" s="92"/>
      <c r="X9837" s="38"/>
      <c r="Y9837" s="93"/>
      <c r="Z9837" s="134"/>
      <c r="AA9837" s="93"/>
      <c r="AB9837" s="93">
        <f t="shared" si="6535"/>
        <v>0</v>
      </c>
      <c r="AC9837" s="93">
        <f t="shared" si="6536"/>
        <v>9.9999999999999998E-20</v>
      </c>
      <c r="AD9837" s="94"/>
      <c r="AE9837" s="190"/>
      <c r="AF9837" s="191"/>
      <c r="AG9837" s="191"/>
      <c r="AH9837" s="191"/>
      <c r="AI9837" s="186"/>
      <c r="AK9837" s="171"/>
    </row>
    <row r="9838" spans="1:37" ht="20.100000000000001" customHeight="1" x14ac:dyDescent="0.25">
      <c r="A9838" s="277" t="s">
        <v>703</v>
      </c>
      <c r="B9838" s="278"/>
      <c r="C9838" s="64" t="s">
        <v>872</v>
      </c>
      <c r="D9838" s="46" t="s">
        <v>201</v>
      </c>
      <c r="E9838" s="114"/>
      <c r="F9838" s="44">
        <v>0</v>
      </c>
      <c r="G9838" s="44">
        <f t="shared" si="6523"/>
        <v>0</v>
      </c>
      <c r="H9838" s="44">
        <f t="shared" si="6524"/>
        <v>0</v>
      </c>
      <c r="I9838" s="43">
        <f t="shared" si="6525"/>
        <v>0</v>
      </c>
      <c r="J9838" s="112">
        <f t="shared" si="6526"/>
        <v>0</v>
      </c>
      <c r="K9838" s="211">
        <f t="shared" si="6527"/>
        <v>0</v>
      </c>
      <c r="L9838" s="44"/>
      <c r="M9838" s="44">
        <f t="shared" si="6528"/>
        <v>0</v>
      </c>
      <c r="N9838" s="173">
        <f t="shared" si="6529"/>
        <v>0</v>
      </c>
      <c r="O9838" s="44">
        <f t="shared" si="6530"/>
        <v>0</v>
      </c>
      <c r="P9838" s="44">
        <f t="shared" si="6531"/>
        <v>0</v>
      </c>
      <c r="Q9838" s="44">
        <f t="shared" si="6532"/>
        <v>0</v>
      </c>
      <c r="R9838" s="44">
        <f t="shared" si="6533"/>
        <v>0</v>
      </c>
      <c r="S9838" s="123"/>
      <c r="T9838" s="219">
        <f t="shared" si="6534"/>
        <v>0</v>
      </c>
      <c r="U9838" s="87"/>
      <c r="V9838" s="47"/>
      <c r="W9838" s="48"/>
      <c r="X9838" s="48"/>
      <c r="Y9838" s="48"/>
      <c r="Z9838" s="135"/>
      <c r="AA9838" s="49"/>
      <c r="AB9838" s="50">
        <f t="shared" si="6535"/>
        <v>0</v>
      </c>
      <c r="AC9838" s="42">
        <f t="shared" si="6536"/>
        <v>9.9999999999999998E-20</v>
      </c>
      <c r="AD9838" s="90"/>
      <c r="AE9838" s="188"/>
      <c r="AF9838" s="189"/>
      <c r="AG9838" s="189"/>
      <c r="AH9838" s="189"/>
      <c r="AI9838" s="161"/>
    </row>
    <row r="9839" spans="1:37" ht="20.100000000000001" customHeight="1" x14ac:dyDescent="0.25">
      <c r="A9839" s="277" t="s">
        <v>703</v>
      </c>
      <c r="B9839" s="278"/>
      <c r="C9839" s="64" t="s">
        <v>905</v>
      </c>
      <c r="D9839" s="46" t="s">
        <v>201</v>
      </c>
      <c r="E9839" s="114"/>
      <c r="F9839" s="44">
        <v>0</v>
      </c>
      <c r="G9839" s="44">
        <f t="shared" si="6523"/>
        <v>0</v>
      </c>
      <c r="H9839" s="44">
        <f t="shared" si="6524"/>
        <v>0</v>
      </c>
      <c r="I9839" s="43">
        <f t="shared" si="6525"/>
        <v>0</v>
      </c>
      <c r="J9839" s="112">
        <f t="shared" si="6526"/>
        <v>0</v>
      </c>
      <c r="K9839" s="211">
        <f t="shared" si="6527"/>
        <v>0</v>
      </c>
      <c r="L9839" s="44"/>
      <c r="M9839" s="44">
        <f t="shared" si="6528"/>
        <v>0</v>
      </c>
      <c r="N9839" s="173">
        <f t="shared" si="6529"/>
        <v>0</v>
      </c>
      <c r="O9839" s="44">
        <f t="shared" si="6530"/>
        <v>0</v>
      </c>
      <c r="P9839" s="44">
        <f t="shared" si="6531"/>
        <v>0</v>
      </c>
      <c r="Q9839" s="44">
        <f t="shared" si="6532"/>
        <v>0</v>
      </c>
      <c r="R9839" s="44">
        <f t="shared" si="6533"/>
        <v>0</v>
      </c>
      <c r="S9839" s="123"/>
      <c r="T9839" s="219">
        <f t="shared" si="6534"/>
        <v>0</v>
      </c>
      <c r="U9839" s="87"/>
      <c r="V9839" s="47"/>
      <c r="W9839" s="48"/>
      <c r="X9839" s="48"/>
      <c r="Y9839" s="48"/>
      <c r="Z9839" s="135"/>
      <c r="AA9839" s="49"/>
      <c r="AB9839" s="50">
        <f t="shared" si="6535"/>
        <v>0</v>
      </c>
      <c r="AC9839" s="42">
        <f t="shared" si="6536"/>
        <v>9.9999999999999998E-20</v>
      </c>
      <c r="AD9839" s="90"/>
      <c r="AE9839" s="188"/>
      <c r="AF9839" s="189"/>
      <c r="AG9839" s="189"/>
      <c r="AH9839" s="189"/>
      <c r="AI9839" s="161"/>
    </row>
    <row r="9840" spans="1:37" s="102" customFormat="1" ht="20.100000000000001" customHeight="1" x14ac:dyDescent="0.25">
      <c r="A9840" s="45" t="s">
        <v>703</v>
      </c>
      <c r="B9840" s="276"/>
      <c r="C9840" s="286" t="s">
        <v>929</v>
      </c>
      <c r="D9840" s="59"/>
      <c r="E9840" s="116"/>
      <c r="F9840" s="120">
        <v>0</v>
      </c>
      <c r="G9840" s="120">
        <f t="shared" si="6523"/>
        <v>0</v>
      </c>
      <c r="H9840" s="120">
        <f t="shared" si="6524"/>
        <v>0</v>
      </c>
      <c r="I9840" s="60">
        <f t="shared" si="6525"/>
        <v>0</v>
      </c>
      <c r="J9840" s="116">
        <f t="shared" si="6526"/>
        <v>0</v>
      </c>
      <c r="K9840" s="213">
        <f t="shared" si="6527"/>
        <v>0</v>
      </c>
      <c r="L9840" s="120"/>
      <c r="M9840" s="120">
        <f t="shared" si="6528"/>
        <v>0</v>
      </c>
      <c r="N9840" s="167">
        <f t="shared" si="6529"/>
        <v>0</v>
      </c>
      <c r="O9840" s="120">
        <f t="shared" si="6530"/>
        <v>0</v>
      </c>
      <c r="P9840" s="120">
        <f t="shared" si="6531"/>
        <v>0</v>
      </c>
      <c r="Q9840" s="120">
        <f t="shared" si="6532"/>
        <v>0</v>
      </c>
      <c r="R9840" s="120">
        <f t="shared" si="6533"/>
        <v>0</v>
      </c>
      <c r="S9840" s="120"/>
      <c r="T9840" s="221">
        <f t="shared" si="6534"/>
        <v>0</v>
      </c>
      <c r="U9840" s="89"/>
      <c r="V9840" s="61"/>
      <c r="W9840" s="92"/>
      <c r="X9840" s="38"/>
      <c r="Y9840" s="93"/>
      <c r="Z9840" s="134"/>
      <c r="AA9840" s="93"/>
      <c r="AB9840" s="93">
        <f t="shared" si="6535"/>
        <v>0</v>
      </c>
      <c r="AC9840" s="93">
        <f t="shared" si="6536"/>
        <v>9.9999999999999998E-20</v>
      </c>
      <c r="AD9840" s="94"/>
      <c r="AE9840" s="190"/>
      <c r="AF9840" s="191"/>
      <c r="AG9840" s="191"/>
      <c r="AH9840" s="191"/>
      <c r="AI9840" s="186"/>
      <c r="AK9840" s="171"/>
    </row>
    <row r="9841" spans="1:37" ht="20.100000000000001" customHeight="1" x14ac:dyDescent="0.25">
      <c r="A9841" s="277" t="s">
        <v>703</v>
      </c>
      <c r="B9841" s="278"/>
      <c r="C9841" s="64" t="s">
        <v>875</v>
      </c>
      <c r="D9841" s="46" t="s">
        <v>201</v>
      </c>
      <c r="E9841" s="114"/>
      <c r="F9841" s="44">
        <v>0</v>
      </c>
      <c r="G9841" s="44">
        <f t="shared" si="6523"/>
        <v>0</v>
      </c>
      <c r="H9841" s="44">
        <f t="shared" si="6524"/>
        <v>0</v>
      </c>
      <c r="I9841" s="43">
        <f t="shared" si="6525"/>
        <v>0</v>
      </c>
      <c r="J9841" s="112">
        <f t="shared" si="6526"/>
        <v>0</v>
      </c>
      <c r="K9841" s="211">
        <f t="shared" si="6527"/>
        <v>0</v>
      </c>
      <c r="L9841" s="44"/>
      <c r="M9841" s="44">
        <f t="shared" si="6528"/>
        <v>0</v>
      </c>
      <c r="N9841" s="173">
        <f t="shared" si="6529"/>
        <v>0</v>
      </c>
      <c r="O9841" s="44">
        <f t="shared" si="6530"/>
        <v>0</v>
      </c>
      <c r="P9841" s="44">
        <f t="shared" si="6531"/>
        <v>0</v>
      </c>
      <c r="Q9841" s="44">
        <f t="shared" si="6532"/>
        <v>0</v>
      </c>
      <c r="R9841" s="44">
        <f t="shared" si="6533"/>
        <v>0</v>
      </c>
      <c r="S9841" s="123"/>
      <c r="T9841" s="219">
        <f t="shared" si="6534"/>
        <v>0</v>
      </c>
      <c r="U9841" s="87"/>
      <c r="V9841" s="47"/>
      <c r="W9841" s="48"/>
      <c r="X9841" s="48"/>
      <c r="Y9841" s="48"/>
      <c r="Z9841" s="135"/>
      <c r="AA9841" s="49"/>
      <c r="AB9841" s="50">
        <f t="shared" si="6535"/>
        <v>0</v>
      </c>
      <c r="AC9841" s="42">
        <f t="shared" si="6536"/>
        <v>9.9999999999999998E-20</v>
      </c>
      <c r="AD9841" s="90"/>
      <c r="AE9841" s="188"/>
      <c r="AF9841" s="189"/>
      <c r="AG9841" s="189"/>
      <c r="AH9841" s="189"/>
      <c r="AI9841" s="161"/>
    </row>
    <row r="9842" spans="1:37" s="102" customFormat="1" ht="20.100000000000001" customHeight="1" x14ac:dyDescent="0.25">
      <c r="A9842" s="45" t="s">
        <v>703</v>
      </c>
      <c r="B9842" s="276"/>
      <c r="C9842" s="286" t="s">
        <v>908</v>
      </c>
      <c r="D9842" s="59"/>
      <c r="E9842" s="116"/>
      <c r="F9842" s="120">
        <v>0</v>
      </c>
      <c r="G9842" s="120">
        <f t="shared" si="6523"/>
        <v>0</v>
      </c>
      <c r="H9842" s="120">
        <f t="shared" si="6524"/>
        <v>0</v>
      </c>
      <c r="I9842" s="60">
        <f t="shared" si="6525"/>
        <v>0</v>
      </c>
      <c r="J9842" s="116">
        <f t="shared" si="6526"/>
        <v>0</v>
      </c>
      <c r="K9842" s="213">
        <f t="shared" si="6527"/>
        <v>0</v>
      </c>
      <c r="L9842" s="120"/>
      <c r="M9842" s="120">
        <f t="shared" si="6528"/>
        <v>0</v>
      </c>
      <c r="N9842" s="167">
        <f t="shared" si="6529"/>
        <v>0</v>
      </c>
      <c r="O9842" s="120">
        <f t="shared" si="6530"/>
        <v>0</v>
      </c>
      <c r="P9842" s="120">
        <f t="shared" si="6531"/>
        <v>0</v>
      </c>
      <c r="Q9842" s="120">
        <f t="shared" si="6532"/>
        <v>0</v>
      </c>
      <c r="R9842" s="120">
        <f t="shared" si="6533"/>
        <v>0</v>
      </c>
      <c r="S9842" s="120"/>
      <c r="T9842" s="221">
        <f t="shared" si="6534"/>
        <v>0</v>
      </c>
      <c r="U9842" s="89"/>
      <c r="V9842" s="61"/>
      <c r="W9842" s="92"/>
      <c r="X9842" s="38"/>
      <c r="Y9842" s="93"/>
      <c r="Z9842" s="134"/>
      <c r="AA9842" s="93"/>
      <c r="AB9842" s="93">
        <f t="shared" si="6535"/>
        <v>0</v>
      </c>
      <c r="AC9842" s="93">
        <f t="shared" si="6536"/>
        <v>9.9999999999999998E-20</v>
      </c>
      <c r="AD9842" s="94"/>
      <c r="AE9842" s="190"/>
      <c r="AF9842" s="191"/>
      <c r="AG9842" s="191"/>
      <c r="AH9842" s="191"/>
      <c r="AI9842" s="186"/>
      <c r="AK9842" s="171"/>
    </row>
    <row r="9843" spans="1:37" ht="20.100000000000001" customHeight="1" x14ac:dyDescent="0.25">
      <c r="A9843" s="277" t="s">
        <v>703</v>
      </c>
      <c r="B9843" s="278"/>
      <c r="C9843" s="64" t="s">
        <v>930</v>
      </c>
      <c r="D9843" s="46" t="s">
        <v>201</v>
      </c>
      <c r="E9843" s="114"/>
      <c r="F9843" s="44">
        <v>0</v>
      </c>
      <c r="G9843" s="44">
        <f t="shared" si="6523"/>
        <v>0</v>
      </c>
      <c r="H9843" s="44">
        <f t="shared" si="6524"/>
        <v>0</v>
      </c>
      <c r="I9843" s="43">
        <f t="shared" si="6525"/>
        <v>0</v>
      </c>
      <c r="J9843" s="112">
        <f t="shared" si="6526"/>
        <v>0</v>
      </c>
      <c r="K9843" s="211">
        <f t="shared" si="6527"/>
        <v>0</v>
      </c>
      <c r="L9843" s="44"/>
      <c r="M9843" s="44">
        <f t="shared" si="6528"/>
        <v>0</v>
      </c>
      <c r="N9843" s="173">
        <f t="shared" si="6529"/>
        <v>0</v>
      </c>
      <c r="O9843" s="44">
        <f t="shared" si="6530"/>
        <v>0</v>
      </c>
      <c r="P9843" s="44">
        <f t="shared" si="6531"/>
        <v>0</v>
      </c>
      <c r="Q9843" s="44">
        <f t="shared" si="6532"/>
        <v>0</v>
      </c>
      <c r="R9843" s="44">
        <f t="shared" si="6533"/>
        <v>0</v>
      </c>
      <c r="S9843" s="123"/>
      <c r="T9843" s="219">
        <f t="shared" si="6534"/>
        <v>0</v>
      </c>
      <c r="U9843" s="87"/>
      <c r="V9843" s="47"/>
      <c r="W9843" s="48"/>
      <c r="X9843" s="48"/>
      <c r="Y9843" s="48"/>
      <c r="Z9843" s="135"/>
      <c r="AA9843" s="49"/>
      <c r="AB9843" s="50">
        <f t="shared" si="6535"/>
        <v>0</v>
      </c>
      <c r="AC9843" s="42">
        <f t="shared" si="6536"/>
        <v>9.9999999999999998E-20</v>
      </c>
      <c r="AD9843" s="90"/>
      <c r="AE9843" s="188"/>
      <c r="AF9843" s="189"/>
      <c r="AG9843" s="189"/>
      <c r="AH9843" s="189"/>
      <c r="AI9843" s="161"/>
    </row>
    <row r="9844" spans="1:37" s="102" customFormat="1" ht="20.100000000000001" customHeight="1" x14ac:dyDescent="0.25">
      <c r="A9844" s="45" t="s">
        <v>703</v>
      </c>
      <c r="B9844" s="276"/>
      <c r="C9844" s="286" t="s">
        <v>911</v>
      </c>
      <c r="D9844" s="59"/>
      <c r="E9844" s="116"/>
      <c r="F9844" s="120">
        <v>0</v>
      </c>
      <c r="G9844" s="120">
        <f t="shared" si="6523"/>
        <v>0</v>
      </c>
      <c r="H9844" s="120">
        <f t="shared" si="6524"/>
        <v>0</v>
      </c>
      <c r="I9844" s="60">
        <f t="shared" si="6525"/>
        <v>0</v>
      </c>
      <c r="J9844" s="116">
        <f t="shared" si="6526"/>
        <v>0</v>
      </c>
      <c r="K9844" s="213">
        <f t="shared" si="6527"/>
        <v>0</v>
      </c>
      <c r="L9844" s="120"/>
      <c r="M9844" s="120">
        <f t="shared" si="6528"/>
        <v>0</v>
      </c>
      <c r="N9844" s="167">
        <f t="shared" si="6529"/>
        <v>0</v>
      </c>
      <c r="O9844" s="120">
        <f t="shared" si="6530"/>
        <v>0</v>
      </c>
      <c r="P9844" s="120">
        <f t="shared" si="6531"/>
        <v>0</v>
      </c>
      <c r="Q9844" s="120">
        <f t="shared" si="6532"/>
        <v>0</v>
      </c>
      <c r="R9844" s="120">
        <f t="shared" si="6533"/>
        <v>0</v>
      </c>
      <c r="S9844" s="120"/>
      <c r="T9844" s="221">
        <f t="shared" si="6534"/>
        <v>0</v>
      </c>
      <c r="U9844" s="89"/>
      <c r="V9844" s="61"/>
      <c r="W9844" s="92"/>
      <c r="X9844" s="38"/>
      <c r="Y9844" s="93"/>
      <c r="Z9844" s="134"/>
      <c r="AA9844" s="93"/>
      <c r="AB9844" s="93">
        <f t="shared" si="6535"/>
        <v>0</v>
      </c>
      <c r="AC9844" s="93">
        <f t="shared" si="6536"/>
        <v>9.9999999999999998E-20</v>
      </c>
      <c r="AD9844" s="94"/>
      <c r="AE9844" s="190"/>
      <c r="AF9844" s="191"/>
      <c r="AG9844" s="191"/>
      <c r="AH9844" s="191"/>
      <c r="AI9844" s="186"/>
      <c r="AK9844" s="171"/>
    </row>
    <row r="9845" spans="1:37" s="102" customFormat="1" ht="20.100000000000001" customHeight="1" x14ac:dyDescent="0.25">
      <c r="A9845" s="45" t="s">
        <v>703</v>
      </c>
      <c r="B9845" s="276"/>
      <c r="C9845" s="286" t="s">
        <v>912</v>
      </c>
      <c r="D9845" s="59"/>
      <c r="E9845" s="116"/>
      <c r="F9845" s="120">
        <v>0</v>
      </c>
      <c r="G9845" s="120">
        <f t="shared" si="6523"/>
        <v>0</v>
      </c>
      <c r="H9845" s="120">
        <f t="shared" si="6524"/>
        <v>0</v>
      </c>
      <c r="I9845" s="60">
        <f t="shared" si="6525"/>
        <v>0</v>
      </c>
      <c r="J9845" s="116">
        <f t="shared" si="6526"/>
        <v>0</v>
      </c>
      <c r="K9845" s="213">
        <f t="shared" si="6527"/>
        <v>0</v>
      </c>
      <c r="L9845" s="120"/>
      <c r="M9845" s="120">
        <f t="shared" si="6528"/>
        <v>0</v>
      </c>
      <c r="N9845" s="167">
        <f t="shared" si="6529"/>
        <v>0</v>
      </c>
      <c r="O9845" s="120">
        <f t="shared" si="6530"/>
        <v>0</v>
      </c>
      <c r="P9845" s="120">
        <f t="shared" si="6531"/>
        <v>0</v>
      </c>
      <c r="Q9845" s="120">
        <f t="shared" si="6532"/>
        <v>0</v>
      </c>
      <c r="R9845" s="120">
        <f t="shared" si="6533"/>
        <v>0</v>
      </c>
      <c r="S9845" s="120"/>
      <c r="T9845" s="221">
        <f t="shared" si="6534"/>
        <v>0</v>
      </c>
      <c r="U9845" s="89"/>
      <c r="V9845" s="61"/>
      <c r="W9845" s="92"/>
      <c r="X9845" s="38"/>
      <c r="Y9845" s="93"/>
      <c r="Z9845" s="134"/>
      <c r="AA9845" s="93"/>
      <c r="AB9845" s="93">
        <f t="shared" si="6535"/>
        <v>0</v>
      </c>
      <c r="AC9845" s="93">
        <f t="shared" si="6536"/>
        <v>9.9999999999999998E-20</v>
      </c>
      <c r="AD9845" s="94"/>
      <c r="AE9845" s="190"/>
      <c r="AF9845" s="191"/>
      <c r="AG9845" s="191"/>
      <c r="AH9845" s="191"/>
      <c r="AI9845" s="186"/>
      <c r="AK9845" s="171"/>
    </row>
    <row r="9846" spans="1:37" ht="20.100000000000001" customHeight="1" x14ac:dyDescent="0.25">
      <c r="A9846" s="277" t="s">
        <v>703</v>
      </c>
      <c r="B9846" s="278"/>
      <c r="C9846" s="64" t="s">
        <v>886</v>
      </c>
      <c r="D9846" s="46" t="s">
        <v>196</v>
      </c>
      <c r="E9846" s="114"/>
      <c r="F9846" s="44">
        <v>0</v>
      </c>
      <c r="G9846" s="44">
        <f t="shared" si="6523"/>
        <v>0</v>
      </c>
      <c r="H9846" s="44">
        <f t="shared" si="6524"/>
        <v>0</v>
      </c>
      <c r="I9846" s="43">
        <f t="shared" si="6525"/>
        <v>0</v>
      </c>
      <c r="J9846" s="112">
        <f t="shared" si="6526"/>
        <v>0</v>
      </c>
      <c r="K9846" s="211">
        <f t="shared" si="6527"/>
        <v>0</v>
      </c>
      <c r="L9846" s="44"/>
      <c r="M9846" s="44">
        <f t="shared" si="6528"/>
        <v>0</v>
      </c>
      <c r="N9846" s="173">
        <f t="shared" si="6529"/>
        <v>0</v>
      </c>
      <c r="O9846" s="44">
        <f t="shared" si="6530"/>
        <v>0</v>
      </c>
      <c r="P9846" s="44">
        <f t="shared" si="6531"/>
        <v>0</v>
      </c>
      <c r="Q9846" s="44">
        <f t="shared" si="6532"/>
        <v>0</v>
      </c>
      <c r="R9846" s="44">
        <f t="shared" si="6533"/>
        <v>0</v>
      </c>
      <c r="S9846" s="123"/>
      <c r="T9846" s="219">
        <f t="shared" si="6534"/>
        <v>0</v>
      </c>
      <c r="U9846" s="87"/>
      <c r="V9846" s="47"/>
      <c r="W9846" s="48"/>
      <c r="X9846" s="48"/>
      <c r="Y9846" s="48"/>
      <c r="Z9846" s="135"/>
      <c r="AA9846" s="49"/>
      <c r="AB9846" s="50">
        <f t="shared" si="6535"/>
        <v>0</v>
      </c>
      <c r="AC9846" s="42">
        <f t="shared" si="6536"/>
        <v>9.9999999999999998E-20</v>
      </c>
      <c r="AD9846" s="90"/>
      <c r="AE9846" s="188"/>
      <c r="AF9846" s="189"/>
      <c r="AG9846" s="189"/>
      <c r="AH9846" s="189"/>
      <c r="AI9846" s="161"/>
    </row>
    <row r="9847" spans="1:37" s="102" customFormat="1" ht="20.100000000000001" customHeight="1" x14ac:dyDescent="0.25">
      <c r="A9847" s="45" t="s">
        <v>703</v>
      </c>
      <c r="B9847" s="276"/>
      <c r="C9847" s="286" t="s">
        <v>916</v>
      </c>
      <c r="D9847" s="59"/>
      <c r="E9847" s="116"/>
      <c r="F9847" s="120">
        <v>0</v>
      </c>
      <c r="G9847" s="120">
        <f t="shared" si="6523"/>
        <v>0</v>
      </c>
      <c r="H9847" s="120">
        <f t="shared" si="6524"/>
        <v>0</v>
      </c>
      <c r="I9847" s="60">
        <f t="shared" si="6525"/>
        <v>0</v>
      </c>
      <c r="J9847" s="116">
        <f t="shared" si="6526"/>
        <v>0</v>
      </c>
      <c r="K9847" s="213">
        <f t="shared" si="6527"/>
        <v>0</v>
      </c>
      <c r="L9847" s="120"/>
      <c r="M9847" s="120">
        <f t="shared" si="6528"/>
        <v>0</v>
      </c>
      <c r="N9847" s="167">
        <f t="shared" si="6529"/>
        <v>0</v>
      </c>
      <c r="O9847" s="120">
        <f t="shared" si="6530"/>
        <v>0</v>
      </c>
      <c r="P9847" s="120">
        <f t="shared" si="6531"/>
        <v>0</v>
      </c>
      <c r="Q9847" s="120">
        <f t="shared" si="6532"/>
        <v>0</v>
      </c>
      <c r="R9847" s="120">
        <f t="shared" si="6533"/>
        <v>0</v>
      </c>
      <c r="S9847" s="120"/>
      <c r="T9847" s="221">
        <f t="shared" si="6534"/>
        <v>0</v>
      </c>
      <c r="U9847" s="89"/>
      <c r="V9847" s="61"/>
      <c r="W9847" s="92"/>
      <c r="X9847" s="38"/>
      <c r="Y9847" s="93"/>
      <c r="Z9847" s="134"/>
      <c r="AA9847" s="93"/>
      <c r="AB9847" s="93">
        <f t="shared" si="6535"/>
        <v>0</v>
      </c>
      <c r="AC9847" s="93">
        <f t="shared" si="6536"/>
        <v>9.9999999999999998E-20</v>
      </c>
      <c r="AD9847" s="94"/>
      <c r="AE9847" s="190"/>
      <c r="AF9847" s="191"/>
      <c r="AG9847" s="191"/>
      <c r="AH9847" s="191"/>
      <c r="AI9847" s="186"/>
      <c r="AK9847" s="171"/>
    </row>
    <row r="9848" spans="1:37" ht="20.100000000000001" customHeight="1" x14ac:dyDescent="0.25">
      <c r="A9848" s="277" t="s">
        <v>703</v>
      </c>
      <c r="B9848" s="278"/>
      <c r="C9848" s="64" t="s">
        <v>917</v>
      </c>
      <c r="D9848" s="46" t="s">
        <v>196</v>
      </c>
      <c r="E9848" s="114"/>
      <c r="F9848" s="44">
        <v>0</v>
      </c>
      <c r="G9848" s="44">
        <f t="shared" si="6523"/>
        <v>0</v>
      </c>
      <c r="H9848" s="44">
        <f t="shared" si="6524"/>
        <v>0</v>
      </c>
      <c r="I9848" s="43">
        <f t="shared" si="6525"/>
        <v>0</v>
      </c>
      <c r="J9848" s="112">
        <f t="shared" si="6526"/>
        <v>0</v>
      </c>
      <c r="K9848" s="211">
        <f t="shared" si="6527"/>
        <v>0</v>
      </c>
      <c r="L9848" s="44"/>
      <c r="M9848" s="44">
        <f t="shared" si="6528"/>
        <v>0</v>
      </c>
      <c r="N9848" s="173">
        <f t="shared" si="6529"/>
        <v>0</v>
      </c>
      <c r="O9848" s="44">
        <f t="shared" si="6530"/>
        <v>0</v>
      </c>
      <c r="P9848" s="44">
        <f t="shared" si="6531"/>
        <v>0</v>
      </c>
      <c r="Q9848" s="44">
        <f t="shared" si="6532"/>
        <v>0</v>
      </c>
      <c r="R9848" s="44">
        <f t="shared" si="6533"/>
        <v>0</v>
      </c>
      <c r="S9848" s="123"/>
      <c r="T9848" s="219">
        <f t="shared" si="6534"/>
        <v>0</v>
      </c>
      <c r="U9848" s="87"/>
      <c r="V9848" s="47"/>
      <c r="W9848" s="48"/>
      <c r="X9848" s="48"/>
      <c r="Y9848" s="48"/>
      <c r="Z9848" s="135"/>
      <c r="AA9848" s="49"/>
      <c r="AB9848" s="50">
        <f t="shared" si="6535"/>
        <v>0</v>
      </c>
      <c r="AC9848" s="42">
        <f t="shared" si="6536"/>
        <v>9.9999999999999998E-20</v>
      </c>
      <c r="AD9848" s="90"/>
      <c r="AE9848" s="188"/>
      <c r="AF9848" s="189"/>
      <c r="AG9848" s="189"/>
      <c r="AH9848" s="189"/>
      <c r="AI9848" s="161"/>
    </row>
    <row r="9849" spans="1:37" s="102" customFormat="1" ht="20.100000000000001" customHeight="1" x14ac:dyDescent="0.25">
      <c r="A9849" s="45" t="s">
        <v>703</v>
      </c>
      <c r="B9849" s="276"/>
      <c r="C9849" s="286" t="s">
        <v>931</v>
      </c>
      <c r="D9849" s="59"/>
      <c r="E9849" s="116"/>
      <c r="F9849" s="120">
        <v>0</v>
      </c>
      <c r="G9849" s="120">
        <f t="shared" si="6523"/>
        <v>0</v>
      </c>
      <c r="H9849" s="120">
        <f t="shared" si="6524"/>
        <v>0</v>
      </c>
      <c r="I9849" s="60">
        <f t="shared" si="6525"/>
        <v>0</v>
      </c>
      <c r="J9849" s="116">
        <f t="shared" si="6526"/>
        <v>0</v>
      </c>
      <c r="K9849" s="213">
        <f t="shared" si="6527"/>
        <v>0</v>
      </c>
      <c r="L9849" s="120"/>
      <c r="M9849" s="120">
        <f t="shared" si="6528"/>
        <v>0</v>
      </c>
      <c r="N9849" s="167">
        <f t="shared" si="6529"/>
        <v>0</v>
      </c>
      <c r="O9849" s="120">
        <f t="shared" si="6530"/>
        <v>0</v>
      </c>
      <c r="P9849" s="120">
        <f t="shared" si="6531"/>
        <v>0</v>
      </c>
      <c r="Q9849" s="120">
        <f t="shared" si="6532"/>
        <v>0</v>
      </c>
      <c r="R9849" s="120">
        <f t="shared" si="6533"/>
        <v>0</v>
      </c>
      <c r="S9849" s="120"/>
      <c r="T9849" s="221">
        <f t="shared" si="6534"/>
        <v>0</v>
      </c>
      <c r="U9849" s="89"/>
      <c r="V9849" s="61"/>
      <c r="W9849" s="92"/>
      <c r="X9849" s="38"/>
      <c r="Y9849" s="93"/>
      <c r="Z9849" s="134"/>
      <c r="AA9849" s="93"/>
      <c r="AB9849" s="93">
        <f t="shared" si="6535"/>
        <v>0</v>
      </c>
      <c r="AC9849" s="93">
        <f t="shared" si="6536"/>
        <v>9.9999999999999998E-20</v>
      </c>
      <c r="AD9849" s="94"/>
      <c r="AE9849" s="190"/>
      <c r="AF9849" s="191"/>
      <c r="AG9849" s="191"/>
      <c r="AH9849" s="191"/>
      <c r="AI9849" s="186"/>
      <c r="AK9849" s="171"/>
    </row>
    <row r="9850" spans="1:37" s="102" customFormat="1" ht="20.100000000000001" customHeight="1" x14ac:dyDescent="0.25">
      <c r="A9850" s="45" t="s">
        <v>703</v>
      </c>
      <c r="B9850" s="276"/>
      <c r="C9850" s="286" t="s">
        <v>932</v>
      </c>
      <c r="D9850" s="59"/>
      <c r="E9850" s="116"/>
      <c r="F9850" s="120">
        <v>0</v>
      </c>
      <c r="G9850" s="120">
        <f t="shared" si="6523"/>
        <v>0</v>
      </c>
      <c r="H9850" s="120">
        <f t="shared" si="6524"/>
        <v>0</v>
      </c>
      <c r="I9850" s="60">
        <f t="shared" si="6525"/>
        <v>0</v>
      </c>
      <c r="J9850" s="116">
        <f t="shared" si="6526"/>
        <v>0</v>
      </c>
      <c r="K9850" s="213">
        <f t="shared" si="6527"/>
        <v>0</v>
      </c>
      <c r="L9850" s="120"/>
      <c r="M9850" s="120">
        <f t="shared" si="6528"/>
        <v>0</v>
      </c>
      <c r="N9850" s="167">
        <f t="shared" si="6529"/>
        <v>0</v>
      </c>
      <c r="O9850" s="120">
        <f t="shared" si="6530"/>
        <v>0</v>
      </c>
      <c r="P9850" s="120">
        <f t="shared" si="6531"/>
        <v>0</v>
      </c>
      <c r="Q9850" s="120">
        <f t="shared" si="6532"/>
        <v>0</v>
      </c>
      <c r="R9850" s="120">
        <f t="shared" si="6533"/>
        <v>0</v>
      </c>
      <c r="S9850" s="120"/>
      <c r="T9850" s="221">
        <f t="shared" si="6534"/>
        <v>0</v>
      </c>
      <c r="U9850" s="89"/>
      <c r="V9850" s="61"/>
      <c r="W9850" s="92"/>
      <c r="X9850" s="38"/>
      <c r="Y9850" s="93"/>
      <c r="Z9850" s="134"/>
      <c r="AA9850" s="93"/>
      <c r="AB9850" s="93">
        <f t="shared" si="6535"/>
        <v>0</v>
      </c>
      <c r="AC9850" s="93">
        <f t="shared" si="6536"/>
        <v>9.9999999999999998E-20</v>
      </c>
      <c r="AD9850" s="94"/>
      <c r="AE9850" s="190"/>
      <c r="AF9850" s="191"/>
      <c r="AG9850" s="191"/>
      <c r="AH9850" s="191"/>
      <c r="AI9850" s="186"/>
      <c r="AK9850" s="171"/>
    </row>
    <row r="9851" spans="1:37" s="102" customFormat="1" ht="20.100000000000001" customHeight="1" x14ac:dyDescent="0.25">
      <c r="A9851" s="45" t="s">
        <v>703</v>
      </c>
      <c r="B9851" s="276"/>
      <c r="C9851" s="286" t="s">
        <v>891</v>
      </c>
      <c r="D9851" s="59"/>
      <c r="E9851" s="116"/>
      <c r="F9851" s="120">
        <v>0</v>
      </c>
      <c r="G9851" s="120">
        <f t="shared" si="6523"/>
        <v>0</v>
      </c>
      <c r="H9851" s="120">
        <f t="shared" si="6524"/>
        <v>0</v>
      </c>
      <c r="I9851" s="60">
        <f t="shared" si="6525"/>
        <v>0</v>
      </c>
      <c r="J9851" s="116">
        <f t="shared" si="6526"/>
        <v>0</v>
      </c>
      <c r="K9851" s="213">
        <f t="shared" si="6527"/>
        <v>0</v>
      </c>
      <c r="L9851" s="120"/>
      <c r="M9851" s="120">
        <f t="shared" si="6528"/>
        <v>0</v>
      </c>
      <c r="N9851" s="167">
        <f t="shared" si="6529"/>
        <v>0</v>
      </c>
      <c r="O9851" s="120">
        <f t="shared" si="6530"/>
        <v>0</v>
      </c>
      <c r="P9851" s="120">
        <f t="shared" si="6531"/>
        <v>0</v>
      </c>
      <c r="Q9851" s="120">
        <f t="shared" si="6532"/>
        <v>0</v>
      </c>
      <c r="R9851" s="120">
        <f t="shared" si="6533"/>
        <v>0</v>
      </c>
      <c r="S9851" s="120"/>
      <c r="T9851" s="221">
        <f t="shared" si="6534"/>
        <v>0</v>
      </c>
      <c r="U9851" s="89"/>
      <c r="V9851" s="61"/>
      <c r="W9851" s="92"/>
      <c r="X9851" s="38"/>
      <c r="Y9851" s="93"/>
      <c r="Z9851" s="134"/>
      <c r="AA9851" s="93"/>
      <c r="AB9851" s="93">
        <f t="shared" si="6535"/>
        <v>0</v>
      </c>
      <c r="AC9851" s="93">
        <f t="shared" si="6536"/>
        <v>9.9999999999999998E-20</v>
      </c>
      <c r="AD9851" s="94"/>
      <c r="AE9851" s="190"/>
      <c r="AF9851" s="191"/>
      <c r="AG9851" s="191"/>
      <c r="AH9851" s="191"/>
      <c r="AI9851" s="186"/>
      <c r="AK9851" s="171"/>
    </row>
    <row r="9852" spans="1:37" s="102" customFormat="1" ht="20.100000000000001" customHeight="1" x14ac:dyDescent="0.25">
      <c r="A9852" s="45" t="s">
        <v>703</v>
      </c>
      <c r="B9852" s="276"/>
      <c r="C9852" s="286" t="s">
        <v>901</v>
      </c>
      <c r="D9852" s="59"/>
      <c r="E9852" s="116"/>
      <c r="F9852" s="120">
        <v>0</v>
      </c>
      <c r="G9852" s="120">
        <f t="shared" si="6523"/>
        <v>0</v>
      </c>
      <c r="H9852" s="120">
        <f t="shared" si="6524"/>
        <v>0</v>
      </c>
      <c r="I9852" s="60">
        <f t="shared" si="6525"/>
        <v>0</v>
      </c>
      <c r="J9852" s="116">
        <f t="shared" si="6526"/>
        <v>0</v>
      </c>
      <c r="K9852" s="213">
        <f t="shared" si="6527"/>
        <v>0</v>
      </c>
      <c r="L9852" s="120"/>
      <c r="M9852" s="120">
        <f t="shared" si="6528"/>
        <v>0</v>
      </c>
      <c r="N9852" s="167">
        <f t="shared" si="6529"/>
        <v>0</v>
      </c>
      <c r="O9852" s="120">
        <f t="shared" si="6530"/>
        <v>0</v>
      </c>
      <c r="P9852" s="120">
        <f t="shared" si="6531"/>
        <v>0</v>
      </c>
      <c r="Q9852" s="120">
        <f t="shared" si="6532"/>
        <v>0</v>
      </c>
      <c r="R9852" s="120">
        <f t="shared" si="6533"/>
        <v>0</v>
      </c>
      <c r="S9852" s="120"/>
      <c r="T9852" s="221">
        <f t="shared" si="6534"/>
        <v>0</v>
      </c>
      <c r="U9852" s="89"/>
      <c r="V9852" s="61"/>
      <c r="W9852" s="92"/>
      <c r="X9852" s="38"/>
      <c r="Y9852" s="93"/>
      <c r="Z9852" s="134"/>
      <c r="AA9852" s="93"/>
      <c r="AB9852" s="93">
        <f t="shared" si="6535"/>
        <v>0</v>
      </c>
      <c r="AC9852" s="93">
        <f t="shared" si="6536"/>
        <v>9.9999999999999998E-20</v>
      </c>
      <c r="AD9852" s="94"/>
      <c r="AE9852" s="190"/>
      <c r="AF9852" s="191"/>
      <c r="AG9852" s="191"/>
      <c r="AH9852" s="191"/>
      <c r="AI9852" s="186"/>
      <c r="AK9852" s="171"/>
    </row>
    <row r="9853" spans="1:37" ht="20.100000000000001" customHeight="1" x14ac:dyDescent="0.25">
      <c r="A9853" s="277" t="s">
        <v>703</v>
      </c>
      <c r="B9853" s="278"/>
      <c r="C9853" s="64" t="s">
        <v>933</v>
      </c>
      <c r="D9853" s="46" t="s">
        <v>196</v>
      </c>
      <c r="E9853" s="114"/>
      <c r="F9853" s="44">
        <v>0</v>
      </c>
      <c r="G9853" s="44">
        <f t="shared" si="6523"/>
        <v>0</v>
      </c>
      <c r="H9853" s="44">
        <f t="shared" si="6524"/>
        <v>0</v>
      </c>
      <c r="I9853" s="43">
        <f t="shared" si="6525"/>
        <v>0</v>
      </c>
      <c r="J9853" s="112">
        <f t="shared" si="6526"/>
        <v>0</v>
      </c>
      <c r="K9853" s="211">
        <f t="shared" si="6527"/>
        <v>0</v>
      </c>
      <c r="L9853" s="44"/>
      <c r="M9853" s="44">
        <f t="shared" si="6528"/>
        <v>0</v>
      </c>
      <c r="N9853" s="173">
        <f t="shared" si="6529"/>
        <v>0</v>
      </c>
      <c r="O9853" s="44">
        <f t="shared" si="6530"/>
        <v>0</v>
      </c>
      <c r="P9853" s="44">
        <f t="shared" si="6531"/>
        <v>0</v>
      </c>
      <c r="Q9853" s="44">
        <f t="shared" si="6532"/>
        <v>0</v>
      </c>
      <c r="R9853" s="44">
        <f t="shared" si="6533"/>
        <v>0</v>
      </c>
      <c r="S9853" s="123"/>
      <c r="T9853" s="219">
        <f t="shared" si="6534"/>
        <v>0</v>
      </c>
      <c r="U9853" s="87"/>
      <c r="V9853" s="47"/>
      <c r="W9853" s="48"/>
      <c r="X9853" s="48"/>
      <c r="Y9853" s="48"/>
      <c r="Z9853" s="135"/>
      <c r="AA9853" s="49"/>
      <c r="AB9853" s="50">
        <f t="shared" si="6535"/>
        <v>0</v>
      </c>
      <c r="AC9853" s="42">
        <f t="shared" si="6536"/>
        <v>9.9999999999999998E-20</v>
      </c>
      <c r="AD9853" s="90"/>
      <c r="AE9853" s="188"/>
      <c r="AF9853" s="189"/>
      <c r="AG9853" s="189"/>
      <c r="AH9853" s="189"/>
      <c r="AI9853" s="161"/>
    </row>
    <row r="9854" spans="1:37" ht="20.100000000000001" customHeight="1" x14ac:dyDescent="0.25">
      <c r="A9854" s="277" t="s">
        <v>703</v>
      </c>
      <c r="B9854" s="278"/>
      <c r="C9854" s="64" t="s">
        <v>934</v>
      </c>
      <c r="D9854" s="46" t="s">
        <v>215</v>
      </c>
      <c r="E9854" s="114"/>
      <c r="F9854" s="44">
        <v>0</v>
      </c>
      <c r="G9854" s="44">
        <f t="shared" si="6523"/>
        <v>0</v>
      </c>
      <c r="H9854" s="44">
        <f t="shared" si="6524"/>
        <v>0</v>
      </c>
      <c r="I9854" s="43">
        <f t="shared" si="6525"/>
        <v>0</v>
      </c>
      <c r="J9854" s="112">
        <f t="shared" si="6526"/>
        <v>0</v>
      </c>
      <c r="K9854" s="211">
        <f t="shared" si="6527"/>
        <v>0</v>
      </c>
      <c r="L9854" s="44"/>
      <c r="M9854" s="44">
        <f t="shared" si="6528"/>
        <v>0</v>
      </c>
      <c r="N9854" s="173">
        <f t="shared" si="6529"/>
        <v>0</v>
      </c>
      <c r="O9854" s="44">
        <f t="shared" si="6530"/>
        <v>0</v>
      </c>
      <c r="P9854" s="44">
        <f t="shared" si="6531"/>
        <v>0</v>
      </c>
      <c r="Q9854" s="44">
        <f t="shared" si="6532"/>
        <v>0</v>
      </c>
      <c r="R9854" s="44">
        <f t="shared" si="6533"/>
        <v>0</v>
      </c>
      <c r="S9854" s="123"/>
      <c r="T9854" s="219">
        <f t="shared" si="6534"/>
        <v>0</v>
      </c>
      <c r="U9854" s="87"/>
      <c r="V9854" s="47"/>
      <c r="W9854" s="48"/>
      <c r="X9854" s="48"/>
      <c r="Y9854" s="48"/>
      <c r="Z9854" s="135"/>
      <c r="AA9854" s="49"/>
      <c r="AB9854" s="50">
        <f t="shared" si="6535"/>
        <v>0</v>
      </c>
      <c r="AC9854" s="42">
        <f t="shared" si="6536"/>
        <v>9.9999999999999998E-20</v>
      </c>
      <c r="AD9854" s="90"/>
      <c r="AE9854" s="188"/>
      <c r="AF9854" s="189"/>
      <c r="AG9854" s="189"/>
      <c r="AH9854" s="189"/>
      <c r="AI9854" s="161"/>
    </row>
    <row r="9855" spans="1:37" s="102" customFormat="1" ht="20.100000000000001" customHeight="1" x14ac:dyDescent="0.25">
      <c r="A9855" s="45" t="s">
        <v>703</v>
      </c>
      <c r="B9855" s="276"/>
      <c r="C9855" s="286" t="s">
        <v>935</v>
      </c>
      <c r="D9855" s="59"/>
      <c r="E9855" s="116"/>
      <c r="F9855" s="120">
        <v>0</v>
      </c>
      <c r="G9855" s="120">
        <f t="shared" si="6523"/>
        <v>0</v>
      </c>
      <c r="H9855" s="120">
        <f t="shared" si="6524"/>
        <v>0</v>
      </c>
      <c r="I9855" s="60">
        <f t="shared" si="6525"/>
        <v>0</v>
      </c>
      <c r="J9855" s="116">
        <f t="shared" si="6526"/>
        <v>0</v>
      </c>
      <c r="K9855" s="213">
        <f t="shared" si="6527"/>
        <v>0</v>
      </c>
      <c r="L9855" s="120"/>
      <c r="M9855" s="120">
        <f t="shared" si="6528"/>
        <v>0</v>
      </c>
      <c r="N9855" s="167">
        <f t="shared" si="6529"/>
        <v>0</v>
      </c>
      <c r="O9855" s="120">
        <f t="shared" si="6530"/>
        <v>0</v>
      </c>
      <c r="P9855" s="120">
        <f t="shared" si="6531"/>
        <v>0</v>
      </c>
      <c r="Q9855" s="120">
        <f t="shared" si="6532"/>
        <v>0</v>
      </c>
      <c r="R9855" s="120">
        <f t="shared" si="6533"/>
        <v>0</v>
      </c>
      <c r="S9855" s="120"/>
      <c r="T9855" s="221">
        <f t="shared" si="6534"/>
        <v>0</v>
      </c>
      <c r="U9855" s="89"/>
      <c r="V9855" s="61"/>
      <c r="W9855" s="92"/>
      <c r="X9855" s="38"/>
      <c r="Y9855" s="93"/>
      <c r="Z9855" s="134"/>
      <c r="AA9855" s="93"/>
      <c r="AB9855" s="93">
        <f t="shared" si="6535"/>
        <v>0</v>
      </c>
      <c r="AC9855" s="93">
        <f t="shared" si="6536"/>
        <v>9.9999999999999998E-20</v>
      </c>
      <c r="AD9855" s="94"/>
      <c r="AE9855" s="190"/>
      <c r="AF9855" s="191"/>
      <c r="AG9855" s="191"/>
      <c r="AH9855" s="191"/>
      <c r="AI9855" s="186"/>
      <c r="AK9855" s="171"/>
    </row>
    <row r="9856" spans="1:37" ht="20.100000000000001" customHeight="1" x14ac:dyDescent="0.25">
      <c r="A9856" s="277" t="s">
        <v>703</v>
      </c>
      <c r="B9856" s="278"/>
      <c r="C9856" s="64" t="s">
        <v>936</v>
      </c>
      <c r="D9856" s="46" t="s">
        <v>196</v>
      </c>
      <c r="E9856" s="114"/>
      <c r="F9856" s="44">
        <v>0</v>
      </c>
      <c r="G9856" s="44">
        <f t="shared" si="6523"/>
        <v>0</v>
      </c>
      <c r="H9856" s="44">
        <f t="shared" si="6524"/>
        <v>0</v>
      </c>
      <c r="I9856" s="43">
        <f t="shared" si="6525"/>
        <v>0</v>
      </c>
      <c r="J9856" s="112">
        <f t="shared" si="6526"/>
        <v>0</v>
      </c>
      <c r="K9856" s="211">
        <f t="shared" si="6527"/>
        <v>0</v>
      </c>
      <c r="L9856" s="44"/>
      <c r="M9856" s="44">
        <f t="shared" si="6528"/>
        <v>0</v>
      </c>
      <c r="N9856" s="173">
        <f t="shared" si="6529"/>
        <v>0</v>
      </c>
      <c r="O9856" s="44">
        <f t="shared" si="6530"/>
        <v>0</v>
      </c>
      <c r="P9856" s="44">
        <f t="shared" si="6531"/>
        <v>0</v>
      </c>
      <c r="Q9856" s="44">
        <f t="shared" si="6532"/>
        <v>0</v>
      </c>
      <c r="R9856" s="44">
        <f t="shared" si="6533"/>
        <v>0</v>
      </c>
      <c r="S9856" s="123"/>
      <c r="T9856" s="219">
        <f t="shared" si="6534"/>
        <v>0</v>
      </c>
      <c r="U9856" s="87"/>
      <c r="V9856" s="47"/>
      <c r="W9856" s="48"/>
      <c r="X9856" s="48"/>
      <c r="Y9856" s="48"/>
      <c r="Z9856" s="135"/>
      <c r="AA9856" s="49"/>
      <c r="AB9856" s="50">
        <f t="shared" si="6535"/>
        <v>0</v>
      </c>
      <c r="AC9856" s="42">
        <f t="shared" si="6536"/>
        <v>9.9999999999999998E-20</v>
      </c>
      <c r="AD9856" s="90"/>
      <c r="AE9856" s="188"/>
      <c r="AF9856" s="189"/>
      <c r="AG9856" s="189"/>
      <c r="AH9856" s="189"/>
      <c r="AI9856" s="161"/>
    </row>
    <row r="9857" spans="1:41" ht="20.100000000000001" customHeight="1" x14ac:dyDescent="0.25">
      <c r="A9857" s="277" t="s">
        <v>703</v>
      </c>
      <c r="B9857" s="278"/>
      <c r="C9857" s="64" t="s">
        <v>937</v>
      </c>
      <c r="D9857" s="46" t="s">
        <v>196</v>
      </c>
      <c r="E9857" s="114"/>
      <c r="F9857" s="44">
        <v>0</v>
      </c>
      <c r="G9857" s="44">
        <f t="shared" si="6523"/>
        <v>0</v>
      </c>
      <c r="H9857" s="44">
        <f t="shared" si="6524"/>
        <v>0</v>
      </c>
      <c r="I9857" s="43">
        <f t="shared" si="6525"/>
        <v>0</v>
      </c>
      <c r="J9857" s="112">
        <f t="shared" si="6526"/>
        <v>0</v>
      </c>
      <c r="K9857" s="211">
        <f t="shared" si="6527"/>
        <v>0</v>
      </c>
      <c r="L9857" s="44"/>
      <c r="M9857" s="44">
        <f t="shared" si="6528"/>
        <v>0</v>
      </c>
      <c r="N9857" s="173">
        <f t="shared" si="6529"/>
        <v>0</v>
      </c>
      <c r="O9857" s="44">
        <f t="shared" si="6530"/>
        <v>0</v>
      </c>
      <c r="P9857" s="44">
        <f t="shared" si="6531"/>
        <v>0</v>
      </c>
      <c r="Q9857" s="44">
        <f t="shared" si="6532"/>
        <v>0</v>
      </c>
      <c r="R9857" s="44">
        <f t="shared" si="6533"/>
        <v>0</v>
      </c>
      <c r="S9857" s="123"/>
      <c r="T9857" s="219">
        <f t="shared" si="6534"/>
        <v>0</v>
      </c>
      <c r="U9857" s="87"/>
      <c r="V9857" s="47"/>
      <c r="W9857" s="48"/>
      <c r="X9857" s="48"/>
      <c r="Y9857" s="48"/>
      <c r="Z9857" s="135"/>
      <c r="AA9857" s="49"/>
      <c r="AB9857" s="50">
        <f t="shared" si="6535"/>
        <v>0</v>
      </c>
      <c r="AC9857" s="42">
        <f t="shared" si="6536"/>
        <v>9.9999999999999998E-20</v>
      </c>
      <c r="AD9857" s="90"/>
      <c r="AE9857" s="188"/>
      <c r="AF9857" s="189"/>
      <c r="AG9857" s="189"/>
      <c r="AH9857" s="189"/>
      <c r="AI9857" s="161"/>
    </row>
    <row r="9858" spans="1:41" ht="20.100000000000001" customHeight="1" x14ac:dyDescent="0.25">
      <c r="A9858" s="277" t="s">
        <v>703</v>
      </c>
      <c r="B9858" s="278"/>
      <c r="C9858" s="64" t="s">
        <v>938</v>
      </c>
      <c r="D9858" s="46" t="s">
        <v>97</v>
      </c>
      <c r="E9858" s="114"/>
      <c r="F9858" s="44">
        <v>0</v>
      </c>
      <c r="G9858" s="44">
        <f t="shared" si="6523"/>
        <v>0</v>
      </c>
      <c r="H9858" s="44">
        <f t="shared" si="6524"/>
        <v>0</v>
      </c>
      <c r="I9858" s="43">
        <f t="shared" si="6525"/>
        <v>0</v>
      </c>
      <c r="J9858" s="112">
        <f t="shared" si="6526"/>
        <v>0</v>
      </c>
      <c r="K9858" s="211">
        <f t="shared" si="6527"/>
        <v>0</v>
      </c>
      <c r="L9858" s="44"/>
      <c r="M9858" s="44">
        <f t="shared" si="6528"/>
        <v>0</v>
      </c>
      <c r="N9858" s="173">
        <f t="shared" si="6529"/>
        <v>0</v>
      </c>
      <c r="O9858" s="44">
        <f t="shared" si="6530"/>
        <v>0</v>
      </c>
      <c r="P9858" s="44">
        <f t="shared" si="6531"/>
        <v>0</v>
      </c>
      <c r="Q9858" s="44">
        <f t="shared" si="6532"/>
        <v>0</v>
      </c>
      <c r="R9858" s="44">
        <f t="shared" si="6533"/>
        <v>0</v>
      </c>
      <c r="S9858" s="123"/>
      <c r="T9858" s="219">
        <f t="shared" si="6534"/>
        <v>0</v>
      </c>
      <c r="U9858" s="87"/>
      <c r="V9858" s="47"/>
      <c r="W9858" s="48"/>
      <c r="X9858" s="48"/>
      <c r="Y9858" s="48"/>
      <c r="Z9858" s="135"/>
      <c r="AA9858" s="49"/>
      <c r="AB9858" s="50">
        <f t="shared" si="6535"/>
        <v>0</v>
      </c>
      <c r="AC9858" s="42">
        <f t="shared" si="6536"/>
        <v>9.9999999999999998E-20</v>
      </c>
      <c r="AD9858" s="90"/>
      <c r="AE9858" s="188"/>
      <c r="AF9858" s="189"/>
      <c r="AG9858" s="189"/>
      <c r="AH9858" s="189"/>
      <c r="AI9858" s="161"/>
    </row>
    <row r="9859" spans="1:41" ht="25.5" x14ac:dyDescent="0.25">
      <c r="A9859" s="277" t="s">
        <v>703</v>
      </c>
      <c r="B9859" s="278"/>
      <c r="C9859" s="64" t="s">
        <v>939</v>
      </c>
      <c r="D9859" s="46" t="s">
        <v>940</v>
      </c>
      <c r="E9859" s="114">
        <v>25047.171619999979</v>
      </c>
      <c r="F9859" s="44">
        <v>156</v>
      </c>
      <c r="G9859" s="44">
        <f t="shared" si="6523"/>
        <v>3907358.772719997</v>
      </c>
      <c r="H9859" s="44">
        <f t="shared" si="6524"/>
        <v>70.5</v>
      </c>
      <c r="I9859" s="43">
        <f t="shared" si="6525"/>
        <v>1765825.5992099985</v>
      </c>
      <c r="J9859" s="112">
        <f t="shared" si="6526"/>
        <v>25047.171619999979</v>
      </c>
      <c r="K9859" s="211">
        <f t="shared" si="6527"/>
        <v>25047.171619999979</v>
      </c>
      <c r="L9859" s="44"/>
      <c r="M9859" s="44">
        <f t="shared" si="6528"/>
        <v>25047.171619999979</v>
      </c>
      <c r="N9859" s="173">
        <f t="shared" si="6529"/>
        <v>1</v>
      </c>
      <c r="O9859" s="44">
        <f t="shared" si="6530"/>
        <v>156</v>
      </c>
      <c r="P9859" s="44">
        <f t="shared" si="6531"/>
        <v>3907358.772719997</v>
      </c>
      <c r="Q9859" s="44">
        <f t="shared" si="6532"/>
        <v>70.5</v>
      </c>
      <c r="R9859" s="44">
        <f t="shared" si="6533"/>
        <v>1765825.5992099985</v>
      </c>
      <c r="S9859" s="123"/>
      <c r="T9859" s="219">
        <f t="shared" si="6534"/>
        <v>1765825.5992099985</v>
      </c>
      <c r="U9859" s="87"/>
      <c r="V9859" s="47"/>
      <c r="W9859" s="48"/>
      <c r="X9859" s="48"/>
      <c r="Y9859" s="48"/>
      <c r="Z9859" s="135"/>
      <c r="AA9859" s="49"/>
      <c r="AB9859" s="50">
        <f t="shared" si="6535"/>
        <v>70.5</v>
      </c>
      <c r="AC9859" s="42">
        <f t="shared" si="6536"/>
        <v>25047.171619999979</v>
      </c>
      <c r="AD9859" s="90">
        <f>AD9860</f>
        <v>1765825.5992099985</v>
      </c>
      <c r="AE9859" s="188">
        <f t="shared" ref="AE9859:AH9859" si="6537">AE9860</f>
        <v>0</v>
      </c>
      <c r="AF9859" s="189">
        <f t="shared" si="6537"/>
        <v>0</v>
      </c>
      <c r="AG9859" s="189">
        <f t="shared" si="6537"/>
        <v>0</v>
      </c>
      <c r="AH9859" s="189">
        <f t="shared" si="6537"/>
        <v>0</v>
      </c>
      <c r="AI9859" s="161">
        <f t="shared" ref="AI9859:AI9866" si="6538">SUM(AE9859:AH9859)</f>
        <v>0</v>
      </c>
      <c r="AK9859" s="169">
        <v>5</v>
      </c>
      <c r="AO9859" s="19" t="s">
        <v>63</v>
      </c>
    </row>
    <row r="9860" spans="1:41" s="103" customFormat="1" ht="19.899999999999999" customHeight="1" x14ac:dyDescent="0.25">
      <c r="A9860" s="51"/>
      <c r="B9860" s="52"/>
      <c r="C9860" s="165"/>
      <c r="D9860" s="52"/>
      <c r="E9860" s="115"/>
      <c r="F9860" s="58"/>
      <c r="G9860" s="58"/>
      <c r="H9860" s="58"/>
      <c r="I9860" s="55"/>
      <c r="J9860" s="113">
        <f>J9859</f>
        <v>25047.171619999979</v>
      </c>
      <c r="K9860" s="212">
        <f>K9859</f>
        <v>25047.171619999979</v>
      </c>
      <c r="L9860" s="58"/>
      <c r="M9860" s="58">
        <f>K9860-L9860</f>
        <v>25047.171619999979</v>
      </c>
      <c r="N9860" s="166"/>
      <c r="O9860" s="58"/>
      <c r="P9860" s="58"/>
      <c r="Q9860" s="58"/>
      <c r="R9860" s="58"/>
      <c r="S9860" s="58"/>
      <c r="T9860" s="220"/>
      <c r="U9860" s="88"/>
      <c r="V9860" s="56"/>
      <c r="W9860" s="57" t="s">
        <v>1651</v>
      </c>
      <c r="X9860" s="53"/>
      <c r="Y9860" s="91" t="s">
        <v>68</v>
      </c>
      <c r="Z9860" s="136">
        <f>AD9860/AC9860</f>
        <v>70.5</v>
      </c>
      <c r="AA9860" s="58"/>
      <c r="AB9860" s="53">
        <f>AD9860/AC9860</f>
        <v>70.5</v>
      </c>
      <c r="AC9860" s="53">
        <f>M9860+$AE$10</f>
        <v>25047.171619999979</v>
      </c>
      <c r="AD9860" s="54">
        <f>SUM(AD9861:AD9865)</f>
        <v>1765825.5992099985</v>
      </c>
      <c r="AE9860" s="184">
        <f>SUMIFS($AD$37:$AD$12971,$V$37:$V$12971,$V9860,$X$37:$X$12971,AE$13)</f>
        <v>0</v>
      </c>
      <c r="AF9860" s="185">
        <f>SUMIFS($AD$37:$AD$12971,$V$37:$V$12971,$V9860,$X$37:$X$12971,AF$13)</f>
        <v>0</v>
      </c>
      <c r="AG9860" s="185">
        <f>SUMIFS($AD$37:$AD$12971,$V$37:$V$12971,$V9860,$X$37:$X$12971,AG$13)</f>
        <v>0</v>
      </c>
      <c r="AH9860" s="187">
        <f>SUMIFS($AD$37:$AD$12971,$V$37:$V$12971,$V9860,$X$37:$X$12971,AH$13)</f>
        <v>0</v>
      </c>
      <c r="AI9860" s="161">
        <f t="shared" ref="AI9860" si="6539">SUM(AE9860:AH9860)</f>
        <v>0</v>
      </c>
      <c r="AK9860" s="172"/>
    </row>
    <row r="9861" spans="1:41" s="102" customFormat="1" ht="19.899999999999999" customHeight="1" x14ac:dyDescent="0.25">
      <c r="A9861" s="45"/>
      <c r="B9861" s="59"/>
      <c r="C9861" s="137"/>
      <c r="D9861" s="59"/>
      <c r="E9861" s="116"/>
      <c r="F9861" s="120"/>
      <c r="G9861" s="120"/>
      <c r="H9861" s="120"/>
      <c r="I9861" s="60"/>
      <c r="J9861" s="116"/>
      <c r="K9861" s="213"/>
      <c r="L9861" s="120"/>
      <c r="M9861" s="120"/>
      <c r="N9861" s="167"/>
      <c r="O9861" s="120"/>
      <c r="P9861" s="120"/>
      <c r="Q9861" s="120"/>
      <c r="R9861" s="120"/>
      <c r="S9861" s="120"/>
      <c r="T9861" s="221"/>
      <c r="U9861" s="89"/>
      <c r="V9861" s="61"/>
      <c r="W9861" s="92" t="s">
        <v>1649</v>
      </c>
      <c r="X9861" s="93" t="s">
        <v>30</v>
      </c>
      <c r="Y9861" s="93" t="s">
        <v>68</v>
      </c>
      <c r="Z9861" s="134">
        <f>VLOOKUP(W9861,Sheet2!$B:$D,3,FALSE)</f>
        <v>33.5</v>
      </c>
      <c r="AA9861" s="93">
        <v>1</v>
      </c>
      <c r="AB9861" s="93">
        <f>AD9861/AC9860</f>
        <v>33.5</v>
      </c>
      <c r="AC9861" s="93">
        <f>AC9860/AA9861</f>
        <v>25047.171619999979</v>
      </c>
      <c r="AD9861" s="94">
        <f t="shared" ref="AD9861" si="6540">AC9861*Z9861</f>
        <v>839080.24926999933</v>
      </c>
      <c r="AE9861" s="190"/>
      <c r="AF9861" s="191"/>
      <c r="AG9861" s="191"/>
      <c r="AH9861" s="191"/>
      <c r="AI9861" s="186"/>
      <c r="AK9861" s="171"/>
    </row>
    <row r="9862" spans="1:41" s="102" customFormat="1" ht="19.899999999999999" customHeight="1" x14ac:dyDescent="0.25">
      <c r="A9862" s="45"/>
      <c r="B9862" s="59"/>
      <c r="C9862" s="137"/>
      <c r="D9862" s="59"/>
      <c r="E9862" s="116"/>
      <c r="F9862" s="120"/>
      <c r="G9862" s="120"/>
      <c r="H9862" s="120"/>
      <c r="I9862" s="60"/>
      <c r="J9862" s="116"/>
      <c r="K9862" s="213"/>
      <c r="L9862" s="120"/>
      <c r="M9862" s="120"/>
      <c r="N9862" s="167"/>
      <c r="O9862" s="120"/>
      <c r="P9862" s="120"/>
      <c r="Q9862" s="120"/>
      <c r="R9862" s="120"/>
      <c r="S9862" s="120"/>
      <c r="T9862" s="221"/>
      <c r="U9862" s="89"/>
      <c r="V9862" s="61"/>
      <c r="W9862" s="92" t="s">
        <v>1650</v>
      </c>
      <c r="X9862" s="93" t="s">
        <v>30</v>
      </c>
      <c r="Y9862" s="93" t="s">
        <v>68</v>
      </c>
      <c r="Z9862" s="134">
        <f>VLOOKUP(W9862,Sheet2!$B:$D,3,FALSE)</f>
        <v>2</v>
      </c>
      <c r="AA9862" s="93">
        <v>1</v>
      </c>
      <c r="AB9862" s="93">
        <f>AD9862/AC9860</f>
        <v>2</v>
      </c>
      <c r="AC9862" s="93">
        <f>AC9860/AA9862</f>
        <v>25047.171619999979</v>
      </c>
      <c r="AD9862" s="94">
        <f>AC9862*Z9862</f>
        <v>50094.343239999958</v>
      </c>
      <c r="AE9862" s="190"/>
      <c r="AF9862" s="191"/>
      <c r="AG9862" s="191"/>
      <c r="AH9862" s="191"/>
      <c r="AI9862" s="186"/>
      <c r="AK9862" s="171"/>
    </row>
    <row r="9863" spans="1:41" s="102" customFormat="1" ht="19.899999999999999" customHeight="1" x14ac:dyDescent="0.25">
      <c r="A9863" s="45"/>
      <c r="B9863" s="59"/>
      <c r="C9863" s="137"/>
      <c r="D9863" s="59"/>
      <c r="E9863" s="116"/>
      <c r="F9863" s="120"/>
      <c r="G9863" s="120"/>
      <c r="H9863" s="120"/>
      <c r="I9863" s="60"/>
      <c r="J9863" s="116"/>
      <c r="K9863" s="213"/>
      <c r="L9863" s="120"/>
      <c r="M9863" s="120"/>
      <c r="N9863" s="167"/>
      <c r="O9863" s="120"/>
      <c r="P9863" s="120"/>
      <c r="Q9863" s="120"/>
      <c r="R9863" s="120"/>
      <c r="S9863" s="120"/>
      <c r="T9863" s="221"/>
      <c r="U9863" s="89"/>
      <c r="V9863" s="61"/>
      <c r="W9863" s="92" t="s">
        <v>107</v>
      </c>
      <c r="X9863" s="93" t="s">
        <v>31</v>
      </c>
      <c r="Y9863" s="93" t="s">
        <v>93</v>
      </c>
      <c r="Z9863" s="134">
        <f>VLOOKUP(W9863,Sheet2!$B:$D,3,FALSE)</f>
        <v>17</v>
      </c>
      <c r="AA9863" s="93">
        <v>1</v>
      </c>
      <c r="AB9863" s="93">
        <f>AD9863/AC9860</f>
        <v>17</v>
      </c>
      <c r="AC9863" s="93">
        <f>AC9860/AA9863</f>
        <v>25047.171619999979</v>
      </c>
      <c r="AD9863" s="94">
        <f>AC9863*Z9863</f>
        <v>425801.91753999965</v>
      </c>
      <c r="AE9863" s="190"/>
      <c r="AF9863" s="191"/>
      <c r="AG9863" s="191"/>
      <c r="AH9863" s="191"/>
      <c r="AI9863" s="186"/>
      <c r="AK9863" s="171"/>
    </row>
    <row r="9864" spans="1:41" s="102" customFormat="1" ht="19.899999999999999" customHeight="1" x14ac:dyDescent="0.25">
      <c r="A9864" s="45"/>
      <c r="B9864" s="59"/>
      <c r="C9864" s="137"/>
      <c r="D9864" s="59"/>
      <c r="E9864" s="116"/>
      <c r="F9864" s="120"/>
      <c r="G9864" s="120"/>
      <c r="H9864" s="120"/>
      <c r="I9864" s="60"/>
      <c r="J9864" s="116"/>
      <c r="K9864" s="213"/>
      <c r="L9864" s="120"/>
      <c r="M9864" s="120"/>
      <c r="N9864" s="167"/>
      <c r="O9864" s="120"/>
      <c r="P9864" s="120"/>
      <c r="Q9864" s="120"/>
      <c r="R9864" s="120"/>
      <c r="S9864" s="120"/>
      <c r="T9864" s="221"/>
      <c r="U9864" s="89"/>
      <c r="V9864" s="61"/>
      <c r="W9864" s="92" t="s">
        <v>112</v>
      </c>
      <c r="X9864" s="93" t="s">
        <v>31</v>
      </c>
      <c r="Y9864" s="93" t="s">
        <v>93</v>
      </c>
      <c r="Z9864" s="134">
        <f>VLOOKUP(W9864,Sheet2!$B:$D,3,FALSE)</f>
        <v>13</v>
      </c>
      <c r="AA9864" s="93">
        <v>1</v>
      </c>
      <c r="AB9864" s="93">
        <f>AD9864/AC9860</f>
        <v>13</v>
      </c>
      <c r="AC9864" s="93">
        <f>AC9860/AA9864</f>
        <v>25047.171619999979</v>
      </c>
      <c r="AD9864" s="94">
        <f>AC9864*Z9864</f>
        <v>325613.23105999973</v>
      </c>
      <c r="AE9864" s="190"/>
      <c r="AF9864" s="191"/>
      <c r="AG9864" s="191"/>
      <c r="AH9864" s="191"/>
      <c r="AI9864" s="186"/>
      <c r="AK9864" s="171"/>
    </row>
    <row r="9865" spans="1:41" s="102" customFormat="1" ht="19.899999999999999" customHeight="1" x14ac:dyDescent="0.25">
      <c r="A9865" s="45"/>
      <c r="B9865" s="59"/>
      <c r="C9865" s="137"/>
      <c r="D9865" s="59"/>
      <c r="E9865" s="116"/>
      <c r="F9865" s="120"/>
      <c r="G9865" s="120"/>
      <c r="H9865" s="120"/>
      <c r="I9865" s="60"/>
      <c r="J9865" s="116"/>
      <c r="K9865" s="213"/>
      <c r="L9865" s="120"/>
      <c r="M9865" s="120"/>
      <c r="N9865" s="167"/>
      <c r="O9865" s="120"/>
      <c r="P9865" s="120"/>
      <c r="Q9865" s="120"/>
      <c r="R9865" s="120"/>
      <c r="S9865" s="120"/>
      <c r="T9865" s="221"/>
      <c r="U9865" s="89"/>
      <c r="V9865" s="61"/>
      <c r="W9865" s="92" t="s">
        <v>1039</v>
      </c>
      <c r="X9865" s="93" t="s">
        <v>32</v>
      </c>
      <c r="Y9865" s="93" t="s">
        <v>68</v>
      </c>
      <c r="Z9865" s="134">
        <f>VLOOKUP(W9865,Sheet2!$B:$D,3,FALSE)</f>
        <v>5</v>
      </c>
      <c r="AA9865" s="93">
        <v>1</v>
      </c>
      <c r="AB9865" s="93">
        <f>AD9865/AC9860</f>
        <v>5</v>
      </c>
      <c r="AC9865" s="93">
        <f>AC9860/AA9865</f>
        <v>25047.171619999979</v>
      </c>
      <c r="AD9865" s="94">
        <f>AC9865*Z9865</f>
        <v>125235.8580999999</v>
      </c>
      <c r="AE9865" s="190"/>
      <c r="AF9865" s="191"/>
      <c r="AG9865" s="191"/>
      <c r="AH9865" s="191"/>
      <c r="AI9865" s="186"/>
      <c r="AK9865" s="171"/>
    </row>
    <row r="9866" spans="1:41" ht="25.5" x14ac:dyDescent="0.25">
      <c r="A9866" s="277" t="s">
        <v>703</v>
      </c>
      <c r="B9866" s="278"/>
      <c r="C9866" s="64" t="s">
        <v>941</v>
      </c>
      <c r="D9866" s="46" t="s">
        <v>940</v>
      </c>
      <c r="E9866" s="114">
        <v>31927.815499999975</v>
      </c>
      <c r="F9866" s="44">
        <v>249</v>
      </c>
      <c r="G9866" s="44">
        <f t="shared" si="6523"/>
        <v>7950026.0594999939</v>
      </c>
      <c r="H9866" s="44">
        <f t="shared" si="6524"/>
        <v>79</v>
      </c>
      <c r="I9866" s="43">
        <f t="shared" si="6525"/>
        <v>2522297.4244999979</v>
      </c>
      <c r="J9866" s="112">
        <f t="shared" si="6526"/>
        <v>31927.815499999975</v>
      </c>
      <c r="K9866" s="211">
        <f t="shared" si="6527"/>
        <v>31927.815499999975</v>
      </c>
      <c r="L9866" s="44"/>
      <c r="M9866" s="44">
        <f t="shared" si="6528"/>
        <v>31927.815499999975</v>
      </c>
      <c r="N9866" s="173">
        <f t="shared" si="6529"/>
        <v>1</v>
      </c>
      <c r="O9866" s="44">
        <f t="shared" si="6530"/>
        <v>249</v>
      </c>
      <c r="P9866" s="44">
        <f t="shared" si="6531"/>
        <v>7950026.0594999939</v>
      </c>
      <c r="Q9866" s="44">
        <f t="shared" si="6532"/>
        <v>79</v>
      </c>
      <c r="R9866" s="44">
        <f t="shared" si="6533"/>
        <v>2522297.4244999979</v>
      </c>
      <c r="S9866" s="123"/>
      <c r="T9866" s="219">
        <f t="shared" si="6534"/>
        <v>2522297.4244999979</v>
      </c>
      <c r="U9866" s="87"/>
      <c r="V9866" s="47"/>
      <c r="W9866" s="48"/>
      <c r="X9866" s="48"/>
      <c r="Y9866" s="48"/>
      <c r="Z9866" s="135"/>
      <c r="AA9866" s="49"/>
      <c r="AB9866" s="50">
        <f t="shared" si="6535"/>
        <v>79</v>
      </c>
      <c r="AC9866" s="42">
        <f t="shared" si="6536"/>
        <v>31927.815499999975</v>
      </c>
      <c r="AD9866" s="90">
        <f>AD9867</f>
        <v>2522297.4244999979</v>
      </c>
      <c r="AE9866" s="188">
        <f t="shared" ref="AE9866" si="6541">AE9867</f>
        <v>0</v>
      </c>
      <c r="AF9866" s="189">
        <f t="shared" ref="AF9866" si="6542">AF9867</f>
        <v>0</v>
      </c>
      <c r="AG9866" s="189">
        <f t="shared" ref="AG9866" si="6543">AG9867</f>
        <v>0</v>
      </c>
      <c r="AH9866" s="189">
        <f t="shared" ref="AH9866" si="6544">AH9867</f>
        <v>0</v>
      </c>
      <c r="AI9866" s="161">
        <f t="shared" si="6538"/>
        <v>0</v>
      </c>
      <c r="AK9866" s="169">
        <v>5</v>
      </c>
      <c r="AO9866" s="19" t="s">
        <v>63</v>
      </c>
    </row>
    <row r="9867" spans="1:41" s="103" customFormat="1" ht="19.899999999999999" customHeight="1" x14ac:dyDescent="0.25">
      <c r="A9867" s="51"/>
      <c r="B9867" s="52"/>
      <c r="C9867" s="165"/>
      <c r="D9867" s="52"/>
      <c r="E9867" s="115"/>
      <c r="F9867" s="58"/>
      <c r="G9867" s="58"/>
      <c r="H9867" s="58"/>
      <c r="I9867" s="55"/>
      <c r="J9867" s="113">
        <f>J9866</f>
        <v>31927.815499999975</v>
      </c>
      <c r="K9867" s="212">
        <f>K9866</f>
        <v>31927.815499999975</v>
      </c>
      <c r="L9867" s="58"/>
      <c r="M9867" s="58">
        <f>K9867-L9867</f>
        <v>31927.815499999975</v>
      </c>
      <c r="N9867" s="166"/>
      <c r="O9867" s="58"/>
      <c r="P9867" s="58"/>
      <c r="Q9867" s="58"/>
      <c r="R9867" s="58"/>
      <c r="S9867" s="58"/>
      <c r="T9867" s="220"/>
      <c r="U9867" s="88"/>
      <c r="V9867" s="56"/>
      <c r="W9867" s="57" t="s">
        <v>1651</v>
      </c>
      <c r="X9867" s="53"/>
      <c r="Y9867" s="91" t="s">
        <v>68</v>
      </c>
      <c r="Z9867" s="136">
        <f>AD9867/AC9867</f>
        <v>79</v>
      </c>
      <c r="AA9867" s="58"/>
      <c r="AB9867" s="53">
        <f>AD9867/AC9867</f>
        <v>79</v>
      </c>
      <c r="AC9867" s="53">
        <f>M9867+$AE$10</f>
        <v>31927.815499999975</v>
      </c>
      <c r="AD9867" s="54">
        <f>SUM(AD9868:AD9872)</f>
        <v>2522297.4244999979</v>
      </c>
      <c r="AE9867" s="184">
        <f>SUMIFS($AD$37:$AD$12971,$V$37:$V$12971,$V9867,$X$37:$X$12971,AE$13)</f>
        <v>0</v>
      </c>
      <c r="AF9867" s="185">
        <f>SUMIFS($AD$37:$AD$12971,$V$37:$V$12971,$V9867,$X$37:$X$12971,AF$13)</f>
        <v>0</v>
      </c>
      <c r="AG9867" s="185">
        <f>SUMIFS($AD$37:$AD$12971,$V$37:$V$12971,$V9867,$X$37:$X$12971,AG$13)</f>
        <v>0</v>
      </c>
      <c r="AH9867" s="187">
        <f>SUMIFS($AD$37:$AD$12971,$V$37:$V$12971,$V9867,$X$37:$X$12971,AH$13)</f>
        <v>0</v>
      </c>
      <c r="AI9867" s="161">
        <f t="shared" ref="AI9867" si="6545">SUM(AE9867:AH9867)</f>
        <v>0</v>
      </c>
      <c r="AK9867" s="172"/>
    </row>
    <row r="9868" spans="1:41" s="102" customFormat="1" ht="19.899999999999999" customHeight="1" x14ac:dyDescent="0.25">
      <c r="A9868" s="45"/>
      <c r="B9868" s="59"/>
      <c r="C9868" s="137"/>
      <c r="D9868" s="59"/>
      <c r="E9868" s="116"/>
      <c r="F9868" s="120"/>
      <c r="G9868" s="120"/>
      <c r="H9868" s="120"/>
      <c r="I9868" s="60"/>
      <c r="J9868" s="116"/>
      <c r="K9868" s="213"/>
      <c r="L9868" s="120"/>
      <c r="M9868" s="120"/>
      <c r="N9868" s="167"/>
      <c r="O9868" s="120"/>
      <c r="P9868" s="120"/>
      <c r="Q9868" s="120"/>
      <c r="R9868" s="120"/>
      <c r="S9868" s="120"/>
      <c r="T9868" s="221"/>
      <c r="U9868" s="89"/>
      <c r="V9868" s="61"/>
      <c r="W9868" s="92" t="s">
        <v>1220</v>
      </c>
      <c r="X9868" s="93" t="s">
        <v>30</v>
      </c>
      <c r="Y9868" s="93" t="s">
        <v>68</v>
      </c>
      <c r="Z9868" s="134">
        <f>VLOOKUP(W9868,Sheet2!$B:$D,3,FALSE)</f>
        <v>40</v>
      </c>
      <c r="AA9868" s="93">
        <v>1</v>
      </c>
      <c r="AB9868" s="93">
        <f>AD9868/AC9867</f>
        <v>40</v>
      </c>
      <c r="AC9868" s="93">
        <f>AC9867/AA9868</f>
        <v>31927.815499999975</v>
      </c>
      <c r="AD9868" s="94">
        <f t="shared" ref="AD9868" si="6546">AC9868*Z9868</f>
        <v>1277112.6199999989</v>
      </c>
      <c r="AE9868" s="190"/>
      <c r="AF9868" s="191"/>
      <c r="AG9868" s="191"/>
      <c r="AH9868" s="191"/>
      <c r="AI9868" s="186"/>
      <c r="AK9868" s="171"/>
    </row>
    <row r="9869" spans="1:41" s="102" customFormat="1" ht="19.899999999999999" customHeight="1" x14ac:dyDescent="0.25">
      <c r="A9869" s="45"/>
      <c r="B9869" s="59"/>
      <c r="C9869" s="137"/>
      <c r="D9869" s="59"/>
      <c r="E9869" s="116"/>
      <c r="F9869" s="120"/>
      <c r="G9869" s="120"/>
      <c r="H9869" s="120"/>
      <c r="I9869" s="60"/>
      <c r="J9869" s="116"/>
      <c r="K9869" s="213"/>
      <c r="L9869" s="120"/>
      <c r="M9869" s="120"/>
      <c r="N9869" s="167"/>
      <c r="O9869" s="120"/>
      <c r="P9869" s="120"/>
      <c r="Q9869" s="120"/>
      <c r="R9869" s="120"/>
      <c r="S9869" s="120"/>
      <c r="T9869" s="221"/>
      <c r="U9869" s="89"/>
      <c r="V9869" s="61"/>
      <c r="W9869" s="92" t="s">
        <v>1221</v>
      </c>
      <c r="X9869" s="93" t="s">
        <v>30</v>
      </c>
      <c r="Y9869" s="93" t="s">
        <v>68</v>
      </c>
      <c r="Z9869" s="134">
        <f>VLOOKUP(W9869,Sheet2!$B:$D,3,FALSE)</f>
        <v>4</v>
      </c>
      <c r="AA9869" s="93">
        <v>1</v>
      </c>
      <c r="AB9869" s="93">
        <f>AD9869/AC9867</f>
        <v>4</v>
      </c>
      <c r="AC9869" s="93">
        <f>AC9867/AA9869</f>
        <v>31927.815499999975</v>
      </c>
      <c r="AD9869" s="94">
        <f>AC9869*Z9869</f>
        <v>127711.2619999999</v>
      </c>
      <c r="AE9869" s="190"/>
      <c r="AF9869" s="191"/>
      <c r="AG9869" s="191"/>
      <c r="AH9869" s="191"/>
      <c r="AI9869" s="186"/>
      <c r="AK9869" s="171"/>
    </row>
    <row r="9870" spans="1:41" s="102" customFormat="1" ht="19.899999999999999" customHeight="1" x14ac:dyDescent="0.25">
      <c r="A9870" s="45"/>
      <c r="B9870" s="59"/>
      <c r="C9870" s="137"/>
      <c r="D9870" s="59"/>
      <c r="E9870" s="116"/>
      <c r="F9870" s="120"/>
      <c r="G9870" s="120"/>
      <c r="H9870" s="120"/>
      <c r="I9870" s="60"/>
      <c r="J9870" s="116"/>
      <c r="K9870" s="213"/>
      <c r="L9870" s="120"/>
      <c r="M9870" s="120"/>
      <c r="N9870" s="167"/>
      <c r="O9870" s="120"/>
      <c r="P9870" s="120"/>
      <c r="Q9870" s="120"/>
      <c r="R9870" s="120"/>
      <c r="S9870" s="120"/>
      <c r="T9870" s="221"/>
      <c r="U9870" s="89"/>
      <c r="V9870" s="61"/>
      <c r="W9870" s="92" t="s">
        <v>107</v>
      </c>
      <c r="X9870" s="93" t="s">
        <v>31</v>
      </c>
      <c r="Y9870" s="93" t="s">
        <v>93</v>
      </c>
      <c r="Z9870" s="134">
        <f>VLOOKUP(W9870,Sheet2!$B:$D,3,FALSE)</f>
        <v>17</v>
      </c>
      <c r="AA9870" s="93">
        <v>1</v>
      </c>
      <c r="AB9870" s="93">
        <f>AD9870/AC9867</f>
        <v>17</v>
      </c>
      <c r="AC9870" s="93">
        <f>AC9867/AA9870</f>
        <v>31927.815499999975</v>
      </c>
      <c r="AD9870" s="94">
        <f>AC9870*Z9870</f>
        <v>542772.86349999963</v>
      </c>
      <c r="AE9870" s="190"/>
      <c r="AF9870" s="191"/>
      <c r="AG9870" s="191"/>
      <c r="AH9870" s="191"/>
      <c r="AI9870" s="186"/>
      <c r="AK9870" s="171"/>
    </row>
    <row r="9871" spans="1:41" s="102" customFormat="1" ht="19.899999999999999" customHeight="1" x14ac:dyDescent="0.25">
      <c r="A9871" s="45"/>
      <c r="B9871" s="59"/>
      <c r="C9871" s="137"/>
      <c r="D9871" s="59"/>
      <c r="E9871" s="116"/>
      <c r="F9871" s="120"/>
      <c r="G9871" s="120"/>
      <c r="H9871" s="120"/>
      <c r="I9871" s="60"/>
      <c r="J9871" s="116"/>
      <c r="K9871" s="213"/>
      <c r="L9871" s="120"/>
      <c r="M9871" s="120"/>
      <c r="N9871" s="167"/>
      <c r="O9871" s="120"/>
      <c r="P9871" s="120"/>
      <c r="Q9871" s="120"/>
      <c r="R9871" s="120"/>
      <c r="S9871" s="120"/>
      <c r="T9871" s="221"/>
      <c r="U9871" s="89"/>
      <c r="V9871" s="61"/>
      <c r="W9871" s="92" t="s">
        <v>112</v>
      </c>
      <c r="X9871" s="93" t="s">
        <v>31</v>
      </c>
      <c r="Y9871" s="93" t="s">
        <v>93</v>
      </c>
      <c r="Z9871" s="134">
        <f>VLOOKUP(W9871,Sheet2!$B:$D,3,FALSE)</f>
        <v>13</v>
      </c>
      <c r="AA9871" s="93">
        <v>1</v>
      </c>
      <c r="AB9871" s="93">
        <f>AD9871/AC9867</f>
        <v>13</v>
      </c>
      <c r="AC9871" s="93">
        <f>AC9867/AA9871</f>
        <v>31927.815499999975</v>
      </c>
      <c r="AD9871" s="94">
        <f>AC9871*Z9871</f>
        <v>415061.6014999997</v>
      </c>
      <c r="AE9871" s="190"/>
      <c r="AF9871" s="191"/>
      <c r="AG9871" s="191"/>
      <c r="AH9871" s="191"/>
      <c r="AI9871" s="186"/>
      <c r="AK9871" s="171"/>
    </row>
    <row r="9872" spans="1:41" s="102" customFormat="1" ht="19.899999999999999" customHeight="1" x14ac:dyDescent="0.25">
      <c r="A9872" s="45"/>
      <c r="B9872" s="59"/>
      <c r="C9872" s="137"/>
      <c r="D9872" s="59"/>
      <c r="E9872" s="116"/>
      <c r="F9872" s="120"/>
      <c r="G9872" s="120"/>
      <c r="H9872" s="120"/>
      <c r="I9872" s="60"/>
      <c r="J9872" s="116"/>
      <c r="K9872" s="213"/>
      <c r="L9872" s="120"/>
      <c r="M9872" s="120"/>
      <c r="N9872" s="167"/>
      <c r="O9872" s="120"/>
      <c r="P9872" s="120"/>
      <c r="Q9872" s="120"/>
      <c r="R9872" s="120"/>
      <c r="S9872" s="120"/>
      <c r="T9872" s="221"/>
      <c r="U9872" s="89"/>
      <c r="V9872" s="61"/>
      <c r="W9872" s="92" t="s">
        <v>1039</v>
      </c>
      <c r="X9872" s="93" t="s">
        <v>32</v>
      </c>
      <c r="Y9872" s="93" t="s">
        <v>68</v>
      </c>
      <c r="Z9872" s="134">
        <f>VLOOKUP(W9872,Sheet2!$B:$D,3,FALSE)</f>
        <v>5</v>
      </c>
      <c r="AA9872" s="93">
        <v>1</v>
      </c>
      <c r="AB9872" s="93">
        <f>AD9872/AC9867</f>
        <v>5</v>
      </c>
      <c r="AC9872" s="93">
        <f>AC9867/AA9872</f>
        <v>31927.815499999975</v>
      </c>
      <c r="AD9872" s="94">
        <f>AC9872*Z9872</f>
        <v>159639.07749999987</v>
      </c>
      <c r="AE9872" s="190"/>
      <c r="AF9872" s="191"/>
      <c r="AG9872" s="191"/>
      <c r="AH9872" s="191"/>
      <c r="AI9872" s="186"/>
      <c r="AK9872" s="171"/>
    </row>
    <row r="9873" spans="1:41" ht="20.100000000000001" customHeight="1" x14ac:dyDescent="0.25">
      <c r="A9873" s="277" t="s">
        <v>703</v>
      </c>
      <c r="B9873" s="278"/>
      <c r="C9873" s="64" t="s">
        <v>942</v>
      </c>
      <c r="D9873" s="46" t="s">
        <v>940</v>
      </c>
      <c r="E9873" s="114">
        <v>56974.987119999962</v>
      </c>
      <c r="F9873" s="44">
        <v>73</v>
      </c>
      <c r="G9873" s="44">
        <f t="shared" si="3841"/>
        <v>4159174.0597599973</v>
      </c>
      <c r="H9873" s="44">
        <f t="shared" si="3842"/>
        <v>55.922713896470583</v>
      </c>
      <c r="I9873" s="43">
        <f t="shared" si="3843"/>
        <v>3186195.9039668543</v>
      </c>
      <c r="J9873" s="112">
        <f t="shared" si="3844"/>
        <v>56974.987119999962</v>
      </c>
      <c r="K9873" s="211">
        <f t="shared" si="3845"/>
        <v>56974.987119999962</v>
      </c>
      <c r="L9873" s="44"/>
      <c r="M9873" s="44">
        <f t="shared" si="3846"/>
        <v>56974.987119999962</v>
      </c>
      <c r="N9873" s="173">
        <f t="shared" si="3847"/>
        <v>1</v>
      </c>
      <c r="O9873" s="44">
        <f t="shared" si="3848"/>
        <v>73</v>
      </c>
      <c r="P9873" s="44">
        <f t="shared" si="3849"/>
        <v>4159174.0597599973</v>
      </c>
      <c r="Q9873" s="44">
        <f t="shared" si="3850"/>
        <v>55.922713896470583</v>
      </c>
      <c r="R9873" s="44">
        <f t="shared" si="3851"/>
        <v>3186195.9039668543</v>
      </c>
      <c r="S9873" s="123"/>
      <c r="T9873" s="219">
        <f t="shared" si="3852"/>
        <v>3186195.9039668543</v>
      </c>
      <c r="U9873" s="87"/>
      <c r="V9873" s="47"/>
      <c r="W9873" s="48"/>
      <c r="X9873" s="48"/>
      <c r="Y9873" s="48"/>
      <c r="Z9873" s="135"/>
      <c r="AA9873" s="49"/>
      <c r="AB9873" s="50">
        <f t="shared" si="3853"/>
        <v>55.922713896470583</v>
      </c>
      <c r="AC9873" s="42">
        <f t="shared" si="3854"/>
        <v>56974.987119999962</v>
      </c>
      <c r="AD9873" s="90">
        <f>AD9874</f>
        <v>3186195.9039668543</v>
      </c>
      <c r="AE9873" s="188">
        <f t="shared" ref="AE9873:AH9873" si="6547">AE9874</f>
        <v>0</v>
      </c>
      <c r="AF9873" s="189">
        <f t="shared" si="6547"/>
        <v>0</v>
      </c>
      <c r="AG9873" s="189">
        <f t="shared" si="6547"/>
        <v>0</v>
      </c>
      <c r="AH9873" s="189">
        <f t="shared" si="6547"/>
        <v>0</v>
      </c>
      <c r="AI9873" s="161">
        <f t="shared" ref="AI9873" si="6548">SUM(AE9873:AH9873)</f>
        <v>0</v>
      </c>
      <c r="AK9873" s="169">
        <v>5</v>
      </c>
      <c r="AO9873" s="19" t="s">
        <v>63</v>
      </c>
    </row>
    <row r="9874" spans="1:41" s="103" customFormat="1" ht="19.899999999999999" customHeight="1" x14ac:dyDescent="0.25">
      <c r="A9874" s="51"/>
      <c r="B9874" s="52"/>
      <c r="C9874" s="165"/>
      <c r="D9874" s="52"/>
      <c r="E9874" s="115"/>
      <c r="F9874" s="58"/>
      <c r="G9874" s="58"/>
      <c r="H9874" s="58"/>
      <c r="I9874" s="55"/>
      <c r="J9874" s="113">
        <f>J9873</f>
        <v>56974.987119999962</v>
      </c>
      <c r="K9874" s="212">
        <f>K9873</f>
        <v>56974.987119999962</v>
      </c>
      <c r="L9874" s="58"/>
      <c r="M9874" s="58">
        <f>K9874-L9874</f>
        <v>56974.987119999962</v>
      </c>
      <c r="N9874" s="166"/>
      <c r="O9874" s="58"/>
      <c r="P9874" s="58"/>
      <c r="Q9874" s="58"/>
      <c r="R9874" s="58"/>
      <c r="S9874" s="58"/>
      <c r="T9874" s="220"/>
      <c r="U9874" s="88"/>
      <c r="V9874" s="56"/>
      <c r="W9874" s="57" t="s">
        <v>1571</v>
      </c>
      <c r="X9874" s="53"/>
      <c r="Y9874" s="91" t="s">
        <v>68</v>
      </c>
      <c r="Z9874" s="136">
        <f>AD9874/AC9874</f>
        <v>55.922713896470583</v>
      </c>
      <c r="AA9874" s="58"/>
      <c r="AB9874" s="53">
        <f>AD9874/AC9874</f>
        <v>55.922713896470583</v>
      </c>
      <c r="AC9874" s="53">
        <f>M9874+$AE$10</f>
        <v>56974.987119999962</v>
      </c>
      <c r="AD9874" s="54">
        <f>SUM(AD9875:AD9881)</f>
        <v>3186195.9039668543</v>
      </c>
      <c r="AE9874" s="184">
        <f>SUMIFS($AD$37:$AD$12971,$V$37:$V$12971,$V9874,$X$37:$X$12971,AE$13)</f>
        <v>0</v>
      </c>
      <c r="AF9874" s="185">
        <f>SUMIFS($AD$37:$AD$12971,$V$37:$V$12971,$V9874,$X$37:$X$12971,AF$13)</f>
        <v>0</v>
      </c>
      <c r="AG9874" s="185">
        <f>SUMIFS($AD$37:$AD$12971,$V$37:$V$12971,$V9874,$X$37:$X$12971,AG$13)</f>
        <v>0</v>
      </c>
      <c r="AH9874" s="187">
        <f>SUMIFS($AD$37:$AD$12971,$V$37:$V$12971,$V9874,$X$37:$X$12971,AH$13)</f>
        <v>0</v>
      </c>
      <c r="AI9874" s="161">
        <f t="shared" ref="AI9874" si="6549">SUM(AE9874:AH9874)</f>
        <v>0</v>
      </c>
      <c r="AK9874" s="172"/>
    </row>
    <row r="9875" spans="1:41" s="102" customFormat="1" ht="19.899999999999999" customHeight="1" x14ac:dyDescent="0.25">
      <c r="A9875" s="45"/>
      <c r="B9875" s="59"/>
      <c r="C9875" s="137"/>
      <c r="D9875" s="59"/>
      <c r="E9875" s="116"/>
      <c r="F9875" s="120"/>
      <c r="G9875" s="120"/>
      <c r="H9875" s="120"/>
      <c r="I9875" s="60"/>
      <c r="J9875" s="116"/>
      <c r="K9875" s="213"/>
      <c r="L9875" s="120"/>
      <c r="M9875" s="120"/>
      <c r="N9875" s="167"/>
      <c r="O9875" s="120"/>
      <c r="P9875" s="120"/>
      <c r="Q9875" s="120"/>
      <c r="R9875" s="120"/>
      <c r="S9875" s="120"/>
      <c r="T9875" s="221"/>
      <c r="U9875" s="89"/>
      <c r="V9875" s="61"/>
      <c r="W9875" s="92" t="s">
        <v>1570</v>
      </c>
      <c r="X9875" s="93" t="s">
        <v>30</v>
      </c>
      <c r="Y9875" s="93" t="s">
        <v>66</v>
      </c>
      <c r="Z9875" s="134">
        <f>VLOOKUP(W9875,Sheet2!$B:$D,3,FALSE)</f>
        <v>70</v>
      </c>
      <c r="AA9875" s="93">
        <f>1/((1*(0.3+0.2+0.3))-(3.14/4*0.3*0.3))</f>
        <v>1.3710838417769247</v>
      </c>
      <c r="AB9875" s="93">
        <f>AD9875/AC9874</f>
        <v>51.054499999999997</v>
      </c>
      <c r="AC9875" s="93">
        <f>AC9874/AA9875</f>
        <v>41554.70685597197</v>
      </c>
      <c r="AD9875" s="94">
        <f t="shared" ref="AD9875:AD9877" si="6550">AC9875*Z9875</f>
        <v>2908829.479918038</v>
      </c>
      <c r="AE9875" s="190"/>
      <c r="AF9875" s="191"/>
      <c r="AG9875" s="191"/>
      <c r="AH9875" s="191"/>
      <c r="AI9875" s="186"/>
      <c r="AK9875" s="171"/>
    </row>
    <row r="9876" spans="1:41" s="102" customFormat="1" ht="19.899999999999999" customHeight="1" x14ac:dyDescent="0.25">
      <c r="A9876" s="45"/>
      <c r="B9876" s="59"/>
      <c r="C9876" s="137"/>
      <c r="D9876" s="59"/>
      <c r="E9876" s="116"/>
      <c r="F9876" s="120"/>
      <c r="G9876" s="120"/>
      <c r="H9876" s="120"/>
      <c r="I9876" s="60"/>
      <c r="J9876" s="116"/>
      <c r="K9876" s="213"/>
      <c r="L9876" s="120"/>
      <c r="M9876" s="120"/>
      <c r="N9876" s="167"/>
      <c r="O9876" s="120"/>
      <c r="P9876" s="120"/>
      <c r="Q9876" s="120"/>
      <c r="R9876" s="120"/>
      <c r="S9876" s="120"/>
      <c r="T9876" s="221"/>
      <c r="U9876" s="89"/>
      <c r="V9876" s="61"/>
      <c r="W9876" s="92" t="s">
        <v>134</v>
      </c>
      <c r="X9876" s="93" t="s">
        <v>29</v>
      </c>
      <c r="Y9876" s="93" t="s">
        <v>93</v>
      </c>
      <c r="Z9876" s="134">
        <f>VLOOKUP(W9876,Sheet2!$B:$D,3,FALSE)</f>
        <v>65.599999999999994</v>
      </c>
      <c r="AA9876" s="93">
        <f>100/((1*(0.3+0.2+0.3))-(3.14/4*0.3*0.3))</f>
        <v>137.10838417769244</v>
      </c>
      <c r="AB9876" s="93">
        <f>AD9876/AC9874</f>
        <v>0.47845359999999998</v>
      </c>
      <c r="AC9876" s="93">
        <f>AC9874/AA9876</f>
        <v>415.54706855971978</v>
      </c>
      <c r="AD9876" s="94">
        <f t="shared" si="6550"/>
        <v>27259.887697517614</v>
      </c>
      <c r="AE9876" s="190"/>
      <c r="AF9876" s="191"/>
      <c r="AG9876" s="191"/>
      <c r="AH9876" s="191"/>
      <c r="AI9876" s="186"/>
      <c r="AK9876" s="171"/>
    </row>
    <row r="9877" spans="1:41" s="102" customFormat="1" ht="19.899999999999999" customHeight="1" x14ac:dyDescent="0.25">
      <c r="A9877" s="45"/>
      <c r="B9877" s="59"/>
      <c r="C9877" s="137"/>
      <c r="D9877" s="59"/>
      <c r="E9877" s="116"/>
      <c r="F9877" s="120"/>
      <c r="G9877" s="120"/>
      <c r="H9877" s="120"/>
      <c r="I9877" s="60"/>
      <c r="J9877" s="116"/>
      <c r="K9877" s="213"/>
      <c r="L9877" s="120"/>
      <c r="M9877" s="120"/>
      <c r="N9877" s="167"/>
      <c r="O9877" s="120"/>
      <c r="P9877" s="120"/>
      <c r="Q9877" s="120"/>
      <c r="R9877" s="120"/>
      <c r="S9877" s="120"/>
      <c r="T9877" s="221"/>
      <c r="U9877" s="89"/>
      <c r="V9877" s="61"/>
      <c r="W9877" s="92" t="s">
        <v>65</v>
      </c>
      <c r="X9877" s="93" t="s">
        <v>30</v>
      </c>
      <c r="Y9877" s="93" t="s">
        <v>1011</v>
      </c>
      <c r="Z9877" s="134">
        <f>VLOOKUP(W9877,Sheet2!$B:$D,3,FALSE)</f>
        <v>1.76</v>
      </c>
      <c r="AA9877" s="93">
        <f>AA9876/9</f>
        <v>15.234264908632493</v>
      </c>
      <c r="AB9877" s="93">
        <f>AD9877/AC9874</f>
        <v>0.11552904000000003</v>
      </c>
      <c r="AC9877" s="93">
        <f>AC9874/AA9877</f>
        <v>3739.9236170374784</v>
      </c>
      <c r="AD9877" s="94">
        <f t="shared" si="6550"/>
        <v>6582.265565985962</v>
      </c>
      <c r="AE9877" s="190"/>
      <c r="AF9877" s="191"/>
      <c r="AG9877" s="191"/>
      <c r="AH9877" s="191"/>
      <c r="AI9877" s="186"/>
      <c r="AK9877" s="171"/>
    </row>
    <row r="9878" spans="1:41" s="102" customFormat="1" ht="19.899999999999999" customHeight="1" x14ac:dyDescent="0.25">
      <c r="A9878" s="45"/>
      <c r="B9878" s="59"/>
      <c r="C9878" s="137"/>
      <c r="D9878" s="59"/>
      <c r="E9878" s="116"/>
      <c r="F9878" s="120"/>
      <c r="G9878" s="120"/>
      <c r="H9878" s="120"/>
      <c r="I9878" s="60"/>
      <c r="J9878" s="116"/>
      <c r="K9878" s="213"/>
      <c r="L9878" s="120"/>
      <c r="M9878" s="120"/>
      <c r="N9878" s="167"/>
      <c r="O9878" s="120"/>
      <c r="P9878" s="120"/>
      <c r="Q9878" s="120"/>
      <c r="R9878" s="120"/>
      <c r="S9878" s="120"/>
      <c r="T9878" s="221"/>
      <c r="U9878" s="89"/>
      <c r="V9878" s="61"/>
      <c r="W9878" s="92" t="s">
        <v>161</v>
      </c>
      <c r="X9878" s="93" t="s">
        <v>29</v>
      </c>
      <c r="Y9878" s="93" t="s">
        <v>93</v>
      </c>
      <c r="Z9878" s="134">
        <f>VLOOKUP(W9878,Sheet2!$B:$D,3,FALSE)</f>
        <v>48</v>
      </c>
      <c r="AA9878" s="93">
        <f>(16*0.85*1)/((1*(0.3+0.2+0.3))-(3.14/4*0.3*0.3))</f>
        <v>18.646740248166175</v>
      </c>
      <c r="AB9878" s="93">
        <f>AD9878/AC9874</f>
        <v>2.5741764705882351</v>
      </c>
      <c r="AC9878" s="93">
        <f>AC9874/AA9878</f>
        <v>3055.4931511744098</v>
      </c>
      <c r="AD9878" s="94">
        <f>AC9878*Z9878</f>
        <v>146663.67125637166</v>
      </c>
      <c r="AE9878" s="190"/>
      <c r="AF9878" s="191"/>
      <c r="AG9878" s="191"/>
      <c r="AH9878" s="191"/>
      <c r="AI9878" s="186"/>
      <c r="AK9878" s="171"/>
    </row>
    <row r="9879" spans="1:41" s="102" customFormat="1" ht="19.899999999999999" customHeight="1" x14ac:dyDescent="0.25">
      <c r="A9879" s="45"/>
      <c r="B9879" s="59"/>
      <c r="C9879" s="137"/>
      <c r="D9879" s="59"/>
      <c r="E9879" s="116"/>
      <c r="F9879" s="120"/>
      <c r="G9879" s="120"/>
      <c r="H9879" s="120"/>
      <c r="I9879" s="60"/>
      <c r="J9879" s="116"/>
      <c r="K9879" s="213"/>
      <c r="L9879" s="120"/>
      <c r="M9879" s="120"/>
      <c r="N9879" s="167"/>
      <c r="O9879" s="120"/>
      <c r="P9879" s="120"/>
      <c r="Q9879" s="120"/>
      <c r="R9879" s="120"/>
      <c r="S9879" s="120"/>
      <c r="T9879" s="221"/>
      <c r="U9879" s="89"/>
      <c r="V9879" s="61"/>
      <c r="W9879" s="92" t="s">
        <v>65</v>
      </c>
      <c r="X9879" s="93" t="s">
        <v>30</v>
      </c>
      <c r="Y9879" s="93" t="s">
        <v>1011</v>
      </c>
      <c r="Z9879" s="134">
        <f>VLOOKUP(W9879,Sheet2!$B:$D,3,FALSE)</f>
        <v>1.76</v>
      </c>
      <c r="AA9879" s="93">
        <f>AA9878/10</f>
        <v>1.8646740248166176</v>
      </c>
      <c r="AB9879" s="93">
        <f>AD9879/AC9874</f>
        <v>0.94386470588235294</v>
      </c>
      <c r="AC9879" s="93">
        <f>AC9874/AA9879</f>
        <v>30554.931511744096</v>
      </c>
      <c r="AD9879" s="94">
        <f>AC9879*Z9879</f>
        <v>53776.679460669613</v>
      </c>
      <c r="AE9879" s="190"/>
      <c r="AF9879" s="191"/>
      <c r="AG9879" s="191"/>
      <c r="AH9879" s="191"/>
      <c r="AI9879" s="186"/>
      <c r="AK9879" s="171"/>
    </row>
    <row r="9880" spans="1:41" s="102" customFormat="1" ht="19.899999999999999" customHeight="1" x14ac:dyDescent="0.25">
      <c r="A9880" s="45"/>
      <c r="B9880" s="59"/>
      <c r="C9880" s="137"/>
      <c r="D9880" s="59"/>
      <c r="E9880" s="116"/>
      <c r="F9880" s="120"/>
      <c r="G9880" s="120"/>
      <c r="H9880" s="120"/>
      <c r="I9880" s="60"/>
      <c r="J9880" s="116"/>
      <c r="K9880" s="213"/>
      <c r="L9880" s="120"/>
      <c r="M9880" s="120"/>
      <c r="N9880" s="167"/>
      <c r="O9880" s="120"/>
      <c r="P9880" s="120"/>
      <c r="Q9880" s="120"/>
      <c r="R9880" s="120"/>
      <c r="S9880" s="120"/>
      <c r="T9880" s="221"/>
      <c r="U9880" s="89"/>
      <c r="V9880" s="61"/>
      <c r="W9880" s="92" t="s">
        <v>173</v>
      </c>
      <c r="X9880" s="93" t="s">
        <v>29</v>
      </c>
      <c r="Y9880" s="93" t="s">
        <v>93</v>
      </c>
      <c r="Z9880" s="134">
        <f>VLOOKUP(W9880,Sheet2!$B:$D,3,FALSE)</f>
        <v>36</v>
      </c>
      <c r="AA9880" s="93">
        <f>50/((1*(0.3+0.2+0.3))-(3.14/4*0.3*0.3))</f>
        <v>68.554192088846222</v>
      </c>
      <c r="AB9880" s="93">
        <f>AD9880/AC9874</f>
        <v>0.52513200000000004</v>
      </c>
      <c r="AC9880" s="93">
        <f>AC9874/AA9880</f>
        <v>831.09413711943955</v>
      </c>
      <c r="AD9880" s="94">
        <f>AC9880*Z9880</f>
        <v>29919.388936299823</v>
      </c>
      <c r="AE9880" s="190"/>
      <c r="AF9880" s="191"/>
      <c r="AG9880" s="191"/>
      <c r="AH9880" s="191"/>
      <c r="AI9880" s="186"/>
      <c r="AK9880" s="171"/>
    </row>
    <row r="9881" spans="1:41" s="102" customFormat="1" ht="19.899999999999999" customHeight="1" x14ac:dyDescent="0.25">
      <c r="A9881" s="45"/>
      <c r="B9881" s="59"/>
      <c r="C9881" s="137"/>
      <c r="D9881" s="59"/>
      <c r="E9881" s="116"/>
      <c r="F9881" s="120"/>
      <c r="G9881" s="120"/>
      <c r="H9881" s="120"/>
      <c r="I9881" s="60"/>
      <c r="J9881" s="116"/>
      <c r="K9881" s="213"/>
      <c r="L9881" s="120"/>
      <c r="M9881" s="120"/>
      <c r="N9881" s="167"/>
      <c r="O9881" s="120"/>
      <c r="P9881" s="120"/>
      <c r="Q9881" s="120"/>
      <c r="R9881" s="120"/>
      <c r="S9881" s="120"/>
      <c r="T9881" s="221"/>
      <c r="U9881" s="89"/>
      <c r="V9881" s="61"/>
      <c r="W9881" s="92" t="s">
        <v>65</v>
      </c>
      <c r="X9881" s="93" t="s">
        <v>30</v>
      </c>
      <c r="Y9881" s="93" t="s">
        <v>1011</v>
      </c>
      <c r="Z9881" s="134">
        <f>VLOOKUP(W9881,Sheet2!$B:$D,3,FALSE)</f>
        <v>1.76</v>
      </c>
      <c r="AA9881" s="93">
        <f>AA9880/9</f>
        <v>7.6171324543162466</v>
      </c>
      <c r="AB9881" s="93">
        <f>AD9881/AC9874</f>
        <v>0.23105808000000005</v>
      </c>
      <c r="AC9881" s="93">
        <f>AC9874/AA9881</f>
        <v>7479.8472340749568</v>
      </c>
      <c r="AD9881" s="94">
        <f>AC9881*Z9881</f>
        <v>13164.531131971924</v>
      </c>
      <c r="AE9881" s="190"/>
      <c r="AF9881" s="191"/>
      <c r="AG9881" s="191"/>
      <c r="AH9881" s="191"/>
      <c r="AI9881" s="186"/>
      <c r="AK9881" s="171"/>
    </row>
    <row r="9882" spans="1:41" ht="25.5" x14ac:dyDescent="0.25">
      <c r="A9882" s="277" t="s">
        <v>703</v>
      </c>
      <c r="B9882" s="278"/>
      <c r="C9882" s="64" t="s">
        <v>943</v>
      </c>
      <c r="D9882" s="46" t="s">
        <v>97</v>
      </c>
      <c r="E9882" s="114">
        <v>56974.987119999962</v>
      </c>
      <c r="F9882" s="44">
        <v>37</v>
      </c>
      <c r="G9882" s="44">
        <f t="shared" si="3841"/>
        <v>2108074.5234399987</v>
      </c>
      <c r="H9882" s="44">
        <f t="shared" si="3842"/>
        <v>16</v>
      </c>
      <c r="I9882" s="43">
        <f t="shared" si="3843"/>
        <v>911599.79391999939</v>
      </c>
      <c r="J9882" s="112">
        <f t="shared" si="3844"/>
        <v>56974.987119999962</v>
      </c>
      <c r="K9882" s="211">
        <f t="shared" si="3845"/>
        <v>56974.987119999962</v>
      </c>
      <c r="L9882" s="44"/>
      <c r="M9882" s="44">
        <f t="shared" si="3846"/>
        <v>56974.987119999962</v>
      </c>
      <c r="N9882" s="173">
        <f t="shared" si="3847"/>
        <v>1</v>
      </c>
      <c r="O9882" s="44">
        <f t="shared" si="3848"/>
        <v>37</v>
      </c>
      <c r="P9882" s="44">
        <f t="shared" si="3849"/>
        <v>2108074.5234399987</v>
      </c>
      <c r="Q9882" s="44">
        <f t="shared" si="3850"/>
        <v>16</v>
      </c>
      <c r="R9882" s="44">
        <f t="shared" si="3851"/>
        <v>911599.79391999939</v>
      </c>
      <c r="S9882" s="123"/>
      <c r="T9882" s="219">
        <f t="shared" si="3852"/>
        <v>911599.79391999939</v>
      </c>
      <c r="U9882" s="87"/>
      <c r="V9882" s="47"/>
      <c r="W9882" s="48"/>
      <c r="X9882" s="48"/>
      <c r="Y9882" s="48"/>
      <c r="Z9882" s="135"/>
      <c r="AA9882" s="49"/>
      <c r="AB9882" s="50">
        <f t="shared" si="3853"/>
        <v>16</v>
      </c>
      <c r="AC9882" s="42">
        <f t="shared" si="3854"/>
        <v>56974.987119999962</v>
      </c>
      <c r="AD9882" s="90">
        <f>AD9883</f>
        <v>911599.79391999939</v>
      </c>
      <c r="AE9882" s="188">
        <f t="shared" ref="AE9882:AH9882" si="6551">AE9883</f>
        <v>0</v>
      </c>
      <c r="AF9882" s="189">
        <f t="shared" si="6551"/>
        <v>0</v>
      </c>
      <c r="AG9882" s="189">
        <f t="shared" si="6551"/>
        <v>0</v>
      </c>
      <c r="AH9882" s="189">
        <f t="shared" si="6551"/>
        <v>0</v>
      </c>
      <c r="AI9882" s="161">
        <f t="shared" ref="AI9882" si="6552">SUM(AE9882:AH9882)</f>
        <v>0</v>
      </c>
      <c r="AK9882" s="169">
        <v>5</v>
      </c>
      <c r="AO9882" s="19" t="s">
        <v>63</v>
      </c>
    </row>
    <row r="9883" spans="1:41" s="103" customFormat="1" ht="19.899999999999999" customHeight="1" x14ac:dyDescent="0.25">
      <c r="A9883" s="51"/>
      <c r="B9883" s="52"/>
      <c r="C9883" s="165"/>
      <c r="D9883" s="52"/>
      <c r="E9883" s="115"/>
      <c r="F9883" s="58"/>
      <c r="G9883" s="58"/>
      <c r="H9883" s="58"/>
      <c r="I9883" s="55"/>
      <c r="J9883" s="113">
        <f>J9882</f>
        <v>56974.987119999962</v>
      </c>
      <c r="K9883" s="212">
        <f>K9882</f>
        <v>56974.987119999962</v>
      </c>
      <c r="L9883" s="58"/>
      <c r="M9883" s="58">
        <f>K9883-L9883</f>
        <v>56974.987119999962</v>
      </c>
      <c r="N9883" s="166"/>
      <c r="O9883" s="58"/>
      <c r="P9883" s="58"/>
      <c r="Q9883" s="58"/>
      <c r="R9883" s="58"/>
      <c r="S9883" s="58"/>
      <c r="T9883" s="220"/>
      <c r="U9883" s="88"/>
      <c r="V9883" s="56"/>
      <c r="W9883" s="57" t="s">
        <v>1652</v>
      </c>
      <c r="X9883" s="53"/>
      <c r="Y9883" s="91" t="s">
        <v>68</v>
      </c>
      <c r="Z9883" s="136">
        <f>AD9883/AC9883</f>
        <v>16</v>
      </c>
      <c r="AA9883" s="58"/>
      <c r="AB9883" s="53">
        <f>AD9883/AC9883</f>
        <v>16</v>
      </c>
      <c r="AC9883" s="53">
        <f>M9883+$AE$10</f>
        <v>56974.987119999962</v>
      </c>
      <c r="AD9883" s="54">
        <f>SUM(AD9884)</f>
        <v>911599.79391999939</v>
      </c>
      <c r="AE9883" s="184">
        <f>SUMIFS($AD$37:$AD$12971,$V$37:$V$12971,$V9883,$X$37:$X$12971,AE$13)</f>
        <v>0</v>
      </c>
      <c r="AF9883" s="185">
        <f>SUMIFS($AD$37:$AD$12971,$V$37:$V$12971,$V9883,$X$37:$X$12971,AF$13)</f>
        <v>0</v>
      </c>
      <c r="AG9883" s="185">
        <f>SUMIFS($AD$37:$AD$12971,$V$37:$V$12971,$V9883,$X$37:$X$12971,AG$13)</f>
        <v>0</v>
      </c>
      <c r="AH9883" s="187">
        <f>SUMIFS($AD$37:$AD$12971,$V$37:$V$12971,$V9883,$X$37:$X$12971,AH$13)</f>
        <v>0</v>
      </c>
      <c r="AI9883" s="161">
        <f t="shared" ref="AI9883" si="6553">SUM(AE9883:AH9883)</f>
        <v>0</v>
      </c>
      <c r="AK9883" s="172"/>
    </row>
    <row r="9884" spans="1:41" s="102" customFormat="1" ht="19.899999999999999" customHeight="1" x14ac:dyDescent="0.25">
      <c r="A9884" s="45"/>
      <c r="B9884" s="59"/>
      <c r="C9884" s="137"/>
      <c r="D9884" s="59"/>
      <c r="E9884" s="116"/>
      <c r="F9884" s="120"/>
      <c r="G9884" s="120"/>
      <c r="H9884" s="120"/>
      <c r="I9884" s="60"/>
      <c r="J9884" s="116"/>
      <c r="K9884" s="213"/>
      <c r="L9884" s="120"/>
      <c r="M9884" s="120"/>
      <c r="N9884" s="167"/>
      <c r="O9884" s="120"/>
      <c r="P9884" s="120"/>
      <c r="Q9884" s="120"/>
      <c r="R9884" s="120"/>
      <c r="S9884" s="120"/>
      <c r="T9884" s="221"/>
      <c r="U9884" s="89"/>
      <c r="V9884" s="61"/>
      <c r="W9884" s="92" t="s">
        <v>1653</v>
      </c>
      <c r="X9884" s="93" t="s">
        <v>30</v>
      </c>
      <c r="Y9884" s="93" t="s">
        <v>64</v>
      </c>
      <c r="Z9884" s="134">
        <f>VLOOKUP(W9884,Sheet2!$B:$D,3,FALSE)</f>
        <v>8</v>
      </c>
      <c r="AA9884" s="93">
        <v>0.5</v>
      </c>
      <c r="AB9884" s="93">
        <f>AD9884/AC9883</f>
        <v>16</v>
      </c>
      <c r="AC9884" s="93">
        <f>AC9883/AA9884</f>
        <v>113949.97423999992</v>
      </c>
      <c r="AD9884" s="94">
        <f t="shared" ref="AD9884" si="6554">AC9884*Z9884</f>
        <v>911599.79391999939</v>
      </c>
      <c r="AE9884" s="190"/>
      <c r="AF9884" s="191"/>
      <c r="AG9884" s="191"/>
      <c r="AH9884" s="191"/>
      <c r="AI9884" s="186"/>
      <c r="AK9884" s="171"/>
    </row>
    <row r="9885" spans="1:41" ht="25.5" x14ac:dyDescent="0.25">
      <c r="A9885" s="277" t="s">
        <v>703</v>
      </c>
      <c r="B9885" s="278"/>
      <c r="C9885" s="64" t="s">
        <v>944</v>
      </c>
      <c r="D9885" s="46" t="s">
        <v>215</v>
      </c>
      <c r="E9885" s="114">
        <v>332.85</v>
      </c>
      <c r="F9885" s="44">
        <v>25274</v>
      </c>
      <c r="G9885" s="44">
        <f t="shared" si="3841"/>
        <v>8412450.9000000004</v>
      </c>
      <c r="H9885" s="44">
        <f t="shared" si="3842"/>
        <v>15334.789984941181</v>
      </c>
      <c r="I9885" s="43">
        <f t="shared" si="3843"/>
        <v>5104184.8464876721</v>
      </c>
      <c r="J9885" s="112">
        <f t="shared" si="3844"/>
        <v>332.85</v>
      </c>
      <c r="K9885" s="211">
        <f t="shared" si="3845"/>
        <v>332.85</v>
      </c>
      <c r="L9885" s="44"/>
      <c r="M9885" s="44">
        <f t="shared" si="3846"/>
        <v>332.85</v>
      </c>
      <c r="N9885" s="173">
        <f t="shared" si="3847"/>
        <v>1</v>
      </c>
      <c r="O9885" s="44">
        <f t="shared" si="3848"/>
        <v>25274</v>
      </c>
      <c r="P9885" s="44">
        <f t="shared" si="3849"/>
        <v>8412450.9000000004</v>
      </c>
      <c r="Q9885" s="44">
        <f t="shared" si="3850"/>
        <v>15334.789984941181</v>
      </c>
      <c r="R9885" s="44">
        <f t="shared" si="3851"/>
        <v>5104184.8464876721</v>
      </c>
      <c r="S9885" s="123"/>
      <c r="T9885" s="219">
        <f t="shared" si="3852"/>
        <v>5104184.8464876721</v>
      </c>
      <c r="U9885" s="87"/>
      <c r="V9885" s="47"/>
      <c r="W9885" s="48"/>
      <c r="X9885" s="48"/>
      <c r="Y9885" s="48"/>
      <c r="Z9885" s="135"/>
      <c r="AA9885" s="49"/>
      <c r="AB9885" s="50">
        <f t="shared" si="3853"/>
        <v>15334.789984941181</v>
      </c>
      <c r="AC9885" s="42">
        <f t="shared" si="3854"/>
        <v>332.85</v>
      </c>
      <c r="AD9885" s="90">
        <f>AD9886+AD9891+AD9903+AD9906</f>
        <v>5104184.8464876721</v>
      </c>
      <c r="AE9885" s="188">
        <f t="shared" ref="AE9885:AH9885" si="6555">AE9886+AE9891+AE9903+AE9906</f>
        <v>0</v>
      </c>
      <c r="AF9885" s="189">
        <f t="shared" si="6555"/>
        <v>0</v>
      </c>
      <c r="AG9885" s="189">
        <f t="shared" si="6555"/>
        <v>0</v>
      </c>
      <c r="AH9885" s="189">
        <f t="shared" si="6555"/>
        <v>0</v>
      </c>
      <c r="AI9885" s="161">
        <f t="shared" ref="AI9885:AI9917" si="6556">SUM(AE9885:AH9885)</f>
        <v>0</v>
      </c>
      <c r="AK9885" s="169">
        <v>5</v>
      </c>
      <c r="AO9885" s="19" t="s">
        <v>63</v>
      </c>
    </row>
    <row r="9886" spans="1:41" s="103" customFormat="1" ht="19.899999999999999" customHeight="1" x14ac:dyDescent="0.25">
      <c r="A9886" s="51"/>
      <c r="B9886" s="52"/>
      <c r="C9886" s="165"/>
      <c r="D9886" s="52"/>
      <c r="E9886" s="115"/>
      <c r="F9886" s="58"/>
      <c r="G9886" s="58"/>
      <c r="H9886" s="58"/>
      <c r="I9886" s="55"/>
      <c r="J9886" s="113">
        <f>J9885</f>
        <v>332.85</v>
      </c>
      <c r="K9886" s="212">
        <f>K9885</f>
        <v>332.85</v>
      </c>
      <c r="L9886" s="58"/>
      <c r="M9886" s="58">
        <f>K9886-L9886</f>
        <v>332.85</v>
      </c>
      <c r="N9886" s="166"/>
      <c r="O9886" s="58"/>
      <c r="P9886" s="58"/>
      <c r="Q9886" s="58"/>
      <c r="R9886" s="58"/>
      <c r="S9886" s="58"/>
      <c r="T9886" s="220"/>
      <c r="U9886" s="88"/>
      <c r="V9886" s="56"/>
      <c r="W9886" s="57" t="s">
        <v>1655</v>
      </c>
      <c r="X9886" s="53"/>
      <c r="Y9886" s="91" t="s">
        <v>35</v>
      </c>
      <c r="Z9886" s="136">
        <f>AD9886/AC9886</f>
        <v>165.18708329411768</v>
      </c>
      <c r="AA9886" s="58"/>
      <c r="AB9886" s="53">
        <f>AD9886/AC9886</f>
        <v>165.18708329411768</v>
      </c>
      <c r="AC9886" s="53">
        <f>M9886+$AE$10</f>
        <v>332.85</v>
      </c>
      <c r="AD9886" s="54">
        <f>SUM(AD9887:AD9890)</f>
        <v>54982.520674447071</v>
      </c>
      <c r="AE9886" s="184">
        <f>SUMIFS($AD$37:$AD$12971,$V$37:$V$12971,$V9886,$X$37:$X$12971,AE$13)</f>
        <v>0</v>
      </c>
      <c r="AF9886" s="185">
        <f>SUMIFS($AD$37:$AD$12971,$V$37:$V$12971,$V9886,$X$37:$X$12971,AF$13)</f>
        <v>0</v>
      </c>
      <c r="AG9886" s="185">
        <f>SUMIFS($AD$37:$AD$12971,$V$37:$V$12971,$V9886,$X$37:$X$12971,AG$13)</f>
        <v>0</v>
      </c>
      <c r="AH9886" s="187">
        <f>SUMIFS($AD$37:$AD$12971,$V$37:$V$12971,$V9886,$X$37:$X$12971,AH$13)</f>
        <v>0</v>
      </c>
      <c r="AI9886" s="161">
        <f t="shared" ref="AI9886" si="6557">SUM(AE9886:AH9886)</f>
        <v>0</v>
      </c>
      <c r="AK9886" s="172"/>
    </row>
    <row r="9887" spans="1:41" s="102" customFormat="1" ht="19.899999999999999" customHeight="1" x14ac:dyDescent="0.25">
      <c r="A9887" s="45"/>
      <c r="B9887" s="59"/>
      <c r="C9887" s="137"/>
      <c r="D9887" s="59"/>
      <c r="E9887" s="116"/>
      <c r="F9887" s="120"/>
      <c r="G9887" s="120"/>
      <c r="H9887" s="120"/>
      <c r="I9887" s="60"/>
      <c r="J9887" s="116"/>
      <c r="K9887" s="213"/>
      <c r="L9887" s="120"/>
      <c r="M9887" s="120"/>
      <c r="N9887" s="167"/>
      <c r="O9887" s="120"/>
      <c r="P9887" s="120"/>
      <c r="Q9887" s="120"/>
      <c r="R9887" s="120"/>
      <c r="S9887" s="120"/>
      <c r="T9887" s="221"/>
      <c r="U9887" s="89"/>
      <c r="V9887" s="61"/>
      <c r="W9887" s="92" t="s">
        <v>129</v>
      </c>
      <c r="X9887" s="93" t="s">
        <v>29</v>
      </c>
      <c r="Y9887" s="93" t="s">
        <v>93</v>
      </c>
      <c r="Z9887" s="134">
        <f>VLOOKUP(W9887,Sheet2!$B:$D,3,FALSE)</f>
        <v>56</v>
      </c>
      <c r="AA9887" s="93">
        <f>100/(3.7*3.7*3)</f>
        <v>2.4348672997321641</v>
      </c>
      <c r="AB9887" s="93">
        <f t="shared" ref="AB9887" si="6558">AD9887/AC9886</f>
        <v>22.999200000000009</v>
      </c>
      <c r="AC9887" s="93">
        <f>AC9886/AA9887</f>
        <v>136.70149500000005</v>
      </c>
      <c r="AD9887" s="94">
        <f t="shared" ref="AD9887:AD9888" si="6559">AC9887*Z9887</f>
        <v>7655.2837200000031</v>
      </c>
      <c r="AE9887" s="190"/>
      <c r="AF9887" s="191"/>
      <c r="AG9887" s="191"/>
      <c r="AH9887" s="191"/>
      <c r="AI9887" s="186"/>
      <c r="AK9887" s="171"/>
    </row>
    <row r="9888" spans="1:41" s="102" customFormat="1" ht="19.899999999999999" customHeight="1" x14ac:dyDescent="0.25">
      <c r="A9888" s="45"/>
      <c r="B9888" s="59"/>
      <c r="C9888" s="137"/>
      <c r="D9888" s="59"/>
      <c r="E9888" s="116"/>
      <c r="F9888" s="120"/>
      <c r="G9888" s="120"/>
      <c r="H9888" s="120"/>
      <c r="I9888" s="60"/>
      <c r="J9888" s="116"/>
      <c r="K9888" s="213"/>
      <c r="L9888" s="120"/>
      <c r="M9888" s="120"/>
      <c r="N9888" s="167"/>
      <c r="O9888" s="120"/>
      <c r="P9888" s="120"/>
      <c r="Q9888" s="120"/>
      <c r="R9888" s="120"/>
      <c r="S9888" s="120"/>
      <c r="T9888" s="221"/>
      <c r="U9888" s="89"/>
      <c r="V9888" s="61"/>
      <c r="W9888" s="92" t="s">
        <v>65</v>
      </c>
      <c r="X9888" s="93" t="s">
        <v>30</v>
      </c>
      <c r="Y9888" s="93" t="s">
        <v>1011</v>
      </c>
      <c r="Z9888" s="134">
        <f>VLOOKUP(W9888,Sheet2!$B:$D,3,FALSE)</f>
        <v>1.76</v>
      </c>
      <c r="AA9888" s="93">
        <f>AA9887/14</f>
        <v>0.17391909283801171</v>
      </c>
      <c r="AB9888" s="93">
        <f>AD9888/AC9886</f>
        <v>10.119648000000002</v>
      </c>
      <c r="AC9888" s="93">
        <f>AC9886/AA9888</f>
        <v>1913.8209300000005</v>
      </c>
      <c r="AD9888" s="94">
        <f t="shared" si="6559"/>
        <v>3368.3248368000009</v>
      </c>
      <c r="AE9888" s="190"/>
      <c r="AF9888" s="191"/>
      <c r="AG9888" s="191"/>
      <c r="AH9888" s="191"/>
      <c r="AI9888" s="186"/>
      <c r="AK9888" s="171"/>
    </row>
    <row r="9889" spans="1:37" s="102" customFormat="1" ht="19.899999999999999" customHeight="1" x14ac:dyDescent="0.25">
      <c r="A9889" s="45"/>
      <c r="B9889" s="59"/>
      <c r="C9889" s="137"/>
      <c r="D9889" s="59"/>
      <c r="E9889" s="116"/>
      <c r="F9889" s="120"/>
      <c r="G9889" s="120"/>
      <c r="H9889" s="120"/>
      <c r="I9889" s="60"/>
      <c r="J9889" s="116"/>
      <c r="K9889" s="213"/>
      <c r="L9889" s="120"/>
      <c r="M9889" s="120"/>
      <c r="N9889" s="167"/>
      <c r="O9889" s="120"/>
      <c r="P9889" s="120"/>
      <c r="Q9889" s="120"/>
      <c r="R9889" s="120"/>
      <c r="S9889" s="120"/>
      <c r="T9889" s="221"/>
      <c r="U9889" s="89"/>
      <c r="V9889" s="61"/>
      <c r="W9889" s="92" t="s">
        <v>161</v>
      </c>
      <c r="X9889" s="93" t="s">
        <v>29</v>
      </c>
      <c r="Y9889" s="93" t="s">
        <v>93</v>
      </c>
      <c r="Z9889" s="134">
        <f>VLOOKUP(W9889,Sheet2!$B:$D,3,FALSE)</f>
        <v>48</v>
      </c>
      <c r="AA9889" s="93">
        <f>(16*0.85*1.5)/(3.7*3.7*3)</f>
        <v>0.49671292914536147</v>
      </c>
      <c r="AB9889" s="93">
        <f>AD9889/AC9886</f>
        <v>96.635294117647078</v>
      </c>
      <c r="AC9889" s="93">
        <f>AC9886/AA9889</f>
        <v>670.10536764705898</v>
      </c>
      <c r="AD9889" s="94">
        <f>AC9889*Z9889</f>
        <v>32165.057647058831</v>
      </c>
      <c r="AE9889" s="190"/>
      <c r="AF9889" s="191"/>
      <c r="AG9889" s="191"/>
      <c r="AH9889" s="191"/>
      <c r="AI9889" s="186"/>
      <c r="AK9889" s="171"/>
    </row>
    <row r="9890" spans="1:37" s="102" customFormat="1" ht="19.899999999999999" customHeight="1" x14ac:dyDescent="0.25">
      <c r="A9890" s="45"/>
      <c r="B9890" s="59"/>
      <c r="C9890" s="137"/>
      <c r="D9890" s="59"/>
      <c r="E9890" s="116"/>
      <c r="F9890" s="120"/>
      <c r="G9890" s="120"/>
      <c r="H9890" s="120"/>
      <c r="I9890" s="60"/>
      <c r="J9890" s="116"/>
      <c r="K9890" s="213"/>
      <c r="L9890" s="120"/>
      <c r="M9890" s="120"/>
      <c r="N9890" s="167"/>
      <c r="O9890" s="120"/>
      <c r="P9890" s="120"/>
      <c r="Q9890" s="120"/>
      <c r="R9890" s="120"/>
      <c r="S9890" s="120"/>
      <c r="T9890" s="221"/>
      <c r="U9890" s="89"/>
      <c r="V9890" s="61"/>
      <c r="W9890" s="92" t="s">
        <v>65</v>
      </c>
      <c r="X9890" s="93" t="s">
        <v>30</v>
      </c>
      <c r="Y9890" s="93" t="s">
        <v>1011</v>
      </c>
      <c r="Z9890" s="134">
        <f>VLOOKUP(W9890,Sheet2!$B:$D,3,FALSE)</f>
        <v>1.76</v>
      </c>
      <c r="AA9890" s="93">
        <f>AA9889/10</f>
        <v>4.9671292914536147E-2</v>
      </c>
      <c r="AB9890" s="93">
        <f>AD9890/AC9886</f>
        <v>35.432941176470599</v>
      </c>
      <c r="AC9890" s="93">
        <f>AC9886/AA9890</f>
        <v>6701.0536764705903</v>
      </c>
      <c r="AD9890" s="94">
        <f>AC9890*Z9890</f>
        <v>11793.85447058824</v>
      </c>
      <c r="AE9890" s="190"/>
      <c r="AF9890" s="191"/>
      <c r="AG9890" s="191"/>
      <c r="AH9890" s="191"/>
      <c r="AI9890" s="186"/>
      <c r="AK9890" s="171"/>
    </row>
    <row r="9891" spans="1:37" s="103" customFormat="1" ht="19.899999999999999" customHeight="1" x14ac:dyDescent="0.25">
      <c r="A9891" s="51"/>
      <c r="B9891" s="52"/>
      <c r="C9891" s="165"/>
      <c r="D9891" s="52"/>
      <c r="E9891" s="115"/>
      <c r="F9891" s="58"/>
      <c r="G9891" s="58"/>
      <c r="H9891" s="58"/>
      <c r="I9891" s="55"/>
      <c r="J9891" s="113">
        <f>J9885</f>
        <v>332.85</v>
      </c>
      <c r="K9891" s="212">
        <f>K9885</f>
        <v>332.85</v>
      </c>
      <c r="L9891" s="58"/>
      <c r="M9891" s="58">
        <f>K9891-L9891</f>
        <v>332.85</v>
      </c>
      <c r="N9891" s="166"/>
      <c r="O9891" s="58"/>
      <c r="P9891" s="58"/>
      <c r="Q9891" s="58"/>
      <c r="R9891" s="58"/>
      <c r="S9891" s="58"/>
      <c r="T9891" s="220"/>
      <c r="U9891" s="88"/>
      <c r="V9891" s="56"/>
      <c r="W9891" s="57" t="s">
        <v>1654</v>
      </c>
      <c r="X9891" s="53"/>
      <c r="Y9891" s="91" t="s">
        <v>35</v>
      </c>
      <c r="Z9891" s="136">
        <f>AD9891/AC9891</f>
        <v>12676.750000000002</v>
      </c>
      <c r="AA9891" s="58"/>
      <c r="AB9891" s="53">
        <f>AD9891/AC9891</f>
        <v>12676.750000000002</v>
      </c>
      <c r="AC9891" s="53">
        <f>M9891+$AE$10</f>
        <v>332.85</v>
      </c>
      <c r="AD9891" s="54">
        <f>SUM(AD9892:AD9902)</f>
        <v>4219456.2375000007</v>
      </c>
      <c r="AE9891" s="184">
        <f>SUMIFS($AD$37:$AD$12971,$V$37:$V$12971,$V9891,$X$37:$X$12971,AE$13)</f>
        <v>0</v>
      </c>
      <c r="AF9891" s="185">
        <f>SUMIFS($AD$37:$AD$12971,$V$37:$V$12971,$V9891,$X$37:$X$12971,AF$13)</f>
        <v>0</v>
      </c>
      <c r="AG9891" s="185">
        <f>SUMIFS($AD$37:$AD$12971,$V$37:$V$12971,$V9891,$X$37:$X$12971,AG$13)</f>
        <v>0</v>
      </c>
      <c r="AH9891" s="187">
        <f>SUMIFS($AD$37:$AD$12971,$V$37:$V$12971,$V9891,$X$37:$X$12971,AH$13)</f>
        <v>0</v>
      </c>
      <c r="AI9891" s="161">
        <f t="shared" ref="AI9891" si="6560">SUM(AE9891:AH9891)</f>
        <v>0</v>
      </c>
      <c r="AK9891" s="172"/>
    </row>
    <row r="9892" spans="1:37" s="102" customFormat="1" ht="19.899999999999999" customHeight="1" x14ac:dyDescent="0.25">
      <c r="A9892" s="45"/>
      <c r="B9892" s="59"/>
      <c r="C9892" s="137"/>
      <c r="D9892" s="59"/>
      <c r="E9892" s="116"/>
      <c r="F9892" s="120"/>
      <c r="G9892" s="120"/>
      <c r="H9892" s="120"/>
      <c r="I9892" s="60"/>
      <c r="J9892" s="116"/>
      <c r="K9892" s="213"/>
      <c r="L9892" s="120"/>
      <c r="M9892" s="120"/>
      <c r="N9892" s="167"/>
      <c r="O9892" s="120"/>
      <c r="P9892" s="120"/>
      <c r="Q9892" s="120"/>
      <c r="R9892" s="120"/>
      <c r="S9892" s="120"/>
      <c r="T9892" s="221"/>
      <c r="U9892" s="89"/>
      <c r="V9892" s="61"/>
      <c r="W9892" s="92" t="s">
        <v>1032</v>
      </c>
      <c r="X9892" s="93" t="s">
        <v>30</v>
      </c>
      <c r="Y9892" s="93" t="s">
        <v>66</v>
      </c>
      <c r="Z9892" s="134">
        <f>VLOOKUP(W9892,Sheet2!$B:$D,3,FALSE)</f>
        <v>250</v>
      </c>
      <c r="AA9892" s="93">
        <f>1/(2.7*2.7*0.1)</f>
        <v>1.371742112482853</v>
      </c>
      <c r="AB9892" s="93">
        <f>AD9892/AC9891</f>
        <v>182.25000000000003</v>
      </c>
      <c r="AC9892" s="93">
        <f>AC9891/AA9892</f>
        <v>242.64765000000006</v>
      </c>
      <c r="AD9892" s="94">
        <f t="shared" ref="AD9892:AD9894" si="6561">AC9892*Z9892</f>
        <v>60661.912500000013</v>
      </c>
      <c r="AE9892" s="190"/>
      <c r="AF9892" s="191"/>
      <c r="AG9892" s="191"/>
      <c r="AH9892" s="191"/>
      <c r="AI9892" s="186"/>
      <c r="AK9892" s="171"/>
    </row>
    <row r="9893" spans="1:37" s="102" customFormat="1" ht="19.899999999999999" customHeight="1" x14ac:dyDescent="0.25">
      <c r="A9893" s="45"/>
      <c r="B9893" s="59"/>
      <c r="C9893" s="137"/>
      <c r="D9893" s="59"/>
      <c r="E9893" s="116"/>
      <c r="F9893" s="120"/>
      <c r="G9893" s="120"/>
      <c r="H9893" s="120"/>
      <c r="I9893" s="60"/>
      <c r="J9893" s="116"/>
      <c r="K9893" s="213"/>
      <c r="L9893" s="120"/>
      <c r="M9893" s="120"/>
      <c r="N9893" s="167"/>
      <c r="O9893" s="120"/>
      <c r="P9893" s="120"/>
      <c r="Q9893" s="120"/>
      <c r="R9893" s="120"/>
      <c r="S9893" s="120"/>
      <c r="T9893" s="221"/>
      <c r="U9893" s="89"/>
      <c r="V9893" s="61"/>
      <c r="W9893" s="92" t="s">
        <v>1353</v>
      </c>
      <c r="X9893" s="93" t="s">
        <v>30</v>
      </c>
      <c r="Y9893" s="93" t="s">
        <v>66</v>
      </c>
      <c r="Z9893" s="134">
        <f>VLOOKUP(W9893,Sheet2!$B:$D,3,FALSE)</f>
        <v>350</v>
      </c>
      <c r="AA9893" s="93">
        <f>1/((2.7*3*0.25*4)+(2.5*2.5*0.3))</f>
        <v>0.10025062656641602</v>
      </c>
      <c r="AB9893" s="93">
        <f>AD9893/AC9891</f>
        <v>3491.2500000000005</v>
      </c>
      <c r="AC9893" s="93">
        <f>AC9891/AA9893</f>
        <v>3320.1787500000009</v>
      </c>
      <c r="AD9893" s="94">
        <f t="shared" si="6561"/>
        <v>1162062.5625000002</v>
      </c>
      <c r="AE9893" s="190"/>
      <c r="AF9893" s="191"/>
      <c r="AG9893" s="191"/>
      <c r="AH9893" s="191"/>
      <c r="AI9893" s="186"/>
      <c r="AK9893" s="171"/>
    </row>
    <row r="9894" spans="1:37" s="102" customFormat="1" ht="19.899999999999999" customHeight="1" x14ac:dyDescent="0.25">
      <c r="A9894" s="45"/>
      <c r="B9894" s="59"/>
      <c r="C9894" s="137"/>
      <c r="D9894" s="59"/>
      <c r="E9894" s="116"/>
      <c r="F9894" s="120"/>
      <c r="G9894" s="120"/>
      <c r="H9894" s="120"/>
      <c r="I9894" s="60"/>
      <c r="J9894" s="116"/>
      <c r="K9894" s="213"/>
      <c r="L9894" s="120"/>
      <c r="M9894" s="120"/>
      <c r="N9894" s="167"/>
      <c r="O9894" s="120"/>
      <c r="P9894" s="120"/>
      <c r="Q9894" s="120"/>
      <c r="R9894" s="120"/>
      <c r="S9894" s="120"/>
      <c r="T9894" s="221"/>
      <c r="U9894" s="89"/>
      <c r="V9894" s="61"/>
      <c r="W9894" s="92" t="s">
        <v>99</v>
      </c>
      <c r="X9894" s="93" t="s">
        <v>30</v>
      </c>
      <c r="Y9894" s="93" t="s">
        <v>67</v>
      </c>
      <c r="Z9894" s="134">
        <f>VLOOKUP(W9894,Sheet2!$B:$D,3,FALSE)</f>
        <v>2500</v>
      </c>
      <c r="AA9894" s="93">
        <f>AA9893/0.08</f>
        <v>1.2531328320802002</v>
      </c>
      <c r="AB9894" s="93">
        <f>AD9894/AC9891</f>
        <v>1995.0000000000005</v>
      </c>
      <c r="AC9894" s="93">
        <f>AC9891/AA9894</f>
        <v>265.61430000000007</v>
      </c>
      <c r="AD9894" s="94">
        <f t="shared" si="6561"/>
        <v>664035.75000000023</v>
      </c>
      <c r="AE9894" s="190"/>
      <c r="AF9894" s="191"/>
      <c r="AG9894" s="191"/>
      <c r="AH9894" s="191"/>
      <c r="AI9894" s="186"/>
      <c r="AK9894" s="171"/>
    </row>
    <row r="9895" spans="1:37" s="102" customFormat="1" ht="19.899999999999999" customHeight="1" x14ac:dyDescent="0.25">
      <c r="A9895" s="45"/>
      <c r="B9895" s="59"/>
      <c r="C9895" s="137"/>
      <c r="D9895" s="59"/>
      <c r="E9895" s="116"/>
      <c r="F9895" s="120"/>
      <c r="G9895" s="120"/>
      <c r="H9895" s="120"/>
      <c r="I9895" s="60"/>
      <c r="J9895" s="116"/>
      <c r="K9895" s="213"/>
      <c r="L9895" s="120"/>
      <c r="M9895" s="120"/>
      <c r="N9895" s="167"/>
      <c r="O9895" s="120"/>
      <c r="P9895" s="120"/>
      <c r="Q9895" s="120"/>
      <c r="R9895" s="120"/>
      <c r="S9895" s="120"/>
      <c r="T9895" s="221"/>
      <c r="U9895" s="89"/>
      <c r="V9895" s="61"/>
      <c r="W9895" s="92" t="s">
        <v>1354</v>
      </c>
      <c r="X9895" s="93" t="s">
        <v>32</v>
      </c>
      <c r="Y9895" s="93" t="s">
        <v>66</v>
      </c>
      <c r="Z9895" s="134">
        <f>VLOOKUP(W9895,Sheet2!$B:$D,3,FALSE)</f>
        <v>150</v>
      </c>
      <c r="AA9895" s="93">
        <f>AA9892</f>
        <v>1.371742112482853</v>
      </c>
      <c r="AB9895" s="93">
        <f>AD9895/AC9891</f>
        <v>109.35000000000001</v>
      </c>
      <c r="AC9895" s="93">
        <f>AC9891/AA9895</f>
        <v>242.64765000000006</v>
      </c>
      <c r="AD9895" s="94">
        <f>AC9895*Z9895</f>
        <v>36397.147500000006</v>
      </c>
      <c r="AE9895" s="190"/>
      <c r="AF9895" s="191"/>
      <c r="AG9895" s="191"/>
      <c r="AH9895" s="191"/>
      <c r="AI9895" s="186"/>
      <c r="AK9895" s="171"/>
    </row>
    <row r="9896" spans="1:37" s="102" customFormat="1" ht="19.899999999999999" customHeight="1" x14ac:dyDescent="0.25">
      <c r="A9896" s="45"/>
      <c r="B9896" s="59"/>
      <c r="C9896" s="137"/>
      <c r="D9896" s="59"/>
      <c r="E9896" s="116"/>
      <c r="F9896" s="120"/>
      <c r="G9896" s="120"/>
      <c r="H9896" s="120"/>
      <c r="I9896" s="60"/>
      <c r="J9896" s="116"/>
      <c r="K9896" s="213"/>
      <c r="L9896" s="120"/>
      <c r="M9896" s="120"/>
      <c r="N9896" s="167"/>
      <c r="O9896" s="120"/>
      <c r="P9896" s="120"/>
      <c r="Q9896" s="120"/>
      <c r="R9896" s="120"/>
      <c r="S9896" s="120"/>
      <c r="T9896" s="221"/>
      <c r="U9896" s="89"/>
      <c r="V9896" s="61"/>
      <c r="W9896" s="92" t="s">
        <v>1533</v>
      </c>
      <c r="X9896" s="93" t="s">
        <v>32</v>
      </c>
      <c r="Y9896" s="93" t="s">
        <v>66</v>
      </c>
      <c r="Z9896" s="134">
        <f>VLOOKUP(W9896,Sheet2!$B:$D,3,FALSE)</f>
        <v>300</v>
      </c>
      <c r="AA9896" s="93">
        <f>AA9893</f>
        <v>0.10025062656641602</v>
      </c>
      <c r="AB9896" s="93">
        <f>AD9896/AC9891</f>
        <v>2992.5000000000005</v>
      </c>
      <c r="AC9896" s="93">
        <f>AC9891/AA9896</f>
        <v>3320.1787500000009</v>
      </c>
      <c r="AD9896" s="94">
        <f>AC9896*Z9896</f>
        <v>996053.62500000023</v>
      </c>
      <c r="AE9896" s="190"/>
      <c r="AF9896" s="191"/>
      <c r="AG9896" s="191"/>
      <c r="AH9896" s="191"/>
      <c r="AI9896" s="186"/>
      <c r="AK9896" s="171"/>
    </row>
    <row r="9897" spans="1:37" s="102" customFormat="1" ht="19.899999999999999" customHeight="1" x14ac:dyDescent="0.25">
      <c r="A9897" s="45"/>
      <c r="B9897" s="59"/>
      <c r="C9897" s="137"/>
      <c r="D9897" s="59"/>
      <c r="E9897" s="116"/>
      <c r="F9897" s="120"/>
      <c r="G9897" s="120"/>
      <c r="H9897" s="120"/>
      <c r="I9897" s="60"/>
      <c r="J9897" s="116"/>
      <c r="K9897" s="213"/>
      <c r="L9897" s="120"/>
      <c r="M9897" s="120"/>
      <c r="N9897" s="167"/>
      <c r="O9897" s="120"/>
      <c r="P9897" s="120"/>
      <c r="Q9897" s="120"/>
      <c r="R9897" s="120"/>
      <c r="S9897" s="120"/>
      <c r="T9897" s="221"/>
      <c r="U9897" s="89"/>
      <c r="V9897" s="61"/>
      <c r="W9897" s="92" t="s">
        <v>1356</v>
      </c>
      <c r="X9897" s="93" t="s">
        <v>30</v>
      </c>
      <c r="Y9897" s="93" t="s">
        <v>35</v>
      </c>
      <c r="Z9897" s="134">
        <f>VLOOKUP(W9897,Sheet2!$B:$D,3,FALSE)</f>
        <v>3500</v>
      </c>
      <c r="AA9897" s="93">
        <v>1</v>
      </c>
      <c r="AB9897" s="93">
        <f>AD9897/AC9891</f>
        <v>3499.9999999999995</v>
      </c>
      <c r="AC9897" s="93">
        <f>AC9891/AA9897</f>
        <v>332.85</v>
      </c>
      <c r="AD9897" s="94">
        <f t="shared" ref="AD9897:AD9898" si="6562">AC9897*Z9897</f>
        <v>1164975</v>
      </c>
      <c r="AE9897" s="190"/>
      <c r="AF9897" s="191"/>
      <c r="AG9897" s="191"/>
      <c r="AH9897" s="191"/>
      <c r="AI9897" s="186"/>
      <c r="AK9897" s="171"/>
    </row>
    <row r="9898" spans="1:37" s="102" customFormat="1" ht="19.899999999999999" customHeight="1" x14ac:dyDescent="0.25">
      <c r="A9898" s="45"/>
      <c r="B9898" s="59"/>
      <c r="C9898" s="137"/>
      <c r="D9898" s="59"/>
      <c r="E9898" s="116"/>
      <c r="F9898" s="120"/>
      <c r="G9898" s="120"/>
      <c r="H9898" s="120"/>
      <c r="I9898" s="60"/>
      <c r="J9898" s="116"/>
      <c r="K9898" s="213"/>
      <c r="L9898" s="120"/>
      <c r="M9898" s="120"/>
      <c r="N9898" s="167"/>
      <c r="O9898" s="120"/>
      <c r="P9898" s="120"/>
      <c r="Q9898" s="120"/>
      <c r="R9898" s="120"/>
      <c r="S9898" s="120"/>
      <c r="T9898" s="221"/>
      <c r="U9898" s="89"/>
      <c r="V9898" s="61"/>
      <c r="W9898" s="92" t="s">
        <v>174</v>
      </c>
      <c r="X9898" s="93" t="s">
        <v>29</v>
      </c>
      <c r="Y9898" s="93" t="s">
        <v>93</v>
      </c>
      <c r="Z9898" s="134">
        <f>VLOOKUP(W9898,Sheet2!$B:$D,3,FALSE)</f>
        <v>80</v>
      </c>
      <c r="AA9898" s="93">
        <v>1</v>
      </c>
      <c r="AB9898" s="93">
        <f>AD9898/AC9891</f>
        <v>80</v>
      </c>
      <c r="AC9898" s="93">
        <f>AC9891/AA9898</f>
        <v>332.85</v>
      </c>
      <c r="AD9898" s="94">
        <f t="shared" si="6562"/>
        <v>26628</v>
      </c>
      <c r="AE9898" s="190"/>
      <c r="AF9898" s="191"/>
      <c r="AG9898" s="191"/>
      <c r="AH9898" s="191"/>
      <c r="AI9898" s="186"/>
      <c r="AK9898" s="171"/>
    </row>
    <row r="9899" spans="1:37" s="102" customFormat="1" ht="19.899999999999999" customHeight="1" x14ac:dyDescent="0.25">
      <c r="A9899" s="45"/>
      <c r="B9899" s="59"/>
      <c r="C9899" s="137"/>
      <c r="D9899" s="59"/>
      <c r="E9899" s="116"/>
      <c r="F9899" s="120"/>
      <c r="G9899" s="120"/>
      <c r="H9899" s="120"/>
      <c r="I9899" s="60"/>
      <c r="J9899" s="116"/>
      <c r="K9899" s="213"/>
      <c r="L9899" s="120"/>
      <c r="M9899" s="120"/>
      <c r="N9899" s="167"/>
      <c r="O9899" s="120"/>
      <c r="P9899" s="120"/>
      <c r="Q9899" s="120"/>
      <c r="R9899" s="120"/>
      <c r="S9899" s="120"/>
      <c r="T9899" s="221"/>
      <c r="U9899" s="89"/>
      <c r="V9899" s="61"/>
      <c r="W9899" s="92" t="s">
        <v>65</v>
      </c>
      <c r="X9899" s="93" t="s">
        <v>30</v>
      </c>
      <c r="Y9899" s="93" t="s">
        <v>93</v>
      </c>
      <c r="Z9899" s="134">
        <f>VLOOKUP(W9899,Sheet2!$B:$D,3,FALSE)</f>
        <v>1.76</v>
      </c>
      <c r="AA9899" s="93">
        <f>AA9898/15</f>
        <v>6.6666666666666666E-2</v>
      </c>
      <c r="AB9899" s="93">
        <f>AD9899/AC9891</f>
        <v>26.4</v>
      </c>
      <c r="AC9899" s="93">
        <f>AC9891/AA9899</f>
        <v>4992.75</v>
      </c>
      <c r="AD9899" s="94">
        <f>AC9899*Z9899</f>
        <v>8787.24</v>
      </c>
      <c r="AE9899" s="190"/>
      <c r="AF9899" s="191"/>
      <c r="AG9899" s="191"/>
      <c r="AH9899" s="191"/>
      <c r="AI9899" s="186"/>
      <c r="AK9899" s="171"/>
    </row>
    <row r="9900" spans="1:37" s="102" customFormat="1" ht="19.899999999999999" customHeight="1" x14ac:dyDescent="0.25">
      <c r="A9900" s="45"/>
      <c r="B9900" s="59"/>
      <c r="C9900" s="137"/>
      <c r="D9900" s="59"/>
      <c r="E9900" s="116"/>
      <c r="F9900" s="120"/>
      <c r="G9900" s="120"/>
      <c r="H9900" s="120"/>
      <c r="I9900" s="60"/>
      <c r="J9900" s="116"/>
      <c r="K9900" s="213"/>
      <c r="L9900" s="120"/>
      <c r="M9900" s="120"/>
      <c r="N9900" s="167"/>
      <c r="O9900" s="120"/>
      <c r="P9900" s="120"/>
      <c r="Q9900" s="120"/>
      <c r="R9900" s="120"/>
      <c r="S9900" s="120"/>
      <c r="T9900" s="221"/>
      <c r="U9900" s="89"/>
      <c r="V9900" s="61"/>
      <c r="W9900" s="92" t="s">
        <v>1357</v>
      </c>
      <c r="X9900" s="93" t="s">
        <v>30</v>
      </c>
      <c r="Y9900" s="93" t="s">
        <v>1349</v>
      </c>
      <c r="Z9900" s="134">
        <f>VLOOKUP(W9900,Sheet2!$B:$D,3,FALSE)</f>
        <v>150</v>
      </c>
      <c r="AA9900" s="93">
        <v>1</v>
      </c>
      <c r="AB9900" s="93">
        <f>AD9900/AC9891</f>
        <v>150</v>
      </c>
      <c r="AC9900" s="93">
        <f>AC9891/AA9900</f>
        <v>332.85</v>
      </c>
      <c r="AD9900" s="94">
        <f>AC9900*Z9900</f>
        <v>49927.5</v>
      </c>
      <c r="AE9900" s="190"/>
      <c r="AF9900" s="191"/>
      <c r="AG9900" s="191"/>
      <c r="AH9900" s="191"/>
      <c r="AI9900" s="186"/>
      <c r="AK9900" s="171"/>
    </row>
    <row r="9901" spans="1:37" s="102" customFormat="1" ht="19.899999999999999" customHeight="1" x14ac:dyDescent="0.25">
      <c r="A9901" s="45"/>
      <c r="B9901" s="59"/>
      <c r="C9901" s="137"/>
      <c r="D9901" s="59"/>
      <c r="E9901" s="116"/>
      <c r="F9901" s="120"/>
      <c r="G9901" s="120"/>
      <c r="H9901" s="120"/>
      <c r="I9901" s="60"/>
      <c r="J9901" s="116"/>
      <c r="K9901" s="213"/>
      <c r="L9901" s="120"/>
      <c r="M9901" s="120"/>
      <c r="N9901" s="167"/>
      <c r="O9901" s="120"/>
      <c r="P9901" s="120"/>
      <c r="Q9901" s="120"/>
      <c r="R9901" s="120"/>
      <c r="S9901" s="120"/>
      <c r="T9901" s="221"/>
      <c r="U9901" s="89"/>
      <c r="V9901" s="61"/>
      <c r="W9901" s="92" t="s">
        <v>107</v>
      </c>
      <c r="X9901" s="93" t="s">
        <v>31</v>
      </c>
      <c r="Y9901" s="93" t="s">
        <v>93</v>
      </c>
      <c r="Z9901" s="134">
        <f>VLOOKUP(W9901,Sheet2!$B:$D,3,FALSE)</f>
        <v>17</v>
      </c>
      <c r="AA9901" s="93">
        <f>1/5</f>
        <v>0.2</v>
      </c>
      <c r="AB9901" s="93">
        <f>AD9901/AC9891</f>
        <v>85</v>
      </c>
      <c r="AC9901" s="93">
        <f>AC9891/AA9901</f>
        <v>1664.25</v>
      </c>
      <c r="AD9901" s="94">
        <f>AC9901*Z9901</f>
        <v>28292.25</v>
      </c>
      <c r="AE9901" s="190"/>
      <c r="AF9901" s="191"/>
      <c r="AG9901" s="191"/>
      <c r="AH9901" s="191"/>
      <c r="AI9901" s="186"/>
      <c r="AK9901" s="171"/>
    </row>
    <row r="9902" spans="1:37" s="102" customFormat="1" ht="19.899999999999999" customHeight="1" x14ac:dyDescent="0.25">
      <c r="A9902" s="45"/>
      <c r="B9902" s="59"/>
      <c r="C9902" s="137"/>
      <c r="D9902" s="59"/>
      <c r="E9902" s="116"/>
      <c r="F9902" s="120"/>
      <c r="G9902" s="120"/>
      <c r="H9902" s="120"/>
      <c r="I9902" s="60"/>
      <c r="J9902" s="116"/>
      <c r="K9902" s="213"/>
      <c r="L9902" s="120"/>
      <c r="M9902" s="120"/>
      <c r="N9902" s="167"/>
      <c r="O9902" s="120"/>
      <c r="P9902" s="120"/>
      <c r="Q9902" s="120"/>
      <c r="R9902" s="120"/>
      <c r="S9902" s="120"/>
      <c r="T9902" s="221"/>
      <c r="U9902" s="89"/>
      <c r="V9902" s="61"/>
      <c r="W9902" s="92" t="s">
        <v>112</v>
      </c>
      <c r="X9902" s="93" t="s">
        <v>31</v>
      </c>
      <c r="Y9902" s="93" t="s">
        <v>93</v>
      </c>
      <c r="Z9902" s="134">
        <f>VLOOKUP(W9902,Sheet2!$B:$D,3,FALSE)</f>
        <v>13</v>
      </c>
      <c r="AA9902" s="93">
        <f>AA9901</f>
        <v>0.2</v>
      </c>
      <c r="AB9902" s="93">
        <f>AD9902/AC9891</f>
        <v>65</v>
      </c>
      <c r="AC9902" s="93">
        <f>AC9891/AA9902</f>
        <v>1664.25</v>
      </c>
      <c r="AD9902" s="94">
        <f>AC9902*Z9902</f>
        <v>21635.25</v>
      </c>
      <c r="AE9902" s="190"/>
      <c r="AF9902" s="191"/>
      <c r="AG9902" s="191"/>
      <c r="AH9902" s="191"/>
      <c r="AI9902" s="186"/>
      <c r="AK9902" s="171"/>
    </row>
    <row r="9903" spans="1:37" s="103" customFormat="1" ht="19.899999999999999" customHeight="1" x14ac:dyDescent="0.25">
      <c r="A9903" s="51"/>
      <c r="B9903" s="52"/>
      <c r="C9903" s="165"/>
      <c r="D9903" s="52"/>
      <c r="E9903" s="115"/>
      <c r="F9903" s="58"/>
      <c r="G9903" s="58"/>
      <c r="H9903" s="58"/>
      <c r="I9903" s="55"/>
      <c r="J9903" s="113">
        <f>J9885</f>
        <v>332.85</v>
      </c>
      <c r="K9903" s="212">
        <f>K9885</f>
        <v>332.85</v>
      </c>
      <c r="L9903" s="58"/>
      <c r="M9903" s="58">
        <f>K9903-L9903</f>
        <v>332.85</v>
      </c>
      <c r="N9903" s="166"/>
      <c r="O9903" s="58"/>
      <c r="P9903" s="58"/>
      <c r="Q9903" s="58"/>
      <c r="R9903" s="58"/>
      <c r="S9903" s="58"/>
      <c r="T9903" s="220"/>
      <c r="U9903" s="88"/>
      <c r="V9903" s="56"/>
      <c r="W9903" s="57" t="s">
        <v>1358</v>
      </c>
      <c r="X9903" s="53"/>
      <c r="Y9903" s="91" t="s">
        <v>35</v>
      </c>
      <c r="Z9903" s="136">
        <f>AD9903/AC9903</f>
        <v>2100</v>
      </c>
      <c r="AA9903" s="58"/>
      <c r="AB9903" s="53">
        <f>AD9903/AC9903</f>
        <v>2100</v>
      </c>
      <c r="AC9903" s="53">
        <f>M9903+$AE$10</f>
        <v>332.85</v>
      </c>
      <c r="AD9903" s="54">
        <f>SUM(AD9904:AD9905)</f>
        <v>698985</v>
      </c>
      <c r="AE9903" s="184">
        <f>SUMIFS($AD$37:$AD$12971,$V$37:$V$12971,$V9903,$X$37:$X$12971,AE$13)</f>
        <v>0</v>
      </c>
      <c r="AF9903" s="185">
        <f>SUMIFS($AD$37:$AD$12971,$V$37:$V$12971,$V9903,$X$37:$X$12971,AF$13)</f>
        <v>0</v>
      </c>
      <c r="AG9903" s="185">
        <f>SUMIFS($AD$37:$AD$12971,$V$37:$V$12971,$V9903,$X$37:$X$12971,AG$13)</f>
        <v>0</v>
      </c>
      <c r="AH9903" s="187">
        <f>SUMIFS($AD$37:$AD$12971,$V$37:$V$12971,$V9903,$X$37:$X$12971,AH$13)</f>
        <v>0</v>
      </c>
      <c r="AI9903" s="161">
        <f t="shared" ref="AI9903" si="6563">SUM(AE9903:AH9903)</f>
        <v>0</v>
      </c>
      <c r="AK9903" s="172"/>
    </row>
    <row r="9904" spans="1:37" s="102" customFormat="1" ht="19.899999999999999" customHeight="1" x14ac:dyDescent="0.25">
      <c r="A9904" s="45"/>
      <c r="B9904" s="59"/>
      <c r="C9904" s="137"/>
      <c r="D9904" s="59"/>
      <c r="E9904" s="116"/>
      <c r="F9904" s="120"/>
      <c r="G9904" s="120"/>
      <c r="H9904" s="120"/>
      <c r="I9904" s="60"/>
      <c r="J9904" s="116"/>
      <c r="K9904" s="213"/>
      <c r="L9904" s="120"/>
      <c r="M9904" s="120"/>
      <c r="N9904" s="167"/>
      <c r="O9904" s="120"/>
      <c r="P9904" s="120"/>
      <c r="Q9904" s="120"/>
      <c r="R9904" s="120"/>
      <c r="S9904" s="120"/>
      <c r="T9904" s="221"/>
      <c r="U9904" s="89"/>
      <c r="V9904" s="61"/>
      <c r="W9904" s="92" t="s">
        <v>1359</v>
      </c>
      <c r="X9904" s="93" t="s">
        <v>32</v>
      </c>
      <c r="Y9904" s="93" t="s">
        <v>64</v>
      </c>
      <c r="Z9904" s="134">
        <f>VLOOKUP(W9904,Sheet2!$B:$D,3,FALSE)</f>
        <v>40</v>
      </c>
      <c r="AA9904" s="93">
        <f>1/(2.5*3*4)</f>
        <v>3.3333333333333333E-2</v>
      </c>
      <c r="AB9904" s="93">
        <f t="shared" ref="AB9904" si="6564">AD9904/AC9903</f>
        <v>1200</v>
      </c>
      <c r="AC9904" s="93">
        <f>AC9903/AA9904</f>
        <v>9985.5</v>
      </c>
      <c r="AD9904" s="94">
        <f t="shared" ref="AD9904:AD9905" si="6565">AC9904*Z9904</f>
        <v>399420</v>
      </c>
      <c r="AE9904" s="190"/>
      <c r="AF9904" s="191"/>
      <c r="AG9904" s="191"/>
      <c r="AH9904" s="191"/>
      <c r="AI9904" s="186"/>
      <c r="AK9904" s="171"/>
    </row>
    <row r="9905" spans="1:41" s="102" customFormat="1" ht="19.899999999999999" customHeight="1" x14ac:dyDescent="0.25">
      <c r="A9905" s="45"/>
      <c r="B9905" s="59"/>
      <c r="C9905" s="137"/>
      <c r="D9905" s="59"/>
      <c r="E9905" s="116"/>
      <c r="F9905" s="120"/>
      <c r="G9905" s="120"/>
      <c r="H9905" s="120"/>
      <c r="I9905" s="60"/>
      <c r="J9905" s="116"/>
      <c r="K9905" s="213"/>
      <c r="L9905" s="120"/>
      <c r="M9905" s="120"/>
      <c r="N9905" s="167"/>
      <c r="O9905" s="120"/>
      <c r="P9905" s="120"/>
      <c r="Q9905" s="120"/>
      <c r="R9905" s="120"/>
      <c r="S9905" s="120"/>
      <c r="T9905" s="221"/>
      <c r="U9905" s="89"/>
      <c r="V9905" s="61"/>
      <c r="W9905" s="92" t="s">
        <v>1360</v>
      </c>
      <c r="X9905" s="93" t="s">
        <v>32</v>
      </c>
      <c r="Y9905" s="93" t="s">
        <v>64</v>
      </c>
      <c r="Z9905" s="134">
        <f>VLOOKUP(W9905,Sheet2!$B:$D,3,FALSE)</f>
        <v>30</v>
      </c>
      <c r="AA9905" s="93">
        <f>AA9904</f>
        <v>3.3333333333333333E-2</v>
      </c>
      <c r="AB9905" s="93">
        <f>AD9905/AC9903</f>
        <v>899.99999999999989</v>
      </c>
      <c r="AC9905" s="93">
        <f>AC9903/AA9905</f>
        <v>9985.5</v>
      </c>
      <c r="AD9905" s="94">
        <f t="shared" si="6565"/>
        <v>299565</v>
      </c>
      <c r="AE9905" s="190"/>
      <c r="AF9905" s="191"/>
      <c r="AG9905" s="191"/>
      <c r="AH9905" s="191"/>
      <c r="AI9905" s="186"/>
      <c r="AK9905" s="171"/>
    </row>
    <row r="9906" spans="1:41" s="103" customFormat="1" ht="19.899999999999999" customHeight="1" x14ac:dyDescent="0.25">
      <c r="A9906" s="51"/>
      <c r="B9906" s="52"/>
      <c r="C9906" s="165"/>
      <c r="D9906" s="52"/>
      <c r="E9906" s="115"/>
      <c r="F9906" s="58"/>
      <c r="G9906" s="58"/>
      <c r="H9906" s="58"/>
      <c r="I9906" s="55"/>
      <c r="J9906" s="113">
        <f>J9885</f>
        <v>332.85</v>
      </c>
      <c r="K9906" s="212">
        <f>K9885</f>
        <v>332.85</v>
      </c>
      <c r="L9906" s="58"/>
      <c r="M9906" s="58">
        <f>K9906-L9906</f>
        <v>332.85</v>
      </c>
      <c r="N9906" s="166"/>
      <c r="O9906" s="58"/>
      <c r="P9906" s="58"/>
      <c r="Q9906" s="58"/>
      <c r="R9906" s="58"/>
      <c r="S9906" s="58"/>
      <c r="T9906" s="220"/>
      <c r="U9906" s="88"/>
      <c r="V9906" s="56"/>
      <c r="W9906" s="57" t="s">
        <v>1272</v>
      </c>
      <c r="X9906" s="53"/>
      <c r="Y9906" s="91" t="s">
        <v>35</v>
      </c>
      <c r="Z9906" s="136">
        <f>AD9906/AC9906</f>
        <v>392.85290164705896</v>
      </c>
      <c r="AA9906" s="58"/>
      <c r="AB9906" s="53">
        <f>AD9906/AC9906</f>
        <v>392.85290164705896</v>
      </c>
      <c r="AC9906" s="53">
        <f>M9906+$AE$10</f>
        <v>332.85</v>
      </c>
      <c r="AD9906" s="54">
        <f>SUM(AD9907:AD9915)</f>
        <v>130761.08831322359</v>
      </c>
      <c r="AE9906" s="184">
        <f>SUMIFS($AD$37:$AD$12971,$V$37:$V$12971,$V9906,$X$37:$X$12971,AE$13)</f>
        <v>0</v>
      </c>
      <c r="AF9906" s="185">
        <f>SUMIFS($AD$37:$AD$12971,$V$37:$V$12971,$V9906,$X$37:$X$12971,AF$13)</f>
        <v>0</v>
      </c>
      <c r="AG9906" s="185">
        <f>SUMIFS($AD$37:$AD$12971,$V$37:$V$12971,$V9906,$X$37:$X$12971,AG$13)</f>
        <v>0</v>
      </c>
      <c r="AH9906" s="187">
        <f>SUMIFS($AD$37:$AD$12971,$V$37:$V$12971,$V9906,$X$37:$X$12971,AH$13)</f>
        <v>0</v>
      </c>
      <c r="AI9906" s="161">
        <f t="shared" ref="AI9906" si="6566">SUM(AE9906:AH9906)</f>
        <v>0</v>
      </c>
      <c r="AK9906" s="172"/>
    </row>
    <row r="9907" spans="1:41" s="102" customFormat="1" ht="19.899999999999999" customHeight="1" x14ac:dyDescent="0.25">
      <c r="A9907" s="45"/>
      <c r="B9907" s="59"/>
      <c r="C9907" s="137"/>
      <c r="D9907" s="59"/>
      <c r="E9907" s="116"/>
      <c r="F9907" s="120"/>
      <c r="G9907" s="120"/>
      <c r="H9907" s="120"/>
      <c r="I9907" s="60"/>
      <c r="J9907" s="116"/>
      <c r="K9907" s="213"/>
      <c r="L9907" s="120"/>
      <c r="M9907" s="120"/>
      <c r="N9907" s="167"/>
      <c r="O9907" s="120"/>
      <c r="P9907" s="120"/>
      <c r="Q9907" s="120"/>
      <c r="R9907" s="120"/>
      <c r="S9907" s="120"/>
      <c r="T9907" s="221"/>
      <c r="U9907" s="89"/>
      <c r="V9907" s="61"/>
      <c r="W9907" s="92" t="s">
        <v>1273</v>
      </c>
      <c r="X9907" s="93" t="s">
        <v>30</v>
      </c>
      <c r="Y9907" s="93" t="s">
        <v>66</v>
      </c>
      <c r="Z9907" s="134">
        <f>VLOOKUP(W9907,Sheet2!$B:$D,3,FALSE)</f>
        <v>10</v>
      </c>
      <c r="AA9907" s="93">
        <f>1/((3.7*3.7*3)-(2.5*2.5*3))</f>
        <v>4.480286738351253E-2</v>
      </c>
      <c r="AB9907" s="93">
        <f>AD9907/AC9906</f>
        <v>223.20000000000005</v>
      </c>
      <c r="AC9907" s="93">
        <f>AC9906/AA9907</f>
        <v>7429.2120000000032</v>
      </c>
      <c r="AD9907" s="94">
        <f t="shared" ref="AD9907:AD9909" si="6567">AC9907*Z9907</f>
        <v>74292.120000000024</v>
      </c>
      <c r="AE9907" s="190"/>
      <c r="AF9907" s="191"/>
      <c r="AG9907" s="191"/>
      <c r="AH9907" s="191"/>
      <c r="AI9907" s="186"/>
      <c r="AK9907" s="171"/>
    </row>
    <row r="9908" spans="1:41" s="102" customFormat="1" ht="19.899999999999999" customHeight="1" x14ac:dyDescent="0.25">
      <c r="A9908" s="45"/>
      <c r="B9908" s="59"/>
      <c r="C9908" s="137"/>
      <c r="D9908" s="59"/>
      <c r="E9908" s="116"/>
      <c r="F9908" s="120"/>
      <c r="G9908" s="120"/>
      <c r="H9908" s="120"/>
      <c r="I9908" s="60"/>
      <c r="J9908" s="116"/>
      <c r="K9908" s="213"/>
      <c r="L9908" s="120"/>
      <c r="M9908" s="120"/>
      <c r="N9908" s="167"/>
      <c r="O9908" s="120"/>
      <c r="P9908" s="120"/>
      <c r="Q9908" s="120"/>
      <c r="R9908" s="120"/>
      <c r="S9908" s="120"/>
      <c r="T9908" s="221"/>
      <c r="U9908" s="89"/>
      <c r="V9908" s="61"/>
      <c r="W9908" s="92" t="s">
        <v>134</v>
      </c>
      <c r="X9908" s="93" t="s">
        <v>29</v>
      </c>
      <c r="Y9908" s="93" t="s">
        <v>93</v>
      </c>
      <c r="Z9908" s="134">
        <f>VLOOKUP(W9908,Sheet2!$B:$D,3,FALSE)</f>
        <v>65.599999999999994</v>
      </c>
      <c r="AA9908" s="93">
        <f>100/((3.7*3.7*3)-(2.5*2.5*3))</f>
        <v>4.4802867383512526</v>
      </c>
      <c r="AB9908" s="93">
        <f t="shared" ref="AB9908" si="6568">AD9908/AC9906</f>
        <v>14.641920000000004</v>
      </c>
      <c r="AC9908" s="93">
        <f>AC9906/AA9908</f>
        <v>74.29212000000004</v>
      </c>
      <c r="AD9908" s="94">
        <f t="shared" si="6567"/>
        <v>4873.5630720000017</v>
      </c>
      <c r="AE9908" s="190"/>
      <c r="AF9908" s="191"/>
      <c r="AG9908" s="191"/>
      <c r="AH9908" s="191"/>
      <c r="AI9908" s="186"/>
      <c r="AK9908" s="171"/>
    </row>
    <row r="9909" spans="1:41" s="102" customFormat="1" ht="19.899999999999999" customHeight="1" x14ac:dyDescent="0.25">
      <c r="A9909" s="45"/>
      <c r="B9909" s="59"/>
      <c r="C9909" s="137"/>
      <c r="D9909" s="59"/>
      <c r="E9909" s="116"/>
      <c r="F9909" s="120"/>
      <c r="G9909" s="120"/>
      <c r="H9909" s="120"/>
      <c r="I9909" s="60"/>
      <c r="J9909" s="116"/>
      <c r="K9909" s="213"/>
      <c r="L9909" s="120"/>
      <c r="M9909" s="120"/>
      <c r="N9909" s="167"/>
      <c r="O9909" s="120"/>
      <c r="P9909" s="120"/>
      <c r="Q9909" s="120"/>
      <c r="R9909" s="120"/>
      <c r="S9909" s="120"/>
      <c r="T9909" s="221"/>
      <c r="U9909" s="89"/>
      <c r="V9909" s="61"/>
      <c r="W9909" s="92" t="s">
        <v>65</v>
      </c>
      <c r="X9909" s="93" t="s">
        <v>30</v>
      </c>
      <c r="Y9909" s="93" t="s">
        <v>1011</v>
      </c>
      <c r="Z9909" s="134">
        <f>VLOOKUP(W9909,Sheet2!$B:$D,3,FALSE)</f>
        <v>1.76</v>
      </c>
      <c r="AA9909" s="93">
        <f>AA9908/9</f>
        <v>0.49780963759458363</v>
      </c>
      <c r="AB9909" s="93">
        <f>AD9909/AC9906</f>
        <v>3.5354880000000013</v>
      </c>
      <c r="AC9909" s="93">
        <f>AC9906/AA9909</f>
        <v>668.62908000000027</v>
      </c>
      <c r="AD9909" s="94">
        <f t="shared" si="6567"/>
        <v>1176.7871808000004</v>
      </c>
      <c r="AE9909" s="190"/>
      <c r="AF9909" s="191"/>
      <c r="AG9909" s="191"/>
      <c r="AH9909" s="191"/>
      <c r="AI9909" s="186"/>
      <c r="AK9909" s="171"/>
    </row>
    <row r="9910" spans="1:41" s="102" customFormat="1" ht="19.899999999999999" customHeight="1" x14ac:dyDescent="0.25">
      <c r="A9910" s="45"/>
      <c r="B9910" s="59"/>
      <c r="C9910" s="137"/>
      <c r="D9910" s="59"/>
      <c r="E9910" s="116"/>
      <c r="F9910" s="120"/>
      <c r="G9910" s="120"/>
      <c r="H9910" s="120"/>
      <c r="I9910" s="60"/>
      <c r="J9910" s="116"/>
      <c r="K9910" s="213"/>
      <c r="L9910" s="120"/>
      <c r="M9910" s="120"/>
      <c r="N9910" s="167"/>
      <c r="O9910" s="120"/>
      <c r="P9910" s="120"/>
      <c r="Q9910" s="120"/>
      <c r="R9910" s="120"/>
      <c r="S9910" s="120"/>
      <c r="T9910" s="221"/>
      <c r="U9910" s="89"/>
      <c r="V9910" s="61"/>
      <c r="W9910" s="92" t="s">
        <v>161</v>
      </c>
      <c r="X9910" s="93" t="s">
        <v>29</v>
      </c>
      <c r="Y9910" s="93" t="s">
        <v>93</v>
      </c>
      <c r="Z9910" s="134">
        <f>VLOOKUP(W9910,Sheet2!$B:$D,3,FALSE)</f>
        <v>48</v>
      </c>
      <c r="AA9910" s="93">
        <f>(16*0.85*1.5)/((3.7*3.7*3)-(2.5*2.5*3))</f>
        <v>0.91397849462365555</v>
      </c>
      <c r="AB9910" s="93">
        <f>AD9910/AC9906</f>
        <v>52.517647058823556</v>
      </c>
      <c r="AC9910" s="93">
        <f>AC9906/AA9910</f>
        <v>364.17705882352959</v>
      </c>
      <c r="AD9910" s="94">
        <f>AC9910*Z9910</f>
        <v>17480.498823529422</v>
      </c>
      <c r="AE9910" s="190"/>
      <c r="AF9910" s="191"/>
      <c r="AG9910" s="191"/>
      <c r="AH9910" s="191"/>
      <c r="AI9910" s="186"/>
      <c r="AK9910" s="171"/>
    </row>
    <row r="9911" spans="1:41" s="102" customFormat="1" ht="19.899999999999999" customHeight="1" x14ac:dyDescent="0.25">
      <c r="A9911" s="45"/>
      <c r="B9911" s="59"/>
      <c r="C9911" s="137"/>
      <c r="D9911" s="59"/>
      <c r="E9911" s="116"/>
      <c r="F9911" s="120"/>
      <c r="G9911" s="120"/>
      <c r="H9911" s="120"/>
      <c r="I9911" s="60"/>
      <c r="J9911" s="116"/>
      <c r="K9911" s="213"/>
      <c r="L9911" s="120"/>
      <c r="M9911" s="120"/>
      <c r="N9911" s="167"/>
      <c r="O9911" s="120"/>
      <c r="P9911" s="120"/>
      <c r="Q9911" s="120"/>
      <c r="R9911" s="120"/>
      <c r="S9911" s="120"/>
      <c r="T9911" s="221"/>
      <c r="U9911" s="89"/>
      <c r="V9911" s="61"/>
      <c r="W9911" s="92" t="s">
        <v>65</v>
      </c>
      <c r="X9911" s="93" t="s">
        <v>30</v>
      </c>
      <c r="Y9911" s="93" t="s">
        <v>1011</v>
      </c>
      <c r="Z9911" s="134">
        <f>VLOOKUP(W9911,Sheet2!$B:$D,3,FALSE)</f>
        <v>1.76</v>
      </c>
      <c r="AA9911" s="93">
        <f>AA9910/10</f>
        <v>9.1397849462365552E-2</v>
      </c>
      <c r="AB9911" s="93">
        <f>AD9911/AC9906</f>
        <v>19.256470588235306</v>
      </c>
      <c r="AC9911" s="93">
        <f>AC9906/AA9911</f>
        <v>3641.7705882352961</v>
      </c>
      <c r="AD9911" s="94">
        <f>AC9911*Z9911</f>
        <v>6409.5162352941215</v>
      </c>
      <c r="AE9911" s="190"/>
      <c r="AF9911" s="191"/>
      <c r="AG9911" s="191"/>
      <c r="AH9911" s="191"/>
      <c r="AI9911" s="186"/>
      <c r="AK9911" s="171"/>
    </row>
    <row r="9912" spans="1:41" s="102" customFormat="1" ht="19.899999999999999" customHeight="1" x14ac:dyDescent="0.25">
      <c r="A9912" s="45"/>
      <c r="B9912" s="59"/>
      <c r="C9912" s="137"/>
      <c r="D9912" s="59"/>
      <c r="E9912" s="116"/>
      <c r="F9912" s="120"/>
      <c r="G9912" s="120"/>
      <c r="H9912" s="120"/>
      <c r="I9912" s="60"/>
      <c r="J9912" s="116"/>
      <c r="K9912" s="213"/>
      <c r="L9912" s="120"/>
      <c r="M9912" s="120"/>
      <c r="N9912" s="167"/>
      <c r="O9912" s="120"/>
      <c r="P9912" s="120"/>
      <c r="Q9912" s="120"/>
      <c r="R9912" s="120"/>
      <c r="S9912" s="120"/>
      <c r="T9912" s="221"/>
      <c r="U9912" s="89"/>
      <c r="V9912" s="61"/>
      <c r="W9912" s="92" t="s">
        <v>173</v>
      </c>
      <c r="X9912" s="93" t="s">
        <v>29</v>
      </c>
      <c r="Y9912" s="93" t="s">
        <v>93</v>
      </c>
      <c r="Z9912" s="134">
        <f>VLOOKUP(W9912,Sheet2!$B:$D,3,FALSE)</f>
        <v>36</v>
      </c>
      <c r="AA9912" s="93">
        <f>50/((3.7*3.7*3)-(2.5*2.5*3))</f>
        <v>2.2401433691756263</v>
      </c>
      <c r="AB9912" s="93">
        <f>AD9912/AC9906</f>
        <v>16.070400000000006</v>
      </c>
      <c r="AC9912" s="93">
        <f>AC9906/AA9912</f>
        <v>148.58424000000008</v>
      </c>
      <c r="AD9912" s="94">
        <f>AC9912*Z9912</f>
        <v>5349.0326400000031</v>
      </c>
      <c r="AE9912" s="190"/>
      <c r="AF9912" s="191"/>
      <c r="AG9912" s="191"/>
      <c r="AH9912" s="191"/>
      <c r="AI9912" s="186"/>
      <c r="AK9912" s="171"/>
    </row>
    <row r="9913" spans="1:41" s="102" customFormat="1" ht="19.899999999999999" customHeight="1" x14ac:dyDescent="0.25">
      <c r="A9913" s="45"/>
      <c r="B9913" s="59"/>
      <c r="C9913" s="137"/>
      <c r="D9913" s="59"/>
      <c r="E9913" s="116"/>
      <c r="F9913" s="120"/>
      <c r="G9913" s="120"/>
      <c r="H9913" s="120"/>
      <c r="I9913" s="60"/>
      <c r="J9913" s="116"/>
      <c r="K9913" s="213"/>
      <c r="L9913" s="120"/>
      <c r="M9913" s="120"/>
      <c r="N9913" s="167"/>
      <c r="O9913" s="120"/>
      <c r="P9913" s="120"/>
      <c r="Q9913" s="120"/>
      <c r="R9913" s="120"/>
      <c r="S9913" s="120"/>
      <c r="T9913" s="221"/>
      <c r="U9913" s="89"/>
      <c r="V9913" s="61"/>
      <c r="W9913" s="92" t="s">
        <v>65</v>
      </c>
      <c r="X9913" s="93" t="s">
        <v>30</v>
      </c>
      <c r="Y9913" s="93" t="s">
        <v>1011</v>
      </c>
      <c r="Z9913" s="134">
        <f>VLOOKUP(W9913,Sheet2!$B:$D,3,FALSE)</f>
        <v>1.76</v>
      </c>
      <c r="AA9913" s="93">
        <f>AA9912/9</f>
        <v>0.24890481879729182</v>
      </c>
      <c r="AB9913" s="93">
        <f>AD9913/AC9906</f>
        <v>7.0709760000000026</v>
      </c>
      <c r="AC9913" s="93">
        <f>AC9906/AA9913</f>
        <v>1337.2581600000005</v>
      </c>
      <c r="AD9913" s="94">
        <f>AC9913*Z9913</f>
        <v>2353.5743616000009</v>
      </c>
      <c r="AE9913" s="190"/>
      <c r="AF9913" s="191"/>
      <c r="AG9913" s="191"/>
      <c r="AH9913" s="191"/>
      <c r="AI9913" s="186"/>
      <c r="AK9913" s="171"/>
    </row>
    <row r="9914" spans="1:41" s="102" customFormat="1" ht="19.899999999999999" customHeight="1" x14ac:dyDescent="0.25">
      <c r="A9914" s="45"/>
      <c r="B9914" s="59"/>
      <c r="C9914" s="137"/>
      <c r="D9914" s="59"/>
      <c r="E9914" s="116"/>
      <c r="F9914" s="120"/>
      <c r="G9914" s="120"/>
      <c r="H9914" s="120"/>
      <c r="I9914" s="60"/>
      <c r="J9914" s="116"/>
      <c r="K9914" s="213"/>
      <c r="L9914" s="120"/>
      <c r="M9914" s="120"/>
      <c r="N9914" s="167"/>
      <c r="O9914" s="120"/>
      <c r="P9914" s="120"/>
      <c r="Q9914" s="120"/>
      <c r="R9914" s="120"/>
      <c r="S9914" s="120"/>
      <c r="T9914" s="221"/>
      <c r="U9914" s="89"/>
      <c r="V9914" s="61"/>
      <c r="W9914" s="92" t="s">
        <v>1030</v>
      </c>
      <c r="X9914" s="93" t="s">
        <v>29</v>
      </c>
      <c r="Y9914" s="93" t="s">
        <v>93</v>
      </c>
      <c r="Z9914" s="134">
        <f>VLOOKUP(W9914,Sheet2!$B:$D,3,FALSE)</f>
        <v>23</v>
      </c>
      <c r="AA9914" s="93">
        <v>0.5</v>
      </c>
      <c r="AB9914" s="93">
        <f>AD9914/AC9906</f>
        <v>46</v>
      </c>
      <c r="AC9914" s="93">
        <f>AC9906/AA9914</f>
        <v>665.7</v>
      </c>
      <c r="AD9914" s="94">
        <f t="shared" ref="AD9914:AD9915" si="6569">AC9914*Z9914</f>
        <v>15311.1</v>
      </c>
      <c r="AE9914" s="190"/>
      <c r="AF9914" s="191"/>
      <c r="AG9914" s="191"/>
      <c r="AH9914" s="191"/>
      <c r="AI9914" s="186"/>
      <c r="AK9914" s="171"/>
    </row>
    <row r="9915" spans="1:41" s="102" customFormat="1" ht="19.899999999999999" customHeight="1" x14ac:dyDescent="0.25">
      <c r="A9915" s="45"/>
      <c r="B9915" s="59"/>
      <c r="C9915" s="137"/>
      <c r="D9915" s="59"/>
      <c r="E9915" s="116"/>
      <c r="F9915" s="120"/>
      <c r="G9915" s="120"/>
      <c r="H9915" s="120"/>
      <c r="I9915" s="60"/>
      <c r="J9915" s="116"/>
      <c r="K9915" s="213"/>
      <c r="L9915" s="120"/>
      <c r="M9915" s="120"/>
      <c r="N9915" s="167"/>
      <c r="O9915" s="120"/>
      <c r="P9915" s="120"/>
      <c r="Q9915" s="120"/>
      <c r="R9915" s="120"/>
      <c r="S9915" s="120"/>
      <c r="T9915" s="221"/>
      <c r="U9915" s="89"/>
      <c r="V9915" s="61"/>
      <c r="W9915" s="92" t="s">
        <v>65</v>
      </c>
      <c r="X9915" s="93" t="s">
        <v>30</v>
      </c>
      <c r="Y9915" s="93" t="s">
        <v>1011</v>
      </c>
      <c r="Z9915" s="134">
        <f>VLOOKUP(W9915,Sheet2!$B:$D,3,FALSE)</f>
        <v>1.76</v>
      </c>
      <c r="AA9915" s="93">
        <f>AA9914/3</f>
        <v>0.16666666666666666</v>
      </c>
      <c r="AB9915" s="93">
        <f>AD9915/AC9906</f>
        <v>10.56</v>
      </c>
      <c r="AC9915" s="93">
        <f>AC9906/AA9915</f>
        <v>1997.1000000000001</v>
      </c>
      <c r="AD9915" s="94">
        <f t="shared" si="6569"/>
        <v>3514.8960000000002</v>
      </c>
      <c r="AE9915" s="190"/>
      <c r="AF9915" s="191"/>
      <c r="AG9915" s="191"/>
      <c r="AH9915" s="191"/>
      <c r="AI9915" s="186"/>
      <c r="AK9915" s="171"/>
    </row>
    <row r="9916" spans="1:41" s="102" customFormat="1" ht="20.100000000000001" customHeight="1" x14ac:dyDescent="0.25">
      <c r="A9916" s="45"/>
      <c r="B9916" s="276"/>
      <c r="C9916" s="286" t="s">
        <v>946</v>
      </c>
      <c r="D9916" s="59"/>
      <c r="E9916" s="116"/>
      <c r="F9916" s="120">
        <v>0</v>
      </c>
      <c r="G9916" s="120">
        <f t="shared" ref="G9916" si="6570">F9916*E9916</f>
        <v>0</v>
      </c>
      <c r="H9916" s="120">
        <f t="shared" ref="H9916" si="6571">AB9916</f>
        <v>0</v>
      </c>
      <c r="I9916" s="60">
        <f t="shared" ref="I9916" si="6572">H9916*E9916</f>
        <v>0</v>
      </c>
      <c r="J9916" s="116">
        <f t="shared" ref="J9916" si="6573">E9916</f>
        <v>0</v>
      </c>
      <c r="K9916" s="213">
        <f t="shared" ref="K9916" si="6574">J9916</f>
        <v>0</v>
      </c>
      <c r="L9916" s="120"/>
      <c r="M9916" s="120">
        <f t="shared" ref="M9916" si="6575">K9916-L9916</f>
        <v>0</v>
      </c>
      <c r="N9916" s="167">
        <f t="shared" ref="N9916" si="6576">IFERROR(M9916/K9916,0)</f>
        <v>0</v>
      </c>
      <c r="O9916" s="120">
        <f t="shared" ref="O9916" si="6577">F9916</f>
        <v>0</v>
      </c>
      <c r="P9916" s="120">
        <f t="shared" ref="P9916" si="6578">K9916*O9916</f>
        <v>0</v>
      </c>
      <c r="Q9916" s="120">
        <f t="shared" ref="Q9916" si="6579">AB9916</f>
        <v>0</v>
      </c>
      <c r="R9916" s="120">
        <f t="shared" ref="R9916" si="6580">M9916*Q9916</f>
        <v>0</v>
      </c>
      <c r="S9916" s="120"/>
      <c r="T9916" s="221">
        <f t="shared" ref="T9916" si="6581">S9916+R9916</f>
        <v>0</v>
      </c>
      <c r="U9916" s="89"/>
      <c r="V9916" s="61"/>
      <c r="W9916" s="92"/>
      <c r="X9916" s="38"/>
      <c r="Y9916" s="93"/>
      <c r="Z9916" s="134"/>
      <c r="AA9916" s="93"/>
      <c r="AB9916" s="93"/>
      <c r="AC9916" s="93"/>
      <c r="AD9916" s="94"/>
      <c r="AE9916" s="190"/>
      <c r="AF9916" s="191"/>
      <c r="AG9916" s="191"/>
      <c r="AH9916" s="191"/>
      <c r="AI9916" s="186"/>
      <c r="AK9916" s="171"/>
    </row>
    <row r="9917" spans="1:41" ht="20.100000000000001" customHeight="1" x14ac:dyDescent="0.25">
      <c r="A9917" s="277" t="s">
        <v>945</v>
      </c>
      <c r="B9917" s="278"/>
      <c r="C9917" s="64" t="s">
        <v>946</v>
      </c>
      <c r="D9917" s="46" t="s">
        <v>196</v>
      </c>
      <c r="E9917" s="114">
        <v>625585</v>
      </c>
      <c r="F9917" s="44">
        <v>3</v>
      </c>
      <c r="G9917" s="44">
        <f t="shared" si="3841"/>
        <v>1876755</v>
      </c>
      <c r="H9917" s="44">
        <f t="shared" si="3842"/>
        <v>0.55654980392156861</v>
      </c>
      <c r="I9917" s="43">
        <f t="shared" si="3843"/>
        <v>348169.2090862745</v>
      </c>
      <c r="J9917" s="112">
        <f t="shared" si="3844"/>
        <v>625585</v>
      </c>
      <c r="K9917" s="211">
        <f t="shared" si="3845"/>
        <v>625585</v>
      </c>
      <c r="L9917" s="44"/>
      <c r="M9917" s="44">
        <f t="shared" si="3846"/>
        <v>625585</v>
      </c>
      <c r="N9917" s="173">
        <f t="shared" si="3847"/>
        <v>1</v>
      </c>
      <c r="O9917" s="44">
        <f t="shared" si="3848"/>
        <v>3</v>
      </c>
      <c r="P9917" s="44">
        <f t="shared" si="3849"/>
        <v>1876755</v>
      </c>
      <c r="Q9917" s="44">
        <f t="shared" si="3850"/>
        <v>0.55654980392156861</v>
      </c>
      <c r="R9917" s="44">
        <f t="shared" si="3851"/>
        <v>348169.2090862745</v>
      </c>
      <c r="S9917" s="123"/>
      <c r="T9917" s="219">
        <f t="shared" si="3852"/>
        <v>348169.2090862745</v>
      </c>
      <c r="U9917" s="87"/>
      <c r="V9917" s="47"/>
      <c r="W9917" s="48"/>
      <c r="X9917" s="48"/>
      <c r="Y9917" s="48"/>
      <c r="Z9917" s="135"/>
      <c r="AA9917" s="49"/>
      <c r="AB9917" s="50">
        <f t="shared" si="3853"/>
        <v>0.55654980392156861</v>
      </c>
      <c r="AC9917" s="42">
        <f t="shared" si="3854"/>
        <v>625585</v>
      </c>
      <c r="AD9917" s="90">
        <f>AD9918</f>
        <v>348169.2090862745</v>
      </c>
      <c r="AE9917" s="188">
        <f t="shared" ref="AE9917:AH9917" si="6582">AE9918</f>
        <v>0</v>
      </c>
      <c r="AF9917" s="189">
        <f t="shared" si="6582"/>
        <v>0</v>
      </c>
      <c r="AG9917" s="189">
        <f t="shared" si="6582"/>
        <v>0</v>
      </c>
      <c r="AH9917" s="189">
        <f t="shared" si="6582"/>
        <v>0</v>
      </c>
      <c r="AI9917" s="161">
        <f t="shared" si="6556"/>
        <v>0</v>
      </c>
      <c r="AK9917" s="169">
        <v>5</v>
      </c>
      <c r="AO9917" s="19" t="s">
        <v>63</v>
      </c>
    </row>
    <row r="9918" spans="1:41" s="103" customFormat="1" ht="19.899999999999999" customHeight="1" x14ac:dyDescent="0.25">
      <c r="A9918" s="51"/>
      <c r="B9918" s="165"/>
      <c r="C9918" s="52"/>
      <c r="D9918" s="313"/>
      <c r="E9918" s="115"/>
      <c r="F9918" s="58"/>
      <c r="G9918" s="58"/>
      <c r="H9918" s="58"/>
      <c r="I9918" s="55"/>
      <c r="J9918" s="113">
        <f>J9917</f>
        <v>625585</v>
      </c>
      <c r="K9918" s="212">
        <f>K9917</f>
        <v>625585</v>
      </c>
      <c r="L9918" s="58"/>
      <c r="M9918" s="58">
        <f>K9918-L9918</f>
        <v>625585</v>
      </c>
      <c r="N9918" s="166"/>
      <c r="O9918" s="58"/>
      <c r="P9918" s="58"/>
      <c r="Q9918" s="58"/>
      <c r="R9918" s="58"/>
      <c r="S9918" s="58"/>
      <c r="T9918" s="220"/>
      <c r="U9918" s="88">
        <f>IFERROR(S9918/L9918,0)</f>
        <v>0</v>
      </c>
      <c r="V9918" s="56" t="str">
        <f>V9917&amp;"01"</f>
        <v>01</v>
      </c>
      <c r="W9918" s="57" t="s">
        <v>1657</v>
      </c>
      <c r="X9918" s="53"/>
      <c r="Y9918" s="91" t="s">
        <v>64</v>
      </c>
      <c r="Z9918" s="136">
        <f>AD9918/AC9918</f>
        <v>0.55654980392156861</v>
      </c>
      <c r="AA9918" s="58"/>
      <c r="AB9918" s="53">
        <f>AD9918/AC9918</f>
        <v>0.55654980392156861</v>
      </c>
      <c r="AC9918" s="53">
        <f>M9918+$AE$10</f>
        <v>625585</v>
      </c>
      <c r="AD9918" s="54">
        <f>SUM(AD9919:AD9925)</f>
        <v>348169.2090862745</v>
      </c>
      <c r="AE9918" s="184">
        <f>SUMIFS($AD$44:$AD$4639,$V$44:$V$4639,$V9918,$X$44:$X$4639,AE$13)</f>
        <v>0</v>
      </c>
      <c r="AF9918" s="185">
        <f>SUMIFS($AD$44:$AD$4639,$V$44:$V$4639,$V9918,$X$44:$X$4639,AF$13)</f>
        <v>0</v>
      </c>
      <c r="AG9918" s="185">
        <f>SUMIFS($AD$44:$AD$4639,$V$44:$V$4639,$V9918,$X$44:$X$4639,AG$13)</f>
        <v>0</v>
      </c>
      <c r="AH9918" s="187">
        <f>SUMIFS($AD$44:$AD$4639,$V$44:$V$4639,$V9918,$X$44:$X$4639,AH$13)</f>
        <v>0</v>
      </c>
      <c r="AI9918" s="161">
        <f t="shared" ref="AI9918" si="6583">SUM(AE9918:AH9918)</f>
        <v>0</v>
      </c>
      <c r="AK9918" s="172"/>
    </row>
    <row r="9919" spans="1:41" s="102" customFormat="1" ht="19.899999999999999" customHeight="1" x14ac:dyDescent="0.25">
      <c r="A9919" s="45"/>
      <c r="B9919" s="137"/>
      <c r="C9919" s="59"/>
      <c r="D9919" s="314"/>
      <c r="E9919" s="116"/>
      <c r="F9919" s="120"/>
      <c r="G9919" s="120"/>
      <c r="H9919" s="120"/>
      <c r="I9919" s="60"/>
      <c r="J9919" s="116"/>
      <c r="K9919" s="213"/>
      <c r="L9919" s="120"/>
      <c r="M9919" s="120"/>
      <c r="N9919" s="167"/>
      <c r="O9919" s="120"/>
      <c r="P9919" s="120"/>
      <c r="Q9919" s="120"/>
      <c r="R9919" s="120"/>
      <c r="S9919" s="120"/>
      <c r="T9919" s="221"/>
      <c r="U9919" s="89"/>
      <c r="V9919" s="61" t="str">
        <f t="shared" ref="V9919:V9925" si="6584">V9918</f>
        <v>01</v>
      </c>
      <c r="W9919" s="92" t="s">
        <v>94</v>
      </c>
      <c r="X9919" s="93" t="s">
        <v>29</v>
      </c>
      <c r="Y9919" s="93" t="s">
        <v>1656</v>
      </c>
      <c r="Z9919" s="134">
        <f>VLOOKUP(W9919,Sheet2!$B:$D,3,FALSE)</f>
        <v>90.4</v>
      </c>
      <c r="AA9919" s="93">
        <v>600</v>
      </c>
      <c r="AB9919" s="93">
        <f>AD9919/AC9918</f>
        <v>0.15066666666666667</v>
      </c>
      <c r="AC9919" s="93">
        <f>AC9918/AA9919</f>
        <v>1042.6416666666667</v>
      </c>
      <c r="AD9919" s="94">
        <f t="shared" ref="AD9919:AD9920" si="6585">AC9919*Z9919</f>
        <v>94254.806666666671</v>
      </c>
      <c r="AE9919" s="190"/>
      <c r="AF9919" s="191"/>
      <c r="AG9919" s="191"/>
      <c r="AH9919" s="191"/>
      <c r="AI9919" s="186"/>
      <c r="AK9919" s="171"/>
    </row>
    <row r="9920" spans="1:41" s="102" customFormat="1" ht="19.899999999999999" customHeight="1" x14ac:dyDescent="0.25">
      <c r="A9920" s="45"/>
      <c r="B9920" s="137"/>
      <c r="C9920" s="59"/>
      <c r="D9920" s="314"/>
      <c r="E9920" s="116"/>
      <c r="F9920" s="120"/>
      <c r="G9920" s="120"/>
      <c r="H9920" s="120"/>
      <c r="I9920" s="60"/>
      <c r="J9920" s="116"/>
      <c r="K9920" s="120"/>
      <c r="L9920" s="120"/>
      <c r="M9920" s="120"/>
      <c r="N9920" s="167"/>
      <c r="O9920" s="120"/>
      <c r="P9920" s="120"/>
      <c r="Q9920" s="120"/>
      <c r="R9920" s="120"/>
      <c r="S9920" s="120"/>
      <c r="T9920" s="221"/>
      <c r="U9920" s="89"/>
      <c r="V9920" s="61" t="str">
        <f t="shared" si="6584"/>
        <v>01</v>
      </c>
      <c r="W9920" s="92" t="s">
        <v>65</v>
      </c>
      <c r="X9920" s="93" t="s">
        <v>30</v>
      </c>
      <c r="Y9920" s="93" t="s">
        <v>98</v>
      </c>
      <c r="Z9920" s="134">
        <f>VLOOKUP(W9920,Sheet2!$B:$D,3,FALSE)</f>
        <v>1.76</v>
      </c>
      <c r="AA9920" s="93">
        <f>AA9919/21</f>
        <v>28.571428571428573</v>
      </c>
      <c r="AB9920" s="93">
        <f>AD9920/AC9918</f>
        <v>6.1600000000000002E-2</v>
      </c>
      <c r="AC9920" s="93">
        <f>AC9918/AA9920</f>
        <v>21895.474999999999</v>
      </c>
      <c r="AD9920" s="94">
        <f t="shared" si="6585"/>
        <v>38536.036</v>
      </c>
      <c r="AE9920" s="190"/>
      <c r="AF9920" s="191"/>
      <c r="AG9920" s="191"/>
      <c r="AH9920" s="191"/>
      <c r="AI9920" s="186"/>
      <c r="AK9920" s="171"/>
    </row>
    <row r="9921" spans="1:41" s="102" customFormat="1" ht="19.899999999999999" customHeight="1" x14ac:dyDescent="0.25">
      <c r="A9921" s="45"/>
      <c r="B9921" s="137"/>
      <c r="C9921" s="59"/>
      <c r="D9921" s="314"/>
      <c r="E9921" s="116"/>
      <c r="F9921" s="120"/>
      <c r="G9921" s="120"/>
      <c r="H9921" s="120"/>
      <c r="I9921" s="60"/>
      <c r="J9921" s="116"/>
      <c r="K9921" s="120"/>
      <c r="L9921" s="120"/>
      <c r="M9921" s="120"/>
      <c r="N9921" s="167"/>
      <c r="O9921" s="120"/>
      <c r="P9921" s="120"/>
      <c r="Q9921" s="120"/>
      <c r="R9921" s="120"/>
      <c r="S9921" s="120"/>
      <c r="T9921" s="221"/>
      <c r="U9921" s="89"/>
      <c r="V9921" s="61" t="str">
        <f t="shared" si="6584"/>
        <v>01</v>
      </c>
      <c r="W9921" s="92" t="s">
        <v>134</v>
      </c>
      <c r="X9921" s="93" t="s">
        <v>29</v>
      </c>
      <c r="Y9921" s="93" t="s">
        <v>1656</v>
      </c>
      <c r="Z9921" s="134">
        <f>VLOOKUP(W9921,Sheet2!$B:$D,3,FALSE)</f>
        <v>65.599999999999994</v>
      </c>
      <c r="AA9921" s="93">
        <f>100/0.1</f>
        <v>1000</v>
      </c>
      <c r="AB9921" s="93">
        <f>AD9921/AC9918</f>
        <v>6.5599999999999992E-2</v>
      </c>
      <c r="AC9921" s="93">
        <f>AC9918/AA9921</f>
        <v>625.58500000000004</v>
      </c>
      <c r="AD9921" s="94">
        <f>AC9921*Z9921</f>
        <v>41038.375999999997</v>
      </c>
      <c r="AE9921" s="190"/>
      <c r="AF9921" s="191"/>
      <c r="AG9921" s="191"/>
      <c r="AH9921" s="191"/>
      <c r="AI9921" s="186"/>
      <c r="AK9921" s="171"/>
    </row>
    <row r="9922" spans="1:41" s="102" customFormat="1" ht="19.899999999999999" customHeight="1" x14ac:dyDescent="0.25">
      <c r="A9922" s="45"/>
      <c r="B9922" s="137"/>
      <c r="C9922" s="59"/>
      <c r="D9922" s="314"/>
      <c r="E9922" s="116"/>
      <c r="F9922" s="120"/>
      <c r="G9922" s="120"/>
      <c r="H9922" s="120"/>
      <c r="I9922" s="60"/>
      <c r="J9922" s="116"/>
      <c r="K9922" s="120"/>
      <c r="L9922" s="120"/>
      <c r="M9922" s="120"/>
      <c r="N9922" s="167"/>
      <c r="O9922" s="120"/>
      <c r="P9922" s="120"/>
      <c r="Q9922" s="120"/>
      <c r="R9922" s="120"/>
      <c r="S9922" s="120"/>
      <c r="T9922" s="221"/>
      <c r="U9922" s="89"/>
      <c r="V9922" s="61" t="str">
        <f t="shared" si="6584"/>
        <v>01</v>
      </c>
      <c r="W9922" s="92" t="s">
        <v>65</v>
      </c>
      <c r="X9922" s="93" t="s">
        <v>30</v>
      </c>
      <c r="Y9922" s="93" t="s">
        <v>98</v>
      </c>
      <c r="Z9922" s="134">
        <f>VLOOKUP(W9922,Sheet2!$B:$D,3,FALSE)</f>
        <v>1.76</v>
      </c>
      <c r="AA9922" s="93">
        <f>AA9921/9</f>
        <v>111.11111111111111</v>
      </c>
      <c r="AB9922" s="93">
        <f>AD9922/AC9918</f>
        <v>1.5839999999999996E-2</v>
      </c>
      <c r="AC9922" s="93">
        <f>AC9918/AA9922</f>
        <v>5630.2649999999994</v>
      </c>
      <c r="AD9922" s="94">
        <f t="shared" ref="AD9922:AD9924" si="6586">AC9922*Z9922</f>
        <v>9909.2663999999986</v>
      </c>
      <c r="AE9922" s="190"/>
      <c r="AF9922" s="191"/>
      <c r="AG9922" s="191"/>
      <c r="AH9922" s="191"/>
      <c r="AI9922" s="186"/>
      <c r="AK9922" s="171"/>
    </row>
    <row r="9923" spans="1:41" s="102" customFormat="1" ht="19.899999999999999" customHeight="1" x14ac:dyDescent="0.25">
      <c r="A9923" s="45"/>
      <c r="B9923" s="137"/>
      <c r="C9923" s="59"/>
      <c r="D9923" s="314"/>
      <c r="E9923" s="116"/>
      <c r="F9923" s="120"/>
      <c r="G9923" s="120"/>
      <c r="H9923" s="120"/>
      <c r="I9923" s="60"/>
      <c r="J9923" s="116"/>
      <c r="K9923" s="120"/>
      <c r="L9923" s="120"/>
      <c r="M9923" s="120"/>
      <c r="N9923" s="167"/>
      <c r="O9923" s="120"/>
      <c r="P9923" s="120"/>
      <c r="Q9923" s="120"/>
      <c r="R9923" s="120"/>
      <c r="S9923" s="120"/>
      <c r="T9923" s="221"/>
      <c r="U9923" s="89"/>
      <c r="V9923" s="61" t="str">
        <f t="shared" si="6584"/>
        <v>01</v>
      </c>
      <c r="W9923" s="92" t="s">
        <v>161</v>
      </c>
      <c r="X9923" s="93" t="s">
        <v>29</v>
      </c>
      <c r="Y9923" s="93" t="s">
        <v>1656</v>
      </c>
      <c r="Z9923" s="134">
        <f>VLOOKUP(W9923,Sheet2!$B:$D,3,FALSE)</f>
        <v>48</v>
      </c>
      <c r="AA9923" s="93">
        <f>(16*0.85*2)/0.1</f>
        <v>272</v>
      </c>
      <c r="AB9923" s="93">
        <f>AD9923/AC9918</f>
        <v>0.17647058823529413</v>
      </c>
      <c r="AC9923" s="93">
        <f>AC9918/AA9923</f>
        <v>2299.9448529411766</v>
      </c>
      <c r="AD9923" s="94">
        <f t="shared" si="6586"/>
        <v>110397.35294117648</v>
      </c>
      <c r="AE9923" s="190"/>
      <c r="AF9923" s="191"/>
      <c r="AG9923" s="191"/>
      <c r="AH9923" s="191"/>
      <c r="AI9923" s="186"/>
      <c r="AK9923" s="171"/>
    </row>
    <row r="9924" spans="1:41" s="102" customFormat="1" ht="19.899999999999999" customHeight="1" x14ac:dyDescent="0.25">
      <c r="A9924" s="45"/>
      <c r="B9924" s="137"/>
      <c r="C9924" s="59"/>
      <c r="D9924" s="314"/>
      <c r="E9924" s="116"/>
      <c r="F9924" s="120"/>
      <c r="G9924" s="120"/>
      <c r="H9924" s="120"/>
      <c r="I9924" s="60"/>
      <c r="J9924" s="116"/>
      <c r="K9924" s="120"/>
      <c r="L9924" s="120"/>
      <c r="M9924" s="120"/>
      <c r="N9924" s="167"/>
      <c r="O9924" s="120"/>
      <c r="P9924" s="120"/>
      <c r="Q9924" s="120"/>
      <c r="R9924" s="120"/>
      <c r="S9924" s="120"/>
      <c r="T9924" s="221"/>
      <c r="U9924" s="89"/>
      <c r="V9924" s="61" t="str">
        <f t="shared" si="6584"/>
        <v>01</v>
      </c>
      <c r="W9924" s="92" t="s">
        <v>65</v>
      </c>
      <c r="X9924" s="93" t="s">
        <v>30</v>
      </c>
      <c r="Y9924" s="93" t="s">
        <v>98</v>
      </c>
      <c r="Z9924" s="134">
        <f>VLOOKUP(W9924,Sheet2!$B:$D,3,FALSE)</f>
        <v>1.76</v>
      </c>
      <c r="AA9924" s="93">
        <f>AA9923/10</f>
        <v>27.2</v>
      </c>
      <c r="AB9924" s="93">
        <f>AD9924/AC9918</f>
        <v>6.4705882352941183E-2</v>
      </c>
      <c r="AC9924" s="93">
        <f>AC9918/AA9924</f>
        <v>22999.448529411766</v>
      </c>
      <c r="AD9924" s="94">
        <f t="shared" si="6586"/>
        <v>40479.029411764706</v>
      </c>
      <c r="AE9924" s="190"/>
      <c r="AF9924" s="191"/>
      <c r="AG9924" s="191"/>
      <c r="AH9924" s="191"/>
      <c r="AI9924" s="186"/>
      <c r="AK9924" s="171"/>
    </row>
    <row r="9925" spans="1:41" s="102" customFormat="1" ht="19.899999999999999" customHeight="1" x14ac:dyDescent="0.25">
      <c r="A9925" s="45"/>
      <c r="B9925" s="137"/>
      <c r="C9925" s="59"/>
      <c r="D9925" s="314"/>
      <c r="E9925" s="116"/>
      <c r="F9925" s="120"/>
      <c r="G9925" s="120"/>
      <c r="H9925" s="120"/>
      <c r="I9925" s="60"/>
      <c r="J9925" s="116"/>
      <c r="K9925" s="120"/>
      <c r="L9925" s="120"/>
      <c r="M9925" s="120"/>
      <c r="N9925" s="167"/>
      <c r="O9925" s="120"/>
      <c r="P9925" s="120"/>
      <c r="Q9925" s="120"/>
      <c r="R9925" s="120"/>
      <c r="S9925" s="120"/>
      <c r="T9925" s="221"/>
      <c r="U9925" s="89"/>
      <c r="V9925" s="61" t="str">
        <f t="shared" si="6584"/>
        <v>01</v>
      </c>
      <c r="W9925" s="92" t="s">
        <v>112</v>
      </c>
      <c r="X9925" s="93" t="s">
        <v>31</v>
      </c>
      <c r="Y9925" s="93" t="s">
        <v>1656</v>
      </c>
      <c r="Z9925" s="134">
        <f>VLOOKUP(W9925,Sheet2!$B:$D,3,FALSE)</f>
        <v>13</v>
      </c>
      <c r="AA9925" s="93">
        <f>AA9919</f>
        <v>600</v>
      </c>
      <c r="AB9925" s="93">
        <f>AD9925/AC9918</f>
        <v>2.1666666666666667E-2</v>
      </c>
      <c r="AC9925" s="93">
        <f>AC9918/AA9925</f>
        <v>1042.6416666666667</v>
      </c>
      <c r="AD9925" s="94">
        <f>AC9925*Z9925</f>
        <v>13554.341666666667</v>
      </c>
      <c r="AE9925" s="190"/>
      <c r="AF9925" s="191"/>
      <c r="AG9925" s="191"/>
      <c r="AH9925" s="191"/>
      <c r="AI9925" s="186"/>
      <c r="AK9925" s="171"/>
    </row>
    <row r="9926" spans="1:41" ht="25.5" x14ac:dyDescent="0.25">
      <c r="A9926" s="277" t="s">
        <v>945</v>
      </c>
      <c r="B9926" s="278"/>
      <c r="C9926" s="64" t="s">
        <v>947</v>
      </c>
      <c r="D9926" s="46" t="s">
        <v>201</v>
      </c>
      <c r="E9926" s="114">
        <v>2317705</v>
      </c>
      <c r="F9926" s="44">
        <v>15</v>
      </c>
      <c r="G9926" s="44">
        <f t="shared" si="3841"/>
        <v>34765575</v>
      </c>
      <c r="H9926" s="44">
        <f t="shared" si="3842"/>
        <v>3.7637333333333332</v>
      </c>
      <c r="I9926" s="43">
        <f t="shared" si="3843"/>
        <v>8723223.5653333329</v>
      </c>
      <c r="J9926" s="112">
        <f t="shared" si="3844"/>
        <v>2317705</v>
      </c>
      <c r="K9926" s="211">
        <f t="shared" si="3845"/>
        <v>2317705</v>
      </c>
      <c r="L9926" s="44"/>
      <c r="M9926" s="44">
        <f t="shared" si="3846"/>
        <v>2317705</v>
      </c>
      <c r="N9926" s="173">
        <f t="shared" si="3847"/>
        <v>1</v>
      </c>
      <c r="O9926" s="44">
        <f t="shared" si="3848"/>
        <v>15</v>
      </c>
      <c r="P9926" s="44">
        <f t="shared" si="3849"/>
        <v>34765575</v>
      </c>
      <c r="Q9926" s="44">
        <f t="shared" si="3850"/>
        <v>3.7637333333333332</v>
      </c>
      <c r="R9926" s="44">
        <f t="shared" si="3851"/>
        <v>8723223.5653333329</v>
      </c>
      <c r="S9926" s="123"/>
      <c r="T9926" s="219">
        <f t="shared" si="3852"/>
        <v>8723223.5653333329</v>
      </c>
      <c r="U9926" s="87"/>
      <c r="V9926" s="47"/>
      <c r="W9926" s="48"/>
      <c r="X9926" s="48"/>
      <c r="Y9926" s="48"/>
      <c r="Z9926" s="135"/>
      <c r="AA9926" s="49"/>
      <c r="AB9926" s="50">
        <f t="shared" si="3853"/>
        <v>3.7637333333333332</v>
      </c>
      <c r="AC9926" s="42">
        <f t="shared" si="3854"/>
        <v>2317705</v>
      </c>
      <c r="AD9926" s="90">
        <f>AD9927</f>
        <v>8723223.5653333329</v>
      </c>
      <c r="AE9926" s="188">
        <f t="shared" ref="AE9926:AH9926" si="6587">AE9927</f>
        <v>0</v>
      </c>
      <c r="AF9926" s="189">
        <f t="shared" si="6587"/>
        <v>0</v>
      </c>
      <c r="AG9926" s="189">
        <f t="shared" si="6587"/>
        <v>0</v>
      </c>
      <c r="AH9926" s="189">
        <f t="shared" si="6587"/>
        <v>0</v>
      </c>
      <c r="AI9926" s="161">
        <f t="shared" ref="AI9926" si="6588">SUM(AE9926:AH9926)</f>
        <v>0</v>
      </c>
      <c r="AK9926" s="169">
        <v>5</v>
      </c>
      <c r="AO9926" s="19" t="s">
        <v>63</v>
      </c>
    </row>
    <row r="9927" spans="1:41" s="103" customFormat="1" ht="19.899999999999999" customHeight="1" x14ac:dyDescent="0.25">
      <c r="A9927" s="51"/>
      <c r="B9927" s="165"/>
      <c r="C9927" s="52"/>
      <c r="D9927" s="313"/>
      <c r="E9927" s="115"/>
      <c r="F9927" s="58"/>
      <c r="G9927" s="58"/>
      <c r="H9927" s="58"/>
      <c r="I9927" s="55"/>
      <c r="J9927" s="113">
        <f>J9926</f>
        <v>2317705</v>
      </c>
      <c r="K9927" s="212">
        <f>K9926</f>
        <v>2317705</v>
      </c>
      <c r="L9927" s="58"/>
      <c r="M9927" s="58">
        <f>K9927-L9927</f>
        <v>2317705</v>
      </c>
      <c r="N9927" s="166"/>
      <c r="O9927" s="58"/>
      <c r="P9927" s="58"/>
      <c r="Q9927" s="58"/>
      <c r="R9927" s="58"/>
      <c r="S9927" s="58"/>
      <c r="T9927" s="220"/>
      <c r="U9927" s="88">
        <f>IFERROR(S9927/L9927,0)</f>
        <v>0</v>
      </c>
      <c r="V9927" s="56" t="str">
        <f>V9926&amp;"01"</f>
        <v>01</v>
      </c>
      <c r="W9927" s="57" t="s">
        <v>1658</v>
      </c>
      <c r="X9927" s="53"/>
      <c r="Y9927" s="91" t="s">
        <v>66</v>
      </c>
      <c r="Z9927" s="136">
        <f>AD9927/AC9927</f>
        <v>3.7637333333333332</v>
      </c>
      <c r="AA9927" s="58"/>
      <c r="AB9927" s="53">
        <f>AD9927/AC9927</f>
        <v>3.7637333333333332</v>
      </c>
      <c r="AC9927" s="53">
        <f>M9927+$AE$10</f>
        <v>2317705</v>
      </c>
      <c r="AD9927" s="54">
        <f>SUM(AD9928:AD9931)</f>
        <v>8723223.5653333329</v>
      </c>
      <c r="AE9927" s="184">
        <f>SUMIFS($AD$44:$AD$4639,$V$44:$V$4639,$V9927,$X$44:$X$4639,AE$13)</f>
        <v>0</v>
      </c>
      <c r="AF9927" s="185">
        <f>SUMIFS($AD$44:$AD$4639,$V$44:$V$4639,$V9927,$X$44:$X$4639,AF$13)</f>
        <v>0</v>
      </c>
      <c r="AG9927" s="185">
        <f>SUMIFS($AD$44:$AD$4639,$V$44:$V$4639,$V9927,$X$44:$X$4639,AG$13)</f>
        <v>0</v>
      </c>
      <c r="AH9927" s="187">
        <f>SUMIFS($AD$44:$AD$4639,$V$44:$V$4639,$V9927,$X$44:$X$4639,AH$13)</f>
        <v>0</v>
      </c>
      <c r="AI9927" s="161">
        <f t="shared" ref="AI9927" si="6589">SUM(AE9927:AH9927)</f>
        <v>0</v>
      </c>
      <c r="AK9927" s="172"/>
    </row>
    <row r="9928" spans="1:41" s="102" customFormat="1" ht="19.899999999999999" customHeight="1" x14ac:dyDescent="0.25">
      <c r="A9928" s="45"/>
      <c r="B9928" s="137"/>
      <c r="C9928" s="59"/>
      <c r="D9928" s="314"/>
      <c r="E9928" s="116"/>
      <c r="F9928" s="120"/>
      <c r="G9928" s="120"/>
      <c r="H9928" s="120"/>
      <c r="I9928" s="60"/>
      <c r="J9928" s="116"/>
      <c r="K9928" s="213"/>
      <c r="L9928" s="120"/>
      <c r="M9928" s="120"/>
      <c r="N9928" s="167"/>
      <c r="O9928" s="120"/>
      <c r="P9928" s="120"/>
      <c r="Q9928" s="120"/>
      <c r="R9928" s="120"/>
      <c r="S9928" s="120"/>
      <c r="T9928" s="221"/>
      <c r="U9928" s="89"/>
      <c r="V9928" s="61" t="str">
        <f t="shared" ref="V9928:V9931" si="6590">V9927</f>
        <v>01</v>
      </c>
      <c r="W9928" s="92" t="s">
        <v>152</v>
      </c>
      <c r="X9928" s="93" t="s">
        <v>29</v>
      </c>
      <c r="Y9928" s="93" t="s">
        <v>1656</v>
      </c>
      <c r="Z9928" s="134">
        <f>VLOOKUP(W9928,Sheet2!$B:$D,3,FALSE)</f>
        <v>111.568</v>
      </c>
      <c r="AA9928" s="93">
        <v>120</v>
      </c>
      <c r="AB9928" s="93">
        <f>AD9928/AC9927</f>
        <v>0.92973333333333319</v>
      </c>
      <c r="AC9928" s="93">
        <f>AC9927/AA9928</f>
        <v>19314.208333333332</v>
      </c>
      <c r="AD9928" s="94">
        <f t="shared" ref="AD9928:AD9929" si="6591">AC9928*Z9928</f>
        <v>2154847.5953333331</v>
      </c>
      <c r="AE9928" s="190"/>
      <c r="AF9928" s="191"/>
      <c r="AG9928" s="191"/>
      <c r="AH9928" s="191"/>
      <c r="AI9928" s="186"/>
      <c r="AK9928" s="171"/>
    </row>
    <row r="9929" spans="1:41" s="102" customFormat="1" ht="19.899999999999999" customHeight="1" x14ac:dyDescent="0.25">
      <c r="A9929" s="45"/>
      <c r="B9929" s="137"/>
      <c r="C9929" s="59"/>
      <c r="D9929" s="314"/>
      <c r="E9929" s="116"/>
      <c r="F9929" s="120"/>
      <c r="G9929" s="120"/>
      <c r="H9929" s="120"/>
      <c r="I9929" s="60"/>
      <c r="J9929" s="116"/>
      <c r="K9929" s="120"/>
      <c r="L9929" s="120"/>
      <c r="M9929" s="120"/>
      <c r="N9929" s="167"/>
      <c r="O9929" s="120"/>
      <c r="P9929" s="120"/>
      <c r="Q9929" s="120"/>
      <c r="R9929" s="120"/>
      <c r="S9929" s="120"/>
      <c r="T9929" s="221"/>
      <c r="U9929" s="89"/>
      <c r="V9929" s="61" t="str">
        <f t="shared" si="6590"/>
        <v>01</v>
      </c>
      <c r="W9929" s="92" t="s">
        <v>65</v>
      </c>
      <c r="X9929" s="93" t="s">
        <v>30</v>
      </c>
      <c r="Y9929" s="93" t="s">
        <v>98</v>
      </c>
      <c r="Z9929" s="134">
        <f>VLOOKUP(W9929,Sheet2!$B:$D,3,FALSE)</f>
        <v>1.76</v>
      </c>
      <c r="AA9929" s="93">
        <f>AA9928/48.5</f>
        <v>2.4742268041237114</v>
      </c>
      <c r="AB9929" s="93">
        <f>AD9929/AC9927</f>
        <v>0.71133333333333326</v>
      </c>
      <c r="AC9929" s="93">
        <f>AC9927/AA9929</f>
        <v>936739.10416666663</v>
      </c>
      <c r="AD9929" s="94">
        <f t="shared" si="6591"/>
        <v>1648660.8233333332</v>
      </c>
      <c r="AE9929" s="190"/>
      <c r="AF9929" s="191"/>
      <c r="AG9929" s="191"/>
      <c r="AH9929" s="191"/>
      <c r="AI9929" s="186"/>
      <c r="AK9929" s="171"/>
    </row>
    <row r="9930" spans="1:41" s="102" customFormat="1" ht="19.899999999999999" customHeight="1" x14ac:dyDescent="0.25">
      <c r="A9930" s="45"/>
      <c r="B9930" s="137"/>
      <c r="C9930" s="59"/>
      <c r="D9930" s="314"/>
      <c r="E9930" s="116"/>
      <c r="F9930" s="120"/>
      <c r="G9930" s="120"/>
      <c r="H9930" s="120"/>
      <c r="I9930" s="60"/>
      <c r="J9930" s="116"/>
      <c r="K9930" s="120"/>
      <c r="L9930" s="120"/>
      <c r="M9930" s="120"/>
      <c r="N9930" s="167"/>
      <c r="O9930" s="120"/>
      <c r="P9930" s="120"/>
      <c r="Q9930" s="120"/>
      <c r="R9930" s="120"/>
      <c r="S9930" s="120"/>
      <c r="T9930" s="221"/>
      <c r="U9930" s="89"/>
      <c r="V9930" s="61" t="str">
        <f t="shared" si="6590"/>
        <v>01</v>
      </c>
      <c r="W9930" s="92" t="s">
        <v>94</v>
      </c>
      <c r="X9930" s="93" t="s">
        <v>29</v>
      </c>
      <c r="Y9930" s="93" t="s">
        <v>1656</v>
      </c>
      <c r="Z9930" s="134">
        <f>VLOOKUP(W9930,Sheet2!$B:$D,3,FALSE)</f>
        <v>90.4</v>
      </c>
      <c r="AA9930" s="93">
        <f>600*0.1</f>
        <v>60</v>
      </c>
      <c r="AB9930" s="93">
        <f>AD9930/AC9927</f>
        <v>1.5066666666666666</v>
      </c>
      <c r="AC9930" s="93">
        <f>AC9927/AA9930</f>
        <v>38628.416666666664</v>
      </c>
      <c r="AD9930" s="94">
        <f>AC9930*Z9930</f>
        <v>3492008.8666666667</v>
      </c>
      <c r="AE9930" s="190"/>
      <c r="AF9930" s="191"/>
      <c r="AG9930" s="191"/>
      <c r="AH9930" s="191"/>
      <c r="AI9930" s="186"/>
      <c r="AK9930" s="171"/>
    </row>
    <row r="9931" spans="1:41" s="102" customFormat="1" ht="19.899999999999999" customHeight="1" x14ac:dyDescent="0.25">
      <c r="A9931" s="45"/>
      <c r="B9931" s="137"/>
      <c r="C9931" s="59"/>
      <c r="D9931" s="314"/>
      <c r="E9931" s="116"/>
      <c r="F9931" s="120"/>
      <c r="G9931" s="120"/>
      <c r="H9931" s="120"/>
      <c r="I9931" s="60"/>
      <c r="J9931" s="116"/>
      <c r="K9931" s="120"/>
      <c r="L9931" s="120"/>
      <c r="M9931" s="120"/>
      <c r="N9931" s="167"/>
      <c r="O9931" s="120"/>
      <c r="P9931" s="120"/>
      <c r="Q9931" s="120"/>
      <c r="R9931" s="120"/>
      <c r="S9931" s="120"/>
      <c r="T9931" s="221"/>
      <c r="U9931" s="89"/>
      <c r="V9931" s="61" t="str">
        <f t="shared" si="6590"/>
        <v>01</v>
      </c>
      <c r="W9931" s="92" t="s">
        <v>65</v>
      </c>
      <c r="X9931" s="93" t="s">
        <v>30</v>
      </c>
      <c r="Y9931" s="93" t="s">
        <v>98</v>
      </c>
      <c r="Z9931" s="134">
        <f>VLOOKUP(W9931,Sheet2!$B:$D,3,FALSE)</f>
        <v>1.76</v>
      </c>
      <c r="AA9931" s="93">
        <f>AA9930/21</f>
        <v>2.8571428571428572</v>
      </c>
      <c r="AB9931" s="93">
        <f>AD9931/AC9927</f>
        <v>0.61599999999999999</v>
      </c>
      <c r="AC9931" s="93">
        <f>AC9927/AA9931</f>
        <v>811196.75</v>
      </c>
      <c r="AD9931" s="94">
        <f t="shared" ref="AD9931" si="6592">AC9931*Z9931</f>
        <v>1427706.28</v>
      </c>
      <c r="AE9931" s="190"/>
      <c r="AF9931" s="191"/>
      <c r="AG9931" s="191"/>
      <c r="AH9931" s="191"/>
      <c r="AI9931" s="186"/>
      <c r="AK9931" s="171"/>
    </row>
    <row r="9932" spans="1:41" ht="25.5" x14ac:dyDescent="0.25">
      <c r="A9932" s="277" t="s">
        <v>945</v>
      </c>
      <c r="B9932" s="278"/>
      <c r="C9932" s="64" t="s">
        <v>948</v>
      </c>
      <c r="D9932" s="46" t="s">
        <v>201</v>
      </c>
      <c r="E9932" s="114">
        <v>2252295</v>
      </c>
      <c r="F9932" s="44">
        <v>13</v>
      </c>
      <c r="G9932" s="44">
        <f t="shared" si="3841"/>
        <v>29279835</v>
      </c>
      <c r="H9932" s="44">
        <f t="shared" si="3842"/>
        <v>5.7777333333333329</v>
      </c>
      <c r="I9932" s="43">
        <f t="shared" si="3843"/>
        <v>13013159.898</v>
      </c>
      <c r="J9932" s="112">
        <f t="shared" si="3844"/>
        <v>2252295</v>
      </c>
      <c r="K9932" s="211">
        <f t="shared" si="3845"/>
        <v>2252295</v>
      </c>
      <c r="L9932" s="44"/>
      <c r="M9932" s="44">
        <f t="shared" si="3846"/>
        <v>2252295</v>
      </c>
      <c r="N9932" s="173">
        <f t="shared" si="3847"/>
        <v>1</v>
      </c>
      <c r="O9932" s="44">
        <f t="shared" si="3848"/>
        <v>13</v>
      </c>
      <c r="P9932" s="44">
        <f t="shared" si="3849"/>
        <v>29279835</v>
      </c>
      <c r="Q9932" s="44">
        <f t="shared" si="3850"/>
        <v>5.7777333333333329</v>
      </c>
      <c r="R9932" s="44">
        <f t="shared" si="3851"/>
        <v>13013159.898</v>
      </c>
      <c r="S9932" s="123"/>
      <c r="T9932" s="219">
        <f t="shared" si="3852"/>
        <v>13013159.898</v>
      </c>
      <c r="U9932" s="87"/>
      <c r="V9932" s="47"/>
      <c r="W9932" s="48"/>
      <c r="X9932" s="48"/>
      <c r="Y9932" s="48"/>
      <c r="Z9932" s="135"/>
      <c r="AA9932" s="49"/>
      <c r="AB9932" s="50">
        <f t="shared" si="3853"/>
        <v>5.7777333333333329</v>
      </c>
      <c r="AC9932" s="42">
        <f t="shared" si="3854"/>
        <v>2252295</v>
      </c>
      <c r="AD9932" s="90">
        <f>AD9933</f>
        <v>13013159.898</v>
      </c>
      <c r="AE9932" s="188">
        <f t="shared" ref="AE9932:AH9932" si="6593">AE9933</f>
        <v>0</v>
      </c>
      <c r="AF9932" s="189">
        <f t="shared" si="6593"/>
        <v>0</v>
      </c>
      <c r="AG9932" s="189">
        <f t="shared" si="6593"/>
        <v>0</v>
      </c>
      <c r="AH9932" s="189">
        <f t="shared" si="6593"/>
        <v>0</v>
      </c>
      <c r="AI9932" s="161">
        <f t="shared" ref="AI9932" si="6594">SUM(AE9932:AH9932)</f>
        <v>0</v>
      </c>
      <c r="AK9932" s="169">
        <v>5</v>
      </c>
      <c r="AO9932" s="19" t="s">
        <v>63</v>
      </c>
    </row>
    <row r="9933" spans="1:41" s="103" customFormat="1" ht="19.899999999999999" customHeight="1" x14ac:dyDescent="0.25">
      <c r="A9933" s="51"/>
      <c r="B9933" s="165"/>
      <c r="C9933" s="52"/>
      <c r="D9933" s="313"/>
      <c r="E9933" s="115"/>
      <c r="F9933" s="58"/>
      <c r="G9933" s="58"/>
      <c r="H9933" s="58"/>
      <c r="I9933" s="55"/>
      <c r="J9933" s="113">
        <f>J9932</f>
        <v>2252295</v>
      </c>
      <c r="K9933" s="212">
        <f>K9932</f>
        <v>2252295</v>
      </c>
      <c r="L9933" s="58"/>
      <c r="M9933" s="58">
        <f>K9933-L9933</f>
        <v>2252295</v>
      </c>
      <c r="N9933" s="166"/>
      <c r="O9933" s="58"/>
      <c r="P9933" s="58"/>
      <c r="Q9933" s="58"/>
      <c r="R9933" s="58"/>
      <c r="S9933" s="58"/>
      <c r="T9933" s="220"/>
      <c r="U9933" s="88">
        <f>IFERROR(S9933/L9933,0)</f>
        <v>0</v>
      </c>
      <c r="V9933" s="56" t="str">
        <f>V9929&amp;"02"</f>
        <v>0102</v>
      </c>
      <c r="W9933" s="57" t="s">
        <v>1659</v>
      </c>
      <c r="X9933" s="53"/>
      <c r="Y9933" s="91" t="s">
        <v>66</v>
      </c>
      <c r="Z9933" s="136">
        <f>AD9933/AC9933</f>
        <v>5.7777333333333329</v>
      </c>
      <c r="AA9933" s="58"/>
      <c r="AB9933" s="53">
        <f>AD9933/AC9933</f>
        <v>5.7777333333333329</v>
      </c>
      <c r="AC9933" s="53">
        <f>M9933+$AE$10</f>
        <v>2252295</v>
      </c>
      <c r="AD9933" s="54">
        <f>SUM(AD9934:AD9938)</f>
        <v>13013159.898</v>
      </c>
      <c r="AE9933" s="184">
        <f>SUMIFS($AD$44:$AD$4639,$V$44:$V$4639,$V9933,$X$44:$X$4639,AE$13)</f>
        <v>0</v>
      </c>
      <c r="AF9933" s="185">
        <f>SUMIFS($AD$44:$AD$4639,$V$44:$V$4639,$V9933,$X$44:$X$4639,AF$13)</f>
        <v>0</v>
      </c>
      <c r="AG9933" s="185">
        <f>SUMIFS($AD$44:$AD$4639,$V$44:$V$4639,$V9933,$X$44:$X$4639,AG$13)</f>
        <v>0</v>
      </c>
      <c r="AH9933" s="187">
        <f>SUMIFS($AD$44:$AD$4639,$V$44:$V$4639,$V9933,$X$44:$X$4639,AH$13)</f>
        <v>0</v>
      </c>
      <c r="AI9933" s="161">
        <f t="shared" ref="AI9933" si="6595">SUM(AE9933:AH9933)</f>
        <v>0</v>
      </c>
      <c r="AK9933" s="172"/>
    </row>
    <row r="9934" spans="1:41" s="102" customFormat="1" ht="19.899999999999999" customHeight="1" x14ac:dyDescent="0.25">
      <c r="A9934" s="45"/>
      <c r="B9934" s="137"/>
      <c r="C9934" s="59"/>
      <c r="D9934" s="314"/>
      <c r="E9934" s="116"/>
      <c r="F9934" s="120"/>
      <c r="G9934" s="120"/>
      <c r="H9934" s="120"/>
      <c r="I9934" s="60"/>
      <c r="J9934" s="116"/>
      <c r="K9934" s="213"/>
      <c r="L9934" s="120"/>
      <c r="M9934" s="120"/>
      <c r="N9934" s="167"/>
      <c r="O9934" s="120"/>
      <c r="P9934" s="120"/>
      <c r="Q9934" s="120"/>
      <c r="R9934" s="120"/>
      <c r="S9934" s="120"/>
      <c r="T9934" s="221"/>
      <c r="U9934" s="89"/>
      <c r="V9934" s="61" t="str">
        <f>V9933</f>
        <v>0102</v>
      </c>
      <c r="W9934" s="92" t="s">
        <v>134</v>
      </c>
      <c r="X9934" s="93" t="s">
        <v>29</v>
      </c>
      <c r="Y9934" s="93" t="s">
        <v>1656</v>
      </c>
      <c r="Z9934" s="134">
        <f>VLOOKUP(W9934,Sheet2!$B:$D,3,FALSE)</f>
        <v>65.599999999999994</v>
      </c>
      <c r="AA9934" s="93">
        <f>100</f>
        <v>100</v>
      </c>
      <c r="AB9934" s="93">
        <f>AD9934/AC9933</f>
        <v>0.65600000000000003</v>
      </c>
      <c r="AC9934" s="93">
        <f>AC9933/AA9934</f>
        <v>22522.95</v>
      </c>
      <c r="AD9934" s="94">
        <f>AC9934*Z9934</f>
        <v>1477505.52</v>
      </c>
      <c r="AE9934" s="190"/>
      <c r="AF9934" s="191"/>
      <c r="AG9934" s="191"/>
      <c r="AH9934" s="191"/>
      <c r="AI9934" s="186"/>
      <c r="AK9934" s="171"/>
    </row>
    <row r="9935" spans="1:41" s="102" customFormat="1" ht="19.899999999999999" customHeight="1" x14ac:dyDescent="0.25">
      <c r="A9935" s="45"/>
      <c r="B9935" s="137"/>
      <c r="C9935" s="59"/>
      <c r="D9935" s="314"/>
      <c r="E9935" s="116"/>
      <c r="F9935" s="120"/>
      <c r="G9935" s="120"/>
      <c r="H9935" s="120"/>
      <c r="I9935" s="60"/>
      <c r="J9935" s="116"/>
      <c r="K9935" s="213"/>
      <c r="L9935" s="120"/>
      <c r="M9935" s="120"/>
      <c r="N9935" s="167"/>
      <c r="O9935" s="120"/>
      <c r="P9935" s="120"/>
      <c r="Q9935" s="120"/>
      <c r="R9935" s="120"/>
      <c r="S9935" s="120"/>
      <c r="T9935" s="221"/>
      <c r="U9935" s="89"/>
      <c r="V9935" s="61" t="str">
        <f t="shared" ref="V9935:V9938" si="6596">V9934</f>
        <v>0102</v>
      </c>
      <c r="W9935" s="92" t="s">
        <v>65</v>
      </c>
      <c r="X9935" s="93" t="s">
        <v>30</v>
      </c>
      <c r="Y9935" s="93" t="s">
        <v>98</v>
      </c>
      <c r="Z9935" s="134">
        <f>VLOOKUP(W9935,Sheet2!$B:$D,3,FALSE)</f>
        <v>1.76</v>
      </c>
      <c r="AA9935" s="93">
        <f>AA9934/9</f>
        <v>11.111111111111111</v>
      </c>
      <c r="AB9935" s="93">
        <f>AD9935/AC9933</f>
        <v>0.15840000000000001</v>
      </c>
      <c r="AC9935" s="93">
        <f>AC9933/AA9935</f>
        <v>202706.55000000002</v>
      </c>
      <c r="AD9935" s="94">
        <f t="shared" ref="AD9935:AD9938" si="6597">AC9935*Z9935</f>
        <v>356763.52800000005</v>
      </c>
      <c r="AE9935" s="190"/>
      <c r="AF9935" s="191"/>
      <c r="AG9935" s="191"/>
      <c r="AH9935" s="191"/>
      <c r="AI9935" s="186"/>
      <c r="AK9935" s="171"/>
    </row>
    <row r="9936" spans="1:41" s="102" customFormat="1" ht="19.899999999999999" customHeight="1" x14ac:dyDescent="0.25">
      <c r="A9936" s="45"/>
      <c r="B9936" s="137"/>
      <c r="C9936" s="59"/>
      <c r="D9936" s="314"/>
      <c r="E9936" s="116"/>
      <c r="F9936" s="120"/>
      <c r="G9936" s="120"/>
      <c r="H9936" s="120"/>
      <c r="I9936" s="60"/>
      <c r="J9936" s="116"/>
      <c r="K9936" s="213"/>
      <c r="L9936" s="120"/>
      <c r="M9936" s="120"/>
      <c r="N9936" s="167"/>
      <c r="O9936" s="120"/>
      <c r="P9936" s="120"/>
      <c r="Q9936" s="120"/>
      <c r="R9936" s="120"/>
      <c r="S9936" s="120"/>
      <c r="T9936" s="221"/>
      <c r="U9936" s="89"/>
      <c r="V9936" s="61" t="str">
        <f t="shared" si="6596"/>
        <v>0102</v>
      </c>
      <c r="W9936" s="92" t="s">
        <v>1660</v>
      </c>
      <c r="X9936" s="93" t="s">
        <v>29</v>
      </c>
      <c r="Y9936" s="93" t="s">
        <v>1656</v>
      </c>
      <c r="Z9936" s="134">
        <f>VLOOKUP(W9936,Sheet2!$B:$D,3,FALSE)</f>
        <v>56</v>
      </c>
      <c r="AA9936" s="93">
        <f>(24*0.85)*8/10</f>
        <v>16.32</v>
      </c>
      <c r="AB9936" s="93">
        <f>AD9936/AC9933</f>
        <v>3.4313725490196076</v>
      </c>
      <c r="AC9936" s="93">
        <f>AC9933/AA9936</f>
        <v>138008.27205882352</v>
      </c>
      <c r="AD9936" s="94">
        <f t="shared" si="6597"/>
        <v>7728463.2352941176</v>
      </c>
      <c r="AE9936" s="190"/>
      <c r="AF9936" s="191"/>
      <c r="AG9936" s="191"/>
      <c r="AH9936" s="191"/>
      <c r="AI9936" s="186"/>
      <c r="AK9936" s="171"/>
    </row>
    <row r="9937" spans="1:41" s="102" customFormat="1" ht="19.899999999999999" customHeight="1" x14ac:dyDescent="0.25">
      <c r="A9937" s="45"/>
      <c r="B9937" s="137"/>
      <c r="C9937" s="59"/>
      <c r="D9937" s="314"/>
      <c r="E9937" s="116"/>
      <c r="F9937" s="120"/>
      <c r="G9937" s="120"/>
      <c r="H9937" s="120"/>
      <c r="I9937" s="60"/>
      <c r="J9937" s="116"/>
      <c r="K9937" s="213"/>
      <c r="L9937" s="120"/>
      <c r="M9937" s="120"/>
      <c r="N9937" s="167"/>
      <c r="O9937" s="120"/>
      <c r="P9937" s="120"/>
      <c r="Q9937" s="120"/>
      <c r="R9937" s="120"/>
      <c r="S9937" s="120"/>
      <c r="T9937" s="221"/>
      <c r="U9937" s="89"/>
      <c r="V9937" s="61" t="str">
        <f t="shared" si="6596"/>
        <v>0102</v>
      </c>
      <c r="W9937" s="92" t="s">
        <v>65</v>
      </c>
      <c r="X9937" s="93" t="s">
        <v>30</v>
      </c>
      <c r="Y9937" s="93" t="s">
        <v>98</v>
      </c>
      <c r="Z9937" s="134">
        <f>VLOOKUP(W9937,Sheet2!$B:$D,3,FALSE)</f>
        <v>1.76</v>
      </c>
      <c r="AA9937" s="93">
        <f>AA9936/13</f>
        <v>1.2553846153846153</v>
      </c>
      <c r="AB9937" s="93">
        <f>AD9937/AC9933</f>
        <v>1.4019607843137256</v>
      </c>
      <c r="AC9937" s="93">
        <f>AC9933/AA9937</f>
        <v>1794107.536764706</v>
      </c>
      <c r="AD9937" s="94">
        <f t="shared" si="6597"/>
        <v>3157629.2647058824</v>
      </c>
      <c r="AE9937" s="190"/>
      <c r="AF9937" s="191"/>
      <c r="AG9937" s="191"/>
      <c r="AH9937" s="191"/>
      <c r="AI9937" s="186"/>
      <c r="AK9937" s="171"/>
    </row>
    <row r="9938" spans="1:41" s="102" customFormat="1" ht="19.899999999999999" customHeight="1" x14ac:dyDescent="0.25">
      <c r="A9938" s="45"/>
      <c r="B9938" s="137"/>
      <c r="C9938" s="59"/>
      <c r="D9938" s="314"/>
      <c r="E9938" s="116"/>
      <c r="F9938" s="120"/>
      <c r="G9938" s="120"/>
      <c r="H9938" s="120"/>
      <c r="I9938" s="60"/>
      <c r="J9938" s="116"/>
      <c r="K9938" s="213"/>
      <c r="L9938" s="120"/>
      <c r="M9938" s="120"/>
      <c r="N9938" s="167"/>
      <c r="O9938" s="120"/>
      <c r="P9938" s="120"/>
      <c r="Q9938" s="120"/>
      <c r="R9938" s="120"/>
      <c r="S9938" s="120"/>
      <c r="T9938" s="221"/>
      <c r="U9938" s="89"/>
      <c r="V9938" s="61" t="str">
        <f t="shared" si="6596"/>
        <v>0102</v>
      </c>
      <c r="W9938" s="92" t="s">
        <v>112</v>
      </c>
      <c r="X9938" s="93" t="s">
        <v>31</v>
      </c>
      <c r="Y9938" s="93" t="s">
        <v>1656</v>
      </c>
      <c r="Z9938" s="134">
        <f>VLOOKUP(W9938,Sheet2!$B:$D,3,FALSE)</f>
        <v>13</v>
      </c>
      <c r="AA9938" s="93">
        <f>AA9934</f>
        <v>100</v>
      </c>
      <c r="AB9938" s="93">
        <f>AD9938/AC9933</f>
        <v>0.13</v>
      </c>
      <c r="AC9938" s="93">
        <f>AC9933/AA9938</f>
        <v>22522.95</v>
      </c>
      <c r="AD9938" s="94">
        <f t="shared" si="6597"/>
        <v>292798.35000000003</v>
      </c>
      <c r="AE9938" s="190"/>
      <c r="AF9938" s="191"/>
      <c r="AG9938" s="191"/>
      <c r="AH9938" s="191"/>
      <c r="AI9938" s="186"/>
      <c r="AK9938" s="171"/>
    </row>
    <row r="9939" spans="1:41" ht="25.5" x14ac:dyDescent="0.25">
      <c r="A9939" s="277" t="s">
        <v>945</v>
      </c>
      <c r="B9939" s="278"/>
      <c r="C9939" s="64" t="s">
        <v>949</v>
      </c>
      <c r="D9939" s="46" t="s">
        <v>201</v>
      </c>
      <c r="E9939" s="114">
        <v>1</v>
      </c>
      <c r="F9939" s="44">
        <v>32</v>
      </c>
      <c r="G9939" s="44">
        <f t="shared" si="3841"/>
        <v>32</v>
      </c>
      <c r="H9939" s="44">
        <f t="shared" si="3842"/>
        <v>7.5223320522875818</v>
      </c>
      <c r="I9939" s="43">
        <f t="shared" si="3843"/>
        <v>7.5223320522875818</v>
      </c>
      <c r="J9939" s="112">
        <f t="shared" si="3844"/>
        <v>1</v>
      </c>
      <c r="K9939" s="211">
        <f t="shared" si="3845"/>
        <v>1</v>
      </c>
      <c r="L9939" s="44"/>
      <c r="M9939" s="44">
        <f t="shared" si="3846"/>
        <v>1</v>
      </c>
      <c r="N9939" s="173">
        <f t="shared" si="3847"/>
        <v>1</v>
      </c>
      <c r="O9939" s="44">
        <f t="shared" si="3848"/>
        <v>32</v>
      </c>
      <c r="P9939" s="44">
        <f t="shared" si="3849"/>
        <v>32</v>
      </c>
      <c r="Q9939" s="44">
        <f t="shared" si="3850"/>
        <v>7.5223320522875818</v>
      </c>
      <c r="R9939" s="44">
        <f t="shared" si="3851"/>
        <v>7.5223320522875818</v>
      </c>
      <c r="S9939" s="123"/>
      <c r="T9939" s="219">
        <f t="shared" si="3852"/>
        <v>7.5223320522875818</v>
      </c>
      <c r="U9939" s="87"/>
      <c r="V9939" s="47"/>
      <c r="W9939" s="48"/>
      <c r="X9939" s="48"/>
      <c r="Y9939" s="48"/>
      <c r="Z9939" s="135"/>
      <c r="AA9939" s="49"/>
      <c r="AB9939" s="50">
        <f t="shared" si="3853"/>
        <v>7.5223320522875818</v>
      </c>
      <c r="AC9939" s="42">
        <f t="shared" si="3854"/>
        <v>1</v>
      </c>
      <c r="AD9939" s="90">
        <f>AD9940+AD9949+AD9955+AD9958</f>
        <v>7.5223320522875818</v>
      </c>
      <c r="AE9939" s="188">
        <f t="shared" ref="AE9939:AH9939" si="6598">AE9940+AE9949+AE9955+AE9958</f>
        <v>0</v>
      </c>
      <c r="AF9939" s="189">
        <f t="shared" si="6598"/>
        <v>0</v>
      </c>
      <c r="AG9939" s="189">
        <f t="shared" si="6598"/>
        <v>0</v>
      </c>
      <c r="AH9939" s="189">
        <f t="shared" si="6598"/>
        <v>0</v>
      </c>
      <c r="AI9939" s="161">
        <f t="shared" ref="AI9939:AI9965" si="6599">SUM(AE9939:AH9939)</f>
        <v>0</v>
      </c>
      <c r="AK9939" s="169">
        <v>5</v>
      </c>
      <c r="AO9939" s="19" t="s">
        <v>63</v>
      </c>
    </row>
    <row r="9940" spans="1:41" s="103" customFormat="1" ht="19.899999999999999" customHeight="1" x14ac:dyDescent="0.25">
      <c r="A9940" s="51"/>
      <c r="B9940" s="165"/>
      <c r="C9940" s="52"/>
      <c r="D9940" s="313"/>
      <c r="E9940" s="115"/>
      <c r="F9940" s="58"/>
      <c r="G9940" s="58"/>
      <c r="H9940" s="58"/>
      <c r="I9940" s="55"/>
      <c r="J9940" s="113">
        <f>J9939</f>
        <v>1</v>
      </c>
      <c r="K9940" s="212">
        <f>K9939</f>
        <v>1</v>
      </c>
      <c r="L9940" s="58"/>
      <c r="M9940" s="58">
        <f>K9940-L9940</f>
        <v>1</v>
      </c>
      <c r="N9940" s="166"/>
      <c r="O9940" s="58"/>
      <c r="P9940" s="58"/>
      <c r="Q9940" s="58"/>
      <c r="R9940" s="58"/>
      <c r="S9940" s="58"/>
      <c r="T9940" s="220"/>
      <c r="U9940" s="88">
        <f>IFERROR(S9940/L9940,0)</f>
        <v>0</v>
      </c>
      <c r="V9940" s="56" t="str">
        <f>V9939&amp;"01"</f>
        <v>01</v>
      </c>
      <c r="W9940" s="57" t="s">
        <v>1661</v>
      </c>
      <c r="X9940" s="53"/>
      <c r="Y9940" s="91" t="s">
        <v>66</v>
      </c>
      <c r="Z9940" s="136">
        <f>AD9940/AC9940</f>
        <v>0.79936800000000008</v>
      </c>
      <c r="AA9940" s="58"/>
      <c r="AB9940" s="53">
        <f>AD9940/AC9940</f>
        <v>0.79936800000000008</v>
      </c>
      <c r="AC9940" s="53">
        <f>M9940+$AE$10</f>
        <v>1</v>
      </c>
      <c r="AD9940" s="54">
        <f>SUM(AD9941:AD9948)</f>
        <v>0.79936800000000008</v>
      </c>
      <c r="AE9940" s="184">
        <f>SUMIFS($AD$44:$AD$4639,$V$44:$V$4639,$V9940,$X$44:$X$4639,AE$13)</f>
        <v>0</v>
      </c>
      <c r="AF9940" s="185">
        <f>SUMIFS($AD$44:$AD$4639,$V$44:$V$4639,$V9940,$X$44:$X$4639,AF$13)</f>
        <v>0</v>
      </c>
      <c r="AG9940" s="185">
        <f>SUMIFS($AD$44:$AD$4639,$V$44:$V$4639,$V9940,$X$44:$X$4639,AG$13)</f>
        <v>0</v>
      </c>
      <c r="AH9940" s="187">
        <f>SUMIFS($AD$44:$AD$4639,$V$44:$V$4639,$V9940,$X$44:$X$4639,AH$13)</f>
        <v>0</v>
      </c>
      <c r="AI9940" s="161">
        <f t="shared" ref="AI9940" si="6600">SUM(AE9940:AH9940)</f>
        <v>0</v>
      </c>
      <c r="AK9940" s="172"/>
    </row>
    <row r="9941" spans="1:41" s="102" customFormat="1" ht="19.899999999999999" customHeight="1" x14ac:dyDescent="0.25">
      <c r="A9941" s="45"/>
      <c r="B9941" s="137"/>
      <c r="C9941" s="59"/>
      <c r="D9941" s="314"/>
      <c r="E9941" s="116"/>
      <c r="F9941" s="120"/>
      <c r="G9941" s="120"/>
      <c r="H9941" s="120"/>
      <c r="I9941" s="60"/>
      <c r="J9941" s="116"/>
      <c r="K9941" s="213"/>
      <c r="L9941" s="120"/>
      <c r="M9941" s="120"/>
      <c r="N9941" s="167"/>
      <c r="O9941" s="120"/>
      <c r="P9941" s="120"/>
      <c r="Q9941" s="120"/>
      <c r="R9941" s="120"/>
      <c r="S9941" s="120"/>
      <c r="T9941" s="221"/>
      <c r="U9941" s="89"/>
      <c r="V9941" s="61" t="str">
        <f>V9940</f>
        <v>01</v>
      </c>
      <c r="W9941" s="92" t="s">
        <v>151</v>
      </c>
      <c r="X9941" s="93" t="s">
        <v>29</v>
      </c>
      <c r="Y9941" s="93" t="s">
        <v>1656</v>
      </c>
      <c r="Z9941" s="134">
        <f>VLOOKUP(W9941,Sheet2!$B:$D,3,FALSE)</f>
        <v>132.304</v>
      </c>
      <c r="AA9941" s="93">
        <v>500</v>
      </c>
      <c r="AB9941" s="93">
        <f>AD9941/AC9940</f>
        <v>0.26460800000000001</v>
      </c>
      <c r="AC9941" s="93">
        <f>AC9940/AA9941</f>
        <v>2E-3</v>
      </c>
      <c r="AD9941" s="94">
        <f>AC9941*Z9941</f>
        <v>0.26460800000000001</v>
      </c>
      <c r="AE9941" s="190"/>
      <c r="AF9941" s="191"/>
      <c r="AG9941" s="191"/>
      <c r="AH9941" s="191"/>
      <c r="AI9941" s="186"/>
      <c r="AK9941" s="171"/>
    </row>
    <row r="9942" spans="1:41" s="102" customFormat="1" ht="19.899999999999999" customHeight="1" x14ac:dyDescent="0.25">
      <c r="A9942" s="45"/>
      <c r="B9942" s="137"/>
      <c r="C9942" s="59"/>
      <c r="D9942" s="314"/>
      <c r="E9942" s="116"/>
      <c r="F9942" s="120"/>
      <c r="G9942" s="120"/>
      <c r="H9942" s="120"/>
      <c r="I9942" s="60"/>
      <c r="J9942" s="116"/>
      <c r="K9942" s="213"/>
      <c r="L9942" s="120"/>
      <c r="M9942" s="120"/>
      <c r="N9942" s="167"/>
      <c r="O9942" s="120"/>
      <c r="P9942" s="120"/>
      <c r="Q9942" s="120"/>
      <c r="R9942" s="120"/>
      <c r="S9942" s="120"/>
      <c r="T9942" s="221"/>
      <c r="U9942" s="89"/>
      <c r="V9942" s="61" t="str">
        <f t="shared" ref="V9942:V9948" si="6601">V9941</f>
        <v>01</v>
      </c>
      <c r="W9942" s="92" t="s">
        <v>65</v>
      </c>
      <c r="X9942" s="93" t="s">
        <v>30</v>
      </c>
      <c r="Y9942" s="93" t="s">
        <v>98</v>
      </c>
      <c r="Z9942" s="134">
        <f>VLOOKUP(W9942,Sheet2!$B:$D,3,FALSE)</f>
        <v>1.76</v>
      </c>
      <c r="AA9942" s="93">
        <f>AA9941/48.5</f>
        <v>10.309278350515465</v>
      </c>
      <c r="AB9942" s="93">
        <f>AD9942/AC9940</f>
        <v>0.17071999999999998</v>
      </c>
      <c r="AC9942" s="93">
        <f>AC9940/AA9942</f>
        <v>9.6999999999999989E-2</v>
      </c>
      <c r="AD9942" s="94">
        <f t="shared" ref="AD9942" si="6602">AC9942*Z9942</f>
        <v>0.17071999999999998</v>
      </c>
      <c r="AE9942" s="190"/>
      <c r="AF9942" s="191"/>
      <c r="AG9942" s="191"/>
      <c r="AH9942" s="191"/>
      <c r="AI9942" s="186"/>
      <c r="AK9942" s="171"/>
    </row>
    <row r="9943" spans="1:41" s="102" customFormat="1" ht="19.899999999999999" customHeight="1" x14ac:dyDescent="0.25">
      <c r="A9943" s="45"/>
      <c r="B9943" s="137"/>
      <c r="C9943" s="59"/>
      <c r="D9943" s="314"/>
      <c r="E9943" s="116"/>
      <c r="F9943" s="120"/>
      <c r="G9943" s="120"/>
      <c r="H9943" s="120"/>
      <c r="I9943" s="60"/>
      <c r="J9943" s="116"/>
      <c r="K9943" s="120"/>
      <c r="L9943" s="120"/>
      <c r="M9943" s="120"/>
      <c r="N9943" s="167"/>
      <c r="O9943" s="120"/>
      <c r="P9943" s="120"/>
      <c r="Q9943" s="120"/>
      <c r="R9943" s="120"/>
      <c r="S9943" s="120"/>
      <c r="T9943" s="221"/>
      <c r="U9943" s="89"/>
      <c r="V9943" s="61" t="str">
        <f t="shared" si="6601"/>
        <v>01</v>
      </c>
      <c r="W9943" s="92" t="s">
        <v>135</v>
      </c>
      <c r="X9943" s="93" t="s">
        <v>29</v>
      </c>
      <c r="Y9943" s="93" t="s">
        <v>1656</v>
      </c>
      <c r="Z9943" s="134">
        <f>VLOOKUP(W9943,Sheet2!$B:$D,3,FALSE)</f>
        <v>52</v>
      </c>
      <c r="AA9943" s="93">
        <v>500</v>
      </c>
      <c r="AB9943" s="93">
        <f>AD9943/AC9940</f>
        <v>0.10400000000000001</v>
      </c>
      <c r="AC9943" s="93">
        <f>AC9940/AA9943</f>
        <v>2E-3</v>
      </c>
      <c r="AD9943" s="94">
        <f>AC9943*Z9943</f>
        <v>0.10400000000000001</v>
      </c>
      <c r="AE9943" s="190"/>
      <c r="AF9943" s="191"/>
      <c r="AG9943" s="191"/>
      <c r="AH9943" s="191"/>
      <c r="AI9943" s="186"/>
      <c r="AK9943" s="171"/>
    </row>
    <row r="9944" spans="1:41" s="102" customFormat="1" ht="19.899999999999999" customHeight="1" x14ac:dyDescent="0.25">
      <c r="A9944" s="45"/>
      <c r="B9944" s="137"/>
      <c r="C9944" s="59"/>
      <c r="D9944" s="314"/>
      <c r="E9944" s="116"/>
      <c r="F9944" s="120"/>
      <c r="G9944" s="120"/>
      <c r="H9944" s="120"/>
      <c r="I9944" s="60"/>
      <c r="J9944" s="116"/>
      <c r="K9944" s="120"/>
      <c r="L9944" s="120"/>
      <c r="M9944" s="120"/>
      <c r="N9944" s="167"/>
      <c r="O9944" s="120"/>
      <c r="P9944" s="120"/>
      <c r="Q9944" s="120"/>
      <c r="R9944" s="120"/>
      <c r="S9944" s="120"/>
      <c r="T9944" s="221"/>
      <c r="U9944" s="89"/>
      <c r="V9944" s="61" t="str">
        <f t="shared" si="6601"/>
        <v>01</v>
      </c>
      <c r="W9944" s="92" t="s">
        <v>65</v>
      </c>
      <c r="X9944" s="93" t="s">
        <v>30</v>
      </c>
      <c r="Y9944" s="93" t="s">
        <v>98</v>
      </c>
      <c r="Z9944" s="134">
        <f>VLOOKUP(W9944,Sheet2!$B:$D,3,FALSE)</f>
        <v>1.76</v>
      </c>
      <c r="AA9944" s="93">
        <f>AA9943/8</f>
        <v>62.5</v>
      </c>
      <c r="AB9944" s="93">
        <f>AD9944/AC9940</f>
        <v>2.8160000000000001E-2</v>
      </c>
      <c r="AC9944" s="93">
        <f>AC9940/AA9944</f>
        <v>1.6E-2</v>
      </c>
      <c r="AD9944" s="94">
        <f>AC9944*Z9944</f>
        <v>2.8160000000000001E-2</v>
      </c>
      <c r="AE9944" s="190"/>
      <c r="AF9944" s="191"/>
      <c r="AG9944" s="191"/>
      <c r="AH9944" s="191"/>
      <c r="AI9944" s="186"/>
      <c r="AK9944" s="171"/>
    </row>
    <row r="9945" spans="1:41" s="102" customFormat="1" ht="19.899999999999999" customHeight="1" x14ac:dyDescent="0.25">
      <c r="A9945" s="45"/>
      <c r="B9945" s="137"/>
      <c r="C9945" s="59"/>
      <c r="D9945" s="314"/>
      <c r="E9945" s="116"/>
      <c r="F9945" s="120"/>
      <c r="G9945" s="120"/>
      <c r="H9945" s="120"/>
      <c r="I9945" s="60"/>
      <c r="J9945" s="116"/>
      <c r="K9945" s="120"/>
      <c r="L9945" s="120"/>
      <c r="M9945" s="120"/>
      <c r="N9945" s="167"/>
      <c r="O9945" s="120"/>
      <c r="P9945" s="120"/>
      <c r="Q9945" s="120"/>
      <c r="R9945" s="120"/>
      <c r="S9945" s="120"/>
      <c r="T9945" s="221"/>
      <c r="U9945" s="89"/>
      <c r="V9945" s="61" t="str">
        <f t="shared" si="6601"/>
        <v>01</v>
      </c>
      <c r="W9945" s="92" t="s">
        <v>156</v>
      </c>
      <c r="X9945" s="93" t="s">
        <v>30</v>
      </c>
      <c r="Y9945" s="93" t="s">
        <v>66</v>
      </c>
      <c r="Z9945" s="134">
        <f>VLOOKUP(W9945,Sheet2!$B:$D,3,FALSE)</f>
        <v>2.8</v>
      </c>
      <c r="AA9945" s="93">
        <v>50</v>
      </c>
      <c r="AB9945" s="93">
        <f>AD9945/AC9940</f>
        <v>5.5999999999999994E-2</v>
      </c>
      <c r="AC9945" s="93">
        <f>AC9940/AA9945</f>
        <v>0.02</v>
      </c>
      <c r="AD9945" s="94">
        <f>AC9945*Z9945</f>
        <v>5.5999999999999994E-2</v>
      </c>
      <c r="AE9945" s="190"/>
      <c r="AF9945" s="191"/>
      <c r="AG9945" s="191"/>
      <c r="AH9945" s="191"/>
      <c r="AI9945" s="186"/>
      <c r="AK9945" s="171"/>
    </row>
    <row r="9946" spans="1:41" s="102" customFormat="1" ht="19.899999999999999" customHeight="1" x14ac:dyDescent="0.25">
      <c r="A9946" s="45"/>
      <c r="B9946" s="137"/>
      <c r="C9946" s="59"/>
      <c r="D9946" s="314"/>
      <c r="E9946" s="116"/>
      <c r="F9946" s="120"/>
      <c r="G9946" s="120"/>
      <c r="H9946" s="120"/>
      <c r="I9946" s="60"/>
      <c r="J9946" s="116"/>
      <c r="K9946" s="213"/>
      <c r="L9946" s="120"/>
      <c r="M9946" s="120"/>
      <c r="N9946" s="167"/>
      <c r="O9946" s="120"/>
      <c r="P9946" s="120"/>
      <c r="Q9946" s="120"/>
      <c r="R9946" s="120"/>
      <c r="S9946" s="120"/>
      <c r="T9946" s="221"/>
      <c r="U9946" s="89"/>
      <c r="V9946" s="61" t="str">
        <f t="shared" si="6601"/>
        <v>01</v>
      </c>
      <c r="W9946" s="92" t="s">
        <v>134</v>
      </c>
      <c r="X9946" s="93" t="s">
        <v>29</v>
      </c>
      <c r="Y9946" s="93" t="s">
        <v>1656</v>
      </c>
      <c r="Z9946" s="134">
        <f>VLOOKUP(W9946,Sheet2!$B:$D,3,FALSE)</f>
        <v>65.599999999999994</v>
      </c>
      <c r="AA9946" s="93">
        <v>500</v>
      </c>
      <c r="AB9946" s="93">
        <f>AD9946/AC9940</f>
        <v>0.13119999999999998</v>
      </c>
      <c r="AC9946" s="93">
        <f>AC9940/AA9946</f>
        <v>2E-3</v>
      </c>
      <c r="AD9946" s="94">
        <f>AC9946*Z9946</f>
        <v>0.13119999999999998</v>
      </c>
      <c r="AE9946" s="190"/>
      <c r="AF9946" s="191"/>
      <c r="AG9946" s="191"/>
      <c r="AH9946" s="191"/>
      <c r="AI9946" s="186"/>
      <c r="AK9946" s="171"/>
    </row>
    <row r="9947" spans="1:41" s="102" customFormat="1" ht="19.899999999999999" customHeight="1" x14ac:dyDescent="0.25">
      <c r="A9947" s="45"/>
      <c r="B9947" s="137"/>
      <c r="C9947" s="59"/>
      <c r="D9947" s="314"/>
      <c r="E9947" s="116"/>
      <c r="F9947" s="120"/>
      <c r="G9947" s="120"/>
      <c r="H9947" s="120"/>
      <c r="I9947" s="60"/>
      <c r="J9947" s="116"/>
      <c r="K9947" s="213"/>
      <c r="L9947" s="120"/>
      <c r="M9947" s="120"/>
      <c r="N9947" s="167"/>
      <c r="O9947" s="120"/>
      <c r="P9947" s="120"/>
      <c r="Q9947" s="120"/>
      <c r="R9947" s="120"/>
      <c r="S9947" s="120"/>
      <c r="T9947" s="221"/>
      <c r="U9947" s="89"/>
      <c r="V9947" s="61" t="str">
        <f t="shared" si="6601"/>
        <v>01</v>
      </c>
      <c r="W9947" s="92" t="s">
        <v>65</v>
      </c>
      <c r="X9947" s="93" t="s">
        <v>30</v>
      </c>
      <c r="Y9947" s="93" t="s">
        <v>98</v>
      </c>
      <c r="Z9947" s="134">
        <f>VLOOKUP(W9947,Sheet2!$B:$D,3,FALSE)</f>
        <v>1.76</v>
      </c>
      <c r="AA9947" s="93">
        <f>AA9946/9</f>
        <v>55.555555555555557</v>
      </c>
      <c r="AB9947" s="93">
        <f>AD9947/AC9940</f>
        <v>3.168E-2</v>
      </c>
      <c r="AC9947" s="93">
        <f>AC9940/AA9947</f>
        <v>1.7999999999999999E-2</v>
      </c>
      <c r="AD9947" s="94">
        <f t="shared" ref="AD9947" si="6603">AC9947*Z9947</f>
        <v>3.168E-2</v>
      </c>
      <c r="AE9947" s="190"/>
      <c r="AF9947" s="191"/>
      <c r="AG9947" s="191"/>
      <c r="AH9947" s="191"/>
      <c r="AI9947" s="186"/>
      <c r="AK9947" s="171"/>
    </row>
    <row r="9948" spans="1:41" s="102" customFormat="1" ht="19.899999999999999" customHeight="1" x14ac:dyDescent="0.25">
      <c r="A9948" s="45"/>
      <c r="B9948" s="137"/>
      <c r="C9948" s="59"/>
      <c r="D9948" s="314"/>
      <c r="E9948" s="116"/>
      <c r="F9948" s="120"/>
      <c r="G9948" s="120"/>
      <c r="H9948" s="120"/>
      <c r="I9948" s="60"/>
      <c r="J9948" s="116"/>
      <c r="K9948" s="213"/>
      <c r="L9948" s="120"/>
      <c r="M9948" s="120"/>
      <c r="N9948" s="167"/>
      <c r="O9948" s="120"/>
      <c r="P9948" s="120"/>
      <c r="Q9948" s="120"/>
      <c r="R9948" s="120"/>
      <c r="S9948" s="120"/>
      <c r="T9948" s="221"/>
      <c r="U9948" s="89"/>
      <c r="V9948" s="61" t="str">
        <f t="shared" si="6601"/>
        <v>01</v>
      </c>
      <c r="W9948" s="92" t="s">
        <v>112</v>
      </c>
      <c r="X9948" s="93" t="s">
        <v>31</v>
      </c>
      <c r="Y9948" s="93" t="s">
        <v>1656</v>
      </c>
      <c r="Z9948" s="134">
        <f>VLOOKUP(W9948,Sheet2!$B:$D,3,FALSE)</f>
        <v>13</v>
      </c>
      <c r="AA9948" s="93">
        <f>AA9941*2</f>
        <v>1000</v>
      </c>
      <c r="AB9948" s="93">
        <f>AD9948/AC9940</f>
        <v>1.3000000000000001E-2</v>
      </c>
      <c r="AC9948" s="93">
        <f>AC9940/AA9948</f>
        <v>1E-3</v>
      </c>
      <c r="AD9948" s="94">
        <f>AC9948*Z9948</f>
        <v>1.3000000000000001E-2</v>
      </c>
      <c r="AE9948" s="190"/>
      <c r="AF9948" s="191"/>
      <c r="AG9948" s="191"/>
      <c r="AH9948" s="191"/>
      <c r="AI9948" s="186"/>
      <c r="AK9948" s="171"/>
    </row>
    <row r="9949" spans="1:41" s="103" customFormat="1" ht="19.899999999999999" customHeight="1" x14ac:dyDescent="0.25">
      <c r="A9949" s="51"/>
      <c r="B9949" s="165"/>
      <c r="C9949" s="52"/>
      <c r="D9949" s="313"/>
      <c r="E9949" s="115"/>
      <c r="F9949" s="58"/>
      <c r="G9949" s="58"/>
      <c r="H9949" s="58"/>
      <c r="I9949" s="55"/>
      <c r="J9949" s="113">
        <f>J9939</f>
        <v>1</v>
      </c>
      <c r="K9949" s="315">
        <f>K9939</f>
        <v>1</v>
      </c>
      <c r="L9949" s="58"/>
      <c r="M9949" s="58">
        <f>K9949-L9949</f>
        <v>1</v>
      </c>
      <c r="N9949" s="166"/>
      <c r="O9949" s="58"/>
      <c r="P9949" s="58"/>
      <c r="Q9949" s="58"/>
      <c r="R9949" s="58"/>
      <c r="S9949" s="58"/>
      <c r="T9949" s="220"/>
      <c r="U9949" s="88">
        <f>IFERROR(S9949/L9949,0)</f>
        <v>0</v>
      </c>
      <c r="V9949" s="56" t="str">
        <f>V9939&amp;"02"</f>
        <v>02</v>
      </c>
      <c r="W9949" s="57" t="s">
        <v>1662</v>
      </c>
      <c r="X9949" s="53"/>
      <c r="Y9949" s="91" t="s">
        <v>66</v>
      </c>
      <c r="Z9949" s="136">
        <f>AD9949/AC9949</f>
        <v>4.162908496732026</v>
      </c>
      <c r="AA9949" s="58"/>
      <c r="AB9949" s="53">
        <f>AD9949/AC9949</f>
        <v>4.162908496732026</v>
      </c>
      <c r="AC9949" s="53">
        <f>M9949+$AE$10</f>
        <v>1</v>
      </c>
      <c r="AD9949" s="54">
        <f>SUM(AD9950:AD9954)</f>
        <v>4.162908496732026</v>
      </c>
      <c r="AE9949" s="184">
        <f>SUMIFS($AD$44:$AD$4639,$V$44:$V$4639,$V9949,$X$44:$X$4639,AE$13)</f>
        <v>0</v>
      </c>
      <c r="AF9949" s="185">
        <f>SUMIFS($AD$44:$AD$4639,$V$44:$V$4639,$V9949,$X$44:$X$4639,AF$13)</f>
        <v>0</v>
      </c>
      <c r="AG9949" s="185">
        <f>SUMIFS($AD$44:$AD$4639,$V$44:$V$4639,$V9949,$X$44:$X$4639,AG$13)</f>
        <v>0</v>
      </c>
      <c r="AH9949" s="187">
        <f>SUMIFS($AD$44:$AD$4639,$V$44:$V$4639,$V9949,$X$44:$X$4639,AH$13)</f>
        <v>0</v>
      </c>
      <c r="AI9949" s="161">
        <f t="shared" ref="AI9949" si="6604">SUM(AE9949:AH9949)</f>
        <v>0</v>
      </c>
      <c r="AK9949" s="172"/>
    </row>
    <row r="9950" spans="1:41" s="102" customFormat="1" ht="19.899999999999999" customHeight="1" x14ac:dyDescent="0.25">
      <c r="A9950" s="45"/>
      <c r="B9950" s="137"/>
      <c r="C9950" s="59"/>
      <c r="D9950" s="314"/>
      <c r="E9950" s="116"/>
      <c r="F9950" s="120"/>
      <c r="G9950" s="120"/>
      <c r="H9950" s="120"/>
      <c r="I9950" s="60"/>
      <c r="J9950" s="116"/>
      <c r="K9950" s="120"/>
      <c r="L9950" s="120"/>
      <c r="M9950" s="120"/>
      <c r="N9950" s="167"/>
      <c r="O9950" s="120"/>
      <c r="P9950" s="120"/>
      <c r="Q9950" s="120"/>
      <c r="R9950" s="120"/>
      <c r="S9950" s="120"/>
      <c r="T9950" s="221"/>
      <c r="U9950" s="89"/>
      <c r="V9950" s="61" t="str">
        <f>V9949</f>
        <v>02</v>
      </c>
      <c r="W9950" s="92" t="s">
        <v>131</v>
      </c>
      <c r="X9950" s="93" t="s">
        <v>29</v>
      </c>
      <c r="Y9950" s="93" t="s">
        <v>1656</v>
      </c>
      <c r="Z9950" s="134">
        <f>VLOOKUP(W9950,Sheet2!$B:$D,3,FALSE)</f>
        <v>131.19999999999999</v>
      </c>
      <c r="AA9950" s="93">
        <f>AA9952*4</f>
        <v>122.4</v>
      </c>
      <c r="AB9950" s="93">
        <f>AD9950/AC9949</f>
        <v>1.0718954248366013</v>
      </c>
      <c r="AC9950" s="93">
        <f>AC9949/AA9950</f>
        <v>8.1699346405228763E-3</v>
      </c>
      <c r="AD9950" s="94">
        <f>AC9950*Z9950</f>
        <v>1.0718954248366013</v>
      </c>
      <c r="AE9950" s="190"/>
      <c r="AF9950" s="191"/>
      <c r="AG9950" s="191"/>
      <c r="AH9950" s="191"/>
      <c r="AI9950" s="186"/>
      <c r="AK9950" s="171"/>
    </row>
    <row r="9951" spans="1:41" s="102" customFormat="1" ht="19.899999999999999" customHeight="1" x14ac:dyDescent="0.25">
      <c r="A9951" s="45"/>
      <c r="B9951" s="137"/>
      <c r="C9951" s="59"/>
      <c r="D9951" s="314"/>
      <c r="E9951" s="116"/>
      <c r="F9951" s="120"/>
      <c r="G9951" s="120"/>
      <c r="H9951" s="120"/>
      <c r="I9951" s="60"/>
      <c r="J9951" s="116"/>
      <c r="K9951" s="120"/>
      <c r="L9951" s="120"/>
      <c r="M9951" s="120"/>
      <c r="N9951" s="167"/>
      <c r="O9951" s="120"/>
      <c r="P9951" s="120"/>
      <c r="Q9951" s="120"/>
      <c r="R9951" s="120"/>
      <c r="S9951" s="120"/>
      <c r="T9951" s="221"/>
      <c r="U9951" s="89"/>
      <c r="V9951" s="61" t="str">
        <f t="shared" ref="V9951:V9954" si="6605">V9950</f>
        <v>02</v>
      </c>
      <c r="W9951" s="92" t="s">
        <v>65</v>
      </c>
      <c r="X9951" s="93" t="s">
        <v>30</v>
      </c>
      <c r="Y9951" s="93" t="s">
        <v>98</v>
      </c>
      <c r="Z9951" s="134">
        <f>VLOOKUP(W9951,Sheet2!$B:$D,3,FALSE)</f>
        <v>1.76</v>
      </c>
      <c r="AA9951" s="93">
        <f>AA9950/32</f>
        <v>3.8250000000000002</v>
      </c>
      <c r="AB9951" s="93">
        <f>AD9951/AC9949</f>
        <v>0.4601307189542484</v>
      </c>
      <c r="AC9951" s="93">
        <f>AC9949/AA9951</f>
        <v>0.26143790849673204</v>
      </c>
      <c r="AD9951" s="94">
        <f t="shared" ref="AD9951:AD9953" si="6606">AC9951*Z9951</f>
        <v>0.4601307189542484</v>
      </c>
      <c r="AE9951" s="190"/>
      <c r="AF9951" s="191"/>
      <c r="AG9951" s="191"/>
      <c r="AH9951" s="191"/>
      <c r="AI9951" s="186"/>
      <c r="AK9951" s="171"/>
    </row>
    <row r="9952" spans="1:41" s="102" customFormat="1" ht="19.899999999999999" customHeight="1" x14ac:dyDescent="0.25">
      <c r="A9952" s="45"/>
      <c r="B9952" s="137"/>
      <c r="C9952" s="59"/>
      <c r="D9952" s="314"/>
      <c r="E9952" s="116"/>
      <c r="F9952" s="120"/>
      <c r="G9952" s="120"/>
      <c r="H9952" s="120"/>
      <c r="I9952" s="60"/>
      <c r="J9952" s="116"/>
      <c r="K9952" s="120"/>
      <c r="L9952" s="120"/>
      <c r="M9952" s="120"/>
      <c r="N9952" s="167"/>
      <c r="O9952" s="120"/>
      <c r="P9952" s="120"/>
      <c r="Q9952" s="120"/>
      <c r="R9952" s="120"/>
      <c r="S9952" s="120"/>
      <c r="T9952" s="221"/>
      <c r="U9952" s="89"/>
      <c r="V9952" s="61" t="str">
        <f t="shared" si="6605"/>
        <v>02</v>
      </c>
      <c r="W9952" s="92" t="s">
        <v>1660</v>
      </c>
      <c r="X9952" s="93" t="s">
        <v>29</v>
      </c>
      <c r="Y9952" s="93" t="s">
        <v>1656</v>
      </c>
      <c r="Z9952" s="134">
        <f>VLOOKUP(W9952,Sheet2!$B:$D,3,FALSE)</f>
        <v>56</v>
      </c>
      <c r="AA9952" s="93">
        <f>(24*0.85)*15/10</f>
        <v>30.6</v>
      </c>
      <c r="AB9952" s="93">
        <f>AD9952/AC9949</f>
        <v>1.8300653594771243</v>
      </c>
      <c r="AC9952" s="93">
        <f>AC9949/AA9952</f>
        <v>3.2679738562091505E-2</v>
      </c>
      <c r="AD9952" s="94">
        <f t="shared" si="6606"/>
        <v>1.8300653594771243</v>
      </c>
      <c r="AE9952" s="190"/>
      <c r="AF9952" s="191"/>
      <c r="AG9952" s="191"/>
      <c r="AH9952" s="191"/>
      <c r="AI9952" s="186"/>
      <c r="AK9952" s="171"/>
    </row>
    <row r="9953" spans="1:41" s="102" customFormat="1" ht="19.899999999999999" customHeight="1" x14ac:dyDescent="0.25">
      <c r="A9953" s="45"/>
      <c r="B9953" s="137"/>
      <c r="C9953" s="59"/>
      <c r="D9953" s="314"/>
      <c r="E9953" s="116"/>
      <c r="F9953" s="120"/>
      <c r="G9953" s="120"/>
      <c r="H9953" s="120"/>
      <c r="I9953" s="60"/>
      <c r="J9953" s="116"/>
      <c r="K9953" s="120"/>
      <c r="L9953" s="120"/>
      <c r="M9953" s="120"/>
      <c r="N9953" s="167"/>
      <c r="O9953" s="120"/>
      <c r="P9953" s="120"/>
      <c r="Q9953" s="120"/>
      <c r="R9953" s="120"/>
      <c r="S9953" s="120"/>
      <c r="T9953" s="221"/>
      <c r="U9953" s="89"/>
      <c r="V9953" s="61" t="str">
        <f t="shared" si="6605"/>
        <v>02</v>
      </c>
      <c r="W9953" s="92" t="s">
        <v>65</v>
      </c>
      <c r="X9953" s="93" t="s">
        <v>30</v>
      </c>
      <c r="Y9953" s="93" t="s">
        <v>98</v>
      </c>
      <c r="Z9953" s="134">
        <f>VLOOKUP(W9953,Sheet2!$B:$D,3,FALSE)</f>
        <v>1.76</v>
      </c>
      <c r="AA9953" s="93">
        <f>AA9952/13</f>
        <v>2.3538461538461539</v>
      </c>
      <c r="AB9953" s="93">
        <f>AD9953/AC9949</f>
        <v>0.7477124183006536</v>
      </c>
      <c r="AC9953" s="93">
        <f>AC9949/AA9953</f>
        <v>0.42483660130718953</v>
      </c>
      <c r="AD9953" s="94">
        <f t="shared" si="6606"/>
        <v>0.7477124183006536</v>
      </c>
      <c r="AE9953" s="190"/>
      <c r="AF9953" s="191"/>
      <c r="AG9953" s="191"/>
      <c r="AH9953" s="191"/>
      <c r="AI9953" s="186"/>
      <c r="AK9953" s="171"/>
    </row>
    <row r="9954" spans="1:41" s="102" customFormat="1" ht="19.899999999999999" customHeight="1" x14ac:dyDescent="0.25">
      <c r="A9954" s="45"/>
      <c r="B9954" s="137"/>
      <c r="C9954" s="59"/>
      <c r="D9954" s="314"/>
      <c r="E9954" s="116"/>
      <c r="F9954" s="120"/>
      <c r="G9954" s="120"/>
      <c r="H9954" s="120"/>
      <c r="I9954" s="60"/>
      <c r="J9954" s="116"/>
      <c r="K9954" s="120"/>
      <c r="L9954" s="120"/>
      <c r="M9954" s="120"/>
      <c r="N9954" s="167"/>
      <c r="O9954" s="120"/>
      <c r="P9954" s="120"/>
      <c r="Q9954" s="120"/>
      <c r="R9954" s="120"/>
      <c r="S9954" s="120"/>
      <c r="T9954" s="221"/>
      <c r="U9954" s="89"/>
      <c r="V9954" s="61" t="str">
        <f t="shared" si="6605"/>
        <v>02</v>
      </c>
      <c r="W9954" s="92" t="s">
        <v>112</v>
      </c>
      <c r="X9954" s="93" t="s">
        <v>31</v>
      </c>
      <c r="Y9954" s="93" t="s">
        <v>1656</v>
      </c>
      <c r="Z9954" s="134">
        <f>VLOOKUP(W9954,Sheet2!$B:$D,3,FALSE)</f>
        <v>13</v>
      </c>
      <c r="AA9954" s="93">
        <f>AA9950*2</f>
        <v>244.8</v>
      </c>
      <c r="AB9954" s="93">
        <f>AD9954/AC9949</f>
        <v>5.3104575163398698E-2</v>
      </c>
      <c r="AC9954" s="93">
        <f>AC9949/AA9954</f>
        <v>4.0849673202614381E-3</v>
      </c>
      <c r="AD9954" s="94">
        <f>AC9954*Z9954</f>
        <v>5.3104575163398698E-2</v>
      </c>
      <c r="AE9954" s="190"/>
      <c r="AF9954" s="191"/>
      <c r="AG9954" s="191"/>
      <c r="AH9954" s="191"/>
      <c r="AI9954" s="186"/>
      <c r="AK9954" s="171"/>
    </row>
    <row r="9955" spans="1:41" s="103" customFormat="1" ht="19.899999999999999" customHeight="1" x14ac:dyDescent="0.25">
      <c r="A9955" s="51"/>
      <c r="B9955" s="165"/>
      <c r="C9955" s="52"/>
      <c r="D9955" s="313"/>
      <c r="E9955" s="115"/>
      <c r="F9955" s="58"/>
      <c r="G9955" s="58"/>
      <c r="H9955" s="58"/>
      <c r="I9955" s="55"/>
      <c r="J9955" s="113">
        <f>J9939</f>
        <v>1</v>
      </c>
      <c r="K9955" s="315">
        <f>K9939</f>
        <v>1</v>
      </c>
      <c r="L9955" s="58"/>
      <c r="M9955" s="58">
        <f>K9955-L9955</f>
        <v>1</v>
      </c>
      <c r="N9955" s="166"/>
      <c r="O9955" s="58"/>
      <c r="P9955" s="58"/>
      <c r="Q9955" s="58"/>
      <c r="R9955" s="58"/>
      <c r="S9955" s="58"/>
      <c r="T9955" s="220"/>
      <c r="U9955" s="88">
        <f>IFERROR(S9955/L9955,0)</f>
        <v>0</v>
      </c>
      <c r="V9955" s="56" t="str">
        <f>V9939&amp;"03"</f>
        <v>03</v>
      </c>
      <c r="W9955" s="57" t="s">
        <v>1663</v>
      </c>
      <c r="X9955" s="53"/>
      <c r="Y9955" s="91" t="s">
        <v>66</v>
      </c>
      <c r="Z9955" s="136">
        <f>AD9955/AC9955</f>
        <v>0.7075555555555556</v>
      </c>
      <c r="AA9955" s="58"/>
      <c r="AB9955" s="53">
        <f>AD9955/AC9955</f>
        <v>0.7075555555555556</v>
      </c>
      <c r="AC9955" s="53">
        <f>M9955+$AE$10</f>
        <v>1</v>
      </c>
      <c r="AD9955" s="54">
        <f>SUM(AD9956:AD9957)</f>
        <v>0.7075555555555556</v>
      </c>
      <c r="AE9955" s="184">
        <f>SUMIFS($AD$44:$AD$4639,$V$44:$V$4639,$V9955,$X$44:$X$4639,AE$13)</f>
        <v>0</v>
      </c>
      <c r="AF9955" s="185">
        <f>SUMIFS($AD$44:$AD$4639,$V$44:$V$4639,$V9955,$X$44:$X$4639,AF$13)</f>
        <v>0</v>
      </c>
      <c r="AG9955" s="185">
        <f>SUMIFS($AD$44:$AD$4639,$V$44:$V$4639,$V9955,$X$44:$X$4639,AG$13)</f>
        <v>0</v>
      </c>
      <c r="AH9955" s="187">
        <f>SUMIFS($AD$44:$AD$4639,$V$44:$V$4639,$V9955,$X$44:$X$4639,AH$13)</f>
        <v>0</v>
      </c>
      <c r="AI9955" s="161">
        <f t="shared" ref="AI9955" si="6607">SUM(AE9955:AH9955)</f>
        <v>0</v>
      </c>
      <c r="AK9955" s="172"/>
    </row>
    <row r="9956" spans="1:41" s="102" customFormat="1" ht="19.899999999999999" customHeight="1" x14ac:dyDescent="0.25">
      <c r="A9956" s="45"/>
      <c r="B9956" s="137"/>
      <c r="C9956" s="59"/>
      <c r="D9956" s="314"/>
      <c r="E9956" s="116"/>
      <c r="F9956" s="120"/>
      <c r="G9956" s="120"/>
      <c r="H9956" s="120"/>
      <c r="I9956" s="60"/>
      <c r="J9956" s="116"/>
      <c r="K9956" s="120"/>
      <c r="L9956" s="120"/>
      <c r="M9956" s="120"/>
      <c r="N9956" s="167"/>
      <c r="O9956" s="120"/>
      <c r="P9956" s="120"/>
      <c r="Q9956" s="120"/>
      <c r="R9956" s="120"/>
      <c r="S9956" s="120"/>
      <c r="T9956" s="221"/>
      <c r="U9956" s="89"/>
      <c r="V9956" s="61" t="str">
        <f>V9955</f>
        <v>03</v>
      </c>
      <c r="W9956" s="92" t="s">
        <v>94</v>
      </c>
      <c r="X9956" s="93" t="s">
        <v>29</v>
      </c>
      <c r="Y9956" s="93" t="s">
        <v>1656</v>
      </c>
      <c r="Z9956" s="134">
        <f>VLOOKUP(W9956,Sheet2!$B:$D,3,FALSE)</f>
        <v>90.4</v>
      </c>
      <c r="AA9956" s="93">
        <f>600*0.3</f>
        <v>180</v>
      </c>
      <c r="AB9956" s="93">
        <f>AD9956/AC9955</f>
        <v>0.50222222222222224</v>
      </c>
      <c r="AC9956" s="93">
        <f>AC9955/AA9956</f>
        <v>5.5555555555555558E-3</v>
      </c>
      <c r="AD9956" s="94">
        <f>AC9956*Z9956</f>
        <v>0.50222222222222224</v>
      </c>
      <c r="AE9956" s="190"/>
      <c r="AF9956" s="191"/>
      <c r="AG9956" s="191"/>
      <c r="AH9956" s="191"/>
      <c r="AI9956" s="186"/>
      <c r="AK9956" s="171"/>
    </row>
    <row r="9957" spans="1:41" s="102" customFormat="1" ht="19.899999999999999" customHeight="1" x14ac:dyDescent="0.25">
      <c r="A9957" s="45"/>
      <c r="B9957" s="137"/>
      <c r="C9957" s="59"/>
      <c r="D9957" s="314"/>
      <c r="E9957" s="116"/>
      <c r="F9957" s="120"/>
      <c r="G9957" s="120"/>
      <c r="H9957" s="120"/>
      <c r="I9957" s="60"/>
      <c r="J9957" s="116"/>
      <c r="K9957" s="120"/>
      <c r="L9957" s="120"/>
      <c r="M9957" s="120"/>
      <c r="N9957" s="167"/>
      <c r="O9957" s="120"/>
      <c r="P9957" s="120"/>
      <c r="Q9957" s="120"/>
      <c r="R9957" s="120"/>
      <c r="S9957" s="120"/>
      <c r="T9957" s="221"/>
      <c r="U9957" s="89"/>
      <c r="V9957" s="61" t="str">
        <f>V9956</f>
        <v>03</v>
      </c>
      <c r="W9957" s="92" t="s">
        <v>65</v>
      </c>
      <c r="X9957" s="93" t="s">
        <v>30</v>
      </c>
      <c r="Y9957" s="93" t="s">
        <v>98</v>
      </c>
      <c r="Z9957" s="134">
        <f>VLOOKUP(W9957,Sheet2!$B:$D,3,FALSE)</f>
        <v>1.76</v>
      </c>
      <c r="AA9957" s="93">
        <f>AA9956/21</f>
        <v>8.5714285714285712</v>
      </c>
      <c r="AB9957" s="93">
        <f>AD9957/AC9955</f>
        <v>0.20533333333333334</v>
      </c>
      <c r="AC9957" s="93">
        <f>AC9955/AA9957</f>
        <v>0.11666666666666667</v>
      </c>
      <c r="AD9957" s="94">
        <f t="shared" ref="AD9957" si="6608">AC9957*Z9957</f>
        <v>0.20533333333333334</v>
      </c>
      <c r="AE9957" s="190"/>
      <c r="AF9957" s="191"/>
      <c r="AG9957" s="191"/>
      <c r="AH9957" s="191"/>
      <c r="AI9957" s="186"/>
      <c r="AK9957" s="171"/>
    </row>
    <row r="9958" spans="1:41" s="103" customFormat="1" ht="19.899999999999999" customHeight="1" x14ac:dyDescent="0.25">
      <c r="A9958" s="51"/>
      <c r="B9958" s="165"/>
      <c r="C9958" s="52"/>
      <c r="D9958" s="313"/>
      <c r="E9958" s="115"/>
      <c r="F9958" s="58"/>
      <c r="G9958" s="58"/>
      <c r="H9958" s="58"/>
      <c r="I9958" s="55"/>
      <c r="J9958" s="113">
        <f>J9939</f>
        <v>1</v>
      </c>
      <c r="K9958" s="315">
        <f>K9939</f>
        <v>1</v>
      </c>
      <c r="L9958" s="58"/>
      <c r="M9958" s="58">
        <f>K9958-L9958</f>
        <v>1</v>
      </c>
      <c r="N9958" s="166"/>
      <c r="O9958" s="58"/>
      <c r="P9958" s="58"/>
      <c r="Q9958" s="58"/>
      <c r="R9958" s="58"/>
      <c r="S9958" s="58"/>
      <c r="T9958" s="220"/>
      <c r="U9958" s="88">
        <f>IFERROR(S9958/L9958,0)</f>
        <v>0</v>
      </c>
      <c r="V9958" s="56" t="str">
        <f>V9939&amp;"04"</f>
        <v>04</v>
      </c>
      <c r="W9958" s="57" t="s">
        <v>1664</v>
      </c>
      <c r="X9958" s="53"/>
      <c r="Y9958" s="91" t="s">
        <v>66</v>
      </c>
      <c r="Z9958" s="136">
        <f>AD9958/AC9958</f>
        <v>1.8525000000000003</v>
      </c>
      <c r="AA9958" s="58"/>
      <c r="AB9958" s="53">
        <f>AD9958/AC9958</f>
        <v>1.8525000000000003</v>
      </c>
      <c r="AC9958" s="53">
        <f>M9958+$AE$10</f>
        <v>1</v>
      </c>
      <c r="AD9958" s="54">
        <f>SUM(AD9959:AD9964)</f>
        <v>1.8525000000000003</v>
      </c>
      <c r="AE9958" s="184">
        <f>SUMIFS($AD$44:$AD$4639,$V$44:$V$4639,$V9958,$X$44:$X$4639,AE$13)</f>
        <v>0</v>
      </c>
      <c r="AF9958" s="185">
        <f>SUMIFS($AD$44:$AD$4639,$V$44:$V$4639,$V9958,$X$44:$X$4639,AF$13)</f>
        <v>0</v>
      </c>
      <c r="AG9958" s="185">
        <f>SUMIFS($AD$44:$AD$4639,$V$44:$V$4639,$V9958,$X$44:$X$4639,AG$13)</f>
        <v>0</v>
      </c>
      <c r="AH9958" s="187">
        <f>SUMIFS($AD$44:$AD$4639,$V$44:$V$4639,$V9958,$X$44:$X$4639,AH$13)</f>
        <v>0</v>
      </c>
      <c r="AI9958" s="161">
        <f t="shared" ref="AI9958" si="6609">SUM(AE9958:AH9958)</f>
        <v>0</v>
      </c>
      <c r="AK9958" s="172"/>
    </row>
    <row r="9959" spans="1:41" s="102" customFormat="1" ht="19.899999999999999" customHeight="1" x14ac:dyDescent="0.25">
      <c r="A9959" s="45"/>
      <c r="B9959" s="137"/>
      <c r="C9959" s="59"/>
      <c r="D9959" s="314"/>
      <c r="E9959" s="116"/>
      <c r="F9959" s="120"/>
      <c r="G9959" s="120"/>
      <c r="H9959" s="120"/>
      <c r="I9959" s="60"/>
      <c r="J9959" s="116"/>
      <c r="K9959" s="120"/>
      <c r="L9959" s="120"/>
      <c r="M9959" s="120"/>
      <c r="N9959" s="167"/>
      <c r="O9959" s="120"/>
      <c r="P9959" s="120"/>
      <c r="Q9959" s="120"/>
      <c r="R9959" s="120"/>
      <c r="S9959" s="120"/>
      <c r="T9959" s="221"/>
      <c r="U9959" s="89"/>
      <c r="V9959" s="61" t="str">
        <f>V9958</f>
        <v>04</v>
      </c>
      <c r="W9959" s="92" t="s">
        <v>145</v>
      </c>
      <c r="X9959" s="93" t="s">
        <v>29</v>
      </c>
      <c r="Y9959" s="93" t="s">
        <v>1656</v>
      </c>
      <c r="Z9959" s="134">
        <f>VLOOKUP(W9959,Sheet2!$B:$D,3,FALSE)</f>
        <v>40</v>
      </c>
      <c r="AA9959" s="93">
        <v>80</v>
      </c>
      <c r="AB9959" s="93">
        <f>AD9959/AC9958</f>
        <v>0.5</v>
      </c>
      <c r="AC9959" s="93">
        <f>AC9958/AA9959</f>
        <v>1.2500000000000001E-2</v>
      </c>
      <c r="AD9959" s="94">
        <f>AC9959*Z9959</f>
        <v>0.5</v>
      </c>
      <c r="AE9959" s="190"/>
      <c r="AF9959" s="191"/>
      <c r="AG9959" s="191"/>
      <c r="AH9959" s="191"/>
      <c r="AI9959" s="186"/>
      <c r="AK9959" s="171"/>
    </row>
    <row r="9960" spans="1:41" s="102" customFormat="1" ht="19.899999999999999" customHeight="1" x14ac:dyDescent="0.25">
      <c r="A9960" s="45"/>
      <c r="B9960" s="137"/>
      <c r="C9960" s="59"/>
      <c r="D9960" s="314"/>
      <c r="E9960" s="116"/>
      <c r="F9960" s="120"/>
      <c r="G9960" s="120"/>
      <c r="H9960" s="120"/>
      <c r="I9960" s="60"/>
      <c r="J9960" s="116"/>
      <c r="K9960" s="120"/>
      <c r="L9960" s="120"/>
      <c r="M9960" s="120"/>
      <c r="N9960" s="167"/>
      <c r="O9960" s="120"/>
      <c r="P9960" s="120"/>
      <c r="Q9960" s="120"/>
      <c r="R9960" s="120"/>
      <c r="S9960" s="120"/>
      <c r="T9960" s="221"/>
      <c r="U9960" s="89"/>
      <c r="V9960" s="61" t="str">
        <f t="shared" ref="V9960:V9964" si="6610">V9959</f>
        <v>04</v>
      </c>
      <c r="W9960" s="92" t="s">
        <v>65</v>
      </c>
      <c r="X9960" s="93" t="s">
        <v>30</v>
      </c>
      <c r="Y9960" s="93" t="s">
        <v>98</v>
      </c>
      <c r="Z9960" s="134">
        <f>VLOOKUP(W9960,Sheet2!$B:$D,3,FALSE)</f>
        <v>1.76</v>
      </c>
      <c r="AA9960" s="93">
        <f>AA9959/14</f>
        <v>5.7142857142857144</v>
      </c>
      <c r="AB9960" s="93">
        <f>AD9960/AC9958</f>
        <v>0.308</v>
      </c>
      <c r="AC9960" s="93">
        <f>AC9958/AA9960</f>
        <v>0.17499999999999999</v>
      </c>
      <c r="AD9960" s="94">
        <f>AC9960*Z9960</f>
        <v>0.308</v>
      </c>
      <c r="AE9960" s="190"/>
      <c r="AF9960" s="191"/>
      <c r="AG9960" s="191"/>
      <c r="AH9960" s="191"/>
      <c r="AI9960" s="186"/>
      <c r="AK9960" s="171"/>
    </row>
    <row r="9961" spans="1:41" s="102" customFormat="1" ht="19.899999999999999" customHeight="1" x14ac:dyDescent="0.25">
      <c r="A9961" s="45"/>
      <c r="B9961" s="137"/>
      <c r="C9961" s="59"/>
      <c r="D9961" s="314"/>
      <c r="E9961" s="116"/>
      <c r="F9961" s="120"/>
      <c r="G9961" s="120"/>
      <c r="H9961" s="120"/>
      <c r="I9961" s="60"/>
      <c r="J9961" s="116"/>
      <c r="K9961" s="120"/>
      <c r="L9961" s="120"/>
      <c r="M9961" s="120"/>
      <c r="N9961" s="167"/>
      <c r="O9961" s="120"/>
      <c r="P9961" s="120"/>
      <c r="Q9961" s="120"/>
      <c r="R9961" s="120"/>
      <c r="S9961" s="120"/>
      <c r="T9961" s="221"/>
      <c r="U9961" s="89"/>
      <c r="V9961" s="61" t="str">
        <f t="shared" si="6610"/>
        <v>04</v>
      </c>
      <c r="W9961" s="92" t="s">
        <v>135</v>
      </c>
      <c r="X9961" s="93" t="s">
        <v>29</v>
      </c>
      <c r="Y9961" s="93" t="s">
        <v>1656</v>
      </c>
      <c r="Z9961" s="134">
        <f>VLOOKUP(W9961,Sheet2!$B:$D,3,FALSE)</f>
        <v>52</v>
      </c>
      <c r="AA9961" s="93">
        <f>AA9959</f>
        <v>80</v>
      </c>
      <c r="AB9961" s="93">
        <f>AD9961/AC9958</f>
        <v>0.65</v>
      </c>
      <c r="AC9961" s="93">
        <f>AC9958/AA9961</f>
        <v>1.2500000000000001E-2</v>
      </c>
      <c r="AD9961" s="94">
        <f>AC9961*Z9961</f>
        <v>0.65</v>
      </c>
      <c r="AE9961" s="190"/>
      <c r="AF9961" s="191"/>
      <c r="AG9961" s="191"/>
      <c r="AH9961" s="191"/>
      <c r="AI9961" s="186"/>
      <c r="AK9961" s="171"/>
    </row>
    <row r="9962" spans="1:41" s="102" customFormat="1" ht="19.899999999999999" customHeight="1" x14ac:dyDescent="0.25">
      <c r="A9962" s="45"/>
      <c r="B9962" s="137"/>
      <c r="C9962" s="59"/>
      <c r="D9962" s="314"/>
      <c r="E9962" s="116"/>
      <c r="F9962" s="120"/>
      <c r="G9962" s="120"/>
      <c r="H9962" s="120"/>
      <c r="I9962" s="60"/>
      <c r="J9962" s="116"/>
      <c r="K9962" s="120"/>
      <c r="L9962" s="120"/>
      <c r="M9962" s="120"/>
      <c r="N9962" s="167"/>
      <c r="O9962" s="120"/>
      <c r="P9962" s="120"/>
      <c r="Q9962" s="120"/>
      <c r="R9962" s="120"/>
      <c r="S9962" s="120"/>
      <c r="T9962" s="221"/>
      <c r="U9962" s="89"/>
      <c r="V9962" s="61" t="str">
        <f t="shared" si="6610"/>
        <v>04</v>
      </c>
      <c r="W9962" s="92" t="s">
        <v>65</v>
      </c>
      <c r="X9962" s="93" t="s">
        <v>30</v>
      </c>
      <c r="Y9962" s="93" t="s">
        <v>98</v>
      </c>
      <c r="Z9962" s="134">
        <f>VLOOKUP(W9962,Sheet2!$B:$D,3,FALSE)</f>
        <v>1.76</v>
      </c>
      <c r="AA9962" s="93">
        <f>AA9961/8</f>
        <v>10</v>
      </c>
      <c r="AB9962" s="93">
        <f>AD9962/AC9958</f>
        <v>0.17600000000000002</v>
      </c>
      <c r="AC9962" s="93">
        <f>AC9958/AA9962</f>
        <v>0.1</v>
      </c>
      <c r="AD9962" s="94">
        <f t="shared" ref="AD9962:AD9963" si="6611">AC9962*Z9962</f>
        <v>0.17600000000000002</v>
      </c>
      <c r="AE9962" s="190"/>
      <c r="AF9962" s="191"/>
      <c r="AG9962" s="191"/>
      <c r="AH9962" s="191"/>
      <c r="AI9962" s="186"/>
      <c r="AK9962" s="171"/>
    </row>
    <row r="9963" spans="1:41" s="102" customFormat="1" ht="19.899999999999999" customHeight="1" x14ac:dyDescent="0.25">
      <c r="A9963" s="45"/>
      <c r="B9963" s="137"/>
      <c r="C9963" s="59"/>
      <c r="D9963" s="314"/>
      <c r="E9963" s="116"/>
      <c r="F9963" s="120"/>
      <c r="G9963" s="120"/>
      <c r="H9963" s="120"/>
      <c r="I9963" s="60"/>
      <c r="J9963" s="116"/>
      <c r="K9963" s="120"/>
      <c r="L9963" s="120"/>
      <c r="M9963" s="120"/>
      <c r="N9963" s="167"/>
      <c r="O9963" s="120"/>
      <c r="P9963" s="120"/>
      <c r="Q9963" s="120"/>
      <c r="R9963" s="120"/>
      <c r="S9963" s="120"/>
      <c r="T9963" s="221"/>
      <c r="U9963" s="89"/>
      <c r="V9963" s="61" t="str">
        <f t="shared" si="6610"/>
        <v>04</v>
      </c>
      <c r="W9963" s="92" t="s">
        <v>156</v>
      </c>
      <c r="X9963" s="93" t="s">
        <v>30</v>
      </c>
      <c r="Y9963" s="93" t="s">
        <v>66</v>
      </c>
      <c r="Z9963" s="134">
        <f>VLOOKUP(W9963,Sheet2!$B:$D,3,FALSE)</f>
        <v>2.8</v>
      </c>
      <c r="AA9963" s="93">
        <v>50</v>
      </c>
      <c r="AB9963" s="93">
        <f>AD9963/AC9958</f>
        <v>5.5999999999999994E-2</v>
      </c>
      <c r="AC9963" s="93">
        <f>AC9958/AA9963</f>
        <v>0.02</v>
      </c>
      <c r="AD9963" s="94">
        <f t="shared" si="6611"/>
        <v>5.5999999999999994E-2</v>
      </c>
      <c r="AE9963" s="190"/>
      <c r="AF9963" s="191"/>
      <c r="AG9963" s="191"/>
      <c r="AH9963" s="191"/>
      <c r="AI9963" s="186"/>
      <c r="AK9963" s="171"/>
    </row>
    <row r="9964" spans="1:41" s="102" customFormat="1" ht="19.899999999999999" customHeight="1" x14ac:dyDescent="0.25">
      <c r="A9964" s="45"/>
      <c r="B9964" s="137"/>
      <c r="C9964" s="59"/>
      <c r="D9964" s="314"/>
      <c r="E9964" s="116"/>
      <c r="F9964" s="120"/>
      <c r="G9964" s="120"/>
      <c r="H9964" s="120"/>
      <c r="I9964" s="60"/>
      <c r="J9964" s="116"/>
      <c r="K9964" s="120"/>
      <c r="L9964" s="120"/>
      <c r="M9964" s="120"/>
      <c r="N9964" s="167"/>
      <c r="O9964" s="120"/>
      <c r="P9964" s="120"/>
      <c r="Q9964" s="120"/>
      <c r="R9964" s="120"/>
      <c r="S9964" s="120"/>
      <c r="T9964" s="221"/>
      <c r="U9964" s="89"/>
      <c r="V9964" s="61" t="str">
        <f t="shared" si="6610"/>
        <v>04</v>
      </c>
      <c r="W9964" s="92" t="s">
        <v>112</v>
      </c>
      <c r="X9964" s="93" t="s">
        <v>31</v>
      </c>
      <c r="Y9964" s="93" t="s">
        <v>1656</v>
      </c>
      <c r="Z9964" s="134">
        <f>VLOOKUP(W9964,Sheet2!$B:$D,3,FALSE)</f>
        <v>13</v>
      </c>
      <c r="AA9964" s="93">
        <f>AA9959</f>
        <v>80</v>
      </c>
      <c r="AB9964" s="93">
        <f>AD9964/AC9958</f>
        <v>0.16250000000000001</v>
      </c>
      <c r="AC9964" s="93">
        <f>AC9958/AA9964</f>
        <v>1.2500000000000001E-2</v>
      </c>
      <c r="AD9964" s="94">
        <f>AC9964*Z9964</f>
        <v>0.16250000000000001</v>
      </c>
      <c r="AE9964" s="190"/>
      <c r="AF9964" s="191"/>
      <c r="AG9964" s="191"/>
      <c r="AH9964" s="191"/>
      <c r="AI9964" s="186"/>
      <c r="AK9964" s="171"/>
    </row>
    <row r="9965" spans="1:41" ht="20.100000000000001" customHeight="1" x14ac:dyDescent="0.25">
      <c r="A9965" s="277" t="s">
        <v>945</v>
      </c>
      <c r="B9965" s="278"/>
      <c r="C9965" s="64" t="s">
        <v>950</v>
      </c>
      <c r="D9965" s="46" t="s">
        <v>201</v>
      </c>
      <c r="E9965" s="114">
        <v>1</v>
      </c>
      <c r="F9965" s="44">
        <v>38</v>
      </c>
      <c r="G9965" s="44">
        <f t="shared" si="3841"/>
        <v>38</v>
      </c>
      <c r="H9965" s="44">
        <f t="shared" si="3842"/>
        <v>16.722964052287583</v>
      </c>
      <c r="I9965" s="43">
        <f t="shared" si="3843"/>
        <v>16.722964052287583</v>
      </c>
      <c r="J9965" s="112">
        <f t="shared" si="3844"/>
        <v>1</v>
      </c>
      <c r="K9965" s="211">
        <f t="shared" si="3845"/>
        <v>1</v>
      </c>
      <c r="L9965" s="44"/>
      <c r="M9965" s="44">
        <f t="shared" si="3846"/>
        <v>1</v>
      </c>
      <c r="N9965" s="173">
        <f t="shared" si="3847"/>
        <v>1</v>
      </c>
      <c r="O9965" s="44">
        <f t="shared" si="3848"/>
        <v>38</v>
      </c>
      <c r="P9965" s="44">
        <f t="shared" si="3849"/>
        <v>38</v>
      </c>
      <c r="Q9965" s="44">
        <f t="shared" si="3850"/>
        <v>16.722964052287583</v>
      </c>
      <c r="R9965" s="44">
        <f t="shared" si="3851"/>
        <v>16.722964052287583</v>
      </c>
      <c r="S9965" s="123"/>
      <c r="T9965" s="219">
        <f t="shared" si="3852"/>
        <v>16.722964052287583</v>
      </c>
      <c r="U9965" s="87"/>
      <c r="V9965" s="47"/>
      <c r="W9965" s="48"/>
      <c r="X9965" s="48"/>
      <c r="Y9965" s="48"/>
      <c r="Z9965" s="135"/>
      <c r="AA9965" s="49"/>
      <c r="AB9965" s="50">
        <f t="shared" si="3853"/>
        <v>16.722964052287583</v>
      </c>
      <c r="AC9965" s="42">
        <f t="shared" si="3854"/>
        <v>1</v>
      </c>
      <c r="AD9965" s="90">
        <f>AD9966+AD9968+AD9974+AD9977</f>
        <v>16.722964052287583</v>
      </c>
      <c r="AE9965" s="188">
        <f>AE9966+AE9968+AE9974+AE9977</f>
        <v>0</v>
      </c>
      <c r="AF9965" s="189">
        <f>AF9966+AF9968+AF9974+AF9977</f>
        <v>0</v>
      </c>
      <c r="AG9965" s="189">
        <f>AG9966+AG9968+AG9974+AG9977</f>
        <v>0</v>
      </c>
      <c r="AH9965" s="189">
        <f>AH9966+AH9968+AH9974+AH9977</f>
        <v>0</v>
      </c>
      <c r="AI9965" s="161">
        <f t="shared" si="6599"/>
        <v>0</v>
      </c>
      <c r="AK9965" s="169">
        <v>5</v>
      </c>
      <c r="AO9965" s="19" t="s">
        <v>63</v>
      </c>
    </row>
    <row r="9966" spans="1:41" s="103" customFormat="1" ht="19.899999999999999" customHeight="1" x14ac:dyDescent="0.25">
      <c r="A9966" s="51"/>
      <c r="B9966" s="165"/>
      <c r="C9966" s="52"/>
      <c r="D9966" s="313"/>
      <c r="E9966" s="115"/>
      <c r="F9966" s="58"/>
      <c r="G9966" s="58"/>
      <c r="H9966" s="58"/>
      <c r="I9966" s="55"/>
      <c r="J9966" s="113">
        <f>J9965</f>
        <v>1</v>
      </c>
      <c r="K9966" s="212">
        <f>K9965</f>
        <v>1</v>
      </c>
      <c r="L9966" s="58"/>
      <c r="M9966" s="58">
        <f>K9966-L9966</f>
        <v>1</v>
      </c>
      <c r="N9966" s="166"/>
      <c r="O9966" s="58"/>
      <c r="P9966" s="58"/>
      <c r="Q9966" s="58"/>
      <c r="R9966" s="58"/>
      <c r="S9966" s="58"/>
      <c r="T9966" s="220"/>
      <c r="U9966" s="88">
        <f>IFERROR(S9966/L9966,0)</f>
        <v>0</v>
      </c>
      <c r="V9966" s="56" t="str">
        <f>V9965&amp;"01"</f>
        <v>01</v>
      </c>
      <c r="W9966" s="57" t="s">
        <v>1665</v>
      </c>
      <c r="X9966" s="53"/>
      <c r="Y9966" s="91" t="s">
        <v>66</v>
      </c>
      <c r="Z9966" s="136">
        <f>AD9966/AC9966</f>
        <v>10</v>
      </c>
      <c r="AA9966" s="58"/>
      <c r="AB9966" s="53">
        <f>AD9966/AC9966</f>
        <v>10</v>
      </c>
      <c r="AC9966" s="53">
        <f>M9966+$AE$10</f>
        <v>1</v>
      </c>
      <c r="AD9966" s="54">
        <f>SUM(AD9967:AD9967)</f>
        <v>10</v>
      </c>
      <c r="AE9966" s="184">
        <f>SUMIFS($AD$44:$AD$4639,$V$44:$V$4639,$V9966,$X$44:$X$4639,AE$13)</f>
        <v>0</v>
      </c>
      <c r="AF9966" s="185">
        <f>SUMIFS($AD$44:$AD$4639,$V$44:$V$4639,$V9966,$X$44:$X$4639,AF$13)</f>
        <v>0</v>
      </c>
      <c r="AG9966" s="185">
        <f>SUMIFS($AD$44:$AD$4639,$V$44:$V$4639,$V9966,$X$44:$X$4639,AG$13)</f>
        <v>0</v>
      </c>
      <c r="AH9966" s="187">
        <f>SUMIFS($AD$44:$AD$4639,$V$44:$V$4639,$V9966,$X$44:$X$4639,AH$13)</f>
        <v>0</v>
      </c>
      <c r="AI9966" s="161">
        <f t="shared" ref="AI9966" si="6612">SUM(AE9966:AH9966)</f>
        <v>0</v>
      </c>
      <c r="AK9966" s="172"/>
    </row>
    <row r="9967" spans="1:41" s="102" customFormat="1" ht="19.899999999999999" customHeight="1" x14ac:dyDescent="0.25">
      <c r="A9967" s="45"/>
      <c r="B9967" s="137"/>
      <c r="C9967" s="59"/>
      <c r="D9967" s="314"/>
      <c r="E9967" s="116"/>
      <c r="F9967" s="120"/>
      <c r="G9967" s="120"/>
      <c r="H9967" s="120"/>
      <c r="I9967" s="60"/>
      <c r="J9967" s="116"/>
      <c r="K9967" s="213"/>
      <c r="L9967" s="120"/>
      <c r="M9967" s="120"/>
      <c r="N9967" s="167"/>
      <c r="O9967" s="120"/>
      <c r="P9967" s="120"/>
      <c r="Q9967" s="120"/>
      <c r="R9967" s="120"/>
      <c r="S9967" s="120"/>
      <c r="T9967" s="221"/>
      <c r="U9967" s="89"/>
      <c r="V9967" s="61" t="str">
        <f>V9966</f>
        <v>01</v>
      </c>
      <c r="W9967" s="92" t="s">
        <v>1273</v>
      </c>
      <c r="X9967" s="93" t="s">
        <v>30</v>
      </c>
      <c r="Y9967" s="93" t="s">
        <v>66</v>
      </c>
      <c r="Z9967" s="134">
        <f>VLOOKUP(W9967,Sheet2!$B:$D,3,FALSE)</f>
        <v>10</v>
      </c>
      <c r="AA9967" s="93">
        <v>1</v>
      </c>
      <c r="AB9967" s="93">
        <f>AD9967/AC9966</f>
        <v>10</v>
      </c>
      <c r="AC9967" s="93">
        <f>AC9966/AA9967</f>
        <v>1</v>
      </c>
      <c r="AD9967" s="94">
        <f t="shared" ref="AD9967" si="6613">AC9967*Z9967</f>
        <v>10</v>
      </c>
      <c r="AE9967" s="190"/>
      <c r="AF9967" s="191"/>
      <c r="AG9967" s="191"/>
      <c r="AH9967" s="191"/>
      <c r="AI9967" s="186"/>
      <c r="AK9967" s="171"/>
    </row>
    <row r="9968" spans="1:41" s="103" customFormat="1" ht="19.899999999999999" customHeight="1" x14ac:dyDescent="0.25">
      <c r="A9968" s="51"/>
      <c r="B9968" s="165"/>
      <c r="C9968" s="52"/>
      <c r="D9968" s="313"/>
      <c r="E9968" s="115"/>
      <c r="F9968" s="58"/>
      <c r="G9968" s="58"/>
      <c r="H9968" s="58"/>
      <c r="I9968" s="55"/>
      <c r="J9968" s="113">
        <f>J9965</f>
        <v>1</v>
      </c>
      <c r="K9968" s="315">
        <f>K9965</f>
        <v>1</v>
      </c>
      <c r="L9968" s="58"/>
      <c r="M9968" s="58">
        <f>K9968-L9968</f>
        <v>1</v>
      </c>
      <c r="N9968" s="166"/>
      <c r="O9968" s="58"/>
      <c r="P9968" s="58"/>
      <c r="Q9968" s="58"/>
      <c r="R9968" s="58"/>
      <c r="S9968" s="58"/>
      <c r="T9968" s="220"/>
      <c r="U9968" s="88">
        <f>IFERROR(S9968/L9968,0)</f>
        <v>0</v>
      </c>
      <c r="V9968" s="56" t="str">
        <f>V9965&amp;"02"</f>
        <v>02</v>
      </c>
      <c r="W9968" s="57" t="s">
        <v>1662</v>
      </c>
      <c r="X9968" s="53"/>
      <c r="Y9968" s="91" t="s">
        <v>66</v>
      </c>
      <c r="Z9968" s="136">
        <f>AD9968/AC9968</f>
        <v>4.162908496732026</v>
      </c>
      <c r="AA9968" s="58"/>
      <c r="AB9968" s="53">
        <f>AD9968/AC9968</f>
        <v>4.162908496732026</v>
      </c>
      <c r="AC9968" s="53">
        <f>M9968+$AE$10</f>
        <v>1</v>
      </c>
      <c r="AD9968" s="54">
        <f>SUM(AD9969:AD9973)</f>
        <v>4.162908496732026</v>
      </c>
      <c r="AE9968" s="184">
        <f>SUMIFS($AD$44:$AD$4639,$V$44:$V$4639,$V9968,$X$44:$X$4639,AE$13)</f>
        <v>0</v>
      </c>
      <c r="AF9968" s="185">
        <f>SUMIFS($AD$44:$AD$4639,$V$44:$V$4639,$V9968,$X$44:$X$4639,AF$13)</f>
        <v>0</v>
      </c>
      <c r="AG9968" s="185">
        <f>SUMIFS($AD$44:$AD$4639,$V$44:$V$4639,$V9968,$X$44:$X$4639,AG$13)</f>
        <v>0</v>
      </c>
      <c r="AH9968" s="187">
        <f>SUMIFS($AD$44:$AD$4639,$V$44:$V$4639,$V9968,$X$44:$X$4639,AH$13)</f>
        <v>0</v>
      </c>
      <c r="AI9968" s="161">
        <f t="shared" ref="AI9968" si="6614">SUM(AE9968:AH9968)</f>
        <v>0</v>
      </c>
      <c r="AK9968" s="172"/>
    </row>
    <row r="9969" spans="1:41" s="102" customFormat="1" ht="19.899999999999999" customHeight="1" x14ac:dyDescent="0.25">
      <c r="A9969" s="45"/>
      <c r="B9969" s="137"/>
      <c r="C9969" s="59"/>
      <c r="D9969" s="314"/>
      <c r="E9969" s="116"/>
      <c r="F9969" s="120"/>
      <c r="G9969" s="120"/>
      <c r="H9969" s="120"/>
      <c r="I9969" s="60"/>
      <c r="J9969" s="116"/>
      <c r="K9969" s="120"/>
      <c r="L9969" s="120"/>
      <c r="M9969" s="120"/>
      <c r="N9969" s="167"/>
      <c r="O9969" s="120"/>
      <c r="P9969" s="120"/>
      <c r="Q9969" s="120"/>
      <c r="R9969" s="120"/>
      <c r="S9969" s="120"/>
      <c r="T9969" s="221"/>
      <c r="U9969" s="89"/>
      <c r="V9969" s="61" t="str">
        <f>V9968</f>
        <v>02</v>
      </c>
      <c r="W9969" s="92" t="s">
        <v>131</v>
      </c>
      <c r="X9969" s="93" t="s">
        <v>29</v>
      </c>
      <c r="Y9969" s="93" t="s">
        <v>1656</v>
      </c>
      <c r="Z9969" s="134">
        <f>VLOOKUP(W9969,Sheet2!$B:$D,3,FALSE)</f>
        <v>131.19999999999999</v>
      </c>
      <c r="AA9969" s="93">
        <f>AA9971*4</f>
        <v>122.4</v>
      </c>
      <c r="AB9969" s="93">
        <f>AD9969/AC9968</f>
        <v>1.0718954248366013</v>
      </c>
      <c r="AC9969" s="93">
        <f>AC9968/AA9969</f>
        <v>8.1699346405228763E-3</v>
      </c>
      <c r="AD9969" s="94">
        <f>AC9969*Z9969</f>
        <v>1.0718954248366013</v>
      </c>
      <c r="AE9969" s="190"/>
      <c r="AF9969" s="191"/>
      <c r="AG9969" s="191"/>
      <c r="AH9969" s="191"/>
      <c r="AI9969" s="186"/>
      <c r="AK9969" s="171"/>
    </row>
    <row r="9970" spans="1:41" s="102" customFormat="1" ht="19.899999999999999" customHeight="1" x14ac:dyDescent="0.25">
      <c r="A9970" s="45"/>
      <c r="B9970" s="137"/>
      <c r="C9970" s="59"/>
      <c r="D9970" s="314"/>
      <c r="E9970" s="116"/>
      <c r="F9970" s="120"/>
      <c r="G9970" s="120"/>
      <c r="H9970" s="120"/>
      <c r="I9970" s="60"/>
      <c r="J9970" s="116"/>
      <c r="K9970" s="120"/>
      <c r="L9970" s="120"/>
      <c r="M9970" s="120"/>
      <c r="N9970" s="167"/>
      <c r="O9970" s="120"/>
      <c r="P9970" s="120"/>
      <c r="Q9970" s="120"/>
      <c r="R9970" s="120"/>
      <c r="S9970" s="120"/>
      <c r="T9970" s="221"/>
      <c r="U9970" s="89"/>
      <c r="V9970" s="61" t="str">
        <f t="shared" ref="V9970:V9973" si="6615">V9969</f>
        <v>02</v>
      </c>
      <c r="W9970" s="92" t="s">
        <v>65</v>
      </c>
      <c r="X9970" s="93" t="s">
        <v>30</v>
      </c>
      <c r="Y9970" s="93" t="s">
        <v>98</v>
      </c>
      <c r="Z9970" s="134">
        <f>VLOOKUP(W9970,Sheet2!$B:$D,3,FALSE)</f>
        <v>1.76</v>
      </c>
      <c r="AA9970" s="93">
        <f>AA9969/32</f>
        <v>3.8250000000000002</v>
      </c>
      <c r="AB9970" s="93">
        <f>AD9970/AC9968</f>
        <v>0.4601307189542484</v>
      </c>
      <c r="AC9970" s="93">
        <f>AC9968/AA9970</f>
        <v>0.26143790849673204</v>
      </c>
      <c r="AD9970" s="94">
        <f t="shared" ref="AD9970:AD9972" si="6616">AC9970*Z9970</f>
        <v>0.4601307189542484</v>
      </c>
      <c r="AE9970" s="190"/>
      <c r="AF9970" s="191"/>
      <c r="AG9970" s="191"/>
      <c r="AH9970" s="191"/>
      <c r="AI9970" s="186"/>
      <c r="AK9970" s="171"/>
    </row>
    <row r="9971" spans="1:41" s="102" customFormat="1" ht="19.899999999999999" customHeight="1" x14ac:dyDescent="0.25">
      <c r="A9971" s="45"/>
      <c r="B9971" s="137"/>
      <c r="C9971" s="59"/>
      <c r="D9971" s="314"/>
      <c r="E9971" s="116"/>
      <c r="F9971" s="120"/>
      <c r="G9971" s="120"/>
      <c r="H9971" s="120"/>
      <c r="I9971" s="60"/>
      <c r="J9971" s="116"/>
      <c r="K9971" s="120"/>
      <c r="L9971" s="120"/>
      <c r="M9971" s="120"/>
      <c r="N9971" s="167"/>
      <c r="O9971" s="120"/>
      <c r="P9971" s="120"/>
      <c r="Q9971" s="120"/>
      <c r="R9971" s="120"/>
      <c r="S9971" s="120"/>
      <c r="T9971" s="221"/>
      <c r="U9971" s="89"/>
      <c r="V9971" s="61" t="str">
        <f t="shared" si="6615"/>
        <v>02</v>
      </c>
      <c r="W9971" s="92" t="s">
        <v>1660</v>
      </c>
      <c r="X9971" s="93" t="s">
        <v>29</v>
      </c>
      <c r="Y9971" s="93" t="s">
        <v>1656</v>
      </c>
      <c r="Z9971" s="134">
        <f>VLOOKUP(W9971,Sheet2!$B:$D,3,FALSE)</f>
        <v>56</v>
      </c>
      <c r="AA9971" s="93">
        <f>(24*0.85)*15/10</f>
        <v>30.6</v>
      </c>
      <c r="AB9971" s="93">
        <f>AD9971/AC9968</f>
        <v>1.8300653594771243</v>
      </c>
      <c r="AC9971" s="93">
        <f>AC9968/AA9971</f>
        <v>3.2679738562091505E-2</v>
      </c>
      <c r="AD9971" s="94">
        <f t="shared" si="6616"/>
        <v>1.8300653594771243</v>
      </c>
      <c r="AE9971" s="190"/>
      <c r="AF9971" s="191"/>
      <c r="AG9971" s="191"/>
      <c r="AH9971" s="191"/>
      <c r="AI9971" s="186"/>
      <c r="AK9971" s="171"/>
    </row>
    <row r="9972" spans="1:41" s="102" customFormat="1" ht="19.899999999999999" customHeight="1" x14ac:dyDescent="0.25">
      <c r="A9972" s="45"/>
      <c r="B9972" s="137"/>
      <c r="C9972" s="59"/>
      <c r="D9972" s="314"/>
      <c r="E9972" s="116"/>
      <c r="F9972" s="120"/>
      <c r="G9972" s="120"/>
      <c r="H9972" s="120"/>
      <c r="I9972" s="60"/>
      <c r="J9972" s="116"/>
      <c r="K9972" s="120"/>
      <c r="L9972" s="120"/>
      <c r="M9972" s="120"/>
      <c r="N9972" s="167"/>
      <c r="O9972" s="120"/>
      <c r="P9972" s="120"/>
      <c r="Q9972" s="120"/>
      <c r="R9972" s="120"/>
      <c r="S9972" s="120"/>
      <c r="T9972" s="221"/>
      <c r="U9972" s="89"/>
      <c r="V9972" s="61" t="str">
        <f t="shared" si="6615"/>
        <v>02</v>
      </c>
      <c r="W9972" s="92" t="s">
        <v>65</v>
      </c>
      <c r="X9972" s="93" t="s">
        <v>30</v>
      </c>
      <c r="Y9972" s="93" t="s">
        <v>98</v>
      </c>
      <c r="Z9972" s="134">
        <f>VLOOKUP(W9972,Sheet2!$B:$D,3,FALSE)</f>
        <v>1.76</v>
      </c>
      <c r="AA9972" s="93">
        <f>AA9971/13</f>
        <v>2.3538461538461539</v>
      </c>
      <c r="AB9972" s="93">
        <f>AD9972/AC9968</f>
        <v>0.7477124183006536</v>
      </c>
      <c r="AC9972" s="93">
        <f>AC9968/AA9972</f>
        <v>0.42483660130718953</v>
      </c>
      <c r="AD9972" s="94">
        <f t="shared" si="6616"/>
        <v>0.7477124183006536</v>
      </c>
      <c r="AE9972" s="190"/>
      <c r="AF9972" s="191"/>
      <c r="AG9972" s="191"/>
      <c r="AH9972" s="191"/>
      <c r="AI9972" s="186"/>
      <c r="AK9972" s="171"/>
    </row>
    <row r="9973" spans="1:41" s="102" customFormat="1" ht="19.899999999999999" customHeight="1" x14ac:dyDescent="0.25">
      <c r="A9973" s="45"/>
      <c r="B9973" s="137"/>
      <c r="C9973" s="59"/>
      <c r="D9973" s="314"/>
      <c r="E9973" s="116"/>
      <c r="F9973" s="120"/>
      <c r="G9973" s="120"/>
      <c r="H9973" s="120"/>
      <c r="I9973" s="60"/>
      <c r="J9973" s="116"/>
      <c r="K9973" s="120"/>
      <c r="L9973" s="120"/>
      <c r="M9973" s="120"/>
      <c r="N9973" s="167"/>
      <c r="O9973" s="120"/>
      <c r="P9973" s="120"/>
      <c r="Q9973" s="120"/>
      <c r="R9973" s="120"/>
      <c r="S9973" s="120"/>
      <c r="T9973" s="221"/>
      <c r="U9973" s="89"/>
      <c r="V9973" s="61" t="str">
        <f t="shared" si="6615"/>
        <v>02</v>
      </c>
      <c r="W9973" s="92" t="s">
        <v>112</v>
      </c>
      <c r="X9973" s="93" t="s">
        <v>31</v>
      </c>
      <c r="Y9973" s="93" t="s">
        <v>1656</v>
      </c>
      <c r="Z9973" s="134">
        <f>VLOOKUP(W9973,Sheet2!$B:$D,3,FALSE)</f>
        <v>13</v>
      </c>
      <c r="AA9973" s="93">
        <f>AA9969*2</f>
        <v>244.8</v>
      </c>
      <c r="AB9973" s="93">
        <f>AD9973/AC9968</f>
        <v>5.3104575163398698E-2</v>
      </c>
      <c r="AC9973" s="93">
        <f>AC9968/AA9973</f>
        <v>4.0849673202614381E-3</v>
      </c>
      <c r="AD9973" s="94">
        <f>AC9973*Z9973</f>
        <v>5.3104575163398698E-2</v>
      </c>
      <c r="AE9973" s="190"/>
      <c r="AF9973" s="191"/>
      <c r="AG9973" s="191"/>
      <c r="AH9973" s="191"/>
      <c r="AI9973" s="186"/>
      <c r="AK9973" s="171"/>
    </row>
    <row r="9974" spans="1:41" s="103" customFormat="1" ht="19.899999999999999" customHeight="1" x14ac:dyDescent="0.25">
      <c r="A9974" s="51"/>
      <c r="B9974" s="165"/>
      <c r="C9974" s="52"/>
      <c r="D9974" s="313"/>
      <c r="E9974" s="115"/>
      <c r="F9974" s="58"/>
      <c r="G9974" s="58"/>
      <c r="H9974" s="58"/>
      <c r="I9974" s="55"/>
      <c r="J9974" s="113">
        <f>J9965</f>
        <v>1</v>
      </c>
      <c r="K9974" s="315">
        <f>K9965</f>
        <v>1</v>
      </c>
      <c r="L9974" s="58"/>
      <c r="M9974" s="58">
        <f>K9974-L9974</f>
        <v>1</v>
      </c>
      <c r="N9974" s="166"/>
      <c r="O9974" s="58"/>
      <c r="P9974" s="58"/>
      <c r="Q9974" s="58"/>
      <c r="R9974" s="58"/>
      <c r="S9974" s="58"/>
      <c r="T9974" s="220"/>
      <c r="U9974" s="88">
        <f>IFERROR(S9974/L9974,0)</f>
        <v>0</v>
      </c>
      <c r="V9974" s="56" t="str">
        <f>V9965&amp;"03"</f>
        <v>03</v>
      </c>
      <c r="W9974" s="57" t="s">
        <v>1663</v>
      </c>
      <c r="X9974" s="53"/>
      <c r="Y9974" s="91" t="s">
        <v>66</v>
      </c>
      <c r="Z9974" s="136">
        <f>AD9974/AC9974</f>
        <v>0.7075555555555556</v>
      </c>
      <c r="AA9974" s="58"/>
      <c r="AB9974" s="53">
        <f>AD9974/AC9974</f>
        <v>0.7075555555555556</v>
      </c>
      <c r="AC9974" s="53">
        <f>M9974+$AE$10</f>
        <v>1</v>
      </c>
      <c r="AD9974" s="54">
        <f>SUM(AD9975:AD9976)</f>
        <v>0.7075555555555556</v>
      </c>
      <c r="AE9974" s="184">
        <f>SUMIFS($AD$44:$AD$4639,$V$44:$V$4639,$V9974,$X$44:$X$4639,AE$13)</f>
        <v>0</v>
      </c>
      <c r="AF9974" s="185">
        <f>SUMIFS($AD$44:$AD$4639,$V$44:$V$4639,$V9974,$X$44:$X$4639,AF$13)</f>
        <v>0</v>
      </c>
      <c r="AG9974" s="185">
        <f>SUMIFS($AD$44:$AD$4639,$V$44:$V$4639,$V9974,$X$44:$X$4639,AG$13)</f>
        <v>0</v>
      </c>
      <c r="AH9974" s="187">
        <f>SUMIFS($AD$44:$AD$4639,$V$44:$V$4639,$V9974,$X$44:$X$4639,AH$13)</f>
        <v>0</v>
      </c>
      <c r="AI9974" s="161">
        <f t="shared" ref="AI9974" si="6617">SUM(AE9974:AH9974)</f>
        <v>0</v>
      </c>
      <c r="AK9974" s="172"/>
    </row>
    <row r="9975" spans="1:41" s="102" customFormat="1" ht="19.899999999999999" customHeight="1" x14ac:dyDescent="0.25">
      <c r="A9975" s="45"/>
      <c r="B9975" s="137"/>
      <c r="C9975" s="59"/>
      <c r="D9975" s="314"/>
      <c r="E9975" s="116"/>
      <c r="F9975" s="120"/>
      <c r="G9975" s="120"/>
      <c r="H9975" s="120"/>
      <c r="I9975" s="60"/>
      <c r="J9975" s="116"/>
      <c r="K9975" s="120"/>
      <c r="L9975" s="120"/>
      <c r="M9975" s="120"/>
      <c r="N9975" s="167"/>
      <c r="O9975" s="120"/>
      <c r="P9975" s="120"/>
      <c r="Q9975" s="120"/>
      <c r="R9975" s="120"/>
      <c r="S9975" s="120"/>
      <c r="T9975" s="221"/>
      <c r="U9975" s="89"/>
      <c r="V9975" s="61" t="str">
        <f>V9974</f>
        <v>03</v>
      </c>
      <c r="W9975" s="92" t="s">
        <v>94</v>
      </c>
      <c r="X9975" s="93" t="s">
        <v>29</v>
      </c>
      <c r="Y9975" s="93" t="s">
        <v>1656</v>
      </c>
      <c r="Z9975" s="134">
        <f>VLOOKUP(W9975,Sheet2!$B:$D,3,FALSE)</f>
        <v>90.4</v>
      </c>
      <c r="AA9975" s="93">
        <f>600*0.3</f>
        <v>180</v>
      </c>
      <c r="AB9975" s="93">
        <f>AD9975/AC9974</f>
        <v>0.50222222222222224</v>
      </c>
      <c r="AC9975" s="93">
        <f>AC9974/AA9975</f>
        <v>5.5555555555555558E-3</v>
      </c>
      <c r="AD9975" s="94">
        <f>AC9975*Z9975</f>
        <v>0.50222222222222224</v>
      </c>
      <c r="AE9975" s="190"/>
      <c r="AF9975" s="191"/>
      <c r="AG9975" s="191"/>
      <c r="AH9975" s="191"/>
      <c r="AI9975" s="186"/>
      <c r="AK9975" s="171"/>
    </row>
    <row r="9976" spans="1:41" s="102" customFormat="1" ht="19.899999999999999" customHeight="1" x14ac:dyDescent="0.25">
      <c r="A9976" s="45"/>
      <c r="B9976" s="137"/>
      <c r="C9976" s="59"/>
      <c r="D9976" s="314"/>
      <c r="E9976" s="116"/>
      <c r="F9976" s="120"/>
      <c r="G9976" s="120"/>
      <c r="H9976" s="120"/>
      <c r="I9976" s="60"/>
      <c r="J9976" s="116"/>
      <c r="K9976" s="120"/>
      <c r="L9976" s="120"/>
      <c r="M9976" s="120"/>
      <c r="N9976" s="167"/>
      <c r="O9976" s="120"/>
      <c r="P9976" s="120"/>
      <c r="Q9976" s="120"/>
      <c r="R9976" s="120"/>
      <c r="S9976" s="120"/>
      <c r="T9976" s="221"/>
      <c r="U9976" s="89"/>
      <c r="V9976" s="61" t="str">
        <f>V9975</f>
        <v>03</v>
      </c>
      <c r="W9976" s="92" t="s">
        <v>65</v>
      </c>
      <c r="X9976" s="93" t="s">
        <v>30</v>
      </c>
      <c r="Y9976" s="93" t="s">
        <v>98</v>
      </c>
      <c r="Z9976" s="134">
        <f>VLOOKUP(W9976,Sheet2!$B:$D,3,FALSE)</f>
        <v>1.76</v>
      </c>
      <c r="AA9976" s="93">
        <f>AA9975/21</f>
        <v>8.5714285714285712</v>
      </c>
      <c r="AB9976" s="93">
        <f>AD9976/AC9974</f>
        <v>0.20533333333333334</v>
      </c>
      <c r="AC9976" s="93">
        <f>AC9974/AA9976</f>
        <v>0.11666666666666667</v>
      </c>
      <c r="AD9976" s="94">
        <f t="shared" ref="AD9976" si="6618">AC9976*Z9976</f>
        <v>0.20533333333333334</v>
      </c>
      <c r="AE9976" s="190"/>
      <c r="AF9976" s="191"/>
      <c r="AG9976" s="191"/>
      <c r="AH9976" s="191"/>
      <c r="AI9976" s="186"/>
      <c r="AK9976" s="171"/>
    </row>
    <row r="9977" spans="1:41" s="103" customFormat="1" ht="19.899999999999999" customHeight="1" x14ac:dyDescent="0.25">
      <c r="A9977" s="51"/>
      <c r="B9977" s="165"/>
      <c r="C9977" s="52"/>
      <c r="D9977" s="313"/>
      <c r="E9977" s="115"/>
      <c r="F9977" s="58"/>
      <c r="G9977" s="58"/>
      <c r="H9977" s="58"/>
      <c r="I9977" s="55"/>
      <c r="J9977" s="113">
        <f>J9965</f>
        <v>1</v>
      </c>
      <c r="K9977" s="315">
        <f>K9965</f>
        <v>1</v>
      </c>
      <c r="L9977" s="58"/>
      <c r="M9977" s="58">
        <f>K9977-L9977</f>
        <v>1</v>
      </c>
      <c r="N9977" s="166"/>
      <c r="O9977" s="58"/>
      <c r="P9977" s="58"/>
      <c r="Q9977" s="58"/>
      <c r="R9977" s="58"/>
      <c r="S9977" s="58"/>
      <c r="T9977" s="220"/>
      <c r="U9977" s="88">
        <f>IFERROR(S9977/L9977,0)</f>
        <v>0</v>
      </c>
      <c r="V9977" s="56" t="str">
        <f>V9965&amp;"04"</f>
        <v>04</v>
      </c>
      <c r="W9977" s="57" t="s">
        <v>1664</v>
      </c>
      <c r="X9977" s="53"/>
      <c r="Y9977" s="91" t="s">
        <v>66</v>
      </c>
      <c r="Z9977" s="136">
        <f>AD9977/AC9977</f>
        <v>1.8525000000000003</v>
      </c>
      <c r="AA9977" s="58"/>
      <c r="AB9977" s="53">
        <f>AD9977/AC9977</f>
        <v>1.8525000000000003</v>
      </c>
      <c r="AC9977" s="53">
        <f>M9977+$AE$10</f>
        <v>1</v>
      </c>
      <c r="AD9977" s="54">
        <f>SUM(AD9978:AD9983)</f>
        <v>1.8525000000000003</v>
      </c>
      <c r="AE9977" s="184">
        <f>SUMIFS($AD$44:$AD$4639,$V$44:$V$4639,$V9977,$X$44:$X$4639,AE$13)</f>
        <v>0</v>
      </c>
      <c r="AF9977" s="185">
        <f>SUMIFS($AD$44:$AD$4639,$V$44:$V$4639,$V9977,$X$44:$X$4639,AF$13)</f>
        <v>0</v>
      </c>
      <c r="AG9977" s="185">
        <f>SUMIFS($AD$44:$AD$4639,$V$44:$V$4639,$V9977,$X$44:$X$4639,AG$13)</f>
        <v>0</v>
      </c>
      <c r="AH9977" s="187">
        <f>SUMIFS($AD$44:$AD$4639,$V$44:$V$4639,$V9977,$X$44:$X$4639,AH$13)</f>
        <v>0</v>
      </c>
      <c r="AI9977" s="161">
        <f t="shared" ref="AI9977" si="6619">SUM(AE9977:AH9977)</f>
        <v>0</v>
      </c>
      <c r="AK9977" s="172"/>
    </row>
    <row r="9978" spans="1:41" s="102" customFormat="1" ht="19.899999999999999" customHeight="1" x14ac:dyDescent="0.25">
      <c r="A9978" s="45"/>
      <c r="B9978" s="137"/>
      <c r="C9978" s="59"/>
      <c r="D9978" s="314"/>
      <c r="E9978" s="116"/>
      <c r="F9978" s="120"/>
      <c r="G9978" s="120"/>
      <c r="H9978" s="120"/>
      <c r="I9978" s="60"/>
      <c r="J9978" s="116"/>
      <c r="K9978" s="120"/>
      <c r="L9978" s="120"/>
      <c r="M9978" s="120"/>
      <c r="N9978" s="167"/>
      <c r="O9978" s="120"/>
      <c r="P9978" s="120"/>
      <c r="Q9978" s="120"/>
      <c r="R9978" s="120"/>
      <c r="S9978" s="120"/>
      <c r="T9978" s="221"/>
      <c r="U9978" s="89"/>
      <c r="V9978" s="61" t="str">
        <f>V9977</f>
        <v>04</v>
      </c>
      <c r="W9978" s="92" t="s">
        <v>145</v>
      </c>
      <c r="X9978" s="93" t="s">
        <v>29</v>
      </c>
      <c r="Y9978" s="93" t="s">
        <v>1656</v>
      </c>
      <c r="Z9978" s="134">
        <f>VLOOKUP(W9978,Sheet2!$B:$D,3,FALSE)</f>
        <v>40</v>
      </c>
      <c r="AA9978" s="93">
        <v>80</v>
      </c>
      <c r="AB9978" s="93">
        <f>AD9978/AC9977</f>
        <v>0.5</v>
      </c>
      <c r="AC9978" s="93">
        <f>AC9977/AA9978</f>
        <v>1.2500000000000001E-2</v>
      </c>
      <c r="AD9978" s="94">
        <f>AC9978*Z9978</f>
        <v>0.5</v>
      </c>
      <c r="AE9978" s="190"/>
      <c r="AF9978" s="191"/>
      <c r="AG9978" s="191"/>
      <c r="AH9978" s="191"/>
      <c r="AI9978" s="186"/>
      <c r="AK9978" s="171"/>
    </row>
    <row r="9979" spans="1:41" s="102" customFormat="1" ht="19.899999999999999" customHeight="1" x14ac:dyDescent="0.25">
      <c r="A9979" s="45"/>
      <c r="B9979" s="137"/>
      <c r="C9979" s="59"/>
      <c r="D9979" s="314"/>
      <c r="E9979" s="116"/>
      <c r="F9979" s="120"/>
      <c r="G9979" s="120"/>
      <c r="H9979" s="120"/>
      <c r="I9979" s="60"/>
      <c r="J9979" s="116"/>
      <c r="K9979" s="120"/>
      <c r="L9979" s="120"/>
      <c r="M9979" s="120"/>
      <c r="N9979" s="167"/>
      <c r="O9979" s="120"/>
      <c r="P9979" s="120"/>
      <c r="Q9979" s="120"/>
      <c r="R9979" s="120"/>
      <c r="S9979" s="120"/>
      <c r="T9979" s="221"/>
      <c r="U9979" s="89"/>
      <c r="V9979" s="61" t="str">
        <f t="shared" ref="V9979:V9983" si="6620">V9978</f>
        <v>04</v>
      </c>
      <c r="W9979" s="92" t="s">
        <v>65</v>
      </c>
      <c r="X9979" s="93" t="s">
        <v>30</v>
      </c>
      <c r="Y9979" s="93" t="s">
        <v>98</v>
      </c>
      <c r="Z9979" s="134">
        <f>VLOOKUP(W9979,Sheet2!$B:$D,3,FALSE)</f>
        <v>1.76</v>
      </c>
      <c r="AA9979" s="93">
        <f>AA9978/14</f>
        <v>5.7142857142857144</v>
      </c>
      <c r="AB9979" s="93">
        <f>AD9979/AC9977</f>
        <v>0.308</v>
      </c>
      <c r="AC9979" s="93">
        <f>AC9977/AA9979</f>
        <v>0.17499999999999999</v>
      </c>
      <c r="AD9979" s="94">
        <f>AC9979*Z9979</f>
        <v>0.308</v>
      </c>
      <c r="AE9979" s="190"/>
      <c r="AF9979" s="191"/>
      <c r="AG9979" s="191"/>
      <c r="AH9979" s="191"/>
      <c r="AI9979" s="186"/>
      <c r="AK9979" s="171"/>
    </row>
    <row r="9980" spans="1:41" s="102" customFormat="1" ht="19.899999999999999" customHeight="1" x14ac:dyDescent="0.25">
      <c r="A9980" s="45"/>
      <c r="B9980" s="137"/>
      <c r="C9980" s="59"/>
      <c r="D9980" s="314"/>
      <c r="E9980" s="116"/>
      <c r="F9980" s="120"/>
      <c r="G9980" s="120"/>
      <c r="H9980" s="120"/>
      <c r="I9980" s="60"/>
      <c r="J9980" s="116"/>
      <c r="K9980" s="120"/>
      <c r="L9980" s="120"/>
      <c r="M9980" s="120"/>
      <c r="N9980" s="167"/>
      <c r="O9980" s="120"/>
      <c r="P9980" s="120"/>
      <c r="Q9980" s="120"/>
      <c r="R9980" s="120"/>
      <c r="S9980" s="120"/>
      <c r="T9980" s="221"/>
      <c r="U9980" s="89"/>
      <c r="V9980" s="61" t="str">
        <f t="shared" si="6620"/>
        <v>04</v>
      </c>
      <c r="W9980" s="92" t="s">
        <v>135</v>
      </c>
      <c r="X9980" s="93" t="s">
        <v>29</v>
      </c>
      <c r="Y9980" s="93" t="s">
        <v>1656</v>
      </c>
      <c r="Z9980" s="134">
        <f>VLOOKUP(W9980,Sheet2!$B:$D,3,FALSE)</f>
        <v>52</v>
      </c>
      <c r="AA9980" s="93">
        <f>AA9978</f>
        <v>80</v>
      </c>
      <c r="AB9980" s="93">
        <f>AD9980/AC9977</f>
        <v>0.65</v>
      </c>
      <c r="AC9980" s="93">
        <f>AC9977/AA9980</f>
        <v>1.2500000000000001E-2</v>
      </c>
      <c r="AD9980" s="94">
        <f>AC9980*Z9980</f>
        <v>0.65</v>
      </c>
      <c r="AE9980" s="190"/>
      <c r="AF9980" s="191"/>
      <c r="AG9980" s="191"/>
      <c r="AH9980" s="191"/>
      <c r="AI9980" s="186"/>
      <c r="AK9980" s="171"/>
    </row>
    <row r="9981" spans="1:41" s="102" customFormat="1" ht="19.899999999999999" customHeight="1" x14ac:dyDescent="0.25">
      <c r="A9981" s="45"/>
      <c r="B9981" s="137"/>
      <c r="C9981" s="59"/>
      <c r="D9981" s="314"/>
      <c r="E9981" s="116"/>
      <c r="F9981" s="120"/>
      <c r="G9981" s="120"/>
      <c r="H9981" s="120"/>
      <c r="I9981" s="60"/>
      <c r="J9981" s="116"/>
      <c r="K9981" s="120"/>
      <c r="L9981" s="120"/>
      <c r="M9981" s="120"/>
      <c r="N9981" s="167"/>
      <c r="O9981" s="120"/>
      <c r="P9981" s="120"/>
      <c r="Q9981" s="120"/>
      <c r="R9981" s="120"/>
      <c r="S9981" s="120"/>
      <c r="T9981" s="221"/>
      <c r="U9981" s="89"/>
      <c r="V9981" s="61" t="str">
        <f t="shared" si="6620"/>
        <v>04</v>
      </c>
      <c r="W9981" s="92" t="s">
        <v>65</v>
      </c>
      <c r="X9981" s="93" t="s">
        <v>30</v>
      </c>
      <c r="Y9981" s="93" t="s">
        <v>98</v>
      </c>
      <c r="Z9981" s="134">
        <f>VLOOKUP(W9981,Sheet2!$B:$D,3,FALSE)</f>
        <v>1.76</v>
      </c>
      <c r="AA9981" s="93">
        <f>AA9980/8</f>
        <v>10</v>
      </c>
      <c r="AB9981" s="93">
        <f>AD9981/AC9977</f>
        <v>0.17600000000000002</v>
      </c>
      <c r="AC9981" s="93">
        <f>AC9977/AA9981</f>
        <v>0.1</v>
      </c>
      <c r="AD9981" s="94">
        <f t="shared" ref="AD9981:AD9982" si="6621">AC9981*Z9981</f>
        <v>0.17600000000000002</v>
      </c>
      <c r="AE9981" s="190"/>
      <c r="AF9981" s="191"/>
      <c r="AG9981" s="191"/>
      <c r="AH9981" s="191"/>
      <c r="AI9981" s="186"/>
      <c r="AK9981" s="171"/>
    </row>
    <row r="9982" spans="1:41" s="102" customFormat="1" ht="19.899999999999999" customHeight="1" x14ac:dyDescent="0.25">
      <c r="A9982" s="45"/>
      <c r="B9982" s="137"/>
      <c r="C9982" s="59"/>
      <c r="D9982" s="314"/>
      <c r="E9982" s="116"/>
      <c r="F9982" s="120"/>
      <c r="G9982" s="120"/>
      <c r="H9982" s="120"/>
      <c r="I9982" s="60"/>
      <c r="J9982" s="116"/>
      <c r="K9982" s="120"/>
      <c r="L9982" s="120"/>
      <c r="M9982" s="120"/>
      <c r="N9982" s="167"/>
      <c r="O9982" s="120"/>
      <c r="P9982" s="120"/>
      <c r="Q9982" s="120"/>
      <c r="R9982" s="120"/>
      <c r="S9982" s="120"/>
      <c r="T9982" s="221"/>
      <c r="U9982" s="89"/>
      <c r="V9982" s="61" t="str">
        <f t="shared" si="6620"/>
        <v>04</v>
      </c>
      <c r="W9982" s="92" t="s">
        <v>156</v>
      </c>
      <c r="X9982" s="93" t="s">
        <v>30</v>
      </c>
      <c r="Y9982" s="93" t="s">
        <v>66</v>
      </c>
      <c r="Z9982" s="134">
        <f>VLOOKUP(W9982,Sheet2!$B:$D,3,FALSE)</f>
        <v>2.8</v>
      </c>
      <c r="AA9982" s="93">
        <v>50</v>
      </c>
      <c r="AB9982" s="93">
        <f>AD9982/AC9977</f>
        <v>5.5999999999999994E-2</v>
      </c>
      <c r="AC9982" s="93">
        <f>AC9977/AA9982</f>
        <v>0.02</v>
      </c>
      <c r="AD9982" s="94">
        <f t="shared" si="6621"/>
        <v>5.5999999999999994E-2</v>
      </c>
      <c r="AE9982" s="190"/>
      <c r="AF9982" s="191"/>
      <c r="AG9982" s="191"/>
      <c r="AH9982" s="191"/>
      <c r="AI9982" s="186"/>
      <c r="AK9982" s="171"/>
    </row>
    <row r="9983" spans="1:41" s="102" customFormat="1" ht="19.899999999999999" customHeight="1" x14ac:dyDescent="0.25">
      <c r="A9983" s="45"/>
      <c r="B9983" s="137"/>
      <c r="C9983" s="59"/>
      <c r="D9983" s="314"/>
      <c r="E9983" s="116"/>
      <c r="F9983" s="120"/>
      <c r="G9983" s="120"/>
      <c r="H9983" s="120"/>
      <c r="I9983" s="60"/>
      <c r="J9983" s="116"/>
      <c r="K9983" s="120"/>
      <c r="L9983" s="120"/>
      <c r="M9983" s="120"/>
      <c r="N9983" s="167"/>
      <c r="O9983" s="120"/>
      <c r="P9983" s="120"/>
      <c r="Q9983" s="120"/>
      <c r="R9983" s="120"/>
      <c r="S9983" s="120"/>
      <c r="T9983" s="221"/>
      <c r="U9983" s="89"/>
      <c r="V9983" s="61" t="str">
        <f t="shared" si="6620"/>
        <v>04</v>
      </c>
      <c r="W9983" s="92" t="s">
        <v>112</v>
      </c>
      <c r="X9983" s="93" t="s">
        <v>31</v>
      </c>
      <c r="Y9983" s="93" t="s">
        <v>1656</v>
      </c>
      <c r="Z9983" s="134">
        <f>VLOOKUP(W9983,Sheet2!$B:$D,3,FALSE)</f>
        <v>13</v>
      </c>
      <c r="AA9983" s="93">
        <f>AA9978</f>
        <v>80</v>
      </c>
      <c r="AB9983" s="93">
        <f>AD9983/AC9977</f>
        <v>0.16250000000000001</v>
      </c>
      <c r="AC9983" s="93">
        <f>AC9977/AA9983</f>
        <v>1.2500000000000001E-2</v>
      </c>
      <c r="AD9983" s="94">
        <f>AC9983*Z9983</f>
        <v>0.16250000000000001</v>
      </c>
      <c r="AE9983" s="190"/>
      <c r="AF9983" s="191"/>
      <c r="AG9983" s="191"/>
      <c r="AH9983" s="191"/>
      <c r="AI9983" s="186"/>
      <c r="AK9983" s="171"/>
    </row>
    <row r="9984" spans="1:41" ht="20.100000000000001" customHeight="1" x14ac:dyDescent="0.25">
      <c r="A9984" s="277" t="s">
        <v>945</v>
      </c>
      <c r="B9984" s="278"/>
      <c r="C9984" s="64" t="s">
        <v>951</v>
      </c>
      <c r="D9984" s="46" t="s">
        <v>201</v>
      </c>
      <c r="E9984" s="114">
        <v>24</v>
      </c>
      <c r="F9984" s="44">
        <v>172</v>
      </c>
      <c r="G9984" s="44">
        <f t="shared" si="3841"/>
        <v>4128</v>
      </c>
      <c r="H9984" s="44">
        <f t="shared" si="3842"/>
        <v>120</v>
      </c>
      <c r="I9984" s="43">
        <f t="shared" si="3843"/>
        <v>2880</v>
      </c>
      <c r="J9984" s="112">
        <f t="shared" si="3844"/>
        <v>24</v>
      </c>
      <c r="K9984" s="211">
        <f t="shared" si="3845"/>
        <v>24</v>
      </c>
      <c r="L9984" s="44"/>
      <c r="M9984" s="44">
        <f t="shared" si="3846"/>
        <v>24</v>
      </c>
      <c r="N9984" s="173">
        <f t="shared" si="3847"/>
        <v>1</v>
      </c>
      <c r="O9984" s="44">
        <f t="shared" si="3848"/>
        <v>172</v>
      </c>
      <c r="P9984" s="44">
        <f t="shared" si="3849"/>
        <v>4128</v>
      </c>
      <c r="Q9984" s="44">
        <f t="shared" si="3850"/>
        <v>120</v>
      </c>
      <c r="R9984" s="44">
        <f t="shared" si="3851"/>
        <v>2880</v>
      </c>
      <c r="S9984" s="123"/>
      <c r="T9984" s="219">
        <f t="shared" si="3852"/>
        <v>2880</v>
      </c>
      <c r="U9984" s="87"/>
      <c r="V9984" s="47"/>
      <c r="W9984" s="48"/>
      <c r="X9984" s="48"/>
      <c r="Y9984" s="48"/>
      <c r="Z9984" s="135"/>
      <c r="AA9984" s="49"/>
      <c r="AB9984" s="50">
        <f t="shared" si="3853"/>
        <v>120</v>
      </c>
      <c r="AC9984" s="42">
        <f t="shared" si="3854"/>
        <v>24</v>
      </c>
      <c r="AD9984" s="90">
        <f>AD9985</f>
        <v>2880</v>
      </c>
      <c r="AE9984" s="188">
        <f t="shared" ref="AE9984:AH9984" si="6622">AE9985</f>
        <v>0</v>
      </c>
      <c r="AF9984" s="189">
        <f t="shared" si="6622"/>
        <v>0</v>
      </c>
      <c r="AG9984" s="189">
        <f t="shared" si="6622"/>
        <v>0</v>
      </c>
      <c r="AH9984" s="189">
        <f t="shared" si="6622"/>
        <v>0</v>
      </c>
      <c r="AI9984" s="161">
        <f t="shared" ref="AI9984" si="6623">SUM(AE9984:AH9984)</f>
        <v>0</v>
      </c>
      <c r="AK9984" s="169">
        <v>5</v>
      </c>
      <c r="AO9984" s="19" t="s">
        <v>63</v>
      </c>
    </row>
    <row r="9985" spans="1:41" s="103" customFormat="1" ht="19.899999999999999" customHeight="1" x14ac:dyDescent="0.25">
      <c r="A9985" s="51"/>
      <c r="B9985" s="165"/>
      <c r="C9985" s="52"/>
      <c r="D9985" s="313"/>
      <c r="E9985" s="115"/>
      <c r="F9985" s="58"/>
      <c r="G9985" s="58"/>
      <c r="H9985" s="58"/>
      <c r="I9985" s="55"/>
      <c r="J9985" s="113">
        <f>J9984</f>
        <v>24</v>
      </c>
      <c r="K9985" s="212">
        <f>K9984</f>
        <v>24</v>
      </c>
      <c r="L9985" s="58"/>
      <c r="M9985" s="58">
        <f>K9985-L9985</f>
        <v>24</v>
      </c>
      <c r="N9985" s="166"/>
      <c r="O9985" s="58"/>
      <c r="P9985" s="58"/>
      <c r="Q9985" s="58"/>
      <c r="R9985" s="58"/>
      <c r="S9985" s="58"/>
      <c r="T9985" s="220"/>
      <c r="U9985" s="88">
        <f>IFERROR(S9985/L9985,0)</f>
        <v>0</v>
      </c>
      <c r="V9985" s="56" t="str">
        <f>V9984&amp;"01"</f>
        <v>01</v>
      </c>
      <c r="W9985" s="57" t="s">
        <v>1666</v>
      </c>
      <c r="X9985" s="53"/>
      <c r="Y9985" s="91" t="s">
        <v>66</v>
      </c>
      <c r="Z9985" s="136">
        <f>AD9985/AC9985</f>
        <v>120</v>
      </c>
      <c r="AA9985" s="58"/>
      <c r="AB9985" s="53">
        <f>AD9985/AC9985</f>
        <v>120</v>
      </c>
      <c r="AC9985" s="53">
        <f>M9985+$AE$10</f>
        <v>24</v>
      </c>
      <c r="AD9985" s="54">
        <f>SUM(AD9986:AD9986)</f>
        <v>2880</v>
      </c>
      <c r="AE9985" s="184">
        <f>SUMIFS($AD$44:$AD$4639,$V$44:$V$4639,$V9985,$X$44:$X$4639,AE$13)</f>
        <v>0</v>
      </c>
      <c r="AF9985" s="185">
        <f>SUMIFS($AD$44:$AD$4639,$V$44:$V$4639,$V9985,$X$44:$X$4639,AF$13)</f>
        <v>0</v>
      </c>
      <c r="AG9985" s="185">
        <f>SUMIFS($AD$44:$AD$4639,$V$44:$V$4639,$V9985,$X$44:$X$4639,AG$13)</f>
        <v>0</v>
      </c>
      <c r="AH9985" s="187">
        <f>SUMIFS($AD$44:$AD$4639,$V$44:$V$4639,$V9985,$X$44:$X$4639,AH$13)</f>
        <v>0</v>
      </c>
      <c r="AI9985" s="161">
        <f t="shared" ref="AI9985" si="6624">SUM(AE9985:AH9985)</f>
        <v>0</v>
      </c>
      <c r="AK9985" s="172"/>
    </row>
    <row r="9986" spans="1:41" s="102" customFormat="1" ht="19.899999999999999" customHeight="1" x14ac:dyDescent="0.25">
      <c r="A9986" s="45"/>
      <c r="B9986" s="137"/>
      <c r="C9986" s="59"/>
      <c r="D9986" s="314"/>
      <c r="E9986" s="116"/>
      <c r="F9986" s="120"/>
      <c r="G9986" s="120"/>
      <c r="H9986" s="120"/>
      <c r="I9986" s="60"/>
      <c r="J9986" s="116"/>
      <c r="K9986" s="213"/>
      <c r="L9986" s="120"/>
      <c r="M9986" s="120"/>
      <c r="N9986" s="167"/>
      <c r="O9986" s="120"/>
      <c r="P9986" s="120"/>
      <c r="Q9986" s="120"/>
      <c r="R9986" s="120"/>
      <c r="S9986" s="120"/>
      <c r="T9986" s="221"/>
      <c r="U9986" s="89"/>
      <c r="V9986" s="61" t="str">
        <f>V9985</f>
        <v>01</v>
      </c>
      <c r="W9986" s="92" t="s">
        <v>1666</v>
      </c>
      <c r="X9986" s="93" t="s">
        <v>32</v>
      </c>
      <c r="Y9986" s="93" t="s">
        <v>66</v>
      </c>
      <c r="Z9986" s="134">
        <v>120</v>
      </c>
      <c r="AA9986" s="93">
        <v>1</v>
      </c>
      <c r="AB9986" s="93">
        <f>AD9986/AC9985</f>
        <v>120</v>
      </c>
      <c r="AC9986" s="93">
        <f>AC9985/AA9986</f>
        <v>24</v>
      </c>
      <c r="AD9986" s="94">
        <f t="shared" ref="AD9986" si="6625">AC9986*Z9986</f>
        <v>2880</v>
      </c>
      <c r="AE9986" s="190"/>
      <c r="AF9986" s="191"/>
      <c r="AG9986" s="191"/>
      <c r="AH9986" s="191"/>
      <c r="AI9986" s="186"/>
      <c r="AK9986" s="171"/>
    </row>
    <row r="9987" spans="1:41" ht="20.100000000000001" customHeight="1" x14ac:dyDescent="0.25">
      <c r="A9987" s="277" t="s">
        <v>945</v>
      </c>
      <c r="B9987" s="278"/>
      <c r="C9987" s="64" t="s">
        <v>951</v>
      </c>
      <c r="D9987" s="46" t="s">
        <v>201</v>
      </c>
      <c r="E9987" s="114">
        <v>9380.2999999999993</v>
      </c>
      <c r="F9987" s="44">
        <v>174</v>
      </c>
      <c r="G9987" s="44">
        <f t="shared" si="3841"/>
        <v>1632172.2</v>
      </c>
      <c r="H9987" s="44">
        <f t="shared" si="3842"/>
        <v>120.00000000000001</v>
      </c>
      <c r="I9987" s="43">
        <f t="shared" si="3843"/>
        <v>1125636</v>
      </c>
      <c r="J9987" s="112">
        <f t="shared" si="3844"/>
        <v>9380.2999999999993</v>
      </c>
      <c r="K9987" s="211">
        <f t="shared" si="3845"/>
        <v>9380.2999999999993</v>
      </c>
      <c r="L9987" s="44"/>
      <c r="M9987" s="44">
        <f t="shared" si="3846"/>
        <v>9380.2999999999993</v>
      </c>
      <c r="N9987" s="173">
        <f t="shared" si="3847"/>
        <v>1</v>
      </c>
      <c r="O9987" s="44">
        <f t="shared" si="3848"/>
        <v>174</v>
      </c>
      <c r="P9987" s="44">
        <f t="shared" si="3849"/>
        <v>1632172.2</v>
      </c>
      <c r="Q9987" s="44">
        <f t="shared" si="3850"/>
        <v>120.00000000000001</v>
      </c>
      <c r="R9987" s="44">
        <f t="shared" si="3851"/>
        <v>1125636</v>
      </c>
      <c r="S9987" s="123"/>
      <c r="T9987" s="219">
        <f t="shared" si="3852"/>
        <v>1125636</v>
      </c>
      <c r="U9987" s="87"/>
      <c r="V9987" s="47"/>
      <c r="W9987" s="48"/>
      <c r="X9987" s="48"/>
      <c r="Y9987" s="48"/>
      <c r="Z9987" s="135"/>
      <c r="AA9987" s="49"/>
      <c r="AB9987" s="50">
        <f t="shared" si="3853"/>
        <v>120.00000000000001</v>
      </c>
      <c r="AC9987" s="42">
        <f t="shared" si="3854"/>
        <v>9380.2999999999993</v>
      </c>
      <c r="AD9987" s="90">
        <f t="shared" ref="AD9987:AH9987" si="6626">AD9988</f>
        <v>1125636</v>
      </c>
      <c r="AE9987" s="90">
        <f t="shared" si="6626"/>
        <v>0</v>
      </c>
      <c r="AF9987" s="90">
        <f t="shared" si="6626"/>
        <v>0</v>
      </c>
      <c r="AG9987" s="90">
        <f t="shared" si="6626"/>
        <v>0</v>
      </c>
      <c r="AH9987" s="90">
        <f t="shared" si="6626"/>
        <v>0</v>
      </c>
      <c r="AI9987" s="161">
        <f t="shared" ref="AI9987" si="6627">SUM(AE9987:AH9987)</f>
        <v>0</v>
      </c>
      <c r="AK9987" s="169">
        <v>5</v>
      </c>
      <c r="AO9987" s="19" t="s">
        <v>63</v>
      </c>
    </row>
    <row r="9988" spans="1:41" s="103" customFormat="1" ht="19.899999999999999" customHeight="1" x14ac:dyDescent="0.25">
      <c r="A9988" s="51"/>
      <c r="B9988" s="165"/>
      <c r="C9988" s="52"/>
      <c r="D9988" s="313"/>
      <c r="E9988" s="115"/>
      <c r="F9988" s="58"/>
      <c r="G9988" s="58"/>
      <c r="H9988" s="58"/>
      <c r="I9988" s="55"/>
      <c r="J9988" s="113">
        <f>J9987</f>
        <v>9380.2999999999993</v>
      </c>
      <c r="K9988" s="212">
        <f>K9987</f>
        <v>9380.2999999999993</v>
      </c>
      <c r="L9988" s="58"/>
      <c r="M9988" s="58">
        <f>K9988-L9988</f>
        <v>9380.2999999999993</v>
      </c>
      <c r="N9988" s="166"/>
      <c r="O9988" s="58"/>
      <c r="P9988" s="58"/>
      <c r="Q9988" s="58"/>
      <c r="R9988" s="58"/>
      <c r="S9988" s="58"/>
      <c r="T9988" s="220"/>
      <c r="U9988" s="88">
        <f>IFERROR(S9988/L9988,0)</f>
        <v>0</v>
      </c>
      <c r="V9988" s="56" t="str">
        <f>V9987&amp;"01"</f>
        <v>01</v>
      </c>
      <c r="W9988" s="57" t="s">
        <v>1666</v>
      </c>
      <c r="X9988" s="53"/>
      <c r="Y9988" s="91" t="s">
        <v>66</v>
      </c>
      <c r="Z9988" s="136">
        <f>AD9988/AC9988</f>
        <v>120.00000000000001</v>
      </c>
      <c r="AA9988" s="58"/>
      <c r="AB9988" s="53">
        <f>AD9988/AC9988</f>
        <v>120.00000000000001</v>
      </c>
      <c r="AC9988" s="53">
        <f>M9988+$AE$10</f>
        <v>9380.2999999999993</v>
      </c>
      <c r="AD9988" s="54">
        <f>SUM(AD9989:AD9989)</f>
        <v>1125636</v>
      </c>
      <c r="AE9988" s="184">
        <f>SUMIFS($AD$44:$AD$4639,$V$44:$V$4639,$V9988,$X$44:$X$4639,AE$13)</f>
        <v>0</v>
      </c>
      <c r="AF9988" s="185">
        <f>SUMIFS($AD$44:$AD$4639,$V$44:$V$4639,$V9988,$X$44:$X$4639,AF$13)</f>
        <v>0</v>
      </c>
      <c r="AG9988" s="185">
        <f>SUMIFS($AD$44:$AD$4639,$V$44:$V$4639,$V9988,$X$44:$X$4639,AG$13)</f>
        <v>0</v>
      </c>
      <c r="AH9988" s="187">
        <f>SUMIFS($AD$44:$AD$4639,$V$44:$V$4639,$V9988,$X$44:$X$4639,AH$13)</f>
        <v>0</v>
      </c>
      <c r="AI9988" s="161">
        <f t="shared" ref="AI9988" si="6628">SUM(AE9988:AH9988)</f>
        <v>0</v>
      </c>
      <c r="AK9988" s="172"/>
    </row>
    <row r="9989" spans="1:41" s="102" customFormat="1" ht="19.899999999999999" customHeight="1" x14ac:dyDescent="0.25">
      <c r="A9989" s="45"/>
      <c r="B9989" s="137"/>
      <c r="C9989" s="59"/>
      <c r="D9989" s="314"/>
      <c r="E9989" s="116"/>
      <c r="F9989" s="120"/>
      <c r="G9989" s="120"/>
      <c r="H9989" s="120"/>
      <c r="I9989" s="60"/>
      <c r="J9989" s="116"/>
      <c r="K9989" s="213"/>
      <c r="L9989" s="120"/>
      <c r="M9989" s="120"/>
      <c r="N9989" s="167"/>
      <c r="O9989" s="120"/>
      <c r="P9989" s="120"/>
      <c r="Q9989" s="120"/>
      <c r="R9989" s="120"/>
      <c r="S9989" s="120"/>
      <c r="T9989" s="221"/>
      <c r="U9989" s="89"/>
      <c r="V9989" s="61" t="str">
        <f>V9988</f>
        <v>01</v>
      </c>
      <c r="W9989" s="92" t="s">
        <v>1666</v>
      </c>
      <c r="X9989" s="93" t="s">
        <v>32</v>
      </c>
      <c r="Y9989" s="93" t="s">
        <v>66</v>
      </c>
      <c r="Z9989" s="134">
        <v>120</v>
      </c>
      <c r="AA9989" s="93">
        <v>1</v>
      </c>
      <c r="AB9989" s="93">
        <f>AD9989/AC9988</f>
        <v>120.00000000000001</v>
      </c>
      <c r="AC9989" s="93">
        <f>AC9988/AA9989</f>
        <v>9380.2999999999993</v>
      </c>
      <c r="AD9989" s="94">
        <f t="shared" ref="AD9989" si="6629">AC9989*Z9989</f>
        <v>1125636</v>
      </c>
      <c r="AE9989" s="190"/>
      <c r="AF9989" s="191"/>
      <c r="AG9989" s="191"/>
      <c r="AH9989" s="191"/>
      <c r="AI9989" s="186"/>
      <c r="AK9989" s="171"/>
    </row>
    <row r="9990" spans="1:41" ht="25.5" x14ac:dyDescent="0.25">
      <c r="A9990" s="277" t="s">
        <v>945</v>
      </c>
      <c r="B9990" s="278"/>
      <c r="C9990" s="64" t="s">
        <v>952</v>
      </c>
      <c r="D9990" s="46" t="s">
        <v>196</v>
      </c>
      <c r="E9990" s="114">
        <v>57843.087</v>
      </c>
      <c r="F9990" s="44">
        <v>48</v>
      </c>
      <c r="G9990" s="44">
        <f t="shared" si="3841"/>
        <v>2776468.176</v>
      </c>
      <c r="H9990" s="44">
        <f t="shared" si="3842"/>
        <v>24.055383333333332</v>
      </c>
      <c r="I9990" s="43">
        <f t="shared" si="3843"/>
        <v>1391437.63096835</v>
      </c>
      <c r="J9990" s="112">
        <f t="shared" si="3844"/>
        <v>57843.087</v>
      </c>
      <c r="K9990" s="211">
        <f t="shared" si="3845"/>
        <v>57843.087</v>
      </c>
      <c r="L9990" s="44"/>
      <c r="M9990" s="44">
        <f t="shared" si="3846"/>
        <v>57843.087</v>
      </c>
      <c r="N9990" s="173">
        <f t="shared" si="3847"/>
        <v>1</v>
      </c>
      <c r="O9990" s="44">
        <f t="shared" si="3848"/>
        <v>48</v>
      </c>
      <c r="P9990" s="44">
        <f t="shared" si="3849"/>
        <v>2776468.176</v>
      </c>
      <c r="Q9990" s="44">
        <f t="shared" si="3850"/>
        <v>24.055383333333332</v>
      </c>
      <c r="R9990" s="44">
        <f t="shared" si="3851"/>
        <v>1391437.63096835</v>
      </c>
      <c r="S9990" s="123"/>
      <c r="T9990" s="219">
        <f t="shared" si="3852"/>
        <v>1391437.63096835</v>
      </c>
      <c r="U9990" s="87"/>
      <c r="V9990" s="47"/>
      <c r="W9990" s="48"/>
      <c r="X9990" s="48"/>
      <c r="Y9990" s="48"/>
      <c r="Z9990" s="135"/>
      <c r="AA9990" s="49"/>
      <c r="AB9990" s="50">
        <f t="shared" si="3853"/>
        <v>24.055383333333332</v>
      </c>
      <c r="AC9990" s="42">
        <f t="shared" si="3854"/>
        <v>57843.087</v>
      </c>
      <c r="AD9990" s="90">
        <f>AD9991+AD9993+AD10000+AD10003</f>
        <v>1391437.63096835</v>
      </c>
      <c r="AE9990" s="188">
        <f>AE9991+AE9993+AE10000+AE10003</f>
        <v>0</v>
      </c>
      <c r="AF9990" s="189">
        <f>AF9991+AF9993+AF10000+AF10003</f>
        <v>0</v>
      </c>
      <c r="AG9990" s="189">
        <f>AG9991+AG9993+AG10000+AG10003</f>
        <v>0</v>
      </c>
      <c r="AH9990" s="189">
        <f>AH9991+AH9993+AH10000+AH10003</f>
        <v>0</v>
      </c>
      <c r="AI9990" s="161">
        <f t="shared" ref="AI9990" si="6630">SUM(AE9990:AH9990)</f>
        <v>0</v>
      </c>
      <c r="AK9990" s="169">
        <v>5</v>
      </c>
      <c r="AO9990" s="19" t="s">
        <v>63</v>
      </c>
    </row>
    <row r="9991" spans="1:41" s="103" customFormat="1" ht="19.899999999999999" customHeight="1" x14ac:dyDescent="0.25">
      <c r="A9991" s="51"/>
      <c r="B9991" s="165"/>
      <c r="C9991" s="52"/>
      <c r="D9991" s="313"/>
      <c r="E9991" s="115"/>
      <c r="F9991" s="58"/>
      <c r="G9991" s="58"/>
      <c r="H9991" s="58"/>
      <c r="I9991" s="55"/>
      <c r="J9991" s="113">
        <f>J9990</f>
        <v>57843.087</v>
      </c>
      <c r="K9991" s="212">
        <f>K9990</f>
        <v>57843.087</v>
      </c>
      <c r="L9991" s="58"/>
      <c r="M9991" s="58">
        <f>K9991-L9991</f>
        <v>57843.087</v>
      </c>
      <c r="N9991" s="166"/>
      <c r="O9991" s="58"/>
      <c r="P9991" s="58"/>
      <c r="Q9991" s="58"/>
      <c r="R9991" s="58"/>
      <c r="S9991" s="58"/>
      <c r="T9991" s="220"/>
      <c r="U9991" s="88">
        <f>IFERROR(S9991/L9991,0)</f>
        <v>0</v>
      </c>
      <c r="V9991" s="56" t="str">
        <f>V9990&amp;"01"</f>
        <v>01</v>
      </c>
      <c r="W9991" s="57" t="s">
        <v>1668</v>
      </c>
      <c r="X9991" s="53"/>
      <c r="Y9991" s="91" t="s">
        <v>64</v>
      </c>
      <c r="Z9991" s="136">
        <f>AD9991/AC9991</f>
        <v>5</v>
      </c>
      <c r="AA9991" s="58"/>
      <c r="AB9991" s="53">
        <f>AD9991/AC9991</f>
        <v>5</v>
      </c>
      <c r="AC9991" s="53">
        <f>M9991+$AE$10</f>
        <v>57843.087</v>
      </c>
      <c r="AD9991" s="54">
        <f>SUM(AD9992:AD9992)</f>
        <v>289215.435</v>
      </c>
      <c r="AE9991" s="184">
        <f>SUMIFS($AD$44:$AD$4639,$V$44:$V$4639,$V9991,$X$44:$X$4639,AE$13)</f>
        <v>0</v>
      </c>
      <c r="AF9991" s="185">
        <f>SUMIFS($AD$44:$AD$4639,$V$44:$V$4639,$V9991,$X$44:$X$4639,AF$13)</f>
        <v>0</v>
      </c>
      <c r="AG9991" s="185">
        <f>SUMIFS($AD$44:$AD$4639,$V$44:$V$4639,$V9991,$X$44:$X$4639,AG$13)</f>
        <v>0</v>
      </c>
      <c r="AH9991" s="187">
        <f>SUMIFS($AD$44:$AD$4639,$V$44:$V$4639,$V9991,$X$44:$X$4639,AH$13)</f>
        <v>0</v>
      </c>
      <c r="AI9991" s="161">
        <f t="shared" ref="AI9991" si="6631">SUM(AE9991:AH9991)</f>
        <v>0</v>
      </c>
      <c r="AK9991" s="172"/>
    </row>
    <row r="9992" spans="1:41" s="102" customFormat="1" ht="19.899999999999999" customHeight="1" x14ac:dyDescent="0.25">
      <c r="A9992" s="45"/>
      <c r="B9992" s="137"/>
      <c r="C9992" s="59"/>
      <c r="D9992" s="314"/>
      <c r="E9992" s="116"/>
      <c r="F9992" s="120"/>
      <c r="G9992" s="120"/>
      <c r="H9992" s="120"/>
      <c r="I9992" s="60"/>
      <c r="J9992" s="116"/>
      <c r="K9992" s="213"/>
      <c r="L9992" s="120"/>
      <c r="M9992" s="120"/>
      <c r="N9992" s="167"/>
      <c r="O9992" s="120"/>
      <c r="P9992" s="120"/>
      <c r="Q9992" s="120"/>
      <c r="R9992" s="120"/>
      <c r="S9992" s="120"/>
      <c r="T9992" s="221"/>
      <c r="U9992" s="89"/>
      <c r="V9992" s="61" t="str">
        <f>V9991</f>
        <v>01</v>
      </c>
      <c r="W9992" s="92" t="s">
        <v>1667</v>
      </c>
      <c r="X9992" s="93" t="s">
        <v>32</v>
      </c>
      <c r="Y9992" s="93" t="s">
        <v>64</v>
      </c>
      <c r="Z9992" s="134">
        <f>VLOOKUP(W9992,Sheet2!$B:$D,3,FALSE)</f>
        <v>5</v>
      </c>
      <c r="AA9992" s="93">
        <v>1</v>
      </c>
      <c r="AB9992" s="93">
        <f>AD9992/AC9991</f>
        <v>5</v>
      </c>
      <c r="AC9992" s="93">
        <f>AC9991/AA9992</f>
        <v>57843.087</v>
      </c>
      <c r="AD9992" s="94">
        <f t="shared" ref="AD9992" si="6632">AC9992*Z9992</f>
        <v>289215.435</v>
      </c>
      <c r="AE9992" s="190"/>
      <c r="AF9992" s="191"/>
      <c r="AG9992" s="191"/>
      <c r="AH9992" s="191"/>
      <c r="AI9992" s="186"/>
      <c r="AK9992" s="171"/>
    </row>
    <row r="9993" spans="1:41" s="103" customFormat="1" ht="19.899999999999999" customHeight="1" x14ac:dyDescent="0.25">
      <c r="A9993" s="51"/>
      <c r="B9993" s="165"/>
      <c r="C9993" s="52"/>
      <c r="D9993" s="313"/>
      <c r="E9993" s="115"/>
      <c r="F9993" s="58"/>
      <c r="G9993" s="58"/>
      <c r="H9993" s="58"/>
      <c r="I9993" s="55"/>
      <c r="J9993" s="113">
        <f>J9990</f>
        <v>57843.087</v>
      </c>
      <c r="K9993" s="315">
        <f>K9990</f>
        <v>57843.087</v>
      </c>
      <c r="L9993" s="58"/>
      <c r="M9993" s="58">
        <f>K9993-L9993</f>
        <v>57843.087</v>
      </c>
      <c r="N9993" s="166"/>
      <c r="O9993" s="58"/>
      <c r="P9993" s="58"/>
      <c r="Q9993" s="58"/>
      <c r="R9993" s="58"/>
      <c r="S9993" s="58"/>
      <c r="T9993" s="220"/>
      <c r="U9993" s="88">
        <f>IFERROR(S9993/L9993,0)</f>
        <v>0</v>
      </c>
      <c r="V9993" s="56" t="str">
        <f>V9990&amp;"02"</f>
        <v>02</v>
      </c>
      <c r="W9993" s="57" t="s">
        <v>1669</v>
      </c>
      <c r="X9993" s="53"/>
      <c r="Y9993" s="91" t="s">
        <v>64</v>
      </c>
      <c r="Z9993" s="136">
        <f>AD9993/AC9993</f>
        <v>17.888866666666669</v>
      </c>
      <c r="AA9993" s="58"/>
      <c r="AB9993" s="53">
        <f>AD9993/AC9993</f>
        <v>17.888866666666669</v>
      </c>
      <c r="AC9993" s="53">
        <f>M9993+$AE$10</f>
        <v>57843.087</v>
      </c>
      <c r="AD9993" s="54">
        <f>SUM(AD9994:AD9999)</f>
        <v>1034747.2709314</v>
      </c>
      <c r="AE9993" s="184">
        <f>SUMIFS($AD$44:$AD$4639,$V$44:$V$4639,$V9993,$X$44:$X$4639,AE$13)</f>
        <v>0</v>
      </c>
      <c r="AF9993" s="185">
        <f>SUMIFS($AD$44:$AD$4639,$V$44:$V$4639,$V9993,$X$44:$X$4639,AF$13)</f>
        <v>0</v>
      </c>
      <c r="AG9993" s="185">
        <f>SUMIFS($AD$44:$AD$4639,$V$44:$V$4639,$V9993,$X$44:$X$4639,AG$13)</f>
        <v>0</v>
      </c>
      <c r="AH9993" s="187">
        <f>SUMIFS($AD$44:$AD$4639,$V$44:$V$4639,$V9993,$X$44:$X$4639,AH$13)</f>
        <v>0</v>
      </c>
      <c r="AI9993" s="161">
        <f t="shared" ref="AI9993" si="6633">SUM(AE9993:AH9993)</f>
        <v>0</v>
      </c>
      <c r="AK9993" s="172"/>
    </row>
    <row r="9994" spans="1:41" s="102" customFormat="1" ht="19.899999999999999" customHeight="1" x14ac:dyDescent="0.25">
      <c r="A9994" s="45"/>
      <c r="B9994" s="137"/>
      <c r="C9994" s="59"/>
      <c r="D9994" s="314"/>
      <c r="E9994" s="116"/>
      <c r="F9994" s="120"/>
      <c r="G9994" s="120"/>
      <c r="H9994" s="120"/>
      <c r="I9994" s="60"/>
      <c r="J9994" s="116"/>
      <c r="K9994" s="120"/>
      <c r="L9994" s="120"/>
      <c r="M9994" s="120"/>
      <c r="N9994" s="167"/>
      <c r="O9994" s="120"/>
      <c r="P9994" s="120"/>
      <c r="Q9994" s="120"/>
      <c r="R9994" s="120"/>
      <c r="S9994" s="120"/>
      <c r="T9994" s="221"/>
      <c r="U9994" s="89"/>
      <c r="V9994" s="61" t="str">
        <f>V9993</f>
        <v>02</v>
      </c>
      <c r="W9994" s="92" t="s">
        <v>1611</v>
      </c>
      <c r="X9994" s="93" t="s">
        <v>30</v>
      </c>
      <c r="Y9994" s="93" t="s">
        <v>66</v>
      </c>
      <c r="Z9994" s="134">
        <f>VLOOKUP(W9994,Sheet2!$B:$D,3,FALSE)</f>
        <v>30</v>
      </c>
      <c r="AA9994" s="93">
        <f>1/0.5</f>
        <v>2</v>
      </c>
      <c r="AB9994" s="93">
        <f>AD9994/AC9993</f>
        <v>14.999999999999998</v>
      </c>
      <c r="AC9994" s="93">
        <f>AC9993/AA9994</f>
        <v>28921.5435</v>
      </c>
      <c r="AD9994" s="94">
        <f>AC9994*Z9994</f>
        <v>867646.30499999993</v>
      </c>
      <c r="AE9994" s="190"/>
      <c r="AF9994" s="191"/>
      <c r="AG9994" s="191"/>
      <c r="AH9994" s="191"/>
      <c r="AI9994" s="186"/>
      <c r="AK9994" s="171"/>
    </row>
    <row r="9995" spans="1:41" s="102" customFormat="1" ht="19.899999999999999" customHeight="1" x14ac:dyDescent="0.25">
      <c r="A9995" s="45"/>
      <c r="B9995" s="137"/>
      <c r="C9995" s="59"/>
      <c r="D9995" s="314"/>
      <c r="E9995" s="116"/>
      <c r="F9995" s="120"/>
      <c r="G9995" s="120"/>
      <c r="H9995" s="120"/>
      <c r="I9995" s="60"/>
      <c r="J9995" s="116"/>
      <c r="K9995" s="213"/>
      <c r="L9995" s="120"/>
      <c r="M9995" s="120"/>
      <c r="N9995" s="167"/>
      <c r="O9995" s="120"/>
      <c r="P9995" s="120"/>
      <c r="Q9995" s="120"/>
      <c r="R9995" s="120"/>
      <c r="S9995" s="120"/>
      <c r="T9995" s="221"/>
      <c r="U9995" s="89"/>
      <c r="V9995" s="61" t="str">
        <f>V9994</f>
        <v>02</v>
      </c>
      <c r="W9995" s="92" t="s">
        <v>134</v>
      </c>
      <c r="X9995" s="93" t="s">
        <v>29</v>
      </c>
      <c r="Y9995" s="93" t="s">
        <v>1656</v>
      </c>
      <c r="Z9995" s="134">
        <f>VLOOKUP(W9995,Sheet2!$B:$D,3,FALSE)</f>
        <v>65.599999999999994</v>
      </c>
      <c r="AA9995" s="93">
        <f>100/0.5</f>
        <v>200</v>
      </c>
      <c r="AB9995" s="93">
        <f>AD9995/AC9993</f>
        <v>0.32799999999999996</v>
      </c>
      <c r="AC9995" s="93">
        <f>AC9993/AA9995</f>
        <v>289.21543500000001</v>
      </c>
      <c r="AD9995" s="94">
        <f>AC9995*Z9995</f>
        <v>18972.532535999999</v>
      </c>
      <c r="AE9995" s="190"/>
      <c r="AF9995" s="191"/>
      <c r="AG9995" s="191"/>
      <c r="AH9995" s="191"/>
      <c r="AI9995" s="186"/>
      <c r="AK9995" s="171"/>
    </row>
    <row r="9996" spans="1:41" s="102" customFormat="1" ht="19.899999999999999" customHeight="1" x14ac:dyDescent="0.25">
      <c r="A9996" s="45"/>
      <c r="B9996" s="137"/>
      <c r="C9996" s="59"/>
      <c r="D9996" s="314"/>
      <c r="E9996" s="116"/>
      <c r="F9996" s="120"/>
      <c r="G9996" s="120"/>
      <c r="H9996" s="120"/>
      <c r="I9996" s="60"/>
      <c r="J9996" s="116"/>
      <c r="K9996" s="213"/>
      <c r="L9996" s="120"/>
      <c r="M9996" s="120"/>
      <c r="N9996" s="167"/>
      <c r="O9996" s="120"/>
      <c r="P9996" s="120"/>
      <c r="Q9996" s="120"/>
      <c r="R9996" s="120"/>
      <c r="S9996" s="120"/>
      <c r="T9996" s="221"/>
      <c r="U9996" s="89"/>
      <c r="V9996" s="61" t="str">
        <f t="shared" ref="V9996:V9999" si="6634">V9995</f>
        <v>02</v>
      </c>
      <c r="W9996" s="92" t="s">
        <v>65</v>
      </c>
      <c r="X9996" s="93" t="s">
        <v>30</v>
      </c>
      <c r="Y9996" s="93" t="s">
        <v>98</v>
      </c>
      <c r="Z9996" s="134">
        <f>VLOOKUP(W9996,Sheet2!$B:$D,3,FALSE)</f>
        <v>1.76</v>
      </c>
      <c r="AA9996" s="93">
        <f>AA9995/9</f>
        <v>22.222222222222221</v>
      </c>
      <c r="AB9996" s="93">
        <f>AD9996/AC9993</f>
        <v>7.9200000000000007E-2</v>
      </c>
      <c r="AC9996" s="93">
        <f>AC9993/AA9996</f>
        <v>2602.9389150000002</v>
      </c>
      <c r="AD9996" s="94">
        <f t="shared" ref="AD9996:AD9999" si="6635">AC9996*Z9996</f>
        <v>4581.1724904000002</v>
      </c>
      <c r="AE9996" s="190"/>
      <c r="AF9996" s="191"/>
      <c r="AG9996" s="191"/>
      <c r="AH9996" s="191"/>
      <c r="AI9996" s="186"/>
      <c r="AK9996" s="171"/>
    </row>
    <row r="9997" spans="1:41" s="102" customFormat="1" ht="19.899999999999999" customHeight="1" x14ac:dyDescent="0.25">
      <c r="A9997" s="45"/>
      <c r="B9997" s="137"/>
      <c r="C9997" s="59"/>
      <c r="D9997" s="314"/>
      <c r="E9997" s="116"/>
      <c r="F9997" s="120"/>
      <c r="G9997" s="120"/>
      <c r="H9997" s="120"/>
      <c r="I9997" s="60"/>
      <c r="J9997" s="116"/>
      <c r="K9997" s="213"/>
      <c r="L9997" s="120"/>
      <c r="M9997" s="120"/>
      <c r="N9997" s="167"/>
      <c r="O9997" s="120"/>
      <c r="P9997" s="120"/>
      <c r="Q9997" s="120"/>
      <c r="R9997" s="120"/>
      <c r="S9997" s="120"/>
      <c r="T9997" s="221"/>
      <c r="U9997" s="89"/>
      <c r="V9997" s="61" t="str">
        <f t="shared" si="6634"/>
        <v>02</v>
      </c>
      <c r="W9997" s="92" t="s">
        <v>1660</v>
      </c>
      <c r="X9997" s="93" t="s">
        <v>29</v>
      </c>
      <c r="Y9997" s="93" t="s">
        <v>1656</v>
      </c>
      <c r="Z9997" s="134">
        <f>VLOOKUP(W9997,Sheet2!$B:$D,3,FALSE)</f>
        <v>56</v>
      </c>
      <c r="AA9997" s="93">
        <f>(24*0.85*8/10)/0.5</f>
        <v>32.64</v>
      </c>
      <c r="AB9997" s="93">
        <f>AD9997/AC9993</f>
        <v>1.7156862745098038</v>
      </c>
      <c r="AC9997" s="93">
        <f>AC9993/AA9997</f>
        <v>1772.1534007352941</v>
      </c>
      <c r="AD9997" s="94">
        <f t="shared" si="6635"/>
        <v>99240.590441176464</v>
      </c>
      <c r="AE9997" s="190"/>
      <c r="AF9997" s="191"/>
      <c r="AG9997" s="191"/>
      <c r="AH9997" s="191"/>
      <c r="AI9997" s="186"/>
      <c r="AK9997" s="171"/>
    </row>
    <row r="9998" spans="1:41" s="102" customFormat="1" ht="19.899999999999999" customHeight="1" x14ac:dyDescent="0.25">
      <c r="A9998" s="45"/>
      <c r="B9998" s="137"/>
      <c r="C9998" s="59"/>
      <c r="D9998" s="314"/>
      <c r="E9998" s="116"/>
      <c r="F9998" s="120"/>
      <c r="G9998" s="120"/>
      <c r="H9998" s="120"/>
      <c r="I9998" s="60"/>
      <c r="J9998" s="116"/>
      <c r="K9998" s="213"/>
      <c r="L9998" s="120"/>
      <c r="M9998" s="120"/>
      <c r="N9998" s="167"/>
      <c r="O9998" s="120"/>
      <c r="P9998" s="120"/>
      <c r="Q9998" s="120"/>
      <c r="R9998" s="120"/>
      <c r="S9998" s="120"/>
      <c r="T9998" s="221"/>
      <c r="U9998" s="89"/>
      <c r="V9998" s="61" t="str">
        <f t="shared" si="6634"/>
        <v>02</v>
      </c>
      <c r="W9998" s="92" t="s">
        <v>65</v>
      </c>
      <c r="X9998" s="93" t="s">
        <v>30</v>
      </c>
      <c r="Y9998" s="93" t="s">
        <v>98</v>
      </c>
      <c r="Z9998" s="134">
        <f>VLOOKUP(W9998,Sheet2!$B:$D,3,FALSE)</f>
        <v>1.76</v>
      </c>
      <c r="AA9998" s="93">
        <f>AA9997/13</f>
        <v>2.5107692307692306</v>
      </c>
      <c r="AB9998" s="93">
        <f>AD9998/AC9993</f>
        <v>0.70098039215686281</v>
      </c>
      <c r="AC9998" s="93">
        <f>AC9993/AA9998</f>
        <v>23037.994209558823</v>
      </c>
      <c r="AD9998" s="94">
        <f t="shared" si="6635"/>
        <v>40546.869808823532</v>
      </c>
      <c r="AE9998" s="190"/>
      <c r="AF9998" s="191"/>
      <c r="AG9998" s="191"/>
      <c r="AH9998" s="191"/>
      <c r="AI9998" s="186"/>
      <c r="AK9998" s="171"/>
    </row>
    <row r="9999" spans="1:41" s="102" customFormat="1" ht="19.899999999999999" customHeight="1" x14ac:dyDescent="0.25">
      <c r="A9999" s="45"/>
      <c r="B9999" s="137"/>
      <c r="C9999" s="59"/>
      <c r="D9999" s="314"/>
      <c r="E9999" s="116"/>
      <c r="F9999" s="120"/>
      <c r="G9999" s="120"/>
      <c r="H9999" s="120"/>
      <c r="I9999" s="60"/>
      <c r="J9999" s="116"/>
      <c r="K9999" s="213"/>
      <c r="L9999" s="120"/>
      <c r="M9999" s="120"/>
      <c r="N9999" s="167"/>
      <c r="O9999" s="120"/>
      <c r="P9999" s="120"/>
      <c r="Q9999" s="120"/>
      <c r="R9999" s="120"/>
      <c r="S9999" s="120"/>
      <c r="T9999" s="221"/>
      <c r="U9999" s="89"/>
      <c r="V9999" s="61" t="str">
        <f t="shared" si="6634"/>
        <v>02</v>
      </c>
      <c r="W9999" s="92" t="s">
        <v>112</v>
      </c>
      <c r="X9999" s="93" t="s">
        <v>31</v>
      </c>
      <c r="Y9999" s="93" t="s">
        <v>1656</v>
      </c>
      <c r="Z9999" s="134">
        <f>VLOOKUP(W9999,Sheet2!$B:$D,3,FALSE)</f>
        <v>13</v>
      </c>
      <c r="AA9999" s="93">
        <f>AA9995</f>
        <v>200</v>
      </c>
      <c r="AB9999" s="93">
        <f>AD9999/AC9993</f>
        <v>6.5000000000000002E-2</v>
      </c>
      <c r="AC9999" s="93">
        <f>AC9993/AA9999</f>
        <v>289.21543500000001</v>
      </c>
      <c r="AD9999" s="94">
        <f t="shared" si="6635"/>
        <v>3759.800655</v>
      </c>
      <c r="AE9999" s="190"/>
      <c r="AF9999" s="191"/>
      <c r="AG9999" s="191"/>
      <c r="AH9999" s="191"/>
      <c r="AI9999" s="186"/>
      <c r="AK9999" s="171"/>
    </row>
    <row r="10000" spans="1:41" s="103" customFormat="1" ht="19.899999999999999" customHeight="1" x14ac:dyDescent="0.25">
      <c r="A10000" s="51"/>
      <c r="B10000" s="165"/>
      <c r="C10000" s="52"/>
      <c r="D10000" s="313"/>
      <c r="E10000" s="115"/>
      <c r="F10000" s="58"/>
      <c r="G10000" s="58"/>
      <c r="H10000" s="58"/>
      <c r="I10000" s="55"/>
      <c r="J10000" s="113">
        <f>J9990</f>
        <v>57843.087</v>
      </c>
      <c r="K10000" s="315">
        <f>K9990</f>
        <v>57843.087</v>
      </c>
      <c r="L10000" s="58"/>
      <c r="M10000" s="58">
        <f>K10000-L10000</f>
        <v>57843.087</v>
      </c>
      <c r="N10000" s="166"/>
      <c r="O10000" s="58"/>
      <c r="P10000" s="58"/>
      <c r="Q10000" s="58"/>
      <c r="R10000" s="58"/>
      <c r="S10000" s="58"/>
      <c r="T10000" s="220"/>
      <c r="U10000" s="88">
        <f>IFERROR(S10000/L10000,0)</f>
        <v>0</v>
      </c>
      <c r="V10000" s="56" t="str">
        <f>V9990&amp;"03"</f>
        <v>03</v>
      </c>
      <c r="W10000" s="57" t="s">
        <v>1663</v>
      </c>
      <c r="X10000" s="53"/>
      <c r="Y10000" s="91" t="s">
        <v>64</v>
      </c>
      <c r="Z10000" s="136">
        <f>AD10000/AC10000</f>
        <v>0.21226666666666669</v>
      </c>
      <c r="AA10000" s="58"/>
      <c r="AB10000" s="53">
        <f>AD10000/AC10000</f>
        <v>0.21226666666666669</v>
      </c>
      <c r="AC10000" s="53">
        <f>M10000+$AE$10</f>
        <v>57843.087</v>
      </c>
      <c r="AD10000" s="54">
        <f>SUM(AD10001:AD10002)</f>
        <v>12278.159267200001</v>
      </c>
      <c r="AE10000" s="184">
        <f>SUMIFS($AD$44:$AD$4639,$V$44:$V$4639,$V10000,$X$44:$X$4639,AE$13)</f>
        <v>0</v>
      </c>
      <c r="AF10000" s="185">
        <f>SUMIFS($AD$44:$AD$4639,$V$44:$V$4639,$V10000,$X$44:$X$4639,AF$13)</f>
        <v>0</v>
      </c>
      <c r="AG10000" s="185">
        <f>SUMIFS($AD$44:$AD$4639,$V$44:$V$4639,$V10000,$X$44:$X$4639,AG$13)</f>
        <v>0</v>
      </c>
      <c r="AH10000" s="187">
        <f>SUMIFS($AD$44:$AD$4639,$V$44:$V$4639,$V10000,$X$44:$X$4639,AH$13)</f>
        <v>0</v>
      </c>
      <c r="AI10000" s="161">
        <f t="shared" ref="AI10000" si="6636">SUM(AE10000:AH10000)</f>
        <v>0</v>
      </c>
      <c r="AK10000" s="172"/>
    </row>
    <row r="10001" spans="1:41" s="102" customFormat="1" ht="19.899999999999999" customHeight="1" x14ac:dyDescent="0.25">
      <c r="A10001" s="45"/>
      <c r="B10001" s="137"/>
      <c r="C10001" s="59"/>
      <c r="D10001" s="314"/>
      <c r="E10001" s="116"/>
      <c r="F10001" s="120"/>
      <c r="G10001" s="120"/>
      <c r="H10001" s="120"/>
      <c r="I10001" s="60"/>
      <c r="J10001" s="116"/>
      <c r="K10001" s="120"/>
      <c r="L10001" s="120"/>
      <c r="M10001" s="120"/>
      <c r="N10001" s="167"/>
      <c r="O10001" s="120"/>
      <c r="P10001" s="120"/>
      <c r="Q10001" s="120"/>
      <c r="R10001" s="120"/>
      <c r="S10001" s="120"/>
      <c r="T10001" s="221"/>
      <c r="U10001" s="89"/>
      <c r="V10001" s="61" t="str">
        <f>V10000</f>
        <v>03</v>
      </c>
      <c r="W10001" s="92" t="s">
        <v>94</v>
      </c>
      <c r="X10001" s="93" t="s">
        <v>29</v>
      </c>
      <c r="Y10001" s="93" t="s">
        <v>1656</v>
      </c>
      <c r="Z10001" s="134">
        <f>VLOOKUP(W10001,Sheet2!$B:$D,3,FALSE)</f>
        <v>90.4</v>
      </c>
      <c r="AA10001" s="93">
        <f>600</f>
        <v>600</v>
      </c>
      <c r="AB10001" s="93">
        <f>AD10001/AC10000</f>
        <v>0.1506666666666667</v>
      </c>
      <c r="AC10001" s="93">
        <f>AC10000/AA10001</f>
        <v>96.405145000000005</v>
      </c>
      <c r="AD10001" s="94">
        <f>AC10001*Z10001</f>
        <v>8715.0251080000016</v>
      </c>
      <c r="AE10001" s="190"/>
      <c r="AF10001" s="191"/>
      <c r="AG10001" s="191"/>
      <c r="AH10001" s="191"/>
      <c r="AI10001" s="186"/>
      <c r="AK10001" s="171"/>
    </row>
    <row r="10002" spans="1:41" s="102" customFormat="1" ht="19.899999999999999" customHeight="1" x14ac:dyDescent="0.25">
      <c r="A10002" s="45"/>
      <c r="B10002" s="137"/>
      <c r="C10002" s="59"/>
      <c r="D10002" s="314"/>
      <c r="E10002" s="116"/>
      <c r="F10002" s="120"/>
      <c r="G10002" s="120"/>
      <c r="H10002" s="120"/>
      <c r="I10002" s="60"/>
      <c r="J10002" s="116"/>
      <c r="K10002" s="120"/>
      <c r="L10002" s="120"/>
      <c r="M10002" s="120"/>
      <c r="N10002" s="167"/>
      <c r="O10002" s="120"/>
      <c r="P10002" s="120"/>
      <c r="Q10002" s="120"/>
      <c r="R10002" s="120"/>
      <c r="S10002" s="120"/>
      <c r="T10002" s="221"/>
      <c r="U10002" s="89"/>
      <c r="V10002" s="61" t="str">
        <f>V10001</f>
        <v>03</v>
      </c>
      <c r="W10002" s="92" t="s">
        <v>65</v>
      </c>
      <c r="X10002" s="93" t="s">
        <v>30</v>
      </c>
      <c r="Y10002" s="93" t="s">
        <v>98</v>
      </c>
      <c r="Z10002" s="134">
        <f>VLOOKUP(W10002,Sheet2!$B:$D,3,FALSE)</f>
        <v>1.76</v>
      </c>
      <c r="AA10002" s="93">
        <f>AA10001/21</f>
        <v>28.571428571428573</v>
      </c>
      <c r="AB10002" s="93">
        <f>AD10002/AC10000</f>
        <v>6.1600000000000002E-2</v>
      </c>
      <c r="AC10002" s="93">
        <f>AC10000/AA10002</f>
        <v>2024.5080449999998</v>
      </c>
      <c r="AD10002" s="94">
        <f t="shared" ref="AD10002" si="6637">AC10002*Z10002</f>
        <v>3563.1341591999999</v>
      </c>
      <c r="AE10002" s="190"/>
      <c r="AF10002" s="191"/>
      <c r="AG10002" s="191"/>
      <c r="AH10002" s="191"/>
      <c r="AI10002" s="186"/>
      <c r="AK10002" s="171"/>
    </row>
    <row r="10003" spans="1:41" s="103" customFormat="1" ht="19.899999999999999" customHeight="1" x14ac:dyDescent="0.25">
      <c r="A10003" s="51"/>
      <c r="B10003" s="165"/>
      <c r="C10003" s="52"/>
      <c r="D10003" s="313"/>
      <c r="E10003" s="115"/>
      <c r="F10003" s="58"/>
      <c r="G10003" s="58"/>
      <c r="H10003" s="58"/>
      <c r="I10003" s="55"/>
      <c r="J10003" s="113">
        <f>J9990</f>
        <v>57843.087</v>
      </c>
      <c r="K10003" s="315">
        <f>K9990</f>
        <v>57843.087</v>
      </c>
      <c r="L10003" s="58"/>
      <c r="M10003" s="58">
        <f>K10003-L10003</f>
        <v>57843.087</v>
      </c>
      <c r="N10003" s="166"/>
      <c r="O10003" s="58"/>
      <c r="P10003" s="58"/>
      <c r="Q10003" s="58"/>
      <c r="R10003" s="58"/>
      <c r="S10003" s="58"/>
      <c r="T10003" s="220"/>
      <c r="U10003" s="88">
        <f>IFERROR(S10003/L10003,0)</f>
        <v>0</v>
      </c>
      <c r="V10003" s="56" t="str">
        <f>V9990&amp;"04"</f>
        <v>04</v>
      </c>
      <c r="W10003" s="57" t="s">
        <v>1664</v>
      </c>
      <c r="X10003" s="53"/>
      <c r="Y10003" s="91" t="s">
        <v>64</v>
      </c>
      <c r="Z10003" s="136">
        <f>AD10003/AC10003</f>
        <v>0.95425000000000004</v>
      </c>
      <c r="AA10003" s="58"/>
      <c r="AB10003" s="53">
        <f>AD10003/AC10003</f>
        <v>0.95425000000000004</v>
      </c>
      <c r="AC10003" s="53">
        <f>M10003+$AE$10</f>
        <v>57843.087</v>
      </c>
      <c r="AD10003" s="54">
        <f>SUM(AD10004:AD10009)</f>
        <v>55196.765769750004</v>
      </c>
      <c r="AE10003" s="184">
        <f>SUMIFS($AD$44:$AD$4639,$V$44:$V$4639,$V10003,$X$44:$X$4639,AE$13)</f>
        <v>0</v>
      </c>
      <c r="AF10003" s="185">
        <f>SUMIFS($AD$44:$AD$4639,$V$44:$V$4639,$V10003,$X$44:$X$4639,AF$13)</f>
        <v>0</v>
      </c>
      <c r="AG10003" s="185">
        <f>SUMIFS($AD$44:$AD$4639,$V$44:$V$4639,$V10003,$X$44:$X$4639,AG$13)</f>
        <v>0</v>
      </c>
      <c r="AH10003" s="187">
        <f>SUMIFS($AD$44:$AD$4639,$V$44:$V$4639,$V10003,$X$44:$X$4639,AH$13)</f>
        <v>0</v>
      </c>
      <c r="AI10003" s="161">
        <f t="shared" ref="AI10003" si="6638">SUM(AE10003:AH10003)</f>
        <v>0</v>
      </c>
      <c r="AK10003" s="172"/>
    </row>
    <row r="10004" spans="1:41" s="102" customFormat="1" ht="19.899999999999999" customHeight="1" x14ac:dyDescent="0.25">
      <c r="A10004" s="45"/>
      <c r="B10004" s="137"/>
      <c r="C10004" s="59"/>
      <c r="D10004" s="314"/>
      <c r="E10004" s="116"/>
      <c r="F10004" s="120"/>
      <c r="G10004" s="120"/>
      <c r="H10004" s="120"/>
      <c r="I10004" s="60"/>
      <c r="J10004" s="116"/>
      <c r="K10004" s="120"/>
      <c r="L10004" s="120"/>
      <c r="M10004" s="120"/>
      <c r="N10004" s="167"/>
      <c r="O10004" s="120"/>
      <c r="P10004" s="120"/>
      <c r="Q10004" s="120"/>
      <c r="R10004" s="120"/>
      <c r="S10004" s="120"/>
      <c r="T10004" s="221"/>
      <c r="U10004" s="89"/>
      <c r="V10004" s="61" t="str">
        <f>V10003</f>
        <v>04</v>
      </c>
      <c r="W10004" s="92" t="s">
        <v>145</v>
      </c>
      <c r="X10004" s="93" t="s">
        <v>29</v>
      </c>
      <c r="Y10004" s="93" t="s">
        <v>1656</v>
      </c>
      <c r="Z10004" s="134">
        <f>VLOOKUP(W10004,Sheet2!$B:$D,3,FALSE)</f>
        <v>40</v>
      </c>
      <c r="AA10004" s="93">
        <v>160</v>
      </c>
      <c r="AB10004" s="93">
        <f>AD10004/AC10003</f>
        <v>0.25</v>
      </c>
      <c r="AC10004" s="93">
        <f>AC10003/AA10004</f>
        <v>361.51929374999997</v>
      </c>
      <c r="AD10004" s="94">
        <f>AC10004*Z10004</f>
        <v>14460.77175</v>
      </c>
      <c r="AE10004" s="190"/>
      <c r="AF10004" s="191"/>
      <c r="AG10004" s="191"/>
      <c r="AH10004" s="191"/>
      <c r="AI10004" s="186"/>
      <c r="AK10004" s="171"/>
    </row>
    <row r="10005" spans="1:41" s="102" customFormat="1" ht="19.899999999999999" customHeight="1" x14ac:dyDescent="0.25">
      <c r="A10005" s="45"/>
      <c r="B10005" s="137"/>
      <c r="C10005" s="59"/>
      <c r="D10005" s="314"/>
      <c r="E10005" s="116"/>
      <c r="F10005" s="120"/>
      <c r="G10005" s="120"/>
      <c r="H10005" s="120"/>
      <c r="I10005" s="60"/>
      <c r="J10005" s="116"/>
      <c r="K10005" s="120"/>
      <c r="L10005" s="120"/>
      <c r="M10005" s="120"/>
      <c r="N10005" s="167"/>
      <c r="O10005" s="120"/>
      <c r="P10005" s="120"/>
      <c r="Q10005" s="120"/>
      <c r="R10005" s="120"/>
      <c r="S10005" s="120"/>
      <c r="T10005" s="221"/>
      <c r="U10005" s="89"/>
      <c r="V10005" s="61" t="str">
        <f t="shared" ref="V10005:V10009" si="6639">V10004</f>
        <v>04</v>
      </c>
      <c r="W10005" s="92" t="s">
        <v>65</v>
      </c>
      <c r="X10005" s="93" t="s">
        <v>30</v>
      </c>
      <c r="Y10005" s="93" t="s">
        <v>98</v>
      </c>
      <c r="Z10005" s="134">
        <f>VLOOKUP(W10005,Sheet2!$B:$D,3,FALSE)</f>
        <v>1.76</v>
      </c>
      <c r="AA10005" s="93">
        <f>AA10004/14</f>
        <v>11.428571428571429</v>
      </c>
      <c r="AB10005" s="93">
        <f>AD10005/AC10003</f>
        <v>0.154</v>
      </c>
      <c r="AC10005" s="93">
        <f>AC10003/AA10005</f>
        <v>5061.2701124999994</v>
      </c>
      <c r="AD10005" s="94">
        <f>AC10005*Z10005</f>
        <v>8907.8353979999993</v>
      </c>
      <c r="AE10005" s="190"/>
      <c r="AF10005" s="191"/>
      <c r="AG10005" s="191"/>
      <c r="AH10005" s="191"/>
      <c r="AI10005" s="186"/>
      <c r="AK10005" s="171"/>
    </row>
    <row r="10006" spans="1:41" s="102" customFormat="1" ht="19.899999999999999" customHeight="1" x14ac:dyDescent="0.25">
      <c r="A10006" s="45"/>
      <c r="B10006" s="137"/>
      <c r="C10006" s="59"/>
      <c r="D10006" s="314"/>
      <c r="E10006" s="116"/>
      <c r="F10006" s="120"/>
      <c r="G10006" s="120"/>
      <c r="H10006" s="120"/>
      <c r="I10006" s="60"/>
      <c r="J10006" s="116"/>
      <c r="K10006" s="120"/>
      <c r="L10006" s="120"/>
      <c r="M10006" s="120"/>
      <c r="N10006" s="167"/>
      <c r="O10006" s="120"/>
      <c r="P10006" s="120"/>
      <c r="Q10006" s="120"/>
      <c r="R10006" s="120"/>
      <c r="S10006" s="120"/>
      <c r="T10006" s="221"/>
      <c r="U10006" s="89"/>
      <c r="V10006" s="61" t="str">
        <f t="shared" si="6639"/>
        <v>04</v>
      </c>
      <c r="W10006" s="92" t="s">
        <v>135</v>
      </c>
      <c r="X10006" s="93" t="s">
        <v>29</v>
      </c>
      <c r="Y10006" s="93" t="s">
        <v>1656</v>
      </c>
      <c r="Z10006" s="134">
        <f>VLOOKUP(W10006,Sheet2!$B:$D,3,FALSE)</f>
        <v>52</v>
      </c>
      <c r="AA10006" s="93">
        <f>AA10004</f>
        <v>160</v>
      </c>
      <c r="AB10006" s="93">
        <f>AD10006/AC10003</f>
        <v>0.32500000000000001</v>
      </c>
      <c r="AC10006" s="93">
        <f>AC10003/AA10006</f>
        <v>361.51929374999997</v>
      </c>
      <c r="AD10006" s="94">
        <f>AC10006*Z10006</f>
        <v>18799.003274999999</v>
      </c>
      <c r="AE10006" s="190"/>
      <c r="AF10006" s="191"/>
      <c r="AG10006" s="191"/>
      <c r="AH10006" s="191"/>
      <c r="AI10006" s="186"/>
      <c r="AK10006" s="171"/>
    </row>
    <row r="10007" spans="1:41" s="102" customFormat="1" ht="19.899999999999999" customHeight="1" x14ac:dyDescent="0.25">
      <c r="A10007" s="45"/>
      <c r="B10007" s="137"/>
      <c r="C10007" s="59"/>
      <c r="D10007" s="314"/>
      <c r="E10007" s="116"/>
      <c r="F10007" s="120"/>
      <c r="G10007" s="120"/>
      <c r="H10007" s="120"/>
      <c r="I10007" s="60"/>
      <c r="J10007" s="116"/>
      <c r="K10007" s="120"/>
      <c r="L10007" s="120"/>
      <c r="M10007" s="120"/>
      <c r="N10007" s="167"/>
      <c r="O10007" s="120"/>
      <c r="P10007" s="120"/>
      <c r="Q10007" s="120"/>
      <c r="R10007" s="120"/>
      <c r="S10007" s="120"/>
      <c r="T10007" s="221"/>
      <c r="U10007" s="89"/>
      <c r="V10007" s="61" t="str">
        <f t="shared" si="6639"/>
        <v>04</v>
      </c>
      <c r="W10007" s="92" t="s">
        <v>65</v>
      </c>
      <c r="X10007" s="93" t="s">
        <v>30</v>
      </c>
      <c r="Y10007" s="93" t="s">
        <v>98</v>
      </c>
      <c r="Z10007" s="134">
        <f>VLOOKUP(W10007,Sheet2!$B:$D,3,FALSE)</f>
        <v>1.76</v>
      </c>
      <c r="AA10007" s="93">
        <f>AA10006/8</f>
        <v>20</v>
      </c>
      <c r="AB10007" s="93">
        <f>AD10007/AC10003</f>
        <v>8.7999999999999995E-2</v>
      </c>
      <c r="AC10007" s="93">
        <f>AC10003/AA10007</f>
        <v>2892.1543499999998</v>
      </c>
      <c r="AD10007" s="94">
        <f t="shared" ref="AD10007:AD10008" si="6640">AC10007*Z10007</f>
        <v>5090.191656</v>
      </c>
      <c r="AE10007" s="190"/>
      <c r="AF10007" s="191"/>
      <c r="AG10007" s="191"/>
      <c r="AH10007" s="191"/>
      <c r="AI10007" s="186"/>
      <c r="AK10007" s="171"/>
    </row>
    <row r="10008" spans="1:41" s="102" customFormat="1" ht="19.899999999999999" customHeight="1" x14ac:dyDescent="0.25">
      <c r="A10008" s="45"/>
      <c r="B10008" s="137"/>
      <c r="C10008" s="59"/>
      <c r="D10008" s="314"/>
      <c r="E10008" s="116"/>
      <c r="F10008" s="120"/>
      <c r="G10008" s="120"/>
      <c r="H10008" s="120"/>
      <c r="I10008" s="60"/>
      <c r="J10008" s="116"/>
      <c r="K10008" s="120"/>
      <c r="L10008" s="120"/>
      <c r="M10008" s="120"/>
      <c r="N10008" s="167"/>
      <c r="O10008" s="120"/>
      <c r="P10008" s="120"/>
      <c r="Q10008" s="120"/>
      <c r="R10008" s="120"/>
      <c r="S10008" s="120"/>
      <c r="T10008" s="221"/>
      <c r="U10008" s="89"/>
      <c r="V10008" s="61" t="str">
        <f t="shared" si="6639"/>
        <v>04</v>
      </c>
      <c r="W10008" s="92" t="s">
        <v>156</v>
      </c>
      <c r="X10008" s="93" t="s">
        <v>30</v>
      </c>
      <c r="Y10008" s="93" t="s">
        <v>66</v>
      </c>
      <c r="Z10008" s="134">
        <f>VLOOKUP(W10008,Sheet2!$B:$D,3,FALSE)</f>
        <v>2.8</v>
      </c>
      <c r="AA10008" s="93">
        <v>50</v>
      </c>
      <c r="AB10008" s="93">
        <f>AD10008/AC10003</f>
        <v>5.6000000000000001E-2</v>
      </c>
      <c r="AC10008" s="93">
        <f>AC10003/AA10008</f>
        <v>1156.8617400000001</v>
      </c>
      <c r="AD10008" s="94">
        <f t="shared" si="6640"/>
        <v>3239.2128720000001</v>
      </c>
      <c r="AE10008" s="190"/>
      <c r="AF10008" s="191"/>
      <c r="AG10008" s="191"/>
      <c r="AH10008" s="191"/>
      <c r="AI10008" s="186"/>
      <c r="AK10008" s="171"/>
    </row>
    <row r="10009" spans="1:41" s="102" customFormat="1" ht="19.899999999999999" customHeight="1" x14ac:dyDescent="0.25">
      <c r="A10009" s="45"/>
      <c r="B10009" s="137"/>
      <c r="C10009" s="59"/>
      <c r="D10009" s="314"/>
      <c r="E10009" s="116"/>
      <c r="F10009" s="120"/>
      <c r="G10009" s="120"/>
      <c r="H10009" s="120"/>
      <c r="I10009" s="60"/>
      <c r="J10009" s="116"/>
      <c r="K10009" s="120"/>
      <c r="L10009" s="120"/>
      <c r="M10009" s="120"/>
      <c r="N10009" s="167"/>
      <c r="O10009" s="120"/>
      <c r="P10009" s="120"/>
      <c r="Q10009" s="120"/>
      <c r="R10009" s="120"/>
      <c r="S10009" s="120"/>
      <c r="T10009" s="221"/>
      <c r="U10009" s="89"/>
      <c r="V10009" s="61" t="str">
        <f t="shared" si="6639"/>
        <v>04</v>
      </c>
      <c r="W10009" s="92" t="s">
        <v>112</v>
      </c>
      <c r="X10009" s="93" t="s">
        <v>31</v>
      </c>
      <c r="Y10009" s="93" t="s">
        <v>1656</v>
      </c>
      <c r="Z10009" s="134">
        <f>VLOOKUP(W10009,Sheet2!$B:$D,3,FALSE)</f>
        <v>13</v>
      </c>
      <c r="AA10009" s="93">
        <f>AA10004</f>
        <v>160</v>
      </c>
      <c r="AB10009" s="93">
        <f>AD10009/AC10003</f>
        <v>8.1250000000000003E-2</v>
      </c>
      <c r="AC10009" s="93">
        <f>AC10003/AA10009</f>
        <v>361.51929374999997</v>
      </c>
      <c r="AD10009" s="94">
        <f>AC10009*Z10009</f>
        <v>4699.7508187499998</v>
      </c>
      <c r="AE10009" s="190"/>
      <c r="AF10009" s="191"/>
      <c r="AG10009" s="191"/>
      <c r="AH10009" s="191"/>
      <c r="AI10009" s="186"/>
      <c r="AK10009" s="171"/>
    </row>
    <row r="10010" spans="1:41" ht="51" x14ac:dyDescent="0.25">
      <c r="A10010" s="277" t="s">
        <v>945</v>
      </c>
      <c r="B10010" s="278"/>
      <c r="C10010" s="64" t="s">
        <v>953</v>
      </c>
      <c r="D10010" s="46" t="s">
        <v>954</v>
      </c>
      <c r="E10010" s="114">
        <v>12</v>
      </c>
      <c r="F10010" s="44">
        <v>22071</v>
      </c>
      <c r="G10010" s="44">
        <f t="shared" si="3841"/>
        <v>264852</v>
      </c>
      <c r="H10010" s="44">
        <f t="shared" si="3842"/>
        <v>37733.26820915033</v>
      </c>
      <c r="I10010" s="43">
        <f t="shared" si="3843"/>
        <v>452799.21850980399</v>
      </c>
      <c r="J10010" s="112">
        <f t="shared" si="3844"/>
        <v>12</v>
      </c>
      <c r="K10010" s="211">
        <f t="shared" si="3845"/>
        <v>12</v>
      </c>
      <c r="L10010" s="44"/>
      <c r="M10010" s="44">
        <f t="shared" si="3846"/>
        <v>12</v>
      </c>
      <c r="N10010" s="173">
        <f t="shared" si="3847"/>
        <v>1</v>
      </c>
      <c r="O10010" s="44">
        <f t="shared" si="3848"/>
        <v>22071</v>
      </c>
      <c r="P10010" s="44">
        <f t="shared" si="3849"/>
        <v>264852</v>
      </c>
      <c r="Q10010" s="44">
        <f t="shared" si="3850"/>
        <v>37733.26820915033</v>
      </c>
      <c r="R10010" s="44">
        <f t="shared" si="3851"/>
        <v>452799.21850980399</v>
      </c>
      <c r="S10010" s="123"/>
      <c r="T10010" s="219">
        <f t="shared" si="3852"/>
        <v>452799.21850980399</v>
      </c>
      <c r="U10010" s="87"/>
      <c r="V10010" s="47"/>
      <c r="W10010" s="48"/>
      <c r="X10010" s="48"/>
      <c r="Y10010" s="48"/>
      <c r="Z10010" s="135"/>
      <c r="AA10010" s="49"/>
      <c r="AB10010" s="50">
        <f t="shared" si="3853"/>
        <v>37733.26820915033</v>
      </c>
      <c r="AC10010" s="42">
        <f t="shared" si="3854"/>
        <v>12</v>
      </c>
      <c r="AD10010" s="90">
        <f>AD10011+AD10016+AD10019+AD10025+AD10028+AD10033</f>
        <v>452799.21850980393</v>
      </c>
      <c r="AE10010" s="188">
        <f t="shared" ref="AE10010:AH10010" si="6641">AE10011+AE10016+AE10019+AE10025+AE10028+AE10033</f>
        <v>0</v>
      </c>
      <c r="AF10010" s="189">
        <f t="shared" si="6641"/>
        <v>0</v>
      </c>
      <c r="AG10010" s="189">
        <f t="shared" si="6641"/>
        <v>0</v>
      </c>
      <c r="AH10010" s="189">
        <f t="shared" si="6641"/>
        <v>0</v>
      </c>
      <c r="AI10010" s="161">
        <f t="shared" ref="AI10010" si="6642">SUM(AE10010:AH10010)</f>
        <v>0</v>
      </c>
      <c r="AK10010" s="169">
        <v>5</v>
      </c>
      <c r="AO10010" s="19" t="s">
        <v>63</v>
      </c>
    </row>
    <row r="10011" spans="1:41" s="103" customFormat="1" ht="19.899999999999999" customHeight="1" x14ac:dyDescent="0.25">
      <c r="A10011" s="51"/>
      <c r="B10011" s="52"/>
      <c r="C10011" s="165"/>
      <c r="D10011" s="52"/>
      <c r="E10011" s="115"/>
      <c r="F10011" s="58"/>
      <c r="G10011" s="58"/>
      <c r="H10011" s="58"/>
      <c r="I10011" s="55"/>
      <c r="J10011" s="113">
        <f>J10010</f>
        <v>12</v>
      </c>
      <c r="K10011" s="212">
        <f>K10010</f>
        <v>12</v>
      </c>
      <c r="L10011" s="58"/>
      <c r="M10011" s="58">
        <f>K10011-L10011</f>
        <v>12</v>
      </c>
      <c r="N10011" s="166"/>
      <c r="O10011" s="58"/>
      <c r="P10011" s="58"/>
      <c r="Q10011" s="58"/>
      <c r="R10011" s="58"/>
      <c r="S10011" s="58"/>
      <c r="T10011" s="220"/>
      <c r="U10011" s="88"/>
      <c r="V10011" s="56"/>
      <c r="W10011" s="57" t="s">
        <v>1670</v>
      </c>
      <c r="X10011" s="53"/>
      <c r="Y10011" s="91" t="s">
        <v>35</v>
      </c>
      <c r="Z10011" s="136">
        <f>AD10011/AC10011</f>
        <v>2413.2517647058826</v>
      </c>
      <c r="AA10011" s="58"/>
      <c r="AB10011" s="53">
        <f>AD10011/AC10011</f>
        <v>2413.2517647058826</v>
      </c>
      <c r="AC10011" s="53">
        <f>M10011+$AE$10</f>
        <v>12</v>
      </c>
      <c r="AD10011" s="54">
        <f>SUM(AD10012:AD10015)</f>
        <v>28959.021176470593</v>
      </c>
      <c r="AE10011" s="184">
        <f>SUMIFS($AD$37:$AD$12971,$V$37:$V$12971,$V10011,$X$37:$X$12971,AE$13)</f>
        <v>0</v>
      </c>
      <c r="AF10011" s="185">
        <f>SUMIFS($AD$37:$AD$12971,$V$37:$V$12971,$V10011,$X$37:$X$12971,AF$13)</f>
        <v>0</v>
      </c>
      <c r="AG10011" s="185">
        <f>SUMIFS($AD$37:$AD$12971,$V$37:$V$12971,$V10011,$X$37:$X$12971,AG$13)</f>
        <v>0</v>
      </c>
      <c r="AH10011" s="187">
        <f>SUMIFS($AD$37:$AD$12971,$V$37:$V$12971,$V10011,$X$37:$X$12971,AH$13)</f>
        <v>0</v>
      </c>
      <c r="AI10011" s="161">
        <f t="shared" ref="AI10011" si="6643">SUM(AE10011:AH10011)</f>
        <v>0</v>
      </c>
      <c r="AK10011" s="172"/>
    </row>
    <row r="10012" spans="1:41" s="102" customFormat="1" ht="19.899999999999999" customHeight="1" x14ac:dyDescent="0.25">
      <c r="A10012" s="45"/>
      <c r="B10012" s="59"/>
      <c r="C10012" s="137"/>
      <c r="D10012" s="59"/>
      <c r="E10012" s="116"/>
      <c r="F10012" s="120"/>
      <c r="G10012" s="120"/>
      <c r="H10012" s="120"/>
      <c r="I10012" s="60"/>
      <c r="J10012" s="116"/>
      <c r="K10012" s="213"/>
      <c r="L10012" s="120"/>
      <c r="M10012" s="120"/>
      <c r="N10012" s="167"/>
      <c r="O10012" s="120"/>
      <c r="P10012" s="120"/>
      <c r="Q10012" s="120"/>
      <c r="R10012" s="120"/>
      <c r="S10012" s="120"/>
      <c r="T10012" s="221"/>
      <c r="U10012" s="89"/>
      <c r="V10012" s="61"/>
      <c r="W10012" s="92" t="s">
        <v>129</v>
      </c>
      <c r="X10012" s="93" t="s">
        <v>29</v>
      </c>
      <c r="Y10012" s="93" t="s">
        <v>93</v>
      </c>
      <c r="Z10012" s="134">
        <f>VLOOKUP(W10012,Sheet2!$B:$D,3,FALSE)</f>
        <v>56</v>
      </c>
      <c r="AA10012" s="93">
        <f>100/600</f>
        <v>0.16666666666666666</v>
      </c>
      <c r="AB10012" s="93">
        <f t="shared" ref="AB10012" si="6644">AD10012/AC10011</f>
        <v>336</v>
      </c>
      <c r="AC10012" s="93">
        <f>AC10011/AA10012</f>
        <v>72</v>
      </c>
      <c r="AD10012" s="94">
        <f t="shared" ref="AD10012:AD10013" si="6645">AC10012*Z10012</f>
        <v>4032</v>
      </c>
      <c r="AE10012" s="190"/>
      <c r="AF10012" s="191"/>
      <c r="AG10012" s="191"/>
      <c r="AH10012" s="191"/>
      <c r="AI10012" s="186"/>
      <c r="AK10012" s="171"/>
    </row>
    <row r="10013" spans="1:41" s="102" customFormat="1" ht="19.899999999999999" customHeight="1" x14ac:dyDescent="0.25">
      <c r="A10013" s="45"/>
      <c r="B10013" s="59"/>
      <c r="C10013" s="137"/>
      <c r="D10013" s="59"/>
      <c r="E10013" s="116"/>
      <c r="F10013" s="120"/>
      <c r="G10013" s="120"/>
      <c r="H10013" s="120"/>
      <c r="I10013" s="60"/>
      <c r="J10013" s="116"/>
      <c r="K10013" s="213"/>
      <c r="L10013" s="120"/>
      <c r="M10013" s="120"/>
      <c r="N10013" s="167"/>
      <c r="O10013" s="120"/>
      <c r="P10013" s="120"/>
      <c r="Q10013" s="120"/>
      <c r="R10013" s="120"/>
      <c r="S10013" s="120"/>
      <c r="T10013" s="221"/>
      <c r="U10013" s="89"/>
      <c r="V10013" s="61"/>
      <c r="W10013" s="92" t="s">
        <v>65</v>
      </c>
      <c r="X10013" s="93" t="s">
        <v>30</v>
      </c>
      <c r="Y10013" s="93" t="s">
        <v>1011</v>
      </c>
      <c r="Z10013" s="134">
        <f>VLOOKUP(W10013,Sheet2!$B:$D,3,FALSE)</f>
        <v>1.76</v>
      </c>
      <c r="AA10013" s="93">
        <f>AA10012/14</f>
        <v>1.1904761904761904E-2</v>
      </c>
      <c r="AB10013" s="93">
        <f>AD10013/AC10011</f>
        <v>147.84</v>
      </c>
      <c r="AC10013" s="93">
        <f>AC10011/AA10013</f>
        <v>1008</v>
      </c>
      <c r="AD10013" s="94">
        <f t="shared" si="6645"/>
        <v>1774.08</v>
      </c>
      <c r="AE10013" s="190"/>
      <c r="AF10013" s="191"/>
      <c r="AG10013" s="191"/>
      <c r="AH10013" s="191"/>
      <c r="AI10013" s="186"/>
      <c r="AK10013" s="171"/>
    </row>
    <row r="10014" spans="1:41" s="102" customFormat="1" ht="19.899999999999999" customHeight="1" x14ac:dyDescent="0.25">
      <c r="A10014" s="45"/>
      <c r="B10014" s="59"/>
      <c r="C10014" s="137"/>
      <c r="D10014" s="59"/>
      <c r="E10014" s="116"/>
      <c r="F10014" s="120"/>
      <c r="G10014" s="120"/>
      <c r="H10014" s="120"/>
      <c r="I10014" s="60"/>
      <c r="J10014" s="116"/>
      <c r="K10014" s="213"/>
      <c r="L10014" s="120"/>
      <c r="M10014" s="120"/>
      <c r="N10014" s="167"/>
      <c r="O10014" s="120"/>
      <c r="P10014" s="120"/>
      <c r="Q10014" s="120"/>
      <c r="R10014" s="120"/>
      <c r="S10014" s="120"/>
      <c r="T10014" s="221"/>
      <c r="U10014" s="89"/>
      <c r="V10014" s="61"/>
      <c r="W10014" s="92" t="s">
        <v>161</v>
      </c>
      <c r="X10014" s="93" t="s">
        <v>29</v>
      </c>
      <c r="Y10014" s="93" t="s">
        <v>93</v>
      </c>
      <c r="Z10014" s="134">
        <f>VLOOKUP(W10014,Sheet2!$B:$D,3,FALSE)</f>
        <v>48</v>
      </c>
      <c r="AA10014" s="93">
        <f>(16*0.85*1.5)/600</f>
        <v>3.3999999999999996E-2</v>
      </c>
      <c r="AB10014" s="93">
        <f>AD10014/AC10011</f>
        <v>1411.7647058823532</v>
      </c>
      <c r="AC10014" s="93">
        <f>AC10011/AA10014</f>
        <v>352.94117647058829</v>
      </c>
      <c r="AD10014" s="94">
        <f>AC10014*Z10014</f>
        <v>16941.176470588238</v>
      </c>
      <c r="AE10014" s="190"/>
      <c r="AF10014" s="191"/>
      <c r="AG10014" s="191"/>
      <c r="AH10014" s="191"/>
      <c r="AI10014" s="186"/>
      <c r="AK10014" s="171"/>
    </row>
    <row r="10015" spans="1:41" s="102" customFormat="1" ht="19.899999999999999" customHeight="1" x14ac:dyDescent="0.25">
      <c r="A10015" s="45"/>
      <c r="B10015" s="59"/>
      <c r="C10015" s="137"/>
      <c r="D10015" s="59"/>
      <c r="E10015" s="116"/>
      <c r="F10015" s="120"/>
      <c r="G10015" s="120"/>
      <c r="H10015" s="120"/>
      <c r="I10015" s="60"/>
      <c r="J10015" s="116"/>
      <c r="K10015" s="213"/>
      <c r="L10015" s="120"/>
      <c r="M10015" s="120"/>
      <c r="N10015" s="167"/>
      <c r="O10015" s="120"/>
      <c r="P10015" s="120"/>
      <c r="Q10015" s="120"/>
      <c r="R10015" s="120"/>
      <c r="S10015" s="120"/>
      <c r="T10015" s="221"/>
      <c r="U10015" s="89"/>
      <c r="V10015" s="61"/>
      <c r="W10015" s="92" t="s">
        <v>65</v>
      </c>
      <c r="X10015" s="93" t="s">
        <v>30</v>
      </c>
      <c r="Y10015" s="93" t="s">
        <v>1011</v>
      </c>
      <c r="Z10015" s="134">
        <f>VLOOKUP(W10015,Sheet2!$B:$D,3,FALSE)</f>
        <v>1.76</v>
      </c>
      <c r="AA10015" s="93">
        <f>AA10014/10</f>
        <v>3.3999999999999994E-3</v>
      </c>
      <c r="AB10015" s="93">
        <f>AD10015/AC10011</f>
        <v>517.64705882352951</v>
      </c>
      <c r="AC10015" s="93">
        <f>AC10011/AA10015</f>
        <v>3529.4117647058829</v>
      </c>
      <c r="AD10015" s="94">
        <f>AC10015*Z10015</f>
        <v>6211.7647058823541</v>
      </c>
      <c r="AE10015" s="190"/>
      <c r="AF10015" s="191"/>
      <c r="AG10015" s="191"/>
      <c r="AH10015" s="191"/>
      <c r="AI10015" s="186"/>
      <c r="AK10015" s="171"/>
    </row>
    <row r="10016" spans="1:41" s="103" customFormat="1" ht="19.899999999999999" customHeight="1" x14ac:dyDescent="0.25">
      <c r="A10016" s="51"/>
      <c r="B10016" s="165"/>
      <c r="C10016" s="52"/>
      <c r="D10016" s="313"/>
      <c r="E10016" s="115"/>
      <c r="F10016" s="58"/>
      <c r="G10016" s="58"/>
      <c r="H10016" s="58"/>
      <c r="I10016" s="55"/>
      <c r="J10016" s="113">
        <f>J10010</f>
        <v>12</v>
      </c>
      <c r="K10016" s="315">
        <f>K10010</f>
        <v>12</v>
      </c>
      <c r="L10016" s="58"/>
      <c r="M10016" s="58">
        <f>K10016-L10016</f>
        <v>12</v>
      </c>
      <c r="N10016" s="166"/>
      <c r="O10016" s="58"/>
      <c r="P10016" s="58"/>
      <c r="Q10016" s="58"/>
      <c r="R10016" s="58"/>
      <c r="S10016" s="58"/>
      <c r="T10016" s="220"/>
      <c r="U10016" s="88">
        <f>IFERROR(S10016/L10016,0)</f>
        <v>0</v>
      </c>
      <c r="V10016" s="56" t="str">
        <f>V10006&amp;"03"</f>
        <v>0403</v>
      </c>
      <c r="W10016" s="57" t="s">
        <v>1671</v>
      </c>
      <c r="X10016" s="53"/>
      <c r="Y10016" s="91" t="s">
        <v>35</v>
      </c>
      <c r="Z10016" s="136">
        <f>AD10016/AC10016</f>
        <v>8420</v>
      </c>
      <c r="AA10016" s="58"/>
      <c r="AB10016" s="53">
        <f>AD10016/AC10016</f>
        <v>8420</v>
      </c>
      <c r="AC10016" s="53">
        <f>M10016+$AE$10</f>
        <v>12</v>
      </c>
      <c r="AD10016" s="54">
        <f>SUM(AD10017:AD10018)</f>
        <v>101040</v>
      </c>
      <c r="AE10016" s="184">
        <f>SUMIFS($AD$44:$AD$4639,$V$44:$V$4639,$V10016,$X$44:$X$4639,AE$13)</f>
        <v>0</v>
      </c>
      <c r="AF10016" s="185">
        <f>SUMIFS($AD$44:$AD$4639,$V$44:$V$4639,$V10016,$X$44:$X$4639,AF$13)</f>
        <v>0</v>
      </c>
      <c r="AG10016" s="185">
        <f>SUMIFS($AD$44:$AD$4639,$V$44:$V$4639,$V10016,$X$44:$X$4639,AG$13)</f>
        <v>0</v>
      </c>
      <c r="AH10016" s="187">
        <f>SUMIFS($AD$44:$AD$4639,$V$44:$V$4639,$V10016,$X$44:$X$4639,AH$13)</f>
        <v>0</v>
      </c>
      <c r="AI10016" s="161">
        <f t="shared" ref="AI10016" si="6646">SUM(AE10016:AH10016)</f>
        <v>0</v>
      </c>
      <c r="AK10016" s="172"/>
    </row>
    <row r="10017" spans="1:37" s="102" customFormat="1" ht="19.899999999999999" customHeight="1" x14ac:dyDescent="0.25">
      <c r="A10017" s="45"/>
      <c r="B10017" s="137"/>
      <c r="C10017" s="59"/>
      <c r="D10017" s="314"/>
      <c r="E10017" s="116"/>
      <c r="F10017" s="120"/>
      <c r="G10017" s="120"/>
      <c r="H10017" s="120"/>
      <c r="I10017" s="60"/>
      <c r="J10017" s="116"/>
      <c r="K10017" s="120"/>
      <c r="L10017" s="120"/>
      <c r="M10017" s="120"/>
      <c r="N10017" s="167"/>
      <c r="O10017" s="120"/>
      <c r="P10017" s="120"/>
      <c r="Q10017" s="120"/>
      <c r="R10017" s="120"/>
      <c r="S10017" s="120"/>
      <c r="T10017" s="221"/>
      <c r="U10017" s="89"/>
      <c r="V10017" s="61" t="str">
        <f>V10016</f>
        <v>0403</v>
      </c>
      <c r="W10017" s="92" t="s">
        <v>1672</v>
      </c>
      <c r="X10017" s="93" t="s">
        <v>30</v>
      </c>
      <c r="Y10017" s="93" t="s">
        <v>68</v>
      </c>
      <c r="Z10017" s="134">
        <f>VLOOKUP(W10017,Sheet2!$B:$D,3,FALSE)</f>
        <v>275</v>
      </c>
      <c r="AA10017" s="93">
        <f>1/30</f>
        <v>3.3333333333333333E-2</v>
      </c>
      <c r="AB10017" s="93">
        <f>AD10017/AC10016</f>
        <v>8250</v>
      </c>
      <c r="AC10017" s="93">
        <f>AC10016/AA10017</f>
        <v>360</v>
      </c>
      <c r="AD10017" s="94">
        <f>AC10017*Z10017</f>
        <v>99000</v>
      </c>
      <c r="AE10017" s="190"/>
      <c r="AF10017" s="191"/>
      <c r="AG10017" s="191"/>
      <c r="AH10017" s="191"/>
      <c r="AI10017" s="186"/>
      <c r="AK10017" s="171"/>
    </row>
    <row r="10018" spans="1:37" s="102" customFormat="1" ht="19.899999999999999" customHeight="1" x14ac:dyDescent="0.25">
      <c r="A10018" s="45"/>
      <c r="B10018" s="137"/>
      <c r="C10018" s="59"/>
      <c r="D10018" s="314"/>
      <c r="E10018" s="116"/>
      <c r="F10018" s="120"/>
      <c r="G10018" s="120"/>
      <c r="H10018" s="120"/>
      <c r="I10018" s="60"/>
      <c r="J10018" s="116"/>
      <c r="K10018" s="120"/>
      <c r="L10018" s="120"/>
      <c r="M10018" s="120"/>
      <c r="N10018" s="167"/>
      <c r="O10018" s="120"/>
      <c r="P10018" s="120"/>
      <c r="Q10018" s="120"/>
      <c r="R10018" s="120"/>
      <c r="S10018" s="120"/>
      <c r="T10018" s="221"/>
      <c r="U10018" s="89"/>
      <c r="V10018" s="61" t="str">
        <f>V10017</f>
        <v>0403</v>
      </c>
      <c r="W10018" s="92" t="s">
        <v>1619</v>
      </c>
      <c r="X10018" s="93" t="s">
        <v>31</v>
      </c>
      <c r="Y10018" s="93" t="s">
        <v>1656</v>
      </c>
      <c r="Z10018" s="134">
        <f>VLOOKUP(W10018,Sheet2!$B:$D,3,FALSE)</f>
        <v>17</v>
      </c>
      <c r="AA10018" s="93">
        <v>0.1</v>
      </c>
      <c r="AB10018" s="93">
        <f>AD10018/AC10016</f>
        <v>170</v>
      </c>
      <c r="AC10018" s="93">
        <f>AC10016/AA10018</f>
        <v>120</v>
      </c>
      <c r="AD10018" s="94">
        <f t="shared" ref="AD10018" si="6647">AC10018*Z10018</f>
        <v>2040</v>
      </c>
      <c r="AE10018" s="190"/>
      <c r="AF10018" s="191"/>
      <c r="AG10018" s="191"/>
      <c r="AH10018" s="191"/>
      <c r="AI10018" s="186"/>
      <c r="AK10018" s="171"/>
    </row>
    <row r="10019" spans="1:37" s="103" customFormat="1" ht="19.899999999999999" customHeight="1" x14ac:dyDescent="0.25">
      <c r="A10019" s="51"/>
      <c r="B10019" s="52"/>
      <c r="C10019" s="165"/>
      <c r="D10019" s="52"/>
      <c r="E10019" s="115"/>
      <c r="F10019" s="58"/>
      <c r="G10019" s="58"/>
      <c r="H10019" s="58"/>
      <c r="I10019" s="55"/>
      <c r="J10019" s="113">
        <f>J10010</f>
        <v>12</v>
      </c>
      <c r="K10019" s="212">
        <f>K10010</f>
        <v>12</v>
      </c>
      <c r="L10019" s="58"/>
      <c r="M10019" s="58">
        <f>K10019-L10019</f>
        <v>12</v>
      </c>
      <c r="N10019" s="166"/>
      <c r="O10019" s="58"/>
      <c r="P10019" s="58"/>
      <c r="Q10019" s="58"/>
      <c r="R10019" s="58"/>
      <c r="S10019" s="58"/>
      <c r="T10019" s="220"/>
      <c r="U10019" s="88"/>
      <c r="V10019" s="56"/>
      <c r="W10019" s="57" t="s">
        <v>1673</v>
      </c>
      <c r="X10019" s="53"/>
      <c r="Y10019" s="91" t="s">
        <v>35</v>
      </c>
      <c r="Z10019" s="136">
        <f>AD10019/AC10019</f>
        <v>22200</v>
      </c>
      <c r="AA10019" s="58"/>
      <c r="AB10019" s="53">
        <f>AD10019/AC10019</f>
        <v>22200</v>
      </c>
      <c r="AC10019" s="53">
        <f>M10019+$AE$10</f>
        <v>12</v>
      </c>
      <c r="AD10019" s="54">
        <f>SUM(AD10020:AD10024)</f>
        <v>266400</v>
      </c>
      <c r="AE10019" s="184">
        <f>SUMIFS($AD$37:$AD$12971,$V$37:$V$12971,$V10019,$X$37:$X$12971,AE$13)</f>
        <v>0</v>
      </c>
      <c r="AF10019" s="185">
        <f>SUMIFS($AD$37:$AD$12971,$V$37:$V$12971,$V10019,$X$37:$X$12971,AF$13)</f>
        <v>0</v>
      </c>
      <c r="AG10019" s="185">
        <f>SUMIFS($AD$37:$AD$12971,$V$37:$V$12971,$V10019,$X$37:$X$12971,AG$13)</f>
        <v>0</v>
      </c>
      <c r="AH10019" s="187">
        <f>SUMIFS($AD$37:$AD$12971,$V$37:$V$12971,$V10019,$X$37:$X$12971,AH$13)</f>
        <v>0</v>
      </c>
      <c r="AI10019" s="161">
        <f t="shared" ref="AI10019" si="6648">SUM(AE10019:AH10019)</f>
        <v>0</v>
      </c>
      <c r="AK10019" s="172"/>
    </row>
    <row r="10020" spans="1:37" s="102" customFormat="1" ht="19.899999999999999" customHeight="1" x14ac:dyDescent="0.25">
      <c r="A10020" s="45"/>
      <c r="B10020" s="59"/>
      <c r="C10020" s="137"/>
      <c r="D10020" s="59"/>
      <c r="E10020" s="116"/>
      <c r="F10020" s="120"/>
      <c r="G10020" s="120"/>
      <c r="H10020" s="120"/>
      <c r="I10020" s="60"/>
      <c r="J10020" s="116"/>
      <c r="K10020" s="213"/>
      <c r="L10020" s="120"/>
      <c r="M10020" s="120"/>
      <c r="N10020" s="167"/>
      <c r="O10020" s="120"/>
      <c r="P10020" s="120"/>
      <c r="Q10020" s="120"/>
      <c r="R10020" s="120"/>
      <c r="S10020" s="120"/>
      <c r="T10020" s="221"/>
      <c r="U10020" s="89"/>
      <c r="V10020" s="61"/>
      <c r="W10020" s="92" t="s">
        <v>1032</v>
      </c>
      <c r="X10020" s="93" t="s">
        <v>30</v>
      </c>
      <c r="Y10020" s="93" t="s">
        <v>66</v>
      </c>
      <c r="Z10020" s="134">
        <f>VLOOKUP(W10020,Sheet2!$B:$D,3,FALSE)</f>
        <v>250</v>
      </c>
      <c r="AA10020" s="93">
        <f>1/3</f>
        <v>0.33333333333333331</v>
      </c>
      <c r="AB10020" s="93">
        <f>AD10020/AC10019</f>
        <v>750</v>
      </c>
      <c r="AC10020" s="93">
        <f>AC10019/AA10020</f>
        <v>36</v>
      </c>
      <c r="AD10020" s="94">
        <f t="shared" ref="AD10020:AD10022" si="6649">AC10020*Z10020</f>
        <v>9000</v>
      </c>
      <c r="AE10020" s="190"/>
      <c r="AF10020" s="191"/>
      <c r="AG10020" s="191"/>
      <c r="AH10020" s="191"/>
      <c r="AI10020" s="186"/>
      <c r="AK10020" s="171"/>
    </row>
    <row r="10021" spans="1:37" s="102" customFormat="1" ht="19.899999999999999" customHeight="1" x14ac:dyDescent="0.25">
      <c r="A10021" s="45"/>
      <c r="B10021" s="59"/>
      <c r="C10021" s="137"/>
      <c r="D10021" s="59"/>
      <c r="E10021" s="116"/>
      <c r="F10021" s="120"/>
      <c r="G10021" s="120"/>
      <c r="H10021" s="120"/>
      <c r="I10021" s="60"/>
      <c r="J10021" s="116"/>
      <c r="K10021" s="213"/>
      <c r="L10021" s="120"/>
      <c r="M10021" s="120"/>
      <c r="N10021" s="167"/>
      <c r="O10021" s="120"/>
      <c r="P10021" s="120"/>
      <c r="Q10021" s="120"/>
      <c r="R10021" s="120"/>
      <c r="S10021" s="120"/>
      <c r="T10021" s="221"/>
      <c r="U10021" s="89"/>
      <c r="V10021" s="61"/>
      <c r="W10021" s="92" t="s">
        <v>1353</v>
      </c>
      <c r="X10021" s="93" t="s">
        <v>30</v>
      </c>
      <c r="Y10021" s="93" t="s">
        <v>66</v>
      </c>
      <c r="Z10021" s="134">
        <f>VLOOKUP(W10021,Sheet2!$B:$D,3,FALSE)</f>
        <v>350</v>
      </c>
      <c r="AA10021" s="93">
        <f>1/20</f>
        <v>0.05</v>
      </c>
      <c r="AB10021" s="93">
        <f>AD10021/AC10019</f>
        <v>7000</v>
      </c>
      <c r="AC10021" s="93">
        <f>AC10019/AA10021</f>
        <v>240</v>
      </c>
      <c r="AD10021" s="94">
        <f t="shared" si="6649"/>
        <v>84000</v>
      </c>
      <c r="AE10021" s="190"/>
      <c r="AF10021" s="191"/>
      <c r="AG10021" s="191"/>
      <c r="AH10021" s="191"/>
      <c r="AI10021" s="186"/>
      <c r="AK10021" s="171"/>
    </row>
    <row r="10022" spans="1:37" s="102" customFormat="1" ht="19.899999999999999" customHeight="1" x14ac:dyDescent="0.25">
      <c r="A10022" s="45"/>
      <c r="B10022" s="59"/>
      <c r="C10022" s="137"/>
      <c r="D10022" s="59"/>
      <c r="E10022" s="116"/>
      <c r="F10022" s="120"/>
      <c r="G10022" s="120"/>
      <c r="H10022" s="120"/>
      <c r="I10022" s="60"/>
      <c r="J10022" s="116"/>
      <c r="K10022" s="213"/>
      <c r="L10022" s="120"/>
      <c r="M10022" s="120"/>
      <c r="N10022" s="167"/>
      <c r="O10022" s="120"/>
      <c r="P10022" s="120"/>
      <c r="Q10022" s="120"/>
      <c r="R10022" s="120"/>
      <c r="S10022" s="120"/>
      <c r="T10022" s="221"/>
      <c r="U10022" s="89"/>
      <c r="V10022" s="61"/>
      <c r="W10022" s="92" t="s">
        <v>99</v>
      </c>
      <c r="X10022" s="93" t="s">
        <v>30</v>
      </c>
      <c r="Y10022" s="93" t="s">
        <v>67</v>
      </c>
      <c r="Z10022" s="134">
        <f>VLOOKUP(W10022,Sheet2!$B:$D,3,FALSE)</f>
        <v>2500</v>
      </c>
      <c r="AA10022" s="93">
        <f>AA10021/0.1</f>
        <v>0.5</v>
      </c>
      <c r="AB10022" s="93">
        <f>AD10022/AC10019</f>
        <v>5000</v>
      </c>
      <c r="AC10022" s="93">
        <f>AC10019/AA10022</f>
        <v>24</v>
      </c>
      <c r="AD10022" s="94">
        <f t="shared" si="6649"/>
        <v>60000</v>
      </c>
      <c r="AE10022" s="190"/>
      <c r="AF10022" s="191"/>
      <c r="AG10022" s="191"/>
      <c r="AH10022" s="191"/>
      <c r="AI10022" s="186"/>
      <c r="AK10022" s="171"/>
    </row>
    <row r="10023" spans="1:37" s="102" customFormat="1" ht="19.899999999999999" customHeight="1" x14ac:dyDescent="0.25">
      <c r="A10023" s="45"/>
      <c r="B10023" s="59"/>
      <c r="C10023" s="137"/>
      <c r="D10023" s="59"/>
      <c r="E10023" s="116"/>
      <c r="F10023" s="120"/>
      <c r="G10023" s="120"/>
      <c r="H10023" s="120"/>
      <c r="I10023" s="60"/>
      <c r="J10023" s="116"/>
      <c r="K10023" s="213"/>
      <c r="L10023" s="120"/>
      <c r="M10023" s="120"/>
      <c r="N10023" s="167"/>
      <c r="O10023" s="120"/>
      <c r="P10023" s="120"/>
      <c r="Q10023" s="120"/>
      <c r="R10023" s="120"/>
      <c r="S10023" s="120"/>
      <c r="T10023" s="221"/>
      <c r="U10023" s="89"/>
      <c r="V10023" s="61"/>
      <c r="W10023" s="92" t="s">
        <v>1354</v>
      </c>
      <c r="X10023" s="93" t="s">
        <v>32</v>
      </c>
      <c r="Y10023" s="93" t="s">
        <v>66</v>
      </c>
      <c r="Z10023" s="134">
        <f>VLOOKUP(W10023,Sheet2!$B:$D,3,FALSE)</f>
        <v>150</v>
      </c>
      <c r="AA10023" s="93">
        <f>AA10020</f>
        <v>0.33333333333333331</v>
      </c>
      <c r="AB10023" s="93">
        <f>AD10023/AC10019</f>
        <v>450</v>
      </c>
      <c r="AC10023" s="93">
        <f>AC10019/AA10023</f>
        <v>36</v>
      </c>
      <c r="AD10023" s="94">
        <f>AC10023*Z10023</f>
        <v>5400</v>
      </c>
      <c r="AE10023" s="190"/>
      <c r="AF10023" s="191"/>
      <c r="AG10023" s="191"/>
      <c r="AH10023" s="191"/>
      <c r="AI10023" s="186"/>
      <c r="AK10023" s="171"/>
    </row>
    <row r="10024" spans="1:37" s="102" customFormat="1" ht="19.899999999999999" customHeight="1" x14ac:dyDescent="0.25">
      <c r="A10024" s="45"/>
      <c r="B10024" s="59"/>
      <c r="C10024" s="137"/>
      <c r="D10024" s="59"/>
      <c r="E10024" s="116"/>
      <c r="F10024" s="120"/>
      <c r="G10024" s="120"/>
      <c r="H10024" s="120"/>
      <c r="I10024" s="60"/>
      <c r="J10024" s="116"/>
      <c r="K10024" s="213"/>
      <c r="L10024" s="120"/>
      <c r="M10024" s="120"/>
      <c r="N10024" s="167"/>
      <c r="O10024" s="120"/>
      <c r="P10024" s="120"/>
      <c r="Q10024" s="120"/>
      <c r="R10024" s="120"/>
      <c r="S10024" s="120"/>
      <c r="T10024" s="221"/>
      <c r="U10024" s="89"/>
      <c r="V10024" s="61"/>
      <c r="W10024" s="92" t="s">
        <v>1355</v>
      </c>
      <c r="X10024" s="93" t="s">
        <v>32</v>
      </c>
      <c r="Y10024" s="93" t="s">
        <v>66</v>
      </c>
      <c r="Z10024" s="134">
        <f>VLOOKUP(W10024,Sheet2!$B:$D,3,FALSE)</f>
        <v>450</v>
      </c>
      <c r="AA10024" s="93">
        <f>AA10021</f>
        <v>0.05</v>
      </c>
      <c r="AB10024" s="93">
        <f>AD10024/AC10019</f>
        <v>9000</v>
      </c>
      <c r="AC10024" s="93">
        <f>AC10019/AA10024</f>
        <v>240</v>
      </c>
      <c r="AD10024" s="94">
        <f>AC10024*Z10024</f>
        <v>108000</v>
      </c>
      <c r="AE10024" s="190"/>
      <c r="AF10024" s="191"/>
      <c r="AG10024" s="191"/>
      <c r="AH10024" s="191"/>
      <c r="AI10024" s="186"/>
      <c r="AK10024" s="171"/>
    </row>
    <row r="10025" spans="1:37" s="103" customFormat="1" ht="19.899999999999999" customHeight="1" x14ac:dyDescent="0.25">
      <c r="A10025" s="51"/>
      <c r="B10025" s="165"/>
      <c r="C10025" s="52"/>
      <c r="D10025" s="313"/>
      <c r="E10025" s="115"/>
      <c r="F10025" s="58"/>
      <c r="G10025" s="58"/>
      <c r="H10025" s="58"/>
      <c r="I10025" s="55"/>
      <c r="J10025" s="113">
        <f>J10010</f>
        <v>12</v>
      </c>
      <c r="K10025" s="315">
        <f>K10010</f>
        <v>12</v>
      </c>
      <c r="L10025" s="58"/>
      <c r="M10025" s="58">
        <f>K10025-L10025</f>
        <v>12</v>
      </c>
      <c r="N10025" s="166"/>
      <c r="O10025" s="58"/>
      <c r="P10025" s="58"/>
      <c r="Q10025" s="58"/>
      <c r="R10025" s="58"/>
      <c r="S10025" s="58"/>
      <c r="T10025" s="220"/>
      <c r="U10025" s="88">
        <f>IFERROR(S10025/L10025,0)</f>
        <v>0</v>
      </c>
      <c r="V10025" s="56" t="str">
        <f>V10015&amp;"03"</f>
        <v>03</v>
      </c>
      <c r="W10025" s="57" t="s">
        <v>1674</v>
      </c>
      <c r="X10025" s="53"/>
      <c r="Y10025" s="91" t="s">
        <v>35</v>
      </c>
      <c r="Z10025" s="136">
        <f>AD10025/AC10025</f>
        <v>4600</v>
      </c>
      <c r="AA10025" s="58"/>
      <c r="AB10025" s="53">
        <f>AD10025/AC10025</f>
        <v>4600</v>
      </c>
      <c r="AC10025" s="53">
        <f>M10025+$AE$10</f>
        <v>12</v>
      </c>
      <c r="AD10025" s="54">
        <f>SUM(AD10026:AD10027)</f>
        <v>55200</v>
      </c>
      <c r="AE10025" s="184">
        <f>SUMIFS($AD$44:$AD$4639,$V$44:$V$4639,$V10025,$X$44:$X$4639,AE$13)</f>
        <v>0</v>
      </c>
      <c r="AF10025" s="185">
        <f>SUMIFS($AD$44:$AD$4639,$V$44:$V$4639,$V10025,$X$44:$X$4639,AF$13)</f>
        <v>0</v>
      </c>
      <c r="AG10025" s="185">
        <f>SUMIFS($AD$44:$AD$4639,$V$44:$V$4639,$V10025,$X$44:$X$4639,AG$13)</f>
        <v>0</v>
      </c>
      <c r="AH10025" s="187">
        <f>SUMIFS($AD$44:$AD$4639,$V$44:$V$4639,$V10025,$X$44:$X$4639,AH$13)</f>
        <v>0</v>
      </c>
      <c r="AI10025" s="161">
        <f t="shared" ref="AI10025" si="6650">SUM(AE10025:AH10025)</f>
        <v>0</v>
      </c>
      <c r="AK10025" s="172"/>
    </row>
    <row r="10026" spans="1:37" s="102" customFormat="1" ht="19.899999999999999" customHeight="1" x14ac:dyDescent="0.25">
      <c r="A10026" s="45"/>
      <c r="B10026" s="137"/>
      <c r="C10026" s="59"/>
      <c r="D10026" s="314"/>
      <c r="E10026" s="116"/>
      <c r="F10026" s="120"/>
      <c r="G10026" s="120"/>
      <c r="H10026" s="120"/>
      <c r="I10026" s="60"/>
      <c r="J10026" s="116"/>
      <c r="K10026" s="120"/>
      <c r="L10026" s="120"/>
      <c r="M10026" s="120"/>
      <c r="N10026" s="167"/>
      <c r="O10026" s="120"/>
      <c r="P10026" s="120"/>
      <c r="Q10026" s="120"/>
      <c r="R10026" s="120"/>
      <c r="S10026" s="120"/>
      <c r="T10026" s="221"/>
      <c r="U10026" s="89"/>
      <c r="V10026" s="61" t="str">
        <f>V10025</f>
        <v>03</v>
      </c>
      <c r="W10026" s="92" t="s">
        <v>1667</v>
      </c>
      <c r="X10026" s="93" t="s">
        <v>32</v>
      </c>
      <c r="Y10026" s="93" t="s">
        <v>64</v>
      </c>
      <c r="Z10026" s="134">
        <f>VLOOKUP(W10026,Sheet2!$B:$D,3,FALSE)</f>
        <v>5</v>
      </c>
      <c r="AA10026" s="93">
        <f>1/120</f>
        <v>8.3333333333333332E-3</v>
      </c>
      <c r="AB10026" s="93">
        <f>AD10026/AC10025</f>
        <v>600</v>
      </c>
      <c r="AC10026" s="93">
        <f>AC10025/AA10026</f>
        <v>1440</v>
      </c>
      <c r="AD10026" s="94">
        <f>AC10026*Z10026</f>
        <v>7200</v>
      </c>
      <c r="AE10026" s="190"/>
      <c r="AF10026" s="191"/>
      <c r="AG10026" s="191"/>
      <c r="AH10026" s="191"/>
      <c r="AI10026" s="186"/>
      <c r="AK10026" s="171"/>
    </row>
    <row r="10027" spans="1:37" s="102" customFormat="1" ht="19.899999999999999" customHeight="1" x14ac:dyDescent="0.25">
      <c r="A10027" s="45"/>
      <c r="B10027" s="137"/>
      <c r="C10027" s="59"/>
      <c r="D10027" s="314"/>
      <c r="E10027" s="116"/>
      <c r="F10027" s="120"/>
      <c r="G10027" s="120"/>
      <c r="H10027" s="120"/>
      <c r="I10027" s="60"/>
      <c r="J10027" s="116"/>
      <c r="K10027" s="120"/>
      <c r="L10027" s="120"/>
      <c r="M10027" s="120"/>
      <c r="N10027" s="167"/>
      <c r="O10027" s="120"/>
      <c r="P10027" s="120"/>
      <c r="Q10027" s="120"/>
      <c r="R10027" s="120"/>
      <c r="S10027" s="120"/>
      <c r="T10027" s="221"/>
      <c r="U10027" s="89"/>
      <c r="V10027" s="61" t="str">
        <f>V10026</f>
        <v>03</v>
      </c>
      <c r="W10027" s="92" t="s">
        <v>1675</v>
      </c>
      <c r="X10027" s="93" t="s">
        <v>32</v>
      </c>
      <c r="Y10027" s="93" t="s">
        <v>64</v>
      </c>
      <c r="Z10027" s="134">
        <f>VLOOKUP(W10027,Sheet2!$B:$D,3,FALSE)</f>
        <v>80</v>
      </c>
      <c r="AA10027" s="93">
        <f>1/50</f>
        <v>0.02</v>
      </c>
      <c r="AB10027" s="93">
        <f>AD10027/AC10025</f>
        <v>4000</v>
      </c>
      <c r="AC10027" s="93">
        <f>AC10025/AA10027</f>
        <v>600</v>
      </c>
      <c r="AD10027" s="94">
        <f t="shared" ref="AD10027" si="6651">AC10027*Z10027</f>
        <v>48000</v>
      </c>
      <c r="AE10027" s="190"/>
      <c r="AF10027" s="191"/>
      <c r="AG10027" s="191"/>
      <c r="AH10027" s="191"/>
      <c r="AI10027" s="186"/>
      <c r="AK10027" s="171"/>
    </row>
    <row r="10028" spans="1:37" s="103" customFormat="1" ht="19.899999999999999" customHeight="1" x14ac:dyDescent="0.25">
      <c r="A10028" s="51"/>
      <c r="B10028" s="165"/>
      <c r="C10028" s="52"/>
      <c r="D10028" s="313"/>
      <c r="E10028" s="115"/>
      <c r="F10028" s="58"/>
      <c r="G10028" s="58"/>
      <c r="H10028" s="58"/>
      <c r="I10028" s="55"/>
      <c r="J10028" s="113">
        <f>J10010</f>
        <v>12</v>
      </c>
      <c r="K10028" s="315">
        <f>K10010</f>
        <v>12</v>
      </c>
      <c r="L10028" s="58"/>
      <c r="M10028" s="58">
        <f>K10028-L10028</f>
        <v>12</v>
      </c>
      <c r="N10028" s="166"/>
      <c r="O10028" s="58"/>
      <c r="P10028" s="58"/>
      <c r="Q10028" s="58"/>
      <c r="R10028" s="58"/>
      <c r="S10028" s="58"/>
      <c r="T10028" s="220"/>
      <c r="U10028" s="88">
        <f>IFERROR(S10028/L10028,0)</f>
        <v>0</v>
      </c>
      <c r="V10028" s="56" t="str">
        <f>V10025&amp;"02"</f>
        <v>0302</v>
      </c>
      <c r="W10028" s="57" t="s">
        <v>1676</v>
      </c>
      <c r="X10028" s="53"/>
      <c r="Y10028" s="91" t="s">
        <v>35</v>
      </c>
      <c r="Z10028" s="136">
        <f>AD10028/AC10028</f>
        <v>57.532444444444444</v>
      </c>
      <c r="AA10028" s="58"/>
      <c r="AB10028" s="53">
        <f>AD10028/AC10028</f>
        <v>57.532444444444444</v>
      </c>
      <c r="AC10028" s="53">
        <f>M10028+$AE$10</f>
        <v>12</v>
      </c>
      <c r="AD10028" s="54">
        <f>SUM(AD10029:AD10032)</f>
        <v>690.3893333333333</v>
      </c>
      <c r="AE10028" s="184">
        <f>SUMIFS($AD$44:$AD$4639,$V$44:$V$4639,$V10028,$X$44:$X$4639,AE$13)</f>
        <v>0</v>
      </c>
      <c r="AF10028" s="185">
        <f>SUMIFS($AD$44:$AD$4639,$V$44:$V$4639,$V10028,$X$44:$X$4639,AF$13)</f>
        <v>0</v>
      </c>
      <c r="AG10028" s="185">
        <f>SUMIFS($AD$44:$AD$4639,$V$44:$V$4639,$V10028,$X$44:$X$4639,AG$13)</f>
        <v>0</v>
      </c>
      <c r="AH10028" s="187">
        <f>SUMIFS($AD$44:$AD$4639,$V$44:$V$4639,$V10028,$X$44:$X$4639,AH$13)</f>
        <v>0</v>
      </c>
      <c r="AI10028" s="161">
        <f t="shared" ref="AI10028" si="6652">SUM(AE10028:AH10028)</f>
        <v>0</v>
      </c>
      <c r="AK10028" s="172"/>
    </row>
    <row r="10029" spans="1:37" s="102" customFormat="1" ht="19.899999999999999" customHeight="1" x14ac:dyDescent="0.25">
      <c r="A10029" s="45"/>
      <c r="B10029" s="137"/>
      <c r="C10029" s="59"/>
      <c r="D10029" s="314"/>
      <c r="E10029" s="116"/>
      <c r="F10029" s="120"/>
      <c r="G10029" s="120"/>
      <c r="H10029" s="120"/>
      <c r="I10029" s="60"/>
      <c r="J10029" s="116"/>
      <c r="K10029" s="213"/>
      <c r="L10029" s="120"/>
      <c r="M10029" s="120"/>
      <c r="N10029" s="167"/>
      <c r="O10029" s="120"/>
      <c r="P10029" s="120"/>
      <c r="Q10029" s="120"/>
      <c r="R10029" s="120"/>
      <c r="S10029" s="120"/>
      <c r="T10029" s="221"/>
      <c r="U10029" s="89"/>
      <c r="V10029" s="61" t="str">
        <f>V10028</f>
        <v>0302</v>
      </c>
      <c r="W10029" s="92" t="s">
        <v>134</v>
      </c>
      <c r="X10029" s="93" t="s">
        <v>29</v>
      </c>
      <c r="Y10029" s="93" t="s">
        <v>1656</v>
      </c>
      <c r="Z10029" s="134">
        <f>VLOOKUP(W10029,Sheet2!$B:$D,3,FALSE)</f>
        <v>65.599999999999994</v>
      </c>
      <c r="AA10029" s="93">
        <v>5</v>
      </c>
      <c r="AB10029" s="93">
        <f>AD10029/AC10028</f>
        <v>13.119999999999997</v>
      </c>
      <c r="AC10029" s="93">
        <f>AC10028/AA10029</f>
        <v>2.4</v>
      </c>
      <c r="AD10029" s="94">
        <f>AC10029*Z10029</f>
        <v>157.43999999999997</v>
      </c>
      <c r="AE10029" s="190"/>
      <c r="AF10029" s="191"/>
      <c r="AG10029" s="191"/>
      <c r="AH10029" s="191"/>
      <c r="AI10029" s="186"/>
      <c r="AK10029" s="171"/>
    </row>
    <row r="10030" spans="1:37" s="102" customFormat="1" ht="19.899999999999999" customHeight="1" x14ac:dyDescent="0.25">
      <c r="A10030" s="45"/>
      <c r="B10030" s="137"/>
      <c r="C10030" s="59"/>
      <c r="D10030" s="314"/>
      <c r="E10030" s="116"/>
      <c r="F10030" s="120"/>
      <c r="G10030" s="120"/>
      <c r="H10030" s="120"/>
      <c r="I10030" s="60"/>
      <c r="J10030" s="116"/>
      <c r="K10030" s="213"/>
      <c r="L10030" s="120"/>
      <c r="M10030" s="120"/>
      <c r="N10030" s="167"/>
      <c r="O10030" s="120"/>
      <c r="P10030" s="120"/>
      <c r="Q10030" s="120"/>
      <c r="R10030" s="120"/>
      <c r="S10030" s="120"/>
      <c r="T10030" s="221"/>
      <c r="U10030" s="89"/>
      <c r="V10030" s="61" t="str">
        <f t="shared" ref="V10030:V10032" si="6653">V10029</f>
        <v>0302</v>
      </c>
      <c r="W10030" s="92" t="s">
        <v>65</v>
      </c>
      <c r="X10030" s="93" t="s">
        <v>30</v>
      </c>
      <c r="Y10030" s="93" t="s">
        <v>98</v>
      </c>
      <c r="Z10030" s="134">
        <f>VLOOKUP(W10030,Sheet2!$B:$D,3,FALSE)</f>
        <v>1.76</v>
      </c>
      <c r="AA10030" s="93">
        <f>AA10029/9</f>
        <v>0.55555555555555558</v>
      </c>
      <c r="AB10030" s="93">
        <f>AD10030/AC10028</f>
        <v>3.1679999999999997</v>
      </c>
      <c r="AC10030" s="93">
        <f>AC10028/AA10030</f>
        <v>21.599999999999998</v>
      </c>
      <c r="AD10030" s="94">
        <f t="shared" ref="AD10030:AD10032" si="6654">AC10030*Z10030</f>
        <v>38.015999999999998</v>
      </c>
      <c r="AE10030" s="190"/>
      <c r="AF10030" s="191"/>
      <c r="AG10030" s="191"/>
      <c r="AH10030" s="191"/>
      <c r="AI10030" s="186"/>
      <c r="AK10030" s="171"/>
    </row>
    <row r="10031" spans="1:37" s="102" customFormat="1" ht="19.899999999999999" customHeight="1" x14ac:dyDescent="0.25">
      <c r="A10031" s="45"/>
      <c r="B10031" s="137"/>
      <c r="C10031" s="59"/>
      <c r="D10031" s="314"/>
      <c r="E10031" s="116"/>
      <c r="F10031" s="120"/>
      <c r="G10031" s="120"/>
      <c r="H10031" s="120"/>
      <c r="I10031" s="60"/>
      <c r="J10031" s="116"/>
      <c r="K10031" s="213"/>
      <c r="L10031" s="120"/>
      <c r="M10031" s="120"/>
      <c r="N10031" s="167"/>
      <c r="O10031" s="120"/>
      <c r="P10031" s="120"/>
      <c r="Q10031" s="120"/>
      <c r="R10031" s="120"/>
      <c r="S10031" s="120"/>
      <c r="T10031" s="221"/>
      <c r="U10031" s="89"/>
      <c r="V10031" s="61" t="str">
        <f t="shared" si="6653"/>
        <v>0302</v>
      </c>
      <c r="W10031" s="92" t="s">
        <v>1660</v>
      </c>
      <c r="X10031" s="93" t="s">
        <v>29</v>
      </c>
      <c r="Y10031" s="93" t="s">
        <v>1656</v>
      </c>
      <c r="Z10031" s="134">
        <f>VLOOKUP(W10031,Sheet2!$B:$D,3,FALSE)</f>
        <v>56</v>
      </c>
      <c r="AA10031" s="93">
        <f>(24*0.85*15/10)/16</f>
        <v>1.9125000000000001</v>
      </c>
      <c r="AB10031" s="93">
        <f>AD10031/AC10028</f>
        <v>29.281045751633986</v>
      </c>
      <c r="AC10031" s="93">
        <f>AC10028/AA10031</f>
        <v>6.2745098039215685</v>
      </c>
      <c r="AD10031" s="94">
        <f t="shared" si="6654"/>
        <v>351.37254901960785</v>
      </c>
      <c r="AE10031" s="190"/>
      <c r="AF10031" s="191"/>
      <c r="AG10031" s="191"/>
      <c r="AH10031" s="191"/>
      <c r="AI10031" s="186"/>
      <c r="AK10031" s="171"/>
    </row>
    <row r="10032" spans="1:37" s="102" customFormat="1" ht="19.899999999999999" customHeight="1" x14ac:dyDescent="0.25">
      <c r="A10032" s="45"/>
      <c r="B10032" s="137"/>
      <c r="C10032" s="59"/>
      <c r="D10032" s="314"/>
      <c r="E10032" s="116"/>
      <c r="F10032" s="120"/>
      <c r="G10032" s="120"/>
      <c r="H10032" s="120"/>
      <c r="I10032" s="60"/>
      <c r="J10032" s="116"/>
      <c r="K10032" s="213"/>
      <c r="L10032" s="120"/>
      <c r="M10032" s="120"/>
      <c r="N10032" s="167"/>
      <c r="O10032" s="120"/>
      <c r="P10032" s="120"/>
      <c r="Q10032" s="120"/>
      <c r="R10032" s="120"/>
      <c r="S10032" s="120"/>
      <c r="T10032" s="221"/>
      <c r="U10032" s="89"/>
      <c r="V10032" s="61" t="str">
        <f t="shared" si="6653"/>
        <v>0302</v>
      </c>
      <c r="W10032" s="92" t="s">
        <v>65</v>
      </c>
      <c r="X10032" s="93" t="s">
        <v>30</v>
      </c>
      <c r="Y10032" s="93" t="s">
        <v>98</v>
      </c>
      <c r="Z10032" s="134">
        <f>VLOOKUP(W10032,Sheet2!$B:$D,3,FALSE)</f>
        <v>1.76</v>
      </c>
      <c r="AA10032" s="93">
        <f>AA10031/13</f>
        <v>0.14711538461538462</v>
      </c>
      <c r="AB10032" s="93">
        <f>AD10032/AC10028</f>
        <v>11.963398692810458</v>
      </c>
      <c r="AC10032" s="93">
        <f>AC10028/AA10032</f>
        <v>81.568627450980387</v>
      </c>
      <c r="AD10032" s="94">
        <f t="shared" si="6654"/>
        <v>143.56078431372549</v>
      </c>
      <c r="AE10032" s="190"/>
      <c r="AF10032" s="191"/>
      <c r="AG10032" s="191"/>
      <c r="AH10032" s="191"/>
      <c r="AI10032" s="186"/>
      <c r="AK10032" s="171"/>
    </row>
    <row r="10033" spans="1:41" s="103" customFormat="1" ht="19.899999999999999" customHeight="1" x14ac:dyDescent="0.25">
      <c r="A10033" s="51"/>
      <c r="B10033" s="165"/>
      <c r="C10033" s="52"/>
      <c r="D10033" s="313"/>
      <c r="E10033" s="115"/>
      <c r="F10033" s="58"/>
      <c r="G10033" s="58"/>
      <c r="H10033" s="58"/>
      <c r="I10033" s="55"/>
      <c r="J10033" s="113">
        <f>J10010</f>
        <v>12</v>
      </c>
      <c r="K10033" s="315">
        <f>K10010</f>
        <v>12</v>
      </c>
      <c r="L10033" s="58"/>
      <c r="M10033" s="58">
        <f>K10033-L10033</f>
        <v>12</v>
      </c>
      <c r="N10033" s="166"/>
      <c r="O10033" s="58"/>
      <c r="P10033" s="58"/>
      <c r="Q10033" s="58"/>
      <c r="R10033" s="58"/>
      <c r="S10033" s="58"/>
      <c r="T10033" s="220"/>
      <c r="U10033" s="88">
        <f>IFERROR(S10033/L10033,0)</f>
        <v>0</v>
      </c>
      <c r="V10033" s="56" t="str">
        <f>V10025&amp;"04"</f>
        <v>0304</v>
      </c>
      <c r="W10033" s="57" t="s">
        <v>1664</v>
      </c>
      <c r="X10033" s="53"/>
      <c r="Y10033" s="91" t="s">
        <v>35</v>
      </c>
      <c r="Z10033" s="136">
        <f>AD10033/AC10033</f>
        <v>42.483999999999995</v>
      </c>
      <c r="AA10033" s="58"/>
      <c r="AB10033" s="53">
        <f>AD10033/AC10033</f>
        <v>42.483999999999995</v>
      </c>
      <c r="AC10033" s="53">
        <f>M10033+$AE$10</f>
        <v>12</v>
      </c>
      <c r="AD10033" s="54">
        <f>SUM(AD10034:AD10037)</f>
        <v>509.80799999999994</v>
      </c>
      <c r="AE10033" s="184">
        <f>SUMIFS($AD$44:$AD$4639,$V$44:$V$4639,$V10033,$X$44:$X$4639,AE$13)</f>
        <v>0</v>
      </c>
      <c r="AF10033" s="185">
        <f>SUMIFS($AD$44:$AD$4639,$V$44:$V$4639,$V10033,$X$44:$X$4639,AF$13)</f>
        <v>0</v>
      </c>
      <c r="AG10033" s="185">
        <f>SUMIFS($AD$44:$AD$4639,$V$44:$V$4639,$V10033,$X$44:$X$4639,AG$13)</f>
        <v>0</v>
      </c>
      <c r="AH10033" s="187">
        <f>SUMIFS($AD$44:$AD$4639,$V$44:$V$4639,$V10033,$X$44:$X$4639,AH$13)</f>
        <v>0</v>
      </c>
      <c r="AI10033" s="161">
        <f t="shared" ref="AI10033" si="6655">SUM(AE10033:AH10033)</f>
        <v>0</v>
      </c>
      <c r="AK10033" s="172"/>
    </row>
    <row r="10034" spans="1:41" s="102" customFormat="1" ht="19.899999999999999" customHeight="1" x14ac:dyDescent="0.25">
      <c r="A10034" s="45"/>
      <c r="B10034" s="137"/>
      <c r="C10034" s="59"/>
      <c r="D10034" s="314"/>
      <c r="E10034" s="116"/>
      <c r="F10034" s="120"/>
      <c r="G10034" s="120"/>
      <c r="H10034" s="120"/>
      <c r="I10034" s="60"/>
      <c r="J10034" s="116"/>
      <c r="K10034" s="120"/>
      <c r="L10034" s="120"/>
      <c r="M10034" s="120"/>
      <c r="N10034" s="167"/>
      <c r="O10034" s="120"/>
      <c r="P10034" s="120"/>
      <c r="Q10034" s="120"/>
      <c r="R10034" s="120"/>
      <c r="S10034" s="120"/>
      <c r="T10034" s="221"/>
      <c r="U10034" s="89"/>
      <c r="V10034" s="61" t="str">
        <f>V10033</f>
        <v>0304</v>
      </c>
      <c r="W10034" s="92" t="s">
        <v>145</v>
      </c>
      <c r="X10034" s="93" t="s">
        <v>29</v>
      </c>
      <c r="Y10034" s="93" t="s">
        <v>1656</v>
      </c>
      <c r="Z10034" s="134">
        <f>VLOOKUP(W10034,Sheet2!$B:$D,3,FALSE)</f>
        <v>40</v>
      </c>
      <c r="AA10034" s="93">
        <f>200/65</f>
        <v>3.0769230769230771</v>
      </c>
      <c r="AB10034" s="93">
        <f>AD10034/AC10033</f>
        <v>13</v>
      </c>
      <c r="AC10034" s="93">
        <f>AC10033/AA10034</f>
        <v>3.9</v>
      </c>
      <c r="AD10034" s="94">
        <f>AC10034*Z10034</f>
        <v>156</v>
      </c>
      <c r="AE10034" s="190"/>
      <c r="AF10034" s="191"/>
      <c r="AG10034" s="191"/>
      <c r="AH10034" s="191"/>
      <c r="AI10034" s="186"/>
      <c r="AK10034" s="171"/>
    </row>
    <row r="10035" spans="1:41" s="102" customFormat="1" ht="19.899999999999999" customHeight="1" x14ac:dyDescent="0.25">
      <c r="A10035" s="45"/>
      <c r="B10035" s="137"/>
      <c r="C10035" s="59"/>
      <c r="D10035" s="314"/>
      <c r="E10035" s="116"/>
      <c r="F10035" s="120"/>
      <c r="G10035" s="120"/>
      <c r="H10035" s="120"/>
      <c r="I10035" s="60"/>
      <c r="J10035" s="116"/>
      <c r="K10035" s="120"/>
      <c r="L10035" s="120"/>
      <c r="M10035" s="120"/>
      <c r="N10035" s="167"/>
      <c r="O10035" s="120"/>
      <c r="P10035" s="120"/>
      <c r="Q10035" s="120"/>
      <c r="R10035" s="120"/>
      <c r="S10035" s="120"/>
      <c r="T10035" s="221"/>
      <c r="U10035" s="89"/>
      <c r="V10035" s="61" t="str">
        <f t="shared" ref="V10035:V10037" si="6656">V10034</f>
        <v>0304</v>
      </c>
      <c r="W10035" s="92" t="s">
        <v>65</v>
      </c>
      <c r="X10035" s="93" t="s">
        <v>30</v>
      </c>
      <c r="Y10035" s="93" t="s">
        <v>98</v>
      </c>
      <c r="Z10035" s="134">
        <f>VLOOKUP(W10035,Sheet2!$B:$D,3,FALSE)</f>
        <v>1.76</v>
      </c>
      <c r="AA10035" s="93">
        <f>AA10034/14</f>
        <v>0.2197802197802198</v>
      </c>
      <c r="AB10035" s="93">
        <f>AD10035/AC10033</f>
        <v>8.0079999999999991</v>
      </c>
      <c r="AC10035" s="93">
        <f>AC10033/AA10035</f>
        <v>54.599999999999994</v>
      </c>
      <c r="AD10035" s="94">
        <f>AC10035*Z10035</f>
        <v>96.095999999999989</v>
      </c>
      <c r="AE10035" s="190"/>
      <c r="AF10035" s="191"/>
      <c r="AG10035" s="191"/>
      <c r="AH10035" s="191"/>
      <c r="AI10035" s="186"/>
      <c r="AK10035" s="171"/>
    </row>
    <row r="10036" spans="1:41" s="102" customFormat="1" ht="19.899999999999999" customHeight="1" x14ac:dyDescent="0.25">
      <c r="A10036" s="45"/>
      <c r="B10036" s="137"/>
      <c r="C10036" s="59"/>
      <c r="D10036" s="314"/>
      <c r="E10036" s="116"/>
      <c r="F10036" s="120"/>
      <c r="G10036" s="120"/>
      <c r="H10036" s="120"/>
      <c r="I10036" s="60"/>
      <c r="J10036" s="116"/>
      <c r="K10036" s="120"/>
      <c r="L10036" s="120"/>
      <c r="M10036" s="120"/>
      <c r="N10036" s="167"/>
      <c r="O10036" s="120"/>
      <c r="P10036" s="120"/>
      <c r="Q10036" s="120"/>
      <c r="R10036" s="120"/>
      <c r="S10036" s="120"/>
      <c r="T10036" s="221"/>
      <c r="U10036" s="89"/>
      <c r="V10036" s="61" t="str">
        <f t="shared" si="6656"/>
        <v>0304</v>
      </c>
      <c r="W10036" s="92" t="s">
        <v>135</v>
      </c>
      <c r="X10036" s="93" t="s">
        <v>29</v>
      </c>
      <c r="Y10036" s="93" t="s">
        <v>1656</v>
      </c>
      <c r="Z10036" s="134">
        <f>VLOOKUP(W10036,Sheet2!$B:$D,3,FALSE)</f>
        <v>52</v>
      </c>
      <c r="AA10036" s="93">
        <f>AA10034</f>
        <v>3.0769230769230771</v>
      </c>
      <c r="AB10036" s="93">
        <f>AD10036/AC10033</f>
        <v>16.899999999999999</v>
      </c>
      <c r="AC10036" s="93">
        <f>AC10033/AA10036</f>
        <v>3.9</v>
      </c>
      <c r="AD10036" s="94">
        <f>AC10036*Z10036</f>
        <v>202.79999999999998</v>
      </c>
      <c r="AE10036" s="190"/>
      <c r="AF10036" s="191"/>
      <c r="AG10036" s="191"/>
      <c r="AH10036" s="191"/>
      <c r="AI10036" s="186"/>
      <c r="AK10036" s="171"/>
    </row>
    <row r="10037" spans="1:41" s="102" customFormat="1" ht="19.899999999999999" customHeight="1" x14ac:dyDescent="0.25">
      <c r="A10037" s="45"/>
      <c r="B10037" s="137"/>
      <c r="C10037" s="59"/>
      <c r="D10037" s="314"/>
      <c r="E10037" s="116"/>
      <c r="F10037" s="120"/>
      <c r="G10037" s="120"/>
      <c r="H10037" s="120"/>
      <c r="I10037" s="60"/>
      <c r="J10037" s="116"/>
      <c r="K10037" s="120"/>
      <c r="L10037" s="120"/>
      <c r="M10037" s="120"/>
      <c r="N10037" s="167"/>
      <c r="O10037" s="120"/>
      <c r="P10037" s="120"/>
      <c r="Q10037" s="120"/>
      <c r="R10037" s="120"/>
      <c r="S10037" s="120"/>
      <c r="T10037" s="221"/>
      <c r="U10037" s="89"/>
      <c r="V10037" s="61" t="str">
        <f t="shared" si="6656"/>
        <v>0304</v>
      </c>
      <c r="W10037" s="92" t="s">
        <v>65</v>
      </c>
      <c r="X10037" s="93" t="s">
        <v>30</v>
      </c>
      <c r="Y10037" s="93" t="s">
        <v>98</v>
      </c>
      <c r="Z10037" s="134">
        <f>VLOOKUP(W10037,Sheet2!$B:$D,3,FALSE)</f>
        <v>1.76</v>
      </c>
      <c r="AA10037" s="93">
        <f>AA10036/8</f>
        <v>0.38461538461538464</v>
      </c>
      <c r="AB10037" s="93">
        <f>AD10037/AC10033</f>
        <v>4.5759999999999996</v>
      </c>
      <c r="AC10037" s="93">
        <f>AC10033/AA10037</f>
        <v>31.2</v>
      </c>
      <c r="AD10037" s="94">
        <f t="shared" ref="AD10037" si="6657">AC10037*Z10037</f>
        <v>54.911999999999999</v>
      </c>
      <c r="AE10037" s="190"/>
      <c r="AF10037" s="191"/>
      <c r="AG10037" s="191"/>
      <c r="AH10037" s="191"/>
      <c r="AI10037" s="186"/>
      <c r="AK10037" s="171"/>
    </row>
    <row r="10038" spans="1:41" ht="51" x14ac:dyDescent="0.25">
      <c r="A10038" s="277" t="s">
        <v>945</v>
      </c>
      <c r="B10038" s="278"/>
      <c r="C10038" s="64" t="s">
        <v>955</v>
      </c>
      <c r="D10038" s="46" t="s">
        <v>954</v>
      </c>
      <c r="E10038" s="114">
        <v>12</v>
      </c>
      <c r="F10038" s="44">
        <v>33648</v>
      </c>
      <c r="G10038" s="44">
        <f t="shared" si="3841"/>
        <v>403776</v>
      </c>
      <c r="H10038" s="44">
        <f t="shared" si="3842"/>
        <v>31062.780956862745</v>
      </c>
      <c r="I10038" s="43">
        <f t="shared" si="3843"/>
        <v>372753.37148235296</v>
      </c>
      <c r="J10038" s="112">
        <f t="shared" si="3844"/>
        <v>12</v>
      </c>
      <c r="K10038" s="211">
        <f t="shared" si="3845"/>
        <v>12</v>
      </c>
      <c r="L10038" s="44"/>
      <c r="M10038" s="44">
        <f t="shared" si="3846"/>
        <v>12</v>
      </c>
      <c r="N10038" s="173">
        <f t="shared" si="3847"/>
        <v>1</v>
      </c>
      <c r="O10038" s="44">
        <f t="shared" si="3848"/>
        <v>33648</v>
      </c>
      <c r="P10038" s="44">
        <f t="shared" si="3849"/>
        <v>403776</v>
      </c>
      <c r="Q10038" s="44">
        <f t="shared" si="3850"/>
        <v>31062.780956862745</v>
      </c>
      <c r="R10038" s="44">
        <f t="shared" si="3851"/>
        <v>372753.37148235296</v>
      </c>
      <c r="S10038" s="123"/>
      <c r="T10038" s="219">
        <f t="shared" si="3852"/>
        <v>372753.37148235296</v>
      </c>
      <c r="U10038" s="87"/>
      <c r="V10038" s="47"/>
      <c r="W10038" s="48"/>
      <c r="X10038" s="48"/>
      <c r="Y10038" s="48"/>
      <c r="Z10038" s="135"/>
      <c r="AA10038" s="49"/>
      <c r="AB10038" s="50">
        <f t="shared" si="3853"/>
        <v>31062.780956862745</v>
      </c>
      <c r="AC10038" s="42">
        <f t="shared" si="3854"/>
        <v>12</v>
      </c>
      <c r="AD10038" s="90">
        <f>AD10039+AD10044+AD10049+AD10052+AD10058+AD10061</f>
        <v>372753.37148235296</v>
      </c>
      <c r="AE10038" s="188">
        <f t="shared" ref="AE10038:AH10038" si="6658">AE10039+AE10044+AE10049+AE10052+AE10058+AE10061</f>
        <v>0</v>
      </c>
      <c r="AF10038" s="189">
        <f t="shared" si="6658"/>
        <v>0</v>
      </c>
      <c r="AG10038" s="189">
        <f t="shared" si="6658"/>
        <v>0</v>
      </c>
      <c r="AH10038" s="189">
        <f t="shared" si="6658"/>
        <v>0</v>
      </c>
      <c r="AI10038" s="161">
        <f t="shared" ref="AI10038" si="6659">SUM(AE10038:AH10038)</f>
        <v>0</v>
      </c>
      <c r="AK10038" s="169">
        <v>5</v>
      </c>
      <c r="AO10038" s="19" t="s">
        <v>63</v>
      </c>
    </row>
    <row r="10039" spans="1:41" s="103" customFormat="1" ht="19.899999999999999" customHeight="1" x14ac:dyDescent="0.25">
      <c r="A10039" s="51"/>
      <c r="B10039" s="52"/>
      <c r="C10039" s="165"/>
      <c r="D10039" s="52"/>
      <c r="E10039" s="115"/>
      <c r="F10039" s="58"/>
      <c r="G10039" s="58"/>
      <c r="H10039" s="58"/>
      <c r="I10039" s="55"/>
      <c r="J10039" s="113">
        <f>J10038</f>
        <v>12</v>
      </c>
      <c r="K10039" s="212">
        <f>K10038</f>
        <v>12</v>
      </c>
      <c r="L10039" s="58"/>
      <c r="M10039" s="58">
        <f>K10039-L10039</f>
        <v>12</v>
      </c>
      <c r="N10039" s="166"/>
      <c r="O10039" s="58"/>
      <c r="P10039" s="58"/>
      <c r="Q10039" s="58"/>
      <c r="R10039" s="58"/>
      <c r="S10039" s="58"/>
      <c r="T10039" s="220"/>
      <c r="U10039" s="88"/>
      <c r="V10039" s="56"/>
      <c r="W10039" s="57" t="s">
        <v>1670</v>
      </c>
      <c r="X10039" s="53"/>
      <c r="Y10039" s="91" t="s">
        <v>35</v>
      </c>
      <c r="Z10039" s="136">
        <f>AD10039/AC10039</f>
        <v>4826.5035294117652</v>
      </c>
      <c r="AA10039" s="58"/>
      <c r="AB10039" s="53">
        <f>AD10039/AC10039</f>
        <v>4826.5035294117652</v>
      </c>
      <c r="AC10039" s="53">
        <f>M10039+$AE$10</f>
        <v>12</v>
      </c>
      <c r="AD10039" s="54">
        <f>SUM(AD10040:AD10043)</f>
        <v>57918.042352941186</v>
      </c>
      <c r="AE10039" s="184">
        <f>SUMIFS($AD$37:$AD$12971,$V$37:$V$12971,$V10039,$X$37:$X$12971,AE$13)</f>
        <v>0</v>
      </c>
      <c r="AF10039" s="185">
        <f>SUMIFS($AD$37:$AD$12971,$V$37:$V$12971,$V10039,$X$37:$X$12971,AF$13)</f>
        <v>0</v>
      </c>
      <c r="AG10039" s="185">
        <f>SUMIFS($AD$37:$AD$12971,$V$37:$V$12971,$V10039,$X$37:$X$12971,AG$13)</f>
        <v>0</v>
      </c>
      <c r="AH10039" s="187">
        <f>SUMIFS($AD$37:$AD$12971,$V$37:$V$12971,$V10039,$X$37:$X$12971,AH$13)</f>
        <v>0</v>
      </c>
      <c r="AI10039" s="161">
        <f t="shared" ref="AI10039" si="6660">SUM(AE10039:AH10039)</f>
        <v>0</v>
      </c>
      <c r="AK10039" s="172"/>
    </row>
    <row r="10040" spans="1:41" s="102" customFormat="1" ht="19.899999999999999" customHeight="1" x14ac:dyDescent="0.25">
      <c r="A10040" s="45"/>
      <c r="B10040" s="59"/>
      <c r="C10040" s="137"/>
      <c r="D10040" s="59"/>
      <c r="E10040" s="116"/>
      <c r="F10040" s="120"/>
      <c r="G10040" s="120"/>
      <c r="H10040" s="120"/>
      <c r="I10040" s="60"/>
      <c r="J10040" s="116"/>
      <c r="K10040" s="213"/>
      <c r="L10040" s="120"/>
      <c r="M10040" s="120"/>
      <c r="N10040" s="167"/>
      <c r="O10040" s="120"/>
      <c r="P10040" s="120"/>
      <c r="Q10040" s="120"/>
      <c r="R10040" s="120"/>
      <c r="S10040" s="120"/>
      <c r="T10040" s="221"/>
      <c r="U10040" s="89"/>
      <c r="V10040" s="61"/>
      <c r="W10040" s="92" t="s">
        <v>129</v>
      </c>
      <c r="X10040" s="93" t="s">
        <v>29</v>
      </c>
      <c r="Y10040" s="93" t="s">
        <v>93</v>
      </c>
      <c r="Z10040" s="134">
        <f>VLOOKUP(W10040,Sheet2!$B:$D,3,FALSE)</f>
        <v>56</v>
      </c>
      <c r="AA10040" s="93">
        <f>100/1200</f>
        <v>8.3333333333333329E-2</v>
      </c>
      <c r="AB10040" s="93">
        <f t="shared" ref="AB10040" si="6661">AD10040/AC10039</f>
        <v>672</v>
      </c>
      <c r="AC10040" s="93">
        <f>AC10039/AA10040</f>
        <v>144</v>
      </c>
      <c r="AD10040" s="94">
        <f t="shared" ref="AD10040:AD10041" si="6662">AC10040*Z10040</f>
        <v>8064</v>
      </c>
      <c r="AE10040" s="190"/>
      <c r="AF10040" s="191"/>
      <c r="AG10040" s="191"/>
      <c r="AH10040" s="191"/>
      <c r="AI10040" s="186"/>
      <c r="AK10040" s="171"/>
    </row>
    <row r="10041" spans="1:41" s="102" customFormat="1" ht="19.899999999999999" customHeight="1" x14ac:dyDescent="0.25">
      <c r="A10041" s="45"/>
      <c r="B10041" s="59"/>
      <c r="C10041" s="137"/>
      <c r="D10041" s="59"/>
      <c r="E10041" s="116"/>
      <c r="F10041" s="120"/>
      <c r="G10041" s="120"/>
      <c r="H10041" s="120"/>
      <c r="I10041" s="60"/>
      <c r="J10041" s="116"/>
      <c r="K10041" s="213"/>
      <c r="L10041" s="120"/>
      <c r="M10041" s="120"/>
      <c r="N10041" s="167"/>
      <c r="O10041" s="120"/>
      <c r="P10041" s="120"/>
      <c r="Q10041" s="120"/>
      <c r="R10041" s="120"/>
      <c r="S10041" s="120"/>
      <c r="T10041" s="221"/>
      <c r="U10041" s="89"/>
      <c r="V10041" s="61"/>
      <c r="W10041" s="92" t="s">
        <v>65</v>
      </c>
      <c r="X10041" s="93" t="s">
        <v>30</v>
      </c>
      <c r="Y10041" s="93" t="s">
        <v>1011</v>
      </c>
      <c r="Z10041" s="134">
        <f>VLOOKUP(W10041,Sheet2!$B:$D,3,FALSE)</f>
        <v>1.76</v>
      </c>
      <c r="AA10041" s="93">
        <f>AA10040/14</f>
        <v>5.9523809523809521E-3</v>
      </c>
      <c r="AB10041" s="93">
        <f>AD10041/AC10039</f>
        <v>295.68</v>
      </c>
      <c r="AC10041" s="93">
        <f>AC10039/AA10041</f>
        <v>2016</v>
      </c>
      <c r="AD10041" s="94">
        <f t="shared" si="6662"/>
        <v>3548.16</v>
      </c>
      <c r="AE10041" s="190"/>
      <c r="AF10041" s="191"/>
      <c r="AG10041" s="191"/>
      <c r="AH10041" s="191"/>
      <c r="AI10041" s="186"/>
      <c r="AK10041" s="171"/>
    </row>
    <row r="10042" spans="1:41" s="102" customFormat="1" ht="19.899999999999999" customHeight="1" x14ac:dyDescent="0.25">
      <c r="A10042" s="45"/>
      <c r="B10042" s="59"/>
      <c r="C10042" s="137"/>
      <c r="D10042" s="59"/>
      <c r="E10042" s="116"/>
      <c r="F10042" s="120"/>
      <c r="G10042" s="120"/>
      <c r="H10042" s="120"/>
      <c r="I10042" s="60"/>
      <c r="J10042" s="116"/>
      <c r="K10042" s="213"/>
      <c r="L10042" s="120"/>
      <c r="M10042" s="120"/>
      <c r="N10042" s="167"/>
      <c r="O10042" s="120"/>
      <c r="P10042" s="120"/>
      <c r="Q10042" s="120"/>
      <c r="R10042" s="120"/>
      <c r="S10042" s="120"/>
      <c r="T10042" s="221"/>
      <c r="U10042" s="89"/>
      <c r="V10042" s="61"/>
      <c r="W10042" s="92" t="s">
        <v>161</v>
      </c>
      <c r="X10042" s="93" t="s">
        <v>29</v>
      </c>
      <c r="Y10042" s="93" t="s">
        <v>93</v>
      </c>
      <c r="Z10042" s="134">
        <f>VLOOKUP(W10042,Sheet2!$B:$D,3,FALSE)</f>
        <v>48</v>
      </c>
      <c r="AA10042" s="93">
        <f>(16*0.85*1.5)/1200</f>
        <v>1.6999999999999998E-2</v>
      </c>
      <c r="AB10042" s="93">
        <f>AD10042/AC10039</f>
        <v>2823.5294117647063</v>
      </c>
      <c r="AC10042" s="93">
        <f>AC10039/AA10042</f>
        <v>705.88235294117658</v>
      </c>
      <c r="AD10042" s="94">
        <f>AC10042*Z10042</f>
        <v>33882.352941176476</v>
      </c>
      <c r="AE10042" s="190"/>
      <c r="AF10042" s="191"/>
      <c r="AG10042" s="191"/>
      <c r="AH10042" s="191"/>
      <c r="AI10042" s="186"/>
      <c r="AK10042" s="171"/>
    </row>
    <row r="10043" spans="1:41" s="102" customFormat="1" ht="19.899999999999999" customHeight="1" x14ac:dyDescent="0.25">
      <c r="A10043" s="45"/>
      <c r="B10043" s="59"/>
      <c r="C10043" s="137"/>
      <c r="D10043" s="59"/>
      <c r="E10043" s="116"/>
      <c r="F10043" s="120"/>
      <c r="G10043" s="120"/>
      <c r="H10043" s="120"/>
      <c r="I10043" s="60"/>
      <c r="J10043" s="116"/>
      <c r="K10043" s="213"/>
      <c r="L10043" s="120"/>
      <c r="M10043" s="120"/>
      <c r="N10043" s="167"/>
      <c r="O10043" s="120"/>
      <c r="P10043" s="120"/>
      <c r="Q10043" s="120"/>
      <c r="R10043" s="120"/>
      <c r="S10043" s="120"/>
      <c r="T10043" s="221"/>
      <c r="U10043" s="89"/>
      <c r="V10043" s="61"/>
      <c r="W10043" s="92" t="s">
        <v>65</v>
      </c>
      <c r="X10043" s="93" t="s">
        <v>30</v>
      </c>
      <c r="Y10043" s="93" t="s">
        <v>1011</v>
      </c>
      <c r="Z10043" s="134">
        <f>VLOOKUP(W10043,Sheet2!$B:$D,3,FALSE)</f>
        <v>1.76</v>
      </c>
      <c r="AA10043" s="93">
        <f>AA10042/10</f>
        <v>1.6999999999999997E-3</v>
      </c>
      <c r="AB10043" s="93">
        <f>AD10043/AC10039</f>
        <v>1035.294117647059</v>
      </c>
      <c r="AC10043" s="93">
        <f>AC10039/AA10043</f>
        <v>7058.8235294117658</v>
      </c>
      <c r="AD10043" s="94">
        <f>AC10043*Z10043</f>
        <v>12423.529411764708</v>
      </c>
      <c r="AE10043" s="190"/>
      <c r="AF10043" s="191"/>
      <c r="AG10043" s="191"/>
      <c r="AH10043" s="191"/>
      <c r="AI10043" s="186"/>
      <c r="AK10043" s="171"/>
    </row>
    <row r="10044" spans="1:41" s="103" customFormat="1" ht="19.899999999999999" customHeight="1" x14ac:dyDescent="0.25">
      <c r="A10044" s="51"/>
      <c r="B10044" s="165"/>
      <c r="C10044" s="52"/>
      <c r="D10044" s="313"/>
      <c r="E10044" s="115"/>
      <c r="F10044" s="58"/>
      <c r="G10044" s="58"/>
      <c r="H10044" s="58"/>
      <c r="I10044" s="55"/>
      <c r="J10044" s="113">
        <f>J10038</f>
        <v>12</v>
      </c>
      <c r="K10044" s="315">
        <f>K10038</f>
        <v>12</v>
      </c>
      <c r="L10044" s="58"/>
      <c r="M10044" s="58">
        <f>K10044-L10044</f>
        <v>12</v>
      </c>
      <c r="N10044" s="166"/>
      <c r="O10044" s="58"/>
      <c r="P10044" s="58"/>
      <c r="Q10044" s="58"/>
      <c r="R10044" s="58"/>
      <c r="S10044" s="58"/>
      <c r="T10044" s="220"/>
      <c r="U10044" s="88">
        <f>IFERROR(S10044/L10044,0)</f>
        <v>0</v>
      </c>
      <c r="V10044" s="56" t="str">
        <f>V10058&amp;"04"</f>
        <v>0304</v>
      </c>
      <c r="W10044" s="57" t="s">
        <v>1677</v>
      </c>
      <c r="X10044" s="53"/>
      <c r="Y10044" s="91" t="s">
        <v>35</v>
      </c>
      <c r="Z10044" s="136">
        <f>AD10044/AC10044</f>
        <v>287.584</v>
      </c>
      <c r="AA10044" s="58"/>
      <c r="AB10044" s="53">
        <f>AD10044/AC10044</f>
        <v>287.584</v>
      </c>
      <c r="AC10044" s="53">
        <f>M10044+$AE$10</f>
        <v>12</v>
      </c>
      <c r="AD10044" s="54">
        <f>SUM(AD10045:AD10048)</f>
        <v>3451.0080000000003</v>
      </c>
      <c r="AE10044" s="184">
        <f>SUMIFS($AD$44:$AD$4639,$V$44:$V$4639,$V10044,$X$44:$X$4639,AE$13)</f>
        <v>0</v>
      </c>
      <c r="AF10044" s="185">
        <f>SUMIFS($AD$44:$AD$4639,$V$44:$V$4639,$V10044,$X$44:$X$4639,AF$13)</f>
        <v>0</v>
      </c>
      <c r="AG10044" s="185">
        <f>SUMIFS($AD$44:$AD$4639,$V$44:$V$4639,$V10044,$X$44:$X$4639,AG$13)</f>
        <v>0</v>
      </c>
      <c r="AH10044" s="187">
        <f>SUMIFS($AD$44:$AD$4639,$V$44:$V$4639,$V10044,$X$44:$X$4639,AH$13)</f>
        <v>0</v>
      </c>
      <c r="AI10044" s="161">
        <f t="shared" ref="AI10044" si="6663">SUM(AE10044:AH10044)</f>
        <v>0</v>
      </c>
      <c r="AK10044" s="172"/>
    </row>
    <row r="10045" spans="1:41" s="102" customFormat="1" ht="19.899999999999999" customHeight="1" x14ac:dyDescent="0.25">
      <c r="A10045" s="45"/>
      <c r="B10045" s="137"/>
      <c r="C10045" s="59"/>
      <c r="D10045" s="314"/>
      <c r="E10045" s="116"/>
      <c r="F10045" s="120"/>
      <c r="G10045" s="120"/>
      <c r="H10045" s="120"/>
      <c r="I10045" s="60"/>
      <c r="J10045" s="116"/>
      <c r="K10045" s="120"/>
      <c r="L10045" s="120"/>
      <c r="M10045" s="120"/>
      <c r="N10045" s="167"/>
      <c r="O10045" s="120"/>
      <c r="P10045" s="120"/>
      <c r="Q10045" s="120"/>
      <c r="R10045" s="120"/>
      <c r="S10045" s="120"/>
      <c r="T10045" s="221"/>
      <c r="U10045" s="89"/>
      <c r="V10045" s="61" t="str">
        <f>V10044</f>
        <v>0304</v>
      </c>
      <c r="W10045" s="92" t="s">
        <v>145</v>
      </c>
      <c r="X10045" s="93" t="s">
        <v>29</v>
      </c>
      <c r="Y10045" s="93" t="s">
        <v>1656</v>
      </c>
      <c r="Z10045" s="134">
        <f>VLOOKUP(W10045,Sheet2!$B:$D,3,FALSE)</f>
        <v>40</v>
      </c>
      <c r="AA10045" s="93">
        <f>250/550</f>
        <v>0.45454545454545453</v>
      </c>
      <c r="AB10045" s="93">
        <f>AD10045/AC10044</f>
        <v>88</v>
      </c>
      <c r="AC10045" s="93">
        <f>AC10044/AA10045</f>
        <v>26.400000000000002</v>
      </c>
      <c r="AD10045" s="94">
        <f>AC10045*Z10045</f>
        <v>1056</v>
      </c>
      <c r="AE10045" s="190"/>
      <c r="AF10045" s="191"/>
      <c r="AG10045" s="191"/>
      <c r="AH10045" s="191"/>
      <c r="AI10045" s="186"/>
      <c r="AK10045" s="171"/>
    </row>
    <row r="10046" spans="1:41" s="102" customFormat="1" ht="19.899999999999999" customHeight="1" x14ac:dyDescent="0.25">
      <c r="A10046" s="45"/>
      <c r="B10046" s="137"/>
      <c r="C10046" s="59"/>
      <c r="D10046" s="314"/>
      <c r="E10046" s="116"/>
      <c r="F10046" s="120"/>
      <c r="G10046" s="120"/>
      <c r="H10046" s="120"/>
      <c r="I10046" s="60"/>
      <c r="J10046" s="116"/>
      <c r="K10046" s="120"/>
      <c r="L10046" s="120"/>
      <c r="M10046" s="120"/>
      <c r="N10046" s="167"/>
      <c r="O10046" s="120"/>
      <c r="P10046" s="120"/>
      <c r="Q10046" s="120"/>
      <c r="R10046" s="120"/>
      <c r="S10046" s="120"/>
      <c r="T10046" s="221"/>
      <c r="U10046" s="89"/>
      <c r="V10046" s="61" t="str">
        <f t="shared" ref="V10046:V10048" si="6664">V10045</f>
        <v>0304</v>
      </c>
      <c r="W10046" s="92" t="s">
        <v>65</v>
      </c>
      <c r="X10046" s="93" t="s">
        <v>30</v>
      </c>
      <c r="Y10046" s="93" t="s">
        <v>98</v>
      </c>
      <c r="Z10046" s="134">
        <f>VLOOKUP(W10046,Sheet2!$B:$D,3,FALSE)</f>
        <v>1.76</v>
      </c>
      <c r="AA10046" s="93">
        <f>AA10045/14</f>
        <v>3.2467532467532464E-2</v>
      </c>
      <c r="AB10046" s="93">
        <f>AD10046/AC10044</f>
        <v>54.208000000000006</v>
      </c>
      <c r="AC10046" s="93">
        <f>AC10044/AA10046</f>
        <v>369.6</v>
      </c>
      <c r="AD10046" s="94">
        <f>AC10046*Z10046</f>
        <v>650.49600000000009</v>
      </c>
      <c r="AE10046" s="190"/>
      <c r="AF10046" s="191"/>
      <c r="AG10046" s="191"/>
      <c r="AH10046" s="191"/>
      <c r="AI10046" s="186"/>
      <c r="AK10046" s="171"/>
    </row>
    <row r="10047" spans="1:41" s="102" customFormat="1" ht="19.899999999999999" customHeight="1" x14ac:dyDescent="0.25">
      <c r="A10047" s="45"/>
      <c r="B10047" s="137"/>
      <c r="C10047" s="59"/>
      <c r="D10047" s="314"/>
      <c r="E10047" s="116"/>
      <c r="F10047" s="120"/>
      <c r="G10047" s="120"/>
      <c r="H10047" s="120"/>
      <c r="I10047" s="60"/>
      <c r="J10047" s="116"/>
      <c r="K10047" s="120"/>
      <c r="L10047" s="120"/>
      <c r="M10047" s="120"/>
      <c r="N10047" s="167"/>
      <c r="O10047" s="120"/>
      <c r="P10047" s="120"/>
      <c r="Q10047" s="120"/>
      <c r="R10047" s="120"/>
      <c r="S10047" s="120"/>
      <c r="T10047" s="221"/>
      <c r="U10047" s="89"/>
      <c r="V10047" s="61" t="str">
        <f t="shared" si="6664"/>
        <v>0304</v>
      </c>
      <c r="W10047" s="92" t="s">
        <v>135</v>
      </c>
      <c r="X10047" s="93" t="s">
        <v>29</v>
      </c>
      <c r="Y10047" s="93" t="s">
        <v>1656</v>
      </c>
      <c r="Z10047" s="134">
        <f>VLOOKUP(W10047,Sheet2!$B:$D,3,FALSE)</f>
        <v>52</v>
      </c>
      <c r="AA10047" s="93">
        <f>AA10045</f>
        <v>0.45454545454545453</v>
      </c>
      <c r="AB10047" s="93">
        <f>AD10047/AC10044</f>
        <v>114.40000000000002</v>
      </c>
      <c r="AC10047" s="93">
        <f>AC10044/AA10047</f>
        <v>26.400000000000002</v>
      </c>
      <c r="AD10047" s="94">
        <f>AC10047*Z10047</f>
        <v>1372.8000000000002</v>
      </c>
      <c r="AE10047" s="190"/>
      <c r="AF10047" s="191"/>
      <c r="AG10047" s="191"/>
      <c r="AH10047" s="191"/>
      <c r="AI10047" s="186"/>
      <c r="AK10047" s="171"/>
    </row>
    <row r="10048" spans="1:41" s="102" customFormat="1" ht="19.899999999999999" customHeight="1" x14ac:dyDescent="0.25">
      <c r="A10048" s="45"/>
      <c r="B10048" s="137"/>
      <c r="C10048" s="59"/>
      <c r="D10048" s="314"/>
      <c r="E10048" s="116"/>
      <c r="F10048" s="120"/>
      <c r="G10048" s="120"/>
      <c r="H10048" s="120"/>
      <c r="I10048" s="60"/>
      <c r="J10048" s="116"/>
      <c r="K10048" s="120"/>
      <c r="L10048" s="120"/>
      <c r="M10048" s="120"/>
      <c r="N10048" s="167"/>
      <c r="O10048" s="120"/>
      <c r="P10048" s="120"/>
      <c r="Q10048" s="120"/>
      <c r="R10048" s="120"/>
      <c r="S10048" s="120"/>
      <c r="T10048" s="221"/>
      <c r="U10048" s="89"/>
      <c r="V10048" s="61" t="str">
        <f t="shared" si="6664"/>
        <v>0304</v>
      </c>
      <c r="W10048" s="92" t="s">
        <v>65</v>
      </c>
      <c r="X10048" s="93" t="s">
        <v>30</v>
      </c>
      <c r="Y10048" s="93" t="s">
        <v>98</v>
      </c>
      <c r="Z10048" s="134">
        <f>VLOOKUP(W10048,Sheet2!$B:$D,3,FALSE)</f>
        <v>1.76</v>
      </c>
      <c r="AA10048" s="93">
        <f>AA10047/8</f>
        <v>5.6818181818181816E-2</v>
      </c>
      <c r="AB10048" s="93">
        <f>AD10048/AC10044</f>
        <v>30.976000000000003</v>
      </c>
      <c r="AC10048" s="93">
        <f>AC10044/AA10048</f>
        <v>211.20000000000002</v>
      </c>
      <c r="AD10048" s="94">
        <f t="shared" ref="AD10048" si="6665">AC10048*Z10048</f>
        <v>371.71200000000005</v>
      </c>
      <c r="AE10048" s="190"/>
      <c r="AF10048" s="191"/>
      <c r="AG10048" s="191"/>
      <c r="AH10048" s="191"/>
      <c r="AI10048" s="186"/>
      <c r="AK10048" s="171"/>
    </row>
    <row r="10049" spans="1:37" s="103" customFormat="1" ht="19.899999999999999" customHeight="1" x14ac:dyDescent="0.25">
      <c r="A10049" s="51"/>
      <c r="B10049" s="165"/>
      <c r="C10049" s="52"/>
      <c r="D10049" s="313"/>
      <c r="E10049" s="115"/>
      <c r="F10049" s="58"/>
      <c r="G10049" s="58"/>
      <c r="H10049" s="58"/>
      <c r="I10049" s="55"/>
      <c r="J10049" s="113">
        <f>J10038</f>
        <v>12</v>
      </c>
      <c r="K10049" s="315">
        <f>K10038</f>
        <v>12</v>
      </c>
      <c r="L10049" s="58"/>
      <c r="M10049" s="58">
        <f>K10049-L10049</f>
        <v>12</v>
      </c>
      <c r="N10049" s="166"/>
      <c r="O10049" s="58"/>
      <c r="P10049" s="58"/>
      <c r="Q10049" s="58"/>
      <c r="R10049" s="58"/>
      <c r="S10049" s="58"/>
      <c r="T10049" s="220"/>
      <c r="U10049" s="88">
        <f>IFERROR(S10049/L10049,0)</f>
        <v>0</v>
      </c>
      <c r="V10049" s="56" t="str">
        <f>V10034&amp;"03"</f>
        <v>030403</v>
      </c>
      <c r="W10049" s="57" t="s">
        <v>1671</v>
      </c>
      <c r="X10049" s="53"/>
      <c r="Y10049" s="91" t="s">
        <v>35</v>
      </c>
      <c r="Z10049" s="136">
        <f>AD10049/AC10049</f>
        <v>8420</v>
      </c>
      <c r="AA10049" s="58"/>
      <c r="AB10049" s="53">
        <f>AD10049/AC10049</f>
        <v>8420</v>
      </c>
      <c r="AC10049" s="53">
        <f>M10049+$AE$10</f>
        <v>12</v>
      </c>
      <c r="AD10049" s="54">
        <f>SUM(AD10050:AD10051)</f>
        <v>101040</v>
      </c>
      <c r="AE10049" s="184">
        <f>SUMIFS($AD$44:$AD$4639,$V$44:$V$4639,$V10049,$X$44:$X$4639,AE$13)</f>
        <v>0</v>
      </c>
      <c r="AF10049" s="185">
        <f>SUMIFS($AD$44:$AD$4639,$V$44:$V$4639,$V10049,$X$44:$X$4639,AF$13)</f>
        <v>0</v>
      </c>
      <c r="AG10049" s="185">
        <f>SUMIFS($AD$44:$AD$4639,$V$44:$V$4639,$V10049,$X$44:$X$4639,AG$13)</f>
        <v>0</v>
      </c>
      <c r="AH10049" s="187">
        <f>SUMIFS($AD$44:$AD$4639,$V$44:$V$4639,$V10049,$X$44:$X$4639,AH$13)</f>
        <v>0</v>
      </c>
      <c r="AI10049" s="161">
        <f t="shared" ref="AI10049" si="6666">SUM(AE10049:AH10049)</f>
        <v>0</v>
      </c>
      <c r="AK10049" s="172"/>
    </row>
    <row r="10050" spans="1:37" s="102" customFormat="1" ht="19.899999999999999" customHeight="1" x14ac:dyDescent="0.25">
      <c r="A10050" s="45"/>
      <c r="B10050" s="137"/>
      <c r="C10050" s="59"/>
      <c r="D10050" s="314"/>
      <c r="E10050" s="116"/>
      <c r="F10050" s="120"/>
      <c r="G10050" s="120"/>
      <c r="H10050" s="120"/>
      <c r="I10050" s="60"/>
      <c r="J10050" s="116"/>
      <c r="K10050" s="120"/>
      <c r="L10050" s="120"/>
      <c r="M10050" s="120"/>
      <c r="N10050" s="167"/>
      <c r="O10050" s="120"/>
      <c r="P10050" s="120"/>
      <c r="Q10050" s="120"/>
      <c r="R10050" s="120"/>
      <c r="S10050" s="120"/>
      <c r="T10050" s="221"/>
      <c r="U10050" s="89"/>
      <c r="V10050" s="61" t="str">
        <f>V10049</f>
        <v>030403</v>
      </c>
      <c r="W10050" s="92" t="s">
        <v>1672</v>
      </c>
      <c r="X10050" s="93" t="s">
        <v>30</v>
      </c>
      <c r="Y10050" s="93" t="s">
        <v>68</v>
      </c>
      <c r="Z10050" s="134">
        <f>VLOOKUP(W10050,Sheet2!$B:$D,3,FALSE)</f>
        <v>275</v>
      </c>
      <c r="AA10050" s="93">
        <f>1/30</f>
        <v>3.3333333333333333E-2</v>
      </c>
      <c r="AB10050" s="93">
        <f>AD10050/AC10049</f>
        <v>8250</v>
      </c>
      <c r="AC10050" s="93">
        <f>AC10049/AA10050</f>
        <v>360</v>
      </c>
      <c r="AD10050" s="94">
        <f>AC10050*Z10050</f>
        <v>99000</v>
      </c>
      <c r="AE10050" s="190"/>
      <c r="AF10050" s="191"/>
      <c r="AG10050" s="191"/>
      <c r="AH10050" s="191"/>
      <c r="AI10050" s="186"/>
      <c r="AK10050" s="171"/>
    </row>
    <row r="10051" spans="1:37" s="102" customFormat="1" ht="19.899999999999999" customHeight="1" x14ac:dyDescent="0.25">
      <c r="A10051" s="45"/>
      <c r="B10051" s="137"/>
      <c r="C10051" s="59"/>
      <c r="D10051" s="314"/>
      <c r="E10051" s="116"/>
      <c r="F10051" s="120"/>
      <c r="G10051" s="120"/>
      <c r="H10051" s="120"/>
      <c r="I10051" s="60"/>
      <c r="J10051" s="116"/>
      <c r="K10051" s="120"/>
      <c r="L10051" s="120"/>
      <c r="M10051" s="120"/>
      <c r="N10051" s="167"/>
      <c r="O10051" s="120"/>
      <c r="P10051" s="120"/>
      <c r="Q10051" s="120"/>
      <c r="R10051" s="120"/>
      <c r="S10051" s="120"/>
      <c r="T10051" s="221"/>
      <c r="U10051" s="89"/>
      <c r="V10051" s="61" t="str">
        <f>V10050</f>
        <v>030403</v>
      </c>
      <c r="W10051" s="92" t="s">
        <v>1619</v>
      </c>
      <c r="X10051" s="93" t="s">
        <v>31</v>
      </c>
      <c r="Y10051" s="93" t="s">
        <v>1656</v>
      </c>
      <c r="Z10051" s="134">
        <f>VLOOKUP(W10051,Sheet2!$B:$D,3,FALSE)</f>
        <v>17</v>
      </c>
      <c r="AA10051" s="93">
        <v>0.1</v>
      </c>
      <c r="AB10051" s="93">
        <f>AD10051/AC10049</f>
        <v>170</v>
      </c>
      <c r="AC10051" s="93">
        <f>AC10049/AA10051</f>
        <v>120</v>
      </c>
      <c r="AD10051" s="94">
        <f t="shared" ref="AD10051" si="6667">AC10051*Z10051</f>
        <v>2040</v>
      </c>
      <c r="AE10051" s="190"/>
      <c r="AF10051" s="191"/>
      <c r="AG10051" s="191"/>
      <c r="AH10051" s="191"/>
      <c r="AI10051" s="186"/>
      <c r="AK10051" s="171"/>
    </row>
    <row r="10052" spans="1:37" s="103" customFormat="1" ht="19.899999999999999" customHeight="1" x14ac:dyDescent="0.25">
      <c r="A10052" s="51"/>
      <c r="B10052" s="52"/>
      <c r="C10052" s="165"/>
      <c r="D10052" s="52"/>
      <c r="E10052" s="115"/>
      <c r="F10052" s="58"/>
      <c r="G10052" s="58"/>
      <c r="H10052" s="58"/>
      <c r="I10052" s="55"/>
      <c r="J10052" s="113">
        <f>J10038</f>
        <v>12</v>
      </c>
      <c r="K10052" s="212">
        <f>K10038</f>
        <v>12</v>
      </c>
      <c r="L10052" s="58"/>
      <c r="M10052" s="58">
        <f>K10052-L10052</f>
        <v>12</v>
      </c>
      <c r="N10052" s="166"/>
      <c r="O10052" s="58"/>
      <c r="P10052" s="58"/>
      <c r="Q10052" s="58"/>
      <c r="R10052" s="58"/>
      <c r="S10052" s="58"/>
      <c r="T10052" s="220"/>
      <c r="U10052" s="88"/>
      <c r="V10052" s="56"/>
      <c r="W10052" s="57" t="s">
        <v>1678</v>
      </c>
      <c r="X10052" s="53"/>
      <c r="Y10052" s="91" t="s">
        <v>35</v>
      </c>
      <c r="Z10052" s="136">
        <f>AD10052/AC10052</f>
        <v>525.16276078431372</v>
      </c>
      <c r="AA10052" s="58"/>
      <c r="AB10052" s="53">
        <f>AD10052/AC10052</f>
        <v>525.16276078431372</v>
      </c>
      <c r="AC10052" s="53">
        <f>M10052+$AE$10</f>
        <v>12</v>
      </c>
      <c r="AD10052" s="54">
        <f>SUM(AD10053:AD10057)</f>
        <v>6301.9531294117651</v>
      </c>
      <c r="AE10052" s="184">
        <f>SUMIFS($AD$37:$AD$12971,$V$37:$V$12971,$V10052,$X$37:$X$12971,AE$13)</f>
        <v>0</v>
      </c>
      <c r="AF10052" s="185">
        <f>SUMIFS($AD$37:$AD$12971,$V$37:$V$12971,$V10052,$X$37:$X$12971,AF$13)</f>
        <v>0</v>
      </c>
      <c r="AG10052" s="185">
        <f>SUMIFS($AD$37:$AD$12971,$V$37:$V$12971,$V10052,$X$37:$X$12971,AG$13)</f>
        <v>0</v>
      </c>
      <c r="AH10052" s="187">
        <f>SUMIFS($AD$37:$AD$12971,$V$37:$V$12971,$V10052,$X$37:$X$12971,AH$13)</f>
        <v>0</v>
      </c>
      <c r="AI10052" s="161">
        <f t="shared" ref="AI10052" si="6668">SUM(AE10052:AH10052)</f>
        <v>0</v>
      </c>
      <c r="AK10052" s="172"/>
    </row>
    <row r="10053" spans="1:37" s="102" customFormat="1" ht="19.899999999999999" customHeight="1" x14ac:dyDescent="0.25">
      <c r="A10053" s="45"/>
      <c r="B10053" s="59"/>
      <c r="C10053" s="137"/>
      <c r="D10053" s="59"/>
      <c r="E10053" s="116"/>
      <c r="F10053" s="120"/>
      <c r="G10053" s="120"/>
      <c r="H10053" s="120"/>
      <c r="I10053" s="60"/>
      <c r="J10053" s="116"/>
      <c r="K10053" s="213"/>
      <c r="L10053" s="120"/>
      <c r="M10053" s="120"/>
      <c r="N10053" s="167"/>
      <c r="O10053" s="120"/>
      <c r="P10053" s="120"/>
      <c r="Q10053" s="120"/>
      <c r="R10053" s="120"/>
      <c r="S10053" s="120"/>
      <c r="T10053" s="221"/>
      <c r="U10053" s="89"/>
      <c r="V10053" s="61"/>
      <c r="W10053" s="92" t="s">
        <v>1679</v>
      </c>
      <c r="X10053" s="93" t="s">
        <v>30</v>
      </c>
      <c r="Y10053" s="93" t="s">
        <v>66</v>
      </c>
      <c r="Z10053" s="134">
        <f>VLOOKUP(W10053,Sheet2!$B:$D,3,FALSE)</f>
        <v>15</v>
      </c>
      <c r="AA10053" s="93">
        <f>1/30</f>
        <v>3.3333333333333333E-2</v>
      </c>
      <c r="AB10053" s="93">
        <f>AD10053/AC10052</f>
        <v>450</v>
      </c>
      <c r="AC10053" s="93">
        <f>AC10052/AA10053</f>
        <v>360</v>
      </c>
      <c r="AD10053" s="94">
        <f t="shared" ref="AD10053:AD10055" si="6669">AC10053*Z10053</f>
        <v>5400</v>
      </c>
      <c r="AE10053" s="190"/>
      <c r="AF10053" s="191"/>
      <c r="AG10053" s="191"/>
      <c r="AH10053" s="191"/>
      <c r="AI10053" s="186"/>
      <c r="AK10053" s="171"/>
    </row>
    <row r="10054" spans="1:37" s="102" customFormat="1" ht="19.899999999999999" customHeight="1" x14ac:dyDescent="0.25">
      <c r="A10054" s="45"/>
      <c r="B10054" s="59"/>
      <c r="C10054" s="137"/>
      <c r="D10054" s="59"/>
      <c r="E10054" s="116"/>
      <c r="F10054" s="120"/>
      <c r="G10054" s="120"/>
      <c r="H10054" s="120"/>
      <c r="I10054" s="60"/>
      <c r="J10054" s="116"/>
      <c r="K10054" s="213"/>
      <c r="L10054" s="120"/>
      <c r="M10054" s="120"/>
      <c r="N10054" s="167"/>
      <c r="O10054" s="120"/>
      <c r="P10054" s="120"/>
      <c r="Q10054" s="120"/>
      <c r="R10054" s="120"/>
      <c r="S10054" s="120"/>
      <c r="T10054" s="221"/>
      <c r="U10054" s="89"/>
      <c r="V10054" s="61"/>
      <c r="W10054" s="92" t="s">
        <v>134</v>
      </c>
      <c r="X10054" s="93" t="s">
        <v>29</v>
      </c>
      <c r="Y10054" s="93" t="s">
        <v>1656</v>
      </c>
      <c r="Z10054" s="134">
        <f>VLOOKUP(W10054,Sheet2!$B:$D,3,FALSE)</f>
        <v>65.599999999999994</v>
      </c>
      <c r="AA10054" s="93">
        <f>100/30</f>
        <v>3.3333333333333335</v>
      </c>
      <c r="AB10054" s="93">
        <f>AD10054/AC10052</f>
        <v>19.679999999999996</v>
      </c>
      <c r="AC10054" s="93">
        <f>AC10052/AA10054</f>
        <v>3.5999999999999996</v>
      </c>
      <c r="AD10054" s="94">
        <f t="shared" si="6669"/>
        <v>236.15999999999997</v>
      </c>
      <c r="AE10054" s="190"/>
      <c r="AF10054" s="191"/>
      <c r="AG10054" s="191"/>
      <c r="AH10054" s="191"/>
      <c r="AI10054" s="186"/>
      <c r="AK10054" s="171"/>
    </row>
    <row r="10055" spans="1:37" s="102" customFormat="1" ht="19.899999999999999" customHeight="1" x14ac:dyDescent="0.25">
      <c r="A10055" s="45"/>
      <c r="B10055" s="59"/>
      <c r="C10055" s="137"/>
      <c r="D10055" s="59"/>
      <c r="E10055" s="116"/>
      <c r="F10055" s="120"/>
      <c r="G10055" s="120"/>
      <c r="H10055" s="120"/>
      <c r="I10055" s="60"/>
      <c r="J10055" s="116"/>
      <c r="K10055" s="213"/>
      <c r="L10055" s="120"/>
      <c r="M10055" s="120"/>
      <c r="N10055" s="167"/>
      <c r="O10055" s="120"/>
      <c r="P10055" s="120"/>
      <c r="Q10055" s="120"/>
      <c r="R10055" s="120"/>
      <c r="S10055" s="120"/>
      <c r="T10055" s="221"/>
      <c r="U10055" s="89"/>
      <c r="V10055" s="61"/>
      <c r="W10055" s="92" t="s">
        <v>65</v>
      </c>
      <c r="X10055" s="93" t="s">
        <v>30</v>
      </c>
      <c r="Y10055" s="93" t="s">
        <v>98</v>
      </c>
      <c r="Z10055" s="134">
        <f>VLOOKUP(W10055,Sheet2!$B:$D,3,FALSE)</f>
        <v>1.76</v>
      </c>
      <c r="AA10055" s="93">
        <f>AA10054/0.1</f>
        <v>33.333333333333336</v>
      </c>
      <c r="AB10055" s="93">
        <f>AD10055/AC10052</f>
        <v>5.2799999999999993E-2</v>
      </c>
      <c r="AC10055" s="93">
        <f>AC10052/AA10055</f>
        <v>0.36</v>
      </c>
      <c r="AD10055" s="94">
        <f t="shared" si="6669"/>
        <v>0.63359999999999994</v>
      </c>
      <c r="AE10055" s="190"/>
      <c r="AF10055" s="191"/>
      <c r="AG10055" s="191"/>
      <c r="AH10055" s="191"/>
      <c r="AI10055" s="186"/>
      <c r="AK10055" s="171"/>
    </row>
    <row r="10056" spans="1:37" s="102" customFormat="1" ht="19.899999999999999" customHeight="1" x14ac:dyDescent="0.25">
      <c r="A10056" s="45"/>
      <c r="B10056" s="59"/>
      <c r="C10056" s="137"/>
      <c r="D10056" s="59"/>
      <c r="E10056" s="116"/>
      <c r="F10056" s="120"/>
      <c r="G10056" s="120"/>
      <c r="H10056" s="120"/>
      <c r="I10056" s="60"/>
      <c r="J10056" s="116"/>
      <c r="K10056" s="213"/>
      <c r="L10056" s="120"/>
      <c r="M10056" s="120"/>
      <c r="N10056" s="167"/>
      <c r="O10056" s="120"/>
      <c r="P10056" s="120"/>
      <c r="Q10056" s="120"/>
      <c r="R10056" s="120"/>
      <c r="S10056" s="120"/>
      <c r="T10056" s="221"/>
      <c r="U10056" s="89"/>
      <c r="V10056" s="61"/>
      <c r="W10056" s="92" t="s">
        <v>1660</v>
      </c>
      <c r="X10056" s="93" t="s">
        <v>29</v>
      </c>
      <c r="Y10056" s="93" t="s">
        <v>1656</v>
      </c>
      <c r="Z10056" s="134">
        <f>VLOOKUP(W10056,Sheet2!$B:$D,3,FALSE)</f>
        <v>56</v>
      </c>
      <c r="AA10056" s="93">
        <f>(24*0.85*15/10)/30</f>
        <v>1.02</v>
      </c>
      <c r="AB10056" s="93">
        <f>AD10056/AC10052</f>
        <v>54.901960784313722</v>
      </c>
      <c r="AC10056" s="93">
        <f>AC10052/AA10056</f>
        <v>11.76470588235294</v>
      </c>
      <c r="AD10056" s="94">
        <f>AC10056*Z10056</f>
        <v>658.82352941176464</v>
      </c>
      <c r="AE10056" s="190"/>
      <c r="AF10056" s="191"/>
      <c r="AG10056" s="191"/>
      <c r="AH10056" s="191"/>
      <c r="AI10056" s="186"/>
      <c r="AK10056" s="171"/>
    </row>
    <row r="10057" spans="1:37" s="102" customFormat="1" ht="19.899999999999999" customHeight="1" x14ac:dyDescent="0.25">
      <c r="A10057" s="45"/>
      <c r="B10057" s="59"/>
      <c r="C10057" s="137"/>
      <c r="D10057" s="59"/>
      <c r="E10057" s="116"/>
      <c r="F10057" s="120"/>
      <c r="G10057" s="120"/>
      <c r="H10057" s="120"/>
      <c r="I10057" s="60"/>
      <c r="J10057" s="116"/>
      <c r="K10057" s="213"/>
      <c r="L10057" s="120"/>
      <c r="M10057" s="120"/>
      <c r="N10057" s="167"/>
      <c r="O10057" s="120"/>
      <c r="P10057" s="120"/>
      <c r="Q10057" s="120"/>
      <c r="R10057" s="120"/>
      <c r="S10057" s="120"/>
      <c r="T10057" s="221"/>
      <c r="U10057" s="89"/>
      <c r="V10057" s="61"/>
      <c r="W10057" s="92" t="s">
        <v>65</v>
      </c>
      <c r="X10057" s="93" t="s">
        <v>30</v>
      </c>
      <c r="Y10057" s="93" t="s">
        <v>98</v>
      </c>
      <c r="Z10057" s="134">
        <f>VLOOKUP(W10057,Sheet2!$B:$D,3,FALSE)</f>
        <v>1.76</v>
      </c>
      <c r="AA10057" s="93">
        <f>AA10054</f>
        <v>3.3333333333333335</v>
      </c>
      <c r="AB10057" s="93">
        <f>AD10057/AC10052</f>
        <v>0.52799999999999991</v>
      </c>
      <c r="AC10057" s="93">
        <f>AC10052/AA10057</f>
        <v>3.5999999999999996</v>
      </c>
      <c r="AD10057" s="94">
        <f>AC10057*Z10057</f>
        <v>6.3359999999999994</v>
      </c>
      <c r="AE10057" s="190"/>
      <c r="AF10057" s="191"/>
      <c r="AG10057" s="191"/>
      <c r="AH10057" s="191"/>
      <c r="AI10057" s="186"/>
      <c r="AK10057" s="171"/>
    </row>
    <row r="10058" spans="1:37" s="103" customFormat="1" ht="19.899999999999999" customHeight="1" x14ac:dyDescent="0.25">
      <c r="A10058" s="51"/>
      <c r="B10058" s="165"/>
      <c r="C10058" s="52"/>
      <c r="D10058" s="313"/>
      <c r="E10058" s="115"/>
      <c r="F10058" s="58"/>
      <c r="G10058" s="58"/>
      <c r="H10058" s="58"/>
      <c r="I10058" s="55"/>
      <c r="J10058" s="113">
        <f>J10038</f>
        <v>12</v>
      </c>
      <c r="K10058" s="315">
        <f>K10038</f>
        <v>12</v>
      </c>
      <c r="L10058" s="58"/>
      <c r="M10058" s="58">
        <f>K10058-L10058</f>
        <v>12</v>
      </c>
      <c r="N10058" s="166"/>
      <c r="O10058" s="58"/>
      <c r="P10058" s="58"/>
      <c r="Q10058" s="58"/>
      <c r="R10058" s="58"/>
      <c r="S10058" s="58"/>
      <c r="T10058" s="220"/>
      <c r="U10058" s="88">
        <f>IFERROR(S10058/L10058,0)</f>
        <v>0</v>
      </c>
      <c r="V10058" s="56" t="str">
        <f>V10043&amp;"03"</f>
        <v>03</v>
      </c>
      <c r="W10058" s="57" t="s">
        <v>1674</v>
      </c>
      <c r="X10058" s="53"/>
      <c r="Y10058" s="91" t="s">
        <v>35</v>
      </c>
      <c r="Z10058" s="136">
        <f>AD10058/AC10058</f>
        <v>15000</v>
      </c>
      <c r="AA10058" s="58"/>
      <c r="AB10058" s="53">
        <f>AD10058/AC10058</f>
        <v>15000</v>
      </c>
      <c r="AC10058" s="53">
        <f>M10058+$AE$10</f>
        <v>12</v>
      </c>
      <c r="AD10058" s="54">
        <f>SUM(AD10059:AD10060)</f>
        <v>180000</v>
      </c>
      <c r="AE10058" s="184">
        <f>SUMIFS($AD$44:$AD$4639,$V$44:$V$4639,$V10058,$X$44:$X$4639,AE$13)</f>
        <v>0</v>
      </c>
      <c r="AF10058" s="185">
        <f>SUMIFS($AD$44:$AD$4639,$V$44:$V$4639,$V10058,$X$44:$X$4639,AF$13)</f>
        <v>0</v>
      </c>
      <c r="AG10058" s="185">
        <f>SUMIFS($AD$44:$AD$4639,$V$44:$V$4639,$V10058,$X$44:$X$4639,AG$13)</f>
        <v>0</v>
      </c>
      <c r="AH10058" s="187">
        <f>SUMIFS($AD$44:$AD$4639,$V$44:$V$4639,$V10058,$X$44:$X$4639,AH$13)</f>
        <v>0</v>
      </c>
      <c r="AI10058" s="161">
        <f t="shared" ref="AI10058" si="6670">SUM(AE10058:AH10058)</f>
        <v>0</v>
      </c>
      <c r="AK10058" s="172"/>
    </row>
    <row r="10059" spans="1:37" s="102" customFormat="1" ht="19.899999999999999" customHeight="1" x14ac:dyDescent="0.25">
      <c r="A10059" s="45"/>
      <c r="B10059" s="137"/>
      <c r="C10059" s="59"/>
      <c r="D10059" s="314"/>
      <c r="E10059" s="116"/>
      <c r="F10059" s="120"/>
      <c r="G10059" s="120"/>
      <c r="H10059" s="120"/>
      <c r="I10059" s="60"/>
      <c r="J10059" s="116"/>
      <c r="K10059" s="120"/>
      <c r="L10059" s="120"/>
      <c r="M10059" s="120"/>
      <c r="N10059" s="167"/>
      <c r="O10059" s="120"/>
      <c r="P10059" s="120"/>
      <c r="Q10059" s="120"/>
      <c r="R10059" s="120"/>
      <c r="S10059" s="120"/>
      <c r="T10059" s="221"/>
      <c r="U10059" s="89"/>
      <c r="V10059" s="61" t="str">
        <f>V10058</f>
        <v>03</v>
      </c>
      <c r="W10059" s="92" t="s">
        <v>1667</v>
      </c>
      <c r="X10059" s="93" t="s">
        <v>32</v>
      </c>
      <c r="Y10059" s="93" t="s">
        <v>64</v>
      </c>
      <c r="Z10059" s="134">
        <f>VLOOKUP(W10059,Sheet2!$B:$D,3,FALSE)</f>
        <v>5</v>
      </c>
      <c r="AA10059" s="93">
        <f>1/200</f>
        <v>5.0000000000000001E-3</v>
      </c>
      <c r="AB10059" s="93">
        <f>AD10059/AC10058</f>
        <v>1000</v>
      </c>
      <c r="AC10059" s="93">
        <f>AC10058/AA10059</f>
        <v>2400</v>
      </c>
      <c r="AD10059" s="94">
        <f>AC10059*Z10059</f>
        <v>12000</v>
      </c>
      <c r="AE10059" s="190"/>
      <c r="AF10059" s="191"/>
      <c r="AG10059" s="191"/>
      <c r="AH10059" s="191"/>
      <c r="AI10059" s="186"/>
      <c r="AK10059" s="171"/>
    </row>
    <row r="10060" spans="1:37" s="102" customFormat="1" ht="19.899999999999999" customHeight="1" x14ac:dyDescent="0.25">
      <c r="A10060" s="45"/>
      <c r="B10060" s="137"/>
      <c r="C10060" s="59"/>
      <c r="D10060" s="314"/>
      <c r="E10060" s="116"/>
      <c r="F10060" s="120"/>
      <c r="G10060" s="120"/>
      <c r="H10060" s="120"/>
      <c r="I10060" s="60"/>
      <c r="J10060" s="116"/>
      <c r="K10060" s="120"/>
      <c r="L10060" s="120"/>
      <c r="M10060" s="120"/>
      <c r="N10060" s="167"/>
      <c r="O10060" s="120"/>
      <c r="P10060" s="120"/>
      <c r="Q10060" s="120"/>
      <c r="R10060" s="120"/>
      <c r="S10060" s="120"/>
      <c r="T10060" s="221"/>
      <c r="U10060" s="89"/>
      <c r="V10060" s="61" t="str">
        <f>V10059</f>
        <v>03</v>
      </c>
      <c r="W10060" s="92" t="s">
        <v>1680</v>
      </c>
      <c r="X10060" s="93" t="s">
        <v>32</v>
      </c>
      <c r="Y10060" s="93" t="s">
        <v>64</v>
      </c>
      <c r="Z10060" s="134">
        <f>VLOOKUP(W10060,Sheet2!$B:$D,3,FALSE)</f>
        <v>70</v>
      </c>
      <c r="AA10060" s="93">
        <f>1/200</f>
        <v>5.0000000000000001E-3</v>
      </c>
      <c r="AB10060" s="93">
        <f>AD10060/AC10058</f>
        <v>14000</v>
      </c>
      <c r="AC10060" s="93">
        <f>AC10058/AA10060</f>
        <v>2400</v>
      </c>
      <c r="AD10060" s="94">
        <f t="shared" ref="AD10060" si="6671">AC10060*Z10060</f>
        <v>168000</v>
      </c>
      <c r="AE10060" s="190"/>
      <c r="AF10060" s="191"/>
      <c r="AG10060" s="191"/>
      <c r="AH10060" s="191"/>
      <c r="AI10060" s="186"/>
      <c r="AK10060" s="171"/>
    </row>
    <row r="10061" spans="1:37" s="103" customFormat="1" ht="19.899999999999999" customHeight="1" x14ac:dyDescent="0.25">
      <c r="A10061" s="51"/>
      <c r="B10061" s="165"/>
      <c r="C10061" s="52"/>
      <c r="D10061" s="313"/>
      <c r="E10061" s="115"/>
      <c r="F10061" s="58"/>
      <c r="G10061" s="58"/>
      <c r="H10061" s="58"/>
      <c r="I10061" s="55"/>
      <c r="J10061" s="113">
        <f>J10038</f>
        <v>12</v>
      </c>
      <c r="K10061" s="315">
        <f>K10038</f>
        <v>12</v>
      </c>
      <c r="L10061" s="58"/>
      <c r="M10061" s="58">
        <f>K10061-L10061</f>
        <v>12</v>
      </c>
      <c r="N10061" s="166"/>
      <c r="O10061" s="58"/>
      <c r="P10061" s="58"/>
      <c r="Q10061" s="58"/>
      <c r="R10061" s="58"/>
      <c r="S10061" s="58"/>
      <c r="T10061" s="220"/>
      <c r="U10061" s="88">
        <f>IFERROR(S10061/L10061,0)</f>
        <v>0</v>
      </c>
      <c r="V10061" s="56" t="str">
        <f>V10058&amp;"02"</f>
        <v>0302</v>
      </c>
      <c r="W10061" s="57" t="s">
        <v>1681</v>
      </c>
      <c r="X10061" s="53"/>
      <c r="Y10061" s="91" t="s">
        <v>35</v>
      </c>
      <c r="Z10061" s="136">
        <f>AD10061/AC10061</f>
        <v>2003.5306666666665</v>
      </c>
      <c r="AA10061" s="58"/>
      <c r="AB10061" s="53">
        <f>AD10061/AC10061</f>
        <v>2003.5306666666665</v>
      </c>
      <c r="AC10061" s="53">
        <f>M10061+$AE$10</f>
        <v>12</v>
      </c>
      <c r="AD10061" s="54">
        <f>SUM(AD10062:AD10066)</f>
        <v>24042.367999999999</v>
      </c>
      <c r="AE10061" s="184">
        <f>SUMIFS($AD$44:$AD$4639,$V$44:$V$4639,$V10061,$X$44:$X$4639,AE$13)</f>
        <v>0</v>
      </c>
      <c r="AF10061" s="185">
        <f>SUMIFS($AD$44:$AD$4639,$V$44:$V$4639,$V10061,$X$44:$X$4639,AF$13)</f>
        <v>0</v>
      </c>
      <c r="AG10061" s="185">
        <f>SUMIFS($AD$44:$AD$4639,$V$44:$V$4639,$V10061,$X$44:$X$4639,AG$13)</f>
        <v>0</v>
      </c>
      <c r="AH10061" s="187">
        <f>SUMIFS($AD$44:$AD$4639,$V$44:$V$4639,$V10061,$X$44:$X$4639,AH$13)</f>
        <v>0</v>
      </c>
      <c r="AI10061" s="161">
        <f t="shared" ref="AI10061" si="6672">SUM(AE10061:AH10061)</f>
        <v>0</v>
      </c>
      <c r="AK10061" s="172"/>
    </row>
    <row r="10062" spans="1:37" s="102" customFormat="1" ht="19.899999999999999" customHeight="1" x14ac:dyDescent="0.25">
      <c r="A10062" s="45"/>
      <c r="B10062" s="59"/>
      <c r="C10062" s="137"/>
      <c r="D10062" s="59"/>
      <c r="E10062" s="116"/>
      <c r="F10062" s="120"/>
      <c r="G10062" s="120"/>
      <c r="H10062" s="120"/>
      <c r="I10062" s="60"/>
      <c r="J10062" s="116"/>
      <c r="K10062" s="213"/>
      <c r="L10062" s="120"/>
      <c r="M10062" s="120"/>
      <c r="N10062" s="167"/>
      <c r="O10062" s="120"/>
      <c r="P10062" s="120"/>
      <c r="Q10062" s="120"/>
      <c r="R10062" s="120"/>
      <c r="S10062" s="120"/>
      <c r="T10062" s="221"/>
      <c r="U10062" s="89"/>
      <c r="V10062" s="61"/>
      <c r="W10062" s="92" t="s">
        <v>1611</v>
      </c>
      <c r="X10062" s="93" t="s">
        <v>30</v>
      </c>
      <c r="Y10062" s="93" t="s">
        <v>66</v>
      </c>
      <c r="Z10062" s="134">
        <f>VLOOKUP(W10062,Sheet2!$B:$D,3,FALSE)</f>
        <v>30</v>
      </c>
      <c r="AA10062" s="93">
        <f>1/60</f>
        <v>1.6666666666666666E-2</v>
      </c>
      <c r="AB10062" s="93">
        <f>AD10062/AC10061</f>
        <v>1800</v>
      </c>
      <c r="AC10062" s="93">
        <f>AC10061/AA10062</f>
        <v>720</v>
      </c>
      <c r="AD10062" s="94">
        <f t="shared" ref="AD10062" si="6673">AC10062*Z10062</f>
        <v>21600</v>
      </c>
      <c r="AE10062" s="190"/>
      <c r="AF10062" s="191"/>
      <c r="AG10062" s="191"/>
      <c r="AH10062" s="191"/>
      <c r="AI10062" s="186"/>
      <c r="AK10062" s="171"/>
    </row>
    <row r="10063" spans="1:37" s="102" customFormat="1" ht="19.899999999999999" customHeight="1" x14ac:dyDescent="0.25">
      <c r="A10063" s="45"/>
      <c r="B10063" s="137"/>
      <c r="C10063" s="59"/>
      <c r="D10063" s="314"/>
      <c r="E10063" s="116"/>
      <c r="F10063" s="120"/>
      <c r="G10063" s="120"/>
      <c r="H10063" s="120"/>
      <c r="I10063" s="60"/>
      <c r="J10063" s="116"/>
      <c r="K10063" s="213"/>
      <c r="L10063" s="120"/>
      <c r="M10063" s="120"/>
      <c r="N10063" s="167"/>
      <c r="O10063" s="120"/>
      <c r="P10063" s="120"/>
      <c r="Q10063" s="120"/>
      <c r="R10063" s="120"/>
      <c r="S10063" s="120"/>
      <c r="T10063" s="221"/>
      <c r="U10063" s="89"/>
      <c r="V10063" s="61" t="str">
        <f>V10061</f>
        <v>0302</v>
      </c>
      <c r="W10063" s="92" t="s">
        <v>134</v>
      </c>
      <c r="X10063" s="93" t="s">
        <v>29</v>
      </c>
      <c r="Y10063" s="93" t="s">
        <v>1656</v>
      </c>
      <c r="Z10063" s="134">
        <f>VLOOKUP(W10063,Sheet2!$B:$D,3,FALSE)</f>
        <v>65.599999999999994</v>
      </c>
      <c r="AA10063" s="93">
        <f>100/60</f>
        <v>1.6666666666666667</v>
      </c>
      <c r="AB10063" s="93">
        <f>AD10063/AC10061</f>
        <v>39.359999999999992</v>
      </c>
      <c r="AC10063" s="93">
        <f>AC10061/AA10063</f>
        <v>7.1999999999999993</v>
      </c>
      <c r="AD10063" s="94">
        <f>AC10063*Z10063</f>
        <v>472.31999999999994</v>
      </c>
      <c r="AE10063" s="190"/>
      <c r="AF10063" s="191"/>
      <c r="AG10063" s="191"/>
      <c r="AH10063" s="191"/>
      <c r="AI10063" s="186"/>
      <c r="AK10063" s="171"/>
    </row>
    <row r="10064" spans="1:37" s="102" customFormat="1" ht="19.899999999999999" customHeight="1" x14ac:dyDescent="0.25">
      <c r="A10064" s="45"/>
      <c r="B10064" s="137"/>
      <c r="C10064" s="59"/>
      <c r="D10064" s="314"/>
      <c r="E10064" s="116"/>
      <c r="F10064" s="120"/>
      <c r="G10064" s="120"/>
      <c r="H10064" s="120"/>
      <c r="I10064" s="60"/>
      <c r="J10064" s="116"/>
      <c r="K10064" s="213"/>
      <c r="L10064" s="120"/>
      <c r="M10064" s="120"/>
      <c r="N10064" s="167"/>
      <c r="O10064" s="120"/>
      <c r="P10064" s="120"/>
      <c r="Q10064" s="120"/>
      <c r="R10064" s="120"/>
      <c r="S10064" s="120"/>
      <c r="T10064" s="221"/>
      <c r="U10064" s="89"/>
      <c r="V10064" s="61" t="str">
        <f t="shared" ref="V10064:V10066" si="6674">V10063</f>
        <v>0302</v>
      </c>
      <c r="W10064" s="92" t="s">
        <v>65</v>
      </c>
      <c r="X10064" s="93" t="s">
        <v>30</v>
      </c>
      <c r="Y10064" s="93" t="s">
        <v>98</v>
      </c>
      <c r="Z10064" s="134">
        <f>VLOOKUP(W10064,Sheet2!$B:$D,3,FALSE)</f>
        <v>1.76</v>
      </c>
      <c r="AA10064" s="93">
        <f>AA10063/9</f>
        <v>0.1851851851851852</v>
      </c>
      <c r="AB10064" s="93">
        <f>AD10064/AC10061</f>
        <v>9.5039999999999996</v>
      </c>
      <c r="AC10064" s="93">
        <f>AC10061/AA10064</f>
        <v>64.8</v>
      </c>
      <c r="AD10064" s="94">
        <f t="shared" ref="AD10064:AD10066" si="6675">AC10064*Z10064</f>
        <v>114.048</v>
      </c>
      <c r="AE10064" s="190"/>
      <c r="AF10064" s="191"/>
      <c r="AG10064" s="191"/>
      <c r="AH10064" s="191"/>
      <c r="AI10064" s="186"/>
      <c r="AK10064" s="171"/>
    </row>
    <row r="10065" spans="1:41" s="102" customFormat="1" ht="19.899999999999999" customHeight="1" x14ac:dyDescent="0.25">
      <c r="A10065" s="45"/>
      <c r="B10065" s="137"/>
      <c r="C10065" s="59"/>
      <c r="D10065" s="314"/>
      <c r="E10065" s="116"/>
      <c r="F10065" s="120"/>
      <c r="G10065" s="120"/>
      <c r="H10065" s="120"/>
      <c r="I10065" s="60"/>
      <c r="J10065" s="116"/>
      <c r="K10065" s="213"/>
      <c r="L10065" s="120"/>
      <c r="M10065" s="120"/>
      <c r="N10065" s="167"/>
      <c r="O10065" s="120"/>
      <c r="P10065" s="120"/>
      <c r="Q10065" s="120"/>
      <c r="R10065" s="120"/>
      <c r="S10065" s="120"/>
      <c r="T10065" s="221"/>
      <c r="U10065" s="89"/>
      <c r="V10065" s="61" t="str">
        <f t="shared" si="6674"/>
        <v>0302</v>
      </c>
      <c r="W10065" s="92" t="s">
        <v>1660</v>
      </c>
      <c r="X10065" s="93" t="s">
        <v>29</v>
      </c>
      <c r="Y10065" s="93" t="s">
        <v>1656</v>
      </c>
      <c r="Z10065" s="134">
        <f>VLOOKUP(W10065,Sheet2!$B:$D,3,FALSE)</f>
        <v>56</v>
      </c>
      <c r="AA10065" s="93">
        <f>(24*0.85*15/10)/60</f>
        <v>0.51</v>
      </c>
      <c r="AB10065" s="93">
        <f>AD10065/AC10061</f>
        <v>109.80392156862744</v>
      </c>
      <c r="AC10065" s="93">
        <f>AC10061/AA10065</f>
        <v>23.52941176470588</v>
      </c>
      <c r="AD10065" s="94">
        <f t="shared" si="6675"/>
        <v>1317.6470588235293</v>
      </c>
      <c r="AE10065" s="190"/>
      <c r="AF10065" s="191"/>
      <c r="AG10065" s="191"/>
      <c r="AH10065" s="191"/>
      <c r="AI10065" s="186"/>
      <c r="AK10065" s="171"/>
    </row>
    <row r="10066" spans="1:41" s="102" customFormat="1" ht="19.899999999999999" customHeight="1" x14ac:dyDescent="0.25">
      <c r="A10066" s="45"/>
      <c r="B10066" s="137"/>
      <c r="C10066" s="59"/>
      <c r="D10066" s="314"/>
      <c r="E10066" s="116"/>
      <c r="F10066" s="120"/>
      <c r="G10066" s="120"/>
      <c r="H10066" s="120"/>
      <c r="I10066" s="60"/>
      <c r="J10066" s="116"/>
      <c r="K10066" s="213"/>
      <c r="L10066" s="120"/>
      <c r="M10066" s="120"/>
      <c r="N10066" s="167"/>
      <c r="O10066" s="120"/>
      <c r="P10066" s="120"/>
      <c r="Q10066" s="120"/>
      <c r="R10066" s="120"/>
      <c r="S10066" s="120"/>
      <c r="T10066" s="221"/>
      <c r="U10066" s="89"/>
      <c r="V10066" s="61" t="str">
        <f t="shared" si="6674"/>
        <v>0302</v>
      </c>
      <c r="W10066" s="92" t="s">
        <v>65</v>
      </c>
      <c r="X10066" s="93" t="s">
        <v>30</v>
      </c>
      <c r="Y10066" s="93" t="s">
        <v>98</v>
      </c>
      <c r="Z10066" s="134">
        <f>VLOOKUP(W10066,Sheet2!$B:$D,3,FALSE)</f>
        <v>1.76</v>
      </c>
      <c r="AA10066" s="93">
        <f>AA10065/13</f>
        <v>3.9230769230769229E-2</v>
      </c>
      <c r="AB10066" s="93">
        <f>AD10066/AC10061</f>
        <v>44.86274509803922</v>
      </c>
      <c r="AC10066" s="93">
        <f>AC10061/AA10066</f>
        <v>305.88235294117646</v>
      </c>
      <c r="AD10066" s="94">
        <f t="shared" si="6675"/>
        <v>538.35294117647061</v>
      </c>
      <c r="AE10066" s="190"/>
      <c r="AF10066" s="191"/>
      <c r="AG10066" s="191"/>
      <c r="AH10066" s="191"/>
      <c r="AI10066" s="186"/>
      <c r="AK10066" s="171"/>
    </row>
    <row r="10067" spans="1:41" ht="20.100000000000001" customHeight="1" x14ac:dyDescent="0.25">
      <c r="A10067" s="277" t="s">
        <v>945</v>
      </c>
      <c r="B10067" s="278"/>
      <c r="C10067" s="64" t="s">
        <v>956</v>
      </c>
      <c r="D10067" s="46" t="s">
        <v>196</v>
      </c>
      <c r="E10067" s="114">
        <v>2576.14</v>
      </c>
      <c r="F10067" s="44">
        <v>176</v>
      </c>
      <c r="G10067" s="44">
        <f t="shared" si="3841"/>
        <v>453400.63999999996</v>
      </c>
      <c r="H10067" s="44">
        <f t="shared" si="3842"/>
        <v>120</v>
      </c>
      <c r="I10067" s="43">
        <f t="shared" si="3843"/>
        <v>309136.8</v>
      </c>
      <c r="J10067" s="112">
        <f t="shared" si="3844"/>
        <v>2576.14</v>
      </c>
      <c r="K10067" s="211">
        <f t="shared" si="3845"/>
        <v>2576.14</v>
      </c>
      <c r="L10067" s="44"/>
      <c r="M10067" s="44">
        <f t="shared" si="3846"/>
        <v>2576.14</v>
      </c>
      <c r="N10067" s="173">
        <f t="shared" si="3847"/>
        <v>1</v>
      </c>
      <c r="O10067" s="44">
        <f t="shared" si="3848"/>
        <v>176</v>
      </c>
      <c r="P10067" s="44">
        <f t="shared" si="3849"/>
        <v>453400.63999999996</v>
      </c>
      <c r="Q10067" s="44">
        <f t="shared" si="3850"/>
        <v>120</v>
      </c>
      <c r="R10067" s="44">
        <f t="shared" si="3851"/>
        <v>309136.8</v>
      </c>
      <c r="S10067" s="123"/>
      <c r="T10067" s="219">
        <f t="shared" si="3852"/>
        <v>309136.8</v>
      </c>
      <c r="U10067" s="87"/>
      <c r="V10067" s="47"/>
      <c r="W10067" s="48"/>
      <c r="X10067" s="48"/>
      <c r="Y10067" s="48"/>
      <c r="Z10067" s="135"/>
      <c r="AA10067" s="49"/>
      <c r="AB10067" s="50">
        <f t="shared" si="3853"/>
        <v>120</v>
      </c>
      <c r="AC10067" s="42">
        <f t="shared" si="3854"/>
        <v>2576.14</v>
      </c>
      <c r="AD10067" s="90">
        <f>AD10068</f>
        <v>309136.8</v>
      </c>
      <c r="AE10067" s="188">
        <f t="shared" ref="AE10067:AH10067" si="6676">AE10068</f>
        <v>0</v>
      </c>
      <c r="AF10067" s="189">
        <f t="shared" si="6676"/>
        <v>0</v>
      </c>
      <c r="AG10067" s="189">
        <f t="shared" si="6676"/>
        <v>0</v>
      </c>
      <c r="AH10067" s="189">
        <f t="shared" si="6676"/>
        <v>0</v>
      </c>
      <c r="AI10067" s="161">
        <f t="shared" ref="AI10067" si="6677">SUM(AE10067:AH10067)</f>
        <v>0</v>
      </c>
      <c r="AK10067" s="169">
        <v>5</v>
      </c>
      <c r="AO10067" s="19" t="s">
        <v>63</v>
      </c>
    </row>
    <row r="10068" spans="1:41" s="103" customFormat="1" ht="19.899999999999999" customHeight="1" x14ac:dyDescent="0.25">
      <c r="A10068" s="51"/>
      <c r="B10068" s="165"/>
      <c r="C10068" s="52"/>
      <c r="D10068" s="313"/>
      <c r="E10068" s="115"/>
      <c r="F10068" s="58"/>
      <c r="G10068" s="58"/>
      <c r="H10068" s="58"/>
      <c r="I10068" s="55"/>
      <c r="J10068" s="113">
        <f>J10067</f>
        <v>2576.14</v>
      </c>
      <c r="K10068" s="212">
        <f>K10067</f>
        <v>2576.14</v>
      </c>
      <c r="L10068" s="58"/>
      <c r="M10068" s="58">
        <f>K10068-L10068</f>
        <v>2576.14</v>
      </c>
      <c r="N10068" s="166"/>
      <c r="O10068" s="58"/>
      <c r="P10068" s="58"/>
      <c r="Q10068" s="58"/>
      <c r="R10068" s="58"/>
      <c r="S10068" s="58"/>
      <c r="T10068" s="220"/>
      <c r="U10068" s="88">
        <f>IFERROR(S10068/L10068,0)</f>
        <v>0</v>
      </c>
      <c r="V10068" s="56" t="str">
        <f>V10067&amp;"01"</f>
        <v>01</v>
      </c>
      <c r="W10068" s="57" t="s">
        <v>1666</v>
      </c>
      <c r="X10068" s="53"/>
      <c r="Y10068" s="91" t="s">
        <v>66</v>
      </c>
      <c r="Z10068" s="136">
        <f>AD10068/AC10068</f>
        <v>120</v>
      </c>
      <c r="AA10068" s="58"/>
      <c r="AB10068" s="53">
        <f>AD10068/AC10068</f>
        <v>120</v>
      </c>
      <c r="AC10068" s="53">
        <f>M10068+$AE$10</f>
        <v>2576.14</v>
      </c>
      <c r="AD10068" s="54">
        <f>SUM(AD10069:AD10069)</f>
        <v>309136.8</v>
      </c>
      <c r="AE10068" s="184">
        <f>SUMIFS($AD$44:$AD$4639,$V$44:$V$4639,$V10068,$X$44:$X$4639,AE$13)</f>
        <v>0</v>
      </c>
      <c r="AF10068" s="185">
        <f>SUMIFS($AD$44:$AD$4639,$V$44:$V$4639,$V10068,$X$44:$X$4639,AF$13)</f>
        <v>0</v>
      </c>
      <c r="AG10068" s="185">
        <f>SUMIFS($AD$44:$AD$4639,$V$44:$V$4639,$V10068,$X$44:$X$4639,AG$13)</f>
        <v>0</v>
      </c>
      <c r="AH10068" s="187">
        <f>SUMIFS($AD$44:$AD$4639,$V$44:$V$4639,$V10068,$X$44:$X$4639,AH$13)</f>
        <v>0</v>
      </c>
      <c r="AI10068" s="161">
        <f t="shared" ref="AI10068" si="6678">SUM(AE10068:AH10068)</f>
        <v>0</v>
      </c>
      <c r="AK10068" s="172"/>
    </row>
    <row r="10069" spans="1:41" s="102" customFormat="1" ht="19.899999999999999" customHeight="1" x14ac:dyDescent="0.25">
      <c r="A10069" s="45"/>
      <c r="B10069" s="137"/>
      <c r="C10069" s="59"/>
      <c r="D10069" s="314"/>
      <c r="E10069" s="116"/>
      <c r="F10069" s="120"/>
      <c r="G10069" s="120"/>
      <c r="H10069" s="120"/>
      <c r="I10069" s="60"/>
      <c r="J10069" s="116"/>
      <c r="K10069" s="213"/>
      <c r="L10069" s="120"/>
      <c r="M10069" s="120"/>
      <c r="N10069" s="167"/>
      <c r="O10069" s="120"/>
      <c r="P10069" s="120"/>
      <c r="Q10069" s="120"/>
      <c r="R10069" s="120"/>
      <c r="S10069" s="120"/>
      <c r="T10069" s="221"/>
      <c r="U10069" s="89"/>
      <c r="V10069" s="61" t="str">
        <f>V10068</f>
        <v>01</v>
      </c>
      <c r="W10069" s="92" t="s">
        <v>1666</v>
      </c>
      <c r="X10069" s="93" t="s">
        <v>32</v>
      </c>
      <c r="Y10069" s="93" t="s">
        <v>66</v>
      </c>
      <c r="Z10069" s="134">
        <v>120</v>
      </c>
      <c r="AA10069" s="93">
        <v>1</v>
      </c>
      <c r="AB10069" s="93">
        <f>AD10069/AC10068</f>
        <v>120</v>
      </c>
      <c r="AC10069" s="93">
        <f>AC10068/AA10069</f>
        <v>2576.14</v>
      </c>
      <c r="AD10069" s="94">
        <f t="shared" ref="AD10069" si="6679">AC10069*Z10069</f>
        <v>309136.8</v>
      </c>
      <c r="AE10069" s="190"/>
      <c r="AF10069" s="191"/>
      <c r="AG10069" s="191"/>
      <c r="AH10069" s="191"/>
      <c r="AI10069" s="186"/>
      <c r="AK10069" s="171"/>
    </row>
    <row r="10070" spans="1:41" ht="20.100000000000001" customHeight="1" x14ac:dyDescent="0.25">
      <c r="A10070" s="277" t="s">
        <v>945</v>
      </c>
      <c r="B10070" s="278"/>
      <c r="C10070" s="64" t="s">
        <v>861</v>
      </c>
      <c r="D10070" s="46" t="s">
        <v>201</v>
      </c>
      <c r="E10070" s="114">
        <v>1565.08</v>
      </c>
      <c r="F10070" s="44">
        <v>101</v>
      </c>
      <c r="G10070" s="44">
        <f t="shared" si="3841"/>
        <v>158073.07999999999</v>
      </c>
      <c r="H10070" s="44">
        <f t="shared" si="3842"/>
        <v>30.657992156862747</v>
      </c>
      <c r="I10070" s="43">
        <f t="shared" si="3843"/>
        <v>47982.210364862745</v>
      </c>
      <c r="J10070" s="112">
        <f t="shared" si="3844"/>
        <v>1565.08</v>
      </c>
      <c r="K10070" s="211">
        <f t="shared" si="3845"/>
        <v>1565.08</v>
      </c>
      <c r="L10070" s="44"/>
      <c r="M10070" s="44">
        <f t="shared" si="3846"/>
        <v>1565.08</v>
      </c>
      <c r="N10070" s="173">
        <f t="shared" si="3847"/>
        <v>1</v>
      </c>
      <c r="O10070" s="44">
        <f t="shared" si="3848"/>
        <v>101</v>
      </c>
      <c r="P10070" s="44">
        <f t="shared" si="3849"/>
        <v>158073.07999999999</v>
      </c>
      <c r="Q10070" s="44">
        <f t="shared" si="3850"/>
        <v>30.657992156862747</v>
      </c>
      <c r="R10070" s="44">
        <f t="shared" si="3851"/>
        <v>47982.210364862745</v>
      </c>
      <c r="S10070" s="123"/>
      <c r="T10070" s="219">
        <f t="shared" si="3852"/>
        <v>47982.210364862745</v>
      </c>
      <c r="U10070" s="87"/>
      <c r="V10070" s="47"/>
      <c r="W10070" s="48"/>
      <c r="X10070" s="48"/>
      <c r="Y10070" s="48"/>
      <c r="Z10070" s="135"/>
      <c r="AA10070" s="49"/>
      <c r="AB10070" s="50">
        <f t="shared" si="3853"/>
        <v>30.657992156862747</v>
      </c>
      <c r="AC10070" s="42">
        <f t="shared" si="3854"/>
        <v>1565.08</v>
      </c>
      <c r="AD10070" s="90">
        <f>AD10071+AD10078</f>
        <v>47982.210364862745</v>
      </c>
      <c r="AE10070" s="188">
        <f t="shared" ref="AE10070:AH10070" si="6680">AE10071+AE10078</f>
        <v>0</v>
      </c>
      <c r="AF10070" s="189">
        <f t="shared" si="6680"/>
        <v>0</v>
      </c>
      <c r="AG10070" s="189">
        <f t="shared" si="6680"/>
        <v>0</v>
      </c>
      <c r="AH10070" s="189">
        <f t="shared" si="6680"/>
        <v>0</v>
      </c>
      <c r="AI10070" s="161">
        <f t="shared" ref="AI10070" si="6681">SUM(AE10070:AH10070)</f>
        <v>0</v>
      </c>
      <c r="AK10070" s="169">
        <v>5</v>
      </c>
      <c r="AO10070" s="19" t="s">
        <v>63</v>
      </c>
    </row>
    <row r="10071" spans="1:41" s="103" customFormat="1" ht="19.899999999999999" customHeight="1" x14ac:dyDescent="0.25">
      <c r="A10071" s="51"/>
      <c r="B10071" s="52"/>
      <c r="C10071" s="165"/>
      <c r="D10071" s="52"/>
      <c r="E10071" s="115"/>
      <c r="F10071" s="58"/>
      <c r="G10071" s="58"/>
      <c r="H10071" s="58"/>
      <c r="I10071" s="55"/>
      <c r="J10071" s="113">
        <f>J10070</f>
        <v>1565.08</v>
      </c>
      <c r="K10071" s="212">
        <f>K10070</f>
        <v>1565.08</v>
      </c>
      <c r="L10071" s="58"/>
      <c r="M10071" s="58">
        <f>K10071-L10071</f>
        <v>1565.08</v>
      </c>
      <c r="N10071" s="166"/>
      <c r="O10071" s="58"/>
      <c r="P10071" s="58"/>
      <c r="Q10071" s="58"/>
      <c r="R10071" s="58"/>
      <c r="S10071" s="58"/>
      <c r="T10071" s="220"/>
      <c r="U10071" s="88"/>
      <c r="V10071" s="56"/>
      <c r="W10071" s="57" t="s">
        <v>1379</v>
      </c>
      <c r="X10071" s="53"/>
      <c r="Y10071" s="91" t="s">
        <v>66</v>
      </c>
      <c r="Z10071" s="136">
        <f>AD10071/AC10071</f>
        <v>22.355262745098042</v>
      </c>
      <c r="AA10071" s="58"/>
      <c r="AB10071" s="53">
        <f>AD10071/AC10071</f>
        <v>22.355262745098042</v>
      </c>
      <c r="AC10071" s="53">
        <f>M10071+$AE$10</f>
        <v>1565.08</v>
      </c>
      <c r="AD10071" s="54">
        <f>SUM(AD10072:AD10077)</f>
        <v>34987.774617098039</v>
      </c>
      <c r="AE10071" s="184">
        <f>SUMIFS($AD$37:$AD$12971,$V$37:$V$12971,$V10071,$X$37:$X$12971,AE$13)</f>
        <v>0</v>
      </c>
      <c r="AF10071" s="185">
        <f>SUMIFS($AD$37:$AD$12971,$V$37:$V$12971,$V10071,$X$37:$X$12971,AF$13)</f>
        <v>0</v>
      </c>
      <c r="AG10071" s="185">
        <f>SUMIFS($AD$37:$AD$12971,$V$37:$V$12971,$V10071,$X$37:$X$12971,AG$13)</f>
        <v>0</v>
      </c>
      <c r="AH10071" s="187">
        <f>SUMIFS($AD$37:$AD$12971,$V$37:$V$12971,$V10071,$X$37:$X$12971,AH$13)</f>
        <v>0</v>
      </c>
      <c r="AI10071" s="161">
        <f t="shared" ref="AI10071" si="6682">SUM(AE10071:AH10071)</f>
        <v>0</v>
      </c>
      <c r="AK10071" s="172"/>
    </row>
    <row r="10072" spans="1:41" s="102" customFormat="1" ht="19.899999999999999" customHeight="1" x14ac:dyDescent="0.25">
      <c r="A10072" s="45"/>
      <c r="B10072" s="59"/>
      <c r="C10072" s="137"/>
      <c r="D10072" s="59"/>
      <c r="E10072" s="116"/>
      <c r="F10072" s="120"/>
      <c r="G10072" s="120"/>
      <c r="H10072" s="120"/>
      <c r="I10072" s="60"/>
      <c r="J10072" s="116"/>
      <c r="K10072" s="213"/>
      <c r="L10072" s="120"/>
      <c r="M10072" s="120"/>
      <c r="N10072" s="167"/>
      <c r="O10072" s="120"/>
      <c r="P10072" s="120"/>
      <c r="Q10072" s="120"/>
      <c r="R10072" s="120"/>
      <c r="S10072" s="120"/>
      <c r="T10072" s="221"/>
      <c r="U10072" s="89"/>
      <c r="V10072" s="61"/>
      <c r="W10072" s="92" t="s">
        <v>110</v>
      </c>
      <c r="X10072" s="93" t="s">
        <v>29</v>
      </c>
      <c r="Y10072" s="93" t="s">
        <v>93</v>
      </c>
      <c r="Z10072" s="134">
        <f>VLOOKUP(W10072,Sheet2!$B:$D,3,FALSE)</f>
        <v>150.4</v>
      </c>
      <c r="AA10072" s="93">
        <v>15</v>
      </c>
      <c r="AB10072" s="93">
        <f>AD10072/AC10071</f>
        <v>10.026666666666667</v>
      </c>
      <c r="AC10072" s="93">
        <f>AC10071/AA10072</f>
        <v>104.33866666666667</v>
      </c>
      <c r="AD10072" s="94">
        <f t="shared" ref="AD10072:AD10075" si="6683">AC10072*Z10072</f>
        <v>15692.535466666668</v>
      </c>
      <c r="AE10072" s="190"/>
      <c r="AF10072" s="191"/>
      <c r="AG10072" s="191"/>
      <c r="AH10072" s="191"/>
      <c r="AI10072" s="186"/>
      <c r="AK10072" s="171"/>
    </row>
    <row r="10073" spans="1:41" s="102" customFormat="1" ht="19.899999999999999" customHeight="1" x14ac:dyDescent="0.25">
      <c r="A10073" s="45"/>
      <c r="B10073" s="59"/>
      <c r="C10073" s="137"/>
      <c r="D10073" s="59"/>
      <c r="E10073" s="116"/>
      <c r="F10073" s="120"/>
      <c r="G10073" s="120"/>
      <c r="H10073" s="120"/>
      <c r="I10073" s="60"/>
      <c r="J10073" s="116"/>
      <c r="K10073" s="213"/>
      <c r="L10073" s="120"/>
      <c r="M10073" s="120"/>
      <c r="N10073" s="167"/>
      <c r="O10073" s="120"/>
      <c r="P10073" s="120"/>
      <c r="Q10073" s="120"/>
      <c r="R10073" s="120"/>
      <c r="S10073" s="120"/>
      <c r="T10073" s="221"/>
      <c r="U10073" s="89"/>
      <c r="V10073" s="61"/>
      <c r="W10073" s="92" t="s">
        <v>65</v>
      </c>
      <c r="X10073" s="93" t="s">
        <v>30</v>
      </c>
      <c r="Y10073" s="93" t="s">
        <v>1011</v>
      </c>
      <c r="Z10073" s="134">
        <f>VLOOKUP(W10073,Sheet2!$B:$D,3,FALSE)</f>
        <v>1.76</v>
      </c>
      <c r="AA10073" s="93">
        <f>AA10072/32</f>
        <v>0.46875</v>
      </c>
      <c r="AB10073" s="93">
        <f>AD10073/AC10071</f>
        <v>3.754666666666667</v>
      </c>
      <c r="AC10073" s="93">
        <f>AC10071/AA10073</f>
        <v>3338.8373333333334</v>
      </c>
      <c r="AD10073" s="94">
        <f t="shared" si="6683"/>
        <v>5876.3537066666668</v>
      </c>
      <c r="AE10073" s="190"/>
      <c r="AF10073" s="191"/>
      <c r="AG10073" s="191"/>
      <c r="AH10073" s="191"/>
      <c r="AI10073" s="186"/>
      <c r="AK10073" s="171"/>
    </row>
    <row r="10074" spans="1:41" s="102" customFormat="1" ht="19.899999999999999" customHeight="1" x14ac:dyDescent="0.25">
      <c r="A10074" s="45"/>
      <c r="B10074" s="59"/>
      <c r="C10074" s="137"/>
      <c r="D10074" s="59"/>
      <c r="E10074" s="116"/>
      <c r="F10074" s="120"/>
      <c r="G10074" s="120"/>
      <c r="H10074" s="120"/>
      <c r="I10074" s="60"/>
      <c r="J10074" s="116"/>
      <c r="K10074" s="213"/>
      <c r="L10074" s="120"/>
      <c r="M10074" s="120"/>
      <c r="N10074" s="167"/>
      <c r="O10074" s="120"/>
      <c r="P10074" s="120"/>
      <c r="Q10074" s="120"/>
      <c r="R10074" s="120"/>
      <c r="S10074" s="120"/>
      <c r="T10074" s="221"/>
      <c r="U10074" s="89"/>
      <c r="V10074" s="61"/>
      <c r="W10074" s="92" t="s">
        <v>131</v>
      </c>
      <c r="X10074" s="93" t="s">
        <v>29</v>
      </c>
      <c r="Y10074" s="93" t="s">
        <v>93</v>
      </c>
      <c r="Z10074" s="134">
        <f>VLOOKUP(W10074,Sheet2!$B:$D,3,FALSE)</f>
        <v>131.19999999999999</v>
      </c>
      <c r="AA10074" s="93">
        <v>50</v>
      </c>
      <c r="AB10074" s="93">
        <f t="shared" ref="AB10074" si="6684">AD10074/AC10071</f>
        <v>2.6239999999999992</v>
      </c>
      <c r="AC10074" s="93">
        <f>AC10071/AA10074</f>
        <v>31.301599999999997</v>
      </c>
      <c r="AD10074" s="94">
        <f t="shared" si="6683"/>
        <v>4106.7699199999988</v>
      </c>
      <c r="AE10074" s="190"/>
      <c r="AF10074" s="191"/>
      <c r="AG10074" s="191"/>
      <c r="AH10074" s="191"/>
      <c r="AI10074" s="186"/>
      <c r="AK10074" s="171"/>
    </row>
    <row r="10075" spans="1:41" s="102" customFormat="1" ht="19.899999999999999" customHeight="1" x14ac:dyDescent="0.25">
      <c r="A10075" s="45"/>
      <c r="B10075" s="59"/>
      <c r="C10075" s="137"/>
      <c r="D10075" s="59"/>
      <c r="E10075" s="116"/>
      <c r="F10075" s="120"/>
      <c r="G10075" s="120"/>
      <c r="H10075" s="120"/>
      <c r="I10075" s="60"/>
      <c r="J10075" s="116"/>
      <c r="K10075" s="213"/>
      <c r="L10075" s="120"/>
      <c r="M10075" s="120"/>
      <c r="N10075" s="167"/>
      <c r="O10075" s="120"/>
      <c r="P10075" s="120"/>
      <c r="Q10075" s="120"/>
      <c r="R10075" s="120"/>
      <c r="S10075" s="120"/>
      <c r="T10075" s="221"/>
      <c r="U10075" s="89"/>
      <c r="V10075" s="61"/>
      <c r="W10075" s="92" t="s">
        <v>65</v>
      </c>
      <c r="X10075" s="93" t="s">
        <v>30</v>
      </c>
      <c r="Y10075" s="93" t="s">
        <v>1011</v>
      </c>
      <c r="Z10075" s="134">
        <f>VLOOKUP(W10075,Sheet2!$B:$D,3,FALSE)</f>
        <v>1.76</v>
      </c>
      <c r="AA10075" s="93">
        <f>AA10074/32</f>
        <v>1.5625</v>
      </c>
      <c r="AB10075" s="93">
        <f>AD10075/AC10071</f>
        <v>1.1264000000000001</v>
      </c>
      <c r="AC10075" s="93">
        <f>AC10071/AA10075</f>
        <v>1001.6511999999999</v>
      </c>
      <c r="AD10075" s="94">
        <f t="shared" si="6683"/>
        <v>1762.9061119999999</v>
      </c>
      <c r="AE10075" s="190"/>
      <c r="AF10075" s="191"/>
      <c r="AG10075" s="191"/>
      <c r="AH10075" s="191"/>
      <c r="AI10075" s="186"/>
      <c r="AK10075" s="171"/>
    </row>
    <row r="10076" spans="1:41" s="102" customFormat="1" ht="19.899999999999999" customHeight="1" x14ac:dyDescent="0.25">
      <c r="A10076" s="45"/>
      <c r="B10076" s="59"/>
      <c r="C10076" s="137"/>
      <c r="D10076" s="59"/>
      <c r="E10076" s="116"/>
      <c r="F10076" s="120"/>
      <c r="G10076" s="120"/>
      <c r="H10076" s="120"/>
      <c r="I10076" s="60"/>
      <c r="J10076" s="116"/>
      <c r="K10076" s="213"/>
      <c r="L10076" s="120"/>
      <c r="M10076" s="120"/>
      <c r="N10076" s="167"/>
      <c r="O10076" s="120"/>
      <c r="P10076" s="120"/>
      <c r="Q10076" s="120"/>
      <c r="R10076" s="120"/>
      <c r="S10076" s="120"/>
      <c r="T10076" s="221"/>
      <c r="U10076" s="89"/>
      <c r="V10076" s="61"/>
      <c r="W10076" s="92" t="s">
        <v>161</v>
      </c>
      <c r="X10076" s="93" t="s">
        <v>29</v>
      </c>
      <c r="Y10076" s="93" t="s">
        <v>93</v>
      </c>
      <c r="Z10076" s="134">
        <f>VLOOKUP(W10076,Sheet2!$B:$D,3,FALSE)</f>
        <v>48</v>
      </c>
      <c r="AA10076" s="93">
        <f>(16*0.85*1)</f>
        <v>13.6</v>
      </c>
      <c r="AB10076" s="93">
        <f>AD10076/AC10071</f>
        <v>3.5294117647058827</v>
      </c>
      <c r="AC10076" s="93">
        <f>AC10071/AA10076</f>
        <v>115.07941176470588</v>
      </c>
      <c r="AD10076" s="94">
        <f>AC10076*Z10076</f>
        <v>5523.8117647058825</v>
      </c>
      <c r="AE10076" s="190"/>
      <c r="AF10076" s="191"/>
      <c r="AG10076" s="191"/>
      <c r="AH10076" s="191"/>
      <c r="AI10076" s="186"/>
      <c r="AK10076" s="171"/>
    </row>
    <row r="10077" spans="1:41" s="102" customFormat="1" ht="19.899999999999999" customHeight="1" x14ac:dyDescent="0.25">
      <c r="A10077" s="45"/>
      <c r="B10077" s="59"/>
      <c r="C10077" s="137"/>
      <c r="D10077" s="59"/>
      <c r="E10077" s="116"/>
      <c r="F10077" s="120"/>
      <c r="G10077" s="120"/>
      <c r="H10077" s="120"/>
      <c r="I10077" s="60"/>
      <c r="J10077" s="116"/>
      <c r="K10077" s="213"/>
      <c r="L10077" s="120"/>
      <c r="M10077" s="120"/>
      <c r="N10077" s="167"/>
      <c r="O10077" s="120"/>
      <c r="P10077" s="120"/>
      <c r="Q10077" s="120"/>
      <c r="R10077" s="120"/>
      <c r="S10077" s="120"/>
      <c r="T10077" s="221"/>
      <c r="U10077" s="89"/>
      <c r="V10077" s="61"/>
      <c r="W10077" s="92" t="s">
        <v>65</v>
      </c>
      <c r="X10077" s="93" t="s">
        <v>30</v>
      </c>
      <c r="Y10077" s="93" t="s">
        <v>1011</v>
      </c>
      <c r="Z10077" s="134">
        <f>VLOOKUP(W10077,Sheet2!$B:$D,3,FALSE)</f>
        <v>1.76</v>
      </c>
      <c r="AA10077" s="93">
        <f>AA10076/10</f>
        <v>1.3599999999999999</v>
      </c>
      <c r="AB10077" s="93">
        <f>AD10077/AC10071</f>
        <v>1.2941176470588236</v>
      </c>
      <c r="AC10077" s="93">
        <f>AC10071/AA10077</f>
        <v>1150.7941176470588</v>
      </c>
      <c r="AD10077" s="94">
        <f>AC10077*Z10077</f>
        <v>2025.3976470588234</v>
      </c>
      <c r="AE10077" s="190"/>
      <c r="AF10077" s="191"/>
      <c r="AG10077" s="191"/>
      <c r="AH10077" s="191"/>
      <c r="AI10077" s="186"/>
      <c r="AK10077" s="171"/>
    </row>
    <row r="10078" spans="1:41" s="103" customFormat="1" ht="19.899999999999999" customHeight="1" x14ac:dyDescent="0.25">
      <c r="A10078" s="51"/>
      <c r="B10078" s="52"/>
      <c r="C10078" s="165"/>
      <c r="D10078" s="52"/>
      <c r="E10078" s="115"/>
      <c r="F10078" s="58"/>
      <c r="G10078" s="58"/>
      <c r="H10078" s="58"/>
      <c r="I10078" s="55"/>
      <c r="J10078" s="113">
        <f>J10070</f>
        <v>1565.08</v>
      </c>
      <c r="K10078" s="212">
        <f>K10070</f>
        <v>1565.08</v>
      </c>
      <c r="L10078" s="58"/>
      <c r="M10078" s="58">
        <f>K10078-L10078</f>
        <v>1565.08</v>
      </c>
      <c r="N10078" s="166"/>
      <c r="O10078" s="58"/>
      <c r="P10078" s="58"/>
      <c r="Q10078" s="58"/>
      <c r="R10078" s="58"/>
      <c r="S10078" s="58"/>
      <c r="T10078" s="220"/>
      <c r="U10078" s="88"/>
      <c r="V10078" s="56"/>
      <c r="W10078" s="57" t="s">
        <v>1380</v>
      </c>
      <c r="X10078" s="53"/>
      <c r="Y10078" s="91" t="s">
        <v>66</v>
      </c>
      <c r="Z10078" s="136">
        <f>AD10078/AC10078</f>
        <v>8.302729411764707</v>
      </c>
      <c r="AA10078" s="58"/>
      <c r="AB10078" s="53">
        <f>AD10078/AC10078</f>
        <v>8.302729411764707</v>
      </c>
      <c r="AC10078" s="53">
        <f>M10078+$AE$10</f>
        <v>1565.08</v>
      </c>
      <c r="AD10078" s="54">
        <f>SUM(AD10079:AD10088)</f>
        <v>12994.435747764706</v>
      </c>
      <c r="AE10078" s="184">
        <f>SUMIFS($AD$37:$AD$12971,$V$37:$V$12971,$V10078,$X$37:$X$12971,AE$13)</f>
        <v>0</v>
      </c>
      <c r="AF10078" s="185">
        <f>SUMIFS($AD$37:$AD$12971,$V$37:$V$12971,$V10078,$X$37:$X$12971,AF$13)</f>
        <v>0</v>
      </c>
      <c r="AG10078" s="185">
        <f>SUMIFS($AD$37:$AD$12971,$V$37:$V$12971,$V10078,$X$37:$X$12971,AG$13)</f>
        <v>0</v>
      </c>
      <c r="AH10078" s="187">
        <f>SUMIFS($AD$37:$AD$12971,$V$37:$V$12971,$V10078,$X$37:$X$12971,AH$13)</f>
        <v>0</v>
      </c>
      <c r="AI10078" s="161">
        <f t="shared" ref="AI10078" si="6685">SUM(AE10078:AH10078)</f>
        <v>0</v>
      </c>
      <c r="AK10078" s="172"/>
    </row>
    <row r="10079" spans="1:41" s="102" customFormat="1" ht="19.899999999999999" customHeight="1" x14ac:dyDescent="0.25">
      <c r="A10079" s="45"/>
      <c r="B10079" s="59"/>
      <c r="C10079" s="137"/>
      <c r="D10079" s="59"/>
      <c r="E10079" s="116"/>
      <c r="F10079" s="120"/>
      <c r="G10079" s="120"/>
      <c r="H10079" s="120"/>
      <c r="I10079" s="60"/>
      <c r="J10079" s="116"/>
      <c r="K10079" s="213"/>
      <c r="L10079" s="120"/>
      <c r="M10079" s="120"/>
      <c r="N10079" s="167"/>
      <c r="O10079" s="120"/>
      <c r="P10079" s="120"/>
      <c r="Q10079" s="120"/>
      <c r="R10079" s="120"/>
      <c r="S10079" s="120"/>
      <c r="T10079" s="221"/>
      <c r="U10079" s="89"/>
      <c r="V10079" s="61"/>
      <c r="W10079" s="92" t="s">
        <v>134</v>
      </c>
      <c r="X10079" s="93" t="s">
        <v>29</v>
      </c>
      <c r="Y10079" s="93" t="s">
        <v>93</v>
      </c>
      <c r="Z10079" s="134">
        <f>VLOOKUP(W10079,Sheet2!$B:$D,3,FALSE)</f>
        <v>65.599999999999994</v>
      </c>
      <c r="AA10079" s="93">
        <f>100</f>
        <v>100</v>
      </c>
      <c r="AB10079" s="93">
        <f>AD10079/AC10078</f>
        <v>0.65599999999999981</v>
      </c>
      <c r="AC10079" s="93">
        <f>AC10078/AA10079</f>
        <v>15.650799999999998</v>
      </c>
      <c r="AD10079" s="94">
        <f t="shared" ref="AD10079:AD10080" si="6686">AC10079*Z10079</f>
        <v>1026.6924799999997</v>
      </c>
      <c r="AE10079" s="190"/>
      <c r="AF10079" s="191"/>
      <c r="AG10079" s="191"/>
      <c r="AH10079" s="191"/>
      <c r="AI10079" s="186"/>
      <c r="AK10079" s="171"/>
    </row>
    <row r="10080" spans="1:41" s="102" customFormat="1" ht="19.899999999999999" customHeight="1" x14ac:dyDescent="0.25">
      <c r="A10080" s="45"/>
      <c r="B10080" s="59"/>
      <c r="C10080" s="137"/>
      <c r="D10080" s="59"/>
      <c r="E10080" s="116"/>
      <c r="F10080" s="120"/>
      <c r="G10080" s="120"/>
      <c r="H10080" s="120"/>
      <c r="I10080" s="60"/>
      <c r="J10080" s="116"/>
      <c r="K10080" s="213"/>
      <c r="L10080" s="120"/>
      <c r="M10080" s="120"/>
      <c r="N10080" s="167"/>
      <c r="O10080" s="120"/>
      <c r="P10080" s="120"/>
      <c r="Q10080" s="120"/>
      <c r="R10080" s="120"/>
      <c r="S10080" s="120"/>
      <c r="T10080" s="221"/>
      <c r="U10080" s="89"/>
      <c r="V10080" s="61"/>
      <c r="W10080" s="92" t="s">
        <v>65</v>
      </c>
      <c r="X10080" s="93" t="s">
        <v>30</v>
      </c>
      <c r="Y10080" s="93" t="s">
        <v>1011</v>
      </c>
      <c r="Z10080" s="134">
        <f>VLOOKUP(W10080,Sheet2!$B:$D,3,FALSE)</f>
        <v>1.76</v>
      </c>
      <c r="AA10080" s="93">
        <f>AA10079/9</f>
        <v>11.111111111111111</v>
      </c>
      <c r="AB10080" s="93">
        <f>AD10080/AC10078</f>
        <v>0.15840000000000001</v>
      </c>
      <c r="AC10080" s="93">
        <f>AC10078/AA10080</f>
        <v>140.85720000000001</v>
      </c>
      <c r="AD10080" s="94">
        <f t="shared" si="6686"/>
        <v>247.90867200000002</v>
      </c>
      <c r="AE10080" s="190"/>
      <c r="AF10080" s="191"/>
      <c r="AG10080" s="191"/>
      <c r="AH10080" s="191"/>
      <c r="AI10080" s="186"/>
      <c r="AK10080" s="171"/>
    </row>
    <row r="10081" spans="1:41" s="102" customFormat="1" ht="19.899999999999999" customHeight="1" x14ac:dyDescent="0.25">
      <c r="A10081" s="45"/>
      <c r="B10081" s="59"/>
      <c r="C10081" s="137"/>
      <c r="D10081" s="59"/>
      <c r="E10081" s="116"/>
      <c r="F10081" s="120"/>
      <c r="G10081" s="120"/>
      <c r="H10081" s="120"/>
      <c r="I10081" s="60"/>
      <c r="J10081" s="116"/>
      <c r="K10081" s="213"/>
      <c r="L10081" s="120"/>
      <c r="M10081" s="120"/>
      <c r="N10081" s="167"/>
      <c r="O10081" s="120"/>
      <c r="P10081" s="120"/>
      <c r="Q10081" s="120"/>
      <c r="R10081" s="120"/>
      <c r="S10081" s="120"/>
      <c r="T10081" s="221"/>
      <c r="U10081" s="89"/>
      <c r="V10081" s="61"/>
      <c r="W10081" s="92" t="s">
        <v>161</v>
      </c>
      <c r="X10081" s="93" t="s">
        <v>29</v>
      </c>
      <c r="Y10081" s="93" t="s">
        <v>93</v>
      </c>
      <c r="Z10081" s="134">
        <f>VLOOKUP(W10081,Sheet2!$B:$D,3,FALSE)</f>
        <v>48</v>
      </c>
      <c r="AA10081" s="93">
        <f>(16*0.85*1)</f>
        <v>13.6</v>
      </c>
      <c r="AB10081" s="93">
        <f>AD10081/AC10078</f>
        <v>3.5294117647058827</v>
      </c>
      <c r="AC10081" s="93">
        <f>AC10078/AA10081</f>
        <v>115.07941176470588</v>
      </c>
      <c r="AD10081" s="94">
        <f>AC10081*Z10081</f>
        <v>5523.8117647058825</v>
      </c>
      <c r="AE10081" s="190"/>
      <c r="AF10081" s="191"/>
      <c r="AG10081" s="191"/>
      <c r="AH10081" s="191"/>
      <c r="AI10081" s="186"/>
      <c r="AK10081" s="171"/>
    </row>
    <row r="10082" spans="1:41" s="102" customFormat="1" ht="19.899999999999999" customHeight="1" x14ac:dyDescent="0.25">
      <c r="A10082" s="45"/>
      <c r="B10082" s="59"/>
      <c r="C10082" s="137"/>
      <c r="D10082" s="59"/>
      <c r="E10082" s="116"/>
      <c r="F10082" s="120"/>
      <c r="G10082" s="120"/>
      <c r="H10082" s="120"/>
      <c r="I10082" s="60"/>
      <c r="J10082" s="116"/>
      <c r="K10082" s="213"/>
      <c r="L10082" s="120"/>
      <c r="M10082" s="120"/>
      <c r="N10082" s="167"/>
      <c r="O10082" s="120"/>
      <c r="P10082" s="120"/>
      <c r="Q10082" s="120"/>
      <c r="R10082" s="120"/>
      <c r="S10082" s="120"/>
      <c r="T10082" s="221"/>
      <c r="U10082" s="89"/>
      <c r="V10082" s="61"/>
      <c r="W10082" s="92" t="s">
        <v>65</v>
      </c>
      <c r="X10082" s="93" t="s">
        <v>30</v>
      </c>
      <c r="Y10082" s="93" t="s">
        <v>1011</v>
      </c>
      <c r="Z10082" s="134">
        <f>VLOOKUP(W10082,Sheet2!$B:$D,3,FALSE)</f>
        <v>1.76</v>
      </c>
      <c r="AA10082" s="93">
        <f>AA10081/10</f>
        <v>1.3599999999999999</v>
      </c>
      <c r="AB10082" s="93">
        <f>AD10082/AC10078</f>
        <v>1.2941176470588236</v>
      </c>
      <c r="AC10082" s="93">
        <f>AC10078/AA10082</f>
        <v>1150.7941176470588</v>
      </c>
      <c r="AD10082" s="94">
        <f>AC10082*Z10082</f>
        <v>2025.3976470588234</v>
      </c>
      <c r="AE10082" s="190"/>
      <c r="AF10082" s="191"/>
      <c r="AG10082" s="191"/>
      <c r="AH10082" s="191"/>
      <c r="AI10082" s="186"/>
      <c r="AK10082" s="171"/>
    </row>
    <row r="10083" spans="1:41" s="102" customFormat="1" ht="19.899999999999999" customHeight="1" x14ac:dyDescent="0.25">
      <c r="A10083" s="45"/>
      <c r="B10083" s="59"/>
      <c r="C10083" s="137"/>
      <c r="D10083" s="59"/>
      <c r="E10083" s="116"/>
      <c r="F10083" s="120"/>
      <c r="G10083" s="120"/>
      <c r="H10083" s="120"/>
      <c r="I10083" s="60"/>
      <c r="J10083" s="116"/>
      <c r="K10083" s="213"/>
      <c r="L10083" s="120"/>
      <c r="M10083" s="120"/>
      <c r="N10083" s="167"/>
      <c r="O10083" s="120"/>
      <c r="P10083" s="120"/>
      <c r="Q10083" s="120"/>
      <c r="R10083" s="120"/>
      <c r="S10083" s="120"/>
      <c r="T10083" s="221"/>
      <c r="U10083" s="89"/>
      <c r="V10083" s="61"/>
      <c r="W10083" s="92" t="s">
        <v>173</v>
      </c>
      <c r="X10083" s="93" t="s">
        <v>29</v>
      </c>
      <c r="Y10083" s="93" t="s">
        <v>93</v>
      </c>
      <c r="Z10083" s="134">
        <f>VLOOKUP(W10083,Sheet2!$B:$D,3,FALSE)</f>
        <v>36</v>
      </c>
      <c r="AA10083" s="93">
        <f>50</f>
        <v>50</v>
      </c>
      <c r="AB10083" s="93">
        <f>AD10083/AC10078</f>
        <v>0.72</v>
      </c>
      <c r="AC10083" s="93">
        <f>AC10078/AA10083</f>
        <v>31.301599999999997</v>
      </c>
      <c r="AD10083" s="94">
        <f>AC10083*Z10083</f>
        <v>1126.8575999999998</v>
      </c>
      <c r="AE10083" s="190"/>
      <c r="AF10083" s="191"/>
      <c r="AG10083" s="191"/>
      <c r="AH10083" s="191"/>
      <c r="AI10083" s="186"/>
      <c r="AK10083" s="171"/>
    </row>
    <row r="10084" spans="1:41" s="102" customFormat="1" ht="19.899999999999999" customHeight="1" x14ac:dyDescent="0.25">
      <c r="A10084" s="45"/>
      <c r="B10084" s="59"/>
      <c r="C10084" s="137"/>
      <c r="D10084" s="59"/>
      <c r="E10084" s="116"/>
      <c r="F10084" s="120"/>
      <c r="G10084" s="120"/>
      <c r="H10084" s="120"/>
      <c r="I10084" s="60"/>
      <c r="J10084" s="116"/>
      <c r="K10084" s="213"/>
      <c r="L10084" s="120"/>
      <c r="M10084" s="120"/>
      <c r="N10084" s="167"/>
      <c r="O10084" s="120"/>
      <c r="P10084" s="120"/>
      <c r="Q10084" s="120"/>
      <c r="R10084" s="120"/>
      <c r="S10084" s="120"/>
      <c r="T10084" s="221"/>
      <c r="U10084" s="89"/>
      <c r="V10084" s="61"/>
      <c r="W10084" s="92" t="s">
        <v>65</v>
      </c>
      <c r="X10084" s="93" t="s">
        <v>30</v>
      </c>
      <c r="Y10084" s="93" t="s">
        <v>1011</v>
      </c>
      <c r="Z10084" s="134">
        <f>VLOOKUP(W10084,Sheet2!$B:$D,3,FALSE)</f>
        <v>1.76</v>
      </c>
      <c r="AA10084" s="93">
        <f>AA10083/9</f>
        <v>5.5555555555555554</v>
      </c>
      <c r="AB10084" s="93">
        <f>AD10084/AC10078</f>
        <v>0.31680000000000003</v>
      </c>
      <c r="AC10084" s="93">
        <f>AC10078/AA10084</f>
        <v>281.71440000000001</v>
      </c>
      <c r="AD10084" s="94">
        <f>AC10084*Z10084</f>
        <v>495.81734400000005</v>
      </c>
      <c r="AE10084" s="190"/>
      <c r="AF10084" s="191"/>
      <c r="AG10084" s="191"/>
      <c r="AH10084" s="191"/>
      <c r="AI10084" s="186"/>
      <c r="AK10084" s="171"/>
    </row>
    <row r="10085" spans="1:41" s="102" customFormat="1" ht="19.899999999999999" customHeight="1" x14ac:dyDescent="0.25">
      <c r="A10085" s="45"/>
      <c r="B10085" s="59"/>
      <c r="C10085" s="137"/>
      <c r="D10085" s="59"/>
      <c r="E10085" s="116"/>
      <c r="F10085" s="120"/>
      <c r="G10085" s="120"/>
      <c r="H10085" s="120"/>
      <c r="I10085" s="60"/>
      <c r="J10085" s="116"/>
      <c r="K10085" s="213"/>
      <c r="L10085" s="120"/>
      <c r="M10085" s="120"/>
      <c r="N10085" s="167"/>
      <c r="O10085" s="120"/>
      <c r="P10085" s="120"/>
      <c r="Q10085" s="120"/>
      <c r="R10085" s="120"/>
      <c r="S10085" s="120"/>
      <c r="T10085" s="221"/>
      <c r="U10085" s="89"/>
      <c r="V10085" s="61"/>
      <c r="W10085" s="92" t="s">
        <v>148</v>
      </c>
      <c r="X10085" s="93" t="s">
        <v>29</v>
      </c>
      <c r="Y10085" s="93" t="s">
        <v>93</v>
      </c>
      <c r="Z10085" s="134">
        <f>VLOOKUP(W10085,Sheet2!$B:$D,3,FALSE)</f>
        <v>48</v>
      </c>
      <c r="AA10085" s="93">
        <v>80</v>
      </c>
      <c r="AB10085" s="93">
        <f>AD10085/AC10078</f>
        <v>0.6</v>
      </c>
      <c r="AC10085" s="93">
        <f>AC10078/AA10085</f>
        <v>19.563499999999998</v>
      </c>
      <c r="AD10085" s="94">
        <f t="shared" ref="AD10085:AD10088" si="6687">AC10085*Z10085</f>
        <v>939.04799999999989</v>
      </c>
      <c r="AE10085" s="190"/>
      <c r="AF10085" s="191"/>
      <c r="AG10085" s="191"/>
      <c r="AH10085" s="191"/>
      <c r="AI10085" s="186"/>
      <c r="AK10085" s="171"/>
    </row>
    <row r="10086" spans="1:41" s="102" customFormat="1" ht="19.899999999999999" customHeight="1" x14ac:dyDescent="0.25">
      <c r="A10086" s="45"/>
      <c r="B10086" s="59"/>
      <c r="C10086" s="137"/>
      <c r="D10086" s="59"/>
      <c r="E10086" s="116"/>
      <c r="F10086" s="120"/>
      <c r="G10086" s="120"/>
      <c r="H10086" s="120"/>
      <c r="I10086" s="60"/>
      <c r="J10086" s="116"/>
      <c r="K10086" s="213"/>
      <c r="L10086" s="120"/>
      <c r="M10086" s="120"/>
      <c r="N10086" s="167"/>
      <c r="O10086" s="120"/>
      <c r="P10086" s="120"/>
      <c r="Q10086" s="120"/>
      <c r="R10086" s="120"/>
      <c r="S10086" s="120"/>
      <c r="T10086" s="221"/>
      <c r="U10086" s="89"/>
      <c r="V10086" s="61"/>
      <c r="W10086" s="92" t="s">
        <v>65</v>
      </c>
      <c r="X10086" s="93" t="s">
        <v>30</v>
      </c>
      <c r="Y10086" s="93" t="s">
        <v>1011</v>
      </c>
      <c r="Z10086" s="134">
        <f>VLOOKUP(W10086,Sheet2!$B:$D,3,FALSE)</f>
        <v>1.76</v>
      </c>
      <c r="AA10086" s="93">
        <f>AA10085/10</f>
        <v>8</v>
      </c>
      <c r="AB10086" s="93">
        <f>AD10086/AC10078</f>
        <v>0.22</v>
      </c>
      <c r="AC10086" s="93">
        <f>AC10078/AA10086</f>
        <v>195.63499999999999</v>
      </c>
      <c r="AD10086" s="94">
        <f t="shared" si="6687"/>
        <v>344.31759999999997</v>
      </c>
      <c r="AE10086" s="190"/>
      <c r="AF10086" s="191"/>
      <c r="AG10086" s="191"/>
      <c r="AH10086" s="191"/>
      <c r="AI10086" s="186"/>
      <c r="AK10086" s="171"/>
    </row>
    <row r="10087" spans="1:41" s="102" customFormat="1" ht="19.899999999999999" customHeight="1" x14ac:dyDescent="0.25">
      <c r="A10087" s="45"/>
      <c r="B10087" s="59"/>
      <c r="C10087" s="137"/>
      <c r="D10087" s="59"/>
      <c r="E10087" s="116"/>
      <c r="F10087" s="120"/>
      <c r="G10087" s="120"/>
      <c r="H10087" s="120"/>
      <c r="I10087" s="60"/>
      <c r="J10087" s="116"/>
      <c r="K10087" s="213"/>
      <c r="L10087" s="120"/>
      <c r="M10087" s="120"/>
      <c r="N10087" s="167"/>
      <c r="O10087" s="120"/>
      <c r="P10087" s="120"/>
      <c r="Q10087" s="120"/>
      <c r="R10087" s="120"/>
      <c r="S10087" s="120"/>
      <c r="T10087" s="221"/>
      <c r="U10087" s="89"/>
      <c r="V10087" s="61"/>
      <c r="W10087" s="92" t="s">
        <v>145</v>
      </c>
      <c r="X10087" s="93" t="s">
        <v>29</v>
      </c>
      <c r="Y10087" s="93" t="s">
        <v>93</v>
      </c>
      <c r="Z10087" s="134">
        <f>VLOOKUP(W10087,Sheet2!$B:$D,3,FALSE)</f>
        <v>40</v>
      </c>
      <c r="AA10087" s="93">
        <v>80</v>
      </c>
      <c r="AB10087" s="93">
        <f>AD10087/AC10078</f>
        <v>0.5</v>
      </c>
      <c r="AC10087" s="93">
        <f>AC10078/AA10087</f>
        <v>19.563499999999998</v>
      </c>
      <c r="AD10087" s="94">
        <f t="shared" si="6687"/>
        <v>782.54</v>
      </c>
      <c r="AE10087" s="190"/>
      <c r="AF10087" s="191"/>
      <c r="AG10087" s="191"/>
      <c r="AH10087" s="191"/>
      <c r="AI10087" s="186"/>
      <c r="AK10087" s="171"/>
    </row>
    <row r="10088" spans="1:41" s="102" customFormat="1" ht="19.899999999999999" customHeight="1" x14ac:dyDescent="0.25">
      <c r="A10088" s="45"/>
      <c r="B10088" s="59"/>
      <c r="C10088" s="137"/>
      <c r="D10088" s="59"/>
      <c r="E10088" s="116"/>
      <c r="F10088" s="120"/>
      <c r="G10088" s="120"/>
      <c r="H10088" s="120"/>
      <c r="I10088" s="60"/>
      <c r="J10088" s="116"/>
      <c r="K10088" s="213"/>
      <c r="L10088" s="120"/>
      <c r="M10088" s="120"/>
      <c r="N10088" s="167"/>
      <c r="O10088" s="120"/>
      <c r="P10088" s="120"/>
      <c r="Q10088" s="120"/>
      <c r="R10088" s="120"/>
      <c r="S10088" s="120"/>
      <c r="T10088" s="221"/>
      <c r="U10088" s="89"/>
      <c r="V10088" s="61"/>
      <c r="W10088" s="92" t="s">
        <v>65</v>
      </c>
      <c r="X10088" s="93" t="s">
        <v>30</v>
      </c>
      <c r="Y10088" s="93" t="s">
        <v>1011</v>
      </c>
      <c r="Z10088" s="134">
        <f>VLOOKUP(W10088,Sheet2!$B:$D,3,FALSE)</f>
        <v>1.76</v>
      </c>
      <c r="AA10088" s="93">
        <f>AA10087/14</f>
        <v>5.7142857142857144</v>
      </c>
      <c r="AB10088" s="93">
        <f>AD10088/AC10078</f>
        <v>0.30799999999999994</v>
      </c>
      <c r="AC10088" s="93">
        <f>AC10078/AA10088</f>
        <v>273.88899999999995</v>
      </c>
      <c r="AD10088" s="94">
        <f t="shared" si="6687"/>
        <v>482.0446399999999</v>
      </c>
      <c r="AE10088" s="190"/>
      <c r="AF10088" s="191"/>
      <c r="AG10088" s="191"/>
      <c r="AH10088" s="191"/>
      <c r="AI10088" s="186"/>
      <c r="AK10088" s="171"/>
    </row>
    <row r="10089" spans="1:41" ht="20.100000000000001" customHeight="1" x14ac:dyDescent="0.25">
      <c r="A10089" s="277" t="s">
        <v>945</v>
      </c>
      <c r="B10089" s="278"/>
      <c r="C10089" s="64" t="s">
        <v>863</v>
      </c>
      <c r="D10089" s="46" t="s">
        <v>201</v>
      </c>
      <c r="E10089" s="114">
        <v>819.08</v>
      </c>
      <c r="F10089" s="44">
        <v>101</v>
      </c>
      <c r="G10089" s="44">
        <f t="shared" si="3841"/>
        <v>82727.08</v>
      </c>
      <c r="H10089" s="44">
        <f t="shared" si="3842"/>
        <v>30.657992156862747</v>
      </c>
      <c r="I10089" s="43">
        <f t="shared" si="3843"/>
        <v>25111.34821584314</v>
      </c>
      <c r="J10089" s="112">
        <f t="shared" si="3844"/>
        <v>819.08</v>
      </c>
      <c r="K10089" s="211">
        <f t="shared" si="3845"/>
        <v>819.08</v>
      </c>
      <c r="L10089" s="44"/>
      <c r="M10089" s="44">
        <f t="shared" si="3846"/>
        <v>819.08</v>
      </c>
      <c r="N10089" s="173">
        <f t="shared" si="3847"/>
        <v>1</v>
      </c>
      <c r="O10089" s="44">
        <f t="shared" si="3848"/>
        <v>101</v>
      </c>
      <c r="P10089" s="44">
        <f t="shared" si="3849"/>
        <v>82727.08</v>
      </c>
      <c r="Q10089" s="44">
        <f t="shared" si="3850"/>
        <v>30.657992156862747</v>
      </c>
      <c r="R10089" s="44">
        <f t="shared" si="3851"/>
        <v>25111.34821584314</v>
      </c>
      <c r="S10089" s="123"/>
      <c r="T10089" s="219">
        <f t="shared" si="3852"/>
        <v>25111.34821584314</v>
      </c>
      <c r="U10089" s="87"/>
      <c r="V10089" s="47"/>
      <c r="W10089" s="48"/>
      <c r="X10089" s="48"/>
      <c r="Y10089" s="48"/>
      <c r="Z10089" s="135"/>
      <c r="AA10089" s="49"/>
      <c r="AB10089" s="50">
        <f t="shared" si="3853"/>
        <v>30.657992156862747</v>
      </c>
      <c r="AC10089" s="42">
        <f t="shared" si="3854"/>
        <v>819.08</v>
      </c>
      <c r="AD10089" s="90">
        <f>AD10090+AD10097</f>
        <v>25111.34821584314</v>
      </c>
      <c r="AE10089" s="188">
        <f t="shared" ref="AE10089:AH10089" si="6688">AE10090+AE10097</f>
        <v>0</v>
      </c>
      <c r="AF10089" s="189">
        <f t="shared" si="6688"/>
        <v>0</v>
      </c>
      <c r="AG10089" s="189">
        <f t="shared" si="6688"/>
        <v>0</v>
      </c>
      <c r="AH10089" s="189">
        <f t="shared" si="6688"/>
        <v>0</v>
      </c>
      <c r="AI10089" s="161">
        <f t="shared" ref="AI10089" si="6689">SUM(AE10089:AH10089)</f>
        <v>0</v>
      </c>
      <c r="AK10089" s="169">
        <v>5</v>
      </c>
      <c r="AO10089" s="19" t="s">
        <v>63</v>
      </c>
    </row>
    <row r="10090" spans="1:41" s="103" customFormat="1" ht="19.899999999999999" customHeight="1" x14ac:dyDescent="0.25">
      <c r="A10090" s="51"/>
      <c r="B10090" s="52"/>
      <c r="C10090" s="165"/>
      <c r="D10090" s="52"/>
      <c r="E10090" s="115"/>
      <c r="F10090" s="58"/>
      <c r="G10090" s="58"/>
      <c r="H10090" s="58"/>
      <c r="I10090" s="55"/>
      <c r="J10090" s="113">
        <f>J10089</f>
        <v>819.08</v>
      </c>
      <c r="K10090" s="212">
        <f>K10089</f>
        <v>819.08</v>
      </c>
      <c r="L10090" s="58"/>
      <c r="M10090" s="58">
        <f>K10090-L10090</f>
        <v>819.08</v>
      </c>
      <c r="N10090" s="166"/>
      <c r="O10090" s="58"/>
      <c r="P10090" s="58"/>
      <c r="Q10090" s="58"/>
      <c r="R10090" s="58"/>
      <c r="S10090" s="58"/>
      <c r="T10090" s="220"/>
      <c r="U10090" s="88"/>
      <c r="V10090" s="56"/>
      <c r="W10090" s="57" t="s">
        <v>1379</v>
      </c>
      <c r="X10090" s="53"/>
      <c r="Y10090" s="91" t="s">
        <v>66</v>
      </c>
      <c r="Z10090" s="136">
        <f>AD10090/AC10090</f>
        <v>22.355262745098042</v>
      </c>
      <c r="AA10090" s="58"/>
      <c r="AB10090" s="53">
        <f>AD10090/AC10090</f>
        <v>22.355262745098042</v>
      </c>
      <c r="AC10090" s="53">
        <f>M10090+$AE$10</f>
        <v>819.08</v>
      </c>
      <c r="AD10090" s="54">
        <f>SUM(AD10091:AD10096)</f>
        <v>18310.748609254904</v>
      </c>
      <c r="AE10090" s="184">
        <f>SUMIFS($AD$37:$AD$12971,$V$37:$V$12971,$V10090,$X$37:$X$12971,AE$13)</f>
        <v>0</v>
      </c>
      <c r="AF10090" s="185">
        <f>SUMIFS($AD$37:$AD$12971,$V$37:$V$12971,$V10090,$X$37:$X$12971,AF$13)</f>
        <v>0</v>
      </c>
      <c r="AG10090" s="185">
        <f>SUMIFS($AD$37:$AD$12971,$V$37:$V$12971,$V10090,$X$37:$X$12971,AG$13)</f>
        <v>0</v>
      </c>
      <c r="AH10090" s="187">
        <f>SUMIFS($AD$37:$AD$12971,$V$37:$V$12971,$V10090,$X$37:$X$12971,AH$13)</f>
        <v>0</v>
      </c>
      <c r="AI10090" s="161">
        <f t="shared" ref="AI10090" si="6690">SUM(AE10090:AH10090)</f>
        <v>0</v>
      </c>
      <c r="AK10090" s="172"/>
    </row>
    <row r="10091" spans="1:41" s="102" customFormat="1" ht="19.899999999999999" customHeight="1" x14ac:dyDescent="0.25">
      <c r="A10091" s="45"/>
      <c r="B10091" s="59"/>
      <c r="C10091" s="137"/>
      <c r="D10091" s="59"/>
      <c r="E10091" s="116"/>
      <c r="F10091" s="120"/>
      <c r="G10091" s="120"/>
      <c r="H10091" s="120"/>
      <c r="I10091" s="60"/>
      <c r="J10091" s="116"/>
      <c r="K10091" s="213"/>
      <c r="L10091" s="120"/>
      <c r="M10091" s="120"/>
      <c r="N10091" s="167"/>
      <c r="O10091" s="120"/>
      <c r="P10091" s="120"/>
      <c r="Q10091" s="120"/>
      <c r="R10091" s="120"/>
      <c r="S10091" s="120"/>
      <c r="T10091" s="221"/>
      <c r="U10091" s="89"/>
      <c r="V10091" s="61"/>
      <c r="W10091" s="92" t="s">
        <v>110</v>
      </c>
      <c r="X10091" s="93" t="s">
        <v>29</v>
      </c>
      <c r="Y10091" s="93" t="s">
        <v>93</v>
      </c>
      <c r="Z10091" s="134">
        <f>VLOOKUP(W10091,Sheet2!$B:$D,3,FALSE)</f>
        <v>150.4</v>
      </c>
      <c r="AA10091" s="93">
        <v>15</v>
      </c>
      <c r="AB10091" s="93">
        <f>AD10091/AC10090</f>
        <v>10.026666666666667</v>
      </c>
      <c r="AC10091" s="93">
        <f>AC10090/AA10091</f>
        <v>54.605333333333334</v>
      </c>
      <c r="AD10091" s="94">
        <f t="shared" ref="AD10091:AD10094" si="6691">AC10091*Z10091</f>
        <v>8212.6421333333346</v>
      </c>
      <c r="AE10091" s="190"/>
      <c r="AF10091" s="191"/>
      <c r="AG10091" s="191"/>
      <c r="AH10091" s="191"/>
      <c r="AI10091" s="186"/>
      <c r="AK10091" s="171"/>
    </row>
    <row r="10092" spans="1:41" s="102" customFormat="1" ht="19.899999999999999" customHeight="1" x14ac:dyDescent="0.25">
      <c r="A10092" s="45"/>
      <c r="B10092" s="59"/>
      <c r="C10092" s="137"/>
      <c r="D10092" s="59"/>
      <c r="E10092" s="116"/>
      <c r="F10092" s="120"/>
      <c r="G10092" s="120"/>
      <c r="H10092" s="120"/>
      <c r="I10092" s="60"/>
      <c r="J10092" s="116"/>
      <c r="K10092" s="213"/>
      <c r="L10092" s="120"/>
      <c r="M10092" s="120"/>
      <c r="N10092" s="167"/>
      <c r="O10092" s="120"/>
      <c r="P10092" s="120"/>
      <c r="Q10092" s="120"/>
      <c r="R10092" s="120"/>
      <c r="S10092" s="120"/>
      <c r="T10092" s="221"/>
      <c r="U10092" s="89"/>
      <c r="V10092" s="61"/>
      <c r="W10092" s="92" t="s">
        <v>65</v>
      </c>
      <c r="X10092" s="93" t="s">
        <v>30</v>
      </c>
      <c r="Y10092" s="93" t="s">
        <v>1011</v>
      </c>
      <c r="Z10092" s="134">
        <f>VLOOKUP(W10092,Sheet2!$B:$D,3,FALSE)</f>
        <v>1.76</v>
      </c>
      <c r="AA10092" s="93">
        <f>AA10091/32</f>
        <v>0.46875</v>
      </c>
      <c r="AB10092" s="93">
        <f>AD10092/AC10090</f>
        <v>3.7546666666666666</v>
      </c>
      <c r="AC10092" s="93">
        <f>AC10090/AA10092</f>
        <v>1747.3706666666667</v>
      </c>
      <c r="AD10092" s="94">
        <f t="shared" si="6691"/>
        <v>3075.3723733333336</v>
      </c>
      <c r="AE10092" s="190"/>
      <c r="AF10092" s="191"/>
      <c r="AG10092" s="191"/>
      <c r="AH10092" s="191"/>
      <c r="AI10092" s="186"/>
      <c r="AK10092" s="171"/>
    </row>
    <row r="10093" spans="1:41" s="102" customFormat="1" ht="19.899999999999999" customHeight="1" x14ac:dyDescent="0.25">
      <c r="A10093" s="45"/>
      <c r="B10093" s="59"/>
      <c r="C10093" s="137"/>
      <c r="D10093" s="59"/>
      <c r="E10093" s="116"/>
      <c r="F10093" s="120"/>
      <c r="G10093" s="120"/>
      <c r="H10093" s="120"/>
      <c r="I10093" s="60"/>
      <c r="J10093" s="116"/>
      <c r="K10093" s="213"/>
      <c r="L10093" s="120"/>
      <c r="M10093" s="120"/>
      <c r="N10093" s="167"/>
      <c r="O10093" s="120"/>
      <c r="P10093" s="120"/>
      <c r="Q10093" s="120"/>
      <c r="R10093" s="120"/>
      <c r="S10093" s="120"/>
      <c r="T10093" s="221"/>
      <c r="U10093" s="89"/>
      <c r="V10093" s="61"/>
      <c r="W10093" s="92" t="s">
        <v>131</v>
      </c>
      <c r="X10093" s="93" t="s">
        <v>29</v>
      </c>
      <c r="Y10093" s="93" t="s">
        <v>93</v>
      </c>
      <c r="Z10093" s="134">
        <f>VLOOKUP(W10093,Sheet2!$B:$D,3,FALSE)</f>
        <v>131.19999999999999</v>
      </c>
      <c r="AA10093" s="93">
        <v>50</v>
      </c>
      <c r="AB10093" s="93">
        <f t="shared" ref="AB10093" si="6692">AD10093/AC10090</f>
        <v>2.6240000000000001</v>
      </c>
      <c r="AC10093" s="93">
        <f>AC10090/AA10093</f>
        <v>16.381600000000002</v>
      </c>
      <c r="AD10093" s="94">
        <f t="shared" si="6691"/>
        <v>2149.2659200000003</v>
      </c>
      <c r="AE10093" s="190"/>
      <c r="AF10093" s="191"/>
      <c r="AG10093" s="191"/>
      <c r="AH10093" s="191"/>
      <c r="AI10093" s="186"/>
      <c r="AK10093" s="171"/>
    </row>
    <row r="10094" spans="1:41" s="102" customFormat="1" ht="19.899999999999999" customHeight="1" x14ac:dyDescent="0.25">
      <c r="A10094" s="45"/>
      <c r="B10094" s="59"/>
      <c r="C10094" s="137"/>
      <c r="D10094" s="59"/>
      <c r="E10094" s="116"/>
      <c r="F10094" s="120"/>
      <c r="G10094" s="120"/>
      <c r="H10094" s="120"/>
      <c r="I10094" s="60"/>
      <c r="J10094" s="116"/>
      <c r="K10094" s="213"/>
      <c r="L10094" s="120"/>
      <c r="M10094" s="120"/>
      <c r="N10094" s="167"/>
      <c r="O10094" s="120"/>
      <c r="P10094" s="120"/>
      <c r="Q10094" s="120"/>
      <c r="R10094" s="120"/>
      <c r="S10094" s="120"/>
      <c r="T10094" s="221"/>
      <c r="U10094" s="89"/>
      <c r="V10094" s="61"/>
      <c r="W10094" s="92" t="s">
        <v>65</v>
      </c>
      <c r="X10094" s="93" t="s">
        <v>30</v>
      </c>
      <c r="Y10094" s="93" t="s">
        <v>1011</v>
      </c>
      <c r="Z10094" s="134">
        <f>VLOOKUP(W10094,Sheet2!$B:$D,3,FALSE)</f>
        <v>1.76</v>
      </c>
      <c r="AA10094" s="93">
        <f>AA10093/32</f>
        <v>1.5625</v>
      </c>
      <c r="AB10094" s="93">
        <f>AD10094/AC10090</f>
        <v>1.1264000000000001</v>
      </c>
      <c r="AC10094" s="93">
        <f>AC10090/AA10094</f>
        <v>524.21120000000008</v>
      </c>
      <c r="AD10094" s="94">
        <f t="shared" si="6691"/>
        <v>922.61171200000013</v>
      </c>
      <c r="AE10094" s="190"/>
      <c r="AF10094" s="191"/>
      <c r="AG10094" s="191"/>
      <c r="AH10094" s="191"/>
      <c r="AI10094" s="186"/>
      <c r="AK10094" s="171"/>
    </row>
    <row r="10095" spans="1:41" s="102" customFormat="1" ht="19.899999999999999" customHeight="1" x14ac:dyDescent="0.25">
      <c r="A10095" s="45"/>
      <c r="B10095" s="59"/>
      <c r="C10095" s="137"/>
      <c r="D10095" s="59"/>
      <c r="E10095" s="116"/>
      <c r="F10095" s="120"/>
      <c r="G10095" s="120"/>
      <c r="H10095" s="120"/>
      <c r="I10095" s="60"/>
      <c r="J10095" s="116"/>
      <c r="K10095" s="213"/>
      <c r="L10095" s="120"/>
      <c r="M10095" s="120"/>
      <c r="N10095" s="167"/>
      <c r="O10095" s="120"/>
      <c r="P10095" s="120"/>
      <c r="Q10095" s="120"/>
      <c r="R10095" s="120"/>
      <c r="S10095" s="120"/>
      <c r="T10095" s="221"/>
      <c r="U10095" s="89"/>
      <c r="V10095" s="61"/>
      <c r="W10095" s="92" t="s">
        <v>161</v>
      </c>
      <c r="X10095" s="93" t="s">
        <v>29</v>
      </c>
      <c r="Y10095" s="93" t="s">
        <v>93</v>
      </c>
      <c r="Z10095" s="134">
        <f>VLOOKUP(W10095,Sheet2!$B:$D,3,FALSE)</f>
        <v>48</v>
      </c>
      <c r="AA10095" s="93">
        <f>(16*0.85*1)</f>
        <v>13.6</v>
      </c>
      <c r="AB10095" s="93">
        <f>AD10095/AC10090</f>
        <v>3.5294117647058822</v>
      </c>
      <c r="AC10095" s="93">
        <f>AC10090/AA10095</f>
        <v>60.226470588235301</v>
      </c>
      <c r="AD10095" s="94">
        <f>AC10095*Z10095</f>
        <v>2890.8705882352942</v>
      </c>
      <c r="AE10095" s="190"/>
      <c r="AF10095" s="191"/>
      <c r="AG10095" s="191"/>
      <c r="AH10095" s="191"/>
      <c r="AI10095" s="186"/>
      <c r="AK10095" s="171"/>
    </row>
    <row r="10096" spans="1:41" s="102" customFormat="1" ht="19.899999999999999" customHeight="1" x14ac:dyDescent="0.25">
      <c r="A10096" s="45"/>
      <c r="B10096" s="59"/>
      <c r="C10096" s="137"/>
      <c r="D10096" s="59"/>
      <c r="E10096" s="116"/>
      <c r="F10096" s="120"/>
      <c r="G10096" s="120"/>
      <c r="H10096" s="120"/>
      <c r="I10096" s="60"/>
      <c r="J10096" s="116"/>
      <c r="K10096" s="213"/>
      <c r="L10096" s="120"/>
      <c r="M10096" s="120"/>
      <c r="N10096" s="167"/>
      <c r="O10096" s="120"/>
      <c r="P10096" s="120"/>
      <c r="Q10096" s="120"/>
      <c r="R10096" s="120"/>
      <c r="S10096" s="120"/>
      <c r="T10096" s="221"/>
      <c r="U10096" s="89"/>
      <c r="V10096" s="61"/>
      <c r="W10096" s="92" t="s">
        <v>65</v>
      </c>
      <c r="X10096" s="93" t="s">
        <v>30</v>
      </c>
      <c r="Y10096" s="93" t="s">
        <v>1011</v>
      </c>
      <c r="Z10096" s="134">
        <f>VLOOKUP(W10096,Sheet2!$B:$D,3,FALSE)</f>
        <v>1.76</v>
      </c>
      <c r="AA10096" s="93">
        <f>AA10095/10</f>
        <v>1.3599999999999999</v>
      </c>
      <c r="AB10096" s="93">
        <f>AD10096/AC10090</f>
        <v>1.2941176470588238</v>
      </c>
      <c r="AC10096" s="93">
        <f>AC10090/AA10096</f>
        <v>602.26470588235304</v>
      </c>
      <c r="AD10096" s="94">
        <f>AC10096*Z10096</f>
        <v>1059.9858823529414</v>
      </c>
      <c r="AE10096" s="190"/>
      <c r="AF10096" s="191"/>
      <c r="AG10096" s="191"/>
      <c r="AH10096" s="191"/>
      <c r="AI10096" s="186"/>
      <c r="AK10096" s="171"/>
    </row>
    <row r="10097" spans="1:41" s="103" customFormat="1" ht="19.899999999999999" customHeight="1" x14ac:dyDescent="0.25">
      <c r="A10097" s="51"/>
      <c r="B10097" s="52"/>
      <c r="C10097" s="165"/>
      <c r="D10097" s="52"/>
      <c r="E10097" s="115"/>
      <c r="F10097" s="58"/>
      <c r="G10097" s="58"/>
      <c r="H10097" s="58"/>
      <c r="I10097" s="55"/>
      <c r="J10097" s="113">
        <f>J10089</f>
        <v>819.08</v>
      </c>
      <c r="K10097" s="212">
        <f>K10089</f>
        <v>819.08</v>
      </c>
      <c r="L10097" s="58"/>
      <c r="M10097" s="58">
        <f>K10097-L10097</f>
        <v>819.08</v>
      </c>
      <c r="N10097" s="166"/>
      <c r="O10097" s="58"/>
      <c r="P10097" s="58"/>
      <c r="Q10097" s="58"/>
      <c r="R10097" s="58"/>
      <c r="S10097" s="58"/>
      <c r="T10097" s="220"/>
      <c r="U10097" s="88"/>
      <c r="V10097" s="56"/>
      <c r="W10097" s="57" t="s">
        <v>1380</v>
      </c>
      <c r="X10097" s="53"/>
      <c r="Y10097" s="91" t="s">
        <v>66</v>
      </c>
      <c r="Z10097" s="136">
        <f>AD10097/AC10097</f>
        <v>8.302729411764707</v>
      </c>
      <c r="AA10097" s="58"/>
      <c r="AB10097" s="53">
        <f>AD10097/AC10097</f>
        <v>8.302729411764707</v>
      </c>
      <c r="AC10097" s="53">
        <f>M10097+$AE$10</f>
        <v>819.08</v>
      </c>
      <c r="AD10097" s="54">
        <f>SUM(AD10098:AD10107)</f>
        <v>6800.5996065882364</v>
      </c>
      <c r="AE10097" s="184">
        <f>SUMIFS($AD$37:$AD$12971,$V$37:$V$12971,$V10097,$X$37:$X$12971,AE$13)</f>
        <v>0</v>
      </c>
      <c r="AF10097" s="185">
        <f>SUMIFS($AD$37:$AD$12971,$V$37:$V$12971,$V10097,$X$37:$X$12971,AF$13)</f>
        <v>0</v>
      </c>
      <c r="AG10097" s="185">
        <f>SUMIFS($AD$37:$AD$12971,$V$37:$V$12971,$V10097,$X$37:$X$12971,AG$13)</f>
        <v>0</v>
      </c>
      <c r="AH10097" s="187">
        <f>SUMIFS($AD$37:$AD$12971,$V$37:$V$12971,$V10097,$X$37:$X$12971,AH$13)</f>
        <v>0</v>
      </c>
      <c r="AI10097" s="161">
        <f t="shared" ref="AI10097" si="6693">SUM(AE10097:AH10097)</f>
        <v>0</v>
      </c>
      <c r="AK10097" s="172"/>
    </row>
    <row r="10098" spans="1:41" s="102" customFormat="1" ht="19.899999999999999" customHeight="1" x14ac:dyDescent="0.25">
      <c r="A10098" s="45"/>
      <c r="B10098" s="59"/>
      <c r="C10098" s="137"/>
      <c r="D10098" s="59"/>
      <c r="E10098" s="116"/>
      <c r="F10098" s="120"/>
      <c r="G10098" s="120"/>
      <c r="H10098" s="120"/>
      <c r="I10098" s="60"/>
      <c r="J10098" s="116"/>
      <c r="K10098" s="213"/>
      <c r="L10098" s="120"/>
      <c r="M10098" s="120"/>
      <c r="N10098" s="167"/>
      <c r="O10098" s="120"/>
      <c r="P10098" s="120"/>
      <c r="Q10098" s="120"/>
      <c r="R10098" s="120"/>
      <c r="S10098" s="120"/>
      <c r="T10098" s="221"/>
      <c r="U10098" s="89"/>
      <c r="V10098" s="61"/>
      <c r="W10098" s="92" t="s">
        <v>134</v>
      </c>
      <c r="X10098" s="93" t="s">
        <v>29</v>
      </c>
      <c r="Y10098" s="93" t="s">
        <v>93</v>
      </c>
      <c r="Z10098" s="134">
        <f>VLOOKUP(W10098,Sheet2!$B:$D,3,FALSE)</f>
        <v>65.599999999999994</v>
      </c>
      <c r="AA10098" s="93">
        <f>100</f>
        <v>100</v>
      </c>
      <c r="AB10098" s="93">
        <f>AD10098/AC10097</f>
        <v>0.65600000000000003</v>
      </c>
      <c r="AC10098" s="93">
        <f>AC10097/AA10098</f>
        <v>8.1908000000000012</v>
      </c>
      <c r="AD10098" s="94">
        <f t="shared" ref="AD10098:AD10099" si="6694">AC10098*Z10098</f>
        <v>537.31648000000007</v>
      </c>
      <c r="AE10098" s="190"/>
      <c r="AF10098" s="191"/>
      <c r="AG10098" s="191"/>
      <c r="AH10098" s="191"/>
      <c r="AI10098" s="186"/>
      <c r="AK10098" s="171"/>
    </row>
    <row r="10099" spans="1:41" s="102" customFormat="1" ht="19.899999999999999" customHeight="1" x14ac:dyDescent="0.25">
      <c r="A10099" s="45"/>
      <c r="B10099" s="59"/>
      <c r="C10099" s="137"/>
      <c r="D10099" s="59"/>
      <c r="E10099" s="116"/>
      <c r="F10099" s="120"/>
      <c r="G10099" s="120"/>
      <c r="H10099" s="120"/>
      <c r="I10099" s="60"/>
      <c r="J10099" s="116"/>
      <c r="K10099" s="213"/>
      <c r="L10099" s="120"/>
      <c r="M10099" s="120"/>
      <c r="N10099" s="167"/>
      <c r="O10099" s="120"/>
      <c r="P10099" s="120"/>
      <c r="Q10099" s="120"/>
      <c r="R10099" s="120"/>
      <c r="S10099" s="120"/>
      <c r="T10099" s="221"/>
      <c r="U10099" s="89"/>
      <c r="V10099" s="61"/>
      <c r="W10099" s="92" t="s">
        <v>65</v>
      </c>
      <c r="X10099" s="93" t="s">
        <v>30</v>
      </c>
      <c r="Y10099" s="93" t="s">
        <v>1011</v>
      </c>
      <c r="Z10099" s="134">
        <f>VLOOKUP(W10099,Sheet2!$B:$D,3,FALSE)</f>
        <v>1.76</v>
      </c>
      <c r="AA10099" s="93">
        <f>AA10098/9</f>
        <v>11.111111111111111</v>
      </c>
      <c r="AB10099" s="93">
        <f>AD10099/AC10097</f>
        <v>0.15840000000000001</v>
      </c>
      <c r="AC10099" s="93">
        <f>AC10097/AA10099</f>
        <v>73.717200000000005</v>
      </c>
      <c r="AD10099" s="94">
        <f t="shared" si="6694"/>
        <v>129.74227200000001</v>
      </c>
      <c r="AE10099" s="190"/>
      <c r="AF10099" s="191"/>
      <c r="AG10099" s="191"/>
      <c r="AH10099" s="191"/>
      <c r="AI10099" s="186"/>
      <c r="AK10099" s="171"/>
    </row>
    <row r="10100" spans="1:41" s="102" customFormat="1" ht="19.899999999999999" customHeight="1" x14ac:dyDescent="0.25">
      <c r="A10100" s="45"/>
      <c r="B10100" s="59"/>
      <c r="C10100" s="137"/>
      <c r="D10100" s="59"/>
      <c r="E10100" s="116"/>
      <c r="F10100" s="120"/>
      <c r="G10100" s="120"/>
      <c r="H10100" s="120"/>
      <c r="I10100" s="60"/>
      <c r="J10100" s="116"/>
      <c r="K10100" s="213"/>
      <c r="L10100" s="120"/>
      <c r="M10100" s="120"/>
      <c r="N10100" s="167"/>
      <c r="O10100" s="120"/>
      <c r="P10100" s="120"/>
      <c r="Q10100" s="120"/>
      <c r="R10100" s="120"/>
      <c r="S10100" s="120"/>
      <c r="T10100" s="221"/>
      <c r="U10100" s="89"/>
      <c r="V10100" s="61"/>
      <c r="W10100" s="92" t="s">
        <v>161</v>
      </c>
      <c r="X10100" s="93" t="s">
        <v>29</v>
      </c>
      <c r="Y10100" s="93" t="s">
        <v>93</v>
      </c>
      <c r="Z10100" s="134">
        <f>VLOOKUP(W10100,Sheet2!$B:$D,3,FALSE)</f>
        <v>48</v>
      </c>
      <c r="AA10100" s="93">
        <f>(16*0.85*1)</f>
        <v>13.6</v>
      </c>
      <c r="AB10100" s="93">
        <f>AD10100/AC10097</f>
        <v>3.5294117647058822</v>
      </c>
      <c r="AC10100" s="93">
        <f>AC10097/AA10100</f>
        <v>60.226470588235301</v>
      </c>
      <c r="AD10100" s="94">
        <f>AC10100*Z10100</f>
        <v>2890.8705882352942</v>
      </c>
      <c r="AE10100" s="190"/>
      <c r="AF10100" s="191"/>
      <c r="AG10100" s="191"/>
      <c r="AH10100" s="191"/>
      <c r="AI10100" s="186"/>
      <c r="AK10100" s="171"/>
    </row>
    <row r="10101" spans="1:41" s="102" customFormat="1" ht="19.899999999999999" customHeight="1" x14ac:dyDescent="0.25">
      <c r="A10101" s="45"/>
      <c r="B10101" s="59"/>
      <c r="C10101" s="137"/>
      <c r="D10101" s="59"/>
      <c r="E10101" s="116"/>
      <c r="F10101" s="120"/>
      <c r="G10101" s="120"/>
      <c r="H10101" s="120"/>
      <c r="I10101" s="60"/>
      <c r="J10101" s="116"/>
      <c r="K10101" s="213"/>
      <c r="L10101" s="120"/>
      <c r="M10101" s="120"/>
      <c r="N10101" s="167"/>
      <c r="O10101" s="120"/>
      <c r="P10101" s="120"/>
      <c r="Q10101" s="120"/>
      <c r="R10101" s="120"/>
      <c r="S10101" s="120"/>
      <c r="T10101" s="221"/>
      <c r="U10101" s="89"/>
      <c r="V10101" s="61"/>
      <c r="W10101" s="92" t="s">
        <v>65</v>
      </c>
      <c r="X10101" s="93" t="s">
        <v>30</v>
      </c>
      <c r="Y10101" s="93" t="s">
        <v>1011</v>
      </c>
      <c r="Z10101" s="134">
        <f>VLOOKUP(W10101,Sheet2!$B:$D,3,FALSE)</f>
        <v>1.76</v>
      </c>
      <c r="AA10101" s="93">
        <f>AA10100/10</f>
        <v>1.3599999999999999</v>
      </c>
      <c r="AB10101" s="93">
        <f>AD10101/AC10097</f>
        <v>1.2941176470588238</v>
      </c>
      <c r="AC10101" s="93">
        <f>AC10097/AA10101</f>
        <v>602.26470588235304</v>
      </c>
      <c r="AD10101" s="94">
        <f>AC10101*Z10101</f>
        <v>1059.9858823529414</v>
      </c>
      <c r="AE10101" s="190"/>
      <c r="AF10101" s="191"/>
      <c r="AG10101" s="191"/>
      <c r="AH10101" s="191"/>
      <c r="AI10101" s="186"/>
      <c r="AK10101" s="171"/>
    </row>
    <row r="10102" spans="1:41" s="102" customFormat="1" ht="19.899999999999999" customHeight="1" x14ac:dyDescent="0.25">
      <c r="A10102" s="45"/>
      <c r="B10102" s="59"/>
      <c r="C10102" s="137"/>
      <c r="D10102" s="59"/>
      <c r="E10102" s="116"/>
      <c r="F10102" s="120"/>
      <c r="G10102" s="120"/>
      <c r="H10102" s="120"/>
      <c r="I10102" s="60"/>
      <c r="J10102" s="116"/>
      <c r="K10102" s="213"/>
      <c r="L10102" s="120"/>
      <c r="M10102" s="120"/>
      <c r="N10102" s="167"/>
      <c r="O10102" s="120"/>
      <c r="P10102" s="120"/>
      <c r="Q10102" s="120"/>
      <c r="R10102" s="120"/>
      <c r="S10102" s="120"/>
      <c r="T10102" s="221"/>
      <c r="U10102" s="89"/>
      <c r="V10102" s="61"/>
      <c r="W10102" s="92" t="s">
        <v>173</v>
      </c>
      <c r="X10102" s="93" t="s">
        <v>29</v>
      </c>
      <c r="Y10102" s="93" t="s">
        <v>93</v>
      </c>
      <c r="Z10102" s="134">
        <f>VLOOKUP(W10102,Sheet2!$B:$D,3,FALSE)</f>
        <v>36</v>
      </c>
      <c r="AA10102" s="93">
        <f>50</f>
        <v>50</v>
      </c>
      <c r="AB10102" s="93">
        <f>AD10102/AC10097</f>
        <v>0.72</v>
      </c>
      <c r="AC10102" s="93">
        <f>AC10097/AA10102</f>
        <v>16.381600000000002</v>
      </c>
      <c r="AD10102" s="94">
        <f>AC10102*Z10102</f>
        <v>589.73760000000004</v>
      </c>
      <c r="AE10102" s="190"/>
      <c r="AF10102" s="191"/>
      <c r="AG10102" s="191"/>
      <c r="AH10102" s="191"/>
      <c r="AI10102" s="186"/>
      <c r="AK10102" s="171"/>
    </row>
    <row r="10103" spans="1:41" s="102" customFormat="1" ht="19.899999999999999" customHeight="1" x14ac:dyDescent="0.25">
      <c r="A10103" s="45"/>
      <c r="B10103" s="59"/>
      <c r="C10103" s="137"/>
      <c r="D10103" s="59"/>
      <c r="E10103" s="116"/>
      <c r="F10103" s="120"/>
      <c r="G10103" s="120"/>
      <c r="H10103" s="120"/>
      <c r="I10103" s="60"/>
      <c r="J10103" s="116"/>
      <c r="K10103" s="213"/>
      <c r="L10103" s="120"/>
      <c r="M10103" s="120"/>
      <c r="N10103" s="167"/>
      <c r="O10103" s="120"/>
      <c r="P10103" s="120"/>
      <c r="Q10103" s="120"/>
      <c r="R10103" s="120"/>
      <c r="S10103" s="120"/>
      <c r="T10103" s="221"/>
      <c r="U10103" s="89"/>
      <c r="V10103" s="61"/>
      <c r="W10103" s="92" t="s">
        <v>65</v>
      </c>
      <c r="X10103" s="93" t="s">
        <v>30</v>
      </c>
      <c r="Y10103" s="93" t="s">
        <v>1011</v>
      </c>
      <c r="Z10103" s="134">
        <f>VLOOKUP(W10103,Sheet2!$B:$D,3,FALSE)</f>
        <v>1.76</v>
      </c>
      <c r="AA10103" s="93">
        <f>AA10102/9</f>
        <v>5.5555555555555554</v>
      </c>
      <c r="AB10103" s="93">
        <f>AD10103/AC10097</f>
        <v>0.31680000000000003</v>
      </c>
      <c r="AC10103" s="93">
        <f>AC10097/AA10103</f>
        <v>147.43440000000001</v>
      </c>
      <c r="AD10103" s="94">
        <f>AC10103*Z10103</f>
        <v>259.48454400000003</v>
      </c>
      <c r="AE10103" s="190"/>
      <c r="AF10103" s="191"/>
      <c r="AG10103" s="191"/>
      <c r="AH10103" s="191"/>
      <c r="AI10103" s="186"/>
      <c r="AK10103" s="171"/>
    </row>
    <row r="10104" spans="1:41" s="102" customFormat="1" ht="19.899999999999999" customHeight="1" x14ac:dyDescent="0.25">
      <c r="A10104" s="45"/>
      <c r="B10104" s="59"/>
      <c r="C10104" s="137"/>
      <c r="D10104" s="59"/>
      <c r="E10104" s="116"/>
      <c r="F10104" s="120"/>
      <c r="G10104" s="120"/>
      <c r="H10104" s="120"/>
      <c r="I10104" s="60"/>
      <c r="J10104" s="116"/>
      <c r="K10104" s="213"/>
      <c r="L10104" s="120"/>
      <c r="M10104" s="120"/>
      <c r="N10104" s="167"/>
      <c r="O10104" s="120"/>
      <c r="P10104" s="120"/>
      <c r="Q10104" s="120"/>
      <c r="R10104" s="120"/>
      <c r="S10104" s="120"/>
      <c r="T10104" s="221"/>
      <c r="U10104" s="89"/>
      <c r="V10104" s="61"/>
      <c r="W10104" s="92" t="s">
        <v>148</v>
      </c>
      <c r="X10104" s="93" t="s">
        <v>29</v>
      </c>
      <c r="Y10104" s="93" t="s">
        <v>93</v>
      </c>
      <c r="Z10104" s="134">
        <f>VLOOKUP(W10104,Sheet2!$B:$D,3,FALSE)</f>
        <v>48</v>
      </c>
      <c r="AA10104" s="93">
        <v>80</v>
      </c>
      <c r="AB10104" s="93">
        <f>AD10104/AC10097</f>
        <v>0.6</v>
      </c>
      <c r="AC10104" s="93">
        <f>AC10097/AA10104</f>
        <v>10.2385</v>
      </c>
      <c r="AD10104" s="94">
        <f t="shared" ref="AD10104:AD10107" si="6695">AC10104*Z10104</f>
        <v>491.44799999999998</v>
      </c>
      <c r="AE10104" s="190"/>
      <c r="AF10104" s="191"/>
      <c r="AG10104" s="191"/>
      <c r="AH10104" s="191"/>
      <c r="AI10104" s="186"/>
      <c r="AK10104" s="171"/>
    </row>
    <row r="10105" spans="1:41" s="102" customFormat="1" ht="19.899999999999999" customHeight="1" x14ac:dyDescent="0.25">
      <c r="A10105" s="45"/>
      <c r="B10105" s="59"/>
      <c r="C10105" s="137"/>
      <c r="D10105" s="59"/>
      <c r="E10105" s="116"/>
      <c r="F10105" s="120"/>
      <c r="G10105" s="120"/>
      <c r="H10105" s="120"/>
      <c r="I10105" s="60"/>
      <c r="J10105" s="116"/>
      <c r="K10105" s="213"/>
      <c r="L10105" s="120"/>
      <c r="M10105" s="120"/>
      <c r="N10105" s="167"/>
      <c r="O10105" s="120"/>
      <c r="P10105" s="120"/>
      <c r="Q10105" s="120"/>
      <c r="R10105" s="120"/>
      <c r="S10105" s="120"/>
      <c r="T10105" s="221"/>
      <c r="U10105" s="89"/>
      <c r="V10105" s="61"/>
      <c r="W10105" s="92" t="s">
        <v>65</v>
      </c>
      <c r="X10105" s="93" t="s">
        <v>30</v>
      </c>
      <c r="Y10105" s="93" t="s">
        <v>1011</v>
      </c>
      <c r="Z10105" s="134">
        <f>VLOOKUP(W10105,Sheet2!$B:$D,3,FALSE)</f>
        <v>1.76</v>
      </c>
      <c r="AA10105" s="93">
        <f>AA10104/10</f>
        <v>8</v>
      </c>
      <c r="AB10105" s="93">
        <f>AD10105/AC10097</f>
        <v>0.22000000000000003</v>
      </c>
      <c r="AC10105" s="93">
        <f>AC10097/AA10105</f>
        <v>102.38500000000001</v>
      </c>
      <c r="AD10105" s="94">
        <f t="shared" si="6695"/>
        <v>180.19760000000002</v>
      </c>
      <c r="AE10105" s="190"/>
      <c r="AF10105" s="191"/>
      <c r="AG10105" s="191"/>
      <c r="AH10105" s="191"/>
      <c r="AI10105" s="186"/>
      <c r="AK10105" s="171"/>
    </row>
    <row r="10106" spans="1:41" s="102" customFormat="1" ht="19.899999999999999" customHeight="1" x14ac:dyDescent="0.25">
      <c r="A10106" s="45"/>
      <c r="B10106" s="59"/>
      <c r="C10106" s="137"/>
      <c r="D10106" s="59"/>
      <c r="E10106" s="116"/>
      <c r="F10106" s="120"/>
      <c r="G10106" s="120"/>
      <c r="H10106" s="120"/>
      <c r="I10106" s="60"/>
      <c r="J10106" s="116"/>
      <c r="K10106" s="213"/>
      <c r="L10106" s="120"/>
      <c r="M10106" s="120"/>
      <c r="N10106" s="167"/>
      <c r="O10106" s="120"/>
      <c r="P10106" s="120"/>
      <c r="Q10106" s="120"/>
      <c r="R10106" s="120"/>
      <c r="S10106" s="120"/>
      <c r="T10106" s="221"/>
      <c r="U10106" s="89"/>
      <c r="V10106" s="61"/>
      <c r="W10106" s="92" t="s">
        <v>145</v>
      </c>
      <c r="X10106" s="93" t="s">
        <v>29</v>
      </c>
      <c r="Y10106" s="93" t="s">
        <v>93</v>
      </c>
      <c r="Z10106" s="134">
        <f>VLOOKUP(W10106,Sheet2!$B:$D,3,FALSE)</f>
        <v>40</v>
      </c>
      <c r="AA10106" s="93">
        <v>80</v>
      </c>
      <c r="AB10106" s="93">
        <f>AD10106/AC10097</f>
        <v>0.5</v>
      </c>
      <c r="AC10106" s="93">
        <f>AC10097/AA10106</f>
        <v>10.2385</v>
      </c>
      <c r="AD10106" s="94">
        <f t="shared" si="6695"/>
        <v>409.54</v>
      </c>
      <c r="AE10106" s="190"/>
      <c r="AF10106" s="191"/>
      <c r="AG10106" s="191"/>
      <c r="AH10106" s="191"/>
      <c r="AI10106" s="186"/>
      <c r="AK10106" s="171"/>
    </row>
    <row r="10107" spans="1:41" s="102" customFormat="1" ht="19.899999999999999" customHeight="1" x14ac:dyDescent="0.25">
      <c r="A10107" s="45"/>
      <c r="B10107" s="59"/>
      <c r="C10107" s="137"/>
      <c r="D10107" s="59"/>
      <c r="E10107" s="116"/>
      <c r="F10107" s="120"/>
      <c r="G10107" s="120"/>
      <c r="H10107" s="120"/>
      <c r="I10107" s="60"/>
      <c r="J10107" s="116"/>
      <c r="K10107" s="213"/>
      <c r="L10107" s="120"/>
      <c r="M10107" s="120"/>
      <c r="N10107" s="167"/>
      <c r="O10107" s="120"/>
      <c r="P10107" s="120"/>
      <c r="Q10107" s="120"/>
      <c r="R10107" s="120"/>
      <c r="S10107" s="120"/>
      <c r="T10107" s="221"/>
      <c r="U10107" s="89"/>
      <c r="V10107" s="61"/>
      <c r="W10107" s="92" t="s">
        <v>65</v>
      </c>
      <c r="X10107" s="93" t="s">
        <v>30</v>
      </c>
      <c r="Y10107" s="93" t="s">
        <v>1011</v>
      </c>
      <c r="Z10107" s="134">
        <f>VLOOKUP(W10107,Sheet2!$B:$D,3,FALSE)</f>
        <v>1.76</v>
      </c>
      <c r="AA10107" s="93">
        <f>AA10106/14</f>
        <v>5.7142857142857144</v>
      </c>
      <c r="AB10107" s="93">
        <f>AD10107/AC10097</f>
        <v>0.30799999999999994</v>
      </c>
      <c r="AC10107" s="93">
        <f>AC10097/AA10107</f>
        <v>143.339</v>
      </c>
      <c r="AD10107" s="94">
        <f t="shared" si="6695"/>
        <v>252.27663999999999</v>
      </c>
      <c r="AE10107" s="190"/>
      <c r="AF10107" s="191"/>
      <c r="AG10107" s="191"/>
      <c r="AH10107" s="191"/>
      <c r="AI10107" s="186"/>
      <c r="AK10107" s="171"/>
    </row>
    <row r="10108" spans="1:41" ht="20.100000000000001" customHeight="1" x14ac:dyDescent="0.25">
      <c r="A10108" s="277" t="s">
        <v>945</v>
      </c>
      <c r="B10108" s="278"/>
      <c r="C10108" s="64" t="s">
        <v>864</v>
      </c>
      <c r="D10108" s="46" t="s">
        <v>201</v>
      </c>
      <c r="E10108" s="114">
        <v>428.89</v>
      </c>
      <c r="F10108" s="44">
        <v>164</v>
      </c>
      <c r="G10108" s="44">
        <f t="shared" si="3841"/>
        <v>70337.959999999992</v>
      </c>
      <c r="H10108" s="44">
        <f t="shared" si="3842"/>
        <v>30.657992156862747</v>
      </c>
      <c r="I10108" s="43">
        <f t="shared" si="3843"/>
        <v>13148.906256156863</v>
      </c>
      <c r="J10108" s="112">
        <f t="shared" si="3844"/>
        <v>428.89</v>
      </c>
      <c r="K10108" s="211">
        <f t="shared" si="3845"/>
        <v>428.89</v>
      </c>
      <c r="L10108" s="44"/>
      <c r="M10108" s="44">
        <f t="shared" si="3846"/>
        <v>428.89</v>
      </c>
      <c r="N10108" s="173">
        <f t="shared" si="3847"/>
        <v>1</v>
      </c>
      <c r="O10108" s="44">
        <f t="shared" si="3848"/>
        <v>164</v>
      </c>
      <c r="P10108" s="44">
        <f t="shared" si="3849"/>
        <v>70337.959999999992</v>
      </c>
      <c r="Q10108" s="44">
        <f t="shared" si="3850"/>
        <v>30.657992156862747</v>
      </c>
      <c r="R10108" s="44">
        <f t="shared" si="3851"/>
        <v>13148.906256156863</v>
      </c>
      <c r="S10108" s="123"/>
      <c r="T10108" s="219">
        <f t="shared" si="3852"/>
        <v>13148.906256156863</v>
      </c>
      <c r="U10108" s="87"/>
      <c r="V10108" s="47"/>
      <c r="W10108" s="48"/>
      <c r="X10108" s="48"/>
      <c r="Y10108" s="48"/>
      <c r="Z10108" s="135"/>
      <c r="AA10108" s="49"/>
      <c r="AB10108" s="50">
        <f t="shared" si="3853"/>
        <v>30.657992156862747</v>
      </c>
      <c r="AC10108" s="42">
        <f t="shared" si="3854"/>
        <v>428.89</v>
      </c>
      <c r="AD10108" s="90">
        <f>AD10109+AD10116</f>
        <v>13148.906256156863</v>
      </c>
      <c r="AE10108" s="188">
        <f t="shared" ref="AE10108:AH10108" si="6696">AE10109+AE10116</f>
        <v>0</v>
      </c>
      <c r="AF10108" s="189">
        <f t="shared" si="6696"/>
        <v>0</v>
      </c>
      <c r="AG10108" s="189">
        <f t="shared" si="6696"/>
        <v>0</v>
      </c>
      <c r="AH10108" s="189">
        <f t="shared" si="6696"/>
        <v>0</v>
      </c>
      <c r="AI10108" s="161">
        <f t="shared" ref="AI10108:AI10146" si="6697">SUM(AE10108:AH10108)</f>
        <v>0</v>
      </c>
      <c r="AK10108" s="169">
        <v>5</v>
      </c>
      <c r="AO10108" s="19" t="s">
        <v>63</v>
      </c>
    </row>
    <row r="10109" spans="1:41" s="103" customFormat="1" ht="19.899999999999999" customHeight="1" x14ac:dyDescent="0.25">
      <c r="A10109" s="51"/>
      <c r="B10109" s="52"/>
      <c r="C10109" s="165"/>
      <c r="D10109" s="52"/>
      <c r="E10109" s="115"/>
      <c r="F10109" s="58"/>
      <c r="G10109" s="58"/>
      <c r="H10109" s="58"/>
      <c r="I10109" s="55"/>
      <c r="J10109" s="113">
        <f>J10108</f>
        <v>428.89</v>
      </c>
      <c r="K10109" s="212">
        <f>K10108</f>
        <v>428.89</v>
      </c>
      <c r="L10109" s="58"/>
      <c r="M10109" s="58">
        <f>K10109-L10109</f>
        <v>428.89</v>
      </c>
      <c r="N10109" s="166"/>
      <c r="O10109" s="58"/>
      <c r="P10109" s="58"/>
      <c r="Q10109" s="58"/>
      <c r="R10109" s="58"/>
      <c r="S10109" s="58"/>
      <c r="T10109" s="220"/>
      <c r="U10109" s="88"/>
      <c r="V10109" s="56"/>
      <c r="W10109" s="57" t="s">
        <v>1379</v>
      </c>
      <c r="X10109" s="53"/>
      <c r="Y10109" s="91" t="s">
        <v>66</v>
      </c>
      <c r="Z10109" s="136">
        <f>AD10109/AC10109</f>
        <v>22.355262745098038</v>
      </c>
      <c r="AA10109" s="58"/>
      <c r="AB10109" s="53">
        <f>AD10109/AC10109</f>
        <v>22.355262745098038</v>
      </c>
      <c r="AC10109" s="53">
        <f>M10109+$AE$10</f>
        <v>428.89</v>
      </c>
      <c r="AD10109" s="54">
        <f>SUM(AD10110:AD10115)</f>
        <v>9587.9486387450979</v>
      </c>
      <c r="AE10109" s="184">
        <f>SUMIFS($AD$37:$AD$12971,$V$37:$V$12971,$V10109,$X$37:$X$12971,AE$13)</f>
        <v>0</v>
      </c>
      <c r="AF10109" s="185">
        <f>SUMIFS($AD$37:$AD$12971,$V$37:$V$12971,$V10109,$X$37:$X$12971,AF$13)</f>
        <v>0</v>
      </c>
      <c r="AG10109" s="185">
        <f>SUMIFS($AD$37:$AD$12971,$V$37:$V$12971,$V10109,$X$37:$X$12971,AG$13)</f>
        <v>0</v>
      </c>
      <c r="AH10109" s="187">
        <f>SUMIFS($AD$37:$AD$12971,$V$37:$V$12971,$V10109,$X$37:$X$12971,AH$13)</f>
        <v>0</v>
      </c>
      <c r="AI10109" s="161">
        <f t="shared" ref="AI10109" si="6698">SUM(AE10109:AH10109)</f>
        <v>0</v>
      </c>
      <c r="AK10109" s="172"/>
    </row>
    <row r="10110" spans="1:41" s="102" customFormat="1" ht="19.899999999999999" customHeight="1" x14ac:dyDescent="0.25">
      <c r="A10110" s="45"/>
      <c r="B10110" s="59"/>
      <c r="C10110" s="137"/>
      <c r="D10110" s="59"/>
      <c r="E10110" s="116"/>
      <c r="F10110" s="120"/>
      <c r="G10110" s="120"/>
      <c r="H10110" s="120"/>
      <c r="I10110" s="60"/>
      <c r="J10110" s="116"/>
      <c r="K10110" s="213"/>
      <c r="L10110" s="120"/>
      <c r="M10110" s="120"/>
      <c r="N10110" s="167"/>
      <c r="O10110" s="120"/>
      <c r="P10110" s="120"/>
      <c r="Q10110" s="120"/>
      <c r="R10110" s="120"/>
      <c r="S10110" s="120"/>
      <c r="T10110" s="221"/>
      <c r="U10110" s="89"/>
      <c r="V10110" s="61"/>
      <c r="W10110" s="92" t="s">
        <v>110</v>
      </c>
      <c r="X10110" s="93" t="s">
        <v>29</v>
      </c>
      <c r="Y10110" s="93" t="s">
        <v>93</v>
      </c>
      <c r="Z10110" s="134">
        <f>VLOOKUP(W10110,Sheet2!$B:$D,3,FALSE)</f>
        <v>150.4</v>
      </c>
      <c r="AA10110" s="93">
        <v>15</v>
      </c>
      <c r="AB10110" s="93">
        <f>AD10110/AC10109</f>
        <v>10.026666666666667</v>
      </c>
      <c r="AC10110" s="93">
        <f>AC10109/AA10110</f>
        <v>28.592666666666666</v>
      </c>
      <c r="AD10110" s="94">
        <f t="shared" ref="AD10110:AD10113" si="6699">AC10110*Z10110</f>
        <v>4300.3370666666669</v>
      </c>
      <c r="AE10110" s="190"/>
      <c r="AF10110" s="191"/>
      <c r="AG10110" s="191"/>
      <c r="AH10110" s="191"/>
      <c r="AI10110" s="186"/>
      <c r="AK10110" s="171"/>
    </row>
    <row r="10111" spans="1:41" s="102" customFormat="1" ht="19.899999999999999" customHeight="1" x14ac:dyDescent="0.25">
      <c r="A10111" s="45"/>
      <c r="B10111" s="59"/>
      <c r="C10111" s="137"/>
      <c r="D10111" s="59"/>
      <c r="E10111" s="116"/>
      <c r="F10111" s="120"/>
      <c r="G10111" s="120"/>
      <c r="H10111" s="120"/>
      <c r="I10111" s="60"/>
      <c r="J10111" s="116"/>
      <c r="K10111" s="213"/>
      <c r="L10111" s="120"/>
      <c r="M10111" s="120"/>
      <c r="N10111" s="167"/>
      <c r="O10111" s="120"/>
      <c r="P10111" s="120"/>
      <c r="Q10111" s="120"/>
      <c r="R10111" s="120"/>
      <c r="S10111" s="120"/>
      <c r="T10111" s="221"/>
      <c r="U10111" s="89"/>
      <c r="V10111" s="61"/>
      <c r="W10111" s="92" t="s">
        <v>65</v>
      </c>
      <c r="X10111" s="93" t="s">
        <v>30</v>
      </c>
      <c r="Y10111" s="93" t="s">
        <v>1011</v>
      </c>
      <c r="Z10111" s="134">
        <f>VLOOKUP(W10111,Sheet2!$B:$D,3,FALSE)</f>
        <v>1.76</v>
      </c>
      <c r="AA10111" s="93">
        <f>AA10110/32</f>
        <v>0.46875</v>
      </c>
      <c r="AB10111" s="93">
        <f>AD10111/AC10109</f>
        <v>3.7546666666666666</v>
      </c>
      <c r="AC10111" s="93">
        <f>AC10109/AA10111</f>
        <v>914.96533333333332</v>
      </c>
      <c r="AD10111" s="94">
        <f t="shared" si="6699"/>
        <v>1610.3389866666666</v>
      </c>
      <c r="AE10111" s="190"/>
      <c r="AF10111" s="191"/>
      <c r="AG10111" s="191"/>
      <c r="AH10111" s="191"/>
      <c r="AI10111" s="186"/>
      <c r="AK10111" s="171"/>
    </row>
    <row r="10112" spans="1:41" s="102" customFormat="1" ht="19.899999999999999" customHeight="1" x14ac:dyDescent="0.25">
      <c r="A10112" s="45"/>
      <c r="B10112" s="59"/>
      <c r="C10112" s="137"/>
      <c r="D10112" s="59"/>
      <c r="E10112" s="116"/>
      <c r="F10112" s="120"/>
      <c r="G10112" s="120"/>
      <c r="H10112" s="120"/>
      <c r="I10112" s="60"/>
      <c r="J10112" s="116"/>
      <c r="K10112" s="213"/>
      <c r="L10112" s="120"/>
      <c r="M10112" s="120"/>
      <c r="N10112" s="167"/>
      <c r="O10112" s="120"/>
      <c r="P10112" s="120"/>
      <c r="Q10112" s="120"/>
      <c r="R10112" s="120"/>
      <c r="S10112" s="120"/>
      <c r="T10112" s="221"/>
      <c r="U10112" s="89"/>
      <c r="V10112" s="61"/>
      <c r="W10112" s="92" t="s">
        <v>131</v>
      </c>
      <c r="X10112" s="93" t="s">
        <v>29</v>
      </c>
      <c r="Y10112" s="93" t="s">
        <v>93</v>
      </c>
      <c r="Z10112" s="134">
        <f>VLOOKUP(W10112,Sheet2!$B:$D,3,FALSE)</f>
        <v>131.19999999999999</v>
      </c>
      <c r="AA10112" s="93">
        <v>50</v>
      </c>
      <c r="AB10112" s="93">
        <f t="shared" ref="AB10112" si="6700">AD10112/AC10109</f>
        <v>2.6240000000000001</v>
      </c>
      <c r="AC10112" s="93">
        <f>AC10109/AA10112</f>
        <v>8.5777999999999999</v>
      </c>
      <c r="AD10112" s="94">
        <f t="shared" si="6699"/>
        <v>1125.4073599999999</v>
      </c>
      <c r="AE10112" s="190"/>
      <c r="AF10112" s="191"/>
      <c r="AG10112" s="191"/>
      <c r="AH10112" s="191"/>
      <c r="AI10112" s="186"/>
      <c r="AK10112" s="171"/>
    </row>
    <row r="10113" spans="1:41" s="102" customFormat="1" ht="19.899999999999999" customHeight="1" x14ac:dyDescent="0.25">
      <c r="A10113" s="45"/>
      <c r="B10113" s="59"/>
      <c r="C10113" s="137"/>
      <c r="D10113" s="59"/>
      <c r="E10113" s="116"/>
      <c r="F10113" s="120"/>
      <c r="G10113" s="120"/>
      <c r="H10113" s="120"/>
      <c r="I10113" s="60"/>
      <c r="J10113" s="116"/>
      <c r="K10113" s="213"/>
      <c r="L10113" s="120"/>
      <c r="M10113" s="120"/>
      <c r="N10113" s="167"/>
      <c r="O10113" s="120"/>
      <c r="P10113" s="120"/>
      <c r="Q10113" s="120"/>
      <c r="R10113" s="120"/>
      <c r="S10113" s="120"/>
      <c r="T10113" s="221"/>
      <c r="U10113" s="89"/>
      <c r="V10113" s="61"/>
      <c r="W10113" s="92" t="s">
        <v>65</v>
      </c>
      <c r="X10113" s="93" t="s">
        <v>30</v>
      </c>
      <c r="Y10113" s="93" t="s">
        <v>1011</v>
      </c>
      <c r="Z10113" s="134">
        <f>VLOOKUP(W10113,Sheet2!$B:$D,3,FALSE)</f>
        <v>1.76</v>
      </c>
      <c r="AA10113" s="93">
        <f>AA10112/32</f>
        <v>1.5625</v>
      </c>
      <c r="AB10113" s="93">
        <f>AD10113/AC10109</f>
        <v>1.1264000000000001</v>
      </c>
      <c r="AC10113" s="93">
        <f>AC10109/AA10113</f>
        <v>274.4896</v>
      </c>
      <c r="AD10113" s="94">
        <f t="shared" si="6699"/>
        <v>483.101696</v>
      </c>
      <c r="AE10113" s="190"/>
      <c r="AF10113" s="191"/>
      <c r="AG10113" s="191"/>
      <c r="AH10113" s="191"/>
      <c r="AI10113" s="186"/>
      <c r="AK10113" s="171"/>
    </row>
    <row r="10114" spans="1:41" s="102" customFormat="1" ht="19.899999999999999" customHeight="1" x14ac:dyDescent="0.25">
      <c r="A10114" s="45"/>
      <c r="B10114" s="59"/>
      <c r="C10114" s="137"/>
      <c r="D10114" s="59"/>
      <c r="E10114" s="116"/>
      <c r="F10114" s="120"/>
      <c r="G10114" s="120"/>
      <c r="H10114" s="120"/>
      <c r="I10114" s="60"/>
      <c r="J10114" s="116"/>
      <c r="K10114" s="213"/>
      <c r="L10114" s="120"/>
      <c r="M10114" s="120"/>
      <c r="N10114" s="167"/>
      <c r="O10114" s="120"/>
      <c r="P10114" s="120"/>
      <c r="Q10114" s="120"/>
      <c r="R10114" s="120"/>
      <c r="S10114" s="120"/>
      <c r="T10114" s="221"/>
      <c r="U10114" s="89"/>
      <c r="V10114" s="61"/>
      <c r="W10114" s="92" t="s">
        <v>161</v>
      </c>
      <c r="X10114" s="93" t="s">
        <v>29</v>
      </c>
      <c r="Y10114" s="93" t="s">
        <v>93</v>
      </c>
      <c r="Z10114" s="134">
        <f>VLOOKUP(W10114,Sheet2!$B:$D,3,FALSE)</f>
        <v>48</v>
      </c>
      <c r="AA10114" s="93">
        <f>(16*0.85*1)</f>
        <v>13.6</v>
      </c>
      <c r="AB10114" s="93">
        <f>AD10114/AC10109</f>
        <v>3.5294117647058827</v>
      </c>
      <c r="AC10114" s="93">
        <f>AC10109/AA10114</f>
        <v>31.536029411764705</v>
      </c>
      <c r="AD10114" s="94">
        <f>AC10114*Z10114</f>
        <v>1513.7294117647059</v>
      </c>
      <c r="AE10114" s="190"/>
      <c r="AF10114" s="191"/>
      <c r="AG10114" s="191"/>
      <c r="AH10114" s="191"/>
      <c r="AI10114" s="186"/>
      <c r="AK10114" s="171"/>
    </row>
    <row r="10115" spans="1:41" s="102" customFormat="1" ht="19.899999999999999" customHeight="1" x14ac:dyDescent="0.25">
      <c r="A10115" s="45"/>
      <c r="B10115" s="59"/>
      <c r="C10115" s="137"/>
      <c r="D10115" s="59"/>
      <c r="E10115" s="116"/>
      <c r="F10115" s="120"/>
      <c r="G10115" s="120"/>
      <c r="H10115" s="120"/>
      <c r="I10115" s="60"/>
      <c r="J10115" s="116"/>
      <c r="K10115" s="213"/>
      <c r="L10115" s="120"/>
      <c r="M10115" s="120"/>
      <c r="N10115" s="167"/>
      <c r="O10115" s="120"/>
      <c r="P10115" s="120"/>
      <c r="Q10115" s="120"/>
      <c r="R10115" s="120"/>
      <c r="S10115" s="120"/>
      <c r="T10115" s="221"/>
      <c r="U10115" s="89"/>
      <c r="V10115" s="61"/>
      <c r="W10115" s="92" t="s">
        <v>65</v>
      </c>
      <c r="X10115" s="93" t="s">
        <v>30</v>
      </c>
      <c r="Y10115" s="93" t="s">
        <v>1011</v>
      </c>
      <c r="Z10115" s="134">
        <f>VLOOKUP(W10115,Sheet2!$B:$D,3,FALSE)</f>
        <v>1.76</v>
      </c>
      <c r="AA10115" s="93">
        <f>AA10114/10</f>
        <v>1.3599999999999999</v>
      </c>
      <c r="AB10115" s="93">
        <f>AD10115/AC10109</f>
        <v>1.2941176470588238</v>
      </c>
      <c r="AC10115" s="93">
        <f>AC10109/AA10115</f>
        <v>315.36029411764707</v>
      </c>
      <c r="AD10115" s="94">
        <f>AC10115*Z10115</f>
        <v>555.03411764705891</v>
      </c>
      <c r="AE10115" s="190"/>
      <c r="AF10115" s="191"/>
      <c r="AG10115" s="191"/>
      <c r="AH10115" s="191"/>
      <c r="AI10115" s="186"/>
      <c r="AK10115" s="171"/>
    </row>
    <row r="10116" spans="1:41" s="103" customFormat="1" ht="19.899999999999999" customHeight="1" x14ac:dyDescent="0.25">
      <c r="A10116" s="51"/>
      <c r="B10116" s="52"/>
      <c r="C10116" s="165"/>
      <c r="D10116" s="52"/>
      <c r="E10116" s="115"/>
      <c r="F10116" s="58"/>
      <c r="G10116" s="58"/>
      <c r="H10116" s="58"/>
      <c r="I10116" s="55"/>
      <c r="J10116" s="113">
        <f>J10108</f>
        <v>428.89</v>
      </c>
      <c r="K10116" s="212">
        <f>K10108</f>
        <v>428.89</v>
      </c>
      <c r="L10116" s="58"/>
      <c r="M10116" s="58">
        <f>K10116-L10116</f>
        <v>428.89</v>
      </c>
      <c r="N10116" s="166"/>
      <c r="O10116" s="58"/>
      <c r="P10116" s="58"/>
      <c r="Q10116" s="58"/>
      <c r="R10116" s="58"/>
      <c r="S10116" s="58"/>
      <c r="T10116" s="220"/>
      <c r="U10116" s="88"/>
      <c r="V10116" s="56"/>
      <c r="W10116" s="57" t="s">
        <v>1380</v>
      </c>
      <c r="X10116" s="53"/>
      <c r="Y10116" s="91" t="s">
        <v>66</v>
      </c>
      <c r="Z10116" s="136">
        <f>AD10116/AC10116</f>
        <v>8.3027294117647052</v>
      </c>
      <c r="AA10116" s="58"/>
      <c r="AB10116" s="53">
        <f>AD10116/AC10116</f>
        <v>8.3027294117647052</v>
      </c>
      <c r="AC10116" s="53">
        <f>M10116+$AE$10</f>
        <v>428.89</v>
      </c>
      <c r="AD10116" s="54">
        <f>SUM(AD10117:AD10126)</f>
        <v>3560.9576174117647</v>
      </c>
      <c r="AE10116" s="184">
        <f>SUMIFS($AD$37:$AD$12971,$V$37:$V$12971,$V10116,$X$37:$X$12971,AE$13)</f>
        <v>0</v>
      </c>
      <c r="AF10116" s="185">
        <f>SUMIFS($AD$37:$AD$12971,$V$37:$V$12971,$V10116,$X$37:$X$12971,AF$13)</f>
        <v>0</v>
      </c>
      <c r="AG10116" s="185">
        <f>SUMIFS($AD$37:$AD$12971,$V$37:$V$12971,$V10116,$X$37:$X$12971,AG$13)</f>
        <v>0</v>
      </c>
      <c r="AH10116" s="187">
        <f>SUMIFS($AD$37:$AD$12971,$V$37:$V$12971,$V10116,$X$37:$X$12971,AH$13)</f>
        <v>0</v>
      </c>
      <c r="AI10116" s="161">
        <f t="shared" ref="AI10116" si="6701">SUM(AE10116:AH10116)</f>
        <v>0</v>
      </c>
      <c r="AK10116" s="172"/>
    </row>
    <row r="10117" spans="1:41" s="102" customFormat="1" ht="19.899999999999999" customHeight="1" x14ac:dyDescent="0.25">
      <c r="A10117" s="45"/>
      <c r="B10117" s="59"/>
      <c r="C10117" s="137"/>
      <c r="D10117" s="59"/>
      <c r="E10117" s="116"/>
      <c r="F10117" s="120"/>
      <c r="G10117" s="120"/>
      <c r="H10117" s="120"/>
      <c r="I10117" s="60"/>
      <c r="J10117" s="116"/>
      <c r="K10117" s="213"/>
      <c r="L10117" s="120"/>
      <c r="M10117" s="120"/>
      <c r="N10117" s="167"/>
      <c r="O10117" s="120"/>
      <c r="P10117" s="120"/>
      <c r="Q10117" s="120"/>
      <c r="R10117" s="120"/>
      <c r="S10117" s="120"/>
      <c r="T10117" s="221"/>
      <c r="U10117" s="89"/>
      <c r="V10117" s="61"/>
      <c r="W10117" s="92" t="s">
        <v>134</v>
      </c>
      <c r="X10117" s="93" t="s">
        <v>29</v>
      </c>
      <c r="Y10117" s="93" t="s">
        <v>93</v>
      </c>
      <c r="Z10117" s="134">
        <f>VLOOKUP(W10117,Sheet2!$B:$D,3,FALSE)</f>
        <v>65.599999999999994</v>
      </c>
      <c r="AA10117" s="93">
        <f>100</f>
        <v>100</v>
      </c>
      <c r="AB10117" s="93">
        <f>AD10117/AC10116</f>
        <v>0.65600000000000003</v>
      </c>
      <c r="AC10117" s="93">
        <f>AC10116/AA10117</f>
        <v>4.2888999999999999</v>
      </c>
      <c r="AD10117" s="94">
        <f t="shared" ref="AD10117:AD10118" si="6702">AC10117*Z10117</f>
        <v>281.35183999999998</v>
      </c>
      <c r="AE10117" s="190"/>
      <c r="AF10117" s="191"/>
      <c r="AG10117" s="191"/>
      <c r="AH10117" s="191"/>
      <c r="AI10117" s="186"/>
      <c r="AK10117" s="171"/>
    </row>
    <row r="10118" spans="1:41" s="102" customFormat="1" ht="19.899999999999999" customHeight="1" x14ac:dyDescent="0.25">
      <c r="A10118" s="45"/>
      <c r="B10118" s="59"/>
      <c r="C10118" s="137"/>
      <c r="D10118" s="59"/>
      <c r="E10118" s="116"/>
      <c r="F10118" s="120"/>
      <c r="G10118" s="120"/>
      <c r="H10118" s="120"/>
      <c r="I10118" s="60"/>
      <c r="J10118" s="116"/>
      <c r="K10118" s="213"/>
      <c r="L10118" s="120"/>
      <c r="M10118" s="120"/>
      <c r="N10118" s="167"/>
      <c r="O10118" s="120"/>
      <c r="P10118" s="120"/>
      <c r="Q10118" s="120"/>
      <c r="R10118" s="120"/>
      <c r="S10118" s="120"/>
      <c r="T10118" s="221"/>
      <c r="U10118" s="89"/>
      <c r="V10118" s="61"/>
      <c r="W10118" s="92" t="s">
        <v>65</v>
      </c>
      <c r="X10118" s="93" t="s">
        <v>30</v>
      </c>
      <c r="Y10118" s="93" t="s">
        <v>1011</v>
      </c>
      <c r="Z10118" s="134">
        <f>VLOOKUP(W10118,Sheet2!$B:$D,3,FALSE)</f>
        <v>1.76</v>
      </c>
      <c r="AA10118" s="93">
        <f>AA10117/9</f>
        <v>11.111111111111111</v>
      </c>
      <c r="AB10118" s="93">
        <f>AD10118/AC10116</f>
        <v>0.15840000000000001</v>
      </c>
      <c r="AC10118" s="93">
        <f>AC10116/AA10118</f>
        <v>38.600099999999998</v>
      </c>
      <c r="AD10118" s="94">
        <f t="shared" si="6702"/>
        <v>67.936176000000003</v>
      </c>
      <c r="AE10118" s="190"/>
      <c r="AF10118" s="191"/>
      <c r="AG10118" s="191"/>
      <c r="AH10118" s="191"/>
      <c r="AI10118" s="186"/>
      <c r="AK10118" s="171"/>
    </row>
    <row r="10119" spans="1:41" s="102" customFormat="1" ht="19.899999999999999" customHeight="1" x14ac:dyDescent="0.25">
      <c r="A10119" s="45"/>
      <c r="B10119" s="59"/>
      <c r="C10119" s="137"/>
      <c r="D10119" s="59"/>
      <c r="E10119" s="116"/>
      <c r="F10119" s="120"/>
      <c r="G10119" s="120"/>
      <c r="H10119" s="120"/>
      <c r="I10119" s="60"/>
      <c r="J10119" s="116"/>
      <c r="K10119" s="213"/>
      <c r="L10119" s="120"/>
      <c r="M10119" s="120"/>
      <c r="N10119" s="167"/>
      <c r="O10119" s="120"/>
      <c r="P10119" s="120"/>
      <c r="Q10119" s="120"/>
      <c r="R10119" s="120"/>
      <c r="S10119" s="120"/>
      <c r="T10119" s="221"/>
      <c r="U10119" s="89"/>
      <c r="V10119" s="61"/>
      <c r="W10119" s="92" t="s">
        <v>161</v>
      </c>
      <c r="X10119" s="93" t="s">
        <v>29</v>
      </c>
      <c r="Y10119" s="93" t="s">
        <v>93</v>
      </c>
      <c r="Z10119" s="134">
        <f>VLOOKUP(W10119,Sheet2!$B:$D,3,FALSE)</f>
        <v>48</v>
      </c>
      <c r="AA10119" s="93">
        <f>(16*0.85*1)</f>
        <v>13.6</v>
      </c>
      <c r="AB10119" s="93">
        <f>AD10119/AC10116</f>
        <v>3.5294117647058827</v>
      </c>
      <c r="AC10119" s="93">
        <f>AC10116/AA10119</f>
        <v>31.536029411764705</v>
      </c>
      <c r="AD10119" s="94">
        <f>AC10119*Z10119</f>
        <v>1513.7294117647059</v>
      </c>
      <c r="AE10119" s="190"/>
      <c r="AF10119" s="191"/>
      <c r="AG10119" s="191"/>
      <c r="AH10119" s="191"/>
      <c r="AI10119" s="186"/>
      <c r="AK10119" s="171"/>
    </row>
    <row r="10120" spans="1:41" s="102" customFormat="1" ht="19.899999999999999" customHeight="1" x14ac:dyDescent="0.25">
      <c r="A10120" s="45"/>
      <c r="B10120" s="59"/>
      <c r="C10120" s="137"/>
      <c r="D10120" s="59"/>
      <c r="E10120" s="116"/>
      <c r="F10120" s="120"/>
      <c r="G10120" s="120"/>
      <c r="H10120" s="120"/>
      <c r="I10120" s="60"/>
      <c r="J10120" s="116"/>
      <c r="K10120" s="213"/>
      <c r="L10120" s="120"/>
      <c r="M10120" s="120"/>
      <c r="N10120" s="167"/>
      <c r="O10120" s="120"/>
      <c r="P10120" s="120"/>
      <c r="Q10120" s="120"/>
      <c r="R10120" s="120"/>
      <c r="S10120" s="120"/>
      <c r="T10120" s="221"/>
      <c r="U10120" s="89"/>
      <c r="V10120" s="61"/>
      <c r="W10120" s="92" t="s">
        <v>65</v>
      </c>
      <c r="X10120" s="93" t="s">
        <v>30</v>
      </c>
      <c r="Y10120" s="93" t="s">
        <v>1011</v>
      </c>
      <c r="Z10120" s="134">
        <f>VLOOKUP(W10120,Sheet2!$B:$D,3,FALSE)</f>
        <v>1.76</v>
      </c>
      <c r="AA10120" s="93">
        <f>AA10119/10</f>
        <v>1.3599999999999999</v>
      </c>
      <c r="AB10120" s="93">
        <f>AD10120/AC10116</f>
        <v>1.2941176470588238</v>
      </c>
      <c r="AC10120" s="93">
        <f>AC10116/AA10120</f>
        <v>315.36029411764707</v>
      </c>
      <c r="AD10120" s="94">
        <f>AC10120*Z10120</f>
        <v>555.03411764705891</v>
      </c>
      <c r="AE10120" s="190"/>
      <c r="AF10120" s="191"/>
      <c r="AG10120" s="191"/>
      <c r="AH10120" s="191"/>
      <c r="AI10120" s="186"/>
      <c r="AK10120" s="171"/>
    </row>
    <row r="10121" spans="1:41" s="102" customFormat="1" ht="19.899999999999999" customHeight="1" x14ac:dyDescent="0.25">
      <c r="A10121" s="45"/>
      <c r="B10121" s="59"/>
      <c r="C10121" s="137"/>
      <c r="D10121" s="59"/>
      <c r="E10121" s="116"/>
      <c r="F10121" s="120"/>
      <c r="G10121" s="120"/>
      <c r="H10121" s="120"/>
      <c r="I10121" s="60"/>
      <c r="J10121" s="116"/>
      <c r="K10121" s="213"/>
      <c r="L10121" s="120"/>
      <c r="M10121" s="120"/>
      <c r="N10121" s="167"/>
      <c r="O10121" s="120"/>
      <c r="P10121" s="120"/>
      <c r="Q10121" s="120"/>
      <c r="R10121" s="120"/>
      <c r="S10121" s="120"/>
      <c r="T10121" s="221"/>
      <c r="U10121" s="89"/>
      <c r="V10121" s="61"/>
      <c r="W10121" s="92" t="s">
        <v>173</v>
      </c>
      <c r="X10121" s="93" t="s">
        <v>29</v>
      </c>
      <c r="Y10121" s="93" t="s">
        <v>93</v>
      </c>
      <c r="Z10121" s="134">
        <f>VLOOKUP(W10121,Sheet2!$B:$D,3,FALSE)</f>
        <v>36</v>
      </c>
      <c r="AA10121" s="93">
        <f>50</f>
        <v>50</v>
      </c>
      <c r="AB10121" s="93">
        <f>AD10121/AC10116</f>
        <v>0.72</v>
      </c>
      <c r="AC10121" s="93">
        <f>AC10116/AA10121</f>
        <v>8.5777999999999999</v>
      </c>
      <c r="AD10121" s="94">
        <f>AC10121*Z10121</f>
        <v>308.80079999999998</v>
      </c>
      <c r="AE10121" s="190"/>
      <c r="AF10121" s="191"/>
      <c r="AG10121" s="191"/>
      <c r="AH10121" s="191"/>
      <c r="AI10121" s="186"/>
      <c r="AK10121" s="171"/>
    </row>
    <row r="10122" spans="1:41" s="102" customFormat="1" ht="19.899999999999999" customHeight="1" x14ac:dyDescent="0.25">
      <c r="A10122" s="45"/>
      <c r="B10122" s="59"/>
      <c r="C10122" s="137"/>
      <c r="D10122" s="59"/>
      <c r="E10122" s="116"/>
      <c r="F10122" s="120"/>
      <c r="G10122" s="120"/>
      <c r="H10122" s="120"/>
      <c r="I10122" s="60"/>
      <c r="J10122" s="116"/>
      <c r="K10122" s="213"/>
      <c r="L10122" s="120"/>
      <c r="M10122" s="120"/>
      <c r="N10122" s="167"/>
      <c r="O10122" s="120"/>
      <c r="P10122" s="120"/>
      <c r="Q10122" s="120"/>
      <c r="R10122" s="120"/>
      <c r="S10122" s="120"/>
      <c r="T10122" s="221"/>
      <c r="U10122" s="89"/>
      <c r="V10122" s="61"/>
      <c r="W10122" s="92" t="s">
        <v>65</v>
      </c>
      <c r="X10122" s="93" t="s">
        <v>30</v>
      </c>
      <c r="Y10122" s="93" t="s">
        <v>1011</v>
      </c>
      <c r="Z10122" s="134">
        <f>VLOOKUP(W10122,Sheet2!$B:$D,3,FALSE)</f>
        <v>1.76</v>
      </c>
      <c r="AA10122" s="93">
        <f>AA10121/9</f>
        <v>5.5555555555555554</v>
      </c>
      <c r="AB10122" s="93">
        <f>AD10122/AC10116</f>
        <v>0.31680000000000003</v>
      </c>
      <c r="AC10122" s="93">
        <f>AC10116/AA10122</f>
        <v>77.200199999999995</v>
      </c>
      <c r="AD10122" s="94">
        <f>AC10122*Z10122</f>
        <v>135.87235200000001</v>
      </c>
      <c r="AE10122" s="190"/>
      <c r="AF10122" s="191"/>
      <c r="AG10122" s="191"/>
      <c r="AH10122" s="191"/>
      <c r="AI10122" s="186"/>
      <c r="AK10122" s="171"/>
    </row>
    <row r="10123" spans="1:41" s="102" customFormat="1" ht="19.899999999999999" customHeight="1" x14ac:dyDescent="0.25">
      <c r="A10123" s="45"/>
      <c r="B10123" s="59"/>
      <c r="C10123" s="137"/>
      <c r="D10123" s="59"/>
      <c r="E10123" s="116"/>
      <c r="F10123" s="120"/>
      <c r="G10123" s="120"/>
      <c r="H10123" s="120"/>
      <c r="I10123" s="60"/>
      <c r="J10123" s="116"/>
      <c r="K10123" s="213"/>
      <c r="L10123" s="120"/>
      <c r="M10123" s="120"/>
      <c r="N10123" s="167"/>
      <c r="O10123" s="120"/>
      <c r="P10123" s="120"/>
      <c r="Q10123" s="120"/>
      <c r="R10123" s="120"/>
      <c r="S10123" s="120"/>
      <c r="T10123" s="221"/>
      <c r="U10123" s="89"/>
      <c r="V10123" s="61"/>
      <c r="W10123" s="92" t="s">
        <v>148</v>
      </c>
      <c r="X10123" s="93" t="s">
        <v>29</v>
      </c>
      <c r="Y10123" s="93" t="s">
        <v>93</v>
      </c>
      <c r="Z10123" s="134">
        <f>VLOOKUP(W10123,Sheet2!$B:$D,3,FALSE)</f>
        <v>48</v>
      </c>
      <c r="AA10123" s="93">
        <v>80</v>
      </c>
      <c r="AB10123" s="93">
        <f>AD10123/AC10116</f>
        <v>0.59999999999999987</v>
      </c>
      <c r="AC10123" s="93">
        <f>AC10116/AA10123</f>
        <v>5.3611249999999995</v>
      </c>
      <c r="AD10123" s="94">
        <f t="shared" ref="AD10123:AD10126" si="6703">AC10123*Z10123</f>
        <v>257.33399999999995</v>
      </c>
      <c r="AE10123" s="190"/>
      <c r="AF10123" s="191"/>
      <c r="AG10123" s="191"/>
      <c r="AH10123" s="191"/>
      <c r="AI10123" s="186"/>
      <c r="AK10123" s="171"/>
    </row>
    <row r="10124" spans="1:41" s="102" customFormat="1" ht="19.899999999999999" customHeight="1" x14ac:dyDescent="0.25">
      <c r="A10124" s="45"/>
      <c r="B10124" s="59"/>
      <c r="C10124" s="137"/>
      <c r="D10124" s="59"/>
      <c r="E10124" s="116"/>
      <c r="F10124" s="120"/>
      <c r="G10124" s="120"/>
      <c r="H10124" s="120"/>
      <c r="I10124" s="60"/>
      <c r="J10124" s="116"/>
      <c r="K10124" s="213"/>
      <c r="L10124" s="120"/>
      <c r="M10124" s="120"/>
      <c r="N10124" s="167"/>
      <c r="O10124" s="120"/>
      <c r="P10124" s="120"/>
      <c r="Q10124" s="120"/>
      <c r="R10124" s="120"/>
      <c r="S10124" s="120"/>
      <c r="T10124" s="221"/>
      <c r="U10124" s="89"/>
      <c r="V10124" s="61"/>
      <c r="W10124" s="92" t="s">
        <v>65</v>
      </c>
      <c r="X10124" s="93" t="s">
        <v>30</v>
      </c>
      <c r="Y10124" s="93" t="s">
        <v>1011</v>
      </c>
      <c r="Z10124" s="134">
        <f>VLOOKUP(W10124,Sheet2!$B:$D,3,FALSE)</f>
        <v>1.76</v>
      </c>
      <c r="AA10124" s="93">
        <f>AA10123/10</f>
        <v>8</v>
      </c>
      <c r="AB10124" s="93">
        <f>AD10124/AC10116</f>
        <v>0.22</v>
      </c>
      <c r="AC10124" s="93">
        <f>AC10116/AA10124</f>
        <v>53.611249999999998</v>
      </c>
      <c r="AD10124" s="94">
        <f t="shared" si="6703"/>
        <v>94.355800000000002</v>
      </c>
      <c r="AE10124" s="190"/>
      <c r="AF10124" s="191"/>
      <c r="AG10124" s="191"/>
      <c r="AH10124" s="191"/>
      <c r="AI10124" s="186"/>
      <c r="AK10124" s="171"/>
    </row>
    <row r="10125" spans="1:41" s="102" customFormat="1" ht="19.899999999999999" customHeight="1" x14ac:dyDescent="0.25">
      <c r="A10125" s="45"/>
      <c r="B10125" s="59"/>
      <c r="C10125" s="137"/>
      <c r="D10125" s="59"/>
      <c r="E10125" s="116"/>
      <c r="F10125" s="120"/>
      <c r="G10125" s="120"/>
      <c r="H10125" s="120"/>
      <c r="I10125" s="60"/>
      <c r="J10125" s="116"/>
      <c r="K10125" s="213"/>
      <c r="L10125" s="120"/>
      <c r="M10125" s="120"/>
      <c r="N10125" s="167"/>
      <c r="O10125" s="120"/>
      <c r="P10125" s="120"/>
      <c r="Q10125" s="120"/>
      <c r="R10125" s="120"/>
      <c r="S10125" s="120"/>
      <c r="T10125" s="221"/>
      <c r="U10125" s="89"/>
      <c r="V10125" s="61"/>
      <c r="W10125" s="92" t="s">
        <v>145</v>
      </c>
      <c r="X10125" s="93" t="s">
        <v>29</v>
      </c>
      <c r="Y10125" s="93" t="s">
        <v>93</v>
      </c>
      <c r="Z10125" s="134">
        <f>VLOOKUP(W10125,Sheet2!$B:$D,3,FALSE)</f>
        <v>40</v>
      </c>
      <c r="AA10125" s="93">
        <v>80</v>
      </c>
      <c r="AB10125" s="93">
        <f>AD10125/AC10116</f>
        <v>0.5</v>
      </c>
      <c r="AC10125" s="93">
        <f>AC10116/AA10125</f>
        <v>5.3611249999999995</v>
      </c>
      <c r="AD10125" s="94">
        <f t="shared" si="6703"/>
        <v>214.44499999999999</v>
      </c>
      <c r="AE10125" s="190"/>
      <c r="AF10125" s="191"/>
      <c r="AG10125" s="191"/>
      <c r="AH10125" s="191"/>
      <c r="AI10125" s="186"/>
      <c r="AK10125" s="171"/>
    </row>
    <row r="10126" spans="1:41" s="102" customFormat="1" ht="19.899999999999999" customHeight="1" x14ac:dyDescent="0.25">
      <c r="A10126" s="45"/>
      <c r="B10126" s="59"/>
      <c r="C10126" s="137"/>
      <c r="D10126" s="59"/>
      <c r="E10126" s="116"/>
      <c r="F10126" s="120"/>
      <c r="G10126" s="120"/>
      <c r="H10126" s="120"/>
      <c r="I10126" s="60"/>
      <c r="J10126" s="116"/>
      <c r="K10126" s="213"/>
      <c r="L10126" s="120"/>
      <c r="M10126" s="120"/>
      <c r="N10126" s="167"/>
      <c r="O10126" s="120"/>
      <c r="P10126" s="120"/>
      <c r="Q10126" s="120"/>
      <c r="R10126" s="120"/>
      <c r="S10126" s="120"/>
      <c r="T10126" s="221"/>
      <c r="U10126" s="89"/>
      <c r="V10126" s="61"/>
      <c r="W10126" s="92" t="s">
        <v>65</v>
      </c>
      <c r="X10126" s="93" t="s">
        <v>30</v>
      </c>
      <c r="Y10126" s="93" t="s">
        <v>1011</v>
      </c>
      <c r="Z10126" s="134">
        <f>VLOOKUP(W10126,Sheet2!$B:$D,3,FALSE)</f>
        <v>1.76</v>
      </c>
      <c r="AA10126" s="93">
        <f>AA10125/14</f>
        <v>5.7142857142857144</v>
      </c>
      <c r="AB10126" s="93">
        <f>AD10126/AC10116</f>
        <v>0.308</v>
      </c>
      <c r="AC10126" s="93">
        <f>AC10116/AA10126</f>
        <v>75.055749999999989</v>
      </c>
      <c r="AD10126" s="94">
        <f t="shared" si="6703"/>
        <v>132.09811999999999</v>
      </c>
      <c r="AE10126" s="190"/>
      <c r="AF10126" s="191"/>
      <c r="AG10126" s="191"/>
      <c r="AH10126" s="191"/>
      <c r="AI10126" s="186"/>
      <c r="AK10126" s="171"/>
    </row>
    <row r="10127" spans="1:41" ht="20.100000000000001" customHeight="1" x14ac:dyDescent="0.25">
      <c r="A10127" s="277" t="s">
        <v>945</v>
      </c>
      <c r="B10127" s="278"/>
      <c r="C10127" s="64" t="s">
        <v>861</v>
      </c>
      <c r="D10127" s="46" t="s">
        <v>201</v>
      </c>
      <c r="E10127" s="114">
        <v>1</v>
      </c>
      <c r="F10127" s="44">
        <v>101</v>
      </c>
      <c r="G10127" s="44">
        <f t="shared" si="3841"/>
        <v>101</v>
      </c>
      <c r="H10127" s="44">
        <f t="shared" si="3842"/>
        <v>30.657992156862747</v>
      </c>
      <c r="I10127" s="43">
        <f t="shared" si="3843"/>
        <v>30.657992156862747</v>
      </c>
      <c r="J10127" s="112">
        <f t="shared" si="3844"/>
        <v>1</v>
      </c>
      <c r="K10127" s="211">
        <f t="shared" si="3845"/>
        <v>1</v>
      </c>
      <c r="L10127" s="44"/>
      <c r="M10127" s="44">
        <f t="shared" si="3846"/>
        <v>1</v>
      </c>
      <c r="N10127" s="173">
        <f t="shared" si="3847"/>
        <v>1</v>
      </c>
      <c r="O10127" s="44">
        <f t="shared" si="3848"/>
        <v>101</v>
      </c>
      <c r="P10127" s="44">
        <f t="shared" si="3849"/>
        <v>101</v>
      </c>
      <c r="Q10127" s="44">
        <f t="shared" si="3850"/>
        <v>30.657992156862747</v>
      </c>
      <c r="R10127" s="44">
        <f t="shared" si="3851"/>
        <v>30.657992156862747</v>
      </c>
      <c r="S10127" s="123"/>
      <c r="T10127" s="219">
        <f t="shared" si="3852"/>
        <v>30.657992156862747</v>
      </c>
      <c r="U10127" s="87"/>
      <c r="V10127" s="47"/>
      <c r="W10127" s="48"/>
      <c r="X10127" s="48"/>
      <c r="Y10127" s="48"/>
      <c r="Z10127" s="135"/>
      <c r="AA10127" s="49"/>
      <c r="AB10127" s="50">
        <f t="shared" si="3853"/>
        <v>30.657992156862747</v>
      </c>
      <c r="AC10127" s="42">
        <f t="shared" si="3854"/>
        <v>1</v>
      </c>
      <c r="AD10127" s="90">
        <f>AD10128+AD10135</f>
        <v>30.657992156862747</v>
      </c>
      <c r="AE10127" s="188">
        <f t="shared" ref="AE10127:AH10127" si="6704">AE10128+AE10135</f>
        <v>0</v>
      </c>
      <c r="AF10127" s="189">
        <f t="shared" si="6704"/>
        <v>0</v>
      </c>
      <c r="AG10127" s="189">
        <f t="shared" si="6704"/>
        <v>0</v>
      </c>
      <c r="AH10127" s="189">
        <f t="shared" si="6704"/>
        <v>0</v>
      </c>
      <c r="AI10127" s="161">
        <f t="shared" si="6697"/>
        <v>0</v>
      </c>
      <c r="AK10127" s="169">
        <v>5</v>
      </c>
      <c r="AO10127" s="19" t="s">
        <v>63</v>
      </c>
    </row>
    <row r="10128" spans="1:41" s="103" customFormat="1" ht="19.899999999999999" customHeight="1" x14ac:dyDescent="0.25">
      <c r="A10128" s="51"/>
      <c r="B10128" s="52"/>
      <c r="C10128" s="165"/>
      <c r="D10128" s="52"/>
      <c r="E10128" s="115"/>
      <c r="F10128" s="58"/>
      <c r="G10128" s="58"/>
      <c r="H10128" s="58"/>
      <c r="I10128" s="55"/>
      <c r="J10128" s="113">
        <f>J10127</f>
        <v>1</v>
      </c>
      <c r="K10128" s="212">
        <f>K10127</f>
        <v>1</v>
      </c>
      <c r="L10128" s="58"/>
      <c r="M10128" s="58">
        <f>K10128-L10128</f>
        <v>1</v>
      </c>
      <c r="N10128" s="166"/>
      <c r="O10128" s="58"/>
      <c r="P10128" s="58"/>
      <c r="Q10128" s="58"/>
      <c r="R10128" s="58"/>
      <c r="S10128" s="58"/>
      <c r="T10128" s="220"/>
      <c r="U10128" s="88"/>
      <c r="V10128" s="56"/>
      <c r="W10128" s="57" t="s">
        <v>1379</v>
      </c>
      <c r="X10128" s="53"/>
      <c r="Y10128" s="91" t="s">
        <v>66</v>
      </c>
      <c r="Z10128" s="136">
        <f>AD10128/AC10128</f>
        <v>22.355262745098042</v>
      </c>
      <c r="AA10128" s="58"/>
      <c r="AB10128" s="53">
        <f>AD10128/AC10128</f>
        <v>22.355262745098042</v>
      </c>
      <c r="AC10128" s="53">
        <f>M10128+$AE$10</f>
        <v>1</v>
      </c>
      <c r="AD10128" s="54">
        <f>SUM(AD10129:AD10134)</f>
        <v>22.355262745098042</v>
      </c>
      <c r="AE10128" s="184">
        <f>SUMIFS($AD$37:$AD$12971,$V$37:$V$12971,$V10128,$X$37:$X$12971,AE$13)</f>
        <v>0</v>
      </c>
      <c r="AF10128" s="185">
        <f>SUMIFS($AD$37:$AD$12971,$V$37:$V$12971,$V10128,$X$37:$X$12971,AF$13)</f>
        <v>0</v>
      </c>
      <c r="AG10128" s="185">
        <f>SUMIFS($AD$37:$AD$12971,$V$37:$V$12971,$V10128,$X$37:$X$12971,AG$13)</f>
        <v>0</v>
      </c>
      <c r="AH10128" s="187">
        <f>SUMIFS($AD$37:$AD$12971,$V$37:$V$12971,$V10128,$X$37:$X$12971,AH$13)</f>
        <v>0</v>
      </c>
      <c r="AI10128" s="161">
        <f t="shared" ref="AI10128" si="6705">SUM(AE10128:AH10128)</f>
        <v>0</v>
      </c>
      <c r="AK10128" s="172"/>
    </row>
    <row r="10129" spans="1:37" s="102" customFormat="1" ht="19.899999999999999" customHeight="1" x14ac:dyDescent="0.25">
      <c r="A10129" s="45"/>
      <c r="B10129" s="59"/>
      <c r="C10129" s="137"/>
      <c r="D10129" s="59"/>
      <c r="E10129" s="116"/>
      <c r="F10129" s="120"/>
      <c r="G10129" s="120"/>
      <c r="H10129" s="120"/>
      <c r="I10129" s="60"/>
      <c r="J10129" s="116"/>
      <c r="K10129" s="213"/>
      <c r="L10129" s="120"/>
      <c r="M10129" s="120"/>
      <c r="N10129" s="167"/>
      <c r="O10129" s="120"/>
      <c r="P10129" s="120"/>
      <c r="Q10129" s="120"/>
      <c r="R10129" s="120"/>
      <c r="S10129" s="120"/>
      <c r="T10129" s="221"/>
      <c r="U10129" s="89"/>
      <c r="V10129" s="61"/>
      <c r="W10129" s="92" t="s">
        <v>110</v>
      </c>
      <c r="X10129" s="93" t="s">
        <v>29</v>
      </c>
      <c r="Y10129" s="93" t="s">
        <v>93</v>
      </c>
      <c r="Z10129" s="134">
        <f>VLOOKUP(W10129,Sheet2!$B:$D,3,FALSE)</f>
        <v>150.4</v>
      </c>
      <c r="AA10129" s="93">
        <v>15</v>
      </c>
      <c r="AB10129" s="93">
        <f>AD10129/AC10128</f>
        <v>10.026666666666667</v>
      </c>
      <c r="AC10129" s="93">
        <f>AC10128/AA10129</f>
        <v>6.6666666666666666E-2</v>
      </c>
      <c r="AD10129" s="94">
        <f t="shared" ref="AD10129:AD10132" si="6706">AC10129*Z10129</f>
        <v>10.026666666666667</v>
      </c>
      <c r="AE10129" s="190"/>
      <c r="AF10129" s="191"/>
      <c r="AG10129" s="191"/>
      <c r="AH10129" s="191"/>
      <c r="AI10129" s="186"/>
      <c r="AK10129" s="171"/>
    </row>
    <row r="10130" spans="1:37" s="102" customFormat="1" ht="19.899999999999999" customHeight="1" x14ac:dyDescent="0.25">
      <c r="A10130" s="45"/>
      <c r="B10130" s="59"/>
      <c r="C10130" s="137"/>
      <c r="D10130" s="59"/>
      <c r="E10130" s="116"/>
      <c r="F10130" s="120"/>
      <c r="G10130" s="120"/>
      <c r="H10130" s="120"/>
      <c r="I10130" s="60"/>
      <c r="J10130" s="116"/>
      <c r="K10130" s="213"/>
      <c r="L10130" s="120"/>
      <c r="M10130" s="120"/>
      <c r="N10130" s="167"/>
      <c r="O10130" s="120"/>
      <c r="P10130" s="120"/>
      <c r="Q10130" s="120"/>
      <c r="R10130" s="120"/>
      <c r="S10130" s="120"/>
      <c r="T10130" s="221"/>
      <c r="U10130" s="89"/>
      <c r="V10130" s="61"/>
      <c r="W10130" s="92" t="s">
        <v>65</v>
      </c>
      <c r="X10130" s="93" t="s">
        <v>30</v>
      </c>
      <c r="Y10130" s="93" t="s">
        <v>1011</v>
      </c>
      <c r="Z10130" s="134">
        <f>VLOOKUP(W10130,Sheet2!$B:$D,3,FALSE)</f>
        <v>1.76</v>
      </c>
      <c r="AA10130" s="93">
        <f>AA10129/32</f>
        <v>0.46875</v>
      </c>
      <c r="AB10130" s="93">
        <f>AD10130/AC10128</f>
        <v>3.7546666666666666</v>
      </c>
      <c r="AC10130" s="93">
        <f>AC10128/AA10130</f>
        <v>2.1333333333333333</v>
      </c>
      <c r="AD10130" s="94">
        <f t="shared" si="6706"/>
        <v>3.7546666666666666</v>
      </c>
      <c r="AE10130" s="190"/>
      <c r="AF10130" s="191"/>
      <c r="AG10130" s="191"/>
      <c r="AH10130" s="191"/>
      <c r="AI10130" s="186"/>
      <c r="AK10130" s="171"/>
    </row>
    <row r="10131" spans="1:37" s="102" customFormat="1" ht="19.899999999999999" customHeight="1" x14ac:dyDescent="0.25">
      <c r="A10131" s="45"/>
      <c r="B10131" s="59"/>
      <c r="C10131" s="137"/>
      <c r="D10131" s="59"/>
      <c r="E10131" s="116"/>
      <c r="F10131" s="120"/>
      <c r="G10131" s="120"/>
      <c r="H10131" s="120"/>
      <c r="I10131" s="60"/>
      <c r="J10131" s="116"/>
      <c r="K10131" s="213"/>
      <c r="L10131" s="120"/>
      <c r="M10131" s="120"/>
      <c r="N10131" s="167"/>
      <c r="O10131" s="120"/>
      <c r="P10131" s="120"/>
      <c r="Q10131" s="120"/>
      <c r="R10131" s="120"/>
      <c r="S10131" s="120"/>
      <c r="T10131" s="221"/>
      <c r="U10131" s="89"/>
      <c r="V10131" s="61"/>
      <c r="W10131" s="92" t="s">
        <v>131</v>
      </c>
      <c r="X10131" s="93" t="s">
        <v>29</v>
      </c>
      <c r="Y10131" s="93" t="s">
        <v>93</v>
      </c>
      <c r="Z10131" s="134">
        <f>VLOOKUP(W10131,Sheet2!$B:$D,3,FALSE)</f>
        <v>131.19999999999999</v>
      </c>
      <c r="AA10131" s="93">
        <v>50</v>
      </c>
      <c r="AB10131" s="93">
        <f t="shared" ref="AB10131" si="6707">AD10131/AC10128</f>
        <v>2.6239999999999997</v>
      </c>
      <c r="AC10131" s="93">
        <f>AC10128/AA10131</f>
        <v>0.02</v>
      </c>
      <c r="AD10131" s="94">
        <f t="shared" si="6706"/>
        <v>2.6239999999999997</v>
      </c>
      <c r="AE10131" s="190"/>
      <c r="AF10131" s="191"/>
      <c r="AG10131" s="191"/>
      <c r="AH10131" s="191"/>
      <c r="AI10131" s="186"/>
      <c r="AK10131" s="171"/>
    </row>
    <row r="10132" spans="1:37" s="102" customFormat="1" ht="19.899999999999999" customHeight="1" x14ac:dyDescent="0.25">
      <c r="A10132" s="45"/>
      <c r="B10132" s="59"/>
      <c r="C10132" s="137"/>
      <c r="D10132" s="59"/>
      <c r="E10132" s="116"/>
      <c r="F10132" s="120"/>
      <c r="G10132" s="120"/>
      <c r="H10132" s="120"/>
      <c r="I10132" s="60"/>
      <c r="J10132" s="116"/>
      <c r="K10132" s="213"/>
      <c r="L10132" s="120"/>
      <c r="M10132" s="120"/>
      <c r="N10132" s="167"/>
      <c r="O10132" s="120"/>
      <c r="P10132" s="120"/>
      <c r="Q10132" s="120"/>
      <c r="R10132" s="120"/>
      <c r="S10132" s="120"/>
      <c r="T10132" s="221"/>
      <c r="U10132" s="89"/>
      <c r="V10132" s="61"/>
      <c r="W10132" s="92" t="s">
        <v>65</v>
      </c>
      <c r="X10132" s="93" t="s">
        <v>30</v>
      </c>
      <c r="Y10132" s="93" t="s">
        <v>1011</v>
      </c>
      <c r="Z10132" s="134">
        <f>VLOOKUP(W10132,Sheet2!$B:$D,3,FALSE)</f>
        <v>1.76</v>
      </c>
      <c r="AA10132" s="93">
        <f>AA10131/32</f>
        <v>1.5625</v>
      </c>
      <c r="AB10132" s="93">
        <f>AD10132/AC10128</f>
        <v>1.1264000000000001</v>
      </c>
      <c r="AC10132" s="93">
        <f>AC10128/AA10132</f>
        <v>0.64</v>
      </c>
      <c r="AD10132" s="94">
        <f t="shared" si="6706"/>
        <v>1.1264000000000001</v>
      </c>
      <c r="AE10132" s="190"/>
      <c r="AF10132" s="191"/>
      <c r="AG10132" s="191"/>
      <c r="AH10132" s="191"/>
      <c r="AI10132" s="186"/>
      <c r="AK10132" s="171"/>
    </row>
    <row r="10133" spans="1:37" s="102" customFormat="1" ht="19.899999999999999" customHeight="1" x14ac:dyDescent="0.25">
      <c r="A10133" s="45"/>
      <c r="B10133" s="59"/>
      <c r="C10133" s="137"/>
      <c r="D10133" s="59"/>
      <c r="E10133" s="116"/>
      <c r="F10133" s="120"/>
      <c r="G10133" s="120"/>
      <c r="H10133" s="120"/>
      <c r="I10133" s="60"/>
      <c r="J10133" s="116"/>
      <c r="K10133" s="213"/>
      <c r="L10133" s="120"/>
      <c r="M10133" s="120"/>
      <c r="N10133" s="167"/>
      <c r="O10133" s="120"/>
      <c r="P10133" s="120"/>
      <c r="Q10133" s="120"/>
      <c r="R10133" s="120"/>
      <c r="S10133" s="120"/>
      <c r="T10133" s="221"/>
      <c r="U10133" s="89"/>
      <c r="V10133" s="61"/>
      <c r="W10133" s="92" t="s">
        <v>161</v>
      </c>
      <c r="X10133" s="93" t="s">
        <v>29</v>
      </c>
      <c r="Y10133" s="93" t="s">
        <v>93</v>
      </c>
      <c r="Z10133" s="134">
        <f>VLOOKUP(W10133,Sheet2!$B:$D,3,FALSE)</f>
        <v>48</v>
      </c>
      <c r="AA10133" s="93">
        <f>(16*0.85*1)</f>
        <v>13.6</v>
      </c>
      <c r="AB10133" s="93">
        <f>AD10133/AC10128</f>
        <v>3.5294117647058822</v>
      </c>
      <c r="AC10133" s="93">
        <f>AC10128/AA10133</f>
        <v>7.3529411764705885E-2</v>
      </c>
      <c r="AD10133" s="94">
        <f>AC10133*Z10133</f>
        <v>3.5294117647058822</v>
      </c>
      <c r="AE10133" s="190"/>
      <c r="AF10133" s="191"/>
      <c r="AG10133" s="191"/>
      <c r="AH10133" s="191"/>
      <c r="AI10133" s="186"/>
      <c r="AK10133" s="171"/>
    </row>
    <row r="10134" spans="1:37" s="102" customFormat="1" ht="19.899999999999999" customHeight="1" x14ac:dyDescent="0.25">
      <c r="A10134" s="45"/>
      <c r="B10134" s="59"/>
      <c r="C10134" s="137"/>
      <c r="D10134" s="59"/>
      <c r="E10134" s="116"/>
      <c r="F10134" s="120"/>
      <c r="G10134" s="120"/>
      <c r="H10134" s="120"/>
      <c r="I10134" s="60"/>
      <c r="J10134" s="116"/>
      <c r="K10134" s="213"/>
      <c r="L10134" s="120"/>
      <c r="M10134" s="120"/>
      <c r="N10134" s="167"/>
      <c r="O10134" s="120"/>
      <c r="P10134" s="120"/>
      <c r="Q10134" s="120"/>
      <c r="R10134" s="120"/>
      <c r="S10134" s="120"/>
      <c r="T10134" s="221"/>
      <c r="U10134" s="89"/>
      <c r="V10134" s="61"/>
      <c r="W10134" s="92" t="s">
        <v>65</v>
      </c>
      <c r="X10134" s="93" t="s">
        <v>30</v>
      </c>
      <c r="Y10134" s="93" t="s">
        <v>1011</v>
      </c>
      <c r="Z10134" s="134">
        <f>VLOOKUP(W10134,Sheet2!$B:$D,3,FALSE)</f>
        <v>1.76</v>
      </c>
      <c r="AA10134" s="93">
        <f>AA10133/10</f>
        <v>1.3599999999999999</v>
      </c>
      <c r="AB10134" s="93">
        <f>AD10134/AC10128</f>
        <v>1.2941176470588236</v>
      </c>
      <c r="AC10134" s="93">
        <f>AC10128/AA10134</f>
        <v>0.73529411764705888</v>
      </c>
      <c r="AD10134" s="94">
        <f>AC10134*Z10134</f>
        <v>1.2941176470588236</v>
      </c>
      <c r="AE10134" s="190"/>
      <c r="AF10134" s="191"/>
      <c r="AG10134" s="191"/>
      <c r="AH10134" s="191"/>
      <c r="AI10134" s="186"/>
      <c r="AK10134" s="171"/>
    </row>
    <row r="10135" spans="1:37" s="103" customFormat="1" ht="19.899999999999999" customHeight="1" x14ac:dyDescent="0.25">
      <c r="A10135" s="51"/>
      <c r="B10135" s="52"/>
      <c r="C10135" s="165"/>
      <c r="D10135" s="52"/>
      <c r="E10135" s="115"/>
      <c r="F10135" s="58"/>
      <c r="G10135" s="58"/>
      <c r="H10135" s="58"/>
      <c r="I10135" s="55"/>
      <c r="J10135" s="113">
        <f>J10127</f>
        <v>1</v>
      </c>
      <c r="K10135" s="212">
        <f>K10127</f>
        <v>1</v>
      </c>
      <c r="L10135" s="58"/>
      <c r="M10135" s="58">
        <f>K10135-L10135</f>
        <v>1</v>
      </c>
      <c r="N10135" s="166"/>
      <c r="O10135" s="58"/>
      <c r="P10135" s="58"/>
      <c r="Q10135" s="58"/>
      <c r="R10135" s="58"/>
      <c r="S10135" s="58"/>
      <c r="T10135" s="220"/>
      <c r="U10135" s="88"/>
      <c r="V10135" s="56"/>
      <c r="W10135" s="57" t="s">
        <v>1380</v>
      </c>
      <c r="X10135" s="53"/>
      <c r="Y10135" s="91" t="s">
        <v>66</v>
      </c>
      <c r="Z10135" s="136">
        <f>AD10135/AC10135</f>
        <v>8.3027294117647052</v>
      </c>
      <c r="AA10135" s="58"/>
      <c r="AB10135" s="53">
        <f>AD10135/AC10135</f>
        <v>8.3027294117647052</v>
      </c>
      <c r="AC10135" s="53">
        <f>M10135+$AE$10</f>
        <v>1</v>
      </c>
      <c r="AD10135" s="54">
        <f>SUM(AD10136:AD10145)</f>
        <v>8.3027294117647052</v>
      </c>
      <c r="AE10135" s="184">
        <f>SUMIFS($AD$37:$AD$12971,$V$37:$V$12971,$V10135,$X$37:$X$12971,AE$13)</f>
        <v>0</v>
      </c>
      <c r="AF10135" s="185">
        <f>SUMIFS($AD$37:$AD$12971,$V$37:$V$12971,$V10135,$X$37:$X$12971,AF$13)</f>
        <v>0</v>
      </c>
      <c r="AG10135" s="185">
        <f>SUMIFS($AD$37:$AD$12971,$V$37:$V$12971,$V10135,$X$37:$X$12971,AG$13)</f>
        <v>0</v>
      </c>
      <c r="AH10135" s="187">
        <f>SUMIFS($AD$37:$AD$12971,$V$37:$V$12971,$V10135,$X$37:$X$12971,AH$13)</f>
        <v>0</v>
      </c>
      <c r="AI10135" s="161">
        <f t="shared" ref="AI10135" si="6708">SUM(AE10135:AH10135)</f>
        <v>0</v>
      </c>
      <c r="AK10135" s="172"/>
    </row>
    <row r="10136" spans="1:37" s="102" customFormat="1" ht="19.899999999999999" customHeight="1" x14ac:dyDescent="0.25">
      <c r="A10136" s="45"/>
      <c r="B10136" s="59"/>
      <c r="C10136" s="137"/>
      <c r="D10136" s="59"/>
      <c r="E10136" s="116"/>
      <c r="F10136" s="120"/>
      <c r="G10136" s="120"/>
      <c r="H10136" s="120"/>
      <c r="I10136" s="60"/>
      <c r="J10136" s="116"/>
      <c r="K10136" s="213"/>
      <c r="L10136" s="120"/>
      <c r="M10136" s="120"/>
      <c r="N10136" s="167"/>
      <c r="O10136" s="120"/>
      <c r="P10136" s="120"/>
      <c r="Q10136" s="120"/>
      <c r="R10136" s="120"/>
      <c r="S10136" s="120"/>
      <c r="T10136" s="221"/>
      <c r="U10136" s="89"/>
      <c r="V10136" s="61"/>
      <c r="W10136" s="92" t="s">
        <v>134</v>
      </c>
      <c r="X10136" s="93" t="s">
        <v>29</v>
      </c>
      <c r="Y10136" s="93" t="s">
        <v>93</v>
      </c>
      <c r="Z10136" s="134">
        <f>VLOOKUP(W10136,Sheet2!$B:$D,3,FALSE)</f>
        <v>65.599999999999994</v>
      </c>
      <c r="AA10136" s="93">
        <f>100</f>
        <v>100</v>
      </c>
      <c r="AB10136" s="93">
        <f>AD10136/AC10135</f>
        <v>0.65599999999999992</v>
      </c>
      <c r="AC10136" s="93">
        <f>AC10135/AA10136</f>
        <v>0.01</v>
      </c>
      <c r="AD10136" s="94">
        <f t="shared" ref="AD10136:AD10137" si="6709">AC10136*Z10136</f>
        <v>0.65599999999999992</v>
      </c>
      <c r="AE10136" s="190"/>
      <c r="AF10136" s="191"/>
      <c r="AG10136" s="191"/>
      <c r="AH10136" s="191"/>
      <c r="AI10136" s="186"/>
      <c r="AK10136" s="171"/>
    </row>
    <row r="10137" spans="1:37" s="102" customFormat="1" ht="19.899999999999999" customHeight="1" x14ac:dyDescent="0.25">
      <c r="A10137" s="45"/>
      <c r="B10137" s="59"/>
      <c r="C10137" s="137"/>
      <c r="D10137" s="59"/>
      <c r="E10137" s="116"/>
      <c r="F10137" s="120"/>
      <c r="G10137" s="120"/>
      <c r="H10137" s="120"/>
      <c r="I10137" s="60"/>
      <c r="J10137" s="116"/>
      <c r="K10137" s="213"/>
      <c r="L10137" s="120"/>
      <c r="M10137" s="120"/>
      <c r="N10137" s="167"/>
      <c r="O10137" s="120"/>
      <c r="P10137" s="120"/>
      <c r="Q10137" s="120"/>
      <c r="R10137" s="120"/>
      <c r="S10137" s="120"/>
      <c r="T10137" s="221"/>
      <c r="U10137" s="89"/>
      <c r="V10137" s="61"/>
      <c r="W10137" s="92" t="s">
        <v>65</v>
      </c>
      <c r="X10137" s="93" t="s">
        <v>30</v>
      </c>
      <c r="Y10137" s="93" t="s">
        <v>1011</v>
      </c>
      <c r="Z10137" s="134">
        <f>VLOOKUP(W10137,Sheet2!$B:$D,3,FALSE)</f>
        <v>1.76</v>
      </c>
      <c r="AA10137" s="93">
        <f>AA10136/9</f>
        <v>11.111111111111111</v>
      </c>
      <c r="AB10137" s="93">
        <f>AD10137/AC10135</f>
        <v>0.15839999999999999</v>
      </c>
      <c r="AC10137" s="93">
        <f>AC10135/AA10137</f>
        <v>0.09</v>
      </c>
      <c r="AD10137" s="94">
        <f t="shared" si="6709"/>
        <v>0.15839999999999999</v>
      </c>
      <c r="AE10137" s="190"/>
      <c r="AF10137" s="191"/>
      <c r="AG10137" s="191"/>
      <c r="AH10137" s="191"/>
      <c r="AI10137" s="186"/>
      <c r="AK10137" s="171"/>
    </row>
    <row r="10138" spans="1:37" s="102" customFormat="1" ht="19.899999999999999" customHeight="1" x14ac:dyDescent="0.25">
      <c r="A10138" s="45"/>
      <c r="B10138" s="59"/>
      <c r="C10138" s="137"/>
      <c r="D10138" s="59"/>
      <c r="E10138" s="116"/>
      <c r="F10138" s="120"/>
      <c r="G10138" s="120"/>
      <c r="H10138" s="120"/>
      <c r="I10138" s="60"/>
      <c r="J10138" s="116"/>
      <c r="K10138" s="213"/>
      <c r="L10138" s="120"/>
      <c r="M10138" s="120"/>
      <c r="N10138" s="167"/>
      <c r="O10138" s="120"/>
      <c r="P10138" s="120"/>
      <c r="Q10138" s="120"/>
      <c r="R10138" s="120"/>
      <c r="S10138" s="120"/>
      <c r="T10138" s="221"/>
      <c r="U10138" s="89"/>
      <c r="V10138" s="61"/>
      <c r="W10138" s="92" t="s">
        <v>161</v>
      </c>
      <c r="X10138" s="93" t="s">
        <v>29</v>
      </c>
      <c r="Y10138" s="93" t="s">
        <v>93</v>
      </c>
      <c r="Z10138" s="134">
        <f>VLOOKUP(W10138,Sheet2!$B:$D,3,FALSE)</f>
        <v>48</v>
      </c>
      <c r="AA10138" s="93">
        <f>(16*0.85*1)</f>
        <v>13.6</v>
      </c>
      <c r="AB10138" s="93">
        <f>AD10138/AC10135</f>
        <v>3.5294117647058822</v>
      </c>
      <c r="AC10138" s="93">
        <f>AC10135/AA10138</f>
        <v>7.3529411764705885E-2</v>
      </c>
      <c r="AD10138" s="94">
        <f>AC10138*Z10138</f>
        <v>3.5294117647058822</v>
      </c>
      <c r="AE10138" s="190"/>
      <c r="AF10138" s="191"/>
      <c r="AG10138" s="191"/>
      <c r="AH10138" s="191"/>
      <c r="AI10138" s="186"/>
      <c r="AK10138" s="171"/>
    </row>
    <row r="10139" spans="1:37" s="102" customFormat="1" ht="19.899999999999999" customHeight="1" x14ac:dyDescent="0.25">
      <c r="A10139" s="45"/>
      <c r="B10139" s="59"/>
      <c r="C10139" s="137"/>
      <c r="D10139" s="59"/>
      <c r="E10139" s="116"/>
      <c r="F10139" s="120"/>
      <c r="G10139" s="120"/>
      <c r="H10139" s="120"/>
      <c r="I10139" s="60"/>
      <c r="J10139" s="116"/>
      <c r="K10139" s="213"/>
      <c r="L10139" s="120"/>
      <c r="M10139" s="120"/>
      <c r="N10139" s="167"/>
      <c r="O10139" s="120"/>
      <c r="P10139" s="120"/>
      <c r="Q10139" s="120"/>
      <c r="R10139" s="120"/>
      <c r="S10139" s="120"/>
      <c r="T10139" s="221"/>
      <c r="U10139" s="89"/>
      <c r="V10139" s="61"/>
      <c r="W10139" s="92" t="s">
        <v>65</v>
      </c>
      <c r="X10139" s="93" t="s">
        <v>30</v>
      </c>
      <c r="Y10139" s="93" t="s">
        <v>1011</v>
      </c>
      <c r="Z10139" s="134">
        <f>VLOOKUP(W10139,Sheet2!$B:$D,3,FALSE)</f>
        <v>1.76</v>
      </c>
      <c r="AA10139" s="93">
        <f>AA10138/10</f>
        <v>1.3599999999999999</v>
      </c>
      <c r="AB10139" s="93">
        <f>AD10139/AC10135</f>
        <v>1.2941176470588236</v>
      </c>
      <c r="AC10139" s="93">
        <f>AC10135/AA10139</f>
        <v>0.73529411764705888</v>
      </c>
      <c r="AD10139" s="94">
        <f>AC10139*Z10139</f>
        <v>1.2941176470588236</v>
      </c>
      <c r="AE10139" s="190"/>
      <c r="AF10139" s="191"/>
      <c r="AG10139" s="191"/>
      <c r="AH10139" s="191"/>
      <c r="AI10139" s="186"/>
      <c r="AK10139" s="171"/>
    </row>
    <row r="10140" spans="1:37" s="102" customFormat="1" ht="19.899999999999999" customHeight="1" x14ac:dyDescent="0.25">
      <c r="A10140" s="45"/>
      <c r="B10140" s="59"/>
      <c r="C10140" s="137"/>
      <c r="D10140" s="59"/>
      <c r="E10140" s="116"/>
      <c r="F10140" s="120"/>
      <c r="G10140" s="120"/>
      <c r="H10140" s="120"/>
      <c r="I10140" s="60"/>
      <c r="J10140" s="116"/>
      <c r="K10140" s="213"/>
      <c r="L10140" s="120"/>
      <c r="M10140" s="120"/>
      <c r="N10140" s="167"/>
      <c r="O10140" s="120"/>
      <c r="P10140" s="120"/>
      <c r="Q10140" s="120"/>
      <c r="R10140" s="120"/>
      <c r="S10140" s="120"/>
      <c r="T10140" s="221"/>
      <c r="U10140" s="89"/>
      <c r="V10140" s="61"/>
      <c r="W10140" s="92" t="s">
        <v>173</v>
      </c>
      <c r="X10140" s="93" t="s">
        <v>29</v>
      </c>
      <c r="Y10140" s="93" t="s">
        <v>93</v>
      </c>
      <c r="Z10140" s="134">
        <f>VLOOKUP(W10140,Sheet2!$B:$D,3,FALSE)</f>
        <v>36</v>
      </c>
      <c r="AA10140" s="93">
        <f>50</f>
        <v>50</v>
      </c>
      <c r="AB10140" s="93">
        <f>AD10140/AC10135</f>
        <v>0.72</v>
      </c>
      <c r="AC10140" s="93">
        <f>AC10135/AA10140</f>
        <v>0.02</v>
      </c>
      <c r="AD10140" s="94">
        <f>AC10140*Z10140</f>
        <v>0.72</v>
      </c>
      <c r="AE10140" s="190"/>
      <c r="AF10140" s="191"/>
      <c r="AG10140" s="191"/>
      <c r="AH10140" s="191"/>
      <c r="AI10140" s="186"/>
      <c r="AK10140" s="171"/>
    </row>
    <row r="10141" spans="1:37" s="102" customFormat="1" ht="19.899999999999999" customHeight="1" x14ac:dyDescent="0.25">
      <c r="A10141" s="45"/>
      <c r="B10141" s="59"/>
      <c r="C10141" s="137"/>
      <c r="D10141" s="59"/>
      <c r="E10141" s="116"/>
      <c r="F10141" s="120"/>
      <c r="G10141" s="120"/>
      <c r="H10141" s="120"/>
      <c r="I10141" s="60"/>
      <c r="J10141" s="116"/>
      <c r="K10141" s="213"/>
      <c r="L10141" s="120"/>
      <c r="M10141" s="120"/>
      <c r="N10141" s="167"/>
      <c r="O10141" s="120"/>
      <c r="P10141" s="120"/>
      <c r="Q10141" s="120"/>
      <c r="R10141" s="120"/>
      <c r="S10141" s="120"/>
      <c r="T10141" s="221"/>
      <c r="U10141" s="89"/>
      <c r="V10141" s="61"/>
      <c r="W10141" s="92" t="s">
        <v>65</v>
      </c>
      <c r="X10141" s="93" t="s">
        <v>30</v>
      </c>
      <c r="Y10141" s="93" t="s">
        <v>1011</v>
      </c>
      <c r="Z10141" s="134">
        <f>VLOOKUP(W10141,Sheet2!$B:$D,3,FALSE)</f>
        <v>1.76</v>
      </c>
      <c r="AA10141" s="93">
        <f>AA10140/9</f>
        <v>5.5555555555555554</v>
      </c>
      <c r="AB10141" s="93">
        <f>AD10141/AC10135</f>
        <v>0.31679999999999997</v>
      </c>
      <c r="AC10141" s="93">
        <f>AC10135/AA10141</f>
        <v>0.18</v>
      </c>
      <c r="AD10141" s="94">
        <f>AC10141*Z10141</f>
        <v>0.31679999999999997</v>
      </c>
      <c r="AE10141" s="190"/>
      <c r="AF10141" s="191"/>
      <c r="AG10141" s="191"/>
      <c r="AH10141" s="191"/>
      <c r="AI10141" s="186"/>
      <c r="AK10141" s="171"/>
    </row>
    <row r="10142" spans="1:37" s="102" customFormat="1" ht="19.899999999999999" customHeight="1" x14ac:dyDescent="0.25">
      <c r="A10142" s="45"/>
      <c r="B10142" s="59"/>
      <c r="C10142" s="137"/>
      <c r="D10142" s="59"/>
      <c r="E10142" s="116"/>
      <c r="F10142" s="120"/>
      <c r="G10142" s="120"/>
      <c r="H10142" s="120"/>
      <c r="I10142" s="60"/>
      <c r="J10142" s="116"/>
      <c r="K10142" s="213"/>
      <c r="L10142" s="120"/>
      <c r="M10142" s="120"/>
      <c r="N10142" s="167"/>
      <c r="O10142" s="120"/>
      <c r="P10142" s="120"/>
      <c r="Q10142" s="120"/>
      <c r="R10142" s="120"/>
      <c r="S10142" s="120"/>
      <c r="T10142" s="221"/>
      <c r="U10142" s="89"/>
      <c r="V10142" s="61"/>
      <c r="W10142" s="92" t="s">
        <v>148</v>
      </c>
      <c r="X10142" s="93" t="s">
        <v>29</v>
      </c>
      <c r="Y10142" s="93" t="s">
        <v>93</v>
      </c>
      <c r="Z10142" s="134">
        <f>VLOOKUP(W10142,Sheet2!$B:$D,3,FALSE)</f>
        <v>48</v>
      </c>
      <c r="AA10142" s="93">
        <v>80</v>
      </c>
      <c r="AB10142" s="93">
        <f>AD10142/AC10135</f>
        <v>0.60000000000000009</v>
      </c>
      <c r="AC10142" s="93">
        <f>AC10135/AA10142</f>
        <v>1.2500000000000001E-2</v>
      </c>
      <c r="AD10142" s="94">
        <f t="shared" ref="AD10142:AD10145" si="6710">AC10142*Z10142</f>
        <v>0.60000000000000009</v>
      </c>
      <c r="AE10142" s="190"/>
      <c r="AF10142" s="191"/>
      <c r="AG10142" s="191"/>
      <c r="AH10142" s="191"/>
      <c r="AI10142" s="186"/>
      <c r="AK10142" s="171"/>
    </row>
    <row r="10143" spans="1:37" s="102" customFormat="1" ht="19.899999999999999" customHeight="1" x14ac:dyDescent="0.25">
      <c r="A10143" s="45"/>
      <c r="B10143" s="59"/>
      <c r="C10143" s="137"/>
      <c r="D10143" s="59"/>
      <c r="E10143" s="116"/>
      <c r="F10143" s="120"/>
      <c r="G10143" s="120"/>
      <c r="H10143" s="120"/>
      <c r="I10143" s="60"/>
      <c r="J10143" s="116"/>
      <c r="K10143" s="213"/>
      <c r="L10143" s="120"/>
      <c r="M10143" s="120"/>
      <c r="N10143" s="167"/>
      <c r="O10143" s="120"/>
      <c r="P10143" s="120"/>
      <c r="Q10143" s="120"/>
      <c r="R10143" s="120"/>
      <c r="S10143" s="120"/>
      <c r="T10143" s="221"/>
      <c r="U10143" s="89"/>
      <c r="V10143" s="61"/>
      <c r="W10143" s="92" t="s">
        <v>65</v>
      </c>
      <c r="X10143" s="93" t="s">
        <v>30</v>
      </c>
      <c r="Y10143" s="93" t="s">
        <v>1011</v>
      </c>
      <c r="Z10143" s="134">
        <f>VLOOKUP(W10143,Sheet2!$B:$D,3,FALSE)</f>
        <v>1.76</v>
      </c>
      <c r="AA10143" s="93">
        <f>AA10142/10</f>
        <v>8</v>
      </c>
      <c r="AB10143" s="93">
        <f>AD10143/AC10135</f>
        <v>0.22</v>
      </c>
      <c r="AC10143" s="93">
        <f>AC10135/AA10143</f>
        <v>0.125</v>
      </c>
      <c r="AD10143" s="94">
        <f t="shared" si="6710"/>
        <v>0.22</v>
      </c>
      <c r="AE10143" s="190"/>
      <c r="AF10143" s="191"/>
      <c r="AG10143" s="191"/>
      <c r="AH10143" s="191"/>
      <c r="AI10143" s="186"/>
      <c r="AK10143" s="171"/>
    </row>
    <row r="10144" spans="1:37" s="102" customFormat="1" ht="19.899999999999999" customHeight="1" x14ac:dyDescent="0.25">
      <c r="A10144" s="45"/>
      <c r="B10144" s="59"/>
      <c r="C10144" s="137"/>
      <c r="D10144" s="59"/>
      <c r="E10144" s="116"/>
      <c r="F10144" s="120"/>
      <c r="G10144" s="120"/>
      <c r="H10144" s="120"/>
      <c r="I10144" s="60"/>
      <c r="J10144" s="116"/>
      <c r="K10144" s="213"/>
      <c r="L10144" s="120"/>
      <c r="M10144" s="120"/>
      <c r="N10144" s="167"/>
      <c r="O10144" s="120"/>
      <c r="P10144" s="120"/>
      <c r="Q10144" s="120"/>
      <c r="R10144" s="120"/>
      <c r="S10144" s="120"/>
      <c r="T10144" s="221"/>
      <c r="U10144" s="89"/>
      <c r="V10144" s="61"/>
      <c r="W10144" s="92" t="s">
        <v>145</v>
      </c>
      <c r="X10144" s="93" t="s">
        <v>29</v>
      </c>
      <c r="Y10144" s="93" t="s">
        <v>93</v>
      </c>
      <c r="Z10144" s="134">
        <f>VLOOKUP(W10144,Sheet2!$B:$D,3,FALSE)</f>
        <v>40</v>
      </c>
      <c r="AA10144" s="93">
        <v>80</v>
      </c>
      <c r="AB10144" s="93">
        <f>AD10144/AC10135</f>
        <v>0.5</v>
      </c>
      <c r="AC10144" s="93">
        <f>AC10135/AA10144</f>
        <v>1.2500000000000001E-2</v>
      </c>
      <c r="AD10144" s="94">
        <f t="shared" si="6710"/>
        <v>0.5</v>
      </c>
      <c r="AE10144" s="190"/>
      <c r="AF10144" s="191"/>
      <c r="AG10144" s="191"/>
      <c r="AH10144" s="191"/>
      <c r="AI10144" s="186"/>
      <c r="AK10144" s="171"/>
    </row>
    <row r="10145" spans="1:41" s="102" customFormat="1" ht="19.899999999999999" customHeight="1" x14ac:dyDescent="0.25">
      <c r="A10145" s="45"/>
      <c r="B10145" s="59"/>
      <c r="C10145" s="137"/>
      <c r="D10145" s="59"/>
      <c r="E10145" s="116"/>
      <c r="F10145" s="120"/>
      <c r="G10145" s="120"/>
      <c r="H10145" s="120"/>
      <c r="I10145" s="60"/>
      <c r="J10145" s="116"/>
      <c r="K10145" s="213"/>
      <c r="L10145" s="120"/>
      <c r="M10145" s="120"/>
      <c r="N10145" s="167"/>
      <c r="O10145" s="120"/>
      <c r="P10145" s="120"/>
      <c r="Q10145" s="120"/>
      <c r="R10145" s="120"/>
      <c r="S10145" s="120"/>
      <c r="T10145" s="221"/>
      <c r="U10145" s="89"/>
      <c r="V10145" s="61"/>
      <c r="W10145" s="92" t="s">
        <v>65</v>
      </c>
      <c r="X10145" s="93" t="s">
        <v>30</v>
      </c>
      <c r="Y10145" s="93" t="s">
        <v>1011</v>
      </c>
      <c r="Z10145" s="134">
        <f>VLOOKUP(W10145,Sheet2!$B:$D,3,FALSE)</f>
        <v>1.76</v>
      </c>
      <c r="AA10145" s="93">
        <f>AA10144/14</f>
        <v>5.7142857142857144</v>
      </c>
      <c r="AB10145" s="93">
        <f>AD10145/AC10135</f>
        <v>0.308</v>
      </c>
      <c r="AC10145" s="93">
        <f>AC10135/AA10145</f>
        <v>0.17499999999999999</v>
      </c>
      <c r="AD10145" s="94">
        <f t="shared" si="6710"/>
        <v>0.308</v>
      </c>
      <c r="AE10145" s="190"/>
      <c r="AF10145" s="191"/>
      <c r="AG10145" s="191"/>
      <c r="AH10145" s="191"/>
      <c r="AI10145" s="186"/>
      <c r="AK10145" s="171"/>
    </row>
    <row r="10146" spans="1:41" ht="20.100000000000001" customHeight="1" x14ac:dyDescent="0.25">
      <c r="A10146" s="277" t="s">
        <v>945</v>
      </c>
      <c r="B10146" s="278"/>
      <c r="C10146" s="64" t="s">
        <v>867</v>
      </c>
      <c r="D10146" s="46" t="s">
        <v>201</v>
      </c>
      <c r="E10146" s="114">
        <v>1</v>
      </c>
      <c r="F10146" s="44">
        <v>19</v>
      </c>
      <c r="G10146" s="44">
        <f t="shared" si="3841"/>
        <v>19</v>
      </c>
      <c r="H10146" s="44">
        <f t="shared" si="3842"/>
        <v>13.833288888888891</v>
      </c>
      <c r="I10146" s="43">
        <f t="shared" si="3843"/>
        <v>13.833288888888891</v>
      </c>
      <c r="J10146" s="112">
        <f t="shared" si="3844"/>
        <v>1</v>
      </c>
      <c r="K10146" s="211">
        <f t="shared" si="3845"/>
        <v>1</v>
      </c>
      <c r="L10146" s="44"/>
      <c r="M10146" s="44">
        <f t="shared" si="3846"/>
        <v>1</v>
      </c>
      <c r="N10146" s="173">
        <f t="shared" si="3847"/>
        <v>1</v>
      </c>
      <c r="O10146" s="44">
        <f t="shared" si="3848"/>
        <v>19</v>
      </c>
      <c r="P10146" s="44">
        <f t="shared" si="3849"/>
        <v>19</v>
      </c>
      <c r="Q10146" s="44">
        <f t="shared" si="3850"/>
        <v>13.833288888888891</v>
      </c>
      <c r="R10146" s="44">
        <f t="shared" si="3851"/>
        <v>13.833288888888891</v>
      </c>
      <c r="S10146" s="123"/>
      <c r="T10146" s="219">
        <f t="shared" si="3852"/>
        <v>13.833288888888891</v>
      </c>
      <c r="U10146" s="87"/>
      <c r="V10146" s="47"/>
      <c r="W10146" s="48"/>
      <c r="X10146" s="48"/>
      <c r="Y10146" s="48"/>
      <c r="Z10146" s="135"/>
      <c r="AA10146" s="49"/>
      <c r="AB10146" s="50">
        <f t="shared" si="3853"/>
        <v>13.833288888888891</v>
      </c>
      <c r="AC10146" s="42">
        <f t="shared" si="3854"/>
        <v>1</v>
      </c>
      <c r="AD10146" s="90">
        <f>AD10147</f>
        <v>13.833288888888891</v>
      </c>
      <c r="AE10146" s="188">
        <f t="shared" ref="AE10146:AH10146" si="6711">AE10147</f>
        <v>0</v>
      </c>
      <c r="AF10146" s="189">
        <f t="shared" si="6711"/>
        <v>0</v>
      </c>
      <c r="AG10146" s="189">
        <f t="shared" si="6711"/>
        <v>0</v>
      </c>
      <c r="AH10146" s="189">
        <f t="shared" si="6711"/>
        <v>0</v>
      </c>
      <c r="AI10146" s="161">
        <f t="shared" si="6697"/>
        <v>0</v>
      </c>
      <c r="AK10146" s="169">
        <v>5</v>
      </c>
      <c r="AO10146" s="19" t="s">
        <v>63</v>
      </c>
    </row>
    <row r="10147" spans="1:41" s="103" customFormat="1" ht="19.899999999999999" customHeight="1" x14ac:dyDescent="0.25">
      <c r="A10147" s="51"/>
      <c r="B10147" s="165"/>
      <c r="C10147" s="52"/>
      <c r="D10147" s="313"/>
      <c r="E10147" s="115"/>
      <c r="F10147" s="58"/>
      <c r="G10147" s="58"/>
      <c r="H10147" s="58"/>
      <c r="I10147" s="55"/>
      <c r="J10147" s="113">
        <f>J10146</f>
        <v>1</v>
      </c>
      <c r="K10147" s="212">
        <f>K10146</f>
        <v>1</v>
      </c>
      <c r="L10147" s="58"/>
      <c r="M10147" s="58">
        <f>K10147-L10147</f>
        <v>1</v>
      </c>
      <c r="N10147" s="166"/>
      <c r="O10147" s="58"/>
      <c r="P10147" s="58"/>
      <c r="Q10147" s="58"/>
      <c r="R10147" s="58"/>
      <c r="S10147" s="58"/>
      <c r="T10147" s="220"/>
      <c r="U10147" s="88">
        <f>IFERROR(S10147/L10147,0)</f>
        <v>0</v>
      </c>
      <c r="V10147" s="56" t="str">
        <f>V10143&amp;"02"</f>
        <v>02</v>
      </c>
      <c r="W10147" s="57" t="s">
        <v>1659</v>
      </c>
      <c r="X10147" s="53"/>
      <c r="Y10147" s="91" t="s">
        <v>66</v>
      </c>
      <c r="Z10147" s="136">
        <f>AD10147/AC10147</f>
        <v>13.833288888888891</v>
      </c>
      <c r="AA10147" s="58"/>
      <c r="AB10147" s="53">
        <f>AD10147/AC10147</f>
        <v>13.833288888888891</v>
      </c>
      <c r="AC10147" s="53">
        <f>M10147+$AE$10</f>
        <v>1</v>
      </c>
      <c r="AD10147" s="54">
        <f>SUM(AD10148:AD10152)</f>
        <v>13.833288888888891</v>
      </c>
      <c r="AE10147" s="184">
        <f>SUMIFS($AD$44:$AD$4639,$V$44:$V$4639,$V10147,$X$44:$X$4639,AE$13)</f>
        <v>0</v>
      </c>
      <c r="AF10147" s="185">
        <f>SUMIFS($AD$44:$AD$4639,$V$44:$V$4639,$V10147,$X$44:$X$4639,AF$13)</f>
        <v>0</v>
      </c>
      <c r="AG10147" s="185">
        <f>SUMIFS($AD$44:$AD$4639,$V$44:$V$4639,$V10147,$X$44:$X$4639,AG$13)</f>
        <v>0</v>
      </c>
      <c r="AH10147" s="187">
        <f>SUMIFS($AD$44:$AD$4639,$V$44:$V$4639,$V10147,$X$44:$X$4639,AH$13)</f>
        <v>0</v>
      </c>
      <c r="AI10147" s="161">
        <f t="shared" ref="AI10147" si="6712">SUM(AE10147:AH10147)</f>
        <v>0</v>
      </c>
      <c r="AK10147" s="172"/>
    </row>
    <row r="10148" spans="1:41" s="102" customFormat="1" ht="19.899999999999999" customHeight="1" x14ac:dyDescent="0.25">
      <c r="A10148" s="45"/>
      <c r="B10148" s="137"/>
      <c r="C10148" s="59"/>
      <c r="D10148" s="314"/>
      <c r="E10148" s="116"/>
      <c r="F10148" s="120"/>
      <c r="G10148" s="120"/>
      <c r="H10148" s="120"/>
      <c r="I10148" s="60"/>
      <c r="J10148" s="116"/>
      <c r="K10148" s="213"/>
      <c r="L10148" s="120"/>
      <c r="M10148" s="120"/>
      <c r="N10148" s="167"/>
      <c r="O10148" s="120"/>
      <c r="P10148" s="120"/>
      <c r="Q10148" s="120"/>
      <c r="R10148" s="120"/>
      <c r="S10148" s="120"/>
      <c r="T10148" s="221"/>
      <c r="U10148" s="89"/>
      <c r="V10148" s="61" t="str">
        <f>V10147</f>
        <v>02</v>
      </c>
      <c r="W10148" s="92" t="s">
        <v>134</v>
      </c>
      <c r="X10148" s="93" t="s">
        <v>29</v>
      </c>
      <c r="Y10148" s="93" t="s">
        <v>1656</v>
      </c>
      <c r="Z10148" s="134">
        <f>VLOOKUP(W10148,Sheet2!$B:$D,3,FALSE)</f>
        <v>65.599999999999994</v>
      </c>
      <c r="AA10148" s="93">
        <f>100</f>
        <v>100</v>
      </c>
      <c r="AB10148" s="93">
        <f>AD10148/AC10147</f>
        <v>0.65599999999999992</v>
      </c>
      <c r="AC10148" s="93">
        <f>AC10147/AA10148</f>
        <v>0.01</v>
      </c>
      <c r="AD10148" s="94">
        <f>AC10148*Z10148</f>
        <v>0.65599999999999992</v>
      </c>
      <c r="AE10148" s="190"/>
      <c r="AF10148" s="191"/>
      <c r="AG10148" s="191"/>
      <c r="AH10148" s="191"/>
      <c r="AI10148" s="186"/>
      <c r="AK10148" s="171"/>
    </row>
    <row r="10149" spans="1:41" s="102" customFormat="1" ht="19.899999999999999" customHeight="1" x14ac:dyDescent="0.25">
      <c r="A10149" s="45"/>
      <c r="B10149" s="137"/>
      <c r="C10149" s="59"/>
      <c r="D10149" s="314"/>
      <c r="E10149" s="116"/>
      <c r="F10149" s="120"/>
      <c r="G10149" s="120"/>
      <c r="H10149" s="120"/>
      <c r="I10149" s="60"/>
      <c r="J10149" s="116"/>
      <c r="K10149" s="213"/>
      <c r="L10149" s="120"/>
      <c r="M10149" s="120"/>
      <c r="N10149" s="167"/>
      <c r="O10149" s="120"/>
      <c r="P10149" s="120"/>
      <c r="Q10149" s="120"/>
      <c r="R10149" s="120"/>
      <c r="S10149" s="120"/>
      <c r="T10149" s="221"/>
      <c r="U10149" s="89"/>
      <c r="V10149" s="61" t="str">
        <f t="shared" ref="V10149:V10152" si="6713">V10148</f>
        <v>02</v>
      </c>
      <c r="W10149" s="92" t="s">
        <v>65</v>
      </c>
      <c r="X10149" s="93" t="s">
        <v>30</v>
      </c>
      <c r="Y10149" s="93" t="s">
        <v>98</v>
      </c>
      <c r="Z10149" s="134">
        <f>VLOOKUP(W10149,Sheet2!$B:$D,3,FALSE)</f>
        <v>1.76</v>
      </c>
      <c r="AA10149" s="93">
        <f>AA10148/9</f>
        <v>11.111111111111111</v>
      </c>
      <c r="AB10149" s="93">
        <f>AD10149/AC10147</f>
        <v>0.15839999999999999</v>
      </c>
      <c r="AC10149" s="93">
        <f>AC10147/AA10149</f>
        <v>0.09</v>
      </c>
      <c r="AD10149" s="94">
        <f t="shared" ref="AD10149:AD10152" si="6714">AC10149*Z10149</f>
        <v>0.15839999999999999</v>
      </c>
      <c r="AE10149" s="190"/>
      <c r="AF10149" s="191"/>
      <c r="AG10149" s="191"/>
      <c r="AH10149" s="191"/>
      <c r="AI10149" s="186"/>
      <c r="AK10149" s="171"/>
    </row>
    <row r="10150" spans="1:41" s="102" customFormat="1" ht="19.899999999999999" customHeight="1" x14ac:dyDescent="0.25">
      <c r="A10150" s="45"/>
      <c r="B10150" s="137"/>
      <c r="C10150" s="59"/>
      <c r="D10150" s="314"/>
      <c r="E10150" s="116"/>
      <c r="F10150" s="120"/>
      <c r="G10150" s="120"/>
      <c r="H10150" s="120"/>
      <c r="I10150" s="60"/>
      <c r="J10150" s="116"/>
      <c r="K10150" s="213"/>
      <c r="L10150" s="120"/>
      <c r="M10150" s="120"/>
      <c r="N10150" s="167"/>
      <c r="O10150" s="120"/>
      <c r="P10150" s="120"/>
      <c r="Q10150" s="120"/>
      <c r="R10150" s="120"/>
      <c r="S10150" s="120"/>
      <c r="T10150" s="221"/>
      <c r="U10150" s="89"/>
      <c r="V10150" s="61" t="str">
        <f t="shared" si="6713"/>
        <v>02</v>
      </c>
      <c r="W10150" s="92" t="s">
        <v>1660</v>
      </c>
      <c r="X10150" s="93" t="s">
        <v>29</v>
      </c>
      <c r="Y10150" s="93" t="s">
        <v>1656</v>
      </c>
      <c r="Z10150" s="134">
        <f>VLOOKUP(W10150,Sheet2!$B:$D,3,FALSE)</f>
        <v>56</v>
      </c>
      <c r="AA10150" s="93">
        <f>(24*0.85)*3/10</f>
        <v>6.1199999999999992</v>
      </c>
      <c r="AB10150" s="93">
        <f>AD10150/AC10147</f>
        <v>9.1503267973856222</v>
      </c>
      <c r="AC10150" s="93">
        <f>AC10147/AA10150</f>
        <v>0.16339869281045755</v>
      </c>
      <c r="AD10150" s="94">
        <f t="shared" si="6714"/>
        <v>9.1503267973856222</v>
      </c>
      <c r="AE10150" s="190"/>
      <c r="AF10150" s="191"/>
      <c r="AG10150" s="191"/>
      <c r="AH10150" s="191"/>
      <c r="AI10150" s="186"/>
      <c r="AK10150" s="171"/>
    </row>
    <row r="10151" spans="1:41" s="102" customFormat="1" ht="19.899999999999999" customHeight="1" x14ac:dyDescent="0.25">
      <c r="A10151" s="45"/>
      <c r="B10151" s="137"/>
      <c r="C10151" s="59"/>
      <c r="D10151" s="314"/>
      <c r="E10151" s="116"/>
      <c r="F10151" s="120"/>
      <c r="G10151" s="120"/>
      <c r="H10151" s="120"/>
      <c r="I10151" s="60"/>
      <c r="J10151" s="116"/>
      <c r="K10151" s="213"/>
      <c r="L10151" s="120"/>
      <c r="M10151" s="120"/>
      <c r="N10151" s="167"/>
      <c r="O10151" s="120"/>
      <c r="P10151" s="120"/>
      <c r="Q10151" s="120"/>
      <c r="R10151" s="120"/>
      <c r="S10151" s="120"/>
      <c r="T10151" s="221"/>
      <c r="U10151" s="89"/>
      <c r="V10151" s="61" t="str">
        <f t="shared" si="6713"/>
        <v>02</v>
      </c>
      <c r="W10151" s="92" t="s">
        <v>65</v>
      </c>
      <c r="X10151" s="93" t="s">
        <v>30</v>
      </c>
      <c r="Y10151" s="93" t="s">
        <v>98</v>
      </c>
      <c r="Z10151" s="134">
        <f>VLOOKUP(W10151,Sheet2!$B:$D,3,FALSE)</f>
        <v>1.76</v>
      </c>
      <c r="AA10151" s="93">
        <f>AA10150/13</f>
        <v>0.47076923076923072</v>
      </c>
      <c r="AB10151" s="93">
        <f>AD10151/AC10147</f>
        <v>3.7385620915032689</v>
      </c>
      <c r="AC10151" s="93">
        <f>AC10147/AA10151</f>
        <v>2.1241830065359482</v>
      </c>
      <c r="AD10151" s="94">
        <f t="shared" si="6714"/>
        <v>3.7385620915032689</v>
      </c>
      <c r="AE10151" s="190"/>
      <c r="AF10151" s="191"/>
      <c r="AG10151" s="191"/>
      <c r="AH10151" s="191"/>
      <c r="AI10151" s="186"/>
      <c r="AK10151" s="171"/>
    </row>
    <row r="10152" spans="1:41" s="102" customFormat="1" ht="19.899999999999999" customHeight="1" x14ac:dyDescent="0.25">
      <c r="A10152" s="45"/>
      <c r="B10152" s="137"/>
      <c r="C10152" s="59"/>
      <c r="D10152" s="314"/>
      <c r="E10152" s="116"/>
      <c r="F10152" s="120"/>
      <c r="G10152" s="120"/>
      <c r="H10152" s="120"/>
      <c r="I10152" s="60"/>
      <c r="J10152" s="116"/>
      <c r="K10152" s="213"/>
      <c r="L10152" s="120"/>
      <c r="M10152" s="120"/>
      <c r="N10152" s="167"/>
      <c r="O10152" s="120"/>
      <c r="P10152" s="120"/>
      <c r="Q10152" s="120"/>
      <c r="R10152" s="120"/>
      <c r="S10152" s="120"/>
      <c r="T10152" s="221"/>
      <c r="U10152" s="89"/>
      <c r="V10152" s="61" t="str">
        <f t="shared" si="6713"/>
        <v>02</v>
      </c>
      <c r="W10152" s="92" t="s">
        <v>112</v>
      </c>
      <c r="X10152" s="93" t="s">
        <v>31</v>
      </c>
      <c r="Y10152" s="93" t="s">
        <v>1656</v>
      </c>
      <c r="Z10152" s="134">
        <f>VLOOKUP(W10152,Sheet2!$B:$D,3,FALSE)</f>
        <v>13</v>
      </c>
      <c r="AA10152" s="93">
        <f>AA10148</f>
        <v>100</v>
      </c>
      <c r="AB10152" s="93">
        <f>AD10152/AC10147</f>
        <v>0.13</v>
      </c>
      <c r="AC10152" s="93">
        <f>AC10147/AA10152</f>
        <v>0.01</v>
      </c>
      <c r="AD10152" s="94">
        <f t="shared" si="6714"/>
        <v>0.13</v>
      </c>
      <c r="AE10152" s="190"/>
      <c r="AF10152" s="191"/>
      <c r="AG10152" s="191"/>
      <c r="AH10152" s="191"/>
      <c r="AI10152" s="186"/>
      <c r="AK10152" s="171"/>
    </row>
    <row r="10153" spans="1:41" ht="25.5" x14ac:dyDescent="0.25">
      <c r="A10153" s="277" t="s">
        <v>945</v>
      </c>
      <c r="B10153" s="278"/>
      <c r="C10153" s="64" t="s">
        <v>869</v>
      </c>
      <c r="D10153" s="46" t="s">
        <v>201</v>
      </c>
      <c r="E10153" s="114">
        <v>1</v>
      </c>
      <c r="F10153" s="44">
        <v>23</v>
      </c>
      <c r="G10153" s="44">
        <f t="shared" si="3841"/>
        <v>23</v>
      </c>
      <c r="H10153" s="44">
        <f t="shared" si="3842"/>
        <v>7.5223320522875818</v>
      </c>
      <c r="I10153" s="43">
        <f t="shared" si="3843"/>
        <v>7.5223320522875818</v>
      </c>
      <c r="J10153" s="112">
        <f t="shared" si="3844"/>
        <v>1</v>
      </c>
      <c r="K10153" s="211">
        <f t="shared" si="3845"/>
        <v>1</v>
      </c>
      <c r="L10153" s="44"/>
      <c r="M10153" s="44">
        <f t="shared" si="3846"/>
        <v>1</v>
      </c>
      <c r="N10153" s="173">
        <f t="shared" si="3847"/>
        <v>1</v>
      </c>
      <c r="O10153" s="44">
        <f t="shared" si="3848"/>
        <v>23</v>
      </c>
      <c r="P10153" s="44">
        <f t="shared" si="3849"/>
        <v>23</v>
      </c>
      <c r="Q10153" s="44">
        <f t="shared" si="3850"/>
        <v>7.5223320522875818</v>
      </c>
      <c r="R10153" s="44">
        <f t="shared" si="3851"/>
        <v>7.5223320522875818</v>
      </c>
      <c r="S10153" s="123"/>
      <c r="T10153" s="219">
        <f t="shared" si="3852"/>
        <v>7.5223320522875818</v>
      </c>
      <c r="U10153" s="87"/>
      <c r="V10153" s="47"/>
      <c r="W10153" s="48"/>
      <c r="X10153" s="48"/>
      <c r="Y10153" s="48"/>
      <c r="Z10153" s="135"/>
      <c r="AA10153" s="49"/>
      <c r="AB10153" s="50">
        <f t="shared" si="3853"/>
        <v>7.5223320522875818</v>
      </c>
      <c r="AC10153" s="42">
        <f t="shared" si="3854"/>
        <v>1</v>
      </c>
      <c r="AD10153" s="90">
        <f>AD10154+AD10163+AD10169+AD10172</f>
        <v>7.5223320522875818</v>
      </c>
      <c r="AE10153" s="188">
        <f t="shared" ref="AE10153:AH10153" si="6715">AE10154+AE10163+AE10169+AE10172</f>
        <v>0</v>
      </c>
      <c r="AF10153" s="189">
        <f t="shared" si="6715"/>
        <v>0</v>
      </c>
      <c r="AG10153" s="189">
        <f t="shared" si="6715"/>
        <v>0</v>
      </c>
      <c r="AH10153" s="189">
        <f t="shared" si="6715"/>
        <v>0</v>
      </c>
      <c r="AI10153" s="161">
        <f t="shared" ref="AI10153" si="6716">SUM(AE10153:AH10153)</f>
        <v>0</v>
      </c>
      <c r="AK10153" s="169">
        <v>5</v>
      </c>
      <c r="AO10153" s="19" t="s">
        <v>63</v>
      </c>
    </row>
    <row r="10154" spans="1:41" s="103" customFormat="1" ht="19.899999999999999" customHeight="1" x14ac:dyDescent="0.25">
      <c r="A10154" s="51"/>
      <c r="B10154" s="165"/>
      <c r="C10154" s="52"/>
      <c r="D10154" s="313"/>
      <c r="E10154" s="115"/>
      <c r="F10154" s="58"/>
      <c r="G10154" s="58"/>
      <c r="H10154" s="58"/>
      <c r="I10154" s="55"/>
      <c r="J10154" s="113">
        <f>J10153</f>
        <v>1</v>
      </c>
      <c r="K10154" s="212">
        <f>K10153</f>
        <v>1</v>
      </c>
      <c r="L10154" s="58"/>
      <c r="M10154" s="58">
        <f>K10154-L10154</f>
        <v>1</v>
      </c>
      <c r="N10154" s="166"/>
      <c r="O10154" s="58"/>
      <c r="P10154" s="58"/>
      <c r="Q10154" s="58"/>
      <c r="R10154" s="58"/>
      <c r="S10154" s="58"/>
      <c r="T10154" s="220"/>
      <c r="U10154" s="88">
        <f>IFERROR(S10154/L10154,0)</f>
        <v>0</v>
      </c>
      <c r="V10154" s="56" t="str">
        <f>V10153&amp;"01"</f>
        <v>01</v>
      </c>
      <c r="W10154" s="57" t="s">
        <v>1661</v>
      </c>
      <c r="X10154" s="53"/>
      <c r="Y10154" s="91" t="s">
        <v>66</v>
      </c>
      <c r="Z10154" s="136">
        <f>AD10154/AC10154</f>
        <v>0.79936800000000008</v>
      </c>
      <c r="AA10154" s="58"/>
      <c r="AB10154" s="53">
        <f>AD10154/AC10154</f>
        <v>0.79936800000000008</v>
      </c>
      <c r="AC10154" s="53">
        <f>M10154+$AE$10</f>
        <v>1</v>
      </c>
      <c r="AD10154" s="54">
        <f>SUM(AD10155:AD10162)</f>
        <v>0.79936800000000008</v>
      </c>
      <c r="AE10154" s="184">
        <f>SUMIFS($AD$44:$AD$4639,$V$44:$V$4639,$V10154,$X$44:$X$4639,AE$13)</f>
        <v>0</v>
      </c>
      <c r="AF10154" s="185">
        <f>SUMIFS($AD$44:$AD$4639,$V$44:$V$4639,$V10154,$X$44:$X$4639,AF$13)</f>
        <v>0</v>
      </c>
      <c r="AG10154" s="185">
        <f>SUMIFS($AD$44:$AD$4639,$V$44:$V$4639,$V10154,$X$44:$X$4639,AG$13)</f>
        <v>0</v>
      </c>
      <c r="AH10154" s="187">
        <f>SUMIFS($AD$44:$AD$4639,$V$44:$V$4639,$V10154,$X$44:$X$4639,AH$13)</f>
        <v>0</v>
      </c>
      <c r="AI10154" s="161">
        <f t="shared" ref="AI10154" si="6717">SUM(AE10154:AH10154)</f>
        <v>0</v>
      </c>
      <c r="AK10154" s="172"/>
    </row>
    <row r="10155" spans="1:41" s="102" customFormat="1" ht="19.899999999999999" customHeight="1" x14ac:dyDescent="0.25">
      <c r="A10155" s="45"/>
      <c r="B10155" s="137"/>
      <c r="C10155" s="59"/>
      <c r="D10155" s="314"/>
      <c r="E10155" s="116"/>
      <c r="F10155" s="120"/>
      <c r="G10155" s="120"/>
      <c r="H10155" s="120"/>
      <c r="I10155" s="60"/>
      <c r="J10155" s="116"/>
      <c r="K10155" s="213"/>
      <c r="L10155" s="120"/>
      <c r="M10155" s="120"/>
      <c r="N10155" s="167"/>
      <c r="O10155" s="120"/>
      <c r="P10155" s="120"/>
      <c r="Q10155" s="120"/>
      <c r="R10155" s="120"/>
      <c r="S10155" s="120"/>
      <c r="T10155" s="221"/>
      <c r="U10155" s="89"/>
      <c r="V10155" s="61" t="str">
        <f>V10154</f>
        <v>01</v>
      </c>
      <c r="W10155" s="92" t="s">
        <v>151</v>
      </c>
      <c r="X10155" s="93" t="s">
        <v>29</v>
      </c>
      <c r="Y10155" s="93" t="s">
        <v>1656</v>
      </c>
      <c r="Z10155" s="134">
        <f>VLOOKUP(W10155,Sheet2!$B:$D,3,FALSE)</f>
        <v>132.304</v>
      </c>
      <c r="AA10155" s="93">
        <v>500</v>
      </c>
      <c r="AB10155" s="93">
        <f>AD10155/AC10154</f>
        <v>0.26460800000000001</v>
      </c>
      <c r="AC10155" s="93">
        <f>AC10154/AA10155</f>
        <v>2E-3</v>
      </c>
      <c r="AD10155" s="94">
        <f>AC10155*Z10155</f>
        <v>0.26460800000000001</v>
      </c>
      <c r="AE10155" s="190"/>
      <c r="AF10155" s="191"/>
      <c r="AG10155" s="191"/>
      <c r="AH10155" s="191"/>
      <c r="AI10155" s="186"/>
      <c r="AK10155" s="171"/>
    </row>
    <row r="10156" spans="1:41" s="102" customFormat="1" ht="19.899999999999999" customHeight="1" x14ac:dyDescent="0.25">
      <c r="A10156" s="45"/>
      <c r="B10156" s="137"/>
      <c r="C10156" s="59"/>
      <c r="D10156" s="314"/>
      <c r="E10156" s="116"/>
      <c r="F10156" s="120"/>
      <c r="G10156" s="120"/>
      <c r="H10156" s="120"/>
      <c r="I10156" s="60"/>
      <c r="J10156" s="116"/>
      <c r="K10156" s="213"/>
      <c r="L10156" s="120"/>
      <c r="M10156" s="120"/>
      <c r="N10156" s="167"/>
      <c r="O10156" s="120"/>
      <c r="P10156" s="120"/>
      <c r="Q10156" s="120"/>
      <c r="R10156" s="120"/>
      <c r="S10156" s="120"/>
      <c r="T10156" s="221"/>
      <c r="U10156" s="89"/>
      <c r="V10156" s="61" t="str">
        <f t="shared" ref="V10156:V10162" si="6718">V10155</f>
        <v>01</v>
      </c>
      <c r="W10156" s="92" t="s">
        <v>65</v>
      </c>
      <c r="X10156" s="93" t="s">
        <v>30</v>
      </c>
      <c r="Y10156" s="93" t="s">
        <v>98</v>
      </c>
      <c r="Z10156" s="134">
        <f>VLOOKUP(W10156,Sheet2!$B:$D,3,FALSE)</f>
        <v>1.76</v>
      </c>
      <c r="AA10156" s="93">
        <f>AA10155/48.5</f>
        <v>10.309278350515465</v>
      </c>
      <c r="AB10156" s="93">
        <f>AD10156/AC10154</f>
        <v>0.17071999999999998</v>
      </c>
      <c r="AC10156" s="93">
        <f>AC10154/AA10156</f>
        <v>9.6999999999999989E-2</v>
      </c>
      <c r="AD10156" s="94">
        <f t="shared" ref="AD10156" si="6719">AC10156*Z10156</f>
        <v>0.17071999999999998</v>
      </c>
      <c r="AE10156" s="190"/>
      <c r="AF10156" s="191"/>
      <c r="AG10156" s="191"/>
      <c r="AH10156" s="191"/>
      <c r="AI10156" s="186"/>
      <c r="AK10156" s="171"/>
    </row>
    <row r="10157" spans="1:41" s="102" customFormat="1" ht="19.899999999999999" customHeight="1" x14ac:dyDescent="0.25">
      <c r="A10157" s="45"/>
      <c r="B10157" s="137"/>
      <c r="C10157" s="59"/>
      <c r="D10157" s="314"/>
      <c r="E10157" s="116"/>
      <c r="F10157" s="120"/>
      <c r="G10157" s="120"/>
      <c r="H10157" s="120"/>
      <c r="I10157" s="60"/>
      <c r="J10157" s="116"/>
      <c r="K10157" s="120"/>
      <c r="L10157" s="120"/>
      <c r="M10157" s="120"/>
      <c r="N10157" s="167"/>
      <c r="O10157" s="120"/>
      <c r="P10157" s="120"/>
      <c r="Q10157" s="120"/>
      <c r="R10157" s="120"/>
      <c r="S10157" s="120"/>
      <c r="T10157" s="221"/>
      <c r="U10157" s="89"/>
      <c r="V10157" s="61" t="str">
        <f t="shared" si="6718"/>
        <v>01</v>
      </c>
      <c r="W10157" s="92" t="s">
        <v>135</v>
      </c>
      <c r="X10157" s="93" t="s">
        <v>29</v>
      </c>
      <c r="Y10157" s="93" t="s">
        <v>1656</v>
      </c>
      <c r="Z10157" s="134">
        <f>VLOOKUP(W10157,Sheet2!$B:$D,3,FALSE)</f>
        <v>52</v>
      </c>
      <c r="AA10157" s="93">
        <v>500</v>
      </c>
      <c r="AB10157" s="93">
        <f>AD10157/AC10154</f>
        <v>0.10400000000000001</v>
      </c>
      <c r="AC10157" s="93">
        <f>AC10154/AA10157</f>
        <v>2E-3</v>
      </c>
      <c r="AD10157" s="94">
        <f>AC10157*Z10157</f>
        <v>0.10400000000000001</v>
      </c>
      <c r="AE10157" s="190"/>
      <c r="AF10157" s="191"/>
      <c r="AG10157" s="191"/>
      <c r="AH10157" s="191"/>
      <c r="AI10157" s="186"/>
      <c r="AK10157" s="171"/>
    </row>
    <row r="10158" spans="1:41" s="102" customFormat="1" ht="19.899999999999999" customHeight="1" x14ac:dyDescent="0.25">
      <c r="A10158" s="45"/>
      <c r="B10158" s="137"/>
      <c r="C10158" s="59"/>
      <c r="D10158" s="314"/>
      <c r="E10158" s="116"/>
      <c r="F10158" s="120"/>
      <c r="G10158" s="120"/>
      <c r="H10158" s="120"/>
      <c r="I10158" s="60"/>
      <c r="J10158" s="116"/>
      <c r="K10158" s="120"/>
      <c r="L10158" s="120"/>
      <c r="M10158" s="120"/>
      <c r="N10158" s="167"/>
      <c r="O10158" s="120"/>
      <c r="P10158" s="120"/>
      <c r="Q10158" s="120"/>
      <c r="R10158" s="120"/>
      <c r="S10158" s="120"/>
      <c r="T10158" s="221"/>
      <c r="U10158" s="89"/>
      <c r="V10158" s="61" t="str">
        <f t="shared" si="6718"/>
        <v>01</v>
      </c>
      <c r="W10158" s="92" t="s">
        <v>65</v>
      </c>
      <c r="X10158" s="93" t="s">
        <v>30</v>
      </c>
      <c r="Y10158" s="93" t="s">
        <v>98</v>
      </c>
      <c r="Z10158" s="134">
        <f>VLOOKUP(W10158,Sheet2!$B:$D,3,FALSE)</f>
        <v>1.76</v>
      </c>
      <c r="AA10158" s="93">
        <f>AA10157/8</f>
        <v>62.5</v>
      </c>
      <c r="AB10158" s="93">
        <f>AD10158/AC10154</f>
        <v>2.8160000000000001E-2</v>
      </c>
      <c r="AC10158" s="93">
        <f>AC10154/AA10158</f>
        <v>1.6E-2</v>
      </c>
      <c r="AD10158" s="94">
        <f>AC10158*Z10158</f>
        <v>2.8160000000000001E-2</v>
      </c>
      <c r="AE10158" s="190"/>
      <c r="AF10158" s="191"/>
      <c r="AG10158" s="191"/>
      <c r="AH10158" s="191"/>
      <c r="AI10158" s="186"/>
      <c r="AK10158" s="171"/>
    </row>
    <row r="10159" spans="1:41" s="102" customFormat="1" ht="19.899999999999999" customHeight="1" x14ac:dyDescent="0.25">
      <c r="A10159" s="45"/>
      <c r="B10159" s="137"/>
      <c r="C10159" s="59"/>
      <c r="D10159" s="314"/>
      <c r="E10159" s="116"/>
      <c r="F10159" s="120"/>
      <c r="G10159" s="120"/>
      <c r="H10159" s="120"/>
      <c r="I10159" s="60"/>
      <c r="J10159" s="116"/>
      <c r="K10159" s="120"/>
      <c r="L10159" s="120"/>
      <c r="M10159" s="120"/>
      <c r="N10159" s="167"/>
      <c r="O10159" s="120"/>
      <c r="P10159" s="120"/>
      <c r="Q10159" s="120"/>
      <c r="R10159" s="120"/>
      <c r="S10159" s="120"/>
      <c r="T10159" s="221"/>
      <c r="U10159" s="89"/>
      <c r="V10159" s="61" t="str">
        <f t="shared" si="6718"/>
        <v>01</v>
      </c>
      <c r="W10159" s="92" t="s">
        <v>156</v>
      </c>
      <c r="X10159" s="93" t="s">
        <v>30</v>
      </c>
      <c r="Y10159" s="93" t="s">
        <v>66</v>
      </c>
      <c r="Z10159" s="134">
        <f>VLOOKUP(W10159,Sheet2!$B:$D,3,FALSE)</f>
        <v>2.8</v>
      </c>
      <c r="AA10159" s="93">
        <v>50</v>
      </c>
      <c r="AB10159" s="93">
        <f>AD10159/AC10154</f>
        <v>5.5999999999999994E-2</v>
      </c>
      <c r="AC10159" s="93">
        <f>AC10154/AA10159</f>
        <v>0.02</v>
      </c>
      <c r="AD10159" s="94">
        <f>AC10159*Z10159</f>
        <v>5.5999999999999994E-2</v>
      </c>
      <c r="AE10159" s="190"/>
      <c r="AF10159" s="191"/>
      <c r="AG10159" s="191"/>
      <c r="AH10159" s="191"/>
      <c r="AI10159" s="186"/>
      <c r="AK10159" s="171"/>
    </row>
    <row r="10160" spans="1:41" s="102" customFormat="1" ht="19.899999999999999" customHeight="1" x14ac:dyDescent="0.25">
      <c r="A10160" s="45"/>
      <c r="B10160" s="137"/>
      <c r="C10160" s="59"/>
      <c r="D10160" s="314"/>
      <c r="E10160" s="116"/>
      <c r="F10160" s="120"/>
      <c r="G10160" s="120"/>
      <c r="H10160" s="120"/>
      <c r="I10160" s="60"/>
      <c r="J10160" s="116"/>
      <c r="K10160" s="213"/>
      <c r="L10160" s="120"/>
      <c r="M10160" s="120"/>
      <c r="N10160" s="167"/>
      <c r="O10160" s="120"/>
      <c r="P10160" s="120"/>
      <c r="Q10160" s="120"/>
      <c r="R10160" s="120"/>
      <c r="S10160" s="120"/>
      <c r="T10160" s="221"/>
      <c r="U10160" s="89"/>
      <c r="V10160" s="61" t="str">
        <f t="shared" si="6718"/>
        <v>01</v>
      </c>
      <c r="W10160" s="92" t="s">
        <v>134</v>
      </c>
      <c r="X10160" s="93" t="s">
        <v>29</v>
      </c>
      <c r="Y10160" s="93" t="s">
        <v>1656</v>
      </c>
      <c r="Z10160" s="134">
        <f>VLOOKUP(W10160,Sheet2!$B:$D,3,FALSE)</f>
        <v>65.599999999999994</v>
      </c>
      <c r="AA10160" s="93">
        <v>500</v>
      </c>
      <c r="AB10160" s="93">
        <f>AD10160/AC10154</f>
        <v>0.13119999999999998</v>
      </c>
      <c r="AC10160" s="93">
        <f>AC10154/AA10160</f>
        <v>2E-3</v>
      </c>
      <c r="AD10160" s="94">
        <f>AC10160*Z10160</f>
        <v>0.13119999999999998</v>
      </c>
      <c r="AE10160" s="190"/>
      <c r="AF10160" s="191"/>
      <c r="AG10160" s="191"/>
      <c r="AH10160" s="191"/>
      <c r="AI10160" s="186"/>
      <c r="AK10160" s="171"/>
    </row>
    <row r="10161" spans="1:37" s="102" customFormat="1" ht="19.899999999999999" customHeight="1" x14ac:dyDescent="0.25">
      <c r="A10161" s="45"/>
      <c r="B10161" s="137"/>
      <c r="C10161" s="59"/>
      <c r="D10161" s="314"/>
      <c r="E10161" s="116"/>
      <c r="F10161" s="120"/>
      <c r="G10161" s="120"/>
      <c r="H10161" s="120"/>
      <c r="I10161" s="60"/>
      <c r="J10161" s="116"/>
      <c r="K10161" s="213"/>
      <c r="L10161" s="120"/>
      <c r="M10161" s="120"/>
      <c r="N10161" s="167"/>
      <c r="O10161" s="120"/>
      <c r="P10161" s="120"/>
      <c r="Q10161" s="120"/>
      <c r="R10161" s="120"/>
      <c r="S10161" s="120"/>
      <c r="T10161" s="221"/>
      <c r="U10161" s="89"/>
      <c r="V10161" s="61" t="str">
        <f t="shared" si="6718"/>
        <v>01</v>
      </c>
      <c r="W10161" s="92" t="s">
        <v>65</v>
      </c>
      <c r="X10161" s="93" t="s">
        <v>30</v>
      </c>
      <c r="Y10161" s="93" t="s">
        <v>98</v>
      </c>
      <c r="Z10161" s="134">
        <f>VLOOKUP(W10161,Sheet2!$B:$D,3,FALSE)</f>
        <v>1.76</v>
      </c>
      <c r="AA10161" s="93">
        <f>AA10160/9</f>
        <v>55.555555555555557</v>
      </c>
      <c r="AB10161" s="93">
        <f>AD10161/AC10154</f>
        <v>3.168E-2</v>
      </c>
      <c r="AC10161" s="93">
        <f>AC10154/AA10161</f>
        <v>1.7999999999999999E-2</v>
      </c>
      <c r="AD10161" s="94">
        <f t="shared" ref="AD10161" si="6720">AC10161*Z10161</f>
        <v>3.168E-2</v>
      </c>
      <c r="AE10161" s="190"/>
      <c r="AF10161" s="191"/>
      <c r="AG10161" s="191"/>
      <c r="AH10161" s="191"/>
      <c r="AI10161" s="186"/>
      <c r="AK10161" s="171"/>
    </row>
    <row r="10162" spans="1:37" s="102" customFormat="1" ht="19.899999999999999" customHeight="1" x14ac:dyDescent="0.25">
      <c r="A10162" s="45"/>
      <c r="B10162" s="137"/>
      <c r="C10162" s="59"/>
      <c r="D10162" s="314"/>
      <c r="E10162" s="116"/>
      <c r="F10162" s="120"/>
      <c r="G10162" s="120"/>
      <c r="H10162" s="120"/>
      <c r="I10162" s="60"/>
      <c r="J10162" s="116"/>
      <c r="K10162" s="213"/>
      <c r="L10162" s="120"/>
      <c r="M10162" s="120"/>
      <c r="N10162" s="167"/>
      <c r="O10162" s="120"/>
      <c r="P10162" s="120"/>
      <c r="Q10162" s="120"/>
      <c r="R10162" s="120"/>
      <c r="S10162" s="120"/>
      <c r="T10162" s="221"/>
      <c r="U10162" s="89"/>
      <c r="V10162" s="61" t="str">
        <f t="shared" si="6718"/>
        <v>01</v>
      </c>
      <c r="W10162" s="92" t="s">
        <v>112</v>
      </c>
      <c r="X10162" s="93" t="s">
        <v>31</v>
      </c>
      <c r="Y10162" s="93" t="s">
        <v>1656</v>
      </c>
      <c r="Z10162" s="134">
        <f>VLOOKUP(W10162,Sheet2!$B:$D,3,FALSE)</f>
        <v>13</v>
      </c>
      <c r="AA10162" s="93">
        <f>AA10155*2</f>
        <v>1000</v>
      </c>
      <c r="AB10162" s="93">
        <f>AD10162/AC10154</f>
        <v>1.3000000000000001E-2</v>
      </c>
      <c r="AC10162" s="93">
        <f>AC10154/AA10162</f>
        <v>1E-3</v>
      </c>
      <c r="AD10162" s="94">
        <f>AC10162*Z10162</f>
        <v>1.3000000000000001E-2</v>
      </c>
      <c r="AE10162" s="190"/>
      <c r="AF10162" s="191"/>
      <c r="AG10162" s="191"/>
      <c r="AH10162" s="191"/>
      <c r="AI10162" s="186"/>
      <c r="AK10162" s="171"/>
    </row>
    <row r="10163" spans="1:37" s="103" customFormat="1" ht="19.899999999999999" customHeight="1" x14ac:dyDescent="0.25">
      <c r="A10163" s="51"/>
      <c r="B10163" s="165"/>
      <c r="C10163" s="52"/>
      <c r="D10163" s="313"/>
      <c r="E10163" s="115"/>
      <c r="F10163" s="58"/>
      <c r="G10163" s="58"/>
      <c r="H10163" s="58"/>
      <c r="I10163" s="55"/>
      <c r="J10163" s="113">
        <f>J10153</f>
        <v>1</v>
      </c>
      <c r="K10163" s="315">
        <f>K10153</f>
        <v>1</v>
      </c>
      <c r="L10163" s="58"/>
      <c r="M10163" s="58">
        <f>K10163-L10163</f>
        <v>1</v>
      </c>
      <c r="N10163" s="166"/>
      <c r="O10163" s="58"/>
      <c r="P10163" s="58"/>
      <c r="Q10163" s="58"/>
      <c r="R10163" s="58"/>
      <c r="S10163" s="58"/>
      <c r="T10163" s="220"/>
      <c r="U10163" s="88">
        <f>IFERROR(S10163/L10163,0)</f>
        <v>0</v>
      </c>
      <c r="V10163" s="56" t="str">
        <f>V10153&amp;"02"</f>
        <v>02</v>
      </c>
      <c r="W10163" s="57" t="s">
        <v>1662</v>
      </c>
      <c r="X10163" s="53"/>
      <c r="Y10163" s="91" t="s">
        <v>66</v>
      </c>
      <c r="Z10163" s="136">
        <f>AD10163/AC10163</f>
        <v>4.162908496732026</v>
      </c>
      <c r="AA10163" s="58"/>
      <c r="AB10163" s="53">
        <f>AD10163/AC10163</f>
        <v>4.162908496732026</v>
      </c>
      <c r="AC10163" s="53">
        <f>M10163+$AE$10</f>
        <v>1</v>
      </c>
      <c r="AD10163" s="54">
        <f>SUM(AD10164:AD10168)</f>
        <v>4.162908496732026</v>
      </c>
      <c r="AE10163" s="184">
        <f>SUMIFS($AD$44:$AD$4639,$V$44:$V$4639,$V10163,$X$44:$X$4639,AE$13)</f>
        <v>0</v>
      </c>
      <c r="AF10163" s="185">
        <f>SUMIFS($AD$44:$AD$4639,$V$44:$V$4639,$V10163,$X$44:$X$4639,AF$13)</f>
        <v>0</v>
      </c>
      <c r="AG10163" s="185">
        <f>SUMIFS($AD$44:$AD$4639,$V$44:$V$4639,$V10163,$X$44:$X$4639,AG$13)</f>
        <v>0</v>
      </c>
      <c r="AH10163" s="187">
        <f>SUMIFS($AD$44:$AD$4639,$V$44:$V$4639,$V10163,$X$44:$X$4639,AH$13)</f>
        <v>0</v>
      </c>
      <c r="AI10163" s="161">
        <f t="shared" ref="AI10163" si="6721">SUM(AE10163:AH10163)</f>
        <v>0</v>
      </c>
      <c r="AK10163" s="172"/>
    </row>
    <row r="10164" spans="1:37" s="102" customFormat="1" ht="19.899999999999999" customHeight="1" x14ac:dyDescent="0.25">
      <c r="A10164" s="45"/>
      <c r="B10164" s="137"/>
      <c r="C10164" s="59"/>
      <c r="D10164" s="314"/>
      <c r="E10164" s="116"/>
      <c r="F10164" s="120"/>
      <c r="G10164" s="120"/>
      <c r="H10164" s="120"/>
      <c r="I10164" s="60"/>
      <c r="J10164" s="116"/>
      <c r="K10164" s="120"/>
      <c r="L10164" s="120"/>
      <c r="M10164" s="120"/>
      <c r="N10164" s="167"/>
      <c r="O10164" s="120"/>
      <c r="P10164" s="120"/>
      <c r="Q10164" s="120"/>
      <c r="R10164" s="120"/>
      <c r="S10164" s="120"/>
      <c r="T10164" s="221"/>
      <c r="U10164" s="89"/>
      <c r="V10164" s="61" t="str">
        <f>V10163</f>
        <v>02</v>
      </c>
      <c r="W10164" s="92" t="s">
        <v>131</v>
      </c>
      <c r="X10164" s="93" t="s">
        <v>29</v>
      </c>
      <c r="Y10164" s="93" t="s">
        <v>1656</v>
      </c>
      <c r="Z10164" s="134">
        <f>VLOOKUP(W10164,Sheet2!$B:$D,3,FALSE)</f>
        <v>131.19999999999999</v>
      </c>
      <c r="AA10164" s="93">
        <f>AA10166*4</f>
        <v>122.4</v>
      </c>
      <c r="AB10164" s="93">
        <f>AD10164/AC10163</f>
        <v>1.0718954248366013</v>
      </c>
      <c r="AC10164" s="93">
        <f>AC10163/AA10164</f>
        <v>8.1699346405228763E-3</v>
      </c>
      <c r="AD10164" s="94">
        <f>AC10164*Z10164</f>
        <v>1.0718954248366013</v>
      </c>
      <c r="AE10164" s="190"/>
      <c r="AF10164" s="191"/>
      <c r="AG10164" s="191"/>
      <c r="AH10164" s="191"/>
      <c r="AI10164" s="186"/>
      <c r="AK10164" s="171"/>
    </row>
    <row r="10165" spans="1:37" s="102" customFormat="1" ht="19.899999999999999" customHeight="1" x14ac:dyDescent="0.25">
      <c r="A10165" s="45"/>
      <c r="B10165" s="137"/>
      <c r="C10165" s="59"/>
      <c r="D10165" s="314"/>
      <c r="E10165" s="116"/>
      <c r="F10165" s="120"/>
      <c r="G10165" s="120"/>
      <c r="H10165" s="120"/>
      <c r="I10165" s="60"/>
      <c r="J10165" s="116"/>
      <c r="K10165" s="120"/>
      <c r="L10165" s="120"/>
      <c r="M10165" s="120"/>
      <c r="N10165" s="167"/>
      <c r="O10165" s="120"/>
      <c r="P10165" s="120"/>
      <c r="Q10165" s="120"/>
      <c r="R10165" s="120"/>
      <c r="S10165" s="120"/>
      <c r="T10165" s="221"/>
      <c r="U10165" s="89"/>
      <c r="V10165" s="61" t="str">
        <f t="shared" ref="V10165:V10168" si="6722">V10164</f>
        <v>02</v>
      </c>
      <c r="W10165" s="92" t="s">
        <v>65</v>
      </c>
      <c r="X10165" s="93" t="s">
        <v>30</v>
      </c>
      <c r="Y10165" s="93" t="s">
        <v>98</v>
      </c>
      <c r="Z10165" s="134">
        <f>VLOOKUP(W10165,Sheet2!$B:$D,3,FALSE)</f>
        <v>1.76</v>
      </c>
      <c r="AA10165" s="93">
        <f>AA10164/32</f>
        <v>3.8250000000000002</v>
      </c>
      <c r="AB10165" s="93">
        <f>AD10165/AC10163</f>
        <v>0.4601307189542484</v>
      </c>
      <c r="AC10165" s="93">
        <f>AC10163/AA10165</f>
        <v>0.26143790849673204</v>
      </c>
      <c r="AD10165" s="94">
        <f t="shared" ref="AD10165:AD10167" si="6723">AC10165*Z10165</f>
        <v>0.4601307189542484</v>
      </c>
      <c r="AE10165" s="190"/>
      <c r="AF10165" s="191"/>
      <c r="AG10165" s="191"/>
      <c r="AH10165" s="191"/>
      <c r="AI10165" s="186"/>
      <c r="AK10165" s="171"/>
    </row>
    <row r="10166" spans="1:37" s="102" customFormat="1" ht="19.899999999999999" customHeight="1" x14ac:dyDescent="0.25">
      <c r="A10166" s="45"/>
      <c r="B10166" s="137"/>
      <c r="C10166" s="59"/>
      <c r="D10166" s="314"/>
      <c r="E10166" s="116"/>
      <c r="F10166" s="120"/>
      <c r="G10166" s="120"/>
      <c r="H10166" s="120"/>
      <c r="I10166" s="60"/>
      <c r="J10166" s="116"/>
      <c r="K10166" s="120"/>
      <c r="L10166" s="120"/>
      <c r="M10166" s="120"/>
      <c r="N10166" s="167"/>
      <c r="O10166" s="120"/>
      <c r="P10166" s="120"/>
      <c r="Q10166" s="120"/>
      <c r="R10166" s="120"/>
      <c r="S10166" s="120"/>
      <c r="T10166" s="221"/>
      <c r="U10166" s="89"/>
      <c r="V10166" s="61" t="str">
        <f t="shared" si="6722"/>
        <v>02</v>
      </c>
      <c r="W10166" s="92" t="s">
        <v>1660</v>
      </c>
      <c r="X10166" s="93" t="s">
        <v>29</v>
      </c>
      <c r="Y10166" s="93" t="s">
        <v>1656</v>
      </c>
      <c r="Z10166" s="134">
        <f>VLOOKUP(W10166,Sheet2!$B:$D,3,FALSE)</f>
        <v>56</v>
      </c>
      <c r="AA10166" s="93">
        <f>(24*0.85)*15/10</f>
        <v>30.6</v>
      </c>
      <c r="AB10166" s="93">
        <f>AD10166/AC10163</f>
        <v>1.8300653594771243</v>
      </c>
      <c r="AC10166" s="93">
        <f>AC10163/AA10166</f>
        <v>3.2679738562091505E-2</v>
      </c>
      <c r="AD10166" s="94">
        <f t="shared" si="6723"/>
        <v>1.8300653594771243</v>
      </c>
      <c r="AE10166" s="190"/>
      <c r="AF10166" s="191"/>
      <c r="AG10166" s="191"/>
      <c r="AH10166" s="191"/>
      <c r="AI10166" s="186"/>
      <c r="AK10166" s="171"/>
    </row>
    <row r="10167" spans="1:37" s="102" customFormat="1" ht="19.899999999999999" customHeight="1" x14ac:dyDescent="0.25">
      <c r="A10167" s="45"/>
      <c r="B10167" s="137"/>
      <c r="C10167" s="59"/>
      <c r="D10167" s="314"/>
      <c r="E10167" s="116"/>
      <c r="F10167" s="120"/>
      <c r="G10167" s="120"/>
      <c r="H10167" s="120"/>
      <c r="I10167" s="60"/>
      <c r="J10167" s="116"/>
      <c r="K10167" s="120"/>
      <c r="L10167" s="120"/>
      <c r="M10167" s="120"/>
      <c r="N10167" s="167"/>
      <c r="O10167" s="120"/>
      <c r="P10167" s="120"/>
      <c r="Q10167" s="120"/>
      <c r="R10167" s="120"/>
      <c r="S10167" s="120"/>
      <c r="T10167" s="221"/>
      <c r="U10167" s="89"/>
      <c r="V10167" s="61" t="str">
        <f t="shared" si="6722"/>
        <v>02</v>
      </c>
      <c r="W10167" s="92" t="s">
        <v>65</v>
      </c>
      <c r="X10167" s="93" t="s">
        <v>30</v>
      </c>
      <c r="Y10167" s="93" t="s">
        <v>98</v>
      </c>
      <c r="Z10167" s="134">
        <f>VLOOKUP(W10167,Sheet2!$B:$D,3,FALSE)</f>
        <v>1.76</v>
      </c>
      <c r="AA10167" s="93">
        <f>AA10166/13</f>
        <v>2.3538461538461539</v>
      </c>
      <c r="AB10167" s="93">
        <f>AD10167/AC10163</f>
        <v>0.7477124183006536</v>
      </c>
      <c r="AC10167" s="93">
        <f>AC10163/AA10167</f>
        <v>0.42483660130718953</v>
      </c>
      <c r="AD10167" s="94">
        <f t="shared" si="6723"/>
        <v>0.7477124183006536</v>
      </c>
      <c r="AE10167" s="190"/>
      <c r="AF10167" s="191"/>
      <c r="AG10167" s="191"/>
      <c r="AH10167" s="191"/>
      <c r="AI10167" s="186"/>
      <c r="AK10167" s="171"/>
    </row>
    <row r="10168" spans="1:37" s="102" customFormat="1" ht="19.899999999999999" customHeight="1" x14ac:dyDescent="0.25">
      <c r="A10168" s="45"/>
      <c r="B10168" s="137"/>
      <c r="C10168" s="59"/>
      <c r="D10168" s="314"/>
      <c r="E10168" s="116"/>
      <c r="F10168" s="120"/>
      <c r="G10168" s="120"/>
      <c r="H10168" s="120"/>
      <c r="I10168" s="60"/>
      <c r="J10168" s="116"/>
      <c r="K10168" s="120"/>
      <c r="L10168" s="120"/>
      <c r="M10168" s="120"/>
      <c r="N10168" s="167"/>
      <c r="O10168" s="120"/>
      <c r="P10168" s="120"/>
      <c r="Q10168" s="120"/>
      <c r="R10168" s="120"/>
      <c r="S10168" s="120"/>
      <c r="T10168" s="221"/>
      <c r="U10168" s="89"/>
      <c r="V10168" s="61" t="str">
        <f t="shared" si="6722"/>
        <v>02</v>
      </c>
      <c r="W10168" s="92" t="s">
        <v>112</v>
      </c>
      <c r="X10168" s="93" t="s">
        <v>31</v>
      </c>
      <c r="Y10168" s="93" t="s">
        <v>1656</v>
      </c>
      <c r="Z10168" s="134">
        <f>VLOOKUP(W10168,Sheet2!$B:$D,3,FALSE)</f>
        <v>13</v>
      </c>
      <c r="AA10168" s="93">
        <f>AA10164*2</f>
        <v>244.8</v>
      </c>
      <c r="AB10168" s="93">
        <f>AD10168/AC10163</f>
        <v>5.3104575163398698E-2</v>
      </c>
      <c r="AC10168" s="93">
        <f>AC10163/AA10168</f>
        <v>4.0849673202614381E-3</v>
      </c>
      <c r="AD10168" s="94">
        <f>AC10168*Z10168</f>
        <v>5.3104575163398698E-2</v>
      </c>
      <c r="AE10168" s="190"/>
      <c r="AF10168" s="191"/>
      <c r="AG10168" s="191"/>
      <c r="AH10168" s="191"/>
      <c r="AI10168" s="186"/>
      <c r="AK10168" s="171"/>
    </row>
    <row r="10169" spans="1:37" s="103" customFormat="1" ht="19.899999999999999" customHeight="1" x14ac:dyDescent="0.25">
      <c r="A10169" s="51"/>
      <c r="B10169" s="165"/>
      <c r="C10169" s="52"/>
      <c r="D10169" s="313"/>
      <c r="E10169" s="115"/>
      <c r="F10169" s="58"/>
      <c r="G10169" s="58"/>
      <c r="H10169" s="58"/>
      <c r="I10169" s="55"/>
      <c r="J10169" s="113">
        <f>J10153</f>
        <v>1</v>
      </c>
      <c r="K10169" s="315">
        <f>K10153</f>
        <v>1</v>
      </c>
      <c r="L10169" s="58"/>
      <c r="M10169" s="58">
        <f>K10169-L10169</f>
        <v>1</v>
      </c>
      <c r="N10169" s="166"/>
      <c r="O10169" s="58"/>
      <c r="P10169" s="58"/>
      <c r="Q10169" s="58"/>
      <c r="R10169" s="58"/>
      <c r="S10169" s="58"/>
      <c r="T10169" s="220"/>
      <c r="U10169" s="88">
        <f>IFERROR(S10169/L10169,0)</f>
        <v>0</v>
      </c>
      <c r="V10169" s="56" t="str">
        <f>V10153&amp;"03"</f>
        <v>03</v>
      </c>
      <c r="W10169" s="57" t="s">
        <v>1663</v>
      </c>
      <c r="X10169" s="53"/>
      <c r="Y10169" s="91" t="s">
        <v>66</v>
      </c>
      <c r="Z10169" s="136">
        <f>AD10169/AC10169</f>
        <v>0.7075555555555556</v>
      </c>
      <c r="AA10169" s="58"/>
      <c r="AB10169" s="53">
        <f>AD10169/AC10169</f>
        <v>0.7075555555555556</v>
      </c>
      <c r="AC10169" s="53">
        <f>M10169+$AE$10</f>
        <v>1</v>
      </c>
      <c r="AD10169" s="54">
        <f>SUM(AD10170:AD10171)</f>
        <v>0.7075555555555556</v>
      </c>
      <c r="AE10169" s="184">
        <f>SUMIFS($AD$44:$AD$4639,$V$44:$V$4639,$V10169,$X$44:$X$4639,AE$13)</f>
        <v>0</v>
      </c>
      <c r="AF10169" s="185">
        <f>SUMIFS($AD$44:$AD$4639,$V$44:$V$4639,$V10169,$X$44:$X$4639,AF$13)</f>
        <v>0</v>
      </c>
      <c r="AG10169" s="185">
        <f>SUMIFS($AD$44:$AD$4639,$V$44:$V$4639,$V10169,$X$44:$X$4639,AG$13)</f>
        <v>0</v>
      </c>
      <c r="AH10169" s="187">
        <f>SUMIFS($AD$44:$AD$4639,$V$44:$V$4639,$V10169,$X$44:$X$4639,AH$13)</f>
        <v>0</v>
      </c>
      <c r="AI10169" s="161">
        <f t="shared" ref="AI10169" si="6724">SUM(AE10169:AH10169)</f>
        <v>0</v>
      </c>
      <c r="AK10169" s="172"/>
    </row>
    <row r="10170" spans="1:37" s="102" customFormat="1" ht="19.899999999999999" customHeight="1" x14ac:dyDescent="0.25">
      <c r="A10170" s="45"/>
      <c r="B10170" s="137"/>
      <c r="C10170" s="59"/>
      <c r="D10170" s="314"/>
      <c r="E10170" s="116"/>
      <c r="F10170" s="120"/>
      <c r="G10170" s="120"/>
      <c r="H10170" s="120"/>
      <c r="I10170" s="60"/>
      <c r="J10170" s="116"/>
      <c r="K10170" s="120"/>
      <c r="L10170" s="120"/>
      <c r="M10170" s="120"/>
      <c r="N10170" s="167"/>
      <c r="O10170" s="120"/>
      <c r="P10170" s="120"/>
      <c r="Q10170" s="120"/>
      <c r="R10170" s="120"/>
      <c r="S10170" s="120"/>
      <c r="T10170" s="221"/>
      <c r="U10170" s="89"/>
      <c r="V10170" s="61" t="str">
        <f>V10169</f>
        <v>03</v>
      </c>
      <c r="W10170" s="92" t="s">
        <v>94</v>
      </c>
      <c r="X10170" s="93" t="s">
        <v>29</v>
      </c>
      <c r="Y10170" s="93" t="s">
        <v>1656</v>
      </c>
      <c r="Z10170" s="134">
        <f>VLOOKUP(W10170,Sheet2!$B:$D,3,FALSE)</f>
        <v>90.4</v>
      </c>
      <c r="AA10170" s="93">
        <f>600*0.3</f>
        <v>180</v>
      </c>
      <c r="AB10170" s="93">
        <f>AD10170/AC10169</f>
        <v>0.50222222222222224</v>
      </c>
      <c r="AC10170" s="93">
        <f>AC10169/AA10170</f>
        <v>5.5555555555555558E-3</v>
      </c>
      <c r="AD10170" s="94">
        <f>AC10170*Z10170</f>
        <v>0.50222222222222224</v>
      </c>
      <c r="AE10170" s="190"/>
      <c r="AF10170" s="191"/>
      <c r="AG10170" s="191"/>
      <c r="AH10170" s="191"/>
      <c r="AI10170" s="186"/>
      <c r="AK10170" s="171"/>
    </row>
    <row r="10171" spans="1:37" s="102" customFormat="1" ht="19.899999999999999" customHeight="1" x14ac:dyDescent="0.25">
      <c r="A10171" s="45"/>
      <c r="B10171" s="137"/>
      <c r="C10171" s="59"/>
      <c r="D10171" s="314"/>
      <c r="E10171" s="116"/>
      <c r="F10171" s="120"/>
      <c r="G10171" s="120"/>
      <c r="H10171" s="120"/>
      <c r="I10171" s="60"/>
      <c r="J10171" s="116"/>
      <c r="K10171" s="120"/>
      <c r="L10171" s="120"/>
      <c r="M10171" s="120"/>
      <c r="N10171" s="167"/>
      <c r="O10171" s="120"/>
      <c r="P10171" s="120"/>
      <c r="Q10171" s="120"/>
      <c r="R10171" s="120"/>
      <c r="S10171" s="120"/>
      <c r="T10171" s="221"/>
      <c r="U10171" s="89"/>
      <c r="V10171" s="61" t="str">
        <f>V10170</f>
        <v>03</v>
      </c>
      <c r="W10171" s="92" t="s">
        <v>65</v>
      </c>
      <c r="X10171" s="93" t="s">
        <v>30</v>
      </c>
      <c r="Y10171" s="93" t="s">
        <v>98</v>
      </c>
      <c r="Z10171" s="134">
        <f>VLOOKUP(W10171,Sheet2!$B:$D,3,FALSE)</f>
        <v>1.76</v>
      </c>
      <c r="AA10171" s="93">
        <f>AA10170/21</f>
        <v>8.5714285714285712</v>
      </c>
      <c r="AB10171" s="93">
        <f>AD10171/AC10169</f>
        <v>0.20533333333333334</v>
      </c>
      <c r="AC10171" s="93">
        <f>AC10169/AA10171</f>
        <v>0.11666666666666667</v>
      </c>
      <c r="AD10171" s="94">
        <f t="shared" ref="AD10171" si="6725">AC10171*Z10171</f>
        <v>0.20533333333333334</v>
      </c>
      <c r="AE10171" s="190"/>
      <c r="AF10171" s="191"/>
      <c r="AG10171" s="191"/>
      <c r="AH10171" s="191"/>
      <c r="AI10171" s="186"/>
      <c r="AK10171" s="171"/>
    </row>
    <row r="10172" spans="1:37" s="103" customFormat="1" ht="19.899999999999999" customHeight="1" x14ac:dyDescent="0.25">
      <c r="A10172" s="51"/>
      <c r="B10172" s="165"/>
      <c r="C10172" s="52"/>
      <c r="D10172" s="313"/>
      <c r="E10172" s="115"/>
      <c r="F10172" s="58"/>
      <c r="G10172" s="58"/>
      <c r="H10172" s="58"/>
      <c r="I10172" s="55"/>
      <c r="J10172" s="113">
        <f>J10153</f>
        <v>1</v>
      </c>
      <c r="K10172" s="315">
        <f>K10153</f>
        <v>1</v>
      </c>
      <c r="L10172" s="58"/>
      <c r="M10172" s="58">
        <f>K10172-L10172</f>
        <v>1</v>
      </c>
      <c r="N10172" s="166"/>
      <c r="O10172" s="58"/>
      <c r="P10172" s="58"/>
      <c r="Q10172" s="58"/>
      <c r="R10172" s="58"/>
      <c r="S10172" s="58"/>
      <c r="T10172" s="220"/>
      <c r="U10172" s="88">
        <f>IFERROR(S10172/L10172,0)</f>
        <v>0</v>
      </c>
      <c r="V10172" s="56" t="str">
        <f>V10153&amp;"04"</f>
        <v>04</v>
      </c>
      <c r="W10172" s="57" t="s">
        <v>1664</v>
      </c>
      <c r="X10172" s="53"/>
      <c r="Y10172" s="91" t="s">
        <v>66</v>
      </c>
      <c r="Z10172" s="136">
        <f>AD10172/AC10172</f>
        <v>1.8525000000000003</v>
      </c>
      <c r="AA10172" s="58"/>
      <c r="AB10172" s="53">
        <f>AD10172/AC10172</f>
        <v>1.8525000000000003</v>
      </c>
      <c r="AC10172" s="53">
        <f>M10172+$AE$10</f>
        <v>1</v>
      </c>
      <c r="AD10172" s="54">
        <f>SUM(AD10173:AD10178)</f>
        <v>1.8525000000000003</v>
      </c>
      <c r="AE10172" s="184">
        <f>SUMIFS($AD$44:$AD$4639,$V$44:$V$4639,$V10172,$X$44:$X$4639,AE$13)</f>
        <v>0</v>
      </c>
      <c r="AF10172" s="185">
        <f>SUMIFS($AD$44:$AD$4639,$V$44:$V$4639,$V10172,$X$44:$X$4639,AF$13)</f>
        <v>0</v>
      </c>
      <c r="AG10172" s="185">
        <f>SUMIFS($AD$44:$AD$4639,$V$44:$V$4639,$V10172,$X$44:$X$4639,AG$13)</f>
        <v>0</v>
      </c>
      <c r="AH10172" s="187">
        <f>SUMIFS($AD$44:$AD$4639,$V$44:$V$4639,$V10172,$X$44:$X$4639,AH$13)</f>
        <v>0</v>
      </c>
      <c r="AI10172" s="161">
        <f t="shared" ref="AI10172" si="6726">SUM(AE10172:AH10172)</f>
        <v>0</v>
      </c>
      <c r="AK10172" s="172"/>
    </row>
    <row r="10173" spans="1:37" s="102" customFormat="1" ht="19.899999999999999" customHeight="1" x14ac:dyDescent="0.25">
      <c r="A10173" s="45"/>
      <c r="B10173" s="137"/>
      <c r="C10173" s="59"/>
      <c r="D10173" s="314"/>
      <c r="E10173" s="116"/>
      <c r="F10173" s="120"/>
      <c r="G10173" s="120"/>
      <c r="H10173" s="120"/>
      <c r="I10173" s="60"/>
      <c r="J10173" s="116"/>
      <c r="K10173" s="120"/>
      <c r="L10173" s="120"/>
      <c r="M10173" s="120"/>
      <c r="N10173" s="167"/>
      <c r="O10173" s="120"/>
      <c r="P10173" s="120"/>
      <c r="Q10173" s="120"/>
      <c r="R10173" s="120"/>
      <c r="S10173" s="120"/>
      <c r="T10173" s="221"/>
      <c r="U10173" s="89"/>
      <c r="V10173" s="61" t="str">
        <f>V10172</f>
        <v>04</v>
      </c>
      <c r="W10173" s="92" t="s">
        <v>145</v>
      </c>
      <c r="X10173" s="93" t="s">
        <v>29</v>
      </c>
      <c r="Y10173" s="93" t="s">
        <v>1656</v>
      </c>
      <c r="Z10173" s="134">
        <f>VLOOKUP(W10173,Sheet2!$B:$D,3,FALSE)</f>
        <v>40</v>
      </c>
      <c r="AA10173" s="93">
        <v>80</v>
      </c>
      <c r="AB10173" s="93">
        <f>AD10173/AC10172</f>
        <v>0.5</v>
      </c>
      <c r="AC10173" s="93">
        <f>AC10172/AA10173</f>
        <v>1.2500000000000001E-2</v>
      </c>
      <c r="AD10173" s="94">
        <f>AC10173*Z10173</f>
        <v>0.5</v>
      </c>
      <c r="AE10173" s="190"/>
      <c r="AF10173" s="191"/>
      <c r="AG10173" s="191"/>
      <c r="AH10173" s="191"/>
      <c r="AI10173" s="186"/>
      <c r="AK10173" s="171"/>
    </row>
    <row r="10174" spans="1:37" s="102" customFormat="1" ht="19.899999999999999" customHeight="1" x14ac:dyDescent="0.25">
      <c r="A10174" s="45"/>
      <c r="B10174" s="137"/>
      <c r="C10174" s="59"/>
      <c r="D10174" s="314"/>
      <c r="E10174" s="116"/>
      <c r="F10174" s="120"/>
      <c r="G10174" s="120"/>
      <c r="H10174" s="120"/>
      <c r="I10174" s="60"/>
      <c r="J10174" s="116"/>
      <c r="K10174" s="120"/>
      <c r="L10174" s="120"/>
      <c r="M10174" s="120"/>
      <c r="N10174" s="167"/>
      <c r="O10174" s="120"/>
      <c r="P10174" s="120"/>
      <c r="Q10174" s="120"/>
      <c r="R10174" s="120"/>
      <c r="S10174" s="120"/>
      <c r="T10174" s="221"/>
      <c r="U10174" s="89"/>
      <c r="V10174" s="61" t="str">
        <f t="shared" ref="V10174:V10178" si="6727">V10173</f>
        <v>04</v>
      </c>
      <c r="W10174" s="92" t="s">
        <v>65</v>
      </c>
      <c r="X10174" s="93" t="s">
        <v>30</v>
      </c>
      <c r="Y10174" s="93" t="s">
        <v>98</v>
      </c>
      <c r="Z10174" s="134">
        <f>VLOOKUP(W10174,Sheet2!$B:$D,3,FALSE)</f>
        <v>1.76</v>
      </c>
      <c r="AA10174" s="93">
        <f>AA10173/14</f>
        <v>5.7142857142857144</v>
      </c>
      <c r="AB10174" s="93">
        <f>AD10174/AC10172</f>
        <v>0.308</v>
      </c>
      <c r="AC10174" s="93">
        <f>AC10172/AA10174</f>
        <v>0.17499999999999999</v>
      </c>
      <c r="AD10174" s="94">
        <f>AC10174*Z10174</f>
        <v>0.308</v>
      </c>
      <c r="AE10174" s="190"/>
      <c r="AF10174" s="191"/>
      <c r="AG10174" s="191"/>
      <c r="AH10174" s="191"/>
      <c r="AI10174" s="186"/>
      <c r="AK10174" s="171"/>
    </row>
    <row r="10175" spans="1:37" s="102" customFormat="1" ht="19.899999999999999" customHeight="1" x14ac:dyDescent="0.25">
      <c r="A10175" s="45"/>
      <c r="B10175" s="137"/>
      <c r="C10175" s="59"/>
      <c r="D10175" s="314"/>
      <c r="E10175" s="116"/>
      <c r="F10175" s="120"/>
      <c r="G10175" s="120"/>
      <c r="H10175" s="120"/>
      <c r="I10175" s="60"/>
      <c r="J10175" s="116"/>
      <c r="K10175" s="120"/>
      <c r="L10175" s="120"/>
      <c r="M10175" s="120"/>
      <c r="N10175" s="167"/>
      <c r="O10175" s="120"/>
      <c r="P10175" s="120"/>
      <c r="Q10175" s="120"/>
      <c r="R10175" s="120"/>
      <c r="S10175" s="120"/>
      <c r="T10175" s="221"/>
      <c r="U10175" s="89"/>
      <c r="V10175" s="61" t="str">
        <f t="shared" si="6727"/>
        <v>04</v>
      </c>
      <c r="W10175" s="92" t="s">
        <v>135</v>
      </c>
      <c r="X10175" s="93" t="s">
        <v>29</v>
      </c>
      <c r="Y10175" s="93" t="s">
        <v>1656</v>
      </c>
      <c r="Z10175" s="134">
        <f>VLOOKUP(W10175,Sheet2!$B:$D,3,FALSE)</f>
        <v>52</v>
      </c>
      <c r="AA10175" s="93">
        <f>AA10173</f>
        <v>80</v>
      </c>
      <c r="AB10175" s="93">
        <f>AD10175/AC10172</f>
        <v>0.65</v>
      </c>
      <c r="AC10175" s="93">
        <f>AC10172/AA10175</f>
        <v>1.2500000000000001E-2</v>
      </c>
      <c r="AD10175" s="94">
        <f>AC10175*Z10175</f>
        <v>0.65</v>
      </c>
      <c r="AE10175" s="190"/>
      <c r="AF10175" s="191"/>
      <c r="AG10175" s="191"/>
      <c r="AH10175" s="191"/>
      <c r="AI10175" s="186"/>
      <c r="AK10175" s="171"/>
    </row>
    <row r="10176" spans="1:37" s="102" customFormat="1" ht="19.899999999999999" customHeight="1" x14ac:dyDescent="0.25">
      <c r="A10176" s="45"/>
      <c r="B10176" s="137"/>
      <c r="C10176" s="59"/>
      <c r="D10176" s="314"/>
      <c r="E10176" s="116"/>
      <c r="F10176" s="120"/>
      <c r="G10176" s="120"/>
      <c r="H10176" s="120"/>
      <c r="I10176" s="60"/>
      <c r="J10176" s="116"/>
      <c r="K10176" s="120"/>
      <c r="L10176" s="120"/>
      <c r="M10176" s="120"/>
      <c r="N10176" s="167"/>
      <c r="O10176" s="120"/>
      <c r="P10176" s="120"/>
      <c r="Q10176" s="120"/>
      <c r="R10176" s="120"/>
      <c r="S10176" s="120"/>
      <c r="T10176" s="221"/>
      <c r="U10176" s="89"/>
      <c r="V10176" s="61" t="str">
        <f t="shared" si="6727"/>
        <v>04</v>
      </c>
      <c r="W10176" s="92" t="s">
        <v>65</v>
      </c>
      <c r="X10176" s="93" t="s">
        <v>30</v>
      </c>
      <c r="Y10176" s="93" t="s">
        <v>98</v>
      </c>
      <c r="Z10176" s="134">
        <f>VLOOKUP(W10176,Sheet2!$B:$D,3,FALSE)</f>
        <v>1.76</v>
      </c>
      <c r="AA10176" s="93">
        <f>AA10175/8</f>
        <v>10</v>
      </c>
      <c r="AB10176" s="93">
        <f>AD10176/AC10172</f>
        <v>0.17600000000000002</v>
      </c>
      <c r="AC10176" s="93">
        <f>AC10172/AA10176</f>
        <v>0.1</v>
      </c>
      <c r="AD10176" s="94">
        <f t="shared" ref="AD10176:AD10177" si="6728">AC10176*Z10176</f>
        <v>0.17600000000000002</v>
      </c>
      <c r="AE10176" s="190"/>
      <c r="AF10176" s="191"/>
      <c r="AG10176" s="191"/>
      <c r="AH10176" s="191"/>
      <c r="AI10176" s="186"/>
      <c r="AK10176" s="171"/>
    </row>
    <row r="10177" spans="1:41" s="102" customFormat="1" ht="19.899999999999999" customHeight="1" x14ac:dyDescent="0.25">
      <c r="A10177" s="45"/>
      <c r="B10177" s="137"/>
      <c r="C10177" s="59"/>
      <c r="D10177" s="314"/>
      <c r="E10177" s="116"/>
      <c r="F10177" s="120"/>
      <c r="G10177" s="120"/>
      <c r="H10177" s="120"/>
      <c r="I10177" s="60"/>
      <c r="J10177" s="116"/>
      <c r="K10177" s="120"/>
      <c r="L10177" s="120"/>
      <c r="M10177" s="120"/>
      <c r="N10177" s="167"/>
      <c r="O10177" s="120"/>
      <c r="P10177" s="120"/>
      <c r="Q10177" s="120"/>
      <c r="R10177" s="120"/>
      <c r="S10177" s="120"/>
      <c r="T10177" s="221"/>
      <c r="U10177" s="89"/>
      <c r="V10177" s="61" t="str">
        <f t="shared" si="6727"/>
        <v>04</v>
      </c>
      <c r="W10177" s="92" t="s">
        <v>156</v>
      </c>
      <c r="X10177" s="93" t="s">
        <v>30</v>
      </c>
      <c r="Y10177" s="93" t="s">
        <v>66</v>
      </c>
      <c r="Z10177" s="134">
        <f>VLOOKUP(W10177,Sheet2!$B:$D,3,FALSE)</f>
        <v>2.8</v>
      </c>
      <c r="AA10177" s="93">
        <v>50</v>
      </c>
      <c r="AB10177" s="93">
        <f>AD10177/AC10172</f>
        <v>5.5999999999999994E-2</v>
      </c>
      <c r="AC10177" s="93">
        <f>AC10172/AA10177</f>
        <v>0.02</v>
      </c>
      <c r="AD10177" s="94">
        <f t="shared" si="6728"/>
        <v>5.5999999999999994E-2</v>
      </c>
      <c r="AE10177" s="190"/>
      <c r="AF10177" s="191"/>
      <c r="AG10177" s="191"/>
      <c r="AH10177" s="191"/>
      <c r="AI10177" s="186"/>
      <c r="AK10177" s="171"/>
    </row>
    <row r="10178" spans="1:41" s="102" customFormat="1" ht="19.899999999999999" customHeight="1" x14ac:dyDescent="0.25">
      <c r="A10178" s="45"/>
      <c r="B10178" s="137"/>
      <c r="C10178" s="59"/>
      <c r="D10178" s="314"/>
      <c r="E10178" s="116"/>
      <c r="F10178" s="120"/>
      <c r="G10178" s="120"/>
      <c r="H10178" s="120"/>
      <c r="I10178" s="60"/>
      <c r="J10178" s="116"/>
      <c r="K10178" s="120"/>
      <c r="L10178" s="120"/>
      <c r="M10178" s="120"/>
      <c r="N10178" s="167"/>
      <c r="O10178" s="120"/>
      <c r="P10178" s="120"/>
      <c r="Q10178" s="120"/>
      <c r="R10178" s="120"/>
      <c r="S10178" s="120"/>
      <c r="T10178" s="221"/>
      <c r="U10178" s="89"/>
      <c r="V10178" s="61" t="str">
        <f t="shared" si="6727"/>
        <v>04</v>
      </c>
      <c r="W10178" s="92" t="s">
        <v>112</v>
      </c>
      <c r="X10178" s="93" t="s">
        <v>31</v>
      </c>
      <c r="Y10178" s="93" t="s">
        <v>1656</v>
      </c>
      <c r="Z10178" s="134">
        <f>VLOOKUP(W10178,Sheet2!$B:$D,3,FALSE)</f>
        <v>13</v>
      </c>
      <c r="AA10178" s="93">
        <f>AA10173</f>
        <v>80</v>
      </c>
      <c r="AB10178" s="93">
        <f>AD10178/AC10172</f>
        <v>0.16250000000000001</v>
      </c>
      <c r="AC10178" s="93">
        <f>AC10172/AA10178</f>
        <v>1.2500000000000001E-2</v>
      </c>
      <c r="AD10178" s="94">
        <f>AC10178*Z10178</f>
        <v>0.16250000000000001</v>
      </c>
      <c r="AE10178" s="190"/>
      <c r="AF10178" s="191"/>
      <c r="AG10178" s="191"/>
      <c r="AH10178" s="191"/>
      <c r="AI10178" s="186"/>
      <c r="AK10178" s="171"/>
    </row>
    <row r="10179" spans="1:41" ht="20.100000000000001" customHeight="1" x14ac:dyDescent="0.25">
      <c r="A10179" s="277" t="s">
        <v>945</v>
      </c>
      <c r="B10179" s="278"/>
      <c r="C10179" s="64" t="s">
        <v>870</v>
      </c>
      <c r="D10179" s="46" t="s">
        <v>201</v>
      </c>
      <c r="E10179" s="114">
        <v>1</v>
      </c>
      <c r="F10179" s="44">
        <v>38</v>
      </c>
      <c r="G10179" s="44">
        <f t="shared" si="3841"/>
        <v>38</v>
      </c>
      <c r="H10179" s="44">
        <f t="shared" si="3842"/>
        <v>16.722964052287583</v>
      </c>
      <c r="I10179" s="43">
        <f t="shared" si="3843"/>
        <v>16.722964052287583</v>
      </c>
      <c r="J10179" s="112">
        <f t="shared" si="3844"/>
        <v>1</v>
      </c>
      <c r="K10179" s="211">
        <f t="shared" si="3845"/>
        <v>1</v>
      </c>
      <c r="L10179" s="44"/>
      <c r="M10179" s="44">
        <f t="shared" si="3846"/>
        <v>1</v>
      </c>
      <c r="N10179" s="173">
        <f t="shared" si="3847"/>
        <v>1</v>
      </c>
      <c r="O10179" s="44">
        <f t="shared" si="3848"/>
        <v>38</v>
      </c>
      <c r="P10179" s="44">
        <f t="shared" si="3849"/>
        <v>38</v>
      </c>
      <c r="Q10179" s="44">
        <f t="shared" si="3850"/>
        <v>16.722964052287583</v>
      </c>
      <c r="R10179" s="44">
        <f t="shared" si="3851"/>
        <v>16.722964052287583</v>
      </c>
      <c r="S10179" s="123"/>
      <c r="T10179" s="219">
        <f t="shared" si="3852"/>
        <v>16.722964052287583</v>
      </c>
      <c r="U10179" s="87"/>
      <c r="V10179" s="47"/>
      <c r="W10179" s="48"/>
      <c r="X10179" s="48"/>
      <c r="Y10179" s="48"/>
      <c r="Z10179" s="135"/>
      <c r="AA10179" s="49"/>
      <c r="AB10179" s="50">
        <f t="shared" si="3853"/>
        <v>16.722964052287583</v>
      </c>
      <c r="AC10179" s="42">
        <f t="shared" si="3854"/>
        <v>1</v>
      </c>
      <c r="AD10179" s="90">
        <f>AD10180+AD10182+AD10188+AD10191</f>
        <v>16.722964052287583</v>
      </c>
      <c r="AE10179" s="188">
        <f t="shared" ref="AE10179:AH10179" si="6729">AE10180+AE10182+AE10188+AE10191</f>
        <v>0</v>
      </c>
      <c r="AF10179" s="189">
        <f t="shared" si="6729"/>
        <v>0</v>
      </c>
      <c r="AG10179" s="189">
        <f t="shared" si="6729"/>
        <v>0</v>
      </c>
      <c r="AH10179" s="189">
        <f t="shared" si="6729"/>
        <v>0</v>
      </c>
      <c r="AI10179" s="161">
        <f t="shared" ref="AI10179" si="6730">SUM(AE10179:AH10179)</f>
        <v>0</v>
      </c>
      <c r="AK10179" s="169">
        <v>5</v>
      </c>
      <c r="AO10179" s="19" t="s">
        <v>63</v>
      </c>
    </row>
    <row r="10180" spans="1:41" s="103" customFormat="1" ht="19.899999999999999" customHeight="1" x14ac:dyDescent="0.25">
      <c r="A10180" s="51"/>
      <c r="B10180" s="165"/>
      <c r="C10180" s="52"/>
      <c r="D10180" s="313"/>
      <c r="E10180" s="115"/>
      <c r="F10180" s="58"/>
      <c r="G10180" s="58"/>
      <c r="H10180" s="58"/>
      <c r="I10180" s="55"/>
      <c r="J10180" s="113">
        <f>J10179</f>
        <v>1</v>
      </c>
      <c r="K10180" s="212">
        <f>K10179</f>
        <v>1</v>
      </c>
      <c r="L10180" s="58"/>
      <c r="M10180" s="58">
        <f>K10180-L10180</f>
        <v>1</v>
      </c>
      <c r="N10180" s="166"/>
      <c r="O10180" s="58"/>
      <c r="P10180" s="58"/>
      <c r="Q10180" s="58"/>
      <c r="R10180" s="58"/>
      <c r="S10180" s="58"/>
      <c r="T10180" s="220"/>
      <c r="U10180" s="88">
        <f>IFERROR(S10180/L10180,0)</f>
        <v>0</v>
      </c>
      <c r="V10180" s="56" t="str">
        <f>V10179&amp;"01"</f>
        <v>01</v>
      </c>
      <c r="W10180" s="57" t="s">
        <v>1665</v>
      </c>
      <c r="X10180" s="53"/>
      <c r="Y10180" s="91" t="s">
        <v>66</v>
      </c>
      <c r="Z10180" s="136">
        <f>AD10180/AC10180</f>
        <v>10</v>
      </c>
      <c r="AA10180" s="58"/>
      <c r="AB10180" s="53">
        <f>AD10180/AC10180</f>
        <v>10</v>
      </c>
      <c r="AC10180" s="53">
        <f>M10180+$AE$10</f>
        <v>1</v>
      </c>
      <c r="AD10180" s="54">
        <f>SUM(AD10181:AD10181)</f>
        <v>10</v>
      </c>
      <c r="AE10180" s="184">
        <f>SUMIFS($AD$44:$AD$4639,$V$44:$V$4639,$V10180,$X$44:$X$4639,AE$13)</f>
        <v>0</v>
      </c>
      <c r="AF10180" s="185">
        <f>SUMIFS($AD$44:$AD$4639,$V$44:$V$4639,$V10180,$X$44:$X$4639,AF$13)</f>
        <v>0</v>
      </c>
      <c r="AG10180" s="185">
        <f>SUMIFS($AD$44:$AD$4639,$V$44:$V$4639,$V10180,$X$44:$X$4639,AG$13)</f>
        <v>0</v>
      </c>
      <c r="AH10180" s="187">
        <f>SUMIFS($AD$44:$AD$4639,$V$44:$V$4639,$V10180,$X$44:$X$4639,AH$13)</f>
        <v>0</v>
      </c>
      <c r="AI10180" s="161">
        <f t="shared" ref="AI10180" si="6731">SUM(AE10180:AH10180)</f>
        <v>0</v>
      </c>
      <c r="AK10180" s="172"/>
    </row>
    <row r="10181" spans="1:41" s="102" customFormat="1" ht="19.899999999999999" customHeight="1" x14ac:dyDescent="0.25">
      <c r="A10181" s="45"/>
      <c r="B10181" s="137"/>
      <c r="C10181" s="59"/>
      <c r="D10181" s="314"/>
      <c r="E10181" s="116"/>
      <c r="F10181" s="120"/>
      <c r="G10181" s="120"/>
      <c r="H10181" s="120"/>
      <c r="I10181" s="60"/>
      <c r="J10181" s="116"/>
      <c r="K10181" s="213"/>
      <c r="L10181" s="120"/>
      <c r="M10181" s="120"/>
      <c r="N10181" s="167"/>
      <c r="O10181" s="120"/>
      <c r="P10181" s="120"/>
      <c r="Q10181" s="120"/>
      <c r="R10181" s="120"/>
      <c r="S10181" s="120"/>
      <c r="T10181" s="221"/>
      <c r="U10181" s="89"/>
      <c r="V10181" s="61" t="str">
        <f>V10180</f>
        <v>01</v>
      </c>
      <c r="W10181" s="92" t="s">
        <v>1273</v>
      </c>
      <c r="X10181" s="93" t="s">
        <v>30</v>
      </c>
      <c r="Y10181" s="93" t="s">
        <v>66</v>
      </c>
      <c r="Z10181" s="134">
        <f>VLOOKUP(W10181,Sheet2!$B:$D,3,FALSE)</f>
        <v>10</v>
      </c>
      <c r="AA10181" s="93">
        <v>1</v>
      </c>
      <c r="AB10181" s="93">
        <f>AD10181/AC10180</f>
        <v>10</v>
      </c>
      <c r="AC10181" s="93">
        <f>AC10180/AA10181</f>
        <v>1</v>
      </c>
      <c r="AD10181" s="94">
        <f t="shared" ref="AD10181" si="6732">AC10181*Z10181</f>
        <v>10</v>
      </c>
      <c r="AE10181" s="190"/>
      <c r="AF10181" s="191"/>
      <c r="AG10181" s="191"/>
      <c r="AH10181" s="191"/>
      <c r="AI10181" s="186"/>
      <c r="AK10181" s="171"/>
    </row>
    <row r="10182" spans="1:41" s="103" customFormat="1" ht="19.899999999999999" customHeight="1" x14ac:dyDescent="0.25">
      <c r="A10182" s="51"/>
      <c r="B10182" s="165"/>
      <c r="C10182" s="52"/>
      <c r="D10182" s="313"/>
      <c r="E10182" s="115"/>
      <c r="F10182" s="58"/>
      <c r="G10182" s="58"/>
      <c r="H10182" s="58"/>
      <c r="I10182" s="55"/>
      <c r="J10182" s="113">
        <f>J10179</f>
        <v>1</v>
      </c>
      <c r="K10182" s="315">
        <f>K10179</f>
        <v>1</v>
      </c>
      <c r="L10182" s="58"/>
      <c r="M10182" s="58">
        <f>K10182-L10182</f>
        <v>1</v>
      </c>
      <c r="N10182" s="166"/>
      <c r="O10182" s="58"/>
      <c r="P10182" s="58"/>
      <c r="Q10182" s="58"/>
      <c r="R10182" s="58"/>
      <c r="S10182" s="58"/>
      <c r="T10182" s="220"/>
      <c r="U10182" s="88">
        <f>IFERROR(S10182/L10182,0)</f>
        <v>0</v>
      </c>
      <c r="V10182" s="56" t="str">
        <f>V10179&amp;"02"</f>
        <v>02</v>
      </c>
      <c r="W10182" s="57" t="s">
        <v>1662</v>
      </c>
      <c r="X10182" s="53"/>
      <c r="Y10182" s="91" t="s">
        <v>66</v>
      </c>
      <c r="Z10182" s="136">
        <f>AD10182/AC10182</f>
        <v>4.162908496732026</v>
      </c>
      <c r="AA10182" s="58"/>
      <c r="AB10182" s="53">
        <f>AD10182/AC10182</f>
        <v>4.162908496732026</v>
      </c>
      <c r="AC10182" s="53">
        <f>M10182+$AE$10</f>
        <v>1</v>
      </c>
      <c r="AD10182" s="54">
        <f>SUM(AD10183:AD10187)</f>
        <v>4.162908496732026</v>
      </c>
      <c r="AE10182" s="184">
        <f>SUMIFS($AD$44:$AD$4639,$V$44:$V$4639,$V10182,$X$44:$X$4639,AE$13)</f>
        <v>0</v>
      </c>
      <c r="AF10182" s="185">
        <f>SUMIFS($AD$44:$AD$4639,$V$44:$V$4639,$V10182,$X$44:$X$4639,AF$13)</f>
        <v>0</v>
      </c>
      <c r="AG10182" s="185">
        <f>SUMIFS($AD$44:$AD$4639,$V$44:$V$4639,$V10182,$X$44:$X$4639,AG$13)</f>
        <v>0</v>
      </c>
      <c r="AH10182" s="187">
        <f>SUMIFS($AD$44:$AD$4639,$V$44:$V$4639,$V10182,$X$44:$X$4639,AH$13)</f>
        <v>0</v>
      </c>
      <c r="AI10182" s="161">
        <f t="shared" ref="AI10182" si="6733">SUM(AE10182:AH10182)</f>
        <v>0</v>
      </c>
      <c r="AK10182" s="172"/>
    </row>
    <row r="10183" spans="1:41" s="102" customFormat="1" ht="19.899999999999999" customHeight="1" x14ac:dyDescent="0.25">
      <c r="A10183" s="45"/>
      <c r="B10183" s="137"/>
      <c r="C10183" s="59"/>
      <c r="D10183" s="314"/>
      <c r="E10183" s="116"/>
      <c r="F10183" s="120"/>
      <c r="G10183" s="120"/>
      <c r="H10183" s="120"/>
      <c r="I10183" s="60"/>
      <c r="J10183" s="116"/>
      <c r="K10183" s="120"/>
      <c r="L10183" s="120"/>
      <c r="M10183" s="120"/>
      <c r="N10183" s="167"/>
      <c r="O10183" s="120"/>
      <c r="P10183" s="120"/>
      <c r="Q10183" s="120"/>
      <c r="R10183" s="120"/>
      <c r="S10183" s="120"/>
      <c r="T10183" s="221"/>
      <c r="U10183" s="89"/>
      <c r="V10183" s="61" t="str">
        <f>V10182</f>
        <v>02</v>
      </c>
      <c r="W10183" s="92" t="s">
        <v>131</v>
      </c>
      <c r="X10183" s="93" t="s">
        <v>29</v>
      </c>
      <c r="Y10183" s="93" t="s">
        <v>1656</v>
      </c>
      <c r="Z10183" s="134">
        <f>VLOOKUP(W10183,Sheet2!$B:$D,3,FALSE)</f>
        <v>131.19999999999999</v>
      </c>
      <c r="AA10183" s="93">
        <f>AA10185*4</f>
        <v>122.4</v>
      </c>
      <c r="AB10183" s="93">
        <f>AD10183/AC10182</f>
        <v>1.0718954248366013</v>
      </c>
      <c r="AC10183" s="93">
        <f>AC10182/AA10183</f>
        <v>8.1699346405228763E-3</v>
      </c>
      <c r="AD10183" s="94">
        <f>AC10183*Z10183</f>
        <v>1.0718954248366013</v>
      </c>
      <c r="AE10183" s="190"/>
      <c r="AF10183" s="191"/>
      <c r="AG10183" s="191"/>
      <c r="AH10183" s="191"/>
      <c r="AI10183" s="186"/>
      <c r="AK10183" s="171"/>
    </row>
    <row r="10184" spans="1:41" s="102" customFormat="1" ht="19.899999999999999" customHeight="1" x14ac:dyDescent="0.25">
      <c r="A10184" s="45"/>
      <c r="B10184" s="137"/>
      <c r="C10184" s="59"/>
      <c r="D10184" s="314"/>
      <c r="E10184" s="116"/>
      <c r="F10184" s="120"/>
      <c r="G10184" s="120"/>
      <c r="H10184" s="120"/>
      <c r="I10184" s="60"/>
      <c r="J10184" s="116"/>
      <c r="K10184" s="120"/>
      <c r="L10184" s="120"/>
      <c r="M10184" s="120"/>
      <c r="N10184" s="167"/>
      <c r="O10184" s="120"/>
      <c r="P10184" s="120"/>
      <c r="Q10184" s="120"/>
      <c r="R10184" s="120"/>
      <c r="S10184" s="120"/>
      <c r="T10184" s="221"/>
      <c r="U10184" s="89"/>
      <c r="V10184" s="61" t="str">
        <f t="shared" ref="V10184:V10187" si="6734">V10183</f>
        <v>02</v>
      </c>
      <c r="W10184" s="92" t="s">
        <v>65</v>
      </c>
      <c r="X10184" s="93" t="s">
        <v>30</v>
      </c>
      <c r="Y10184" s="93" t="s">
        <v>98</v>
      </c>
      <c r="Z10184" s="134">
        <f>VLOOKUP(W10184,Sheet2!$B:$D,3,FALSE)</f>
        <v>1.76</v>
      </c>
      <c r="AA10184" s="93">
        <f>AA10183/32</f>
        <v>3.8250000000000002</v>
      </c>
      <c r="AB10184" s="93">
        <f>AD10184/AC10182</f>
        <v>0.4601307189542484</v>
      </c>
      <c r="AC10184" s="93">
        <f>AC10182/AA10184</f>
        <v>0.26143790849673204</v>
      </c>
      <c r="AD10184" s="94">
        <f t="shared" ref="AD10184:AD10186" si="6735">AC10184*Z10184</f>
        <v>0.4601307189542484</v>
      </c>
      <c r="AE10184" s="190"/>
      <c r="AF10184" s="191"/>
      <c r="AG10184" s="191"/>
      <c r="AH10184" s="191"/>
      <c r="AI10184" s="186"/>
      <c r="AK10184" s="171"/>
    </row>
    <row r="10185" spans="1:41" s="102" customFormat="1" ht="19.899999999999999" customHeight="1" x14ac:dyDescent="0.25">
      <c r="A10185" s="45"/>
      <c r="B10185" s="137"/>
      <c r="C10185" s="59"/>
      <c r="D10185" s="314"/>
      <c r="E10185" s="116"/>
      <c r="F10185" s="120"/>
      <c r="G10185" s="120"/>
      <c r="H10185" s="120"/>
      <c r="I10185" s="60"/>
      <c r="J10185" s="116"/>
      <c r="K10185" s="120"/>
      <c r="L10185" s="120"/>
      <c r="M10185" s="120"/>
      <c r="N10185" s="167"/>
      <c r="O10185" s="120"/>
      <c r="P10185" s="120"/>
      <c r="Q10185" s="120"/>
      <c r="R10185" s="120"/>
      <c r="S10185" s="120"/>
      <c r="T10185" s="221"/>
      <c r="U10185" s="89"/>
      <c r="V10185" s="61" t="str">
        <f t="shared" si="6734"/>
        <v>02</v>
      </c>
      <c r="W10185" s="92" t="s">
        <v>1660</v>
      </c>
      <c r="X10185" s="93" t="s">
        <v>29</v>
      </c>
      <c r="Y10185" s="93" t="s">
        <v>1656</v>
      </c>
      <c r="Z10185" s="134">
        <f>VLOOKUP(W10185,Sheet2!$B:$D,3,FALSE)</f>
        <v>56</v>
      </c>
      <c r="AA10185" s="93">
        <f>(24*0.85)*15/10</f>
        <v>30.6</v>
      </c>
      <c r="AB10185" s="93">
        <f>AD10185/AC10182</f>
        <v>1.8300653594771243</v>
      </c>
      <c r="AC10185" s="93">
        <f>AC10182/AA10185</f>
        <v>3.2679738562091505E-2</v>
      </c>
      <c r="AD10185" s="94">
        <f t="shared" si="6735"/>
        <v>1.8300653594771243</v>
      </c>
      <c r="AE10185" s="190"/>
      <c r="AF10185" s="191"/>
      <c r="AG10185" s="191"/>
      <c r="AH10185" s="191"/>
      <c r="AI10185" s="186"/>
      <c r="AK10185" s="171"/>
    </row>
    <row r="10186" spans="1:41" s="102" customFormat="1" ht="19.899999999999999" customHeight="1" x14ac:dyDescent="0.25">
      <c r="A10186" s="45"/>
      <c r="B10186" s="137"/>
      <c r="C10186" s="59"/>
      <c r="D10186" s="314"/>
      <c r="E10186" s="116"/>
      <c r="F10186" s="120"/>
      <c r="G10186" s="120"/>
      <c r="H10186" s="120"/>
      <c r="I10186" s="60"/>
      <c r="J10186" s="116"/>
      <c r="K10186" s="120"/>
      <c r="L10186" s="120"/>
      <c r="M10186" s="120"/>
      <c r="N10186" s="167"/>
      <c r="O10186" s="120"/>
      <c r="P10186" s="120"/>
      <c r="Q10186" s="120"/>
      <c r="R10186" s="120"/>
      <c r="S10186" s="120"/>
      <c r="T10186" s="221"/>
      <c r="U10186" s="89"/>
      <c r="V10186" s="61" t="str">
        <f t="shared" si="6734"/>
        <v>02</v>
      </c>
      <c r="W10186" s="92" t="s">
        <v>65</v>
      </c>
      <c r="X10186" s="93" t="s">
        <v>30</v>
      </c>
      <c r="Y10186" s="93" t="s">
        <v>98</v>
      </c>
      <c r="Z10186" s="134">
        <f>VLOOKUP(W10186,Sheet2!$B:$D,3,FALSE)</f>
        <v>1.76</v>
      </c>
      <c r="AA10186" s="93">
        <f>AA10185/13</f>
        <v>2.3538461538461539</v>
      </c>
      <c r="AB10186" s="93">
        <f>AD10186/AC10182</f>
        <v>0.7477124183006536</v>
      </c>
      <c r="AC10186" s="93">
        <f>AC10182/AA10186</f>
        <v>0.42483660130718953</v>
      </c>
      <c r="AD10186" s="94">
        <f t="shared" si="6735"/>
        <v>0.7477124183006536</v>
      </c>
      <c r="AE10186" s="190"/>
      <c r="AF10186" s="191"/>
      <c r="AG10186" s="191"/>
      <c r="AH10186" s="191"/>
      <c r="AI10186" s="186"/>
      <c r="AK10186" s="171"/>
    </row>
    <row r="10187" spans="1:41" s="102" customFormat="1" ht="19.899999999999999" customHeight="1" x14ac:dyDescent="0.25">
      <c r="A10187" s="45"/>
      <c r="B10187" s="137"/>
      <c r="C10187" s="59"/>
      <c r="D10187" s="314"/>
      <c r="E10187" s="116"/>
      <c r="F10187" s="120"/>
      <c r="G10187" s="120"/>
      <c r="H10187" s="120"/>
      <c r="I10187" s="60"/>
      <c r="J10187" s="116"/>
      <c r="K10187" s="120"/>
      <c r="L10187" s="120"/>
      <c r="M10187" s="120"/>
      <c r="N10187" s="167"/>
      <c r="O10187" s="120"/>
      <c r="P10187" s="120"/>
      <c r="Q10187" s="120"/>
      <c r="R10187" s="120"/>
      <c r="S10187" s="120"/>
      <c r="T10187" s="221"/>
      <c r="U10187" s="89"/>
      <c r="V10187" s="61" t="str">
        <f t="shared" si="6734"/>
        <v>02</v>
      </c>
      <c r="W10187" s="92" t="s">
        <v>112</v>
      </c>
      <c r="X10187" s="93" t="s">
        <v>31</v>
      </c>
      <c r="Y10187" s="93" t="s">
        <v>1656</v>
      </c>
      <c r="Z10187" s="134">
        <f>VLOOKUP(W10187,Sheet2!$B:$D,3,FALSE)</f>
        <v>13</v>
      </c>
      <c r="AA10187" s="93">
        <f>AA10183*2</f>
        <v>244.8</v>
      </c>
      <c r="AB10187" s="93">
        <f>AD10187/AC10182</f>
        <v>5.3104575163398698E-2</v>
      </c>
      <c r="AC10187" s="93">
        <f>AC10182/AA10187</f>
        <v>4.0849673202614381E-3</v>
      </c>
      <c r="AD10187" s="94">
        <f>AC10187*Z10187</f>
        <v>5.3104575163398698E-2</v>
      </c>
      <c r="AE10187" s="190"/>
      <c r="AF10187" s="191"/>
      <c r="AG10187" s="191"/>
      <c r="AH10187" s="191"/>
      <c r="AI10187" s="186"/>
      <c r="AK10187" s="171"/>
    </row>
    <row r="10188" spans="1:41" s="103" customFormat="1" ht="19.899999999999999" customHeight="1" x14ac:dyDescent="0.25">
      <c r="A10188" s="51"/>
      <c r="B10188" s="165"/>
      <c r="C10188" s="52"/>
      <c r="D10188" s="313"/>
      <c r="E10188" s="115"/>
      <c r="F10188" s="58"/>
      <c r="G10188" s="58"/>
      <c r="H10188" s="58"/>
      <c r="I10188" s="55"/>
      <c r="J10188" s="113">
        <f>J10179</f>
        <v>1</v>
      </c>
      <c r="K10188" s="315">
        <f>K10179</f>
        <v>1</v>
      </c>
      <c r="L10188" s="58"/>
      <c r="M10188" s="58">
        <f>K10188-L10188</f>
        <v>1</v>
      </c>
      <c r="N10188" s="166"/>
      <c r="O10188" s="58"/>
      <c r="P10188" s="58"/>
      <c r="Q10188" s="58"/>
      <c r="R10188" s="58"/>
      <c r="S10188" s="58"/>
      <c r="T10188" s="220"/>
      <c r="U10188" s="88">
        <f>IFERROR(S10188/L10188,0)</f>
        <v>0</v>
      </c>
      <c r="V10188" s="56" t="str">
        <f>V10179&amp;"03"</f>
        <v>03</v>
      </c>
      <c r="W10188" s="57" t="s">
        <v>1663</v>
      </c>
      <c r="X10188" s="53"/>
      <c r="Y10188" s="91" t="s">
        <v>66</v>
      </c>
      <c r="Z10188" s="136">
        <f>AD10188/AC10188</f>
        <v>0.7075555555555556</v>
      </c>
      <c r="AA10188" s="58"/>
      <c r="AB10188" s="53">
        <f>AD10188/AC10188</f>
        <v>0.7075555555555556</v>
      </c>
      <c r="AC10188" s="53">
        <f>M10188+$AE$10</f>
        <v>1</v>
      </c>
      <c r="AD10188" s="54">
        <f>SUM(AD10189:AD10190)</f>
        <v>0.7075555555555556</v>
      </c>
      <c r="AE10188" s="184">
        <f>SUMIFS($AD$44:$AD$4639,$V$44:$V$4639,$V10188,$X$44:$X$4639,AE$13)</f>
        <v>0</v>
      </c>
      <c r="AF10188" s="185">
        <f>SUMIFS($AD$44:$AD$4639,$V$44:$V$4639,$V10188,$X$44:$X$4639,AF$13)</f>
        <v>0</v>
      </c>
      <c r="AG10188" s="185">
        <f>SUMIFS($AD$44:$AD$4639,$V$44:$V$4639,$V10188,$X$44:$X$4639,AG$13)</f>
        <v>0</v>
      </c>
      <c r="AH10188" s="187">
        <f>SUMIFS($AD$44:$AD$4639,$V$44:$V$4639,$V10188,$X$44:$X$4639,AH$13)</f>
        <v>0</v>
      </c>
      <c r="AI10188" s="161">
        <f t="shared" ref="AI10188" si="6736">SUM(AE10188:AH10188)</f>
        <v>0</v>
      </c>
      <c r="AK10188" s="172"/>
    </row>
    <row r="10189" spans="1:41" s="102" customFormat="1" ht="19.899999999999999" customHeight="1" x14ac:dyDescent="0.25">
      <c r="A10189" s="45"/>
      <c r="B10189" s="137"/>
      <c r="C10189" s="59"/>
      <c r="D10189" s="314"/>
      <c r="E10189" s="116"/>
      <c r="F10189" s="120"/>
      <c r="G10189" s="120"/>
      <c r="H10189" s="120"/>
      <c r="I10189" s="60"/>
      <c r="J10189" s="116"/>
      <c r="K10189" s="120"/>
      <c r="L10189" s="120"/>
      <c r="M10189" s="120"/>
      <c r="N10189" s="167"/>
      <c r="O10189" s="120"/>
      <c r="P10189" s="120"/>
      <c r="Q10189" s="120"/>
      <c r="R10189" s="120"/>
      <c r="S10189" s="120"/>
      <c r="T10189" s="221"/>
      <c r="U10189" s="89"/>
      <c r="V10189" s="61" t="str">
        <f>V10188</f>
        <v>03</v>
      </c>
      <c r="W10189" s="92" t="s">
        <v>94</v>
      </c>
      <c r="X10189" s="93" t="s">
        <v>29</v>
      </c>
      <c r="Y10189" s="93" t="s">
        <v>1656</v>
      </c>
      <c r="Z10189" s="134">
        <f>VLOOKUP(W10189,Sheet2!$B:$D,3,FALSE)</f>
        <v>90.4</v>
      </c>
      <c r="AA10189" s="93">
        <f>600*0.3</f>
        <v>180</v>
      </c>
      <c r="AB10189" s="93">
        <f>AD10189/AC10188</f>
        <v>0.50222222222222224</v>
      </c>
      <c r="AC10189" s="93">
        <f>AC10188/AA10189</f>
        <v>5.5555555555555558E-3</v>
      </c>
      <c r="AD10189" s="94">
        <f>AC10189*Z10189</f>
        <v>0.50222222222222224</v>
      </c>
      <c r="AE10189" s="190"/>
      <c r="AF10189" s="191"/>
      <c r="AG10189" s="191"/>
      <c r="AH10189" s="191"/>
      <c r="AI10189" s="186"/>
      <c r="AK10189" s="171"/>
    </row>
    <row r="10190" spans="1:41" s="102" customFormat="1" ht="19.899999999999999" customHeight="1" x14ac:dyDescent="0.25">
      <c r="A10190" s="45"/>
      <c r="B10190" s="137"/>
      <c r="C10190" s="59"/>
      <c r="D10190" s="314"/>
      <c r="E10190" s="116"/>
      <c r="F10190" s="120"/>
      <c r="G10190" s="120"/>
      <c r="H10190" s="120"/>
      <c r="I10190" s="60"/>
      <c r="J10190" s="116"/>
      <c r="K10190" s="120"/>
      <c r="L10190" s="120"/>
      <c r="M10190" s="120"/>
      <c r="N10190" s="167"/>
      <c r="O10190" s="120"/>
      <c r="P10190" s="120"/>
      <c r="Q10190" s="120"/>
      <c r="R10190" s="120"/>
      <c r="S10190" s="120"/>
      <c r="T10190" s="221"/>
      <c r="U10190" s="89"/>
      <c r="V10190" s="61" t="str">
        <f>V10189</f>
        <v>03</v>
      </c>
      <c r="W10190" s="92" t="s">
        <v>65</v>
      </c>
      <c r="X10190" s="93" t="s">
        <v>30</v>
      </c>
      <c r="Y10190" s="93" t="s">
        <v>98</v>
      </c>
      <c r="Z10190" s="134">
        <f>VLOOKUP(W10190,Sheet2!$B:$D,3,FALSE)</f>
        <v>1.76</v>
      </c>
      <c r="AA10190" s="93">
        <f>AA10189/21</f>
        <v>8.5714285714285712</v>
      </c>
      <c r="AB10190" s="93">
        <f>AD10190/AC10188</f>
        <v>0.20533333333333334</v>
      </c>
      <c r="AC10190" s="93">
        <f>AC10188/AA10190</f>
        <v>0.11666666666666667</v>
      </c>
      <c r="AD10190" s="94">
        <f t="shared" ref="AD10190" si="6737">AC10190*Z10190</f>
        <v>0.20533333333333334</v>
      </c>
      <c r="AE10190" s="190"/>
      <c r="AF10190" s="191"/>
      <c r="AG10190" s="191"/>
      <c r="AH10190" s="191"/>
      <c r="AI10190" s="186"/>
      <c r="AK10190" s="171"/>
    </row>
    <row r="10191" spans="1:41" s="103" customFormat="1" ht="19.899999999999999" customHeight="1" x14ac:dyDescent="0.25">
      <c r="A10191" s="51"/>
      <c r="B10191" s="165"/>
      <c r="C10191" s="52"/>
      <c r="D10191" s="313"/>
      <c r="E10191" s="115"/>
      <c r="F10191" s="58"/>
      <c r="G10191" s="58"/>
      <c r="H10191" s="58"/>
      <c r="I10191" s="55"/>
      <c r="J10191" s="113">
        <f>J10179</f>
        <v>1</v>
      </c>
      <c r="K10191" s="315">
        <f>K10179</f>
        <v>1</v>
      </c>
      <c r="L10191" s="58"/>
      <c r="M10191" s="58">
        <f>K10191-L10191</f>
        <v>1</v>
      </c>
      <c r="N10191" s="166"/>
      <c r="O10191" s="58"/>
      <c r="P10191" s="58"/>
      <c r="Q10191" s="58"/>
      <c r="R10191" s="58"/>
      <c r="S10191" s="58"/>
      <c r="T10191" s="220"/>
      <c r="U10191" s="88">
        <f>IFERROR(S10191/L10191,0)</f>
        <v>0</v>
      </c>
      <c r="V10191" s="56" t="str">
        <f>V10179&amp;"04"</f>
        <v>04</v>
      </c>
      <c r="W10191" s="57" t="s">
        <v>1664</v>
      </c>
      <c r="X10191" s="53"/>
      <c r="Y10191" s="91" t="s">
        <v>66</v>
      </c>
      <c r="Z10191" s="136">
        <f>AD10191/AC10191</f>
        <v>1.8525000000000003</v>
      </c>
      <c r="AA10191" s="58"/>
      <c r="AB10191" s="53">
        <f>AD10191/AC10191</f>
        <v>1.8525000000000003</v>
      </c>
      <c r="AC10191" s="53">
        <f>M10191+$AE$10</f>
        <v>1</v>
      </c>
      <c r="AD10191" s="54">
        <f>SUM(AD10192:AD10197)</f>
        <v>1.8525000000000003</v>
      </c>
      <c r="AE10191" s="184">
        <f>SUMIFS($AD$44:$AD$4639,$V$44:$V$4639,$V10191,$X$44:$X$4639,AE$13)</f>
        <v>0</v>
      </c>
      <c r="AF10191" s="185">
        <f>SUMIFS($AD$44:$AD$4639,$V$44:$V$4639,$V10191,$X$44:$X$4639,AF$13)</f>
        <v>0</v>
      </c>
      <c r="AG10191" s="185">
        <f>SUMIFS($AD$44:$AD$4639,$V$44:$V$4639,$V10191,$X$44:$X$4639,AG$13)</f>
        <v>0</v>
      </c>
      <c r="AH10191" s="187">
        <f>SUMIFS($AD$44:$AD$4639,$V$44:$V$4639,$V10191,$X$44:$X$4639,AH$13)</f>
        <v>0</v>
      </c>
      <c r="AI10191" s="161">
        <f t="shared" ref="AI10191" si="6738">SUM(AE10191:AH10191)</f>
        <v>0</v>
      </c>
      <c r="AK10191" s="172"/>
    </row>
    <row r="10192" spans="1:41" s="102" customFormat="1" ht="19.899999999999999" customHeight="1" x14ac:dyDescent="0.25">
      <c r="A10192" s="45"/>
      <c r="B10192" s="137"/>
      <c r="C10192" s="59"/>
      <c r="D10192" s="314"/>
      <c r="E10192" s="116"/>
      <c r="F10192" s="120"/>
      <c r="G10192" s="120"/>
      <c r="H10192" s="120"/>
      <c r="I10192" s="60"/>
      <c r="J10192" s="116"/>
      <c r="K10192" s="120"/>
      <c r="L10192" s="120"/>
      <c r="M10192" s="120"/>
      <c r="N10192" s="167"/>
      <c r="O10192" s="120"/>
      <c r="P10192" s="120"/>
      <c r="Q10192" s="120"/>
      <c r="R10192" s="120"/>
      <c r="S10192" s="120"/>
      <c r="T10192" s="221"/>
      <c r="U10192" s="89"/>
      <c r="V10192" s="61" t="str">
        <f>V10191</f>
        <v>04</v>
      </c>
      <c r="W10192" s="92" t="s">
        <v>145</v>
      </c>
      <c r="X10192" s="93" t="s">
        <v>29</v>
      </c>
      <c r="Y10192" s="93" t="s">
        <v>1656</v>
      </c>
      <c r="Z10192" s="134">
        <f>VLOOKUP(W10192,Sheet2!$B:$D,3,FALSE)</f>
        <v>40</v>
      </c>
      <c r="AA10192" s="93">
        <v>80</v>
      </c>
      <c r="AB10192" s="93">
        <f>AD10192/AC10191</f>
        <v>0.5</v>
      </c>
      <c r="AC10192" s="93">
        <f>AC10191/AA10192</f>
        <v>1.2500000000000001E-2</v>
      </c>
      <c r="AD10192" s="94">
        <f>AC10192*Z10192</f>
        <v>0.5</v>
      </c>
      <c r="AE10192" s="190"/>
      <c r="AF10192" s="191"/>
      <c r="AG10192" s="191"/>
      <c r="AH10192" s="191"/>
      <c r="AI10192" s="186"/>
      <c r="AK10192" s="171"/>
    </row>
    <row r="10193" spans="1:41" s="102" customFormat="1" ht="19.899999999999999" customHeight="1" x14ac:dyDescent="0.25">
      <c r="A10193" s="45"/>
      <c r="B10193" s="137"/>
      <c r="C10193" s="59"/>
      <c r="D10193" s="314"/>
      <c r="E10193" s="116"/>
      <c r="F10193" s="120"/>
      <c r="G10193" s="120"/>
      <c r="H10193" s="120"/>
      <c r="I10193" s="60"/>
      <c r="J10193" s="116"/>
      <c r="K10193" s="120"/>
      <c r="L10193" s="120"/>
      <c r="M10193" s="120"/>
      <c r="N10193" s="167"/>
      <c r="O10193" s="120"/>
      <c r="P10193" s="120"/>
      <c r="Q10193" s="120"/>
      <c r="R10193" s="120"/>
      <c r="S10193" s="120"/>
      <c r="T10193" s="221"/>
      <c r="U10193" s="89"/>
      <c r="V10193" s="61" t="str">
        <f t="shared" ref="V10193:V10197" si="6739">V10192</f>
        <v>04</v>
      </c>
      <c r="W10193" s="92" t="s">
        <v>65</v>
      </c>
      <c r="X10193" s="93" t="s">
        <v>30</v>
      </c>
      <c r="Y10193" s="93" t="s">
        <v>98</v>
      </c>
      <c r="Z10193" s="134">
        <f>VLOOKUP(W10193,Sheet2!$B:$D,3,FALSE)</f>
        <v>1.76</v>
      </c>
      <c r="AA10193" s="93">
        <f>AA10192/14</f>
        <v>5.7142857142857144</v>
      </c>
      <c r="AB10193" s="93">
        <f>AD10193/AC10191</f>
        <v>0.308</v>
      </c>
      <c r="AC10193" s="93">
        <f>AC10191/AA10193</f>
        <v>0.17499999999999999</v>
      </c>
      <c r="AD10193" s="94">
        <f>AC10193*Z10193</f>
        <v>0.308</v>
      </c>
      <c r="AE10193" s="190"/>
      <c r="AF10193" s="191"/>
      <c r="AG10193" s="191"/>
      <c r="AH10193" s="191"/>
      <c r="AI10193" s="186"/>
      <c r="AK10193" s="171"/>
    </row>
    <row r="10194" spans="1:41" s="102" customFormat="1" ht="19.899999999999999" customHeight="1" x14ac:dyDescent="0.25">
      <c r="A10194" s="45"/>
      <c r="B10194" s="137"/>
      <c r="C10194" s="59"/>
      <c r="D10194" s="314"/>
      <c r="E10194" s="116"/>
      <c r="F10194" s="120"/>
      <c r="G10194" s="120"/>
      <c r="H10194" s="120"/>
      <c r="I10194" s="60"/>
      <c r="J10194" s="116"/>
      <c r="K10194" s="120"/>
      <c r="L10194" s="120"/>
      <c r="M10194" s="120"/>
      <c r="N10194" s="167"/>
      <c r="O10194" s="120"/>
      <c r="P10194" s="120"/>
      <c r="Q10194" s="120"/>
      <c r="R10194" s="120"/>
      <c r="S10194" s="120"/>
      <c r="T10194" s="221"/>
      <c r="U10194" s="89"/>
      <c r="V10194" s="61" t="str">
        <f t="shared" si="6739"/>
        <v>04</v>
      </c>
      <c r="W10194" s="92" t="s">
        <v>135</v>
      </c>
      <c r="X10194" s="93" t="s">
        <v>29</v>
      </c>
      <c r="Y10194" s="93" t="s">
        <v>1656</v>
      </c>
      <c r="Z10194" s="134">
        <f>VLOOKUP(W10194,Sheet2!$B:$D,3,FALSE)</f>
        <v>52</v>
      </c>
      <c r="AA10194" s="93">
        <f>AA10192</f>
        <v>80</v>
      </c>
      <c r="AB10194" s="93">
        <f>AD10194/AC10191</f>
        <v>0.65</v>
      </c>
      <c r="AC10194" s="93">
        <f>AC10191/AA10194</f>
        <v>1.2500000000000001E-2</v>
      </c>
      <c r="AD10194" s="94">
        <f>AC10194*Z10194</f>
        <v>0.65</v>
      </c>
      <c r="AE10194" s="190"/>
      <c r="AF10194" s="191"/>
      <c r="AG10194" s="191"/>
      <c r="AH10194" s="191"/>
      <c r="AI10194" s="186"/>
      <c r="AK10194" s="171"/>
    </row>
    <row r="10195" spans="1:41" s="102" customFormat="1" ht="19.899999999999999" customHeight="1" x14ac:dyDescent="0.25">
      <c r="A10195" s="45"/>
      <c r="B10195" s="137"/>
      <c r="C10195" s="59"/>
      <c r="D10195" s="314"/>
      <c r="E10195" s="116"/>
      <c r="F10195" s="120"/>
      <c r="G10195" s="120"/>
      <c r="H10195" s="120"/>
      <c r="I10195" s="60"/>
      <c r="J10195" s="116"/>
      <c r="K10195" s="120"/>
      <c r="L10195" s="120"/>
      <c r="M10195" s="120"/>
      <c r="N10195" s="167"/>
      <c r="O10195" s="120"/>
      <c r="P10195" s="120"/>
      <c r="Q10195" s="120"/>
      <c r="R10195" s="120"/>
      <c r="S10195" s="120"/>
      <c r="T10195" s="221"/>
      <c r="U10195" s="89"/>
      <c r="V10195" s="61" t="str">
        <f t="shared" si="6739"/>
        <v>04</v>
      </c>
      <c r="W10195" s="92" t="s">
        <v>65</v>
      </c>
      <c r="X10195" s="93" t="s">
        <v>30</v>
      </c>
      <c r="Y10195" s="93" t="s">
        <v>98</v>
      </c>
      <c r="Z10195" s="134">
        <f>VLOOKUP(W10195,Sheet2!$B:$D,3,FALSE)</f>
        <v>1.76</v>
      </c>
      <c r="AA10195" s="93">
        <f>AA10194/8</f>
        <v>10</v>
      </c>
      <c r="AB10195" s="93">
        <f>AD10195/AC10191</f>
        <v>0.17600000000000002</v>
      </c>
      <c r="AC10195" s="93">
        <f>AC10191/AA10195</f>
        <v>0.1</v>
      </c>
      <c r="AD10195" s="94">
        <f t="shared" ref="AD10195:AD10196" si="6740">AC10195*Z10195</f>
        <v>0.17600000000000002</v>
      </c>
      <c r="AE10195" s="190"/>
      <c r="AF10195" s="191"/>
      <c r="AG10195" s="191"/>
      <c r="AH10195" s="191"/>
      <c r="AI10195" s="186"/>
      <c r="AK10195" s="171"/>
    </row>
    <row r="10196" spans="1:41" s="102" customFormat="1" ht="19.899999999999999" customHeight="1" x14ac:dyDescent="0.25">
      <c r="A10196" s="45"/>
      <c r="B10196" s="137"/>
      <c r="C10196" s="59"/>
      <c r="D10196" s="314"/>
      <c r="E10196" s="116"/>
      <c r="F10196" s="120"/>
      <c r="G10196" s="120"/>
      <c r="H10196" s="120"/>
      <c r="I10196" s="60"/>
      <c r="J10196" s="116"/>
      <c r="K10196" s="120"/>
      <c r="L10196" s="120"/>
      <c r="M10196" s="120"/>
      <c r="N10196" s="167"/>
      <c r="O10196" s="120"/>
      <c r="P10196" s="120"/>
      <c r="Q10196" s="120"/>
      <c r="R10196" s="120"/>
      <c r="S10196" s="120"/>
      <c r="T10196" s="221"/>
      <c r="U10196" s="89"/>
      <c r="V10196" s="61" t="str">
        <f t="shared" si="6739"/>
        <v>04</v>
      </c>
      <c r="W10196" s="92" t="s">
        <v>156</v>
      </c>
      <c r="X10196" s="93" t="s">
        <v>30</v>
      </c>
      <c r="Y10196" s="93" t="s">
        <v>66</v>
      </c>
      <c r="Z10196" s="134">
        <f>VLOOKUP(W10196,Sheet2!$B:$D,3,FALSE)</f>
        <v>2.8</v>
      </c>
      <c r="AA10196" s="93">
        <v>50</v>
      </c>
      <c r="AB10196" s="93">
        <f>AD10196/AC10191</f>
        <v>5.5999999999999994E-2</v>
      </c>
      <c r="AC10196" s="93">
        <f>AC10191/AA10196</f>
        <v>0.02</v>
      </c>
      <c r="AD10196" s="94">
        <f t="shared" si="6740"/>
        <v>5.5999999999999994E-2</v>
      </c>
      <c r="AE10196" s="190"/>
      <c r="AF10196" s="191"/>
      <c r="AG10196" s="191"/>
      <c r="AH10196" s="191"/>
      <c r="AI10196" s="186"/>
      <c r="AK10196" s="171"/>
    </row>
    <row r="10197" spans="1:41" s="102" customFormat="1" ht="19.899999999999999" customHeight="1" x14ac:dyDescent="0.25">
      <c r="A10197" s="45"/>
      <c r="B10197" s="137"/>
      <c r="C10197" s="59"/>
      <c r="D10197" s="314"/>
      <c r="E10197" s="116"/>
      <c r="F10197" s="120"/>
      <c r="G10197" s="120"/>
      <c r="H10197" s="120"/>
      <c r="I10197" s="60"/>
      <c r="J10197" s="116"/>
      <c r="K10197" s="120"/>
      <c r="L10197" s="120"/>
      <c r="M10197" s="120"/>
      <c r="N10197" s="167"/>
      <c r="O10197" s="120"/>
      <c r="P10197" s="120"/>
      <c r="Q10197" s="120"/>
      <c r="R10197" s="120"/>
      <c r="S10197" s="120"/>
      <c r="T10197" s="221"/>
      <c r="U10197" s="89"/>
      <c r="V10197" s="61" t="str">
        <f t="shared" si="6739"/>
        <v>04</v>
      </c>
      <c r="W10197" s="92" t="s">
        <v>112</v>
      </c>
      <c r="X10197" s="93" t="s">
        <v>31</v>
      </c>
      <c r="Y10197" s="93" t="s">
        <v>1656</v>
      </c>
      <c r="Z10197" s="134">
        <f>VLOOKUP(W10197,Sheet2!$B:$D,3,FALSE)</f>
        <v>13</v>
      </c>
      <c r="AA10197" s="93">
        <f>AA10192</f>
        <v>80</v>
      </c>
      <c r="AB10197" s="93">
        <f>AD10197/AC10191</f>
        <v>0.16250000000000001</v>
      </c>
      <c r="AC10197" s="93">
        <f>AC10191/AA10197</f>
        <v>1.2500000000000001E-2</v>
      </c>
      <c r="AD10197" s="94">
        <f>AC10197*Z10197</f>
        <v>0.16250000000000001</v>
      </c>
      <c r="AE10197" s="190"/>
      <c r="AF10197" s="191"/>
      <c r="AG10197" s="191"/>
      <c r="AH10197" s="191"/>
      <c r="AI10197" s="186"/>
      <c r="AK10197" s="171"/>
    </row>
    <row r="10198" spans="1:41" ht="20.100000000000001" customHeight="1" x14ac:dyDescent="0.25">
      <c r="A10198" s="277" t="s">
        <v>945</v>
      </c>
      <c r="B10198" s="278"/>
      <c r="C10198" s="64" t="s">
        <v>872</v>
      </c>
      <c r="D10198" s="46" t="s">
        <v>201</v>
      </c>
      <c r="E10198" s="114">
        <v>60.15</v>
      </c>
      <c r="F10198" s="44">
        <v>730</v>
      </c>
      <c r="G10198" s="44">
        <f t="shared" ref="G10198:G10510" si="6741">F10198*E10198</f>
        <v>43909.5</v>
      </c>
      <c r="H10198" s="44">
        <f t="shared" ref="H10198:H10510" si="6742">AB10198</f>
        <v>390</v>
      </c>
      <c r="I10198" s="43">
        <f t="shared" ref="I10198:I10510" si="6743">H10198*E10198</f>
        <v>23458.5</v>
      </c>
      <c r="J10198" s="112">
        <f t="shared" ref="J10198:J10510" si="6744">E10198</f>
        <v>60.15</v>
      </c>
      <c r="K10198" s="211">
        <f t="shared" ref="K10198:K10510" si="6745">J10198</f>
        <v>60.15</v>
      </c>
      <c r="L10198" s="44"/>
      <c r="M10198" s="44">
        <f t="shared" si="3846"/>
        <v>60.15</v>
      </c>
      <c r="N10198" s="173">
        <f t="shared" ref="N10198:N10510" si="6746">IFERROR(M10198/K10198,0)</f>
        <v>1</v>
      </c>
      <c r="O10198" s="44">
        <f t="shared" ref="O10198:O10510" si="6747">F10198</f>
        <v>730</v>
      </c>
      <c r="P10198" s="44">
        <f t="shared" ref="P10198:P10510" si="6748">K10198*O10198</f>
        <v>43909.5</v>
      </c>
      <c r="Q10198" s="44">
        <f t="shared" ref="Q10198:Q10510" si="6749">AB10198</f>
        <v>390</v>
      </c>
      <c r="R10198" s="44">
        <f t="shared" si="3851"/>
        <v>23458.5</v>
      </c>
      <c r="S10198" s="123"/>
      <c r="T10198" s="219">
        <f t="shared" si="3852"/>
        <v>23458.5</v>
      </c>
      <c r="U10198" s="87"/>
      <c r="V10198" s="47"/>
      <c r="W10198" s="48"/>
      <c r="X10198" s="48"/>
      <c r="Y10198" s="48"/>
      <c r="Z10198" s="135"/>
      <c r="AA10198" s="49"/>
      <c r="AB10198" s="50">
        <f t="shared" ref="AB10198:AB10510" si="6750">AD10198/AC10198</f>
        <v>390</v>
      </c>
      <c r="AC10198" s="42">
        <f t="shared" si="3854"/>
        <v>60.15</v>
      </c>
      <c r="AD10198" s="90">
        <f>AD10199</f>
        <v>23458.5</v>
      </c>
      <c r="AE10198" s="188">
        <f t="shared" ref="AE10198:AH10198" si="6751">AE10199</f>
        <v>0</v>
      </c>
      <c r="AF10198" s="189">
        <f t="shared" si="6751"/>
        <v>0</v>
      </c>
      <c r="AG10198" s="189">
        <f t="shared" si="6751"/>
        <v>0</v>
      </c>
      <c r="AH10198" s="189">
        <f t="shared" si="6751"/>
        <v>0</v>
      </c>
      <c r="AI10198" s="161">
        <f t="shared" ref="AI10198:AI10202" si="6752">SUM(AE10198:AH10198)</f>
        <v>0</v>
      </c>
      <c r="AK10198" s="169">
        <v>5</v>
      </c>
      <c r="AO10198" s="19" t="s">
        <v>63</v>
      </c>
    </row>
    <row r="10199" spans="1:41" s="103" customFormat="1" ht="19.899999999999999" customHeight="1" x14ac:dyDescent="0.25">
      <c r="A10199" s="51"/>
      <c r="B10199" s="52"/>
      <c r="C10199" s="165"/>
      <c r="D10199" s="52"/>
      <c r="E10199" s="115"/>
      <c r="F10199" s="58"/>
      <c r="G10199" s="58"/>
      <c r="H10199" s="58"/>
      <c r="I10199" s="55"/>
      <c r="J10199" s="113">
        <f>J10198</f>
        <v>60.15</v>
      </c>
      <c r="K10199" s="212">
        <f>K10198</f>
        <v>60.15</v>
      </c>
      <c r="L10199" s="58"/>
      <c r="M10199" s="58">
        <f>K10199-L10199</f>
        <v>60.15</v>
      </c>
      <c r="N10199" s="166"/>
      <c r="O10199" s="58"/>
      <c r="P10199" s="58"/>
      <c r="Q10199" s="58"/>
      <c r="R10199" s="58"/>
      <c r="S10199" s="58"/>
      <c r="T10199" s="220"/>
      <c r="U10199" s="88"/>
      <c r="V10199" s="56"/>
      <c r="W10199" s="57" t="s">
        <v>1683</v>
      </c>
      <c r="X10199" s="53"/>
      <c r="Y10199" s="91" t="s">
        <v>66</v>
      </c>
      <c r="Z10199" s="136">
        <f>AD10199/AC10199</f>
        <v>390</v>
      </c>
      <c r="AA10199" s="58"/>
      <c r="AB10199" s="53">
        <f>AD10199/AC10199</f>
        <v>390</v>
      </c>
      <c r="AC10199" s="53">
        <f>M10199+$AE$10</f>
        <v>60.15</v>
      </c>
      <c r="AD10199" s="54">
        <f>SUM(AD10200:AD10201)</f>
        <v>23458.5</v>
      </c>
      <c r="AE10199" s="184">
        <f>SUMIFS($AD$37:$AD$12971,$V$37:$V$12971,$V10199,$X$37:$X$12971,AE$13)</f>
        <v>0</v>
      </c>
      <c r="AF10199" s="185">
        <f>SUMIFS($AD$37:$AD$12971,$V$37:$V$12971,$V10199,$X$37:$X$12971,AF$13)</f>
        <v>0</v>
      </c>
      <c r="AG10199" s="185">
        <f>SUMIFS($AD$37:$AD$12971,$V$37:$V$12971,$V10199,$X$37:$X$12971,AG$13)</f>
        <v>0</v>
      </c>
      <c r="AH10199" s="187">
        <f>SUMIFS($AD$37:$AD$12971,$V$37:$V$12971,$V10199,$X$37:$X$12971,AH$13)</f>
        <v>0</v>
      </c>
      <c r="AI10199" s="161">
        <f t="shared" ref="AI10199" si="6753">SUM(AE10199:AH10199)</f>
        <v>0</v>
      </c>
      <c r="AK10199" s="172"/>
    </row>
    <row r="10200" spans="1:41" s="102" customFormat="1" ht="19.899999999999999" customHeight="1" x14ac:dyDescent="0.25">
      <c r="A10200" s="45"/>
      <c r="B10200" s="59"/>
      <c r="C10200" s="137"/>
      <c r="D10200" s="59"/>
      <c r="E10200" s="116"/>
      <c r="F10200" s="120"/>
      <c r="G10200" s="120"/>
      <c r="H10200" s="120"/>
      <c r="I10200" s="60"/>
      <c r="J10200" s="116"/>
      <c r="K10200" s="213"/>
      <c r="L10200" s="120"/>
      <c r="M10200" s="120"/>
      <c r="N10200" s="167"/>
      <c r="O10200" s="120"/>
      <c r="P10200" s="120"/>
      <c r="Q10200" s="120"/>
      <c r="R10200" s="120"/>
      <c r="S10200" s="120"/>
      <c r="T10200" s="221"/>
      <c r="U10200" s="89"/>
      <c r="V10200" s="61"/>
      <c r="W10200" s="92" t="s">
        <v>1682</v>
      </c>
      <c r="X10200" s="93" t="s">
        <v>30</v>
      </c>
      <c r="Y10200" s="93" t="s">
        <v>66</v>
      </c>
      <c r="Z10200" s="134">
        <f>VLOOKUP(W10200,Sheet2!$B:$D,3,FALSE)</f>
        <v>240</v>
      </c>
      <c r="AA10200" s="93">
        <v>1</v>
      </c>
      <c r="AB10200" s="93">
        <f>AD10200/AC10199</f>
        <v>240</v>
      </c>
      <c r="AC10200" s="93">
        <f>AC10199/AA10200</f>
        <v>60.15</v>
      </c>
      <c r="AD10200" s="94">
        <f t="shared" ref="AD10200" si="6754">AC10200*Z10200</f>
        <v>14436</v>
      </c>
      <c r="AE10200" s="190"/>
      <c r="AF10200" s="191"/>
      <c r="AG10200" s="191"/>
      <c r="AH10200" s="191"/>
      <c r="AI10200" s="186"/>
      <c r="AK10200" s="171"/>
    </row>
    <row r="10201" spans="1:41" s="102" customFormat="1" ht="19.899999999999999" customHeight="1" x14ac:dyDescent="0.25">
      <c r="A10201" s="45"/>
      <c r="B10201" s="59"/>
      <c r="C10201" s="137"/>
      <c r="D10201" s="59"/>
      <c r="E10201" s="116"/>
      <c r="F10201" s="120"/>
      <c r="G10201" s="120"/>
      <c r="H10201" s="120"/>
      <c r="I10201" s="60"/>
      <c r="J10201" s="116"/>
      <c r="K10201" s="213"/>
      <c r="L10201" s="120"/>
      <c r="M10201" s="120"/>
      <c r="N10201" s="167"/>
      <c r="O10201" s="120"/>
      <c r="P10201" s="120"/>
      <c r="Q10201" s="120"/>
      <c r="R10201" s="120"/>
      <c r="S10201" s="120"/>
      <c r="T10201" s="221"/>
      <c r="U10201" s="89"/>
      <c r="V10201" s="61"/>
      <c r="W10201" s="92" t="s">
        <v>1354</v>
      </c>
      <c r="X10201" s="93" t="s">
        <v>32</v>
      </c>
      <c r="Y10201" s="93" t="s">
        <v>66</v>
      </c>
      <c r="Z10201" s="134">
        <f>VLOOKUP(W10201,Sheet2!$B:$D,3,FALSE)</f>
        <v>150</v>
      </c>
      <c r="AA10201" s="93">
        <f>AA10200</f>
        <v>1</v>
      </c>
      <c r="AB10201" s="93">
        <f>AD10201/AC10199</f>
        <v>150</v>
      </c>
      <c r="AC10201" s="93">
        <f>AC10199/AA10201</f>
        <v>60.15</v>
      </c>
      <c r="AD10201" s="94">
        <f>AC10201*Z10201</f>
        <v>9022.5</v>
      </c>
      <c r="AE10201" s="190"/>
      <c r="AF10201" s="191"/>
      <c r="AG10201" s="191"/>
      <c r="AH10201" s="191"/>
      <c r="AI10201" s="186"/>
      <c r="AK10201" s="171"/>
    </row>
    <row r="10202" spans="1:41" ht="20.100000000000001" customHeight="1" x14ac:dyDescent="0.25">
      <c r="A10202" s="277" t="s">
        <v>945</v>
      </c>
      <c r="B10202" s="278"/>
      <c r="C10202" s="64" t="s">
        <v>873</v>
      </c>
      <c r="D10202" s="46" t="s">
        <v>201</v>
      </c>
      <c r="E10202" s="114">
        <v>381.95</v>
      </c>
      <c r="F10202" s="44">
        <v>881</v>
      </c>
      <c r="G10202" s="44">
        <f t="shared" si="6741"/>
        <v>336497.95</v>
      </c>
      <c r="H10202" s="44">
        <f t="shared" si="6742"/>
        <v>400</v>
      </c>
      <c r="I10202" s="43">
        <f t="shared" si="6743"/>
        <v>152780</v>
      </c>
      <c r="J10202" s="112">
        <f t="shared" si="6744"/>
        <v>381.95</v>
      </c>
      <c r="K10202" s="211">
        <f t="shared" si="6745"/>
        <v>381.95</v>
      </c>
      <c r="L10202" s="44"/>
      <c r="M10202" s="44">
        <f t="shared" ref="M10202:M10510" si="6755">K10202-L10202</f>
        <v>381.95</v>
      </c>
      <c r="N10202" s="173">
        <f t="shared" si="6746"/>
        <v>1</v>
      </c>
      <c r="O10202" s="44">
        <f t="shared" si="6747"/>
        <v>881</v>
      </c>
      <c r="P10202" s="44">
        <f t="shared" si="6748"/>
        <v>336497.95</v>
      </c>
      <c r="Q10202" s="44">
        <f t="shared" si="6749"/>
        <v>400</v>
      </c>
      <c r="R10202" s="44">
        <f t="shared" ref="R10202:R10510" si="6756">M10202*Q10202</f>
        <v>152780</v>
      </c>
      <c r="S10202" s="123"/>
      <c r="T10202" s="219">
        <f t="shared" ref="T10202:T10510" si="6757">S10202+R10202</f>
        <v>152780</v>
      </c>
      <c r="U10202" s="87"/>
      <c r="V10202" s="47"/>
      <c r="W10202" s="48"/>
      <c r="X10202" s="48"/>
      <c r="Y10202" s="48"/>
      <c r="Z10202" s="135"/>
      <c r="AA10202" s="49"/>
      <c r="AB10202" s="50">
        <f t="shared" si="6750"/>
        <v>400</v>
      </c>
      <c r="AC10202" s="42">
        <f t="shared" ref="AC10202:AC10510" si="6758">M10202+$AE$10</f>
        <v>381.95</v>
      </c>
      <c r="AD10202" s="90">
        <f>AD10203</f>
        <v>152780</v>
      </c>
      <c r="AE10202" s="188">
        <f t="shared" ref="AE10202:AH10202" si="6759">AE10203</f>
        <v>0</v>
      </c>
      <c r="AF10202" s="189">
        <f t="shared" si="6759"/>
        <v>0</v>
      </c>
      <c r="AG10202" s="189">
        <f t="shared" si="6759"/>
        <v>0</v>
      </c>
      <c r="AH10202" s="189">
        <f t="shared" si="6759"/>
        <v>0</v>
      </c>
      <c r="AI10202" s="161">
        <f t="shared" si="6752"/>
        <v>0</v>
      </c>
      <c r="AK10202" s="169">
        <v>5</v>
      </c>
      <c r="AO10202" s="19" t="s">
        <v>63</v>
      </c>
    </row>
    <row r="10203" spans="1:41" s="103" customFormat="1" ht="19.899999999999999" customHeight="1" x14ac:dyDescent="0.25">
      <c r="A10203" s="51"/>
      <c r="B10203" s="52"/>
      <c r="C10203" s="165"/>
      <c r="D10203" s="52"/>
      <c r="E10203" s="115"/>
      <c r="F10203" s="58"/>
      <c r="G10203" s="58"/>
      <c r="H10203" s="58"/>
      <c r="I10203" s="55"/>
      <c r="J10203" s="113">
        <f>J10202</f>
        <v>381.95</v>
      </c>
      <c r="K10203" s="212">
        <f>K10202</f>
        <v>381.95</v>
      </c>
      <c r="L10203" s="58"/>
      <c r="M10203" s="58">
        <f>K10203-L10203</f>
        <v>381.95</v>
      </c>
      <c r="N10203" s="166"/>
      <c r="O10203" s="58"/>
      <c r="P10203" s="58"/>
      <c r="Q10203" s="58"/>
      <c r="R10203" s="58"/>
      <c r="S10203" s="58"/>
      <c r="T10203" s="220"/>
      <c r="U10203" s="88"/>
      <c r="V10203" s="56"/>
      <c r="W10203" s="57" t="s">
        <v>1683</v>
      </c>
      <c r="X10203" s="53"/>
      <c r="Y10203" s="91" t="s">
        <v>66</v>
      </c>
      <c r="Z10203" s="136">
        <f>AD10203/AC10203</f>
        <v>400</v>
      </c>
      <c r="AA10203" s="58"/>
      <c r="AB10203" s="53">
        <f>AD10203/AC10203</f>
        <v>400</v>
      </c>
      <c r="AC10203" s="53">
        <f>M10203+$AE$10</f>
        <v>381.95</v>
      </c>
      <c r="AD10203" s="54">
        <f>SUM(AD10204:AD10205)</f>
        <v>152780</v>
      </c>
      <c r="AE10203" s="184">
        <f>SUMIFS($AD$37:$AD$12971,$V$37:$V$12971,$V10203,$X$37:$X$12971,AE$13)</f>
        <v>0</v>
      </c>
      <c r="AF10203" s="185">
        <f>SUMIFS($AD$37:$AD$12971,$V$37:$V$12971,$V10203,$X$37:$X$12971,AF$13)</f>
        <v>0</v>
      </c>
      <c r="AG10203" s="185">
        <f>SUMIFS($AD$37:$AD$12971,$V$37:$V$12971,$V10203,$X$37:$X$12971,AG$13)</f>
        <v>0</v>
      </c>
      <c r="AH10203" s="187">
        <f>SUMIFS($AD$37:$AD$12971,$V$37:$V$12971,$V10203,$X$37:$X$12971,AH$13)</f>
        <v>0</v>
      </c>
      <c r="AI10203" s="161">
        <f t="shared" ref="AI10203" si="6760">SUM(AE10203:AH10203)</f>
        <v>0</v>
      </c>
      <c r="AK10203" s="172"/>
    </row>
    <row r="10204" spans="1:41" s="102" customFormat="1" ht="19.899999999999999" customHeight="1" x14ac:dyDescent="0.25">
      <c r="A10204" s="45"/>
      <c r="B10204" s="59"/>
      <c r="C10204" s="137"/>
      <c r="D10204" s="59"/>
      <c r="E10204" s="116"/>
      <c r="F10204" s="120"/>
      <c r="G10204" s="120"/>
      <c r="H10204" s="120"/>
      <c r="I10204" s="60"/>
      <c r="J10204" s="116"/>
      <c r="K10204" s="213"/>
      <c r="L10204" s="120"/>
      <c r="M10204" s="120"/>
      <c r="N10204" s="167"/>
      <c r="O10204" s="120"/>
      <c r="P10204" s="120"/>
      <c r="Q10204" s="120"/>
      <c r="R10204" s="120"/>
      <c r="S10204" s="120"/>
      <c r="T10204" s="221"/>
      <c r="U10204" s="89"/>
      <c r="V10204" s="61"/>
      <c r="W10204" s="92" t="s">
        <v>1032</v>
      </c>
      <c r="X10204" s="93" t="s">
        <v>30</v>
      </c>
      <c r="Y10204" s="93" t="s">
        <v>66</v>
      </c>
      <c r="Z10204" s="134">
        <f>VLOOKUP(W10204,Sheet2!$B:$D,3,FALSE)</f>
        <v>250</v>
      </c>
      <c r="AA10204" s="93">
        <v>1</v>
      </c>
      <c r="AB10204" s="93">
        <f>AD10204/AC10203</f>
        <v>250</v>
      </c>
      <c r="AC10204" s="93">
        <f>AC10203/AA10204</f>
        <v>381.95</v>
      </c>
      <c r="AD10204" s="94">
        <f t="shared" ref="AD10204" si="6761">AC10204*Z10204</f>
        <v>95487.5</v>
      </c>
      <c r="AE10204" s="190"/>
      <c r="AF10204" s="191"/>
      <c r="AG10204" s="191"/>
      <c r="AH10204" s="191"/>
      <c r="AI10204" s="186"/>
      <c r="AK10204" s="171"/>
    </row>
    <row r="10205" spans="1:41" s="102" customFormat="1" ht="19.899999999999999" customHeight="1" x14ac:dyDescent="0.25">
      <c r="A10205" s="45"/>
      <c r="B10205" s="59"/>
      <c r="C10205" s="137"/>
      <c r="D10205" s="59"/>
      <c r="E10205" s="116"/>
      <c r="F10205" s="120"/>
      <c r="G10205" s="120"/>
      <c r="H10205" s="120"/>
      <c r="I10205" s="60"/>
      <c r="J10205" s="116"/>
      <c r="K10205" s="213"/>
      <c r="L10205" s="120"/>
      <c r="M10205" s="120"/>
      <c r="N10205" s="167"/>
      <c r="O10205" s="120"/>
      <c r="P10205" s="120"/>
      <c r="Q10205" s="120"/>
      <c r="R10205" s="120"/>
      <c r="S10205" s="120"/>
      <c r="T10205" s="221"/>
      <c r="U10205" s="89"/>
      <c r="V10205" s="61"/>
      <c r="W10205" s="92" t="s">
        <v>1354</v>
      </c>
      <c r="X10205" s="93" t="s">
        <v>32</v>
      </c>
      <c r="Y10205" s="93" t="s">
        <v>66</v>
      </c>
      <c r="Z10205" s="134">
        <f>VLOOKUP(W10205,Sheet2!$B:$D,3,FALSE)</f>
        <v>150</v>
      </c>
      <c r="AA10205" s="93">
        <f>AA10204</f>
        <v>1</v>
      </c>
      <c r="AB10205" s="93">
        <f>AD10205/AC10203</f>
        <v>150</v>
      </c>
      <c r="AC10205" s="93">
        <f>AC10203/AA10205</f>
        <v>381.95</v>
      </c>
      <c r="AD10205" s="94">
        <f>AC10205*Z10205</f>
        <v>57292.5</v>
      </c>
      <c r="AE10205" s="190"/>
      <c r="AF10205" s="191"/>
      <c r="AG10205" s="191"/>
      <c r="AH10205" s="191"/>
      <c r="AI10205" s="186"/>
      <c r="AK10205" s="171"/>
    </row>
    <row r="10206" spans="1:41" ht="20.100000000000001" customHeight="1" x14ac:dyDescent="0.25">
      <c r="A10206" s="277" t="s">
        <v>945</v>
      </c>
      <c r="B10206" s="278"/>
      <c r="C10206" s="64" t="s">
        <v>875</v>
      </c>
      <c r="D10206" s="46" t="s">
        <v>201</v>
      </c>
      <c r="E10206" s="114">
        <v>60.15</v>
      </c>
      <c r="F10206" s="44">
        <v>1007</v>
      </c>
      <c r="G10206" s="44">
        <f t="shared" si="6741"/>
        <v>60571.049999999996</v>
      </c>
      <c r="H10206" s="44">
        <f t="shared" si="6742"/>
        <v>400</v>
      </c>
      <c r="I10206" s="43">
        <f t="shared" si="6743"/>
        <v>24060</v>
      </c>
      <c r="J10206" s="112">
        <f t="shared" si="6744"/>
        <v>60.15</v>
      </c>
      <c r="K10206" s="211">
        <f t="shared" si="6745"/>
        <v>60.15</v>
      </c>
      <c r="L10206" s="44"/>
      <c r="M10206" s="44">
        <f t="shared" si="6755"/>
        <v>60.15</v>
      </c>
      <c r="N10206" s="173">
        <f t="shared" si="6746"/>
        <v>1</v>
      </c>
      <c r="O10206" s="44">
        <f t="shared" si="6747"/>
        <v>1007</v>
      </c>
      <c r="P10206" s="44">
        <f t="shared" si="6748"/>
        <v>60571.049999999996</v>
      </c>
      <c r="Q10206" s="44">
        <f t="shared" si="6749"/>
        <v>400</v>
      </c>
      <c r="R10206" s="44">
        <f t="shared" si="6756"/>
        <v>24060</v>
      </c>
      <c r="S10206" s="123"/>
      <c r="T10206" s="219">
        <f t="shared" si="6757"/>
        <v>24060</v>
      </c>
      <c r="U10206" s="87"/>
      <c r="V10206" s="47"/>
      <c r="W10206" s="48"/>
      <c r="X10206" s="48"/>
      <c r="Y10206" s="48"/>
      <c r="Z10206" s="135"/>
      <c r="AA10206" s="49"/>
      <c r="AB10206" s="50">
        <f t="shared" si="6750"/>
        <v>400</v>
      </c>
      <c r="AC10206" s="42">
        <f t="shared" si="6758"/>
        <v>60.15</v>
      </c>
      <c r="AD10206" s="90">
        <f>AD10207</f>
        <v>24060</v>
      </c>
      <c r="AE10206" s="188">
        <f t="shared" ref="AE10206" si="6762">AE10207</f>
        <v>0</v>
      </c>
      <c r="AF10206" s="189">
        <f t="shared" ref="AF10206" si="6763">AF10207</f>
        <v>0</v>
      </c>
      <c r="AG10206" s="189">
        <f t="shared" ref="AG10206" si="6764">AG10207</f>
        <v>0</v>
      </c>
      <c r="AH10206" s="189">
        <f t="shared" ref="AH10206" si="6765">AH10207</f>
        <v>0</v>
      </c>
      <c r="AI10206" s="161">
        <f t="shared" ref="AI10206" si="6766">SUM(AE10206:AH10206)</f>
        <v>0</v>
      </c>
      <c r="AK10206" s="169">
        <v>5</v>
      </c>
      <c r="AO10206" s="19" t="s">
        <v>63</v>
      </c>
    </row>
    <row r="10207" spans="1:41" s="103" customFormat="1" ht="19.899999999999999" customHeight="1" x14ac:dyDescent="0.25">
      <c r="A10207" s="51"/>
      <c r="B10207" s="52"/>
      <c r="C10207" s="165"/>
      <c r="D10207" s="52"/>
      <c r="E10207" s="115"/>
      <c r="F10207" s="58"/>
      <c r="G10207" s="58"/>
      <c r="H10207" s="58"/>
      <c r="I10207" s="55"/>
      <c r="J10207" s="113">
        <f>J10206</f>
        <v>60.15</v>
      </c>
      <c r="K10207" s="212">
        <f>K10206</f>
        <v>60.15</v>
      </c>
      <c r="L10207" s="58"/>
      <c r="M10207" s="58">
        <f>K10207-L10207</f>
        <v>60.15</v>
      </c>
      <c r="N10207" s="166"/>
      <c r="O10207" s="58"/>
      <c r="P10207" s="58"/>
      <c r="Q10207" s="58"/>
      <c r="R10207" s="58"/>
      <c r="S10207" s="58"/>
      <c r="T10207" s="220"/>
      <c r="U10207" s="88"/>
      <c r="V10207" s="56"/>
      <c r="W10207" s="57" t="s">
        <v>1683</v>
      </c>
      <c r="X10207" s="53"/>
      <c r="Y10207" s="91" t="s">
        <v>66</v>
      </c>
      <c r="Z10207" s="136">
        <f>AD10207/AC10207</f>
        <v>400</v>
      </c>
      <c r="AA10207" s="58"/>
      <c r="AB10207" s="53">
        <f>AD10207/AC10207</f>
        <v>400</v>
      </c>
      <c r="AC10207" s="53">
        <f>M10207+$AE$10</f>
        <v>60.15</v>
      </c>
      <c r="AD10207" s="54">
        <f>SUM(AD10208:AD10209)</f>
        <v>24060</v>
      </c>
      <c r="AE10207" s="184">
        <f>SUMIFS($AD$37:$AD$12971,$V$37:$V$12971,$V10207,$X$37:$X$12971,AE$13)</f>
        <v>0</v>
      </c>
      <c r="AF10207" s="185">
        <f>SUMIFS($AD$37:$AD$12971,$V$37:$V$12971,$V10207,$X$37:$X$12971,AF$13)</f>
        <v>0</v>
      </c>
      <c r="AG10207" s="185">
        <f>SUMIFS($AD$37:$AD$12971,$V$37:$V$12971,$V10207,$X$37:$X$12971,AG$13)</f>
        <v>0</v>
      </c>
      <c r="AH10207" s="187">
        <f>SUMIFS($AD$37:$AD$12971,$V$37:$V$12971,$V10207,$X$37:$X$12971,AH$13)</f>
        <v>0</v>
      </c>
      <c r="AI10207" s="161">
        <f t="shared" ref="AI10207" si="6767">SUM(AE10207:AH10207)</f>
        <v>0</v>
      </c>
      <c r="AK10207" s="172"/>
    </row>
    <row r="10208" spans="1:41" s="102" customFormat="1" ht="19.899999999999999" customHeight="1" x14ac:dyDescent="0.25">
      <c r="A10208" s="45"/>
      <c r="B10208" s="59"/>
      <c r="C10208" s="137"/>
      <c r="D10208" s="59"/>
      <c r="E10208" s="116"/>
      <c r="F10208" s="120"/>
      <c r="G10208" s="120"/>
      <c r="H10208" s="120"/>
      <c r="I10208" s="60"/>
      <c r="J10208" s="116"/>
      <c r="K10208" s="213"/>
      <c r="L10208" s="120"/>
      <c r="M10208" s="120"/>
      <c r="N10208" s="167"/>
      <c r="O10208" s="120"/>
      <c r="P10208" s="120"/>
      <c r="Q10208" s="120"/>
      <c r="R10208" s="120"/>
      <c r="S10208" s="120"/>
      <c r="T10208" s="221"/>
      <c r="U10208" s="89"/>
      <c r="V10208" s="61"/>
      <c r="W10208" s="92" t="s">
        <v>1032</v>
      </c>
      <c r="X10208" s="93" t="s">
        <v>30</v>
      </c>
      <c r="Y10208" s="93" t="s">
        <v>66</v>
      </c>
      <c r="Z10208" s="134">
        <f>VLOOKUP(W10208,Sheet2!$B:$D,3,FALSE)</f>
        <v>250</v>
      </c>
      <c r="AA10208" s="93">
        <v>1</v>
      </c>
      <c r="AB10208" s="93">
        <f>AD10208/AC10207</f>
        <v>250</v>
      </c>
      <c r="AC10208" s="93">
        <f>AC10207/AA10208</f>
        <v>60.15</v>
      </c>
      <c r="AD10208" s="94">
        <f t="shared" ref="AD10208" si="6768">AC10208*Z10208</f>
        <v>15037.5</v>
      </c>
      <c r="AE10208" s="190"/>
      <c r="AF10208" s="191"/>
      <c r="AG10208" s="191"/>
      <c r="AH10208" s="191"/>
      <c r="AI10208" s="186"/>
      <c r="AK10208" s="171"/>
    </row>
    <row r="10209" spans="1:41" s="102" customFormat="1" ht="19.899999999999999" customHeight="1" x14ac:dyDescent="0.25">
      <c r="A10209" s="45"/>
      <c r="B10209" s="59"/>
      <c r="C10209" s="137"/>
      <c r="D10209" s="59"/>
      <c r="E10209" s="116"/>
      <c r="F10209" s="120"/>
      <c r="G10209" s="120"/>
      <c r="H10209" s="120"/>
      <c r="I10209" s="60"/>
      <c r="J10209" s="116"/>
      <c r="K10209" s="213"/>
      <c r="L10209" s="120"/>
      <c r="M10209" s="120"/>
      <c r="N10209" s="167"/>
      <c r="O10209" s="120"/>
      <c r="P10209" s="120"/>
      <c r="Q10209" s="120"/>
      <c r="R10209" s="120"/>
      <c r="S10209" s="120"/>
      <c r="T10209" s="221"/>
      <c r="U10209" s="89"/>
      <c r="V10209" s="61"/>
      <c r="W10209" s="92" t="s">
        <v>1354</v>
      </c>
      <c r="X10209" s="93" t="s">
        <v>32</v>
      </c>
      <c r="Y10209" s="93" t="s">
        <v>66</v>
      </c>
      <c r="Z10209" s="134">
        <f>VLOOKUP(W10209,Sheet2!$B:$D,3,FALSE)</f>
        <v>150</v>
      </c>
      <c r="AA10209" s="93">
        <f>AA10208</f>
        <v>1</v>
      </c>
      <c r="AB10209" s="93">
        <f>AD10209/AC10207</f>
        <v>150</v>
      </c>
      <c r="AC10209" s="93">
        <f>AC10207/AA10209</f>
        <v>60.15</v>
      </c>
      <c r="AD10209" s="94">
        <f>AC10209*Z10209</f>
        <v>9022.5</v>
      </c>
      <c r="AE10209" s="190"/>
      <c r="AF10209" s="191"/>
      <c r="AG10209" s="191"/>
      <c r="AH10209" s="191"/>
      <c r="AI10209" s="186"/>
      <c r="AK10209" s="171"/>
    </row>
    <row r="10210" spans="1:41" ht="20.100000000000001" customHeight="1" x14ac:dyDescent="0.25">
      <c r="A10210" s="277" t="s">
        <v>945</v>
      </c>
      <c r="B10210" s="278"/>
      <c r="C10210" s="64" t="s">
        <v>957</v>
      </c>
      <c r="D10210" s="46" t="s">
        <v>201</v>
      </c>
      <c r="E10210" s="114">
        <v>233.76</v>
      </c>
      <c r="F10210" s="44">
        <v>1007</v>
      </c>
      <c r="G10210" s="44">
        <f t="shared" si="6741"/>
        <v>235396.31999999998</v>
      </c>
      <c r="H10210" s="44">
        <f t="shared" si="6742"/>
        <v>400</v>
      </c>
      <c r="I10210" s="43">
        <f t="shared" si="6743"/>
        <v>93504</v>
      </c>
      <c r="J10210" s="112">
        <f t="shared" si="6744"/>
        <v>233.76</v>
      </c>
      <c r="K10210" s="211">
        <f t="shared" si="6745"/>
        <v>233.76</v>
      </c>
      <c r="L10210" s="44"/>
      <c r="M10210" s="44">
        <f t="shared" si="6755"/>
        <v>233.76</v>
      </c>
      <c r="N10210" s="173">
        <f t="shared" si="6746"/>
        <v>1</v>
      </c>
      <c r="O10210" s="44">
        <f t="shared" si="6747"/>
        <v>1007</v>
      </c>
      <c r="P10210" s="44">
        <f t="shared" si="6748"/>
        <v>235396.31999999998</v>
      </c>
      <c r="Q10210" s="44">
        <f t="shared" si="6749"/>
        <v>400</v>
      </c>
      <c r="R10210" s="44">
        <f t="shared" si="6756"/>
        <v>93504</v>
      </c>
      <c r="S10210" s="123"/>
      <c r="T10210" s="219">
        <f t="shared" si="6757"/>
        <v>93504</v>
      </c>
      <c r="U10210" s="87"/>
      <c r="V10210" s="47"/>
      <c r="W10210" s="48"/>
      <c r="X10210" s="48"/>
      <c r="Y10210" s="48"/>
      <c r="Z10210" s="135"/>
      <c r="AA10210" s="49"/>
      <c r="AB10210" s="50">
        <f t="shared" si="6750"/>
        <v>400</v>
      </c>
      <c r="AC10210" s="42">
        <f t="shared" si="6758"/>
        <v>233.76</v>
      </c>
      <c r="AD10210" s="90">
        <f>AD10211</f>
        <v>93504</v>
      </c>
      <c r="AE10210" s="188">
        <f t="shared" ref="AE10210" si="6769">AE10211</f>
        <v>0</v>
      </c>
      <c r="AF10210" s="189">
        <f t="shared" ref="AF10210" si="6770">AF10211</f>
        <v>0</v>
      </c>
      <c r="AG10210" s="189">
        <f t="shared" ref="AG10210" si="6771">AG10211</f>
        <v>0</v>
      </c>
      <c r="AH10210" s="189">
        <f t="shared" ref="AH10210" si="6772">AH10211</f>
        <v>0</v>
      </c>
      <c r="AI10210" s="161">
        <f t="shared" ref="AI10210" si="6773">SUM(AE10210:AH10210)</f>
        <v>0</v>
      </c>
      <c r="AK10210" s="169">
        <v>5</v>
      </c>
      <c r="AO10210" s="19" t="s">
        <v>63</v>
      </c>
    </row>
    <row r="10211" spans="1:41" s="103" customFormat="1" ht="19.899999999999999" customHeight="1" x14ac:dyDescent="0.25">
      <c r="A10211" s="51"/>
      <c r="B10211" s="52"/>
      <c r="C10211" s="165"/>
      <c r="D10211" s="52"/>
      <c r="E10211" s="115"/>
      <c r="F10211" s="58"/>
      <c r="G10211" s="58"/>
      <c r="H10211" s="58"/>
      <c r="I10211" s="55"/>
      <c r="J10211" s="113">
        <f>J10210</f>
        <v>233.76</v>
      </c>
      <c r="K10211" s="212">
        <f>K10210</f>
        <v>233.76</v>
      </c>
      <c r="L10211" s="58"/>
      <c r="M10211" s="58">
        <f>K10211-L10211</f>
        <v>233.76</v>
      </c>
      <c r="N10211" s="166"/>
      <c r="O10211" s="58"/>
      <c r="P10211" s="58"/>
      <c r="Q10211" s="58"/>
      <c r="R10211" s="58"/>
      <c r="S10211" s="58"/>
      <c r="T10211" s="220"/>
      <c r="U10211" s="88"/>
      <c r="V10211" s="56"/>
      <c r="W10211" s="57" t="s">
        <v>1683</v>
      </c>
      <c r="X10211" s="53"/>
      <c r="Y10211" s="91" t="s">
        <v>66</v>
      </c>
      <c r="Z10211" s="136">
        <f>AD10211/AC10211</f>
        <v>400</v>
      </c>
      <c r="AA10211" s="58"/>
      <c r="AB10211" s="53">
        <f>AD10211/AC10211</f>
        <v>400</v>
      </c>
      <c r="AC10211" s="53">
        <f>M10211+$AE$10</f>
        <v>233.76</v>
      </c>
      <c r="AD10211" s="54">
        <f>SUM(AD10212:AD10213)</f>
        <v>93504</v>
      </c>
      <c r="AE10211" s="184">
        <f>SUMIFS($AD$37:$AD$12971,$V$37:$V$12971,$V10211,$X$37:$X$12971,AE$13)</f>
        <v>0</v>
      </c>
      <c r="AF10211" s="185">
        <f>SUMIFS($AD$37:$AD$12971,$V$37:$V$12971,$V10211,$X$37:$X$12971,AF$13)</f>
        <v>0</v>
      </c>
      <c r="AG10211" s="185">
        <f>SUMIFS($AD$37:$AD$12971,$V$37:$V$12971,$V10211,$X$37:$X$12971,AG$13)</f>
        <v>0</v>
      </c>
      <c r="AH10211" s="187">
        <f>SUMIFS($AD$37:$AD$12971,$V$37:$V$12971,$V10211,$X$37:$X$12971,AH$13)</f>
        <v>0</v>
      </c>
      <c r="AI10211" s="161">
        <f t="shared" ref="AI10211" si="6774">SUM(AE10211:AH10211)</f>
        <v>0</v>
      </c>
      <c r="AK10211" s="172"/>
    </row>
    <row r="10212" spans="1:41" s="102" customFormat="1" ht="19.899999999999999" customHeight="1" x14ac:dyDescent="0.25">
      <c r="A10212" s="45"/>
      <c r="B10212" s="59"/>
      <c r="C10212" s="137"/>
      <c r="D10212" s="59"/>
      <c r="E10212" s="116"/>
      <c r="F10212" s="120"/>
      <c r="G10212" s="120"/>
      <c r="H10212" s="120"/>
      <c r="I10212" s="60"/>
      <c r="J10212" s="116"/>
      <c r="K10212" s="213"/>
      <c r="L10212" s="120"/>
      <c r="M10212" s="120"/>
      <c r="N10212" s="167"/>
      <c r="O10212" s="120"/>
      <c r="P10212" s="120"/>
      <c r="Q10212" s="120"/>
      <c r="R10212" s="120"/>
      <c r="S10212" s="120"/>
      <c r="T10212" s="221"/>
      <c r="U10212" s="89"/>
      <c r="V10212" s="61"/>
      <c r="W10212" s="92" t="s">
        <v>1032</v>
      </c>
      <c r="X10212" s="93" t="s">
        <v>30</v>
      </c>
      <c r="Y10212" s="93" t="s">
        <v>66</v>
      </c>
      <c r="Z10212" s="134">
        <f>VLOOKUP(W10212,Sheet2!$B:$D,3,FALSE)</f>
        <v>250</v>
      </c>
      <c r="AA10212" s="93">
        <v>1</v>
      </c>
      <c r="AB10212" s="93">
        <f>AD10212/AC10211</f>
        <v>250</v>
      </c>
      <c r="AC10212" s="93">
        <f>AC10211/AA10212</f>
        <v>233.76</v>
      </c>
      <c r="AD10212" s="94">
        <f t="shared" ref="AD10212" si="6775">AC10212*Z10212</f>
        <v>58440</v>
      </c>
      <c r="AE10212" s="190"/>
      <c r="AF10212" s="191"/>
      <c r="AG10212" s="191"/>
      <c r="AH10212" s="191"/>
      <c r="AI10212" s="186"/>
      <c r="AK10212" s="171"/>
    </row>
    <row r="10213" spans="1:41" s="102" customFormat="1" ht="19.899999999999999" customHeight="1" x14ac:dyDescent="0.25">
      <c r="A10213" s="45"/>
      <c r="B10213" s="59"/>
      <c r="C10213" s="137"/>
      <c r="D10213" s="59"/>
      <c r="E10213" s="116"/>
      <c r="F10213" s="120"/>
      <c r="G10213" s="120"/>
      <c r="H10213" s="120"/>
      <c r="I10213" s="60"/>
      <c r="J10213" s="116"/>
      <c r="K10213" s="213"/>
      <c r="L10213" s="120"/>
      <c r="M10213" s="120"/>
      <c r="N10213" s="167"/>
      <c r="O10213" s="120"/>
      <c r="P10213" s="120"/>
      <c r="Q10213" s="120"/>
      <c r="R10213" s="120"/>
      <c r="S10213" s="120"/>
      <c r="T10213" s="221"/>
      <c r="U10213" s="89"/>
      <c r="V10213" s="61"/>
      <c r="W10213" s="92" t="s">
        <v>1354</v>
      </c>
      <c r="X10213" s="93" t="s">
        <v>32</v>
      </c>
      <c r="Y10213" s="93" t="s">
        <v>66</v>
      </c>
      <c r="Z10213" s="134">
        <f>VLOOKUP(W10213,Sheet2!$B:$D,3,FALSE)</f>
        <v>150</v>
      </c>
      <c r="AA10213" s="93">
        <f>AA10212</f>
        <v>1</v>
      </c>
      <c r="AB10213" s="93">
        <f>AD10213/AC10211</f>
        <v>150</v>
      </c>
      <c r="AC10213" s="93">
        <f>AC10211/AA10213</f>
        <v>233.76</v>
      </c>
      <c r="AD10213" s="94">
        <f>AC10213*Z10213</f>
        <v>35064</v>
      </c>
      <c r="AE10213" s="190"/>
      <c r="AF10213" s="191"/>
      <c r="AG10213" s="191"/>
      <c r="AH10213" s="191"/>
      <c r="AI10213" s="186"/>
      <c r="AK10213" s="171"/>
    </row>
    <row r="10214" spans="1:41" ht="20.100000000000001" customHeight="1" x14ac:dyDescent="0.25">
      <c r="A10214" s="277" t="s">
        <v>945</v>
      </c>
      <c r="B10214" s="278"/>
      <c r="C10214" s="64" t="s">
        <v>881</v>
      </c>
      <c r="D10214" s="46" t="s">
        <v>201</v>
      </c>
      <c r="E10214" s="114">
        <v>148.19</v>
      </c>
      <c r="F10214" s="44">
        <v>1070</v>
      </c>
      <c r="G10214" s="44">
        <f t="shared" si="6741"/>
        <v>158563.29999999999</v>
      </c>
      <c r="H10214" s="44">
        <f t="shared" si="6742"/>
        <v>800</v>
      </c>
      <c r="I10214" s="43">
        <f t="shared" si="6743"/>
        <v>118552</v>
      </c>
      <c r="J10214" s="112">
        <f t="shared" si="6744"/>
        <v>148.19</v>
      </c>
      <c r="K10214" s="211">
        <f t="shared" si="6745"/>
        <v>148.19</v>
      </c>
      <c r="L10214" s="44"/>
      <c r="M10214" s="44">
        <f t="shared" si="6755"/>
        <v>148.19</v>
      </c>
      <c r="N10214" s="173">
        <f t="shared" si="6746"/>
        <v>1</v>
      </c>
      <c r="O10214" s="44">
        <f t="shared" si="6747"/>
        <v>1070</v>
      </c>
      <c r="P10214" s="44">
        <f t="shared" si="6748"/>
        <v>158563.29999999999</v>
      </c>
      <c r="Q10214" s="44">
        <f t="shared" si="6749"/>
        <v>800</v>
      </c>
      <c r="R10214" s="44">
        <f t="shared" si="6756"/>
        <v>118552</v>
      </c>
      <c r="S10214" s="123"/>
      <c r="T10214" s="219">
        <f t="shared" si="6757"/>
        <v>118552</v>
      </c>
      <c r="U10214" s="87"/>
      <c r="V10214" s="47"/>
      <c r="W10214" s="48"/>
      <c r="X10214" s="48"/>
      <c r="Y10214" s="48"/>
      <c r="Z10214" s="135"/>
      <c r="AA10214" s="49"/>
      <c r="AB10214" s="50">
        <f t="shared" si="6750"/>
        <v>800</v>
      </c>
      <c r="AC10214" s="42">
        <f t="shared" si="6758"/>
        <v>148.19</v>
      </c>
      <c r="AD10214" s="90">
        <f>AD10215</f>
        <v>118552</v>
      </c>
      <c r="AE10214" s="188">
        <f t="shared" ref="AE10214" si="6776">AE10215</f>
        <v>0</v>
      </c>
      <c r="AF10214" s="189">
        <f t="shared" ref="AF10214" si="6777">AF10215</f>
        <v>0</v>
      </c>
      <c r="AG10214" s="189">
        <f t="shared" ref="AG10214" si="6778">AG10215</f>
        <v>0</v>
      </c>
      <c r="AH10214" s="189">
        <f t="shared" ref="AH10214" si="6779">AH10215</f>
        <v>0</v>
      </c>
      <c r="AI10214" s="161">
        <f t="shared" ref="AI10214" si="6780">SUM(AE10214:AH10214)</f>
        <v>0</v>
      </c>
      <c r="AK10214" s="169">
        <v>5</v>
      </c>
      <c r="AO10214" s="19" t="s">
        <v>63</v>
      </c>
    </row>
    <row r="10215" spans="1:41" s="103" customFormat="1" ht="19.899999999999999" customHeight="1" x14ac:dyDescent="0.25">
      <c r="A10215" s="51"/>
      <c r="B10215" s="52"/>
      <c r="C10215" s="165"/>
      <c r="D10215" s="52"/>
      <c r="E10215" s="115"/>
      <c r="F10215" s="58"/>
      <c r="G10215" s="58"/>
      <c r="H10215" s="58"/>
      <c r="I10215" s="55"/>
      <c r="J10215" s="113">
        <f>J10214</f>
        <v>148.19</v>
      </c>
      <c r="K10215" s="212">
        <f>K10214</f>
        <v>148.19</v>
      </c>
      <c r="L10215" s="58"/>
      <c r="M10215" s="58">
        <f>K10215-L10215</f>
        <v>148.19</v>
      </c>
      <c r="N10215" s="166"/>
      <c r="O10215" s="58"/>
      <c r="P10215" s="58"/>
      <c r="Q10215" s="58"/>
      <c r="R10215" s="58"/>
      <c r="S10215" s="58"/>
      <c r="T10215" s="220"/>
      <c r="U10215" s="88"/>
      <c r="V10215" s="56"/>
      <c r="W10215" s="57" t="s">
        <v>1683</v>
      </c>
      <c r="X10215" s="53"/>
      <c r="Y10215" s="91" t="s">
        <v>66</v>
      </c>
      <c r="Z10215" s="136">
        <f>AD10215/AC10215</f>
        <v>800</v>
      </c>
      <c r="AA10215" s="58"/>
      <c r="AB10215" s="53">
        <f>AD10215/AC10215</f>
        <v>800</v>
      </c>
      <c r="AC10215" s="53">
        <f>M10215+$AE$10</f>
        <v>148.19</v>
      </c>
      <c r="AD10215" s="54">
        <f>SUM(AD10216:AD10217)</f>
        <v>118552</v>
      </c>
      <c r="AE10215" s="184">
        <f>SUMIFS($AD$37:$AD$12971,$V$37:$V$12971,$V10215,$X$37:$X$12971,AE$13)</f>
        <v>0</v>
      </c>
      <c r="AF10215" s="185">
        <f>SUMIFS($AD$37:$AD$12971,$V$37:$V$12971,$V10215,$X$37:$X$12971,AF$13)</f>
        <v>0</v>
      </c>
      <c r="AG10215" s="185">
        <f>SUMIFS($AD$37:$AD$12971,$V$37:$V$12971,$V10215,$X$37:$X$12971,AG$13)</f>
        <v>0</v>
      </c>
      <c r="AH10215" s="187">
        <f>SUMIFS($AD$37:$AD$12971,$V$37:$V$12971,$V10215,$X$37:$X$12971,AH$13)</f>
        <v>0</v>
      </c>
      <c r="AI10215" s="161">
        <f t="shared" ref="AI10215" si="6781">SUM(AE10215:AH10215)</f>
        <v>0</v>
      </c>
      <c r="AK10215" s="172"/>
    </row>
    <row r="10216" spans="1:41" s="102" customFormat="1" ht="19.899999999999999" customHeight="1" x14ac:dyDescent="0.25">
      <c r="A10216" s="45"/>
      <c r="B10216" s="59"/>
      <c r="C10216" s="137"/>
      <c r="D10216" s="59"/>
      <c r="E10216" s="116"/>
      <c r="F10216" s="120"/>
      <c r="G10216" s="120"/>
      <c r="H10216" s="120"/>
      <c r="I10216" s="60"/>
      <c r="J10216" s="116"/>
      <c r="K10216" s="213"/>
      <c r="L10216" s="120"/>
      <c r="M10216" s="120"/>
      <c r="N10216" s="167"/>
      <c r="O10216" s="120"/>
      <c r="P10216" s="120"/>
      <c r="Q10216" s="120"/>
      <c r="R10216" s="120"/>
      <c r="S10216" s="120"/>
      <c r="T10216" s="221"/>
      <c r="U10216" s="89"/>
      <c r="V10216" s="61"/>
      <c r="W10216" s="92" t="s">
        <v>1353</v>
      </c>
      <c r="X10216" s="93" t="s">
        <v>30</v>
      </c>
      <c r="Y10216" s="93" t="s">
        <v>66</v>
      </c>
      <c r="Z10216" s="134">
        <f>VLOOKUP(W10216,Sheet2!$B:$D,3,FALSE)</f>
        <v>350</v>
      </c>
      <c r="AA10216" s="93">
        <v>1</v>
      </c>
      <c r="AB10216" s="93">
        <f>AD10216/AC10215</f>
        <v>350</v>
      </c>
      <c r="AC10216" s="93">
        <f>AC10215/AA10216</f>
        <v>148.19</v>
      </c>
      <c r="AD10216" s="94">
        <f t="shared" ref="AD10216" si="6782">AC10216*Z10216</f>
        <v>51866.5</v>
      </c>
      <c r="AE10216" s="190"/>
      <c r="AF10216" s="191"/>
      <c r="AG10216" s="191"/>
      <c r="AH10216" s="191"/>
      <c r="AI10216" s="186"/>
      <c r="AK10216" s="171"/>
    </row>
    <row r="10217" spans="1:41" s="102" customFormat="1" ht="19.899999999999999" customHeight="1" x14ac:dyDescent="0.25">
      <c r="A10217" s="45"/>
      <c r="B10217" s="59"/>
      <c r="C10217" s="137"/>
      <c r="D10217" s="59"/>
      <c r="E10217" s="116"/>
      <c r="F10217" s="120"/>
      <c r="G10217" s="120"/>
      <c r="H10217" s="120"/>
      <c r="I10217" s="60"/>
      <c r="J10217" s="116"/>
      <c r="K10217" s="213"/>
      <c r="L10217" s="120"/>
      <c r="M10217" s="120"/>
      <c r="N10217" s="167"/>
      <c r="O10217" s="120"/>
      <c r="P10217" s="120"/>
      <c r="Q10217" s="120"/>
      <c r="R10217" s="120"/>
      <c r="S10217" s="120"/>
      <c r="T10217" s="221"/>
      <c r="U10217" s="89"/>
      <c r="V10217" s="61"/>
      <c r="W10217" s="92" t="s">
        <v>1355</v>
      </c>
      <c r="X10217" s="93" t="s">
        <v>32</v>
      </c>
      <c r="Y10217" s="93" t="s">
        <v>66</v>
      </c>
      <c r="Z10217" s="134">
        <f>VLOOKUP(W10217,Sheet2!$B:$D,3,FALSE)</f>
        <v>450</v>
      </c>
      <c r="AA10217" s="93">
        <f>AA10216</f>
        <v>1</v>
      </c>
      <c r="AB10217" s="93">
        <f>AD10217/AC10215</f>
        <v>450</v>
      </c>
      <c r="AC10217" s="93">
        <f>AC10215/AA10217</f>
        <v>148.19</v>
      </c>
      <c r="AD10217" s="94">
        <f>AC10217*Z10217</f>
        <v>66685.5</v>
      </c>
      <c r="AE10217" s="190"/>
      <c r="AF10217" s="191"/>
      <c r="AG10217" s="191"/>
      <c r="AH10217" s="191"/>
      <c r="AI10217" s="186"/>
      <c r="AK10217" s="171"/>
    </row>
    <row r="10218" spans="1:41" ht="20.100000000000001" customHeight="1" x14ac:dyDescent="0.25">
      <c r="A10218" s="277" t="s">
        <v>945</v>
      </c>
      <c r="B10218" s="278"/>
      <c r="C10218" s="64" t="s">
        <v>886</v>
      </c>
      <c r="D10218" s="46" t="s">
        <v>201</v>
      </c>
      <c r="E10218" s="114">
        <v>203.59</v>
      </c>
      <c r="F10218" s="44">
        <v>1102</v>
      </c>
      <c r="G10218" s="44">
        <f t="shared" si="6741"/>
        <v>224356.18</v>
      </c>
      <c r="H10218" s="44">
        <f t="shared" si="6742"/>
        <v>800</v>
      </c>
      <c r="I10218" s="43">
        <f t="shared" si="6743"/>
        <v>162872</v>
      </c>
      <c r="J10218" s="112">
        <f t="shared" si="6744"/>
        <v>203.59</v>
      </c>
      <c r="K10218" s="211">
        <f t="shared" si="6745"/>
        <v>203.59</v>
      </c>
      <c r="L10218" s="44"/>
      <c r="M10218" s="44">
        <f t="shared" si="6755"/>
        <v>203.59</v>
      </c>
      <c r="N10218" s="173">
        <f t="shared" si="6746"/>
        <v>1</v>
      </c>
      <c r="O10218" s="44">
        <f t="shared" si="6747"/>
        <v>1102</v>
      </c>
      <c r="P10218" s="44">
        <f t="shared" si="6748"/>
        <v>224356.18</v>
      </c>
      <c r="Q10218" s="44">
        <f t="shared" si="6749"/>
        <v>800</v>
      </c>
      <c r="R10218" s="44">
        <f t="shared" si="6756"/>
        <v>162872</v>
      </c>
      <c r="S10218" s="123"/>
      <c r="T10218" s="219">
        <f t="shared" si="6757"/>
        <v>162872</v>
      </c>
      <c r="U10218" s="87"/>
      <c r="V10218" s="47"/>
      <c r="W10218" s="48"/>
      <c r="X10218" s="48"/>
      <c r="Y10218" s="48"/>
      <c r="Z10218" s="135"/>
      <c r="AA10218" s="49"/>
      <c r="AB10218" s="50">
        <f t="shared" si="6750"/>
        <v>800</v>
      </c>
      <c r="AC10218" s="42">
        <f t="shared" si="6758"/>
        <v>203.59</v>
      </c>
      <c r="AD10218" s="90">
        <f>AD10219</f>
        <v>162872</v>
      </c>
      <c r="AE10218" s="188">
        <f t="shared" ref="AE10218" si="6783">AE10219</f>
        <v>0</v>
      </c>
      <c r="AF10218" s="189">
        <f t="shared" ref="AF10218" si="6784">AF10219</f>
        <v>0</v>
      </c>
      <c r="AG10218" s="189">
        <f t="shared" ref="AG10218" si="6785">AG10219</f>
        <v>0</v>
      </c>
      <c r="AH10218" s="189">
        <f t="shared" ref="AH10218" si="6786">AH10219</f>
        <v>0</v>
      </c>
      <c r="AI10218" s="161">
        <f t="shared" ref="AI10218" si="6787">SUM(AE10218:AH10218)</f>
        <v>0</v>
      </c>
      <c r="AK10218" s="169">
        <v>5</v>
      </c>
      <c r="AO10218" s="19" t="s">
        <v>63</v>
      </c>
    </row>
    <row r="10219" spans="1:41" s="103" customFormat="1" ht="19.899999999999999" customHeight="1" x14ac:dyDescent="0.25">
      <c r="A10219" s="51"/>
      <c r="B10219" s="52"/>
      <c r="C10219" s="165"/>
      <c r="D10219" s="52"/>
      <c r="E10219" s="115"/>
      <c r="F10219" s="58"/>
      <c r="G10219" s="58"/>
      <c r="H10219" s="58"/>
      <c r="I10219" s="55"/>
      <c r="J10219" s="113">
        <f>J10218</f>
        <v>203.59</v>
      </c>
      <c r="K10219" s="212">
        <f>K10218</f>
        <v>203.59</v>
      </c>
      <c r="L10219" s="58"/>
      <c r="M10219" s="58">
        <f>K10219-L10219</f>
        <v>203.59</v>
      </c>
      <c r="N10219" s="166"/>
      <c r="O10219" s="58"/>
      <c r="P10219" s="58"/>
      <c r="Q10219" s="58"/>
      <c r="R10219" s="58"/>
      <c r="S10219" s="58"/>
      <c r="T10219" s="220"/>
      <c r="U10219" s="88"/>
      <c r="V10219" s="56"/>
      <c r="W10219" s="57" t="s">
        <v>1683</v>
      </c>
      <c r="X10219" s="53"/>
      <c r="Y10219" s="91" t="s">
        <v>66</v>
      </c>
      <c r="Z10219" s="136">
        <f>AD10219/AC10219</f>
        <v>800</v>
      </c>
      <c r="AA10219" s="58"/>
      <c r="AB10219" s="53">
        <f>AD10219/AC10219</f>
        <v>800</v>
      </c>
      <c r="AC10219" s="53">
        <f>M10219+$AE$10</f>
        <v>203.59</v>
      </c>
      <c r="AD10219" s="54">
        <f>SUM(AD10220:AD10221)</f>
        <v>162872</v>
      </c>
      <c r="AE10219" s="184">
        <f>SUMIFS($AD$37:$AD$12971,$V$37:$V$12971,$V10219,$X$37:$X$12971,AE$13)</f>
        <v>0</v>
      </c>
      <c r="AF10219" s="185">
        <f>SUMIFS($AD$37:$AD$12971,$V$37:$V$12971,$V10219,$X$37:$X$12971,AF$13)</f>
        <v>0</v>
      </c>
      <c r="AG10219" s="185">
        <f>SUMIFS($AD$37:$AD$12971,$V$37:$V$12971,$V10219,$X$37:$X$12971,AG$13)</f>
        <v>0</v>
      </c>
      <c r="AH10219" s="187">
        <f>SUMIFS($AD$37:$AD$12971,$V$37:$V$12971,$V10219,$X$37:$X$12971,AH$13)</f>
        <v>0</v>
      </c>
      <c r="AI10219" s="161">
        <f t="shared" ref="AI10219" si="6788">SUM(AE10219:AH10219)</f>
        <v>0</v>
      </c>
      <c r="AK10219" s="172"/>
    </row>
    <row r="10220" spans="1:41" s="102" customFormat="1" ht="19.899999999999999" customHeight="1" x14ac:dyDescent="0.25">
      <c r="A10220" s="45"/>
      <c r="B10220" s="59"/>
      <c r="C10220" s="137"/>
      <c r="D10220" s="59"/>
      <c r="E10220" s="116"/>
      <c r="F10220" s="120"/>
      <c r="G10220" s="120"/>
      <c r="H10220" s="120"/>
      <c r="I10220" s="60"/>
      <c r="J10220" s="116"/>
      <c r="K10220" s="213"/>
      <c r="L10220" s="120"/>
      <c r="M10220" s="120"/>
      <c r="N10220" s="167"/>
      <c r="O10220" s="120"/>
      <c r="P10220" s="120"/>
      <c r="Q10220" s="120"/>
      <c r="R10220" s="120"/>
      <c r="S10220" s="120"/>
      <c r="T10220" s="221"/>
      <c r="U10220" s="89"/>
      <c r="V10220" s="61"/>
      <c r="W10220" s="92" t="s">
        <v>1353</v>
      </c>
      <c r="X10220" s="93" t="s">
        <v>30</v>
      </c>
      <c r="Y10220" s="93" t="s">
        <v>66</v>
      </c>
      <c r="Z10220" s="134">
        <f>VLOOKUP(W10220,Sheet2!$B:$D,3,FALSE)</f>
        <v>350</v>
      </c>
      <c r="AA10220" s="93">
        <v>1</v>
      </c>
      <c r="AB10220" s="93">
        <f>AD10220/AC10219</f>
        <v>350</v>
      </c>
      <c r="AC10220" s="93">
        <f>AC10219/AA10220</f>
        <v>203.59</v>
      </c>
      <c r="AD10220" s="94">
        <f t="shared" ref="AD10220" si="6789">AC10220*Z10220</f>
        <v>71256.5</v>
      </c>
      <c r="AE10220" s="190"/>
      <c r="AF10220" s="191"/>
      <c r="AG10220" s="191"/>
      <c r="AH10220" s="191"/>
      <c r="AI10220" s="186"/>
      <c r="AK10220" s="171"/>
    </row>
    <row r="10221" spans="1:41" s="102" customFormat="1" ht="19.899999999999999" customHeight="1" x14ac:dyDescent="0.25">
      <c r="A10221" s="45"/>
      <c r="B10221" s="59"/>
      <c r="C10221" s="137"/>
      <c r="D10221" s="59"/>
      <c r="E10221" s="116"/>
      <c r="F10221" s="120"/>
      <c r="G10221" s="120"/>
      <c r="H10221" s="120"/>
      <c r="I10221" s="60"/>
      <c r="J10221" s="116"/>
      <c r="K10221" s="213"/>
      <c r="L10221" s="120"/>
      <c r="M10221" s="120"/>
      <c r="N10221" s="167"/>
      <c r="O10221" s="120"/>
      <c r="P10221" s="120"/>
      <c r="Q10221" s="120"/>
      <c r="R10221" s="120"/>
      <c r="S10221" s="120"/>
      <c r="T10221" s="221"/>
      <c r="U10221" s="89"/>
      <c r="V10221" s="61"/>
      <c r="W10221" s="92" t="s">
        <v>1355</v>
      </c>
      <c r="X10221" s="93" t="s">
        <v>32</v>
      </c>
      <c r="Y10221" s="93" t="s">
        <v>66</v>
      </c>
      <c r="Z10221" s="134">
        <f>VLOOKUP(W10221,Sheet2!$B:$D,3,FALSE)</f>
        <v>450</v>
      </c>
      <c r="AA10221" s="93">
        <f>AA10220</f>
        <v>1</v>
      </c>
      <c r="AB10221" s="93">
        <f>AD10221/AC10219</f>
        <v>450</v>
      </c>
      <c r="AC10221" s="93">
        <f>AC10219/AA10221</f>
        <v>203.59</v>
      </c>
      <c r="AD10221" s="94">
        <f>AC10221*Z10221</f>
        <v>91615.5</v>
      </c>
      <c r="AE10221" s="190"/>
      <c r="AF10221" s="191"/>
      <c r="AG10221" s="191"/>
      <c r="AH10221" s="191"/>
      <c r="AI10221" s="186"/>
      <c r="AK10221" s="171"/>
    </row>
    <row r="10222" spans="1:41" ht="20.100000000000001" customHeight="1" x14ac:dyDescent="0.25">
      <c r="A10222" s="277" t="s">
        <v>945</v>
      </c>
      <c r="B10222" s="278"/>
      <c r="C10222" s="64" t="s">
        <v>887</v>
      </c>
      <c r="D10222" s="46" t="s">
        <v>201</v>
      </c>
      <c r="E10222" s="114">
        <v>1306.55</v>
      </c>
      <c r="F10222" s="44">
        <v>1102</v>
      </c>
      <c r="G10222" s="44">
        <f t="shared" si="6741"/>
        <v>1439818.0999999999</v>
      </c>
      <c r="H10222" s="44">
        <f t="shared" si="6742"/>
        <v>800</v>
      </c>
      <c r="I10222" s="43">
        <f t="shared" si="6743"/>
        <v>1045240</v>
      </c>
      <c r="J10222" s="112">
        <f t="shared" si="6744"/>
        <v>1306.55</v>
      </c>
      <c r="K10222" s="211">
        <f t="shared" si="6745"/>
        <v>1306.55</v>
      </c>
      <c r="L10222" s="44"/>
      <c r="M10222" s="44">
        <f t="shared" si="6755"/>
        <v>1306.55</v>
      </c>
      <c r="N10222" s="173">
        <f t="shared" si="6746"/>
        <v>1</v>
      </c>
      <c r="O10222" s="44">
        <f t="shared" si="6747"/>
        <v>1102</v>
      </c>
      <c r="P10222" s="44">
        <f t="shared" si="6748"/>
        <v>1439818.0999999999</v>
      </c>
      <c r="Q10222" s="44">
        <f t="shared" si="6749"/>
        <v>800</v>
      </c>
      <c r="R10222" s="44">
        <f t="shared" si="6756"/>
        <v>1045240</v>
      </c>
      <c r="S10222" s="123"/>
      <c r="T10222" s="219">
        <f t="shared" si="6757"/>
        <v>1045240</v>
      </c>
      <c r="U10222" s="87"/>
      <c r="V10222" s="47"/>
      <c r="W10222" s="48"/>
      <c r="X10222" s="48"/>
      <c r="Y10222" s="48"/>
      <c r="Z10222" s="135"/>
      <c r="AA10222" s="49"/>
      <c r="AB10222" s="50">
        <f t="shared" si="6750"/>
        <v>800</v>
      </c>
      <c r="AC10222" s="42">
        <f t="shared" si="6758"/>
        <v>1306.55</v>
      </c>
      <c r="AD10222" s="90">
        <f>AD10223</f>
        <v>1045240</v>
      </c>
      <c r="AE10222" s="188">
        <f t="shared" ref="AE10222" si="6790">AE10223</f>
        <v>0</v>
      </c>
      <c r="AF10222" s="189">
        <f t="shared" ref="AF10222" si="6791">AF10223</f>
        <v>0</v>
      </c>
      <c r="AG10222" s="189">
        <f t="shared" ref="AG10222" si="6792">AG10223</f>
        <v>0</v>
      </c>
      <c r="AH10222" s="189">
        <f t="shared" ref="AH10222" si="6793">AH10223</f>
        <v>0</v>
      </c>
      <c r="AI10222" s="161">
        <f t="shared" ref="AI10222" si="6794">SUM(AE10222:AH10222)</f>
        <v>0</v>
      </c>
      <c r="AK10222" s="169">
        <v>5</v>
      </c>
      <c r="AO10222" s="19" t="s">
        <v>63</v>
      </c>
    </row>
    <row r="10223" spans="1:41" s="103" customFormat="1" ht="19.899999999999999" customHeight="1" x14ac:dyDescent="0.25">
      <c r="A10223" s="51"/>
      <c r="B10223" s="52"/>
      <c r="C10223" s="165"/>
      <c r="D10223" s="52"/>
      <c r="E10223" s="115"/>
      <c r="F10223" s="58"/>
      <c r="G10223" s="58"/>
      <c r="H10223" s="58"/>
      <c r="I10223" s="55"/>
      <c r="J10223" s="113">
        <f>J10222</f>
        <v>1306.55</v>
      </c>
      <c r="K10223" s="212">
        <f>K10222</f>
        <v>1306.55</v>
      </c>
      <c r="L10223" s="58"/>
      <c r="M10223" s="58">
        <f>K10223-L10223</f>
        <v>1306.55</v>
      </c>
      <c r="N10223" s="166"/>
      <c r="O10223" s="58"/>
      <c r="P10223" s="58"/>
      <c r="Q10223" s="58"/>
      <c r="R10223" s="58"/>
      <c r="S10223" s="58"/>
      <c r="T10223" s="220"/>
      <c r="U10223" s="88"/>
      <c r="V10223" s="56"/>
      <c r="W10223" s="57" t="s">
        <v>1683</v>
      </c>
      <c r="X10223" s="53"/>
      <c r="Y10223" s="91" t="s">
        <v>66</v>
      </c>
      <c r="Z10223" s="136">
        <f>AD10223/AC10223</f>
        <v>800</v>
      </c>
      <c r="AA10223" s="58"/>
      <c r="AB10223" s="53">
        <f>AD10223/AC10223</f>
        <v>800</v>
      </c>
      <c r="AC10223" s="53">
        <f>M10223+$AE$10</f>
        <v>1306.55</v>
      </c>
      <c r="AD10223" s="54">
        <f>SUM(AD10224:AD10225)</f>
        <v>1045240</v>
      </c>
      <c r="AE10223" s="184">
        <f>SUMIFS($AD$37:$AD$12971,$V$37:$V$12971,$V10223,$X$37:$X$12971,AE$13)</f>
        <v>0</v>
      </c>
      <c r="AF10223" s="185">
        <f>SUMIFS($AD$37:$AD$12971,$V$37:$V$12971,$V10223,$X$37:$X$12971,AF$13)</f>
        <v>0</v>
      </c>
      <c r="AG10223" s="185">
        <f>SUMIFS($AD$37:$AD$12971,$V$37:$V$12971,$V10223,$X$37:$X$12971,AG$13)</f>
        <v>0</v>
      </c>
      <c r="AH10223" s="187">
        <f>SUMIFS($AD$37:$AD$12971,$V$37:$V$12971,$V10223,$X$37:$X$12971,AH$13)</f>
        <v>0</v>
      </c>
      <c r="AI10223" s="161">
        <f t="shared" ref="AI10223" si="6795">SUM(AE10223:AH10223)</f>
        <v>0</v>
      </c>
      <c r="AK10223" s="172"/>
    </row>
    <row r="10224" spans="1:41" s="102" customFormat="1" ht="19.899999999999999" customHeight="1" x14ac:dyDescent="0.25">
      <c r="A10224" s="45"/>
      <c r="B10224" s="59"/>
      <c r="C10224" s="137"/>
      <c r="D10224" s="59"/>
      <c r="E10224" s="116"/>
      <c r="F10224" s="120"/>
      <c r="G10224" s="120"/>
      <c r="H10224" s="120"/>
      <c r="I10224" s="60"/>
      <c r="J10224" s="116"/>
      <c r="K10224" s="213"/>
      <c r="L10224" s="120"/>
      <c r="M10224" s="120"/>
      <c r="N10224" s="167"/>
      <c r="O10224" s="120"/>
      <c r="P10224" s="120"/>
      <c r="Q10224" s="120"/>
      <c r="R10224" s="120"/>
      <c r="S10224" s="120"/>
      <c r="T10224" s="221"/>
      <c r="U10224" s="89"/>
      <c r="V10224" s="61"/>
      <c r="W10224" s="92" t="s">
        <v>1353</v>
      </c>
      <c r="X10224" s="93" t="s">
        <v>30</v>
      </c>
      <c r="Y10224" s="93" t="s">
        <v>66</v>
      </c>
      <c r="Z10224" s="134">
        <f>VLOOKUP(W10224,Sheet2!$B:$D,3,FALSE)</f>
        <v>350</v>
      </c>
      <c r="AA10224" s="93">
        <v>1</v>
      </c>
      <c r="AB10224" s="93">
        <f>AD10224/AC10223</f>
        <v>350</v>
      </c>
      <c r="AC10224" s="93">
        <f>AC10223/AA10224</f>
        <v>1306.55</v>
      </c>
      <c r="AD10224" s="94">
        <f t="shared" ref="AD10224" si="6796">AC10224*Z10224</f>
        <v>457292.5</v>
      </c>
      <c r="AE10224" s="190"/>
      <c r="AF10224" s="191"/>
      <c r="AG10224" s="191"/>
      <c r="AH10224" s="191"/>
      <c r="AI10224" s="186"/>
      <c r="AK10224" s="171"/>
    </row>
    <row r="10225" spans="1:41" s="102" customFormat="1" ht="19.899999999999999" customHeight="1" x14ac:dyDescent="0.25">
      <c r="A10225" s="45"/>
      <c r="B10225" s="59"/>
      <c r="C10225" s="137"/>
      <c r="D10225" s="59"/>
      <c r="E10225" s="116"/>
      <c r="F10225" s="120"/>
      <c r="G10225" s="120"/>
      <c r="H10225" s="120"/>
      <c r="I10225" s="60"/>
      <c r="J10225" s="116"/>
      <c r="K10225" s="213"/>
      <c r="L10225" s="120"/>
      <c r="M10225" s="120"/>
      <c r="N10225" s="167"/>
      <c r="O10225" s="120"/>
      <c r="P10225" s="120"/>
      <c r="Q10225" s="120"/>
      <c r="R10225" s="120"/>
      <c r="S10225" s="120"/>
      <c r="T10225" s="221"/>
      <c r="U10225" s="89"/>
      <c r="V10225" s="61"/>
      <c r="W10225" s="92" t="s">
        <v>1355</v>
      </c>
      <c r="X10225" s="93" t="s">
        <v>32</v>
      </c>
      <c r="Y10225" s="93" t="s">
        <v>66</v>
      </c>
      <c r="Z10225" s="134">
        <f>VLOOKUP(W10225,Sheet2!$B:$D,3,FALSE)</f>
        <v>450</v>
      </c>
      <c r="AA10225" s="93">
        <f>AA10224</f>
        <v>1</v>
      </c>
      <c r="AB10225" s="93">
        <f>AD10225/AC10223</f>
        <v>450</v>
      </c>
      <c r="AC10225" s="93">
        <f>AC10223/AA10225</f>
        <v>1306.55</v>
      </c>
      <c r="AD10225" s="94">
        <f>AC10225*Z10225</f>
        <v>587947.5</v>
      </c>
      <c r="AE10225" s="190"/>
      <c r="AF10225" s="191"/>
      <c r="AG10225" s="191"/>
      <c r="AH10225" s="191"/>
      <c r="AI10225" s="186"/>
      <c r="AK10225" s="171"/>
    </row>
    <row r="10226" spans="1:41" ht="20.100000000000001" customHeight="1" x14ac:dyDescent="0.25">
      <c r="A10226" s="277" t="s">
        <v>945</v>
      </c>
      <c r="B10226" s="278"/>
      <c r="C10226" s="64" t="s">
        <v>892</v>
      </c>
      <c r="D10226" s="46" t="s">
        <v>196</v>
      </c>
      <c r="E10226" s="114">
        <v>325.83</v>
      </c>
      <c r="F10226" s="44">
        <v>44</v>
      </c>
      <c r="G10226" s="44">
        <f t="shared" si="6741"/>
        <v>14336.519999999999</v>
      </c>
      <c r="H10226" s="44">
        <f t="shared" si="6742"/>
        <v>20</v>
      </c>
      <c r="I10226" s="43">
        <f t="shared" si="6743"/>
        <v>6516.5999999999995</v>
      </c>
      <c r="J10226" s="112">
        <f t="shared" si="6744"/>
        <v>325.83</v>
      </c>
      <c r="K10226" s="211">
        <f t="shared" si="6745"/>
        <v>325.83</v>
      </c>
      <c r="L10226" s="44"/>
      <c r="M10226" s="44">
        <f t="shared" si="6755"/>
        <v>325.83</v>
      </c>
      <c r="N10226" s="173">
        <f t="shared" si="6746"/>
        <v>1</v>
      </c>
      <c r="O10226" s="44">
        <f t="shared" si="6747"/>
        <v>44</v>
      </c>
      <c r="P10226" s="44">
        <f t="shared" si="6748"/>
        <v>14336.519999999999</v>
      </c>
      <c r="Q10226" s="44">
        <f t="shared" si="6749"/>
        <v>20</v>
      </c>
      <c r="R10226" s="44">
        <f t="shared" si="6756"/>
        <v>6516.5999999999995</v>
      </c>
      <c r="S10226" s="123"/>
      <c r="T10226" s="219">
        <f t="shared" si="6757"/>
        <v>6516.5999999999995</v>
      </c>
      <c r="U10226" s="87"/>
      <c r="V10226" s="47"/>
      <c r="W10226" s="48"/>
      <c r="X10226" s="48"/>
      <c r="Y10226" s="48"/>
      <c r="Z10226" s="135"/>
      <c r="AA10226" s="49"/>
      <c r="AB10226" s="50">
        <f t="shared" si="6750"/>
        <v>20</v>
      </c>
      <c r="AC10226" s="42">
        <f t="shared" si="6758"/>
        <v>325.83</v>
      </c>
      <c r="AD10226" s="90">
        <f>AD10227</f>
        <v>6516.5999999999995</v>
      </c>
      <c r="AE10226" s="188">
        <f t="shared" ref="AE10226" si="6797">AE10227</f>
        <v>0</v>
      </c>
      <c r="AF10226" s="189">
        <f t="shared" ref="AF10226" si="6798">AF10227</f>
        <v>0</v>
      </c>
      <c r="AG10226" s="189">
        <f t="shared" ref="AG10226" si="6799">AG10227</f>
        <v>0</v>
      </c>
      <c r="AH10226" s="189">
        <f t="shared" ref="AH10226" si="6800">AH10227</f>
        <v>0</v>
      </c>
      <c r="AI10226" s="161">
        <f t="shared" ref="AI10226" si="6801">SUM(AE10226:AH10226)</f>
        <v>0</v>
      </c>
      <c r="AK10226" s="169">
        <v>5</v>
      </c>
      <c r="AO10226" s="19" t="s">
        <v>63</v>
      </c>
    </row>
    <row r="10227" spans="1:41" s="103" customFormat="1" ht="19.899999999999999" customHeight="1" x14ac:dyDescent="0.25">
      <c r="A10227" s="51"/>
      <c r="B10227" s="52"/>
      <c r="C10227" s="165"/>
      <c r="D10227" s="52"/>
      <c r="E10227" s="115"/>
      <c r="F10227" s="58"/>
      <c r="G10227" s="58"/>
      <c r="H10227" s="58"/>
      <c r="I10227" s="55"/>
      <c r="J10227" s="113">
        <f>J10226</f>
        <v>325.83</v>
      </c>
      <c r="K10227" s="212">
        <f>K10226</f>
        <v>325.83</v>
      </c>
      <c r="L10227" s="58"/>
      <c r="M10227" s="58">
        <f>K10227-L10227</f>
        <v>325.83</v>
      </c>
      <c r="N10227" s="166"/>
      <c r="O10227" s="58"/>
      <c r="P10227" s="58"/>
      <c r="Q10227" s="58"/>
      <c r="R10227" s="58"/>
      <c r="S10227" s="58"/>
      <c r="T10227" s="220"/>
      <c r="U10227" s="88"/>
      <c r="V10227" s="56"/>
      <c r="W10227" s="57" t="s">
        <v>892</v>
      </c>
      <c r="X10227" s="53"/>
      <c r="Y10227" s="91" t="s">
        <v>64</v>
      </c>
      <c r="Z10227" s="136">
        <f>AD10227/AC10227</f>
        <v>20</v>
      </c>
      <c r="AA10227" s="58"/>
      <c r="AB10227" s="53">
        <f>AD10227/AC10227</f>
        <v>20</v>
      </c>
      <c r="AC10227" s="53">
        <f>M10227+$AE$10</f>
        <v>325.83</v>
      </c>
      <c r="AD10227" s="54">
        <f>SUM(AD10228:AD10229)</f>
        <v>6516.5999999999995</v>
      </c>
      <c r="AE10227" s="184">
        <f>SUMIFS($AD$37:$AD$12971,$V$37:$V$12971,$V10227,$X$37:$X$12971,AE$13)</f>
        <v>0</v>
      </c>
      <c r="AF10227" s="185">
        <f>SUMIFS($AD$37:$AD$12971,$V$37:$V$12971,$V10227,$X$37:$X$12971,AF$13)</f>
        <v>0</v>
      </c>
      <c r="AG10227" s="185">
        <f>SUMIFS($AD$37:$AD$12971,$V$37:$V$12971,$V10227,$X$37:$X$12971,AG$13)</f>
        <v>0</v>
      </c>
      <c r="AH10227" s="187">
        <f>SUMIFS($AD$37:$AD$12971,$V$37:$V$12971,$V10227,$X$37:$X$12971,AH$13)</f>
        <v>0</v>
      </c>
      <c r="AI10227" s="161">
        <f t="shared" ref="AI10227" si="6802">SUM(AE10227:AH10227)</f>
        <v>0</v>
      </c>
      <c r="AK10227" s="172"/>
    </row>
    <row r="10228" spans="1:41" s="102" customFormat="1" ht="19.899999999999999" customHeight="1" x14ac:dyDescent="0.25">
      <c r="A10228" s="45"/>
      <c r="B10228" s="59"/>
      <c r="C10228" s="137"/>
      <c r="D10228" s="59"/>
      <c r="E10228" s="116"/>
      <c r="F10228" s="120"/>
      <c r="G10228" s="120"/>
      <c r="H10228" s="120"/>
      <c r="I10228" s="60"/>
      <c r="J10228" s="116"/>
      <c r="K10228" s="213"/>
      <c r="L10228" s="120"/>
      <c r="M10228" s="120"/>
      <c r="N10228" s="167"/>
      <c r="O10228" s="120"/>
      <c r="P10228" s="120"/>
      <c r="Q10228" s="120"/>
      <c r="R10228" s="120"/>
      <c r="S10228" s="120"/>
      <c r="T10228" s="221"/>
      <c r="U10228" s="89"/>
      <c r="V10228" s="61"/>
      <c r="W10228" s="92" t="s">
        <v>1684</v>
      </c>
      <c r="X10228" s="93" t="s">
        <v>30</v>
      </c>
      <c r="Y10228" s="93" t="s">
        <v>66</v>
      </c>
      <c r="Z10228" s="134">
        <f>VLOOKUP(W10228,Sheet2!$B:$D,3,FALSE)</f>
        <v>200</v>
      </c>
      <c r="AA10228" s="93">
        <f>1/0.05</f>
        <v>20</v>
      </c>
      <c r="AB10228" s="93">
        <f>AD10228/AC10227</f>
        <v>10</v>
      </c>
      <c r="AC10228" s="93">
        <f>AC10227/AA10228</f>
        <v>16.291499999999999</v>
      </c>
      <c r="AD10228" s="94">
        <f t="shared" ref="AD10228" si="6803">AC10228*Z10228</f>
        <v>3258.2999999999997</v>
      </c>
      <c r="AE10228" s="190"/>
      <c r="AF10228" s="191"/>
      <c r="AG10228" s="191"/>
      <c r="AH10228" s="191"/>
      <c r="AI10228" s="186"/>
      <c r="AK10228" s="171"/>
    </row>
    <row r="10229" spans="1:41" s="102" customFormat="1" ht="19.899999999999999" customHeight="1" x14ac:dyDescent="0.25">
      <c r="A10229" s="45"/>
      <c r="B10229" s="59"/>
      <c r="C10229" s="137"/>
      <c r="D10229" s="59"/>
      <c r="E10229" s="116"/>
      <c r="F10229" s="120"/>
      <c r="G10229" s="120"/>
      <c r="H10229" s="120"/>
      <c r="I10229" s="60"/>
      <c r="J10229" s="116"/>
      <c r="K10229" s="213"/>
      <c r="L10229" s="120"/>
      <c r="M10229" s="120"/>
      <c r="N10229" s="167"/>
      <c r="O10229" s="120"/>
      <c r="P10229" s="120"/>
      <c r="Q10229" s="120"/>
      <c r="R10229" s="120"/>
      <c r="S10229" s="120"/>
      <c r="T10229" s="221"/>
      <c r="U10229" s="89"/>
      <c r="V10229" s="61"/>
      <c r="W10229" s="92" t="s">
        <v>1685</v>
      </c>
      <c r="X10229" s="93" t="s">
        <v>32</v>
      </c>
      <c r="Y10229" s="93" t="s">
        <v>66</v>
      </c>
      <c r="Z10229" s="134">
        <f>VLOOKUP(W10229,Sheet2!$B:$D,3,FALSE)</f>
        <v>200</v>
      </c>
      <c r="AA10229" s="93">
        <f>AA10228</f>
        <v>20</v>
      </c>
      <c r="AB10229" s="93">
        <f>AD10229/AC10227</f>
        <v>10</v>
      </c>
      <c r="AC10229" s="93">
        <f>AC10227/AA10229</f>
        <v>16.291499999999999</v>
      </c>
      <c r="AD10229" s="94">
        <f>AC10229*Z10229</f>
        <v>3258.2999999999997</v>
      </c>
      <c r="AE10229" s="190"/>
      <c r="AF10229" s="191"/>
      <c r="AG10229" s="191"/>
      <c r="AH10229" s="191"/>
      <c r="AI10229" s="186"/>
      <c r="AK10229" s="171"/>
    </row>
    <row r="10230" spans="1:41" ht="20.100000000000001" customHeight="1" x14ac:dyDescent="0.25">
      <c r="A10230" s="277" t="s">
        <v>945</v>
      </c>
      <c r="B10230" s="278"/>
      <c r="C10230" s="64" t="s">
        <v>897</v>
      </c>
      <c r="D10230" s="46" t="s">
        <v>895</v>
      </c>
      <c r="E10230" s="114">
        <v>55.53</v>
      </c>
      <c r="F10230" s="44">
        <v>5791</v>
      </c>
      <c r="G10230" s="44">
        <f t="shared" si="6741"/>
        <v>321574.23</v>
      </c>
      <c r="H10230" s="44">
        <f t="shared" si="6742"/>
        <v>2500</v>
      </c>
      <c r="I10230" s="43">
        <f t="shared" si="6743"/>
        <v>138825</v>
      </c>
      <c r="J10230" s="112">
        <f t="shared" si="6744"/>
        <v>55.53</v>
      </c>
      <c r="K10230" s="211">
        <f t="shared" si="6745"/>
        <v>55.53</v>
      </c>
      <c r="L10230" s="44"/>
      <c r="M10230" s="44">
        <f t="shared" si="6755"/>
        <v>55.53</v>
      </c>
      <c r="N10230" s="173">
        <f t="shared" si="6746"/>
        <v>1</v>
      </c>
      <c r="O10230" s="44">
        <f t="shared" si="6747"/>
        <v>5791</v>
      </c>
      <c r="P10230" s="44">
        <f t="shared" si="6748"/>
        <v>321574.23</v>
      </c>
      <c r="Q10230" s="44">
        <f t="shared" si="6749"/>
        <v>2500</v>
      </c>
      <c r="R10230" s="44">
        <f t="shared" si="6756"/>
        <v>138825</v>
      </c>
      <c r="S10230" s="123"/>
      <c r="T10230" s="219">
        <f t="shared" si="6757"/>
        <v>138825</v>
      </c>
      <c r="U10230" s="87"/>
      <c r="V10230" s="47"/>
      <c r="W10230" s="48"/>
      <c r="X10230" s="48"/>
      <c r="Y10230" s="48"/>
      <c r="Z10230" s="135"/>
      <c r="AA10230" s="49"/>
      <c r="AB10230" s="50">
        <f t="shared" si="6750"/>
        <v>2500</v>
      </c>
      <c r="AC10230" s="42">
        <f t="shared" si="6758"/>
        <v>55.53</v>
      </c>
      <c r="AD10230" s="90">
        <f>AD10231</f>
        <v>138825</v>
      </c>
      <c r="AE10230" s="188">
        <f t="shared" ref="AE10230:AH10230" si="6804">AE10231</f>
        <v>0</v>
      </c>
      <c r="AF10230" s="189">
        <f t="shared" si="6804"/>
        <v>0</v>
      </c>
      <c r="AG10230" s="189">
        <f t="shared" si="6804"/>
        <v>0</v>
      </c>
      <c r="AH10230" s="189">
        <f t="shared" si="6804"/>
        <v>0</v>
      </c>
      <c r="AI10230" s="161">
        <f t="shared" ref="AI10230" si="6805">SUM(AE10230:AH10230)</f>
        <v>0</v>
      </c>
      <c r="AK10230" s="169">
        <v>5</v>
      </c>
      <c r="AO10230" s="19" t="s">
        <v>63</v>
      </c>
    </row>
    <row r="10231" spans="1:41" s="103" customFormat="1" ht="19.899999999999999" customHeight="1" x14ac:dyDescent="0.25">
      <c r="A10231" s="51"/>
      <c r="B10231" s="52"/>
      <c r="C10231" s="165"/>
      <c r="D10231" s="52"/>
      <c r="E10231" s="115"/>
      <c r="F10231" s="58"/>
      <c r="G10231" s="58"/>
      <c r="H10231" s="58"/>
      <c r="I10231" s="55"/>
      <c r="J10231" s="113">
        <f>J10230</f>
        <v>55.53</v>
      </c>
      <c r="K10231" s="212">
        <f>K10230</f>
        <v>55.53</v>
      </c>
      <c r="L10231" s="58"/>
      <c r="M10231" s="58">
        <f>K10231-L10231</f>
        <v>55.53</v>
      </c>
      <c r="N10231" s="166"/>
      <c r="O10231" s="58"/>
      <c r="P10231" s="58"/>
      <c r="Q10231" s="58"/>
      <c r="R10231" s="58"/>
      <c r="S10231" s="58"/>
      <c r="T10231" s="220"/>
      <c r="U10231" s="88"/>
      <c r="V10231" s="56"/>
      <c r="W10231" s="57" t="s">
        <v>1686</v>
      </c>
      <c r="X10231" s="53"/>
      <c r="Y10231" s="91" t="s">
        <v>67</v>
      </c>
      <c r="Z10231" s="136">
        <f>AD10231/AC10231</f>
        <v>2500</v>
      </c>
      <c r="AA10231" s="58"/>
      <c r="AB10231" s="53">
        <f>AD10231/AC10231</f>
        <v>2500</v>
      </c>
      <c r="AC10231" s="53">
        <f>M10231+$AE$10</f>
        <v>55.53</v>
      </c>
      <c r="AD10231" s="54">
        <f>SUM(AD10232:AD10232)</f>
        <v>138825</v>
      </c>
      <c r="AE10231" s="184">
        <f>SUMIFS($AD$37:$AD$12971,$V$37:$V$12971,$V10231,$X$37:$X$12971,AE$13)</f>
        <v>0</v>
      </c>
      <c r="AF10231" s="185">
        <f>SUMIFS($AD$37:$AD$12971,$V$37:$V$12971,$V10231,$X$37:$X$12971,AF$13)</f>
        <v>0</v>
      </c>
      <c r="AG10231" s="185">
        <f>SUMIFS($AD$37:$AD$12971,$V$37:$V$12971,$V10231,$X$37:$X$12971,AG$13)</f>
        <v>0</v>
      </c>
      <c r="AH10231" s="187">
        <f>SUMIFS($AD$37:$AD$12971,$V$37:$V$12971,$V10231,$X$37:$X$12971,AH$13)</f>
        <v>0</v>
      </c>
      <c r="AI10231" s="161">
        <f t="shared" ref="AI10231" si="6806">SUM(AE10231:AH10231)</f>
        <v>0</v>
      </c>
      <c r="AK10231" s="172"/>
    </row>
    <row r="10232" spans="1:41" s="102" customFormat="1" ht="19.899999999999999" customHeight="1" x14ac:dyDescent="0.25">
      <c r="A10232" s="45"/>
      <c r="B10232" s="59"/>
      <c r="C10232" s="137"/>
      <c r="D10232" s="59"/>
      <c r="E10232" s="116"/>
      <c r="F10232" s="120"/>
      <c r="G10232" s="120"/>
      <c r="H10232" s="120"/>
      <c r="I10232" s="60"/>
      <c r="J10232" s="116"/>
      <c r="K10232" s="213"/>
      <c r="L10232" s="120"/>
      <c r="M10232" s="120"/>
      <c r="N10232" s="167"/>
      <c r="O10232" s="120"/>
      <c r="P10232" s="120"/>
      <c r="Q10232" s="120"/>
      <c r="R10232" s="120"/>
      <c r="S10232" s="120"/>
      <c r="T10232" s="221"/>
      <c r="U10232" s="89"/>
      <c r="V10232" s="61"/>
      <c r="W10232" s="92" t="s">
        <v>99</v>
      </c>
      <c r="X10232" s="93" t="s">
        <v>30</v>
      </c>
      <c r="Y10232" s="93" t="s">
        <v>67</v>
      </c>
      <c r="Z10232" s="134">
        <f>VLOOKUP(W10232,Sheet2!$B:$D,3,FALSE)</f>
        <v>2500</v>
      </c>
      <c r="AA10232" s="93">
        <v>1</v>
      </c>
      <c r="AB10232" s="93">
        <f>AD10232/AC10231</f>
        <v>2500</v>
      </c>
      <c r="AC10232" s="93">
        <f>AC10231/AA10232</f>
        <v>55.53</v>
      </c>
      <c r="AD10232" s="94">
        <f t="shared" ref="AD10232" si="6807">AC10232*Z10232</f>
        <v>138825</v>
      </c>
      <c r="AE10232" s="190"/>
      <c r="AF10232" s="191"/>
      <c r="AG10232" s="191"/>
      <c r="AH10232" s="191"/>
      <c r="AI10232" s="186"/>
      <c r="AK10232" s="171"/>
    </row>
    <row r="10233" spans="1:41" ht="25.5" x14ac:dyDescent="0.25">
      <c r="A10233" s="277" t="s">
        <v>945</v>
      </c>
      <c r="B10233" s="278"/>
      <c r="C10233" s="64" t="s">
        <v>958</v>
      </c>
      <c r="D10233" s="46" t="s">
        <v>196</v>
      </c>
      <c r="E10233" s="114">
        <v>1129.1099999999999</v>
      </c>
      <c r="F10233" s="44">
        <v>57</v>
      </c>
      <c r="G10233" s="44">
        <f t="shared" si="6741"/>
        <v>64359.27</v>
      </c>
      <c r="H10233" s="44">
        <f t="shared" si="6742"/>
        <v>60</v>
      </c>
      <c r="I10233" s="43">
        <f t="shared" si="6743"/>
        <v>67746.599999999991</v>
      </c>
      <c r="J10233" s="112">
        <f t="shared" si="6744"/>
        <v>1129.1099999999999</v>
      </c>
      <c r="K10233" s="211">
        <f t="shared" si="6745"/>
        <v>1129.1099999999999</v>
      </c>
      <c r="L10233" s="44"/>
      <c r="M10233" s="44">
        <f t="shared" si="6755"/>
        <v>1129.1099999999999</v>
      </c>
      <c r="N10233" s="173">
        <f t="shared" si="6746"/>
        <v>1</v>
      </c>
      <c r="O10233" s="44">
        <f t="shared" si="6747"/>
        <v>57</v>
      </c>
      <c r="P10233" s="44">
        <f t="shared" si="6748"/>
        <v>64359.27</v>
      </c>
      <c r="Q10233" s="44">
        <f t="shared" si="6749"/>
        <v>60</v>
      </c>
      <c r="R10233" s="44">
        <f t="shared" si="6756"/>
        <v>67746.599999999991</v>
      </c>
      <c r="S10233" s="123"/>
      <c r="T10233" s="219">
        <f t="shared" si="6757"/>
        <v>67746.599999999991</v>
      </c>
      <c r="U10233" s="87"/>
      <c r="V10233" s="47"/>
      <c r="W10233" s="48"/>
      <c r="X10233" s="48"/>
      <c r="Y10233" s="48"/>
      <c r="Z10233" s="135"/>
      <c r="AA10233" s="49"/>
      <c r="AB10233" s="50">
        <f t="shared" si="6750"/>
        <v>60</v>
      </c>
      <c r="AC10233" s="42">
        <f t="shared" si="6758"/>
        <v>1129.1099999999999</v>
      </c>
      <c r="AD10233" s="90">
        <f>AD10234+AD10236</f>
        <v>67746.599999999991</v>
      </c>
      <c r="AE10233" s="188">
        <f t="shared" ref="AE10233:AH10233" si="6808">AE10234+AE10236</f>
        <v>0</v>
      </c>
      <c r="AF10233" s="189">
        <f t="shared" si="6808"/>
        <v>0</v>
      </c>
      <c r="AG10233" s="189">
        <f t="shared" si="6808"/>
        <v>0</v>
      </c>
      <c r="AH10233" s="189">
        <f t="shared" si="6808"/>
        <v>0</v>
      </c>
      <c r="AI10233" s="161">
        <f t="shared" ref="AI10233" si="6809">SUM(AE10233:AH10233)</f>
        <v>0</v>
      </c>
      <c r="AK10233" s="169">
        <v>5</v>
      </c>
      <c r="AO10233" s="19" t="s">
        <v>63</v>
      </c>
    </row>
    <row r="10234" spans="1:41" s="103" customFormat="1" ht="19.899999999999999" customHeight="1" x14ac:dyDescent="0.25">
      <c r="A10234" s="51"/>
      <c r="B10234" s="52"/>
      <c r="C10234" s="165"/>
      <c r="D10234" s="52"/>
      <c r="E10234" s="115"/>
      <c r="F10234" s="58"/>
      <c r="G10234" s="58"/>
      <c r="H10234" s="58"/>
      <c r="I10234" s="55"/>
      <c r="J10234" s="113">
        <f>J10233</f>
        <v>1129.1099999999999</v>
      </c>
      <c r="K10234" s="212">
        <f>K10233</f>
        <v>1129.1099999999999</v>
      </c>
      <c r="L10234" s="58"/>
      <c r="M10234" s="58">
        <f>K10234-L10234</f>
        <v>1129.1099999999999</v>
      </c>
      <c r="N10234" s="166"/>
      <c r="O10234" s="58"/>
      <c r="P10234" s="58"/>
      <c r="Q10234" s="58"/>
      <c r="R10234" s="58"/>
      <c r="S10234" s="58"/>
      <c r="T10234" s="220"/>
      <c r="U10234" s="88"/>
      <c r="V10234" s="56"/>
      <c r="W10234" s="57" t="s">
        <v>1688</v>
      </c>
      <c r="X10234" s="53"/>
      <c r="Y10234" s="91" t="s">
        <v>64</v>
      </c>
      <c r="Z10234" s="136">
        <f>AD10234/AC10234</f>
        <v>40</v>
      </c>
      <c r="AA10234" s="58"/>
      <c r="AB10234" s="53">
        <f>AD10234/AC10234</f>
        <v>40</v>
      </c>
      <c r="AC10234" s="53">
        <f>M10234+$AE$10</f>
        <v>1129.1099999999999</v>
      </c>
      <c r="AD10234" s="54">
        <f>SUM(AD10235:AD10235)</f>
        <v>45164.399999999994</v>
      </c>
      <c r="AE10234" s="184">
        <f>SUMIFS($AD$37:$AD$12971,$V$37:$V$12971,$V10234,$X$37:$X$12971,AE$13)</f>
        <v>0</v>
      </c>
      <c r="AF10234" s="185">
        <f>SUMIFS($AD$37:$AD$12971,$V$37:$V$12971,$V10234,$X$37:$X$12971,AF$13)</f>
        <v>0</v>
      </c>
      <c r="AG10234" s="185">
        <f>SUMIFS($AD$37:$AD$12971,$V$37:$V$12971,$V10234,$X$37:$X$12971,AG$13)</f>
        <v>0</v>
      </c>
      <c r="AH10234" s="187">
        <f>SUMIFS($AD$37:$AD$12971,$V$37:$V$12971,$V10234,$X$37:$X$12971,AH$13)</f>
        <v>0</v>
      </c>
      <c r="AI10234" s="161">
        <f t="shared" ref="AI10234" si="6810">SUM(AE10234:AH10234)</f>
        <v>0</v>
      </c>
      <c r="AK10234" s="172"/>
    </row>
    <row r="10235" spans="1:41" s="102" customFormat="1" ht="19.899999999999999" customHeight="1" x14ac:dyDescent="0.25">
      <c r="A10235" s="45"/>
      <c r="B10235" s="59"/>
      <c r="C10235" s="137"/>
      <c r="D10235" s="59"/>
      <c r="E10235" s="116"/>
      <c r="F10235" s="120"/>
      <c r="G10235" s="120"/>
      <c r="H10235" s="120"/>
      <c r="I10235" s="60"/>
      <c r="J10235" s="116"/>
      <c r="K10235" s="213"/>
      <c r="L10235" s="120"/>
      <c r="M10235" s="120"/>
      <c r="N10235" s="167"/>
      <c r="O10235" s="120"/>
      <c r="P10235" s="120"/>
      <c r="Q10235" s="120"/>
      <c r="R10235" s="120"/>
      <c r="S10235" s="120"/>
      <c r="T10235" s="221"/>
      <c r="U10235" s="89"/>
      <c r="V10235" s="61"/>
      <c r="W10235" s="92" t="s">
        <v>1359</v>
      </c>
      <c r="X10235" s="93" t="s">
        <v>32</v>
      </c>
      <c r="Y10235" s="93" t="s">
        <v>64</v>
      </c>
      <c r="Z10235" s="134">
        <f>VLOOKUP(W10235,Sheet2!$B:$D,3,FALSE)</f>
        <v>40</v>
      </c>
      <c r="AA10235" s="93">
        <v>1</v>
      </c>
      <c r="AB10235" s="93">
        <f>AD10235/AC10234</f>
        <v>40</v>
      </c>
      <c r="AC10235" s="93">
        <f>AC10234/AA10235</f>
        <v>1129.1099999999999</v>
      </c>
      <c r="AD10235" s="94">
        <f t="shared" ref="AD10235" si="6811">AC10235*Z10235</f>
        <v>45164.399999999994</v>
      </c>
      <c r="AE10235" s="190"/>
      <c r="AF10235" s="191"/>
      <c r="AG10235" s="191"/>
      <c r="AH10235" s="191"/>
      <c r="AI10235" s="186"/>
      <c r="AK10235" s="171"/>
    </row>
    <row r="10236" spans="1:41" s="103" customFormat="1" ht="19.899999999999999" customHeight="1" x14ac:dyDescent="0.25">
      <c r="A10236" s="51"/>
      <c r="B10236" s="52"/>
      <c r="C10236" s="165"/>
      <c r="D10236" s="52"/>
      <c r="E10236" s="115"/>
      <c r="F10236" s="58"/>
      <c r="G10236" s="58"/>
      <c r="H10236" s="58"/>
      <c r="I10236" s="55"/>
      <c r="J10236" s="113">
        <f>J10233</f>
        <v>1129.1099999999999</v>
      </c>
      <c r="K10236" s="212">
        <f>K10233</f>
        <v>1129.1099999999999</v>
      </c>
      <c r="L10236" s="58"/>
      <c r="M10236" s="58">
        <f>K10236-L10236</f>
        <v>1129.1099999999999</v>
      </c>
      <c r="N10236" s="166"/>
      <c r="O10236" s="58"/>
      <c r="P10236" s="58"/>
      <c r="Q10236" s="58"/>
      <c r="R10236" s="58"/>
      <c r="S10236" s="58"/>
      <c r="T10236" s="220"/>
      <c r="U10236" s="88"/>
      <c r="V10236" s="56"/>
      <c r="W10236" s="57" t="s">
        <v>1687</v>
      </c>
      <c r="X10236" s="53"/>
      <c r="Y10236" s="91" t="s">
        <v>64</v>
      </c>
      <c r="Z10236" s="136">
        <f>AD10236/AC10236</f>
        <v>20</v>
      </c>
      <c r="AA10236" s="58"/>
      <c r="AB10236" s="53">
        <f>AD10236/AC10236</f>
        <v>20</v>
      </c>
      <c r="AC10236" s="53">
        <f>M10236+$AE$10</f>
        <v>1129.1099999999999</v>
      </c>
      <c r="AD10236" s="54">
        <f>SUM(AD10237:AD10238)</f>
        <v>22582.199999999997</v>
      </c>
      <c r="AE10236" s="184">
        <f>SUMIFS($AD$37:$AD$12971,$V$37:$V$12971,$V10236,$X$37:$X$12971,AE$13)</f>
        <v>0</v>
      </c>
      <c r="AF10236" s="185">
        <f>SUMIFS($AD$37:$AD$12971,$V$37:$V$12971,$V10236,$X$37:$X$12971,AF$13)</f>
        <v>0</v>
      </c>
      <c r="AG10236" s="185">
        <f>SUMIFS($AD$37:$AD$12971,$V$37:$V$12971,$V10236,$X$37:$X$12971,AG$13)</f>
        <v>0</v>
      </c>
      <c r="AH10236" s="187">
        <f>SUMIFS($AD$37:$AD$12971,$V$37:$V$12971,$V10236,$X$37:$X$12971,AH$13)</f>
        <v>0</v>
      </c>
      <c r="AI10236" s="161">
        <f t="shared" ref="AI10236" si="6812">SUM(AE10236:AH10236)</f>
        <v>0</v>
      </c>
      <c r="AK10236" s="172"/>
    </row>
    <row r="10237" spans="1:41" s="102" customFormat="1" ht="19.899999999999999" customHeight="1" x14ac:dyDescent="0.25">
      <c r="A10237" s="45"/>
      <c r="B10237" s="59"/>
      <c r="C10237" s="137"/>
      <c r="D10237" s="59"/>
      <c r="E10237" s="116"/>
      <c r="F10237" s="120"/>
      <c r="G10237" s="120"/>
      <c r="H10237" s="120"/>
      <c r="I10237" s="60"/>
      <c r="J10237" s="116"/>
      <c r="K10237" s="213"/>
      <c r="L10237" s="120"/>
      <c r="M10237" s="120"/>
      <c r="N10237" s="167"/>
      <c r="O10237" s="120"/>
      <c r="P10237" s="120"/>
      <c r="Q10237" s="120"/>
      <c r="R10237" s="120"/>
      <c r="S10237" s="120"/>
      <c r="T10237" s="221"/>
      <c r="U10237" s="89"/>
      <c r="V10237" s="61"/>
      <c r="W10237" s="92" t="s">
        <v>1684</v>
      </c>
      <c r="X10237" s="93" t="s">
        <v>30</v>
      </c>
      <c r="Y10237" s="93" t="s">
        <v>66</v>
      </c>
      <c r="Z10237" s="134">
        <f>VLOOKUP(W10237,Sheet2!$B:$D,3,FALSE)</f>
        <v>200</v>
      </c>
      <c r="AA10237" s="93">
        <f>1/0.05</f>
        <v>20</v>
      </c>
      <c r="AB10237" s="93">
        <f>AD10237/AC10236</f>
        <v>10</v>
      </c>
      <c r="AC10237" s="93">
        <f>AC10236/AA10237</f>
        <v>56.455499999999994</v>
      </c>
      <c r="AD10237" s="94">
        <f t="shared" ref="AD10237" si="6813">AC10237*Z10237</f>
        <v>11291.099999999999</v>
      </c>
      <c r="AE10237" s="190"/>
      <c r="AF10237" s="191"/>
      <c r="AG10237" s="191"/>
      <c r="AH10237" s="191"/>
      <c r="AI10237" s="186"/>
      <c r="AK10237" s="171"/>
    </row>
    <row r="10238" spans="1:41" s="102" customFormat="1" ht="19.899999999999999" customHeight="1" x14ac:dyDescent="0.25">
      <c r="A10238" s="45"/>
      <c r="B10238" s="59"/>
      <c r="C10238" s="137"/>
      <c r="D10238" s="59"/>
      <c r="E10238" s="116"/>
      <c r="F10238" s="120"/>
      <c r="G10238" s="120"/>
      <c r="H10238" s="120"/>
      <c r="I10238" s="60"/>
      <c r="J10238" s="116"/>
      <c r="K10238" s="213"/>
      <c r="L10238" s="120"/>
      <c r="M10238" s="120"/>
      <c r="N10238" s="167"/>
      <c r="O10238" s="120"/>
      <c r="P10238" s="120"/>
      <c r="Q10238" s="120"/>
      <c r="R10238" s="120"/>
      <c r="S10238" s="120"/>
      <c r="T10238" s="221"/>
      <c r="U10238" s="89"/>
      <c r="V10238" s="61"/>
      <c r="W10238" s="92" t="s">
        <v>1685</v>
      </c>
      <c r="X10238" s="93" t="s">
        <v>32</v>
      </c>
      <c r="Y10238" s="93" t="s">
        <v>66</v>
      </c>
      <c r="Z10238" s="134">
        <f>VLOOKUP(W10238,Sheet2!$B:$D,3,FALSE)</f>
        <v>200</v>
      </c>
      <c r="AA10238" s="93">
        <f>AA10237</f>
        <v>20</v>
      </c>
      <c r="AB10238" s="93">
        <f>AD10238/AC10236</f>
        <v>10</v>
      </c>
      <c r="AC10238" s="93">
        <f>AC10236/AA10238</f>
        <v>56.455499999999994</v>
      </c>
      <c r="AD10238" s="94">
        <f>AC10238*Z10238</f>
        <v>11291.099999999999</v>
      </c>
      <c r="AE10238" s="190"/>
      <c r="AF10238" s="191"/>
      <c r="AG10238" s="191"/>
      <c r="AH10238" s="191"/>
      <c r="AI10238" s="186"/>
      <c r="AK10238" s="171"/>
    </row>
    <row r="10239" spans="1:41" ht="20.100000000000001" customHeight="1" x14ac:dyDescent="0.25">
      <c r="A10239" s="277" t="s">
        <v>945</v>
      </c>
      <c r="B10239" s="278"/>
      <c r="C10239" s="64" t="s">
        <v>959</v>
      </c>
      <c r="D10239" s="46" t="s">
        <v>196</v>
      </c>
      <c r="E10239" s="114">
        <v>9402.630000000001</v>
      </c>
      <c r="F10239" s="44">
        <v>57</v>
      </c>
      <c r="G10239" s="44">
        <f t="shared" si="6741"/>
        <v>535949.91</v>
      </c>
      <c r="H10239" s="44">
        <f t="shared" si="6742"/>
        <v>92.709499999999991</v>
      </c>
      <c r="I10239" s="43">
        <f t="shared" si="6743"/>
        <v>871713.12598500005</v>
      </c>
      <c r="J10239" s="112">
        <f t="shared" si="6744"/>
        <v>9402.630000000001</v>
      </c>
      <c r="K10239" s="211">
        <f t="shared" si="6745"/>
        <v>9402.630000000001</v>
      </c>
      <c r="L10239" s="44"/>
      <c r="M10239" s="44">
        <f t="shared" si="6755"/>
        <v>9402.630000000001</v>
      </c>
      <c r="N10239" s="173">
        <f t="shared" si="6746"/>
        <v>1</v>
      </c>
      <c r="O10239" s="44">
        <f t="shared" si="6747"/>
        <v>57</v>
      </c>
      <c r="P10239" s="44">
        <f t="shared" si="6748"/>
        <v>535949.91</v>
      </c>
      <c r="Q10239" s="44">
        <f t="shared" si="6749"/>
        <v>92.709499999999991</v>
      </c>
      <c r="R10239" s="44">
        <f t="shared" si="6756"/>
        <v>871713.12598500005</v>
      </c>
      <c r="S10239" s="123"/>
      <c r="T10239" s="219">
        <f t="shared" si="6757"/>
        <v>871713.12598500005</v>
      </c>
      <c r="U10239" s="87"/>
      <c r="V10239" s="47"/>
      <c r="W10239" s="48"/>
      <c r="X10239" s="48"/>
      <c r="Y10239" s="48"/>
      <c r="Z10239" s="135"/>
      <c r="AA10239" s="49"/>
      <c r="AB10239" s="50">
        <f t="shared" si="6750"/>
        <v>92.709499999999991</v>
      </c>
      <c r="AC10239" s="42">
        <f t="shared" si="6758"/>
        <v>9402.630000000001</v>
      </c>
      <c r="AD10239" s="90">
        <f>AD10240+AD10244+AD10247+AD10251+AD10254</f>
        <v>871713.12598500005</v>
      </c>
      <c r="AE10239" s="188">
        <f t="shared" ref="AE10239:AH10239" si="6814">AE10240+AE10244+AE10247+AE10251+AE10254</f>
        <v>0</v>
      </c>
      <c r="AF10239" s="189">
        <f t="shared" si="6814"/>
        <v>0</v>
      </c>
      <c r="AG10239" s="189">
        <f t="shared" si="6814"/>
        <v>0</v>
      </c>
      <c r="AH10239" s="189">
        <f t="shared" si="6814"/>
        <v>0</v>
      </c>
      <c r="AI10239" s="161">
        <f t="shared" ref="AI10239:AI10277" si="6815">SUM(AE10239:AH10239)</f>
        <v>0</v>
      </c>
      <c r="AK10239" s="169">
        <v>5</v>
      </c>
      <c r="AO10239" s="19" t="s">
        <v>63</v>
      </c>
    </row>
    <row r="10240" spans="1:41" s="103" customFormat="1" ht="19.899999999999999" customHeight="1" x14ac:dyDescent="0.25">
      <c r="A10240" s="51"/>
      <c r="B10240" s="52"/>
      <c r="C10240" s="165"/>
      <c r="D10240" s="52"/>
      <c r="E10240" s="115"/>
      <c r="F10240" s="58"/>
      <c r="G10240" s="58"/>
      <c r="H10240" s="58"/>
      <c r="I10240" s="55"/>
      <c r="J10240" s="113">
        <f>J10239</f>
        <v>9402.630000000001</v>
      </c>
      <c r="K10240" s="212">
        <f>K10239</f>
        <v>9402.630000000001</v>
      </c>
      <c r="L10240" s="58"/>
      <c r="M10240" s="58">
        <f>K10240-L10240</f>
        <v>9402.630000000001</v>
      </c>
      <c r="N10240" s="166"/>
      <c r="O10240" s="58"/>
      <c r="P10240" s="58"/>
      <c r="Q10240" s="58"/>
      <c r="R10240" s="58"/>
      <c r="S10240" s="58"/>
      <c r="T10240" s="220"/>
      <c r="U10240" s="88"/>
      <c r="V10240" s="56"/>
      <c r="W10240" s="57" t="s">
        <v>1693</v>
      </c>
      <c r="X10240" s="53"/>
      <c r="Y10240" s="91" t="s">
        <v>64</v>
      </c>
      <c r="Z10240" s="136">
        <f>AD10240/AC10240</f>
        <v>13.8</v>
      </c>
      <c r="AA10240" s="58"/>
      <c r="AB10240" s="53">
        <f>AD10240/AC10240</f>
        <v>13.8</v>
      </c>
      <c r="AC10240" s="53">
        <f>M10240+$AE$10</f>
        <v>9402.630000000001</v>
      </c>
      <c r="AD10240" s="54">
        <f>SUM(AD10241:AD10243)</f>
        <v>129756.29400000002</v>
      </c>
      <c r="AE10240" s="184">
        <f>SUMIFS($AD$37:$AD$12971,$V$37:$V$12971,$V10240,$X$37:$X$12971,AE$13)</f>
        <v>0</v>
      </c>
      <c r="AF10240" s="185">
        <f>SUMIFS($AD$37:$AD$12971,$V$37:$V$12971,$V10240,$X$37:$X$12971,AF$13)</f>
        <v>0</v>
      </c>
      <c r="AG10240" s="185">
        <f>SUMIFS($AD$37:$AD$12971,$V$37:$V$12971,$V10240,$X$37:$X$12971,AG$13)</f>
        <v>0</v>
      </c>
      <c r="AH10240" s="187">
        <f>SUMIFS($AD$37:$AD$12971,$V$37:$V$12971,$V10240,$X$37:$X$12971,AH$13)</f>
        <v>0</v>
      </c>
      <c r="AI10240" s="161">
        <f t="shared" ref="AI10240" si="6816">SUM(AE10240:AH10240)</f>
        <v>0</v>
      </c>
      <c r="AK10240" s="172"/>
    </row>
    <row r="10241" spans="1:37" s="102" customFormat="1" ht="19.899999999999999" customHeight="1" x14ac:dyDescent="0.25">
      <c r="A10241" s="45"/>
      <c r="B10241" s="59"/>
      <c r="C10241" s="137"/>
      <c r="D10241" s="59"/>
      <c r="E10241" s="116"/>
      <c r="F10241" s="120"/>
      <c r="G10241" s="120"/>
      <c r="H10241" s="120"/>
      <c r="I10241" s="60"/>
      <c r="J10241" s="116"/>
      <c r="K10241" s="213"/>
      <c r="L10241" s="120"/>
      <c r="M10241" s="120"/>
      <c r="N10241" s="167"/>
      <c r="O10241" s="120"/>
      <c r="P10241" s="120"/>
      <c r="Q10241" s="120"/>
      <c r="R10241" s="120"/>
      <c r="S10241" s="120"/>
      <c r="T10241" s="221"/>
      <c r="U10241" s="89"/>
      <c r="V10241" s="61"/>
      <c r="W10241" s="92" t="s">
        <v>1689</v>
      </c>
      <c r="X10241" s="93" t="s">
        <v>30</v>
      </c>
      <c r="Y10241" s="93" t="s">
        <v>66</v>
      </c>
      <c r="Z10241" s="134">
        <f>VLOOKUP(W10241,Sheet2!$B:$D,3,FALSE)</f>
        <v>25</v>
      </c>
      <c r="AA10241" s="93">
        <f>1/0.2</f>
        <v>5</v>
      </c>
      <c r="AB10241" s="93">
        <f>AD10241/AC10240</f>
        <v>5</v>
      </c>
      <c r="AC10241" s="93">
        <f>AC10240/AA10241</f>
        <v>1880.5260000000003</v>
      </c>
      <c r="AD10241" s="94">
        <f t="shared" ref="AD10241" si="6817">AC10241*Z10241</f>
        <v>47013.150000000009</v>
      </c>
      <c r="AE10241" s="190"/>
      <c r="AF10241" s="191"/>
      <c r="AG10241" s="191"/>
      <c r="AH10241" s="191"/>
      <c r="AI10241" s="186"/>
      <c r="AK10241" s="171"/>
    </row>
    <row r="10242" spans="1:37" s="102" customFormat="1" ht="19.899999999999999" customHeight="1" x14ac:dyDescent="0.25">
      <c r="A10242" s="45"/>
      <c r="B10242" s="59"/>
      <c r="C10242" s="137"/>
      <c r="D10242" s="59"/>
      <c r="E10242" s="116"/>
      <c r="F10242" s="120"/>
      <c r="G10242" s="120"/>
      <c r="H10242" s="120"/>
      <c r="I10242" s="60"/>
      <c r="J10242" s="116"/>
      <c r="K10242" s="213"/>
      <c r="L10242" s="120"/>
      <c r="M10242" s="120"/>
      <c r="N10242" s="167"/>
      <c r="O10242" s="120"/>
      <c r="P10242" s="120"/>
      <c r="Q10242" s="120"/>
      <c r="R10242" s="120"/>
      <c r="S10242" s="120"/>
      <c r="T10242" s="221"/>
      <c r="U10242" s="89"/>
      <c r="V10242" s="61"/>
      <c r="W10242" s="92" t="s">
        <v>1690</v>
      </c>
      <c r="X10242" s="93" t="s">
        <v>30</v>
      </c>
      <c r="Y10242" s="93" t="s">
        <v>66</v>
      </c>
      <c r="Z10242" s="134">
        <f>VLOOKUP(W10242,Sheet2!$B:$D,3,FALSE)</f>
        <v>17</v>
      </c>
      <c r="AA10242" s="93">
        <f>1/0.2</f>
        <v>5</v>
      </c>
      <c r="AB10242" s="93">
        <f>AD10242/AC10240</f>
        <v>3.4000000000000004</v>
      </c>
      <c r="AC10242" s="93">
        <f>AC10240/AA10242</f>
        <v>1880.5260000000003</v>
      </c>
      <c r="AD10242" s="94">
        <f t="shared" ref="AD10242" si="6818">AC10242*Z10242</f>
        <v>31968.942000000006</v>
      </c>
      <c r="AE10242" s="190"/>
      <c r="AF10242" s="191"/>
      <c r="AG10242" s="191"/>
      <c r="AH10242" s="191"/>
      <c r="AI10242" s="186"/>
      <c r="AK10242" s="171"/>
    </row>
    <row r="10243" spans="1:37" s="102" customFormat="1" ht="19.899999999999999" customHeight="1" x14ac:dyDescent="0.25">
      <c r="A10243" s="45"/>
      <c r="B10243" s="59"/>
      <c r="C10243" s="137"/>
      <c r="D10243" s="59"/>
      <c r="E10243" s="116"/>
      <c r="F10243" s="120"/>
      <c r="G10243" s="120"/>
      <c r="H10243" s="120"/>
      <c r="I10243" s="60"/>
      <c r="J10243" s="116"/>
      <c r="K10243" s="213"/>
      <c r="L10243" s="120"/>
      <c r="M10243" s="120"/>
      <c r="N10243" s="167"/>
      <c r="O10243" s="120"/>
      <c r="P10243" s="120"/>
      <c r="Q10243" s="120"/>
      <c r="R10243" s="120"/>
      <c r="S10243" s="120"/>
      <c r="T10243" s="221"/>
      <c r="U10243" s="89"/>
      <c r="V10243" s="61"/>
      <c r="W10243" s="92" t="s">
        <v>1691</v>
      </c>
      <c r="X10243" s="93" t="s">
        <v>32</v>
      </c>
      <c r="Y10243" s="93" t="s">
        <v>64</v>
      </c>
      <c r="Z10243" s="134">
        <f>VLOOKUP(W10243,Sheet2!$B:$D,3,FALSE)</f>
        <v>5.4</v>
      </c>
      <c r="AA10243" s="93">
        <v>1</v>
      </c>
      <c r="AB10243" s="93">
        <f>AD10243/AC10240</f>
        <v>5.4</v>
      </c>
      <c r="AC10243" s="93">
        <f>AC10240/AA10243</f>
        <v>9402.630000000001</v>
      </c>
      <c r="AD10243" s="94">
        <f>AC10243*Z10243</f>
        <v>50774.202000000012</v>
      </c>
      <c r="AE10243" s="190"/>
      <c r="AF10243" s="191"/>
      <c r="AG10243" s="191"/>
      <c r="AH10243" s="191"/>
      <c r="AI10243" s="186"/>
      <c r="AK10243" s="171"/>
    </row>
    <row r="10244" spans="1:37" s="103" customFormat="1" ht="19.899999999999999" customHeight="1" x14ac:dyDescent="0.25">
      <c r="A10244" s="51"/>
      <c r="B10244" s="52"/>
      <c r="C10244" s="165"/>
      <c r="D10244" s="52"/>
      <c r="E10244" s="115"/>
      <c r="F10244" s="58"/>
      <c r="G10244" s="58"/>
      <c r="H10244" s="58"/>
      <c r="I10244" s="55"/>
      <c r="J10244" s="113">
        <f>J10239</f>
        <v>9402.630000000001</v>
      </c>
      <c r="K10244" s="212">
        <f>K10239</f>
        <v>9402.630000000001</v>
      </c>
      <c r="L10244" s="58"/>
      <c r="M10244" s="58">
        <f>K10244-L10244</f>
        <v>9402.630000000001</v>
      </c>
      <c r="N10244" s="166"/>
      <c r="O10244" s="58"/>
      <c r="P10244" s="58"/>
      <c r="Q10244" s="58"/>
      <c r="R10244" s="58"/>
      <c r="S10244" s="58"/>
      <c r="T10244" s="220"/>
      <c r="U10244" s="88"/>
      <c r="V10244" s="56"/>
      <c r="W10244" s="57" t="s">
        <v>1694</v>
      </c>
      <c r="X10244" s="53"/>
      <c r="Y10244" s="91" t="s">
        <v>64</v>
      </c>
      <c r="Z10244" s="136">
        <f>AD10244/AC10244</f>
        <v>3.4499999999999997</v>
      </c>
      <c r="AA10244" s="58"/>
      <c r="AB10244" s="53">
        <f>AD10244/AC10244</f>
        <v>3.4499999999999997</v>
      </c>
      <c r="AC10244" s="53">
        <f>M10244+$AE$10</f>
        <v>9402.630000000001</v>
      </c>
      <c r="AD10244" s="54">
        <f>SUM(AD10245:AD10246)</f>
        <v>32439.073500000002</v>
      </c>
      <c r="AE10244" s="184">
        <f>SUMIFS($AD$37:$AD$12971,$V$37:$V$12971,$V10244,$X$37:$X$12971,AE$13)</f>
        <v>0</v>
      </c>
      <c r="AF10244" s="185">
        <f>SUMIFS($AD$37:$AD$12971,$V$37:$V$12971,$V10244,$X$37:$X$12971,AF$13)</f>
        <v>0</v>
      </c>
      <c r="AG10244" s="185">
        <f>SUMIFS($AD$37:$AD$12971,$V$37:$V$12971,$V10244,$X$37:$X$12971,AG$13)</f>
        <v>0</v>
      </c>
      <c r="AH10244" s="187">
        <f>SUMIFS($AD$37:$AD$12971,$V$37:$V$12971,$V10244,$X$37:$X$12971,AH$13)</f>
        <v>0</v>
      </c>
      <c r="AI10244" s="161">
        <f t="shared" ref="AI10244" si="6819">SUM(AE10244:AH10244)</f>
        <v>0</v>
      </c>
      <c r="AK10244" s="172"/>
    </row>
    <row r="10245" spans="1:37" s="102" customFormat="1" ht="19.899999999999999" customHeight="1" x14ac:dyDescent="0.25">
      <c r="A10245" s="45"/>
      <c r="B10245" s="59"/>
      <c r="C10245" s="137"/>
      <c r="D10245" s="59"/>
      <c r="E10245" s="116"/>
      <c r="F10245" s="120"/>
      <c r="G10245" s="120"/>
      <c r="H10245" s="120"/>
      <c r="I10245" s="60"/>
      <c r="J10245" s="116"/>
      <c r="K10245" s="213"/>
      <c r="L10245" s="120"/>
      <c r="M10245" s="120"/>
      <c r="N10245" s="167"/>
      <c r="O10245" s="120"/>
      <c r="P10245" s="120"/>
      <c r="Q10245" s="120"/>
      <c r="R10245" s="120"/>
      <c r="S10245" s="120"/>
      <c r="T10245" s="221"/>
      <c r="U10245" s="89"/>
      <c r="V10245" s="61"/>
      <c r="W10245" s="92" t="s">
        <v>1026</v>
      </c>
      <c r="X10245" s="93" t="s">
        <v>30</v>
      </c>
      <c r="Y10245" s="93" t="s">
        <v>67</v>
      </c>
      <c r="Z10245" s="134">
        <f>VLOOKUP(W10245,Sheet2!$B:$D,3,FALSE)</f>
        <v>2450</v>
      </c>
      <c r="AA10245" s="93">
        <v>1000</v>
      </c>
      <c r="AB10245" s="93">
        <f>AD10245/AC10244</f>
        <v>2.4499999999999997</v>
      </c>
      <c r="AC10245" s="93">
        <f>AC10244/AA10245</f>
        <v>9.4026300000000003</v>
      </c>
      <c r="AD10245" s="94">
        <f t="shared" ref="AD10245" si="6820">AC10245*Z10245</f>
        <v>23036.443500000001</v>
      </c>
      <c r="AE10245" s="190"/>
      <c r="AF10245" s="191"/>
      <c r="AG10245" s="191"/>
      <c r="AH10245" s="191"/>
      <c r="AI10245" s="186"/>
      <c r="AK10245" s="171"/>
    </row>
    <row r="10246" spans="1:37" s="102" customFormat="1" ht="19.899999999999999" customHeight="1" x14ac:dyDescent="0.25">
      <c r="A10246" s="45"/>
      <c r="B10246" s="59"/>
      <c r="C10246" s="137"/>
      <c r="D10246" s="59"/>
      <c r="E10246" s="116"/>
      <c r="F10246" s="120"/>
      <c r="G10246" s="120"/>
      <c r="H10246" s="120"/>
      <c r="I10246" s="60"/>
      <c r="J10246" s="116"/>
      <c r="K10246" s="213"/>
      <c r="L10246" s="120"/>
      <c r="M10246" s="120"/>
      <c r="N10246" s="167"/>
      <c r="O10246" s="120"/>
      <c r="P10246" s="120"/>
      <c r="Q10246" s="120"/>
      <c r="R10246" s="120"/>
      <c r="S10246" s="120"/>
      <c r="T10246" s="221"/>
      <c r="U10246" s="89"/>
      <c r="V10246" s="61"/>
      <c r="W10246" s="92" t="s">
        <v>1017</v>
      </c>
      <c r="X10246" s="93" t="s">
        <v>32</v>
      </c>
      <c r="Y10246" s="93" t="s">
        <v>64</v>
      </c>
      <c r="Z10246" s="134">
        <f>VLOOKUP(W10246,Sheet2!$B:$D,3,FALSE)</f>
        <v>1</v>
      </c>
      <c r="AA10246" s="93">
        <v>1</v>
      </c>
      <c r="AB10246" s="93">
        <f>AD10246/AC10244</f>
        <v>1</v>
      </c>
      <c r="AC10246" s="93">
        <f>AC10244/AA10246</f>
        <v>9402.630000000001</v>
      </c>
      <c r="AD10246" s="94">
        <f>AC10246*Z10246</f>
        <v>9402.630000000001</v>
      </c>
      <c r="AE10246" s="190"/>
      <c r="AF10246" s="191"/>
      <c r="AG10246" s="191"/>
      <c r="AH10246" s="191"/>
      <c r="AI10246" s="186"/>
      <c r="AK10246" s="171"/>
    </row>
    <row r="10247" spans="1:37" s="103" customFormat="1" ht="19.899999999999999" customHeight="1" x14ac:dyDescent="0.25">
      <c r="A10247" s="51"/>
      <c r="B10247" s="52"/>
      <c r="C10247" s="165"/>
      <c r="D10247" s="52"/>
      <c r="E10247" s="115"/>
      <c r="F10247" s="58"/>
      <c r="G10247" s="58"/>
      <c r="H10247" s="58"/>
      <c r="I10247" s="55"/>
      <c r="J10247" s="113">
        <f>J10239</f>
        <v>9402.630000000001</v>
      </c>
      <c r="K10247" s="212">
        <f>K10239</f>
        <v>9402.630000000001</v>
      </c>
      <c r="L10247" s="58"/>
      <c r="M10247" s="58">
        <f>K10247-L10247</f>
        <v>9402.630000000001</v>
      </c>
      <c r="N10247" s="166"/>
      <c r="O10247" s="58"/>
      <c r="P10247" s="58"/>
      <c r="Q10247" s="58"/>
      <c r="R10247" s="58"/>
      <c r="S10247" s="58"/>
      <c r="T10247" s="220"/>
      <c r="U10247" s="88"/>
      <c r="V10247" s="56"/>
      <c r="W10247" s="57" t="s">
        <v>1695</v>
      </c>
      <c r="X10247" s="53"/>
      <c r="Y10247" s="91" t="s">
        <v>64</v>
      </c>
      <c r="Z10247" s="136">
        <f>AD10247/AC10247</f>
        <v>40.992000000000004</v>
      </c>
      <c r="AA10247" s="58"/>
      <c r="AB10247" s="53">
        <f>AD10247/AC10247</f>
        <v>40.992000000000004</v>
      </c>
      <c r="AC10247" s="53">
        <f>M10247+$AE$10</f>
        <v>9402.630000000001</v>
      </c>
      <c r="AD10247" s="54">
        <f>SUM(AD10248:AD10250)</f>
        <v>385432.6089600001</v>
      </c>
      <c r="AE10247" s="184">
        <f>SUMIFS($AD$37:$AD$12971,$V$37:$V$12971,$V10247,$X$37:$X$12971,AE$13)</f>
        <v>0</v>
      </c>
      <c r="AF10247" s="185">
        <f>SUMIFS($AD$37:$AD$12971,$V$37:$V$12971,$V10247,$X$37:$X$12971,AF$13)</f>
        <v>0</v>
      </c>
      <c r="AG10247" s="185">
        <f>SUMIFS($AD$37:$AD$12971,$V$37:$V$12971,$V10247,$X$37:$X$12971,AG$13)</f>
        <v>0</v>
      </c>
      <c r="AH10247" s="187">
        <f>SUMIFS($AD$37:$AD$12971,$V$37:$V$12971,$V10247,$X$37:$X$12971,AH$13)</f>
        <v>0</v>
      </c>
      <c r="AI10247" s="161">
        <f t="shared" ref="AI10247" si="6821">SUM(AE10247:AH10247)</f>
        <v>0</v>
      </c>
      <c r="AK10247" s="172"/>
    </row>
    <row r="10248" spans="1:37" s="102" customFormat="1" ht="19.899999999999999" customHeight="1" x14ac:dyDescent="0.25">
      <c r="A10248" s="45"/>
      <c r="B10248" s="59"/>
      <c r="C10248" s="137"/>
      <c r="D10248" s="59"/>
      <c r="E10248" s="116"/>
      <c r="F10248" s="120"/>
      <c r="G10248" s="120"/>
      <c r="H10248" s="120"/>
      <c r="I10248" s="60"/>
      <c r="J10248" s="116"/>
      <c r="K10248" s="213"/>
      <c r="L10248" s="120"/>
      <c r="M10248" s="120"/>
      <c r="N10248" s="167"/>
      <c r="O10248" s="120"/>
      <c r="P10248" s="120"/>
      <c r="Q10248" s="120"/>
      <c r="R10248" s="120"/>
      <c r="S10248" s="120"/>
      <c r="T10248" s="221"/>
      <c r="U10248" s="89"/>
      <c r="V10248" s="61"/>
      <c r="W10248" s="92" t="s">
        <v>1019</v>
      </c>
      <c r="X10248" s="93" t="s">
        <v>30</v>
      </c>
      <c r="Y10248" s="93" t="s">
        <v>67</v>
      </c>
      <c r="Z10248" s="134">
        <f>VLOOKUP(W10248,Sheet2!$B:$D,3,FALSE)</f>
        <v>200</v>
      </c>
      <c r="AA10248" s="93">
        <f>1/2.4/0.07</f>
        <v>5.9523809523809517</v>
      </c>
      <c r="AB10248" s="93">
        <f>AD10248/AC10247</f>
        <v>33.6</v>
      </c>
      <c r="AC10248" s="93">
        <f>AC10247/AA10248</f>
        <v>1579.6418400000005</v>
      </c>
      <c r="AD10248" s="94">
        <f t="shared" ref="AD10248:AD10249" si="6822">AC10248*Z10248</f>
        <v>315928.36800000007</v>
      </c>
      <c r="AE10248" s="190"/>
      <c r="AF10248" s="191"/>
      <c r="AG10248" s="191"/>
      <c r="AH10248" s="191"/>
      <c r="AI10248" s="186"/>
      <c r="AK10248" s="171"/>
    </row>
    <row r="10249" spans="1:37" s="102" customFormat="1" ht="19.899999999999999" customHeight="1" x14ac:dyDescent="0.25">
      <c r="A10249" s="45"/>
      <c r="B10249" s="59"/>
      <c r="C10249" s="137"/>
      <c r="D10249" s="59"/>
      <c r="E10249" s="116"/>
      <c r="F10249" s="120"/>
      <c r="G10249" s="120"/>
      <c r="H10249" s="120"/>
      <c r="I10249" s="60"/>
      <c r="J10249" s="116"/>
      <c r="K10249" s="213"/>
      <c r="L10249" s="120"/>
      <c r="M10249" s="120"/>
      <c r="N10249" s="167"/>
      <c r="O10249" s="120"/>
      <c r="P10249" s="120"/>
      <c r="Q10249" s="120"/>
      <c r="R10249" s="120"/>
      <c r="S10249" s="120"/>
      <c r="T10249" s="221"/>
      <c r="U10249" s="89"/>
      <c r="V10249" s="61"/>
      <c r="W10249" s="92" t="s">
        <v>1692</v>
      </c>
      <c r="X10249" s="93" t="s">
        <v>30</v>
      </c>
      <c r="Y10249" s="93" t="s">
        <v>67</v>
      </c>
      <c r="Z10249" s="134">
        <f>VLOOKUP(W10249,Sheet2!$B:$D,3,FALSE)</f>
        <v>19</v>
      </c>
      <c r="AA10249" s="93">
        <f>AA10248</f>
        <v>5.9523809523809517</v>
      </c>
      <c r="AB10249" s="93">
        <f>AD10249/AC10247</f>
        <v>3.1920000000000006</v>
      </c>
      <c r="AC10249" s="93">
        <f>AC10247/AA10249</f>
        <v>1579.6418400000005</v>
      </c>
      <c r="AD10249" s="94">
        <f t="shared" si="6822"/>
        <v>30013.194960000008</v>
      </c>
      <c r="AE10249" s="190"/>
      <c r="AF10249" s="191"/>
      <c r="AG10249" s="191"/>
      <c r="AH10249" s="191"/>
      <c r="AI10249" s="186"/>
      <c r="AK10249" s="171"/>
    </row>
    <row r="10250" spans="1:37" s="102" customFormat="1" ht="19.899999999999999" customHeight="1" x14ac:dyDescent="0.25">
      <c r="A10250" s="45"/>
      <c r="B10250" s="59"/>
      <c r="C10250" s="137"/>
      <c r="D10250" s="59"/>
      <c r="E10250" s="116"/>
      <c r="F10250" s="120"/>
      <c r="G10250" s="120"/>
      <c r="H10250" s="120"/>
      <c r="I10250" s="60"/>
      <c r="J10250" s="116"/>
      <c r="K10250" s="213"/>
      <c r="L10250" s="120"/>
      <c r="M10250" s="120"/>
      <c r="N10250" s="167"/>
      <c r="O10250" s="120"/>
      <c r="P10250" s="120"/>
      <c r="Q10250" s="120"/>
      <c r="R10250" s="120"/>
      <c r="S10250" s="120"/>
      <c r="T10250" s="221"/>
      <c r="U10250" s="89"/>
      <c r="V10250" s="61"/>
      <c r="W10250" s="92" t="s">
        <v>1021</v>
      </c>
      <c r="X10250" s="93" t="s">
        <v>32</v>
      </c>
      <c r="Y10250" s="93" t="s">
        <v>64</v>
      </c>
      <c r="Z10250" s="134">
        <f>VLOOKUP(W10250,Sheet2!$B:$D,3,FALSE)</f>
        <v>4.2</v>
      </c>
      <c r="AA10250" s="93">
        <v>1</v>
      </c>
      <c r="AB10250" s="93">
        <f>AD10250/AC10247</f>
        <v>4.2</v>
      </c>
      <c r="AC10250" s="93">
        <f>AC10247/AA10250</f>
        <v>9402.630000000001</v>
      </c>
      <c r="AD10250" s="94">
        <f>AC10250*Z10250</f>
        <v>39491.046000000009</v>
      </c>
      <c r="AE10250" s="190"/>
      <c r="AF10250" s="191"/>
      <c r="AG10250" s="191"/>
      <c r="AH10250" s="191"/>
      <c r="AI10250" s="186"/>
      <c r="AK10250" s="171"/>
    </row>
    <row r="10251" spans="1:37" s="103" customFormat="1" ht="19.899999999999999" customHeight="1" x14ac:dyDescent="0.25">
      <c r="A10251" s="51"/>
      <c r="B10251" s="52"/>
      <c r="C10251" s="165"/>
      <c r="D10251" s="52"/>
      <c r="E10251" s="115"/>
      <c r="F10251" s="58"/>
      <c r="G10251" s="58"/>
      <c r="H10251" s="58"/>
      <c r="I10251" s="55"/>
      <c r="J10251" s="113">
        <f>J10239</f>
        <v>9402.630000000001</v>
      </c>
      <c r="K10251" s="212">
        <f>K10239</f>
        <v>9402.630000000001</v>
      </c>
      <c r="L10251" s="58"/>
      <c r="M10251" s="58">
        <f>K10251-L10251</f>
        <v>9402.630000000001</v>
      </c>
      <c r="N10251" s="166"/>
      <c r="O10251" s="58"/>
      <c r="P10251" s="58"/>
      <c r="Q10251" s="58"/>
      <c r="R10251" s="58"/>
      <c r="S10251" s="58"/>
      <c r="T10251" s="220"/>
      <c r="U10251" s="88"/>
      <c r="V10251" s="56"/>
      <c r="W10251" s="57" t="s">
        <v>1696</v>
      </c>
      <c r="X10251" s="53"/>
      <c r="Y10251" s="91" t="s">
        <v>64</v>
      </c>
      <c r="Z10251" s="136">
        <f>AD10251/AC10251</f>
        <v>4.1874999999999991</v>
      </c>
      <c r="AA10251" s="58"/>
      <c r="AB10251" s="53">
        <f>AD10251/AC10251</f>
        <v>4.1874999999999991</v>
      </c>
      <c r="AC10251" s="53">
        <f>M10251+$AE$10</f>
        <v>9402.630000000001</v>
      </c>
      <c r="AD10251" s="54">
        <f>SUM(AD10252:AD10253)</f>
        <v>39373.513124999998</v>
      </c>
      <c r="AE10251" s="184">
        <f>SUMIFS($AD$37:$AD$12971,$V$37:$V$12971,$V10251,$X$37:$X$12971,AE$13)</f>
        <v>0</v>
      </c>
      <c r="AF10251" s="185">
        <f>SUMIFS($AD$37:$AD$12971,$V$37:$V$12971,$V10251,$X$37:$X$12971,AF$13)</f>
        <v>0</v>
      </c>
      <c r="AG10251" s="185">
        <f>SUMIFS($AD$37:$AD$12971,$V$37:$V$12971,$V10251,$X$37:$X$12971,AG$13)</f>
        <v>0</v>
      </c>
      <c r="AH10251" s="187">
        <f>SUMIFS($AD$37:$AD$12971,$V$37:$V$12971,$V10251,$X$37:$X$12971,AH$13)</f>
        <v>0</v>
      </c>
      <c r="AI10251" s="161">
        <f t="shared" ref="AI10251" si="6823">SUM(AE10251:AH10251)</f>
        <v>0</v>
      </c>
      <c r="AK10251" s="172"/>
    </row>
    <row r="10252" spans="1:37" s="102" customFormat="1" ht="19.899999999999999" customHeight="1" x14ac:dyDescent="0.25">
      <c r="A10252" s="45"/>
      <c r="B10252" s="59"/>
      <c r="C10252" s="137"/>
      <c r="D10252" s="59"/>
      <c r="E10252" s="116"/>
      <c r="F10252" s="120"/>
      <c r="G10252" s="120"/>
      <c r="H10252" s="120"/>
      <c r="I10252" s="60"/>
      <c r="J10252" s="116"/>
      <c r="K10252" s="213"/>
      <c r="L10252" s="120"/>
      <c r="M10252" s="120"/>
      <c r="N10252" s="167"/>
      <c r="O10252" s="120"/>
      <c r="P10252" s="120"/>
      <c r="Q10252" s="120"/>
      <c r="R10252" s="120"/>
      <c r="S10252" s="120"/>
      <c r="T10252" s="221"/>
      <c r="U10252" s="89"/>
      <c r="V10252" s="61"/>
      <c r="W10252" s="92" t="s">
        <v>1027</v>
      </c>
      <c r="X10252" s="93" t="s">
        <v>30</v>
      </c>
      <c r="Y10252" s="93" t="s">
        <v>67</v>
      </c>
      <c r="Z10252" s="134">
        <f>VLOOKUP(W10252,Sheet2!$B:$D,3,FALSE)</f>
        <v>2550</v>
      </c>
      <c r="AA10252" s="93">
        <v>800</v>
      </c>
      <c r="AB10252" s="93">
        <f>AD10252/AC10251</f>
        <v>3.1874999999999996</v>
      </c>
      <c r="AC10252" s="93">
        <f>AC10251/AA10252</f>
        <v>11.753287500000001</v>
      </c>
      <c r="AD10252" s="94">
        <f t="shared" ref="AD10252" si="6824">AC10252*Z10252</f>
        <v>29970.883125</v>
      </c>
      <c r="AE10252" s="190"/>
      <c r="AF10252" s="191"/>
      <c r="AG10252" s="191"/>
      <c r="AH10252" s="191"/>
      <c r="AI10252" s="186"/>
      <c r="AK10252" s="171"/>
    </row>
    <row r="10253" spans="1:37" s="102" customFormat="1" ht="19.899999999999999" customHeight="1" x14ac:dyDescent="0.25">
      <c r="A10253" s="45"/>
      <c r="B10253" s="59"/>
      <c r="C10253" s="137"/>
      <c r="D10253" s="59"/>
      <c r="E10253" s="116"/>
      <c r="F10253" s="120"/>
      <c r="G10253" s="120"/>
      <c r="H10253" s="120"/>
      <c r="I10253" s="60"/>
      <c r="J10253" s="116"/>
      <c r="K10253" s="213"/>
      <c r="L10253" s="120"/>
      <c r="M10253" s="120"/>
      <c r="N10253" s="167"/>
      <c r="O10253" s="120"/>
      <c r="P10253" s="120"/>
      <c r="Q10253" s="120"/>
      <c r="R10253" s="120"/>
      <c r="S10253" s="120"/>
      <c r="T10253" s="221"/>
      <c r="U10253" s="89"/>
      <c r="V10253" s="61"/>
      <c r="W10253" s="92" t="s">
        <v>1018</v>
      </c>
      <c r="X10253" s="93" t="s">
        <v>32</v>
      </c>
      <c r="Y10253" s="93" t="s">
        <v>64</v>
      </c>
      <c r="Z10253" s="134">
        <f>VLOOKUP(W10253,Sheet2!$B:$D,3,FALSE)</f>
        <v>1</v>
      </c>
      <c r="AA10253" s="93">
        <v>1</v>
      </c>
      <c r="AB10253" s="93">
        <f>AD10253/AC10251</f>
        <v>1</v>
      </c>
      <c r="AC10253" s="93">
        <f>AC10251/AA10253</f>
        <v>9402.630000000001</v>
      </c>
      <c r="AD10253" s="94">
        <f>AC10253*Z10253</f>
        <v>9402.630000000001</v>
      </c>
      <c r="AE10253" s="190"/>
      <c r="AF10253" s="191"/>
      <c r="AG10253" s="191"/>
      <c r="AH10253" s="191"/>
      <c r="AI10253" s="186"/>
      <c r="AK10253" s="171"/>
    </row>
    <row r="10254" spans="1:37" s="103" customFormat="1" ht="19.899999999999999" customHeight="1" x14ac:dyDescent="0.25">
      <c r="A10254" s="51"/>
      <c r="B10254" s="52"/>
      <c r="C10254" s="165"/>
      <c r="D10254" s="52"/>
      <c r="E10254" s="115"/>
      <c r="F10254" s="58"/>
      <c r="G10254" s="58"/>
      <c r="H10254" s="58"/>
      <c r="I10254" s="55"/>
      <c r="J10254" s="113">
        <f>J10239</f>
        <v>9402.630000000001</v>
      </c>
      <c r="K10254" s="212">
        <f>K10239</f>
        <v>9402.630000000001</v>
      </c>
      <c r="L10254" s="58"/>
      <c r="M10254" s="58">
        <f>K10254-L10254</f>
        <v>9402.630000000001</v>
      </c>
      <c r="N10254" s="166"/>
      <c r="O10254" s="58"/>
      <c r="P10254" s="58"/>
      <c r="Q10254" s="58"/>
      <c r="R10254" s="58"/>
      <c r="S10254" s="58"/>
      <c r="T10254" s="220"/>
      <c r="U10254" s="88"/>
      <c r="V10254" s="56"/>
      <c r="W10254" s="57" t="s">
        <v>1697</v>
      </c>
      <c r="X10254" s="53"/>
      <c r="Y10254" s="91" t="s">
        <v>64</v>
      </c>
      <c r="Z10254" s="136">
        <f>AD10254/AC10254</f>
        <v>30.279999999999998</v>
      </c>
      <c r="AA10254" s="58"/>
      <c r="AB10254" s="53">
        <f>AD10254/AC10254</f>
        <v>30.279999999999998</v>
      </c>
      <c r="AC10254" s="53">
        <f>M10254+$AE$10</f>
        <v>9402.630000000001</v>
      </c>
      <c r="AD10254" s="54">
        <f>SUM(AD10255:AD10257)</f>
        <v>284711.63640000002</v>
      </c>
      <c r="AE10254" s="184">
        <f>SUMIFS($AD$37:$AD$12971,$V$37:$V$12971,$V10254,$X$37:$X$12971,AE$13)</f>
        <v>0</v>
      </c>
      <c r="AF10254" s="185">
        <f>SUMIFS($AD$37:$AD$12971,$V$37:$V$12971,$V10254,$X$37:$X$12971,AF$13)</f>
        <v>0</v>
      </c>
      <c r="AG10254" s="185">
        <f>SUMIFS($AD$37:$AD$12971,$V$37:$V$12971,$V10254,$X$37:$X$12971,AG$13)</f>
        <v>0</v>
      </c>
      <c r="AH10254" s="187">
        <f>SUMIFS($AD$37:$AD$12971,$V$37:$V$12971,$V10254,$X$37:$X$12971,AH$13)</f>
        <v>0</v>
      </c>
      <c r="AI10254" s="161">
        <f t="shared" ref="AI10254" si="6825">SUM(AE10254:AH10254)</f>
        <v>0</v>
      </c>
      <c r="AK10254" s="172"/>
    </row>
    <row r="10255" spans="1:37" s="102" customFormat="1" ht="19.899999999999999" customHeight="1" x14ac:dyDescent="0.25">
      <c r="A10255" s="45"/>
      <c r="B10255" s="59"/>
      <c r="C10255" s="137"/>
      <c r="D10255" s="59"/>
      <c r="E10255" s="116"/>
      <c r="F10255" s="120"/>
      <c r="G10255" s="120"/>
      <c r="H10255" s="120"/>
      <c r="I10255" s="60"/>
      <c r="J10255" s="116"/>
      <c r="K10255" s="213"/>
      <c r="L10255" s="120"/>
      <c r="M10255" s="120"/>
      <c r="N10255" s="167"/>
      <c r="O10255" s="120"/>
      <c r="P10255" s="120"/>
      <c r="Q10255" s="120"/>
      <c r="R10255" s="120"/>
      <c r="S10255" s="120"/>
      <c r="T10255" s="221"/>
      <c r="U10255" s="89"/>
      <c r="V10255" s="61"/>
      <c r="W10255" s="92" t="s">
        <v>1019</v>
      </c>
      <c r="X10255" s="93" t="s">
        <v>30</v>
      </c>
      <c r="Y10255" s="93" t="s">
        <v>67</v>
      </c>
      <c r="Z10255" s="134">
        <f>VLOOKUP(W10255,Sheet2!$B:$D,3,FALSE)</f>
        <v>200</v>
      </c>
      <c r="AA10255" s="93">
        <f>1/2.4/0.05</f>
        <v>8.3333333333333339</v>
      </c>
      <c r="AB10255" s="93">
        <f>AD10255/AC10254</f>
        <v>24</v>
      </c>
      <c r="AC10255" s="93">
        <f>AC10254/AA10255</f>
        <v>1128.3156000000001</v>
      </c>
      <c r="AD10255" s="94">
        <f t="shared" ref="AD10255:AD10256" si="6826">AC10255*Z10255</f>
        <v>225663.12000000002</v>
      </c>
      <c r="AE10255" s="190"/>
      <c r="AF10255" s="191"/>
      <c r="AG10255" s="191"/>
      <c r="AH10255" s="191"/>
      <c r="AI10255" s="186"/>
      <c r="AK10255" s="171"/>
    </row>
    <row r="10256" spans="1:37" s="102" customFormat="1" ht="19.899999999999999" customHeight="1" x14ac:dyDescent="0.25">
      <c r="A10256" s="45"/>
      <c r="B10256" s="59"/>
      <c r="C10256" s="137"/>
      <c r="D10256" s="59"/>
      <c r="E10256" s="116"/>
      <c r="F10256" s="120"/>
      <c r="G10256" s="120"/>
      <c r="H10256" s="120"/>
      <c r="I10256" s="60"/>
      <c r="J10256" s="116"/>
      <c r="K10256" s="213"/>
      <c r="L10256" s="120"/>
      <c r="M10256" s="120"/>
      <c r="N10256" s="167"/>
      <c r="O10256" s="120"/>
      <c r="P10256" s="120"/>
      <c r="Q10256" s="120"/>
      <c r="R10256" s="120"/>
      <c r="S10256" s="120"/>
      <c r="T10256" s="221"/>
      <c r="U10256" s="89"/>
      <c r="V10256" s="61"/>
      <c r="W10256" s="92" t="s">
        <v>1692</v>
      </c>
      <c r="X10256" s="93" t="s">
        <v>30</v>
      </c>
      <c r="Y10256" s="93" t="s">
        <v>67</v>
      </c>
      <c r="Z10256" s="134">
        <f>VLOOKUP(W10256,Sheet2!$B:$D,3,FALSE)</f>
        <v>19</v>
      </c>
      <c r="AA10256" s="93">
        <f>AA10255</f>
        <v>8.3333333333333339</v>
      </c>
      <c r="AB10256" s="93">
        <f>AD10256/AC10254</f>
        <v>2.2800000000000002</v>
      </c>
      <c r="AC10256" s="93">
        <f>AC10254/AA10256</f>
        <v>1128.3156000000001</v>
      </c>
      <c r="AD10256" s="94">
        <f t="shared" si="6826"/>
        <v>21437.996400000004</v>
      </c>
      <c r="AE10256" s="190"/>
      <c r="AF10256" s="191"/>
      <c r="AG10256" s="191"/>
      <c r="AH10256" s="191"/>
      <c r="AI10256" s="186"/>
      <c r="AK10256" s="171"/>
    </row>
    <row r="10257" spans="1:41" s="102" customFormat="1" ht="19.899999999999999" customHeight="1" x14ac:dyDescent="0.25">
      <c r="A10257" s="45"/>
      <c r="B10257" s="59"/>
      <c r="C10257" s="137"/>
      <c r="D10257" s="59"/>
      <c r="E10257" s="116"/>
      <c r="F10257" s="120"/>
      <c r="G10257" s="120"/>
      <c r="H10257" s="120"/>
      <c r="I10257" s="60"/>
      <c r="J10257" s="116"/>
      <c r="K10257" s="213"/>
      <c r="L10257" s="120"/>
      <c r="M10257" s="120"/>
      <c r="N10257" s="167"/>
      <c r="O10257" s="120"/>
      <c r="P10257" s="120"/>
      <c r="Q10257" s="120"/>
      <c r="R10257" s="120"/>
      <c r="S10257" s="120"/>
      <c r="T10257" s="221"/>
      <c r="U10257" s="89"/>
      <c r="V10257" s="61"/>
      <c r="W10257" s="92" t="s">
        <v>1023</v>
      </c>
      <c r="X10257" s="93" t="s">
        <v>32</v>
      </c>
      <c r="Y10257" s="93" t="s">
        <v>64</v>
      </c>
      <c r="Z10257" s="134">
        <f>VLOOKUP(W10257,Sheet2!$B:$D,3,FALSE)</f>
        <v>4</v>
      </c>
      <c r="AA10257" s="93">
        <v>1</v>
      </c>
      <c r="AB10257" s="93">
        <f>AD10257/AC10254</f>
        <v>4</v>
      </c>
      <c r="AC10257" s="93">
        <f>AC10254/AA10257</f>
        <v>9402.630000000001</v>
      </c>
      <c r="AD10257" s="94">
        <f>AC10257*Z10257</f>
        <v>37610.520000000004</v>
      </c>
      <c r="AE10257" s="190"/>
      <c r="AF10257" s="191"/>
      <c r="AG10257" s="191"/>
      <c r="AH10257" s="191"/>
      <c r="AI10257" s="186"/>
      <c r="AK10257" s="171"/>
    </row>
    <row r="10258" spans="1:41" ht="20.100000000000001" customHeight="1" x14ac:dyDescent="0.25">
      <c r="A10258" s="277" t="s">
        <v>945</v>
      </c>
      <c r="B10258" s="278"/>
      <c r="C10258" s="64" t="s">
        <v>960</v>
      </c>
      <c r="D10258" s="46" t="s">
        <v>196</v>
      </c>
      <c r="E10258" s="114">
        <v>29792.109999999993</v>
      </c>
      <c r="F10258" s="44">
        <v>57</v>
      </c>
      <c r="G10258" s="44">
        <f t="shared" si="6741"/>
        <v>1698150.2699999996</v>
      </c>
      <c r="H10258" s="44">
        <f t="shared" si="6742"/>
        <v>92.709499999999991</v>
      </c>
      <c r="I10258" s="43">
        <f t="shared" si="6743"/>
        <v>2762011.6220449992</v>
      </c>
      <c r="J10258" s="112">
        <f t="shared" si="6744"/>
        <v>29792.109999999993</v>
      </c>
      <c r="K10258" s="211">
        <f t="shared" si="6745"/>
        <v>29792.109999999993</v>
      </c>
      <c r="L10258" s="44"/>
      <c r="M10258" s="44">
        <f t="shared" si="6755"/>
        <v>29792.109999999993</v>
      </c>
      <c r="N10258" s="173">
        <f t="shared" si="6746"/>
        <v>1</v>
      </c>
      <c r="O10258" s="44">
        <f t="shared" si="6747"/>
        <v>57</v>
      </c>
      <c r="P10258" s="44">
        <f t="shared" si="6748"/>
        <v>1698150.2699999996</v>
      </c>
      <c r="Q10258" s="44">
        <f t="shared" si="6749"/>
        <v>92.709499999999991</v>
      </c>
      <c r="R10258" s="44">
        <f t="shared" si="6756"/>
        <v>2762011.6220449992</v>
      </c>
      <c r="S10258" s="123"/>
      <c r="T10258" s="219">
        <f t="shared" si="6757"/>
        <v>2762011.6220449992</v>
      </c>
      <c r="U10258" s="87"/>
      <c r="V10258" s="47"/>
      <c r="W10258" s="48"/>
      <c r="X10258" s="48"/>
      <c r="Y10258" s="48"/>
      <c r="Z10258" s="135"/>
      <c r="AA10258" s="49"/>
      <c r="AB10258" s="50">
        <f t="shared" si="6750"/>
        <v>92.709499999999991</v>
      </c>
      <c r="AC10258" s="42">
        <f t="shared" si="6758"/>
        <v>29792.109999999993</v>
      </c>
      <c r="AD10258" s="90">
        <f>AD10259+AD10263+AD10266+AD10270+AD10273</f>
        <v>2762011.6220449992</v>
      </c>
      <c r="AE10258" s="188">
        <f t="shared" ref="AE10258" si="6827">AE10259+AE10263+AE10266+AE10270+AE10273</f>
        <v>0</v>
      </c>
      <c r="AF10258" s="189">
        <f t="shared" ref="AF10258" si="6828">AF10259+AF10263+AF10266+AF10270+AF10273</f>
        <v>0</v>
      </c>
      <c r="AG10258" s="189">
        <f t="shared" ref="AG10258" si="6829">AG10259+AG10263+AG10266+AG10270+AG10273</f>
        <v>0</v>
      </c>
      <c r="AH10258" s="189">
        <f t="shared" ref="AH10258" si="6830">AH10259+AH10263+AH10266+AH10270+AH10273</f>
        <v>0</v>
      </c>
      <c r="AI10258" s="161">
        <f t="shared" si="6815"/>
        <v>0</v>
      </c>
      <c r="AK10258" s="169">
        <v>5</v>
      </c>
      <c r="AO10258" s="19" t="s">
        <v>63</v>
      </c>
    </row>
    <row r="10259" spans="1:41" s="103" customFormat="1" ht="19.899999999999999" customHeight="1" x14ac:dyDescent="0.25">
      <c r="A10259" s="51"/>
      <c r="B10259" s="52"/>
      <c r="C10259" s="165"/>
      <c r="D10259" s="52"/>
      <c r="E10259" s="115"/>
      <c r="F10259" s="58"/>
      <c r="G10259" s="58"/>
      <c r="H10259" s="58"/>
      <c r="I10259" s="55"/>
      <c r="J10259" s="113">
        <f>J10258</f>
        <v>29792.109999999993</v>
      </c>
      <c r="K10259" s="212">
        <f>K10258</f>
        <v>29792.109999999993</v>
      </c>
      <c r="L10259" s="58"/>
      <c r="M10259" s="58">
        <f>K10259-L10259</f>
        <v>29792.109999999993</v>
      </c>
      <c r="N10259" s="166"/>
      <c r="O10259" s="58"/>
      <c r="P10259" s="58"/>
      <c r="Q10259" s="58"/>
      <c r="R10259" s="58"/>
      <c r="S10259" s="58"/>
      <c r="T10259" s="220"/>
      <c r="U10259" s="88"/>
      <c r="V10259" s="56"/>
      <c r="W10259" s="57" t="s">
        <v>1693</v>
      </c>
      <c r="X10259" s="53"/>
      <c r="Y10259" s="91" t="s">
        <v>64</v>
      </c>
      <c r="Z10259" s="136">
        <f>AD10259/AC10259</f>
        <v>13.799999999999999</v>
      </c>
      <c r="AA10259" s="58"/>
      <c r="AB10259" s="53">
        <f>AD10259/AC10259</f>
        <v>13.799999999999999</v>
      </c>
      <c r="AC10259" s="53">
        <f>M10259+$AE$10</f>
        <v>29792.109999999993</v>
      </c>
      <c r="AD10259" s="54">
        <f>SUM(AD10260:AD10262)</f>
        <v>411131.1179999999</v>
      </c>
      <c r="AE10259" s="184">
        <f>SUMIFS($AD$37:$AD$12971,$V$37:$V$12971,$V10259,$X$37:$X$12971,AE$13)</f>
        <v>0</v>
      </c>
      <c r="AF10259" s="185">
        <f>SUMIFS($AD$37:$AD$12971,$V$37:$V$12971,$V10259,$X$37:$X$12971,AF$13)</f>
        <v>0</v>
      </c>
      <c r="AG10259" s="185">
        <f>SUMIFS($AD$37:$AD$12971,$V$37:$V$12971,$V10259,$X$37:$X$12971,AG$13)</f>
        <v>0</v>
      </c>
      <c r="AH10259" s="187">
        <f>SUMIFS($AD$37:$AD$12971,$V$37:$V$12971,$V10259,$X$37:$X$12971,AH$13)</f>
        <v>0</v>
      </c>
      <c r="AI10259" s="161">
        <f t="shared" ref="AI10259" si="6831">SUM(AE10259:AH10259)</f>
        <v>0</v>
      </c>
      <c r="AK10259" s="172"/>
    </row>
    <row r="10260" spans="1:41" s="102" customFormat="1" ht="19.899999999999999" customHeight="1" x14ac:dyDescent="0.25">
      <c r="A10260" s="45"/>
      <c r="B10260" s="59"/>
      <c r="C10260" s="137"/>
      <c r="D10260" s="59"/>
      <c r="E10260" s="116"/>
      <c r="F10260" s="120"/>
      <c r="G10260" s="120"/>
      <c r="H10260" s="120"/>
      <c r="I10260" s="60"/>
      <c r="J10260" s="116"/>
      <c r="K10260" s="213"/>
      <c r="L10260" s="120"/>
      <c r="M10260" s="120"/>
      <c r="N10260" s="167"/>
      <c r="O10260" s="120"/>
      <c r="P10260" s="120"/>
      <c r="Q10260" s="120"/>
      <c r="R10260" s="120"/>
      <c r="S10260" s="120"/>
      <c r="T10260" s="221"/>
      <c r="U10260" s="89"/>
      <c r="V10260" s="61"/>
      <c r="W10260" s="92" t="s">
        <v>1689</v>
      </c>
      <c r="X10260" s="93" t="s">
        <v>30</v>
      </c>
      <c r="Y10260" s="93" t="s">
        <v>66</v>
      </c>
      <c r="Z10260" s="134">
        <f>VLOOKUP(W10260,Sheet2!$B:$D,3,FALSE)</f>
        <v>25</v>
      </c>
      <c r="AA10260" s="93">
        <f>1/0.2</f>
        <v>5</v>
      </c>
      <c r="AB10260" s="93">
        <f>AD10260/AC10259</f>
        <v>5</v>
      </c>
      <c r="AC10260" s="93">
        <f>AC10259/AA10260</f>
        <v>5958.4219999999987</v>
      </c>
      <c r="AD10260" s="94">
        <f t="shared" ref="AD10260:AD10261" si="6832">AC10260*Z10260</f>
        <v>148960.54999999996</v>
      </c>
      <c r="AE10260" s="190"/>
      <c r="AF10260" s="191"/>
      <c r="AG10260" s="191"/>
      <c r="AH10260" s="191"/>
      <c r="AI10260" s="186"/>
      <c r="AK10260" s="171"/>
    </row>
    <row r="10261" spans="1:41" s="102" customFormat="1" ht="19.899999999999999" customHeight="1" x14ac:dyDescent="0.25">
      <c r="A10261" s="45"/>
      <c r="B10261" s="59"/>
      <c r="C10261" s="137"/>
      <c r="D10261" s="59"/>
      <c r="E10261" s="116"/>
      <c r="F10261" s="120"/>
      <c r="G10261" s="120"/>
      <c r="H10261" s="120"/>
      <c r="I10261" s="60"/>
      <c r="J10261" s="116"/>
      <c r="K10261" s="213"/>
      <c r="L10261" s="120"/>
      <c r="M10261" s="120"/>
      <c r="N10261" s="167"/>
      <c r="O10261" s="120"/>
      <c r="P10261" s="120"/>
      <c r="Q10261" s="120"/>
      <c r="R10261" s="120"/>
      <c r="S10261" s="120"/>
      <c r="T10261" s="221"/>
      <c r="U10261" s="89"/>
      <c r="V10261" s="61"/>
      <c r="W10261" s="92" t="s">
        <v>1690</v>
      </c>
      <c r="X10261" s="93" t="s">
        <v>30</v>
      </c>
      <c r="Y10261" s="93" t="s">
        <v>66</v>
      </c>
      <c r="Z10261" s="134">
        <f>VLOOKUP(W10261,Sheet2!$B:$D,3,FALSE)</f>
        <v>17</v>
      </c>
      <c r="AA10261" s="93">
        <f>1/0.2</f>
        <v>5</v>
      </c>
      <c r="AB10261" s="93">
        <f>AD10261/AC10259</f>
        <v>3.4</v>
      </c>
      <c r="AC10261" s="93">
        <f>AC10259/AA10261</f>
        <v>5958.4219999999987</v>
      </c>
      <c r="AD10261" s="94">
        <f t="shared" si="6832"/>
        <v>101293.17399999997</v>
      </c>
      <c r="AE10261" s="190"/>
      <c r="AF10261" s="191"/>
      <c r="AG10261" s="191"/>
      <c r="AH10261" s="191"/>
      <c r="AI10261" s="186"/>
      <c r="AK10261" s="171"/>
    </row>
    <row r="10262" spans="1:41" s="102" customFormat="1" ht="19.899999999999999" customHeight="1" x14ac:dyDescent="0.25">
      <c r="A10262" s="45"/>
      <c r="B10262" s="59"/>
      <c r="C10262" s="137"/>
      <c r="D10262" s="59"/>
      <c r="E10262" s="116"/>
      <c r="F10262" s="120"/>
      <c r="G10262" s="120"/>
      <c r="H10262" s="120"/>
      <c r="I10262" s="60"/>
      <c r="J10262" s="116"/>
      <c r="K10262" s="213"/>
      <c r="L10262" s="120"/>
      <c r="M10262" s="120"/>
      <c r="N10262" s="167"/>
      <c r="O10262" s="120"/>
      <c r="P10262" s="120"/>
      <c r="Q10262" s="120"/>
      <c r="R10262" s="120"/>
      <c r="S10262" s="120"/>
      <c r="T10262" s="221"/>
      <c r="U10262" s="89"/>
      <c r="V10262" s="61"/>
      <c r="W10262" s="92" t="s">
        <v>1691</v>
      </c>
      <c r="X10262" s="93" t="s">
        <v>32</v>
      </c>
      <c r="Y10262" s="93" t="s">
        <v>64</v>
      </c>
      <c r="Z10262" s="134">
        <f>VLOOKUP(W10262,Sheet2!$B:$D,3,FALSE)</f>
        <v>5.4</v>
      </c>
      <c r="AA10262" s="93">
        <v>1</v>
      </c>
      <c r="AB10262" s="93">
        <f>AD10262/AC10259</f>
        <v>5.4</v>
      </c>
      <c r="AC10262" s="93">
        <f>AC10259/AA10262</f>
        <v>29792.109999999993</v>
      </c>
      <c r="AD10262" s="94">
        <f>AC10262*Z10262</f>
        <v>160877.39399999997</v>
      </c>
      <c r="AE10262" s="190"/>
      <c r="AF10262" s="191"/>
      <c r="AG10262" s="191"/>
      <c r="AH10262" s="191"/>
      <c r="AI10262" s="186"/>
      <c r="AK10262" s="171"/>
    </row>
    <row r="10263" spans="1:41" s="103" customFormat="1" ht="19.899999999999999" customHeight="1" x14ac:dyDescent="0.25">
      <c r="A10263" s="51"/>
      <c r="B10263" s="52"/>
      <c r="C10263" s="165"/>
      <c r="D10263" s="52"/>
      <c r="E10263" s="115"/>
      <c r="F10263" s="58"/>
      <c r="G10263" s="58"/>
      <c r="H10263" s="58"/>
      <c r="I10263" s="55"/>
      <c r="J10263" s="113">
        <f>J10258</f>
        <v>29792.109999999993</v>
      </c>
      <c r="K10263" s="212">
        <f>K10258</f>
        <v>29792.109999999993</v>
      </c>
      <c r="L10263" s="58"/>
      <c r="M10263" s="58">
        <f>K10263-L10263</f>
        <v>29792.109999999993</v>
      </c>
      <c r="N10263" s="166"/>
      <c r="O10263" s="58"/>
      <c r="P10263" s="58"/>
      <c r="Q10263" s="58"/>
      <c r="R10263" s="58"/>
      <c r="S10263" s="58"/>
      <c r="T10263" s="220"/>
      <c r="U10263" s="88"/>
      <c r="V10263" s="56"/>
      <c r="W10263" s="57" t="s">
        <v>1694</v>
      </c>
      <c r="X10263" s="53"/>
      <c r="Y10263" s="91" t="s">
        <v>64</v>
      </c>
      <c r="Z10263" s="136">
        <f>AD10263/AC10263</f>
        <v>3.4499999999999997</v>
      </c>
      <c r="AA10263" s="58"/>
      <c r="AB10263" s="53">
        <f>AD10263/AC10263</f>
        <v>3.4499999999999997</v>
      </c>
      <c r="AC10263" s="53">
        <f>M10263+$AE$10</f>
        <v>29792.109999999993</v>
      </c>
      <c r="AD10263" s="54">
        <f>SUM(AD10264:AD10265)</f>
        <v>102782.77949999998</v>
      </c>
      <c r="AE10263" s="184">
        <f>SUMIFS($AD$37:$AD$12971,$V$37:$V$12971,$V10263,$X$37:$X$12971,AE$13)</f>
        <v>0</v>
      </c>
      <c r="AF10263" s="185">
        <f>SUMIFS($AD$37:$AD$12971,$V$37:$V$12971,$V10263,$X$37:$X$12971,AF$13)</f>
        <v>0</v>
      </c>
      <c r="AG10263" s="185">
        <f>SUMIFS($AD$37:$AD$12971,$V$37:$V$12971,$V10263,$X$37:$X$12971,AG$13)</f>
        <v>0</v>
      </c>
      <c r="AH10263" s="187">
        <f>SUMIFS($AD$37:$AD$12971,$V$37:$V$12971,$V10263,$X$37:$X$12971,AH$13)</f>
        <v>0</v>
      </c>
      <c r="AI10263" s="161">
        <f t="shared" ref="AI10263" si="6833">SUM(AE10263:AH10263)</f>
        <v>0</v>
      </c>
      <c r="AK10263" s="172"/>
    </row>
    <row r="10264" spans="1:41" s="102" customFormat="1" ht="19.899999999999999" customHeight="1" x14ac:dyDescent="0.25">
      <c r="A10264" s="45"/>
      <c r="B10264" s="59"/>
      <c r="C10264" s="137"/>
      <c r="D10264" s="59"/>
      <c r="E10264" s="116"/>
      <c r="F10264" s="120"/>
      <c r="G10264" s="120"/>
      <c r="H10264" s="120"/>
      <c r="I10264" s="60"/>
      <c r="J10264" s="116"/>
      <c r="K10264" s="213"/>
      <c r="L10264" s="120"/>
      <c r="M10264" s="120"/>
      <c r="N10264" s="167"/>
      <c r="O10264" s="120"/>
      <c r="P10264" s="120"/>
      <c r="Q10264" s="120"/>
      <c r="R10264" s="120"/>
      <c r="S10264" s="120"/>
      <c r="T10264" s="221"/>
      <c r="U10264" s="89"/>
      <c r="V10264" s="61"/>
      <c r="W10264" s="92" t="s">
        <v>1026</v>
      </c>
      <c r="X10264" s="93" t="s">
        <v>30</v>
      </c>
      <c r="Y10264" s="93" t="s">
        <v>67</v>
      </c>
      <c r="Z10264" s="134">
        <f>VLOOKUP(W10264,Sheet2!$B:$D,3,FALSE)</f>
        <v>2450</v>
      </c>
      <c r="AA10264" s="93">
        <v>1000</v>
      </c>
      <c r="AB10264" s="93">
        <f>AD10264/AC10263</f>
        <v>2.4500000000000002</v>
      </c>
      <c r="AC10264" s="93">
        <f>AC10263/AA10264</f>
        <v>29.792109999999994</v>
      </c>
      <c r="AD10264" s="94">
        <f t="shared" ref="AD10264" si="6834">AC10264*Z10264</f>
        <v>72990.669499999989</v>
      </c>
      <c r="AE10264" s="190"/>
      <c r="AF10264" s="191"/>
      <c r="AG10264" s="191"/>
      <c r="AH10264" s="191"/>
      <c r="AI10264" s="186"/>
      <c r="AK10264" s="171"/>
    </row>
    <row r="10265" spans="1:41" s="102" customFormat="1" ht="19.899999999999999" customHeight="1" x14ac:dyDescent="0.25">
      <c r="A10265" s="45"/>
      <c r="B10265" s="59"/>
      <c r="C10265" s="137"/>
      <c r="D10265" s="59"/>
      <c r="E10265" s="116"/>
      <c r="F10265" s="120"/>
      <c r="G10265" s="120"/>
      <c r="H10265" s="120"/>
      <c r="I10265" s="60"/>
      <c r="J10265" s="116"/>
      <c r="K10265" s="213"/>
      <c r="L10265" s="120"/>
      <c r="M10265" s="120"/>
      <c r="N10265" s="167"/>
      <c r="O10265" s="120"/>
      <c r="P10265" s="120"/>
      <c r="Q10265" s="120"/>
      <c r="R10265" s="120"/>
      <c r="S10265" s="120"/>
      <c r="T10265" s="221"/>
      <c r="U10265" s="89"/>
      <c r="V10265" s="61"/>
      <c r="W10265" s="92" t="s">
        <v>1017</v>
      </c>
      <c r="X10265" s="93" t="s">
        <v>32</v>
      </c>
      <c r="Y10265" s="93" t="s">
        <v>64</v>
      </c>
      <c r="Z10265" s="134">
        <f>VLOOKUP(W10265,Sheet2!$B:$D,3,FALSE)</f>
        <v>1</v>
      </c>
      <c r="AA10265" s="93">
        <v>1</v>
      </c>
      <c r="AB10265" s="93">
        <f>AD10265/AC10263</f>
        <v>1</v>
      </c>
      <c r="AC10265" s="93">
        <f>AC10263/AA10265</f>
        <v>29792.109999999993</v>
      </c>
      <c r="AD10265" s="94">
        <f>AC10265*Z10265</f>
        <v>29792.109999999993</v>
      </c>
      <c r="AE10265" s="190"/>
      <c r="AF10265" s="191"/>
      <c r="AG10265" s="191"/>
      <c r="AH10265" s="191"/>
      <c r="AI10265" s="186"/>
      <c r="AK10265" s="171"/>
    </row>
    <row r="10266" spans="1:41" s="103" customFormat="1" ht="19.899999999999999" customHeight="1" x14ac:dyDescent="0.25">
      <c r="A10266" s="51"/>
      <c r="B10266" s="52"/>
      <c r="C10266" s="165"/>
      <c r="D10266" s="52"/>
      <c r="E10266" s="115"/>
      <c r="F10266" s="58"/>
      <c r="G10266" s="58"/>
      <c r="H10266" s="58"/>
      <c r="I10266" s="55"/>
      <c r="J10266" s="113">
        <f>J10258</f>
        <v>29792.109999999993</v>
      </c>
      <c r="K10266" s="212">
        <f>K10258</f>
        <v>29792.109999999993</v>
      </c>
      <c r="L10266" s="58"/>
      <c r="M10266" s="58">
        <f>K10266-L10266</f>
        <v>29792.109999999993</v>
      </c>
      <c r="N10266" s="166"/>
      <c r="O10266" s="58"/>
      <c r="P10266" s="58"/>
      <c r="Q10266" s="58"/>
      <c r="R10266" s="58"/>
      <c r="S10266" s="58"/>
      <c r="T10266" s="220"/>
      <c r="U10266" s="88"/>
      <c r="V10266" s="56"/>
      <c r="W10266" s="57" t="s">
        <v>1695</v>
      </c>
      <c r="X10266" s="53"/>
      <c r="Y10266" s="91" t="s">
        <v>64</v>
      </c>
      <c r="Z10266" s="136">
        <f>AD10266/AC10266</f>
        <v>40.991999999999997</v>
      </c>
      <c r="AA10266" s="58"/>
      <c r="AB10266" s="53">
        <f>AD10266/AC10266</f>
        <v>40.991999999999997</v>
      </c>
      <c r="AC10266" s="53">
        <f>M10266+$AE$10</f>
        <v>29792.109999999993</v>
      </c>
      <c r="AD10266" s="54">
        <f>SUM(AD10267:AD10269)</f>
        <v>1221238.1731199997</v>
      </c>
      <c r="AE10266" s="184">
        <f>SUMIFS($AD$37:$AD$12971,$V$37:$V$12971,$V10266,$X$37:$X$12971,AE$13)</f>
        <v>0</v>
      </c>
      <c r="AF10266" s="185">
        <f>SUMIFS($AD$37:$AD$12971,$V$37:$V$12971,$V10266,$X$37:$X$12971,AF$13)</f>
        <v>0</v>
      </c>
      <c r="AG10266" s="185">
        <f>SUMIFS($AD$37:$AD$12971,$V$37:$V$12971,$V10266,$X$37:$X$12971,AG$13)</f>
        <v>0</v>
      </c>
      <c r="AH10266" s="187">
        <f>SUMIFS($AD$37:$AD$12971,$V$37:$V$12971,$V10266,$X$37:$X$12971,AH$13)</f>
        <v>0</v>
      </c>
      <c r="AI10266" s="161">
        <f t="shared" ref="AI10266" si="6835">SUM(AE10266:AH10266)</f>
        <v>0</v>
      </c>
      <c r="AK10266" s="172"/>
    </row>
    <row r="10267" spans="1:41" s="102" customFormat="1" ht="19.899999999999999" customHeight="1" x14ac:dyDescent="0.25">
      <c r="A10267" s="45"/>
      <c r="B10267" s="59"/>
      <c r="C10267" s="137"/>
      <c r="D10267" s="59"/>
      <c r="E10267" s="116"/>
      <c r="F10267" s="120"/>
      <c r="G10267" s="120"/>
      <c r="H10267" s="120"/>
      <c r="I10267" s="60"/>
      <c r="J10267" s="116"/>
      <c r="K10267" s="213"/>
      <c r="L10267" s="120"/>
      <c r="M10267" s="120"/>
      <c r="N10267" s="167"/>
      <c r="O10267" s="120"/>
      <c r="P10267" s="120"/>
      <c r="Q10267" s="120"/>
      <c r="R10267" s="120"/>
      <c r="S10267" s="120"/>
      <c r="T10267" s="221"/>
      <c r="U10267" s="89"/>
      <c r="V10267" s="61"/>
      <c r="W10267" s="92" t="s">
        <v>1019</v>
      </c>
      <c r="X10267" s="93" t="s">
        <v>30</v>
      </c>
      <c r="Y10267" s="93" t="s">
        <v>67</v>
      </c>
      <c r="Z10267" s="134">
        <f>VLOOKUP(W10267,Sheet2!$B:$D,3,FALSE)</f>
        <v>200</v>
      </c>
      <c r="AA10267" s="93">
        <f>1/2.4/0.07</f>
        <v>5.9523809523809517</v>
      </c>
      <c r="AB10267" s="93">
        <f>AD10267/AC10266</f>
        <v>33.6</v>
      </c>
      <c r="AC10267" s="93">
        <f>AC10266/AA10267</f>
        <v>5005.0744799999993</v>
      </c>
      <c r="AD10267" s="94">
        <f t="shared" ref="AD10267:AD10268" si="6836">AC10267*Z10267</f>
        <v>1001014.8959999998</v>
      </c>
      <c r="AE10267" s="190"/>
      <c r="AF10267" s="191"/>
      <c r="AG10267" s="191"/>
      <c r="AH10267" s="191"/>
      <c r="AI10267" s="186"/>
      <c r="AK10267" s="171"/>
    </row>
    <row r="10268" spans="1:41" s="102" customFormat="1" ht="19.899999999999999" customHeight="1" x14ac:dyDescent="0.25">
      <c r="A10268" s="45"/>
      <c r="B10268" s="59"/>
      <c r="C10268" s="137"/>
      <c r="D10268" s="59"/>
      <c r="E10268" s="116"/>
      <c r="F10268" s="120"/>
      <c r="G10268" s="120"/>
      <c r="H10268" s="120"/>
      <c r="I10268" s="60"/>
      <c r="J10268" s="116"/>
      <c r="K10268" s="213"/>
      <c r="L10268" s="120"/>
      <c r="M10268" s="120"/>
      <c r="N10268" s="167"/>
      <c r="O10268" s="120"/>
      <c r="P10268" s="120"/>
      <c r="Q10268" s="120"/>
      <c r="R10268" s="120"/>
      <c r="S10268" s="120"/>
      <c r="T10268" s="221"/>
      <c r="U10268" s="89"/>
      <c r="V10268" s="61"/>
      <c r="W10268" s="92" t="s">
        <v>1692</v>
      </c>
      <c r="X10268" s="93" t="s">
        <v>30</v>
      </c>
      <c r="Y10268" s="93" t="s">
        <v>67</v>
      </c>
      <c r="Z10268" s="134">
        <f>VLOOKUP(W10268,Sheet2!$B:$D,3,FALSE)</f>
        <v>19</v>
      </c>
      <c r="AA10268" s="93">
        <f>AA10267</f>
        <v>5.9523809523809517</v>
      </c>
      <c r="AB10268" s="93">
        <f>AD10268/AC10266</f>
        <v>3.1920000000000006</v>
      </c>
      <c r="AC10268" s="93">
        <f>AC10266/AA10268</f>
        <v>5005.0744799999993</v>
      </c>
      <c r="AD10268" s="94">
        <f t="shared" si="6836"/>
        <v>95096.415119999991</v>
      </c>
      <c r="AE10268" s="190"/>
      <c r="AF10268" s="191"/>
      <c r="AG10268" s="191"/>
      <c r="AH10268" s="191"/>
      <c r="AI10268" s="186"/>
      <c r="AK10268" s="171"/>
    </row>
    <row r="10269" spans="1:41" s="102" customFormat="1" ht="19.899999999999999" customHeight="1" x14ac:dyDescent="0.25">
      <c r="A10269" s="45"/>
      <c r="B10269" s="59"/>
      <c r="C10269" s="137"/>
      <c r="D10269" s="59"/>
      <c r="E10269" s="116"/>
      <c r="F10269" s="120"/>
      <c r="G10269" s="120"/>
      <c r="H10269" s="120"/>
      <c r="I10269" s="60"/>
      <c r="J10269" s="116"/>
      <c r="K10269" s="213"/>
      <c r="L10269" s="120"/>
      <c r="M10269" s="120"/>
      <c r="N10269" s="167"/>
      <c r="O10269" s="120"/>
      <c r="P10269" s="120"/>
      <c r="Q10269" s="120"/>
      <c r="R10269" s="120"/>
      <c r="S10269" s="120"/>
      <c r="T10269" s="221"/>
      <c r="U10269" s="89"/>
      <c r="V10269" s="61"/>
      <c r="W10269" s="92" t="s">
        <v>1021</v>
      </c>
      <c r="X10269" s="93" t="s">
        <v>32</v>
      </c>
      <c r="Y10269" s="93" t="s">
        <v>64</v>
      </c>
      <c r="Z10269" s="134">
        <f>VLOOKUP(W10269,Sheet2!$B:$D,3,FALSE)</f>
        <v>4.2</v>
      </c>
      <c r="AA10269" s="93">
        <v>1</v>
      </c>
      <c r="AB10269" s="93">
        <f>AD10269/AC10266</f>
        <v>4.2</v>
      </c>
      <c r="AC10269" s="93">
        <f>AC10266/AA10269</f>
        <v>29792.109999999993</v>
      </c>
      <c r="AD10269" s="94">
        <f>AC10269*Z10269</f>
        <v>125126.86199999998</v>
      </c>
      <c r="AE10269" s="190"/>
      <c r="AF10269" s="191"/>
      <c r="AG10269" s="191"/>
      <c r="AH10269" s="191"/>
      <c r="AI10269" s="186"/>
      <c r="AK10269" s="171"/>
    </row>
    <row r="10270" spans="1:41" s="103" customFormat="1" ht="19.899999999999999" customHeight="1" x14ac:dyDescent="0.25">
      <c r="A10270" s="51"/>
      <c r="B10270" s="52"/>
      <c r="C10270" s="165"/>
      <c r="D10270" s="52"/>
      <c r="E10270" s="115"/>
      <c r="F10270" s="58"/>
      <c r="G10270" s="58"/>
      <c r="H10270" s="58"/>
      <c r="I10270" s="55"/>
      <c r="J10270" s="113">
        <f>J10258</f>
        <v>29792.109999999993</v>
      </c>
      <c r="K10270" s="212">
        <f>K10258</f>
        <v>29792.109999999993</v>
      </c>
      <c r="L10270" s="58"/>
      <c r="M10270" s="58">
        <f>K10270-L10270</f>
        <v>29792.109999999993</v>
      </c>
      <c r="N10270" s="166"/>
      <c r="O10270" s="58"/>
      <c r="P10270" s="58"/>
      <c r="Q10270" s="58"/>
      <c r="R10270" s="58"/>
      <c r="S10270" s="58"/>
      <c r="T10270" s="220"/>
      <c r="U10270" s="88"/>
      <c r="V10270" s="56"/>
      <c r="W10270" s="57" t="s">
        <v>1696</v>
      </c>
      <c r="X10270" s="53"/>
      <c r="Y10270" s="91" t="s">
        <v>64</v>
      </c>
      <c r="Z10270" s="136">
        <f>AD10270/AC10270</f>
        <v>4.1875</v>
      </c>
      <c r="AA10270" s="58"/>
      <c r="AB10270" s="53">
        <f>AD10270/AC10270</f>
        <v>4.1875</v>
      </c>
      <c r="AC10270" s="53">
        <f>M10270+$AE$10</f>
        <v>29792.109999999993</v>
      </c>
      <c r="AD10270" s="54">
        <f>SUM(AD10271:AD10272)</f>
        <v>124754.46062499998</v>
      </c>
      <c r="AE10270" s="184">
        <f>SUMIFS($AD$37:$AD$12971,$V$37:$V$12971,$V10270,$X$37:$X$12971,AE$13)</f>
        <v>0</v>
      </c>
      <c r="AF10270" s="185">
        <f>SUMIFS($AD$37:$AD$12971,$V$37:$V$12971,$V10270,$X$37:$X$12971,AF$13)</f>
        <v>0</v>
      </c>
      <c r="AG10270" s="185">
        <f>SUMIFS($AD$37:$AD$12971,$V$37:$V$12971,$V10270,$X$37:$X$12971,AG$13)</f>
        <v>0</v>
      </c>
      <c r="AH10270" s="187">
        <f>SUMIFS($AD$37:$AD$12971,$V$37:$V$12971,$V10270,$X$37:$X$12971,AH$13)</f>
        <v>0</v>
      </c>
      <c r="AI10270" s="161">
        <f t="shared" ref="AI10270" si="6837">SUM(AE10270:AH10270)</f>
        <v>0</v>
      </c>
      <c r="AK10270" s="172"/>
    </row>
    <row r="10271" spans="1:41" s="102" customFormat="1" ht="19.899999999999999" customHeight="1" x14ac:dyDescent="0.25">
      <c r="A10271" s="45"/>
      <c r="B10271" s="59"/>
      <c r="C10271" s="137"/>
      <c r="D10271" s="59"/>
      <c r="E10271" s="116"/>
      <c r="F10271" s="120"/>
      <c r="G10271" s="120"/>
      <c r="H10271" s="120"/>
      <c r="I10271" s="60"/>
      <c r="J10271" s="116"/>
      <c r="K10271" s="213"/>
      <c r="L10271" s="120"/>
      <c r="M10271" s="120"/>
      <c r="N10271" s="167"/>
      <c r="O10271" s="120"/>
      <c r="P10271" s="120"/>
      <c r="Q10271" s="120"/>
      <c r="R10271" s="120"/>
      <c r="S10271" s="120"/>
      <c r="T10271" s="221"/>
      <c r="U10271" s="89"/>
      <c r="V10271" s="61"/>
      <c r="W10271" s="92" t="s">
        <v>1027</v>
      </c>
      <c r="X10271" s="93" t="s">
        <v>30</v>
      </c>
      <c r="Y10271" s="93" t="s">
        <v>67</v>
      </c>
      <c r="Z10271" s="134">
        <f>VLOOKUP(W10271,Sheet2!$B:$D,3,FALSE)</f>
        <v>2550</v>
      </c>
      <c r="AA10271" s="93">
        <v>800</v>
      </c>
      <c r="AB10271" s="93">
        <f>AD10271/AC10270</f>
        <v>3.1875</v>
      </c>
      <c r="AC10271" s="93">
        <f>AC10270/AA10271</f>
        <v>37.240137499999989</v>
      </c>
      <c r="AD10271" s="94">
        <f t="shared" ref="AD10271" si="6838">AC10271*Z10271</f>
        <v>94962.350624999977</v>
      </c>
      <c r="AE10271" s="190"/>
      <c r="AF10271" s="191"/>
      <c r="AG10271" s="191"/>
      <c r="AH10271" s="191"/>
      <c r="AI10271" s="186"/>
      <c r="AK10271" s="171"/>
    </row>
    <row r="10272" spans="1:41" s="102" customFormat="1" ht="19.899999999999999" customHeight="1" x14ac:dyDescent="0.25">
      <c r="A10272" s="45"/>
      <c r="B10272" s="59"/>
      <c r="C10272" s="137"/>
      <c r="D10272" s="59"/>
      <c r="E10272" s="116"/>
      <c r="F10272" s="120"/>
      <c r="G10272" s="120"/>
      <c r="H10272" s="120"/>
      <c r="I10272" s="60"/>
      <c r="J10272" s="116"/>
      <c r="K10272" s="213"/>
      <c r="L10272" s="120"/>
      <c r="M10272" s="120"/>
      <c r="N10272" s="167"/>
      <c r="O10272" s="120"/>
      <c r="P10272" s="120"/>
      <c r="Q10272" s="120"/>
      <c r="R10272" s="120"/>
      <c r="S10272" s="120"/>
      <c r="T10272" s="221"/>
      <c r="U10272" s="89"/>
      <c r="V10272" s="61"/>
      <c r="W10272" s="92" t="s">
        <v>1018</v>
      </c>
      <c r="X10272" s="93" t="s">
        <v>32</v>
      </c>
      <c r="Y10272" s="93" t="s">
        <v>64</v>
      </c>
      <c r="Z10272" s="134">
        <f>VLOOKUP(W10272,Sheet2!$B:$D,3,FALSE)</f>
        <v>1</v>
      </c>
      <c r="AA10272" s="93">
        <v>1</v>
      </c>
      <c r="AB10272" s="93">
        <f>AD10272/AC10270</f>
        <v>1</v>
      </c>
      <c r="AC10272" s="93">
        <f>AC10270/AA10272</f>
        <v>29792.109999999993</v>
      </c>
      <c r="AD10272" s="94">
        <f>AC10272*Z10272</f>
        <v>29792.109999999993</v>
      </c>
      <c r="AE10272" s="190"/>
      <c r="AF10272" s="191"/>
      <c r="AG10272" s="191"/>
      <c r="AH10272" s="191"/>
      <c r="AI10272" s="186"/>
      <c r="AK10272" s="171"/>
    </row>
    <row r="10273" spans="1:41" s="103" customFormat="1" ht="19.899999999999999" customHeight="1" x14ac:dyDescent="0.25">
      <c r="A10273" s="51"/>
      <c r="B10273" s="52"/>
      <c r="C10273" s="165"/>
      <c r="D10273" s="52"/>
      <c r="E10273" s="115"/>
      <c r="F10273" s="58"/>
      <c r="G10273" s="58"/>
      <c r="H10273" s="58"/>
      <c r="I10273" s="55"/>
      <c r="J10273" s="113">
        <f>J10258</f>
        <v>29792.109999999993</v>
      </c>
      <c r="K10273" s="212">
        <f>K10258</f>
        <v>29792.109999999993</v>
      </c>
      <c r="L10273" s="58"/>
      <c r="M10273" s="58">
        <f>K10273-L10273</f>
        <v>29792.109999999993</v>
      </c>
      <c r="N10273" s="166"/>
      <c r="O10273" s="58"/>
      <c r="P10273" s="58"/>
      <c r="Q10273" s="58"/>
      <c r="R10273" s="58"/>
      <c r="S10273" s="58"/>
      <c r="T10273" s="220"/>
      <c r="U10273" s="88"/>
      <c r="V10273" s="56"/>
      <c r="W10273" s="57" t="s">
        <v>1697</v>
      </c>
      <c r="X10273" s="53"/>
      <c r="Y10273" s="91" t="s">
        <v>64</v>
      </c>
      <c r="Z10273" s="136">
        <f>AD10273/AC10273</f>
        <v>30.279999999999994</v>
      </c>
      <c r="AA10273" s="58"/>
      <c r="AB10273" s="53">
        <f>AD10273/AC10273</f>
        <v>30.279999999999994</v>
      </c>
      <c r="AC10273" s="53">
        <f>M10273+$AE$10</f>
        <v>29792.109999999993</v>
      </c>
      <c r="AD10273" s="54">
        <f>SUM(AD10274:AD10276)</f>
        <v>902105.09079999966</v>
      </c>
      <c r="AE10273" s="184">
        <f>SUMIFS($AD$37:$AD$12971,$V$37:$V$12971,$V10273,$X$37:$X$12971,AE$13)</f>
        <v>0</v>
      </c>
      <c r="AF10273" s="185">
        <f>SUMIFS($AD$37:$AD$12971,$V$37:$V$12971,$V10273,$X$37:$X$12971,AF$13)</f>
        <v>0</v>
      </c>
      <c r="AG10273" s="185">
        <f>SUMIFS($AD$37:$AD$12971,$V$37:$V$12971,$V10273,$X$37:$X$12971,AG$13)</f>
        <v>0</v>
      </c>
      <c r="AH10273" s="187">
        <f>SUMIFS($AD$37:$AD$12971,$V$37:$V$12971,$V10273,$X$37:$X$12971,AH$13)</f>
        <v>0</v>
      </c>
      <c r="AI10273" s="161">
        <f t="shared" ref="AI10273" si="6839">SUM(AE10273:AH10273)</f>
        <v>0</v>
      </c>
      <c r="AK10273" s="172"/>
    </row>
    <row r="10274" spans="1:41" s="102" customFormat="1" ht="19.899999999999999" customHeight="1" x14ac:dyDescent="0.25">
      <c r="A10274" s="45"/>
      <c r="B10274" s="59"/>
      <c r="C10274" s="137"/>
      <c r="D10274" s="59"/>
      <c r="E10274" s="116"/>
      <c r="F10274" s="120"/>
      <c r="G10274" s="120"/>
      <c r="H10274" s="120"/>
      <c r="I10274" s="60"/>
      <c r="J10274" s="116"/>
      <c r="K10274" s="213"/>
      <c r="L10274" s="120"/>
      <c r="M10274" s="120"/>
      <c r="N10274" s="167"/>
      <c r="O10274" s="120"/>
      <c r="P10274" s="120"/>
      <c r="Q10274" s="120"/>
      <c r="R10274" s="120"/>
      <c r="S10274" s="120"/>
      <c r="T10274" s="221"/>
      <c r="U10274" s="89"/>
      <c r="V10274" s="61"/>
      <c r="W10274" s="92" t="s">
        <v>1019</v>
      </c>
      <c r="X10274" s="93" t="s">
        <v>30</v>
      </c>
      <c r="Y10274" s="93" t="s">
        <v>67</v>
      </c>
      <c r="Z10274" s="134">
        <f>VLOOKUP(W10274,Sheet2!$B:$D,3,FALSE)</f>
        <v>200</v>
      </c>
      <c r="AA10274" s="93">
        <f>1/2.4/0.05</f>
        <v>8.3333333333333339</v>
      </c>
      <c r="AB10274" s="93">
        <f>AD10274/AC10273</f>
        <v>23.999999999999996</v>
      </c>
      <c r="AC10274" s="93">
        <f>AC10273/AA10274</f>
        <v>3575.0531999999989</v>
      </c>
      <c r="AD10274" s="94">
        <f t="shared" ref="AD10274:AD10275" si="6840">AC10274*Z10274</f>
        <v>715010.63999999978</v>
      </c>
      <c r="AE10274" s="190"/>
      <c r="AF10274" s="191"/>
      <c r="AG10274" s="191"/>
      <c r="AH10274" s="191"/>
      <c r="AI10274" s="186"/>
      <c r="AK10274" s="171"/>
    </row>
    <row r="10275" spans="1:41" s="102" customFormat="1" ht="19.899999999999999" customHeight="1" x14ac:dyDescent="0.25">
      <c r="A10275" s="45"/>
      <c r="B10275" s="59"/>
      <c r="C10275" s="137"/>
      <c r="D10275" s="59"/>
      <c r="E10275" s="116"/>
      <c r="F10275" s="120"/>
      <c r="G10275" s="120"/>
      <c r="H10275" s="120"/>
      <c r="I10275" s="60"/>
      <c r="J10275" s="116"/>
      <c r="K10275" s="213"/>
      <c r="L10275" s="120"/>
      <c r="M10275" s="120"/>
      <c r="N10275" s="167"/>
      <c r="O10275" s="120"/>
      <c r="P10275" s="120"/>
      <c r="Q10275" s="120"/>
      <c r="R10275" s="120"/>
      <c r="S10275" s="120"/>
      <c r="T10275" s="221"/>
      <c r="U10275" s="89"/>
      <c r="V10275" s="61"/>
      <c r="W10275" s="92" t="s">
        <v>1692</v>
      </c>
      <c r="X10275" s="93" t="s">
        <v>30</v>
      </c>
      <c r="Y10275" s="93" t="s">
        <v>67</v>
      </c>
      <c r="Z10275" s="134">
        <f>VLOOKUP(W10275,Sheet2!$B:$D,3,FALSE)</f>
        <v>19</v>
      </c>
      <c r="AA10275" s="93">
        <f>AA10274</f>
        <v>8.3333333333333339</v>
      </c>
      <c r="AB10275" s="93">
        <f>AD10275/AC10273</f>
        <v>2.2799999999999998</v>
      </c>
      <c r="AC10275" s="93">
        <f>AC10273/AA10275</f>
        <v>3575.0531999999989</v>
      </c>
      <c r="AD10275" s="94">
        <f t="shared" si="6840"/>
        <v>67926.010799999975</v>
      </c>
      <c r="AE10275" s="190"/>
      <c r="AF10275" s="191"/>
      <c r="AG10275" s="191"/>
      <c r="AH10275" s="191"/>
      <c r="AI10275" s="186"/>
      <c r="AK10275" s="171"/>
    </row>
    <row r="10276" spans="1:41" s="102" customFormat="1" ht="19.899999999999999" customHeight="1" x14ac:dyDescent="0.25">
      <c r="A10276" s="45"/>
      <c r="B10276" s="59"/>
      <c r="C10276" s="137"/>
      <c r="D10276" s="59"/>
      <c r="E10276" s="116"/>
      <c r="F10276" s="120"/>
      <c r="G10276" s="120"/>
      <c r="H10276" s="120"/>
      <c r="I10276" s="60"/>
      <c r="J10276" s="116"/>
      <c r="K10276" s="213"/>
      <c r="L10276" s="120"/>
      <c r="M10276" s="120"/>
      <c r="N10276" s="167"/>
      <c r="O10276" s="120"/>
      <c r="P10276" s="120"/>
      <c r="Q10276" s="120"/>
      <c r="R10276" s="120"/>
      <c r="S10276" s="120"/>
      <c r="T10276" s="221"/>
      <c r="U10276" s="89"/>
      <c r="V10276" s="61"/>
      <c r="W10276" s="92" t="s">
        <v>1023</v>
      </c>
      <c r="X10276" s="93" t="s">
        <v>32</v>
      </c>
      <c r="Y10276" s="93" t="s">
        <v>64</v>
      </c>
      <c r="Z10276" s="134">
        <f>VLOOKUP(W10276,Sheet2!$B:$D,3,FALSE)</f>
        <v>4</v>
      </c>
      <c r="AA10276" s="93">
        <v>1</v>
      </c>
      <c r="AB10276" s="93">
        <f>AD10276/AC10273</f>
        <v>4</v>
      </c>
      <c r="AC10276" s="93">
        <f>AC10273/AA10276</f>
        <v>29792.109999999993</v>
      </c>
      <c r="AD10276" s="94">
        <f>AC10276*Z10276</f>
        <v>119168.43999999997</v>
      </c>
      <c r="AE10276" s="190"/>
      <c r="AF10276" s="191"/>
      <c r="AG10276" s="191"/>
      <c r="AH10276" s="191"/>
      <c r="AI10276" s="186"/>
      <c r="AK10276" s="171"/>
    </row>
    <row r="10277" spans="1:41" ht="20.100000000000001" customHeight="1" x14ac:dyDescent="0.25">
      <c r="A10277" s="277" t="s">
        <v>945</v>
      </c>
      <c r="B10277" s="278"/>
      <c r="C10277" s="64" t="s">
        <v>1698</v>
      </c>
      <c r="D10277" s="46" t="s">
        <v>215</v>
      </c>
      <c r="E10277" s="114">
        <v>1</v>
      </c>
      <c r="F10277" s="44">
        <v>296</v>
      </c>
      <c r="G10277" s="44">
        <f t="shared" si="6741"/>
        <v>296</v>
      </c>
      <c r="H10277" s="44">
        <f t="shared" si="6742"/>
        <v>5821</v>
      </c>
      <c r="I10277" s="43">
        <f t="shared" si="6743"/>
        <v>5821</v>
      </c>
      <c r="J10277" s="112">
        <f t="shared" si="6744"/>
        <v>1</v>
      </c>
      <c r="K10277" s="211">
        <f t="shared" si="6745"/>
        <v>1</v>
      </c>
      <c r="L10277" s="44"/>
      <c r="M10277" s="44">
        <f t="shared" si="6755"/>
        <v>1</v>
      </c>
      <c r="N10277" s="173">
        <f t="shared" si="6746"/>
        <v>1</v>
      </c>
      <c r="O10277" s="44">
        <f t="shared" si="6747"/>
        <v>296</v>
      </c>
      <c r="P10277" s="44">
        <f t="shared" si="6748"/>
        <v>296</v>
      </c>
      <c r="Q10277" s="44">
        <f t="shared" si="6749"/>
        <v>5821</v>
      </c>
      <c r="R10277" s="44">
        <f t="shared" si="6756"/>
        <v>5821</v>
      </c>
      <c r="S10277" s="123"/>
      <c r="T10277" s="219">
        <f t="shared" si="6757"/>
        <v>5821</v>
      </c>
      <c r="U10277" s="87"/>
      <c r="V10277" s="47"/>
      <c r="W10277" s="48"/>
      <c r="X10277" s="48"/>
      <c r="Y10277" s="48"/>
      <c r="Z10277" s="135"/>
      <c r="AA10277" s="49"/>
      <c r="AB10277" s="50">
        <f t="shared" si="6750"/>
        <v>5821</v>
      </c>
      <c r="AC10277" s="42">
        <f t="shared" si="6758"/>
        <v>1</v>
      </c>
      <c r="AD10277" s="90">
        <f>AD10278</f>
        <v>5821</v>
      </c>
      <c r="AE10277" s="188">
        <f t="shared" ref="AE10277:AH10277" si="6841">AE10278</f>
        <v>0</v>
      </c>
      <c r="AF10277" s="189">
        <f t="shared" si="6841"/>
        <v>0</v>
      </c>
      <c r="AG10277" s="189">
        <f t="shared" si="6841"/>
        <v>0</v>
      </c>
      <c r="AH10277" s="189">
        <f t="shared" si="6841"/>
        <v>0</v>
      </c>
      <c r="AI10277" s="161">
        <f t="shared" si="6815"/>
        <v>0</v>
      </c>
      <c r="AK10277" s="169">
        <v>5</v>
      </c>
      <c r="AO10277" s="19" t="s">
        <v>63</v>
      </c>
    </row>
    <row r="10278" spans="1:41" s="103" customFormat="1" ht="19.899999999999999" customHeight="1" x14ac:dyDescent="0.25">
      <c r="A10278" s="51"/>
      <c r="B10278" s="52"/>
      <c r="C10278" s="165"/>
      <c r="D10278" s="52"/>
      <c r="E10278" s="115"/>
      <c r="F10278" s="58"/>
      <c r="G10278" s="58"/>
      <c r="H10278" s="58"/>
      <c r="I10278" s="55"/>
      <c r="J10278" s="113">
        <f>J10277</f>
        <v>1</v>
      </c>
      <c r="K10278" s="212">
        <f>K10277</f>
        <v>1</v>
      </c>
      <c r="L10278" s="58"/>
      <c r="M10278" s="58">
        <f>K10278-L10278</f>
        <v>1</v>
      </c>
      <c r="N10278" s="166"/>
      <c r="O10278" s="58"/>
      <c r="P10278" s="58"/>
      <c r="Q10278" s="58"/>
      <c r="R10278" s="58"/>
      <c r="S10278" s="58"/>
      <c r="T10278" s="220"/>
      <c r="U10278" s="88"/>
      <c r="V10278" s="56"/>
      <c r="W10278" s="57" t="s">
        <v>1706</v>
      </c>
      <c r="X10278" s="53"/>
      <c r="Y10278" s="91" t="s">
        <v>35</v>
      </c>
      <c r="Z10278" s="136">
        <f>AD10278/AC10278</f>
        <v>5821</v>
      </c>
      <c r="AA10278" s="58"/>
      <c r="AB10278" s="53">
        <f>AD10278/AC10278</f>
        <v>5821</v>
      </c>
      <c r="AC10278" s="53">
        <f>M10278+$AE$10</f>
        <v>1</v>
      </c>
      <c r="AD10278" s="54">
        <f>SUM(AD10279:AD10281)</f>
        <v>5821</v>
      </c>
      <c r="AE10278" s="184">
        <f>SUMIFS($AD$37:$AD$12971,$V$37:$V$12971,$V10278,$X$37:$X$12971,AE$13)</f>
        <v>0</v>
      </c>
      <c r="AF10278" s="185">
        <f>SUMIFS($AD$37:$AD$12971,$V$37:$V$12971,$V10278,$X$37:$X$12971,AF$13)</f>
        <v>0</v>
      </c>
      <c r="AG10278" s="185">
        <f>SUMIFS($AD$37:$AD$12971,$V$37:$V$12971,$V10278,$X$37:$X$12971,AG$13)</f>
        <v>0</v>
      </c>
      <c r="AH10278" s="187">
        <f>SUMIFS($AD$37:$AD$12971,$V$37:$V$12971,$V10278,$X$37:$X$12971,AH$13)</f>
        <v>0</v>
      </c>
      <c r="AI10278" s="161">
        <f t="shared" ref="AI10278" si="6842">SUM(AE10278:AH10278)</f>
        <v>0</v>
      </c>
      <c r="AK10278" s="172"/>
    </row>
    <row r="10279" spans="1:41" s="102" customFormat="1" ht="19.899999999999999" customHeight="1" x14ac:dyDescent="0.25">
      <c r="A10279" s="45"/>
      <c r="B10279" s="59"/>
      <c r="C10279" s="137"/>
      <c r="D10279" s="59"/>
      <c r="E10279" s="116"/>
      <c r="F10279" s="120"/>
      <c r="G10279" s="120"/>
      <c r="H10279" s="120"/>
      <c r="I10279" s="60"/>
      <c r="J10279" s="116"/>
      <c r="K10279" s="213"/>
      <c r="L10279" s="120"/>
      <c r="M10279" s="120"/>
      <c r="N10279" s="167"/>
      <c r="O10279" s="120"/>
      <c r="P10279" s="120"/>
      <c r="Q10279" s="120"/>
      <c r="R10279" s="120"/>
      <c r="S10279" s="120"/>
      <c r="T10279" s="221"/>
      <c r="U10279" s="89"/>
      <c r="V10279" s="61"/>
      <c r="W10279" s="92" t="s">
        <v>1105</v>
      </c>
      <c r="X10279" s="93" t="s">
        <v>30</v>
      </c>
      <c r="Y10279" s="93" t="s">
        <v>66</v>
      </c>
      <c r="Z10279" s="134">
        <f>VLOOKUP(W10279,Sheet2!$B:$D,3,FALSE)</f>
        <v>2200</v>
      </c>
      <c r="AA10279" s="93">
        <v>0.38461538461538458</v>
      </c>
      <c r="AB10279" s="93">
        <f>AD10279/AC10278</f>
        <v>5720</v>
      </c>
      <c r="AC10279" s="93">
        <f>AC10278/AA10279</f>
        <v>2.6</v>
      </c>
      <c r="AD10279" s="94">
        <f t="shared" ref="AD10279:AD10280" si="6843">AC10279*Z10279</f>
        <v>5720</v>
      </c>
      <c r="AE10279" s="190"/>
      <c r="AF10279" s="191"/>
      <c r="AG10279" s="191"/>
      <c r="AH10279" s="191"/>
      <c r="AI10279" s="186"/>
      <c r="AK10279" s="171"/>
    </row>
    <row r="10280" spans="1:41" s="102" customFormat="1" ht="19.899999999999999" customHeight="1" x14ac:dyDescent="0.25">
      <c r="A10280" s="45"/>
      <c r="B10280" s="59"/>
      <c r="C10280" s="137"/>
      <c r="D10280" s="59"/>
      <c r="E10280" s="116"/>
      <c r="F10280" s="120"/>
      <c r="G10280" s="120"/>
      <c r="H10280" s="120"/>
      <c r="I10280" s="60"/>
      <c r="J10280" s="116"/>
      <c r="K10280" s="213"/>
      <c r="L10280" s="120"/>
      <c r="M10280" s="120"/>
      <c r="N10280" s="167"/>
      <c r="O10280" s="120"/>
      <c r="P10280" s="120"/>
      <c r="Q10280" s="120"/>
      <c r="R10280" s="120"/>
      <c r="S10280" s="120"/>
      <c r="T10280" s="221"/>
      <c r="U10280" s="89"/>
      <c r="V10280" s="61"/>
      <c r="W10280" s="92" t="s">
        <v>174</v>
      </c>
      <c r="X10280" s="93" t="s">
        <v>29</v>
      </c>
      <c r="Y10280" s="93" t="s">
        <v>93</v>
      </c>
      <c r="Z10280" s="134">
        <f>VLOOKUP(W10280,Sheet2!$B:$D,3,FALSE)</f>
        <v>80</v>
      </c>
      <c r="AA10280" s="93">
        <v>5</v>
      </c>
      <c r="AB10280" s="93">
        <f>AD10280/AC10278</f>
        <v>16</v>
      </c>
      <c r="AC10280" s="93">
        <f>AC10278/AA10280</f>
        <v>0.2</v>
      </c>
      <c r="AD10280" s="94">
        <f t="shared" si="6843"/>
        <v>16</v>
      </c>
      <c r="AE10280" s="190"/>
      <c r="AF10280" s="191"/>
      <c r="AG10280" s="191"/>
      <c r="AH10280" s="191"/>
      <c r="AI10280" s="186"/>
      <c r="AK10280" s="171"/>
    </row>
    <row r="10281" spans="1:41" s="102" customFormat="1" ht="19.899999999999999" customHeight="1" x14ac:dyDescent="0.25">
      <c r="A10281" s="45"/>
      <c r="B10281" s="59"/>
      <c r="C10281" s="137"/>
      <c r="D10281" s="59"/>
      <c r="E10281" s="116"/>
      <c r="F10281" s="120"/>
      <c r="G10281" s="120"/>
      <c r="H10281" s="120"/>
      <c r="I10281" s="60"/>
      <c r="J10281" s="116"/>
      <c r="K10281" s="213"/>
      <c r="L10281" s="120"/>
      <c r="M10281" s="120"/>
      <c r="N10281" s="167"/>
      <c r="O10281" s="120"/>
      <c r="P10281" s="120"/>
      <c r="Q10281" s="120"/>
      <c r="R10281" s="120"/>
      <c r="S10281" s="120"/>
      <c r="T10281" s="221"/>
      <c r="U10281" s="89"/>
      <c r="V10281" s="61"/>
      <c r="W10281" s="92" t="s">
        <v>107</v>
      </c>
      <c r="X10281" s="93" t="s">
        <v>31</v>
      </c>
      <c r="Y10281" s="93" t="s">
        <v>93</v>
      </c>
      <c r="Z10281" s="134">
        <f>VLOOKUP(W10281,Sheet2!$B:$D,3,FALSE)</f>
        <v>17</v>
      </c>
      <c r="AA10281" s="93">
        <v>0.2</v>
      </c>
      <c r="AB10281" s="93">
        <f>AD10281/AC10278</f>
        <v>85</v>
      </c>
      <c r="AC10281" s="93">
        <f>AC10278/AA10281</f>
        <v>5</v>
      </c>
      <c r="AD10281" s="94">
        <f>AC10281*Z10281</f>
        <v>85</v>
      </c>
      <c r="AE10281" s="190"/>
      <c r="AF10281" s="191"/>
      <c r="AG10281" s="191"/>
      <c r="AH10281" s="191"/>
      <c r="AI10281" s="186"/>
      <c r="AK10281" s="171"/>
    </row>
    <row r="10282" spans="1:41" ht="20.100000000000001" customHeight="1" x14ac:dyDescent="0.25">
      <c r="A10282" s="277" t="s">
        <v>945</v>
      </c>
      <c r="B10282" s="278"/>
      <c r="C10282" s="64" t="s">
        <v>1699</v>
      </c>
      <c r="D10282" s="46" t="s">
        <v>215</v>
      </c>
      <c r="E10282" s="114">
        <v>1</v>
      </c>
      <c r="F10282" s="44">
        <v>212</v>
      </c>
      <c r="G10282" s="44">
        <f t="shared" si="6741"/>
        <v>212</v>
      </c>
      <c r="H10282" s="44">
        <f t="shared" si="6742"/>
        <v>4721</v>
      </c>
      <c r="I10282" s="43">
        <f t="shared" si="6743"/>
        <v>4721</v>
      </c>
      <c r="J10282" s="112">
        <f t="shared" si="6744"/>
        <v>1</v>
      </c>
      <c r="K10282" s="211">
        <f t="shared" si="6745"/>
        <v>1</v>
      </c>
      <c r="L10282" s="44"/>
      <c r="M10282" s="44">
        <f t="shared" si="6755"/>
        <v>1</v>
      </c>
      <c r="N10282" s="173">
        <f t="shared" si="6746"/>
        <v>1</v>
      </c>
      <c r="O10282" s="44">
        <f t="shared" si="6747"/>
        <v>212</v>
      </c>
      <c r="P10282" s="44">
        <f t="shared" si="6748"/>
        <v>212</v>
      </c>
      <c r="Q10282" s="44">
        <f t="shared" si="6749"/>
        <v>4721</v>
      </c>
      <c r="R10282" s="44">
        <f t="shared" si="6756"/>
        <v>4721</v>
      </c>
      <c r="S10282" s="123"/>
      <c r="T10282" s="219">
        <f t="shared" si="6757"/>
        <v>4721</v>
      </c>
      <c r="U10282" s="87"/>
      <c r="V10282" s="47"/>
      <c r="W10282" s="48"/>
      <c r="X10282" s="48"/>
      <c r="Y10282" s="48"/>
      <c r="Z10282" s="135"/>
      <c r="AA10282" s="49"/>
      <c r="AB10282" s="50">
        <f t="shared" si="6750"/>
        <v>4721</v>
      </c>
      <c r="AC10282" s="42">
        <f t="shared" si="6758"/>
        <v>1</v>
      </c>
      <c r="AD10282" s="90">
        <f>AD10283</f>
        <v>4721</v>
      </c>
      <c r="AE10282" s="188">
        <f t="shared" ref="AE10282" si="6844">AE10283</f>
        <v>0</v>
      </c>
      <c r="AF10282" s="189">
        <f t="shared" ref="AF10282" si="6845">AF10283</f>
        <v>0</v>
      </c>
      <c r="AG10282" s="189">
        <f t="shared" ref="AG10282" si="6846">AG10283</f>
        <v>0</v>
      </c>
      <c r="AH10282" s="189">
        <f t="shared" ref="AH10282" si="6847">AH10283</f>
        <v>0</v>
      </c>
      <c r="AI10282" s="161">
        <f t="shared" ref="AI10282" si="6848">SUM(AE10282:AH10282)</f>
        <v>0</v>
      </c>
      <c r="AK10282" s="169">
        <v>5</v>
      </c>
      <c r="AO10282" s="19" t="s">
        <v>63</v>
      </c>
    </row>
    <row r="10283" spans="1:41" s="103" customFormat="1" ht="19.899999999999999" customHeight="1" x14ac:dyDescent="0.25">
      <c r="A10283" s="51"/>
      <c r="B10283" s="52"/>
      <c r="C10283" s="165"/>
      <c r="D10283" s="52"/>
      <c r="E10283" s="115"/>
      <c r="F10283" s="58"/>
      <c r="G10283" s="58"/>
      <c r="H10283" s="58"/>
      <c r="I10283" s="55"/>
      <c r="J10283" s="113">
        <f>J10282</f>
        <v>1</v>
      </c>
      <c r="K10283" s="212">
        <f>K10282</f>
        <v>1</v>
      </c>
      <c r="L10283" s="58"/>
      <c r="M10283" s="58">
        <f>K10283-L10283</f>
        <v>1</v>
      </c>
      <c r="N10283" s="166"/>
      <c r="O10283" s="58"/>
      <c r="P10283" s="58"/>
      <c r="Q10283" s="58"/>
      <c r="R10283" s="58"/>
      <c r="S10283" s="58"/>
      <c r="T10283" s="220"/>
      <c r="U10283" s="88"/>
      <c r="V10283" s="56"/>
      <c r="W10283" s="57" t="s">
        <v>1706</v>
      </c>
      <c r="X10283" s="53"/>
      <c r="Y10283" s="91" t="s">
        <v>35</v>
      </c>
      <c r="Z10283" s="136">
        <f>AD10283/AC10283</f>
        <v>4721</v>
      </c>
      <c r="AA10283" s="58"/>
      <c r="AB10283" s="53">
        <f>AD10283/AC10283</f>
        <v>4721</v>
      </c>
      <c r="AC10283" s="53">
        <f>M10283+$AE$10</f>
        <v>1</v>
      </c>
      <c r="AD10283" s="54">
        <f>SUM(AD10284:AD10286)</f>
        <v>4721</v>
      </c>
      <c r="AE10283" s="184">
        <f>SUMIFS($AD$37:$AD$12971,$V$37:$V$12971,$V10283,$X$37:$X$12971,AE$13)</f>
        <v>0</v>
      </c>
      <c r="AF10283" s="185">
        <f>SUMIFS($AD$37:$AD$12971,$V$37:$V$12971,$V10283,$X$37:$X$12971,AF$13)</f>
        <v>0</v>
      </c>
      <c r="AG10283" s="185">
        <f>SUMIFS($AD$37:$AD$12971,$V$37:$V$12971,$V10283,$X$37:$X$12971,AG$13)</f>
        <v>0</v>
      </c>
      <c r="AH10283" s="187">
        <f>SUMIFS($AD$37:$AD$12971,$V$37:$V$12971,$V10283,$X$37:$X$12971,AH$13)</f>
        <v>0</v>
      </c>
      <c r="AI10283" s="161">
        <f t="shared" ref="AI10283" si="6849">SUM(AE10283:AH10283)</f>
        <v>0</v>
      </c>
      <c r="AK10283" s="172"/>
    </row>
    <row r="10284" spans="1:41" s="102" customFormat="1" ht="19.899999999999999" customHeight="1" x14ac:dyDescent="0.25">
      <c r="A10284" s="45"/>
      <c r="B10284" s="59"/>
      <c r="C10284" s="137"/>
      <c r="D10284" s="59"/>
      <c r="E10284" s="116"/>
      <c r="F10284" s="120"/>
      <c r="G10284" s="120"/>
      <c r="H10284" s="120"/>
      <c r="I10284" s="60"/>
      <c r="J10284" s="116"/>
      <c r="K10284" s="213"/>
      <c r="L10284" s="120"/>
      <c r="M10284" s="120"/>
      <c r="N10284" s="167"/>
      <c r="O10284" s="120"/>
      <c r="P10284" s="120"/>
      <c r="Q10284" s="120"/>
      <c r="R10284" s="120"/>
      <c r="S10284" s="120"/>
      <c r="T10284" s="221"/>
      <c r="U10284" s="89"/>
      <c r="V10284" s="61"/>
      <c r="W10284" s="92" t="s">
        <v>1105</v>
      </c>
      <c r="X10284" s="93" t="s">
        <v>30</v>
      </c>
      <c r="Y10284" s="93" t="s">
        <v>66</v>
      </c>
      <c r="Z10284" s="134">
        <f>VLOOKUP(W10284,Sheet2!$B:$D,3,FALSE)</f>
        <v>2200</v>
      </c>
      <c r="AA10284" s="93">
        <f>1/2.1</f>
        <v>0.47619047619047616</v>
      </c>
      <c r="AB10284" s="93">
        <f>AD10284/AC10283</f>
        <v>4620</v>
      </c>
      <c r="AC10284" s="93">
        <f>AC10283/AA10284</f>
        <v>2.1</v>
      </c>
      <c r="AD10284" s="94">
        <f t="shared" ref="AD10284:AD10285" si="6850">AC10284*Z10284</f>
        <v>4620</v>
      </c>
      <c r="AE10284" s="190"/>
      <c r="AF10284" s="191"/>
      <c r="AG10284" s="191"/>
      <c r="AH10284" s="191"/>
      <c r="AI10284" s="186"/>
      <c r="AK10284" s="171"/>
    </row>
    <row r="10285" spans="1:41" s="102" customFormat="1" ht="19.899999999999999" customHeight="1" x14ac:dyDescent="0.25">
      <c r="A10285" s="45"/>
      <c r="B10285" s="59"/>
      <c r="C10285" s="137"/>
      <c r="D10285" s="59"/>
      <c r="E10285" s="116"/>
      <c r="F10285" s="120"/>
      <c r="G10285" s="120"/>
      <c r="H10285" s="120"/>
      <c r="I10285" s="60"/>
      <c r="J10285" s="116"/>
      <c r="K10285" s="213"/>
      <c r="L10285" s="120"/>
      <c r="M10285" s="120"/>
      <c r="N10285" s="167"/>
      <c r="O10285" s="120"/>
      <c r="P10285" s="120"/>
      <c r="Q10285" s="120"/>
      <c r="R10285" s="120"/>
      <c r="S10285" s="120"/>
      <c r="T10285" s="221"/>
      <c r="U10285" s="89"/>
      <c r="V10285" s="61"/>
      <c r="W10285" s="92" t="s">
        <v>174</v>
      </c>
      <c r="X10285" s="93" t="s">
        <v>29</v>
      </c>
      <c r="Y10285" s="93" t="s">
        <v>93</v>
      </c>
      <c r="Z10285" s="134">
        <f>VLOOKUP(W10285,Sheet2!$B:$D,3,FALSE)</f>
        <v>80</v>
      </c>
      <c r="AA10285" s="93">
        <v>5</v>
      </c>
      <c r="AB10285" s="93">
        <f>AD10285/AC10283</f>
        <v>16</v>
      </c>
      <c r="AC10285" s="93">
        <f>AC10283/AA10285</f>
        <v>0.2</v>
      </c>
      <c r="AD10285" s="94">
        <f t="shared" si="6850"/>
        <v>16</v>
      </c>
      <c r="AE10285" s="190"/>
      <c r="AF10285" s="191"/>
      <c r="AG10285" s="191"/>
      <c r="AH10285" s="191"/>
      <c r="AI10285" s="186"/>
      <c r="AK10285" s="171"/>
    </row>
    <row r="10286" spans="1:41" s="102" customFormat="1" ht="19.899999999999999" customHeight="1" x14ac:dyDescent="0.25">
      <c r="A10286" s="45"/>
      <c r="B10286" s="59"/>
      <c r="C10286" s="137"/>
      <c r="D10286" s="59"/>
      <c r="E10286" s="116"/>
      <c r="F10286" s="120"/>
      <c r="G10286" s="120"/>
      <c r="H10286" s="120"/>
      <c r="I10286" s="60"/>
      <c r="J10286" s="116"/>
      <c r="K10286" s="213"/>
      <c r="L10286" s="120"/>
      <c r="M10286" s="120"/>
      <c r="N10286" s="167"/>
      <c r="O10286" s="120"/>
      <c r="P10286" s="120"/>
      <c r="Q10286" s="120"/>
      <c r="R10286" s="120"/>
      <c r="S10286" s="120"/>
      <c r="T10286" s="221"/>
      <c r="U10286" s="89"/>
      <c r="V10286" s="61"/>
      <c r="W10286" s="92" t="s">
        <v>107</v>
      </c>
      <c r="X10286" s="93" t="s">
        <v>31</v>
      </c>
      <c r="Y10286" s="93" t="s">
        <v>93</v>
      </c>
      <c r="Z10286" s="134">
        <f>VLOOKUP(W10286,Sheet2!$B:$D,3,FALSE)</f>
        <v>17</v>
      </c>
      <c r="AA10286" s="93">
        <f>1/5</f>
        <v>0.2</v>
      </c>
      <c r="AB10286" s="93">
        <f>AD10286/AC10283</f>
        <v>85</v>
      </c>
      <c r="AC10286" s="93">
        <f>AC10283/AA10286</f>
        <v>5</v>
      </c>
      <c r="AD10286" s="94">
        <f>AC10286*Z10286</f>
        <v>85</v>
      </c>
      <c r="AE10286" s="190"/>
      <c r="AF10286" s="191"/>
      <c r="AG10286" s="191"/>
      <c r="AH10286" s="191"/>
      <c r="AI10286" s="186"/>
      <c r="AK10286" s="171"/>
    </row>
    <row r="10287" spans="1:41" ht="20.100000000000001" customHeight="1" x14ac:dyDescent="0.25">
      <c r="A10287" s="277" t="s">
        <v>945</v>
      </c>
      <c r="B10287" s="278"/>
      <c r="C10287" s="64" t="s">
        <v>1700</v>
      </c>
      <c r="D10287" s="46" t="s">
        <v>215</v>
      </c>
      <c r="E10287" s="114">
        <v>1</v>
      </c>
      <c r="F10287" s="44">
        <v>395</v>
      </c>
      <c r="G10287" s="44">
        <f t="shared" si="6741"/>
        <v>395</v>
      </c>
      <c r="H10287" s="44">
        <f t="shared" si="6742"/>
        <v>6701</v>
      </c>
      <c r="I10287" s="43">
        <f t="shared" si="6743"/>
        <v>6701</v>
      </c>
      <c r="J10287" s="112">
        <f t="shared" si="6744"/>
        <v>1</v>
      </c>
      <c r="K10287" s="211">
        <f t="shared" si="6745"/>
        <v>1</v>
      </c>
      <c r="L10287" s="44"/>
      <c r="M10287" s="44">
        <f t="shared" si="6755"/>
        <v>1</v>
      </c>
      <c r="N10287" s="173">
        <f t="shared" si="6746"/>
        <v>1</v>
      </c>
      <c r="O10287" s="44">
        <f t="shared" si="6747"/>
        <v>395</v>
      </c>
      <c r="P10287" s="44">
        <f t="shared" si="6748"/>
        <v>395</v>
      </c>
      <c r="Q10287" s="44">
        <f t="shared" si="6749"/>
        <v>6701</v>
      </c>
      <c r="R10287" s="44">
        <f t="shared" si="6756"/>
        <v>6701</v>
      </c>
      <c r="S10287" s="123"/>
      <c r="T10287" s="219">
        <f t="shared" si="6757"/>
        <v>6701</v>
      </c>
      <c r="U10287" s="87"/>
      <c r="V10287" s="47"/>
      <c r="W10287" s="48"/>
      <c r="X10287" s="48"/>
      <c r="Y10287" s="48"/>
      <c r="Z10287" s="135"/>
      <c r="AA10287" s="49"/>
      <c r="AB10287" s="50">
        <f t="shared" si="6750"/>
        <v>6701</v>
      </c>
      <c r="AC10287" s="42">
        <f t="shared" si="6758"/>
        <v>1</v>
      </c>
      <c r="AD10287" s="90">
        <f>AD10288</f>
        <v>6701</v>
      </c>
      <c r="AE10287" s="188">
        <f t="shared" ref="AE10287" si="6851">AE10288</f>
        <v>0</v>
      </c>
      <c r="AF10287" s="189">
        <f t="shared" ref="AF10287" si="6852">AF10288</f>
        <v>0</v>
      </c>
      <c r="AG10287" s="189">
        <f t="shared" ref="AG10287" si="6853">AG10288</f>
        <v>0</v>
      </c>
      <c r="AH10287" s="189">
        <f t="shared" ref="AH10287" si="6854">AH10288</f>
        <v>0</v>
      </c>
      <c r="AI10287" s="161">
        <f t="shared" ref="AI10287" si="6855">SUM(AE10287:AH10287)</f>
        <v>0</v>
      </c>
      <c r="AK10287" s="169">
        <v>5</v>
      </c>
      <c r="AO10287" s="19" t="s">
        <v>63</v>
      </c>
    </row>
    <row r="10288" spans="1:41" s="103" customFormat="1" ht="19.899999999999999" customHeight="1" x14ac:dyDescent="0.25">
      <c r="A10288" s="51"/>
      <c r="B10288" s="52"/>
      <c r="C10288" s="165"/>
      <c r="D10288" s="52"/>
      <c r="E10288" s="115"/>
      <c r="F10288" s="58"/>
      <c r="G10288" s="58"/>
      <c r="H10288" s="58"/>
      <c r="I10288" s="55"/>
      <c r="J10288" s="113">
        <f>J10287</f>
        <v>1</v>
      </c>
      <c r="K10288" s="212">
        <f>K10287</f>
        <v>1</v>
      </c>
      <c r="L10288" s="58"/>
      <c r="M10288" s="58">
        <f>K10288-L10288</f>
        <v>1</v>
      </c>
      <c r="N10288" s="166"/>
      <c r="O10288" s="58"/>
      <c r="P10288" s="58"/>
      <c r="Q10288" s="58"/>
      <c r="R10288" s="58"/>
      <c r="S10288" s="58"/>
      <c r="T10288" s="220"/>
      <c r="U10288" s="88"/>
      <c r="V10288" s="56"/>
      <c r="W10288" s="57" t="s">
        <v>1706</v>
      </c>
      <c r="X10288" s="53"/>
      <c r="Y10288" s="91" t="s">
        <v>35</v>
      </c>
      <c r="Z10288" s="136">
        <f>AD10288/AC10288</f>
        <v>6701</v>
      </c>
      <c r="AA10288" s="58"/>
      <c r="AB10288" s="53">
        <f>AD10288/AC10288</f>
        <v>6701</v>
      </c>
      <c r="AC10288" s="53">
        <f>M10288+$AE$10</f>
        <v>1</v>
      </c>
      <c r="AD10288" s="54">
        <f>SUM(AD10289:AD10291)</f>
        <v>6701</v>
      </c>
      <c r="AE10288" s="184">
        <f>SUMIFS($AD$37:$AD$12971,$V$37:$V$12971,$V10288,$X$37:$X$12971,AE$13)</f>
        <v>0</v>
      </c>
      <c r="AF10288" s="185">
        <f>SUMIFS($AD$37:$AD$12971,$V$37:$V$12971,$V10288,$X$37:$X$12971,AF$13)</f>
        <v>0</v>
      </c>
      <c r="AG10288" s="185">
        <f>SUMIFS($AD$37:$AD$12971,$V$37:$V$12971,$V10288,$X$37:$X$12971,AG$13)</f>
        <v>0</v>
      </c>
      <c r="AH10288" s="187">
        <f>SUMIFS($AD$37:$AD$12971,$V$37:$V$12971,$V10288,$X$37:$X$12971,AH$13)</f>
        <v>0</v>
      </c>
      <c r="AI10288" s="161">
        <f t="shared" ref="AI10288" si="6856">SUM(AE10288:AH10288)</f>
        <v>0</v>
      </c>
      <c r="AK10288" s="172"/>
    </row>
    <row r="10289" spans="1:41" s="102" customFormat="1" ht="19.899999999999999" customHeight="1" x14ac:dyDescent="0.25">
      <c r="A10289" s="45"/>
      <c r="B10289" s="59"/>
      <c r="C10289" s="137"/>
      <c r="D10289" s="59"/>
      <c r="E10289" s="116"/>
      <c r="F10289" s="120"/>
      <c r="G10289" s="120"/>
      <c r="H10289" s="120"/>
      <c r="I10289" s="60"/>
      <c r="J10289" s="116"/>
      <c r="K10289" s="213"/>
      <c r="L10289" s="120"/>
      <c r="M10289" s="120"/>
      <c r="N10289" s="167"/>
      <c r="O10289" s="120"/>
      <c r="P10289" s="120"/>
      <c r="Q10289" s="120"/>
      <c r="R10289" s="120"/>
      <c r="S10289" s="120"/>
      <c r="T10289" s="221"/>
      <c r="U10289" s="89"/>
      <c r="V10289" s="61"/>
      <c r="W10289" s="92" t="s">
        <v>1105</v>
      </c>
      <c r="X10289" s="93" t="s">
        <v>30</v>
      </c>
      <c r="Y10289" s="93" t="s">
        <v>66</v>
      </c>
      <c r="Z10289" s="134">
        <f>VLOOKUP(W10289,Sheet2!$B:$D,3,FALSE)</f>
        <v>2200</v>
      </c>
      <c r="AA10289" s="93">
        <f>1/3</f>
        <v>0.33333333333333331</v>
      </c>
      <c r="AB10289" s="93">
        <f>AD10289/AC10288</f>
        <v>6600</v>
      </c>
      <c r="AC10289" s="93">
        <f>AC10288/AA10289</f>
        <v>3</v>
      </c>
      <c r="AD10289" s="94">
        <f t="shared" ref="AD10289:AD10290" si="6857">AC10289*Z10289</f>
        <v>6600</v>
      </c>
      <c r="AE10289" s="190"/>
      <c r="AF10289" s="191"/>
      <c r="AG10289" s="191"/>
      <c r="AH10289" s="191"/>
      <c r="AI10289" s="186"/>
      <c r="AK10289" s="171"/>
    </row>
    <row r="10290" spans="1:41" s="102" customFormat="1" ht="19.899999999999999" customHeight="1" x14ac:dyDescent="0.25">
      <c r="A10290" s="45"/>
      <c r="B10290" s="59"/>
      <c r="C10290" s="137"/>
      <c r="D10290" s="59"/>
      <c r="E10290" s="116"/>
      <c r="F10290" s="120"/>
      <c r="G10290" s="120"/>
      <c r="H10290" s="120"/>
      <c r="I10290" s="60"/>
      <c r="J10290" s="116"/>
      <c r="K10290" s="213"/>
      <c r="L10290" s="120"/>
      <c r="M10290" s="120"/>
      <c r="N10290" s="167"/>
      <c r="O10290" s="120"/>
      <c r="P10290" s="120"/>
      <c r="Q10290" s="120"/>
      <c r="R10290" s="120"/>
      <c r="S10290" s="120"/>
      <c r="T10290" s="221"/>
      <c r="U10290" s="89"/>
      <c r="V10290" s="61"/>
      <c r="W10290" s="92" t="s">
        <v>174</v>
      </c>
      <c r="X10290" s="93" t="s">
        <v>29</v>
      </c>
      <c r="Y10290" s="93" t="s">
        <v>93</v>
      </c>
      <c r="Z10290" s="134">
        <f>VLOOKUP(W10290,Sheet2!$B:$D,3,FALSE)</f>
        <v>80</v>
      </c>
      <c r="AA10290" s="93">
        <v>5</v>
      </c>
      <c r="AB10290" s="93">
        <f>AD10290/AC10288</f>
        <v>16</v>
      </c>
      <c r="AC10290" s="93">
        <f>AC10288/AA10290</f>
        <v>0.2</v>
      </c>
      <c r="AD10290" s="94">
        <f t="shared" si="6857"/>
        <v>16</v>
      </c>
      <c r="AE10290" s="190"/>
      <c r="AF10290" s="191"/>
      <c r="AG10290" s="191"/>
      <c r="AH10290" s="191"/>
      <c r="AI10290" s="186"/>
      <c r="AK10290" s="171"/>
    </row>
    <row r="10291" spans="1:41" s="102" customFormat="1" ht="19.899999999999999" customHeight="1" x14ac:dyDescent="0.25">
      <c r="A10291" s="45"/>
      <c r="B10291" s="59"/>
      <c r="C10291" s="137"/>
      <c r="D10291" s="59"/>
      <c r="E10291" s="116"/>
      <c r="F10291" s="120"/>
      <c r="G10291" s="120"/>
      <c r="H10291" s="120"/>
      <c r="I10291" s="60"/>
      <c r="J10291" s="116"/>
      <c r="K10291" s="213"/>
      <c r="L10291" s="120"/>
      <c r="M10291" s="120"/>
      <c r="N10291" s="167"/>
      <c r="O10291" s="120"/>
      <c r="P10291" s="120"/>
      <c r="Q10291" s="120"/>
      <c r="R10291" s="120"/>
      <c r="S10291" s="120"/>
      <c r="T10291" s="221"/>
      <c r="U10291" s="89"/>
      <c r="V10291" s="61"/>
      <c r="W10291" s="92" t="s">
        <v>107</v>
      </c>
      <c r="X10291" s="93" t="s">
        <v>31</v>
      </c>
      <c r="Y10291" s="93" t="s">
        <v>93</v>
      </c>
      <c r="Z10291" s="134">
        <f>VLOOKUP(W10291,Sheet2!$B:$D,3,FALSE)</f>
        <v>17</v>
      </c>
      <c r="AA10291" s="93">
        <f>1/5</f>
        <v>0.2</v>
      </c>
      <c r="AB10291" s="93">
        <f>AD10291/AC10288</f>
        <v>85</v>
      </c>
      <c r="AC10291" s="93">
        <f>AC10288/AA10291</f>
        <v>5</v>
      </c>
      <c r="AD10291" s="94">
        <f>AC10291*Z10291</f>
        <v>85</v>
      </c>
      <c r="AE10291" s="190"/>
      <c r="AF10291" s="191"/>
      <c r="AG10291" s="191"/>
      <c r="AH10291" s="191"/>
      <c r="AI10291" s="186"/>
      <c r="AK10291" s="171"/>
    </row>
    <row r="10292" spans="1:41" ht="20.100000000000001" customHeight="1" x14ac:dyDescent="0.25">
      <c r="A10292" s="277" t="s">
        <v>945</v>
      </c>
      <c r="B10292" s="278"/>
      <c r="C10292" s="64" t="s">
        <v>1701</v>
      </c>
      <c r="D10292" s="46" t="s">
        <v>215</v>
      </c>
      <c r="E10292" s="114">
        <v>1</v>
      </c>
      <c r="F10292" s="44">
        <v>168</v>
      </c>
      <c r="G10292" s="44">
        <f t="shared" si="6741"/>
        <v>168</v>
      </c>
      <c r="H10292" s="44">
        <f t="shared" si="6742"/>
        <v>4060.9999999999995</v>
      </c>
      <c r="I10292" s="43">
        <f t="shared" si="6743"/>
        <v>4060.9999999999995</v>
      </c>
      <c r="J10292" s="112">
        <f t="shared" si="6744"/>
        <v>1</v>
      </c>
      <c r="K10292" s="211">
        <f t="shared" si="6745"/>
        <v>1</v>
      </c>
      <c r="L10292" s="44"/>
      <c r="M10292" s="44">
        <f t="shared" si="6755"/>
        <v>1</v>
      </c>
      <c r="N10292" s="173">
        <f t="shared" si="6746"/>
        <v>1</v>
      </c>
      <c r="O10292" s="44">
        <f t="shared" si="6747"/>
        <v>168</v>
      </c>
      <c r="P10292" s="44">
        <f t="shared" si="6748"/>
        <v>168</v>
      </c>
      <c r="Q10292" s="44">
        <f t="shared" si="6749"/>
        <v>4060.9999999999995</v>
      </c>
      <c r="R10292" s="44">
        <f t="shared" si="6756"/>
        <v>4060.9999999999995</v>
      </c>
      <c r="S10292" s="123"/>
      <c r="T10292" s="219">
        <f t="shared" si="6757"/>
        <v>4060.9999999999995</v>
      </c>
      <c r="U10292" s="87"/>
      <c r="V10292" s="47"/>
      <c r="W10292" s="48"/>
      <c r="X10292" s="48"/>
      <c r="Y10292" s="48"/>
      <c r="Z10292" s="135"/>
      <c r="AA10292" s="49"/>
      <c r="AB10292" s="50">
        <f t="shared" si="6750"/>
        <v>4060.9999999999995</v>
      </c>
      <c r="AC10292" s="42">
        <f t="shared" si="6758"/>
        <v>1</v>
      </c>
      <c r="AD10292" s="90">
        <f>AD10293</f>
        <v>4060.9999999999995</v>
      </c>
      <c r="AE10292" s="188">
        <f t="shared" ref="AE10292" si="6858">AE10293</f>
        <v>0</v>
      </c>
      <c r="AF10292" s="189">
        <f t="shared" ref="AF10292" si="6859">AF10293</f>
        <v>0</v>
      </c>
      <c r="AG10292" s="189">
        <f t="shared" ref="AG10292" si="6860">AG10293</f>
        <v>0</v>
      </c>
      <c r="AH10292" s="189">
        <f t="shared" ref="AH10292" si="6861">AH10293</f>
        <v>0</v>
      </c>
      <c r="AI10292" s="161">
        <f t="shared" ref="AI10292:AI10297" si="6862">SUM(AE10292:AH10292)</f>
        <v>0</v>
      </c>
      <c r="AK10292" s="169">
        <v>5</v>
      </c>
      <c r="AO10292" s="19" t="s">
        <v>63</v>
      </c>
    </row>
    <row r="10293" spans="1:41" s="103" customFormat="1" ht="19.899999999999999" customHeight="1" x14ac:dyDescent="0.25">
      <c r="A10293" s="51"/>
      <c r="B10293" s="52"/>
      <c r="C10293" s="165"/>
      <c r="D10293" s="52"/>
      <c r="E10293" s="115"/>
      <c r="F10293" s="58"/>
      <c r="G10293" s="58"/>
      <c r="H10293" s="58"/>
      <c r="I10293" s="55"/>
      <c r="J10293" s="113">
        <f>J10292</f>
        <v>1</v>
      </c>
      <c r="K10293" s="212">
        <f>K10292</f>
        <v>1</v>
      </c>
      <c r="L10293" s="58"/>
      <c r="M10293" s="58">
        <f>K10293-L10293</f>
        <v>1</v>
      </c>
      <c r="N10293" s="166"/>
      <c r="O10293" s="58"/>
      <c r="P10293" s="58"/>
      <c r="Q10293" s="58"/>
      <c r="R10293" s="58"/>
      <c r="S10293" s="58"/>
      <c r="T10293" s="220"/>
      <c r="U10293" s="88"/>
      <c r="V10293" s="56"/>
      <c r="W10293" s="57" t="s">
        <v>1706</v>
      </c>
      <c r="X10293" s="53"/>
      <c r="Y10293" s="91" t="s">
        <v>35</v>
      </c>
      <c r="Z10293" s="136">
        <f>AD10293/AC10293</f>
        <v>4060.9999999999995</v>
      </c>
      <c r="AA10293" s="58"/>
      <c r="AB10293" s="53">
        <f>AD10293/AC10293</f>
        <v>4060.9999999999995</v>
      </c>
      <c r="AC10293" s="53">
        <f>M10293+$AE$10</f>
        <v>1</v>
      </c>
      <c r="AD10293" s="54">
        <f>SUM(AD10294:AD10296)</f>
        <v>4060.9999999999995</v>
      </c>
      <c r="AE10293" s="184">
        <f>SUMIFS($AD$37:$AD$12971,$V$37:$V$12971,$V10293,$X$37:$X$12971,AE$13)</f>
        <v>0</v>
      </c>
      <c r="AF10293" s="185">
        <f>SUMIFS($AD$37:$AD$12971,$V$37:$V$12971,$V10293,$X$37:$X$12971,AF$13)</f>
        <v>0</v>
      </c>
      <c r="AG10293" s="185">
        <f>SUMIFS($AD$37:$AD$12971,$V$37:$V$12971,$V10293,$X$37:$X$12971,AG$13)</f>
        <v>0</v>
      </c>
      <c r="AH10293" s="187">
        <f>SUMIFS($AD$37:$AD$12971,$V$37:$V$12971,$V10293,$X$37:$X$12971,AH$13)</f>
        <v>0</v>
      </c>
      <c r="AI10293" s="161">
        <f t="shared" ref="AI10293" si="6863">SUM(AE10293:AH10293)</f>
        <v>0</v>
      </c>
      <c r="AK10293" s="172"/>
    </row>
    <row r="10294" spans="1:41" s="102" customFormat="1" ht="19.899999999999999" customHeight="1" x14ac:dyDescent="0.25">
      <c r="A10294" s="45"/>
      <c r="B10294" s="59"/>
      <c r="C10294" s="137"/>
      <c r="D10294" s="59"/>
      <c r="E10294" s="116"/>
      <c r="F10294" s="120"/>
      <c r="G10294" s="120"/>
      <c r="H10294" s="120"/>
      <c r="I10294" s="60"/>
      <c r="J10294" s="116"/>
      <c r="K10294" s="213"/>
      <c r="L10294" s="120"/>
      <c r="M10294" s="120"/>
      <c r="N10294" s="167"/>
      <c r="O10294" s="120"/>
      <c r="P10294" s="120"/>
      <c r="Q10294" s="120"/>
      <c r="R10294" s="120"/>
      <c r="S10294" s="120"/>
      <c r="T10294" s="221"/>
      <c r="U10294" s="89"/>
      <c r="V10294" s="61"/>
      <c r="W10294" s="92" t="s">
        <v>1105</v>
      </c>
      <c r="X10294" s="93" t="s">
        <v>30</v>
      </c>
      <c r="Y10294" s="93" t="s">
        <v>66</v>
      </c>
      <c r="Z10294" s="134">
        <f>VLOOKUP(W10294,Sheet2!$B:$D,3,FALSE)</f>
        <v>2200</v>
      </c>
      <c r="AA10294" s="93">
        <v>0.55555555555555558</v>
      </c>
      <c r="AB10294" s="93">
        <f>AD10294/AC10293</f>
        <v>3959.9999999999995</v>
      </c>
      <c r="AC10294" s="93">
        <f>AC10293/AA10294</f>
        <v>1.7999999999999998</v>
      </c>
      <c r="AD10294" s="94">
        <f t="shared" ref="AD10294:AD10295" si="6864">AC10294*Z10294</f>
        <v>3959.9999999999995</v>
      </c>
      <c r="AE10294" s="190"/>
      <c r="AF10294" s="191"/>
      <c r="AG10294" s="191"/>
      <c r="AH10294" s="191"/>
      <c r="AI10294" s="186"/>
      <c r="AK10294" s="171"/>
    </row>
    <row r="10295" spans="1:41" s="102" customFormat="1" ht="19.899999999999999" customHeight="1" x14ac:dyDescent="0.25">
      <c r="A10295" s="45"/>
      <c r="B10295" s="59"/>
      <c r="C10295" s="137"/>
      <c r="D10295" s="59"/>
      <c r="E10295" s="116"/>
      <c r="F10295" s="120"/>
      <c r="G10295" s="120"/>
      <c r="H10295" s="120"/>
      <c r="I10295" s="60"/>
      <c r="J10295" s="116"/>
      <c r="K10295" s="213"/>
      <c r="L10295" s="120"/>
      <c r="M10295" s="120"/>
      <c r="N10295" s="167"/>
      <c r="O10295" s="120"/>
      <c r="P10295" s="120"/>
      <c r="Q10295" s="120"/>
      <c r="R10295" s="120"/>
      <c r="S10295" s="120"/>
      <c r="T10295" s="221"/>
      <c r="U10295" s="89"/>
      <c r="V10295" s="61"/>
      <c r="W10295" s="92" t="s">
        <v>174</v>
      </c>
      <c r="X10295" s="93" t="s">
        <v>29</v>
      </c>
      <c r="Y10295" s="93" t="s">
        <v>93</v>
      </c>
      <c r="Z10295" s="134">
        <f>VLOOKUP(W10295,Sheet2!$B:$D,3,FALSE)</f>
        <v>80</v>
      </c>
      <c r="AA10295" s="93">
        <v>5</v>
      </c>
      <c r="AB10295" s="93">
        <f>AD10295/AC10293</f>
        <v>16</v>
      </c>
      <c r="AC10295" s="93">
        <f>AC10293/AA10295</f>
        <v>0.2</v>
      </c>
      <c r="AD10295" s="94">
        <f t="shared" si="6864"/>
        <v>16</v>
      </c>
      <c r="AE10295" s="190"/>
      <c r="AF10295" s="191"/>
      <c r="AG10295" s="191"/>
      <c r="AH10295" s="191"/>
      <c r="AI10295" s="186"/>
      <c r="AK10295" s="171"/>
    </row>
    <row r="10296" spans="1:41" s="102" customFormat="1" ht="19.899999999999999" customHeight="1" x14ac:dyDescent="0.25">
      <c r="A10296" s="45"/>
      <c r="B10296" s="59"/>
      <c r="C10296" s="137"/>
      <c r="D10296" s="59"/>
      <c r="E10296" s="116"/>
      <c r="F10296" s="120"/>
      <c r="G10296" s="120"/>
      <c r="H10296" s="120"/>
      <c r="I10296" s="60"/>
      <c r="J10296" s="116"/>
      <c r="K10296" s="213"/>
      <c r="L10296" s="120"/>
      <c r="M10296" s="120"/>
      <c r="N10296" s="167"/>
      <c r="O10296" s="120"/>
      <c r="P10296" s="120"/>
      <c r="Q10296" s="120"/>
      <c r="R10296" s="120"/>
      <c r="S10296" s="120"/>
      <c r="T10296" s="221"/>
      <c r="U10296" s="89"/>
      <c r="V10296" s="61"/>
      <c r="W10296" s="92" t="s">
        <v>107</v>
      </c>
      <c r="X10296" s="93" t="s">
        <v>31</v>
      </c>
      <c r="Y10296" s="93" t="s">
        <v>93</v>
      </c>
      <c r="Z10296" s="134">
        <f>VLOOKUP(W10296,Sheet2!$B:$D,3,FALSE)</f>
        <v>17</v>
      </c>
      <c r="AA10296" s="93">
        <v>0.2</v>
      </c>
      <c r="AB10296" s="93">
        <f>AD10296/AC10293</f>
        <v>85</v>
      </c>
      <c r="AC10296" s="93">
        <f>AC10293/AA10296</f>
        <v>5</v>
      </c>
      <c r="AD10296" s="94">
        <f>AC10296*Z10296</f>
        <v>85</v>
      </c>
      <c r="AE10296" s="190"/>
      <c r="AF10296" s="191"/>
      <c r="AG10296" s="191"/>
      <c r="AH10296" s="191"/>
      <c r="AI10296" s="186"/>
      <c r="AK10296" s="171"/>
    </row>
    <row r="10297" spans="1:41" ht="20.100000000000001" customHeight="1" x14ac:dyDescent="0.25">
      <c r="A10297" s="277" t="s">
        <v>945</v>
      </c>
      <c r="B10297" s="278"/>
      <c r="C10297" s="64" t="s">
        <v>1702</v>
      </c>
      <c r="D10297" s="46" t="s">
        <v>215</v>
      </c>
      <c r="E10297" s="114">
        <v>1</v>
      </c>
      <c r="F10297" s="44">
        <v>247</v>
      </c>
      <c r="G10297" s="44">
        <f t="shared" si="6741"/>
        <v>247</v>
      </c>
      <c r="H10297" s="44">
        <f t="shared" si="6742"/>
        <v>5381</v>
      </c>
      <c r="I10297" s="43">
        <f t="shared" si="6743"/>
        <v>5381</v>
      </c>
      <c r="J10297" s="112">
        <f t="shared" si="6744"/>
        <v>1</v>
      </c>
      <c r="K10297" s="211">
        <f t="shared" si="6745"/>
        <v>1</v>
      </c>
      <c r="L10297" s="44"/>
      <c r="M10297" s="44">
        <f t="shared" si="6755"/>
        <v>1</v>
      </c>
      <c r="N10297" s="173">
        <f t="shared" si="6746"/>
        <v>1</v>
      </c>
      <c r="O10297" s="44">
        <f t="shared" si="6747"/>
        <v>247</v>
      </c>
      <c r="P10297" s="44">
        <f t="shared" si="6748"/>
        <v>247</v>
      </c>
      <c r="Q10297" s="44">
        <f t="shared" si="6749"/>
        <v>5381</v>
      </c>
      <c r="R10297" s="44">
        <f t="shared" si="6756"/>
        <v>5381</v>
      </c>
      <c r="S10297" s="123"/>
      <c r="T10297" s="219">
        <f t="shared" si="6757"/>
        <v>5381</v>
      </c>
      <c r="U10297" s="87"/>
      <c r="V10297" s="47"/>
      <c r="W10297" s="48"/>
      <c r="X10297" s="48"/>
      <c r="Y10297" s="48"/>
      <c r="Z10297" s="135"/>
      <c r="AA10297" s="49"/>
      <c r="AB10297" s="50">
        <f t="shared" si="6750"/>
        <v>5381</v>
      </c>
      <c r="AC10297" s="42">
        <f t="shared" si="6758"/>
        <v>1</v>
      </c>
      <c r="AD10297" s="90">
        <f>AD10298</f>
        <v>5381</v>
      </c>
      <c r="AE10297" s="188">
        <f t="shared" ref="AE10297" si="6865">AE10298</f>
        <v>0</v>
      </c>
      <c r="AF10297" s="189">
        <f t="shared" ref="AF10297" si="6866">AF10298</f>
        <v>0</v>
      </c>
      <c r="AG10297" s="189">
        <f t="shared" ref="AG10297" si="6867">AG10298</f>
        <v>0</v>
      </c>
      <c r="AH10297" s="189">
        <f t="shared" ref="AH10297" si="6868">AH10298</f>
        <v>0</v>
      </c>
      <c r="AI10297" s="161">
        <f t="shared" si="6862"/>
        <v>0</v>
      </c>
      <c r="AK10297" s="169">
        <v>5</v>
      </c>
      <c r="AO10297" s="19" t="s">
        <v>63</v>
      </c>
    </row>
    <row r="10298" spans="1:41" s="103" customFormat="1" ht="19.899999999999999" customHeight="1" x14ac:dyDescent="0.25">
      <c r="A10298" s="51"/>
      <c r="B10298" s="52"/>
      <c r="C10298" s="165"/>
      <c r="D10298" s="52"/>
      <c r="E10298" s="115"/>
      <c r="F10298" s="58"/>
      <c r="G10298" s="58"/>
      <c r="H10298" s="58"/>
      <c r="I10298" s="55"/>
      <c r="J10298" s="113">
        <f>J10297</f>
        <v>1</v>
      </c>
      <c r="K10298" s="212">
        <f>K10297</f>
        <v>1</v>
      </c>
      <c r="L10298" s="58"/>
      <c r="M10298" s="58">
        <f>K10298-L10298</f>
        <v>1</v>
      </c>
      <c r="N10298" s="166"/>
      <c r="O10298" s="58"/>
      <c r="P10298" s="58"/>
      <c r="Q10298" s="58"/>
      <c r="R10298" s="58"/>
      <c r="S10298" s="58"/>
      <c r="T10298" s="220"/>
      <c r="U10298" s="88"/>
      <c r="V10298" s="56"/>
      <c r="W10298" s="57" t="s">
        <v>1706</v>
      </c>
      <c r="X10298" s="53"/>
      <c r="Y10298" s="91" t="s">
        <v>35</v>
      </c>
      <c r="Z10298" s="136">
        <f>AD10298/AC10298</f>
        <v>5381</v>
      </c>
      <c r="AA10298" s="58"/>
      <c r="AB10298" s="53">
        <f>AD10298/AC10298</f>
        <v>5381</v>
      </c>
      <c r="AC10298" s="53">
        <f>M10298+$AE$10</f>
        <v>1</v>
      </c>
      <c r="AD10298" s="54">
        <f>SUM(AD10299:AD10301)</f>
        <v>5381</v>
      </c>
      <c r="AE10298" s="184">
        <f>SUMIFS($AD$37:$AD$12971,$V$37:$V$12971,$V10298,$X$37:$X$12971,AE$13)</f>
        <v>0</v>
      </c>
      <c r="AF10298" s="185">
        <f>SUMIFS($AD$37:$AD$12971,$V$37:$V$12971,$V10298,$X$37:$X$12971,AF$13)</f>
        <v>0</v>
      </c>
      <c r="AG10298" s="185">
        <f>SUMIFS($AD$37:$AD$12971,$V$37:$V$12971,$V10298,$X$37:$X$12971,AG$13)</f>
        <v>0</v>
      </c>
      <c r="AH10298" s="187">
        <f>SUMIFS($AD$37:$AD$12971,$V$37:$V$12971,$V10298,$X$37:$X$12971,AH$13)</f>
        <v>0</v>
      </c>
      <c r="AI10298" s="161">
        <f t="shared" ref="AI10298" si="6869">SUM(AE10298:AH10298)</f>
        <v>0</v>
      </c>
      <c r="AK10298" s="172"/>
    </row>
    <row r="10299" spans="1:41" s="102" customFormat="1" ht="19.899999999999999" customHeight="1" x14ac:dyDescent="0.25">
      <c r="A10299" s="45"/>
      <c r="B10299" s="59"/>
      <c r="C10299" s="137"/>
      <c r="D10299" s="59"/>
      <c r="E10299" s="116"/>
      <c r="F10299" s="120"/>
      <c r="G10299" s="120"/>
      <c r="H10299" s="120"/>
      <c r="I10299" s="60"/>
      <c r="J10299" s="116"/>
      <c r="K10299" s="213"/>
      <c r="L10299" s="120"/>
      <c r="M10299" s="120"/>
      <c r="N10299" s="167"/>
      <c r="O10299" s="120"/>
      <c r="P10299" s="120"/>
      <c r="Q10299" s="120"/>
      <c r="R10299" s="120"/>
      <c r="S10299" s="120"/>
      <c r="T10299" s="221"/>
      <c r="U10299" s="89"/>
      <c r="V10299" s="61"/>
      <c r="W10299" s="92" t="s">
        <v>1105</v>
      </c>
      <c r="X10299" s="93" t="s">
        <v>30</v>
      </c>
      <c r="Y10299" s="93" t="s">
        <v>66</v>
      </c>
      <c r="Z10299" s="134">
        <f>VLOOKUP(W10299,Sheet2!$B:$D,3,FALSE)</f>
        <v>2200</v>
      </c>
      <c r="AA10299" s="93">
        <v>0.41666666666666669</v>
      </c>
      <c r="AB10299" s="93">
        <f>AD10299/AC10298</f>
        <v>5280</v>
      </c>
      <c r="AC10299" s="93">
        <f>AC10298/AA10299</f>
        <v>2.4</v>
      </c>
      <c r="AD10299" s="94">
        <f t="shared" ref="AD10299:AD10300" si="6870">AC10299*Z10299</f>
        <v>5280</v>
      </c>
      <c r="AE10299" s="190"/>
      <c r="AF10299" s="191"/>
      <c r="AG10299" s="191"/>
      <c r="AH10299" s="191"/>
      <c r="AI10299" s="186"/>
      <c r="AK10299" s="171"/>
    </row>
    <row r="10300" spans="1:41" s="102" customFormat="1" ht="19.899999999999999" customHeight="1" x14ac:dyDescent="0.25">
      <c r="A10300" s="45"/>
      <c r="B10300" s="59"/>
      <c r="C10300" s="137"/>
      <c r="D10300" s="59"/>
      <c r="E10300" s="116"/>
      <c r="F10300" s="120"/>
      <c r="G10300" s="120"/>
      <c r="H10300" s="120"/>
      <c r="I10300" s="60"/>
      <c r="J10300" s="116"/>
      <c r="K10300" s="213"/>
      <c r="L10300" s="120"/>
      <c r="M10300" s="120"/>
      <c r="N10300" s="167"/>
      <c r="O10300" s="120"/>
      <c r="P10300" s="120"/>
      <c r="Q10300" s="120"/>
      <c r="R10300" s="120"/>
      <c r="S10300" s="120"/>
      <c r="T10300" s="221"/>
      <c r="U10300" s="89"/>
      <c r="V10300" s="61"/>
      <c r="W10300" s="92" t="s">
        <v>174</v>
      </c>
      <c r="X10300" s="93" t="s">
        <v>29</v>
      </c>
      <c r="Y10300" s="93" t="s">
        <v>93</v>
      </c>
      <c r="Z10300" s="134">
        <f>VLOOKUP(W10300,Sheet2!$B:$D,3,FALSE)</f>
        <v>80</v>
      </c>
      <c r="AA10300" s="93">
        <v>5</v>
      </c>
      <c r="AB10300" s="93">
        <f>AD10300/AC10298</f>
        <v>16</v>
      </c>
      <c r="AC10300" s="93">
        <f>AC10298/AA10300</f>
        <v>0.2</v>
      </c>
      <c r="AD10300" s="94">
        <f t="shared" si="6870"/>
        <v>16</v>
      </c>
      <c r="AE10300" s="190"/>
      <c r="AF10300" s="191"/>
      <c r="AG10300" s="191"/>
      <c r="AH10300" s="191"/>
      <c r="AI10300" s="186"/>
      <c r="AK10300" s="171"/>
    </row>
    <row r="10301" spans="1:41" s="102" customFormat="1" ht="19.899999999999999" customHeight="1" x14ac:dyDescent="0.25">
      <c r="A10301" s="45"/>
      <c r="B10301" s="59"/>
      <c r="C10301" s="137"/>
      <c r="D10301" s="59"/>
      <c r="E10301" s="116"/>
      <c r="F10301" s="120"/>
      <c r="G10301" s="120"/>
      <c r="H10301" s="120"/>
      <c r="I10301" s="60"/>
      <c r="J10301" s="116"/>
      <c r="K10301" s="213"/>
      <c r="L10301" s="120"/>
      <c r="M10301" s="120"/>
      <c r="N10301" s="167"/>
      <c r="O10301" s="120"/>
      <c r="P10301" s="120"/>
      <c r="Q10301" s="120"/>
      <c r="R10301" s="120"/>
      <c r="S10301" s="120"/>
      <c r="T10301" s="221"/>
      <c r="U10301" s="89"/>
      <c r="V10301" s="61"/>
      <c r="W10301" s="92" t="s">
        <v>107</v>
      </c>
      <c r="X10301" s="93" t="s">
        <v>31</v>
      </c>
      <c r="Y10301" s="93" t="s">
        <v>93</v>
      </c>
      <c r="Z10301" s="134">
        <f>VLOOKUP(W10301,Sheet2!$B:$D,3,FALSE)</f>
        <v>17</v>
      </c>
      <c r="AA10301" s="93">
        <v>0.2</v>
      </c>
      <c r="AB10301" s="93">
        <f>AD10301/AC10298</f>
        <v>85</v>
      </c>
      <c r="AC10301" s="93">
        <f>AC10298/AA10301</f>
        <v>5</v>
      </c>
      <c r="AD10301" s="94">
        <f>AC10301*Z10301</f>
        <v>85</v>
      </c>
      <c r="AE10301" s="190"/>
      <c r="AF10301" s="191"/>
      <c r="AG10301" s="191"/>
      <c r="AH10301" s="191"/>
      <c r="AI10301" s="186"/>
      <c r="AK10301" s="171"/>
    </row>
    <row r="10302" spans="1:41" ht="20.100000000000001" customHeight="1" x14ac:dyDescent="0.25">
      <c r="A10302" s="277" t="s">
        <v>945</v>
      </c>
      <c r="B10302" s="278"/>
      <c r="C10302" s="64" t="s">
        <v>1703</v>
      </c>
      <c r="D10302" s="46" t="s">
        <v>215</v>
      </c>
      <c r="E10302" s="114">
        <v>1</v>
      </c>
      <c r="F10302" s="44">
        <v>317</v>
      </c>
      <c r="G10302" s="44">
        <f t="shared" si="6741"/>
        <v>317</v>
      </c>
      <c r="H10302" s="44">
        <f t="shared" si="6742"/>
        <v>6481</v>
      </c>
      <c r="I10302" s="43">
        <f t="shared" si="6743"/>
        <v>6481</v>
      </c>
      <c r="J10302" s="112">
        <f t="shared" si="6744"/>
        <v>1</v>
      </c>
      <c r="K10302" s="211">
        <f t="shared" si="6745"/>
        <v>1</v>
      </c>
      <c r="L10302" s="44"/>
      <c r="M10302" s="44">
        <f t="shared" si="6755"/>
        <v>1</v>
      </c>
      <c r="N10302" s="173">
        <f t="shared" si="6746"/>
        <v>1</v>
      </c>
      <c r="O10302" s="44">
        <f t="shared" si="6747"/>
        <v>317</v>
      </c>
      <c r="P10302" s="44">
        <f t="shared" si="6748"/>
        <v>317</v>
      </c>
      <c r="Q10302" s="44">
        <f t="shared" si="6749"/>
        <v>6481</v>
      </c>
      <c r="R10302" s="44">
        <f t="shared" si="6756"/>
        <v>6481</v>
      </c>
      <c r="S10302" s="123"/>
      <c r="T10302" s="219">
        <f t="shared" si="6757"/>
        <v>6481</v>
      </c>
      <c r="U10302" s="87"/>
      <c r="V10302" s="47"/>
      <c r="W10302" s="48"/>
      <c r="X10302" s="48"/>
      <c r="Y10302" s="48"/>
      <c r="Z10302" s="135"/>
      <c r="AA10302" s="49"/>
      <c r="AB10302" s="50">
        <f t="shared" si="6750"/>
        <v>6481</v>
      </c>
      <c r="AC10302" s="42">
        <f t="shared" si="6758"/>
        <v>1</v>
      </c>
      <c r="AD10302" s="90">
        <f>AD10303</f>
        <v>6481</v>
      </c>
      <c r="AE10302" s="188">
        <f t="shared" ref="AE10302" si="6871">AE10303</f>
        <v>0</v>
      </c>
      <c r="AF10302" s="189">
        <f t="shared" ref="AF10302" si="6872">AF10303</f>
        <v>0</v>
      </c>
      <c r="AG10302" s="189">
        <f t="shared" ref="AG10302" si="6873">AG10303</f>
        <v>0</v>
      </c>
      <c r="AH10302" s="189">
        <f t="shared" ref="AH10302" si="6874">AH10303</f>
        <v>0</v>
      </c>
      <c r="AI10302" s="161">
        <f t="shared" ref="AI10302" si="6875">SUM(AE10302:AH10302)</f>
        <v>0</v>
      </c>
      <c r="AK10302" s="169">
        <v>5</v>
      </c>
      <c r="AO10302" s="19" t="s">
        <v>63</v>
      </c>
    </row>
    <row r="10303" spans="1:41" s="103" customFormat="1" ht="19.899999999999999" customHeight="1" x14ac:dyDescent="0.25">
      <c r="A10303" s="51"/>
      <c r="B10303" s="52"/>
      <c r="C10303" s="165"/>
      <c r="D10303" s="52"/>
      <c r="E10303" s="115"/>
      <c r="F10303" s="58"/>
      <c r="G10303" s="58"/>
      <c r="H10303" s="58"/>
      <c r="I10303" s="55"/>
      <c r="J10303" s="113">
        <f>J10302</f>
        <v>1</v>
      </c>
      <c r="K10303" s="212">
        <f>K10302</f>
        <v>1</v>
      </c>
      <c r="L10303" s="58"/>
      <c r="M10303" s="58">
        <f>K10303-L10303</f>
        <v>1</v>
      </c>
      <c r="N10303" s="166"/>
      <c r="O10303" s="58"/>
      <c r="P10303" s="58"/>
      <c r="Q10303" s="58"/>
      <c r="R10303" s="58"/>
      <c r="S10303" s="58"/>
      <c r="T10303" s="220"/>
      <c r="U10303" s="88"/>
      <c r="V10303" s="56"/>
      <c r="W10303" s="57" t="s">
        <v>1706</v>
      </c>
      <c r="X10303" s="53"/>
      <c r="Y10303" s="91" t="s">
        <v>35</v>
      </c>
      <c r="Z10303" s="136">
        <f>AD10303/AC10303</f>
        <v>6481</v>
      </c>
      <c r="AA10303" s="58"/>
      <c r="AB10303" s="53">
        <f>AD10303/AC10303</f>
        <v>6481</v>
      </c>
      <c r="AC10303" s="53">
        <f>M10303+$AE$10</f>
        <v>1</v>
      </c>
      <c r="AD10303" s="54">
        <f>SUM(AD10304:AD10306)</f>
        <v>6481</v>
      </c>
      <c r="AE10303" s="184">
        <f>SUMIFS($AD$37:$AD$12971,$V$37:$V$12971,$V10303,$X$37:$X$12971,AE$13)</f>
        <v>0</v>
      </c>
      <c r="AF10303" s="185">
        <f>SUMIFS($AD$37:$AD$12971,$V$37:$V$12971,$V10303,$X$37:$X$12971,AF$13)</f>
        <v>0</v>
      </c>
      <c r="AG10303" s="185">
        <f>SUMIFS($AD$37:$AD$12971,$V$37:$V$12971,$V10303,$X$37:$X$12971,AG$13)</f>
        <v>0</v>
      </c>
      <c r="AH10303" s="187">
        <f>SUMIFS($AD$37:$AD$12971,$V$37:$V$12971,$V10303,$X$37:$X$12971,AH$13)</f>
        <v>0</v>
      </c>
      <c r="AI10303" s="161">
        <f t="shared" ref="AI10303" si="6876">SUM(AE10303:AH10303)</f>
        <v>0</v>
      </c>
      <c r="AK10303" s="172"/>
    </row>
    <row r="10304" spans="1:41" s="102" customFormat="1" ht="19.899999999999999" customHeight="1" x14ac:dyDescent="0.25">
      <c r="A10304" s="45"/>
      <c r="B10304" s="59"/>
      <c r="C10304" s="137"/>
      <c r="D10304" s="59"/>
      <c r="E10304" s="116"/>
      <c r="F10304" s="120"/>
      <c r="G10304" s="120"/>
      <c r="H10304" s="120"/>
      <c r="I10304" s="60"/>
      <c r="J10304" s="116"/>
      <c r="K10304" s="213"/>
      <c r="L10304" s="120"/>
      <c r="M10304" s="120"/>
      <c r="N10304" s="167"/>
      <c r="O10304" s="120"/>
      <c r="P10304" s="120"/>
      <c r="Q10304" s="120"/>
      <c r="R10304" s="120"/>
      <c r="S10304" s="120"/>
      <c r="T10304" s="221"/>
      <c r="U10304" s="89"/>
      <c r="V10304" s="61"/>
      <c r="W10304" s="92" t="s">
        <v>1105</v>
      </c>
      <c r="X10304" s="93" t="s">
        <v>30</v>
      </c>
      <c r="Y10304" s="93" t="s">
        <v>66</v>
      </c>
      <c r="Z10304" s="134">
        <f>VLOOKUP(W10304,Sheet2!$B:$D,3,FALSE)</f>
        <v>2200</v>
      </c>
      <c r="AA10304" s="93">
        <f>1/2.9</f>
        <v>0.34482758620689657</v>
      </c>
      <c r="AB10304" s="93">
        <f>AD10304/AC10303</f>
        <v>6380</v>
      </c>
      <c r="AC10304" s="93">
        <f>AC10303/AA10304</f>
        <v>2.9</v>
      </c>
      <c r="AD10304" s="94">
        <f t="shared" ref="AD10304:AD10305" si="6877">AC10304*Z10304</f>
        <v>6380</v>
      </c>
      <c r="AE10304" s="190"/>
      <c r="AF10304" s="191"/>
      <c r="AG10304" s="191"/>
      <c r="AH10304" s="191"/>
      <c r="AI10304" s="186"/>
      <c r="AK10304" s="171"/>
    </row>
    <row r="10305" spans="1:41" s="102" customFormat="1" ht="19.899999999999999" customHeight="1" x14ac:dyDescent="0.25">
      <c r="A10305" s="45"/>
      <c r="B10305" s="59"/>
      <c r="C10305" s="137"/>
      <c r="D10305" s="59"/>
      <c r="E10305" s="116"/>
      <c r="F10305" s="120"/>
      <c r="G10305" s="120"/>
      <c r="H10305" s="120"/>
      <c r="I10305" s="60"/>
      <c r="J10305" s="116"/>
      <c r="K10305" s="213"/>
      <c r="L10305" s="120"/>
      <c r="M10305" s="120"/>
      <c r="N10305" s="167"/>
      <c r="O10305" s="120"/>
      <c r="P10305" s="120"/>
      <c r="Q10305" s="120"/>
      <c r="R10305" s="120"/>
      <c r="S10305" s="120"/>
      <c r="T10305" s="221"/>
      <c r="U10305" s="89"/>
      <c r="V10305" s="61"/>
      <c r="W10305" s="92" t="s">
        <v>174</v>
      </c>
      <c r="X10305" s="93" t="s">
        <v>29</v>
      </c>
      <c r="Y10305" s="93" t="s">
        <v>93</v>
      </c>
      <c r="Z10305" s="134">
        <f>VLOOKUP(W10305,Sheet2!$B:$D,3,FALSE)</f>
        <v>80</v>
      </c>
      <c r="AA10305" s="93">
        <v>5</v>
      </c>
      <c r="AB10305" s="93">
        <f>AD10305/AC10303</f>
        <v>16</v>
      </c>
      <c r="AC10305" s="93">
        <f>AC10303/AA10305</f>
        <v>0.2</v>
      </c>
      <c r="AD10305" s="94">
        <f t="shared" si="6877"/>
        <v>16</v>
      </c>
      <c r="AE10305" s="190"/>
      <c r="AF10305" s="191"/>
      <c r="AG10305" s="191"/>
      <c r="AH10305" s="191"/>
      <c r="AI10305" s="186"/>
      <c r="AK10305" s="171"/>
    </row>
    <row r="10306" spans="1:41" s="102" customFormat="1" ht="19.899999999999999" customHeight="1" x14ac:dyDescent="0.25">
      <c r="A10306" s="45"/>
      <c r="B10306" s="59"/>
      <c r="C10306" s="137"/>
      <c r="D10306" s="59"/>
      <c r="E10306" s="116"/>
      <c r="F10306" s="120"/>
      <c r="G10306" s="120"/>
      <c r="H10306" s="120"/>
      <c r="I10306" s="60"/>
      <c r="J10306" s="116"/>
      <c r="K10306" s="213"/>
      <c r="L10306" s="120"/>
      <c r="M10306" s="120"/>
      <c r="N10306" s="167"/>
      <c r="O10306" s="120"/>
      <c r="P10306" s="120"/>
      <c r="Q10306" s="120"/>
      <c r="R10306" s="120"/>
      <c r="S10306" s="120"/>
      <c r="T10306" s="221"/>
      <c r="U10306" s="89"/>
      <c r="V10306" s="61"/>
      <c r="W10306" s="92" t="s">
        <v>107</v>
      </c>
      <c r="X10306" s="93" t="s">
        <v>31</v>
      </c>
      <c r="Y10306" s="93" t="s">
        <v>93</v>
      </c>
      <c r="Z10306" s="134">
        <f>VLOOKUP(W10306,Sheet2!$B:$D,3,FALSE)</f>
        <v>17</v>
      </c>
      <c r="AA10306" s="93">
        <f>1/5</f>
        <v>0.2</v>
      </c>
      <c r="AB10306" s="93">
        <f>AD10306/AC10303</f>
        <v>85</v>
      </c>
      <c r="AC10306" s="93">
        <f>AC10303/AA10306</f>
        <v>5</v>
      </c>
      <c r="AD10306" s="94">
        <f>AC10306*Z10306</f>
        <v>85</v>
      </c>
      <c r="AE10306" s="190"/>
      <c r="AF10306" s="191"/>
      <c r="AG10306" s="191"/>
      <c r="AH10306" s="191"/>
      <c r="AI10306" s="186"/>
      <c r="AK10306" s="171"/>
    </row>
    <row r="10307" spans="1:41" ht="20.100000000000001" customHeight="1" x14ac:dyDescent="0.25">
      <c r="A10307" s="277" t="s">
        <v>945</v>
      </c>
      <c r="B10307" s="278"/>
      <c r="C10307" s="64" t="s">
        <v>1704</v>
      </c>
      <c r="D10307" s="46" t="s">
        <v>215</v>
      </c>
      <c r="E10307" s="114">
        <v>1</v>
      </c>
      <c r="F10307" s="44">
        <v>338</v>
      </c>
      <c r="G10307" s="44">
        <f t="shared" si="6741"/>
        <v>338</v>
      </c>
      <c r="H10307" s="44">
        <f t="shared" si="6742"/>
        <v>6261</v>
      </c>
      <c r="I10307" s="43">
        <f t="shared" si="6743"/>
        <v>6261</v>
      </c>
      <c r="J10307" s="112">
        <f t="shared" si="6744"/>
        <v>1</v>
      </c>
      <c r="K10307" s="211">
        <f t="shared" si="6745"/>
        <v>1</v>
      </c>
      <c r="L10307" s="44"/>
      <c r="M10307" s="44">
        <f t="shared" si="6755"/>
        <v>1</v>
      </c>
      <c r="N10307" s="173">
        <f t="shared" si="6746"/>
        <v>1</v>
      </c>
      <c r="O10307" s="44">
        <f t="shared" si="6747"/>
        <v>338</v>
      </c>
      <c r="P10307" s="44">
        <f t="shared" si="6748"/>
        <v>338</v>
      </c>
      <c r="Q10307" s="44">
        <f t="shared" si="6749"/>
        <v>6261</v>
      </c>
      <c r="R10307" s="44">
        <f t="shared" si="6756"/>
        <v>6261</v>
      </c>
      <c r="S10307" s="123"/>
      <c r="T10307" s="219">
        <f t="shared" si="6757"/>
        <v>6261</v>
      </c>
      <c r="U10307" s="87"/>
      <c r="V10307" s="47"/>
      <c r="W10307" s="48"/>
      <c r="X10307" s="48"/>
      <c r="Y10307" s="48"/>
      <c r="Z10307" s="135"/>
      <c r="AA10307" s="49"/>
      <c r="AB10307" s="50">
        <f t="shared" si="6750"/>
        <v>6261</v>
      </c>
      <c r="AC10307" s="42">
        <f t="shared" si="6758"/>
        <v>1</v>
      </c>
      <c r="AD10307" s="90">
        <f>AD10308</f>
        <v>6261</v>
      </c>
      <c r="AE10307" s="188">
        <f t="shared" ref="AE10307" si="6878">AE10308</f>
        <v>0</v>
      </c>
      <c r="AF10307" s="189">
        <f t="shared" ref="AF10307" si="6879">AF10308</f>
        <v>0</v>
      </c>
      <c r="AG10307" s="189">
        <f t="shared" ref="AG10307" si="6880">AG10308</f>
        <v>0</v>
      </c>
      <c r="AH10307" s="189">
        <f t="shared" ref="AH10307" si="6881">AH10308</f>
        <v>0</v>
      </c>
      <c r="AI10307" s="161">
        <f t="shared" ref="AI10307" si="6882">SUM(AE10307:AH10307)</f>
        <v>0</v>
      </c>
      <c r="AK10307" s="169">
        <v>5</v>
      </c>
      <c r="AO10307" s="19" t="s">
        <v>63</v>
      </c>
    </row>
    <row r="10308" spans="1:41" s="103" customFormat="1" ht="19.899999999999999" customHeight="1" x14ac:dyDescent="0.25">
      <c r="A10308" s="51"/>
      <c r="B10308" s="52"/>
      <c r="C10308" s="165"/>
      <c r="D10308" s="52"/>
      <c r="E10308" s="115"/>
      <c r="F10308" s="58"/>
      <c r="G10308" s="58"/>
      <c r="H10308" s="58"/>
      <c r="I10308" s="55"/>
      <c r="J10308" s="113">
        <f>J10307</f>
        <v>1</v>
      </c>
      <c r="K10308" s="212">
        <f>K10307</f>
        <v>1</v>
      </c>
      <c r="L10308" s="58"/>
      <c r="M10308" s="58">
        <f>K10308-L10308</f>
        <v>1</v>
      </c>
      <c r="N10308" s="166"/>
      <c r="O10308" s="58"/>
      <c r="P10308" s="58"/>
      <c r="Q10308" s="58"/>
      <c r="R10308" s="58"/>
      <c r="S10308" s="58"/>
      <c r="T10308" s="220"/>
      <c r="U10308" s="88"/>
      <c r="V10308" s="56"/>
      <c r="W10308" s="57" t="s">
        <v>1706</v>
      </c>
      <c r="X10308" s="53"/>
      <c r="Y10308" s="91" t="s">
        <v>35</v>
      </c>
      <c r="Z10308" s="136">
        <f>AD10308/AC10308</f>
        <v>6261</v>
      </c>
      <c r="AA10308" s="58"/>
      <c r="AB10308" s="53">
        <f>AD10308/AC10308</f>
        <v>6261</v>
      </c>
      <c r="AC10308" s="53">
        <f>M10308+$AE$10</f>
        <v>1</v>
      </c>
      <c r="AD10308" s="54">
        <f>SUM(AD10309:AD10311)</f>
        <v>6261</v>
      </c>
      <c r="AE10308" s="184">
        <f>SUMIFS($AD$37:$AD$12971,$V$37:$V$12971,$V10308,$X$37:$X$12971,AE$13)</f>
        <v>0</v>
      </c>
      <c r="AF10308" s="185">
        <f>SUMIFS($AD$37:$AD$12971,$V$37:$V$12971,$V10308,$X$37:$X$12971,AF$13)</f>
        <v>0</v>
      </c>
      <c r="AG10308" s="185">
        <f>SUMIFS($AD$37:$AD$12971,$V$37:$V$12971,$V10308,$X$37:$X$12971,AG$13)</f>
        <v>0</v>
      </c>
      <c r="AH10308" s="187">
        <f>SUMIFS($AD$37:$AD$12971,$V$37:$V$12971,$V10308,$X$37:$X$12971,AH$13)</f>
        <v>0</v>
      </c>
      <c r="AI10308" s="161">
        <f t="shared" ref="AI10308" si="6883">SUM(AE10308:AH10308)</f>
        <v>0</v>
      </c>
      <c r="AK10308" s="172"/>
    </row>
    <row r="10309" spans="1:41" s="102" customFormat="1" ht="19.899999999999999" customHeight="1" x14ac:dyDescent="0.25">
      <c r="A10309" s="45"/>
      <c r="B10309" s="59"/>
      <c r="C10309" s="137"/>
      <c r="D10309" s="59"/>
      <c r="E10309" s="116"/>
      <c r="F10309" s="120"/>
      <c r="G10309" s="120"/>
      <c r="H10309" s="120"/>
      <c r="I10309" s="60"/>
      <c r="J10309" s="116"/>
      <c r="K10309" s="213"/>
      <c r="L10309" s="120"/>
      <c r="M10309" s="120"/>
      <c r="N10309" s="167"/>
      <c r="O10309" s="120"/>
      <c r="P10309" s="120"/>
      <c r="Q10309" s="120"/>
      <c r="R10309" s="120"/>
      <c r="S10309" s="120"/>
      <c r="T10309" s="221"/>
      <c r="U10309" s="89"/>
      <c r="V10309" s="61"/>
      <c r="W10309" s="92" t="s">
        <v>1105</v>
      </c>
      <c r="X10309" s="93" t="s">
        <v>30</v>
      </c>
      <c r="Y10309" s="93" t="s">
        <v>66</v>
      </c>
      <c r="Z10309" s="134">
        <f>VLOOKUP(W10309,Sheet2!$B:$D,3,FALSE)</f>
        <v>2200</v>
      </c>
      <c r="AA10309" s="93">
        <f>1/2.8</f>
        <v>0.35714285714285715</v>
      </c>
      <c r="AB10309" s="93">
        <f>AD10309/AC10308</f>
        <v>6160</v>
      </c>
      <c r="AC10309" s="93">
        <f>AC10308/AA10309</f>
        <v>2.8</v>
      </c>
      <c r="AD10309" s="94">
        <f t="shared" ref="AD10309:AD10310" si="6884">AC10309*Z10309</f>
        <v>6160</v>
      </c>
      <c r="AE10309" s="190"/>
      <c r="AF10309" s="191"/>
      <c r="AG10309" s="191"/>
      <c r="AH10309" s="191"/>
      <c r="AI10309" s="186"/>
      <c r="AK10309" s="171"/>
    </row>
    <row r="10310" spans="1:41" s="102" customFormat="1" ht="19.899999999999999" customHeight="1" x14ac:dyDescent="0.25">
      <c r="A10310" s="45"/>
      <c r="B10310" s="59"/>
      <c r="C10310" s="137"/>
      <c r="D10310" s="59"/>
      <c r="E10310" s="116"/>
      <c r="F10310" s="120"/>
      <c r="G10310" s="120"/>
      <c r="H10310" s="120"/>
      <c r="I10310" s="60"/>
      <c r="J10310" s="116"/>
      <c r="K10310" s="213"/>
      <c r="L10310" s="120"/>
      <c r="M10310" s="120"/>
      <c r="N10310" s="167"/>
      <c r="O10310" s="120"/>
      <c r="P10310" s="120"/>
      <c r="Q10310" s="120"/>
      <c r="R10310" s="120"/>
      <c r="S10310" s="120"/>
      <c r="T10310" s="221"/>
      <c r="U10310" s="89"/>
      <c r="V10310" s="61"/>
      <c r="W10310" s="92" t="s">
        <v>174</v>
      </c>
      <c r="X10310" s="93" t="s">
        <v>29</v>
      </c>
      <c r="Y10310" s="93" t="s">
        <v>93</v>
      </c>
      <c r="Z10310" s="134">
        <f>VLOOKUP(W10310,Sheet2!$B:$D,3,FALSE)</f>
        <v>80</v>
      </c>
      <c r="AA10310" s="93">
        <v>5</v>
      </c>
      <c r="AB10310" s="93">
        <f>AD10310/AC10308</f>
        <v>16</v>
      </c>
      <c r="AC10310" s="93">
        <f>AC10308/AA10310</f>
        <v>0.2</v>
      </c>
      <c r="AD10310" s="94">
        <f t="shared" si="6884"/>
        <v>16</v>
      </c>
      <c r="AE10310" s="190"/>
      <c r="AF10310" s="191"/>
      <c r="AG10310" s="191"/>
      <c r="AH10310" s="191"/>
      <c r="AI10310" s="186"/>
      <c r="AK10310" s="171"/>
    </row>
    <row r="10311" spans="1:41" s="102" customFormat="1" ht="19.899999999999999" customHeight="1" x14ac:dyDescent="0.25">
      <c r="A10311" s="45"/>
      <c r="B10311" s="59"/>
      <c r="C10311" s="137"/>
      <c r="D10311" s="59"/>
      <c r="E10311" s="116"/>
      <c r="F10311" s="120"/>
      <c r="G10311" s="120"/>
      <c r="H10311" s="120"/>
      <c r="I10311" s="60"/>
      <c r="J10311" s="116"/>
      <c r="K10311" s="213"/>
      <c r="L10311" s="120"/>
      <c r="M10311" s="120"/>
      <c r="N10311" s="167"/>
      <c r="O10311" s="120"/>
      <c r="P10311" s="120"/>
      <c r="Q10311" s="120"/>
      <c r="R10311" s="120"/>
      <c r="S10311" s="120"/>
      <c r="T10311" s="221"/>
      <c r="U10311" s="89"/>
      <c r="V10311" s="61"/>
      <c r="W10311" s="92" t="s">
        <v>107</v>
      </c>
      <c r="X10311" s="93" t="s">
        <v>31</v>
      </c>
      <c r="Y10311" s="93" t="s">
        <v>93</v>
      </c>
      <c r="Z10311" s="134">
        <f>VLOOKUP(W10311,Sheet2!$B:$D,3,FALSE)</f>
        <v>17</v>
      </c>
      <c r="AA10311" s="93">
        <f>1/5</f>
        <v>0.2</v>
      </c>
      <c r="AB10311" s="93">
        <f>AD10311/AC10308</f>
        <v>85</v>
      </c>
      <c r="AC10311" s="93">
        <f>AC10308/AA10311</f>
        <v>5</v>
      </c>
      <c r="AD10311" s="94">
        <f>AC10311*Z10311</f>
        <v>85</v>
      </c>
      <c r="AE10311" s="190"/>
      <c r="AF10311" s="191"/>
      <c r="AG10311" s="191"/>
      <c r="AH10311" s="191"/>
      <c r="AI10311" s="186"/>
      <c r="AK10311" s="171"/>
    </row>
    <row r="10312" spans="1:41" ht="20.100000000000001" customHeight="1" x14ac:dyDescent="0.25">
      <c r="A10312" s="277" t="s">
        <v>945</v>
      </c>
      <c r="B10312" s="278"/>
      <c r="C10312" s="64" t="s">
        <v>1705</v>
      </c>
      <c r="D10312" s="46" t="s">
        <v>215</v>
      </c>
      <c r="E10312" s="114">
        <v>1</v>
      </c>
      <c r="F10312" s="44">
        <v>282</v>
      </c>
      <c r="G10312" s="44">
        <f t="shared" si="6741"/>
        <v>282</v>
      </c>
      <c r="H10312" s="44">
        <f t="shared" si="6742"/>
        <v>5821</v>
      </c>
      <c r="I10312" s="43">
        <f t="shared" si="6743"/>
        <v>5821</v>
      </c>
      <c r="J10312" s="112">
        <f t="shared" si="6744"/>
        <v>1</v>
      </c>
      <c r="K10312" s="211">
        <f t="shared" si="6745"/>
        <v>1</v>
      </c>
      <c r="L10312" s="44"/>
      <c r="M10312" s="44">
        <f t="shared" si="6755"/>
        <v>1</v>
      </c>
      <c r="N10312" s="173">
        <f t="shared" si="6746"/>
        <v>1</v>
      </c>
      <c r="O10312" s="44">
        <f t="shared" si="6747"/>
        <v>282</v>
      </c>
      <c r="P10312" s="44">
        <f t="shared" si="6748"/>
        <v>282</v>
      </c>
      <c r="Q10312" s="44">
        <f t="shared" si="6749"/>
        <v>5821</v>
      </c>
      <c r="R10312" s="44">
        <f t="shared" si="6756"/>
        <v>5821</v>
      </c>
      <c r="S10312" s="123"/>
      <c r="T10312" s="219">
        <f t="shared" si="6757"/>
        <v>5821</v>
      </c>
      <c r="U10312" s="87"/>
      <c r="V10312" s="47"/>
      <c r="W10312" s="48"/>
      <c r="X10312" s="48"/>
      <c r="Y10312" s="48"/>
      <c r="Z10312" s="135"/>
      <c r="AA10312" s="49"/>
      <c r="AB10312" s="50">
        <f t="shared" si="6750"/>
        <v>5821</v>
      </c>
      <c r="AC10312" s="42">
        <f t="shared" si="6758"/>
        <v>1</v>
      </c>
      <c r="AD10312" s="90">
        <f>AD10313</f>
        <v>5821</v>
      </c>
      <c r="AE10312" s="188">
        <f t="shared" ref="AE10312" si="6885">AE10313</f>
        <v>0</v>
      </c>
      <c r="AF10312" s="189">
        <f t="shared" ref="AF10312" si="6886">AF10313</f>
        <v>0</v>
      </c>
      <c r="AG10312" s="189">
        <f t="shared" ref="AG10312" si="6887">AG10313</f>
        <v>0</v>
      </c>
      <c r="AH10312" s="189">
        <f t="shared" ref="AH10312" si="6888">AH10313</f>
        <v>0</v>
      </c>
      <c r="AI10312" s="161">
        <f t="shared" ref="AI10312" si="6889">SUM(AE10312:AH10312)</f>
        <v>0</v>
      </c>
      <c r="AK10312" s="169">
        <v>5</v>
      </c>
      <c r="AO10312" s="19" t="s">
        <v>63</v>
      </c>
    </row>
    <row r="10313" spans="1:41" s="103" customFormat="1" ht="19.899999999999999" customHeight="1" x14ac:dyDescent="0.25">
      <c r="A10313" s="51"/>
      <c r="B10313" s="52"/>
      <c r="C10313" s="165"/>
      <c r="D10313" s="52"/>
      <c r="E10313" s="115"/>
      <c r="F10313" s="58"/>
      <c r="G10313" s="58"/>
      <c r="H10313" s="58"/>
      <c r="I10313" s="55"/>
      <c r="J10313" s="113">
        <f>J10312</f>
        <v>1</v>
      </c>
      <c r="K10313" s="212">
        <f>K10312</f>
        <v>1</v>
      </c>
      <c r="L10313" s="58"/>
      <c r="M10313" s="58">
        <f>K10313-L10313</f>
        <v>1</v>
      </c>
      <c r="N10313" s="166"/>
      <c r="O10313" s="58"/>
      <c r="P10313" s="58"/>
      <c r="Q10313" s="58"/>
      <c r="R10313" s="58"/>
      <c r="S10313" s="58"/>
      <c r="T10313" s="220"/>
      <c r="U10313" s="88"/>
      <c r="V10313" s="56"/>
      <c r="W10313" s="57" t="s">
        <v>1706</v>
      </c>
      <c r="X10313" s="53"/>
      <c r="Y10313" s="91" t="s">
        <v>35</v>
      </c>
      <c r="Z10313" s="136">
        <f>AD10313/AC10313</f>
        <v>5821</v>
      </c>
      <c r="AA10313" s="58"/>
      <c r="AB10313" s="53">
        <f>AD10313/AC10313</f>
        <v>5821</v>
      </c>
      <c r="AC10313" s="53">
        <f>M10313+$AE$10</f>
        <v>1</v>
      </c>
      <c r="AD10313" s="54">
        <f>SUM(AD10314:AD10316)</f>
        <v>5821</v>
      </c>
      <c r="AE10313" s="184">
        <f>SUMIFS($AD$37:$AD$12971,$V$37:$V$12971,$V10313,$X$37:$X$12971,AE$13)</f>
        <v>0</v>
      </c>
      <c r="AF10313" s="185">
        <f>SUMIFS($AD$37:$AD$12971,$V$37:$V$12971,$V10313,$X$37:$X$12971,AF$13)</f>
        <v>0</v>
      </c>
      <c r="AG10313" s="185">
        <f>SUMIFS($AD$37:$AD$12971,$V$37:$V$12971,$V10313,$X$37:$X$12971,AG$13)</f>
        <v>0</v>
      </c>
      <c r="AH10313" s="187">
        <f>SUMIFS($AD$37:$AD$12971,$V$37:$V$12971,$V10313,$X$37:$X$12971,AH$13)</f>
        <v>0</v>
      </c>
      <c r="AI10313" s="161">
        <f t="shared" ref="AI10313" si="6890">SUM(AE10313:AH10313)</f>
        <v>0</v>
      </c>
      <c r="AK10313" s="172"/>
    </row>
    <row r="10314" spans="1:41" s="102" customFormat="1" ht="19.899999999999999" customHeight="1" x14ac:dyDescent="0.25">
      <c r="A10314" s="45"/>
      <c r="B10314" s="59"/>
      <c r="C10314" s="137"/>
      <c r="D10314" s="59"/>
      <c r="E10314" s="116"/>
      <c r="F10314" s="120"/>
      <c r="G10314" s="120"/>
      <c r="H10314" s="120"/>
      <c r="I10314" s="60"/>
      <c r="J10314" s="116"/>
      <c r="K10314" s="213"/>
      <c r="L10314" s="120"/>
      <c r="M10314" s="120"/>
      <c r="N10314" s="167"/>
      <c r="O10314" s="120"/>
      <c r="P10314" s="120"/>
      <c r="Q10314" s="120"/>
      <c r="R10314" s="120"/>
      <c r="S10314" s="120"/>
      <c r="T10314" s="221"/>
      <c r="U10314" s="89"/>
      <c r="V10314" s="61"/>
      <c r="W10314" s="92" t="s">
        <v>1105</v>
      </c>
      <c r="X10314" s="93" t="s">
        <v>30</v>
      </c>
      <c r="Y10314" s="93" t="s">
        <v>66</v>
      </c>
      <c r="Z10314" s="134">
        <f>VLOOKUP(W10314,Sheet2!$B:$D,3,FALSE)</f>
        <v>2200</v>
      </c>
      <c r="AA10314" s="93">
        <f>1/2.6</f>
        <v>0.38461538461538458</v>
      </c>
      <c r="AB10314" s="93">
        <f>AD10314/AC10313</f>
        <v>5720</v>
      </c>
      <c r="AC10314" s="93">
        <f>AC10313/AA10314</f>
        <v>2.6</v>
      </c>
      <c r="AD10314" s="94">
        <f t="shared" ref="AD10314:AD10315" si="6891">AC10314*Z10314</f>
        <v>5720</v>
      </c>
      <c r="AE10314" s="190"/>
      <c r="AF10314" s="191"/>
      <c r="AG10314" s="191"/>
      <c r="AH10314" s="191"/>
      <c r="AI10314" s="186"/>
      <c r="AK10314" s="171"/>
    </row>
    <row r="10315" spans="1:41" s="102" customFormat="1" ht="19.899999999999999" customHeight="1" x14ac:dyDescent="0.25">
      <c r="A10315" s="45"/>
      <c r="B10315" s="59"/>
      <c r="C10315" s="137"/>
      <c r="D10315" s="59"/>
      <c r="E10315" s="116"/>
      <c r="F10315" s="120"/>
      <c r="G10315" s="120"/>
      <c r="H10315" s="120"/>
      <c r="I10315" s="60"/>
      <c r="J10315" s="116"/>
      <c r="K10315" s="213"/>
      <c r="L10315" s="120"/>
      <c r="M10315" s="120"/>
      <c r="N10315" s="167"/>
      <c r="O10315" s="120"/>
      <c r="P10315" s="120"/>
      <c r="Q10315" s="120"/>
      <c r="R10315" s="120"/>
      <c r="S10315" s="120"/>
      <c r="T10315" s="221"/>
      <c r="U10315" s="89"/>
      <c r="V10315" s="61"/>
      <c r="W10315" s="92" t="s">
        <v>174</v>
      </c>
      <c r="X10315" s="93" t="s">
        <v>29</v>
      </c>
      <c r="Y10315" s="93" t="s">
        <v>93</v>
      </c>
      <c r="Z10315" s="134">
        <f>VLOOKUP(W10315,Sheet2!$B:$D,3,FALSE)</f>
        <v>80</v>
      </c>
      <c r="AA10315" s="93">
        <v>5</v>
      </c>
      <c r="AB10315" s="93">
        <f>AD10315/AC10313</f>
        <v>16</v>
      </c>
      <c r="AC10315" s="93">
        <f>AC10313/AA10315</f>
        <v>0.2</v>
      </c>
      <c r="AD10315" s="94">
        <f t="shared" si="6891"/>
        <v>16</v>
      </c>
      <c r="AE10315" s="190"/>
      <c r="AF10315" s="191"/>
      <c r="AG10315" s="191"/>
      <c r="AH10315" s="191"/>
      <c r="AI10315" s="186"/>
      <c r="AK10315" s="171"/>
    </row>
    <row r="10316" spans="1:41" s="102" customFormat="1" ht="19.899999999999999" customHeight="1" x14ac:dyDescent="0.25">
      <c r="A10316" s="45"/>
      <c r="B10316" s="59"/>
      <c r="C10316" s="137"/>
      <c r="D10316" s="59"/>
      <c r="E10316" s="116"/>
      <c r="F10316" s="120"/>
      <c r="G10316" s="120"/>
      <c r="H10316" s="120"/>
      <c r="I10316" s="60"/>
      <c r="J10316" s="116"/>
      <c r="K10316" s="213"/>
      <c r="L10316" s="120"/>
      <c r="M10316" s="120"/>
      <c r="N10316" s="167"/>
      <c r="O10316" s="120"/>
      <c r="P10316" s="120"/>
      <c r="Q10316" s="120"/>
      <c r="R10316" s="120"/>
      <c r="S10316" s="120"/>
      <c r="T10316" s="221"/>
      <c r="U10316" s="89"/>
      <c r="V10316" s="61"/>
      <c r="W10316" s="92" t="s">
        <v>107</v>
      </c>
      <c r="X10316" s="93" t="s">
        <v>31</v>
      </c>
      <c r="Y10316" s="93" t="s">
        <v>93</v>
      </c>
      <c r="Z10316" s="134">
        <f>VLOOKUP(W10316,Sheet2!$B:$D,3,FALSE)</f>
        <v>17</v>
      </c>
      <c r="AA10316" s="93">
        <f>1/5</f>
        <v>0.2</v>
      </c>
      <c r="AB10316" s="93">
        <f>AD10316/AC10313</f>
        <v>85</v>
      </c>
      <c r="AC10316" s="93">
        <f>AC10313/AA10316</f>
        <v>5</v>
      </c>
      <c r="AD10316" s="94">
        <f>AC10316*Z10316</f>
        <v>85</v>
      </c>
      <c r="AE10316" s="190"/>
      <c r="AF10316" s="191"/>
      <c r="AG10316" s="191"/>
      <c r="AH10316" s="191"/>
      <c r="AI10316" s="186"/>
      <c r="AK10316" s="171"/>
    </row>
    <row r="10317" spans="1:41" ht="38.25" x14ac:dyDescent="0.25">
      <c r="A10317" s="277" t="s">
        <v>945</v>
      </c>
      <c r="B10317" s="278"/>
      <c r="C10317" s="64" t="s">
        <v>393</v>
      </c>
      <c r="D10317" s="46" t="s">
        <v>201</v>
      </c>
      <c r="E10317" s="114">
        <v>1</v>
      </c>
      <c r="F10317" s="44">
        <v>101</v>
      </c>
      <c r="G10317" s="44">
        <f t="shared" si="6741"/>
        <v>101</v>
      </c>
      <c r="H10317" s="44">
        <f t="shared" si="6742"/>
        <v>30.657992156862747</v>
      </c>
      <c r="I10317" s="43">
        <f t="shared" si="6743"/>
        <v>30.657992156862747</v>
      </c>
      <c r="J10317" s="112">
        <f t="shared" si="6744"/>
        <v>1</v>
      </c>
      <c r="K10317" s="211">
        <f t="shared" si="6745"/>
        <v>1</v>
      </c>
      <c r="L10317" s="44"/>
      <c r="M10317" s="44">
        <f t="shared" si="6755"/>
        <v>1</v>
      </c>
      <c r="N10317" s="173">
        <f t="shared" si="6746"/>
        <v>1</v>
      </c>
      <c r="O10317" s="44">
        <f t="shared" si="6747"/>
        <v>101</v>
      </c>
      <c r="P10317" s="44">
        <f t="shared" si="6748"/>
        <v>101</v>
      </c>
      <c r="Q10317" s="44">
        <f t="shared" si="6749"/>
        <v>30.657992156862747</v>
      </c>
      <c r="R10317" s="44">
        <f t="shared" si="6756"/>
        <v>30.657992156862747</v>
      </c>
      <c r="S10317" s="123"/>
      <c r="T10317" s="219">
        <f t="shared" si="6757"/>
        <v>30.657992156862747</v>
      </c>
      <c r="U10317" s="87"/>
      <c r="V10317" s="47"/>
      <c r="W10317" s="48"/>
      <c r="X10317" s="48"/>
      <c r="Y10317" s="48"/>
      <c r="Z10317" s="135"/>
      <c r="AA10317" s="49"/>
      <c r="AB10317" s="50">
        <f t="shared" si="6750"/>
        <v>30.657992156862747</v>
      </c>
      <c r="AC10317" s="42">
        <f t="shared" si="6758"/>
        <v>1</v>
      </c>
      <c r="AD10317" s="90">
        <f>AD10318+AD10325</f>
        <v>30.657992156862747</v>
      </c>
      <c r="AE10317" s="188">
        <f t="shared" ref="AE10317:AH10317" si="6892">AE10318+AE10325</f>
        <v>0</v>
      </c>
      <c r="AF10317" s="189">
        <f t="shared" si="6892"/>
        <v>0</v>
      </c>
      <c r="AG10317" s="189">
        <f t="shared" si="6892"/>
        <v>0</v>
      </c>
      <c r="AH10317" s="189">
        <f t="shared" si="6892"/>
        <v>0</v>
      </c>
      <c r="AI10317" s="161">
        <f t="shared" ref="AI10317" si="6893">SUM(AE10317:AH10317)</f>
        <v>0</v>
      </c>
      <c r="AK10317" s="169">
        <v>5</v>
      </c>
      <c r="AO10317" s="19" t="s">
        <v>63</v>
      </c>
    </row>
    <row r="10318" spans="1:41" s="103" customFormat="1" ht="19.899999999999999" customHeight="1" x14ac:dyDescent="0.25">
      <c r="A10318" s="51"/>
      <c r="B10318" s="52"/>
      <c r="C10318" s="165"/>
      <c r="D10318" s="52"/>
      <c r="E10318" s="115"/>
      <c r="F10318" s="58"/>
      <c r="G10318" s="58"/>
      <c r="H10318" s="58"/>
      <c r="I10318" s="55"/>
      <c r="J10318" s="113">
        <f>J10317</f>
        <v>1</v>
      </c>
      <c r="K10318" s="212">
        <f>K10317</f>
        <v>1</v>
      </c>
      <c r="L10318" s="58"/>
      <c r="M10318" s="58">
        <f>K10318-L10318</f>
        <v>1</v>
      </c>
      <c r="N10318" s="166"/>
      <c r="O10318" s="58"/>
      <c r="P10318" s="58"/>
      <c r="Q10318" s="58"/>
      <c r="R10318" s="58"/>
      <c r="S10318" s="58"/>
      <c r="T10318" s="220"/>
      <c r="U10318" s="88"/>
      <c r="V10318" s="56"/>
      <c r="W10318" s="57" t="s">
        <v>1379</v>
      </c>
      <c r="X10318" s="53"/>
      <c r="Y10318" s="91" t="s">
        <v>66</v>
      </c>
      <c r="Z10318" s="136">
        <f>AD10318/AC10318</f>
        <v>22.355262745098042</v>
      </c>
      <c r="AA10318" s="58"/>
      <c r="AB10318" s="53">
        <f>AD10318/AC10318</f>
        <v>22.355262745098042</v>
      </c>
      <c r="AC10318" s="53">
        <f>M10318+$AE$10</f>
        <v>1</v>
      </c>
      <c r="AD10318" s="54">
        <f>SUM(AD10319:AD10324)</f>
        <v>22.355262745098042</v>
      </c>
      <c r="AE10318" s="184">
        <f>SUMIFS($AD$37:$AD$12971,$V$37:$V$12971,$V10318,$X$37:$X$12971,AE$13)</f>
        <v>0</v>
      </c>
      <c r="AF10318" s="185">
        <f>SUMIFS($AD$37:$AD$12971,$V$37:$V$12971,$V10318,$X$37:$X$12971,AF$13)</f>
        <v>0</v>
      </c>
      <c r="AG10318" s="185">
        <f>SUMIFS($AD$37:$AD$12971,$V$37:$V$12971,$V10318,$X$37:$X$12971,AG$13)</f>
        <v>0</v>
      </c>
      <c r="AH10318" s="187">
        <f>SUMIFS($AD$37:$AD$12971,$V$37:$V$12971,$V10318,$X$37:$X$12971,AH$13)</f>
        <v>0</v>
      </c>
      <c r="AI10318" s="161">
        <f t="shared" ref="AI10318" si="6894">SUM(AE10318:AH10318)</f>
        <v>0</v>
      </c>
      <c r="AK10318" s="172"/>
    </row>
    <row r="10319" spans="1:41" s="102" customFormat="1" ht="19.899999999999999" customHeight="1" x14ac:dyDescent="0.25">
      <c r="A10319" s="45"/>
      <c r="B10319" s="59"/>
      <c r="C10319" s="137"/>
      <c r="D10319" s="59"/>
      <c r="E10319" s="116"/>
      <c r="F10319" s="120"/>
      <c r="G10319" s="120"/>
      <c r="H10319" s="120"/>
      <c r="I10319" s="60"/>
      <c r="J10319" s="116"/>
      <c r="K10319" s="213"/>
      <c r="L10319" s="120"/>
      <c r="M10319" s="120"/>
      <c r="N10319" s="167"/>
      <c r="O10319" s="120"/>
      <c r="P10319" s="120"/>
      <c r="Q10319" s="120"/>
      <c r="R10319" s="120"/>
      <c r="S10319" s="120"/>
      <c r="T10319" s="221"/>
      <c r="U10319" s="89"/>
      <c r="V10319" s="61"/>
      <c r="W10319" s="92" t="s">
        <v>110</v>
      </c>
      <c r="X10319" s="93" t="s">
        <v>29</v>
      </c>
      <c r="Y10319" s="93" t="s">
        <v>93</v>
      </c>
      <c r="Z10319" s="134">
        <f>VLOOKUP(W10319,Sheet2!$B:$D,3,FALSE)</f>
        <v>150.4</v>
      </c>
      <c r="AA10319" s="93">
        <v>15</v>
      </c>
      <c r="AB10319" s="93">
        <f>AD10319/AC10318</f>
        <v>10.026666666666667</v>
      </c>
      <c r="AC10319" s="93">
        <f>AC10318/AA10319</f>
        <v>6.6666666666666666E-2</v>
      </c>
      <c r="AD10319" s="94">
        <f t="shared" ref="AD10319:AD10322" si="6895">AC10319*Z10319</f>
        <v>10.026666666666667</v>
      </c>
      <c r="AE10319" s="190"/>
      <c r="AF10319" s="191"/>
      <c r="AG10319" s="191"/>
      <c r="AH10319" s="191"/>
      <c r="AI10319" s="186"/>
      <c r="AK10319" s="171"/>
    </row>
    <row r="10320" spans="1:41" s="102" customFormat="1" ht="19.899999999999999" customHeight="1" x14ac:dyDescent="0.25">
      <c r="A10320" s="45"/>
      <c r="B10320" s="59"/>
      <c r="C10320" s="137"/>
      <c r="D10320" s="59"/>
      <c r="E10320" s="116"/>
      <c r="F10320" s="120"/>
      <c r="G10320" s="120"/>
      <c r="H10320" s="120"/>
      <c r="I10320" s="60"/>
      <c r="J10320" s="116"/>
      <c r="K10320" s="213"/>
      <c r="L10320" s="120"/>
      <c r="M10320" s="120"/>
      <c r="N10320" s="167"/>
      <c r="O10320" s="120"/>
      <c r="P10320" s="120"/>
      <c r="Q10320" s="120"/>
      <c r="R10320" s="120"/>
      <c r="S10320" s="120"/>
      <c r="T10320" s="221"/>
      <c r="U10320" s="89"/>
      <c r="V10320" s="61"/>
      <c r="W10320" s="92" t="s">
        <v>65</v>
      </c>
      <c r="X10320" s="93" t="s">
        <v>30</v>
      </c>
      <c r="Y10320" s="93" t="s">
        <v>1011</v>
      </c>
      <c r="Z10320" s="134">
        <f>VLOOKUP(W10320,Sheet2!$B:$D,3,FALSE)</f>
        <v>1.76</v>
      </c>
      <c r="AA10320" s="93">
        <f>AA10319/32</f>
        <v>0.46875</v>
      </c>
      <c r="AB10320" s="93">
        <f>AD10320/AC10318</f>
        <v>3.7546666666666666</v>
      </c>
      <c r="AC10320" s="93">
        <f>AC10318/AA10320</f>
        <v>2.1333333333333333</v>
      </c>
      <c r="AD10320" s="94">
        <f t="shared" si="6895"/>
        <v>3.7546666666666666</v>
      </c>
      <c r="AE10320" s="190"/>
      <c r="AF10320" s="191"/>
      <c r="AG10320" s="191"/>
      <c r="AH10320" s="191"/>
      <c r="AI10320" s="186"/>
      <c r="AK10320" s="171"/>
    </row>
    <row r="10321" spans="1:37" s="102" customFormat="1" ht="19.899999999999999" customHeight="1" x14ac:dyDescent="0.25">
      <c r="A10321" s="45"/>
      <c r="B10321" s="59"/>
      <c r="C10321" s="137"/>
      <c r="D10321" s="59"/>
      <c r="E10321" s="116"/>
      <c r="F10321" s="120"/>
      <c r="G10321" s="120"/>
      <c r="H10321" s="120"/>
      <c r="I10321" s="60"/>
      <c r="J10321" s="116"/>
      <c r="K10321" s="213"/>
      <c r="L10321" s="120"/>
      <c r="M10321" s="120"/>
      <c r="N10321" s="167"/>
      <c r="O10321" s="120"/>
      <c r="P10321" s="120"/>
      <c r="Q10321" s="120"/>
      <c r="R10321" s="120"/>
      <c r="S10321" s="120"/>
      <c r="T10321" s="221"/>
      <c r="U10321" s="89"/>
      <c r="V10321" s="61"/>
      <c r="W10321" s="92" t="s">
        <v>131</v>
      </c>
      <c r="X10321" s="93" t="s">
        <v>29</v>
      </c>
      <c r="Y10321" s="93" t="s">
        <v>93</v>
      </c>
      <c r="Z10321" s="134">
        <f>VLOOKUP(W10321,Sheet2!$B:$D,3,FALSE)</f>
        <v>131.19999999999999</v>
      </c>
      <c r="AA10321" s="93">
        <v>50</v>
      </c>
      <c r="AB10321" s="93">
        <f t="shared" ref="AB10321" si="6896">AD10321/AC10318</f>
        <v>2.6239999999999997</v>
      </c>
      <c r="AC10321" s="93">
        <f>AC10318/AA10321</f>
        <v>0.02</v>
      </c>
      <c r="AD10321" s="94">
        <f t="shared" si="6895"/>
        <v>2.6239999999999997</v>
      </c>
      <c r="AE10321" s="190"/>
      <c r="AF10321" s="191"/>
      <c r="AG10321" s="191"/>
      <c r="AH10321" s="191"/>
      <c r="AI10321" s="186"/>
      <c r="AK10321" s="171"/>
    </row>
    <row r="10322" spans="1:37" s="102" customFormat="1" ht="19.899999999999999" customHeight="1" x14ac:dyDescent="0.25">
      <c r="A10322" s="45"/>
      <c r="B10322" s="59"/>
      <c r="C10322" s="137"/>
      <c r="D10322" s="59"/>
      <c r="E10322" s="116"/>
      <c r="F10322" s="120"/>
      <c r="G10322" s="120"/>
      <c r="H10322" s="120"/>
      <c r="I10322" s="60"/>
      <c r="J10322" s="116"/>
      <c r="K10322" s="213"/>
      <c r="L10322" s="120"/>
      <c r="M10322" s="120"/>
      <c r="N10322" s="167"/>
      <c r="O10322" s="120"/>
      <c r="P10322" s="120"/>
      <c r="Q10322" s="120"/>
      <c r="R10322" s="120"/>
      <c r="S10322" s="120"/>
      <c r="T10322" s="221"/>
      <c r="U10322" s="89"/>
      <c r="V10322" s="61"/>
      <c r="W10322" s="92" t="s">
        <v>65</v>
      </c>
      <c r="X10322" s="93" t="s">
        <v>30</v>
      </c>
      <c r="Y10322" s="93" t="s">
        <v>1011</v>
      </c>
      <c r="Z10322" s="134">
        <f>VLOOKUP(W10322,Sheet2!$B:$D,3,FALSE)</f>
        <v>1.76</v>
      </c>
      <c r="AA10322" s="93">
        <f>AA10321/32</f>
        <v>1.5625</v>
      </c>
      <c r="AB10322" s="93">
        <f>AD10322/AC10318</f>
        <v>1.1264000000000001</v>
      </c>
      <c r="AC10322" s="93">
        <f>AC10318/AA10322</f>
        <v>0.64</v>
      </c>
      <c r="AD10322" s="94">
        <f t="shared" si="6895"/>
        <v>1.1264000000000001</v>
      </c>
      <c r="AE10322" s="190"/>
      <c r="AF10322" s="191"/>
      <c r="AG10322" s="191"/>
      <c r="AH10322" s="191"/>
      <c r="AI10322" s="186"/>
      <c r="AK10322" s="171"/>
    </row>
    <row r="10323" spans="1:37" s="102" customFormat="1" ht="19.899999999999999" customHeight="1" x14ac:dyDescent="0.25">
      <c r="A10323" s="45"/>
      <c r="B10323" s="59"/>
      <c r="C10323" s="137"/>
      <c r="D10323" s="59"/>
      <c r="E10323" s="116"/>
      <c r="F10323" s="120"/>
      <c r="G10323" s="120"/>
      <c r="H10323" s="120"/>
      <c r="I10323" s="60"/>
      <c r="J10323" s="116"/>
      <c r="K10323" s="213"/>
      <c r="L10323" s="120"/>
      <c r="M10323" s="120"/>
      <c r="N10323" s="167"/>
      <c r="O10323" s="120"/>
      <c r="P10323" s="120"/>
      <c r="Q10323" s="120"/>
      <c r="R10323" s="120"/>
      <c r="S10323" s="120"/>
      <c r="T10323" s="221"/>
      <c r="U10323" s="89"/>
      <c r="V10323" s="61"/>
      <c r="W10323" s="92" t="s">
        <v>161</v>
      </c>
      <c r="X10323" s="93" t="s">
        <v>29</v>
      </c>
      <c r="Y10323" s="93" t="s">
        <v>93</v>
      </c>
      <c r="Z10323" s="134">
        <f>VLOOKUP(W10323,Sheet2!$B:$D,3,FALSE)</f>
        <v>48</v>
      </c>
      <c r="AA10323" s="93">
        <f>(16*0.85*1)</f>
        <v>13.6</v>
      </c>
      <c r="AB10323" s="93">
        <f>AD10323/AC10318</f>
        <v>3.5294117647058822</v>
      </c>
      <c r="AC10323" s="93">
        <f>AC10318/AA10323</f>
        <v>7.3529411764705885E-2</v>
      </c>
      <c r="AD10323" s="94">
        <f>AC10323*Z10323</f>
        <v>3.5294117647058822</v>
      </c>
      <c r="AE10323" s="190"/>
      <c r="AF10323" s="191"/>
      <c r="AG10323" s="191"/>
      <c r="AH10323" s="191"/>
      <c r="AI10323" s="186"/>
      <c r="AK10323" s="171"/>
    </row>
    <row r="10324" spans="1:37" s="102" customFormat="1" ht="19.899999999999999" customHeight="1" x14ac:dyDescent="0.25">
      <c r="A10324" s="45"/>
      <c r="B10324" s="59"/>
      <c r="C10324" s="137"/>
      <c r="D10324" s="59"/>
      <c r="E10324" s="116"/>
      <c r="F10324" s="120"/>
      <c r="G10324" s="120"/>
      <c r="H10324" s="120"/>
      <c r="I10324" s="60"/>
      <c r="J10324" s="116"/>
      <c r="K10324" s="213"/>
      <c r="L10324" s="120"/>
      <c r="M10324" s="120"/>
      <c r="N10324" s="167"/>
      <c r="O10324" s="120"/>
      <c r="P10324" s="120"/>
      <c r="Q10324" s="120"/>
      <c r="R10324" s="120"/>
      <c r="S10324" s="120"/>
      <c r="T10324" s="221"/>
      <c r="U10324" s="89"/>
      <c r="V10324" s="61"/>
      <c r="W10324" s="92" t="s">
        <v>65</v>
      </c>
      <c r="X10324" s="93" t="s">
        <v>30</v>
      </c>
      <c r="Y10324" s="93" t="s">
        <v>1011</v>
      </c>
      <c r="Z10324" s="134">
        <f>VLOOKUP(W10324,Sheet2!$B:$D,3,FALSE)</f>
        <v>1.76</v>
      </c>
      <c r="AA10324" s="93">
        <f>AA10323/10</f>
        <v>1.3599999999999999</v>
      </c>
      <c r="AB10324" s="93">
        <f>AD10324/AC10318</f>
        <v>1.2941176470588236</v>
      </c>
      <c r="AC10324" s="93">
        <f>AC10318/AA10324</f>
        <v>0.73529411764705888</v>
      </c>
      <c r="AD10324" s="94">
        <f>AC10324*Z10324</f>
        <v>1.2941176470588236</v>
      </c>
      <c r="AE10324" s="190"/>
      <c r="AF10324" s="191"/>
      <c r="AG10324" s="191"/>
      <c r="AH10324" s="191"/>
      <c r="AI10324" s="186"/>
      <c r="AK10324" s="171"/>
    </row>
    <row r="10325" spans="1:37" s="103" customFormat="1" ht="19.899999999999999" customHeight="1" x14ac:dyDescent="0.25">
      <c r="A10325" s="51"/>
      <c r="B10325" s="52"/>
      <c r="C10325" s="165"/>
      <c r="D10325" s="52"/>
      <c r="E10325" s="115"/>
      <c r="F10325" s="58"/>
      <c r="G10325" s="58"/>
      <c r="H10325" s="58"/>
      <c r="I10325" s="55"/>
      <c r="J10325" s="113">
        <f>J10317</f>
        <v>1</v>
      </c>
      <c r="K10325" s="212">
        <f>K10317</f>
        <v>1</v>
      </c>
      <c r="L10325" s="58"/>
      <c r="M10325" s="58">
        <f>K10325-L10325</f>
        <v>1</v>
      </c>
      <c r="N10325" s="166"/>
      <c r="O10325" s="58"/>
      <c r="P10325" s="58"/>
      <c r="Q10325" s="58"/>
      <c r="R10325" s="58"/>
      <c r="S10325" s="58"/>
      <c r="T10325" s="220"/>
      <c r="U10325" s="88"/>
      <c r="V10325" s="56"/>
      <c r="W10325" s="57" t="s">
        <v>1380</v>
      </c>
      <c r="X10325" s="53"/>
      <c r="Y10325" s="91" t="s">
        <v>66</v>
      </c>
      <c r="Z10325" s="136">
        <f>AD10325/AC10325</f>
        <v>8.3027294117647052</v>
      </c>
      <c r="AA10325" s="58"/>
      <c r="AB10325" s="53">
        <f>AD10325/AC10325</f>
        <v>8.3027294117647052</v>
      </c>
      <c r="AC10325" s="53">
        <f>M10325+$AE$10</f>
        <v>1</v>
      </c>
      <c r="AD10325" s="54">
        <f>SUM(AD10326:AD10335)</f>
        <v>8.3027294117647052</v>
      </c>
      <c r="AE10325" s="184">
        <f>SUMIFS($AD$37:$AD$12971,$V$37:$V$12971,$V10325,$X$37:$X$12971,AE$13)</f>
        <v>0</v>
      </c>
      <c r="AF10325" s="185">
        <f>SUMIFS($AD$37:$AD$12971,$V$37:$V$12971,$V10325,$X$37:$X$12971,AF$13)</f>
        <v>0</v>
      </c>
      <c r="AG10325" s="185">
        <f>SUMIFS($AD$37:$AD$12971,$V$37:$V$12971,$V10325,$X$37:$X$12971,AG$13)</f>
        <v>0</v>
      </c>
      <c r="AH10325" s="187">
        <f>SUMIFS($AD$37:$AD$12971,$V$37:$V$12971,$V10325,$X$37:$X$12971,AH$13)</f>
        <v>0</v>
      </c>
      <c r="AI10325" s="161">
        <f t="shared" ref="AI10325" si="6897">SUM(AE10325:AH10325)</f>
        <v>0</v>
      </c>
      <c r="AK10325" s="172"/>
    </row>
    <row r="10326" spans="1:37" s="102" customFormat="1" ht="19.899999999999999" customHeight="1" x14ac:dyDescent="0.25">
      <c r="A10326" s="45"/>
      <c r="B10326" s="59"/>
      <c r="C10326" s="137"/>
      <c r="D10326" s="59"/>
      <c r="E10326" s="116"/>
      <c r="F10326" s="120"/>
      <c r="G10326" s="120"/>
      <c r="H10326" s="120"/>
      <c r="I10326" s="60"/>
      <c r="J10326" s="116"/>
      <c r="K10326" s="213"/>
      <c r="L10326" s="120"/>
      <c r="M10326" s="120"/>
      <c r="N10326" s="167"/>
      <c r="O10326" s="120"/>
      <c r="P10326" s="120"/>
      <c r="Q10326" s="120"/>
      <c r="R10326" s="120"/>
      <c r="S10326" s="120"/>
      <c r="T10326" s="221"/>
      <c r="U10326" s="89"/>
      <c r="V10326" s="61"/>
      <c r="W10326" s="92" t="s">
        <v>134</v>
      </c>
      <c r="X10326" s="93" t="s">
        <v>29</v>
      </c>
      <c r="Y10326" s="93" t="s">
        <v>93</v>
      </c>
      <c r="Z10326" s="134">
        <f>VLOOKUP(W10326,Sheet2!$B:$D,3,FALSE)</f>
        <v>65.599999999999994</v>
      </c>
      <c r="AA10326" s="93">
        <f>100</f>
        <v>100</v>
      </c>
      <c r="AB10326" s="93">
        <f>AD10326/AC10325</f>
        <v>0.65599999999999992</v>
      </c>
      <c r="AC10326" s="93">
        <f>AC10325/AA10326</f>
        <v>0.01</v>
      </c>
      <c r="AD10326" s="94">
        <f t="shared" ref="AD10326:AD10327" si="6898">AC10326*Z10326</f>
        <v>0.65599999999999992</v>
      </c>
      <c r="AE10326" s="190"/>
      <c r="AF10326" s="191"/>
      <c r="AG10326" s="191"/>
      <c r="AH10326" s="191"/>
      <c r="AI10326" s="186"/>
      <c r="AK10326" s="171"/>
    </row>
    <row r="10327" spans="1:37" s="102" customFormat="1" ht="19.899999999999999" customHeight="1" x14ac:dyDescent="0.25">
      <c r="A10327" s="45"/>
      <c r="B10327" s="59"/>
      <c r="C10327" s="137"/>
      <c r="D10327" s="59"/>
      <c r="E10327" s="116"/>
      <c r="F10327" s="120"/>
      <c r="G10327" s="120"/>
      <c r="H10327" s="120"/>
      <c r="I10327" s="60"/>
      <c r="J10327" s="116"/>
      <c r="K10327" s="213"/>
      <c r="L10327" s="120"/>
      <c r="M10327" s="120"/>
      <c r="N10327" s="167"/>
      <c r="O10327" s="120"/>
      <c r="P10327" s="120"/>
      <c r="Q10327" s="120"/>
      <c r="R10327" s="120"/>
      <c r="S10327" s="120"/>
      <c r="T10327" s="221"/>
      <c r="U10327" s="89"/>
      <c r="V10327" s="61"/>
      <c r="W10327" s="92" t="s">
        <v>65</v>
      </c>
      <c r="X10327" s="93" t="s">
        <v>30</v>
      </c>
      <c r="Y10327" s="93" t="s">
        <v>1011</v>
      </c>
      <c r="Z10327" s="134">
        <f>VLOOKUP(W10327,Sheet2!$B:$D,3,FALSE)</f>
        <v>1.76</v>
      </c>
      <c r="AA10327" s="93">
        <f>AA10326/9</f>
        <v>11.111111111111111</v>
      </c>
      <c r="AB10327" s="93">
        <f>AD10327/AC10325</f>
        <v>0.15839999999999999</v>
      </c>
      <c r="AC10327" s="93">
        <f>AC10325/AA10327</f>
        <v>0.09</v>
      </c>
      <c r="AD10327" s="94">
        <f t="shared" si="6898"/>
        <v>0.15839999999999999</v>
      </c>
      <c r="AE10327" s="190"/>
      <c r="AF10327" s="191"/>
      <c r="AG10327" s="191"/>
      <c r="AH10327" s="191"/>
      <c r="AI10327" s="186"/>
      <c r="AK10327" s="171"/>
    </row>
    <row r="10328" spans="1:37" s="102" customFormat="1" ht="19.899999999999999" customHeight="1" x14ac:dyDescent="0.25">
      <c r="A10328" s="45"/>
      <c r="B10328" s="59"/>
      <c r="C10328" s="137"/>
      <c r="D10328" s="59"/>
      <c r="E10328" s="116"/>
      <c r="F10328" s="120"/>
      <c r="G10328" s="120"/>
      <c r="H10328" s="120"/>
      <c r="I10328" s="60"/>
      <c r="J10328" s="116"/>
      <c r="K10328" s="213"/>
      <c r="L10328" s="120"/>
      <c r="M10328" s="120"/>
      <c r="N10328" s="167"/>
      <c r="O10328" s="120"/>
      <c r="P10328" s="120"/>
      <c r="Q10328" s="120"/>
      <c r="R10328" s="120"/>
      <c r="S10328" s="120"/>
      <c r="T10328" s="221"/>
      <c r="U10328" s="89"/>
      <c r="V10328" s="61"/>
      <c r="W10328" s="92" t="s">
        <v>161</v>
      </c>
      <c r="X10328" s="93" t="s">
        <v>29</v>
      </c>
      <c r="Y10328" s="93" t="s">
        <v>93</v>
      </c>
      <c r="Z10328" s="134">
        <f>VLOOKUP(W10328,Sheet2!$B:$D,3,FALSE)</f>
        <v>48</v>
      </c>
      <c r="AA10328" s="93">
        <f>(16*0.85*1)</f>
        <v>13.6</v>
      </c>
      <c r="AB10328" s="93">
        <f>AD10328/AC10325</f>
        <v>3.5294117647058822</v>
      </c>
      <c r="AC10328" s="93">
        <f>AC10325/AA10328</f>
        <v>7.3529411764705885E-2</v>
      </c>
      <c r="AD10328" s="94">
        <f>AC10328*Z10328</f>
        <v>3.5294117647058822</v>
      </c>
      <c r="AE10328" s="190"/>
      <c r="AF10328" s="191"/>
      <c r="AG10328" s="191"/>
      <c r="AH10328" s="191"/>
      <c r="AI10328" s="186"/>
      <c r="AK10328" s="171"/>
    </row>
    <row r="10329" spans="1:37" s="102" customFormat="1" ht="19.899999999999999" customHeight="1" x14ac:dyDescent="0.25">
      <c r="A10329" s="45"/>
      <c r="B10329" s="59"/>
      <c r="C10329" s="137"/>
      <c r="D10329" s="59"/>
      <c r="E10329" s="116"/>
      <c r="F10329" s="120"/>
      <c r="G10329" s="120"/>
      <c r="H10329" s="120"/>
      <c r="I10329" s="60"/>
      <c r="J10329" s="116"/>
      <c r="K10329" s="213"/>
      <c r="L10329" s="120"/>
      <c r="M10329" s="120"/>
      <c r="N10329" s="167"/>
      <c r="O10329" s="120"/>
      <c r="P10329" s="120"/>
      <c r="Q10329" s="120"/>
      <c r="R10329" s="120"/>
      <c r="S10329" s="120"/>
      <c r="T10329" s="221"/>
      <c r="U10329" s="89"/>
      <c r="V10329" s="61"/>
      <c r="W10329" s="92" t="s">
        <v>65</v>
      </c>
      <c r="X10329" s="93" t="s">
        <v>30</v>
      </c>
      <c r="Y10329" s="93" t="s">
        <v>1011</v>
      </c>
      <c r="Z10329" s="134">
        <f>VLOOKUP(W10329,Sheet2!$B:$D,3,FALSE)</f>
        <v>1.76</v>
      </c>
      <c r="AA10329" s="93">
        <f>AA10328/10</f>
        <v>1.3599999999999999</v>
      </c>
      <c r="AB10329" s="93">
        <f>AD10329/AC10325</f>
        <v>1.2941176470588236</v>
      </c>
      <c r="AC10329" s="93">
        <f>AC10325/AA10329</f>
        <v>0.73529411764705888</v>
      </c>
      <c r="AD10329" s="94">
        <f>AC10329*Z10329</f>
        <v>1.2941176470588236</v>
      </c>
      <c r="AE10329" s="190"/>
      <c r="AF10329" s="191"/>
      <c r="AG10329" s="191"/>
      <c r="AH10329" s="191"/>
      <c r="AI10329" s="186"/>
      <c r="AK10329" s="171"/>
    </row>
    <row r="10330" spans="1:37" s="102" customFormat="1" ht="19.899999999999999" customHeight="1" x14ac:dyDescent="0.25">
      <c r="A10330" s="45"/>
      <c r="B10330" s="59"/>
      <c r="C10330" s="137"/>
      <c r="D10330" s="59"/>
      <c r="E10330" s="116"/>
      <c r="F10330" s="120"/>
      <c r="G10330" s="120"/>
      <c r="H10330" s="120"/>
      <c r="I10330" s="60"/>
      <c r="J10330" s="116"/>
      <c r="K10330" s="213"/>
      <c r="L10330" s="120"/>
      <c r="M10330" s="120"/>
      <c r="N10330" s="167"/>
      <c r="O10330" s="120"/>
      <c r="P10330" s="120"/>
      <c r="Q10330" s="120"/>
      <c r="R10330" s="120"/>
      <c r="S10330" s="120"/>
      <c r="T10330" s="221"/>
      <c r="U10330" s="89"/>
      <c r="V10330" s="61"/>
      <c r="W10330" s="92" t="s">
        <v>173</v>
      </c>
      <c r="X10330" s="93" t="s">
        <v>29</v>
      </c>
      <c r="Y10330" s="93" t="s">
        <v>93</v>
      </c>
      <c r="Z10330" s="134">
        <f>VLOOKUP(W10330,Sheet2!$B:$D,3,FALSE)</f>
        <v>36</v>
      </c>
      <c r="AA10330" s="93">
        <f>50</f>
        <v>50</v>
      </c>
      <c r="AB10330" s="93">
        <f>AD10330/AC10325</f>
        <v>0.72</v>
      </c>
      <c r="AC10330" s="93">
        <f>AC10325/AA10330</f>
        <v>0.02</v>
      </c>
      <c r="AD10330" s="94">
        <f>AC10330*Z10330</f>
        <v>0.72</v>
      </c>
      <c r="AE10330" s="190"/>
      <c r="AF10330" s="191"/>
      <c r="AG10330" s="191"/>
      <c r="AH10330" s="191"/>
      <c r="AI10330" s="186"/>
      <c r="AK10330" s="171"/>
    </row>
    <row r="10331" spans="1:37" s="102" customFormat="1" ht="19.899999999999999" customHeight="1" x14ac:dyDescent="0.25">
      <c r="A10331" s="45"/>
      <c r="B10331" s="59"/>
      <c r="C10331" s="137"/>
      <c r="D10331" s="59"/>
      <c r="E10331" s="116"/>
      <c r="F10331" s="120"/>
      <c r="G10331" s="120"/>
      <c r="H10331" s="120"/>
      <c r="I10331" s="60"/>
      <c r="J10331" s="116"/>
      <c r="K10331" s="213"/>
      <c r="L10331" s="120"/>
      <c r="M10331" s="120"/>
      <c r="N10331" s="167"/>
      <c r="O10331" s="120"/>
      <c r="P10331" s="120"/>
      <c r="Q10331" s="120"/>
      <c r="R10331" s="120"/>
      <c r="S10331" s="120"/>
      <c r="T10331" s="221"/>
      <c r="U10331" s="89"/>
      <c r="V10331" s="61"/>
      <c r="W10331" s="92" t="s">
        <v>65</v>
      </c>
      <c r="X10331" s="93" t="s">
        <v>30</v>
      </c>
      <c r="Y10331" s="93" t="s">
        <v>1011</v>
      </c>
      <c r="Z10331" s="134">
        <f>VLOOKUP(W10331,Sheet2!$B:$D,3,FALSE)</f>
        <v>1.76</v>
      </c>
      <c r="AA10331" s="93">
        <f>AA10330/9</f>
        <v>5.5555555555555554</v>
      </c>
      <c r="AB10331" s="93">
        <f>AD10331/AC10325</f>
        <v>0.31679999999999997</v>
      </c>
      <c r="AC10331" s="93">
        <f>AC10325/AA10331</f>
        <v>0.18</v>
      </c>
      <c r="AD10331" s="94">
        <f>AC10331*Z10331</f>
        <v>0.31679999999999997</v>
      </c>
      <c r="AE10331" s="190"/>
      <c r="AF10331" s="191"/>
      <c r="AG10331" s="191"/>
      <c r="AH10331" s="191"/>
      <c r="AI10331" s="186"/>
      <c r="AK10331" s="171"/>
    </row>
    <row r="10332" spans="1:37" s="102" customFormat="1" ht="19.899999999999999" customHeight="1" x14ac:dyDescent="0.25">
      <c r="A10332" s="45"/>
      <c r="B10332" s="59"/>
      <c r="C10332" s="137"/>
      <c r="D10332" s="59"/>
      <c r="E10332" s="116"/>
      <c r="F10332" s="120"/>
      <c r="G10332" s="120"/>
      <c r="H10332" s="120"/>
      <c r="I10332" s="60"/>
      <c r="J10332" s="116"/>
      <c r="K10332" s="213"/>
      <c r="L10332" s="120"/>
      <c r="M10332" s="120"/>
      <c r="N10332" s="167"/>
      <c r="O10332" s="120"/>
      <c r="P10332" s="120"/>
      <c r="Q10332" s="120"/>
      <c r="R10332" s="120"/>
      <c r="S10332" s="120"/>
      <c r="T10332" s="221"/>
      <c r="U10332" s="89"/>
      <c r="V10332" s="61"/>
      <c r="W10332" s="92" t="s">
        <v>148</v>
      </c>
      <c r="X10332" s="93" t="s">
        <v>29</v>
      </c>
      <c r="Y10332" s="93" t="s">
        <v>93</v>
      </c>
      <c r="Z10332" s="134">
        <f>VLOOKUP(W10332,Sheet2!$B:$D,3,FALSE)</f>
        <v>48</v>
      </c>
      <c r="AA10332" s="93">
        <v>80</v>
      </c>
      <c r="AB10332" s="93">
        <f>AD10332/AC10325</f>
        <v>0.60000000000000009</v>
      </c>
      <c r="AC10332" s="93">
        <f>AC10325/AA10332</f>
        <v>1.2500000000000001E-2</v>
      </c>
      <c r="AD10332" s="94">
        <f t="shared" ref="AD10332:AD10335" si="6899">AC10332*Z10332</f>
        <v>0.60000000000000009</v>
      </c>
      <c r="AE10332" s="190"/>
      <c r="AF10332" s="191"/>
      <c r="AG10332" s="191"/>
      <c r="AH10332" s="191"/>
      <c r="AI10332" s="186"/>
      <c r="AK10332" s="171"/>
    </row>
    <row r="10333" spans="1:37" s="102" customFormat="1" ht="19.899999999999999" customHeight="1" x14ac:dyDescent="0.25">
      <c r="A10333" s="45"/>
      <c r="B10333" s="59"/>
      <c r="C10333" s="137"/>
      <c r="D10333" s="59"/>
      <c r="E10333" s="116"/>
      <c r="F10333" s="120"/>
      <c r="G10333" s="120"/>
      <c r="H10333" s="120"/>
      <c r="I10333" s="60"/>
      <c r="J10333" s="116"/>
      <c r="K10333" s="213"/>
      <c r="L10333" s="120"/>
      <c r="M10333" s="120"/>
      <c r="N10333" s="167"/>
      <c r="O10333" s="120"/>
      <c r="P10333" s="120"/>
      <c r="Q10333" s="120"/>
      <c r="R10333" s="120"/>
      <c r="S10333" s="120"/>
      <c r="T10333" s="221"/>
      <c r="U10333" s="89"/>
      <c r="V10333" s="61"/>
      <c r="W10333" s="92" t="s">
        <v>65</v>
      </c>
      <c r="X10333" s="93" t="s">
        <v>30</v>
      </c>
      <c r="Y10333" s="93" t="s">
        <v>1011</v>
      </c>
      <c r="Z10333" s="134">
        <f>VLOOKUP(W10333,Sheet2!$B:$D,3,FALSE)</f>
        <v>1.76</v>
      </c>
      <c r="AA10333" s="93">
        <f>AA10332/10</f>
        <v>8</v>
      </c>
      <c r="AB10333" s="93">
        <f>AD10333/AC10325</f>
        <v>0.22</v>
      </c>
      <c r="AC10333" s="93">
        <f>AC10325/AA10333</f>
        <v>0.125</v>
      </c>
      <c r="AD10333" s="94">
        <f t="shared" si="6899"/>
        <v>0.22</v>
      </c>
      <c r="AE10333" s="190"/>
      <c r="AF10333" s="191"/>
      <c r="AG10333" s="191"/>
      <c r="AH10333" s="191"/>
      <c r="AI10333" s="186"/>
      <c r="AK10333" s="171"/>
    </row>
    <row r="10334" spans="1:37" s="102" customFormat="1" ht="19.899999999999999" customHeight="1" x14ac:dyDescent="0.25">
      <c r="A10334" s="45"/>
      <c r="B10334" s="59"/>
      <c r="C10334" s="137"/>
      <c r="D10334" s="59"/>
      <c r="E10334" s="116"/>
      <c r="F10334" s="120"/>
      <c r="G10334" s="120"/>
      <c r="H10334" s="120"/>
      <c r="I10334" s="60"/>
      <c r="J10334" s="116"/>
      <c r="K10334" s="213"/>
      <c r="L10334" s="120"/>
      <c r="M10334" s="120"/>
      <c r="N10334" s="167"/>
      <c r="O10334" s="120"/>
      <c r="P10334" s="120"/>
      <c r="Q10334" s="120"/>
      <c r="R10334" s="120"/>
      <c r="S10334" s="120"/>
      <c r="T10334" s="221"/>
      <c r="U10334" s="89"/>
      <c r="V10334" s="61"/>
      <c r="W10334" s="92" t="s">
        <v>145</v>
      </c>
      <c r="X10334" s="93" t="s">
        <v>29</v>
      </c>
      <c r="Y10334" s="93" t="s">
        <v>93</v>
      </c>
      <c r="Z10334" s="134">
        <f>VLOOKUP(W10334,Sheet2!$B:$D,3,FALSE)</f>
        <v>40</v>
      </c>
      <c r="AA10334" s="93">
        <v>80</v>
      </c>
      <c r="AB10334" s="93">
        <f>AD10334/AC10325</f>
        <v>0.5</v>
      </c>
      <c r="AC10334" s="93">
        <f>AC10325/AA10334</f>
        <v>1.2500000000000001E-2</v>
      </c>
      <c r="AD10334" s="94">
        <f t="shared" si="6899"/>
        <v>0.5</v>
      </c>
      <c r="AE10334" s="190"/>
      <c r="AF10334" s="191"/>
      <c r="AG10334" s="191"/>
      <c r="AH10334" s="191"/>
      <c r="AI10334" s="186"/>
      <c r="AK10334" s="171"/>
    </row>
    <row r="10335" spans="1:37" s="102" customFormat="1" ht="19.899999999999999" customHeight="1" x14ac:dyDescent="0.25">
      <c r="A10335" s="45"/>
      <c r="B10335" s="59"/>
      <c r="C10335" s="137"/>
      <c r="D10335" s="59"/>
      <c r="E10335" s="116"/>
      <c r="F10335" s="120"/>
      <c r="G10335" s="120"/>
      <c r="H10335" s="120"/>
      <c r="I10335" s="60"/>
      <c r="J10335" s="116"/>
      <c r="K10335" s="213"/>
      <c r="L10335" s="120"/>
      <c r="M10335" s="120"/>
      <c r="N10335" s="167"/>
      <c r="O10335" s="120"/>
      <c r="P10335" s="120"/>
      <c r="Q10335" s="120"/>
      <c r="R10335" s="120"/>
      <c r="S10335" s="120"/>
      <c r="T10335" s="221"/>
      <c r="U10335" s="89"/>
      <c r="V10335" s="61"/>
      <c r="W10335" s="92" t="s">
        <v>65</v>
      </c>
      <c r="X10335" s="93" t="s">
        <v>30</v>
      </c>
      <c r="Y10335" s="93" t="s">
        <v>1011</v>
      </c>
      <c r="Z10335" s="134">
        <f>VLOOKUP(W10335,Sheet2!$B:$D,3,FALSE)</f>
        <v>1.76</v>
      </c>
      <c r="AA10335" s="93">
        <f>AA10334/14</f>
        <v>5.7142857142857144</v>
      </c>
      <c r="AB10335" s="93">
        <f>AD10335/AC10325</f>
        <v>0.308</v>
      </c>
      <c r="AC10335" s="93">
        <f>AC10325/AA10335</f>
        <v>0.17499999999999999</v>
      </c>
      <c r="AD10335" s="94">
        <f t="shared" si="6899"/>
        <v>0.308</v>
      </c>
      <c r="AE10335" s="190"/>
      <c r="AF10335" s="191"/>
      <c r="AG10335" s="191"/>
      <c r="AH10335" s="191"/>
      <c r="AI10335" s="186"/>
      <c r="AK10335" s="171"/>
    </row>
    <row r="10336" spans="1:37" ht="20.100000000000001" customHeight="1" x14ac:dyDescent="0.25">
      <c r="A10336" s="277" t="s">
        <v>961</v>
      </c>
      <c r="B10336" s="278"/>
      <c r="C10336" s="64" t="s">
        <v>962</v>
      </c>
      <c r="D10336" s="46" t="s">
        <v>97</v>
      </c>
      <c r="E10336" s="114"/>
      <c r="F10336" s="44"/>
      <c r="G10336" s="44">
        <f t="shared" si="6741"/>
        <v>0</v>
      </c>
      <c r="H10336" s="44">
        <f t="shared" si="6742"/>
        <v>0</v>
      </c>
      <c r="I10336" s="43">
        <f t="shared" si="6743"/>
        <v>0</v>
      </c>
      <c r="J10336" s="112">
        <f t="shared" si="6744"/>
        <v>0</v>
      </c>
      <c r="K10336" s="211">
        <f t="shared" si="6745"/>
        <v>0</v>
      </c>
      <c r="L10336" s="44"/>
      <c r="M10336" s="44">
        <f t="shared" si="6755"/>
        <v>0</v>
      </c>
      <c r="N10336" s="173">
        <f t="shared" si="6746"/>
        <v>0</v>
      </c>
      <c r="O10336" s="44">
        <f t="shared" si="6747"/>
        <v>0</v>
      </c>
      <c r="P10336" s="44">
        <f t="shared" si="6748"/>
        <v>0</v>
      </c>
      <c r="Q10336" s="44">
        <f t="shared" si="6749"/>
        <v>0</v>
      </c>
      <c r="R10336" s="44">
        <f t="shared" si="6756"/>
        <v>0</v>
      </c>
      <c r="S10336" s="123"/>
      <c r="T10336" s="219">
        <f t="shared" si="6757"/>
        <v>0</v>
      </c>
      <c r="U10336" s="87"/>
      <c r="V10336" s="47"/>
      <c r="W10336" s="48"/>
      <c r="X10336" s="48"/>
      <c r="Y10336" s="48"/>
      <c r="Z10336" s="135"/>
      <c r="AA10336" s="49"/>
      <c r="AB10336" s="50">
        <f t="shared" si="6750"/>
        <v>0</v>
      </c>
      <c r="AC10336" s="42">
        <f t="shared" si="6758"/>
        <v>9.9999999999999998E-20</v>
      </c>
      <c r="AD10336" s="90"/>
      <c r="AE10336" s="188"/>
      <c r="AF10336" s="189"/>
      <c r="AG10336" s="189"/>
      <c r="AH10336" s="189"/>
      <c r="AI10336" s="161"/>
    </row>
    <row r="10337" spans="1:41" ht="20.100000000000001" customHeight="1" x14ac:dyDescent="0.25">
      <c r="A10337" s="277" t="s">
        <v>961</v>
      </c>
      <c r="B10337" s="278"/>
      <c r="C10337" s="64" t="s">
        <v>963</v>
      </c>
      <c r="D10337" s="46" t="s">
        <v>97</v>
      </c>
      <c r="E10337" s="114"/>
      <c r="F10337" s="44"/>
      <c r="G10337" s="44">
        <f t="shared" si="6741"/>
        <v>0</v>
      </c>
      <c r="H10337" s="44">
        <f t="shared" si="6742"/>
        <v>0</v>
      </c>
      <c r="I10337" s="43">
        <f t="shared" si="6743"/>
        <v>0</v>
      </c>
      <c r="J10337" s="112">
        <f t="shared" si="6744"/>
        <v>0</v>
      </c>
      <c r="K10337" s="211">
        <f t="shared" si="6745"/>
        <v>0</v>
      </c>
      <c r="L10337" s="44"/>
      <c r="M10337" s="44">
        <f t="shared" si="6755"/>
        <v>0</v>
      </c>
      <c r="N10337" s="173">
        <f t="shared" si="6746"/>
        <v>0</v>
      </c>
      <c r="O10337" s="44">
        <f t="shared" si="6747"/>
        <v>0</v>
      </c>
      <c r="P10337" s="44">
        <f t="shared" si="6748"/>
        <v>0</v>
      </c>
      <c r="Q10337" s="44">
        <f t="shared" si="6749"/>
        <v>0</v>
      </c>
      <c r="R10337" s="44">
        <f t="shared" si="6756"/>
        <v>0</v>
      </c>
      <c r="S10337" s="123"/>
      <c r="T10337" s="219">
        <f t="shared" si="6757"/>
        <v>0</v>
      </c>
      <c r="U10337" s="87"/>
      <c r="V10337" s="47"/>
      <c r="W10337" s="48"/>
      <c r="X10337" s="48"/>
      <c r="Y10337" s="48"/>
      <c r="Z10337" s="135"/>
      <c r="AA10337" s="49"/>
      <c r="AB10337" s="50">
        <f t="shared" si="6750"/>
        <v>0</v>
      </c>
      <c r="AC10337" s="42">
        <f t="shared" si="6758"/>
        <v>9.9999999999999998E-20</v>
      </c>
      <c r="AD10337" s="90"/>
      <c r="AE10337" s="188"/>
      <c r="AF10337" s="189"/>
      <c r="AG10337" s="189"/>
      <c r="AH10337" s="189"/>
      <c r="AI10337" s="161"/>
    </row>
    <row r="10338" spans="1:41" ht="20.100000000000001" customHeight="1" x14ac:dyDescent="0.25">
      <c r="A10338" s="277" t="s">
        <v>961</v>
      </c>
      <c r="B10338" s="278"/>
      <c r="C10338" s="64" t="s">
        <v>964</v>
      </c>
      <c r="D10338" s="46" t="s">
        <v>97</v>
      </c>
      <c r="E10338" s="114"/>
      <c r="F10338" s="44"/>
      <c r="G10338" s="44">
        <f t="shared" si="6741"/>
        <v>0</v>
      </c>
      <c r="H10338" s="44">
        <f t="shared" si="6742"/>
        <v>0</v>
      </c>
      <c r="I10338" s="43">
        <f t="shared" si="6743"/>
        <v>0</v>
      </c>
      <c r="J10338" s="112">
        <f t="shared" si="6744"/>
        <v>0</v>
      </c>
      <c r="K10338" s="211">
        <f t="shared" si="6745"/>
        <v>0</v>
      </c>
      <c r="L10338" s="44"/>
      <c r="M10338" s="44">
        <f t="shared" si="6755"/>
        <v>0</v>
      </c>
      <c r="N10338" s="173">
        <f t="shared" si="6746"/>
        <v>0</v>
      </c>
      <c r="O10338" s="44">
        <f t="shared" si="6747"/>
        <v>0</v>
      </c>
      <c r="P10338" s="44">
        <f t="shared" si="6748"/>
        <v>0</v>
      </c>
      <c r="Q10338" s="44">
        <f t="shared" si="6749"/>
        <v>0</v>
      </c>
      <c r="R10338" s="44">
        <f t="shared" si="6756"/>
        <v>0</v>
      </c>
      <c r="S10338" s="123"/>
      <c r="T10338" s="219">
        <f t="shared" si="6757"/>
        <v>0</v>
      </c>
      <c r="U10338" s="87"/>
      <c r="V10338" s="47"/>
      <c r="W10338" s="48"/>
      <c r="X10338" s="48"/>
      <c r="Y10338" s="48"/>
      <c r="Z10338" s="135"/>
      <c r="AA10338" s="49"/>
      <c r="AB10338" s="50">
        <f t="shared" si="6750"/>
        <v>0</v>
      </c>
      <c r="AC10338" s="42">
        <f t="shared" si="6758"/>
        <v>9.9999999999999998E-20</v>
      </c>
      <c r="AD10338" s="90"/>
      <c r="AE10338" s="188"/>
      <c r="AF10338" s="189"/>
      <c r="AG10338" s="189"/>
      <c r="AH10338" s="189"/>
      <c r="AI10338" s="161"/>
    </row>
    <row r="10339" spans="1:41" ht="20.100000000000001" customHeight="1" x14ac:dyDescent="0.25">
      <c r="A10339" s="277" t="s">
        <v>961</v>
      </c>
      <c r="B10339" s="278"/>
      <c r="C10339" s="64" t="s">
        <v>965</v>
      </c>
      <c r="D10339" s="46" t="s">
        <v>97</v>
      </c>
      <c r="E10339" s="114"/>
      <c r="F10339" s="44"/>
      <c r="G10339" s="44">
        <f t="shared" si="6741"/>
        <v>0</v>
      </c>
      <c r="H10339" s="44">
        <f t="shared" si="6742"/>
        <v>0</v>
      </c>
      <c r="I10339" s="43">
        <f t="shared" si="6743"/>
        <v>0</v>
      </c>
      <c r="J10339" s="112">
        <f t="shared" si="6744"/>
        <v>0</v>
      </c>
      <c r="K10339" s="211">
        <f t="shared" si="6745"/>
        <v>0</v>
      </c>
      <c r="L10339" s="44"/>
      <c r="M10339" s="44">
        <f t="shared" si="6755"/>
        <v>0</v>
      </c>
      <c r="N10339" s="173">
        <f t="shared" si="6746"/>
        <v>0</v>
      </c>
      <c r="O10339" s="44">
        <f t="shared" si="6747"/>
        <v>0</v>
      </c>
      <c r="P10339" s="44">
        <f t="shared" si="6748"/>
        <v>0</v>
      </c>
      <c r="Q10339" s="44">
        <f t="shared" si="6749"/>
        <v>0</v>
      </c>
      <c r="R10339" s="44">
        <f t="shared" si="6756"/>
        <v>0</v>
      </c>
      <c r="S10339" s="123"/>
      <c r="T10339" s="219">
        <f t="shared" si="6757"/>
        <v>0</v>
      </c>
      <c r="U10339" s="87"/>
      <c r="V10339" s="47"/>
      <c r="W10339" s="48"/>
      <c r="X10339" s="48"/>
      <c r="Y10339" s="48"/>
      <c r="Z10339" s="135"/>
      <c r="AA10339" s="49"/>
      <c r="AB10339" s="50">
        <f t="shared" si="6750"/>
        <v>0</v>
      </c>
      <c r="AC10339" s="42">
        <f t="shared" si="6758"/>
        <v>9.9999999999999998E-20</v>
      </c>
      <c r="AD10339" s="90"/>
      <c r="AE10339" s="188"/>
      <c r="AF10339" s="189"/>
      <c r="AG10339" s="189"/>
      <c r="AH10339" s="189"/>
      <c r="AI10339" s="161"/>
    </row>
    <row r="10340" spans="1:41" ht="20.100000000000001" customHeight="1" x14ac:dyDescent="0.25">
      <c r="A10340" s="277" t="s">
        <v>961</v>
      </c>
      <c r="B10340" s="278"/>
      <c r="C10340" s="64" t="s">
        <v>966</v>
      </c>
      <c r="D10340" s="46" t="s">
        <v>97</v>
      </c>
      <c r="E10340" s="114"/>
      <c r="F10340" s="44"/>
      <c r="G10340" s="44">
        <f t="shared" si="6741"/>
        <v>0</v>
      </c>
      <c r="H10340" s="44">
        <f t="shared" si="6742"/>
        <v>0</v>
      </c>
      <c r="I10340" s="43">
        <f t="shared" si="6743"/>
        <v>0</v>
      </c>
      <c r="J10340" s="112">
        <f t="shared" si="6744"/>
        <v>0</v>
      </c>
      <c r="K10340" s="211">
        <f t="shared" si="6745"/>
        <v>0</v>
      </c>
      <c r="L10340" s="44"/>
      <c r="M10340" s="44">
        <f t="shared" si="6755"/>
        <v>0</v>
      </c>
      <c r="N10340" s="173">
        <f t="shared" si="6746"/>
        <v>0</v>
      </c>
      <c r="O10340" s="44">
        <f t="shared" si="6747"/>
        <v>0</v>
      </c>
      <c r="P10340" s="44">
        <f t="shared" si="6748"/>
        <v>0</v>
      </c>
      <c r="Q10340" s="44">
        <f t="shared" si="6749"/>
        <v>0</v>
      </c>
      <c r="R10340" s="44">
        <f t="shared" si="6756"/>
        <v>0</v>
      </c>
      <c r="S10340" s="123"/>
      <c r="T10340" s="219">
        <f t="shared" si="6757"/>
        <v>0</v>
      </c>
      <c r="U10340" s="87"/>
      <c r="V10340" s="47"/>
      <c r="W10340" s="48"/>
      <c r="X10340" s="48"/>
      <c r="Y10340" s="48"/>
      <c r="Z10340" s="135"/>
      <c r="AA10340" s="49"/>
      <c r="AB10340" s="50">
        <f t="shared" si="6750"/>
        <v>0</v>
      </c>
      <c r="AC10340" s="42">
        <f t="shared" si="6758"/>
        <v>9.9999999999999998E-20</v>
      </c>
      <c r="AD10340" s="90"/>
      <c r="AE10340" s="188"/>
      <c r="AF10340" s="189"/>
      <c r="AG10340" s="189"/>
      <c r="AH10340" s="189"/>
      <c r="AI10340" s="161"/>
    </row>
    <row r="10341" spans="1:41" ht="20.100000000000001" customHeight="1" x14ac:dyDescent="0.25">
      <c r="A10341" s="277" t="s">
        <v>961</v>
      </c>
      <c r="B10341" s="278"/>
      <c r="C10341" s="64" t="s">
        <v>967</v>
      </c>
      <c r="D10341" s="46" t="s">
        <v>97</v>
      </c>
      <c r="E10341" s="114"/>
      <c r="F10341" s="44"/>
      <c r="G10341" s="44">
        <f t="shared" si="6741"/>
        <v>0</v>
      </c>
      <c r="H10341" s="44">
        <f t="shared" si="6742"/>
        <v>0</v>
      </c>
      <c r="I10341" s="43">
        <f t="shared" si="6743"/>
        <v>0</v>
      </c>
      <c r="J10341" s="112">
        <f t="shared" si="6744"/>
        <v>0</v>
      </c>
      <c r="K10341" s="211">
        <f t="shared" si="6745"/>
        <v>0</v>
      </c>
      <c r="L10341" s="44"/>
      <c r="M10341" s="44">
        <f t="shared" si="6755"/>
        <v>0</v>
      </c>
      <c r="N10341" s="173">
        <f t="shared" si="6746"/>
        <v>0</v>
      </c>
      <c r="O10341" s="44">
        <f t="shared" si="6747"/>
        <v>0</v>
      </c>
      <c r="P10341" s="44">
        <f t="shared" si="6748"/>
        <v>0</v>
      </c>
      <c r="Q10341" s="44">
        <f t="shared" si="6749"/>
        <v>0</v>
      </c>
      <c r="R10341" s="44">
        <f t="shared" si="6756"/>
        <v>0</v>
      </c>
      <c r="S10341" s="123"/>
      <c r="T10341" s="219">
        <f t="shared" si="6757"/>
        <v>0</v>
      </c>
      <c r="U10341" s="87"/>
      <c r="V10341" s="47"/>
      <c r="W10341" s="48"/>
      <c r="X10341" s="48"/>
      <c r="Y10341" s="48"/>
      <c r="Z10341" s="135"/>
      <c r="AA10341" s="49"/>
      <c r="AB10341" s="50">
        <f t="shared" si="6750"/>
        <v>0</v>
      </c>
      <c r="AC10341" s="42">
        <f t="shared" si="6758"/>
        <v>9.9999999999999998E-20</v>
      </c>
      <c r="AD10341" s="90"/>
      <c r="AE10341" s="188"/>
      <c r="AF10341" s="189"/>
      <c r="AG10341" s="189"/>
      <c r="AH10341" s="189"/>
      <c r="AI10341" s="161"/>
    </row>
    <row r="10342" spans="1:41" ht="20.100000000000001" customHeight="1" x14ac:dyDescent="0.25">
      <c r="A10342" s="277" t="s">
        <v>961</v>
      </c>
      <c r="B10342" s="278"/>
      <c r="C10342" s="64" t="s">
        <v>968</v>
      </c>
      <c r="D10342" s="46" t="s">
        <v>97</v>
      </c>
      <c r="E10342" s="114"/>
      <c r="F10342" s="44"/>
      <c r="G10342" s="44">
        <f t="shared" si="6741"/>
        <v>0</v>
      </c>
      <c r="H10342" s="44">
        <f t="shared" si="6742"/>
        <v>0</v>
      </c>
      <c r="I10342" s="43">
        <f t="shared" si="6743"/>
        <v>0</v>
      </c>
      <c r="J10342" s="112">
        <f t="shared" si="6744"/>
        <v>0</v>
      </c>
      <c r="K10342" s="211">
        <f t="shared" si="6745"/>
        <v>0</v>
      </c>
      <c r="L10342" s="44"/>
      <c r="M10342" s="44">
        <f t="shared" si="6755"/>
        <v>0</v>
      </c>
      <c r="N10342" s="173">
        <f t="shared" si="6746"/>
        <v>0</v>
      </c>
      <c r="O10342" s="44">
        <f t="shared" si="6747"/>
        <v>0</v>
      </c>
      <c r="P10342" s="44">
        <f t="shared" si="6748"/>
        <v>0</v>
      </c>
      <c r="Q10342" s="44">
        <f t="shared" si="6749"/>
        <v>0</v>
      </c>
      <c r="R10342" s="44">
        <f t="shared" si="6756"/>
        <v>0</v>
      </c>
      <c r="S10342" s="123"/>
      <c r="T10342" s="219">
        <f t="shared" si="6757"/>
        <v>0</v>
      </c>
      <c r="U10342" s="87"/>
      <c r="V10342" s="47"/>
      <c r="W10342" s="48"/>
      <c r="X10342" s="48"/>
      <c r="Y10342" s="48"/>
      <c r="Z10342" s="135"/>
      <c r="AA10342" s="49"/>
      <c r="AB10342" s="50">
        <f t="shared" si="6750"/>
        <v>0</v>
      </c>
      <c r="AC10342" s="42">
        <f t="shared" si="6758"/>
        <v>9.9999999999999998E-20</v>
      </c>
      <c r="AD10342" s="90"/>
      <c r="AE10342" s="188"/>
      <c r="AF10342" s="189"/>
      <c r="AG10342" s="189"/>
      <c r="AH10342" s="189"/>
      <c r="AI10342" s="161"/>
    </row>
    <row r="10343" spans="1:41" ht="20.100000000000001" customHeight="1" x14ac:dyDescent="0.25">
      <c r="A10343" s="277" t="s">
        <v>961</v>
      </c>
      <c r="B10343" s="278"/>
      <c r="C10343" s="64" t="s">
        <v>969</v>
      </c>
      <c r="D10343" s="46" t="s">
        <v>97</v>
      </c>
      <c r="E10343" s="114"/>
      <c r="F10343" s="44"/>
      <c r="G10343" s="44">
        <f t="shared" si="6741"/>
        <v>0</v>
      </c>
      <c r="H10343" s="44">
        <f t="shared" si="6742"/>
        <v>0</v>
      </c>
      <c r="I10343" s="43">
        <f t="shared" si="6743"/>
        <v>0</v>
      </c>
      <c r="J10343" s="112">
        <f t="shared" si="6744"/>
        <v>0</v>
      </c>
      <c r="K10343" s="211">
        <f t="shared" si="6745"/>
        <v>0</v>
      </c>
      <c r="L10343" s="44"/>
      <c r="M10343" s="44">
        <f t="shared" si="6755"/>
        <v>0</v>
      </c>
      <c r="N10343" s="173">
        <f t="shared" si="6746"/>
        <v>0</v>
      </c>
      <c r="O10343" s="44">
        <f t="shared" si="6747"/>
        <v>0</v>
      </c>
      <c r="P10343" s="44">
        <f t="shared" si="6748"/>
        <v>0</v>
      </c>
      <c r="Q10343" s="44">
        <f t="shared" si="6749"/>
        <v>0</v>
      </c>
      <c r="R10343" s="44">
        <f t="shared" si="6756"/>
        <v>0</v>
      </c>
      <c r="S10343" s="123"/>
      <c r="T10343" s="219">
        <f t="shared" si="6757"/>
        <v>0</v>
      </c>
      <c r="U10343" s="87"/>
      <c r="V10343" s="47"/>
      <c r="W10343" s="48"/>
      <c r="X10343" s="48"/>
      <c r="Y10343" s="48"/>
      <c r="Z10343" s="135"/>
      <c r="AA10343" s="49"/>
      <c r="AB10343" s="50">
        <f t="shared" si="6750"/>
        <v>0</v>
      </c>
      <c r="AC10343" s="42">
        <f t="shared" si="6758"/>
        <v>9.9999999999999998E-20</v>
      </c>
      <c r="AD10343" s="90"/>
      <c r="AE10343" s="188"/>
      <c r="AF10343" s="189"/>
      <c r="AG10343" s="189"/>
      <c r="AH10343" s="189"/>
      <c r="AI10343" s="161"/>
    </row>
    <row r="10344" spans="1:41" ht="20.100000000000001" customHeight="1" x14ac:dyDescent="0.25">
      <c r="A10344" s="277" t="s">
        <v>961</v>
      </c>
      <c r="B10344" s="278"/>
      <c r="C10344" s="64" t="s">
        <v>970</v>
      </c>
      <c r="D10344" s="46" t="s">
        <v>97</v>
      </c>
      <c r="E10344" s="114"/>
      <c r="F10344" s="44"/>
      <c r="G10344" s="44">
        <f t="shared" si="6741"/>
        <v>0</v>
      </c>
      <c r="H10344" s="44">
        <f t="shared" si="6742"/>
        <v>0</v>
      </c>
      <c r="I10344" s="43">
        <f t="shared" si="6743"/>
        <v>0</v>
      </c>
      <c r="J10344" s="112">
        <f t="shared" si="6744"/>
        <v>0</v>
      </c>
      <c r="K10344" s="211">
        <f t="shared" si="6745"/>
        <v>0</v>
      </c>
      <c r="L10344" s="44"/>
      <c r="M10344" s="44">
        <f t="shared" si="6755"/>
        <v>0</v>
      </c>
      <c r="N10344" s="173">
        <f t="shared" si="6746"/>
        <v>0</v>
      </c>
      <c r="O10344" s="44">
        <f t="shared" si="6747"/>
        <v>0</v>
      </c>
      <c r="P10344" s="44">
        <f t="shared" si="6748"/>
        <v>0</v>
      </c>
      <c r="Q10344" s="44">
        <f t="shared" si="6749"/>
        <v>0</v>
      </c>
      <c r="R10344" s="44">
        <f t="shared" si="6756"/>
        <v>0</v>
      </c>
      <c r="S10344" s="123"/>
      <c r="T10344" s="219">
        <f t="shared" si="6757"/>
        <v>0</v>
      </c>
      <c r="U10344" s="87"/>
      <c r="V10344" s="47"/>
      <c r="W10344" s="48"/>
      <c r="X10344" s="48"/>
      <c r="Y10344" s="48"/>
      <c r="Z10344" s="135"/>
      <c r="AA10344" s="49"/>
      <c r="AB10344" s="50">
        <f t="shared" si="6750"/>
        <v>0</v>
      </c>
      <c r="AC10344" s="42">
        <f t="shared" si="6758"/>
        <v>9.9999999999999998E-20</v>
      </c>
      <c r="AD10344" s="90"/>
      <c r="AE10344" s="188"/>
      <c r="AF10344" s="189"/>
      <c r="AG10344" s="189"/>
      <c r="AH10344" s="189"/>
      <c r="AI10344" s="161"/>
    </row>
    <row r="10345" spans="1:41" s="102" customFormat="1" ht="20.100000000000001" customHeight="1" x14ac:dyDescent="0.25">
      <c r="A10345" s="45" t="s">
        <v>961</v>
      </c>
      <c r="B10345" s="276"/>
      <c r="C10345" s="286" t="s">
        <v>971</v>
      </c>
      <c r="D10345" s="59"/>
      <c r="E10345" s="116"/>
      <c r="F10345" s="120"/>
      <c r="G10345" s="120">
        <f t="shared" si="6741"/>
        <v>0</v>
      </c>
      <c r="H10345" s="120">
        <f t="shared" si="6742"/>
        <v>0</v>
      </c>
      <c r="I10345" s="60">
        <f t="shared" si="6743"/>
        <v>0</v>
      </c>
      <c r="J10345" s="116">
        <f t="shared" si="6744"/>
        <v>0</v>
      </c>
      <c r="K10345" s="213">
        <f t="shared" si="6745"/>
        <v>0</v>
      </c>
      <c r="L10345" s="120"/>
      <c r="M10345" s="120">
        <f t="shared" si="6755"/>
        <v>0</v>
      </c>
      <c r="N10345" s="167">
        <f t="shared" si="6746"/>
        <v>0</v>
      </c>
      <c r="O10345" s="120">
        <f t="shared" si="6747"/>
        <v>0</v>
      </c>
      <c r="P10345" s="120">
        <f t="shared" si="6748"/>
        <v>0</v>
      </c>
      <c r="Q10345" s="120">
        <f t="shared" si="6749"/>
        <v>0</v>
      </c>
      <c r="R10345" s="120">
        <f t="shared" si="6756"/>
        <v>0</v>
      </c>
      <c r="S10345" s="120"/>
      <c r="T10345" s="221">
        <f t="shared" si="6757"/>
        <v>0</v>
      </c>
      <c r="U10345" s="89"/>
      <c r="V10345" s="61"/>
      <c r="W10345" s="92"/>
      <c r="X10345" s="38"/>
      <c r="Y10345" s="93"/>
      <c r="Z10345" s="134"/>
      <c r="AA10345" s="93"/>
      <c r="AB10345" s="93">
        <f t="shared" si="6750"/>
        <v>0</v>
      </c>
      <c r="AC10345" s="93">
        <f t="shared" si="6758"/>
        <v>9.9999999999999998E-20</v>
      </c>
      <c r="AD10345" s="94"/>
      <c r="AE10345" s="190"/>
      <c r="AF10345" s="191"/>
      <c r="AG10345" s="191"/>
      <c r="AH10345" s="191"/>
      <c r="AI10345" s="186"/>
      <c r="AK10345" s="171"/>
    </row>
    <row r="10346" spans="1:41" s="102" customFormat="1" ht="75" x14ac:dyDescent="0.25">
      <c r="A10346" s="45" t="s">
        <v>961</v>
      </c>
      <c r="B10346" s="276"/>
      <c r="C10346" s="286" t="s">
        <v>972</v>
      </c>
      <c r="D10346" s="59"/>
      <c r="E10346" s="116"/>
      <c r="F10346" s="120"/>
      <c r="G10346" s="120">
        <f t="shared" si="6741"/>
        <v>0</v>
      </c>
      <c r="H10346" s="120">
        <f t="shared" si="6742"/>
        <v>0</v>
      </c>
      <c r="I10346" s="60">
        <f t="shared" si="6743"/>
        <v>0</v>
      </c>
      <c r="J10346" s="116">
        <f t="shared" si="6744"/>
        <v>0</v>
      </c>
      <c r="K10346" s="213">
        <f t="shared" si="6745"/>
        <v>0</v>
      </c>
      <c r="L10346" s="120"/>
      <c r="M10346" s="120">
        <f t="shared" si="6755"/>
        <v>0</v>
      </c>
      <c r="N10346" s="167">
        <f t="shared" si="6746"/>
        <v>0</v>
      </c>
      <c r="O10346" s="120">
        <f t="shared" si="6747"/>
        <v>0</v>
      </c>
      <c r="P10346" s="120">
        <f t="shared" si="6748"/>
        <v>0</v>
      </c>
      <c r="Q10346" s="120">
        <f t="shared" si="6749"/>
        <v>0</v>
      </c>
      <c r="R10346" s="120">
        <f t="shared" si="6756"/>
        <v>0</v>
      </c>
      <c r="S10346" s="120"/>
      <c r="T10346" s="221">
        <f t="shared" si="6757"/>
        <v>0</v>
      </c>
      <c r="U10346" s="89"/>
      <c r="V10346" s="61"/>
      <c r="W10346" s="92"/>
      <c r="X10346" s="38"/>
      <c r="Y10346" s="93"/>
      <c r="Z10346" s="134"/>
      <c r="AA10346" s="93"/>
      <c r="AB10346" s="93">
        <f t="shared" si="6750"/>
        <v>0</v>
      </c>
      <c r="AC10346" s="93">
        <f t="shared" si="6758"/>
        <v>9.9999999999999998E-20</v>
      </c>
      <c r="AD10346" s="94"/>
      <c r="AE10346" s="190"/>
      <c r="AF10346" s="191"/>
      <c r="AG10346" s="191"/>
      <c r="AH10346" s="191"/>
      <c r="AI10346" s="186"/>
      <c r="AK10346" s="171"/>
    </row>
    <row r="10347" spans="1:41" ht="20.100000000000001" customHeight="1" x14ac:dyDescent="0.25">
      <c r="A10347" s="277" t="s">
        <v>961</v>
      </c>
      <c r="B10347" s="278"/>
      <c r="C10347" s="64" t="s">
        <v>973</v>
      </c>
      <c r="D10347" s="46" t="s">
        <v>97</v>
      </c>
      <c r="E10347" s="114">
        <v>1281.4000000000001</v>
      </c>
      <c r="F10347" s="44">
        <v>427</v>
      </c>
      <c r="G10347" s="44">
        <f t="shared" si="6741"/>
        <v>547157.80000000005</v>
      </c>
      <c r="H10347" s="44">
        <f t="shared" si="6742"/>
        <v>156.16606274509806</v>
      </c>
      <c r="I10347" s="43">
        <f t="shared" si="6743"/>
        <v>200111.19280156866</v>
      </c>
      <c r="J10347" s="112">
        <f t="shared" si="6744"/>
        <v>1281.4000000000001</v>
      </c>
      <c r="K10347" s="211">
        <f t="shared" si="6745"/>
        <v>1281.4000000000001</v>
      </c>
      <c r="L10347" s="44"/>
      <c r="M10347" s="44">
        <f t="shared" si="6755"/>
        <v>1281.4000000000001</v>
      </c>
      <c r="N10347" s="173">
        <f t="shared" si="6746"/>
        <v>1</v>
      </c>
      <c r="O10347" s="44">
        <f t="shared" si="6747"/>
        <v>427</v>
      </c>
      <c r="P10347" s="44">
        <f t="shared" si="6748"/>
        <v>547157.80000000005</v>
      </c>
      <c r="Q10347" s="44">
        <f t="shared" si="6749"/>
        <v>156.16606274509806</v>
      </c>
      <c r="R10347" s="44">
        <f t="shared" si="6756"/>
        <v>200111.19280156866</v>
      </c>
      <c r="S10347" s="123"/>
      <c r="T10347" s="219">
        <f t="shared" si="6757"/>
        <v>200111.19280156866</v>
      </c>
      <c r="U10347" s="87"/>
      <c r="V10347" s="47"/>
      <c r="W10347" s="48"/>
      <c r="X10347" s="48"/>
      <c r="Y10347" s="48"/>
      <c r="Z10347" s="135"/>
      <c r="AA10347" s="49"/>
      <c r="AB10347" s="50">
        <f t="shared" si="6750"/>
        <v>156.16606274509806</v>
      </c>
      <c r="AC10347" s="42">
        <f t="shared" si="6758"/>
        <v>1281.4000000000001</v>
      </c>
      <c r="AD10347" s="90">
        <f>AD10348+AD10357+AD10365</f>
        <v>200111.19280156866</v>
      </c>
      <c r="AE10347" s="188">
        <f t="shared" ref="AE10347:AH10347" si="6900">AE10348+AE10357+AE10365</f>
        <v>0</v>
      </c>
      <c r="AF10347" s="189">
        <f t="shared" si="6900"/>
        <v>0</v>
      </c>
      <c r="AG10347" s="189">
        <f t="shared" si="6900"/>
        <v>0</v>
      </c>
      <c r="AH10347" s="189">
        <f t="shared" si="6900"/>
        <v>0</v>
      </c>
      <c r="AI10347" s="161">
        <f t="shared" ref="AI10347" si="6901">SUM(AE10347:AH10347)</f>
        <v>0</v>
      </c>
      <c r="AK10347" s="169">
        <v>5</v>
      </c>
      <c r="AO10347" s="19" t="s">
        <v>63</v>
      </c>
    </row>
    <row r="10348" spans="1:41" s="103" customFormat="1" ht="19.899999999999999" customHeight="1" x14ac:dyDescent="0.25">
      <c r="A10348" s="51"/>
      <c r="B10348" s="52"/>
      <c r="C10348" s="165"/>
      <c r="D10348" s="52"/>
      <c r="E10348" s="115"/>
      <c r="F10348" s="58"/>
      <c r="G10348" s="58"/>
      <c r="H10348" s="58"/>
      <c r="I10348" s="55"/>
      <c r="J10348" s="113">
        <f>J10347</f>
        <v>1281.4000000000001</v>
      </c>
      <c r="K10348" s="212">
        <f>K10347</f>
        <v>1281.4000000000001</v>
      </c>
      <c r="L10348" s="58"/>
      <c r="M10348" s="58">
        <f>K10348-L10348</f>
        <v>1281.4000000000001</v>
      </c>
      <c r="N10348" s="166"/>
      <c r="O10348" s="58"/>
      <c r="P10348" s="58"/>
      <c r="Q10348" s="58"/>
      <c r="R10348" s="58"/>
      <c r="S10348" s="58"/>
      <c r="T10348" s="220"/>
      <c r="U10348" s="88"/>
      <c r="V10348" s="56"/>
      <c r="W10348" s="57" t="s">
        <v>1042</v>
      </c>
      <c r="X10348" s="53"/>
      <c r="Y10348" s="91" t="s">
        <v>68</v>
      </c>
      <c r="Z10348" s="136">
        <f>AD10348/AC10348</f>
        <v>7.5827294117647055</v>
      </c>
      <c r="AA10348" s="58"/>
      <c r="AB10348" s="53">
        <f>AD10348/AC10348</f>
        <v>7.5827294117647055</v>
      </c>
      <c r="AC10348" s="53">
        <f>M10348+$AE$10</f>
        <v>1281.4000000000001</v>
      </c>
      <c r="AD10348" s="54">
        <f>SUM(AD10349:AD10356)</f>
        <v>9716.5094682352938</v>
      </c>
      <c r="AE10348" s="184">
        <f>SUMIFS($AD$37:$AD$12971,$V$37:$V$12971,$V10348,$X$37:$X$12971,AE$13)</f>
        <v>0</v>
      </c>
      <c r="AF10348" s="185">
        <f>SUMIFS($AD$37:$AD$12971,$V$37:$V$12971,$V10348,$X$37:$X$12971,AF$13)</f>
        <v>0</v>
      </c>
      <c r="AG10348" s="185">
        <f>SUMIFS($AD$37:$AD$12971,$V$37:$V$12971,$V10348,$X$37:$X$12971,AG$13)</f>
        <v>0</v>
      </c>
      <c r="AH10348" s="187">
        <f>SUMIFS($AD$37:$AD$12971,$V$37:$V$12971,$V10348,$X$37:$X$12971,AH$13)</f>
        <v>0</v>
      </c>
      <c r="AI10348" s="161">
        <f t="shared" ref="AI10348" si="6902">SUM(AE10348:AH10348)</f>
        <v>0</v>
      </c>
      <c r="AK10348" s="172"/>
    </row>
    <row r="10349" spans="1:41" s="102" customFormat="1" ht="19.899999999999999" customHeight="1" x14ac:dyDescent="0.25">
      <c r="A10349" s="45"/>
      <c r="B10349" s="59"/>
      <c r="C10349" s="137"/>
      <c r="D10349" s="59"/>
      <c r="E10349" s="116"/>
      <c r="F10349" s="120"/>
      <c r="G10349" s="120"/>
      <c r="H10349" s="120"/>
      <c r="I10349" s="60"/>
      <c r="J10349" s="116"/>
      <c r="K10349" s="213"/>
      <c r="L10349" s="120"/>
      <c r="M10349" s="120"/>
      <c r="N10349" s="167"/>
      <c r="O10349" s="120"/>
      <c r="P10349" s="120"/>
      <c r="Q10349" s="120"/>
      <c r="R10349" s="120"/>
      <c r="S10349" s="120"/>
      <c r="T10349" s="221"/>
      <c r="U10349" s="89"/>
      <c r="V10349" s="61"/>
      <c r="W10349" s="92" t="s">
        <v>129</v>
      </c>
      <c r="X10349" s="93" t="s">
        <v>29</v>
      </c>
      <c r="Y10349" s="93" t="s">
        <v>93</v>
      </c>
      <c r="Z10349" s="134">
        <f>VLOOKUP(W10349,Sheet2!$B:$D,3,FALSE)</f>
        <v>56</v>
      </c>
      <c r="AA10349" s="93">
        <f>100/(1*1.5)</f>
        <v>66.666666666666671</v>
      </c>
      <c r="AB10349" s="93">
        <f t="shared" ref="AB10349" si="6903">AD10349/AC10348</f>
        <v>0.84</v>
      </c>
      <c r="AC10349" s="93">
        <f>AC10348/AA10349</f>
        <v>19.221</v>
      </c>
      <c r="AD10349" s="94">
        <f t="shared" ref="AD10349:AD10350" si="6904">AC10349*Z10349</f>
        <v>1076.376</v>
      </c>
      <c r="AE10349" s="190"/>
      <c r="AF10349" s="191"/>
      <c r="AG10349" s="191"/>
      <c r="AH10349" s="191"/>
      <c r="AI10349" s="186"/>
      <c r="AK10349" s="171"/>
    </row>
    <row r="10350" spans="1:41" s="102" customFormat="1" ht="19.899999999999999" customHeight="1" x14ac:dyDescent="0.25">
      <c r="A10350" s="45"/>
      <c r="B10350" s="59"/>
      <c r="C10350" s="137"/>
      <c r="D10350" s="59"/>
      <c r="E10350" s="116"/>
      <c r="F10350" s="120"/>
      <c r="G10350" s="120"/>
      <c r="H10350" s="120"/>
      <c r="I10350" s="60"/>
      <c r="J10350" s="116"/>
      <c r="K10350" s="213"/>
      <c r="L10350" s="120"/>
      <c r="M10350" s="120"/>
      <c r="N10350" s="167"/>
      <c r="O10350" s="120"/>
      <c r="P10350" s="120"/>
      <c r="Q10350" s="120"/>
      <c r="R10350" s="120"/>
      <c r="S10350" s="120"/>
      <c r="T10350" s="221"/>
      <c r="U10350" s="89"/>
      <c r="V10350" s="61"/>
      <c r="W10350" s="92" t="s">
        <v>65</v>
      </c>
      <c r="X10350" s="93" t="s">
        <v>30</v>
      </c>
      <c r="Y10350" s="93" t="s">
        <v>1011</v>
      </c>
      <c r="Z10350" s="134">
        <f>VLOOKUP(W10350,Sheet2!$B:$D,3,FALSE)</f>
        <v>1.76</v>
      </c>
      <c r="AA10350" s="93">
        <f>AA10349/14</f>
        <v>4.7619047619047619</v>
      </c>
      <c r="AB10350" s="93">
        <f>AD10350/AC10348</f>
        <v>0.36959999999999998</v>
      </c>
      <c r="AC10350" s="93">
        <f>AC10348/AA10350</f>
        <v>269.09399999999999</v>
      </c>
      <c r="AD10350" s="94">
        <f t="shared" si="6904"/>
        <v>473.60543999999999</v>
      </c>
      <c r="AE10350" s="190"/>
      <c r="AF10350" s="191"/>
      <c r="AG10350" s="191"/>
      <c r="AH10350" s="191"/>
      <c r="AI10350" s="186"/>
      <c r="AK10350" s="171"/>
    </row>
    <row r="10351" spans="1:41" s="102" customFormat="1" ht="19.899999999999999" customHeight="1" x14ac:dyDescent="0.25">
      <c r="A10351" s="45"/>
      <c r="B10351" s="59"/>
      <c r="C10351" s="137"/>
      <c r="D10351" s="59"/>
      <c r="E10351" s="116"/>
      <c r="F10351" s="120"/>
      <c r="G10351" s="120"/>
      <c r="H10351" s="120"/>
      <c r="I10351" s="60"/>
      <c r="J10351" s="116"/>
      <c r="K10351" s="213"/>
      <c r="L10351" s="120"/>
      <c r="M10351" s="120"/>
      <c r="N10351" s="167"/>
      <c r="O10351" s="120"/>
      <c r="P10351" s="120"/>
      <c r="Q10351" s="120"/>
      <c r="R10351" s="120"/>
      <c r="S10351" s="120"/>
      <c r="T10351" s="221"/>
      <c r="U10351" s="89"/>
      <c r="V10351" s="61"/>
      <c r="W10351" s="92" t="s">
        <v>161</v>
      </c>
      <c r="X10351" s="93" t="s">
        <v>29</v>
      </c>
      <c r="Y10351" s="93" t="s">
        <v>93</v>
      </c>
      <c r="Z10351" s="134">
        <f>VLOOKUP(W10351,Sheet2!$B:$D,3,FALSE)</f>
        <v>48</v>
      </c>
      <c r="AA10351" s="93">
        <f>(16*0.85*1.5)/(1*1.5)</f>
        <v>13.6</v>
      </c>
      <c r="AB10351" s="93">
        <f>AD10351/AC10348</f>
        <v>3.5294117647058822</v>
      </c>
      <c r="AC10351" s="93">
        <f>AC10348/AA10351</f>
        <v>94.22058823529413</v>
      </c>
      <c r="AD10351" s="94">
        <f>AC10351*Z10351</f>
        <v>4522.588235294118</v>
      </c>
      <c r="AE10351" s="190"/>
      <c r="AF10351" s="191"/>
      <c r="AG10351" s="191"/>
      <c r="AH10351" s="191"/>
      <c r="AI10351" s="186"/>
      <c r="AK10351" s="171"/>
    </row>
    <row r="10352" spans="1:41" s="102" customFormat="1" ht="19.899999999999999" customHeight="1" x14ac:dyDescent="0.25">
      <c r="A10352" s="45"/>
      <c r="B10352" s="59"/>
      <c r="C10352" s="137"/>
      <c r="D10352" s="59"/>
      <c r="E10352" s="116"/>
      <c r="F10352" s="120"/>
      <c r="G10352" s="120"/>
      <c r="H10352" s="120"/>
      <c r="I10352" s="60"/>
      <c r="J10352" s="116"/>
      <c r="K10352" s="213"/>
      <c r="L10352" s="120"/>
      <c r="M10352" s="120"/>
      <c r="N10352" s="167"/>
      <c r="O10352" s="120"/>
      <c r="P10352" s="120"/>
      <c r="Q10352" s="120"/>
      <c r="R10352" s="120"/>
      <c r="S10352" s="120"/>
      <c r="T10352" s="221"/>
      <c r="U10352" s="89"/>
      <c r="V10352" s="61"/>
      <c r="W10352" s="92" t="s">
        <v>65</v>
      </c>
      <c r="X10352" s="93" t="s">
        <v>30</v>
      </c>
      <c r="Y10352" s="93" t="s">
        <v>1011</v>
      </c>
      <c r="Z10352" s="134">
        <f>VLOOKUP(W10352,Sheet2!$B:$D,3,FALSE)</f>
        <v>1.76</v>
      </c>
      <c r="AA10352" s="93">
        <f>AA10351/10</f>
        <v>1.3599999999999999</v>
      </c>
      <c r="AB10352" s="93">
        <f>AD10352/AC10348</f>
        <v>1.2941176470588236</v>
      </c>
      <c r="AC10352" s="93">
        <f>AC10348/AA10352</f>
        <v>942.20588235294133</v>
      </c>
      <c r="AD10352" s="94">
        <f>AC10352*Z10352</f>
        <v>1658.2823529411767</v>
      </c>
      <c r="AE10352" s="190"/>
      <c r="AF10352" s="191"/>
      <c r="AG10352" s="191"/>
      <c r="AH10352" s="191"/>
      <c r="AI10352" s="186"/>
      <c r="AK10352" s="171"/>
    </row>
    <row r="10353" spans="1:41" s="102" customFormat="1" ht="19.899999999999999" customHeight="1" x14ac:dyDescent="0.25">
      <c r="A10353" s="45"/>
      <c r="B10353" s="59"/>
      <c r="C10353" s="137"/>
      <c r="D10353" s="59"/>
      <c r="E10353" s="116"/>
      <c r="F10353" s="120"/>
      <c r="G10353" s="120"/>
      <c r="H10353" s="120"/>
      <c r="I10353" s="60"/>
      <c r="J10353" s="116"/>
      <c r="K10353" s="213"/>
      <c r="L10353" s="120"/>
      <c r="M10353" s="120"/>
      <c r="N10353" s="167"/>
      <c r="O10353" s="120"/>
      <c r="P10353" s="120"/>
      <c r="Q10353" s="120"/>
      <c r="R10353" s="120"/>
      <c r="S10353" s="120"/>
      <c r="T10353" s="221"/>
      <c r="U10353" s="89"/>
      <c r="V10353" s="61"/>
      <c r="W10353" s="92" t="s">
        <v>1030</v>
      </c>
      <c r="X10353" s="93" t="s">
        <v>29</v>
      </c>
      <c r="Y10353" s="93" t="s">
        <v>93</v>
      </c>
      <c r="Z10353" s="134">
        <f>VLOOKUP(W10353,Sheet2!$B:$D,3,FALSE)</f>
        <v>23</v>
      </c>
      <c r="AA10353" s="93">
        <v>50</v>
      </c>
      <c r="AB10353" s="93">
        <f>AD10353/AC10348</f>
        <v>0.45999999999999991</v>
      </c>
      <c r="AC10353" s="93">
        <f>AC10348/AA10353</f>
        <v>25.628</v>
      </c>
      <c r="AD10353" s="94">
        <f t="shared" ref="AD10353:AD10356" si="6905">AC10353*Z10353</f>
        <v>589.44399999999996</v>
      </c>
      <c r="AE10353" s="190"/>
      <c r="AF10353" s="191"/>
      <c r="AG10353" s="191"/>
      <c r="AH10353" s="191"/>
      <c r="AI10353" s="186"/>
      <c r="AK10353" s="171"/>
    </row>
    <row r="10354" spans="1:41" s="102" customFormat="1" ht="19.899999999999999" customHeight="1" x14ac:dyDescent="0.25">
      <c r="A10354" s="45"/>
      <c r="B10354" s="59"/>
      <c r="C10354" s="137"/>
      <c r="D10354" s="59"/>
      <c r="E10354" s="116"/>
      <c r="F10354" s="120"/>
      <c r="G10354" s="120"/>
      <c r="H10354" s="120"/>
      <c r="I10354" s="60"/>
      <c r="J10354" s="116"/>
      <c r="K10354" s="213"/>
      <c r="L10354" s="120"/>
      <c r="M10354" s="120"/>
      <c r="N10354" s="167"/>
      <c r="O10354" s="120"/>
      <c r="P10354" s="120"/>
      <c r="Q10354" s="120"/>
      <c r="R10354" s="120"/>
      <c r="S10354" s="120"/>
      <c r="T10354" s="221"/>
      <c r="U10354" s="89"/>
      <c r="V10354" s="61"/>
      <c r="W10354" s="92" t="s">
        <v>65</v>
      </c>
      <c r="X10354" s="93" t="s">
        <v>30</v>
      </c>
      <c r="Y10354" s="93" t="s">
        <v>1011</v>
      </c>
      <c r="Z10354" s="134">
        <f>VLOOKUP(W10354,Sheet2!$B:$D,3,FALSE)</f>
        <v>1.76</v>
      </c>
      <c r="AA10354" s="93">
        <f>AA10353/3</f>
        <v>16.666666666666668</v>
      </c>
      <c r="AB10354" s="93">
        <f>AD10354/AC10348</f>
        <v>0.1056</v>
      </c>
      <c r="AC10354" s="93">
        <f>AC10348/AA10354</f>
        <v>76.884</v>
      </c>
      <c r="AD10354" s="94">
        <f t="shared" si="6905"/>
        <v>135.31584000000001</v>
      </c>
      <c r="AE10354" s="190"/>
      <c r="AF10354" s="191"/>
      <c r="AG10354" s="191"/>
      <c r="AH10354" s="191"/>
      <c r="AI10354" s="186"/>
      <c r="AK10354" s="171"/>
    </row>
    <row r="10355" spans="1:41" s="102" customFormat="1" ht="19.899999999999999" customHeight="1" x14ac:dyDescent="0.25">
      <c r="A10355" s="45"/>
      <c r="B10355" s="59"/>
      <c r="C10355" s="137"/>
      <c r="D10355" s="59"/>
      <c r="E10355" s="116"/>
      <c r="F10355" s="120"/>
      <c r="G10355" s="120"/>
      <c r="H10355" s="120"/>
      <c r="I10355" s="60"/>
      <c r="J10355" s="116"/>
      <c r="K10355" s="213"/>
      <c r="L10355" s="120"/>
      <c r="M10355" s="120"/>
      <c r="N10355" s="167"/>
      <c r="O10355" s="120"/>
      <c r="P10355" s="120"/>
      <c r="Q10355" s="120"/>
      <c r="R10355" s="120"/>
      <c r="S10355" s="120"/>
      <c r="T10355" s="221"/>
      <c r="U10355" s="89"/>
      <c r="V10355" s="61"/>
      <c r="W10355" s="92" t="s">
        <v>148</v>
      </c>
      <c r="X10355" s="93" t="s">
        <v>29</v>
      </c>
      <c r="Y10355" s="93" t="s">
        <v>93</v>
      </c>
      <c r="Z10355" s="134">
        <f>VLOOKUP(W10355,Sheet2!$B:$D,3,FALSE)</f>
        <v>48</v>
      </c>
      <c r="AA10355" s="93">
        <f>AA10349</f>
        <v>66.666666666666671</v>
      </c>
      <c r="AB10355" s="93">
        <f>AD10355/AC10348</f>
        <v>0.71999999999999986</v>
      </c>
      <c r="AC10355" s="93">
        <f>AC10348/AA10355</f>
        <v>19.221</v>
      </c>
      <c r="AD10355" s="94">
        <f t="shared" si="6905"/>
        <v>922.60799999999995</v>
      </c>
      <c r="AE10355" s="190"/>
      <c r="AF10355" s="191"/>
      <c r="AG10355" s="191"/>
      <c r="AH10355" s="191"/>
      <c r="AI10355" s="186"/>
      <c r="AK10355" s="171"/>
    </row>
    <row r="10356" spans="1:41" s="102" customFormat="1" ht="19.899999999999999" customHeight="1" x14ac:dyDescent="0.25">
      <c r="A10356" s="45"/>
      <c r="B10356" s="59"/>
      <c r="C10356" s="137"/>
      <c r="D10356" s="59"/>
      <c r="E10356" s="116"/>
      <c r="F10356" s="120"/>
      <c r="G10356" s="120"/>
      <c r="H10356" s="120"/>
      <c r="I10356" s="60"/>
      <c r="J10356" s="116"/>
      <c r="K10356" s="213"/>
      <c r="L10356" s="120"/>
      <c r="M10356" s="120"/>
      <c r="N10356" s="167"/>
      <c r="O10356" s="120"/>
      <c r="P10356" s="120"/>
      <c r="Q10356" s="120"/>
      <c r="R10356" s="120"/>
      <c r="S10356" s="120"/>
      <c r="T10356" s="221"/>
      <c r="U10356" s="89"/>
      <c r="V10356" s="61"/>
      <c r="W10356" s="92" t="s">
        <v>65</v>
      </c>
      <c r="X10356" s="93" t="s">
        <v>30</v>
      </c>
      <c r="Y10356" s="93" t="s">
        <v>1011</v>
      </c>
      <c r="Z10356" s="134">
        <f>VLOOKUP(W10356,Sheet2!$B:$D,3,FALSE)</f>
        <v>1.76</v>
      </c>
      <c r="AA10356" s="93">
        <f>AA10355/10</f>
        <v>6.666666666666667</v>
      </c>
      <c r="AB10356" s="93">
        <f>AD10356/AC10348</f>
        <v>0.26400000000000001</v>
      </c>
      <c r="AC10356" s="93">
        <f>AC10348/AA10356</f>
        <v>192.21</v>
      </c>
      <c r="AD10356" s="94">
        <f t="shared" si="6905"/>
        <v>338.28960000000001</v>
      </c>
      <c r="AE10356" s="190"/>
      <c r="AF10356" s="191"/>
      <c r="AG10356" s="191"/>
      <c r="AH10356" s="191"/>
      <c r="AI10356" s="186"/>
      <c r="AK10356" s="171"/>
    </row>
    <row r="10357" spans="1:41" s="103" customFormat="1" ht="19.899999999999999" customHeight="1" x14ac:dyDescent="0.25">
      <c r="A10357" s="51"/>
      <c r="B10357" s="52"/>
      <c r="C10357" s="165"/>
      <c r="D10357" s="52"/>
      <c r="E10357" s="115"/>
      <c r="F10357" s="58"/>
      <c r="G10357" s="58"/>
      <c r="H10357" s="58"/>
      <c r="I10357" s="55"/>
      <c r="J10357" s="113">
        <f>J10347</f>
        <v>1281.4000000000001</v>
      </c>
      <c r="K10357" s="212">
        <f>K10347</f>
        <v>1281.4000000000001</v>
      </c>
      <c r="L10357" s="58"/>
      <c r="M10357" s="58">
        <f>K10357-L10357</f>
        <v>1281.4000000000001</v>
      </c>
      <c r="N10357" s="166"/>
      <c r="O10357" s="58"/>
      <c r="P10357" s="58"/>
      <c r="Q10357" s="58"/>
      <c r="R10357" s="58"/>
      <c r="S10357" s="58"/>
      <c r="T10357" s="220"/>
      <c r="U10357" s="88"/>
      <c r="V10357" s="56"/>
      <c r="W10357" s="57" t="s">
        <v>1036</v>
      </c>
      <c r="X10357" s="53"/>
      <c r="Y10357" s="91" t="s">
        <v>68</v>
      </c>
      <c r="Z10357" s="136">
        <f>AD10357/AC10357</f>
        <v>143.58333333333334</v>
      </c>
      <c r="AA10357" s="58"/>
      <c r="AB10357" s="53">
        <f>AD10357/AC10357</f>
        <v>143.58333333333334</v>
      </c>
      <c r="AC10357" s="53">
        <f>M10357+$AE$10</f>
        <v>1281.4000000000001</v>
      </c>
      <c r="AD10357" s="54">
        <f>SUM(AD10358:AD10364)</f>
        <v>183987.68333333335</v>
      </c>
      <c r="AE10357" s="184">
        <f>SUMIFS($AD$37:$AD$12971,$V$37:$V$12971,$V10357,$X$37:$X$12971,AE$13)</f>
        <v>0</v>
      </c>
      <c r="AF10357" s="185">
        <f>SUMIFS($AD$37:$AD$12971,$V$37:$V$12971,$V10357,$X$37:$X$12971,AF$13)</f>
        <v>0</v>
      </c>
      <c r="AG10357" s="185">
        <f>SUMIFS($AD$37:$AD$12971,$V$37:$V$12971,$V10357,$X$37:$X$12971,AG$13)</f>
        <v>0</v>
      </c>
      <c r="AH10357" s="187">
        <f>SUMIFS($AD$37:$AD$12971,$V$37:$V$12971,$V10357,$X$37:$X$12971,AH$13)</f>
        <v>0</v>
      </c>
      <c r="AI10357" s="161">
        <f t="shared" ref="AI10357" si="6906">SUM(AE10357:AH10357)</f>
        <v>0</v>
      </c>
      <c r="AK10357" s="172"/>
    </row>
    <row r="10358" spans="1:41" s="102" customFormat="1" ht="19.899999999999999" customHeight="1" x14ac:dyDescent="0.25">
      <c r="A10358" s="45"/>
      <c r="B10358" s="59"/>
      <c r="C10358" s="137"/>
      <c r="D10358" s="59"/>
      <c r="E10358" s="116"/>
      <c r="F10358" s="120"/>
      <c r="G10358" s="120"/>
      <c r="H10358" s="120"/>
      <c r="I10358" s="60"/>
      <c r="J10358" s="116"/>
      <c r="K10358" s="213"/>
      <c r="L10358" s="120"/>
      <c r="M10358" s="120"/>
      <c r="N10358" s="167"/>
      <c r="O10358" s="120"/>
      <c r="P10358" s="120"/>
      <c r="Q10358" s="120"/>
      <c r="R10358" s="120"/>
      <c r="S10358" s="120"/>
      <c r="T10358" s="221"/>
      <c r="U10358" s="89"/>
      <c r="V10358" s="61"/>
      <c r="W10358" s="92" t="s">
        <v>1044</v>
      </c>
      <c r="X10358" s="93" t="s">
        <v>30</v>
      </c>
      <c r="Y10358" s="93" t="s">
        <v>68</v>
      </c>
      <c r="Z10358" s="134">
        <f>VLOOKUP(W10358,Sheet2!$B:$D,3,FALSE)</f>
        <v>80</v>
      </c>
      <c r="AA10358" s="93">
        <v>1</v>
      </c>
      <c r="AB10358" s="93">
        <f>AD10358/AC10357</f>
        <v>80</v>
      </c>
      <c r="AC10358" s="93">
        <f>AC10357/AA10358</f>
        <v>1281.4000000000001</v>
      </c>
      <c r="AD10358" s="94">
        <f t="shared" ref="AD10358" si="6907">AC10358*Z10358</f>
        <v>102512</v>
      </c>
      <c r="AE10358" s="190"/>
      <c r="AF10358" s="191"/>
      <c r="AG10358" s="191"/>
      <c r="AH10358" s="191"/>
      <c r="AI10358" s="186"/>
      <c r="AK10358" s="171"/>
    </row>
    <row r="10359" spans="1:41" s="102" customFormat="1" ht="19.899999999999999" customHeight="1" x14ac:dyDescent="0.25">
      <c r="A10359" s="45"/>
      <c r="B10359" s="59"/>
      <c r="C10359" s="137"/>
      <c r="D10359" s="59"/>
      <c r="E10359" s="116"/>
      <c r="F10359" s="120"/>
      <c r="G10359" s="120"/>
      <c r="H10359" s="120"/>
      <c r="I10359" s="60"/>
      <c r="J10359" s="116"/>
      <c r="K10359" s="213"/>
      <c r="L10359" s="120"/>
      <c r="M10359" s="120"/>
      <c r="N10359" s="167"/>
      <c r="O10359" s="120"/>
      <c r="P10359" s="120"/>
      <c r="Q10359" s="120"/>
      <c r="R10359" s="120"/>
      <c r="S10359" s="120"/>
      <c r="T10359" s="221"/>
      <c r="U10359" s="89"/>
      <c r="V10359" s="61"/>
      <c r="W10359" s="92" t="s">
        <v>1046</v>
      </c>
      <c r="X10359" s="93" t="s">
        <v>30</v>
      </c>
      <c r="Y10359" s="93" t="s">
        <v>68</v>
      </c>
      <c r="Z10359" s="134">
        <f>VLOOKUP(W10359,Sheet2!$B:$D,3,FALSE)</f>
        <v>8</v>
      </c>
      <c r="AA10359" s="93">
        <v>1</v>
      </c>
      <c r="AB10359" s="93">
        <f>AD10359/AC10357</f>
        <v>8</v>
      </c>
      <c r="AC10359" s="93">
        <f>AC10357/AA10359</f>
        <v>1281.4000000000001</v>
      </c>
      <c r="AD10359" s="94">
        <f>AC10359*Z10359</f>
        <v>10251.200000000001</v>
      </c>
      <c r="AE10359" s="190"/>
      <c r="AF10359" s="191"/>
      <c r="AG10359" s="191"/>
      <c r="AH10359" s="191"/>
      <c r="AI10359" s="186"/>
      <c r="AK10359" s="171"/>
    </row>
    <row r="10360" spans="1:41" s="102" customFormat="1" ht="19.899999999999999" customHeight="1" x14ac:dyDescent="0.25">
      <c r="A10360" s="45"/>
      <c r="B10360" s="59"/>
      <c r="C10360" s="137"/>
      <c r="D10360" s="59"/>
      <c r="E10360" s="116"/>
      <c r="F10360" s="120"/>
      <c r="G10360" s="120"/>
      <c r="H10360" s="120"/>
      <c r="I10360" s="60"/>
      <c r="J10360" s="116"/>
      <c r="K10360" s="213"/>
      <c r="L10360" s="120"/>
      <c r="M10360" s="120"/>
      <c r="N10360" s="167"/>
      <c r="O10360" s="120"/>
      <c r="P10360" s="120"/>
      <c r="Q10360" s="120"/>
      <c r="R10360" s="120"/>
      <c r="S10360" s="120"/>
      <c r="T10360" s="221"/>
      <c r="U10360" s="89"/>
      <c r="V10360" s="61"/>
      <c r="W10360" s="92" t="s">
        <v>107</v>
      </c>
      <c r="X10360" s="93" t="s">
        <v>31</v>
      </c>
      <c r="Y10360" s="93" t="s">
        <v>93</v>
      </c>
      <c r="Z10360" s="134">
        <f>VLOOKUP(W10360,Sheet2!$B:$D,3,FALSE)</f>
        <v>17</v>
      </c>
      <c r="AA10360" s="93">
        <v>2</v>
      </c>
      <c r="AB10360" s="93">
        <f>AD10360/AC10357</f>
        <v>8.5</v>
      </c>
      <c r="AC10360" s="93">
        <f>AC10357/AA10360</f>
        <v>640.70000000000005</v>
      </c>
      <c r="AD10360" s="94">
        <f>AC10360*Z10360</f>
        <v>10891.900000000001</v>
      </c>
      <c r="AE10360" s="190"/>
      <c r="AF10360" s="191"/>
      <c r="AG10360" s="191"/>
      <c r="AH10360" s="191"/>
      <c r="AI10360" s="186"/>
      <c r="AK10360" s="171"/>
    </row>
    <row r="10361" spans="1:41" s="102" customFormat="1" ht="19.899999999999999" customHeight="1" x14ac:dyDescent="0.25">
      <c r="A10361" s="45"/>
      <c r="B10361" s="59"/>
      <c r="C10361" s="137"/>
      <c r="D10361" s="59"/>
      <c r="E10361" s="116"/>
      <c r="F10361" s="120"/>
      <c r="G10361" s="120"/>
      <c r="H10361" s="120"/>
      <c r="I10361" s="60"/>
      <c r="J10361" s="116"/>
      <c r="K10361" s="213"/>
      <c r="L10361" s="120"/>
      <c r="M10361" s="120"/>
      <c r="N10361" s="167"/>
      <c r="O10361" s="120"/>
      <c r="P10361" s="120"/>
      <c r="Q10361" s="120"/>
      <c r="R10361" s="120"/>
      <c r="S10361" s="120"/>
      <c r="T10361" s="221"/>
      <c r="U10361" s="89"/>
      <c r="V10361" s="61"/>
      <c r="W10361" s="92" t="s">
        <v>112</v>
      </c>
      <c r="X10361" s="93" t="s">
        <v>31</v>
      </c>
      <c r="Y10361" s="93" t="s">
        <v>93</v>
      </c>
      <c r="Z10361" s="134">
        <f>VLOOKUP(W10361,Sheet2!$B:$D,3,FALSE)</f>
        <v>13</v>
      </c>
      <c r="AA10361" s="93">
        <v>2</v>
      </c>
      <c r="AB10361" s="93">
        <f>AD10361/AC10357</f>
        <v>6.5</v>
      </c>
      <c r="AC10361" s="93">
        <f>AC10357/AA10361</f>
        <v>640.70000000000005</v>
      </c>
      <c r="AD10361" s="94">
        <f>AC10361*Z10361</f>
        <v>8329.1</v>
      </c>
      <c r="AE10361" s="190"/>
      <c r="AF10361" s="191"/>
      <c r="AG10361" s="191"/>
      <c r="AH10361" s="191"/>
      <c r="AI10361" s="186"/>
      <c r="AK10361" s="171"/>
    </row>
    <row r="10362" spans="1:41" s="102" customFormat="1" ht="19.899999999999999" customHeight="1" x14ac:dyDescent="0.25">
      <c r="A10362" s="45"/>
      <c r="B10362" s="59"/>
      <c r="C10362" s="137"/>
      <c r="D10362" s="59"/>
      <c r="E10362" s="116"/>
      <c r="F10362" s="120"/>
      <c r="G10362" s="120"/>
      <c r="H10362" s="120"/>
      <c r="I10362" s="60"/>
      <c r="J10362" s="116"/>
      <c r="K10362" s="213"/>
      <c r="L10362" s="120"/>
      <c r="M10362" s="120"/>
      <c r="N10362" s="167"/>
      <c r="O10362" s="120"/>
      <c r="P10362" s="120"/>
      <c r="Q10362" s="120"/>
      <c r="R10362" s="120"/>
      <c r="S10362" s="120"/>
      <c r="T10362" s="221"/>
      <c r="U10362" s="89"/>
      <c r="V10362" s="61"/>
      <c r="W10362" s="92" t="s">
        <v>1032</v>
      </c>
      <c r="X10362" s="93" t="s">
        <v>30</v>
      </c>
      <c r="Y10362" s="93" t="s">
        <v>66</v>
      </c>
      <c r="Z10362" s="134">
        <f>VLOOKUP(W10362,Sheet2!$B:$D,3,FALSE)</f>
        <v>250</v>
      </c>
      <c r="AA10362" s="93">
        <f>1/(1*1*0.1)</f>
        <v>10</v>
      </c>
      <c r="AB10362" s="93">
        <f>AD10362/AC10357</f>
        <v>25</v>
      </c>
      <c r="AC10362" s="93">
        <f>AC10357/AA10362</f>
        <v>128.14000000000001</v>
      </c>
      <c r="AD10362" s="94">
        <f>AC10362*Z10362</f>
        <v>32035.000000000004</v>
      </c>
      <c r="AE10362" s="190"/>
      <c r="AF10362" s="191"/>
      <c r="AG10362" s="191"/>
      <c r="AH10362" s="191"/>
      <c r="AI10362" s="186"/>
      <c r="AK10362" s="171"/>
    </row>
    <row r="10363" spans="1:41" s="102" customFormat="1" ht="19.899999999999999" customHeight="1" x14ac:dyDescent="0.25">
      <c r="A10363" s="45"/>
      <c r="B10363" s="59"/>
      <c r="C10363" s="137"/>
      <c r="D10363" s="59"/>
      <c r="E10363" s="116"/>
      <c r="F10363" s="120"/>
      <c r="G10363" s="120"/>
      <c r="H10363" s="120"/>
      <c r="I10363" s="60"/>
      <c r="J10363" s="116"/>
      <c r="K10363" s="213"/>
      <c r="L10363" s="120"/>
      <c r="M10363" s="120"/>
      <c r="N10363" s="167"/>
      <c r="O10363" s="120"/>
      <c r="P10363" s="120"/>
      <c r="Q10363" s="120"/>
      <c r="R10363" s="120"/>
      <c r="S10363" s="120"/>
      <c r="T10363" s="221"/>
      <c r="U10363" s="89"/>
      <c r="V10363" s="61"/>
      <c r="W10363" s="92" t="s">
        <v>1035</v>
      </c>
      <c r="X10363" s="93" t="s">
        <v>32</v>
      </c>
      <c r="Y10363" s="93" t="s">
        <v>66</v>
      </c>
      <c r="Z10363" s="134">
        <f>VLOOKUP(W10363,Sheet2!$B:$D,3,FALSE)</f>
        <v>150</v>
      </c>
      <c r="AA10363" s="93">
        <f>AA10362</f>
        <v>10</v>
      </c>
      <c r="AB10363" s="93">
        <f>AD10363/AC10357</f>
        <v>15.000000000000002</v>
      </c>
      <c r="AC10363" s="93">
        <f>AC10357/AA10363</f>
        <v>128.14000000000001</v>
      </c>
      <c r="AD10363" s="94">
        <f t="shared" ref="AD10363:AD10364" si="6908">AC10363*Z10363</f>
        <v>19221.000000000004</v>
      </c>
      <c r="AE10363" s="190"/>
      <c r="AF10363" s="191"/>
      <c r="AG10363" s="191"/>
      <c r="AH10363" s="191"/>
      <c r="AI10363" s="186"/>
      <c r="AK10363" s="171"/>
    </row>
    <row r="10364" spans="1:41" s="102" customFormat="1" ht="19.899999999999999" customHeight="1" x14ac:dyDescent="0.25">
      <c r="A10364" s="45"/>
      <c r="B10364" s="59"/>
      <c r="C10364" s="137"/>
      <c r="D10364" s="59"/>
      <c r="E10364" s="116"/>
      <c r="F10364" s="120"/>
      <c r="G10364" s="120"/>
      <c r="H10364" s="120"/>
      <c r="I10364" s="60"/>
      <c r="J10364" s="116"/>
      <c r="K10364" s="213"/>
      <c r="L10364" s="120"/>
      <c r="M10364" s="120"/>
      <c r="N10364" s="167"/>
      <c r="O10364" s="120"/>
      <c r="P10364" s="120"/>
      <c r="Q10364" s="120"/>
      <c r="R10364" s="120"/>
      <c r="S10364" s="120"/>
      <c r="T10364" s="221"/>
      <c r="U10364" s="89"/>
      <c r="V10364" s="61"/>
      <c r="W10364" s="92" t="s">
        <v>1037</v>
      </c>
      <c r="X10364" s="93" t="s">
        <v>30</v>
      </c>
      <c r="Y10364" s="93" t="s">
        <v>1038</v>
      </c>
      <c r="Z10364" s="134">
        <f>VLOOKUP(W10364,Sheet2!$B:$D,3,FALSE)</f>
        <v>175</v>
      </c>
      <c r="AA10364" s="93">
        <v>300</v>
      </c>
      <c r="AB10364" s="93">
        <f>AD10364/AC10357</f>
        <v>0.58333333333333326</v>
      </c>
      <c r="AC10364" s="93">
        <f>AC10357/AA10364</f>
        <v>4.2713333333333336</v>
      </c>
      <c r="AD10364" s="94">
        <f t="shared" si="6908"/>
        <v>747.48333333333335</v>
      </c>
      <c r="AE10364" s="190"/>
      <c r="AF10364" s="191"/>
      <c r="AG10364" s="191"/>
      <c r="AH10364" s="191"/>
      <c r="AI10364" s="186"/>
      <c r="AK10364" s="171"/>
    </row>
    <row r="10365" spans="1:41" s="103" customFormat="1" ht="19.899999999999999" customHeight="1" x14ac:dyDescent="0.25">
      <c r="A10365" s="51"/>
      <c r="B10365" s="52"/>
      <c r="C10365" s="165"/>
      <c r="D10365" s="52"/>
      <c r="E10365" s="115"/>
      <c r="F10365" s="58"/>
      <c r="G10365" s="58"/>
      <c r="H10365" s="58"/>
      <c r="I10365" s="55"/>
      <c r="J10365" s="113">
        <f>J10347</f>
        <v>1281.4000000000001</v>
      </c>
      <c r="K10365" s="212">
        <f>K10347</f>
        <v>1281.4000000000001</v>
      </c>
      <c r="L10365" s="58"/>
      <c r="M10365" s="58">
        <f>K10365-L10365</f>
        <v>1281.4000000000001</v>
      </c>
      <c r="N10365" s="166"/>
      <c r="O10365" s="58"/>
      <c r="P10365" s="58"/>
      <c r="Q10365" s="58"/>
      <c r="R10365" s="58"/>
      <c r="S10365" s="58"/>
      <c r="T10365" s="220"/>
      <c r="U10365" s="88"/>
      <c r="V10365" s="56"/>
      <c r="W10365" s="57" t="s">
        <v>1040</v>
      </c>
      <c r="X10365" s="53"/>
      <c r="Y10365" s="91" t="s">
        <v>68</v>
      </c>
      <c r="Z10365" s="136">
        <f>AD10365/AC10365</f>
        <v>5</v>
      </c>
      <c r="AA10365" s="58"/>
      <c r="AB10365" s="53">
        <f>AD10365/AC10365</f>
        <v>5</v>
      </c>
      <c r="AC10365" s="53">
        <f>M10365+$AE$10</f>
        <v>1281.4000000000001</v>
      </c>
      <c r="AD10365" s="54">
        <f>SUM(AD10366)</f>
        <v>6407</v>
      </c>
      <c r="AE10365" s="184">
        <f>SUMIFS($AD$37:$AD$12971,$V$37:$V$12971,$V10365,$X$37:$X$12971,AE$13)</f>
        <v>0</v>
      </c>
      <c r="AF10365" s="185">
        <f>SUMIFS($AD$37:$AD$12971,$V$37:$V$12971,$V10365,$X$37:$X$12971,AF$13)</f>
        <v>0</v>
      </c>
      <c r="AG10365" s="185">
        <f>SUMIFS($AD$37:$AD$12971,$V$37:$V$12971,$V10365,$X$37:$X$12971,AG$13)</f>
        <v>0</v>
      </c>
      <c r="AH10365" s="187">
        <f>SUMIFS($AD$37:$AD$12971,$V$37:$V$12971,$V10365,$X$37:$X$12971,AH$13)</f>
        <v>0</v>
      </c>
      <c r="AI10365" s="161">
        <f t="shared" ref="AI10365" si="6909">SUM(AE10365:AH10365)</f>
        <v>0</v>
      </c>
      <c r="AK10365" s="172"/>
    </row>
    <row r="10366" spans="1:41" s="102" customFormat="1" ht="19.899999999999999" customHeight="1" x14ac:dyDescent="0.25">
      <c r="A10366" s="45"/>
      <c r="B10366" s="59"/>
      <c r="C10366" s="137"/>
      <c r="D10366" s="59"/>
      <c r="E10366" s="116"/>
      <c r="F10366" s="120"/>
      <c r="G10366" s="120"/>
      <c r="H10366" s="120"/>
      <c r="I10366" s="60"/>
      <c r="J10366" s="116"/>
      <c r="K10366" s="213"/>
      <c r="L10366" s="120"/>
      <c r="M10366" s="120"/>
      <c r="N10366" s="167"/>
      <c r="O10366" s="120"/>
      <c r="P10366" s="120"/>
      <c r="Q10366" s="120"/>
      <c r="R10366" s="120"/>
      <c r="S10366" s="120"/>
      <c r="T10366" s="221"/>
      <c r="U10366" s="89"/>
      <c r="V10366" s="61"/>
      <c r="W10366" s="92" t="s">
        <v>1039</v>
      </c>
      <c r="X10366" s="93" t="s">
        <v>32</v>
      </c>
      <c r="Y10366" s="93" t="s">
        <v>68</v>
      </c>
      <c r="Z10366" s="134">
        <f>VLOOKUP(W10366,Sheet2!$B:$D,3,FALSE)</f>
        <v>5</v>
      </c>
      <c r="AA10366" s="93">
        <v>1</v>
      </c>
      <c r="AB10366" s="93">
        <f>AD10366/AC10365</f>
        <v>5</v>
      </c>
      <c r="AC10366" s="93">
        <f>AC10365/AA10366</f>
        <v>1281.4000000000001</v>
      </c>
      <c r="AD10366" s="94">
        <f t="shared" ref="AD10366" si="6910">AC10366*Z10366</f>
        <v>6407</v>
      </c>
      <c r="AE10366" s="190"/>
      <c r="AF10366" s="191"/>
      <c r="AG10366" s="191"/>
      <c r="AH10366" s="191"/>
      <c r="AI10366" s="186"/>
      <c r="AK10366" s="171"/>
    </row>
    <row r="10367" spans="1:41" ht="20.100000000000001" customHeight="1" x14ac:dyDescent="0.25">
      <c r="A10367" s="277" t="s">
        <v>961</v>
      </c>
      <c r="B10367" s="278"/>
      <c r="C10367" s="64" t="s">
        <v>974</v>
      </c>
      <c r="D10367" s="46" t="s">
        <v>97</v>
      </c>
      <c r="E10367" s="114">
        <v>2300.8000000000002</v>
      </c>
      <c r="F10367" s="44">
        <v>454</v>
      </c>
      <c r="G10367" s="44">
        <f t="shared" si="6741"/>
        <v>1044563.2000000001</v>
      </c>
      <c r="H10367" s="44">
        <f t="shared" si="6742"/>
        <v>173.16606274509806</v>
      </c>
      <c r="I10367" s="43">
        <f t="shared" si="6743"/>
        <v>398420.47716392163</v>
      </c>
      <c r="J10367" s="112">
        <f t="shared" si="6744"/>
        <v>2300.8000000000002</v>
      </c>
      <c r="K10367" s="211">
        <f t="shared" si="6745"/>
        <v>2300.8000000000002</v>
      </c>
      <c r="L10367" s="44"/>
      <c r="M10367" s="44">
        <f t="shared" si="6755"/>
        <v>2300.8000000000002</v>
      </c>
      <c r="N10367" s="173">
        <f t="shared" si="6746"/>
        <v>1</v>
      </c>
      <c r="O10367" s="44">
        <f t="shared" si="6747"/>
        <v>454</v>
      </c>
      <c r="P10367" s="44">
        <f t="shared" si="6748"/>
        <v>1044563.2000000001</v>
      </c>
      <c r="Q10367" s="44">
        <f t="shared" si="6749"/>
        <v>173.16606274509806</v>
      </c>
      <c r="R10367" s="44">
        <f t="shared" si="6756"/>
        <v>398420.47716392163</v>
      </c>
      <c r="S10367" s="123"/>
      <c r="T10367" s="219">
        <f t="shared" si="6757"/>
        <v>398420.47716392163</v>
      </c>
      <c r="U10367" s="87"/>
      <c r="V10367" s="47"/>
      <c r="W10367" s="48"/>
      <c r="X10367" s="48"/>
      <c r="Y10367" s="48"/>
      <c r="Z10367" s="135"/>
      <c r="AA10367" s="49"/>
      <c r="AB10367" s="50">
        <f t="shared" si="6750"/>
        <v>173.16606274509806</v>
      </c>
      <c r="AC10367" s="42">
        <f t="shared" si="6758"/>
        <v>2300.8000000000002</v>
      </c>
      <c r="AD10367" s="90">
        <f>AD10368+AD10377+AD10385</f>
        <v>398420.47716392163</v>
      </c>
      <c r="AE10367" s="188">
        <f t="shared" ref="AE10367" si="6911">AE10368+AE10377+AE10385</f>
        <v>0</v>
      </c>
      <c r="AF10367" s="189">
        <f t="shared" ref="AF10367" si="6912">AF10368+AF10377+AF10385</f>
        <v>0</v>
      </c>
      <c r="AG10367" s="189">
        <f t="shared" ref="AG10367" si="6913">AG10368+AG10377+AG10385</f>
        <v>0</v>
      </c>
      <c r="AH10367" s="189">
        <f t="shared" ref="AH10367" si="6914">AH10368+AH10377+AH10385</f>
        <v>0</v>
      </c>
      <c r="AI10367" s="161">
        <f t="shared" ref="AI10367" si="6915">SUM(AE10367:AH10367)</f>
        <v>0</v>
      </c>
      <c r="AK10367" s="169">
        <v>5</v>
      </c>
      <c r="AO10367" s="19" t="s">
        <v>63</v>
      </c>
    </row>
    <row r="10368" spans="1:41" s="103" customFormat="1" ht="19.899999999999999" customHeight="1" x14ac:dyDescent="0.25">
      <c r="A10368" s="51"/>
      <c r="B10368" s="52"/>
      <c r="C10368" s="165"/>
      <c r="D10368" s="52"/>
      <c r="E10368" s="115"/>
      <c r="F10368" s="58"/>
      <c r="G10368" s="58"/>
      <c r="H10368" s="58"/>
      <c r="I10368" s="55"/>
      <c r="J10368" s="113">
        <f>J10367</f>
        <v>2300.8000000000002</v>
      </c>
      <c r="K10368" s="212">
        <f>K10367</f>
        <v>2300.8000000000002</v>
      </c>
      <c r="L10368" s="58"/>
      <c r="M10368" s="58">
        <f>K10368-L10368</f>
        <v>2300.8000000000002</v>
      </c>
      <c r="N10368" s="166"/>
      <c r="O10368" s="58"/>
      <c r="P10368" s="58"/>
      <c r="Q10368" s="58"/>
      <c r="R10368" s="58"/>
      <c r="S10368" s="58"/>
      <c r="T10368" s="220"/>
      <c r="U10368" s="88"/>
      <c r="V10368" s="56"/>
      <c r="W10368" s="57" t="s">
        <v>1042</v>
      </c>
      <c r="X10368" s="53"/>
      <c r="Y10368" s="91" t="s">
        <v>68</v>
      </c>
      <c r="Z10368" s="136">
        <f>AD10368/AC10368</f>
        <v>7.5827294117647064</v>
      </c>
      <c r="AA10368" s="58"/>
      <c r="AB10368" s="53">
        <f>AD10368/AC10368</f>
        <v>7.5827294117647064</v>
      </c>
      <c r="AC10368" s="53">
        <f>M10368+$AE$10</f>
        <v>2300.8000000000002</v>
      </c>
      <c r="AD10368" s="54">
        <f>SUM(AD10369:AD10376)</f>
        <v>17446.343830588237</v>
      </c>
      <c r="AE10368" s="184">
        <f>SUMIFS($AD$37:$AD$12971,$V$37:$V$12971,$V10368,$X$37:$X$12971,AE$13)</f>
        <v>0</v>
      </c>
      <c r="AF10368" s="185">
        <f>SUMIFS($AD$37:$AD$12971,$V$37:$V$12971,$V10368,$X$37:$X$12971,AF$13)</f>
        <v>0</v>
      </c>
      <c r="AG10368" s="185">
        <f>SUMIFS($AD$37:$AD$12971,$V$37:$V$12971,$V10368,$X$37:$X$12971,AG$13)</f>
        <v>0</v>
      </c>
      <c r="AH10368" s="187">
        <f>SUMIFS($AD$37:$AD$12971,$V$37:$V$12971,$V10368,$X$37:$X$12971,AH$13)</f>
        <v>0</v>
      </c>
      <c r="AI10368" s="161">
        <f t="shared" ref="AI10368" si="6916">SUM(AE10368:AH10368)</f>
        <v>0</v>
      </c>
      <c r="AK10368" s="172"/>
    </row>
    <row r="10369" spans="1:37" s="102" customFormat="1" ht="19.899999999999999" customHeight="1" x14ac:dyDescent="0.25">
      <c r="A10369" s="45"/>
      <c r="B10369" s="59"/>
      <c r="C10369" s="137"/>
      <c r="D10369" s="59"/>
      <c r="E10369" s="116"/>
      <c r="F10369" s="120"/>
      <c r="G10369" s="120"/>
      <c r="H10369" s="120"/>
      <c r="I10369" s="60"/>
      <c r="J10369" s="116"/>
      <c r="K10369" s="213"/>
      <c r="L10369" s="120"/>
      <c r="M10369" s="120"/>
      <c r="N10369" s="167"/>
      <c r="O10369" s="120"/>
      <c r="P10369" s="120"/>
      <c r="Q10369" s="120"/>
      <c r="R10369" s="120"/>
      <c r="S10369" s="120"/>
      <c r="T10369" s="221"/>
      <c r="U10369" s="89"/>
      <c r="V10369" s="61"/>
      <c r="W10369" s="92" t="s">
        <v>129</v>
      </c>
      <c r="X10369" s="93" t="s">
        <v>29</v>
      </c>
      <c r="Y10369" s="93" t="s">
        <v>93</v>
      </c>
      <c r="Z10369" s="134">
        <f>VLOOKUP(W10369,Sheet2!$B:$D,3,FALSE)</f>
        <v>56</v>
      </c>
      <c r="AA10369" s="93">
        <f>100/(1*1.5)</f>
        <v>66.666666666666671</v>
      </c>
      <c r="AB10369" s="93">
        <f t="shared" ref="AB10369" si="6917">AD10369/AC10368</f>
        <v>0.84</v>
      </c>
      <c r="AC10369" s="93">
        <f>AC10368/AA10369</f>
        <v>34.512</v>
      </c>
      <c r="AD10369" s="94">
        <f t="shared" ref="AD10369:AD10370" si="6918">AC10369*Z10369</f>
        <v>1932.672</v>
      </c>
      <c r="AE10369" s="190"/>
      <c r="AF10369" s="191"/>
      <c r="AG10369" s="191"/>
      <c r="AH10369" s="191"/>
      <c r="AI10369" s="186"/>
      <c r="AK10369" s="171"/>
    </row>
    <row r="10370" spans="1:37" s="102" customFormat="1" ht="19.899999999999999" customHeight="1" x14ac:dyDescent="0.25">
      <c r="A10370" s="45"/>
      <c r="B10370" s="59"/>
      <c r="C10370" s="137"/>
      <c r="D10370" s="59"/>
      <c r="E10370" s="116"/>
      <c r="F10370" s="120"/>
      <c r="G10370" s="120"/>
      <c r="H10370" s="120"/>
      <c r="I10370" s="60"/>
      <c r="J10370" s="116"/>
      <c r="K10370" s="213"/>
      <c r="L10370" s="120"/>
      <c r="M10370" s="120"/>
      <c r="N10370" s="167"/>
      <c r="O10370" s="120"/>
      <c r="P10370" s="120"/>
      <c r="Q10370" s="120"/>
      <c r="R10370" s="120"/>
      <c r="S10370" s="120"/>
      <c r="T10370" s="221"/>
      <c r="U10370" s="89"/>
      <c r="V10370" s="61"/>
      <c r="W10370" s="92" t="s">
        <v>65</v>
      </c>
      <c r="X10370" s="93" t="s">
        <v>30</v>
      </c>
      <c r="Y10370" s="93" t="s">
        <v>1011</v>
      </c>
      <c r="Z10370" s="134">
        <f>VLOOKUP(W10370,Sheet2!$B:$D,3,FALSE)</f>
        <v>1.76</v>
      </c>
      <c r="AA10370" s="93">
        <f>AA10369/14</f>
        <v>4.7619047619047619</v>
      </c>
      <c r="AB10370" s="93">
        <f>AD10370/AC10368</f>
        <v>0.36960000000000004</v>
      </c>
      <c r="AC10370" s="93">
        <f>AC10368/AA10370</f>
        <v>483.16800000000006</v>
      </c>
      <c r="AD10370" s="94">
        <f t="shared" si="6918"/>
        <v>850.3756800000001</v>
      </c>
      <c r="AE10370" s="190"/>
      <c r="AF10370" s="191"/>
      <c r="AG10370" s="191"/>
      <c r="AH10370" s="191"/>
      <c r="AI10370" s="186"/>
      <c r="AK10370" s="171"/>
    </row>
    <row r="10371" spans="1:37" s="102" customFormat="1" ht="19.899999999999999" customHeight="1" x14ac:dyDescent="0.25">
      <c r="A10371" s="45"/>
      <c r="B10371" s="59"/>
      <c r="C10371" s="137"/>
      <c r="D10371" s="59"/>
      <c r="E10371" s="116"/>
      <c r="F10371" s="120"/>
      <c r="G10371" s="120"/>
      <c r="H10371" s="120"/>
      <c r="I10371" s="60"/>
      <c r="J10371" s="116"/>
      <c r="K10371" s="213"/>
      <c r="L10371" s="120"/>
      <c r="M10371" s="120"/>
      <c r="N10371" s="167"/>
      <c r="O10371" s="120"/>
      <c r="P10371" s="120"/>
      <c r="Q10371" s="120"/>
      <c r="R10371" s="120"/>
      <c r="S10371" s="120"/>
      <c r="T10371" s="221"/>
      <c r="U10371" s="89"/>
      <c r="V10371" s="61"/>
      <c r="W10371" s="92" t="s">
        <v>161</v>
      </c>
      <c r="X10371" s="93" t="s">
        <v>29</v>
      </c>
      <c r="Y10371" s="93" t="s">
        <v>93</v>
      </c>
      <c r="Z10371" s="134">
        <f>VLOOKUP(W10371,Sheet2!$B:$D,3,FALSE)</f>
        <v>48</v>
      </c>
      <c r="AA10371" s="93">
        <f>(16*0.85*1.5)/(1*1.5)</f>
        <v>13.6</v>
      </c>
      <c r="AB10371" s="93">
        <f>AD10371/AC10368</f>
        <v>3.5294117647058822</v>
      </c>
      <c r="AC10371" s="93">
        <f>AC10368/AA10371</f>
        <v>169.1764705882353</v>
      </c>
      <c r="AD10371" s="94">
        <f>AC10371*Z10371</f>
        <v>8120.4705882352946</v>
      </c>
      <c r="AE10371" s="190"/>
      <c r="AF10371" s="191"/>
      <c r="AG10371" s="191"/>
      <c r="AH10371" s="191"/>
      <c r="AI10371" s="186"/>
      <c r="AK10371" s="171"/>
    </row>
    <row r="10372" spans="1:37" s="102" customFormat="1" ht="19.899999999999999" customHeight="1" x14ac:dyDescent="0.25">
      <c r="A10372" s="45"/>
      <c r="B10372" s="59"/>
      <c r="C10372" s="137"/>
      <c r="D10372" s="59"/>
      <c r="E10372" s="116"/>
      <c r="F10372" s="120"/>
      <c r="G10372" s="120"/>
      <c r="H10372" s="120"/>
      <c r="I10372" s="60"/>
      <c r="J10372" s="116"/>
      <c r="K10372" s="213"/>
      <c r="L10372" s="120"/>
      <c r="M10372" s="120"/>
      <c r="N10372" s="167"/>
      <c r="O10372" s="120"/>
      <c r="P10372" s="120"/>
      <c r="Q10372" s="120"/>
      <c r="R10372" s="120"/>
      <c r="S10372" s="120"/>
      <c r="T10372" s="221"/>
      <c r="U10372" s="89"/>
      <c r="V10372" s="61"/>
      <c r="W10372" s="92" t="s">
        <v>65</v>
      </c>
      <c r="X10372" s="93" t="s">
        <v>30</v>
      </c>
      <c r="Y10372" s="93" t="s">
        <v>1011</v>
      </c>
      <c r="Z10372" s="134">
        <f>VLOOKUP(W10372,Sheet2!$B:$D,3,FALSE)</f>
        <v>1.76</v>
      </c>
      <c r="AA10372" s="93">
        <f>AA10371/10</f>
        <v>1.3599999999999999</v>
      </c>
      <c r="AB10372" s="93">
        <f>AD10372/AC10368</f>
        <v>1.2941176470588236</v>
      </c>
      <c r="AC10372" s="93">
        <f>AC10368/AA10372</f>
        <v>1691.7647058823532</v>
      </c>
      <c r="AD10372" s="94">
        <f>AC10372*Z10372</f>
        <v>2977.5058823529416</v>
      </c>
      <c r="AE10372" s="190"/>
      <c r="AF10372" s="191"/>
      <c r="AG10372" s="191"/>
      <c r="AH10372" s="191"/>
      <c r="AI10372" s="186"/>
      <c r="AK10372" s="171"/>
    </row>
    <row r="10373" spans="1:37" s="102" customFormat="1" ht="19.899999999999999" customHeight="1" x14ac:dyDescent="0.25">
      <c r="A10373" s="45"/>
      <c r="B10373" s="59"/>
      <c r="C10373" s="137"/>
      <c r="D10373" s="59"/>
      <c r="E10373" s="116"/>
      <c r="F10373" s="120"/>
      <c r="G10373" s="120"/>
      <c r="H10373" s="120"/>
      <c r="I10373" s="60"/>
      <c r="J10373" s="116"/>
      <c r="K10373" s="213"/>
      <c r="L10373" s="120"/>
      <c r="M10373" s="120"/>
      <c r="N10373" s="167"/>
      <c r="O10373" s="120"/>
      <c r="P10373" s="120"/>
      <c r="Q10373" s="120"/>
      <c r="R10373" s="120"/>
      <c r="S10373" s="120"/>
      <c r="T10373" s="221"/>
      <c r="U10373" s="89"/>
      <c r="V10373" s="61"/>
      <c r="W10373" s="92" t="s">
        <v>1030</v>
      </c>
      <c r="X10373" s="93" t="s">
        <v>29</v>
      </c>
      <c r="Y10373" s="93" t="s">
        <v>93</v>
      </c>
      <c r="Z10373" s="134">
        <f>VLOOKUP(W10373,Sheet2!$B:$D,3,FALSE)</f>
        <v>23</v>
      </c>
      <c r="AA10373" s="93">
        <v>50</v>
      </c>
      <c r="AB10373" s="93">
        <f>AD10373/AC10368</f>
        <v>0.46</v>
      </c>
      <c r="AC10373" s="93">
        <f>AC10368/AA10373</f>
        <v>46.016000000000005</v>
      </c>
      <c r="AD10373" s="94">
        <f t="shared" ref="AD10373:AD10376" si="6919">AC10373*Z10373</f>
        <v>1058.3680000000002</v>
      </c>
      <c r="AE10373" s="190"/>
      <c r="AF10373" s="191"/>
      <c r="AG10373" s="191"/>
      <c r="AH10373" s="191"/>
      <c r="AI10373" s="186"/>
      <c r="AK10373" s="171"/>
    </row>
    <row r="10374" spans="1:37" s="102" customFormat="1" ht="19.899999999999999" customHeight="1" x14ac:dyDescent="0.25">
      <c r="A10374" s="45"/>
      <c r="B10374" s="59"/>
      <c r="C10374" s="137"/>
      <c r="D10374" s="59"/>
      <c r="E10374" s="116"/>
      <c r="F10374" s="120"/>
      <c r="G10374" s="120"/>
      <c r="H10374" s="120"/>
      <c r="I10374" s="60"/>
      <c r="J10374" s="116"/>
      <c r="K10374" s="213"/>
      <c r="L10374" s="120"/>
      <c r="M10374" s="120"/>
      <c r="N10374" s="167"/>
      <c r="O10374" s="120"/>
      <c r="P10374" s="120"/>
      <c r="Q10374" s="120"/>
      <c r="R10374" s="120"/>
      <c r="S10374" s="120"/>
      <c r="T10374" s="221"/>
      <c r="U10374" s="89"/>
      <c r="V10374" s="61"/>
      <c r="W10374" s="92" t="s">
        <v>65</v>
      </c>
      <c r="X10374" s="93" t="s">
        <v>30</v>
      </c>
      <c r="Y10374" s="93" t="s">
        <v>1011</v>
      </c>
      <c r="Z10374" s="134">
        <f>VLOOKUP(W10374,Sheet2!$B:$D,3,FALSE)</f>
        <v>1.76</v>
      </c>
      <c r="AA10374" s="93">
        <f>AA10373/3</f>
        <v>16.666666666666668</v>
      </c>
      <c r="AB10374" s="93">
        <f>AD10374/AC10368</f>
        <v>0.1056</v>
      </c>
      <c r="AC10374" s="93">
        <f>AC10368/AA10374</f>
        <v>138.048</v>
      </c>
      <c r="AD10374" s="94">
        <f t="shared" si="6919"/>
        <v>242.96448000000001</v>
      </c>
      <c r="AE10374" s="190"/>
      <c r="AF10374" s="191"/>
      <c r="AG10374" s="191"/>
      <c r="AH10374" s="191"/>
      <c r="AI10374" s="186"/>
      <c r="AK10374" s="171"/>
    </row>
    <row r="10375" spans="1:37" s="102" customFormat="1" ht="19.899999999999999" customHeight="1" x14ac:dyDescent="0.25">
      <c r="A10375" s="45"/>
      <c r="B10375" s="59"/>
      <c r="C10375" s="137"/>
      <c r="D10375" s="59"/>
      <c r="E10375" s="116"/>
      <c r="F10375" s="120"/>
      <c r="G10375" s="120"/>
      <c r="H10375" s="120"/>
      <c r="I10375" s="60"/>
      <c r="J10375" s="116"/>
      <c r="K10375" s="213"/>
      <c r="L10375" s="120"/>
      <c r="M10375" s="120"/>
      <c r="N10375" s="167"/>
      <c r="O10375" s="120"/>
      <c r="P10375" s="120"/>
      <c r="Q10375" s="120"/>
      <c r="R10375" s="120"/>
      <c r="S10375" s="120"/>
      <c r="T10375" s="221"/>
      <c r="U10375" s="89"/>
      <c r="V10375" s="61"/>
      <c r="W10375" s="92" t="s">
        <v>148</v>
      </c>
      <c r="X10375" s="93" t="s">
        <v>29</v>
      </c>
      <c r="Y10375" s="93" t="s">
        <v>93</v>
      </c>
      <c r="Z10375" s="134">
        <f>VLOOKUP(W10375,Sheet2!$B:$D,3,FALSE)</f>
        <v>48</v>
      </c>
      <c r="AA10375" s="93">
        <f>AA10369</f>
        <v>66.666666666666671</v>
      </c>
      <c r="AB10375" s="93">
        <f>AD10375/AC10368</f>
        <v>0.72</v>
      </c>
      <c r="AC10375" s="93">
        <f>AC10368/AA10375</f>
        <v>34.512</v>
      </c>
      <c r="AD10375" s="94">
        <f t="shared" si="6919"/>
        <v>1656.576</v>
      </c>
      <c r="AE10375" s="190"/>
      <c r="AF10375" s="191"/>
      <c r="AG10375" s="191"/>
      <c r="AH10375" s="191"/>
      <c r="AI10375" s="186"/>
      <c r="AK10375" s="171"/>
    </row>
    <row r="10376" spans="1:37" s="102" customFormat="1" ht="19.899999999999999" customHeight="1" x14ac:dyDescent="0.25">
      <c r="A10376" s="45"/>
      <c r="B10376" s="59"/>
      <c r="C10376" s="137"/>
      <c r="D10376" s="59"/>
      <c r="E10376" s="116"/>
      <c r="F10376" s="120"/>
      <c r="G10376" s="120"/>
      <c r="H10376" s="120"/>
      <c r="I10376" s="60"/>
      <c r="J10376" s="116"/>
      <c r="K10376" s="213"/>
      <c r="L10376" s="120"/>
      <c r="M10376" s="120"/>
      <c r="N10376" s="167"/>
      <c r="O10376" s="120"/>
      <c r="P10376" s="120"/>
      <c r="Q10376" s="120"/>
      <c r="R10376" s="120"/>
      <c r="S10376" s="120"/>
      <c r="T10376" s="221"/>
      <c r="U10376" s="89"/>
      <c r="V10376" s="61"/>
      <c r="W10376" s="92" t="s">
        <v>65</v>
      </c>
      <c r="X10376" s="93" t="s">
        <v>30</v>
      </c>
      <c r="Y10376" s="93" t="s">
        <v>1011</v>
      </c>
      <c r="Z10376" s="134">
        <f>VLOOKUP(W10376,Sheet2!$B:$D,3,FALSE)</f>
        <v>1.76</v>
      </c>
      <c r="AA10376" s="93">
        <f>AA10375/10</f>
        <v>6.666666666666667</v>
      </c>
      <c r="AB10376" s="93">
        <f>AD10376/AC10368</f>
        <v>0.26399999999999996</v>
      </c>
      <c r="AC10376" s="93">
        <f>AC10368/AA10376</f>
        <v>345.12</v>
      </c>
      <c r="AD10376" s="94">
        <f t="shared" si="6919"/>
        <v>607.41120000000001</v>
      </c>
      <c r="AE10376" s="190"/>
      <c r="AF10376" s="191"/>
      <c r="AG10376" s="191"/>
      <c r="AH10376" s="191"/>
      <c r="AI10376" s="186"/>
      <c r="AK10376" s="171"/>
    </row>
    <row r="10377" spans="1:37" s="103" customFormat="1" ht="19.899999999999999" customHeight="1" x14ac:dyDescent="0.25">
      <c r="A10377" s="51"/>
      <c r="B10377" s="52"/>
      <c r="C10377" s="165"/>
      <c r="D10377" s="52"/>
      <c r="E10377" s="115"/>
      <c r="F10377" s="58"/>
      <c r="G10377" s="58"/>
      <c r="H10377" s="58"/>
      <c r="I10377" s="55"/>
      <c r="J10377" s="113">
        <f>J10367</f>
        <v>2300.8000000000002</v>
      </c>
      <c r="K10377" s="212">
        <f>K10367</f>
        <v>2300.8000000000002</v>
      </c>
      <c r="L10377" s="58"/>
      <c r="M10377" s="58">
        <f>K10377-L10377</f>
        <v>2300.8000000000002</v>
      </c>
      <c r="N10377" s="166"/>
      <c r="O10377" s="58"/>
      <c r="P10377" s="58"/>
      <c r="Q10377" s="58"/>
      <c r="R10377" s="58"/>
      <c r="S10377" s="58"/>
      <c r="T10377" s="220"/>
      <c r="U10377" s="88"/>
      <c r="V10377" s="56"/>
      <c r="W10377" s="57" t="s">
        <v>1036</v>
      </c>
      <c r="X10377" s="53"/>
      <c r="Y10377" s="91" t="s">
        <v>68</v>
      </c>
      <c r="Z10377" s="136">
        <f>AD10377/AC10377</f>
        <v>160.58333333333337</v>
      </c>
      <c r="AA10377" s="58"/>
      <c r="AB10377" s="53">
        <f>AD10377/AC10377</f>
        <v>160.58333333333337</v>
      </c>
      <c r="AC10377" s="53">
        <f>M10377+$AE$10</f>
        <v>2300.8000000000002</v>
      </c>
      <c r="AD10377" s="54">
        <f>SUM(AD10378:AD10384)</f>
        <v>369470.13333333342</v>
      </c>
      <c r="AE10377" s="184">
        <f>SUMIFS($AD$37:$AD$12971,$V$37:$V$12971,$V10377,$X$37:$X$12971,AE$13)</f>
        <v>0</v>
      </c>
      <c r="AF10377" s="185">
        <f>SUMIFS($AD$37:$AD$12971,$V$37:$V$12971,$V10377,$X$37:$X$12971,AF$13)</f>
        <v>0</v>
      </c>
      <c r="AG10377" s="185">
        <f>SUMIFS($AD$37:$AD$12971,$V$37:$V$12971,$V10377,$X$37:$X$12971,AG$13)</f>
        <v>0</v>
      </c>
      <c r="AH10377" s="187">
        <f>SUMIFS($AD$37:$AD$12971,$V$37:$V$12971,$V10377,$X$37:$X$12971,AH$13)</f>
        <v>0</v>
      </c>
      <c r="AI10377" s="161">
        <f t="shared" ref="AI10377" si="6920">SUM(AE10377:AH10377)</f>
        <v>0</v>
      </c>
      <c r="AK10377" s="172"/>
    </row>
    <row r="10378" spans="1:37" s="102" customFormat="1" ht="19.899999999999999" customHeight="1" x14ac:dyDescent="0.25">
      <c r="A10378" s="45"/>
      <c r="B10378" s="59"/>
      <c r="C10378" s="137"/>
      <c r="D10378" s="59"/>
      <c r="E10378" s="116"/>
      <c r="F10378" s="120"/>
      <c r="G10378" s="120"/>
      <c r="H10378" s="120"/>
      <c r="I10378" s="60"/>
      <c r="J10378" s="116"/>
      <c r="K10378" s="213"/>
      <c r="L10378" s="120"/>
      <c r="M10378" s="120"/>
      <c r="N10378" s="167"/>
      <c r="O10378" s="120"/>
      <c r="P10378" s="120"/>
      <c r="Q10378" s="120"/>
      <c r="R10378" s="120"/>
      <c r="S10378" s="120"/>
      <c r="T10378" s="221"/>
      <c r="U10378" s="89"/>
      <c r="V10378" s="61"/>
      <c r="W10378" s="92" t="s">
        <v>1229</v>
      </c>
      <c r="X10378" s="93" t="s">
        <v>30</v>
      </c>
      <c r="Y10378" s="93" t="s">
        <v>68</v>
      </c>
      <c r="Z10378" s="134">
        <f>VLOOKUP(W10378,Sheet2!$B:$D,3,FALSE)</f>
        <v>95</v>
      </c>
      <c r="AA10378" s="93">
        <v>1</v>
      </c>
      <c r="AB10378" s="93">
        <f>AD10378/AC10377</f>
        <v>95</v>
      </c>
      <c r="AC10378" s="93">
        <f>AC10377/AA10378</f>
        <v>2300.8000000000002</v>
      </c>
      <c r="AD10378" s="94">
        <f t="shared" ref="AD10378" si="6921">AC10378*Z10378</f>
        <v>218576.00000000003</v>
      </c>
      <c r="AE10378" s="190"/>
      <c r="AF10378" s="191"/>
      <c r="AG10378" s="191"/>
      <c r="AH10378" s="191"/>
      <c r="AI10378" s="186"/>
      <c r="AK10378" s="171"/>
    </row>
    <row r="10379" spans="1:37" s="102" customFormat="1" ht="19.899999999999999" customHeight="1" x14ac:dyDescent="0.25">
      <c r="A10379" s="45"/>
      <c r="B10379" s="59"/>
      <c r="C10379" s="137"/>
      <c r="D10379" s="59"/>
      <c r="E10379" s="116"/>
      <c r="F10379" s="120"/>
      <c r="G10379" s="120"/>
      <c r="H10379" s="120"/>
      <c r="I10379" s="60"/>
      <c r="J10379" s="116"/>
      <c r="K10379" s="213"/>
      <c r="L10379" s="120"/>
      <c r="M10379" s="120"/>
      <c r="N10379" s="167"/>
      <c r="O10379" s="120"/>
      <c r="P10379" s="120"/>
      <c r="Q10379" s="120"/>
      <c r="R10379" s="120"/>
      <c r="S10379" s="120"/>
      <c r="T10379" s="221"/>
      <c r="U10379" s="89"/>
      <c r="V10379" s="61"/>
      <c r="W10379" s="92" t="s">
        <v>1230</v>
      </c>
      <c r="X10379" s="93" t="s">
        <v>30</v>
      </c>
      <c r="Y10379" s="93" t="s">
        <v>68</v>
      </c>
      <c r="Z10379" s="134">
        <f>VLOOKUP(W10379,Sheet2!$B:$D,3,FALSE)</f>
        <v>10</v>
      </c>
      <c r="AA10379" s="93">
        <v>1</v>
      </c>
      <c r="AB10379" s="93">
        <f>AD10379/AC10377</f>
        <v>10</v>
      </c>
      <c r="AC10379" s="93">
        <f>AC10377/AA10379</f>
        <v>2300.8000000000002</v>
      </c>
      <c r="AD10379" s="94">
        <f>AC10379*Z10379</f>
        <v>23008</v>
      </c>
      <c r="AE10379" s="190"/>
      <c r="AF10379" s="191"/>
      <c r="AG10379" s="191"/>
      <c r="AH10379" s="191"/>
      <c r="AI10379" s="186"/>
      <c r="AK10379" s="171"/>
    </row>
    <row r="10380" spans="1:37" s="102" customFormat="1" ht="19.899999999999999" customHeight="1" x14ac:dyDescent="0.25">
      <c r="A10380" s="45"/>
      <c r="B10380" s="59"/>
      <c r="C10380" s="137"/>
      <c r="D10380" s="59"/>
      <c r="E10380" s="116"/>
      <c r="F10380" s="120"/>
      <c r="G10380" s="120"/>
      <c r="H10380" s="120"/>
      <c r="I10380" s="60"/>
      <c r="J10380" s="116"/>
      <c r="K10380" s="213"/>
      <c r="L10380" s="120"/>
      <c r="M10380" s="120"/>
      <c r="N10380" s="167"/>
      <c r="O10380" s="120"/>
      <c r="P10380" s="120"/>
      <c r="Q10380" s="120"/>
      <c r="R10380" s="120"/>
      <c r="S10380" s="120"/>
      <c r="T10380" s="221"/>
      <c r="U10380" s="89"/>
      <c r="V10380" s="61"/>
      <c r="W10380" s="92" t="s">
        <v>107</v>
      </c>
      <c r="X10380" s="93" t="s">
        <v>31</v>
      </c>
      <c r="Y10380" s="93" t="s">
        <v>93</v>
      </c>
      <c r="Z10380" s="134">
        <f>VLOOKUP(W10380,Sheet2!$B:$D,3,FALSE)</f>
        <v>17</v>
      </c>
      <c r="AA10380" s="93">
        <v>2</v>
      </c>
      <c r="AB10380" s="93">
        <f>AD10380/AC10377</f>
        <v>8.5</v>
      </c>
      <c r="AC10380" s="93">
        <f>AC10377/AA10380</f>
        <v>1150.4000000000001</v>
      </c>
      <c r="AD10380" s="94">
        <f>AC10380*Z10380</f>
        <v>19556.800000000003</v>
      </c>
      <c r="AE10380" s="190"/>
      <c r="AF10380" s="191"/>
      <c r="AG10380" s="191"/>
      <c r="AH10380" s="191"/>
      <c r="AI10380" s="186"/>
      <c r="AK10380" s="171"/>
    </row>
    <row r="10381" spans="1:37" s="102" customFormat="1" ht="19.899999999999999" customHeight="1" x14ac:dyDescent="0.25">
      <c r="A10381" s="45"/>
      <c r="B10381" s="59"/>
      <c r="C10381" s="137"/>
      <c r="D10381" s="59"/>
      <c r="E10381" s="116"/>
      <c r="F10381" s="120"/>
      <c r="G10381" s="120"/>
      <c r="H10381" s="120"/>
      <c r="I10381" s="60"/>
      <c r="J10381" s="116"/>
      <c r="K10381" s="213"/>
      <c r="L10381" s="120"/>
      <c r="M10381" s="120"/>
      <c r="N10381" s="167"/>
      <c r="O10381" s="120"/>
      <c r="P10381" s="120"/>
      <c r="Q10381" s="120"/>
      <c r="R10381" s="120"/>
      <c r="S10381" s="120"/>
      <c r="T10381" s="221"/>
      <c r="U10381" s="89"/>
      <c r="V10381" s="61"/>
      <c r="W10381" s="92" t="s">
        <v>112</v>
      </c>
      <c r="X10381" s="93" t="s">
        <v>31</v>
      </c>
      <c r="Y10381" s="93" t="s">
        <v>93</v>
      </c>
      <c r="Z10381" s="134">
        <f>VLOOKUP(W10381,Sheet2!$B:$D,3,FALSE)</f>
        <v>13</v>
      </c>
      <c r="AA10381" s="93">
        <v>2</v>
      </c>
      <c r="AB10381" s="93">
        <f>AD10381/AC10377</f>
        <v>6.5</v>
      </c>
      <c r="AC10381" s="93">
        <f>AC10377/AA10381</f>
        <v>1150.4000000000001</v>
      </c>
      <c r="AD10381" s="94">
        <f>AC10381*Z10381</f>
        <v>14955.2</v>
      </c>
      <c r="AE10381" s="190"/>
      <c r="AF10381" s="191"/>
      <c r="AG10381" s="191"/>
      <c r="AH10381" s="191"/>
      <c r="AI10381" s="186"/>
      <c r="AK10381" s="171"/>
    </row>
    <row r="10382" spans="1:37" s="102" customFormat="1" ht="19.899999999999999" customHeight="1" x14ac:dyDescent="0.25">
      <c r="A10382" s="45"/>
      <c r="B10382" s="59"/>
      <c r="C10382" s="137"/>
      <c r="D10382" s="59"/>
      <c r="E10382" s="116"/>
      <c r="F10382" s="120"/>
      <c r="G10382" s="120"/>
      <c r="H10382" s="120"/>
      <c r="I10382" s="60"/>
      <c r="J10382" s="116"/>
      <c r="K10382" s="213"/>
      <c r="L10382" s="120"/>
      <c r="M10382" s="120"/>
      <c r="N10382" s="167"/>
      <c r="O10382" s="120"/>
      <c r="P10382" s="120"/>
      <c r="Q10382" s="120"/>
      <c r="R10382" s="120"/>
      <c r="S10382" s="120"/>
      <c r="T10382" s="221"/>
      <c r="U10382" s="89"/>
      <c r="V10382" s="61"/>
      <c r="W10382" s="92" t="s">
        <v>1032</v>
      </c>
      <c r="X10382" s="93" t="s">
        <v>30</v>
      </c>
      <c r="Y10382" s="93" t="s">
        <v>66</v>
      </c>
      <c r="Z10382" s="134">
        <f>VLOOKUP(W10382,Sheet2!$B:$D,3,FALSE)</f>
        <v>250</v>
      </c>
      <c r="AA10382" s="93">
        <f>1/(1*1*0.1)</f>
        <v>10</v>
      </c>
      <c r="AB10382" s="93">
        <f>AD10382/AC10377</f>
        <v>24.999999999999996</v>
      </c>
      <c r="AC10382" s="93">
        <f>AC10377/AA10382</f>
        <v>230.08</v>
      </c>
      <c r="AD10382" s="94">
        <f>AC10382*Z10382</f>
        <v>57520</v>
      </c>
      <c r="AE10382" s="190"/>
      <c r="AF10382" s="191"/>
      <c r="AG10382" s="191"/>
      <c r="AH10382" s="191"/>
      <c r="AI10382" s="186"/>
      <c r="AK10382" s="171"/>
    </row>
    <row r="10383" spans="1:37" s="102" customFormat="1" ht="19.899999999999999" customHeight="1" x14ac:dyDescent="0.25">
      <c r="A10383" s="45"/>
      <c r="B10383" s="59"/>
      <c r="C10383" s="137"/>
      <c r="D10383" s="59"/>
      <c r="E10383" s="116"/>
      <c r="F10383" s="120"/>
      <c r="G10383" s="120"/>
      <c r="H10383" s="120"/>
      <c r="I10383" s="60"/>
      <c r="J10383" s="116"/>
      <c r="K10383" s="213"/>
      <c r="L10383" s="120"/>
      <c r="M10383" s="120"/>
      <c r="N10383" s="167"/>
      <c r="O10383" s="120"/>
      <c r="P10383" s="120"/>
      <c r="Q10383" s="120"/>
      <c r="R10383" s="120"/>
      <c r="S10383" s="120"/>
      <c r="T10383" s="221"/>
      <c r="U10383" s="89"/>
      <c r="V10383" s="61"/>
      <c r="W10383" s="92" t="s">
        <v>1035</v>
      </c>
      <c r="X10383" s="93" t="s">
        <v>32</v>
      </c>
      <c r="Y10383" s="93" t="s">
        <v>66</v>
      </c>
      <c r="Z10383" s="134">
        <f>VLOOKUP(W10383,Sheet2!$B:$D,3,FALSE)</f>
        <v>150</v>
      </c>
      <c r="AA10383" s="93">
        <f>AA10382</f>
        <v>10</v>
      </c>
      <c r="AB10383" s="93">
        <f>AD10383/AC10377</f>
        <v>14.999999999999998</v>
      </c>
      <c r="AC10383" s="93">
        <f>AC10377/AA10383</f>
        <v>230.08</v>
      </c>
      <c r="AD10383" s="94">
        <f t="shared" ref="AD10383:AD10384" si="6922">AC10383*Z10383</f>
        <v>34512</v>
      </c>
      <c r="AE10383" s="190"/>
      <c r="AF10383" s="191"/>
      <c r="AG10383" s="191"/>
      <c r="AH10383" s="191"/>
      <c r="AI10383" s="186"/>
      <c r="AK10383" s="171"/>
    </row>
    <row r="10384" spans="1:37" s="102" customFormat="1" ht="19.899999999999999" customHeight="1" x14ac:dyDescent="0.25">
      <c r="A10384" s="45"/>
      <c r="B10384" s="59"/>
      <c r="C10384" s="137"/>
      <c r="D10384" s="59"/>
      <c r="E10384" s="116"/>
      <c r="F10384" s="120"/>
      <c r="G10384" s="120"/>
      <c r="H10384" s="120"/>
      <c r="I10384" s="60"/>
      <c r="J10384" s="116"/>
      <c r="K10384" s="213"/>
      <c r="L10384" s="120"/>
      <c r="M10384" s="120"/>
      <c r="N10384" s="167"/>
      <c r="O10384" s="120"/>
      <c r="P10384" s="120"/>
      <c r="Q10384" s="120"/>
      <c r="R10384" s="120"/>
      <c r="S10384" s="120"/>
      <c r="T10384" s="221"/>
      <c r="U10384" s="89"/>
      <c r="V10384" s="61"/>
      <c r="W10384" s="92" t="s">
        <v>1037</v>
      </c>
      <c r="X10384" s="93" t="s">
        <v>30</v>
      </c>
      <c r="Y10384" s="93" t="s">
        <v>1038</v>
      </c>
      <c r="Z10384" s="134">
        <f>VLOOKUP(W10384,Sheet2!$B:$D,3,FALSE)</f>
        <v>175</v>
      </c>
      <c r="AA10384" s="93">
        <v>300</v>
      </c>
      <c r="AB10384" s="93">
        <f>AD10384/AC10377</f>
        <v>0.58333333333333337</v>
      </c>
      <c r="AC10384" s="93">
        <f>AC10377/AA10384</f>
        <v>7.6693333333333342</v>
      </c>
      <c r="AD10384" s="94">
        <f t="shared" si="6922"/>
        <v>1342.1333333333334</v>
      </c>
      <c r="AE10384" s="190"/>
      <c r="AF10384" s="191"/>
      <c r="AG10384" s="191"/>
      <c r="AH10384" s="191"/>
      <c r="AI10384" s="186"/>
      <c r="AK10384" s="171"/>
    </row>
    <row r="10385" spans="1:41" s="103" customFormat="1" ht="19.899999999999999" customHeight="1" x14ac:dyDescent="0.25">
      <c r="A10385" s="51"/>
      <c r="B10385" s="52"/>
      <c r="C10385" s="165"/>
      <c r="D10385" s="52"/>
      <c r="E10385" s="115"/>
      <c r="F10385" s="58"/>
      <c r="G10385" s="58"/>
      <c r="H10385" s="58"/>
      <c r="I10385" s="55"/>
      <c r="J10385" s="113">
        <f>J10367</f>
        <v>2300.8000000000002</v>
      </c>
      <c r="K10385" s="212">
        <f>K10367</f>
        <v>2300.8000000000002</v>
      </c>
      <c r="L10385" s="58"/>
      <c r="M10385" s="58">
        <f>K10385-L10385</f>
        <v>2300.8000000000002</v>
      </c>
      <c r="N10385" s="166"/>
      <c r="O10385" s="58"/>
      <c r="P10385" s="58"/>
      <c r="Q10385" s="58"/>
      <c r="R10385" s="58"/>
      <c r="S10385" s="58"/>
      <c r="T10385" s="220"/>
      <c r="U10385" s="88"/>
      <c r="V10385" s="56"/>
      <c r="W10385" s="57" t="s">
        <v>1040</v>
      </c>
      <c r="X10385" s="53"/>
      <c r="Y10385" s="91" t="s">
        <v>68</v>
      </c>
      <c r="Z10385" s="136">
        <f>AD10385/AC10385</f>
        <v>5</v>
      </c>
      <c r="AA10385" s="58"/>
      <c r="AB10385" s="53">
        <f>AD10385/AC10385</f>
        <v>5</v>
      </c>
      <c r="AC10385" s="53">
        <f>M10385+$AE$10</f>
        <v>2300.8000000000002</v>
      </c>
      <c r="AD10385" s="54">
        <f>SUM(AD10386)</f>
        <v>11504</v>
      </c>
      <c r="AE10385" s="184">
        <f>SUMIFS($AD$37:$AD$12971,$V$37:$V$12971,$V10385,$X$37:$X$12971,AE$13)</f>
        <v>0</v>
      </c>
      <c r="AF10385" s="185">
        <f>SUMIFS($AD$37:$AD$12971,$V$37:$V$12971,$V10385,$X$37:$X$12971,AF$13)</f>
        <v>0</v>
      </c>
      <c r="AG10385" s="185">
        <f>SUMIFS($AD$37:$AD$12971,$V$37:$V$12971,$V10385,$X$37:$X$12971,AG$13)</f>
        <v>0</v>
      </c>
      <c r="AH10385" s="187">
        <f>SUMIFS($AD$37:$AD$12971,$V$37:$V$12971,$V10385,$X$37:$X$12971,AH$13)</f>
        <v>0</v>
      </c>
      <c r="AI10385" s="161">
        <f t="shared" ref="AI10385" si="6923">SUM(AE10385:AH10385)</f>
        <v>0</v>
      </c>
      <c r="AK10385" s="172"/>
    </row>
    <row r="10386" spans="1:41" s="102" customFormat="1" ht="19.899999999999999" customHeight="1" x14ac:dyDescent="0.25">
      <c r="A10386" s="45"/>
      <c r="B10386" s="59"/>
      <c r="C10386" s="137"/>
      <c r="D10386" s="59"/>
      <c r="E10386" s="116"/>
      <c r="F10386" s="120"/>
      <c r="G10386" s="120"/>
      <c r="H10386" s="120"/>
      <c r="I10386" s="60"/>
      <c r="J10386" s="116"/>
      <c r="K10386" s="213"/>
      <c r="L10386" s="120"/>
      <c r="M10386" s="120"/>
      <c r="N10386" s="167"/>
      <c r="O10386" s="120"/>
      <c r="P10386" s="120"/>
      <c r="Q10386" s="120"/>
      <c r="R10386" s="120"/>
      <c r="S10386" s="120"/>
      <c r="T10386" s="221"/>
      <c r="U10386" s="89"/>
      <c r="V10386" s="61"/>
      <c r="W10386" s="92" t="s">
        <v>1039</v>
      </c>
      <c r="X10386" s="93" t="s">
        <v>32</v>
      </c>
      <c r="Y10386" s="93" t="s">
        <v>68</v>
      </c>
      <c r="Z10386" s="134">
        <f>VLOOKUP(W10386,Sheet2!$B:$D,3,FALSE)</f>
        <v>5</v>
      </c>
      <c r="AA10386" s="93">
        <v>1</v>
      </c>
      <c r="AB10386" s="93">
        <f>AD10386/AC10385</f>
        <v>5</v>
      </c>
      <c r="AC10386" s="93">
        <f>AC10385/AA10386</f>
        <v>2300.8000000000002</v>
      </c>
      <c r="AD10386" s="94">
        <f t="shared" ref="AD10386" si="6924">AC10386*Z10386</f>
        <v>11504</v>
      </c>
      <c r="AE10386" s="190"/>
      <c r="AF10386" s="191"/>
      <c r="AG10386" s="191"/>
      <c r="AH10386" s="191"/>
      <c r="AI10386" s="186"/>
      <c r="AK10386" s="171"/>
    </row>
    <row r="10387" spans="1:41" ht="20.100000000000001" customHeight="1" x14ac:dyDescent="0.25">
      <c r="A10387" s="277" t="s">
        <v>961</v>
      </c>
      <c r="B10387" s="278"/>
      <c r="C10387" s="64" t="s">
        <v>975</v>
      </c>
      <c r="D10387" s="46" t="s">
        <v>97</v>
      </c>
      <c r="E10387" s="114">
        <v>3801.8</v>
      </c>
      <c r="F10387" s="44">
        <v>584</v>
      </c>
      <c r="G10387" s="44">
        <f t="shared" si="6741"/>
        <v>2220251.2000000002</v>
      </c>
      <c r="H10387" s="44">
        <f t="shared" si="6742"/>
        <v>227.13508862745098</v>
      </c>
      <c r="I10387" s="43">
        <f t="shared" si="6743"/>
        <v>863522.17994384316</v>
      </c>
      <c r="J10387" s="112">
        <f t="shared" si="6744"/>
        <v>3801.8</v>
      </c>
      <c r="K10387" s="211">
        <f t="shared" si="6745"/>
        <v>3801.8</v>
      </c>
      <c r="L10387" s="44"/>
      <c r="M10387" s="44">
        <f t="shared" si="6755"/>
        <v>3801.8</v>
      </c>
      <c r="N10387" s="173">
        <f t="shared" si="6746"/>
        <v>1</v>
      </c>
      <c r="O10387" s="44">
        <f t="shared" si="6747"/>
        <v>584</v>
      </c>
      <c r="P10387" s="44">
        <f t="shared" si="6748"/>
        <v>2220251.2000000002</v>
      </c>
      <c r="Q10387" s="44">
        <f t="shared" si="6749"/>
        <v>227.13508862745098</v>
      </c>
      <c r="R10387" s="44">
        <f t="shared" si="6756"/>
        <v>863522.17994384316</v>
      </c>
      <c r="S10387" s="123"/>
      <c r="T10387" s="219">
        <f t="shared" si="6757"/>
        <v>863522.17994384316</v>
      </c>
      <c r="U10387" s="87"/>
      <c r="V10387" s="47"/>
      <c r="W10387" s="48"/>
      <c r="X10387" s="48"/>
      <c r="Y10387" s="48"/>
      <c r="Z10387" s="135"/>
      <c r="AA10387" s="49"/>
      <c r="AB10387" s="50">
        <f t="shared" si="6750"/>
        <v>227.13508862745098</v>
      </c>
      <c r="AC10387" s="42">
        <f t="shared" si="6758"/>
        <v>3801.8</v>
      </c>
      <c r="AD10387" s="90">
        <f>AD10388+AD10397+AD10405</f>
        <v>863522.17994384316</v>
      </c>
      <c r="AE10387" s="188">
        <f t="shared" ref="AE10387" si="6925">AE10388+AE10397+AE10405</f>
        <v>0</v>
      </c>
      <c r="AF10387" s="189">
        <f t="shared" ref="AF10387" si="6926">AF10388+AF10397+AF10405</f>
        <v>0</v>
      </c>
      <c r="AG10387" s="189">
        <f t="shared" ref="AG10387" si="6927">AG10388+AG10397+AG10405</f>
        <v>0</v>
      </c>
      <c r="AH10387" s="189">
        <f t="shared" ref="AH10387" si="6928">AH10388+AH10397+AH10405</f>
        <v>0</v>
      </c>
      <c r="AI10387" s="161">
        <f t="shared" ref="AI10387" si="6929">SUM(AE10387:AH10387)</f>
        <v>0</v>
      </c>
      <c r="AK10387" s="169">
        <v>5</v>
      </c>
      <c r="AO10387" s="19" t="s">
        <v>63</v>
      </c>
    </row>
    <row r="10388" spans="1:41" s="103" customFormat="1" ht="19.899999999999999" customHeight="1" x14ac:dyDescent="0.25">
      <c r="A10388" s="51"/>
      <c r="B10388" s="52"/>
      <c r="C10388" s="165"/>
      <c r="D10388" s="52"/>
      <c r="E10388" s="115"/>
      <c r="F10388" s="58"/>
      <c r="G10388" s="58"/>
      <c r="H10388" s="58"/>
      <c r="I10388" s="55"/>
      <c r="J10388" s="113">
        <f>J10387</f>
        <v>3801.8</v>
      </c>
      <c r="K10388" s="212">
        <f>K10387</f>
        <v>3801.8</v>
      </c>
      <c r="L10388" s="58"/>
      <c r="M10388" s="58">
        <f>K10388-L10388</f>
        <v>3801.8</v>
      </c>
      <c r="N10388" s="166"/>
      <c r="O10388" s="58"/>
      <c r="P10388" s="58"/>
      <c r="Q10388" s="58"/>
      <c r="R10388" s="58"/>
      <c r="S10388" s="58"/>
      <c r="T10388" s="220"/>
      <c r="U10388" s="88"/>
      <c r="V10388" s="56"/>
      <c r="W10388" s="57" t="s">
        <v>1707</v>
      </c>
      <c r="X10388" s="53"/>
      <c r="Y10388" s="91" t="s">
        <v>68</v>
      </c>
      <c r="Z10388" s="136">
        <f>AD10388/AC10388</f>
        <v>9.551755294117644</v>
      </c>
      <c r="AA10388" s="58"/>
      <c r="AB10388" s="53">
        <f>AD10388/AC10388</f>
        <v>9.551755294117644</v>
      </c>
      <c r="AC10388" s="53">
        <f>M10388+$AE$10</f>
        <v>3801.8</v>
      </c>
      <c r="AD10388" s="54">
        <f>SUM(AD10389:AD10396)</f>
        <v>36313.863277176461</v>
      </c>
      <c r="AE10388" s="184">
        <f>SUMIFS($AD$37:$AD$12971,$V$37:$V$12971,$V10388,$X$37:$X$12971,AE$13)</f>
        <v>0</v>
      </c>
      <c r="AF10388" s="185">
        <f>SUMIFS($AD$37:$AD$12971,$V$37:$V$12971,$V10388,$X$37:$X$12971,AF$13)</f>
        <v>0</v>
      </c>
      <c r="AG10388" s="185">
        <f>SUMIFS($AD$37:$AD$12971,$V$37:$V$12971,$V10388,$X$37:$X$12971,AG$13)</f>
        <v>0</v>
      </c>
      <c r="AH10388" s="187">
        <f>SUMIFS($AD$37:$AD$12971,$V$37:$V$12971,$V10388,$X$37:$X$12971,AH$13)</f>
        <v>0</v>
      </c>
      <c r="AI10388" s="161">
        <f t="shared" ref="AI10388" si="6930">SUM(AE10388:AH10388)</f>
        <v>0</v>
      </c>
      <c r="AK10388" s="172"/>
    </row>
    <row r="10389" spans="1:41" s="102" customFormat="1" ht="19.899999999999999" customHeight="1" x14ac:dyDescent="0.25">
      <c r="A10389" s="45"/>
      <c r="B10389" s="59"/>
      <c r="C10389" s="137"/>
      <c r="D10389" s="59"/>
      <c r="E10389" s="116"/>
      <c r="F10389" s="120"/>
      <c r="G10389" s="120"/>
      <c r="H10389" s="120"/>
      <c r="I10389" s="60"/>
      <c r="J10389" s="116"/>
      <c r="K10389" s="213"/>
      <c r="L10389" s="120"/>
      <c r="M10389" s="120"/>
      <c r="N10389" s="167"/>
      <c r="O10389" s="120"/>
      <c r="P10389" s="120"/>
      <c r="Q10389" s="120"/>
      <c r="R10389" s="120"/>
      <c r="S10389" s="120"/>
      <c r="T10389" s="221"/>
      <c r="U10389" s="89"/>
      <c r="V10389" s="61"/>
      <c r="W10389" s="92" t="s">
        <v>129</v>
      </c>
      <c r="X10389" s="93" t="s">
        <v>29</v>
      </c>
      <c r="Y10389" s="93" t="s">
        <v>93</v>
      </c>
      <c r="Z10389" s="134">
        <f>VLOOKUP(W10389,Sheet2!$B:$D,3,FALSE)</f>
        <v>56</v>
      </c>
      <c r="AA10389" s="93">
        <f>100/(1.2*1.5)</f>
        <v>55.555555555555564</v>
      </c>
      <c r="AB10389" s="93">
        <f t="shared" ref="AB10389" si="6931">AD10389/AC10388</f>
        <v>1.0079999999999998</v>
      </c>
      <c r="AC10389" s="93">
        <f>AC10388/AA10389</f>
        <v>68.432399999999987</v>
      </c>
      <c r="AD10389" s="94">
        <f t="shared" ref="AD10389:AD10390" si="6932">AC10389*Z10389</f>
        <v>3832.2143999999994</v>
      </c>
      <c r="AE10389" s="190"/>
      <c r="AF10389" s="191"/>
      <c r="AG10389" s="191"/>
      <c r="AH10389" s="191"/>
      <c r="AI10389" s="186"/>
      <c r="AK10389" s="171"/>
    </row>
    <row r="10390" spans="1:41" s="102" customFormat="1" ht="19.899999999999999" customHeight="1" x14ac:dyDescent="0.25">
      <c r="A10390" s="45"/>
      <c r="B10390" s="59"/>
      <c r="C10390" s="137"/>
      <c r="D10390" s="59"/>
      <c r="E10390" s="116"/>
      <c r="F10390" s="120"/>
      <c r="G10390" s="120"/>
      <c r="H10390" s="120"/>
      <c r="I10390" s="60"/>
      <c r="J10390" s="116"/>
      <c r="K10390" s="213"/>
      <c r="L10390" s="120"/>
      <c r="M10390" s="120"/>
      <c r="N10390" s="167"/>
      <c r="O10390" s="120"/>
      <c r="P10390" s="120"/>
      <c r="Q10390" s="120"/>
      <c r="R10390" s="120"/>
      <c r="S10390" s="120"/>
      <c r="T10390" s="221"/>
      <c r="U10390" s="89"/>
      <c r="V10390" s="61"/>
      <c r="W10390" s="92" t="s">
        <v>65</v>
      </c>
      <c r="X10390" s="93" t="s">
        <v>30</v>
      </c>
      <c r="Y10390" s="93" t="s">
        <v>1011</v>
      </c>
      <c r="Z10390" s="134">
        <f>VLOOKUP(W10390,Sheet2!$B:$D,3,FALSE)</f>
        <v>1.76</v>
      </c>
      <c r="AA10390" s="93">
        <f>AA10389/14</f>
        <v>3.9682539682539688</v>
      </c>
      <c r="AB10390" s="93">
        <f>AD10390/AC10388</f>
        <v>0.44351999999999997</v>
      </c>
      <c r="AC10390" s="93">
        <f>AC10388/AA10390</f>
        <v>958.05359999999996</v>
      </c>
      <c r="AD10390" s="94">
        <f t="shared" si="6932"/>
        <v>1686.174336</v>
      </c>
      <c r="AE10390" s="190"/>
      <c r="AF10390" s="191"/>
      <c r="AG10390" s="191"/>
      <c r="AH10390" s="191"/>
      <c r="AI10390" s="186"/>
      <c r="AK10390" s="171"/>
    </row>
    <row r="10391" spans="1:41" s="102" customFormat="1" ht="19.899999999999999" customHeight="1" x14ac:dyDescent="0.25">
      <c r="A10391" s="45"/>
      <c r="B10391" s="59"/>
      <c r="C10391" s="137"/>
      <c r="D10391" s="59"/>
      <c r="E10391" s="116"/>
      <c r="F10391" s="120"/>
      <c r="G10391" s="120"/>
      <c r="H10391" s="120"/>
      <c r="I10391" s="60"/>
      <c r="J10391" s="116"/>
      <c r="K10391" s="213"/>
      <c r="L10391" s="120"/>
      <c r="M10391" s="120"/>
      <c r="N10391" s="167"/>
      <c r="O10391" s="120"/>
      <c r="P10391" s="120"/>
      <c r="Q10391" s="120"/>
      <c r="R10391" s="120"/>
      <c r="S10391" s="120"/>
      <c r="T10391" s="221"/>
      <c r="U10391" s="89"/>
      <c r="V10391" s="61"/>
      <c r="W10391" s="92" t="s">
        <v>161</v>
      </c>
      <c r="X10391" s="93" t="s">
        <v>29</v>
      </c>
      <c r="Y10391" s="93" t="s">
        <v>93</v>
      </c>
      <c r="Z10391" s="134">
        <f>VLOOKUP(W10391,Sheet2!$B:$D,3,FALSE)</f>
        <v>48</v>
      </c>
      <c r="AA10391" s="93">
        <f>(16*0.85*1.5)/(1.2*1.5)</f>
        <v>11.333333333333334</v>
      </c>
      <c r="AB10391" s="93">
        <f>AD10391/AC10388</f>
        <v>4.235294117647058</v>
      </c>
      <c r="AC10391" s="93">
        <f>AC10388/AA10391</f>
        <v>335.45294117647057</v>
      </c>
      <c r="AD10391" s="94">
        <f>AC10391*Z10391</f>
        <v>16101.741176470587</v>
      </c>
      <c r="AE10391" s="190"/>
      <c r="AF10391" s="191"/>
      <c r="AG10391" s="191"/>
      <c r="AH10391" s="191"/>
      <c r="AI10391" s="186"/>
      <c r="AK10391" s="171"/>
    </row>
    <row r="10392" spans="1:41" s="102" customFormat="1" ht="19.899999999999999" customHeight="1" x14ac:dyDescent="0.25">
      <c r="A10392" s="45"/>
      <c r="B10392" s="59"/>
      <c r="C10392" s="137"/>
      <c r="D10392" s="59"/>
      <c r="E10392" s="116"/>
      <c r="F10392" s="120"/>
      <c r="G10392" s="120"/>
      <c r="H10392" s="120"/>
      <c r="I10392" s="60"/>
      <c r="J10392" s="116"/>
      <c r="K10392" s="213"/>
      <c r="L10392" s="120"/>
      <c r="M10392" s="120"/>
      <c r="N10392" s="167"/>
      <c r="O10392" s="120"/>
      <c r="P10392" s="120"/>
      <c r="Q10392" s="120"/>
      <c r="R10392" s="120"/>
      <c r="S10392" s="120"/>
      <c r="T10392" s="221"/>
      <c r="U10392" s="89"/>
      <c r="V10392" s="61"/>
      <c r="W10392" s="92" t="s">
        <v>65</v>
      </c>
      <c r="X10392" s="93" t="s">
        <v>30</v>
      </c>
      <c r="Y10392" s="93" t="s">
        <v>1011</v>
      </c>
      <c r="Z10392" s="134">
        <f>VLOOKUP(W10392,Sheet2!$B:$D,3,FALSE)</f>
        <v>1.76</v>
      </c>
      <c r="AA10392" s="93">
        <f>AA10391/10</f>
        <v>1.1333333333333333</v>
      </c>
      <c r="AB10392" s="93">
        <f>AD10392/AC10388</f>
        <v>1.5529411764705885</v>
      </c>
      <c r="AC10392" s="93">
        <f>AC10388/AA10392</f>
        <v>3354.5294117647063</v>
      </c>
      <c r="AD10392" s="94">
        <f>AC10392*Z10392</f>
        <v>5903.9717647058833</v>
      </c>
      <c r="AE10392" s="190"/>
      <c r="AF10392" s="191"/>
      <c r="AG10392" s="191"/>
      <c r="AH10392" s="191"/>
      <c r="AI10392" s="186"/>
      <c r="AK10392" s="171"/>
    </row>
    <row r="10393" spans="1:41" s="102" customFormat="1" ht="19.899999999999999" customHeight="1" x14ac:dyDescent="0.25">
      <c r="A10393" s="45"/>
      <c r="B10393" s="59"/>
      <c r="C10393" s="137"/>
      <c r="D10393" s="59"/>
      <c r="E10393" s="116"/>
      <c r="F10393" s="120"/>
      <c r="G10393" s="120"/>
      <c r="H10393" s="120"/>
      <c r="I10393" s="60"/>
      <c r="J10393" s="116"/>
      <c r="K10393" s="213"/>
      <c r="L10393" s="120"/>
      <c r="M10393" s="120"/>
      <c r="N10393" s="167"/>
      <c r="O10393" s="120"/>
      <c r="P10393" s="120"/>
      <c r="Q10393" s="120"/>
      <c r="R10393" s="120"/>
      <c r="S10393" s="120"/>
      <c r="T10393" s="221"/>
      <c r="U10393" s="89"/>
      <c r="V10393" s="61"/>
      <c r="W10393" s="92" t="s">
        <v>1030</v>
      </c>
      <c r="X10393" s="93" t="s">
        <v>29</v>
      </c>
      <c r="Y10393" s="93" t="s">
        <v>93</v>
      </c>
      <c r="Z10393" s="134">
        <f>VLOOKUP(W10393,Sheet2!$B:$D,3,FALSE)</f>
        <v>23</v>
      </c>
      <c r="AA10393" s="93">
        <v>25</v>
      </c>
      <c r="AB10393" s="93">
        <f>AD10393/AC10388</f>
        <v>0.91999999999999993</v>
      </c>
      <c r="AC10393" s="93">
        <f>AC10388/AA10393</f>
        <v>152.072</v>
      </c>
      <c r="AD10393" s="94">
        <f t="shared" ref="AD10393:AD10396" si="6933">AC10393*Z10393</f>
        <v>3497.6559999999999</v>
      </c>
      <c r="AE10393" s="190"/>
      <c r="AF10393" s="191"/>
      <c r="AG10393" s="191"/>
      <c r="AH10393" s="191"/>
      <c r="AI10393" s="186"/>
      <c r="AK10393" s="171"/>
    </row>
    <row r="10394" spans="1:41" s="102" customFormat="1" ht="19.899999999999999" customHeight="1" x14ac:dyDescent="0.25">
      <c r="A10394" s="45"/>
      <c r="B10394" s="59"/>
      <c r="C10394" s="137"/>
      <c r="D10394" s="59"/>
      <c r="E10394" s="116"/>
      <c r="F10394" s="120"/>
      <c r="G10394" s="120"/>
      <c r="H10394" s="120"/>
      <c r="I10394" s="60"/>
      <c r="J10394" s="116"/>
      <c r="K10394" s="213"/>
      <c r="L10394" s="120"/>
      <c r="M10394" s="120"/>
      <c r="N10394" s="167"/>
      <c r="O10394" s="120"/>
      <c r="P10394" s="120"/>
      <c r="Q10394" s="120"/>
      <c r="R10394" s="120"/>
      <c r="S10394" s="120"/>
      <c r="T10394" s="221"/>
      <c r="U10394" s="89"/>
      <c r="V10394" s="61"/>
      <c r="W10394" s="92" t="s">
        <v>65</v>
      </c>
      <c r="X10394" s="93" t="s">
        <v>30</v>
      </c>
      <c r="Y10394" s="93" t="s">
        <v>1011</v>
      </c>
      <c r="Z10394" s="134">
        <f>VLOOKUP(W10394,Sheet2!$B:$D,3,FALSE)</f>
        <v>1.76</v>
      </c>
      <c r="AA10394" s="93">
        <f>AA10393/3</f>
        <v>8.3333333333333339</v>
      </c>
      <c r="AB10394" s="93">
        <f>AD10394/AC10388</f>
        <v>0.2112</v>
      </c>
      <c r="AC10394" s="93">
        <f>AC10388/AA10394</f>
        <v>456.21600000000001</v>
      </c>
      <c r="AD10394" s="94">
        <f t="shared" si="6933"/>
        <v>802.94015999999999</v>
      </c>
      <c r="AE10394" s="190"/>
      <c r="AF10394" s="191"/>
      <c r="AG10394" s="191"/>
      <c r="AH10394" s="191"/>
      <c r="AI10394" s="186"/>
      <c r="AK10394" s="171"/>
    </row>
    <row r="10395" spans="1:41" s="102" customFormat="1" ht="19.899999999999999" customHeight="1" x14ac:dyDescent="0.25">
      <c r="A10395" s="45"/>
      <c r="B10395" s="59"/>
      <c r="C10395" s="137"/>
      <c r="D10395" s="59"/>
      <c r="E10395" s="116"/>
      <c r="F10395" s="120"/>
      <c r="G10395" s="120"/>
      <c r="H10395" s="120"/>
      <c r="I10395" s="60"/>
      <c r="J10395" s="116"/>
      <c r="K10395" s="213"/>
      <c r="L10395" s="120"/>
      <c r="M10395" s="120"/>
      <c r="N10395" s="167"/>
      <c r="O10395" s="120"/>
      <c r="P10395" s="120"/>
      <c r="Q10395" s="120"/>
      <c r="R10395" s="120"/>
      <c r="S10395" s="120"/>
      <c r="T10395" s="221"/>
      <c r="U10395" s="89"/>
      <c r="V10395" s="61"/>
      <c r="W10395" s="92" t="s">
        <v>148</v>
      </c>
      <c r="X10395" s="93" t="s">
        <v>29</v>
      </c>
      <c r="Y10395" s="93" t="s">
        <v>93</v>
      </c>
      <c r="Z10395" s="134">
        <f>VLOOKUP(W10395,Sheet2!$B:$D,3,FALSE)</f>
        <v>48</v>
      </c>
      <c r="AA10395" s="93">
        <f>AA10389</f>
        <v>55.555555555555564</v>
      </c>
      <c r="AB10395" s="93">
        <f>AD10395/AC10388</f>
        <v>0.86399999999999988</v>
      </c>
      <c r="AC10395" s="93">
        <f>AC10388/AA10395</f>
        <v>68.432399999999987</v>
      </c>
      <c r="AD10395" s="94">
        <f t="shared" si="6933"/>
        <v>3284.7551999999996</v>
      </c>
      <c r="AE10395" s="190"/>
      <c r="AF10395" s="191"/>
      <c r="AG10395" s="191"/>
      <c r="AH10395" s="191"/>
      <c r="AI10395" s="186"/>
      <c r="AK10395" s="171"/>
    </row>
    <row r="10396" spans="1:41" s="102" customFormat="1" ht="19.899999999999999" customHeight="1" x14ac:dyDescent="0.25">
      <c r="A10396" s="45"/>
      <c r="B10396" s="59"/>
      <c r="C10396" s="137"/>
      <c r="D10396" s="59"/>
      <c r="E10396" s="116"/>
      <c r="F10396" s="120"/>
      <c r="G10396" s="120"/>
      <c r="H10396" s="120"/>
      <c r="I10396" s="60"/>
      <c r="J10396" s="116"/>
      <c r="K10396" s="213"/>
      <c r="L10396" s="120"/>
      <c r="M10396" s="120"/>
      <c r="N10396" s="167"/>
      <c r="O10396" s="120"/>
      <c r="P10396" s="120"/>
      <c r="Q10396" s="120"/>
      <c r="R10396" s="120"/>
      <c r="S10396" s="120"/>
      <c r="T10396" s="221"/>
      <c r="U10396" s="89"/>
      <c r="V10396" s="61"/>
      <c r="W10396" s="92" t="s">
        <v>65</v>
      </c>
      <c r="X10396" s="93" t="s">
        <v>30</v>
      </c>
      <c r="Y10396" s="93" t="s">
        <v>1011</v>
      </c>
      <c r="Z10396" s="134">
        <f>VLOOKUP(W10396,Sheet2!$B:$D,3,FALSE)</f>
        <v>1.76</v>
      </c>
      <c r="AA10396" s="93">
        <f>AA10395/10</f>
        <v>5.5555555555555562</v>
      </c>
      <c r="AB10396" s="93">
        <f>AD10396/AC10388</f>
        <v>0.31679999999999997</v>
      </c>
      <c r="AC10396" s="93">
        <f>AC10388/AA10396</f>
        <v>684.32399999999996</v>
      </c>
      <c r="AD10396" s="94">
        <f t="shared" si="6933"/>
        <v>1204.4102399999999</v>
      </c>
      <c r="AE10396" s="190"/>
      <c r="AF10396" s="191"/>
      <c r="AG10396" s="191"/>
      <c r="AH10396" s="191"/>
      <c r="AI10396" s="186"/>
      <c r="AK10396" s="171"/>
    </row>
    <row r="10397" spans="1:41" s="103" customFormat="1" ht="19.899999999999999" customHeight="1" x14ac:dyDescent="0.25">
      <c r="A10397" s="51"/>
      <c r="B10397" s="52"/>
      <c r="C10397" s="165"/>
      <c r="D10397" s="52"/>
      <c r="E10397" s="115"/>
      <c r="F10397" s="58"/>
      <c r="G10397" s="58"/>
      <c r="H10397" s="58"/>
      <c r="I10397" s="55"/>
      <c r="J10397" s="113">
        <f>J10387</f>
        <v>3801.8</v>
      </c>
      <c r="K10397" s="212">
        <f>K10387</f>
        <v>3801.8</v>
      </c>
      <c r="L10397" s="58"/>
      <c r="M10397" s="58">
        <f>K10397-L10397</f>
        <v>3801.8</v>
      </c>
      <c r="N10397" s="166"/>
      <c r="O10397" s="58"/>
      <c r="P10397" s="58"/>
      <c r="Q10397" s="58"/>
      <c r="R10397" s="58"/>
      <c r="S10397" s="58"/>
      <c r="T10397" s="220"/>
      <c r="U10397" s="88"/>
      <c r="V10397" s="56"/>
      <c r="W10397" s="57" t="s">
        <v>1036</v>
      </c>
      <c r="X10397" s="53"/>
      <c r="Y10397" s="91" t="s">
        <v>68</v>
      </c>
      <c r="Z10397" s="136">
        <f>AD10397/AC10397</f>
        <v>212.58333333333331</v>
      </c>
      <c r="AA10397" s="58"/>
      <c r="AB10397" s="53">
        <f>AD10397/AC10397</f>
        <v>212.58333333333331</v>
      </c>
      <c r="AC10397" s="53">
        <f>M10397+$AE$10</f>
        <v>3801.8</v>
      </c>
      <c r="AD10397" s="54">
        <f>SUM(AD10398:AD10404)</f>
        <v>808199.31666666665</v>
      </c>
      <c r="AE10397" s="184">
        <f>SUMIFS($AD$37:$AD$12971,$V$37:$V$12971,$V10397,$X$37:$X$12971,AE$13)</f>
        <v>0</v>
      </c>
      <c r="AF10397" s="185">
        <f>SUMIFS($AD$37:$AD$12971,$V$37:$V$12971,$V10397,$X$37:$X$12971,AF$13)</f>
        <v>0</v>
      </c>
      <c r="AG10397" s="185">
        <f>SUMIFS($AD$37:$AD$12971,$V$37:$V$12971,$V10397,$X$37:$X$12971,AG$13)</f>
        <v>0</v>
      </c>
      <c r="AH10397" s="187">
        <f>SUMIFS($AD$37:$AD$12971,$V$37:$V$12971,$V10397,$X$37:$X$12971,AH$13)</f>
        <v>0</v>
      </c>
      <c r="AI10397" s="161">
        <f t="shared" ref="AI10397" si="6934">SUM(AE10397:AH10397)</f>
        <v>0</v>
      </c>
      <c r="AK10397" s="172"/>
    </row>
    <row r="10398" spans="1:41" s="102" customFormat="1" ht="19.899999999999999" customHeight="1" x14ac:dyDescent="0.25">
      <c r="A10398" s="45"/>
      <c r="B10398" s="59"/>
      <c r="C10398" s="137"/>
      <c r="D10398" s="59"/>
      <c r="E10398" s="116"/>
      <c r="F10398" s="120"/>
      <c r="G10398" s="120"/>
      <c r="H10398" s="120"/>
      <c r="I10398" s="60"/>
      <c r="J10398" s="116"/>
      <c r="K10398" s="213"/>
      <c r="L10398" s="120"/>
      <c r="M10398" s="120"/>
      <c r="N10398" s="167"/>
      <c r="O10398" s="120"/>
      <c r="P10398" s="120"/>
      <c r="Q10398" s="120"/>
      <c r="R10398" s="120"/>
      <c r="S10398" s="120"/>
      <c r="T10398" s="221"/>
      <c r="U10398" s="89"/>
      <c r="V10398" s="61"/>
      <c r="W10398" s="92" t="s">
        <v>1708</v>
      </c>
      <c r="X10398" s="93" t="s">
        <v>30</v>
      </c>
      <c r="Y10398" s="93" t="s">
        <v>68</v>
      </c>
      <c r="Z10398" s="134">
        <f>VLOOKUP(W10398,Sheet2!$B:$D,3,FALSE)</f>
        <v>135</v>
      </c>
      <c r="AA10398" s="93">
        <v>1</v>
      </c>
      <c r="AB10398" s="93">
        <f>AD10398/AC10397</f>
        <v>135</v>
      </c>
      <c r="AC10398" s="93">
        <f>AC10397/AA10398</f>
        <v>3801.8</v>
      </c>
      <c r="AD10398" s="94">
        <f t="shared" ref="AD10398" si="6935">AC10398*Z10398</f>
        <v>513243</v>
      </c>
      <c r="AE10398" s="190"/>
      <c r="AF10398" s="191"/>
      <c r="AG10398" s="191"/>
      <c r="AH10398" s="191"/>
      <c r="AI10398" s="186"/>
      <c r="AK10398" s="171"/>
    </row>
    <row r="10399" spans="1:41" s="102" customFormat="1" ht="19.899999999999999" customHeight="1" x14ac:dyDescent="0.25">
      <c r="A10399" s="45"/>
      <c r="B10399" s="59"/>
      <c r="C10399" s="137"/>
      <c r="D10399" s="59"/>
      <c r="E10399" s="116"/>
      <c r="F10399" s="120"/>
      <c r="G10399" s="120"/>
      <c r="H10399" s="120"/>
      <c r="I10399" s="60"/>
      <c r="J10399" s="116"/>
      <c r="K10399" s="213"/>
      <c r="L10399" s="120"/>
      <c r="M10399" s="120"/>
      <c r="N10399" s="167"/>
      <c r="O10399" s="120"/>
      <c r="P10399" s="120"/>
      <c r="Q10399" s="120"/>
      <c r="R10399" s="120"/>
      <c r="S10399" s="120"/>
      <c r="T10399" s="221"/>
      <c r="U10399" s="89"/>
      <c r="V10399" s="61"/>
      <c r="W10399" s="92" t="s">
        <v>1710</v>
      </c>
      <c r="X10399" s="93" t="s">
        <v>30</v>
      </c>
      <c r="Y10399" s="93" t="s">
        <v>68</v>
      </c>
      <c r="Z10399" s="134">
        <f>VLOOKUP(W10399,Sheet2!$B:$D,3,FALSE)</f>
        <v>14</v>
      </c>
      <c r="AA10399" s="93">
        <v>1</v>
      </c>
      <c r="AB10399" s="93">
        <f>AD10399/AC10397</f>
        <v>14</v>
      </c>
      <c r="AC10399" s="93">
        <f>AC10397/AA10399</f>
        <v>3801.8</v>
      </c>
      <c r="AD10399" s="94">
        <f>AC10399*Z10399</f>
        <v>53225.200000000004</v>
      </c>
      <c r="AE10399" s="190"/>
      <c r="AF10399" s="191"/>
      <c r="AG10399" s="191"/>
      <c r="AH10399" s="191"/>
      <c r="AI10399" s="186"/>
      <c r="AK10399" s="171"/>
    </row>
    <row r="10400" spans="1:41" s="102" customFormat="1" ht="19.899999999999999" customHeight="1" x14ac:dyDescent="0.25">
      <c r="A10400" s="45"/>
      <c r="B10400" s="59"/>
      <c r="C10400" s="137"/>
      <c r="D10400" s="59"/>
      <c r="E10400" s="116"/>
      <c r="F10400" s="120"/>
      <c r="G10400" s="120"/>
      <c r="H10400" s="120"/>
      <c r="I10400" s="60"/>
      <c r="J10400" s="116"/>
      <c r="K10400" s="213"/>
      <c r="L10400" s="120"/>
      <c r="M10400" s="120"/>
      <c r="N10400" s="167"/>
      <c r="O10400" s="120"/>
      <c r="P10400" s="120"/>
      <c r="Q10400" s="120"/>
      <c r="R10400" s="120"/>
      <c r="S10400" s="120"/>
      <c r="T10400" s="221"/>
      <c r="U10400" s="89"/>
      <c r="V10400" s="61"/>
      <c r="W10400" s="92" t="s">
        <v>107</v>
      </c>
      <c r="X10400" s="93" t="s">
        <v>31</v>
      </c>
      <c r="Y10400" s="93" t="s">
        <v>93</v>
      </c>
      <c r="Z10400" s="134">
        <f>VLOOKUP(W10400,Sheet2!$B:$D,3,FALSE)</f>
        <v>17</v>
      </c>
      <c r="AA10400" s="93">
        <v>2</v>
      </c>
      <c r="AB10400" s="93">
        <f>AD10400/AC10397</f>
        <v>8.5</v>
      </c>
      <c r="AC10400" s="93">
        <f>AC10397/AA10400</f>
        <v>1900.9</v>
      </c>
      <c r="AD10400" s="94">
        <f>AC10400*Z10400</f>
        <v>32315.300000000003</v>
      </c>
      <c r="AE10400" s="190"/>
      <c r="AF10400" s="191"/>
      <c r="AG10400" s="191"/>
      <c r="AH10400" s="191"/>
      <c r="AI10400" s="186"/>
      <c r="AK10400" s="171"/>
    </row>
    <row r="10401" spans="1:41" s="102" customFormat="1" ht="19.899999999999999" customHeight="1" x14ac:dyDescent="0.25">
      <c r="A10401" s="45"/>
      <c r="B10401" s="59"/>
      <c r="C10401" s="137"/>
      <c r="D10401" s="59"/>
      <c r="E10401" s="116"/>
      <c r="F10401" s="120"/>
      <c r="G10401" s="120"/>
      <c r="H10401" s="120"/>
      <c r="I10401" s="60"/>
      <c r="J10401" s="116"/>
      <c r="K10401" s="213"/>
      <c r="L10401" s="120"/>
      <c r="M10401" s="120"/>
      <c r="N10401" s="167"/>
      <c r="O10401" s="120"/>
      <c r="P10401" s="120"/>
      <c r="Q10401" s="120"/>
      <c r="R10401" s="120"/>
      <c r="S10401" s="120"/>
      <c r="T10401" s="221"/>
      <c r="U10401" s="89"/>
      <c r="V10401" s="61"/>
      <c r="W10401" s="92" t="s">
        <v>112</v>
      </c>
      <c r="X10401" s="93" t="s">
        <v>31</v>
      </c>
      <c r="Y10401" s="93" t="s">
        <v>93</v>
      </c>
      <c r="Z10401" s="134">
        <f>VLOOKUP(W10401,Sheet2!$B:$D,3,FALSE)</f>
        <v>13</v>
      </c>
      <c r="AA10401" s="93">
        <v>2</v>
      </c>
      <c r="AB10401" s="93">
        <f>AD10401/AC10397</f>
        <v>6.5</v>
      </c>
      <c r="AC10401" s="93">
        <f>AC10397/AA10401</f>
        <v>1900.9</v>
      </c>
      <c r="AD10401" s="94">
        <f>AC10401*Z10401</f>
        <v>24711.7</v>
      </c>
      <c r="AE10401" s="190"/>
      <c r="AF10401" s="191"/>
      <c r="AG10401" s="191"/>
      <c r="AH10401" s="191"/>
      <c r="AI10401" s="186"/>
      <c r="AK10401" s="171"/>
    </row>
    <row r="10402" spans="1:41" s="102" customFormat="1" ht="19.899999999999999" customHeight="1" x14ac:dyDescent="0.25">
      <c r="A10402" s="45"/>
      <c r="B10402" s="59"/>
      <c r="C10402" s="137"/>
      <c r="D10402" s="59"/>
      <c r="E10402" s="116"/>
      <c r="F10402" s="120"/>
      <c r="G10402" s="120"/>
      <c r="H10402" s="120"/>
      <c r="I10402" s="60"/>
      <c r="J10402" s="116"/>
      <c r="K10402" s="213"/>
      <c r="L10402" s="120"/>
      <c r="M10402" s="120"/>
      <c r="N10402" s="167"/>
      <c r="O10402" s="120"/>
      <c r="P10402" s="120"/>
      <c r="Q10402" s="120"/>
      <c r="R10402" s="120"/>
      <c r="S10402" s="120"/>
      <c r="T10402" s="221"/>
      <c r="U10402" s="89"/>
      <c r="V10402" s="61"/>
      <c r="W10402" s="92" t="s">
        <v>1032</v>
      </c>
      <c r="X10402" s="93" t="s">
        <v>30</v>
      </c>
      <c r="Y10402" s="93" t="s">
        <v>66</v>
      </c>
      <c r="Z10402" s="134">
        <f>VLOOKUP(W10402,Sheet2!$B:$D,3,FALSE)</f>
        <v>250</v>
      </c>
      <c r="AA10402" s="93">
        <f>1/(1.2*1*0.1)</f>
        <v>8.3333333333333339</v>
      </c>
      <c r="AB10402" s="93">
        <f>AD10402/AC10397</f>
        <v>30</v>
      </c>
      <c r="AC10402" s="93">
        <f>AC10397/AA10402</f>
        <v>456.21600000000001</v>
      </c>
      <c r="AD10402" s="94">
        <f>AC10402*Z10402</f>
        <v>114054</v>
      </c>
      <c r="AE10402" s="190"/>
      <c r="AF10402" s="191"/>
      <c r="AG10402" s="191"/>
      <c r="AH10402" s="191"/>
      <c r="AI10402" s="186"/>
      <c r="AK10402" s="171"/>
    </row>
    <row r="10403" spans="1:41" s="102" customFormat="1" ht="19.899999999999999" customHeight="1" x14ac:dyDescent="0.25">
      <c r="A10403" s="45"/>
      <c r="B10403" s="59"/>
      <c r="C10403" s="137"/>
      <c r="D10403" s="59"/>
      <c r="E10403" s="116"/>
      <c r="F10403" s="120"/>
      <c r="G10403" s="120"/>
      <c r="H10403" s="120"/>
      <c r="I10403" s="60"/>
      <c r="J10403" s="116"/>
      <c r="K10403" s="213"/>
      <c r="L10403" s="120"/>
      <c r="M10403" s="120"/>
      <c r="N10403" s="167"/>
      <c r="O10403" s="120"/>
      <c r="P10403" s="120"/>
      <c r="Q10403" s="120"/>
      <c r="R10403" s="120"/>
      <c r="S10403" s="120"/>
      <c r="T10403" s="221"/>
      <c r="U10403" s="89"/>
      <c r="V10403" s="61"/>
      <c r="W10403" s="92" t="s">
        <v>1035</v>
      </c>
      <c r="X10403" s="93" t="s">
        <v>32</v>
      </c>
      <c r="Y10403" s="93" t="s">
        <v>66</v>
      </c>
      <c r="Z10403" s="134">
        <f>VLOOKUP(W10403,Sheet2!$B:$D,3,FALSE)</f>
        <v>150</v>
      </c>
      <c r="AA10403" s="93">
        <f>AA10402</f>
        <v>8.3333333333333339</v>
      </c>
      <c r="AB10403" s="93">
        <f>AD10403/AC10397</f>
        <v>17.999999999999996</v>
      </c>
      <c r="AC10403" s="93">
        <f>AC10397/AA10403</f>
        <v>456.21600000000001</v>
      </c>
      <c r="AD10403" s="94">
        <f t="shared" ref="AD10403:AD10404" si="6936">AC10403*Z10403</f>
        <v>68432.399999999994</v>
      </c>
      <c r="AE10403" s="190"/>
      <c r="AF10403" s="191"/>
      <c r="AG10403" s="191"/>
      <c r="AH10403" s="191"/>
      <c r="AI10403" s="186"/>
      <c r="AK10403" s="171"/>
    </row>
    <row r="10404" spans="1:41" s="102" customFormat="1" ht="19.899999999999999" customHeight="1" x14ac:dyDescent="0.25">
      <c r="A10404" s="45"/>
      <c r="B10404" s="59"/>
      <c r="C10404" s="137"/>
      <c r="D10404" s="59"/>
      <c r="E10404" s="116"/>
      <c r="F10404" s="120"/>
      <c r="G10404" s="120"/>
      <c r="H10404" s="120"/>
      <c r="I10404" s="60"/>
      <c r="J10404" s="116"/>
      <c r="K10404" s="213"/>
      <c r="L10404" s="120"/>
      <c r="M10404" s="120"/>
      <c r="N10404" s="167"/>
      <c r="O10404" s="120"/>
      <c r="P10404" s="120"/>
      <c r="Q10404" s="120"/>
      <c r="R10404" s="120"/>
      <c r="S10404" s="120"/>
      <c r="T10404" s="221"/>
      <c r="U10404" s="89"/>
      <c r="V10404" s="61"/>
      <c r="W10404" s="92" t="s">
        <v>1037</v>
      </c>
      <c r="X10404" s="93" t="s">
        <v>30</v>
      </c>
      <c r="Y10404" s="93" t="s">
        <v>1038</v>
      </c>
      <c r="Z10404" s="134">
        <f>VLOOKUP(W10404,Sheet2!$B:$D,3,FALSE)</f>
        <v>175</v>
      </c>
      <c r="AA10404" s="93">
        <v>300</v>
      </c>
      <c r="AB10404" s="93">
        <f>AD10404/AC10397</f>
        <v>0.58333333333333326</v>
      </c>
      <c r="AC10404" s="93">
        <f>AC10397/AA10404</f>
        <v>12.672666666666668</v>
      </c>
      <c r="AD10404" s="94">
        <f t="shared" si="6936"/>
        <v>2217.7166666666667</v>
      </c>
      <c r="AE10404" s="190"/>
      <c r="AF10404" s="191"/>
      <c r="AG10404" s="191"/>
      <c r="AH10404" s="191"/>
      <c r="AI10404" s="186"/>
      <c r="AK10404" s="171"/>
    </row>
    <row r="10405" spans="1:41" s="103" customFormat="1" ht="19.899999999999999" customHeight="1" x14ac:dyDescent="0.25">
      <c r="A10405" s="51"/>
      <c r="B10405" s="52"/>
      <c r="C10405" s="165"/>
      <c r="D10405" s="52"/>
      <c r="E10405" s="115"/>
      <c r="F10405" s="58"/>
      <c r="G10405" s="58"/>
      <c r="H10405" s="58"/>
      <c r="I10405" s="55"/>
      <c r="J10405" s="113">
        <f>J10387</f>
        <v>3801.8</v>
      </c>
      <c r="K10405" s="212">
        <f>K10387</f>
        <v>3801.8</v>
      </c>
      <c r="L10405" s="58"/>
      <c r="M10405" s="58">
        <f>K10405-L10405</f>
        <v>3801.8</v>
      </c>
      <c r="N10405" s="166"/>
      <c r="O10405" s="58"/>
      <c r="P10405" s="58"/>
      <c r="Q10405" s="58"/>
      <c r="R10405" s="58"/>
      <c r="S10405" s="58"/>
      <c r="T10405" s="220"/>
      <c r="U10405" s="88"/>
      <c r="V10405" s="56"/>
      <c r="W10405" s="57" t="s">
        <v>1040</v>
      </c>
      <c r="X10405" s="53"/>
      <c r="Y10405" s="91" t="s">
        <v>68</v>
      </c>
      <c r="Z10405" s="136">
        <f>AD10405/AC10405</f>
        <v>5</v>
      </c>
      <c r="AA10405" s="58"/>
      <c r="AB10405" s="53">
        <f>AD10405/AC10405</f>
        <v>5</v>
      </c>
      <c r="AC10405" s="53">
        <f>M10405+$AE$10</f>
        <v>3801.8</v>
      </c>
      <c r="AD10405" s="54">
        <f>SUM(AD10406)</f>
        <v>19009</v>
      </c>
      <c r="AE10405" s="184">
        <f>SUMIFS($AD$37:$AD$12971,$V$37:$V$12971,$V10405,$X$37:$X$12971,AE$13)</f>
        <v>0</v>
      </c>
      <c r="AF10405" s="185">
        <f>SUMIFS($AD$37:$AD$12971,$V$37:$V$12971,$V10405,$X$37:$X$12971,AF$13)</f>
        <v>0</v>
      </c>
      <c r="AG10405" s="185">
        <f>SUMIFS($AD$37:$AD$12971,$V$37:$V$12971,$V10405,$X$37:$X$12971,AG$13)</f>
        <v>0</v>
      </c>
      <c r="AH10405" s="187">
        <f>SUMIFS($AD$37:$AD$12971,$V$37:$V$12971,$V10405,$X$37:$X$12971,AH$13)</f>
        <v>0</v>
      </c>
      <c r="AI10405" s="161">
        <f t="shared" ref="AI10405" si="6937">SUM(AE10405:AH10405)</f>
        <v>0</v>
      </c>
      <c r="AK10405" s="172"/>
    </row>
    <row r="10406" spans="1:41" s="102" customFormat="1" ht="19.899999999999999" customHeight="1" x14ac:dyDescent="0.25">
      <c r="A10406" s="45"/>
      <c r="B10406" s="59"/>
      <c r="C10406" s="137"/>
      <c r="D10406" s="59"/>
      <c r="E10406" s="116"/>
      <c r="F10406" s="120"/>
      <c r="G10406" s="120"/>
      <c r="H10406" s="120"/>
      <c r="I10406" s="60"/>
      <c r="J10406" s="116"/>
      <c r="K10406" s="213"/>
      <c r="L10406" s="120"/>
      <c r="M10406" s="120"/>
      <c r="N10406" s="167"/>
      <c r="O10406" s="120"/>
      <c r="P10406" s="120"/>
      <c r="Q10406" s="120"/>
      <c r="R10406" s="120"/>
      <c r="S10406" s="120"/>
      <c r="T10406" s="221"/>
      <c r="U10406" s="89"/>
      <c r="V10406" s="61"/>
      <c r="W10406" s="92" t="s">
        <v>1039</v>
      </c>
      <c r="X10406" s="93" t="s">
        <v>32</v>
      </c>
      <c r="Y10406" s="93" t="s">
        <v>68</v>
      </c>
      <c r="Z10406" s="134">
        <f>VLOOKUP(W10406,Sheet2!$B:$D,3,FALSE)</f>
        <v>5</v>
      </c>
      <c r="AA10406" s="93">
        <v>1</v>
      </c>
      <c r="AB10406" s="93">
        <f>AD10406/AC10405</f>
        <v>5</v>
      </c>
      <c r="AC10406" s="93">
        <f>AC10405/AA10406</f>
        <v>3801.8</v>
      </c>
      <c r="AD10406" s="94">
        <f t="shared" ref="AD10406" si="6938">AC10406*Z10406</f>
        <v>19009</v>
      </c>
      <c r="AE10406" s="190"/>
      <c r="AF10406" s="191"/>
      <c r="AG10406" s="191"/>
      <c r="AH10406" s="191"/>
      <c r="AI10406" s="186"/>
      <c r="AK10406" s="171"/>
    </row>
    <row r="10407" spans="1:41" ht="20.100000000000001" customHeight="1" x14ac:dyDescent="0.25">
      <c r="A10407" s="277" t="s">
        <v>961</v>
      </c>
      <c r="B10407" s="278"/>
      <c r="C10407" s="64" t="s">
        <v>976</v>
      </c>
      <c r="D10407" s="46" t="s">
        <v>97</v>
      </c>
      <c r="E10407" s="114">
        <v>830</v>
      </c>
      <c r="F10407" s="44">
        <v>1345</v>
      </c>
      <c r="G10407" s="44">
        <f t="shared" si="6741"/>
        <v>1116350</v>
      </c>
      <c r="H10407" s="44">
        <f t="shared" si="6742"/>
        <v>399.94194039215688</v>
      </c>
      <c r="I10407" s="43">
        <f t="shared" si="6743"/>
        <v>331951.8105254902</v>
      </c>
      <c r="J10407" s="112">
        <f t="shared" si="6744"/>
        <v>830</v>
      </c>
      <c r="K10407" s="211">
        <f t="shared" si="6745"/>
        <v>830</v>
      </c>
      <c r="L10407" s="44"/>
      <c r="M10407" s="44">
        <f t="shared" si="6755"/>
        <v>830</v>
      </c>
      <c r="N10407" s="173">
        <f t="shared" si="6746"/>
        <v>1</v>
      </c>
      <c r="O10407" s="44">
        <f t="shared" si="6747"/>
        <v>1345</v>
      </c>
      <c r="P10407" s="44">
        <f t="shared" si="6748"/>
        <v>1116350</v>
      </c>
      <c r="Q10407" s="44">
        <f t="shared" si="6749"/>
        <v>399.94194039215688</v>
      </c>
      <c r="R10407" s="44">
        <f t="shared" si="6756"/>
        <v>331951.8105254902</v>
      </c>
      <c r="S10407" s="123"/>
      <c r="T10407" s="219">
        <f t="shared" si="6757"/>
        <v>331951.8105254902</v>
      </c>
      <c r="U10407" s="87"/>
      <c r="V10407" s="47"/>
      <c r="W10407" s="48"/>
      <c r="X10407" s="48"/>
      <c r="Y10407" s="48"/>
      <c r="Z10407" s="135"/>
      <c r="AA10407" s="49"/>
      <c r="AB10407" s="50">
        <f t="shared" si="6750"/>
        <v>399.94194039215688</v>
      </c>
      <c r="AC10407" s="42">
        <f t="shared" si="6758"/>
        <v>830</v>
      </c>
      <c r="AD10407" s="90">
        <f>AD10408+AD10417+AD10425</f>
        <v>331951.8105254902</v>
      </c>
      <c r="AE10407" s="188">
        <f t="shared" ref="AE10407" si="6939">AE10408+AE10417+AE10425</f>
        <v>0</v>
      </c>
      <c r="AF10407" s="189">
        <f t="shared" ref="AF10407" si="6940">AF10408+AF10417+AF10425</f>
        <v>0</v>
      </c>
      <c r="AG10407" s="189">
        <f t="shared" ref="AG10407" si="6941">AG10408+AG10417+AG10425</f>
        <v>0</v>
      </c>
      <c r="AH10407" s="189">
        <f t="shared" ref="AH10407" si="6942">AH10408+AH10417+AH10425</f>
        <v>0</v>
      </c>
      <c r="AI10407" s="161">
        <f t="shared" ref="AI10407" si="6943">SUM(AE10407:AH10407)</f>
        <v>0</v>
      </c>
      <c r="AK10407" s="169">
        <v>5</v>
      </c>
      <c r="AO10407" s="19" t="s">
        <v>63</v>
      </c>
    </row>
    <row r="10408" spans="1:41" s="103" customFormat="1" ht="19.899999999999999" customHeight="1" x14ac:dyDescent="0.25">
      <c r="A10408" s="51"/>
      <c r="B10408" s="52"/>
      <c r="C10408" s="165"/>
      <c r="D10408" s="52"/>
      <c r="E10408" s="115"/>
      <c r="F10408" s="58"/>
      <c r="G10408" s="58"/>
      <c r="H10408" s="58"/>
      <c r="I10408" s="55"/>
      <c r="J10408" s="113">
        <f>J10407</f>
        <v>830</v>
      </c>
      <c r="K10408" s="212">
        <f>K10407</f>
        <v>830</v>
      </c>
      <c r="L10408" s="58"/>
      <c r="M10408" s="58">
        <f>K10408-L10408</f>
        <v>830</v>
      </c>
      <c r="N10408" s="166"/>
      <c r="O10408" s="58"/>
      <c r="P10408" s="58"/>
      <c r="Q10408" s="58"/>
      <c r="R10408" s="58"/>
      <c r="S10408" s="58"/>
      <c r="T10408" s="220"/>
      <c r="U10408" s="88"/>
      <c r="V10408" s="56"/>
      <c r="W10408" s="57" t="s">
        <v>1712</v>
      </c>
      <c r="X10408" s="53"/>
      <c r="Y10408" s="91" t="s">
        <v>68</v>
      </c>
      <c r="Z10408" s="136">
        <f>AD10408/AC10408</f>
        <v>12.35860705882353</v>
      </c>
      <c r="AA10408" s="58"/>
      <c r="AB10408" s="53">
        <f>AD10408/AC10408</f>
        <v>12.35860705882353</v>
      </c>
      <c r="AC10408" s="53">
        <f>M10408+$AE$10</f>
        <v>830</v>
      </c>
      <c r="AD10408" s="54">
        <f>SUM(AD10409:AD10416)</f>
        <v>10257.643858823531</v>
      </c>
      <c r="AE10408" s="184">
        <f>SUMIFS($AD$37:$AD$12971,$V$37:$V$12971,$V10408,$X$37:$X$12971,AE$13)</f>
        <v>0</v>
      </c>
      <c r="AF10408" s="185">
        <f>SUMIFS($AD$37:$AD$12971,$V$37:$V$12971,$V10408,$X$37:$X$12971,AF$13)</f>
        <v>0</v>
      </c>
      <c r="AG10408" s="185">
        <f>SUMIFS($AD$37:$AD$12971,$V$37:$V$12971,$V10408,$X$37:$X$12971,AG$13)</f>
        <v>0</v>
      </c>
      <c r="AH10408" s="187">
        <f>SUMIFS($AD$37:$AD$12971,$V$37:$V$12971,$V10408,$X$37:$X$12971,AH$13)</f>
        <v>0</v>
      </c>
      <c r="AI10408" s="161">
        <f t="shared" ref="AI10408" si="6944">SUM(AE10408:AH10408)</f>
        <v>0</v>
      </c>
      <c r="AK10408" s="172"/>
    </row>
    <row r="10409" spans="1:41" s="102" customFormat="1" ht="19.899999999999999" customHeight="1" x14ac:dyDescent="0.25">
      <c r="A10409" s="45"/>
      <c r="B10409" s="59"/>
      <c r="C10409" s="137"/>
      <c r="D10409" s="59"/>
      <c r="E10409" s="116"/>
      <c r="F10409" s="120"/>
      <c r="G10409" s="120"/>
      <c r="H10409" s="120"/>
      <c r="I10409" s="60"/>
      <c r="J10409" s="116"/>
      <c r="K10409" s="213"/>
      <c r="L10409" s="120"/>
      <c r="M10409" s="120"/>
      <c r="N10409" s="167"/>
      <c r="O10409" s="120"/>
      <c r="P10409" s="120"/>
      <c r="Q10409" s="120"/>
      <c r="R10409" s="120"/>
      <c r="S10409" s="120"/>
      <c r="T10409" s="221"/>
      <c r="U10409" s="89"/>
      <c r="V10409" s="61"/>
      <c r="W10409" s="92" t="s">
        <v>129</v>
      </c>
      <c r="X10409" s="93" t="s">
        <v>29</v>
      </c>
      <c r="Y10409" s="93" t="s">
        <v>93</v>
      </c>
      <c r="Z10409" s="134">
        <f>VLOOKUP(W10409,Sheet2!$B:$D,3,FALSE)</f>
        <v>56</v>
      </c>
      <c r="AA10409" s="93">
        <f>100/(1.6*1.5)</f>
        <v>41.666666666666657</v>
      </c>
      <c r="AB10409" s="93">
        <f t="shared" ref="AB10409" si="6945">AD10409/AC10408</f>
        <v>1.3440000000000003</v>
      </c>
      <c r="AC10409" s="93">
        <f>AC10408/AA10409</f>
        <v>19.920000000000005</v>
      </c>
      <c r="AD10409" s="94">
        <f t="shared" ref="AD10409:AD10410" si="6946">AC10409*Z10409</f>
        <v>1115.5200000000002</v>
      </c>
      <c r="AE10409" s="190"/>
      <c r="AF10409" s="191"/>
      <c r="AG10409" s="191"/>
      <c r="AH10409" s="191"/>
      <c r="AI10409" s="186"/>
      <c r="AK10409" s="171"/>
    </row>
    <row r="10410" spans="1:41" s="102" customFormat="1" ht="19.899999999999999" customHeight="1" x14ac:dyDescent="0.25">
      <c r="A10410" s="45"/>
      <c r="B10410" s="59"/>
      <c r="C10410" s="137"/>
      <c r="D10410" s="59"/>
      <c r="E10410" s="116"/>
      <c r="F10410" s="120"/>
      <c r="G10410" s="120"/>
      <c r="H10410" s="120"/>
      <c r="I10410" s="60"/>
      <c r="J10410" s="116"/>
      <c r="K10410" s="213"/>
      <c r="L10410" s="120"/>
      <c r="M10410" s="120"/>
      <c r="N10410" s="167"/>
      <c r="O10410" s="120"/>
      <c r="P10410" s="120"/>
      <c r="Q10410" s="120"/>
      <c r="R10410" s="120"/>
      <c r="S10410" s="120"/>
      <c r="T10410" s="221"/>
      <c r="U10410" s="89"/>
      <c r="V10410" s="61"/>
      <c r="W10410" s="92" t="s">
        <v>65</v>
      </c>
      <c r="X10410" s="93" t="s">
        <v>30</v>
      </c>
      <c r="Y10410" s="93" t="s">
        <v>1011</v>
      </c>
      <c r="Z10410" s="134">
        <f>VLOOKUP(W10410,Sheet2!$B:$D,3,FALSE)</f>
        <v>1.76</v>
      </c>
      <c r="AA10410" s="93">
        <f>AA10409/14</f>
        <v>2.9761904761904754</v>
      </c>
      <c r="AB10410" s="93">
        <f>AD10410/AC10408</f>
        <v>0.59136000000000011</v>
      </c>
      <c r="AC10410" s="93">
        <f>AC10408/AA10410</f>
        <v>278.88000000000005</v>
      </c>
      <c r="AD10410" s="94">
        <f t="shared" si="6946"/>
        <v>490.82880000000011</v>
      </c>
      <c r="AE10410" s="190"/>
      <c r="AF10410" s="191"/>
      <c r="AG10410" s="191"/>
      <c r="AH10410" s="191"/>
      <c r="AI10410" s="186"/>
      <c r="AK10410" s="171"/>
    </row>
    <row r="10411" spans="1:41" s="102" customFormat="1" ht="19.899999999999999" customHeight="1" x14ac:dyDescent="0.25">
      <c r="A10411" s="45"/>
      <c r="B10411" s="59"/>
      <c r="C10411" s="137"/>
      <c r="D10411" s="59"/>
      <c r="E10411" s="116"/>
      <c r="F10411" s="120"/>
      <c r="G10411" s="120"/>
      <c r="H10411" s="120"/>
      <c r="I10411" s="60"/>
      <c r="J10411" s="116"/>
      <c r="K10411" s="213"/>
      <c r="L10411" s="120"/>
      <c r="M10411" s="120"/>
      <c r="N10411" s="167"/>
      <c r="O10411" s="120"/>
      <c r="P10411" s="120"/>
      <c r="Q10411" s="120"/>
      <c r="R10411" s="120"/>
      <c r="S10411" s="120"/>
      <c r="T10411" s="221"/>
      <c r="U10411" s="89"/>
      <c r="V10411" s="61"/>
      <c r="W10411" s="92" t="s">
        <v>161</v>
      </c>
      <c r="X10411" s="93" t="s">
        <v>29</v>
      </c>
      <c r="Y10411" s="93" t="s">
        <v>93</v>
      </c>
      <c r="Z10411" s="134">
        <f>VLOOKUP(W10411,Sheet2!$B:$D,3,FALSE)</f>
        <v>48</v>
      </c>
      <c r="AA10411" s="93">
        <f>(16*0.85*1.5)/(1.6*1.5)</f>
        <v>8.4999999999999982</v>
      </c>
      <c r="AB10411" s="93">
        <f>AD10411/AC10408</f>
        <v>5.647058823529413</v>
      </c>
      <c r="AC10411" s="93">
        <f>AC10408/AA10411</f>
        <v>97.647058823529434</v>
      </c>
      <c r="AD10411" s="94">
        <f>AC10411*Z10411</f>
        <v>4687.0588235294126</v>
      </c>
      <c r="AE10411" s="190"/>
      <c r="AF10411" s="191"/>
      <c r="AG10411" s="191"/>
      <c r="AH10411" s="191"/>
      <c r="AI10411" s="186"/>
      <c r="AK10411" s="171"/>
    </row>
    <row r="10412" spans="1:41" s="102" customFormat="1" ht="19.899999999999999" customHeight="1" x14ac:dyDescent="0.25">
      <c r="A10412" s="45"/>
      <c r="B10412" s="59"/>
      <c r="C10412" s="137"/>
      <c r="D10412" s="59"/>
      <c r="E10412" s="116"/>
      <c r="F10412" s="120"/>
      <c r="G10412" s="120"/>
      <c r="H10412" s="120"/>
      <c r="I10412" s="60"/>
      <c r="J10412" s="116"/>
      <c r="K10412" s="213"/>
      <c r="L10412" s="120"/>
      <c r="M10412" s="120"/>
      <c r="N10412" s="167"/>
      <c r="O10412" s="120"/>
      <c r="P10412" s="120"/>
      <c r="Q10412" s="120"/>
      <c r="R10412" s="120"/>
      <c r="S10412" s="120"/>
      <c r="T10412" s="221"/>
      <c r="U10412" s="89"/>
      <c r="V10412" s="61"/>
      <c r="W10412" s="92" t="s">
        <v>65</v>
      </c>
      <c r="X10412" s="93" t="s">
        <v>30</v>
      </c>
      <c r="Y10412" s="93" t="s">
        <v>1011</v>
      </c>
      <c r="Z10412" s="134">
        <f>VLOOKUP(W10412,Sheet2!$B:$D,3,FALSE)</f>
        <v>1.76</v>
      </c>
      <c r="AA10412" s="93">
        <f>AA10411/10</f>
        <v>0.84999999999999987</v>
      </c>
      <c r="AB10412" s="93">
        <f>AD10412/AC10408</f>
        <v>2.0705882352941178</v>
      </c>
      <c r="AC10412" s="93">
        <f>AC10408/AA10412</f>
        <v>976.47058823529426</v>
      </c>
      <c r="AD10412" s="94">
        <f>AC10412*Z10412</f>
        <v>1718.5882352941178</v>
      </c>
      <c r="AE10412" s="190"/>
      <c r="AF10412" s="191"/>
      <c r="AG10412" s="191"/>
      <c r="AH10412" s="191"/>
      <c r="AI10412" s="186"/>
      <c r="AK10412" s="171"/>
    </row>
    <row r="10413" spans="1:41" s="102" customFormat="1" ht="19.899999999999999" customHeight="1" x14ac:dyDescent="0.25">
      <c r="A10413" s="45"/>
      <c r="B10413" s="59"/>
      <c r="C10413" s="137"/>
      <c r="D10413" s="59"/>
      <c r="E10413" s="116"/>
      <c r="F10413" s="120"/>
      <c r="G10413" s="120"/>
      <c r="H10413" s="120"/>
      <c r="I10413" s="60"/>
      <c r="J10413" s="116"/>
      <c r="K10413" s="213"/>
      <c r="L10413" s="120"/>
      <c r="M10413" s="120"/>
      <c r="N10413" s="167"/>
      <c r="O10413" s="120"/>
      <c r="P10413" s="120"/>
      <c r="Q10413" s="120"/>
      <c r="R10413" s="120"/>
      <c r="S10413" s="120"/>
      <c r="T10413" s="221"/>
      <c r="U10413" s="89"/>
      <c r="V10413" s="61"/>
      <c r="W10413" s="92" t="s">
        <v>1030</v>
      </c>
      <c r="X10413" s="93" t="s">
        <v>29</v>
      </c>
      <c r="Y10413" s="93" t="s">
        <v>93</v>
      </c>
      <c r="Z10413" s="134">
        <f>VLOOKUP(W10413,Sheet2!$B:$D,3,FALSE)</f>
        <v>23</v>
      </c>
      <c r="AA10413" s="93">
        <v>25</v>
      </c>
      <c r="AB10413" s="93">
        <f>AD10413/AC10408</f>
        <v>0.92</v>
      </c>
      <c r="AC10413" s="93">
        <f>AC10408/AA10413</f>
        <v>33.200000000000003</v>
      </c>
      <c r="AD10413" s="94">
        <f t="shared" ref="AD10413:AD10416" si="6947">AC10413*Z10413</f>
        <v>763.6</v>
      </c>
      <c r="AE10413" s="190"/>
      <c r="AF10413" s="191"/>
      <c r="AG10413" s="191"/>
      <c r="AH10413" s="191"/>
      <c r="AI10413" s="186"/>
      <c r="AK10413" s="171"/>
    </row>
    <row r="10414" spans="1:41" s="102" customFormat="1" ht="19.899999999999999" customHeight="1" x14ac:dyDescent="0.25">
      <c r="A10414" s="45"/>
      <c r="B10414" s="59"/>
      <c r="C10414" s="137"/>
      <c r="D10414" s="59"/>
      <c r="E10414" s="116"/>
      <c r="F10414" s="120"/>
      <c r="G10414" s="120"/>
      <c r="H10414" s="120"/>
      <c r="I10414" s="60"/>
      <c r="J10414" s="116"/>
      <c r="K10414" s="213"/>
      <c r="L10414" s="120"/>
      <c r="M10414" s="120"/>
      <c r="N10414" s="167"/>
      <c r="O10414" s="120"/>
      <c r="P10414" s="120"/>
      <c r="Q10414" s="120"/>
      <c r="R10414" s="120"/>
      <c r="S10414" s="120"/>
      <c r="T10414" s="221"/>
      <c r="U10414" s="89"/>
      <c r="V10414" s="61"/>
      <c r="W10414" s="92" t="s">
        <v>65</v>
      </c>
      <c r="X10414" s="93" t="s">
        <v>30</v>
      </c>
      <c r="Y10414" s="93" t="s">
        <v>1011</v>
      </c>
      <c r="Z10414" s="134">
        <f>VLOOKUP(W10414,Sheet2!$B:$D,3,FALSE)</f>
        <v>1.76</v>
      </c>
      <c r="AA10414" s="93">
        <f>AA10413/3</f>
        <v>8.3333333333333339</v>
      </c>
      <c r="AB10414" s="93">
        <f>AD10414/AC10408</f>
        <v>0.2112</v>
      </c>
      <c r="AC10414" s="93">
        <f>AC10408/AA10414</f>
        <v>99.6</v>
      </c>
      <c r="AD10414" s="94">
        <f t="shared" si="6947"/>
        <v>175.29599999999999</v>
      </c>
      <c r="AE10414" s="190"/>
      <c r="AF10414" s="191"/>
      <c r="AG10414" s="191"/>
      <c r="AH10414" s="191"/>
      <c r="AI10414" s="186"/>
      <c r="AK10414" s="171"/>
    </row>
    <row r="10415" spans="1:41" s="102" customFormat="1" ht="19.899999999999999" customHeight="1" x14ac:dyDescent="0.25">
      <c r="A10415" s="45"/>
      <c r="B10415" s="59"/>
      <c r="C10415" s="137"/>
      <c r="D10415" s="59"/>
      <c r="E10415" s="116"/>
      <c r="F10415" s="120"/>
      <c r="G10415" s="120"/>
      <c r="H10415" s="120"/>
      <c r="I10415" s="60"/>
      <c r="J10415" s="116"/>
      <c r="K10415" s="213"/>
      <c r="L10415" s="120"/>
      <c r="M10415" s="120"/>
      <c r="N10415" s="167"/>
      <c r="O10415" s="120"/>
      <c r="P10415" s="120"/>
      <c r="Q10415" s="120"/>
      <c r="R10415" s="120"/>
      <c r="S10415" s="120"/>
      <c r="T10415" s="221"/>
      <c r="U10415" s="89"/>
      <c r="V10415" s="61"/>
      <c r="W10415" s="92" t="s">
        <v>148</v>
      </c>
      <c r="X10415" s="93" t="s">
        <v>29</v>
      </c>
      <c r="Y10415" s="93" t="s">
        <v>93</v>
      </c>
      <c r="Z10415" s="134">
        <f>VLOOKUP(W10415,Sheet2!$B:$D,3,FALSE)</f>
        <v>48</v>
      </c>
      <c r="AA10415" s="93">
        <f>AA10409</f>
        <v>41.666666666666657</v>
      </c>
      <c r="AB10415" s="93">
        <f>AD10415/AC10408</f>
        <v>1.1520000000000004</v>
      </c>
      <c r="AC10415" s="93">
        <f>AC10408/AA10415</f>
        <v>19.920000000000005</v>
      </c>
      <c r="AD10415" s="94">
        <f t="shared" si="6947"/>
        <v>956.16000000000031</v>
      </c>
      <c r="AE10415" s="190"/>
      <c r="AF10415" s="191"/>
      <c r="AG10415" s="191"/>
      <c r="AH10415" s="191"/>
      <c r="AI10415" s="186"/>
      <c r="AK10415" s="171"/>
    </row>
    <row r="10416" spans="1:41" s="102" customFormat="1" ht="19.899999999999999" customHeight="1" x14ac:dyDescent="0.25">
      <c r="A10416" s="45"/>
      <c r="B10416" s="59"/>
      <c r="C10416" s="137"/>
      <c r="D10416" s="59"/>
      <c r="E10416" s="116"/>
      <c r="F10416" s="120"/>
      <c r="G10416" s="120"/>
      <c r="H10416" s="120"/>
      <c r="I10416" s="60"/>
      <c r="J10416" s="116"/>
      <c r="K10416" s="213"/>
      <c r="L10416" s="120"/>
      <c r="M10416" s="120"/>
      <c r="N10416" s="167"/>
      <c r="O10416" s="120"/>
      <c r="P10416" s="120"/>
      <c r="Q10416" s="120"/>
      <c r="R10416" s="120"/>
      <c r="S10416" s="120"/>
      <c r="T10416" s="221"/>
      <c r="U10416" s="89"/>
      <c r="V10416" s="61"/>
      <c r="W10416" s="92" t="s">
        <v>65</v>
      </c>
      <c r="X10416" s="93" t="s">
        <v>30</v>
      </c>
      <c r="Y10416" s="93" t="s">
        <v>1011</v>
      </c>
      <c r="Z10416" s="134">
        <f>VLOOKUP(W10416,Sheet2!$B:$D,3,FALSE)</f>
        <v>1.76</v>
      </c>
      <c r="AA10416" s="93">
        <f>AA10415/10</f>
        <v>4.1666666666666661</v>
      </c>
      <c r="AB10416" s="93">
        <f>AD10416/AC10408</f>
        <v>0.42240000000000005</v>
      </c>
      <c r="AC10416" s="93">
        <f>AC10408/AA10416</f>
        <v>199.20000000000002</v>
      </c>
      <c r="AD10416" s="94">
        <f t="shared" si="6947"/>
        <v>350.59200000000004</v>
      </c>
      <c r="AE10416" s="190"/>
      <c r="AF10416" s="191"/>
      <c r="AG10416" s="191"/>
      <c r="AH10416" s="191"/>
      <c r="AI10416" s="186"/>
      <c r="AK10416" s="171"/>
    </row>
    <row r="10417" spans="1:41" s="103" customFormat="1" ht="19.899999999999999" customHeight="1" x14ac:dyDescent="0.25">
      <c r="A10417" s="51"/>
      <c r="B10417" s="52"/>
      <c r="C10417" s="165"/>
      <c r="D10417" s="52"/>
      <c r="E10417" s="115"/>
      <c r="F10417" s="58"/>
      <c r="G10417" s="58"/>
      <c r="H10417" s="58"/>
      <c r="I10417" s="55"/>
      <c r="J10417" s="113">
        <f>J10407</f>
        <v>830</v>
      </c>
      <c r="K10417" s="212">
        <f>K10407</f>
        <v>830</v>
      </c>
      <c r="L10417" s="58"/>
      <c r="M10417" s="58">
        <f>K10417-L10417</f>
        <v>830</v>
      </c>
      <c r="N10417" s="166"/>
      <c r="O10417" s="58"/>
      <c r="P10417" s="58"/>
      <c r="Q10417" s="58"/>
      <c r="R10417" s="58"/>
      <c r="S10417" s="58"/>
      <c r="T10417" s="220"/>
      <c r="U10417" s="88"/>
      <c r="V10417" s="56"/>
      <c r="W10417" s="57" t="s">
        <v>1036</v>
      </c>
      <c r="X10417" s="53"/>
      <c r="Y10417" s="91" t="s">
        <v>68</v>
      </c>
      <c r="Z10417" s="136">
        <f>AD10417/AC10417</f>
        <v>382.58333333333337</v>
      </c>
      <c r="AA10417" s="58"/>
      <c r="AB10417" s="53">
        <f>AD10417/AC10417</f>
        <v>382.58333333333337</v>
      </c>
      <c r="AC10417" s="53">
        <f>M10417+$AE$10</f>
        <v>830</v>
      </c>
      <c r="AD10417" s="54">
        <f>SUM(AD10418:AD10424)</f>
        <v>317544.16666666669</v>
      </c>
      <c r="AE10417" s="184">
        <f>SUMIFS($AD$37:$AD$12971,$V$37:$V$12971,$V10417,$X$37:$X$12971,AE$13)</f>
        <v>0</v>
      </c>
      <c r="AF10417" s="185">
        <f>SUMIFS($AD$37:$AD$12971,$V$37:$V$12971,$V10417,$X$37:$X$12971,AF$13)</f>
        <v>0</v>
      </c>
      <c r="AG10417" s="185">
        <f>SUMIFS($AD$37:$AD$12971,$V$37:$V$12971,$V10417,$X$37:$X$12971,AG$13)</f>
        <v>0</v>
      </c>
      <c r="AH10417" s="187">
        <f>SUMIFS($AD$37:$AD$12971,$V$37:$V$12971,$V10417,$X$37:$X$12971,AH$13)</f>
        <v>0</v>
      </c>
      <c r="AI10417" s="161">
        <f t="shared" ref="AI10417" si="6948">SUM(AE10417:AH10417)</f>
        <v>0</v>
      </c>
      <c r="AK10417" s="172"/>
    </row>
    <row r="10418" spans="1:41" s="102" customFormat="1" ht="19.899999999999999" customHeight="1" x14ac:dyDescent="0.25">
      <c r="A10418" s="45"/>
      <c r="B10418" s="59"/>
      <c r="C10418" s="137"/>
      <c r="D10418" s="59"/>
      <c r="E10418" s="116"/>
      <c r="F10418" s="120"/>
      <c r="G10418" s="120"/>
      <c r="H10418" s="120"/>
      <c r="I10418" s="60"/>
      <c r="J10418" s="116"/>
      <c r="K10418" s="213"/>
      <c r="L10418" s="120"/>
      <c r="M10418" s="120"/>
      <c r="N10418" s="167"/>
      <c r="O10418" s="120"/>
      <c r="P10418" s="120"/>
      <c r="Q10418" s="120"/>
      <c r="R10418" s="120"/>
      <c r="S10418" s="120"/>
      <c r="T10418" s="221"/>
      <c r="U10418" s="89"/>
      <c r="V10418" s="61"/>
      <c r="W10418" s="92" t="s">
        <v>1709</v>
      </c>
      <c r="X10418" s="93" t="s">
        <v>30</v>
      </c>
      <c r="Y10418" s="93" t="s">
        <v>68</v>
      </c>
      <c r="Z10418" s="134">
        <f>VLOOKUP(W10418,Sheet2!$B:$D,3,FALSE)</f>
        <v>275</v>
      </c>
      <c r="AA10418" s="93">
        <v>1</v>
      </c>
      <c r="AB10418" s="93">
        <f>AD10418/AC10417</f>
        <v>275</v>
      </c>
      <c r="AC10418" s="93">
        <f>AC10417/AA10418</f>
        <v>830</v>
      </c>
      <c r="AD10418" s="94">
        <f t="shared" ref="AD10418" si="6949">AC10418*Z10418</f>
        <v>228250</v>
      </c>
      <c r="AE10418" s="190"/>
      <c r="AF10418" s="191"/>
      <c r="AG10418" s="191"/>
      <c r="AH10418" s="191"/>
      <c r="AI10418" s="186"/>
      <c r="AK10418" s="171"/>
    </row>
    <row r="10419" spans="1:41" s="102" customFormat="1" ht="19.899999999999999" customHeight="1" x14ac:dyDescent="0.25">
      <c r="A10419" s="45"/>
      <c r="B10419" s="59"/>
      <c r="C10419" s="137"/>
      <c r="D10419" s="59"/>
      <c r="E10419" s="116"/>
      <c r="F10419" s="120"/>
      <c r="G10419" s="120"/>
      <c r="H10419" s="120"/>
      <c r="I10419" s="60"/>
      <c r="J10419" s="116"/>
      <c r="K10419" s="213"/>
      <c r="L10419" s="120"/>
      <c r="M10419" s="120"/>
      <c r="N10419" s="167"/>
      <c r="O10419" s="120"/>
      <c r="P10419" s="120"/>
      <c r="Q10419" s="120"/>
      <c r="R10419" s="120"/>
      <c r="S10419" s="120"/>
      <c r="T10419" s="221"/>
      <c r="U10419" s="89"/>
      <c r="V10419" s="61"/>
      <c r="W10419" s="92" t="s">
        <v>1711</v>
      </c>
      <c r="X10419" s="93" t="s">
        <v>30</v>
      </c>
      <c r="Y10419" s="93" t="s">
        <v>68</v>
      </c>
      <c r="Z10419" s="134">
        <f>VLOOKUP(W10419,Sheet2!$B:$D,3,FALSE)</f>
        <v>28</v>
      </c>
      <c r="AA10419" s="93">
        <v>1</v>
      </c>
      <c r="AB10419" s="93">
        <f>AD10419/AC10417</f>
        <v>28</v>
      </c>
      <c r="AC10419" s="93">
        <f>AC10417/AA10419</f>
        <v>830</v>
      </c>
      <c r="AD10419" s="94">
        <f>AC10419*Z10419</f>
        <v>23240</v>
      </c>
      <c r="AE10419" s="190"/>
      <c r="AF10419" s="191"/>
      <c r="AG10419" s="191"/>
      <c r="AH10419" s="191"/>
      <c r="AI10419" s="186"/>
      <c r="AK10419" s="171"/>
    </row>
    <row r="10420" spans="1:41" s="102" customFormat="1" ht="19.899999999999999" customHeight="1" x14ac:dyDescent="0.25">
      <c r="A10420" s="45"/>
      <c r="B10420" s="59"/>
      <c r="C10420" s="137"/>
      <c r="D10420" s="59"/>
      <c r="E10420" s="116"/>
      <c r="F10420" s="120"/>
      <c r="G10420" s="120"/>
      <c r="H10420" s="120"/>
      <c r="I10420" s="60"/>
      <c r="J10420" s="116"/>
      <c r="K10420" s="213"/>
      <c r="L10420" s="120"/>
      <c r="M10420" s="120"/>
      <c r="N10420" s="167"/>
      <c r="O10420" s="120"/>
      <c r="P10420" s="120"/>
      <c r="Q10420" s="120"/>
      <c r="R10420" s="120"/>
      <c r="S10420" s="120"/>
      <c r="T10420" s="221"/>
      <c r="U10420" s="89"/>
      <c r="V10420" s="61"/>
      <c r="W10420" s="92" t="s">
        <v>107</v>
      </c>
      <c r="X10420" s="93" t="s">
        <v>31</v>
      </c>
      <c r="Y10420" s="93" t="s">
        <v>93</v>
      </c>
      <c r="Z10420" s="134">
        <f>VLOOKUP(W10420,Sheet2!$B:$D,3,FALSE)</f>
        <v>17</v>
      </c>
      <c r="AA10420" s="93">
        <v>2</v>
      </c>
      <c r="AB10420" s="93">
        <f>AD10420/AC10417</f>
        <v>8.5</v>
      </c>
      <c r="AC10420" s="93">
        <f>AC10417/AA10420</f>
        <v>415</v>
      </c>
      <c r="AD10420" s="94">
        <f>AC10420*Z10420</f>
        <v>7055</v>
      </c>
      <c r="AE10420" s="190"/>
      <c r="AF10420" s="191"/>
      <c r="AG10420" s="191"/>
      <c r="AH10420" s="191"/>
      <c r="AI10420" s="186"/>
      <c r="AK10420" s="171"/>
    </row>
    <row r="10421" spans="1:41" s="102" customFormat="1" ht="19.899999999999999" customHeight="1" x14ac:dyDescent="0.25">
      <c r="A10421" s="45"/>
      <c r="B10421" s="59"/>
      <c r="C10421" s="137"/>
      <c r="D10421" s="59"/>
      <c r="E10421" s="116"/>
      <c r="F10421" s="120"/>
      <c r="G10421" s="120"/>
      <c r="H10421" s="120"/>
      <c r="I10421" s="60"/>
      <c r="J10421" s="116"/>
      <c r="K10421" s="213"/>
      <c r="L10421" s="120"/>
      <c r="M10421" s="120"/>
      <c r="N10421" s="167"/>
      <c r="O10421" s="120"/>
      <c r="P10421" s="120"/>
      <c r="Q10421" s="120"/>
      <c r="R10421" s="120"/>
      <c r="S10421" s="120"/>
      <c r="T10421" s="221"/>
      <c r="U10421" s="89"/>
      <c r="V10421" s="61"/>
      <c r="W10421" s="92" t="s">
        <v>112</v>
      </c>
      <c r="X10421" s="93" t="s">
        <v>31</v>
      </c>
      <c r="Y10421" s="93" t="s">
        <v>93</v>
      </c>
      <c r="Z10421" s="134">
        <f>VLOOKUP(W10421,Sheet2!$B:$D,3,FALSE)</f>
        <v>13</v>
      </c>
      <c r="AA10421" s="93">
        <v>2</v>
      </c>
      <c r="AB10421" s="93">
        <f>AD10421/AC10417</f>
        <v>6.5</v>
      </c>
      <c r="AC10421" s="93">
        <f>AC10417/AA10421</f>
        <v>415</v>
      </c>
      <c r="AD10421" s="94">
        <f>AC10421*Z10421</f>
        <v>5395</v>
      </c>
      <c r="AE10421" s="190"/>
      <c r="AF10421" s="191"/>
      <c r="AG10421" s="191"/>
      <c r="AH10421" s="191"/>
      <c r="AI10421" s="186"/>
      <c r="AK10421" s="171"/>
    </row>
    <row r="10422" spans="1:41" s="102" customFormat="1" ht="19.899999999999999" customHeight="1" x14ac:dyDescent="0.25">
      <c r="A10422" s="45"/>
      <c r="B10422" s="59"/>
      <c r="C10422" s="137"/>
      <c r="D10422" s="59"/>
      <c r="E10422" s="116"/>
      <c r="F10422" s="120"/>
      <c r="G10422" s="120"/>
      <c r="H10422" s="120"/>
      <c r="I10422" s="60"/>
      <c r="J10422" s="116"/>
      <c r="K10422" s="213"/>
      <c r="L10422" s="120"/>
      <c r="M10422" s="120"/>
      <c r="N10422" s="167"/>
      <c r="O10422" s="120"/>
      <c r="P10422" s="120"/>
      <c r="Q10422" s="120"/>
      <c r="R10422" s="120"/>
      <c r="S10422" s="120"/>
      <c r="T10422" s="221"/>
      <c r="U10422" s="89"/>
      <c r="V10422" s="61"/>
      <c r="W10422" s="92" t="s">
        <v>1032</v>
      </c>
      <c r="X10422" s="93" t="s">
        <v>30</v>
      </c>
      <c r="Y10422" s="93" t="s">
        <v>66</v>
      </c>
      <c r="Z10422" s="134">
        <f>VLOOKUP(W10422,Sheet2!$B:$D,3,FALSE)</f>
        <v>250</v>
      </c>
      <c r="AA10422" s="93">
        <f>1/(1.6*1*0.1)</f>
        <v>6.2499999999999991</v>
      </c>
      <c r="AB10422" s="93">
        <f>AD10422/AC10417</f>
        <v>40</v>
      </c>
      <c r="AC10422" s="93">
        <f>AC10417/AA10422</f>
        <v>132.80000000000001</v>
      </c>
      <c r="AD10422" s="94">
        <f>AC10422*Z10422</f>
        <v>33200</v>
      </c>
      <c r="AE10422" s="190"/>
      <c r="AF10422" s="191"/>
      <c r="AG10422" s="191"/>
      <c r="AH10422" s="191"/>
      <c r="AI10422" s="186"/>
      <c r="AK10422" s="171"/>
    </row>
    <row r="10423" spans="1:41" s="102" customFormat="1" ht="19.899999999999999" customHeight="1" x14ac:dyDescent="0.25">
      <c r="A10423" s="45"/>
      <c r="B10423" s="59"/>
      <c r="C10423" s="137"/>
      <c r="D10423" s="59"/>
      <c r="E10423" s="116"/>
      <c r="F10423" s="120"/>
      <c r="G10423" s="120"/>
      <c r="H10423" s="120"/>
      <c r="I10423" s="60"/>
      <c r="J10423" s="116"/>
      <c r="K10423" s="213"/>
      <c r="L10423" s="120"/>
      <c r="M10423" s="120"/>
      <c r="N10423" s="167"/>
      <c r="O10423" s="120"/>
      <c r="P10423" s="120"/>
      <c r="Q10423" s="120"/>
      <c r="R10423" s="120"/>
      <c r="S10423" s="120"/>
      <c r="T10423" s="221"/>
      <c r="U10423" s="89"/>
      <c r="V10423" s="61"/>
      <c r="W10423" s="92" t="s">
        <v>1035</v>
      </c>
      <c r="X10423" s="93" t="s">
        <v>32</v>
      </c>
      <c r="Y10423" s="93" t="s">
        <v>66</v>
      </c>
      <c r="Z10423" s="134">
        <f>VLOOKUP(W10423,Sheet2!$B:$D,3,FALSE)</f>
        <v>150</v>
      </c>
      <c r="AA10423" s="93">
        <f>AA10422</f>
        <v>6.2499999999999991</v>
      </c>
      <c r="AB10423" s="93">
        <f>AD10423/AC10417</f>
        <v>24</v>
      </c>
      <c r="AC10423" s="93">
        <f>AC10417/AA10423</f>
        <v>132.80000000000001</v>
      </c>
      <c r="AD10423" s="94">
        <f t="shared" ref="AD10423:AD10424" si="6950">AC10423*Z10423</f>
        <v>19920</v>
      </c>
      <c r="AE10423" s="190"/>
      <c r="AF10423" s="191"/>
      <c r="AG10423" s="191"/>
      <c r="AH10423" s="191"/>
      <c r="AI10423" s="186"/>
      <c r="AK10423" s="171"/>
    </row>
    <row r="10424" spans="1:41" s="102" customFormat="1" ht="19.899999999999999" customHeight="1" x14ac:dyDescent="0.25">
      <c r="A10424" s="45"/>
      <c r="B10424" s="59"/>
      <c r="C10424" s="137"/>
      <c r="D10424" s="59"/>
      <c r="E10424" s="116"/>
      <c r="F10424" s="120"/>
      <c r="G10424" s="120"/>
      <c r="H10424" s="120"/>
      <c r="I10424" s="60"/>
      <c r="J10424" s="116"/>
      <c r="K10424" s="213"/>
      <c r="L10424" s="120"/>
      <c r="M10424" s="120"/>
      <c r="N10424" s="167"/>
      <c r="O10424" s="120"/>
      <c r="P10424" s="120"/>
      <c r="Q10424" s="120"/>
      <c r="R10424" s="120"/>
      <c r="S10424" s="120"/>
      <c r="T10424" s="221"/>
      <c r="U10424" s="89"/>
      <c r="V10424" s="61"/>
      <c r="W10424" s="92" t="s">
        <v>1037</v>
      </c>
      <c r="X10424" s="93" t="s">
        <v>30</v>
      </c>
      <c r="Y10424" s="93" t="s">
        <v>1038</v>
      </c>
      <c r="Z10424" s="134">
        <f>VLOOKUP(W10424,Sheet2!$B:$D,3,FALSE)</f>
        <v>175</v>
      </c>
      <c r="AA10424" s="93">
        <v>300</v>
      </c>
      <c r="AB10424" s="93">
        <f>AD10424/AC10417</f>
        <v>0.58333333333333326</v>
      </c>
      <c r="AC10424" s="93">
        <f>AC10417/AA10424</f>
        <v>2.7666666666666666</v>
      </c>
      <c r="AD10424" s="94">
        <f t="shared" si="6950"/>
        <v>484.16666666666663</v>
      </c>
      <c r="AE10424" s="190"/>
      <c r="AF10424" s="191"/>
      <c r="AG10424" s="191"/>
      <c r="AH10424" s="191"/>
      <c r="AI10424" s="186"/>
      <c r="AK10424" s="171"/>
    </row>
    <row r="10425" spans="1:41" s="103" customFormat="1" ht="19.899999999999999" customHeight="1" x14ac:dyDescent="0.25">
      <c r="A10425" s="51"/>
      <c r="B10425" s="52"/>
      <c r="C10425" s="165"/>
      <c r="D10425" s="52"/>
      <c r="E10425" s="115"/>
      <c r="F10425" s="58"/>
      <c r="G10425" s="58"/>
      <c r="H10425" s="58"/>
      <c r="I10425" s="55"/>
      <c r="J10425" s="113">
        <f>J10407</f>
        <v>830</v>
      </c>
      <c r="K10425" s="212">
        <f>K10407</f>
        <v>830</v>
      </c>
      <c r="L10425" s="58"/>
      <c r="M10425" s="58">
        <f>K10425-L10425</f>
        <v>830</v>
      </c>
      <c r="N10425" s="166"/>
      <c r="O10425" s="58"/>
      <c r="P10425" s="58"/>
      <c r="Q10425" s="58"/>
      <c r="R10425" s="58"/>
      <c r="S10425" s="58"/>
      <c r="T10425" s="220"/>
      <c r="U10425" s="88"/>
      <c r="V10425" s="56"/>
      <c r="W10425" s="57" t="s">
        <v>1040</v>
      </c>
      <c r="X10425" s="53"/>
      <c r="Y10425" s="91" t="s">
        <v>68</v>
      </c>
      <c r="Z10425" s="136">
        <f>AD10425/AC10425</f>
        <v>5</v>
      </c>
      <c r="AA10425" s="58"/>
      <c r="AB10425" s="53">
        <f>AD10425/AC10425</f>
        <v>5</v>
      </c>
      <c r="AC10425" s="53">
        <f>M10425+$AE$10</f>
        <v>830</v>
      </c>
      <c r="AD10425" s="54">
        <f>SUM(AD10426)</f>
        <v>4150</v>
      </c>
      <c r="AE10425" s="184">
        <f>SUMIFS($AD$37:$AD$12971,$V$37:$V$12971,$V10425,$X$37:$X$12971,AE$13)</f>
        <v>0</v>
      </c>
      <c r="AF10425" s="185">
        <f>SUMIFS($AD$37:$AD$12971,$V$37:$V$12971,$V10425,$X$37:$X$12971,AF$13)</f>
        <v>0</v>
      </c>
      <c r="AG10425" s="185">
        <f>SUMIFS($AD$37:$AD$12971,$V$37:$V$12971,$V10425,$X$37:$X$12971,AG$13)</f>
        <v>0</v>
      </c>
      <c r="AH10425" s="187">
        <f>SUMIFS($AD$37:$AD$12971,$V$37:$V$12971,$V10425,$X$37:$X$12971,AH$13)</f>
        <v>0</v>
      </c>
      <c r="AI10425" s="161">
        <f t="shared" ref="AI10425" si="6951">SUM(AE10425:AH10425)</f>
        <v>0</v>
      </c>
      <c r="AK10425" s="172"/>
    </row>
    <row r="10426" spans="1:41" s="102" customFormat="1" ht="19.899999999999999" customHeight="1" x14ac:dyDescent="0.25">
      <c r="A10426" s="45"/>
      <c r="B10426" s="59"/>
      <c r="C10426" s="137"/>
      <c r="D10426" s="59"/>
      <c r="E10426" s="116"/>
      <c r="F10426" s="120"/>
      <c r="G10426" s="120"/>
      <c r="H10426" s="120"/>
      <c r="I10426" s="60"/>
      <c r="J10426" s="116"/>
      <c r="K10426" s="213"/>
      <c r="L10426" s="120"/>
      <c r="M10426" s="120"/>
      <c r="N10426" s="167"/>
      <c r="O10426" s="120"/>
      <c r="P10426" s="120"/>
      <c r="Q10426" s="120"/>
      <c r="R10426" s="120"/>
      <c r="S10426" s="120"/>
      <c r="T10426" s="221"/>
      <c r="U10426" s="89"/>
      <c r="V10426" s="61"/>
      <c r="W10426" s="92" t="s">
        <v>1039</v>
      </c>
      <c r="X10426" s="93" t="s">
        <v>32</v>
      </c>
      <c r="Y10426" s="93" t="s">
        <v>68</v>
      </c>
      <c r="Z10426" s="134">
        <f>VLOOKUP(W10426,Sheet2!$B:$D,3,FALSE)</f>
        <v>5</v>
      </c>
      <c r="AA10426" s="93">
        <v>1</v>
      </c>
      <c r="AB10426" s="93">
        <f>AD10426/AC10425</f>
        <v>5</v>
      </c>
      <c r="AC10426" s="93">
        <f>AC10425/AA10426</f>
        <v>830</v>
      </c>
      <c r="AD10426" s="94">
        <f t="shared" ref="AD10426" si="6952">AC10426*Z10426</f>
        <v>4150</v>
      </c>
      <c r="AE10426" s="190"/>
      <c r="AF10426" s="191"/>
      <c r="AG10426" s="191"/>
      <c r="AH10426" s="191"/>
      <c r="AI10426" s="186"/>
      <c r="AK10426" s="171"/>
    </row>
    <row r="10427" spans="1:41" ht="20.100000000000001" customHeight="1" x14ac:dyDescent="0.25">
      <c r="A10427" s="277" t="s">
        <v>961</v>
      </c>
      <c r="B10427" s="278"/>
      <c r="C10427" s="64" t="s">
        <v>977</v>
      </c>
      <c r="D10427" s="46" t="s">
        <v>97</v>
      </c>
      <c r="E10427" s="114"/>
      <c r="F10427" s="44">
        <v>0</v>
      </c>
      <c r="G10427" s="44">
        <f t="shared" si="6741"/>
        <v>0</v>
      </c>
      <c r="H10427" s="44">
        <f t="shared" si="6742"/>
        <v>0</v>
      </c>
      <c r="I10427" s="43">
        <f t="shared" si="6743"/>
        <v>0</v>
      </c>
      <c r="J10427" s="112">
        <f t="shared" si="6744"/>
        <v>0</v>
      </c>
      <c r="K10427" s="211">
        <f t="shared" si="6745"/>
        <v>0</v>
      </c>
      <c r="L10427" s="44"/>
      <c r="M10427" s="44">
        <f t="shared" si="6755"/>
        <v>0</v>
      </c>
      <c r="N10427" s="173">
        <f t="shared" si="6746"/>
        <v>0</v>
      </c>
      <c r="O10427" s="44">
        <f t="shared" si="6747"/>
        <v>0</v>
      </c>
      <c r="P10427" s="44">
        <f t="shared" si="6748"/>
        <v>0</v>
      </c>
      <c r="Q10427" s="44">
        <f t="shared" si="6749"/>
        <v>0</v>
      </c>
      <c r="R10427" s="44">
        <f t="shared" si="6756"/>
        <v>0</v>
      </c>
      <c r="S10427" s="123"/>
      <c r="T10427" s="219">
        <f t="shared" si="6757"/>
        <v>0</v>
      </c>
      <c r="U10427" s="87"/>
      <c r="V10427" s="47"/>
      <c r="W10427" s="48"/>
      <c r="X10427" s="48"/>
      <c r="Y10427" s="48"/>
      <c r="Z10427" s="135"/>
      <c r="AA10427" s="49"/>
      <c r="AB10427" s="50">
        <f t="shared" si="6750"/>
        <v>0</v>
      </c>
      <c r="AC10427" s="42">
        <f t="shared" si="6758"/>
        <v>9.9999999999999998E-20</v>
      </c>
      <c r="AD10427" s="90"/>
      <c r="AE10427" s="188"/>
      <c r="AF10427" s="189"/>
      <c r="AG10427" s="189"/>
      <c r="AH10427" s="189"/>
      <c r="AI10427" s="161"/>
    </row>
    <row r="10428" spans="1:41" ht="20.100000000000001" customHeight="1" x14ac:dyDescent="0.25">
      <c r="A10428" s="277" t="s">
        <v>961</v>
      </c>
      <c r="B10428" s="278"/>
      <c r="C10428" s="64" t="s">
        <v>978</v>
      </c>
      <c r="D10428" s="46" t="s">
        <v>97</v>
      </c>
      <c r="E10428" s="114">
        <v>1925</v>
      </c>
      <c r="F10428" s="44">
        <v>859</v>
      </c>
      <c r="G10428" s="44">
        <f t="shared" si="6741"/>
        <v>1653575</v>
      </c>
      <c r="H10428" s="44">
        <f t="shared" si="6742"/>
        <v>640.55564392156862</v>
      </c>
      <c r="I10428" s="43">
        <f t="shared" si="6743"/>
        <v>1233069.6145490196</v>
      </c>
      <c r="J10428" s="112">
        <f t="shared" si="6744"/>
        <v>1925</v>
      </c>
      <c r="K10428" s="211">
        <f t="shared" si="6745"/>
        <v>1925</v>
      </c>
      <c r="L10428" s="44"/>
      <c r="M10428" s="44">
        <f t="shared" si="6755"/>
        <v>1925</v>
      </c>
      <c r="N10428" s="173">
        <f t="shared" si="6746"/>
        <v>1</v>
      </c>
      <c r="O10428" s="44">
        <f t="shared" si="6747"/>
        <v>859</v>
      </c>
      <c r="P10428" s="44">
        <f t="shared" si="6748"/>
        <v>1653575</v>
      </c>
      <c r="Q10428" s="44">
        <f t="shared" si="6749"/>
        <v>640.55564392156862</v>
      </c>
      <c r="R10428" s="44">
        <f t="shared" si="6756"/>
        <v>1233069.6145490196</v>
      </c>
      <c r="S10428" s="123"/>
      <c r="T10428" s="219">
        <f t="shared" si="6757"/>
        <v>1233069.6145490196</v>
      </c>
      <c r="U10428" s="87"/>
      <c r="V10428" s="47"/>
      <c r="W10428" s="48"/>
      <c r="X10428" s="48"/>
      <c r="Y10428" s="48"/>
      <c r="Z10428" s="135"/>
      <c r="AA10428" s="49"/>
      <c r="AB10428" s="50">
        <f t="shared" si="6750"/>
        <v>640.55564392156862</v>
      </c>
      <c r="AC10428" s="42">
        <f t="shared" si="6758"/>
        <v>1925</v>
      </c>
      <c r="AD10428" s="90">
        <f>AD10429+AD10438+AD10445</f>
        <v>1233069.6145490196</v>
      </c>
      <c r="AE10428" s="188">
        <f t="shared" ref="AE10428:AH10428" si="6953">AE10429+AE10438+AE10445</f>
        <v>0</v>
      </c>
      <c r="AF10428" s="189">
        <f t="shared" si="6953"/>
        <v>0</v>
      </c>
      <c r="AG10428" s="189">
        <f t="shared" si="6953"/>
        <v>0</v>
      </c>
      <c r="AH10428" s="189">
        <f t="shared" si="6953"/>
        <v>0</v>
      </c>
      <c r="AI10428" s="161">
        <f t="shared" ref="AI10428:AI10429" si="6954">SUM(AE10428:AH10428)</f>
        <v>0</v>
      </c>
      <c r="AK10428" s="169">
        <v>5</v>
      </c>
      <c r="AO10428" s="19" t="s">
        <v>63</v>
      </c>
    </row>
    <row r="10429" spans="1:41" s="103" customFormat="1" ht="19.899999999999999" customHeight="1" x14ac:dyDescent="0.25">
      <c r="A10429" s="51"/>
      <c r="B10429" s="52"/>
      <c r="C10429" s="165"/>
      <c r="D10429" s="52"/>
      <c r="E10429" s="115"/>
      <c r="F10429" s="58"/>
      <c r="G10429" s="58"/>
      <c r="H10429" s="58"/>
      <c r="I10429" s="55"/>
      <c r="J10429" s="113">
        <f>J10428</f>
        <v>1925</v>
      </c>
      <c r="K10429" s="212">
        <f>K10428</f>
        <v>1925</v>
      </c>
      <c r="L10429" s="58"/>
      <c r="M10429" s="58">
        <f>K10429-L10429</f>
        <v>1925</v>
      </c>
      <c r="N10429" s="166"/>
      <c r="O10429" s="58"/>
      <c r="P10429" s="58"/>
      <c r="Q10429" s="58"/>
      <c r="R10429" s="58"/>
      <c r="S10429" s="58"/>
      <c r="T10429" s="220"/>
      <c r="U10429" s="88"/>
      <c r="V10429" s="56"/>
      <c r="W10429" s="57" t="s">
        <v>1716</v>
      </c>
      <c r="X10429" s="53"/>
      <c r="Y10429" s="91" t="s">
        <v>68</v>
      </c>
      <c r="Z10429" s="136">
        <f>AD10429/AC10429</f>
        <v>17.972310588235295</v>
      </c>
      <c r="AA10429" s="58"/>
      <c r="AB10429" s="53">
        <f>AD10429/AC10429</f>
        <v>17.972310588235295</v>
      </c>
      <c r="AC10429" s="53">
        <f>M10429+$AE$10</f>
        <v>1925</v>
      </c>
      <c r="AD10429" s="54">
        <f>SUM(AD10430:AD10437)</f>
        <v>34596.697882352943</v>
      </c>
      <c r="AE10429" s="184">
        <f>SUMIFS($AD$37:$AD$12971,$V$37:$V$12971,$V10429,$X$37:$X$12971,AE$13)</f>
        <v>0</v>
      </c>
      <c r="AF10429" s="185">
        <f>SUMIFS($AD$37:$AD$12971,$V$37:$V$12971,$V10429,$X$37:$X$12971,AF$13)</f>
        <v>0</v>
      </c>
      <c r="AG10429" s="185">
        <f>SUMIFS($AD$37:$AD$12971,$V$37:$V$12971,$V10429,$X$37:$X$12971,AG$13)</f>
        <v>0</v>
      </c>
      <c r="AH10429" s="187">
        <f>SUMIFS($AD$37:$AD$12971,$V$37:$V$12971,$V10429,$X$37:$X$12971,AH$13)</f>
        <v>0</v>
      </c>
      <c r="AI10429" s="161">
        <f t="shared" si="6954"/>
        <v>0</v>
      </c>
      <c r="AK10429" s="172"/>
    </row>
    <row r="10430" spans="1:41" s="102" customFormat="1" ht="19.899999999999999" customHeight="1" x14ac:dyDescent="0.25">
      <c r="A10430" s="45"/>
      <c r="B10430" s="59"/>
      <c r="C10430" s="137"/>
      <c r="D10430" s="59"/>
      <c r="E10430" s="116"/>
      <c r="F10430" s="120"/>
      <c r="G10430" s="120"/>
      <c r="H10430" s="120"/>
      <c r="I10430" s="60"/>
      <c r="J10430" s="116"/>
      <c r="K10430" s="213"/>
      <c r="L10430" s="120"/>
      <c r="M10430" s="120"/>
      <c r="N10430" s="167"/>
      <c r="O10430" s="120"/>
      <c r="P10430" s="120"/>
      <c r="Q10430" s="120"/>
      <c r="R10430" s="120"/>
      <c r="S10430" s="120"/>
      <c r="T10430" s="221"/>
      <c r="U10430" s="89"/>
      <c r="V10430" s="61"/>
      <c r="W10430" s="92" t="s">
        <v>129</v>
      </c>
      <c r="X10430" s="93" t="s">
        <v>29</v>
      </c>
      <c r="Y10430" s="93" t="s">
        <v>93</v>
      </c>
      <c r="Z10430" s="134">
        <f>VLOOKUP(W10430,Sheet2!$B:$D,3,FALSE)</f>
        <v>56</v>
      </c>
      <c r="AA10430" s="93">
        <f>100/(1.8*2)</f>
        <v>27.777777777777779</v>
      </c>
      <c r="AB10430" s="93">
        <f t="shared" ref="AB10430" si="6955">AD10430/AC10429</f>
        <v>2.016</v>
      </c>
      <c r="AC10430" s="93">
        <f>AC10429/AA10430</f>
        <v>69.3</v>
      </c>
      <c r="AD10430" s="94">
        <f t="shared" ref="AD10430:AD10431" si="6956">AC10430*Z10430</f>
        <v>3880.7999999999997</v>
      </c>
      <c r="AE10430" s="190"/>
      <c r="AF10430" s="191"/>
      <c r="AG10430" s="191"/>
      <c r="AH10430" s="191"/>
      <c r="AI10430" s="186"/>
      <c r="AK10430" s="171"/>
    </row>
    <row r="10431" spans="1:41" s="102" customFormat="1" ht="19.899999999999999" customHeight="1" x14ac:dyDescent="0.25">
      <c r="A10431" s="45"/>
      <c r="B10431" s="59"/>
      <c r="C10431" s="137"/>
      <c r="D10431" s="59"/>
      <c r="E10431" s="116"/>
      <c r="F10431" s="120"/>
      <c r="G10431" s="120"/>
      <c r="H10431" s="120"/>
      <c r="I10431" s="60"/>
      <c r="J10431" s="116"/>
      <c r="K10431" s="213"/>
      <c r="L10431" s="120"/>
      <c r="M10431" s="120"/>
      <c r="N10431" s="167"/>
      <c r="O10431" s="120"/>
      <c r="P10431" s="120"/>
      <c r="Q10431" s="120"/>
      <c r="R10431" s="120"/>
      <c r="S10431" s="120"/>
      <c r="T10431" s="221"/>
      <c r="U10431" s="89"/>
      <c r="V10431" s="61"/>
      <c r="W10431" s="92" t="s">
        <v>65</v>
      </c>
      <c r="X10431" s="93" t="s">
        <v>30</v>
      </c>
      <c r="Y10431" s="93" t="s">
        <v>1011</v>
      </c>
      <c r="Z10431" s="134">
        <f>VLOOKUP(W10431,Sheet2!$B:$D,3,FALSE)</f>
        <v>1.76</v>
      </c>
      <c r="AA10431" s="93">
        <f>AA10430/14</f>
        <v>1.9841269841269842</v>
      </c>
      <c r="AB10431" s="93">
        <f>AD10431/AC10429</f>
        <v>0.88703999999999994</v>
      </c>
      <c r="AC10431" s="93">
        <f>AC10429/AA10431</f>
        <v>970.19999999999993</v>
      </c>
      <c r="AD10431" s="94">
        <f t="shared" si="6956"/>
        <v>1707.5519999999999</v>
      </c>
      <c r="AE10431" s="190"/>
      <c r="AF10431" s="191"/>
      <c r="AG10431" s="191"/>
      <c r="AH10431" s="191"/>
      <c r="AI10431" s="186"/>
      <c r="AK10431" s="171"/>
    </row>
    <row r="10432" spans="1:41" s="102" customFormat="1" ht="19.899999999999999" customHeight="1" x14ac:dyDescent="0.25">
      <c r="A10432" s="45"/>
      <c r="B10432" s="59"/>
      <c r="C10432" s="137"/>
      <c r="D10432" s="59"/>
      <c r="E10432" s="116"/>
      <c r="F10432" s="120"/>
      <c r="G10432" s="120"/>
      <c r="H10432" s="120"/>
      <c r="I10432" s="60"/>
      <c r="J10432" s="116"/>
      <c r="K10432" s="213"/>
      <c r="L10432" s="120"/>
      <c r="M10432" s="120"/>
      <c r="N10432" s="167"/>
      <c r="O10432" s="120"/>
      <c r="P10432" s="120"/>
      <c r="Q10432" s="120"/>
      <c r="R10432" s="120"/>
      <c r="S10432" s="120"/>
      <c r="T10432" s="221"/>
      <c r="U10432" s="89"/>
      <c r="V10432" s="61"/>
      <c r="W10432" s="92" t="s">
        <v>161</v>
      </c>
      <c r="X10432" s="93" t="s">
        <v>29</v>
      </c>
      <c r="Y10432" s="93" t="s">
        <v>93</v>
      </c>
      <c r="Z10432" s="134">
        <f>VLOOKUP(W10432,Sheet2!$B:$D,3,FALSE)</f>
        <v>48</v>
      </c>
      <c r="AA10432" s="93">
        <f>(16*0.85*1.5)/(1.8*2)</f>
        <v>5.6666666666666661</v>
      </c>
      <c r="AB10432" s="93">
        <f>AD10432/AC10429</f>
        <v>8.4705882352941195</v>
      </c>
      <c r="AC10432" s="93">
        <f>AC10429/AA10432</f>
        <v>339.70588235294122</v>
      </c>
      <c r="AD10432" s="94">
        <f>AC10432*Z10432</f>
        <v>16305.882352941178</v>
      </c>
      <c r="AE10432" s="190"/>
      <c r="AF10432" s="191"/>
      <c r="AG10432" s="191"/>
      <c r="AH10432" s="191"/>
      <c r="AI10432" s="186"/>
      <c r="AK10432" s="171"/>
    </row>
    <row r="10433" spans="1:41" s="102" customFormat="1" ht="19.899999999999999" customHeight="1" x14ac:dyDescent="0.25">
      <c r="A10433" s="45"/>
      <c r="B10433" s="59"/>
      <c r="C10433" s="137"/>
      <c r="D10433" s="59"/>
      <c r="E10433" s="116"/>
      <c r="F10433" s="120"/>
      <c r="G10433" s="120"/>
      <c r="H10433" s="120"/>
      <c r="I10433" s="60"/>
      <c r="J10433" s="116"/>
      <c r="K10433" s="213"/>
      <c r="L10433" s="120"/>
      <c r="M10433" s="120"/>
      <c r="N10433" s="167"/>
      <c r="O10433" s="120"/>
      <c r="P10433" s="120"/>
      <c r="Q10433" s="120"/>
      <c r="R10433" s="120"/>
      <c r="S10433" s="120"/>
      <c r="T10433" s="221"/>
      <c r="U10433" s="89"/>
      <c r="V10433" s="61"/>
      <c r="W10433" s="92" t="s">
        <v>65</v>
      </c>
      <c r="X10433" s="93" t="s">
        <v>30</v>
      </c>
      <c r="Y10433" s="93" t="s">
        <v>1011</v>
      </c>
      <c r="Z10433" s="134">
        <f>VLOOKUP(W10433,Sheet2!$B:$D,3,FALSE)</f>
        <v>1.76</v>
      </c>
      <c r="AA10433" s="93">
        <f>AA10432/10</f>
        <v>0.56666666666666665</v>
      </c>
      <c r="AB10433" s="93">
        <f>AD10433/AC10429</f>
        <v>3.1058823529411765</v>
      </c>
      <c r="AC10433" s="93">
        <f>AC10429/AA10433</f>
        <v>3397.0588235294117</v>
      </c>
      <c r="AD10433" s="94">
        <f>AC10433*Z10433</f>
        <v>5978.8235294117649</v>
      </c>
      <c r="AE10433" s="190"/>
      <c r="AF10433" s="191"/>
      <c r="AG10433" s="191"/>
      <c r="AH10433" s="191"/>
      <c r="AI10433" s="186"/>
      <c r="AK10433" s="171"/>
    </row>
    <row r="10434" spans="1:41" s="102" customFormat="1" ht="19.899999999999999" customHeight="1" x14ac:dyDescent="0.25">
      <c r="A10434" s="45"/>
      <c r="B10434" s="59"/>
      <c r="C10434" s="137"/>
      <c r="D10434" s="59"/>
      <c r="E10434" s="116"/>
      <c r="F10434" s="120"/>
      <c r="G10434" s="120"/>
      <c r="H10434" s="120"/>
      <c r="I10434" s="60"/>
      <c r="J10434" s="116"/>
      <c r="K10434" s="213"/>
      <c r="L10434" s="120"/>
      <c r="M10434" s="120"/>
      <c r="N10434" s="167"/>
      <c r="O10434" s="120"/>
      <c r="P10434" s="120"/>
      <c r="Q10434" s="120"/>
      <c r="R10434" s="120"/>
      <c r="S10434" s="120"/>
      <c r="T10434" s="221"/>
      <c r="U10434" s="89"/>
      <c r="V10434" s="61"/>
      <c r="W10434" s="92" t="s">
        <v>1030</v>
      </c>
      <c r="X10434" s="93" t="s">
        <v>29</v>
      </c>
      <c r="Y10434" s="93" t="s">
        <v>93</v>
      </c>
      <c r="Z10434" s="134">
        <f>VLOOKUP(W10434,Sheet2!$B:$D,3,FALSE)</f>
        <v>23</v>
      </c>
      <c r="AA10434" s="93">
        <v>25</v>
      </c>
      <c r="AB10434" s="93">
        <f>AD10434/AC10429</f>
        <v>0.92</v>
      </c>
      <c r="AC10434" s="93">
        <f>AC10429/AA10434</f>
        <v>77</v>
      </c>
      <c r="AD10434" s="94">
        <f t="shared" ref="AD10434:AD10437" si="6957">AC10434*Z10434</f>
        <v>1771</v>
      </c>
      <c r="AE10434" s="190"/>
      <c r="AF10434" s="191"/>
      <c r="AG10434" s="191"/>
      <c r="AH10434" s="191"/>
      <c r="AI10434" s="186"/>
      <c r="AK10434" s="171"/>
    </row>
    <row r="10435" spans="1:41" s="102" customFormat="1" ht="19.899999999999999" customHeight="1" x14ac:dyDescent="0.25">
      <c r="A10435" s="45"/>
      <c r="B10435" s="59"/>
      <c r="C10435" s="137"/>
      <c r="D10435" s="59"/>
      <c r="E10435" s="116"/>
      <c r="F10435" s="120"/>
      <c r="G10435" s="120"/>
      <c r="H10435" s="120"/>
      <c r="I10435" s="60"/>
      <c r="J10435" s="116"/>
      <c r="K10435" s="213"/>
      <c r="L10435" s="120"/>
      <c r="M10435" s="120"/>
      <c r="N10435" s="167"/>
      <c r="O10435" s="120"/>
      <c r="P10435" s="120"/>
      <c r="Q10435" s="120"/>
      <c r="R10435" s="120"/>
      <c r="S10435" s="120"/>
      <c r="T10435" s="221"/>
      <c r="U10435" s="89"/>
      <c r="V10435" s="61"/>
      <c r="W10435" s="92" t="s">
        <v>65</v>
      </c>
      <c r="X10435" s="93" t="s">
        <v>30</v>
      </c>
      <c r="Y10435" s="93" t="s">
        <v>1011</v>
      </c>
      <c r="Z10435" s="134">
        <f>VLOOKUP(W10435,Sheet2!$B:$D,3,FALSE)</f>
        <v>1.76</v>
      </c>
      <c r="AA10435" s="93">
        <f>AA10434/3</f>
        <v>8.3333333333333339</v>
      </c>
      <c r="AB10435" s="93">
        <f>AD10435/AC10429</f>
        <v>0.21119999999999997</v>
      </c>
      <c r="AC10435" s="93">
        <f>AC10429/AA10435</f>
        <v>230.99999999999997</v>
      </c>
      <c r="AD10435" s="94">
        <f t="shared" si="6957"/>
        <v>406.55999999999995</v>
      </c>
      <c r="AE10435" s="190"/>
      <c r="AF10435" s="191"/>
      <c r="AG10435" s="191"/>
      <c r="AH10435" s="191"/>
      <c r="AI10435" s="186"/>
      <c r="AK10435" s="171"/>
    </row>
    <row r="10436" spans="1:41" s="102" customFormat="1" ht="19.899999999999999" customHeight="1" x14ac:dyDescent="0.25">
      <c r="A10436" s="45"/>
      <c r="B10436" s="59"/>
      <c r="C10436" s="137"/>
      <c r="D10436" s="59"/>
      <c r="E10436" s="116"/>
      <c r="F10436" s="120"/>
      <c r="G10436" s="120"/>
      <c r="H10436" s="120"/>
      <c r="I10436" s="60"/>
      <c r="J10436" s="116"/>
      <c r="K10436" s="213"/>
      <c r="L10436" s="120"/>
      <c r="M10436" s="120"/>
      <c r="N10436" s="167"/>
      <c r="O10436" s="120"/>
      <c r="P10436" s="120"/>
      <c r="Q10436" s="120"/>
      <c r="R10436" s="120"/>
      <c r="S10436" s="120"/>
      <c r="T10436" s="221"/>
      <c r="U10436" s="89"/>
      <c r="V10436" s="61"/>
      <c r="W10436" s="92" t="s">
        <v>148</v>
      </c>
      <c r="X10436" s="93" t="s">
        <v>29</v>
      </c>
      <c r="Y10436" s="93" t="s">
        <v>93</v>
      </c>
      <c r="Z10436" s="134">
        <f>VLOOKUP(W10436,Sheet2!$B:$D,3,FALSE)</f>
        <v>48</v>
      </c>
      <c r="AA10436" s="93">
        <f>AA10430</f>
        <v>27.777777777777779</v>
      </c>
      <c r="AB10436" s="93">
        <f>AD10436/AC10429</f>
        <v>1.7279999999999998</v>
      </c>
      <c r="AC10436" s="93">
        <f>AC10429/AA10436</f>
        <v>69.3</v>
      </c>
      <c r="AD10436" s="94">
        <f t="shared" si="6957"/>
        <v>3326.3999999999996</v>
      </c>
      <c r="AE10436" s="190"/>
      <c r="AF10436" s="191"/>
      <c r="AG10436" s="191"/>
      <c r="AH10436" s="191"/>
      <c r="AI10436" s="186"/>
      <c r="AK10436" s="171"/>
    </row>
    <row r="10437" spans="1:41" s="102" customFormat="1" ht="19.899999999999999" customHeight="1" x14ac:dyDescent="0.25">
      <c r="A10437" s="45"/>
      <c r="B10437" s="59"/>
      <c r="C10437" s="137"/>
      <c r="D10437" s="59"/>
      <c r="E10437" s="116"/>
      <c r="F10437" s="120"/>
      <c r="G10437" s="120"/>
      <c r="H10437" s="120"/>
      <c r="I10437" s="60"/>
      <c r="J10437" s="116"/>
      <c r="K10437" s="213"/>
      <c r="L10437" s="120"/>
      <c r="M10437" s="120"/>
      <c r="N10437" s="167"/>
      <c r="O10437" s="120"/>
      <c r="P10437" s="120"/>
      <c r="Q10437" s="120"/>
      <c r="R10437" s="120"/>
      <c r="S10437" s="120"/>
      <c r="T10437" s="221"/>
      <c r="U10437" s="89"/>
      <c r="V10437" s="61"/>
      <c r="W10437" s="92" t="s">
        <v>65</v>
      </c>
      <c r="X10437" s="93" t="s">
        <v>30</v>
      </c>
      <c r="Y10437" s="93" t="s">
        <v>1011</v>
      </c>
      <c r="Z10437" s="134">
        <f>VLOOKUP(W10437,Sheet2!$B:$D,3,FALSE)</f>
        <v>1.76</v>
      </c>
      <c r="AA10437" s="93">
        <f>AA10436/10</f>
        <v>2.7777777777777777</v>
      </c>
      <c r="AB10437" s="93">
        <f>AD10437/AC10429</f>
        <v>0.63360000000000005</v>
      </c>
      <c r="AC10437" s="93">
        <f>AC10429/AA10437</f>
        <v>693</v>
      </c>
      <c r="AD10437" s="94">
        <f t="shared" si="6957"/>
        <v>1219.68</v>
      </c>
      <c r="AE10437" s="190"/>
      <c r="AF10437" s="191"/>
      <c r="AG10437" s="191"/>
      <c r="AH10437" s="191"/>
      <c r="AI10437" s="186"/>
      <c r="AK10437" s="171"/>
    </row>
    <row r="10438" spans="1:41" s="103" customFormat="1" ht="19.899999999999999" customHeight="1" x14ac:dyDescent="0.25">
      <c r="A10438" s="51"/>
      <c r="B10438" s="52"/>
      <c r="C10438" s="165"/>
      <c r="D10438" s="52"/>
      <c r="E10438" s="115"/>
      <c r="F10438" s="58"/>
      <c r="G10438" s="58"/>
      <c r="H10438" s="58"/>
      <c r="I10438" s="55"/>
      <c r="J10438" s="113">
        <f>J10428</f>
        <v>1925</v>
      </c>
      <c r="K10438" s="212">
        <f>K10428</f>
        <v>1925</v>
      </c>
      <c r="L10438" s="58"/>
      <c r="M10438" s="58">
        <f>K10438-L10438</f>
        <v>1925</v>
      </c>
      <c r="N10438" s="166"/>
      <c r="O10438" s="58"/>
      <c r="P10438" s="58"/>
      <c r="Q10438" s="58"/>
      <c r="R10438" s="58"/>
      <c r="S10438" s="58"/>
      <c r="T10438" s="220"/>
      <c r="U10438" s="88"/>
      <c r="V10438" s="56"/>
      <c r="W10438" s="57" t="s">
        <v>1036</v>
      </c>
      <c r="X10438" s="53"/>
      <c r="Y10438" s="91" t="s">
        <v>68</v>
      </c>
      <c r="Z10438" s="136">
        <f>AD10438/AC10438</f>
        <v>617.58333333333337</v>
      </c>
      <c r="AA10438" s="58"/>
      <c r="AB10438" s="53">
        <f>AD10438/AC10438</f>
        <v>617.58333333333337</v>
      </c>
      <c r="AC10438" s="53">
        <f>M10438+$AE$10</f>
        <v>1925</v>
      </c>
      <c r="AD10438" s="54">
        <f>SUM(AD10439:AD10444)</f>
        <v>1188847.9166666667</v>
      </c>
      <c r="AE10438" s="184">
        <f>SUMIFS($AD$37:$AD$12971,$V$37:$V$12971,$V10438,$X$37:$X$12971,AE$13)</f>
        <v>0</v>
      </c>
      <c r="AF10438" s="185">
        <f>SUMIFS($AD$37:$AD$12971,$V$37:$V$12971,$V10438,$X$37:$X$12971,AF$13)</f>
        <v>0</v>
      </c>
      <c r="AG10438" s="185">
        <f>SUMIFS($AD$37:$AD$12971,$V$37:$V$12971,$V10438,$X$37:$X$12971,AG$13)</f>
        <v>0</v>
      </c>
      <c r="AH10438" s="187">
        <f>SUMIFS($AD$37:$AD$12971,$V$37:$V$12971,$V10438,$X$37:$X$12971,AH$13)</f>
        <v>0</v>
      </c>
      <c r="AI10438" s="161">
        <f t="shared" ref="AI10438" si="6958">SUM(AE10438:AH10438)</f>
        <v>0</v>
      </c>
      <c r="AK10438" s="172"/>
    </row>
    <row r="10439" spans="1:41" s="102" customFormat="1" ht="19.899999999999999" customHeight="1" x14ac:dyDescent="0.25">
      <c r="A10439" s="45"/>
      <c r="B10439" s="59"/>
      <c r="C10439" s="137"/>
      <c r="D10439" s="59"/>
      <c r="E10439" s="116"/>
      <c r="F10439" s="120"/>
      <c r="G10439" s="120"/>
      <c r="H10439" s="120"/>
      <c r="I10439" s="60"/>
      <c r="J10439" s="116"/>
      <c r="K10439" s="213"/>
      <c r="L10439" s="120"/>
      <c r="M10439" s="120"/>
      <c r="N10439" s="167"/>
      <c r="O10439" s="120"/>
      <c r="P10439" s="120"/>
      <c r="Q10439" s="120"/>
      <c r="R10439" s="120"/>
      <c r="S10439" s="120"/>
      <c r="T10439" s="221"/>
      <c r="U10439" s="89"/>
      <c r="V10439" s="61"/>
      <c r="W10439" s="92" t="s">
        <v>1060</v>
      </c>
      <c r="X10439" s="93" t="s">
        <v>30</v>
      </c>
      <c r="Y10439" s="93" t="s">
        <v>68</v>
      </c>
      <c r="Z10439" s="134">
        <f>VLOOKUP(W10439,Sheet2!$B:$D,3,FALSE)</f>
        <v>430</v>
      </c>
      <c r="AA10439" s="93">
        <v>1</v>
      </c>
      <c r="AB10439" s="93">
        <f>AD10439/AC10438</f>
        <v>430</v>
      </c>
      <c r="AC10439" s="93">
        <f>AC10438/AA10439</f>
        <v>1925</v>
      </c>
      <c r="AD10439" s="94">
        <f t="shared" ref="AD10439" si="6959">AC10439*Z10439</f>
        <v>827750</v>
      </c>
      <c r="AE10439" s="190"/>
      <c r="AF10439" s="191"/>
      <c r="AG10439" s="191"/>
      <c r="AH10439" s="191"/>
      <c r="AI10439" s="186"/>
      <c r="AK10439" s="171"/>
    </row>
    <row r="10440" spans="1:41" s="102" customFormat="1" ht="19.899999999999999" customHeight="1" x14ac:dyDescent="0.25">
      <c r="A10440" s="45"/>
      <c r="B10440" s="59"/>
      <c r="C10440" s="137"/>
      <c r="D10440" s="59"/>
      <c r="E10440" s="116"/>
      <c r="F10440" s="120"/>
      <c r="G10440" s="120"/>
      <c r="H10440" s="120"/>
      <c r="I10440" s="60"/>
      <c r="J10440" s="116"/>
      <c r="K10440" s="213"/>
      <c r="L10440" s="120"/>
      <c r="M10440" s="120"/>
      <c r="N10440" s="167"/>
      <c r="O10440" s="120"/>
      <c r="P10440" s="120"/>
      <c r="Q10440" s="120"/>
      <c r="R10440" s="120"/>
      <c r="S10440" s="120"/>
      <c r="T10440" s="221"/>
      <c r="U10440" s="89"/>
      <c r="V10440" s="61"/>
      <c r="W10440" s="92" t="s">
        <v>1067</v>
      </c>
      <c r="X10440" s="93" t="s">
        <v>30</v>
      </c>
      <c r="Y10440" s="93" t="s">
        <v>68</v>
      </c>
      <c r="Z10440" s="134">
        <f>VLOOKUP(W10440,Sheet2!$B:$D,3,FALSE)</f>
        <v>43</v>
      </c>
      <c r="AA10440" s="93">
        <v>1</v>
      </c>
      <c r="AB10440" s="93">
        <f>AD10440/AC10438</f>
        <v>43</v>
      </c>
      <c r="AC10440" s="93">
        <f>AC10438/AA10440</f>
        <v>1925</v>
      </c>
      <c r="AD10440" s="94">
        <f>AC10440*Z10440</f>
        <v>82775</v>
      </c>
      <c r="AE10440" s="190"/>
      <c r="AF10440" s="191"/>
      <c r="AG10440" s="191"/>
      <c r="AH10440" s="191"/>
      <c r="AI10440" s="186"/>
      <c r="AK10440" s="171"/>
    </row>
    <row r="10441" spans="1:41" s="102" customFormat="1" ht="19.899999999999999" customHeight="1" x14ac:dyDescent="0.25">
      <c r="A10441" s="45"/>
      <c r="B10441" s="59"/>
      <c r="C10441" s="137"/>
      <c r="D10441" s="59"/>
      <c r="E10441" s="116"/>
      <c r="F10441" s="120"/>
      <c r="G10441" s="120"/>
      <c r="H10441" s="120"/>
      <c r="I10441" s="60"/>
      <c r="J10441" s="116"/>
      <c r="K10441" s="213"/>
      <c r="L10441" s="120"/>
      <c r="M10441" s="120"/>
      <c r="N10441" s="167"/>
      <c r="O10441" s="120"/>
      <c r="P10441" s="120"/>
      <c r="Q10441" s="120"/>
      <c r="R10441" s="120"/>
      <c r="S10441" s="120"/>
      <c r="T10441" s="221"/>
      <c r="U10441" s="89"/>
      <c r="V10441" s="61"/>
      <c r="W10441" s="92" t="s">
        <v>1074</v>
      </c>
      <c r="X10441" s="93" t="s">
        <v>32</v>
      </c>
      <c r="Y10441" s="93" t="s">
        <v>68</v>
      </c>
      <c r="Z10441" s="134">
        <f>VLOOKUP(W10441,Sheet2!$B:$D,3,FALSE)</f>
        <v>72</v>
      </c>
      <c r="AA10441" s="93">
        <v>1</v>
      </c>
      <c r="AB10441" s="93">
        <f>AD10441/AC10438</f>
        <v>72</v>
      </c>
      <c r="AC10441" s="93">
        <f>AC10438/AA10441</f>
        <v>1925</v>
      </c>
      <c r="AD10441" s="94">
        <f>AC10441*Z10441</f>
        <v>138600</v>
      </c>
      <c r="AE10441" s="190"/>
      <c r="AF10441" s="191"/>
      <c r="AG10441" s="191"/>
      <c r="AH10441" s="191"/>
      <c r="AI10441" s="186"/>
      <c r="AK10441" s="171"/>
    </row>
    <row r="10442" spans="1:41" s="102" customFormat="1" ht="19.899999999999999" customHeight="1" x14ac:dyDescent="0.25">
      <c r="A10442" s="45"/>
      <c r="B10442" s="59"/>
      <c r="C10442" s="137"/>
      <c r="D10442" s="59"/>
      <c r="E10442" s="116"/>
      <c r="F10442" s="120"/>
      <c r="G10442" s="120"/>
      <c r="H10442" s="120"/>
      <c r="I10442" s="60"/>
      <c r="J10442" s="116"/>
      <c r="K10442" s="213"/>
      <c r="L10442" s="120"/>
      <c r="M10442" s="120"/>
      <c r="N10442" s="167"/>
      <c r="O10442" s="120"/>
      <c r="P10442" s="120"/>
      <c r="Q10442" s="120"/>
      <c r="R10442" s="120"/>
      <c r="S10442" s="120"/>
      <c r="T10442" s="221"/>
      <c r="U10442" s="89"/>
      <c r="V10442" s="61"/>
      <c r="W10442" s="92" t="s">
        <v>1032</v>
      </c>
      <c r="X10442" s="93" t="s">
        <v>30</v>
      </c>
      <c r="Y10442" s="93" t="s">
        <v>66</v>
      </c>
      <c r="Z10442" s="134">
        <f>VLOOKUP(W10442,Sheet2!$B:$D,3,FALSE)</f>
        <v>250</v>
      </c>
      <c r="AA10442" s="93">
        <f>1/(1.8*0.1)</f>
        <v>5.5555555555555545</v>
      </c>
      <c r="AB10442" s="93">
        <f>AD10442/AC10438</f>
        <v>45.000000000000007</v>
      </c>
      <c r="AC10442" s="93">
        <f>AC10438/AA10442</f>
        <v>346.50000000000006</v>
      </c>
      <c r="AD10442" s="94">
        <f>AC10442*Z10442</f>
        <v>86625.000000000015</v>
      </c>
      <c r="AE10442" s="190"/>
      <c r="AF10442" s="191"/>
      <c r="AG10442" s="191"/>
      <c r="AH10442" s="191"/>
      <c r="AI10442" s="186"/>
      <c r="AK10442" s="171"/>
    </row>
    <row r="10443" spans="1:41" s="102" customFormat="1" ht="19.899999999999999" customHeight="1" x14ac:dyDescent="0.25">
      <c r="A10443" s="45"/>
      <c r="B10443" s="59"/>
      <c r="C10443" s="137"/>
      <c r="D10443" s="59"/>
      <c r="E10443" s="116"/>
      <c r="F10443" s="120"/>
      <c r="G10443" s="120"/>
      <c r="H10443" s="120"/>
      <c r="I10443" s="60"/>
      <c r="J10443" s="116"/>
      <c r="K10443" s="213"/>
      <c r="L10443" s="120"/>
      <c r="M10443" s="120"/>
      <c r="N10443" s="167"/>
      <c r="O10443" s="120"/>
      <c r="P10443" s="120"/>
      <c r="Q10443" s="120"/>
      <c r="R10443" s="120"/>
      <c r="S10443" s="120"/>
      <c r="T10443" s="221"/>
      <c r="U10443" s="89"/>
      <c r="V10443" s="61"/>
      <c r="W10443" s="92" t="s">
        <v>1035</v>
      </c>
      <c r="X10443" s="93" t="s">
        <v>32</v>
      </c>
      <c r="Y10443" s="93" t="s">
        <v>66</v>
      </c>
      <c r="Z10443" s="134">
        <f>VLOOKUP(W10443,Sheet2!$B:$D,3,FALSE)</f>
        <v>150</v>
      </c>
      <c r="AA10443" s="93">
        <f>AA10442</f>
        <v>5.5555555555555545</v>
      </c>
      <c r="AB10443" s="93">
        <f>AD10443/AC10438</f>
        <v>27.000000000000004</v>
      </c>
      <c r="AC10443" s="93">
        <f>AC10438/AA10443</f>
        <v>346.50000000000006</v>
      </c>
      <c r="AD10443" s="94">
        <f t="shared" ref="AD10443:AD10444" si="6960">AC10443*Z10443</f>
        <v>51975.000000000007</v>
      </c>
      <c r="AE10443" s="190"/>
      <c r="AF10443" s="191"/>
      <c r="AG10443" s="191"/>
      <c r="AH10443" s="191"/>
      <c r="AI10443" s="186"/>
      <c r="AK10443" s="171"/>
    </row>
    <row r="10444" spans="1:41" s="102" customFormat="1" ht="19.899999999999999" customHeight="1" x14ac:dyDescent="0.25">
      <c r="A10444" s="45"/>
      <c r="B10444" s="59"/>
      <c r="C10444" s="137"/>
      <c r="D10444" s="59"/>
      <c r="E10444" s="116"/>
      <c r="F10444" s="120"/>
      <c r="G10444" s="120"/>
      <c r="H10444" s="120"/>
      <c r="I10444" s="60"/>
      <c r="J10444" s="116"/>
      <c r="K10444" s="213"/>
      <c r="L10444" s="120"/>
      <c r="M10444" s="120"/>
      <c r="N10444" s="167"/>
      <c r="O10444" s="120"/>
      <c r="P10444" s="120"/>
      <c r="Q10444" s="120"/>
      <c r="R10444" s="120"/>
      <c r="S10444" s="120"/>
      <c r="T10444" s="221"/>
      <c r="U10444" s="89"/>
      <c r="V10444" s="61"/>
      <c r="W10444" s="92" t="s">
        <v>1037</v>
      </c>
      <c r="X10444" s="93" t="s">
        <v>30</v>
      </c>
      <c r="Y10444" s="93" t="s">
        <v>1038</v>
      </c>
      <c r="Z10444" s="134">
        <f>VLOOKUP(W10444,Sheet2!$B:$D,3,FALSE)</f>
        <v>175</v>
      </c>
      <c r="AA10444" s="93">
        <v>300</v>
      </c>
      <c r="AB10444" s="93">
        <f>AD10444/AC10438</f>
        <v>0.58333333333333337</v>
      </c>
      <c r="AC10444" s="93">
        <f>AC10438/AA10444</f>
        <v>6.416666666666667</v>
      </c>
      <c r="AD10444" s="94">
        <f t="shared" si="6960"/>
        <v>1122.9166666666667</v>
      </c>
      <c r="AE10444" s="190"/>
      <c r="AF10444" s="191"/>
      <c r="AG10444" s="191"/>
      <c r="AH10444" s="191"/>
      <c r="AI10444" s="186"/>
      <c r="AK10444" s="171"/>
    </row>
    <row r="10445" spans="1:41" s="103" customFormat="1" ht="19.899999999999999" customHeight="1" x14ac:dyDescent="0.25">
      <c r="A10445" s="51"/>
      <c r="B10445" s="52"/>
      <c r="C10445" s="165"/>
      <c r="D10445" s="52"/>
      <c r="E10445" s="115"/>
      <c r="F10445" s="58"/>
      <c r="G10445" s="58"/>
      <c r="H10445" s="58"/>
      <c r="I10445" s="55"/>
      <c r="J10445" s="113">
        <f>J10428</f>
        <v>1925</v>
      </c>
      <c r="K10445" s="212">
        <f>K10428</f>
        <v>1925</v>
      </c>
      <c r="L10445" s="58"/>
      <c r="M10445" s="58">
        <f>K10445-L10445</f>
        <v>1925</v>
      </c>
      <c r="N10445" s="166"/>
      <c r="O10445" s="58"/>
      <c r="P10445" s="58"/>
      <c r="Q10445" s="58"/>
      <c r="R10445" s="58"/>
      <c r="S10445" s="58"/>
      <c r="T10445" s="220"/>
      <c r="U10445" s="88"/>
      <c r="V10445" s="56"/>
      <c r="W10445" s="57" t="s">
        <v>1040</v>
      </c>
      <c r="X10445" s="53"/>
      <c r="Y10445" s="91" t="s">
        <v>68</v>
      </c>
      <c r="Z10445" s="136">
        <f>AD10445/AC10445</f>
        <v>5</v>
      </c>
      <c r="AA10445" s="58"/>
      <c r="AB10445" s="53">
        <f>AD10445/AC10445</f>
        <v>5</v>
      </c>
      <c r="AC10445" s="53">
        <f>M10445+$AE$10</f>
        <v>1925</v>
      </c>
      <c r="AD10445" s="54">
        <f>SUM(AD10446)</f>
        <v>9625</v>
      </c>
      <c r="AE10445" s="184">
        <f>SUMIFS($AD$37:$AD$12971,$V$37:$V$12971,$V10445,$X$37:$X$12971,AE$13)</f>
        <v>0</v>
      </c>
      <c r="AF10445" s="185">
        <f>SUMIFS($AD$37:$AD$12971,$V$37:$V$12971,$V10445,$X$37:$X$12971,AF$13)</f>
        <v>0</v>
      </c>
      <c r="AG10445" s="185">
        <f>SUMIFS($AD$37:$AD$12971,$V$37:$V$12971,$V10445,$X$37:$X$12971,AG$13)</f>
        <v>0</v>
      </c>
      <c r="AH10445" s="187">
        <f>SUMIFS($AD$37:$AD$12971,$V$37:$V$12971,$V10445,$X$37:$X$12971,AH$13)</f>
        <v>0</v>
      </c>
      <c r="AI10445" s="161">
        <f t="shared" ref="AI10445" si="6961">SUM(AE10445:AH10445)</f>
        <v>0</v>
      </c>
      <c r="AK10445" s="172"/>
    </row>
    <row r="10446" spans="1:41" s="102" customFormat="1" ht="19.899999999999999" customHeight="1" x14ac:dyDescent="0.25">
      <c r="A10446" s="45"/>
      <c r="B10446" s="59"/>
      <c r="C10446" s="137"/>
      <c r="D10446" s="59"/>
      <c r="E10446" s="116"/>
      <c r="F10446" s="120"/>
      <c r="G10446" s="120"/>
      <c r="H10446" s="120"/>
      <c r="I10446" s="60"/>
      <c r="J10446" s="116"/>
      <c r="K10446" s="213"/>
      <c r="L10446" s="120"/>
      <c r="M10446" s="120"/>
      <c r="N10446" s="167"/>
      <c r="O10446" s="120"/>
      <c r="P10446" s="120"/>
      <c r="Q10446" s="120"/>
      <c r="R10446" s="120"/>
      <c r="S10446" s="120"/>
      <c r="T10446" s="221"/>
      <c r="U10446" s="89"/>
      <c r="V10446" s="61"/>
      <c r="W10446" s="92" t="s">
        <v>1039</v>
      </c>
      <c r="X10446" s="93" t="s">
        <v>32</v>
      </c>
      <c r="Y10446" s="93" t="s">
        <v>68</v>
      </c>
      <c r="Z10446" s="134">
        <f>VLOOKUP(W10446,Sheet2!$B:$D,3,FALSE)</f>
        <v>5</v>
      </c>
      <c r="AA10446" s="93">
        <v>1</v>
      </c>
      <c r="AB10446" s="93">
        <f>AD10446/AC10445</f>
        <v>5</v>
      </c>
      <c r="AC10446" s="93">
        <f>AC10445/AA10446</f>
        <v>1925</v>
      </c>
      <c r="AD10446" s="94">
        <f t="shared" ref="AD10446" si="6962">AC10446*Z10446</f>
        <v>9625</v>
      </c>
      <c r="AE10446" s="190"/>
      <c r="AF10446" s="191"/>
      <c r="AG10446" s="191"/>
      <c r="AH10446" s="191"/>
      <c r="AI10446" s="186"/>
      <c r="AK10446" s="171"/>
    </row>
    <row r="10447" spans="1:41" ht="20.100000000000001" customHeight="1" x14ac:dyDescent="0.25">
      <c r="A10447" s="277" t="s">
        <v>961</v>
      </c>
      <c r="B10447" s="278"/>
      <c r="C10447" s="64" t="s">
        <v>979</v>
      </c>
      <c r="D10447" s="46" t="s">
        <v>97</v>
      </c>
      <c r="E10447" s="114">
        <v>177</v>
      </c>
      <c r="F10447" s="44">
        <v>1147</v>
      </c>
      <c r="G10447" s="44">
        <f t="shared" si="6741"/>
        <v>203019</v>
      </c>
      <c r="H10447" s="44">
        <f t="shared" si="6742"/>
        <v>802.42687843137253</v>
      </c>
      <c r="I10447" s="43">
        <f t="shared" si="6743"/>
        <v>142029.55748235295</v>
      </c>
      <c r="J10447" s="112">
        <f t="shared" si="6744"/>
        <v>177</v>
      </c>
      <c r="K10447" s="211">
        <f t="shared" si="6745"/>
        <v>177</v>
      </c>
      <c r="L10447" s="44"/>
      <c r="M10447" s="44">
        <f t="shared" si="6755"/>
        <v>177</v>
      </c>
      <c r="N10447" s="173">
        <f t="shared" si="6746"/>
        <v>1</v>
      </c>
      <c r="O10447" s="44">
        <f t="shared" si="6747"/>
        <v>1147</v>
      </c>
      <c r="P10447" s="44">
        <f t="shared" si="6748"/>
        <v>203019</v>
      </c>
      <c r="Q10447" s="44">
        <f t="shared" si="6749"/>
        <v>802.42687843137253</v>
      </c>
      <c r="R10447" s="44">
        <f t="shared" si="6756"/>
        <v>142029.55748235295</v>
      </c>
      <c r="S10447" s="123"/>
      <c r="T10447" s="219">
        <f t="shared" si="6757"/>
        <v>142029.55748235295</v>
      </c>
      <c r="U10447" s="87"/>
      <c r="V10447" s="47"/>
      <c r="W10447" s="48"/>
      <c r="X10447" s="48"/>
      <c r="Y10447" s="48"/>
      <c r="Z10447" s="135"/>
      <c r="AA10447" s="49"/>
      <c r="AB10447" s="50">
        <f t="shared" si="6750"/>
        <v>802.42687843137253</v>
      </c>
      <c r="AC10447" s="42">
        <f t="shared" si="6758"/>
        <v>177</v>
      </c>
      <c r="AD10447" s="90">
        <f>AD10448+AD10457+AD10464</f>
        <v>142029.55748235295</v>
      </c>
      <c r="AE10447" s="188">
        <f t="shared" ref="AE10447" si="6963">AE10448+AE10457+AE10464</f>
        <v>0</v>
      </c>
      <c r="AF10447" s="189">
        <f t="shared" ref="AF10447" si="6964">AF10448+AF10457+AF10464</f>
        <v>0</v>
      </c>
      <c r="AG10447" s="189">
        <f t="shared" ref="AG10447" si="6965">AG10448+AG10457+AG10464</f>
        <v>0</v>
      </c>
      <c r="AH10447" s="189">
        <f t="shared" ref="AH10447" si="6966">AH10448+AH10457+AH10464</f>
        <v>0</v>
      </c>
      <c r="AI10447" s="161">
        <f t="shared" ref="AI10447:AI10448" si="6967">SUM(AE10447:AH10447)</f>
        <v>0</v>
      </c>
      <c r="AK10447" s="169">
        <v>5</v>
      </c>
      <c r="AO10447" s="19" t="s">
        <v>63</v>
      </c>
    </row>
    <row r="10448" spans="1:41" s="103" customFormat="1" ht="19.899999999999999" customHeight="1" x14ac:dyDescent="0.25">
      <c r="A10448" s="51"/>
      <c r="B10448" s="52"/>
      <c r="C10448" s="165"/>
      <c r="D10448" s="52"/>
      <c r="E10448" s="115"/>
      <c r="F10448" s="58"/>
      <c r="G10448" s="58"/>
      <c r="H10448" s="58"/>
      <c r="I10448" s="55"/>
      <c r="J10448" s="113">
        <f>J10447</f>
        <v>177</v>
      </c>
      <c r="K10448" s="212">
        <f>K10447</f>
        <v>177</v>
      </c>
      <c r="L10448" s="58"/>
      <c r="M10448" s="58">
        <f>K10448-L10448</f>
        <v>177</v>
      </c>
      <c r="N10448" s="166"/>
      <c r="O10448" s="58"/>
      <c r="P10448" s="58"/>
      <c r="Q10448" s="58"/>
      <c r="R10448" s="58"/>
      <c r="S10448" s="58"/>
      <c r="T10448" s="220"/>
      <c r="U10448" s="88"/>
      <c r="V10448" s="56"/>
      <c r="W10448" s="57" t="s">
        <v>1717</v>
      </c>
      <c r="X10448" s="53"/>
      <c r="Y10448" s="91" t="s">
        <v>68</v>
      </c>
      <c r="Z10448" s="136">
        <f>AD10448/AC10448</f>
        <v>19.843545098039218</v>
      </c>
      <c r="AA10448" s="58"/>
      <c r="AB10448" s="53">
        <f>AD10448/AC10448</f>
        <v>19.843545098039218</v>
      </c>
      <c r="AC10448" s="53">
        <f>M10448+$AE$10</f>
        <v>177</v>
      </c>
      <c r="AD10448" s="54">
        <f>SUM(AD10449:AD10456)</f>
        <v>3512.3074823529419</v>
      </c>
      <c r="AE10448" s="184">
        <f>SUMIFS($AD$37:$AD$12971,$V$37:$V$12971,$V10448,$X$37:$X$12971,AE$13)</f>
        <v>0</v>
      </c>
      <c r="AF10448" s="185">
        <f>SUMIFS($AD$37:$AD$12971,$V$37:$V$12971,$V10448,$X$37:$X$12971,AF$13)</f>
        <v>0</v>
      </c>
      <c r="AG10448" s="185">
        <f>SUMIFS($AD$37:$AD$12971,$V$37:$V$12971,$V10448,$X$37:$X$12971,AG$13)</f>
        <v>0</v>
      </c>
      <c r="AH10448" s="187">
        <f>SUMIFS($AD$37:$AD$12971,$V$37:$V$12971,$V10448,$X$37:$X$12971,AH$13)</f>
        <v>0</v>
      </c>
      <c r="AI10448" s="161">
        <f t="shared" si="6967"/>
        <v>0</v>
      </c>
      <c r="AK10448" s="172"/>
    </row>
    <row r="10449" spans="1:37" s="102" customFormat="1" ht="19.899999999999999" customHeight="1" x14ac:dyDescent="0.25">
      <c r="A10449" s="45"/>
      <c r="B10449" s="59"/>
      <c r="C10449" s="137"/>
      <c r="D10449" s="59"/>
      <c r="E10449" s="116"/>
      <c r="F10449" s="120"/>
      <c r="G10449" s="120"/>
      <c r="H10449" s="120"/>
      <c r="I10449" s="60"/>
      <c r="J10449" s="116"/>
      <c r="K10449" s="213"/>
      <c r="L10449" s="120"/>
      <c r="M10449" s="120"/>
      <c r="N10449" s="167"/>
      <c r="O10449" s="120"/>
      <c r="P10449" s="120"/>
      <c r="Q10449" s="120"/>
      <c r="R10449" s="120"/>
      <c r="S10449" s="120"/>
      <c r="T10449" s="221"/>
      <c r="U10449" s="89"/>
      <c r="V10449" s="61"/>
      <c r="W10449" s="92" t="s">
        <v>129</v>
      </c>
      <c r="X10449" s="93" t="s">
        <v>29</v>
      </c>
      <c r="Y10449" s="93" t="s">
        <v>93</v>
      </c>
      <c r="Z10449" s="134">
        <f>VLOOKUP(W10449,Sheet2!$B:$D,3,FALSE)</f>
        <v>56</v>
      </c>
      <c r="AA10449" s="93">
        <f>100/(2*2)</f>
        <v>25</v>
      </c>
      <c r="AB10449" s="93">
        <f t="shared" ref="AB10449" si="6968">AD10449/AC10448</f>
        <v>2.2400000000000002</v>
      </c>
      <c r="AC10449" s="93">
        <f>AC10448/AA10449</f>
        <v>7.08</v>
      </c>
      <c r="AD10449" s="94">
        <f t="shared" ref="AD10449:AD10450" si="6969">AC10449*Z10449</f>
        <v>396.48</v>
      </c>
      <c r="AE10449" s="190"/>
      <c r="AF10449" s="191"/>
      <c r="AG10449" s="191"/>
      <c r="AH10449" s="191"/>
      <c r="AI10449" s="186"/>
      <c r="AK10449" s="171"/>
    </row>
    <row r="10450" spans="1:37" s="102" customFormat="1" ht="19.899999999999999" customHeight="1" x14ac:dyDescent="0.25">
      <c r="A10450" s="45"/>
      <c r="B10450" s="59"/>
      <c r="C10450" s="137"/>
      <c r="D10450" s="59"/>
      <c r="E10450" s="116"/>
      <c r="F10450" s="120"/>
      <c r="G10450" s="120"/>
      <c r="H10450" s="120"/>
      <c r="I10450" s="60"/>
      <c r="J10450" s="116"/>
      <c r="K10450" s="213"/>
      <c r="L10450" s="120"/>
      <c r="M10450" s="120"/>
      <c r="N10450" s="167"/>
      <c r="O10450" s="120"/>
      <c r="P10450" s="120"/>
      <c r="Q10450" s="120"/>
      <c r="R10450" s="120"/>
      <c r="S10450" s="120"/>
      <c r="T10450" s="221"/>
      <c r="U10450" s="89"/>
      <c r="V10450" s="61"/>
      <c r="W10450" s="92" t="s">
        <v>65</v>
      </c>
      <c r="X10450" s="93" t="s">
        <v>30</v>
      </c>
      <c r="Y10450" s="93" t="s">
        <v>1011</v>
      </c>
      <c r="Z10450" s="134">
        <f>VLOOKUP(W10450,Sheet2!$B:$D,3,FALSE)</f>
        <v>1.76</v>
      </c>
      <c r="AA10450" s="93">
        <f>AA10449/14</f>
        <v>1.7857142857142858</v>
      </c>
      <c r="AB10450" s="93">
        <f>AD10450/AC10448</f>
        <v>0.98559999999999981</v>
      </c>
      <c r="AC10450" s="93">
        <f>AC10448/AA10450</f>
        <v>99.11999999999999</v>
      </c>
      <c r="AD10450" s="94">
        <f t="shared" si="6969"/>
        <v>174.45119999999997</v>
      </c>
      <c r="AE10450" s="190"/>
      <c r="AF10450" s="191"/>
      <c r="AG10450" s="191"/>
      <c r="AH10450" s="191"/>
      <c r="AI10450" s="186"/>
      <c r="AK10450" s="171"/>
    </row>
    <row r="10451" spans="1:37" s="102" customFormat="1" ht="19.899999999999999" customHeight="1" x14ac:dyDescent="0.25">
      <c r="A10451" s="45"/>
      <c r="B10451" s="59"/>
      <c r="C10451" s="137"/>
      <c r="D10451" s="59"/>
      <c r="E10451" s="116"/>
      <c r="F10451" s="120"/>
      <c r="G10451" s="120"/>
      <c r="H10451" s="120"/>
      <c r="I10451" s="60"/>
      <c r="J10451" s="116"/>
      <c r="K10451" s="213"/>
      <c r="L10451" s="120"/>
      <c r="M10451" s="120"/>
      <c r="N10451" s="167"/>
      <c r="O10451" s="120"/>
      <c r="P10451" s="120"/>
      <c r="Q10451" s="120"/>
      <c r="R10451" s="120"/>
      <c r="S10451" s="120"/>
      <c r="T10451" s="221"/>
      <c r="U10451" s="89"/>
      <c r="V10451" s="61"/>
      <c r="W10451" s="92" t="s">
        <v>161</v>
      </c>
      <c r="X10451" s="93" t="s">
        <v>29</v>
      </c>
      <c r="Y10451" s="93" t="s">
        <v>93</v>
      </c>
      <c r="Z10451" s="134">
        <f>VLOOKUP(W10451,Sheet2!$B:$D,3,FALSE)</f>
        <v>48</v>
      </c>
      <c r="AA10451" s="93">
        <f>(16*0.85*1.5)/(2*2)</f>
        <v>5.0999999999999996</v>
      </c>
      <c r="AB10451" s="93">
        <f>AD10451/AC10448</f>
        <v>9.4117647058823533</v>
      </c>
      <c r="AC10451" s="93">
        <f>AC10448/AA10451</f>
        <v>34.705882352941181</v>
      </c>
      <c r="AD10451" s="94">
        <f>AC10451*Z10451</f>
        <v>1665.8823529411766</v>
      </c>
      <c r="AE10451" s="190"/>
      <c r="AF10451" s="191"/>
      <c r="AG10451" s="191"/>
      <c r="AH10451" s="191"/>
      <c r="AI10451" s="186"/>
      <c r="AK10451" s="171"/>
    </row>
    <row r="10452" spans="1:37" s="102" customFormat="1" ht="19.899999999999999" customHeight="1" x14ac:dyDescent="0.25">
      <c r="A10452" s="45"/>
      <c r="B10452" s="59"/>
      <c r="C10452" s="137"/>
      <c r="D10452" s="59"/>
      <c r="E10452" s="116"/>
      <c r="F10452" s="120"/>
      <c r="G10452" s="120"/>
      <c r="H10452" s="120"/>
      <c r="I10452" s="60"/>
      <c r="J10452" s="116"/>
      <c r="K10452" s="213"/>
      <c r="L10452" s="120"/>
      <c r="M10452" s="120"/>
      <c r="N10452" s="167"/>
      <c r="O10452" s="120"/>
      <c r="P10452" s="120"/>
      <c r="Q10452" s="120"/>
      <c r="R10452" s="120"/>
      <c r="S10452" s="120"/>
      <c r="T10452" s="221"/>
      <c r="U10452" s="89"/>
      <c r="V10452" s="61"/>
      <c r="W10452" s="92" t="s">
        <v>65</v>
      </c>
      <c r="X10452" s="93" t="s">
        <v>30</v>
      </c>
      <c r="Y10452" s="93" t="s">
        <v>1011</v>
      </c>
      <c r="Z10452" s="134">
        <f>VLOOKUP(W10452,Sheet2!$B:$D,3,FALSE)</f>
        <v>1.76</v>
      </c>
      <c r="AA10452" s="93">
        <f>AA10451/10</f>
        <v>0.51</v>
      </c>
      <c r="AB10452" s="93">
        <f>AD10452/AC10448</f>
        <v>3.4509803921568629</v>
      </c>
      <c r="AC10452" s="93">
        <f>AC10448/AA10452</f>
        <v>347.05882352941177</v>
      </c>
      <c r="AD10452" s="94">
        <f>AC10452*Z10452</f>
        <v>610.82352941176475</v>
      </c>
      <c r="AE10452" s="190"/>
      <c r="AF10452" s="191"/>
      <c r="AG10452" s="191"/>
      <c r="AH10452" s="191"/>
      <c r="AI10452" s="186"/>
      <c r="AK10452" s="171"/>
    </row>
    <row r="10453" spans="1:37" s="102" customFormat="1" ht="19.899999999999999" customHeight="1" x14ac:dyDescent="0.25">
      <c r="A10453" s="45"/>
      <c r="B10453" s="59"/>
      <c r="C10453" s="137"/>
      <c r="D10453" s="59"/>
      <c r="E10453" s="116"/>
      <c r="F10453" s="120"/>
      <c r="G10453" s="120"/>
      <c r="H10453" s="120"/>
      <c r="I10453" s="60"/>
      <c r="J10453" s="116"/>
      <c r="K10453" s="213"/>
      <c r="L10453" s="120"/>
      <c r="M10453" s="120"/>
      <c r="N10453" s="167"/>
      <c r="O10453" s="120"/>
      <c r="P10453" s="120"/>
      <c r="Q10453" s="120"/>
      <c r="R10453" s="120"/>
      <c r="S10453" s="120"/>
      <c r="T10453" s="221"/>
      <c r="U10453" s="89"/>
      <c r="V10453" s="61"/>
      <c r="W10453" s="92" t="s">
        <v>1030</v>
      </c>
      <c r="X10453" s="93" t="s">
        <v>29</v>
      </c>
      <c r="Y10453" s="93" t="s">
        <v>93</v>
      </c>
      <c r="Z10453" s="134">
        <f>VLOOKUP(W10453,Sheet2!$B:$D,3,FALSE)</f>
        <v>23</v>
      </c>
      <c r="AA10453" s="93">
        <v>25</v>
      </c>
      <c r="AB10453" s="93">
        <f>AD10453/AC10448</f>
        <v>0.92</v>
      </c>
      <c r="AC10453" s="93">
        <f>AC10448/AA10453</f>
        <v>7.08</v>
      </c>
      <c r="AD10453" s="94">
        <f t="shared" ref="AD10453:AD10456" si="6970">AC10453*Z10453</f>
        <v>162.84</v>
      </c>
      <c r="AE10453" s="190"/>
      <c r="AF10453" s="191"/>
      <c r="AG10453" s="191"/>
      <c r="AH10453" s="191"/>
      <c r="AI10453" s="186"/>
      <c r="AK10453" s="171"/>
    </row>
    <row r="10454" spans="1:37" s="102" customFormat="1" ht="19.899999999999999" customHeight="1" x14ac:dyDescent="0.25">
      <c r="A10454" s="45"/>
      <c r="B10454" s="59"/>
      <c r="C10454" s="137"/>
      <c r="D10454" s="59"/>
      <c r="E10454" s="116"/>
      <c r="F10454" s="120"/>
      <c r="G10454" s="120"/>
      <c r="H10454" s="120"/>
      <c r="I10454" s="60"/>
      <c r="J10454" s="116"/>
      <c r="K10454" s="213"/>
      <c r="L10454" s="120"/>
      <c r="M10454" s="120"/>
      <c r="N10454" s="167"/>
      <c r="O10454" s="120"/>
      <c r="P10454" s="120"/>
      <c r="Q10454" s="120"/>
      <c r="R10454" s="120"/>
      <c r="S10454" s="120"/>
      <c r="T10454" s="221"/>
      <c r="U10454" s="89"/>
      <c r="V10454" s="61"/>
      <c r="W10454" s="92" t="s">
        <v>65</v>
      </c>
      <c r="X10454" s="93" t="s">
        <v>30</v>
      </c>
      <c r="Y10454" s="93" t="s">
        <v>1011</v>
      </c>
      <c r="Z10454" s="134">
        <f>VLOOKUP(W10454,Sheet2!$B:$D,3,FALSE)</f>
        <v>1.76</v>
      </c>
      <c r="AA10454" s="93">
        <f>AA10453/3</f>
        <v>8.3333333333333339</v>
      </c>
      <c r="AB10454" s="93">
        <f>AD10454/AC10448</f>
        <v>0.21119999999999997</v>
      </c>
      <c r="AC10454" s="93">
        <f>AC10448/AA10454</f>
        <v>21.24</v>
      </c>
      <c r="AD10454" s="94">
        <f t="shared" si="6970"/>
        <v>37.382399999999997</v>
      </c>
      <c r="AE10454" s="190"/>
      <c r="AF10454" s="191"/>
      <c r="AG10454" s="191"/>
      <c r="AH10454" s="191"/>
      <c r="AI10454" s="186"/>
      <c r="AK10454" s="171"/>
    </row>
    <row r="10455" spans="1:37" s="102" customFormat="1" ht="19.899999999999999" customHeight="1" x14ac:dyDescent="0.25">
      <c r="A10455" s="45"/>
      <c r="B10455" s="59"/>
      <c r="C10455" s="137"/>
      <c r="D10455" s="59"/>
      <c r="E10455" s="116"/>
      <c r="F10455" s="120"/>
      <c r="G10455" s="120"/>
      <c r="H10455" s="120"/>
      <c r="I10455" s="60"/>
      <c r="J10455" s="116"/>
      <c r="K10455" s="213"/>
      <c r="L10455" s="120"/>
      <c r="M10455" s="120"/>
      <c r="N10455" s="167"/>
      <c r="O10455" s="120"/>
      <c r="P10455" s="120"/>
      <c r="Q10455" s="120"/>
      <c r="R10455" s="120"/>
      <c r="S10455" s="120"/>
      <c r="T10455" s="221"/>
      <c r="U10455" s="89"/>
      <c r="V10455" s="61"/>
      <c r="W10455" s="92" t="s">
        <v>148</v>
      </c>
      <c r="X10455" s="93" t="s">
        <v>29</v>
      </c>
      <c r="Y10455" s="93" t="s">
        <v>93</v>
      </c>
      <c r="Z10455" s="134">
        <f>VLOOKUP(W10455,Sheet2!$B:$D,3,FALSE)</f>
        <v>48</v>
      </c>
      <c r="AA10455" s="93">
        <f>AA10449</f>
        <v>25</v>
      </c>
      <c r="AB10455" s="93">
        <f>AD10455/AC10448</f>
        <v>1.9200000000000002</v>
      </c>
      <c r="AC10455" s="93">
        <f>AC10448/AA10455</f>
        <v>7.08</v>
      </c>
      <c r="AD10455" s="94">
        <f t="shared" si="6970"/>
        <v>339.84000000000003</v>
      </c>
      <c r="AE10455" s="190"/>
      <c r="AF10455" s="191"/>
      <c r="AG10455" s="191"/>
      <c r="AH10455" s="191"/>
      <c r="AI10455" s="186"/>
      <c r="AK10455" s="171"/>
    </row>
    <row r="10456" spans="1:37" s="102" customFormat="1" ht="19.899999999999999" customHeight="1" x14ac:dyDescent="0.25">
      <c r="A10456" s="45"/>
      <c r="B10456" s="59"/>
      <c r="C10456" s="137"/>
      <c r="D10456" s="59"/>
      <c r="E10456" s="116"/>
      <c r="F10456" s="120"/>
      <c r="G10456" s="120"/>
      <c r="H10456" s="120"/>
      <c r="I10456" s="60"/>
      <c r="J10456" s="116"/>
      <c r="K10456" s="213"/>
      <c r="L10456" s="120"/>
      <c r="M10456" s="120"/>
      <c r="N10456" s="167"/>
      <c r="O10456" s="120"/>
      <c r="P10456" s="120"/>
      <c r="Q10456" s="120"/>
      <c r="R10456" s="120"/>
      <c r="S10456" s="120"/>
      <c r="T10456" s="221"/>
      <c r="U10456" s="89"/>
      <c r="V10456" s="61"/>
      <c r="W10456" s="92" t="s">
        <v>65</v>
      </c>
      <c r="X10456" s="93" t="s">
        <v>30</v>
      </c>
      <c r="Y10456" s="93" t="s">
        <v>1011</v>
      </c>
      <c r="Z10456" s="134">
        <f>VLOOKUP(W10456,Sheet2!$B:$D,3,FALSE)</f>
        <v>1.76</v>
      </c>
      <c r="AA10456" s="93">
        <f>AA10455/10</f>
        <v>2.5</v>
      </c>
      <c r="AB10456" s="93">
        <f>AD10456/AC10448</f>
        <v>0.70399999999999996</v>
      </c>
      <c r="AC10456" s="93">
        <f>AC10448/AA10456</f>
        <v>70.8</v>
      </c>
      <c r="AD10456" s="94">
        <f t="shared" si="6970"/>
        <v>124.60799999999999</v>
      </c>
      <c r="AE10456" s="190"/>
      <c r="AF10456" s="191"/>
      <c r="AG10456" s="191"/>
      <c r="AH10456" s="191"/>
      <c r="AI10456" s="186"/>
      <c r="AK10456" s="171"/>
    </row>
    <row r="10457" spans="1:37" s="103" customFormat="1" ht="19.899999999999999" customHeight="1" x14ac:dyDescent="0.25">
      <c r="A10457" s="51"/>
      <c r="B10457" s="52"/>
      <c r="C10457" s="165"/>
      <c r="D10457" s="52"/>
      <c r="E10457" s="115"/>
      <c r="F10457" s="58"/>
      <c r="G10457" s="58"/>
      <c r="H10457" s="58"/>
      <c r="I10457" s="55"/>
      <c r="J10457" s="113">
        <f>J10447</f>
        <v>177</v>
      </c>
      <c r="K10457" s="212">
        <f>K10447</f>
        <v>177</v>
      </c>
      <c r="L10457" s="58"/>
      <c r="M10457" s="58">
        <f>K10457-L10457</f>
        <v>177</v>
      </c>
      <c r="N10457" s="166"/>
      <c r="O10457" s="58"/>
      <c r="P10457" s="58"/>
      <c r="Q10457" s="58"/>
      <c r="R10457" s="58"/>
      <c r="S10457" s="58"/>
      <c r="T10457" s="220"/>
      <c r="U10457" s="88"/>
      <c r="V10457" s="56"/>
      <c r="W10457" s="57" t="s">
        <v>1036</v>
      </c>
      <c r="X10457" s="53"/>
      <c r="Y10457" s="91" t="s">
        <v>68</v>
      </c>
      <c r="Z10457" s="136">
        <f>AD10457/AC10457</f>
        <v>777.58333333333337</v>
      </c>
      <c r="AA10457" s="58"/>
      <c r="AB10457" s="53">
        <f>AD10457/AC10457</f>
        <v>777.58333333333337</v>
      </c>
      <c r="AC10457" s="53">
        <f>M10457+$AE$10</f>
        <v>177</v>
      </c>
      <c r="AD10457" s="54">
        <f>SUM(AD10458:AD10463)</f>
        <v>137632.25</v>
      </c>
      <c r="AE10457" s="184">
        <f>SUMIFS($AD$37:$AD$12971,$V$37:$V$12971,$V10457,$X$37:$X$12971,AE$13)</f>
        <v>0</v>
      </c>
      <c r="AF10457" s="185">
        <f>SUMIFS($AD$37:$AD$12971,$V$37:$V$12971,$V10457,$X$37:$X$12971,AF$13)</f>
        <v>0</v>
      </c>
      <c r="AG10457" s="185">
        <f>SUMIFS($AD$37:$AD$12971,$V$37:$V$12971,$V10457,$X$37:$X$12971,AG$13)</f>
        <v>0</v>
      </c>
      <c r="AH10457" s="187">
        <f>SUMIFS($AD$37:$AD$12971,$V$37:$V$12971,$V10457,$X$37:$X$12971,AH$13)</f>
        <v>0</v>
      </c>
      <c r="AI10457" s="161">
        <f t="shared" ref="AI10457" si="6971">SUM(AE10457:AH10457)</f>
        <v>0</v>
      </c>
      <c r="AK10457" s="172"/>
    </row>
    <row r="10458" spans="1:37" s="102" customFormat="1" ht="19.899999999999999" customHeight="1" x14ac:dyDescent="0.25">
      <c r="A10458" s="45"/>
      <c r="B10458" s="59"/>
      <c r="C10458" s="137"/>
      <c r="D10458" s="59"/>
      <c r="E10458" s="116"/>
      <c r="F10458" s="120"/>
      <c r="G10458" s="120"/>
      <c r="H10458" s="120"/>
      <c r="I10458" s="60"/>
      <c r="J10458" s="116"/>
      <c r="K10458" s="213"/>
      <c r="L10458" s="120"/>
      <c r="M10458" s="120"/>
      <c r="N10458" s="167"/>
      <c r="O10458" s="120"/>
      <c r="P10458" s="120"/>
      <c r="Q10458" s="120"/>
      <c r="R10458" s="120"/>
      <c r="S10458" s="120"/>
      <c r="T10458" s="221"/>
      <c r="U10458" s="89"/>
      <c r="V10458" s="61"/>
      <c r="W10458" s="92" t="s">
        <v>1713</v>
      </c>
      <c r="X10458" s="93" t="s">
        <v>30</v>
      </c>
      <c r="Y10458" s="93" t="s">
        <v>68</v>
      </c>
      <c r="Z10458" s="134">
        <f>VLOOKUP(W10458,Sheet2!$B:$D,3,FALSE)</f>
        <v>557</v>
      </c>
      <c r="AA10458" s="93">
        <v>1</v>
      </c>
      <c r="AB10458" s="93">
        <f>AD10458/AC10457</f>
        <v>557</v>
      </c>
      <c r="AC10458" s="93">
        <f>AC10457/AA10458</f>
        <v>177</v>
      </c>
      <c r="AD10458" s="94">
        <f t="shared" ref="AD10458" si="6972">AC10458*Z10458</f>
        <v>98589</v>
      </c>
      <c r="AE10458" s="190"/>
      <c r="AF10458" s="191"/>
      <c r="AG10458" s="191"/>
      <c r="AH10458" s="191"/>
      <c r="AI10458" s="186"/>
      <c r="AK10458" s="171"/>
    </row>
    <row r="10459" spans="1:37" s="102" customFormat="1" ht="19.899999999999999" customHeight="1" x14ac:dyDescent="0.25">
      <c r="A10459" s="45"/>
      <c r="B10459" s="59"/>
      <c r="C10459" s="137"/>
      <c r="D10459" s="59"/>
      <c r="E10459" s="116"/>
      <c r="F10459" s="120"/>
      <c r="G10459" s="120"/>
      <c r="H10459" s="120"/>
      <c r="I10459" s="60"/>
      <c r="J10459" s="116"/>
      <c r="K10459" s="213"/>
      <c r="L10459" s="120"/>
      <c r="M10459" s="120"/>
      <c r="N10459" s="167"/>
      <c r="O10459" s="120"/>
      <c r="P10459" s="120"/>
      <c r="Q10459" s="120"/>
      <c r="R10459" s="120"/>
      <c r="S10459" s="120"/>
      <c r="T10459" s="221"/>
      <c r="U10459" s="89"/>
      <c r="V10459" s="61"/>
      <c r="W10459" s="92" t="s">
        <v>1715</v>
      </c>
      <c r="X10459" s="93" t="s">
        <v>30</v>
      </c>
      <c r="Y10459" s="93" t="s">
        <v>68</v>
      </c>
      <c r="Z10459" s="134">
        <f>VLOOKUP(W10459,Sheet2!$B:$D,3,FALSE)</f>
        <v>60</v>
      </c>
      <c r="AA10459" s="93">
        <v>1</v>
      </c>
      <c r="AB10459" s="93">
        <f>AD10459/AC10457</f>
        <v>60</v>
      </c>
      <c r="AC10459" s="93">
        <f>AC10457/AA10459</f>
        <v>177</v>
      </c>
      <c r="AD10459" s="94">
        <f>AC10459*Z10459</f>
        <v>10620</v>
      </c>
      <c r="AE10459" s="190"/>
      <c r="AF10459" s="191"/>
      <c r="AG10459" s="191"/>
      <c r="AH10459" s="191"/>
      <c r="AI10459" s="186"/>
      <c r="AK10459" s="171"/>
    </row>
    <row r="10460" spans="1:37" s="102" customFormat="1" ht="19.899999999999999" customHeight="1" x14ac:dyDescent="0.25">
      <c r="A10460" s="45"/>
      <c r="B10460" s="59"/>
      <c r="C10460" s="137"/>
      <c r="D10460" s="59"/>
      <c r="E10460" s="116"/>
      <c r="F10460" s="120"/>
      <c r="G10460" s="120"/>
      <c r="H10460" s="120"/>
      <c r="I10460" s="60"/>
      <c r="J10460" s="116"/>
      <c r="K10460" s="213"/>
      <c r="L10460" s="120"/>
      <c r="M10460" s="120"/>
      <c r="N10460" s="167"/>
      <c r="O10460" s="120"/>
      <c r="P10460" s="120"/>
      <c r="Q10460" s="120"/>
      <c r="R10460" s="120"/>
      <c r="S10460" s="120"/>
      <c r="T10460" s="221"/>
      <c r="U10460" s="89"/>
      <c r="V10460" s="61"/>
      <c r="W10460" s="92" t="s">
        <v>1714</v>
      </c>
      <c r="X10460" s="93" t="s">
        <v>32</v>
      </c>
      <c r="Y10460" s="93" t="s">
        <v>68</v>
      </c>
      <c r="Z10460" s="134">
        <f>VLOOKUP(W10460,Sheet2!$B:$D,3,FALSE)</f>
        <v>80</v>
      </c>
      <c r="AA10460" s="93">
        <v>1</v>
      </c>
      <c r="AB10460" s="93">
        <f>AD10460/AC10457</f>
        <v>80</v>
      </c>
      <c r="AC10460" s="93">
        <f>AC10457/AA10460</f>
        <v>177</v>
      </c>
      <c r="AD10460" s="94">
        <f>AC10460*Z10460</f>
        <v>14160</v>
      </c>
      <c r="AE10460" s="190"/>
      <c r="AF10460" s="191"/>
      <c r="AG10460" s="191"/>
      <c r="AH10460" s="191"/>
      <c r="AI10460" s="186"/>
      <c r="AK10460" s="171"/>
    </row>
    <row r="10461" spans="1:37" s="102" customFormat="1" ht="19.899999999999999" customHeight="1" x14ac:dyDescent="0.25">
      <c r="A10461" s="45"/>
      <c r="B10461" s="59"/>
      <c r="C10461" s="137"/>
      <c r="D10461" s="59"/>
      <c r="E10461" s="116"/>
      <c r="F10461" s="120"/>
      <c r="G10461" s="120"/>
      <c r="H10461" s="120"/>
      <c r="I10461" s="60"/>
      <c r="J10461" s="116"/>
      <c r="K10461" s="213"/>
      <c r="L10461" s="120"/>
      <c r="M10461" s="120"/>
      <c r="N10461" s="167"/>
      <c r="O10461" s="120"/>
      <c r="P10461" s="120"/>
      <c r="Q10461" s="120"/>
      <c r="R10461" s="120"/>
      <c r="S10461" s="120"/>
      <c r="T10461" s="221"/>
      <c r="U10461" s="89"/>
      <c r="V10461" s="61"/>
      <c r="W10461" s="92" t="s">
        <v>1032</v>
      </c>
      <c r="X10461" s="93" t="s">
        <v>30</v>
      </c>
      <c r="Y10461" s="93" t="s">
        <v>66</v>
      </c>
      <c r="Z10461" s="134">
        <f>VLOOKUP(W10461,Sheet2!$B:$D,3,FALSE)</f>
        <v>250</v>
      </c>
      <c r="AA10461" s="93">
        <f>1/(2*0.1)</f>
        <v>5</v>
      </c>
      <c r="AB10461" s="93">
        <f>AD10461/AC10457</f>
        <v>50</v>
      </c>
      <c r="AC10461" s="93">
        <f>AC10457/AA10461</f>
        <v>35.4</v>
      </c>
      <c r="AD10461" s="94">
        <f>AC10461*Z10461</f>
        <v>8850</v>
      </c>
      <c r="AE10461" s="190"/>
      <c r="AF10461" s="191"/>
      <c r="AG10461" s="191"/>
      <c r="AH10461" s="191"/>
      <c r="AI10461" s="186"/>
      <c r="AK10461" s="171"/>
    </row>
    <row r="10462" spans="1:37" s="102" customFormat="1" ht="19.899999999999999" customHeight="1" x14ac:dyDescent="0.25">
      <c r="A10462" s="45"/>
      <c r="B10462" s="59"/>
      <c r="C10462" s="137"/>
      <c r="D10462" s="59"/>
      <c r="E10462" s="116"/>
      <c r="F10462" s="120"/>
      <c r="G10462" s="120"/>
      <c r="H10462" s="120"/>
      <c r="I10462" s="60"/>
      <c r="J10462" s="116"/>
      <c r="K10462" s="213"/>
      <c r="L10462" s="120"/>
      <c r="M10462" s="120"/>
      <c r="N10462" s="167"/>
      <c r="O10462" s="120"/>
      <c r="P10462" s="120"/>
      <c r="Q10462" s="120"/>
      <c r="R10462" s="120"/>
      <c r="S10462" s="120"/>
      <c r="T10462" s="221"/>
      <c r="U10462" s="89"/>
      <c r="V10462" s="61"/>
      <c r="W10462" s="92" t="s">
        <v>1035</v>
      </c>
      <c r="X10462" s="93" t="s">
        <v>32</v>
      </c>
      <c r="Y10462" s="93" t="s">
        <v>66</v>
      </c>
      <c r="Z10462" s="134">
        <f>VLOOKUP(W10462,Sheet2!$B:$D,3,FALSE)</f>
        <v>150</v>
      </c>
      <c r="AA10462" s="93">
        <f>AA10461</f>
        <v>5</v>
      </c>
      <c r="AB10462" s="93">
        <f>AD10462/AC10457</f>
        <v>30</v>
      </c>
      <c r="AC10462" s="93">
        <f>AC10457/AA10462</f>
        <v>35.4</v>
      </c>
      <c r="AD10462" s="94">
        <f t="shared" ref="AD10462:AD10463" si="6973">AC10462*Z10462</f>
        <v>5310</v>
      </c>
      <c r="AE10462" s="190"/>
      <c r="AF10462" s="191"/>
      <c r="AG10462" s="191"/>
      <c r="AH10462" s="191"/>
      <c r="AI10462" s="186"/>
      <c r="AK10462" s="171"/>
    </row>
    <row r="10463" spans="1:37" s="102" customFormat="1" ht="19.899999999999999" customHeight="1" x14ac:dyDescent="0.25">
      <c r="A10463" s="45"/>
      <c r="B10463" s="59"/>
      <c r="C10463" s="137"/>
      <c r="D10463" s="59"/>
      <c r="E10463" s="116"/>
      <c r="F10463" s="120"/>
      <c r="G10463" s="120"/>
      <c r="H10463" s="120"/>
      <c r="I10463" s="60"/>
      <c r="J10463" s="116"/>
      <c r="K10463" s="213"/>
      <c r="L10463" s="120"/>
      <c r="M10463" s="120"/>
      <c r="N10463" s="167"/>
      <c r="O10463" s="120"/>
      <c r="P10463" s="120"/>
      <c r="Q10463" s="120"/>
      <c r="R10463" s="120"/>
      <c r="S10463" s="120"/>
      <c r="T10463" s="221"/>
      <c r="U10463" s="89"/>
      <c r="V10463" s="61"/>
      <c r="W10463" s="92" t="s">
        <v>1037</v>
      </c>
      <c r="X10463" s="93" t="s">
        <v>30</v>
      </c>
      <c r="Y10463" s="93" t="s">
        <v>1038</v>
      </c>
      <c r="Z10463" s="134">
        <f>VLOOKUP(W10463,Sheet2!$B:$D,3,FALSE)</f>
        <v>175</v>
      </c>
      <c r="AA10463" s="93">
        <v>300</v>
      </c>
      <c r="AB10463" s="93">
        <f>AD10463/AC10457</f>
        <v>0.58333333333333337</v>
      </c>
      <c r="AC10463" s="93">
        <f>AC10457/AA10463</f>
        <v>0.59</v>
      </c>
      <c r="AD10463" s="94">
        <f t="shared" si="6973"/>
        <v>103.25</v>
      </c>
      <c r="AE10463" s="190"/>
      <c r="AF10463" s="191"/>
      <c r="AG10463" s="191"/>
      <c r="AH10463" s="191"/>
      <c r="AI10463" s="186"/>
      <c r="AK10463" s="171"/>
    </row>
    <row r="10464" spans="1:37" s="103" customFormat="1" ht="19.899999999999999" customHeight="1" x14ac:dyDescent="0.25">
      <c r="A10464" s="51"/>
      <c r="B10464" s="52"/>
      <c r="C10464" s="165"/>
      <c r="D10464" s="52"/>
      <c r="E10464" s="115"/>
      <c r="F10464" s="58"/>
      <c r="G10464" s="58"/>
      <c r="H10464" s="58"/>
      <c r="I10464" s="55"/>
      <c r="J10464" s="113">
        <f>J10447</f>
        <v>177</v>
      </c>
      <c r="K10464" s="212">
        <f>K10447</f>
        <v>177</v>
      </c>
      <c r="L10464" s="58"/>
      <c r="M10464" s="58">
        <f>K10464-L10464</f>
        <v>177</v>
      </c>
      <c r="N10464" s="166"/>
      <c r="O10464" s="58"/>
      <c r="P10464" s="58"/>
      <c r="Q10464" s="58"/>
      <c r="R10464" s="58"/>
      <c r="S10464" s="58"/>
      <c r="T10464" s="220"/>
      <c r="U10464" s="88"/>
      <c r="V10464" s="56"/>
      <c r="W10464" s="57" t="s">
        <v>1040</v>
      </c>
      <c r="X10464" s="53"/>
      <c r="Y10464" s="91" t="s">
        <v>68</v>
      </c>
      <c r="Z10464" s="136">
        <f>AD10464/AC10464</f>
        <v>5</v>
      </c>
      <c r="AA10464" s="58"/>
      <c r="AB10464" s="53">
        <f>AD10464/AC10464</f>
        <v>5</v>
      </c>
      <c r="AC10464" s="53">
        <f>M10464+$AE$10</f>
        <v>177</v>
      </c>
      <c r="AD10464" s="54">
        <f>SUM(AD10465)</f>
        <v>885</v>
      </c>
      <c r="AE10464" s="184">
        <f>SUMIFS($AD$37:$AD$12971,$V$37:$V$12971,$V10464,$X$37:$X$12971,AE$13)</f>
        <v>0</v>
      </c>
      <c r="AF10464" s="185">
        <f>SUMIFS($AD$37:$AD$12971,$V$37:$V$12971,$V10464,$X$37:$X$12971,AF$13)</f>
        <v>0</v>
      </c>
      <c r="AG10464" s="185">
        <f>SUMIFS($AD$37:$AD$12971,$V$37:$V$12971,$V10464,$X$37:$X$12971,AG$13)</f>
        <v>0</v>
      </c>
      <c r="AH10464" s="187">
        <f>SUMIFS($AD$37:$AD$12971,$V$37:$V$12971,$V10464,$X$37:$X$12971,AH$13)</f>
        <v>0</v>
      </c>
      <c r="AI10464" s="161">
        <f t="shared" ref="AI10464" si="6974">SUM(AE10464:AH10464)</f>
        <v>0</v>
      </c>
      <c r="AK10464" s="172"/>
    </row>
    <row r="10465" spans="1:41" s="102" customFormat="1" ht="19.899999999999999" customHeight="1" x14ac:dyDescent="0.25">
      <c r="A10465" s="45"/>
      <c r="B10465" s="59"/>
      <c r="C10465" s="137"/>
      <c r="D10465" s="59"/>
      <c r="E10465" s="116"/>
      <c r="F10465" s="120"/>
      <c r="G10465" s="120"/>
      <c r="H10465" s="120"/>
      <c r="I10465" s="60"/>
      <c r="J10465" s="116"/>
      <c r="K10465" s="213"/>
      <c r="L10465" s="120"/>
      <c r="M10465" s="120"/>
      <c r="N10465" s="167"/>
      <c r="O10465" s="120"/>
      <c r="P10465" s="120"/>
      <c r="Q10465" s="120"/>
      <c r="R10465" s="120"/>
      <c r="S10465" s="120"/>
      <c r="T10465" s="221"/>
      <c r="U10465" s="89"/>
      <c r="V10465" s="61"/>
      <c r="W10465" s="92" t="s">
        <v>1039</v>
      </c>
      <c r="X10465" s="93" t="s">
        <v>32</v>
      </c>
      <c r="Y10465" s="93" t="s">
        <v>68</v>
      </c>
      <c r="Z10465" s="134">
        <f>VLOOKUP(W10465,Sheet2!$B:$D,3,FALSE)</f>
        <v>5</v>
      </c>
      <c r="AA10465" s="93">
        <v>1</v>
      </c>
      <c r="AB10465" s="93">
        <f>AD10465/AC10464</f>
        <v>5</v>
      </c>
      <c r="AC10465" s="93">
        <f>AC10464/AA10465</f>
        <v>177</v>
      </c>
      <c r="AD10465" s="94">
        <f t="shared" ref="AD10465" si="6975">AC10465*Z10465</f>
        <v>885</v>
      </c>
      <c r="AE10465" s="190"/>
      <c r="AF10465" s="191"/>
      <c r="AG10465" s="191"/>
      <c r="AH10465" s="191"/>
      <c r="AI10465" s="186"/>
      <c r="AK10465" s="171"/>
    </row>
    <row r="10466" spans="1:41" s="102" customFormat="1" ht="30" x14ac:dyDescent="0.25">
      <c r="A10466" s="45" t="s">
        <v>980</v>
      </c>
      <c r="B10466" s="276"/>
      <c r="C10466" s="286" t="s">
        <v>1719</v>
      </c>
      <c r="D10466" s="59"/>
      <c r="E10466" s="116"/>
      <c r="F10466" s="120"/>
      <c r="G10466" s="120">
        <f t="shared" ref="G10466" si="6976">F10466*E10466</f>
        <v>0</v>
      </c>
      <c r="H10466" s="120">
        <f t="shared" ref="H10466" si="6977">AB10466</f>
        <v>0</v>
      </c>
      <c r="I10466" s="60">
        <f t="shared" ref="I10466" si="6978">H10466*E10466</f>
        <v>0</v>
      </c>
      <c r="J10466" s="116">
        <f t="shared" ref="J10466" si="6979">E10466</f>
        <v>0</v>
      </c>
      <c r="K10466" s="213">
        <f t="shared" ref="K10466" si="6980">J10466</f>
        <v>0</v>
      </c>
      <c r="L10466" s="120"/>
      <c r="M10466" s="120">
        <f t="shared" ref="M10466" si="6981">K10466-L10466</f>
        <v>0</v>
      </c>
      <c r="N10466" s="167">
        <f t="shared" ref="N10466" si="6982">IFERROR(M10466/K10466,0)</f>
        <v>0</v>
      </c>
      <c r="O10466" s="120">
        <f t="shared" ref="O10466" si="6983">F10466</f>
        <v>0</v>
      </c>
      <c r="P10466" s="120">
        <f t="shared" ref="P10466" si="6984">K10466*O10466</f>
        <v>0</v>
      </c>
      <c r="Q10466" s="120">
        <f t="shared" ref="Q10466" si="6985">AB10466</f>
        <v>0</v>
      </c>
      <c r="R10466" s="120">
        <f t="shared" ref="R10466" si="6986">M10466*Q10466</f>
        <v>0</v>
      </c>
      <c r="S10466" s="120"/>
      <c r="T10466" s="221">
        <f t="shared" ref="T10466" si="6987">S10466+R10466</f>
        <v>0</v>
      </c>
      <c r="U10466" s="89"/>
      <c r="V10466" s="61"/>
      <c r="W10466" s="92"/>
      <c r="X10466" s="38"/>
      <c r="Y10466" s="93"/>
      <c r="Z10466" s="134"/>
      <c r="AA10466" s="93"/>
      <c r="AB10466" s="93"/>
      <c r="AC10466" s="93"/>
      <c r="AD10466" s="94"/>
      <c r="AE10466" s="190"/>
      <c r="AF10466" s="191"/>
      <c r="AG10466" s="191"/>
      <c r="AH10466" s="191"/>
      <c r="AI10466" s="186"/>
      <c r="AK10466" s="171"/>
    </row>
    <row r="10467" spans="1:41" ht="20.100000000000001" customHeight="1" x14ac:dyDescent="0.25">
      <c r="A10467" s="277" t="s">
        <v>980</v>
      </c>
      <c r="B10467" s="278"/>
      <c r="C10467" s="64" t="s">
        <v>981</v>
      </c>
      <c r="D10467" s="46" t="s">
        <v>215</v>
      </c>
      <c r="E10467" s="114">
        <v>258</v>
      </c>
      <c r="F10467" s="44">
        <v>4784</v>
      </c>
      <c r="G10467" s="44">
        <f t="shared" si="6741"/>
        <v>1234272</v>
      </c>
      <c r="H10467" s="44">
        <f t="shared" si="6742"/>
        <v>1850</v>
      </c>
      <c r="I10467" s="43">
        <f t="shared" si="6743"/>
        <v>477300</v>
      </c>
      <c r="J10467" s="112">
        <f t="shared" si="6744"/>
        <v>258</v>
      </c>
      <c r="K10467" s="211">
        <f t="shared" si="6745"/>
        <v>258</v>
      </c>
      <c r="L10467" s="44"/>
      <c r="M10467" s="44">
        <f t="shared" si="6755"/>
        <v>258</v>
      </c>
      <c r="N10467" s="173">
        <f t="shared" si="6746"/>
        <v>1</v>
      </c>
      <c r="O10467" s="44">
        <f t="shared" si="6747"/>
        <v>4784</v>
      </c>
      <c r="P10467" s="44">
        <f t="shared" si="6748"/>
        <v>1234272</v>
      </c>
      <c r="Q10467" s="44">
        <f t="shared" si="6749"/>
        <v>1850</v>
      </c>
      <c r="R10467" s="44">
        <f t="shared" si="6756"/>
        <v>477300</v>
      </c>
      <c r="S10467" s="123"/>
      <c r="T10467" s="219">
        <f t="shared" si="6757"/>
        <v>477300</v>
      </c>
      <c r="U10467" s="87"/>
      <c r="V10467" s="47"/>
      <c r="W10467" s="48"/>
      <c r="X10467" s="48"/>
      <c r="Y10467" s="48"/>
      <c r="Z10467" s="135"/>
      <c r="AA10467" s="49"/>
      <c r="AB10467" s="50">
        <f t="shared" si="6750"/>
        <v>1850</v>
      </c>
      <c r="AC10467" s="42">
        <f t="shared" si="6758"/>
        <v>258</v>
      </c>
      <c r="AD10467" s="90">
        <f>AD10468</f>
        <v>477300</v>
      </c>
      <c r="AE10467" s="188">
        <f t="shared" ref="AE10467:AH10467" si="6988">AE10468</f>
        <v>0</v>
      </c>
      <c r="AF10467" s="189">
        <f t="shared" si="6988"/>
        <v>0</v>
      </c>
      <c r="AG10467" s="189">
        <f t="shared" si="6988"/>
        <v>0</v>
      </c>
      <c r="AH10467" s="189">
        <f t="shared" si="6988"/>
        <v>0</v>
      </c>
      <c r="AI10467" s="161">
        <f t="shared" ref="AI10467:AI10468" si="6989">SUM(AE10467:AH10467)</f>
        <v>0</v>
      </c>
      <c r="AK10467" s="169">
        <v>5</v>
      </c>
      <c r="AO10467" s="19" t="s">
        <v>63</v>
      </c>
    </row>
    <row r="10468" spans="1:41" s="103" customFormat="1" ht="19.899999999999999" customHeight="1" x14ac:dyDescent="0.25">
      <c r="A10468" s="51"/>
      <c r="B10468" s="165"/>
      <c r="C10468" s="52"/>
      <c r="D10468" s="313"/>
      <c r="E10468" s="115"/>
      <c r="F10468" s="58"/>
      <c r="G10468" s="58"/>
      <c r="H10468" s="58"/>
      <c r="I10468" s="55"/>
      <c r="J10468" s="113">
        <f>J10467</f>
        <v>258</v>
      </c>
      <c r="K10468" s="212">
        <f>K10467</f>
        <v>258</v>
      </c>
      <c r="L10468" s="58"/>
      <c r="M10468" s="58">
        <f>K10468-L10468</f>
        <v>258</v>
      </c>
      <c r="N10468" s="166"/>
      <c r="O10468" s="58"/>
      <c r="P10468" s="58"/>
      <c r="Q10468" s="58"/>
      <c r="R10468" s="58"/>
      <c r="S10468" s="58"/>
      <c r="T10468" s="220"/>
      <c r="U10468" s="88">
        <f>IFERROR(S10468/L10468,0)</f>
        <v>0</v>
      </c>
      <c r="V10468" s="56" t="str">
        <f>V10467&amp;"01"</f>
        <v>01</v>
      </c>
      <c r="W10468" s="57" t="s">
        <v>981</v>
      </c>
      <c r="X10468" s="53"/>
      <c r="Y10468" s="91" t="s">
        <v>35</v>
      </c>
      <c r="Z10468" s="136">
        <f>AD10468/AC10468</f>
        <v>1850</v>
      </c>
      <c r="AA10468" s="58"/>
      <c r="AB10468" s="53">
        <f>AD10468/AC10468</f>
        <v>1850</v>
      </c>
      <c r="AC10468" s="53">
        <f>M10468+$AE$10</f>
        <v>258</v>
      </c>
      <c r="AD10468" s="54">
        <f>SUM(AD10469:AD10469)</f>
        <v>477300</v>
      </c>
      <c r="AE10468" s="184">
        <f>SUMIFS($AD$44:$AD$4639,$V$44:$V$4639,$V10468,$X$44:$X$4639,AE$13)</f>
        <v>0</v>
      </c>
      <c r="AF10468" s="185">
        <f>SUMIFS($AD$44:$AD$4639,$V$44:$V$4639,$V10468,$X$44:$X$4639,AF$13)</f>
        <v>0</v>
      </c>
      <c r="AG10468" s="185">
        <f>SUMIFS($AD$44:$AD$4639,$V$44:$V$4639,$V10468,$X$44:$X$4639,AG$13)</f>
        <v>0</v>
      </c>
      <c r="AH10468" s="187">
        <f>SUMIFS($AD$44:$AD$4639,$V$44:$V$4639,$V10468,$X$44:$X$4639,AH$13)</f>
        <v>0</v>
      </c>
      <c r="AI10468" s="161">
        <f t="shared" si="6989"/>
        <v>0</v>
      </c>
      <c r="AK10468" s="172"/>
    </row>
    <row r="10469" spans="1:41" s="102" customFormat="1" ht="19.899999999999999" customHeight="1" x14ac:dyDescent="0.25">
      <c r="A10469" s="45"/>
      <c r="B10469" s="137"/>
      <c r="C10469" s="59"/>
      <c r="D10469" s="314"/>
      <c r="E10469" s="116"/>
      <c r="F10469" s="120"/>
      <c r="G10469" s="120"/>
      <c r="H10469" s="120"/>
      <c r="I10469" s="60"/>
      <c r="J10469" s="116"/>
      <c r="K10469" s="213"/>
      <c r="L10469" s="120"/>
      <c r="M10469" s="120"/>
      <c r="N10469" s="167"/>
      <c r="O10469" s="120"/>
      <c r="P10469" s="120"/>
      <c r="Q10469" s="120"/>
      <c r="R10469" s="120"/>
      <c r="S10469" s="120"/>
      <c r="T10469" s="221"/>
      <c r="U10469" s="89"/>
      <c r="V10469" s="61" t="str">
        <f>V10468</f>
        <v>01</v>
      </c>
      <c r="W10469" s="92" t="s">
        <v>981</v>
      </c>
      <c r="X10469" s="93" t="s">
        <v>32</v>
      </c>
      <c r="Y10469" s="93" t="s">
        <v>35</v>
      </c>
      <c r="Z10469" s="134">
        <v>1850</v>
      </c>
      <c r="AA10469" s="93">
        <v>1</v>
      </c>
      <c r="AB10469" s="93">
        <f>AD10469/AC10468</f>
        <v>1850</v>
      </c>
      <c r="AC10469" s="93">
        <f>AC10468/AA10469</f>
        <v>258</v>
      </c>
      <c r="AD10469" s="94">
        <f t="shared" ref="AD10469" si="6990">AC10469*Z10469</f>
        <v>477300</v>
      </c>
      <c r="AE10469" s="190"/>
      <c r="AF10469" s="191"/>
      <c r="AG10469" s="191"/>
      <c r="AH10469" s="191"/>
      <c r="AI10469" s="186"/>
      <c r="AK10469" s="171"/>
    </row>
    <row r="10470" spans="1:41" s="102" customFormat="1" ht="20.100000000000001" customHeight="1" x14ac:dyDescent="0.25">
      <c r="A10470" s="45" t="s">
        <v>980</v>
      </c>
      <c r="B10470" s="276"/>
      <c r="C10470" s="286" t="s">
        <v>982</v>
      </c>
      <c r="D10470" s="59"/>
      <c r="E10470" s="116"/>
      <c r="F10470" s="120"/>
      <c r="G10470" s="120">
        <f t="shared" si="6741"/>
        <v>0</v>
      </c>
      <c r="H10470" s="120">
        <f t="shared" si="6742"/>
        <v>0</v>
      </c>
      <c r="I10470" s="60">
        <f t="shared" si="6743"/>
        <v>0</v>
      </c>
      <c r="J10470" s="116">
        <f t="shared" si="6744"/>
        <v>0</v>
      </c>
      <c r="K10470" s="213">
        <f t="shared" si="6745"/>
        <v>0</v>
      </c>
      <c r="L10470" s="120"/>
      <c r="M10470" s="120">
        <f t="shared" si="6755"/>
        <v>0</v>
      </c>
      <c r="N10470" s="167">
        <f t="shared" si="6746"/>
        <v>0</v>
      </c>
      <c r="O10470" s="120">
        <f t="shared" si="6747"/>
        <v>0</v>
      </c>
      <c r="P10470" s="120">
        <f t="shared" si="6748"/>
        <v>0</v>
      </c>
      <c r="Q10470" s="120">
        <f t="shared" si="6749"/>
        <v>0</v>
      </c>
      <c r="R10470" s="120">
        <f t="shared" si="6756"/>
        <v>0</v>
      </c>
      <c r="S10470" s="120"/>
      <c r="T10470" s="221">
        <f t="shared" si="6757"/>
        <v>0</v>
      </c>
      <c r="U10470" s="89"/>
      <c r="V10470" s="61"/>
      <c r="W10470" s="92"/>
      <c r="X10470" s="38"/>
      <c r="Y10470" s="93"/>
      <c r="Z10470" s="134"/>
      <c r="AA10470" s="93"/>
      <c r="AB10470" s="93"/>
      <c r="AC10470" s="93"/>
      <c r="AD10470" s="94"/>
      <c r="AE10470" s="190"/>
      <c r="AF10470" s="191"/>
      <c r="AG10470" s="191"/>
      <c r="AH10470" s="191"/>
      <c r="AI10470" s="186"/>
      <c r="AK10470" s="171"/>
    </row>
    <row r="10471" spans="1:41" ht="20.100000000000001" customHeight="1" x14ac:dyDescent="0.25">
      <c r="A10471" s="277" t="s">
        <v>980</v>
      </c>
      <c r="B10471" s="278"/>
      <c r="C10471" s="64" t="s">
        <v>983</v>
      </c>
      <c r="D10471" s="46" t="s">
        <v>215</v>
      </c>
      <c r="E10471" s="114">
        <v>200</v>
      </c>
      <c r="F10471" s="44">
        <v>227</v>
      </c>
      <c r="G10471" s="44">
        <f t="shared" si="6741"/>
        <v>45400</v>
      </c>
      <c r="H10471" s="44">
        <f t="shared" si="6742"/>
        <v>120</v>
      </c>
      <c r="I10471" s="43">
        <f t="shared" si="6743"/>
        <v>24000</v>
      </c>
      <c r="J10471" s="112">
        <f t="shared" si="6744"/>
        <v>200</v>
      </c>
      <c r="K10471" s="211">
        <f t="shared" si="6745"/>
        <v>200</v>
      </c>
      <c r="L10471" s="44"/>
      <c r="M10471" s="44">
        <f t="shared" si="6755"/>
        <v>200</v>
      </c>
      <c r="N10471" s="173">
        <f t="shared" si="6746"/>
        <v>1</v>
      </c>
      <c r="O10471" s="44">
        <f t="shared" si="6747"/>
        <v>227</v>
      </c>
      <c r="P10471" s="44">
        <f t="shared" si="6748"/>
        <v>45400</v>
      </c>
      <c r="Q10471" s="44">
        <f t="shared" si="6749"/>
        <v>120</v>
      </c>
      <c r="R10471" s="44">
        <f t="shared" si="6756"/>
        <v>24000</v>
      </c>
      <c r="S10471" s="123"/>
      <c r="T10471" s="219">
        <f t="shared" si="6757"/>
        <v>24000</v>
      </c>
      <c r="U10471" s="87"/>
      <c r="V10471" s="47"/>
      <c r="W10471" s="48" t="s">
        <v>983</v>
      </c>
      <c r="X10471" s="48"/>
      <c r="Y10471" s="48"/>
      <c r="Z10471" s="135"/>
      <c r="AA10471" s="49"/>
      <c r="AB10471" s="50">
        <f t="shared" si="6750"/>
        <v>120</v>
      </c>
      <c r="AC10471" s="42">
        <f t="shared" si="6758"/>
        <v>200</v>
      </c>
      <c r="AD10471" s="90">
        <f>AD10472</f>
        <v>24000</v>
      </c>
      <c r="AE10471" s="188">
        <f t="shared" ref="AE10471" si="6991">AE10472</f>
        <v>0</v>
      </c>
      <c r="AF10471" s="189">
        <f t="shared" ref="AF10471" si="6992">AF10472</f>
        <v>0</v>
      </c>
      <c r="AG10471" s="189">
        <f t="shared" ref="AG10471" si="6993">AG10472</f>
        <v>0</v>
      </c>
      <c r="AH10471" s="189">
        <f t="shared" ref="AH10471" si="6994">AH10472</f>
        <v>0</v>
      </c>
      <c r="AI10471" s="161">
        <f t="shared" ref="AI10471:AI10472" si="6995">SUM(AE10471:AH10471)</f>
        <v>0</v>
      </c>
      <c r="AK10471" s="169">
        <v>5</v>
      </c>
      <c r="AO10471" s="19" t="s">
        <v>63</v>
      </c>
    </row>
    <row r="10472" spans="1:41" s="103" customFormat="1" ht="19.899999999999999" customHeight="1" x14ac:dyDescent="0.25">
      <c r="A10472" s="51"/>
      <c r="B10472" s="165"/>
      <c r="C10472" s="52"/>
      <c r="D10472" s="313"/>
      <c r="E10472" s="115"/>
      <c r="F10472" s="58"/>
      <c r="G10472" s="58"/>
      <c r="H10472" s="58"/>
      <c r="I10472" s="55"/>
      <c r="J10472" s="113">
        <f>J10471</f>
        <v>200</v>
      </c>
      <c r="K10472" s="212">
        <f>K10471</f>
        <v>200</v>
      </c>
      <c r="L10472" s="58"/>
      <c r="M10472" s="58">
        <f>K10472-L10472</f>
        <v>200</v>
      </c>
      <c r="N10472" s="166"/>
      <c r="O10472" s="58"/>
      <c r="P10472" s="58"/>
      <c r="Q10472" s="58"/>
      <c r="R10472" s="58"/>
      <c r="S10472" s="58"/>
      <c r="T10472" s="220"/>
      <c r="U10472" s="88">
        <f>IFERROR(S10472/L10472,0)</f>
        <v>0</v>
      </c>
      <c r="V10472" s="56" t="str">
        <f>V10471&amp;"01"</f>
        <v>01</v>
      </c>
      <c r="W10472" s="57" t="s">
        <v>983</v>
      </c>
      <c r="X10472" s="53"/>
      <c r="Y10472" s="91" t="s">
        <v>35</v>
      </c>
      <c r="Z10472" s="136">
        <f>AD10472/AC10472</f>
        <v>120</v>
      </c>
      <c r="AA10472" s="58"/>
      <c r="AB10472" s="53">
        <f>AD10472/AC10472</f>
        <v>120</v>
      </c>
      <c r="AC10472" s="53">
        <f>M10472+$AE$10</f>
        <v>200</v>
      </c>
      <c r="AD10472" s="54">
        <f>SUM(AD10473:AD10473)</f>
        <v>24000</v>
      </c>
      <c r="AE10472" s="184">
        <f>SUMIFS($AD$44:$AD$4639,$V$44:$V$4639,$V10472,$X$44:$X$4639,AE$13)</f>
        <v>0</v>
      </c>
      <c r="AF10472" s="185">
        <f>SUMIFS($AD$44:$AD$4639,$V$44:$V$4639,$V10472,$X$44:$X$4639,AF$13)</f>
        <v>0</v>
      </c>
      <c r="AG10472" s="185">
        <f>SUMIFS($AD$44:$AD$4639,$V$44:$V$4639,$V10472,$X$44:$X$4639,AG$13)</f>
        <v>0</v>
      </c>
      <c r="AH10472" s="187">
        <f>SUMIFS($AD$44:$AD$4639,$V$44:$V$4639,$V10472,$X$44:$X$4639,AH$13)</f>
        <v>0</v>
      </c>
      <c r="AI10472" s="161">
        <f t="shared" si="6995"/>
        <v>0</v>
      </c>
      <c r="AK10472" s="172"/>
    </row>
    <row r="10473" spans="1:41" s="102" customFormat="1" ht="19.899999999999999" customHeight="1" x14ac:dyDescent="0.25">
      <c r="A10473" s="45"/>
      <c r="B10473" s="137"/>
      <c r="C10473" s="59"/>
      <c r="D10473" s="314"/>
      <c r="E10473" s="116"/>
      <c r="F10473" s="120"/>
      <c r="G10473" s="120"/>
      <c r="H10473" s="120"/>
      <c r="I10473" s="60"/>
      <c r="J10473" s="116"/>
      <c r="K10473" s="213"/>
      <c r="L10473" s="120"/>
      <c r="M10473" s="120"/>
      <c r="N10473" s="167"/>
      <c r="O10473" s="120"/>
      <c r="P10473" s="120"/>
      <c r="Q10473" s="120"/>
      <c r="R10473" s="120"/>
      <c r="S10473" s="120"/>
      <c r="T10473" s="221"/>
      <c r="U10473" s="89"/>
      <c r="V10473" s="61" t="str">
        <f>V10472</f>
        <v>01</v>
      </c>
      <c r="W10473" s="92"/>
      <c r="X10473" s="93" t="s">
        <v>32</v>
      </c>
      <c r="Y10473" s="93" t="s">
        <v>35</v>
      </c>
      <c r="Z10473" s="134">
        <v>120</v>
      </c>
      <c r="AA10473" s="93">
        <v>1</v>
      </c>
      <c r="AB10473" s="93">
        <f>AD10473/AC10472</f>
        <v>120</v>
      </c>
      <c r="AC10473" s="93">
        <f>AC10472/AA10473</f>
        <v>200</v>
      </c>
      <c r="AD10473" s="94">
        <f t="shared" ref="AD10473" si="6996">AC10473*Z10473</f>
        <v>24000</v>
      </c>
      <c r="AE10473" s="190"/>
      <c r="AF10473" s="191"/>
      <c r="AG10473" s="191"/>
      <c r="AH10473" s="191"/>
      <c r="AI10473" s="186"/>
      <c r="AK10473" s="171"/>
    </row>
    <row r="10474" spans="1:41" s="102" customFormat="1" ht="20.100000000000001" customHeight="1" x14ac:dyDescent="0.25">
      <c r="A10474" s="45" t="s">
        <v>980</v>
      </c>
      <c r="B10474" s="276"/>
      <c r="C10474" s="286" t="s">
        <v>984</v>
      </c>
      <c r="D10474" s="59"/>
      <c r="E10474" s="116"/>
      <c r="F10474" s="120"/>
      <c r="G10474" s="120">
        <f t="shared" si="6741"/>
        <v>0</v>
      </c>
      <c r="H10474" s="120">
        <f t="shared" si="6742"/>
        <v>0</v>
      </c>
      <c r="I10474" s="60">
        <f t="shared" si="6743"/>
        <v>0</v>
      </c>
      <c r="J10474" s="116">
        <f t="shared" si="6744"/>
        <v>0</v>
      </c>
      <c r="K10474" s="213">
        <f t="shared" si="6745"/>
        <v>0</v>
      </c>
      <c r="L10474" s="120"/>
      <c r="M10474" s="120">
        <f t="shared" si="6755"/>
        <v>0</v>
      </c>
      <c r="N10474" s="167">
        <f t="shared" si="6746"/>
        <v>0</v>
      </c>
      <c r="O10474" s="120">
        <f t="shared" si="6747"/>
        <v>0</v>
      </c>
      <c r="P10474" s="120">
        <f t="shared" si="6748"/>
        <v>0</v>
      </c>
      <c r="Q10474" s="120">
        <f t="shared" si="6749"/>
        <v>0</v>
      </c>
      <c r="R10474" s="120">
        <f t="shared" si="6756"/>
        <v>0</v>
      </c>
      <c r="S10474" s="120"/>
      <c r="T10474" s="221">
        <f t="shared" si="6757"/>
        <v>0</v>
      </c>
      <c r="U10474" s="89"/>
      <c r="V10474" s="61"/>
      <c r="W10474" s="92"/>
      <c r="X10474" s="38"/>
      <c r="Y10474" s="93"/>
      <c r="Z10474" s="134"/>
      <c r="AA10474" s="93"/>
      <c r="AB10474" s="93"/>
      <c r="AC10474" s="93"/>
      <c r="AD10474" s="94"/>
      <c r="AE10474" s="190"/>
      <c r="AF10474" s="191"/>
      <c r="AG10474" s="191"/>
      <c r="AH10474" s="191"/>
      <c r="AI10474" s="186"/>
      <c r="AK10474" s="171"/>
    </row>
    <row r="10475" spans="1:41" ht="20.100000000000001" customHeight="1" x14ac:dyDescent="0.25">
      <c r="A10475" s="277" t="s">
        <v>980</v>
      </c>
      <c r="B10475" s="278"/>
      <c r="C10475" s="64" t="s">
        <v>985</v>
      </c>
      <c r="D10475" s="46"/>
      <c r="E10475" s="114">
        <v>45.75</v>
      </c>
      <c r="F10475" s="44">
        <v>3524</v>
      </c>
      <c r="G10475" s="44">
        <f t="shared" si="6741"/>
        <v>161223</v>
      </c>
      <c r="H10475" s="44">
        <f t="shared" si="6742"/>
        <v>750</v>
      </c>
      <c r="I10475" s="43">
        <f t="shared" si="6743"/>
        <v>34312.5</v>
      </c>
      <c r="J10475" s="112">
        <f t="shared" si="6744"/>
        <v>45.75</v>
      </c>
      <c r="K10475" s="211">
        <f t="shared" si="6745"/>
        <v>45.75</v>
      </c>
      <c r="L10475" s="44"/>
      <c r="M10475" s="44">
        <f t="shared" si="6755"/>
        <v>45.75</v>
      </c>
      <c r="N10475" s="173">
        <f t="shared" si="6746"/>
        <v>1</v>
      </c>
      <c r="O10475" s="44">
        <f t="shared" si="6747"/>
        <v>3524</v>
      </c>
      <c r="P10475" s="44">
        <f t="shared" si="6748"/>
        <v>161223</v>
      </c>
      <c r="Q10475" s="44">
        <f t="shared" si="6749"/>
        <v>750</v>
      </c>
      <c r="R10475" s="44">
        <f t="shared" si="6756"/>
        <v>34312.5</v>
      </c>
      <c r="S10475" s="123"/>
      <c r="T10475" s="219">
        <f t="shared" si="6757"/>
        <v>34312.5</v>
      </c>
      <c r="U10475" s="87"/>
      <c r="V10475" s="47"/>
      <c r="W10475" s="48" t="s">
        <v>985</v>
      </c>
      <c r="X10475" s="48"/>
      <c r="Y10475" s="48"/>
      <c r="Z10475" s="135"/>
      <c r="AA10475" s="49"/>
      <c r="AB10475" s="50">
        <f t="shared" si="6750"/>
        <v>750</v>
      </c>
      <c r="AC10475" s="42">
        <f t="shared" si="6758"/>
        <v>45.75</v>
      </c>
      <c r="AD10475" s="90">
        <f>AD10476</f>
        <v>34312.5</v>
      </c>
      <c r="AE10475" s="188">
        <f t="shared" ref="AE10475" si="6997">AE10476</f>
        <v>0</v>
      </c>
      <c r="AF10475" s="189">
        <f t="shared" ref="AF10475" si="6998">AF10476</f>
        <v>0</v>
      </c>
      <c r="AG10475" s="189">
        <f t="shared" ref="AG10475" si="6999">AG10476</f>
        <v>0</v>
      </c>
      <c r="AH10475" s="189">
        <f t="shared" ref="AH10475" si="7000">AH10476</f>
        <v>0</v>
      </c>
      <c r="AI10475" s="161">
        <f t="shared" ref="AI10475:AI10476" si="7001">SUM(AE10475:AH10475)</f>
        <v>0</v>
      </c>
      <c r="AK10475" s="169">
        <v>5</v>
      </c>
      <c r="AO10475" s="19" t="s">
        <v>63</v>
      </c>
    </row>
    <row r="10476" spans="1:41" s="103" customFormat="1" ht="19.899999999999999" customHeight="1" x14ac:dyDescent="0.25">
      <c r="A10476" s="51"/>
      <c r="B10476" s="165"/>
      <c r="C10476" s="52"/>
      <c r="D10476" s="313"/>
      <c r="E10476" s="115"/>
      <c r="F10476" s="58"/>
      <c r="G10476" s="58"/>
      <c r="H10476" s="58"/>
      <c r="I10476" s="55"/>
      <c r="J10476" s="113">
        <f>J10475</f>
        <v>45.75</v>
      </c>
      <c r="K10476" s="212">
        <f>K10475</f>
        <v>45.75</v>
      </c>
      <c r="L10476" s="58"/>
      <c r="M10476" s="58">
        <f>K10476-L10476</f>
        <v>45.75</v>
      </c>
      <c r="N10476" s="166"/>
      <c r="O10476" s="58"/>
      <c r="P10476" s="58"/>
      <c r="Q10476" s="58"/>
      <c r="R10476" s="58"/>
      <c r="S10476" s="58"/>
      <c r="T10476" s="220"/>
      <c r="U10476" s="88">
        <f>IFERROR(S10476/L10476,0)</f>
        <v>0</v>
      </c>
      <c r="V10476" s="56" t="str">
        <f>V10475&amp;"01"</f>
        <v>01</v>
      </c>
      <c r="W10476" s="57" t="s">
        <v>985</v>
      </c>
      <c r="X10476" s="53"/>
      <c r="Y10476" s="91" t="s">
        <v>35</v>
      </c>
      <c r="Z10476" s="136">
        <f>AD10476/AC10476</f>
        <v>750</v>
      </c>
      <c r="AA10476" s="58"/>
      <c r="AB10476" s="53">
        <f>AD10476/AC10476</f>
        <v>750</v>
      </c>
      <c r="AC10476" s="53">
        <f>M10476+$AE$10</f>
        <v>45.75</v>
      </c>
      <c r="AD10476" s="54">
        <f>SUM(AD10477:AD10477)</f>
        <v>34312.5</v>
      </c>
      <c r="AE10476" s="184">
        <f>SUMIFS($AD$44:$AD$4639,$V$44:$V$4639,$V10476,$X$44:$X$4639,AE$13)</f>
        <v>0</v>
      </c>
      <c r="AF10476" s="185">
        <f>SUMIFS($AD$44:$AD$4639,$V$44:$V$4639,$V10476,$X$44:$X$4639,AF$13)</f>
        <v>0</v>
      </c>
      <c r="AG10476" s="185">
        <f>SUMIFS($AD$44:$AD$4639,$V$44:$V$4639,$V10476,$X$44:$X$4639,AG$13)</f>
        <v>0</v>
      </c>
      <c r="AH10476" s="187">
        <f>SUMIFS($AD$44:$AD$4639,$V$44:$V$4639,$V10476,$X$44:$X$4639,AH$13)</f>
        <v>0</v>
      </c>
      <c r="AI10476" s="161">
        <f t="shared" si="7001"/>
        <v>0</v>
      </c>
      <c r="AK10476" s="172"/>
    </row>
    <row r="10477" spans="1:41" s="102" customFormat="1" ht="19.899999999999999" customHeight="1" x14ac:dyDescent="0.25">
      <c r="A10477" s="45"/>
      <c r="B10477" s="137"/>
      <c r="C10477" s="59"/>
      <c r="D10477" s="314"/>
      <c r="E10477" s="116"/>
      <c r="F10477" s="120"/>
      <c r="G10477" s="120"/>
      <c r="H10477" s="120"/>
      <c r="I10477" s="60"/>
      <c r="J10477" s="116"/>
      <c r="K10477" s="213"/>
      <c r="L10477" s="120"/>
      <c r="M10477" s="120"/>
      <c r="N10477" s="167"/>
      <c r="O10477" s="120"/>
      <c r="P10477" s="120"/>
      <c r="Q10477" s="120"/>
      <c r="R10477" s="120"/>
      <c r="S10477" s="120"/>
      <c r="T10477" s="221"/>
      <c r="U10477" s="89"/>
      <c r="V10477" s="61" t="str">
        <f>V10476</f>
        <v>01</v>
      </c>
      <c r="W10477" s="92"/>
      <c r="X10477" s="93" t="s">
        <v>32</v>
      </c>
      <c r="Y10477" s="93" t="s">
        <v>35</v>
      </c>
      <c r="Z10477" s="134">
        <v>750</v>
      </c>
      <c r="AA10477" s="93">
        <v>1</v>
      </c>
      <c r="AB10477" s="93">
        <f>AD10477/AC10476</f>
        <v>750</v>
      </c>
      <c r="AC10477" s="93">
        <f>AC10476/AA10477</f>
        <v>45.75</v>
      </c>
      <c r="AD10477" s="94">
        <f t="shared" ref="AD10477" si="7002">AC10477*Z10477</f>
        <v>34312.5</v>
      </c>
      <c r="AE10477" s="190"/>
      <c r="AF10477" s="191"/>
      <c r="AG10477" s="191"/>
      <c r="AH10477" s="191"/>
      <c r="AI10477" s="186"/>
      <c r="AK10477" s="171"/>
    </row>
    <row r="10478" spans="1:41" s="102" customFormat="1" ht="20.100000000000001" customHeight="1" x14ac:dyDescent="0.25">
      <c r="A10478" s="45" t="s">
        <v>980</v>
      </c>
      <c r="B10478" s="276"/>
      <c r="C10478" s="286" t="s">
        <v>986</v>
      </c>
      <c r="D10478" s="59"/>
      <c r="E10478" s="116"/>
      <c r="F10478" s="120">
        <v>0</v>
      </c>
      <c r="G10478" s="120">
        <f t="shared" si="6741"/>
        <v>0</v>
      </c>
      <c r="H10478" s="120">
        <f t="shared" si="6742"/>
        <v>0</v>
      </c>
      <c r="I10478" s="60">
        <f t="shared" si="6743"/>
        <v>0</v>
      </c>
      <c r="J10478" s="116">
        <f t="shared" si="6744"/>
        <v>0</v>
      </c>
      <c r="K10478" s="213">
        <f t="shared" si="6745"/>
        <v>0</v>
      </c>
      <c r="L10478" s="120"/>
      <c r="M10478" s="120">
        <f t="shared" si="6755"/>
        <v>0</v>
      </c>
      <c r="N10478" s="167">
        <f t="shared" si="6746"/>
        <v>0</v>
      </c>
      <c r="O10478" s="120">
        <f t="shared" si="6747"/>
        <v>0</v>
      </c>
      <c r="P10478" s="120">
        <f t="shared" si="6748"/>
        <v>0</v>
      </c>
      <c r="Q10478" s="120">
        <f t="shared" si="6749"/>
        <v>0</v>
      </c>
      <c r="R10478" s="120">
        <f t="shared" si="6756"/>
        <v>0</v>
      </c>
      <c r="S10478" s="120"/>
      <c r="T10478" s="221">
        <f t="shared" si="6757"/>
        <v>0</v>
      </c>
      <c r="U10478" s="89"/>
      <c r="V10478" s="61"/>
      <c r="W10478" s="92"/>
      <c r="X10478" s="38"/>
      <c r="Y10478" s="93"/>
      <c r="Z10478" s="134"/>
      <c r="AA10478" s="93"/>
      <c r="AB10478" s="93"/>
      <c r="AC10478" s="93"/>
      <c r="AD10478" s="94"/>
      <c r="AE10478" s="190"/>
      <c r="AF10478" s="191"/>
      <c r="AG10478" s="191"/>
      <c r="AH10478" s="191"/>
      <c r="AI10478" s="186"/>
      <c r="AK10478" s="171"/>
    </row>
    <row r="10479" spans="1:41" ht="20.100000000000001" customHeight="1" x14ac:dyDescent="0.25">
      <c r="A10479" s="277" t="s">
        <v>980</v>
      </c>
      <c r="B10479" s="278"/>
      <c r="C10479" s="64" t="s">
        <v>987</v>
      </c>
      <c r="D10479" s="46" t="s">
        <v>215</v>
      </c>
      <c r="E10479" s="114">
        <v>258</v>
      </c>
      <c r="F10479" s="44">
        <v>4280</v>
      </c>
      <c r="G10479" s="44">
        <f t="shared" si="6741"/>
        <v>1104240</v>
      </c>
      <c r="H10479" s="44">
        <f t="shared" si="6742"/>
        <v>1850</v>
      </c>
      <c r="I10479" s="43">
        <f t="shared" si="6743"/>
        <v>477300</v>
      </c>
      <c r="J10479" s="112">
        <f t="shared" si="6744"/>
        <v>258</v>
      </c>
      <c r="K10479" s="211">
        <f t="shared" si="6745"/>
        <v>258</v>
      </c>
      <c r="L10479" s="44"/>
      <c r="M10479" s="44">
        <f t="shared" si="6755"/>
        <v>258</v>
      </c>
      <c r="N10479" s="173">
        <f t="shared" si="6746"/>
        <v>1</v>
      </c>
      <c r="O10479" s="44">
        <f t="shared" si="6747"/>
        <v>4280</v>
      </c>
      <c r="P10479" s="44">
        <f t="shared" si="6748"/>
        <v>1104240</v>
      </c>
      <c r="Q10479" s="44">
        <f t="shared" si="6749"/>
        <v>1850</v>
      </c>
      <c r="R10479" s="44">
        <f t="shared" si="6756"/>
        <v>477300</v>
      </c>
      <c r="S10479" s="123"/>
      <c r="T10479" s="219">
        <f t="shared" si="6757"/>
        <v>477300</v>
      </c>
      <c r="U10479" s="87"/>
      <c r="V10479" s="47"/>
      <c r="W10479" s="48" t="s">
        <v>987</v>
      </c>
      <c r="X10479" s="48"/>
      <c r="Y10479" s="48"/>
      <c r="Z10479" s="135"/>
      <c r="AA10479" s="49"/>
      <c r="AB10479" s="50">
        <f t="shared" si="6750"/>
        <v>1850</v>
      </c>
      <c r="AC10479" s="42">
        <f t="shared" si="6758"/>
        <v>258</v>
      </c>
      <c r="AD10479" s="90">
        <f>AD10480</f>
        <v>477300</v>
      </c>
      <c r="AE10479" s="188">
        <f t="shared" ref="AE10479" si="7003">AE10480</f>
        <v>0</v>
      </c>
      <c r="AF10479" s="189">
        <f t="shared" ref="AF10479" si="7004">AF10480</f>
        <v>0</v>
      </c>
      <c r="AG10479" s="189">
        <f t="shared" ref="AG10479" si="7005">AG10480</f>
        <v>0</v>
      </c>
      <c r="AH10479" s="189">
        <f t="shared" ref="AH10479" si="7006">AH10480</f>
        <v>0</v>
      </c>
      <c r="AI10479" s="161">
        <f t="shared" ref="AI10479:AI10480" si="7007">SUM(AE10479:AH10479)</f>
        <v>0</v>
      </c>
      <c r="AK10479" s="169">
        <v>5</v>
      </c>
      <c r="AO10479" s="19" t="s">
        <v>63</v>
      </c>
    </row>
    <row r="10480" spans="1:41" s="103" customFormat="1" ht="19.899999999999999" customHeight="1" x14ac:dyDescent="0.25">
      <c r="A10480" s="51"/>
      <c r="B10480" s="165"/>
      <c r="C10480" s="52"/>
      <c r="D10480" s="313"/>
      <c r="E10480" s="115"/>
      <c r="F10480" s="58"/>
      <c r="G10480" s="58"/>
      <c r="H10480" s="58"/>
      <c r="I10480" s="55"/>
      <c r="J10480" s="113">
        <f>J10479</f>
        <v>258</v>
      </c>
      <c r="K10480" s="212">
        <f>K10479</f>
        <v>258</v>
      </c>
      <c r="L10480" s="58"/>
      <c r="M10480" s="58">
        <f>K10480-L10480</f>
        <v>258</v>
      </c>
      <c r="N10480" s="166"/>
      <c r="O10480" s="58"/>
      <c r="P10480" s="58"/>
      <c r="Q10480" s="58"/>
      <c r="R10480" s="58"/>
      <c r="S10480" s="58"/>
      <c r="T10480" s="220"/>
      <c r="U10480" s="88">
        <f>IFERROR(S10480/L10480,0)</f>
        <v>0</v>
      </c>
      <c r="V10480" s="56" t="str">
        <f>V10479&amp;"01"</f>
        <v>01</v>
      </c>
      <c r="W10480" s="57" t="s">
        <v>987</v>
      </c>
      <c r="X10480" s="53"/>
      <c r="Y10480" s="91" t="s">
        <v>35</v>
      </c>
      <c r="Z10480" s="136">
        <f>AD10480/AC10480</f>
        <v>1850</v>
      </c>
      <c r="AA10480" s="58"/>
      <c r="AB10480" s="53">
        <f>AD10480/AC10480</f>
        <v>1850</v>
      </c>
      <c r="AC10480" s="53">
        <f>M10480+$AE$10</f>
        <v>258</v>
      </c>
      <c r="AD10480" s="54">
        <f>SUM(AD10481:AD10481)</f>
        <v>477300</v>
      </c>
      <c r="AE10480" s="184">
        <f>SUMIFS($AD$44:$AD$4639,$V$44:$V$4639,$V10480,$X$44:$X$4639,AE$13)</f>
        <v>0</v>
      </c>
      <c r="AF10480" s="185">
        <f>SUMIFS($AD$44:$AD$4639,$V$44:$V$4639,$V10480,$X$44:$X$4639,AF$13)</f>
        <v>0</v>
      </c>
      <c r="AG10480" s="185">
        <f>SUMIFS($AD$44:$AD$4639,$V$44:$V$4639,$V10480,$X$44:$X$4639,AG$13)</f>
        <v>0</v>
      </c>
      <c r="AH10480" s="187">
        <f>SUMIFS($AD$44:$AD$4639,$V$44:$V$4639,$V10480,$X$44:$X$4639,AH$13)</f>
        <v>0</v>
      </c>
      <c r="AI10480" s="161">
        <f t="shared" si="7007"/>
        <v>0</v>
      </c>
      <c r="AK10480" s="172"/>
    </row>
    <row r="10481" spans="1:41" s="102" customFormat="1" ht="19.899999999999999" customHeight="1" x14ac:dyDescent="0.25">
      <c r="A10481" s="45"/>
      <c r="B10481" s="137"/>
      <c r="C10481" s="59"/>
      <c r="D10481" s="314"/>
      <c r="E10481" s="116"/>
      <c r="F10481" s="120"/>
      <c r="G10481" s="120"/>
      <c r="H10481" s="120"/>
      <c r="I10481" s="60"/>
      <c r="J10481" s="116"/>
      <c r="K10481" s="213"/>
      <c r="L10481" s="120"/>
      <c r="M10481" s="120"/>
      <c r="N10481" s="167"/>
      <c r="O10481" s="120"/>
      <c r="P10481" s="120"/>
      <c r="Q10481" s="120"/>
      <c r="R10481" s="120"/>
      <c r="S10481" s="120"/>
      <c r="T10481" s="221"/>
      <c r="U10481" s="89"/>
      <c r="V10481" s="61" t="str">
        <f>V10480</f>
        <v>01</v>
      </c>
      <c r="W10481" s="92"/>
      <c r="X10481" s="93" t="s">
        <v>32</v>
      </c>
      <c r="Y10481" s="93" t="s">
        <v>35</v>
      </c>
      <c r="Z10481" s="134">
        <v>1850</v>
      </c>
      <c r="AA10481" s="93">
        <v>1</v>
      </c>
      <c r="AB10481" s="93">
        <f>AD10481/AC10480</f>
        <v>1850</v>
      </c>
      <c r="AC10481" s="93">
        <f>AC10480/AA10481</f>
        <v>258</v>
      </c>
      <c r="AD10481" s="94">
        <f t="shared" ref="AD10481" si="7008">AC10481*Z10481</f>
        <v>477300</v>
      </c>
      <c r="AE10481" s="190"/>
      <c r="AF10481" s="191"/>
      <c r="AG10481" s="191"/>
      <c r="AH10481" s="191"/>
      <c r="AI10481" s="186"/>
      <c r="AK10481" s="171"/>
    </row>
    <row r="10482" spans="1:41" s="102" customFormat="1" ht="20.100000000000001" customHeight="1" x14ac:dyDescent="0.25">
      <c r="A10482" s="45" t="s">
        <v>980</v>
      </c>
      <c r="B10482" s="276"/>
      <c r="C10482" s="286" t="s">
        <v>988</v>
      </c>
      <c r="D10482" s="59"/>
      <c r="E10482" s="116"/>
      <c r="F10482" s="120"/>
      <c r="G10482" s="120">
        <f t="shared" si="6741"/>
        <v>0</v>
      </c>
      <c r="H10482" s="120">
        <f t="shared" si="6742"/>
        <v>0</v>
      </c>
      <c r="I10482" s="60">
        <f t="shared" si="6743"/>
        <v>0</v>
      </c>
      <c r="J10482" s="116">
        <f t="shared" si="6744"/>
        <v>0</v>
      </c>
      <c r="K10482" s="213">
        <f t="shared" si="6745"/>
        <v>0</v>
      </c>
      <c r="L10482" s="120"/>
      <c r="M10482" s="120">
        <f t="shared" si="6755"/>
        <v>0</v>
      </c>
      <c r="N10482" s="167">
        <f t="shared" si="6746"/>
        <v>0</v>
      </c>
      <c r="O10482" s="120">
        <f t="shared" si="6747"/>
        <v>0</v>
      </c>
      <c r="P10482" s="120">
        <f t="shared" si="6748"/>
        <v>0</v>
      </c>
      <c r="Q10482" s="120">
        <f t="shared" si="6749"/>
        <v>0</v>
      </c>
      <c r="R10482" s="120">
        <f t="shared" si="6756"/>
        <v>0</v>
      </c>
      <c r="S10482" s="120"/>
      <c r="T10482" s="221">
        <f t="shared" si="6757"/>
        <v>0</v>
      </c>
      <c r="U10482" s="89"/>
      <c r="V10482" s="61"/>
      <c r="W10482" s="92"/>
      <c r="X10482" s="38"/>
      <c r="Y10482" s="93"/>
      <c r="Z10482" s="134"/>
      <c r="AA10482" s="93"/>
      <c r="AB10482" s="93"/>
      <c r="AC10482" s="93"/>
      <c r="AD10482" s="94"/>
      <c r="AE10482" s="190"/>
      <c r="AF10482" s="191"/>
      <c r="AG10482" s="191"/>
      <c r="AH10482" s="191"/>
      <c r="AI10482" s="186"/>
      <c r="AK10482" s="171"/>
    </row>
    <row r="10483" spans="1:41" ht="20.100000000000001" customHeight="1" x14ac:dyDescent="0.25">
      <c r="A10483" s="277" t="s">
        <v>980</v>
      </c>
      <c r="B10483" s="278"/>
      <c r="C10483" s="64" t="s">
        <v>989</v>
      </c>
      <c r="D10483" s="46" t="s">
        <v>215</v>
      </c>
      <c r="E10483" s="114">
        <v>200</v>
      </c>
      <c r="F10483" s="44">
        <v>227</v>
      </c>
      <c r="G10483" s="44">
        <f t="shared" si="6741"/>
        <v>45400</v>
      </c>
      <c r="H10483" s="44">
        <f t="shared" si="6742"/>
        <v>100</v>
      </c>
      <c r="I10483" s="43">
        <f t="shared" si="6743"/>
        <v>20000</v>
      </c>
      <c r="J10483" s="112">
        <f t="shared" si="6744"/>
        <v>200</v>
      </c>
      <c r="K10483" s="211">
        <f t="shared" si="6745"/>
        <v>200</v>
      </c>
      <c r="L10483" s="44"/>
      <c r="M10483" s="44">
        <f t="shared" si="6755"/>
        <v>200</v>
      </c>
      <c r="N10483" s="173">
        <f t="shared" si="6746"/>
        <v>1</v>
      </c>
      <c r="O10483" s="44">
        <f t="shared" si="6747"/>
        <v>227</v>
      </c>
      <c r="P10483" s="44">
        <f t="shared" si="6748"/>
        <v>45400</v>
      </c>
      <c r="Q10483" s="44">
        <f t="shared" si="6749"/>
        <v>100</v>
      </c>
      <c r="R10483" s="44">
        <f t="shared" si="6756"/>
        <v>20000</v>
      </c>
      <c r="S10483" s="123"/>
      <c r="T10483" s="219">
        <f t="shared" si="6757"/>
        <v>20000</v>
      </c>
      <c r="U10483" s="87"/>
      <c r="V10483" s="47"/>
      <c r="W10483" s="48" t="s">
        <v>989</v>
      </c>
      <c r="X10483" s="48"/>
      <c r="Y10483" s="48"/>
      <c r="Z10483" s="135"/>
      <c r="AA10483" s="49"/>
      <c r="AB10483" s="50">
        <f t="shared" si="6750"/>
        <v>100</v>
      </c>
      <c r="AC10483" s="42">
        <f t="shared" si="6758"/>
        <v>200</v>
      </c>
      <c r="AD10483" s="90">
        <f>AD10484</f>
        <v>20000</v>
      </c>
      <c r="AE10483" s="188">
        <f t="shared" ref="AE10483" si="7009">AE10484</f>
        <v>0</v>
      </c>
      <c r="AF10483" s="189">
        <f t="shared" ref="AF10483" si="7010">AF10484</f>
        <v>0</v>
      </c>
      <c r="AG10483" s="189">
        <f t="shared" ref="AG10483" si="7011">AG10484</f>
        <v>0</v>
      </c>
      <c r="AH10483" s="189">
        <f t="shared" ref="AH10483" si="7012">AH10484</f>
        <v>0</v>
      </c>
      <c r="AI10483" s="161">
        <f t="shared" ref="AI10483:AI10484" si="7013">SUM(AE10483:AH10483)</f>
        <v>0</v>
      </c>
      <c r="AK10483" s="169">
        <v>5</v>
      </c>
      <c r="AO10483" s="19" t="s">
        <v>63</v>
      </c>
    </row>
    <row r="10484" spans="1:41" s="103" customFormat="1" ht="19.899999999999999" customHeight="1" x14ac:dyDescent="0.25">
      <c r="A10484" s="51"/>
      <c r="B10484" s="165"/>
      <c r="C10484" s="52"/>
      <c r="D10484" s="313"/>
      <c r="E10484" s="115"/>
      <c r="F10484" s="58"/>
      <c r="G10484" s="58"/>
      <c r="H10484" s="58"/>
      <c r="I10484" s="55"/>
      <c r="J10484" s="113">
        <f>J10483</f>
        <v>200</v>
      </c>
      <c r="K10484" s="212">
        <f>K10483</f>
        <v>200</v>
      </c>
      <c r="L10484" s="58"/>
      <c r="M10484" s="58">
        <f>K10484-L10484</f>
        <v>200</v>
      </c>
      <c r="N10484" s="166"/>
      <c r="O10484" s="58"/>
      <c r="P10484" s="58"/>
      <c r="Q10484" s="58"/>
      <c r="R10484" s="58"/>
      <c r="S10484" s="58"/>
      <c r="T10484" s="220"/>
      <c r="U10484" s="88">
        <f>IFERROR(S10484/L10484,0)</f>
        <v>0</v>
      </c>
      <c r="V10484" s="56" t="str">
        <f>V10483&amp;"01"</f>
        <v>01</v>
      </c>
      <c r="W10484" s="57" t="s">
        <v>989</v>
      </c>
      <c r="X10484" s="53"/>
      <c r="Y10484" s="91" t="s">
        <v>35</v>
      </c>
      <c r="Z10484" s="136">
        <f>AD10484/AC10484</f>
        <v>100</v>
      </c>
      <c r="AA10484" s="58"/>
      <c r="AB10484" s="53">
        <f>AD10484/AC10484</f>
        <v>100</v>
      </c>
      <c r="AC10484" s="53">
        <f>M10484+$AE$10</f>
        <v>200</v>
      </c>
      <c r="AD10484" s="54">
        <f>SUM(AD10485:AD10485)</f>
        <v>20000</v>
      </c>
      <c r="AE10484" s="184">
        <f>SUMIFS($AD$44:$AD$4639,$V$44:$V$4639,$V10484,$X$44:$X$4639,AE$13)</f>
        <v>0</v>
      </c>
      <c r="AF10484" s="185">
        <f>SUMIFS($AD$44:$AD$4639,$V$44:$V$4639,$V10484,$X$44:$X$4639,AF$13)</f>
        <v>0</v>
      </c>
      <c r="AG10484" s="185">
        <f>SUMIFS($AD$44:$AD$4639,$V$44:$V$4639,$V10484,$X$44:$X$4639,AG$13)</f>
        <v>0</v>
      </c>
      <c r="AH10484" s="187">
        <f>SUMIFS($AD$44:$AD$4639,$V$44:$V$4639,$V10484,$X$44:$X$4639,AH$13)</f>
        <v>0</v>
      </c>
      <c r="AI10484" s="161">
        <f t="shared" si="7013"/>
        <v>0</v>
      </c>
      <c r="AK10484" s="172"/>
    </row>
    <row r="10485" spans="1:41" s="102" customFormat="1" ht="19.899999999999999" customHeight="1" x14ac:dyDescent="0.25">
      <c r="A10485" s="45"/>
      <c r="B10485" s="137"/>
      <c r="C10485" s="59"/>
      <c r="D10485" s="314"/>
      <c r="E10485" s="116"/>
      <c r="F10485" s="120"/>
      <c r="G10485" s="120"/>
      <c r="H10485" s="120"/>
      <c r="I10485" s="60"/>
      <c r="J10485" s="116"/>
      <c r="K10485" s="213"/>
      <c r="L10485" s="120"/>
      <c r="M10485" s="120"/>
      <c r="N10485" s="167"/>
      <c r="O10485" s="120"/>
      <c r="P10485" s="120"/>
      <c r="Q10485" s="120"/>
      <c r="R10485" s="120"/>
      <c r="S10485" s="120"/>
      <c r="T10485" s="221"/>
      <c r="U10485" s="89"/>
      <c r="V10485" s="61" t="str">
        <f>V10484</f>
        <v>01</v>
      </c>
      <c r="W10485" s="92"/>
      <c r="X10485" s="93" t="s">
        <v>32</v>
      </c>
      <c r="Y10485" s="93" t="s">
        <v>35</v>
      </c>
      <c r="Z10485" s="134">
        <v>100</v>
      </c>
      <c r="AA10485" s="93">
        <v>1</v>
      </c>
      <c r="AB10485" s="93">
        <f>AD10485/AC10484</f>
        <v>100</v>
      </c>
      <c r="AC10485" s="93">
        <f>AC10484/AA10485</f>
        <v>200</v>
      </c>
      <c r="AD10485" s="94">
        <f t="shared" ref="AD10485" si="7014">AC10485*Z10485</f>
        <v>20000</v>
      </c>
      <c r="AE10485" s="190"/>
      <c r="AF10485" s="191"/>
      <c r="AG10485" s="191"/>
      <c r="AH10485" s="191"/>
      <c r="AI10485" s="186"/>
      <c r="AK10485" s="171"/>
    </row>
    <row r="10486" spans="1:41" s="102" customFormat="1" ht="20.100000000000001" customHeight="1" x14ac:dyDescent="0.25">
      <c r="A10486" s="45" t="s">
        <v>980</v>
      </c>
      <c r="B10486" s="276"/>
      <c r="C10486" s="286" t="s">
        <v>990</v>
      </c>
      <c r="D10486" s="59"/>
      <c r="E10486" s="116"/>
      <c r="F10486" s="120"/>
      <c r="G10486" s="120">
        <f t="shared" si="6741"/>
        <v>0</v>
      </c>
      <c r="H10486" s="120">
        <f t="shared" si="6742"/>
        <v>0</v>
      </c>
      <c r="I10486" s="60">
        <f t="shared" si="6743"/>
        <v>0</v>
      </c>
      <c r="J10486" s="116">
        <f t="shared" si="6744"/>
        <v>0</v>
      </c>
      <c r="K10486" s="213">
        <f t="shared" si="6745"/>
        <v>0</v>
      </c>
      <c r="L10486" s="120"/>
      <c r="M10486" s="120">
        <f t="shared" si="6755"/>
        <v>0</v>
      </c>
      <c r="N10486" s="167">
        <f t="shared" si="6746"/>
        <v>0</v>
      </c>
      <c r="O10486" s="120">
        <f t="shared" si="6747"/>
        <v>0</v>
      </c>
      <c r="P10486" s="120">
        <f t="shared" si="6748"/>
        <v>0</v>
      </c>
      <c r="Q10486" s="120">
        <f t="shared" si="6749"/>
        <v>0</v>
      </c>
      <c r="R10486" s="120">
        <f t="shared" si="6756"/>
        <v>0</v>
      </c>
      <c r="S10486" s="120"/>
      <c r="T10486" s="221">
        <f t="shared" si="6757"/>
        <v>0</v>
      </c>
      <c r="U10486" s="89"/>
      <c r="V10486" s="61"/>
      <c r="W10486" s="92"/>
      <c r="X10486" s="38"/>
      <c r="Y10486" s="93"/>
      <c r="Z10486" s="134"/>
      <c r="AA10486" s="93"/>
      <c r="AB10486" s="93"/>
      <c r="AC10486" s="93"/>
      <c r="AD10486" s="94"/>
      <c r="AE10486" s="190"/>
      <c r="AF10486" s="191"/>
      <c r="AG10486" s="191"/>
      <c r="AH10486" s="191"/>
      <c r="AI10486" s="186"/>
      <c r="AK10486" s="171"/>
    </row>
    <row r="10487" spans="1:41" ht="20.100000000000001" customHeight="1" x14ac:dyDescent="0.25">
      <c r="A10487" s="277" t="s">
        <v>980</v>
      </c>
      <c r="B10487" s="278"/>
      <c r="C10487" s="64" t="s">
        <v>985</v>
      </c>
      <c r="D10487" s="46" t="s">
        <v>215</v>
      </c>
      <c r="E10487" s="114">
        <v>162</v>
      </c>
      <c r="F10487" s="44">
        <v>3524</v>
      </c>
      <c r="G10487" s="44">
        <f t="shared" si="6741"/>
        <v>570888</v>
      </c>
      <c r="H10487" s="44">
        <f t="shared" si="6742"/>
        <v>750</v>
      </c>
      <c r="I10487" s="43">
        <f t="shared" si="6743"/>
        <v>121500</v>
      </c>
      <c r="J10487" s="112">
        <f t="shared" si="6744"/>
        <v>162</v>
      </c>
      <c r="K10487" s="211">
        <f t="shared" si="6745"/>
        <v>162</v>
      </c>
      <c r="L10487" s="44"/>
      <c r="M10487" s="44">
        <f t="shared" si="6755"/>
        <v>162</v>
      </c>
      <c r="N10487" s="173">
        <f t="shared" si="6746"/>
        <v>1</v>
      </c>
      <c r="O10487" s="44">
        <f t="shared" si="6747"/>
        <v>3524</v>
      </c>
      <c r="P10487" s="44">
        <f t="shared" si="6748"/>
        <v>570888</v>
      </c>
      <c r="Q10487" s="44">
        <f t="shared" si="6749"/>
        <v>750</v>
      </c>
      <c r="R10487" s="44">
        <f t="shared" si="6756"/>
        <v>121500</v>
      </c>
      <c r="S10487" s="123"/>
      <c r="T10487" s="219">
        <f t="shared" si="6757"/>
        <v>121500</v>
      </c>
      <c r="U10487" s="87"/>
      <c r="V10487" s="47"/>
      <c r="W10487" s="48" t="s">
        <v>985</v>
      </c>
      <c r="X10487" s="48"/>
      <c r="Y10487" s="48"/>
      <c r="Z10487" s="135"/>
      <c r="AA10487" s="49"/>
      <c r="AB10487" s="50">
        <f t="shared" si="6750"/>
        <v>750</v>
      </c>
      <c r="AC10487" s="42">
        <f t="shared" si="6758"/>
        <v>162</v>
      </c>
      <c r="AD10487" s="90">
        <f>AD10488</f>
        <v>121500</v>
      </c>
      <c r="AE10487" s="188">
        <f t="shared" ref="AE10487" si="7015">AE10488</f>
        <v>0</v>
      </c>
      <c r="AF10487" s="189">
        <f t="shared" ref="AF10487" si="7016">AF10488</f>
        <v>0</v>
      </c>
      <c r="AG10487" s="189">
        <f t="shared" ref="AG10487" si="7017">AG10488</f>
        <v>0</v>
      </c>
      <c r="AH10487" s="189">
        <f t="shared" ref="AH10487" si="7018">AH10488</f>
        <v>0</v>
      </c>
      <c r="AI10487" s="161">
        <f t="shared" ref="AI10487:AI10488" si="7019">SUM(AE10487:AH10487)</f>
        <v>0</v>
      </c>
      <c r="AK10487" s="169">
        <v>5</v>
      </c>
      <c r="AO10487" s="19" t="s">
        <v>63</v>
      </c>
    </row>
    <row r="10488" spans="1:41" s="103" customFormat="1" ht="19.899999999999999" customHeight="1" x14ac:dyDescent="0.25">
      <c r="A10488" s="51"/>
      <c r="B10488" s="165"/>
      <c r="C10488" s="52"/>
      <c r="D10488" s="313"/>
      <c r="E10488" s="115"/>
      <c r="F10488" s="58"/>
      <c r="G10488" s="58"/>
      <c r="H10488" s="58"/>
      <c r="I10488" s="55"/>
      <c r="J10488" s="113">
        <f>J10487</f>
        <v>162</v>
      </c>
      <c r="K10488" s="212">
        <f>K10487</f>
        <v>162</v>
      </c>
      <c r="L10488" s="58"/>
      <c r="M10488" s="58">
        <f>K10488-L10488</f>
        <v>162</v>
      </c>
      <c r="N10488" s="166"/>
      <c r="O10488" s="58"/>
      <c r="P10488" s="58"/>
      <c r="Q10488" s="58"/>
      <c r="R10488" s="58"/>
      <c r="S10488" s="58"/>
      <c r="T10488" s="220"/>
      <c r="U10488" s="88">
        <f>IFERROR(S10488/L10488,0)</f>
        <v>0</v>
      </c>
      <c r="V10488" s="56" t="str">
        <f>V10487&amp;"01"</f>
        <v>01</v>
      </c>
      <c r="W10488" s="57" t="s">
        <v>985</v>
      </c>
      <c r="X10488" s="53"/>
      <c r="Y10488" s="91" t="s">
        <v>35</v>
      </c>
      <c r="Z10488" s="136">
        <f>AD10488/AC10488</f>
        <v>750</v>
      </c>
      <c r="AA10488" s="58"/>
      <c r="AB10488" s="53">
        <f>AD10488/AC10488</f>
        <v>750</v>
      </c>
      <c r="AC10488" s="53">
        <f>M10488+$AE$10</f>
        <v>162</v>
      </c>
      <c r="AD10488" s="54">
        <f>SUM(AD10489:AD10489)</f>
        <v>121500</v>
      </c>
      <c r="AE10488" s="184">
        <f>SUMIFS($AD$44:$AD$4639,$V$44:$V$4639,$V10488,$X$44:$X$4639,AE$13)</f>
        <v>0</v>
      </c>
      <c r="AF10488" s="185">
        <f>SUMIFS($AD$44:$AD$4639,$V$44:$V$4639,$V10488,$X$44:$X$4639,AF$13)</f>
        <v>0</v>
      </c>
      <c r="AG10488" s="185">
        <f>SUMIFS($AD$44:$AD$4639,$V$44:$V$4639,$V10488,$X$44:$X$4639,AG$13)</f>
        <v>0</v>
      </c>
      <c r="AH10488" s="187">
        <f>SUMIFS($AD$44:$AD$4639,$V$44:$V$4639,$V10488,$X$44:$X$4639,AH$13)</f>
        <v>0</v>
      </c>
      <c r="AI10488" s="161">
        <f t="shared" si="7019"/>
        <v>0</v>
      </c>
      <c r="AK10488" s="172"/>
    </row>
    <row r="10489" spans="1:41" s="102" customFormat="1" ht="19.899999999999999" customHeight="1" x14ac:dyDescent="0.25">
      <c r="A10489" s="45"/>
      <c r="B10489" s="137"/>
      <c r="C10489" s="59"/>
      <c r="D10489" s="314"/>
      <c r="E10489" s="116"/>
      <c r="F10489" s="120"/>
      <c r="G10489" s="120"/>
      <c r="H10489" s="120"/>
      <c r="I10489" s="60"/>
      <c r="J10489" s="116"/>
      <c r="K10489" s="213"/>
      <c r="L10489" s="120"/>
      <c r="M10489" s="120"/>
      <c r="N10489" s="167"/>
      <c r="O10489" s="120"/>
      <c r="P10489" s="120"/>
      <c r="Q10489" s="120"/>
      <c r="R10489" s="120"/>
      <c r="S10489" s="120"/>
      <c r="T10489" s="221"/>
      <c r="U10489" s="89"/>
      <c r="V10489" s="61" t="str">
        <f>V10488</f>
        <v>01</v>
      </c>
      <c r="W10489" s="92"/>
      <c r="X10489" s="93" t="s">
        <v>32</v>
      </c>
      <c r="Y10489" s="93" t="s">
        <v>35</v>
      </c>
      <c r="Z10489" s="134">
        <v>750</v>
      </c>
      <c r="AA10489" s="93">
        <v>1</v>
      </c>
      <c r="AB10489" s="93">
        <f>AD10489/AC10488</f>
        <v>750</v>
      </c>
      <c r="AC10489" s="93">
        <f>AC10488/AA10489</f>
        <v>162</v>
      </c>
      <c r="AD10489" s="94">
        <f t="shared" ref="AD10489" si="7020">AC10489*Z10489</f>
        <v>121500</v>
      </c>
      <c r="AE10489" s="190"/>
      <c r="AF10489" s="191"/>
      <c r="AG10489" s="191"/>
      <c r="AH10489" s="191"/>
      <c r="AI10489" s="186"/>
      <c r="AK10489" s="171"/>
    </row>
    <row r="10490" spans="1:41" ht="20.100000000000001" customHeight="1" x14ac:dyDescent="0.25">
      <c r="A10490" s="277" t="s">
        <v>980</v>
      </c>
      <c r="B10490" s="278"/>
      <c r="C10490" s="64" t="s">
        <v>991</v>
      </c>
      <c r="D10490" s="46" t="s">
        <v>201</v>
      </c>
      <c r="E10490" s="114">
        <v>297.68919999999991</v>
      </c>
      <c r="F10490" s="44">
        <v>139</v>
      </c>
      <c r="G10490" s="44">
        <f t="shared" si="6741"/>
        <v>41378.79879999999</v>
      </c>
      <c r="H10490" s="44">
        <f t="shared" si="6742"/>
        <v>95</v>
      </c>
      <c r="I10490" s="43">
        <f t="shared" si="6743"/>
        <v>28280.473999999991</v>
      </c>
      <c r="J10490" s="112">
        <f t="shared" si="6744"/>
        <v>297.68919999999991</v>
      </c>
      <c r="K10490" s="211">
        <f t="shared" si="6745"/>
        <v>297.68919999999991</v>
      </c>
      <c r="L10490" s="44"/>
      <c r="M10490" s="44">
        <f t="shared" si="6755"/>
        <v>297.68919999999991</v>
      </c>
      <c r="N10490" s="173">
        <f t="shared" si="6746"/>
        <v>1</v>
      </c>
      <c r="O10490" s="44">
        <f t="shared" si="6747"/>
        <v>139</v>
      </c>
      <c r="P10490" s="44">
        <f t="shared" si="6748"/>
        <v>41378.79879999999</v>
      </c>
      <c r="Q10490" s="44">
        <f t="shared" si="6749"/>
        <v>95</v>
      </c>
      <c r="R10490" s="44">
        <f t="shared" si="6756"/>
        <v>28280.473999999991</v>
      </c>
      <c r="S10490" s="123"/>
      <c r="T10490" s="219">
        <f t="shared" si="6757"/>
        <v>28280.473999999991</v>
      </c>
      <c r="U10490" s="87"/>
      <c r="V10490" s="47"/>
      <c r="W10490" s="48" t="s">
        <v>991</v>
      </c>
      <c r="X10490" s="48"/>
      <c r="Y10490" s="48"/>
      <c r="Z10490" s="135"/>
      <c r="AA10490" s="49"/>
      <c r="AB10490" s="50">
        <f t="shared" si="6750"/>
        <v>95</v>
      </c>
      <c r="AC10490" s="42">
        <f t="shared" si="6758"/>
        <v>297.68919999999991</v>
      </c>
      <c r="AD10490" s="90">
        <f>AD10491</f>
        <v>28280.473999999991</v>
      </c>
      <c r="AE10490" s="188">
        <f t="shared" ref="AE10490" si="7021">AE10491</f>
        <v>0</v>
      </c>
      <c r="AF10490" s="189">
        <f t="shared" ref="AF10490" si="7022">AF10491</f>
        <v>0</v>
      </c>
      <c r="AG10490" s="189">
        <f t="shared" ref="AG10490" si="7023">AG10491</f>
        <v>0</v>
      </c>
      <c r="AH10490" s="189">
        <f t="shared" ref="AH10490" si="7024">AH10491</f>
        <v>0</v>
      </c>
      <c r="AI10490" s="161">
        <f t="shared" ref="AI10490:AI10491" si="7025">SUM(AE10490:AH10490)</f>
        <v>0</v>
      </c>
      <c r="AK10490" s="169">
        <v>5</v>
      </c>
      <c r="AO10490" s="19" t="s">
        <v>63</v>
      </c>
    </row>
    <row r="10491" spans="1:41" s="103" customFormat="1" ht="19.899999999999999" customHeight="1" x14ac:dyDescent="0.25">
      <c r="A10491" s="51"/>
      <c r="B10491" s="165"/>
      <c r="C10491" s="52"/>
      <c r="D10491" s="313"/>
      <c r="E10491" s="115"/>
      <c r="F10491" s="58"/>
      <c r="G10491" s="58"/>
      <c r="H10491" s="58"/>
      <c r="I10491" s="55"/>
      <c r="J10491" s="113">
        <f>J10490</f>
        <v>297.68919999999991</v>
      </c>
      <c r="K10491" s="212">
        <f>K10490</f>
        <v>297.68919999999991</v>
      </c>
      <c r="L10491" s="58"/>
      <c r="M10491" s="58">
        <f>K10491-L10491</f>
        <v>297.68919999999991</v>
      </c>
      <c r="N10491" s="166"/>
      <c r="O10491" s="58"/>
      <c r="P10491" s="58"/>
      <c r="Q10491" s="58"/>
      <c r="R10491" s="58"/>
      <c r="S10491" s="58"/>
      <c r="T10491" s="220"/>
      <c r="U10491" s="88">
        <f>IFERROR(S10491/L10491,0)</f>
        <v>0</v>
      </c>
      <c r="V10491" s="56" t="str">
        <f>V10490&amp;"01"</f>
        <v>01</v>
      </c>
      <c r="W10491" s="57" t="s">
        <v>991</v>
      </c>
      <c r="X10491" s="53"/>
      <c r="Y10491" s="91" t="s">
        <v>66</v>
      </c>
      <c r="Z10491" s="136">
        <f>AD10491/AC10491</f>
        <v>95</v>
      </c>
      <c r="AA10491" s="58"/>
      <c r="AB10491" s="53">
        <f>AD10491/AC10491</f>
        <v>95</v>
      </c>
      <c r="AC10491" s="53">
        <f>M10491+$AE$10</f>
        <v>297.68919999999991</v>
      </c>
      <c r="AD10491" s="54">
        <f>SUM(AD10492:AD10492)</f>
        <v>28280.473999999991</v>
      </c>
      <c r="AE10491" s="184">
        <f>SUMIFS($AD$44:$AD$4639,$V$44:$V$4639,$V10491,$X$44:$X$4639,AE$13)</f>
        <v>0</v>
      </c>
      <c r="AF10491" s="185">
        <f>SUMIFS($AD$44:$AD$4639,$V$44:$V$4639,$V10491,$X$44:$X$4639,AF$13)</f>
        <v>0</v>
      </c>
      <c r="AG10491" s="185">
        <f>SUMIFS($AD$44:$AD$4639,$V$44:$V$4639,$V10491,$X$44:$X$4639,AG$13)</f>
        <v>0</v>
      </c>
      <c r="AH10491" s="187">
        <f>SUMIFS($AD$44:$AD$4639,$V$44:$V$4639,$V10491,$X$44:$X$4639,AH$13)</f>
        <v>0</v>
      </c>
      <c r="AI10491" s="161">
        <f t="shared" si="7025"/>
        <v>0</v>
      </c>
      <c r="AK10491" s="172"/>
    </row>
    <row r="10492" spans="1:41" s="102" customFormat="1" ht="19.899999999999999" customHeight="1" x14ac:dyDescent="0.25">
      <c r="A10492" s="45"/>
      <c r="B10492" s="137"/>
      <c r="C10492" s="59"/>
      <c r="D10492" s="314"/>
      <c r="E10492" s="116"/>
      <c r="F10492" s="120"/>
      <c r="G10492" s="120"/>
      <c r="H10492" s="120"/>
      <c r="I10492" s="60"/>
      <c r="J10492" s="116"/>
      <c r="K10492" s="213"/>
      <c r="L10492" s="120"/>
      <c r="M10492" s="120"/>
      <c r="N10492" s="167"/>
      <c r="O10492" s="120"/>
      <c r="P10492" s="120"/>
      <c r="Q10492" s="120"/>
      <c r="R10492" s="120"/>
      <c r="S10492" s="120"/>
      <c r="T10492" s="221"/>
      <c r="U10492" s="89"/>
      <c r="V10492" s="61" t="str">
        <f>V10491</f>
        <v>01</v>
      </c>
      <c r="W10492" s="92"/>
      <c r="X10492" s="93" t="s">
        <v>32</v>
      </c>
      <c r="Y10492" s="93" t="s">
        <v>201</v>
      </c>
      <c r="Z10492" s="134">
        <v>95</v>
      </c>
      <c r="AA10492" s="93">
        <v>1</v>
      </c>
      <c r="AB10492" s="93">
        <f>AD10492/AC10491</f>
        <v>95</v>
      </c>
      <c r="AC10492" s="93">
        <f>AC10491/AA10492</f>
        <v>297.68919999999991</v>
      </c>
      <c r="AD10492" s="94">
        <f t="shared" ref="AD10492" si="7026">AC10492*Z10492</f>
        <v>28280.473999999991</v>
      </c>
      <c r="AE10492" s="190"/>
      <c r="AF10492" s="191"/>
      <c r="AG10492" s="191"/>
      <c r="AH10492" s="191"/>
      <c r="AI10492" s="186"/>
      <c r="AK10492" s="171"/>
    </row>
    <row r="10493" spans="1:41" s="102" customFormat="1" ht="20.100000000000001" customHeight="1" x14ac:dyDescent="0.25">
      <c r="A10493" s="45" t="s">
        <v>980</v>
      </c>
      <c r="B10493" s="276"/>
      <c r="C10493" s="286" t="s">
        <v>992</v>
      </c>
      <c r="D10493" s="59"/>
      <c r="E10493" s="116"/>
      <c r="F10493" s="120"/>
      <c r="G10493" s="120">
        <f t="shared" si="6741"/>
        <v>0</v>
      </c>
      <c r="H10493" s="120">
        <f t="shared" si="6742"/>
        <v>0</v>
      </c>
      <c r="I10493" s="60">
        <f t="shared" si="6743"/>
        <v>0</v>
      </c>
      <c r="J10493" s="116">
        <f t="shared" si="6744"/>
        <v>0</v>
      </c>
      <c r="K10493" s="213">
        <f t="shared" si="6745"/>
        <v>0</v>
      </c>
      <c r="L10493" s="120"/>
      <c r="M10493" s="120">
        <f t="shared" si="6755"/>
        <v>0</v>
      </c>
      <c r="N10493" s="167">
        <f t="shared" si="6746"/>
        <v>0</v>
      </c>
      <c r="O10493" s="120">
        <f t="shared" si="6747"/>
        <v>0</v>
      </c>
      <c r="P10493" s="120">
        <f t="shared" si="6748"/>
        <v>0</v>
      </c>
      <c r="Q10493" s="120">
        <f t="shared" si="6749"/>
        <v>0</v>
      </c>
      <c r="R10493" s="120">
        <f t="shared" si="6756"/>
        <v>0</v>
      </c>
      <c r="S10493" s="120"/>
      <c r="T10493" s="221">
        <f t="shared" si="6757"/>
        <v>0</v>
      </c>
      <c r="U10493" s="89"/>
      <c r="V10493" s="61"/>
      <c r="W10493" s="92"/>
      <c r="X10493" s="38"/>
      <c r="Y10493" s="93"/>
      <c r="Z10493" s="134"/>
      <c r="AA10493" s="93"/>
      <c r="AB10493" s="93">
        <f t="shared" si="6750"/>
        <v>0</v>
      </c>
      <c r="AC10493" s="93">
        <f t="shared" si="6758"/>
        <v>9.9999999999999998E-20</v>
      </c>
      <c r="AD10493" s="94"/>
      <c r="AE10493" s="190"/>
      <c r="AF10493" s="191"/>
      <c r="AG10493" s="191"/>
      <c r="AH10493" s="191"/>
      <c r="AI10493" s="186"/>
      <c r="AK10493" s="171"/>
    </row>
    <row r="10494" spans="1:41" ht="20.100000000000001" customHeight="1" x14ac:dyDescent="0.25">
      <c r="A10494" s="277" t="s">
        <v>980</v>
      </c>
      <c r="B10494" s="278"/>
      <c r="C10494" s="64" t="s">
        <v>993</v>
      </c>
      <c r="D10494" s="46" t="s">
        <v>201</v>
      </c>
      <c r="E10494" s="114">
        <v>144.23500000000013</v>
      </c>
      <c r="F10494" s="44">
        <v>139</v>
      </c>
      <c r="G10494" s="44">
        <f t="shared" si="6741"/>
        <v>20048.665000000019</v>
      </c>
      <c r="H10494" s="44">
        <f t="shared" si="6742"/>
        <v>95</v>
      </c>
      <c r="I10494" s="43">
        <f t="shared" si="6743"/>
        <v>13702.325000000012</v>
      </c>
      <c r="J10494" s="112">
        <f t="shared" si="6744"/>
        <v>144.23500000000013</v>
      </c>
      <c r="K10494" s="211">
        <f t="shared" si="6745"/>
        <v>144.23500000000013</v>
      </c>
      <c r="L10494" s="44"/>
      <c r="M10494" s="44">
        <f t="shared" si="6755"/>
        <v>144.23500000000013</v>
      </c>
      <c r="N10494" s="173">
        <f t="shared" si="6746"/>
        <v>1</v>
      </c>
      <c r="O10494" s="44">
        <f t="shared" si="6747"/>
        <v>139</v>
      </c>
      <c r="P10494" s="44">
        <f t="shared" si="6748"/>
        <v>20048.665000000019</v>
      </c>
      <c r="Q10494" s="44">
        <f t="shared" si="6749"/>
        <v>95</v>
      </c>
      <c r="R10494" s="44">
        <f t="shared" si="6756"/>
        <v>13702.325000000012</v>
      </c>
      <c r="S10494" s="123"/>
      <c r="T10494" s="219">
        <f t="shared" si="6757"/>
        <v>13702.325000000012</v>
      </c>
      <c r="U10494" s="87"/>
      <c r="V10494" s="47"/>
      <c r="W10494" s="48" t="s">
        <v>1718</v>
      </c>
      <c r="X10494" s="48"/>
      <c r="Y10494" s="48"/>
      <c r="Z10494" s="135"/>
      <c r="AA10494" s="49"/>
      <c r="AB10494" s="50">
        <f t="shared" si="6750"/>
        <v>95</v>
      </c>
      <c r="AC10494" s="42">
        <f t="shared" si="6758"/>
        <v>144.23500000000013</v>
      </c>
      <c r="AD10494" s="90">
        <f>AD10495</f>
        <v>13702.325000000012</v>
      </c>
      <c r="AE10494" s="188">
        <f t="shared" ref="AE10494" si="7027">AE10495</f>
        <v>0</v>
      </c>
      <c r="AF10494" s="189">
        <f t="shared" ref="AF10494" si="7028">AF10495</f>
        <v>0</v>
      </c>
      <c r="AG10494" s="189">
        <f t="shared" ref="AG10494" si="7029">AG10495</f>
        <v>0</v>
      </c>
      <c r="AH10494" s="189">
        <f t="shared" ref="AH10494" si="7030">AH10495</f>
        <v>0</v>
      </c>
      <c r="AI10494" s="161">
        <f t="shared" ref="AI10494:AI10495" si="7031">SUM(AE10494:AH10494)</f>
        <v>0</v>
      </c>
      <c r="AK10494" s="169">
        <v>5</v>
      </c>
      <c r="AO10494" s="19" t="s">
        <v>63</v>
      </c>
    </row>
    <row r="10495" spans="1:41" s="103" customFormat="1" ht="19.899999999999999" customHeight="1" x14ac:dyDescent="0.25">
      <c r="A10495" s="51"/>
      <c r="B10495" s="165"/>
      <c r="C10495" s="52"/>
      <c r="D10495" s="313"/>
      <c r="E10495" s="115"/>
      <c r="F10495" s="58"/>
      <c r="G10495" s="58"/>
      <c r="H10495" s="58"/>
      <c r="I10495" s="55"/>
      <c r="J10495" s="113">
        <f>J10494</f>
        <v>144.23500000000013</v>
      </c>
      <c r="K10495" s="212">
        <f>K10494</f>
        <v>144.23500000000013</v>
      </c>
      <c r="L10495" s="58"/>
      <c r="M10495" s="58">
        <f>K10495-L10495</f>
        <v>144.23500000000013</v>
      </c>
      <c r="N10495" s="166"/>
      <c r="O10495" s="58"/>
      <c r="P10495" s="58"/>
      <c r="Q10495" s="58"/>
      <c r="R10495" s="58"/>
      <c r="S10495" s="58"/>
      <c r="T10495" s="220"/>
      <c r="U10495" s="88">
        <f>IFERROR(S10495/L10495,0)</f>
        <v>0</v>
      </c>
      <c r="V10495" s="56" t="str">
        <f>V10494&amp;"01"</f>
        <v>01</v>
      </c>
      <c r="W10495" s="57" t="s">
        <v>1718</v>
      </c>
      <c r="X10495" s="53"/>
      <c r="Y10495" s="91" t="s">
        <v>66</v>
      </c>
      <c r="Z10495" s="136">
        <f>AD10495/AC10495</f>
        <v>95</v>
      </c>
      <c r="AA10495" s="58"/>
      <c r="AB10495" s="53">
        <f>AD10495/AC10495</f>
        <v>95</v>
      </c>
      <c r="AC10495" s="53">
        <f>M10495+$AE$10</f>
        <v>144.23500000000013</v>
      </c>
      <c r="AD10495" s="54">
        <f>SUM(AD10496:AD10496)</f>
        <v>13702.325000000012</v>
      </c>
      <c r="AE10495" s="184">
        <f>SUMIFS($AD$44:$AD$4639,$V$44:$V$4639,$V10495,$X$44:$X$4639,AE$13)</f>
        <v>0</v>
      </c>
      <c r="AF10495" s="185">
        <f>SUMIFS($AD$44:$AD$4639,$V$44:$V$4639,$V10495,$X$44:$X$4639,AF$13)</f>
        <v>0</v>
      </c>
      <c r="AG10495" s="185">
        <f>SUMIFS($AD$44:$AD$4639,$V$44:$V$4639,$V10495,$X$44:$X$4639,AG$13)</f>
        <v>0</v>
      </c>
      <c r="AH10495" s="187">
        <f>SUMIFS($AD$44:$AD$4639,$V$44:$V$4639,$V10495,$X$44:$X$4639,AH$13)</f>
        <v>0</v>
      </c>
      <c r="AI10495" s="161">
        <f t="shared" si="7031"/>
        <v>0</v>
      </c>
      <c r="AK10495" s="172"/>
    </row>
    <row r="10496" spans="1:41" s="102" customFormat="1" ht="19.899999999999999" customHeight="1" x14ac:dyDescent="0.25">
      <c r="A10496" s="45"/>
      <c r="B10496" s="137"/>
      <c r="C10496" s="59"/>
      <c r="D10496" s="314"/>
      <c r="E10496" s="116"/>
      <c r="F10496" s="120"/>
      <c r="G10496" s="120"/>
      <c r="H10496" s="120"/>
      <c r="I10496" s="60"/>
      <c r="J10496" s="116"/>
      <c r="K10496" s="213"/>
      <c r="L10496" s="120"/>
      <c r="M10496" s="120"/>
      <c r="N10496" s="167"/>
      <c r="O10496" s="120"/>
      <c r="P10496" s="120"/>
      <c r="Q10496" s="120"/>
      <c r="R10496" s="120"/>
      <c r="S10496" s="120"/>
      <c r="T10496" s="221"/>
      <c r="U10496" s="89"/>
      <c r="V10496" s="61" t="str">
        <f>V10495</f>
        <v>01</v>
      </c>
      <c r="W10496" s="92"/>
      <c r="X10496" s="93" t="s">
        <v>32</v>
      </c>
      <c r="Y10496" s="93" t="s">
        <v>66</v>
      </c>
      <c r="Z10496" s="134">
        <v>95</v>
      </c>
      <c r="AA10496" s="93">
        <v>1</v>
      </c>
      <c r="AB10496" s="93">
        <f>AD10496/AC10495</f>
        <v>95</v>
      </c>
      <c r="AC10496" s="93">
        <f>AC10495/AA10496</f>
        <v>144.23500000000013</v>
      </c>
      <c r="AD10496" s="94">
        <f t="shared" ref="AD10496" si="7032">AC10496*Z10496</f>
        <v>13702.325000000012</v>
      </c>
      <c r="AE10496" s="190"/>
      <c r="AF10496" s="191"/>
      <c r="AG10496" s="191"/>
      <c r="AH10496" s="191"/>
      <c r="AI10496" s="186"/>
      <c r="AK10496" s="171"/>
    </row>
    <row r="10497" spans="1:41" ht="20.100000000000001" customHeight="1" x14ac:dyDescent="0.25">
      <c r="A10497" s="277" t="s">
        <v>980</v>
      </c>
      <c r="B10497" s="278"/>
      <c r="C10497" s="64" t="s">
        <v>994</v>
      </c>
      <c r="D10497" s="46" t="s">
        <v>201</v>
      </c>
      <c r="E10497" s="114">
        <v>470</v>
      </c>
      <c r="F10497" s="44">
        <v>88</v>
      </c>
      <c r="G10497" s="44">
        <f t="shared" si="6741"/>
        <v>41360</v>
      </c>
      <c r="H10497" s="44">
        <f t="shared" si="6742"/>
        <v>50</v>
      </c>
      <c r="I10497" s="43">
        <f t="shared" si="6743"/>
        <v>23500</v>
      </c>
      <c r="J10497" s="112">
        <f t="shared" si="6744"/>
        <v>470</v>
      </c>
      <c r="K10497" s="211">
        <f t="shared" si="6745"/>
        <v>470</v>
      </c>
      <c r="L10497" s="44"/>
      <c r="M10497" s="44">
        <f t="shared" si="6755"/>
        <v>470</v>
      </c>
      <c r="N10497" s="173">
        <f t="shared" si="6746"/>
        <v>1</v>
      </c>
      <c r="O10497" s="44">
        <f t="shared" si="6747"/>
        <v>88</v>
      </c>
      <c r="P10497" s="44">
        <f t="shared" si="6748"/>
        <v>41360</v>
      </c>
      <c r="Q10497" s="44">
        <f t="shared" si="6749"/>
        <v>50</v>
      </c>
      <c r="R10497" s="44">
        <f t="shared" si="6756"/>
        <v>23500</v>
      </c>
      <c r="S10497" s="123"/>
      <c r="T10497" s="219">
        <f t="shared" si="6757"/>
        <v>23500</v>
      </c>
      <c r="U10497" s="87"/>
      <c r="V10497" s="47"/>
      <c r="W10497" s="48" t="s">
        <v>994</v>
      </c>
      <c r="X10497" s="48"/>
      <c r="Y10497" s="48"/>
      <c r="Z10497" s="135"/>
      <c r="AA10497" s="49"/>
      <c r="AB10497" s="50">
        <f t="shared" si="6750"/>
        <v>50</v>
      </c>
      <c r="AC10497" s="42">
        <f t="shared" si="6758"/>
        <v>470</v>
      </c>
      <c r="AD10497" s="90">
        <f>AD10498</f>
        <v>23500</v>
      </c>
      <c r="AE10497" s="188">
        <f t="shared" ref="AE10497" si="7033">AE10498</f>
        <v>0</v>
      </c>
      <c r="AF10497" s="189">
        <f t="shared" ref="AF10497" si="7034">AF10498</f>
        <v>0</v>
      </c>
      <c r="AG10497" s="189">
        <f t="shared" ref="AG10497" si="7035">AG10498</f>
        <v>0</v>
      </c>
      <c r="AH10497" s="189">
        <f t="shared" ref="AH10497" si="7036">AH10498</f>
        <v>0</v>
      </c>
      <c r="AI10497" s="161">
        <f t="shared" ref="AI10497:AI10498" si="7037">SUM(AE10497:AH10497)</f>
        <v>0</v>
      </c>
      <c r="AK10497" s="169">
        <v>5</v>
      </c>
      <c r="AO10497" s="19" t="s">
        <v>63</v>
      </c>
    </row>
    <row r="10498" spans="1:41" s="103" customFormat="1" ht="19.899999999999999" customHeight="1" x14ac:dyDescent="0.25">
      <c r="A10498" s="51"/>
      <c r="B10498" s="165"/>
      <c r="C10498" s="52"/>
      <c r="D10498" s="313"/>
      <c r="E10498" s="115"/>
      <c r="F10498" s="58"/>
      <c r="G10498" s="58"/>
      <c r="H10498" s="58"/>
      <c r="I10498" s="55"/>
      <c r="J10498" s="113">
        <f>J10497</f>
        <v>470</v>
      </c>
      <c r="K10498" s="212">
        <f>K10497</f>
        <v>470</v>
      </c>
      <c r="L10498" s="58"/>
      <c r="M10498" s="58">
        <f>K10498-L10498</f>
        <v>470</v>
      </c>
      <c r="N10498" s="166"/>
      <c r="O10498" s="58"/>
      <c r="P10498" s="58"/>
      <c r="Q10498" s="58"/>
      <c r="R10498" s="58"/>
      <c r="S10498" s="58"/>
      <c r="T10498" s="220"/>
      <c r="U10498" s="88">
        <f>IFERROR(S10498/L10498,0)</f>
        <v>0</v>
      </c>
      <c r="V10498" s="56" t="str">
        <f>V10497&amp;"01"</f>
        <v>01</v>
      </c>
      <c r="W10498" s="57" t="s">
        <v>994</v>
      </c>
      <c r="X10498" s="53"/>
      <c r="Y10498" s="91" t="s">
        <v>66</v>
      </c>
      <c r="Z10498" s="136">
        <f>AD10498/AC10498</f>
        <v>50</v>
      </c>
      <c r="AA10498" s="58"/>
      <c r="AB10498" s="53">
        <f>AD10498/AC10498</f>
        <v>50</v>
      </c>
      <c r="AC10498" s="53">
        <f>M10498+$AE$10</f>
        <v>470</v>
      </c>
      <c r="AD10498" s="54">
        <f>SUM(AD10499:AD10499)</f>
        <v>23500</v>
      </c>
      <c r="AE10498" s="184">
        <f>SUMIFS($AD$44:$AD$4639,$V$44:$V$4639,$V10498,$X$44:$X$4639,AE$13)</f>
        <v>0</v>
      </c>
      <c r="AF10498" s="185">
        <f>SUMIFS($AD$44:$AD$4639,$V$44:$V$4639,$V10498,$X$44:$X$4639,AF$13)</f>
        <v>0</v>
      </c>
      <c r="AG10498" s="185">
        <f>SUMIFS($AD$44:$AD$4639,$V$44:$V$4639,$V10498,$X$44:$X$4639,AG$13)</f>
        <v>0</v>
      </c>
      <c r="AH10498" s="187">
        <f>SUMIFS($AD$44:$AD$4639,$V$44:$V$4639,$V10498,$X$44:$X$4639,AH$13)</f>
        <v>0</v>
      </c>
      <c r="AI10498" s="161">
        <f t="shared" si="7037"/>
        <v>0</v>
      </c>
      <c r="AK10498" s="172"/>
    </row>
    <row r="10499" spans="1:41" s="102" customFormat="1" ht="19.899999999999999" customHeight="1" x14ac:dyDescent="0.25">
      <c r="A10499" s="45"/>
      <c r="B10499" s="137"/>
      <c r="C10499" s="59"/>
      <c r="D10499" s="314"/>
      <c r="E10499" s="116"/>
      <c r="F10499" s="120"/>
      <c r="G10499" s="120"/>
      <c r="H10499" s="120"/>
      <c r="I10499" s="60"/>
      <c r="J10499" s="116"/>
      <c r="K10499" s="213"/>
      <c r="L10499" s="120"/>
      <c r="M10499" s="120"/>
      <c r="N10499" s="167"/>
      <c r="O10499" s="120"/>
      <c r="P10499" s="120"/>
      <c r="Q10499" s="120"/>
      <c r="R10499" s="120"/>
      <c r="S10499" s="120"/>
      <c r="T10499" s="221"/>
      <c r="U10499" s="89"/>
      <c r="V10499" s="61" t="str">
        <f>V10498</f>
        <v>01</v>
      </c>
      <c r="W10499" s="92"/>
      <c r="X10499" s="93" t="s">
        <v>32</v>
      </c>
      <c r="Y10499" s="93" t="s">
        <v>66</v>
      </c>
      <c r="Z10499" s="134">
        <v>50</v>
      </c>
      <c r="AA10499" s="93">
        <v>1</v>
      </c>
      <c r="AB10499" s="93">
        <f>AD10499/AC10498</f>
        <v>50</v>
      </c>
      <c r="AC10499" s="93">
        <f>AC10498/AA10499</f>
        <v>470</v>
      </c>
      <c r="AD10499" s="94">
        <f t="shared" ref="AD10499" si="7038">AC10499*Z10499</f>
        <v>23500</v>
      </c>
      <c r="AE10499" s="190"/>
      <c r="AF10499" s="191"/>
      <c r="AG10499" s="191"/>
      <c r="AH10499" s="191"/>
      <c r="AI10499" s="186"/>
      <c r="AK10499" s="171"/>
    </row>
    <row r="10500" spans="1:41" ht="20.100000000000001" customHeight="1" x14ac:dyDescent="0.25">
      <c r="A10500" s="277" t="s">
        <v>980</v>
      </c>
      <c r="B10500" s="278"/>
      <c r="C10500" s="64" t="s">
        <v>995</v>
      </c>
      <c r="D10500" s="46" t="s">
        <v>201</v>
      </c>
      <c r="E10500" s="114"/>
      <c r="F10500" s="44">
        <v>0</v>
      </c>
      <c r="G10500" s="44">
        <f t="shared" si="6741"/>
        <v>0</v>
      </c>
      <c r="H10500" s="44">
        <f t="shared" si="6742"/>
        <v>0</v>
      </c>
      <c r="I10500" s="43">
        <f t="shared" si="6743"/>
        <v>0</v>
      </c>
      <c r="J10500" s="112">
        <f t="shared" si="6744"/>
        <v>0</v>
      </c>
      <c r="K10500" s="211">
        <f t="shared" si="6745"/>
        <v>0</v>
      </c>
      <c r="L10500" s="44"/>
      <c r="M10500" s="44">
        <f t="shared" si="6755"/>
        <v>0</v>
      </c>
      <c r="N10500" s="173">
        <f t="shared" si="6746"/>
        <v>0</v>
      </c>
      <c r="O10500" s="44">
        <f t="shared" si="6747"/>
        <v>0</v>
      </c>
      <c r="P10500" s="44">
        <f t="shared" si="6748"/>
        <v>0</v>
      </c>
      <c r="Q10500" s="44">
        <f t="shared" si="6749"/>
        <v>0</v>
      </c>
      <c r="R10500" s="44">
        <f t="shared" si="6756"/>
        <v>0</v>
      </c>
      <c r="S10500" s="123"/>
      <c r="T10500" s="219">
        <f t="shared" si="6757"/>
        <v>0</v>
      </c>
      <c r="U10500" s="87"/>
      <c r="V10500" s="47"/>
      <c r="W10500" s="48"/>
      <c r="X10500" s="48"/>
      <c r="Y10500" s="48"/>
      <c r="Z10500" s="135"/>
      <c r="AA10500" s="49"/>
      <c r="AB10500" s="50">
        <f t="shared" si="6750"/>
        <v>0</v>
      </c>
      <c r="AC10500" s="42">
        <f t="shared" si="6758"/>
        <v>9.9999999999999998E-20</v>
      </c>
      <c r="AD10500" s="90"/>
      <c r="AE10500" s="188"/>
      <c r="AF10500" s="189"/>
      <c r="AG10500" s="189"/>
      <c r="AH10500" s="189"/>
      <c r="AI10500" s="161"/>
    </row>
    <row r="10501" spans="1:41" ht="20.100000000000001" customHeight="1" x14ac:dyDescent="0.25">
      <c r="A10501" s="277" t="s">
        <v>980</v>
      </c>
      <c r="B10501" s="278"/>
      <c r="C10501" s="64" t="s">
        <v>996</v>
      </c>
      <c r="D10501" s="46" t="s">
        <v>201</v>
      </c>
      <c r="E10501" s="114">
        <v>239</v>
      </c>
      <c r="F10501" s="44">
        <v>164</v>
      </c>
      <c r="G10501" s="44">
        <f t="shared" si="6741"/>
        <v>39196</v>
      </c>
      <c r="H10501" s="44">
        <f t="shared" si="6742"/>
        <v>150</v>
      </c>
      <c r="I10501" s="43">
        <f t="shared" si="6743"/>
        <v>35850</v>
      </c>
      <c r="J10501" s="112">
        <f t="shared" si="6744"/>
        <v>239</v>
      </c>
      <c r="K10501" s="211">
        <f t="shared" si="6745"/>
        <v>239</v>
      </c>
      <c r="L10501" s="44"/>
      <c r="M10501" s="44">
        <f t="shared" si="6755"/>
        <v>239</v>
      </c>
      <c r="N10501" s="173">
        <f t="shared" si="6746"/>
        <v>1</v>
      </c>
      <c r="O10501" s="44">
        <f t="shared" si="6747"/>
        <v>164</v>
      </c>
      <c r="P10501" s="44">
        <f t="shared" si="6748"/>
        <v>39196</v>
      </c>
      <c r="Q10501" s="44">
        <f t="shared" si="6749"/>
        <v>150</v>
      </c>
      <c r="R10501" s="44">
        <f t="shared" si="6756"/>
        <v>35850</v>
      </c>
      <c r="S10501" s="123"/>
      <c r="T10501" s="219">
        <f t="shared" si="6757"/>
        <v>35850</v>
      </c>
      <c r="U10501" s="87"/>
      <c r="V10501" s="47"/>
      <c r="W10501" s="48"/>
      <c r="X10501" s="48"/>
      <c r="Y10501" s="48"/>
      <c r="Z10501" s="135"/>
      <c r="AA10501" s="49"/>
      <c r="AB10501" s="50">
        <f t="shared" si="6750"/>
        <v>150</v>
      </c>
      <c r="AC10501" s="42">
        <f t="shared" si="6758"/>
        <v>239</v>
      </c>
      <c r="AD10501" s="90">
        <f>AD10502</f>
        <v>35850</v>
      </c>
      <c r="AE10501" s="188">
        <f t="shared" ref="AE10501" si="7039">AE10502</f>
        <v>0</v>
      </c>
      <c r="AF10501" s="189">
        <f t="shared" ref="AF10501" si="7040">AF10502</f>
        <v>0</v>
      </c>
      <c r="AG10501" s="189">
        <f t="shared" ref="AG10501" si="7041">AG10502</f>
        <v>0</v>
      </c>
      <c r="AH10501" s="189">
        <f t="shared" ref="AH10501" si="7042">AH10502</f>
        <v>0</v>
      </c>
      <c r="AI10501" s="161">
        <f t="shared" ref="AI10501:AI10502" si="7043">SUM(AE10501:AH10501)</f>
        <v>0</v>
      </c>
      <c r="AK10501" s="169">
        <v>5</v>
      </c>
      <c r="AO10501" s="19" t="s">
        <v>63</v>
      </c>
    </row>
    <row r="10502" spans="1:41" s="103" customFormat="1" ht="19.899999999999999" customHeight="1" x14ac:dyDescent="0.25">
      <c r="A10502" s="51"/>
      <c r="B10502" s="165"/>
      <c r="C10502" s="52"/>
      <c r="D10502" s="313"/>
      <c r="E10502" s="115"/>
      <c r="F10502" s="58"/>
      <c r="G10502" s="58"/>
      <c r="H10502" s="58"/>
      <c r="I10502" s="55"/>
      <c r="J10502" s="113">
        <f>J10501</f>
        <v>239</v>
      </c>
      <c r="K10502" s="212">
        <f>K10501</f>
        <v>239</v>
      </c>
      <c r="L10502" s="58"/>
      <c r="M10502" s="58">
        <f>K10502-L10502</f>
        <v>239</v>
      </c>
      <c r="N10502" s="166"/>
      <c r="O10502" s="58"/>
      <c r="P10502" s="58"/>
      <c r="Q10502" s="58"/>
      <c r="R10502" s="58"/>
      <c r="S10502" s="58"/>
      <c r="T10502" s="220"/>
      <c r="U10502" s="88">
        <f>IFERROR(S10502/L10502,0)</f>
        <v>0</v>
      </c>
      <c r="V10502" s="56" t="str">
        <f>V10501&amp;"01"</f>
        <v>01</v>
      </c>
      <c r="W10502" s="57" t="s">
        <v>996</v>
      </c>
      <c r="X10502" s="53"/>
      <c r="Y10502" s="91" t="s">
        <v>66</v>
      </c>
      <c r="Z10502" s="136">
        <f>AD10502/AC10502</f>
        <v>150</v>
      </c>
      <c r="AA10502" s="58"/>
      <c r="AB10502" s="53">
        <f>AD10502/AC10502</f>
        <v>150</v>
      </c>
      <c r="AC10502" s="53">
        <f>M10502+$AE$10</f>
        <v>239</v>
      </c>
      <c r="AD10502" s="54">
        <f>SUM(AD10503:AD10503)</f>
        <v>35850</v>
      </c>
      <c r="AE10502" s="184">
        <f>SUMIFS($AD$44:$AD$4639,$V$44:$V$4639,$V10502,$X$44:$X$4639,AE$13)</f>
        <v>0</v>
      </c>
      <c r="AF10502" s="185">
        <f>SUMIFS($AD$44:$AD$4639,$V$44:$V$4639,$V10502,$X$44:$X$4639,AF$13)</f>
        <v>0</v>
      </c>
      <c r="AG10502" s="185">
        <f>SUMIFS($AD$44:$AD$4639,$V$44:$V$4639,$V10502,$X$44:$X$4639,AG$13)</f>
        <v>0</v>
      </c>
      <c r="AH10502" s="187">
        <f>SUMIFS($AD$44:$AD$4639,$V$44:$V$4639,$V10502,$X$44:$X$4639,AH$13)</f>
        <v>0</v>
      </c>
      <c r="AI10502" s="161">
        <f t="shared" si="7043"/>
        <v>0</v>
      </c>
      <c r="AK10502" s="172"/>
    </row>
    <row r="10503" spans="1:41" s="102" customFormat="1" ht="19.899999999999999" customHeight="1" x14ac:dyDescent="0.25">
      <c r="A10503" s="45"/>
      <c r="B10503" s="137"/>
      <c r="C10503" s="59"/>
      <c r="D10503" s="314"/>
      <c r="E10503" s="116"/>
      <c r="F10503" s="120"/>
      <c r="G10503" s="120"/>
      <c r="H10503" s="120"/>
      <c r="I10503" s="60"/>
      <c r="J10503" s="116"/>
      <c r="K10503" s="213"/>
      <c r="L10503" s="120"/>
      <c r="M10503" s="120"/>
      <c r="N10503" s="167"/>
      <c r="O10503" s="120"/>
      <c r="P10503" s="120"/>
      <c r="Q10503" s="120"/>
      <c r="R10503" s="120"/>
      <c r="S10503" s="120"/>
      <c r="T10503" s="221"/>
      <c r="U10503" s="89"/>
      <c r="V10503" s="61" t="str">
        <f>V10502</f>
        <v>01</v>
      </c>
      <c r="W10503" s="92" t="s">
        <v>996</v>
      </c>
      <c r="X10503" s="93" t="s">
        <v>32</v>
      </c>
      <c r="Y10503" s="93" t="s">
        <v>66</v>
      </c>
      <c r="Z10503" s="134">
        <v>150</v>
      </c>
      <c r="AA10503" s="93">
        <v>1</v>
      </c>
      <c r="AB10503" s="93">
        <f>AD10503/AC10502</f>
        <v>150</v>
      </c>
      <c r="AC10503" s="93">
        <f>AC10502/AA10503</f>
        <v>239</v>
      </c>
      <c r="AD10503" s="94">
        <f t="shared" ref="AD10503" si="7044">AC10503*Z10503</f>
        <v>35850</v>
      </c>
      <c r="AE10503" s="190"/>
      <c r="AF10503" s="191"/>
      <c r="AG10503" s="191"/>
      <c r="AH10503" s="191"/>
      <c r="AI10503" s="186"/>
      <c r="AK10503" s="171"/>
    </row>
    <row r="10504" spans="1:41" s="102" customFormat="1" ht="20.100000000000001" customHeight="1" x14ac:dyDescent="0.25">
      <c r="A10504" s="45" t="s">
        <v>980</v>
      </c>
      <c r="B10504" s="276"/>
      <c r="C10504" s="286" t="s">
        <v>997</v>
      </c>
      <c r="D10504" s="59"/>
      <c r="E10504" s="116"/>
      <c r="F10504" s="120"/>
      <c r="G10504" s="120">
        <f t="shared" si="6741"/>
        <v>0</v>
      </c>
      <c r="H10504" s="120">
        <f t="shared" si="6742"/>
        <v>0</v>
      </c>
      <c r="I10504" s="60">
        <f t="shared" si="6743"/>
        <v>0</v>
      </c>
      <c r="J10504" s="116">
        <f t="shared" si="6744"/>
        <v>0</v>
      </c>
      <c r="K10504" s="213">
        <f t="shared" si="6745"/>
        <v>0</v>
      </c>
      <c r="L10504" s="120"/>
      <c r="M10504" s="120">
        <f t="shared" si="6755"/>
        <v>0</v>
      </c>
      <c r="N10504" s="167">
        <f t="shared" si="6746"/>
        <v>0</v>
      </c>
      <c r="O10504" s="120">
        <f t="shared" si="6747"/>
        <v>0</v>
      </c>
      <c r="P10504" s="120">
        <f t="shared" si="6748"/>
        <v>0</v>
      </c>
      <c r="Q10504" s="120">
        <f t="shared" si="6749"/>
        <v>0</v>
      </c>
      <c r="R10504" s="120">
        <f t="shared" si="6756"/>
        <v>0</v>
      </c>
      <c r="S10504" s="120"/>
      <c r="T10504" s="221">
        <f t="shared" si="6757"/>
        <v>0</v>
      </c>
      <c r="U10504" s="89"/>
      <c r="V10504" s="61"/>
      <c r="W10504" s="92"/>
      <c r="X10504" s="38"/>
      <c r="Y10504" s="93"/>
      <c r="Z10504" s="134"/>
      <c r="AA10504" s="93"/>
      <c r="AB10504" s="93"/>
      <c r="AC10504" s="93"/>
      <c r="AD10504" s="94"/>
      <c r="AE10504" s="190"/>
      <c r="AF10504" s="191"/>
      <c r="AG10504" s="191"/>
      <c r="AH10504" s="191"/>
      <c r="AI10504" s="186"/>
      <c r="AK10504" s="171"/>
    </row>
    <row r="10505" spans="1:41" s="102" customFormat="1" ht="60" x14ac:dyDescent="0.25">
      <c r="A10505" s="45" t="s">
        <v>980</v>
      </c>
      <c r="B10505" s="276"/>
      <c r="C10505" s="286" t="s">
        <v>998</v>
      </c>
      <c r="D10505" s="59"/>
      <c r="E10505" s="116"/>
      <c r="F10505" s="120"/>
      <c r="G10505" s="120">
        <f t="shared" si="6741"/>
        <v>0</v>
      </c>
      <c r="H10505" s="120">
        <f t="shared" si="6742"/>
        <v>0</v>
      </c>
      <c r="I10505" s="60">
        <f t="shared" si="6743"/>
        <v>0</v>
      </c>
      <c r="J10505" s="116">
        <f t="shared" si="6744"/>
        <v>0</v>
      </c>
      <c r="K10505" s="213">
        <f t="shared" si="6745"/>
        <v>0</v>
      </c>
      <c r="L10505" s="120"/>
      <c r="M10505" s="120">
        <f t="shared" si="6755"/>
        <v>0</v>
      </c>
      <c r="N10505" s="167">
        <f t="shared" si="6746"/>
        <v>0</v>
      </c>
      <c r="O10505" s="120">
        <f t="shared" si="6747"/>
        <v>0</v>
      </c>
      <c r="P10505" s="120">
        <f t="shared" si="6748"/>
        <v>0</v>
      </c>
      <c r="Q10505" s="120">
        <f t="shared" si="6749"/>
        <v>0</v>
      </c>
      <c r="R10505" s="120">
        <f t="shared" si="6756"/>
        <v>0</v>
      </c>
      <c r="S10505" s="120"/>
      <c r="T10505" s="221">
        <f t="shared" si="6757"/>
        <v>0</v>
      </c>
      <c r="U10505" s="89"/>
      <c r="V10505" s="61"/>
      <c r="W10505" s="92"/>
      <c r="X10505" s="38"/>
      <c r="Y10505" s="93"/>
      <c r="Z10505" s="134"/>
      <c r="AA10505" s="93"/>
      <c r="AB10505" s="93"/>
      <c r="AC10505" s="93"/>
      <c r="AD10505" s="94"/>
      <c r="AE10505" s="190"/>
      <c r="AF10505" s="191"/>
      <c r="AG10505" s="191"/>
      <c r="AH10505" s="191"/>
      <c r="AI10505" s="186"/>
      <c r="AK10505" s="171"/>
    </row>
    <row r="10506" spans="1:41" ht="20.100000000000001" customHeight="1" x14ac:dyDescent="0.25">
      <c r="A10506" s="277" t="s">
        <v>980</v>
      </c>
      <c r="B10506" s="278"/>
      <c r="C10506" s="64" t="s">
        <v>999</v>
      </c>
      <c r="D10506" s="46" t="s">
        <v>97</v>
      </c>
      <c r="E10506" s="114">
        <v>4194.7349999999997</v>
      </c>
      <c r="F10506" s="44">
        <v>642</v>
      </c>
      <c r="G10506" s="44">
        <f t="shared" si="6741"/>
        <v>2693019.8699999996</v>
      </c>
      <c r="H10506" s="44">
        <f t="shared" si="6742"/>
        <v>450</v>
      </c>
      <c r="I10506" s="43">
        <f t="shared" si="6743"/>
        <v>1887630.7499999998</v>
      </c>
      <c r="J10506" s="112">
        <f t="shared" si="6744"/>
        <v>4194.7349999999997</v>
      </c>
      <c r="K10506" s="211">
        <f t="shared" si="6745"/>
        <v>4194.7349999999997</v>
      </c>
      <c r="L10506" s="44"/>
      <c r="M10506" s="44">
        <f t="shared" si="6755"/>
        <v>4194.7349999999997</v>
      </c>
      <c r="N10506" s="173">
        <f t="shared" si="6746"/>
        <v>1</v>
      </c>
      <c r="O10506" s="44">
        <f t="shared" si="6747"/>
        <v>642</v>
      </c>
      <c r="P10506" s="44">
        <f t="shared" si="6748"/>
        <v>2693019.8699999996</v>
      </c>
      <c r="Q10506" s="44">
        <f t="shared" si="6749"/>
        <v>450</v>
      </c>
      <c r="R10506" s="44">
        <f t="shared" si="6756"/>
        <v>1887630.7499999998</v>
      </c>
      <c r="S10506" s="123"/>
      <c r="T10506" s="219">
        <f t="shared" si="6757"/>
        <v>1887630.7499999998</v>
      </c>
      <c r="U10506" s="87"/>
      <c r="V10506" s="47"/>
      <c r="W10506" s="48"/>
      <c r="X10506" s="48"/>
      <c r="Y10506" s="48"/>
      <c r="Z10506" s="135"/>
      <c r="AA10506" s="49"/>
      <c r="AB10506" s="50">
        <f t="shared" si="6750"/>
        <v>450</v>
      </c>
      <c r="AC10506" s="42">
        <f t="shared" si="6758"/>
        <v>4194.7349999999997</v>
      </c>
      <c r="AD10506" s="90">
        <f>AD10507</f>
        <v>1887630.7499999998</v>
      </c>
      <c r="AE10506" s="188">
        <f t="shared" ref="AE10506" si="7045">AE10507</f>
        <v>0</v>
      </c>
      <c r="AF10506" s="189">
        <f t="shared" ref="AF10506" si="7046">AF10507</f>
        <v>0</v>
      </c>
      <c r="AG10506" s="189">
        <f t="shared" ref="AG10506" si="7047">AG10507</f>
        <v>0</v>
      </c>
      <c r="AH10506" s="189">
        <f t="shared" ref="AH10506" si="7048">AH10507</f>
        <v>0</v>
      </c>
      <c r="AI10506" s="161">
        <f t="shared" ref="AI10506:AI10507" si="7049">SUM(AE10506:AH10506)</f>
        <v>0</v>
      </c>
      <c r="AK10506" s="169">
        <v>5</v>
      </c>
      <c r="AO10506" s="19" t="s">
        <v>63</v>
      </c>
    </row>
    <row r="10507" spans="1:41" s="103" customFormat="1" ht="19.899999999999999" customHeight="1" x14ac:dyDescent="0.25">
      <c r="A10507" s="51"/>
      <c r="B10507" s="165"/>
      <c r="C10507" s="52"/>
      <c r="D10507" s="313"/>
      <c r="E10507" s="115"/>
      <c r="F10507" s="58"/>
      <c r="G10507" s="58"/>
      <c r="H10507" s="58"/>
      <c r="I10507" s="55"/>
      <c r="J10507" s="113">
        <f>J10506</f>
        <v>4194.7349999999997</v>
      </c>
      <c r="K10507" s="212">
        <f>K10506</f>
        <v>4194.7349999999997</v>
      </c>
      <c r="L10507" s="58"/>
      <c r="M10507" s="58">
        <f>K10507-L10507</f>
        <v>4194.7349999999997</v>
      </c>
      <c r="N10507" s="166"/>
      <c r="O10507" s="58"/>
      <c r="P10507" s="58"/>
      <c r="Q10507" s="58"/>
      <c r="R10507" s="58"/>
      <c r="S10507" s="58"/>
      <c r="T10507" s="220"/>
      <c r="U10507" s="88">
        <f>IFERROR(S10507/L10507,0)</f>
        <v>0</v>
      </c>
      <c r="V10507" s="56" t="str">
        <f>V10506&amp;"01"</f>
        <v>01</v>
      </c>
      <c r="W10507" s="57" t="s">
        <v>1720</v>
      </c>
      <c r="X10507" s="53"/>
      <c r="Y10507" s="91" t="s">
        <v>68</v>
      </c>
      <c r="Z10507" s="136">
        <f>AD10507/AC10507</f>
        <v>450</v>
      </c>
      <c r="AA10507" s="58"/>
      <c r="AB10507" s="53">
        <f>AD10507/AC10507</f>
        <v>450</v>
      </c>
      <c r="AC10507" s="53">
        <f>M10507+$AE$10</f>
        <v>4194.7349999999997</v>
      </c>
      <c r="AD10507" s="54">
        <f>SUM(AD10508:AD10508)</f>
        <v>1887630.7499999998</v>
      </c>
      <c r="AE10507" s="184">
        <f>SUMIFS($AD$44:$AD$4639,$V$44:$V$4639,$V10507,$X$44:$X$4639,AE$13)</f>
        <v>0</v>
      </c>
      <c r="AF10507" s="185">
        <f>SUMIFS($AD$44:$AD$4639,$V$44:$V$4639,$V10507,$X$44:$X$4639,AF$13)</f>
        <v>0</v>
      </c>
      <c r="AG10507" s="185">
        <f>SUMIFS($AD$44:$AD$4639,$V$44:$V$4639,$V10507,$X$44:$X$4639,AG$13)</f>
        <v>0</v>
      </c>
      <c r="AH10507" s="187">
        <f>SUMIFS($AD$44:$AD$4639,$V$44:$V$4639,$V10507,$X$44:$X$4639,AH$13)</f>
        <v>0</v>
      </c>
      <c r="AI10507" s="161">
        <f t="shared" si="7049"/>
        <v>0</v>
      </c>
      <c r="AK10507" s="172"/>
    </row>
    <row r="10508" spans="1:41" s="102" customFormat="1" ht="19.899999999999999" customHeight="1" x14ac:dyDescent="0.25">
      <c r="A10508" s="45"/>
      <c r="B10508" s="137"/>
      <c r="C10508" s="59"/>
      <c r="D10508" s="314"/>
      <c r="E10508" s="116"/>
      <c r="F10508" s="120"/>
      <c r="G10508" s="120"/>
      <c r="H10508" s="120"/>
      <c r="I10508" s="60"/>
      <c r="J10508" s="116"/>
      <c r="K10508" s="213"/>
      <c r="L10508" s="120"/>
      <c r="M10508" s="120"/>
      <c r="N10508" s="167"/>
      <c r="O10508" s="120"/>
      <c r="P10508" s="120"/>
      <c r="Q10508" s="120"/>
      <c r="R10508" s="120"/>
      <c r="S10508" s="120"/>
      <c r="T10508" s="221"/>
      <c r="U10508" s="89"/>
      <c r="V10508" s="61" t="str">
        <f>V10507</f>
        <v>01</v>
      </c>
      <c r="W10508" s="92" t="s">
        <v>1720</v>
      </c>
      <c r="X10508" s="93" t="s">
        <v>32</v>
      </c>
      <c r="Y10508" s="93" t="s">
        <v>68</v>
      </c>
      <c r="Z10508" s="134">
        <v>450</v>
      </c>
      <c r="AA10508" s="93">
        <v>1</v>
      </c>
      <c r="AB10508" s="93">
        <f>AD10508/AC10507</f>
        <v>450</v>
      </c>
      <c r="AC10508" s="93">
        <f>AC10507/AA10508</f>
        <v>4194.7349999999997</v>
      </c>
      <c r="AD10508" s="94">
        <f t="shared" ref="AD10508" si="7050">AC10508*Z10508</f>
        <v>1887630.7499999998</v>
      </c>
      <c r="AE10508" s="190"/>
      <c r="AF10508" s="191"/>
      <c r="AG10508" s="191"/>
      <c r="AH10508" s="191"/>
      <c r="AI10508" s="186"/>
      <c r="AK10508" s="171"/>
    </row>
    <row r="10509" spans="1:41" s="102" customFormat="1" ht="20.100000000000001" customHeight="1" x14ac:dyDescent="0.25">
      <c r="A10509" s="45" t="s">
        <v>980</v>
      </c>
      <c r="B10509" s="276"/>
      <c r="C10509" s="286" t="s">
        <v>1721</v>
      </c>
      <c r="D10509" s="59"/>
      <c r="E10509" s="116"/>
      <c r="F10509" s="120"/>
      <c r="G10509" s="120">
        <f t="shared" si="6741"/>
        <v>0</v>
      </c>
      <c r="H10509" s="120">
        <f t="shared" si="6742"/>
        <v>0</v>
      </c>
      <c r="I10509" s="60">
        <f t="shared" si="6743"/>
        <v>0</v>
      </c>
      <c r="J10509" s="116">
        <f t="shared" si="6744"/>
        <v>0</v>
      </c>
      <c r="K10509" s="213">
        <f t="shared" si="6745"/>
        <v>0</v>
      </c>
      <c r="L10509" s="120"/>
      <c r="M10509" s="120">
        <f t="shared" si="6755"/>
        <v>0</v>
      </c>
      <c r="N10509" s="167">
        <f t="shared" si="6746"/>
        <v>0</v>
      </c>
      <c r="O10509" s="120">
        <f t="shared" si="6747"/>
        <v>0</v>
      </c>
      <c r="P10509" s="120">
        <f t="shared" si="6748"/>
        <v>0</v>
      </c>
      <c r="Q10509" s="120">
        <f t="shared" si="6749"/>
        <v>0</v>
      </c>
      <c r="R10509" s="120">
        <f t="shared" si="6756"/>
        <v>0</v>
      </c>
      <c r="S10509" s="120"/>
      <c r="T10509" s="221">
        <f t="shared" si="6757"/>
        <v>0</v>
      </c>
      <c r="U10509" s="89"/>
      <c r="V10509" s="61"/>
      <c r="W10509" s="92"/>
      <c r="X10509" s="38"/>
      <c r="Y10509" s="93"/>
      <c r="Z10509" s="134"/>
      <c r="AA10509" s="93"/>
      <c r="AB10509" s="93">
        <f t="shared" si="6750"/>
        <v>0</v>
      </c>
      <c r="AC10509" s="93">
        <f t="shared" si="6758"/>
        <v>9.9999999999999998E-20</v>
      </c>
      <c r="AD10509" s="94"/>
      <c r="AE10509" s="190"/>
      <c r="AF10509" s="191"/>
      <c r="AG10509" s="191"/>
      <c r="AH10509" s="191"/>
      <c r="AI10509" s="186"/>
      <c r="AK10509" s="171"/>
    </row>
    <row r="10510" spans="1:41" ht="20.100000000000001" customHeight="1" x14ac:dyDescent="0.25">
      <c r="A10510" s="277" t="s">
        <v>980</v>
      </c>
      <c r="B10510" s="278"/>
      <c r="C10510" s="64" t="s">
        <v>1000</v>
      </c>
      <c r="D10510" s="46" t="s">
        <v>1001</v>
      </c>
      <c r="E10510" s="114">
        <v>826</v>
      </c>
      <c r="F10510" s="44">
        <v>2266</v>
      </c>
      <c r="G10510" s="44">
        <f t="shared" si="6741"/>
        <v>1871716</v>
      </c>
      <c r="H10510" s="44">
        <f t="shared" si="6742"/>
        <v>1665</v>
      </c>
      <c r="I10510" s="43">
        <f t="shared" si="6743"/>
        <v>1375290</v>
      </c>
      <c r="J10510" s="112">
        <f t="shared" si="6744"/>
        <v>826</v>
      </c>
      <c r="K10510" s="211">
        <f t="shared" si="6745"/>
        <v>826</v>
      </c>
      <c r="L10510" s="44"/>
      <c r="M10510" s="44">
        <f t="shared" si="6755"/>
        <v>826</v>
      </c>
      <c r="N10510" s="173">
        <f t="shared" si="6746"/>
        <v>1</v>
      </c>
      <c r="O10510" s="44">
        <f t="shared" si="6747"/>
        <v>2266</v>
      </c>
      <c r="P10510" s="44">
        <f t="shared" si="6748"/>
        <v>1871716</v>
      </c>
      <c r="Q10510" s="44">
        <f t="shared" si="6749"/>
        <v>1665</v>
      </c>
      <c r="R10510" s="44">
        <f t="shared" si="6756"/>
        <v>1375290</v>
      </c>
      <c r="S10510" s="123"/>
      <c r="T10510" s="219">
        <f t="shared" si="6757"/>
        <v>1375290</v>
      </c>
      <c r="U10510" s="87"/>
      <c r="V10510" s="47"/>
      <c r="W10510" s="48"/>
      <c r="X10510" s="48"/>
      <c r="Y10510" s="48"/>
      <c r="Z10510" s="135"/>
      <c r="AA10510" s="49"/>
      <c r="AB10510" s="50">
        <f t="shared" si="6750"/>
        <v>1665</v>
      </c>
      <c r="AC10510" s="42">
        <f t="shared" si="6758"/>
        <v>826</v>
      </c>
      <c r="AD10510" s="90">
        <f>AD10511</f>
        <v>1375290</v>
      </c>
      <c r="AE10510" s="188">
        <f t="shared" ref="AE10510" si="7051">AE10511</f>
        <v>0</v>
      </c>
      <c r="AF10510" s="189">
        <f t="shared" ref="AF10510" si="7052">AF10511</f>
        <v>0</v>
      </c>
      <c r="AG10510" s="189">
        <f t="shared" ref="AG10510" si="7053">AG10511</f>
        <v>0</v>
      </c>
      <c r="AH10510" s="189">
        <f t="shared" ref="AH10510" si="7054">AH10511</f>
        <v>0</v>
      </c>
      <c r="AI10510" s="161">
        <f t="shared" ref="AI10510:AI10511" si="7055">SUM(AE10510:AH10510)</f>
        <v>0</v>
      </c>
      <c r="AK10510" s="169">
        <v>5</v>
      </c>
      <c r="AO10510" s="19" t="s">
        <v>63</v>
      </c>
    </row>
    <row r="10511" spans="1:41" s="103" customFormat="1" ht="19.899999999999999" customHeight="1" x14ac:dyDescent="0.25">
      <c r="A10511" s="51"/>
      <c r="B10511" s="165"/>
      <c r="C10511" s="52"/>
      <c r="D10511" s="313"/>
      <c r="E10511" s="115"/>
      <c r="F10511" s="58"/>
      <c r="G10511" s="58"/>
      <c r="H10511" s="58"/>
      <c r="I10511" s="55"/>
      <c r="J10511" s="113">
        <f>J10510</f>
        <v>826</v>
      </c>
      <c r="K10511" s="212">
        <f>K10510</f>
        <v>826</v>
      </c>
      <c r="L10511" s="58"/>
      <c r="M10511" s="58">
        <f>K10511-L10511</f>
        <v>826</v>
      </c>
      <c r="N10511" s="166"/>
      <c r="O10511" s="58"/>
      <c r="P10511" s="58"/>
      <c r="Q10511" s="58"/>
      <c r="R10511" s="58"/>
      <c r="S10511" s="58"/>
      <c r="T10511" s="220"/>
      <c r="U10511" s="88">
        <f>IFERROR(S10511/L10511,0)</f>
        <v>0</v>
      </c>
      <c r="V10511" s="56" t="str">
        <f>V10510&amp;"01"</f>
        <v>01</v>
      </c>
      <c r="W10511" s="57" t="s">
        <v>1722</v>
      </c>
      <c r="X10511" s="53"/>
      <c r="Y10511" s="91" t="s">
        <v>1001</v>
      </c>
      <c r="Z10511" s="136">
        <f>AD10511/AC10511</f>
        <v>1665</v>
      </c>
      <c r="AA10511" s="58"/>
      <c r="AB10511" s="53">
        <f>AD10511/AC10511</f>
        <v>1665</v>
      </c>
      <c r="AC10511" s="53">
        <f>M10511+$AE$10</f>
        <v>826</v>
      </c>
      <c r="AD10511" s="54">
        <f>SUM(AD10512:AD10512)</f>
        <v>1375290</v>
      </c>
      <c r="AE10511" s="184">
        <f>SUMIFS($AD$44:$AD$4639,$V$44:$V$4639,$V10511,$X$44:$X$4639,AE$13)</f>
        <v>0</v>
      </c>
      <c r="AF10511" s="185">
        <f>SUMIFS($AD$44:$AD$4639,$V$44:$V$4639,$V10511,$X$44:$X$4639,AF$13)</f>
        <v>0</v>
      </c>
      <c r="AG10511" s="185">
        <f>SUMIFS($AD$44:$AD$4639,$V$44:$V$4639,$V10511,$X$44:$X$4639,AG$13)</f>
        <v>0</v>
      </c>
      <c r="AH10511" s="187">
        <f>SUMIFS($AD$44:$AD$4639,$V$44:$V$4639,$V10511,$X$44:$X$4639,AH$13)</f>
        <v>0</v>
      </c>
      <c r="AI10511" s="161">
        <f t="shared" si="7055"/>
        <v>0</v>
      </c>
      <c r="AK10511" s="172"/>
    </row>
    <row r="10512" spans="1:41" s="102" customFormat="1" ht="19.899999999999999" customHeight="1" x14ac:dyDescent="0.25">
      <c r="A10512" s="45"/>
      <c r="B10512" s="137"/>
      <c r="C10512" s="59"/>
      <c r="D10512" s="314"/>
      <c r="E10512" s="116"/>
      <c r="F10512" s="120"/>
      <c r="G10512" s="120"/>
      <c r="H10512" s="120"/>
      <c r="I10512" s="60"/>
      <c r="J10512" s="116"/>
      <c r="K10512" s="213"/>
      <c r="L10512" s="120"/>
      <c r="M10512" s="120"/>
      <c r="N10512" s="167"/>
      <c r="O10512" s="120"/>
      <c r="P10512" s="120"/>
      <c r="Q10512" s="120"/>
      <c r="R10512" s="120"/>
      <c r="S10512" s="120"/>
      <c r="T10512" s="221"/>
      <c r="U10512" s="89"/>
      <c r="V10512" s="61" t="str">
        <f>V10511</f>
        <v>01</v>
      </c>
      <c r="W10512" s="92" t="s">
        <v>1722</v>
      </c>
      <c r="X10512" s="93" t="s">
        <v>32</v>
      </c>
      <c r="Y10512" s="93" t="s">
        <v>1001</v>
      </c>
      <c r="Z10512" s="134">
        <v>1665</v>
      </c>
      <c r="AA10512" s="93">
        <v>1</v>
      </c>
      <c r="AB10512" s="93">
        <f>AD10512/AC10511</f>
        <v>1665</v>
      </c>
      <c r="AC10512" s="93">
        <f>AC10511/AA10512</f>
        <v>826</v>
      </c>
      <c r="AD10512" s="94">
        <f t="shared" ref="AD10512" si="7056">AC10512*Z10512</f>
        <v>1375290</v>
      </c>
      <c r="AE10512" s="190"/>
      <c r="AF10512" s="191"/>
      <c r="AG10512" s="191"/>
      <c r="AH10512" s="191"/>
      <c r="AI10512" s="186"/>
      <c r="AK10512" s="171"/>
    </row>
    <row r="10513" spans="1:41" s="102" customFormat="1" ht="19.899999999999999" customHeight="1" x14ac:dyDescent="0.25">
      <c r="A10513" s="45"/>
      <c r="B10513" s="59"/>
      <c r="C10513" s="228"/>
      <c r="D10513" s="59"/>
      <c r="E10513" s="116"/>
      <c r="F10513" s="120"/>
      <c r="G10513" s="120"/>
      <c r="H10513" s="120"/>
      <c r="I10513" s="60"/>
      <c r="J10513" s="116"/>
      <c r="K10513" s="213"/>
      <c r="L10513" s="120"/>
      <c r="M10513" s="120"/>
      <c r="N10513" s="167"/>
      <c r="O10513" s="120"/>
      <c r="P10513" s="120"/>
      <c r="Q10513" s="120"/>
      <c r="R10513" s="120"/>
      <c r="S10513" s="120"/>
      <c r="T10513" s="221"/>
      <c r="U10513" s="89"/>
      <c r="V10513" s="61"/>
      <c r="W10513" s="92"/>
      <c r="X10513" s="38"/>
      <c r="Y10513" s="93"/>
      <c r="Z10513" s="134"/>
      <c r="AA10513" s="93"/>
      <c r="AB10513" s="93"/>
      <c r="AC10513" s="93"/>
      <c r="AD10513" s="94"/>
      <c r="AE10513" s="190"/>
      <c r="AF10513" s="191"/>
      <c r="AG10513" s="191"/>
      <c r="AH10513" s="191"/>
      <c r="AI10513" s="186"/>
      <c r="AK10513" s="171"/>
    </row>
    <row r="10514" spans="1:41" ht="19.899999999999999" customHeight="1" x14ac:dyDescent="0.25">
      <c r="A10514" s="277"/>
      <c r="B10514" s="279"/>
      <c r="C10514" s="64"/>
      <c r="D10514" s="46"/>
      <c r="E10514" s="114"/>
      <c r="F10514" s="44"/>
      <c r="G10514" s="44">
        <f>F10514*E10514</f>
        <v>0</v>
      </c>
      <c r="H10514" s="44">
        <f>AB10514</f>
        <v>0</v>
      </c>
      <c r="I10514" s="43">
        <f>H10514*E10514</f>
        <v>0</v>
      </c>
      <c r="J10514" s="112">
        <f>E10514</f>
        <v>0</v>
      </c>
      <c r="K10514" s="211">
        <f>J10514</f>
        <v>0</v>
      </c>
      <c r="L10514" s="44"/>
      <c r="M10514" s="44">
        <f t="shared" ref="M10514" si="7057">K10514-L10514</f>
        <v>0</v>
      </c>
      <c r="N10514" s="173">
        <f>IFERROR(M10514/K10514,0)</f>
        <v>0</v>
      </c>
      <c r="O10514" s="44">
        <f>F10514</f>
        <v>0</v>
      </c>
      <c r="P10514" s="44">
        <f>K10514*O10514</f>
        <v>0</v>
      </c>
      <c r="Q10514" s="44">
        <f>AB10514</f>
        <v>0</v>
      </c>
      <c r="R10514" s="44">
        <f t="shared" ref="R10514" si="7058">M10514*Q10514</f>
        <v>0</v>
      </c>
      <c r="S10514" s="123"/>
      <c r="T10514" s="219">
        <f t="shared" ref="T10514" si="7059">S10514+R10514</f>
        <v>0</v>
      </c>
      <c r="U10514" s="87"/>
      <c r="V10514" s="47"/>
      <c r="W10514" s="48"/>
      <c r="X10514" s="48"/>
      <c r="Y10514" s="48"/>
      <c r="Z10514" s="135"/>
      <c r="AA10514" s="49"/>
      <c r="AB10514" s="50"/>
      <c r="AC10514" s="42"/>
      <c r="AD10514" s="90"/>
      <c r="AE10514" s="188">
        <f t="shared" ref="AE10514:AH10514" si="7060">AE10515</f>
        <v>0</v>
      </c>
      <c r="AF10514" s="189">
        <f t="shared" si="7060"/>
        <v>0</v>
      </c>
      <c r="AG10514" s="189">
        <f t="shared" si="7060"/>
        <v>0</v>
      </c>
      <c r="AH10514" s="189">
        <f t="shared" si="7060"/>
        <v>0</v>
      </c>
      <c r="AI10514" s="161">
        <f t="shared" ref="AI10514:AI10515" si="7061">SUM(AE10514:AH10514)</f>
        <v>0</v>
      </c>
      <c r="AK10514" s="169">
        <v>5</v>
      </c>
      <c r="AO10514" s="19" t="s">
        <v>63</v>
      </c>
    </row>
    <row r="10515" spans="1:41" s="103" customFormat="1" ht="19.899999999999999" customHeight="1" x14ac:dyDescent="0.25">
      <c r="A10515" s="51"/>
      <c r="B10515" s="52"/>
      <c r="C10515" s="165"/>
      <c r="D10515" s="52"/>
      <c r="E10515" s="115"/>
      <c r="F10515" s="58"/>
      <c r="G10515" s="58"/>
      <c r="H10515" s="58"/>
      <c r="I10515" s="55"/>
      <c r="J10515" s="113">
        <f>J10514</f>
        <v>0</v>
      </c>
      <c r="K10515" s="212">
        <f>K10514</f>
        <v>0</v>
      </c>
      <c r="L10515" s="58"/>
      <c r="M10515" s="58">
        <f>K10515-L10515</f>
        <v>0</v>
      </c>
      <c r="N10515" s="166"/>
      <c r="O10515" s="58"/>
      <c r="P10515" s="58"/>
      <c r="Q10515" s="58"/>
      <c r="R10515" s="58"/>
      <c r="S10515" s="58"/>
      <c r="T10515" s="220"/>
      <c r="U10515" s="88"/>
      <c r="V10515" s="56"/>
      <c r="W10515" s="57"/>
      <c r="X10515" s="53"/>
      <c r="Y10515" s="91"/>
      <c r="Z10515" s="136"/>
      <c r="AA10515" s="58"/>
      <c r="AB10515" s="53"/>
      <c r="AC10515" s="53"/>
      <c r="AD10515" s="54"/>
      <c r="AE10515" s="184">
        <f>SUMIFS($AD$37:$AD$12971,$V$37:$V$12971,$V10515,$X$37:$X$12971,AE$13)</f>
        <v>0</v>
      </c>
      <c r="AF10515" s="185">
        <f>SUMIFS($AD$37:$AD$12971,$V$37:$V$12971,$V10515,$X$37:$X$12971,AF$13)</f>
        <v>0</v>
      </c>
      <c r="AG10515" s="185">
        <f>SUMIFS($AD$37:$AD$12971,$V$37:$V$12971,$V10515,$X$37:$X$12971,AG$13)</f>
        <v>0</v>
      </c>
      <c r="AH10515" s="187">
        <f>SUMIFS($AD$37:$AD$12971,$V$37:$V$12971,$V10515,$X$37:$X$12971,AH$13)</f>
        <v>0</v>
      </c>
      <c r="AI10515" s="161">
        <f t="shared" si="7061"/>
        <v>0</v>
      </c>
      <c r="AK10515" s="172"/>
    </row>
    <row r="10516" spans="1:41" s="102" customFormat="1" ht="19.899999999999999" customHeight="1" x14ac:dyDescent="0.25">
      <c r="A10516" s="45"/>
      <c r="B10516" s="59"/>
      <c r="C10516" s="137"/>
      <c r="D10516" s="59"/>
      <c r="E10516" s="116"/>
      <c r="F10516" s="120"/>
      <c r="G10516" s="120"/>
      <c r="H10516" s="120"/>
      <c r="I10516" s="60"/>
      <c r="J10516" s="116"/>
      <c r="K10516" s="213"/>
      <c r="L10516" s="120"/>
      <c r="M10516" s="120"/>
      <c r="N10516" s="167"/>
      <c r="O10516" s="120"/>
      <c r="P10516" s="120"/>
      <c r="Q10516" s="120"/>
      <c r="R10516" s="120"/>
      <c r="S10516" s="120"/>
      <c r="T10516" s="221"/>
      <c r="U10516" s="89"/>
      <c r="V10516" s="61"/>
      <c r="W10516" s="92"/>
      <c r="X10516" s="93"/>
      <c r="Y10516" s="93"/>
      <c r="Z10516" s="134"/>
      <c r="AA10516" s="93"/>
      <c r="AB10516" s="93"/>
      <c r="AC10516" s="93"/>
      <c r="AD10516" s="94"/>
      <c r="AE10516" s="190"/>
      <c r="AF10516" s="191"/>
      <c r="AG10516" s="191"/>
      <c r="AH10516" s="191"/>
      <c r="AI10516" s="186"/>
      <c r="AK10516" s="171"/>
    </row>
    <row r="10517" spans="1:41" s="102" customFormat="1" ht="19.899999999999999" customHeight="1" x14ac:dyDescent="0.25">
      <c r="A10517" s="280"/>
      <c r="B10517" s="281"/>
      <c r="C10517" s="199"/>
      <c r="D10517" s="200"/>
      <c r="E10517" s="201"/>
      <c r="F10517" s="202"/>
      <c r="G10517" s="202"/>
      <c r="H10517" s="202"/>
      <c r="I10517" s="203"/>
      <c r="J10517" s="201"/>
      <c r="K10517" s="214"/>
      <c r="L10517" s="202"/>
      <c r="M10517" s="202"/>
      <c r="N10517" s="202"/>
      <c r="O10517" s="202"/>
      <c r="P10517" s="202"/>
      <c r="Q10517" s="202"/>
      <c r="R10517" s="202"/>
      <c r="S10517" s="202"/>
      <c r="T10517" s="222"/>
      <c r="U10517" s="204"/>
      <c r="V10517" s="205"/>
      <c r="W10517" s="206"/>
      <c r="X10517" s="206"/>
      <c r="Y10517" s="206"/>
      <c r="Z10517" s="207"/>
      <c r="AA10517" s="206"/>
      <c r="AB10517" s="206"/>
      <c r="AC10517" s="206"/>
      <c r="AD10517" s="208"/>
      <c r="AE10517" s="190"/>
      <c r="AF10517" s="191"/>
      <c r="AG10517" s="191"/>
      <c r="AH10517" s="191"/>
      <c r="AI10517" s="186"/>
      <c r="AK10517" s="171"/>
    </row>
    <row r="10518" spans="1:41" x14ac:dyDescent="0.25">
      <c r="Y10518" s="62"/>
    </row>
    <row r="10519" spans="1:41" ht="19.899999999999999" customHeight="1" x14ac:dyDescent="0.25">
      <c r="AD10519" s="104"/>
      <c r="AE10519" s="163"/>
      <c r="AF10519" s="163"/>
      <c r="AG10519" s="163"/>
      <c r="AH10519" s="163"/>
      <c r="AI10519" s="163"/>
    </row>
    <row r="10520" spans="1:41" ht="19.899999999999999" customHeight="1" x14ac:dyDescent="0.25"/>
    <row r="10521" spans="1:41" ht="19.899999999999999" customHeight="1" x14ac:dyDescent="0.25">
      <c r="F10521" s="138"/>
    </row>
    <row r="10522" spans="1:41" ht="19.899999999999999" customHeight="1" x14ac:dyDescent="0.25"/>
    <row r="10523" spans="1:41" ht="19.899999999999999" customHeight="1" x14ac:dyDescent="0.25"/>
    <row r="10524" spans="1:41" ht="19.899999999999999" customHeight="1" x14ac:dyDescent="0.25"/>
    <row r="10525" spans="1:41" ht="19.899999999999999" customHeight="1" x14ac:dyDescent="0.25"/>
    <row r="10526" spans="1:41" ht="19.899999999999999" customHeight="1" x14ac:dyDescent="0.25">
      <c r="W10526" s="139"/>
    </row>
    <row r="10527" spans="1:41" ht="19.899999999999999" customHeight="1" x14ac:dyDescent="0.25">
      <c r="W10527" s="139"/>
    </row>
    <row r="10528" spans="1:41" ht="19.899999999999999" customHeight="1" x14ac:dyDescent="0.25">
      <c r="E10528" s="19"/>
      <c r="F10528" s="19"/>
      <c r="G10528" s="19"/>
      <c r="H10528" s="19"/>
      <c r="I10528" s="19"/>
      <c r="J10528" s="19"/>
      <c r="K10528" s="19"/>
      <c r="L10528" s="19"/>
      <c r="M10528" s="19"/>
      <c r="N10528" s="19"/>
      <c r="O10528" s="19"/>
      <c r="P10528" s="19"/>
      <c r="Q10528" s="19"/>
      <c r="R10528" s="19"/>
      <c r="S10528" s="19"/>
      <c r="T10528" s="19"/>
      <c r="W10528" s="139"/>
      <c r="Z10528" s="19"/>
      <c r="AE10528" s="19"/>
      <c r="AF10528" s="19"/>
      <c r="AG10528" s="19"/>
      <c r="AH10528" s="19"/>
      <c r="AI10528" s="19"/>
      <c r="AK10528" s="19"/>
    </row>
    <row r="10529" s="19" customFormat="1" ht="19.899999999999999" customHeight="1" x14ac:dyDescent="0.25"/>
    <row r="10530" s="19" customFormat="1" ht="19.899999999999999" customHeight="1" x14ac:dyDescent="0.25"/>
    <row r="10531" s="19" customFormat="1" ht="19.899999999999999" customHeight="1" x14ac:dyDescent="0.25"/>
    <row r="10532" s="19" customFormat="1" ht="19.899999999999999" customHeight="1" x14ac:dyDescent="0.25"/>
    <row r="10533" s="19" customFormat="1" ht="19.899999999999999" customHeight="1" x14ac:dyDescent="0.25"/>
    <row r="10534" s="19" customFormat="1" ht="19.899999999999999" customHeight="1" x14ac:dyDescent="0.25"/>
    <row r="10535" s="19" customFormat="1" ht="19.899999999999999" customHeight="1" x14ac:dyDescent="0.25"/>
    <row r="10536" s="19" customFormat="1" ht="19.899999999999999" customHeight="1" x14ac:dyDescent="0.25"/>
    <row r="10537" s="19" customFormat="1" ht="19.899999999999999" customHeight="1" x14ac:dyDescent="0.25"/>
    <row r="10538" s="19" customFormat="1" ht="19.899999999999999" customHeight="1" x14ac:dyDescent="0.25"/>
    <row r="10539" s="19" customFormat="1" ht="19.899999999999999" customHeight="1" x14ac:dyDescent="0.25"/>
    <row r="10540" s="19" customFormat="1" ht="19.899999999999999" customHeight="1" x14ac:dyDescent="0.25"/>
    <row r="10541" s="19" customFormat="1" ht="19.899999999999999" customHeight="1" x14ac:dyDescent="0.25"/>
    <row r="10542" s="19" customFormat="1" ht="19.899999999999999" customHeight="1" x14ac:dyDescent="0.25"/>
    <row r="10543" s="19" customFormat="1" ht="19.899999999999999" customHeight="1" x14ac:dyDescent="0.25"/>
    <row r="10544" s="19" customFormat="1" ht="19.899999999999999" customHeight="1" x14ac:dyDescent="0.25"/>
    <row r="10545" s="19" customFormat="1" ht="19.899999999999999" customHeight="1" x14ac:dyDescent="0.25"/>
    <row r="10546" s="19" customFormat="1" ht="19.899999999999999" customHeight="1" x14ac:dyDescent="0.25"/>
    <row r="10547" s="19" customFormat="1" ht="19.899999999999999" customHeight="1" x14ac:dyDescent="0.25"/>
    <row r="10548" s="19" customFormat="1" ht="19.899999999999999" customHeight="1" x14ac:dyDescent="0.25"/>
    <row r="10549" s="19" customFormat="1" ht="19.899999999999999" customHeight="1" x14ac:dyDescent="0.25"/>
    <row r="10550" s="19" customFormat="1" ht="19.899999999999999" customHeight="1" x14ac:dyDescent="0.25"/>
    <row r="10551" s="19" customFormat="1" ht="19.899999999999999" customHeight="1" x14ac:dyDescent="0.25"/>
    <row r="10552" s="19" customFormat="1" ht="19.899999999999999" customHeight="1" x14ac:dyDescent="0.25"/>
    <row r="10553" s="19" customFormat="1" ht="19.899999999999999" customHeight="1" x14ac:dyDescent="0.25"/>
    <row r="10554" s="19" customFormat="1" ht="19.899999999999999" customHeight="1" x14ac:dyDescent="0.25"/>
    <row r="10555" s="19" customFormat="1" ht="19.899999999999999" customHeight="1" x14ac:dyDescent="0.25"/>
    <row r="10556" s="19" customFormat="1" ht="19.899999999999999" customHeight="1" x14ac:dyDescent="0.25"/>
    <row r="10557" s="19" customFormat="1" ht="19.899999999999999" customHeight="1" x14ac:dyDescent="0.25"/>
    <row r="10558" s="19" customFormat="1" ht="19.899999999999999" customHeight="1" x14ac:dyDescent="0.25"/>
    <row r="10559" s="19" customFormat="1" ht="19.899999999999999" customHeight="1" x14ac:dyDescent="0.25"/>
    <row r="10560" s="19" customFormat="1" ht="19.899999999999999" customHeight="1" x14ac:dyDescent="0.25"/>
    <row r="10561" s="19" customFormat="1" ht="19.899999999999999" customHeight="1" x14ac:dyDescent="0.25"/>
    <row r="10562" s="19" customFormat="1" ht="19.899999999999999" customHeight="1" x14ac:dyDescent="0.25"/>
    <row r="10563" s="19" customFormat="1" ht="19.899999999999999" customHeight="1" x14ac:dyDescent="0.25"/>
    <row r="10564" s="19" customFormat="1" ht="19.899999999999999" customHeight="1" x14ac:dyDescent="0.25"/>
    <row r="10565" s="19" customFormat="1" ht="19.899999999999999" customHeight="1" x14ac:dyDescent="0.25"/>
  </sheetData>
  <autoFilter ref="A14:AI10517" xr:uid="{00000000-0001-0000-0000-000000000000}"/>
  <mergeCells count="28">
    <mergeCell ref="AD12:AD13"/>
    <mergeCell ref="AE11:AI12"/>
    <mergeCell ref="B11:B13"/>
    <mergeCell ref="C11:C13"/>
    <mergeCell ref="D11:D13"/>
    <mergeCell ref="W11:AD11"/>
    <mergeCell ref="E12:E13"/>
    <mergeCell ref="E11:I11"/>
    <mergeCell ref="V11:V13"/>
    <mergeCell ref="F12:G12"/>
    <mergeCell ref="H12:I12"/>
    <mergeCell ref="O12:P12"/>
    <mergeCell ref="Y12:Y13"/>
    <mergeCell ref="Z12:Z13"/>
    <mergeCell ref="AA12:AA13"/>
    <mergeCell ref="B3:AD3"/>
    <mergeCell ref="B5:AD5"/>
    <mergeCell ref="Z7:AC7"/>
    <mergeCell ref="Z8:AC8"/>
    <mergeCell ref="Z9:AC9"/>
    <mergeCell ref="A11:A13"/>
    <mergeCell ref="AB12:AB13"/>
    <mergeCell ref="AC12:AC13"/>
    <mergeCell ref="Q12:T12"/>
    <mergeCell ref="J11:T11"/>
    <mergeCell ref="J12:N12"/>
    <mergeCell ref="W12:W13"/>
    <mergeCell ref="X12:X13"/>
  </mergeCells>
  <phoneticPr fontId="7" type="noConversion"/>
  <conditionalFormatting sqref="M3:M10 M13:M35 M82:M84 M107:M131 M133:M157 M3105:M3156 M6207:M6219 M7238:M7255 M8634:M8658 M10514:M10516">
    <cfRule type="cellIs" dxfId="542" priority="2478" operator="lessThan">
      <formula>0</formula>
    </cfRule>
  </conditionalFormatting>
  <conditionalFormatting sqref="M37:M45">
    <cfRule type="cellIs" dxfId="541" priority="314" operator="lessThan">
      <formula>0</formula>
    </cfRule>
  </conditionalFormatting>
  <conditionalFormatting sqref="M47:M53">
    <cfRule type="cellIs" dxfId="540" priority="312" operator="lessThan">
      <formula>0</formula>
    </cfRule>
  </conditionalFormatting>
  <conditionalFormatting sqref="M55:M59">
    <cfRule type="cellIs" dxfId="539" priority="310" operator="lessThan">
      <formula>0</formula>
    </cfRule>
  </conditionalFormatting>
  <conditionalFormatting sqref="M61:M65">
    <cfRule type="cellIs" dxfId="538" priority="308" operator="lessThan">
      <formula>0</formula>
    </cfRule>
  </conditionalFormatting>
  <conditionalFormatting sqref="M68:M75">
    <cfRule type="cellIs" dxfId="537" priority="890" operator="lessThan">
      <formula>0</formula>
    </cfRule>
  </conditionalFormatting>
  <conditionalFormatting sqref="M77:M79">
    <cfRule type="cellIs" dxfId="536" priority="889" operator="lessThan">
      <formula>0</formula>
    </cfRule>
  </conditionalFormatting>
  <conditionalFormatting sqref="M86:M97">
    <cfRule type="cellIs" dxfId="535" priority="887" operator="lessThan">
      <formula>0</formula>
    </cfRule>
  </conditionalFormatting>
  <conditionalFormatting sqref="M101:M103">
    <cfRule type="cellIs" dxfId="534" priority="885" operator="lessThan">
      <formula>0</formula>
    </cfRule>
  </conditionalFormatting>
  <conditionalFormatting sqref="M160">
    <cfRule type="cellIs" dxfId="533" priority="1167" operator="lessThan">
      <formula>0</formula>
    </cfRule>
  </conditionalFormatting>
  <conditionalFormatting sqref="M164:M190">
    <cfRule type="cellIs" dxfId="532" priority="635" operator="lessThan">
      <formula>0</formula>
    </cfRule>
  </conditionalFormatting>
  <conditionalFormatting sqref="M194:M228">
    <cfRule type="cellIs" dxfId="531" priority="631" operator="lessThan">
      <formula>0</formula>
    </cfRule>
  </conditionalFormatting>
  <conditionalFormatting sqref="M230:M265">
    <cfRule type="cellIs" dxfId="530" priority="630" operator="lessThan">
      <formula>0</formula>
    </cfRule>
  </conditionalFormatting>
  <conditionalFormatting sqref="M267:M284">
    <cfRule type="cellIs" dxfId="529" priority="629" operator="lessThan">
      <formula>0</formula>
    </cfRule>
  </conditionalFormatting>
  <conditionalFormatting sqref="M286:M320">
    <cfRule type="cellIs" dxfId="528" priority="627" operator="lessThan">
      <formula>0</formula>
    </cfRule>
  </conditionalFormatting>
  <conditionalFormatting sqref="M322:M357">
    <cfRule type="cellIs" dxfId="527" priority="624" operator="lessThan">
      <formula>0</formula>
    </cfRule>
  </conditionalFormatting>
  <conditionalFormatting sqref="M359:M376">
    <cfRule type="cellIs" dxfId="526" priority="625" operator="lessThan">
      <formula>0</formula>
    </cfRule>
  </conditionalFormatting>
  <conditionalFormatting sqref="M378:M395">
    <cfRule type="cellIs" dxfId="525" priority="632" operator="lessThan">
      <formula>0</formula>
    </cfRule>
  </conditionalFormatting>
  <conditionalFormatting sqref="M398 M400">
    <cfRule type="cellIs" dxfId="524" priority="1166" operator="lessThan">
      <formula>0</formula>
    </cfRule>
  </conditionalFormatting>
  <conditionalFormatting sqref="M402 M522">
    <cfRule type="cellIs" dxfId="523" priority="1164" operator="lessThan">
      <formula>0</formula>
    </cfRule>
  </conditionalFormatting>
  <conditionalFormatting sqref="M404:M439">
    <cfRule type="cellIs" dxfId="522" priority="622" operator="lessThan">
      <formula>0</formula>
    </cfRule>
  </conditionalFormatting>
  <conditionalFormatting sqref="M441:M459">
    <cfRule type="cellIs" dxfId="521" priority="621" operator="lessThan">
      <formula>0</formula>
    </cfRule>
  </conditionalFormatting>
  <conditionalFormatting sqref="M461">
    <cfRule type="cellIs" dxfId="520" priority="1163" operator="lessThan">
      <formula>0</formula>
    </cfRule>
  </conditionalFormatting>
  <conditionalFormatting sqref="M465:M482">
    <cfRule type="cellIs" dxfId="519" priority="620" operator="lessThan">
      <formula>0</formula>
    </cfRule>
  </conditionalFormatting>
  <conditionalFormatting sqref="M484:M520">
    <cfRule type="cellIs" dxfId="518" priority="618" operator="lessThan">
      <formula>0</formula>
    </cfRule>
  </conditionalFormatting>
  <conditionalFormatting sqref="M524 M526">
    <cfRule type="cellIs" dxfId="517" priority="1162" operator="lessThan">
      <formula>0</formula>
    </cfRule>
  </conditionalFormatting>
  <conditionalFormatting sqref="M530:M538">
    <cfRule type="cellIs" dxfId="516" priority="603" operator="lessThan">
      <formula>0</formula>
    </cfRule>
  </conditionalFormatting>
  <conditionalFormatting sqref="M540:M543">
    <cfRule type="cellIs" dxfId="515" priority="602" operator="lessThan">
      <formula>0</formula>
    </cfRule>
  </conditionalFormatting>
  <conditionalFormatting sqref="M545:M548">
    <cfRule type="cellIs" dxfId="514" priority="601" operator="lessThan">
      <formula>0</formula>
    </cfRule>
  </conditionalFormatting>
  <conditionalFormatting sqref="M550:M553">
    <cfRule type="cellIs" dxfId="513" priority="600" operator="lessThan">
      <formula>0</formula>
    </cfRule>
  </conditionalFormatting>
  <conditionalFormatting sqref="M555:M563">
    <cfRule type="cellIs" dxfId="512" priority="598" operator="lessThan">
      <formula>0</formula>
    </cfRule>
  </conditionalFormatting>
  <conditionalFormatting sqref="M565:M573">
    <cfRule type="cellIs" dxfId="511" priority="596" operator="lessThan">
      <formula>0</formula>
    </cfRule>
  </conditionalFormatting>
  <conditionalFormatting sqref="M575:M578">
    <cfRule type="cellIs" dxfId="510" priority="595" operator="lessThan">
      <formula>0</formula>
    </cfRule>
  </conditionalFormatting>
  <conditionalFormatting sqref="M581:M589">
    <cfRule type="cellIs" dxfId="509" priority="593" operator="lessThan">
      <formula>0</formula>
    </cfRule>
  </conditionalFormatting>
  <conditionalFormatting sqref="M591:M599">
    <cfRule type="cellIs" dxfId="508" priority="591" operator="lessThan">
      <formula>0</formula>
    </cfRule>
  </conditionalFormatting>
  <conditionalFormatting sqref="M601:M609">
    <cfRule type="cellIs" dxfId="507" priority="589" operator="lessThan">
      <formula>0</formula>
    </cfRule>
  </conditionalFormatting>
  <conditionalFormatting sqref="M611:M614">
    <cfRule type="cellIs" dxfId="506" priority="588" operator="lessThan">
      <formula>0</formula>
    </cfRule>
  </conditionalFormatting>
  <conditionalFormatting sqref="M616:M619">
    <cfRule type="cellIs" dxfId="505" priority="587" operator="lessThan">
      <formula>0</formula>
    </cfRule>
  </conditionalFormatting>
  <conditionalFormatting sqref="M621:M624">
    <cfRule type="cellIs" dxfId="504" priority="586" operator="lessThan">
      <formula>0</formula>
    </cfRule>
  </conditionalFormatting>
  <conditionalFormatting sqref="M626:M634">
    <cfRule type="cellIs" dxfId="503" priority="584" operator="lessThan">
      <formula>0</formula>
    </cfRule>
  </conditionalFormatting>
  <conditionalFormatting sqref="M636:M644">
    <cfRule type="cellIs" dxfId="502" priority="582" operator="lessThan">
      <formula>0</formula>
    </cfRule>
  </conditionalFormatting>
  <conditionalFormatting sqref="M646:M650">
    <cfRule type="cellIs" dxfId="501" priority="581" operator="lessThan">
      <formula>0</formula>
    </cfRule>
  </conditionalFormatting>
  <conditionalFormatting sqref="M652:M660">
    <cfRule type="cellIs" dxfId="500" priority="578" operator="lessThan">
      <formula>0</formula>
    </cfRule>
  </conditionalFormatting>
  <conditionalFormatting sqref="M662:M670">
    <cfRule type="cellIs" dxfId="499" priority="576" operator="lessThan">
      <formula>0</formula>
    </cfRule>
  </conditionalFormatting>
  <conditionalFormatting sqref="M672">
    <cfRule type="cellIs" dxfId="498" priority="1157" operator="lessThan">
      <formula>0</formula>
    </cfRule>
  </conditionalFormatting>
  <conditionalFormatting sqref="M677">
    <cfRule type="cellIs" dxfId="497" priority="1158" operator="lessThan">
      <formula>0</formula>
    </cfRule>
  </conditionalFormatting>
  <conditionalFormatting sqref="M680:M684">
    <cfRule type="cellIs" dxfId="496" priority="575" operator="lessThan">
      <formula>0</formula>
    </cfRule>
  </conditionalFormatting>
  <conditionalFormatting sqref="M686:M694">
    <cfRule type="cellIs" dxfId="495" priority="573" operator="lessThan">
      <formula>0</formula>
    </cfRule>
  </conditionalFormatting>
  <conditionalFormatting sqref="M696:M704">
    <cfRule type="cellIs" dxfId="494" priority="571" operator="lessThan">
      <formula>0</formula>
    </cfRule>
  </conditionalFormatting>
  <conditionalFormatting sqref="M709 M713">
    <cfRule type="cellIs" dxfId="493" priority="1138" operator="lessThan">
      <formula>0</formula>
    </cfRule>
  </conditionalFormatting>
  <conditionalFormatting sqref="M711">
    <cfRule type="cellIs" dxfId="492" priority="1122" operator="lessThan">
      <formula>0</formula>
    </cfRule>
  </conditionalFormatting>
  <conditionalFormatting sqref="M715:M716">
    <cfRule type="cellIs" dxfId="491" priority="1137" operator="lessThan">
      <formula>0</formula>
    </cfRule>
  </conditionalFormatting>
  <conditionalFormatting sqref="M721:M729">
    <cfRule type="cellIs" dxfId="490" priority="569" operator="lessThan">
      <formula>0</formula>
    </cfRule>
  </conditionalFormatting>
  <conditionalFormatting sqref="M731:M734">
    <cfRule type="cellIs" dxfId="489" priority="568" operator="lessThan">
      <formula>0</formula>
    </cfRule>
  </conditionalFormatting>
  <conditionalFormatting sqref="M736:M740">
    <cfRule type="cellIs" dxfId="488" priority="567" operator="lessThan">
      <formula>0</formula>
    </cfRule>
  </conditionalFormatting>
  <conditionalFormatting sqref="M742:M750">
    <cfRule type="cellIs" dxfId="487" priority="565" operator="lessThan">
      <formula>0</formula>
    </cfRule>
  </conditionalFormatting>
  <conditionalFormatting sqref="M752">
    <cfRule type="cellIs" dxfId="486" priority="1135" operator="lessThan">
      <formula>0</formula>
    </cfRule>
  </conditionalFormatting>
  <conditionalFormatting sqref="M754">
    <cfRule type="cellIs" dxfId="485" priority="1136" operator="lessThan">
      <formula>0</formula>
    </cfRule>
  </conditionalFormatting>
  <conditionalFormatting sqref="M757 M759">
    <cfRule type="cellIs" dxfId="484" priority="1134" operator="lessThan">
      <formula>0</formula>
    </cfRule>
  </conditionalFormatting>
  <conditionalFormatting sqref="M761">
    <cfRule type="cellIs" dxfId="483" priority="1120" operator="lessThan">
      <formula>0</formula>
    </cfRule>
  </conditionalFormatting>
  <conditionalFormatting sqref="M767:M768">
    <cfRule type="cellIs" dxfId="482" priority="564" operator="lessThan">
      <formula>0</formula>
    </cfRule>
  </conditionalFormatting>
  <conditionalFormatting sqref="M770">
    <cfRule type="cellIs" dxfId="481" priority="1132" operator="lessThan">
      <formula>0</formula>
    </cfRule>
  </conditionalFormatting>
  <conditionalFormatting sqref="M775:M830">
    <cfRule type="cellIs" dxfId="480" priority="560" operator="lessThan">
      <formula>0</formula>
    </cfRule>
  </conditionalFormatting>
  <conditionalFormatting sqref="M832:M882">
    <cfRule type="cellIs" dxfId="479" priority="556" operator="lessThan">
      <formula>0</formula>
    </cfRule>
  </conditionalFormatting>
  <conditionalFormatting sqref="M884:M934">
    <cfRule type="cellIs" dxfId="478" priority="552" operator="lessThan">
      <formula>0</formula>
    </cfRule>
  </conditionalFormatting>
  <conditionalFormatting sqref="M936:M992">
    <cfRule type="cellIs" dxfId="477" priority="548" operator="lessThan">
      <formula>0</formula>
    </cfRule>
  </conditionalFormatting>
  <conditionalFormatting sqref="M994:M1044">
    <cfRule type="cellIs" dxfId="476" priority="540" operator="lessThan">
      <formula>0</formula>
    </cfRule>
  </conditionalFormatting>
  <conditionalFormatting sqref="M1046:M1096">
    <cfRule type="cellIs" dxfId="475" priority="530" operator="lessThan">
      <formula>0</formula>
    </cfRule>
  </conditionalFormatting>
  <conditionalFormatting sqref="M1098:M1153">
    <cfRule type="cellIs" dxfId="474" priority="528" operator="lessThan">
      <formula>0</formula>
    </cfRule>
  </conditionalFormatting>
  <conditionalFormatting sqref="M1155:M1205">
    <cfRule type="cellIs" dxfId="473" priority="536" operator="lessThan">
      <formula>0</formula>
    </cfRule>
  </conditionalFormatting>
  <conditionalFormatting sqref="M1207:M1257">
    <cfRule type="cellIs" dxfId="472" priority="532" operator="lessThan">
      <formula>0</formula>
    </cfRule>
  </conditionalFormatting>
  <conditionalFormatting sqref="M1259:M1283">
    <cfRule type="cellIs" dxfId="471" priority="526" operator="lessThan">
      <formula>0</formula>
    </cfRule>
  </conditionalFormatting>
  <conditionalFormatting sqref="M1285">
    <cfRule type="cellIs" dxfId="470" priority="1128" operator="lessThan">
      <formula>0</formula>
    </cfRule>
  </conditionalFormatting>
  <conditionalFormatting sqref="M1289:M1319">
    <cfRule type="cellIs" dxfId="469" priority="524" operator="lessThan">
      <formula>0</formula>
    </cfRule>
  </conditionalFormatting>
  <conditionalFormatting sqref="M1321:M1371">
    <cfRule type="cellIs" dxfId="468" priority="516" operator="lessThan">
      <formula>0</formula>
    </cfRule>
  </conditionalFormatting>
  <conditionalFormatting sqref="M1373:M1404">
    <cfRule type="cellIs" dxfId="467" priority="522" operator="lessThan">
      <formula>0</formula>
    </cfRule>
  </conditionalFormatting>
  <conditionalFormatting sqref="M1406:M1431">
    <cfRule type="cellIs" dxfId="466" priority="514" operator="lessThan">
      <formula>0</formula>
    </cfRule>
  </conditionalFormatting>
  <conditionalFormatting sqref="M1433:M1463">
    <cfRule type="cellIs" dxfId="465" priority="520" operator="lessThan">
      <formula>0</formula>
    </cfRule>
  </conditionalFormatting>
  <conditionalFormatting sqref="M1465:M1490">
    <cfRule type="cellIs" dxfId="464" priority="512" operator="lessThan">
      <formula>0</formula>
    </cfRule>
  </conditionalFormatting>
  <conditionalFormatting sqref="M1492:M1517">
    <cfRule type="cellIs" dxfId="463" priority="510" operator="lessThan">
      <formula>0</formula>
    </cfRule>
  </conditionalFormatting>
  <conditionalFormatting sqref="M1521:M1550">
    <cfRule type="cellIs" dxfId="462" priority="508" operator="lessThan">
      <formula>0</formula>
    </cfRule>
  </conditionalFormatting>
  <conditionalFormatting sqref="M1552">
    <cfRule type="cellIs" dxfId="461" priority="1124" operator="lessThan">
      <formula>0</formula>
    </cfRule>
  </conditionalFormatting>
  <conditionalFormatting sqref="M1554:M1609">
    <cfRule type="cellIs" dxfId="460" priority="499" operator="lessThan">
      <formula>0</formula>
    </cfRule>
  </conditionalFormatting>
  <conditionalFormatting sqref="M1611:M1671">
    <cfRule type="cellIs" dxfId="459" priority="500" operator="lessThan">
      <formula>0</formula>
    </cfRule>
  </conditionalFormatting>
  <conditionalFormatting sqref="M1675:M1676">
    <cfRule type="cellIs" dxfId="458" priority="1123" operator="lessThan">
      <formula>0</formula>
    </cfRule>
  </conditionalFormatting>
  <conditionalFormatting sqref="M1678:M1740">
    <cfRule type="cellIs" dxfId="457" priority="497" operator="lessThan">
      <formula>0</formula>
    </cfRule>
  </conditionalFormatting>
  <conditionalFormatting sqref="M1742:M1772">
    <cfRule type="cellIs" dxfId="456" priority="496" operator="lessThan">
      <formula>0</formula>
    </cfRule>
  </conditionalFormatting>
  <conditionalFormatting sqref="M1778">
    <cfRule type="cellIs" dxfId="455" priority="1156" operator="lessThan">
      <formula>0</formula>
    </cfRule>
  </conditionalFormatting>
  <conditionalFormatting sqref="M1780 M1782 M1823">
    <cfRule type="cellIs" dxfId="454" priority="1154" operator="lessThan">
      <formula>0</formula>
    </cfRule>
  </conditionalFormatting>
  <conditionalFormatting sqref="M1785:M1796">
    <cfRule type="cellIs" dxfId="453" priority="445" operator="lessThan">
      <formula>0</formula>
    </cfRule>
  </conditionalFormatting>
  <conditionalFormatting sqref="M1798:M1808">
    <cfRule type="cellIs" dxfId="452" priority="443" operator="lessThan">
      <formula>0</formula>
    </cfRule>
  </conditionalFormatting>
  <conditionalFormatting sqref="M1810:M1820">
    <cfRule type="cellIs" dxfId="451" priority="441" operator="lessThan">
      <formula>0</formula>
    </cfRule>
  </conditionalFormatting>
  <conditionalFormatting sqref="M1826:M1834">
    <cfRule type="cellIs" dxfId="450" priority="439" operator="lessThan">
      <formula>0</formula>
    </cfRule>
  </conditionalFormatting>
  <conditionalFormatting sqref="M1836:M1844">
    <cfRule type="cellIs" dxfId="449" priority="437" operator="lessThan">
      <formula>0</formula>
    </cfRule>
  </conditionalFormatting>
  <conditionalFormatting sqref="M1846:M1849">
    <cfRule type="cellIs" dxfId="448" priority="436" operator="lessThan">
      <formula>0</formula>
    </cfRule>
  </conditionalFormatting>
  <conditionalFormatting sqref="M1852:M1869">
    <cfRule type="cellIs" dxfId="447" priority="433" operator="lessThan">
      <formula>0</formula>
    </cfRule>
  </conditionalFormatting>
  <conditionalFormatting sqref="M1872:M1873">
    <cfRule type="cellIs" dxfId="446" priority="432" operator="lessThan">
      <formula>0</formula>
    </cfRule>
  </conditionalFormatting>
  <conditionalFormatting sqref="M1875:M1876">
    <cfRule type="cellIs" dxfId="445" priority="431" operator="lessThan">
      <formula>0</formula>
    </cfRule>
  </conditionalFormatting>
  <conditionalFormatting sqref="M1878:M1882">
    <cfRule type="cellIs" dxfId="444" priority="429" operator="lessThan">
      <formula>0</formula>
    </cfRule>
  </conditionalFormatting>
  <conditionalFormatting sqref="M1884:M1888">
    <cfRule type="cellIs" dxfId="443" priority="427" operator="lessThan">
      <formula>0</formula>
    </cfRule>
  </conditionalFormatting>
  <conditionalFormatting sqref="M1890:M1920">
    <cfRule type="cellIs" dxfId="442" priority="426" operator="lessThan">
      <formula>0</formula>
    </cfRule>
  </conditionalFormatting>
  <conditionalFormatting sqref="M1922:M1925">
    <cfRule type="cellIs" dxfId="441" priority="425" operator="lessThan">
      <formula>0</formula>
    </cfRule>
  </conditionalFormatting>
  <conditionalFormatting sqref="M1929:M1930">
    <cfRule type="cellIs" dxfId="440" priority="424" operator="lessThan">
      <formula>0</formula>
    </cfRule>
  </conditionalFormatting>
  <conditionalFormatting sqref="M1932:M1933">
    <cfRule type="cellIs" dxfId="439" priority="423" operator="lessThan">
      <formula>0</formula>
    </cfRule>
  </conditionalFormatting>
  <conditionalFormatting sqref="M1935:M1936">
    <cfRule type="cellIs" dxfId="438" priority="422" operator="lessThan">
      <formula>0</formula>
    </cfRule>
  </conditionalFormatting>
  <conditionalFormatting sqref="M1938:M1959">
    <cfRule type="cellIs" dxfId="437" priority="419" operator="lessThan">
      <formula>0</formula>
    </cfRule>
  </conditionalFormatting>
  <conditionalFormatting sqref="M1961">
    <cfRule type="cellIs" dxfId="436" priority="1150" operator="lessThan">
      <formula>0</formula>
    </cfRule>
  </conditionalFormatting>
  <conditionalFormatting sqref="M1964:M1981">
    <cfRule type="cellIs" dxfId="435" priority="617" operator="lessThan">
      <formula>0</formula>
    </cfRule>
  </conditionalFormatting>
  <conditionalFormatting sqref="M1983:M2018">
    <cfRule type="cellIs" dxfId="434" priority="615" operator="lessThan">
      <formula>0</formula>
    </cfRule>
  </conditionalFormatting>
  <conditionalFormatting sqref="M2020:M2054">
    <cfRule type="cellIs" dxfId="433" priority="613" operator="lessThan">
      <formula>0</formula>
    </cfRule>
  </conditionalFormatting>
  <conditionalFormatting sqref="M2056:M2073">
    <cfRule type="cellIs" dxfId="432" priority="612" operator="lessThan">
      <formula>0</formula>
    </cfRule>
  </conditionalFormatting>
  <conditionalFormatting sqref="M2075:M2185">
    <cfRule type="cellIs" dxfId="431" priority="606" operator="lessThan">
      <formula>0</formula>
    </cfRule>
  </conditionalFormatting>
  <conditionalFormatting sqref="M2193:M2211">
    <cfRule type="cellIs" dxfId="430" priority="605" operator="lessThan">
      <formula>0</formula>
    </cfRule>
  </conditionalFormatting>
  <conditionalFormatting sqref="M2213">
    <cfRule type="cellIs" dxfId="429" priority="1146" operator="lessThan">
      <formula>0</formula>
    </cfRule>
  </conditionalFormatting>
  <conditionalFormatting sqref="M2215:M2219">
    <cfRule type="cellIs" dxfId="428" priority="418" operator="lessThan">
      <formula>0</formula>
    </cfRule>
  </conditionalFormatting>
  <conditionalFormatting sqref="M2221:M2229">
    <cfRule type="cellIs" dxfId="427" priority="416" operator="lessThan">
      <formula>0</formula>
    </cfRule>
  </conditionalFormatting>
  <conditionalFormatting sqref="M2231:M2239">
    <cfRule type="cellIs" dxfId="426" priority="414" operator="lessThan">
      <formula>0</formula>
    </cfRule>
  </conditionalFormatting>
  <conditionalFormatting sqref="M2241:M2249">
    <cfRule type="cellIs" dxfId="425" priority="412" operator="lessThan">
      <formula>0</formula>
    </cfRule>
  </conditionalFormatting>
  <conditionalFormatting sqref="M2251:M2254">
    <cfRule type="cellIs" dxfId="424" priority="411" operator="lessThan">
      <formula>0</formula>
    </cfRule>
  </conditionalFormatting>
  <conditionalFormatting sqref="M2256:M2259">
    <cfRule type="cellIs" dxfId="423" priority="410" operator="lessThan">
      <formula>0</formula>
    </cfRule>
  </conditionalFormatting>
  <conditionalFormatting sqref="M2262:M2270">
    <cfRule type="cellIs" dxfId="422" priority="407" operator="lessThan">
      <formula>0</formula>
    </cfRule>
  </conditionalFormatting>
  <conditionalFormatting sqref="M2273:M2281">
    <cfRule type="cellIs" dxfId="421" priority="405" operator="lessThan">
      <formula>0</formula>
    </cfRule>
  </conditionalFormatting>
  <conditionalFormatting sqref="M2283:M2291">
    <cfRule type="cellIs" dxfId="420" priority="403" operator="lessThan">
      <formula>0</formula>
    </cfRule>
  </conditionalFormatting>
  <conditionalFormatting sqref="M2293:M2301">
    <cfRule type="cellIs" dxfId="419" priority="401" operator="lessThan">
      <formula>0</formula>
    </cfRule>
  </conditionalFormatting>
  <conditionalFormatting sqref="M2303:M2311">
    <cfRule type="cellIs" dxfId="418" priority="399" operator="lessThan">
      <formula>0</formula>
    </cfRule>
  </conditionalFormatting>
  <conditionalFormatting sqref="M2313:M2316">
    <cfRule type="cellIs" dxfId="417" priority="398" operator="lessThan">
      <formula>0</formula>
    </cfRule>
  </conditionalFormatting>
  <conditionalFormatting sqref="M2318:M2321">
    <cfRule type="cellIs" dxfId="416" priority="397" operator="lessThan">
      <formula>0</formula>
    </cfRule>
  </conditionalFormatting>
  <conditionalFormatting sqref="M2323:M2331">
    <cfRule type="cellIs" dxfId="415" priority="395" operator="lessThan">
      <formula>0</formula>
    </cfRule>
  </conditionalFormatting>
  <conditionalFormatting sqref="M2333:M2341">
    <cfRule type="cellIs" dxfId="414" priority="393" operator="lessThan">
      <formula>0</formula>
    </cfRule>
  </conditionalFormatting>
  <conditionalFormatting sqref="M2343:M2346">
    <cfRule type="cellIs" dxfId="413" priority="392" operator="lessThan">
      <formula>0</formula>
    </cfRule>
  </conditionalFormatting>
  <conditionalFormatting sqref="M2348:M2352">
    <cfRule type="cellIs" dxfId="412" priority="391" operator="lessThan">
      <formula>0</formula>
    </cfRule>
  </conditionalFormatting>
  <conditionalFormatting sqref="M2354:M2362">
    <cfRule type="cellIs" dxfId="411" priority="389" operator="lessThan">
      <formula>0</formula>
    </cfRule>
  </conditionalFormatting>
  <conditionalFormatting sqref="M2364:M2372">
    <cfRule type="cellIs" dxfId="410" priority="387" operator="lessThan">
      <formula>0</formula>
    </cfRule>
  </conditionalFormatting>
  <conditionalFormatting sqref="M2376:M2384">
    <cfRule type="cellIs" dxfId="409" priority="385" operator="lessThan">
      <formula>0</formula>
    </cfRule>
  </conditionalFormatting>
  <conditionalFormatting sqref="M2386:M2389">
    <cfRule type="cellIs" dxfId="408" priority="384" operator="lessThan">
      <formula>0</formula>
    </cfRule>
  </conditionalFormatting>
  <conditionalFormatting sqref="M2391:M2395">
    <cfRule type="cellIs" dxfId="407" priority="383" operator="lessThan">
      <formula>0</formula>
    </cfRule>
  </conditionalFormatting>
  <conditionalFormatting sqref="M2397:M2400">
    <cfRule type="cellIs" dxfId="406" priority="382" operator="lessThan">
      <formula>0</formula>
    </cfRule>
  </conditionalFormatting>
  <conditionalFormatting sqref="M2402 M2404 M2410">
    <cfRule type="cellIs" dxfId="405" priority="1140" operator="lessThan">
      <formula>0</formula>
    </cfRule>
  </conditionalFormatting>
  <conditionalFormatting sqref="M2412 M2414">
    <cfRule type="cellIs" dxfId="404" priority="1114" operator="lessThan">
      <formula>0</formula>
    </cfRule>
  </conditionalFormatting>
  <conditionalFormatting sqref="M2416:M2446">
    <cfRule type="cellIs" dxfId="403" priority="381" operator="lessThan">
      <formula>0</formula>
    </cfRule>
  </conditionalFormatting>
  <conditionalFormatting sqref="M2448:M2477">
    <cfRule type="cellIs" dxfId="402" priority="380" operator="lessThan">
      <formula>0</formula>
    </cfRule>
  </conditionalFormatting>
  <conditionalFormatting sqref="M2482:M2542">
    <cfRule type="cellIs" dxfId="401" priority="378" operator="lessThan">
      <formula>0</formula>
    </cfRule>
  </conditionalFormatting>
  <conditionalFormatting sqref="M2544:M2573">
    <cfRule type="cellIs" dxfId="400" priority="377" operator="lessThan">
      <formula>0</formula>
    </cfRule>
  </conditionalFormatting>
  <conditionalFormatting sqref="M2575 M2769">
    <cfRule type="cellIs" dxfId="399" priority="1112" operator="lessThan">
      <formula>0</formula>
    </cfRule>
  </conditionalFormatting>
  <conditionalFormatting sqref="M2577:M2607">
    <cfRule type="cellIs" dxfId="398" priority="376" operator="lessThan">
      <formula>0</formula>
    </cfRule>
  </conditionalFormatting>
  <conditionalFormatting sqref="M2609:M2669">
    <cfRule type="cellIs" dxfId="397" priority="374" operator="lessThan">
      <formula>0</formula>
    </cfRule>
  </conditionalFormatting>
  <conditionalFormatting sqref="M2672:M2702">
    <cfRule type="cellIs" dxfId="396" priority="373" operator="lessThan">
      <formula>0</formula>
    </cfRule>
  </conditionalFormatting>
  <conditionalFormatting sqref="M2704:M2734">
    <cfRule type="cellIs" dxfId="395" priority="372" operator="lessThan">
      <formula>0</formula>
    </cfRule>
  </conditionalFormatting>
  <conditionalFormatting sqref="M2736:M2766">
    <cfRule type="cellIs" dxfId="394" priority="371" operator="lessThan">
      <formula>0</formula>
    </cfRule>
  </conditionalFormatting>
  <conditionalFormatting sqref="M2771 M2773">
    <cfRule type="cellIs" dxfId="393" priority="1110" operator="lessThan">
      <formula>0</formula>
    </cfRule>
  </conditionalFormatting>
  <conditionalFormatting sqref="M2777:M2799">
    <cfRule type="cellIs" dxfId="392" priority="369" operator="lessThan">
      <formula>0</formula>
    </cfRule>
  </conditionalFormatting>
  <conditionalFormatting sqref="M2801:M2811">
    <cfRule type="cellIs" dxfId="391" priority="368" operator="lessThan">
      <formula>0</formula>
    </cfRule>
  </conditionalFormatting>
  <conditionalFormatting sqref="M2813:M2823">
    <cfRule type="cellIs" dxfId="390" priority="367" operator="lessThan">
      <formula>0</formula>
    </cfRule>
  </conditionalFormatting>
  <conditionalFormatting sqref="M2825:M2835">
    <cfRule type="cellIs" dxfId="389" priority="366" operator="lessThan">
      <formula>0</formula>
    </cfRule>
  </conditionalFormatting>
  <conditionalFormatting sqref="M2837:M2845">
    <cfRule type="cellIs" dxfId="388" priority="364" operator="lessThan">
      <formula>0</formula>
    </cfRule>
  </conditionalFormatting>
  <conditionalFormatting sqref="M2847:M2855">
    <cfRule type="cellIs" dxfId="387" priority="362" operator="lessThan">
      <formula>0</formula>
    </cfRule>
  </conditionalFormatting>
  <conditionalFormatting sqref="M2857:M2874">
    <cfRule type="cellIs" dxfId="386" priority="361" operator="lessThan">
      <formula>0</formula>
    </cfRule>
  </conditionalFormatting>
  <conditionalFormatting sqref="M2876:M2895">
    <cfRule type="cellIs" dxfId="385" priority="716" operator="lessThan">
      <formula>0</formula>
    </cfRule>
  </conditionalFormatting>
  <conditionalFormatting sqref="M2897:M2936">
    <cfRule type="cellIs" dxfId="384" priority="714" operator="lessThan">
      <formula>0</formula>
    </cfRule>
  </conditionalFormatting>
  <conditionalFormatting sqref="M2938:M2957">
    <cfRule type="cellIs" dxfId="383" priority="713" operator="lessThan">
      <formula>0</formula>
    </cfRule>
  </conditionalFormatting>
  <conditionalFormatting sqref="M2959:M2998">
    <cfRule type="cellIs" dxfId="382" priority="711" operator="lessThan">
      <formula>0</formula>
    </cfRule>
  </conditionalFormatting>
  <conditionalFormatting sqref="M3000:M3019">
    <cfRule type="cellIs" dxfId="381" priority="710" operator="lessThan">
      <formula>0</formula>
    </cfRule>
  </conditionalFormatting>
  <conditionalFormatting sqref="M3021:M3040">
    <cfRule type="cellIs" dxfId="380" priority="709" operator="lessThan">
      <formula>0</formula>
    </cfRule>
  </conditionalFormatting>
  <conditionalFormatting sqref="M3042:M3061">
    <cfRule type="cellIs" dxfId="379" priority="708" operator="lessThan">
      <formula>0</formula>
    </cfRule>
  </conditionalFormatting>
  <conditionalFormatting sqref="M3063:M3103">
    <cfRule type="cellIs" dxfId="378" priority="706" operator="lessThan">
      <formula>0</formula>
    </cfRule>
  </conditionalFormatting>
  <conditionalFormatting sqref="M3158 M3160">
    <cfRule type="cellIs" dxfId="377" priority="1106" operator="lessThan">
      <formula>0</formula>
    </cfRule>
  </conditionalFormatting>
  <conditionalFormatting sqref="M3162">
    <cfRule type="cellIs" dxfId="376" priority="1105" operator="lessThan">
      <formula>0</formula>
    </cfRule>
  </conditionalFormatting>
  <conditionalFormatting sqref="M3166:M3185">
    <cfRule type="cellIs" dxfId="375" priority="703" operator="lessThan">
      <formula>0</formula>
    </cfRule>
  </conditionalFormatting>
  <conditionalFormatting sqref="M3187:M3227">
    <cfRule type="cellIs" dxfId="374" priority="701" operator="lessThan">
      <formula>0</formula>
    </cfRule>
  </conditionalFormatting>
  <conditionalFormatting sqref="M3229:M3269">
    <cfRule type="cellIs" dxfId="373" priority="699" operator="lessThan">
      <formula>0</formula>
    </cfRule>
  </conditionalFormatting>
  <conditionalFormatting sqref="M3271:M3311">
    <cfRule type="cellIs" dxfId="372" priority="697" operator="lessThan">
      <formula>0</formula>
    </cfRule>
  </conditionalFormatting>
  <conditionalFormatting sqref="M3313:M3353">
    <cfRule type="cellIs" dxfId="371" priority="695" operator="lessThan">
      <formula>0</formula>
    </cfRule>
  </conditionalFormatting>
  <conditionalFormatting sqref="M3355:M3395">
    <cfRule type="cellIs" dxfId="370" priority="693" operator="lessThan">
      <formula>0</formula>
    </cfRule>
  </conditionalFormatting>
  <conditionalFormatting sqref="M3397:M3437">
    <cfRule type="cellIs" dxfId="369" priority="691" operator="lessThan">
      <formula>0</formula>
    </cfRule>
  </conditionalFormatting>
  <conditionalFormatting sqref="M3439:M3458">
    <cfRule type="cellIs" dxfId="368" priority="690" operator="lessThan">
      <formula>0</formula>
    </cfRule>
  </conditionalFormatting>
  <conditionalFormatting sqref="M3461:M3480">
    <cfRule type="cellIs" dxfId="367" priority="689" operator="lessThan">
      <formula>0</formula>
    </cfRule>
  </conditionalFormatting>
  <conditionalFormatting sqref="M3482:M3522">
    <cfRule type="cellIs" dxfId="366" priority="687" operator="lessThan">
      <formula>0</formula>
    </cfRule>
  </conditionalFormatting>
  <conditionalFormatting sqref="M3525:M3543 M3688">
    <cfRule type="cellIs" dxfId="365" priority="1102" operator="lessThan">
      <formula>0</formula>
    </cfRule>
  </conditionalFormatting>
  <conditionalFormatting sqref="M3545:M3583">
    <cfRule type="cellIs" dxfId="364" priority="684" operator="lessThan">
      <formula>0</formula>
    </cfRule>
  </conditionalFormatting>
  <conditionalFormatting sqref="M3585:M3623">
    <cfRule type="cellIs" dxfId="363" priority="682" operator="lessThan">
      <formula>0</formula>
    </cfRule>
  </conditionalFormatting>
  <conditionalFormatting sqref="M3625:M3644">
    <cfRule type="cellIs" dxfId="362" priority="681" operator="lessThan">
      <formula>0</formula>
    </cfRule>
  </conditionalFormatting>
  <conditionalFormatting sqref="M3647:M3665">
    <cfRule type="cellIs" dxfId="361" priority="680" operator="lessThan">
      <formula>0</formula>
    </cfRule>
  </conditionalFormatting>
  <conditionalFormatting sqref="M3668:M3686">
    <cfRule type="cellIs" dxfId="360" priority="679" operator="lessThan">
      <formula>0</formula>
    </cfRule>
  </conditionalFormatting>
  <conditionalFormatting sqref="M3690 M4665">
    <cfRule type="cellIs" dxfId="359" priority="1100" operator="lessThan">
      <formula>0</formula>
    </cfRule>
  </conditionalFormatting>
  <conditionalFormatting sqref="M3692:M3711">
    <cfRule type="cellIs" dxfId="358" priority="678" operator="lessThan">
      <formula>0</formula>
    </cfRule>
  </conditionalFormatting>
  <conditionalFormatting sqref="M3713:M3732">
    <cfRule type="cellIs" dxfId="357" priority="677" operator="lessThan">
      <formula>0</formula>
    </cfRule>
  </conditionalFormatting>
  <conditionalFormatting sqref="M3734 M3736 M3879">
    <cfRule type="cellIs" dxfId="356" priority="1082" operator="lessThan">
      <formula>0</formula>
    </cfRule>
  </conditionalFormatting>
  <conditionalFormatting sqref="M3738:M3775">
    <cfRule type="cellIs" dxfId="355" priority="675" operator="lessThan">
      <formula>0</formula>
    </cfRule>
  </conditionalFormatting>
  <conditionalFormatting sqref="M3777">
    <cfRule type="cellIs" dxfId="354" priority="1066" operator="lessThan">
      <formula>0</formula>
    </cfRule>
  </conditionalFormatting>
  <conditionalFormatting sqref="M3779:M3817">
    <cfRule type="cellIs" dxfId="353" priority="673" operator="lessThan">
      <formula>0</formula>
    </cfRule>
  </conditionalFormatting>
  <conditionalFormatting sqref="M3819:M3877">
    <cfRule type="cellIs" dxfId="352" priority="670" operator="lessThan">
      <formula>0</formula>
    </cfRule>
  </conditionalFormatting>
  <conditionalFormatting sqref="M3881:M3900">
    <cfRule type="cellIs" dxfId="351" priority="669" operator="lessThan">
      <formula>0</formula>
    </cfRule>
  </conditionalFormatting>
  <conditionalFormatting sqref="M3902:M3939">
    <cfRule type="cellIs" dxfId="350" priority="667" operator="lessThan">
      <formula>0</formula>
    </cfRule>
  </conditionalFormatting>
  <conditionalFormatting sqref="M3941:M3960">
    <cfRule type="cellIs" dxfId="349" priority="666" operator="lessThan">
      <formula>0</formula>
    </cfRule>
  </conditionalFormatting>
  <conditionalFormatting sqref="M3962:M4000">
    <cfRule type="cellIs" dxfId="348" priority="664" operator="lessThan">
      <formula>0</formula>
    </cfRule>
  </conditionalFormatting>
  <conditionalFormatting sqref="M4002:M4040">
    <cfRule type="cellIs" dxfId="347" priority="662" operator="lessThan">
      <formula>0</formula>
    </cfRule>
  </conditionalFormatting>
  <conditionalFormatting sqref="M4042:M4100">
    <cfRule type="cellIs" dxfId="346" priority="659" operator="lessThan">
      <formula>0</formula>
    </cfRule>
  </conditionalFormatting>
  <conditionalFormatting sqref="M4102:M4119 M4121 M4204">
    <cfRule type="cellIs" dxfId="345" priority="1078" operator="lessThan">
      <formula>0</formula>
    </cfRule>
  </conditionalFormatting>
  <conditionalFormatting sqref="M4123:M4159">
    <cfRule type="cellIs" dxfId="344" priority="654" operator="lessThan">
      <formula>0</formula>
    </cfRule>
  </conditionalFormatting>
  <conditionalFormatting sqref="M4161:M4179">
    <cfRule type="cellIs" dxfId="343" priority="651" operator="lessThan">
      <formula>0</formula>
    </cfRule>
  </conditionalFormatting>
  <conditionalFormatting sqref="M4181:M4199">
    <cfRule type="cellIs" dxfId="342" priority="649" operator="lessThan">
      <formula>0</formula>
    </cfRule>
  </conditionalFormatting>
  <conditionalFormatting sqref="M4201:M4202">
    <cfRule type="cellIs" dxfId="341" priority="1077" operator="lessThan">
      <formula>0</formula>
    </cfRule>
  </conditionalFormatting>
  <conditionalFormatting sqref="M4206:M4241">
    <cfRule type="cellIs" dxfId="340" priority="646" operator="lessThan">
      <formula>0</formula>
    </cfRule>
  </conditionalFormatting>
  <conditionalFormatting sqref="M4243:M4261">
    <cfRule type="cellIs" dxfId="339" priority="644" operator="lessThan">
      <formula>0</formula>
    </cfRule>
  </conditionalFormatting>
  <conditionalFormatting sqref="M4263:M4280">
    <cfRule type="cellIs" dxfId="338" priority="643" operator="lessThan">
      <formula>0</formula>
    </cfRule>
  </conditionalFormatting>
  <conditionalFormatting sqref="M4282:M4318">
    <cfRule type="cellIs" dxfId="337" priority="641" operator="lessThan">
      <formula>0</formula>
    </cfRule>
  </conditionalFormatting>
  <conditionalFormatting sqref="M4320:M4356 M4358">
    <cfRule type="cellIs" dxfId="336" priority="639" operator="lessThan">
      <formula>0</formula>
    </cfRule>
  </conditionalFormatting>
  <conditionalFormatting sqref="M4360:M4364">
    <cfRule type="cellIs" dxfId="335" priority="360" operator="lessThan">
      <formula>0</formula>
    </cfRule>
  </conditionalFormatting>
  <conditionalFormatting sqref="M4366 M4374">
    <cfRule type="cellIs" dxfId="334" priority="1074" operator="lessThan">
      <formula>0</formula>
    </cfRule>
  </conditionalFormatting>
  <conditionalFormatting sqref="M4368:M4372">
    <cfRule type="cellIs" dxfId="333" priority="359" operator="lessThan">
      <formula>0</formula>
    </cfRule>
  </conditionalFormatting>
  <conditionalFormatting sqref="M4376:M4384">
    <cfRule type="cellIs" dxfId="332" priority="357" operator="lessThan">
      <formula>0</formula>
    </cfRule>
  </conditionalFormatting>
  <conditionalFormatting sqref="M4386:M4390">
    <cfRule type="cellIs" dxfId="331" priority="356" operator="lessThan">
      <formula>0</formula>
    </cfRule>
  </conditionalFormatting>
  <conditionalFormatting sqref="M4392:M4397">
    <cfRule type="cellIs" dxfId="330" priority="355" operator="lessThan">
      <formula>0</formula>
    </cfRule>
  </conditionalFormatting>
  <conditionalFormatting sqref="M4399:M4403">
    <cfRule type="cellIs" dxfId="329" priority="354" operator="lessThan">
      <formula>0</formula>
    </cfRule>
  </conditionalFormatting>
  <conditionalFormatting sqref="M4405:M4413">
    <cfRule type="cellIs" dxfId="328" priority="352" operator="lessThan">
      <formula>0</formula>
    </cfRule>
  </conditionalFormatting>
  <conditionalFormatting sqref="M4416:M4420">
    <cfRule type="cellIs" dxfId="327" priority="351" operator="lessThan">
      <formula>0</formula>
    </cfRule>
  </conditionalFormatting>
  <conditionalFormatting sqref="M4422:M4430">
    <cfRule type="cellIs" dxfId="326" priority="349" operator="lessThan">
      <formula>0</formula>
    </cfRule>
  </conditionalFormatting>
  <conditionalFormatting sqref="M4432:M4436">
    <cfRule type="cellIs" dxfId="325" priority="348" operator="lessThan">
      <formula>0</formula>
    </cfRule>
  </conditionalFormatting>
  <conditionalFormatting sqref="M4438:M4447">
    <cfRule type="cellIs" dxfId="324" priority="346" operator="lessThan">
      <formula>0</formula>
    </cfRule>
  </conditionalFormatting>
  <conditionalFormatting sqref="M4449:M4457">
    <cfRule type="cellIs" dxfId="323" priority="344" operator="lessThan">
      <formula>0</formula>
    </cfRule>
  </conditionalFormatting>
  <conditionalFormatting sqref="M4459:M4463">
    <cfRule type="cellIs" dxfId="322" priority="343" operator="lessThan">
      <formula>0</formula>
    </cfRule>
  </conditionalFormatting>
  <conditionalFormatting sqref="M4465:M4469">
    <cfRule type="cellIs" dxfId="321" priority="342" operator="lessThan">
      <formula>0</formula>
    </cfRule>
  </conditionalFormatting>
  <conditionalFormatting sqref="M4471:M4479">
    <cfRule type="cellIs" dxfId="320" priority="340" operator="lessThan">
      <formula>0</formula>
    </cfRule>
  </conditionalFormatting>
  <conditionalFormatting sqref="M4481:M4485">
    <cfRule type="cellIs" dxfId="319" priority="339" operator="lessThan">
      <formula>0</formula>
    </cfRule>
  </conditionalFormatting>
  <conditionalFormatting sqref="M4487:M4491">
    <cfRule type="cellIs" dxfId="318" priority="338" operator="lessThan">
      <formula>0</formula>
    </cfRule>
  </conditionalFormatting>
  <conditionalFormatting sqref="M4495:M4525">
    <cfRule type="cellIs" dxfId="317" priority="337" operator="lessThan">
      <formula>0</formula>
    </cfRule>
  </conditionalFormatting>
  <conditionalFormatting sqref="M4527:M4587">
    <cfRule type="cellIs" dxfId="316" priority="335" operator="lessThan">
      <formula>0</formula>
    </cfRule>
  </conditionalFormatting>
  <conditionalFormatting sqref="M4589 M4660 M4662">
    <cfRule type="cellIs" dxfId="315" priority="1068" operator="lessThan">
      <formula>0</formula>
    </cfRule>
  </conditionalFormatting>
  <conditionalFormatting sqref="M4591:M4621">
    <cfRule type="cellIs" dxfId="314" priority="334" operator="lessThan">
      <formula>0</formula>
    </cfRule>
  </conditionalFormatting>
  <conditionalFormatting sqref="M4626:M4656">
    <cfRule type="cellIs" dxfId="313" priority="333" operator="lessThan">
      <formula>0</formula>
    </cfRule>
  </conditionalFormatting>
  <conditionalFormatting sqref="M4667">
    <cfRule type="cellIs" dxfId="312" priority="1098" operator="lessThan">
      <formula>0</formula>
    </cfRule>
  </conditionalFormatting>
  <conditionalFormatting sqref="M4670:M4730">
    <cfRule type="cellIs" dxfId="311" priority="306" operator="lessThan">
      <formula>0</formula>
    </cfRule>
  </conditionalFormatting>
  <conditionalFormatting sqref="M4732:M4760">
    <cfRule type="cellIs" dxfId="310" priority="305" operator="lessThan">
      <formula>0</formula>
    </cfRule>
  </conditionalFormatting>
  <conditionalFormatting sqref="M4762:M4790">
    <cfRule type="cellIs" dxfId="309" priority="304" operator="lessThan">
      <formula>0</formula>
    </cfRule>
  </conditionalFormatting>
  <conditionalFormatting sqref="M4792:M4820">
    <cfRule type="cellIs" dxfId="308" priority="303" operator="lessThan">
      <formula>0</formula>
    </cfRule>
  </conditionalFormatting>
  <conditionalFormatting sqref="M4822:M4850">
    <cfRule type="cellIs" dxfId="307" priority="302" operator="lessThan">
      <formula>0</formula>
    </cfRule>
  </conditionalFormatting>
  <conditionalFormatting sqref="M4852:M4880">
    <cfRule type="cellIs" dxfId="306" priority="301" operator="lessThan">
      <formula>0</formula>
    </cfRule>
  </conditionalFormatting>
  <conditionalFormatting sqref="M4882:M4910">
    <cfRule type="cellIs" dxfId="305" priority="300" operator="lessThan">
      <formula>0</formula>
    </cfRule>
  </conditionalFormatting>
  <conditionalFormatting sqref="M4912:M4940">
    <cfRule type="cellIs" dxfId="304" priority="299" operator="lessThan">
      <formula>0</formula>
    </cfRule>
  </conditionalFormatting>
  <conditionalFormatting sqref="M4942:M4970">
    <cfRule type="cellIs" dxfId="303" priority="298" operator="lessThan">
      <formula>0</formula>
    </cfRule>
  </conditionalFormatting>
  <conditionalFormatting sqref="M4974 M4976">
    <cfRule type="cellIs" dxfId="302" priority="1096" operator="lessThan">
      <formula>0</formula>
    </cfRule>
  </conditionalFormatting>
  <conditionalFormatting sqref="M4978 M4980">
    <cfRule type="cellIs" dxfId="301" priority="1094" operator="lessThan">
      <formula>0</formula>
    </cfRule>
  </conditionalFormatting>
  <conditionalFormatting sqref="M4985:M5110">
    <cfRule type="cellIs" dxfId="300" priority="291" operator="lessThan">
      <formula>0</formula>
    </cfRule>
  </conditionalFormatting>
  <conditionalFormatting sqref="M5115:M5143">
    <cfRule type="cellIs" dxfId="299" priority="290" operator="lessThan">
      <formula>0</formula>
    </cfRule>
  </conditionalFormatting>
  <conditionalFormatting sqref="M5145:M5173">
    <cfRule type="cellIs" dxfId="298" priority="289" operator="lessThan">
      <formula>0</formula>
    </cfRule>
  </conditionalFormatting>
  <conditionalFormatting sqref="M5175:M5203">
    <cfRule type="cellIs" dxfId="297" priority="288" operator="lessThan">
      <formula>0</formula>
    </cfRule>
  </conditionalFormatting>
  <conditionalFormatting sqref="M5205:M5233">
    <cfRule type="cellIs" dxfId="296" priority="287" operator="lessThan">
      <formula>0</formula>
    </cfRule>
  </conditionalFormatting>
  <conditionalFormatting sqref="M5235:M5263">
    <cfRule type="cellIs" dxfId="295" priority="286" operator="lessThan">
      <formula>0</formula>
    </cfRule>
  </conditionalFormatting>
  <conditionalFormatting sqref="M5265:M5293">
    <cfRule type="cellIs" dxfId="294" priority="285" operator="lessThan">
      <formula>0</formula>
    </cfRule>
  </conditionalFormatting>
  <conditionalFormatting sqref="M5295:M5444">
    <cfRule type="cellIs" dxfId="293" priority="280" operator="lessThan">
      <formula>0</formula>
    </cfRule>
  </conditionalFormatting>
  <conditionalFormatting sqref="M5450:M5479">
    <cfRule type="cellIs" dxfId="292" priority="276" operator="lessThan">
      <formula>0</formula>
    </cfRule>
  </conditionalFormatting>
  <conditionalFormatting sqref="M5481:M5510">
    <cfRule type="cellIs" dxfId="291" priority="275" operator="lessThan">
      <formula>0</formula>
    </cfRule>
  </conditionalFormatting>
  <conditionalFormatting sqref="M5512:M5541">
    <cfRule type="cellIs" dxfId="290" priority="274" operator="lessThan">
      <formula>0</formula>
    </cfRule>
  </conditionalFormatting>
  <conditionalFormatting sqref="M5552:M5580">
    <cfRule type="cellIs" dxfId="289" priority="273" operator="lessThan">
      <formula>0</formula>
    </cfRule>
  </conditionalFormatting>
  <conditionalFormatting sqref="M5582:M5610">
    <cfRule type="cellIs" dxfId="288" priority="272" operator="lessThan">
      <formula>0</formula>
    </cfRule>
  </conditionalFormatting>
  <conditionalFormatting sqref="M5613:M5641">
    <cfRule type="cellIs" dxfId="287" priority="271" operator="lessThan">
      <formula>0</formula>
    </cfRule>
  </conditionalFormatting>
  <conditionalFormatting sqref="M5643:M5671">
    <cfRule type="cellIs" dxfId="286" priority="270" operator="lessThan">
      <formula>0</formula>
    </cfRule>
  </conditionalFormatting>
  <conditionalFormatting sqref="M5673:M5701">
    <cfRule type="cellIs" dxfId="285" priority="269" operator="lessThan">
      <formula>0</formula>
    </cfRule>
  </conditionalFormatting>
  <conditionalFormatting sqref="M5703:M5731">
    <cfRule type="cellIs" dxfId="284" priority="268" operator="lessThan">
      <formula>0</formula>
    </cfRule>
  </conditionalFormatting>
  <conditionalFormatting sqref="M5733:M5761">
    <cfRule type="cellIs" dxfId="283" priority="267" operator="lessThan">
      <formula>0</formula>
    </cfRule>
  </conditionalFormatting>
  <conditionalFormatting sqref="M5763 M5765">
    <cfRule type="cellIs" dxfId="282" priority="946" operator="lessThan">
      <formula>0</formula>
    </cfRule>
  </conditionalFormatting>
  <conditionalFormatting sqref="M5767 M5769">
    <cfRule type="cellIs" dxfId="281" priority="944" operator="lessThan">
      <formula>0</formula>
    </cfRule>
  </conditionalFormatting>
  <conditionalFormatting sqref="M5773">
    <cfRule type="cellIs" dxfId="280" priority="943" operator="lessThan">
      <formula>0</formula>
    </cfRule>
  </conditionalFormatting>
  <conditionalFormatting sqref="M5775:M5804">
    <cfRule type="cellIs" dxfId="279" priority="265" operator="lessThan">
      <formula>0</formula>
    </cfRule>
  </conditionalFormatting>
  <conditionalFormatting sqref="M5808:M5867">
    <cfRule type="cellIs" dxfId="278" priority="263" operator="lessThan">
      <formula>0</formula>
    </cfRule>
  </conditionalFormatting>
  <conditionalFormatting sqref="M5869:M5884">
    <cfRule type="cellIs" dxfId="277" priority="261" operator="lessThan">
      <formula>0</formula>
    </cfRule>
  </conditionalFormatting>
  <conditionalFormatting sqref="M5889:M5919">
    <cfRule type="cellIs" dxfId="276" priority="257" operator="lessThan">
      <formula>0</formula>
    </cfRule>
  </conditionalFormatting>
  <conditionalFormatting sqref="M5921:M5936">
    <cfRule type="cellIs" dxfId="275" priority="259" operator="lessThan">
      <formula>0</formula>
    </cfRule>
  </conditionalFormatting>
  <conditionalFormatting sqref="M5940">
    <cfRule type="cellIs" dxfId="274" priority="940" operator="lessThan">
      <formula>0</formula>
    </cfRule>
  </conditionalFormatting>
  <conditionalFormatting sqref="M5943:M5951">
    <cfRule type="cellIs" dxfId="273" priority="255" operator="lessThan">
      <formula>0</formula>
    </cfRule>
  </conditionalFormatting>
  <conditionalFormatting sqref="M5953:M5960">
    <cfRule type="cellIs" dxfId="272" priority="252" operator="lessThan">
      <formula>0</formula>
    </cfRule>
  </conditionalFormatting>
  <conditionalFormatting sqref="M5962:M5969">
    <cfRule type="cellIs" dxfId="271" priority="249" operator="lessThan">
      <formula>0</formula>
    </cfRule>
  </conditionalFormatting>
  <conditionalFormatting sqref="M5971:M5978">
    <cfRule type="cellIs" dxfId="270" priority="246" operator="lessThan">
      <formula>0</formula>
    </cfRule>
  </conditionalFormatting>
  <conditionalFormatting sqref="M5980:M5988">
    <cfRule type="cellIs" dxfId="269" priority="243" operator="lessThan">
      <formula>0</formula>
    </cfRule>
  </conditionalFormatting>
  <conditionalFormatting sqref="M5990:M6006">
    <cfRule type="cellIs" dxfId="268" priority="237" operator="lessThan">
      <formula>0</formula>
    </cfRule>
  </conditionalFormatting>
  <conditionalFormatting sqref="M6008:M6015">
    <cfRule type="cellIs" dxfId="267" priority="234" operator="lessThan">
      <formula>0</formula>
    </cfRule>
  </conditionalFormatting>
  <conditionalFormatting sqref="M6018:M6022">
    <cfRule type="cellIs" dxfId="266" priority="233" operator="lessThan">
      <formula>0</formula>
    </cfRule>
  </conditionalFormatting>
  <conditionalFormatting sqref="M6024:M6032">
    <cfRule type="cellIs" dxfId="265" priority="231" operator="lessThan">
      <formula>0</formula>
    </cfRule>
  </conditionalFormatting>
  <conditionalFormatting sqref="M6035:M6036">
    <cfRule type="cellIs" dxfId="264" priority="230" operator="lessThan">
      <formula>0</formula>
    </cfRule>
  </conditionalFormatting>
  <conditionalFormatting sqref="M6038:M6042">
    <cfRule type="cellIs" dxfId="263" priority="228" operator="lessThan">
      <formula>0</formula>
    </cfRule>
  </conditionalFormatting>
  <conditionalFormatting sqref="M6044:M6045">
    <cfRule type="cellIs" dxfId="262" priority="227" operator="lessThan">
      <formula>0</formula>
    </cfRule>
  </conditionalFormatting>
  <conditionalFormatting sqref="M6048">
    <cfRule type="cellIs" dxfId="261" priority="936" operator="lessThan">
      <formula>0</formula>
    </cfRule>
  </conditionalFormatting>
  <conditionalFormatting sqref="M6050:M6051">
    <cfRule type="cellIs" dxfId="260" priority="226" operator="lessThan">
      <formula>0</formula>
    </cfRule>
  </conditionalFormatting>
  <conditionalFormatting sqref="M6054:M6055">
    <cfRule type="cellIs" dxfId="259" priority="225" operator="lessThan">
      <formula>0</formula>
    </cfRule>
  </conditionalFormatting>
  <conditionalFormatting sqref="M6060:M6061">
    <cfRule type="cellIs" dxfId="258" priority="224" operator="lessThan">
      <formula>0</formula>
    </cfRule>
  </conditionalFormatting>
  <conditionalFormatting sqref="M6063:M6067">
    <cfRule type="cellIs" dxfId="257" priority="223" operator="lessThan">
      <formula>0</formula>
    </cfRule>
  </conditionalFormatting>
  <conditionalFormatting sqref="M6069:M6073">
    <cfRule type="cellIs" dxfId="256" priority="221" operator="lessThan">
      <formula>0</formula>
    </cfRule>
  </conditionalFormatting>
  <conditionalFormatting sqref="M6075:M6076">
    <cfRule type="cellIs" dxfId="255" priority="220" operator="lessThan">
      <formula>0</formula>
    </cfRule>
  </conditionalFormatting>
  <conditionalFormatting sqref="M6079:M6081">
    <cfRule type="cellIs" dxfId="254" priority="219" operator="lessThan">
      <formula>0</formula>
    </cfRule>
  </conditionalFormatting>
  <conditionalFormatting sqref="M6083:M6089">
    <cfRule type="cellIs" dxfId="253" priority="934" operator="lessThan">
      <formula>0</formula>
    </cfRule>
  </conditionalFormatting>
  <conditionalFormatting sqref="M6093:M6108">
    <cfRule type="cellIs" dxfId="252" priority="217" operator="lessThan">
      <formula>0</formula>
    </cfRule>
  </conditionalFormatting>
  <conditionalFormatting sqref="M6110:M6111">
    <cfRule type="cellIs" dxfId="251" priority="216" operator="lessThan">
      <formula>0</formula>
    </cfRule>
  </conditionalFormatting>
  <conditionalFormatting sqref="M6113:M6114">
    <cfRule type="cellIs" dxfId="250" priority="215" operator="lessThan">
      <formula>0</formula>
    </cfRule>
  </conditionalFormatting>
  <conditionalFormatting sqref="M6119:M6120">
    <cfRule type="cellIs" dxfId="249" priority="214" operator="lessThan">
      <formula>0</formula>
    </cfRule>
  </conditionalFormatting>
  <conditionalFormatting sqref="M6123:M6147">
    <cfRule type="cellIs" dxfId="248" priority="210" operator="lessThan">
      <formula>0</formula>
    </cfRule>
  </conditionalFormatting>
  <conditionalFormatting sqref="M6149:M6197">
    <cfRule type="cellIs" dxfId="247" priority="208" operator="lessThan">
      <formula>0</formula>
    </cfRule>
  </conditionalFormatting>
  <conditionalFormatting sqref="M6199:M6201">
    <cfRule type="cellIs" dxfId="246" priority="213" operator="lessThan">
      <formula>0</formula>
    </cfRule>
  </conditionalFormatting>
  <conditionalFormatting sqref="M6203:M6204">
    <cfRule type="cellIs" dxfId="245" priority="212" operator="lessThan">
      <formula>0</formula>
    </cfRule>
  </conditionalFormatting>
  <conditionalFormatting sqref="M6221:M6232">
    <cfRule type="cellIs" dxfId="244" priority="206" operator="lessThan">
      <formula>0</formula>
    </cfRule>
  </conditionalFormatting>
  <conditionalFormatting sqref="M6235:M6244">
    <cfRule type="cellIs" dxfId="243" priority="197" operator="lessThan">
      <formula>0</formula>
    </cfRule>
  </conditionalFormatting>
  <conditionalFormatting sqref="M6246:M6263">
    <cfRule type="cellIs" dxfId="242" priority="211" operator="lessThan">
      <formula>0</formula>
    </cfRule>
  </conditionalFormatting>
  <conditionalFormatting sqref="M6265:M6266">
    <cfRule type="cellIs" dxfId="241" priority="913" operator="lessThan">
      <formula>0</formula>
    </cfRule>
  </conditionalFormatting>
  <conditionalFormatting sqref="M6271:M6275">
    <cfRule type="cellIs" dxfId="240" priority="195" operator="lessThan">
      <formula>0</formula>
    </cfRule>
  </conditionalFormatting>
  <conditionalFormatting sqref="M6277:M6278">
    <cfRule type="cellIs" dxfId="239" priority="194" operator="lessThan">
      <formula>0</formula>
    </cfRule>
  </conditionalFormatting>
  <conditionalFormatting sqref="M6283:M6285">
    <cfRule type="cellIs" dxfId="238" priority="193" operator="lessThan">
      <formula>0</formula>
    </cfRule>
  </conditionalFormatting>
  <conditionalFormatting sqref="M6290:M6292">
    <cfRule type="cellIs" dxfId="237" priority="192" operator="lessThan">
      <formula>0</formula>
    </cfRule>
  </conditionalFormatting>
  <conditionalFormatting sqref="M6294:M6298">
    <cfRule type="cellIs" dxfId="236" priority="180" operator="lessThan">
      <formula>0</formula>
    </cfRule>
  </conditionalFormatting>
  <conditionalFormatting sqref="M6302:M6304">
    <cfRule type="cellIs" dxfId="235" priority="176" operator="lessThan">
      <formula>0</formula>
    </cfRule>
  </conditionalFormatting>
  <conditionalFormatting sqref="M6306:M6312">
    <cfRule type="cellIs" dxfId="234" priority="174" operator="lessThan">
      <formula>0</formula>
    </cfRule>
  </conditionalFormatting>
  <conditionalFormatting sqref="M6316:M6334">
    <cfRule type="cellIs" dxfId="233" priority="168" operator="lessThan">
      <formula>0</formula>
    </cfRule>
  </conditionalFormatting>
  <conditionalFormatting sqref="M6336:M6337">
    <cfRule type="cellIs" dxfId="232" priority="165" operator="lessThan">
      <formula>0</formula>
    </cfRule>
  </conditionalFormatting>
  <conditionalFormatting sqref="M6340:M6342">
    <cfRule type="cellIs" dxfId="231" priority="160" operator="lessThan">
      <formula>0</formula>
    </cfRule>
  </conditionalFormatting>
  <conditionalFormatting sqref="M6346:M6394">
    <cfRule type="cellIs" dxfId="230" priority="154" operator="lessThan">
      <formula>0</formula>
    </cfRule>
  </conditionalFormatting>
  <conditionalFormatting sqref="M6396:M6419">
    <cfRule type="cellIs" dxfId="229" priority="151" operator="lessThan">
      <formula>0</formula>
    </cfRule>
  </conditionalFormatting>
  <conditionalFormatting sqref="M6422:M6426">
    <cfRule type="cellIs" dxfId="228" priority="142" operator="lessThan">
      <formula>0</formula>
    </cfRule>
  </conditionalFormatting>
  <conditionalFormatting sqref="M6431:M6455">
    <cfRule type="cellIs" dxfId="227" priority="204" operator="lessThan">
      <formula>0</formula>
    </cfRule>
  </conditionalFormatting>
  <conditionalFormatting sqref="M6459:M6468">
    <cfRule type="cellIs" dxfId="226" priority="139" operator="lessThan">
      <formula>0</formula>
    </cfRule>
  </conditionalFormatting>
  <conditionalFormatting sqref="M6470:M6487">
    <cfRule type="cellIs" dxfId="225" priority="137" operator="lessThan">
      <formula>0</formula>
    </cfRule>
  </conditionalFormatting>
  <conditionalFormatting sqref="M6489">
    <cfRule type="cellIs" dxfId="224" priority="894" operator="lessThan">
      <formula>0</formula>
    </cfRule>
  </conditionalFormatting>
  <conditionalFormatting sqref="M6491">
    <cfRule type="cellIs" dxfId="223" priority="906" operator="lessThan">
      <formula>0</formula>
    </cfRule>
  </conditionalFormatting>
  <conditionalFormatting sqref="M6493:M6498">
    <cfRule type="cellIs" dxfId="222" priority="136" operator="lessThan">
      <formula>0</formula>
    </cfRule>
  </conditionalFormatting>
  <conditionalFormatting sqref="M6500:M6502">
    <cfRule type="cellIs" dxfId="221" priority="185" operator="lessThan">
      <formula>0</formula>
    </cfRule>
  </conditionalFormatting>
  <conditionalFormatting sqref="M6505:M6507">
    <cfRule type="cellIs" dxfId="220" priority="183" operator="lessThan">
      <formula>0</formula>
    </cfRule>
  </conditionalFormatting>
  <conditionalFormatting sqref="M6511:M6513">
    <cfRule type="cellIs" dxfId="219" priority="149" operator="lessThan">
      <formula>0</formula>
    </cfRule>
  </conditionalFormatting>
  <conditionalFormatting sqref="M6515:M6519">
    <cfRule type="cellIs" dxfId="218" priority="181" operator="lessThan">
      <formula>0</formula>
    </cfRule>
  </conditionalFormatting>
  <conditionalFormatting sqref="M6522:M6527">
    <cfRule type="cellIs" dxfId="217" priority="179" operator="lessThan">
      <formula>0</formula>
    </cfRule>
  </conditionalFormatting>
  <conditionalFormatting sqref="M6531:M6532">
    <cfRule type="cellIs" dxfId="216" priority="177" operator="lessThan">
      <formula>0</formula>
    </cfRule>
  </conditionalFormatting>
  <conditionalFormatting sqref="M6535:M6540">
    <cfRule type="cellIs" dxfId="215" priority="173" operator="lessThan">
      <formula>0</formula>
    </cfRule>
  </conditionalFormatting>
  <conditionalFormatting sqref="M6543:M6562">
    <cfRule type="cellIs" dxfId="214" priority="167" operator="lessThan">
      <formula>0</formula>
    </cfRule>
  </conditionalFormatting>
  <conditionalFormatting sqref="M6564:M6565">
    <cfRule type="cellIs" dxfId="213" priority="164" operator="lessThan">
      <formula>0</formula>
    </cfRule>
  </conditionalFormatting>
  <conditionalFormatting sqref="M6568:M6570">
    <cfRule type="cellIs" dxfId="212" priority="162" operator="lessThan">
      <formula>0</formula>
    </cfRule>
  </conditionalFormatting>
  <conditionalFormatting sqref="M6575:M6623">
    <cfRule type="cellIs" dxfId="211" priority="155" operator="lessThan">
      <formula>0</formula>
    </cfRule>
  </conditionalFormatting>
  <conditionalFormatting sqref="M6625:M6648">
    <cfRule type="cellIs" dxfId="210" priority="152" operator="lessThan">
      <formula>0</formula>
    </cfRule>
  </conditionalFormatting>
  <conditionalFormatting sqref="M6651:M6655">
    <cfRule type="cellIs" dxfId="209" priority="143" operator="lessThan">
      <formula>0</formula>
    </cfRule>
  </conditionalFormatting>
  <conditionalFormatting sqref="M6659:M6683">
    <cfRule type="cellIs" dxfId="208" priority="202" operator="lessThan">
      <formula>0</formula>
    </cfRule>
  </conditionalFormatting>
  <conditionalFormatting sqref="M6686:M6695">
    <cfRule type="cellIs" dxfId="207" priority="140" operator="lessThan">
      <formula>0</formula>
    </cfRule>
  </conditionalFormatting>
  <conditionalFormatting sqref="M6697:M6715">
    <cfRule type="cellIs" dxfId="206" priority="135" operator="lessThan">
      <formula>0</formula>
    </cfRule>
  </conditionalFormatting>
  <conditionalFormatting sqref="M6718:M6720">
    <cfRule type="cellIs" dxfId="205" priority="134" operator="lessThan">
      <formula>0</formula>
    </cfRule>
  </conditionalFormatting>
  <conditionalFormatting sqref="M6723:M6725">
    <cfRule type="cellIs" dxfId="204" priority="133" operator="lessThan">
      <formula>0</formula>
    </cfRule>
  </conditionalFormatting>
  <conditionalFormatting sqref="M6727:M6731">
    <cfRule type="cellIs" dxfId="203" priority="184" operator="lessThan">
      <formula>0</formula>
    </cfRule>
  </conditionalFormatting>
  <conditionalFormatting sqref="M6735:M6739">
    <cfRule type="cellIs" dxfId="202" priority="182" operator="lessThan">
      <formula>0</formula>
    </cfRule>
  </conditionalFormatting>
  <conditionalFormatting sqref="M6741:M6743">
    <cfRule type="cellIs" dxfId="201" priority="150" operator="lessThan">
      <formula>0</formula>
    </cfRule>
  </conditionalFormatting>
  <conditionalFormatting sqref="M6748:M6749">
    <cfRule type="cellIs" dxfId="200" priority="148" operator="lessThan">
      <formula>0</formula>
    </cfRule>
  </conditionalFormatting>
  <conditionalFormatting sqref="M6752:M6756">
    <cfRule type="cellIs" dxfId="199" priority="178" operator="lessThan">
      <formula>0</formula>
    </cfRule>
  </conditionalFormatting>
  <conditionalFormatting sqref="M6760:M6762">
    <cfRule type="cellIs" dxfId="198" priority="175" operator="lessThan">
      <formula>0</formula>
    </cfRule>
  </conditionalFormatting>
  <conditionalFormatting sqref="M6764:M6770">
    <cfRule type="cellIs" dxfId="197" priority="172" operator="lessThan">
      <formula>0</formula>
    </cfRule>
  </conditionalFormatting>
  <conditionalFormatting sqref="M6774:M6789">
    <cfRule type="cellIs" dxfId="196" priority="171" operator="lessThan">
      <formula>0</formula>
    </cfRule>
  </conditionalFormatting>
  <conditionalFormatting sqref="M6791:M6792">
    <cfRule type="cellIs" dxfId="195" priority="166" operator="lessThan">
      <formula>0</formula>
    </cfRule>
  </conditionalFormatting>
  <conditionalFormatting sqref="M6794:M6795">
    <cfRule type="cellIs" dxfId="194" priority="163" operator="lessThan">
      <formula>0</formula>
    </cfRule>
  </conditionalFormatting>
  <conditionalFormatting sqref="M6798:M6800">
    <cfRule type="cellIs" dxfId="193" priority="161" operator="lessThan">
      <formula>0</formula>
    </cfRule>
  </conditionalFormatting>
  <conditionalFormatting sqref="M6804:M6852">
    <cfRule type="cellIs" dxfId="192" priority="156" operator="lessThan">
      <formula>0</formula>
    </cfRule>
  </conditionalFormatting>
  <conditionalFormatting sqref="M6854:M6877">
    <cfRule type="cellIs" dxfId="191" priority="153" operator="lessThan">
      <formula>0</formula>
    </cfRule>
  </conditionalFormatting>
  <conditionalFormatting sqref="M6880:M6884">
    <cfRule type="cellIs" dxfId="190" priority="144" operator="lessThan">
      <formula>0</formula>
    </cfRule>
  </conditionalFormatting>
  <conditionalFormatting sqref="M6889:M6900">
    <cfRule type="cellIs" dxfId="189" priority="201" operator="lessThan">
      <formula>0</formula>
    </cfRule>
  </conditionalFormatting>
  <conditionalFormatting sqref="M6902:M6913">
    <cfRule type="cellIs" dxfId="188" priority="200" operator="lessThan">
      <formula>0</formula>
    </cfRule>
  </conditionalFormatting>
  <conditionalFormatting sqref="M6917:M6925">
    <cfRule type="cellIs" dxfId="187" priority="141" operator="lessThan">
      <formula>0</formula>
    </cfRule>
  </conditionalFormatting>
  <conditionalFormatting sqref="M6928:M6945">
    <cfRule type="cellIs" dxfId="186" priority="132" operator="lessThan">
      <formula>0</formula>
    </cfRule>
  </conditionalFormatting>
  <conditionalFormatting sqref="M6949:M6968">
    <cfRule type="cellIs" dxfId="185" priority="883" operator="lessThan">
      <formula>0</formula>
    </cfRule>
  </conditionalFormatting>
  <conditionalFormatting sqref="M6970:M6989">
    <cfRule type="cellIs" dxfId="184" priority="880" operator="lessThan">
      <formula>0</formula>
    </cfRule>
  </conditionalFormatting>
  <conditionalFormatting sqref="M6991">
    <cfRule type="cellIs" dxfId="183" priority="923" operator="lessThan">
      <formula>0</formula>
    </cfRule>
  </conditionalFormatting>
  <conditionalFormatting sqref="M6993:M7011">
    <cfRule type="cellIs" dxfId="182" priority="878" operator="lessThan">
      <formula>0</formula>
    </cfRule>
  </conditionalFormatting>
  <conditionalFormatting sqref="M7013:M7031">
    <cfRule type="cellIs" dxfId="181" priority="876" operator="lessThan">
      <formula>0</formula>
    </cfRule>
  </conditionalFormatting>
  <conditionalFormatting sqref="M7033:M7052">
    <cfRule type="cellIs" dxfId="180" priority="874" operator="lessThan">
      <formula>0</formula>
    </cfRule>
  </conditionalFormatting>
  <conditionalFormatting sqref="M7054:M7094">
    <cfRule type="cellIs" dxfId="179" priority="870" operator="lessThan">
      <formula>0</formula>
    </cfRule>
  </conditionalFormatting>
  <conditionalFormatting sqref="M7096:M7115">
    <cfRule type="cellIs" dxfId="178" priority="868" operator="lessThan">
      <formula>0</formula>
    </cfRule>
  </conditionalFormatting>
  <conditionalFormatting sqref="M7118:M7136">
    <cfRule type="cellIs" dxfId="177" priority="768" operator="lessThan">
      <formula>0</formula>
    </cfRule>
  </conditionalFormatting>
  <conditionalFormatting sqref="M7138:M7175">
    <cfRule type="cellIs" dxfId="176" priority="770" operator="lessThan">
      <formula>0</formula>
    </cfRule>
  </conditionalFormatting>
  <conditionalFormatting sqref="M7177:M7215">
    <cfRule type="cellIs" dxfId="175" priority="771" operator="lessThan">
      <formula>0</formula>
    </cfRule>
  </conditionalFormatting>
  <conditionalFormatting sqref="M7217:M7236">
    <cfRule type="cellIs" dxfId="174" priority="773" operator="lessThan">
      <formula>0</formula>
    </cfRule>
  </conditionalFormatting>
  <conditionalFormatting sqref="M7257:M7275">
    <cfRule type="cellIs" dxfId="173" priority="775" operator="lessThan">
      <formula>0</formula>
    </cfRule>
  </conditionalFormatting>
  <conditionalFormatting sqref="M7277:M7295">
    <cfRule type="cellIs" dxfId="172" priority="776" operator="lessThan">
      <formula>0</formula>
    </cfRule>
  </conditionalFormatting>
  <conditionalFormatting sqref="M7297:M7335">
    <cfRule type="cellIs" dxfId="171" priority="777" operator="lessThan">
      <formula>0</formula>
    </cfRule>
  </conditionalFormatting>
  <conditionalFormatting sqref="M7337:M7355">
    <cfRule type="cellIs" dxfId="170" priority="922" operator="lessThan">
      <formula>0</formula>
    </cfRule>
  </conditionalFormatting>
  <conditionalFormatting sqref="M7357:M7395">
    <cfRule type="cellIs" dxfId="169" priority="780" operator="lessThan">
      <formula>0</formula>
    </cfRule>
  </conditionalFormatting>
  <conditionalFormatting sqref="M7397:M7416">
    <cfRule type="cellIs" dxfId="168" priority="782" operator="lessThan">
      <formula>0</formula>
    </cfRule>
  </conditionalFormatting>
  <conditionalFormatting sqref="M7418:M7454">
    <cfRule type="cellIs" dxfId="167" priority="783" operator="lessThan">
      <formula>0</formula>
    </cfRule>
  </conditionalFormatting>
  <conditionalFormatting sqref="M7456:M7494">
    <cfRule type="cellIs" dxfId="166" priority="785" operator="lessThan">
      <formula>0</formula>
    </cfRule>
  </conditionalFormatting>
  <conditionalFormatting sqref="M7496:M7514">
    <cfRule type="cellIs" dxfId="165" priority="787" operator="lessThan">
      <formula>0</formula>
    </cfRule>
  </conditionalFormatting>
  <conditionalFormatting sqref="M7516:M7534">
    <cfRule type="cellIs" dxfId="164" priority="788" operator="lessThan">
      <formula>0</formula>
    </cfRule>
  </conditionalFormatting>
  <conditionalFormatting sqref="M7537:M7574">
    <cfRule type="cellIs" dxfId="163" priority="790" operator="lessThan">
      <formula>0</formula>
    </cfRule>
  </conditionalFormatting>
  <conditionalFormatting sqref="M7576:M7614">
    <cfRule type="cellIs" dxfId="162" priority="791" operator="lessThan">
      <formula>0</formula>
    </cfRule>
  </conditionalFormatting>
  <conditionalFormatting sqref="M7616:M7635">
    <cfRule type="cellIs" dxfId="161" priority="793" operator="lessThan">
      <formula>0</formula>
    </cfRule>
  </conditionalFormatting>
  <conditionalFormatting sqref="M7637:M7674">
    <cfRule type="cellIs" dxfId="160" priority="794" operator="lessThan">
      <formula>0</formula>
    </cfRule>
  </conditionalFormatting>
  <conditionalFormatting sqref="M7676:M7714">
    <cfRule type="cellIs" dxfId="159" priority="798" operator="lessThan">
      <formula>0</formula>
    </cfRule>
  </conditionalFormatting>
  <conditionalFormatting sqref="M7716">
    <cfRule type="cellIs" dxfId="158" priority="917" operator="lessThan">
      <formula>0</formula>
    </cfRule>
  </conditionalFormatting>
  <conditionalFormatting sqref="M7720:M7738">
    <cfRule type="cellIs" dxfId="157" priority="800" operator="lessThan">
      <formula>0</formula>
    </cfRule>
  </conditionalFormatting>
  <conditionalFormatting sqref="M7740:M7758">
    <cfRule type="cellIs" dxfId="156" priority="802" operator="lessThan">
      <formula>0</formula>
    </cfRule>
  </conditionalFormatting>
  <conditionalFormatting sqref="M7761:M7779">
    <cfRule type="cellIs" dxfId="155" priority="767" operator="lessThan">
      <formula>0</formula>
    </cfRule>
  </conditionalFormatting>
  <conditionalFormatting sqref="M7783:M7797">
    <cfRule type="cellIs" dxfId="154" priority="764" operator="lessThan">
      <formula>0</formula>
    </cfRule>
  </conditionalFormatting>
  <conditionalFormatting sqref="M7799:M7828">
    <cfRule type="cellIs" dxfId="153" priority="494" operator="lessThan">
      <formula>0</formula>
    </cfRule>
  </conditionalFormatting>
  <conditionalFormatting sqref="M7830">
    <cfRule type="cellIs" dxfId="152" priority="915" operator="lessThan">
      <formula>0</formula>
    </cfRule>
  </conditionalFormatting>
  <conditionalFormatting sqref="M7832:M7845">
    <cfRule type="cellIs" dxfId="151" priority="493" operator="lessThan">
      <formula>0</formula>
    </cfRule>
  </conditionalFormatting>
  <conditionalFormatting sqref="M7847:M7860">
    <cfRule type="cellIs" dxfId="150" priority="492" operator="lessThan">
      <formula>0</formula>
    </cfRule>
  </conditionalFormatting>
  <conditionalFormatting sqref="M7862:M7876">
    <cfRule type="cellIs" dxfId="149" priority="491" operator="lessThan">
      <formula>0</formula>
    </cfRule>
  </conditionalFormatting>
  <conditionalFormatting sqref="M7878:M7908">
    <cfRule type="cellIs" dxfId="148" priority="489" operator="lessThan">
      <formula>0</formula>
    </cfRule>
  </conditionalFormatting>
  <conditionalFormatting sqref="M7910">
    <cfRule type="cellIs" dxfId="147" priority="916" operator="lessThan">
      <formula>0</formula>
    </cfRule>
  </conditionalFormatting>
  <conditionalFormatting sqref="M7912">
    <cfRule type="cellIs" dxfId="146" priority="1083" operator="lessThan">
      <formula>0</formula>
    </cfRule>
  </conditionalFormatting>
  <conditionalFormatting sqref="M7914:M7927">
    <cfRule type="cellIs" dxfId="145" priority="488" operator="lessThan">
      <formula>0</formula>
    </cfRule>
  </conditionalFormatting>
  <conditionalFormatting sqref="M7929:M7943">
    <cfRule type="cellIs" dxfId="144" priority="487" operator="lessThan">
      <formula>0</formula>
    </cfRule>
  </conditionalFormatting>
  <conditionalFormatting sqref="M7945:M7975">
    <cfRule type="cellIs" dxfId="143" priority="485" operator="lessThan">
      <formula>0</formula>
    </cfRule>
  </conditionalFormatting>
  <conditionalFormatting sqref="M7977:M7992">
    <cfRule type="cellIs" dxfId="142" priority="484" operator="lessThan">
      <formula>0</formula>
    </cfRule>
  </conditionalFormatting>
  <conditionalFormatting sqref="M7994:M8022">
    <cfRule type="cellIs" dxfId="141" priority="482" operator="lessThan">
      <formula>0</formula>
    </cfRule>
  </conditionalFormatting>
  <conditionalFormatting sqref="M8024:M8039">
    <cfRule type="cellIs" dxfId="140" priority="481" operator="lessThan">
      <formula>0</formula>
    </cfRule>
  </conditionalFormatting>
  <conditionalFormatting sqref="M8044:M8072">
    <cfRule type="cellIs" dxfId="139" priority="479" operator="lessThan">
      <formula>0</formula>
    </cfRule>
  </conditionalFormatting>
  <conditionalFormatting sqref="M8074:M8104">
    <cfRule type="cellIs" dxfId="138" priority="477" operator="lessThan">
      <formula>0</formula>
    </cfRule>
  </conditionalFormatting>
  <conditionalFormatting sqref="M8106 M8108 M8110">
    <cfRule type="cellIs" dxfId="137" priority="1000" operator="lessThan">
      <formula>0</formula>
    </cfRule>
  </conditionalFormatting>
  <conditionalFormatting sqref="M8112:M8127">
    <cfRule type="cellIs" dxfId="136" priority="476" operator="lessThan">
      <formula>0</formula>
    </cfRule>
  </conditionalFormatting>
  <conditionalFormatting sqref="M8132:M8146">
    <cfRule type="cellIs" dxfId="135" priority="475" operator="lessThan">
      <formula>0</formula>
    </cfRule>
  </conditionalFormatting>
  <conditionalFormatting sqref="M8148:M8178">
    <cfRule type="cellIs" dxfId="134" priority="473" operator="lessThan">
      <formula>0</formula>
    </cfRule>
  </conditionalFormatting>
  <conditionalFormatting sqref="M8180:M8210">
    <cfRule type="cellIs" dxfId="133" priority="471" operator="lessThan">
      <formula>0</formula>
    </cfRule>
  </conditionalFormatting>
  <conditionalFormatting sqref="M8212">
    <cfRule type="cellIs" dxfId="132" priority="998" operator="lessThan">
      <formula>0</formula>
    </cfRule>
  </conditionalFormatting>
  <conditionalFormatting sqref="M8214:M8243">
    <cfRule type="cellIs" dxfId="131" priority="469" operator="lessThan">
      <formula>0</formula>
    </cfRule>
  </conditionalFormatting>
  <conditionalFormatting sqref="M8245:M8260">
    <cfRule type="cellIs" dxfId="130" priority="468" operator="lessThan">
      <formula>0</formula>
    </cfRule>
  </conditionalFormatting>
  <conditionalFormatting sqref="M8264:M8277">
    <cfRule type="cellIs" dxfId="129" priority="467" operator="lessThan">
      <formula>0</formula>
    </cfRule>
  </conditionalFormatting>
  <conditionalFormatting sqref="M8279:M8294">
    <cfRule type="cellIs" dxfId="128" priority="466" operator="lessThan">
      <formula>0</formula>
    </cfRule>
  </conditionalFormatting>
  <conditionalFormatting sqref="M8296:M8326">
    <cfRule type="cellIs" dxfId="127" priority="464" operator="lessThan">
      <formula>0</formula>
    </cfRule>
  </conditionalFormatting>
  <conditionalFormatting sqref="M8328:M8343">
    <cfRule type="cellIs" dxfId="126" priority="463" operator="lessThan">
      <formula>0</formula>
    </cfRule>
  </conditionalFormatting>
  <conditionalFormatting sqref="M8345 M8347">
    <cfRule type="cellIs" dxfId="125" priority="996" operator="lessThan">
      <formula>0</formula>
    </cfRule>
  </conditionalFormatting>
  <conditionalFormatting sqref="M8349:M8364">
    <cfRule type="cellIs" dxfId="124" priority="462" operator="lessThan">
      <formula>0</formula>
    </cfRule>
  </conditionalFormatting>
  <conditionalFormatting sqref="M8367:M8380">
    <cfRule type="cellIs" dxfId="123" priority="461" operator="lessThan">
      <formula>0</formula>
    </cfRule>
  </conditionalFormatting>
  <conditionalFormatting sqref="M8382:M8395">
    <cfRule type="cellIs" dxfId="122" priority="460" operator="lessThan">
      <formula>0</formula>
    </cfRule>
  </conditionalFormatting>
  <conditionalFormatting sqref="M8397:M8427">
    <cfRule type="cellIs" dxfId="121" priority="458" operator="lessThan">
      <formula>0</formula>
    </cfRule>
  </conditionalFormatting>
  <conditionalFormatting sqref="M8429:M8459">
    <cfRule type="cellIs" dxfId="120" priority="456" operator="lessThan">
      <formula>0</formula>
    </cfRule>
  </conditionalFormatting>
  <conditionalFormatting sqref="M8461 M8463">
    <cfRule type="cellIs" dxfId="119" priority="994" operator="lessThan">
      <formula>0</formula>
    </cfRule>
  </conditionalFormatting>
  <conditionalFormatting sqref="M8465:M8495">
    <cfRule type="cellIs" dxfId="118" priority="454" operator="lessThan">
      <formula>0</formula>
    </cfRule>
  </conditionalFormatting>
  <conditionalFormatting sqref="M8502:M8517">
    <cfRule type="cellIs" dxfId="117" priority="453" operator="lessThan">
      <formula>0</formula>
    </cfRule>
  </conditionalFormatting>
  <conditionalFormatting sqref="M8519:M8534">
    <cfRule type="cellIs" dxfId="116" priority="452" operator="lessThan">
      <formula>0</formula>
    </cfRule>
  </conditionalFormatting>
  <conditionalFormatting sqref="M8536:M8550">
    <cfRule type="cellIs" dxfId="115" priority="451" operator="lessThan">
      <formula>0</formula>
    </cfRule>
  </conditionalFormatting>
  <conditionalFormatting sqref="M8552:M8566">
    <cfRule type="cellIs" dxfId="114" priority="450" operator="lessThan">
      <formula>0</formula>
    </cfRule>
  </conditionalFormatting>
  <conditionalFormatting sqref="M8568 M8619 M8621">
    <cfRule type="cellIs" dxfId="113" priority="992" operator="lessThan">
      <formula>0</formula>
    </cfRule>
  </conditionalFormatting>
  <conditionalFormatting sqref="M8570:M8584">
    <cfRule type="cellIs" dxfId="112" priority="449" operator="lessThan">
      <formula>0</formula>
    </cfRule>
  </conditionalFormatting>
  <conditionalFormatting sqref="M8587:M8601">
    <cfRule type="cellIs" dxfId="111" priority="448" operator="lessThan">
      <formula>0</formula>
    </cfRule>
  </conditionalFormatting>
  <conditionalFormatting sqref="M8603:M8617">
    <cfRule type="cellIs" dxfId="110" priority="447" operator="lessThan">
      <formula>0</formula>
    </cfRule>
  </conditionalFormatting>
  <conditionalFormatting sqref="M8623 M8625 M8627">
    <cfRule type="cellIs" dxfId="109" priority="990" operator="lessThan">
      <formula>0</formula>
    </cfRule>
  </conditionalFormatting>
  <conditionalFormatting sqref="M8629">
    <cfRule type="cellIs" dxfId="108" priority="989" operator="lessThan">
      <formula>0</formula>
    </cfRule>
  </conditionalFormatting>
  <conditionalFormatting sqref="M8661:M8662 M9761">
    <cfRule type="cellIs" dxfId="107" priority="988" operator="lessThan">
      <formula>0</formula>
    </cfRule>
  </conditionalFormatting>
  <conditionalFormatting sqref="M8666:M8681">
    <cfRule type="cellIs" dxfId="106" priority="332" operator="lessThan">
      <formula>0</formula>
    </cfRule>
  </conditionalFormatting>
  <conditionalFormatting sqref="M8687:M8776">
    <cfRule type="cellIs" dxfId="105" priority="328" operator="lessThan">
      <formula>0</formula>
    </cfRule>
  </conditionalFormatting>
  <conditionalFormatting sqref="M8778:M8806">
    <cfRule type="cellIs" dxfId="104" priority="327" operator="lessThan">
      <formula>0</formula>
    </cfRule>
  </conditionalFormatting>
  <conditionalFormatting sqref="M8808:M8836">
    <cfRule type="cellIs" dxfId="103" priority="326" operator="lessThan">
      <formula>0</formula>
    </cfRule>
  </conditionalFormatting>
  <conditionalFormatting sqref="M8838:M8867">
    <cfRule type="cellIs" dxfId="102" priority="325" operator="lessThan">
      <formula>0</formula>
    </cfRule>
  </conditionalFormatting>
  <conditionalFormatting sqref="M8869">
    <cfRule type="cellIs" dxfId="101" priority="968" operator="lessThan">
      <formula>0</formula>
    </cfRule>
  </conditionalFormatting>
  <conditionalFormatting sqref="M8871">
    <cfRule type="cellIs" dxfId="100" priority="953" operator="lessThan">
      <formula>0</formula>
    </cfRule>
  </conditionalFormatting>
  <conditionalFormatting sqref="M8874:M9053">
    <cfRule type="cellIs" dxfId="99" priority="319" operator="lessThan">
      <formula>0</formula>
    </cfRule>
  </conditionalFormatting>
  <conditionalFormatting sqref="M9055">
    <cfRule type="cellIs" dxfId="98" priority="966" operator="lessThan">
      <formula>0</formula>
    </cfRule>
  </conditionalFormatting>
  <conditionalFormatting sqref="M9057:M9058">
    <cfRule type="cellIs" dxfId="97" priority="965" operator="lessThan">
      <formula>0</formula>
    </cfRule>
  </conditionalFormatting>
  <conditionalFormatting sqref="M9063:M9091">
    <cfRule type="cellIs" dxfId="96" priority="318" operator="lessThan">
      <formula>0</formula>
    </cfRule>
  </conditionalFormatting>
  <conditionalFormatting sqref="M9093:M9121">
    <cfRule type="cellIs" dxfId="95" priority="317" operator="lessThan">
      <formula>0</formula>
    </cfRule>
  </conditionalFormatting>
  <conditionalFormatting sqref="M9123:M9151">
    <cfRule type="cellIs" dxfId="94" priority="316" operator="lessThan">
      <formula>0</formula>
    </cfRule>
  </conditionalFormatting>
  <conditionalFormatting sqref="M9153:M9182">
    <cfRule type="cellIs" dxfId="93" priority="315" operator="lessThan">
      <formula>0</formula>
    </cfRule>
  </conditionalFormatting>
  <conditionalFormatting sqref="M9185 M9187 M9189 M9193">
    <cfRule type="cellIs" dxfId="92" priority="962" operator="lessThan">
      <formula>0</formula>
    </cfRule>
  </conditionalFormatting>
  <conditionalFormatting sqref="M9191">
    <cfRule type="cellIs" dxfId="91" priority="950" operator="lessThan">
      <formula>0</formula>
    </cfRule>
  </conditionalFormatting>
  <conditionalFormatting sqref="M9195">
    <cfRule type="cellIs" dxfId="90" priority="961" operator="lessThan">
      <formula>0</formula>
    </cfRule>
  </conditionalFormatting>
  <conditionalFormatting sqref="M9201:M9257">
    <cfRule type="cellIs" dxfId="89" priority="130" operator="lessThan">
      <formula>0</formula>
    </cfRule>
  </conditionalFormatting>
  <conditionalFormatting sqref="M9259:M9315">
    <cfRule type="cellIs" dxfId="88" priority="128" operator="lessThan">
      <formula>0</formula>
    </cfRule>
  </conditionalFormatting>
  <conditionalFormatting sqref="M9317:M9373">
    <cfRule type="cellIs" dxfId="87" priority="126" operator="lessThan">
      <formula>0</formula>
    </cfRule>
  </conditionalFormatting>
  <conditionalFormatting sqref="M9375:M9402">
    <cfRule type="cellIs" dxfId="86" priority="125" operator="lessThan">
      <formula>0</formula>
    </cfRule>
  </conditionalFormatting>
  <conditionalFormatting sqref="M9405:M9490">
    <cfRule type="cellIs" dxfId="85" priority="122" operator="lessThan">
      <formula>0</formula>
    </cfRule>
  </conditionalFormatting>
  <conditionalFormatting sqref="M9492:M9548">
    <cfRule type="cellIs" dxfId="84" priority="120" operator="lessThan">
      <formula>0</formula>
    </cfRule>
  </conditionalFormatting>
  <conditionalFormatting sqref="M9550:M9578">
    <cfRule type="cellIs" dxfId="83" priority="119" operator="lessThan">
      <formula>0</formula>
    </cfRule>
  </conditionalFormatting>
  <conditionalFormatting sqref="M9582:M9640">
    <cfRule type="cellIs" dxfId="82" priority="117" operator="lessThan">
      <formula>0</formula>
    </cfRule>
  </conditionalFormatting>
  <conditionalFormatting sqref="M9644:M9673">
    <cfRule type="cellIs" dxfId="81" priority="114" operator="lessThan">
      <formula>0</formula>
    </cfRule>
  </conditionalFormatting>
  <conditionalFormatting sqref="M9676:M9706">
    <cfRule type="cellIs" dxfId="80" priority="111" operator="lessThan">
      <formula>0</formula>
    </cfRule>
  </conditionalFormatting>
  <conditionalFormatting sqref="M9710:M9718">
    <cfRule type="cellIs" dxfId="79" priority="110" operator="lessThan">
      <formula>0</formula>
    </cfRule>
  </conditionalFormatting>
  <conditionalFormatting sqref="M9720:M9728">
    <cfRule type="cellIs" dxfId="78" priority="109" operator="lessThan">
      <formula>0</formula>
    </cfRule>
  </conditionalFormatting>
  <conditionalFormatting sqref="M9730:M9738">
    <cfRule type="cellIs" dxfId="77" priority="107" operator="lessThan">
      <formula>0</formula>
    </cfRule>
  </conditionalFormatting>
  <conditionalFormatting sqref="M9740:M9747">
    <cfRule type="cellIs" dxfId="76" priority="106" operator="lessThan">
      <formula>0</formula>
    </cfRule>
  </conditionalFormatting>
  <conditionalFormatting sqref="M9752 M9754 M9756">
    <cfRule type="cellIs" dxfId="75" priority="956" operator="lessThan">
      <formula>0</formula>
    </cfRule>
  </conditionalFormatting>
  <conditionalFormatting sqref="M9763 M9766 M9773">
    <cfRule type="cellIs" dxfId="74" priority="986" operator="lessThan">
      <formula>0</formula>
    </cfRule>
  </conditionalFormatting>
  <conditionalFormatting sqref="M9776 M9778 M9780 M9786 M9788">
    <cfRule type="cellIs" dxfId="73" priority="984" operator="lessThan">
      <formula>0</formula>
    </cfRule>
  </conditionalFormatting>
  <conditionalFormatting sqref="M9782">
    <cfRule type="cellIs" dxfId="72" priority="983" operator="lessThan">
      <formula>0</formula>
    </cfRule>
  </conditionalFormatting>
  <conditionalFormatting sqref="M9790 M9792">
    <cfRule type="cellIs" dxfId="71" priority="982" operator="lessThan">
      <formula>0</formula>
    </cfRule>
  </conditionalFormatting>
  <conditionalFormatting sqref="M9795">
    <cfRule type="cellIs" dxfId="70" priority="981" operator="lessThan">
      <formula>0</formula>
    </cfRule>
  </conditionalFormatting>
  <conditionalFormatting sqref="M9801 M9804 M9813">
    <cfRule type="cellIs" dxfId="69" priority="980" operator="lessThan">
      <formula>0</formula>
    </cfRule>
  </conditionalFormatting>
  <conditionalFormatting sqref="M9815">
    <cfRule type="cellIs" dxfId="68" priority="978" operator="lessThan">
      <formula>0</formula>
    </cfRule>
  </conditionalFormatting>
  <conditionalFormatting sqref="M9819">
    <cfRule type="cellIs" dxfId="67" priority="977" operator="lessThan">
      <formula>0</formula>
    </cfRule>
  </conditionalFormatting>
  <conditionalFormatting sqref="M9829">
    <cfRule type="cellIs" dxfId="66" priority="975" operator="lessThan">
      <formula>0</formula>
    </cfRule>
  </conditionalFormatting>
  <conditionalFormatting sqref="M9836 M9839">
    <cfRule type="cellIs" dxfId="65" priority="974" operator="lessThan">
      <formula>0</formula>
    </cfRule>
  </conditionalFormatting>
  <conditionalFormatting sqref="M9848 M9857">
    <cfRule type="cellIs" dxfId="64" priority="972" operator="lessThan">
      <formula>0</formula>
    </cfRule>
  </conditionalFormatting>
  <conditionalFormatting sqref="M9853">
    <cfRule type="cellIs" dxfId="63" priority="971" operator="lessThan">
      <formula>0</formula>
    </cfRule>
  </conditionalFormatting>
  <conditionalFormatting sqref="M9859:M9865">
    <cfRule type="cellIs" dxfId="62" priority="105" operator="lessThan">
      <formula>0</formula>
    </cfRule>
  </conditionalFormatting>
  <conditionalFormatting sqref="M9867:M9872">
    <cfRule type="cellIs" dxfId="61" priority="104" operator="lessThan">
      <formula>0</formula>
    </cfRule>
  </conditionalFormatting>
  <conditionalFormatting sqref="M9874:M9884">
    <cfRule type="cellIs" dxfId="60" priority="102" operator="lessThan">
      <formula>0</formula>
    </cfRule>
  </conditionalFormatting>
  <conditionalFormatting sqref="M9886:M9915">
    <cfRule type="cellIs" dxfId="59" priority="99" operator="lessThan">
      <formula>0</formula>
    </cfRule>
  </conditionalFormatting>
  <conditionalFormatting sqref="M9917:M9925">
    <cfRule type="cellIs" dxfId="58" priority="98" operator="lessThan">
      <formula>0</formula>
    </cfRule>
  </conditionalFormatting>
  <conditionalFormatting sqref="M9927:M9932">
    <cfRule type="cellIs" dxfId="57" priority="97" operator="lessThan">
      <formula>0</formula>
    </cfRule>
  </conditionalFormatting>
  <conditionalFormatting sqref="M9934:M9938">
    <cfRule type="cellIs" dxfId="56" priority="96" operator="lessThan">
      <formula>0</formula>
    </cfRule>
  </conditionalFormatting>
  <conditionalFormatting sqref="M9940:M9948">
    <cfRule type="cellIs" dxfId="55" priority="95" operator="lessThan">
      <formula>0</formula>
    </cfRule>
  </conditionalFormatting>
  <conditionalFormatting sqref="M9950:M9957">
    <cfRule type="cellIs" dxfId="54" priority="94" operator="lessThan">
      <formula>0</formula>
    </cfRule>
  </conditionalFormatting>
  <conditionalFormatting sqref="M9959:M9967">
    <cfRule type="cellIs" dxfId="53" priority="93" operator="lessThan">
      <formula>0</formula>
    </cfRule>
  </conditionalFormatting>
  <conditionalFormatting sqref="M9969:M9976">
    <cfRule type="cellIs" dxfId="52" priority="91" operator="lessThan">
      <formula>0</formula>
    </cfRule>
  </conditionalFormatting>
  <conditionalFormatting sqref="M9978:M9983">
    <cfRule type="cellIs" dxfId="51" priority="90" operator="lessThan">
      <formula>0</formula>
    </cfRule>
  </conditionalFormatting>
  <conditionalFormatting sqref="M9985:M9989">
    <cfRule type="cellIs" dxfId="50" priority="88" operator="lessThan">
      <formula>0</formula>
    </cfRule>
  </conditionalFormatting>
  <conditionalFormatting sqref="M9991:M9992">
    <cfRule type="cellIs" dxfId="49" priority="87" operator="lessThan">
      <formula>0</formula>
    </cfRule>
  </conditionalFormatting>
  <conditionalFormatting sqref="M9994:M10002">
    <cfRule type="cellIs" dxfId="48" priority="84" operator="lessThan">
      <formula>0</formula>
    </cfRule>
  </conditionalFormatting>
  <conditionalFormatting sqref="M10004:M10009">
    <cfRule type="cellIs" dxfId="47" priority="85" operator="lessThan">
      <formula>0</formula>
    </cfRule>
  </conditionalFormatting>
  <conditionalFormatting sqref="M10011:M10027">
    <cfRule type="cellIs" dxfId="46" priority="80" operator="lessThan">
      <formula>0</formula>
    </cfRule>
  </conditionalFormatting>
  <conditionalFormatting sqref="M10029:M10032">
    <cfRule type="cellIs" dxfId="45" priority="77" operator="lessThan">
      <formula>0</formula>
    </cfRule>
  </conditionalFormatting>
  <conditionalFormatting sqref="M10034:M10037">
    <cfRule type="cellIs" dxfId="44" priority="78" operator="lessThan">
      <formula>0</formula>
    </cfRule>
  </conditionalFormatting>
  <conditionalFormatting sqref="M10039:M10060">
    <cfRule type="cellIs" dxfId="43" priority="72" operator="lessThan">
      <formula>0</formula>
    </cfRule>
  </conditionalFormatting>
  <conditionalFormatting sqref="M10062:M10066">
    <cfRule type="cellIs" dxfId="42" priority="70" operator="lessThan">
      <formula>0</formula>
    </cfRule>
  </conditionalFormatting>
  <conditionalFormatting sqref="M10068:M10088">
    <cfRule type="cellIs" dxfId="41" priority="68" operator="lessThan">
      <formula>0</formula>
    </cfRule>
  </conditionalFormatting>
  <conditionalFormatting sqref="M10090:M10126">
    <cfRule type="cellIs" dxfId="40" priority="66" operator="lessThan">
      <formula>0</formula>
    </cfRule>
  </conditionalFormatting>
  <conditionalFormatting sqref="M10128:M10146">
    <cfRule type="cellIs" dxfId="39" priority="65" operator="lessThan">
      <formula>0</formula>
    </cfRule>
  </conditionalFormatting>
  <conditionalFormatting sqref="M10148:M10152">
    <cfRule type="cellIs" dxfId="38" priority="58" operator="lessThan">
      <formula>0</formula>
    </cfRule>
  </conditionalFormatting>
  <conditionalFormatting sqref="M10154:M10162">
    <cfRule type="cellIs" dxfId="37" priority="61" operator="lessThan">
      <formula>0</formula>
    </cfRule>
  </conditionalFormatting>
  <conditionalFormatting sqref="M10164:M10171">
    <cfRule type="cellIs" dxfId="36" priority="60" operator="lessThan">
      <formula>0</formula>
    </cfRule>
  </conditionalFormatting>
  <conditionalFormatting sqref="M10173:M10181">
    <cfRule type="cellIs" dxfId="35" priority="59" operator="lessThan">
      <formula>0</formula>
    </cfRule>
  </conditionalFormatting>
  <conditionalFormatting sqref="M10183:M10190">
    <cfRule type="cellIs" dxfId="34" priority="63" operator="lessThan">
      <formula>0</formula>
    </cfRule>
  </conditionalFormatting>
  <conditionalFormatting sqref="M10192:M10197">
    <cfRule type="cellIs" dxfId="33" priority="62" operator="lessThan">
      <formula>0</formula>
    </cfRule>
  </conditionalFormatting>
  <conditionalFormatting sqref="M10199:M10205">
    <cfRule type="cellIs" dxfId="32" priority="1056" operator="lessThan">
      <formula>0</formula>
    </cfRule>
  </conditionalFormatting>
  <conditionalFormatting sqref="M10207:M10213">
    <cfRule type="cellIs" dxfId="31" priority="54" operator="lessThan">
      <formula>0</formula>
    </cfRule>
  </conditionalFormatting>
  <conditionalFormatting sqref="M10215:M10217">
    <cfRule type="cellIs" dxfId="30" priority="53" operator="lessThan">
      <formula>0</formula>
    </cfRule>
  </conditionalFormatting>
  <conditionalFormatting sqref="M10219:M10221">
    <cfRule type="cellIs" dxfId="29" priority="52" operator="lessThan">
      <formula>0</formula>
    </cfRule>
  </conditionalFormatting>
  <conditionalFormatting sqref="M10223:M10225">
    <cfRule type="cellIs" dxfId="28" priority="51" operator="lessThan">
      <formula>0</formula>
    </cfRule>
  </conditionalFormatting>
  <conditionalFormatting sqref="M10227:M10232">
    <cfRule type="cellIs" dxfId="27" priority="49" operator="lessThan">
      <formula>0</formula>
    </cfRule>
  </conditionalFormatting>
  <conditionalFormatting sqref="M10234:M10257">
    <cfRule type="cellIs" dxfId="26" priority="41" operator="lessThan">
      <formula>0</formula>
    </cfRule>
  </conditionalFormatting>
  <conditionalFormatting sqref="M10259:M10281">
    <cfRule type="cellIs" dxfId="25" priority="33" operator="lessThan">
      <formula>0</formula>
    </cfRule>
  </conditionalFormatting>
  <conditionalFormatting sqref="M10283:M10291">
    <cfRule type="cellIs" dxfId="24" priority="29" operator="lessThan">
      <formula>0</formula>
    </cfRule>
  </conditionalFormatting>
  <conditionalFormatting sqref="M10293:M10301">
    <cfRule type="cellIs" dxfId="23" priority="25" operator="lessThan">
      <formula>0</formula>
    </cfRule>
  </conditionalFormatting>
  <conditionalFormatting sqref="M10303:M10311">
    <cfRule type="cellIs" dxfId="22" priority="21" operator="lessThan">
      <formula>0</formula>
    </cfRule>
  </conditionalFormatting>
  <conditionalFormatting sqref="M10313:M10316">
    <cfRule type="cellIs" dxfId="21" priority="19" operator="lessThan">
      <formula>0</formula>
    </cfRule>
  </conditionalFormatting>
  <conditionalFormatting sqref="M10318:M10335">
    <cfRule type="cellIs" dxfId="20" priority="138" operator="lessThan">
      <formula>0</formula>
    </cfRule>
  </conditionalFormatting>
  <conditionalFormatting sqref="M10338 M10340">
    <cfRule type="cellIs" dxfId="19" priority="1054" operator="lessThan">
      <formula>0</formula>
    </cfRule>
  </conditionalFormatting>
  <conditionalFormatting sqref="M10342 M10344">
    <cfRule type="cellIs" dxfId="18" priority="1052" operator="lessThan">
      <formula>0</formula>
    </cfRule>
  </conditionalFormatting>
  <conditionalFormatting sqref="M10348:M10386">
    <cfRule type="cellIs" dxfId="17" priority="17" operator="lessThan">
      <formula>0</formula>
    </cfRule>
  </conditionalFormatting>
  <conditionalFormatting sqref="M10388:M10406">
    <cfRule type="cellIs" dxfId="16" priority="16" operator="lessThan">
      <formula>0</formula>
    </cfRule>
  </conditionalFormatting>
  <conditionalFormatting sqref="M10408:M10426">
    <cfRule type="cellIs" dxfId="15" priority="15" operator="lessThan">
      <formula>0</formula>
    </cfRule>
  </conditionalFormatting>
  <conditionalFormatting sqref="M10429:M10465">
    <cfRule type="cellIs" dxfId="14" priority="13" operator="lessThan">
      <formula>0</formula>
    </cfRule>
  </conditionalFormatting>
  <conditionalFormatting sqref="M10468:M10469">
    <cfRule type="cellIs" dxfId="13" priority="12" operator="lessThan">
      <formula>0</formula>
    </cfRule>
  </conditionalFormatting>
  <conditionalFormatting sqref="M10472:M10473">
    <cfRule type="cellIs" dxfId="12" priority="11" operator="lessThan">
      <formula>0</formula>
    </cfRule>
  </conditionalFormatting>
  <conditionalFormatting sqref="M10476:M10477">
    <cfRule type="cellIs" dxfId="11" priority="10" operator="lessThan">
      <formula>0</formula>
    </cfRule>
  </conditionalFormatting>
  <conditionalFormatting sqref="M10480:M10481">
    <cfRule type="cellIs" dxfId="10" priority="9" operator="lessThan">
      <formula>0</formula>
    </cfRule>
  </conditionalFormatting>
  <conditionalFormatting sqref="M10484:M10485">
    <cfRule type="cellIs" dxfId="9" priority="8" operator="lessThan">
      <formula>0</formula>
    </cfRule>
  </conditionalFormatting>
  <conditionalFormatting sqref="M10488:M10489">
    <cfRule type="cellIs" dxfId="8" priority="7" operator="lessThan">
      <formula>0</formula>
    </cfRule>
  </conditionalFormatting>
  <conditionalFormatting sqref="M10491:M10492">
    <cfRule type="cellIs" dxfId="7" priority="6" operator="lessThan">
      <formula>0</formula>
    </cfRule>
  </conditionalFormatting>
  <conditionalFormatting sqref="M10495:M10499">
    <cfRule type="cellIs" dxfId="6" priority="4" operator="lessThan">
      <formula>0</formula>
    </cfRule>
  </conditionalFormatting>
  <conditionalFormatting sqref="M10501:M10503">
    <cfRule type="cellIs" dxfId="5" priority="3" operator="lessThan">
      <formula>0</formula>
    </cfRule>
  </conditionalFormatting>
  <conditionalFormatting sqref="M10507:M10508">
    <cfRule type="cellIs" dxfId="4" priority="2" operator="lessThan">
      <formula>0</formula>
    </cfRule>
  </conditionalFormatting>
  <conditionalFormatting sqref="M10511:M10512">
    <cfRule type="cellIs" dxfId="3" priority="1" operator="lessThan">
      <formula>0</formula>
    </cfRule>
  </conditionalFormatting>
  <conditionalFormatting sqref="S6">
    <cfRule type="duplicateValues" dxfId="2" priority="2479"/>
  </conditionalFormatting>
  <dataValidations count="1">
    <dataValidation type="list" allowBlank="1" showInputMessage="1" showErrorMessage="1" sqref="X10514:Y10516 X1963:Y6945 C9918:D9925 D9926 C9927:D9931 A9926 A9932 C9933:C9938 A9939 C9940:C9964 A9965 C9966:C9983 A9984 C9985:C9986 A9987 C9988:C9989 A9990 C9991:C10009 A10010:A10015 C10016:C10018 A10019:A10024 C10025:C10037 A10038:A10048 A10052:A10057 C10044:C10051 A10062 C10058:C10061 C10063:C10066 A10067 C10068:C10069 C10180:C10197 A10153 C10154:C10178 A10179 A10070:A10146 C10147:C10152 C10468:C10469 A10470:A10471 C10472:C10473 A10474:A10475 C10476:C10477 A10478:A10479 C10480:C10481 A10482:A10483 C10484:C10485 A10486:A10487 C10488:C10489 A10490 C10491:C10492 A10493:A10494 C10495:C10496 A10497 C10498:C10499 C10502:C10503 A10500:A10501 A10198:A10467 A10504:A10506 X6947:Y10512 C10507:C10508 D9932:D10516 A10509:A10510 A10513:A10516 C10511:C10512 D36:D9917 A36:A9917 X37:Y1961" xr:uid="{00000000-0002-0000-0000-000001000000}"/>
  </dataValidations>
  <pageMargins left="0.25" right="0.25" top="0.75" bottom="0.75" header="0.3" footer="0.3"/>
  <pageSetup paperSize="8" scale="10" fitToHeight="12" orientation="landscape" r:id="rId1"/>
  <rowBreaks count="2" manualBreakCount="2">
    <brk id="5884" max="29" man="1"/>
    <brk id="6206" max="29" man="1"/>
  </rowBreaks>
  <ignoredErrors>
    <ignoredError sqref="AA7775 AA113 AA6129"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5FC4-9007-43A7-B6BF-85B337BE3FD5}">
  <dimension ref="A2:P456"/>
  <sheetViews>
    <sheetView workbookViewId="0">
      <selection activeCell="B71" sqref="B71"/>
    </sheetView>
  </sheetViews>
  <sheetFormatPr defaultColWidth="9.140625" defaultRowHeight="15" x14ac:dyDescent="0.25"/>
  <cols>
    <col min="1" max="1" width="9.140625" style="244"/>
    <col min="2" max="2" width="59.28515625" style="244" bestFit="1" customWidth="1"/>
    <col min="3" max="3" width="13.42578125" style="244" customWidth="1"/>
    <col min="4" max="4" width="16.140625" style="244" bestFit="1" customWidth="1"/>
    <col min="5" max="5" width="13.42578125" style="244" customWidth="1"/>
    <col min="6" max="6" width="10.28515625" style="244" bestFit="1" customWidth="1"/>
    <col min="7" max="7" width="14.28515625" style="244" bestFit="1" customWidth="1"/>
    <col min="8" max="8" width="10.28515625" style="244" bestFit="1" customWidth="1"/>
    <col min="9" max="11" width="9.140625" style="244"/>
    <col min="12" max="12" width="11.5703125" style="244" bestFit="1" customWidth="1"/>
    <col min="13" max="15" width="9.140625" style="244"/>
    <col min="16" max="16" width="14.28515625" style="244" bestFit="1" customWidth="1"/>
    <col min="17" max="16384" width="9.140625" style="244"/>
  </cols>
  <sheetData>
    <row r="2" spans="2:5" ht="15.75" thickBot="1" x14ac:dyDescent="0.3"/>
    <row r="3" spans="2:5" ht="16.5" thickBot="1" x14ac:dyDescent="0.3">
      <c r="B3" s="192" t="s">
        <v>11</v>
      </c>
      <c r="C3" s="192" t="s">
        <v>89</v>
      </c>
      <c r="D3" s="192" t="s">
        <v>90</v>
      </c>
      <c r="E3" s="192" t="s">
        <v>91</v>
      </c>
    </row>
    <row r="4" spans="2:5" x14ac:dyDescent="0.25">
      <c r="B4" s="193" t="s">
        <v>65</v>
      </c>
      <c r="C4" s="193" t="s">
        <v>92</v>
      </c>
      <c r="D4" s="194">
        <v>1.76</v>
      </c>
      <c r="E4" s="193"/>
    </row>
    <row r="5" spans="2:5" x14ac:dyDescent="0.25">
      <c r="B5" s="193" t="s">
        <v>112</v>
      </c>
      <c r="C5" s="193" t="s">
        <v>93</v>
      </c>
      <c r="D5" s="194">
        <v>13</v>
      </c>
      <c r="E5" s="193"/>
    </row>
    <row r="6" spans="2:5" x14ac:dyDescent="0.25">
      <c r="B6" s="193" t="s">
        <v>107</v>
      </c>
      <c r="C6" s="193" t="s">
        <v>93</v>
      </c>
      <c r="D6" s="194">
        <v>17</v>
      </c>
      <c r="E6" s="193"/>
    </row>
    <row r="7" spans="2:5" x14ac:dyDescent="0.25">
      <c r="B7" s="193" t="s">
        <v>151</v>
      </c>
      <c r="C7" s="193" t="s">
        <v>93</v>
      </c>
      <c r="D7" s="194">
        <v>132.304</v>
      </c>
      <c r="E7" s="193"/>
    </row>
    <row r="8" spans="2:5" x14ac:dyDescent="0.25">
      <c r="B8" s="193" t="s">
        <v>152</v>
      </c>
      <c r="C8" s="193" t="s">
        <v>93</v>
      </c>
      <c r="D8" s="194">
        <v>111.568</v>
      </c>
      <c r="E8" s="193"/>
    </row>
    <row r="9" spans="2:5" x14ac:dyDescent="0.25">
      <c r="B9" s="193" t="s">
        <v>167</v>
      </c>
      <c r="C9" s="193" t="s">
        <v>93</v>
      </c>
      <c r="D9" s="194">
        <v>105</v>
      </c>
      <c r="E9" s="193"/>
    </row>
    <row r="10" spans="2:5" x14ac:dyDescent="0.25">
      <c r="B10" s="193" t="s">
        <v>128</v>
      </c>
      <c r="C10" s="193" t="s">
        <v>93</v>
      </c>
      <c r="D10" s="194">
        <v>68</v>
      </c>
      <c r="E10" s="193"/>
    </row>
    <row r="11" spans="2:5" x14ac:dyDescent="0.25">
      <c r="B11" s="193" t="s">
        <v>129</v>
      </c>
      <c r="C11" s="193" t="s">
        <v>93</v>
      </c>
      <c r="D11" s="194">
        <v>56</v>
      </c>
      <c r="E11" s="193"/>
    </row>
    <row r="12" spans="2:5" x14ac:dyDescent="0.25">
      <c r="B12" s="193" t="s">
        <v>130</v>
      </c>
      <c r="C12" s="193" t="s">
        <v>93</v>
      </c>
      <c r="D12" s="194">
        <v>58.4</v>
      </c>
      <c r="E12" s="193"/>
    </row>
    <row r="13" spans="2:5" x14ac:dyDescent="0.25">
      <c r="B13" s="193" t="s">
        <v>131</v>
      </c>
      <c r="C13" s="193" t="s">
        <v>93</v>
      </c>
      <c r="D13" s="194">
        <v>131.19999999999999</v>
      </c>
      <c r="E13" s="193"/>
    </row>
    <row r="14" spans="2:5" x14ac:dyDescent="0.25">
      <c r="B14" s="193" t="s">
        <v>110</v>
      </c>
      <c r="C14" s="193" t="s">
        <v>93</v>
      </c>
      <c r="D14" s="194">
        <v>150.4</v>
      </c>
      <c r="E14" s="193"/>
    </row>
    <row r="15" spans="2:5" x14ac:dyDescent="0.25">
      <c r="B15" s="193" t="s">
        <v>132</v>
      </c>
      <c r="C15" s="193" t="s">
        <v>93</v>
      </c>
      <c r="D15" s="194">
        <v>236</v>
      </c>
      <c r="E15" s="193"/>
    </row>
    <row r="16" spans="2:5" x14ac:dyDescent="0.25">
      <c r="B16" s="193" t="s">
        <v>133</v>
      </c>
      <c r="C16" s="193" t="s">
        <v>93</v>
      </c>
      <c r="D16" s="194">
        <v>271.2</v>
      </c>
      <c r="E16" s="193"/>
    </row>
    <row r="17" spans="2:5" x14ac:dyDescent="0.25">
      <c r="B17" s="193" t="s">
        <v>160</v>
      </c>
      <c r="C17" s="193" t="s">
        <v>93</v>
      </c>
      <c r="D17" s="194">
        <v>44</v>
      </c>
      <c r="E17" s="193"/>
    </row>
    <row r="18" spans="2:5" x14ac:dyDescent="0.25">
      <c r="B18" s="193" t="s">
        <v>173</v>
      </c>
      <c r="C18" s="193" t="s">
        <v>93</v>
      </c>
      <c r="D18" s="194">
        <v>36</v>
      </c>
      <c r="E18" s="193"/>
    </row>
    <row r="19" spans="2:5" x14ac:dyDescent="0.25">
      <c r="B19" s="193" t="s">
        <v>94</v>
      </c>
      <c r="C19" s="193" t="s">
        <v>93</v>
      </c>
      <c r="D19" s="194">
        <v>90.4</v>
      </c>
      <c r="E19" s="193"/>
    </row>
    <row r="20" spans="2:5" x14ac:dyDescent="0.25">
      <c r="B20" s="193" t="s">
        <v>134</v>
      </c>
      <c r="C20" s="193" t="s">
        <v>93</v>
      </c>
      <c r="D20" s="194">
        <v>65.599999999999994</v>
      </c>
      <c r="E20" s="193"/>
    </row>
    <row r="21" spans="2:5" x14ac:dyDescent="0.25">
      <c r="B21" s="193" t="s">
        <v>113</v>
      </c>
      <c r="C21" s="193" t="s">
        <v>93</v>
      </c>
      <c r="D21" s="194">
        <v>52</v>
      </c>
      <c r="E21" s="193"/>
    </row>
    <row r="22" spans="2:5" x14ac:dyDescent="0.25">
      <c r="B22" s="193" t="s">
        <v>138</v>
      </c>
      <c r="C22" s="193" t="s">
        <v>93</v>
      </c>
      <c r="D22" s="194">
        <v>140</v>
      </c>
      <c r="E22" s="193"/>
    </row>
    <row r="23" spans="2:5" x14ac:dyDescent="0.25">
      <c r="B23" s="193" t="s">
        <v>139</v>
      </c>
      <c r="C23" s="193" t="s">
        <v>93</v>
      </c>
      <c r="D23" s="194">
        <v>88</v>
      </c>
      <c r="E23" s="193"/>
    </row>
    <row r="24" spans="2:5" x14ac:dyDescent="0.25">
      <c r="B24" s="193" t="s">
        <v>140</v>
      </c>
      <c r="C24" s="193" t="s">
        <v>93</v>
      </c>
      <c r="D24" s="194">
        <v>88</v>
      </c>
      <c r="E24" s="193"/>
    </row>
    <row r="25" spans="2:5" ht="15.75" x14ac:dyDescent="0.25">
      <c r="B25" s="193" t="s">
        <v>154</v>
      </c>
      <c r="C25" s="193" t="s">
        <v>93</v>
      </c>
      <c r="D25" s="194">
        <v>56</v>
      </c>
      <c r="E25" s="193"/>
    </row>
    <row r="26" spans="2:5" x14ac:dyDescent="0.25">
      <c r="B26" s="193" t="s">
        <v>161</v>
      </c>
      <c r="C26" s="193" t="s">
        <v>93</v>
      </c>
      <c r="D26" s="194">
        <v>48</v>
      </c>
      <c r="E26" s="193"/>
    </row>
    <row r="27" spans="2:5" x14ac:dyDescent="0.25">
      <c r="B27" s="193" t="s">
        <v>153</v>
      </c>
      <c r="C27" s="193" t="s">
        <v>93</v>
      </c>
      <c r="D27" s="194">
        <v>172</v>
      </c>
      <c r="E27" s="195"/>
    </row>
    <row r="28" spans="2:5" x14ac:dyDescent="0.25">
      <c r="B28" s="195" t="s">
        <v>141</v>
      </c>
      <c r="C28" s="195" t="s">
        <v>93</v>
      </c>
      <c r="D28" s="194">
        <v>63.07692307692308</v>
      </c>
      <c r="E28" s="195"/>
    </row>
    <row r="29" spans="2:5" x14ac:dyDescent="0.25">
      <c r="B29" s="195" t="s">
        <v>142</v>
      </c>
      <c r="C29" s="195" t="s">
        <v>93</v>
      </c>
      <c r="D29" s="194">
        <v>67.692307692307693</v>
      </c>
      <c r="E29" s="195"/>
    </row>
    <row r="30" spans="2:5" x14ac:dyDescent="0.25">
      <c r="B30" s="195" t="s">
        <v>174</v>
      </c>
      <c r="C30" s="195" t="s">
        <v>93</v>
      </c>
      <c r="D30" s="194">
        <v>80</v>
      </c>
      <c r="E30" s="195"/>
    </row>
    <row r="31" spans="2:5" x14ac:dyDescent="0.25">
      <c r="B31" s="195" t="s">
        <v>143</v>
      </c>
      <c r="C31" s="195" t="s">
        <v>93</v>
      </c>
      <c r="D31" s="194">
        <v>23.384615384615383</v>
      </c>
      <c r="E31" s="195"/>
    </row>
    <row r="32" spans="2:5" x14ac:dyDescent="0.25">
      <c r="B32" s="195" t="s">
        <v>144</v>
      </c>
      <c r="C32" s="195" t="s">
        <v>93</v>
      </c>
      <c r="D32" s="194">
        <v>25.53846153846154</v>
      </c>
      <c r="E32" s="193"/>
    </row>
    <row r="33" spans="2:5" x14ac:dyDescent="0.25">
      <c r="B33" s="193" t="s">
        <v>145</v>
      </c>
      <c r="C33" s="193" t="s">
        <v>93</v>
      </c>
      <c r="D33" s="194">
        <v>40</v>
      </c>
      <c r="E33" s="193"/>
    </row>
    <row r="34" spans="2:5" x14ac:dyDescent="0.25">
      <c r="B34" s="193" t="s">
        <v>162</v>
      </c>
      <c r="C34" s="193" t="s">
        <v>93</v>
      </c>
      <c r="D34" s="194">
        <v>134.62</v>
      </c>
      <c r="E34" s="193"/>
    </row>
    <row r="35" spans="2:5" x14ac:dyDescent="0.25">
      <c r="B35" s="193" t="s">
        <v>135</v>
      </c>
      <c r="C35" s="193" t="s">
        <v>93</v>
      </c>
      <c r="D35" s="194">
        <v>52</v>
      </c>
      <c r="E35" s="193"/>
    </row>
    <row r="36" spans="2:5" x14ac:dyDescent="0.25">
      <c r="B36" s="193" t="s">
        <v>136</v>
      </c>
      <c r="C36" s="193" t="s">
        <v>93</v>
      </c>
      <c r="D36" s="194">
        <v>71.2</v>
      </c>
      <c r="E36" s="195"/>
    </row>
    <row r="37" spans="2:5" x14ac:dyDescent="0.25">
      <c r="B37" s="195" t="s">
        <v>146</v>
      </c>
      <c r="C37" s="193" t="s">
        <v>93</v>
      </c>
      <c r="D37" s="194">
        <v>36</v>
      </c>
      <c r="E37" s="195"/>
    </row>
    <row r="38" spans="2:5" x14ac:dyDescent="0.25">
      <c r="B38" s="195" t="s">
        <v>147</v>
      </c>
      <c r="C38" s="193" t="s">
        <v>93</v>
      </c>
      <c r="D38" s="194">
        <v>44</v>
      </c>
      <c r="E38" s="195"/>
    </row>
    <row r="39" spans="2:5" x14ac:dyDescent="0.25">
      <c r="B39" s="195" t="s">
        <v>148</v>
      </c>
      <c r="C39" s="193" t="s">
        <v>93</v>
      </c>
      <c r="D39" s="194">
        <v>48</v>
      </c>
      <c r="E39" s="195"/>
    </row>
    <row r="40" spans="2:5" x14ac:dyDescent="0.25">
      <c r="B40" s="195" t="s">
        <v>149</v>
      </c>
      <c r="C40" s="193" t="s">
        <v>93</v>
      </c>
      <c r="D40" s="194">
        <v>52</v>
      </c>
      <c r="E40" s="195"/>
    </row>
    <row r="41" spans="2:5" x14ac:dyDescent="0.25">
      <c r="B41" s="195" t="s">
        <v>150</v>
      </c>
      <c r="C41" s="193" t="s">
        <v>93</v>
      </c>
      <c r="D41" s="194">
        <v>65.230769230769226</v>
      </c>
      <c r="E41" s="193"/>
    </row>
    <row r="42" spans="2:5" x14ac:dyDescent="0.25">
      <c r="B42" s="193" t="s">
        <v>137</v>
      </c>
      <c r="C42" s="193" t="s">
        <v>93</v>
      </c>
      <c r="D42" s="194">
        <v>9.6</v>
      </c>
      <c r="E42" s="193"/>
    </row>
    <row r="43" spans="2:5" x14ac:dyDescent="0.25">
      <c r="B43" s="193" t="s">
        <v>1030</v>
      </c>
      <c r="C43" s="193" t="s">
        <v>93</v>
      </c>
      <c r="D43" s="194">
        <v>23</v>
      </c>
      <c r="E43" s="193"/>
    </row>
    <row r="44" spans="2:5" x14ac:dyDescent="0.25">
      <c r="B44" s="193" t="s">
        <v>1614</v>
      </c>
      <c r="C44" s="193" t="s">
        <v>93</v>
      </c>
      <c r="D44" s="194">
        <v>40</v>
      </c>
      <c r="E44" s="193"/>
    </row>
    <row r="45" spans="2:5" x14ac:dyDescent="0.25">
      <c r="B45" s="193"/>
      <c r="C45" s="193"/>
      <c r="D45" s="194"/>
      <c r="E45" s="193"/>
    </row>
    <row r="46" spans="2:5" x14ac:dyDescent="0.25">
      <c r="B46" s="193" t="s">
        <v>163</v>
      </c>
      <c r="C46" s="193" t="s">
        <v>66</v>
      </c>
      <c r="D46" s="194">
        <v>15</v>
      </c>
      <c r="E46" s="193"/>
    </row>
    <row r="47" spans="2:5" x14ac:dyDescent="0.25">
      <c r="B47" s="193"/>
      <c r="C47" s="193"/>
      <c r="D47" s="194"/>
      <c r="E47" s="193"/>
    </row>
    <row r="48" spans="2:5" x14ac:dyDescent="0.25">
      <c r="B48" s="193" t="s">
        <v>156</v>
      </c>
      <c r="C48" s="193" t="s">
        <v>66</v>
      </c>
      <c r="D48" s="194">
        <v>2.8</v>
      </c>
      <c r="E48" s="193"/>
    </row>
    <row r="49" spans="2:5" x14ac:dyDescent="0.25">
      <c r="B49" s="195" t="s">
        <v>155</v>
      </c>
      <c r="C49" s="193" t="s">
        <v>66</v>
      </c>
      <c r="D49" s="194">
        <v>2</v>
      </c>
      <c r="E49" s="195"/>
    </row>
    <row r="50" spans="2:5" x14ac:dyDescent="0.25">
      <c r="B50" s="195" t="s">
        <v>164</v>
      </c>
      <c r="C50" s="195" t="s">
        <v>66</v>
      </c>
      <c r="D50" s="194">
        <v>7</v>
      </c>
      <c r="E50" s="195"/>
    </row>
    <row r="51" spans="2:5" x14ac:dyDescent="0.25">
      <c r="B51" s="195" t="s">
        <v>1611</v>
      </c>
      <c r="C51" s="195" t="s">
        <v>66</v>
      </c>
      <c r="D51" s="194">
        <v>30</v>
      </c>
      <c r="E51" s="195"/>
    </row>
    <row r="52" spans="2:5" x14ac:dyDescent="0.25">
      <c r="B52" s="195" t="s">
        <v>1679</v>
      </c>
      <c r="C52" s="195" t="s">
        <v>66</v>
      </c>
      <c r="D52" s="194">
        <v>15</v>
      </c>
      <c r="E52" s="195"/>
    </row>
    <row r="53" spans="2:5" x14ac:dyDescent="0.25">
      <c r="B53" s="195" t="s">
        <v>1273</v>
      </c>
      <c r="C53" s="195" t="s">
        <v>66</v>
      </c>
      <c r="D53" s="194">
        <v>10</v>
      </c>
      <c r="E53" s="195"/>
    </row>
    <row r="54" spans="2:5" x14ac:dyDescent="0.25">
      <c r="B54" s="195" t="s">
        <v>1570</v>
      </c>
      <c r="C54" s="195" t="s">
        <v>66</v>
      </c>
      <c r="D54" s="194">
        <v>70</v>
      </c>
      <c r="E54" s="195"/>
    </row>
    <row r="55" spans="2:5" x14ac:dyDescent="0.25">
      <c r="B55" s="195" t="s">
        <v>1653</v>
      </c>
      <c r="C55" s="193" t="s">
        <v>64</v>
      </c>
      <c r="D55" s="194">
        <v>8</v>
      </c>
      <c r="E55" s="195"/>
    </row>
    <row r="56" spans="2:5" x14ac:dyDescent="0.25">
      <c r="B56" s="195"/>
      <c r="C56" s="193"/>
      <c r="D56" s="194"/>
      <c r="E56" s="195"/>
    </row>
    <row r="57" spans="2:5" x14ac:dyDescent="0.25">
      <c r="B57" s="195"/>
      <c r="C57" s="193"/>
      <c r="D57" s="194"/>
      <c r="E57" s="195"/>
    </row>
    <row r="58" spans="2:5" x14ac:dyDescent="0.25">
      <c r="B58" s="195"/>
      <c r="C58" s="193"/>
      <c r="D58" s="194"/>
      <c r="E58" s="195"/>
    </row>
    <row r="59" spans="2:5" x14ac:dyDescent="0.25">
      <c r="B59" s="195" t="s">
        <v>1689</v>
      </c>
      <c r="C59" s="195" t="s">
        <v>66</v>
      </c>
      <c r="D59" s="194">
        <v>25</v>
      </c>
      <c r="E59" s="195"/>
    </row>
    <row r="60" spans="2:5" x14ac:dyDescent="0.25">
      <c r="B60" s="193" t="s">
        <v>1028</v>
      </c>
      <c r="C60" s="193" t="s">
        <v>67</v>
      </c>
      <c r="D60" s="194">
        <v>250</v>
      </c>
      <c r="E60" s="193"/>
    </row>
    <row r="61" spans="2:5" x14ac:dyDescent="0.25">
      <c r="B61" s="193" t="s">
        <v>1019</v>
      </c>
      <c r="C61" s="193" t="s">
        <v>67</v>
      </c>
      <c r="D61" s="194">
        <v>200</v>
      </c>
      <c r="E61" s="193"/>
    </row>
    <row r="62" spans="2:5" x14ac:dyDescent="0.25">
      <c r="B62" s="193" t="s">
        <v>1026</v>
      </c>
      <c r="C62" s="193" t="s">
        <v>67</v>
      </c>
      <c r="D62" s="194">
        <v>2450</v>
      </c>
      <c r="E62" s="193"/>
    </row>
    <row r="63" spans="2:5" x14ac:dyDescent="0.25">
      <c r="B63" s="193" t="s">
        <v>1027</v>
      </c>
      <c r="C63" s="193" t="s">
        <v>67</v>
      </c>
      <c r="D63" s="194">
        <v>2550</v>
      </c>
      <c r="E63" s="193"/>
    </row>
    <row r="64" spans="2:5" x14ac:dyDescent="0.25">
      <c r="B64" s="193" t="s">
        <v>1024</v>
      </c>
      <c r="C64" s="193" t="s">
        <v>64</v>
      </c>
      <c r="D64" s="194">
        <v>4</v>
      </c>
      <c r="E64" s="193"/>
    </row>
    <row r="65" spans="2:5" x14ac:dyDescent="0.25">
      <c r="B65" s="193" t="s">
        <v>1021</v>
      </c>
      <c r="C65" s="193" t="s">
        <v>64</v>
      </c>
      <c r="D65" s="194">
        <v>4.2</v>
      </c>
      <c r="E65" s="193"/>
    </row>
    <row r="66" spans="2:5" x14ac:dyDescent="0.25">
      <c r="B66" s="193" t="s">
        <v>1023</v>
      </c>
      <c r="C66" s="193" t="s">
        <v>64</v>
      </c>
      <c r="D66" s="194">
        <v>4</v>
      </c>
      <c r="E66" s="193"/>
    </row>
    <row r="67" spans="2:5" x14ac:dyDescent="0.25">
      <c r="B67" s="193" t="s">
        <v>1022</v>
      </c>
      <c r="C67" s="193" t="s">
        <v>64</v>
      </c>
      <c r="D67" s="194">
        <v>4.2</v>
      </c>
      <c r="E67" s="193"/>
    </row>
    <row r="68" spans="2:5" x14ac:dyDescent="0.25">
      <c r="B68" s="193" t="s">
        <v>1017</v>
      </c>
      <c r="C68" s="193" t="s">
        <v>64</v>
      </c>
      <c r="D68" s="194">
        <v>1</v>
      </c>
      <c r="E68" s="193"/>
    </row>
    <row r="69" spans="2:5" x14ac:dyDescent="0.25">
      <c r="B69" s="193" t="s">
        <v>1018</v>
      </c>
      <c r="C69" s="193" t="s">
        <v>64</v>
      </c>
      <c r="D69" s="194">
        <v>1</v>
      </c>
      <c r="E69" s="193"/>
    </row>
    <row r="70" spans="2:5" x14ac:dyDescent="0.25">
      <c r="B70" s="193" t="s">
        <v>1690</v>
      </c>
      <c r="C70" s="193" t="s">
        <v>67</v>
      </c>
      <c r="D70" s="194">
        <v>17</v>
      </c>
      <c r="E70" s="193"/>
    </row>
    <row r="71" spans="2:5" x14ac:dyDescent="0.25">
      <c r="B71" s="193" t="s">
        <v>1692</v>
      </c>
      <c r="C71" s="193" t="s">
        <v>67</v>
      </c>
      <c r="D71" s="194">
        <v>19</v>
      </c>
      <c r="E71" s="195"/>
    </row>
    <row r="72" spans="2:5" x14ac:dyDescent="0.25">
      <c r="B72" s="195"/>
      <c r="C72" s="195"/>
      <c r="D72" s="194"/>
      <c r="E72" s="195"/>
    </row>
    <row r="73" spans="2:5" x14ac:dyDescent="0.25">
      <c r="B73" s="195" t="s">
        <v>1691</v>
      </c>
      <c r="C73" s="193" t="s">
        <v>64</v>
      </c>
      <c r="D73" s="194">
        <v>5.4</v>
      </c>
      <c r="E73" s="195"/>
    </row>
    <row r="74" spans="2:5" x14ac:dyDescent="0.25">
      <c r="B74" s="195"/>
      <c r="C74" s="195"/>
      <c r="D74" s="194"/>
      <c r="E74" s="195"/>
    </row>
    <row r="75" spans="2:5" x14ac:dyDescent="0.25">
      <c r="B75" s="195"/>
      <c r="C75" s="195"/>
      <c r="D75" s="194"/>
      <c r="E75" s="195"/>
    </row>
    <row r="76" spans="2:5" x14ac:dyDescent="0.25">
      <c r="B76" s="195"/>
      <c r="C76" s="195"/>
      <c r="D76" s="194"/>
      <c r="E76" s="195"/>
    </row>
    <row r="77" spans="2:5" x14ac:dyDescent="0.25">
      <c r="B77" s="195"/>
      <c r="C77" s="195"/>
      <c r="D77" s="194"/>
      <c r="E77" s="195"/>
    </row>
    <row r="78" spans="2:5" x14ac:dyDescent="0.25">
      <c r="B78" s="195"/>
      <c r="C78" s="195"/>
      <c r="D78" s="194"/>
      <c r="E78" s="195"/>
    </row>
    <row r="79" spans="2:5" x14ac:dyDescent="0.25">
      <c r="B79" s="195"/>
      <c r="C79" s="195"/>
      <c r="D79" s="194"/>
      <c r="E79" s="195"/>
    </row>
    <row r="80" spans="2:5" x14ac:dyDescent="0.25">
      <c r="B80" s="195" t="s">
        <v>1684</v>
      </c>
      <c r="C80" s="195" t="s">
        <v>66</v>
      </c>
      <c r="D80" s="194">
        <v>200</v>
      </c>
      <c r="E80" s="195"/>
    </row>
    <row r="81" spans="2:16" x14ac:dyDescent="0.25">
      <c r="B81" s="195" t="s">
        <v>1682</v>
      </c>
      <c r="C81" s="195" t="s">
        <v>66</v>
      </c>
      <c r="D81" s="251">
        <v>240</v>
      </c>
      <c r="E81" s="195"/>
    </row>
    <row r="82" spans="2:16" x14ac:dyDescent="0.25">
      <c r="B82" s="195" t="s">
        <v>1032</v>
      </c>
      <c r="C82" s="195" t="s">
        <v>66</v>
      </c>
      <c r="D82" s="251">
        <v>250</v>
      </c>
      <c r="E82" s="195"/>
      <c r="P82" s="248"/>
    </row>
    <row r="83" spans="2:16" x14ac:dyDescent="0.25">
      <c r="B83" s="193" t="s">
        <v>1353</v>
      </c>
      <c r="C83" s="195" t="s">
        <v>66</v>
      </c>
      <c r="D83" s="251">
        <v>350</v>
      </c>
      <c r="E83" s="193"/>
      <c r="I83" s="1"/>
    </row>
    <row r="84" spans="2:16" x14ac:dyDescent="0.25">
      <c r="B84" s="193" t="s">
        <v>111</v>
      </c>
      <c r="C84" s="195" t="s">
        <v>66</v>
      </c>
      <c r="D84" s="194">
        <v>5</v>
      </c>
      <c r="E84" s="193"/>
      <c r="J84" s="246"/>
    </row>
    <row r="85" spans="2:16" x14ac:dyDescent="0.25">
      <c r="B85" s="193" t="s">
        <v>1354</v>
      </c>
      <c r="C85" s="195" t="s">
        <v>66</v>
      </c>
      <c r="D85" s="194">
        <v>150</v>
      </c>
      <c r="E85" s="193"/>
    </row>
    <row r="86" spans="2:16" x14ac:dyDescent="0.25">
      <c r="B86" s="193" t="s">
        <v>1355</v>
      </c>
      <c r="C86" s="195" t="s">
        <v>66</v>
      </c>
      <c r="D86" s="194">
        <v>450</v>
      </c>
      <c r="E86" s="193"/>
    </row>
    <row r="87" spans="2:16" x14ac:dyDescent="0.25">
      <c r="B87" s="193" t="s">
        <v>1378</v>
      </c>
      <c r="C87" s="195" t="s">
        <v>66</v>
      </c>
      <c r="D87" s="194">
        <v>350</v>
      </c>
      <c r="E87" s="193"/>
    </row>
    <row r="88" spans="2:16" x14ac:dyDescent="0.25">
      <c r="B88" s="193" t="s">
        <v>1035</v>
      </c>
      <c r="C88" s="195" t="s">
        <v>66</v>
      </c>
      <c r="D88" s="194">
        <v>150</v>
      </c>
      <c r="E88" s="193"/>
    </row>
    <row r="89" spans="2:16" x14ac:dyDescent="0.25">
      <c r="B89" s="193" t="s">
        <v>1533</v>
      </c>
      <c r="C89" s="195" t="s">
        <v>66</v>
      </c>
      <c r="D89" s="194">
        <v>300</v>
      </c>
      <c r="E89" s="193"/>
    </row>
    <row r="90" spans="2:16" x14ac:dyDescent="0.25">
      <c r="B90" s="193" t="s">
        <v>1685</v>
      </c>
      <c r="C90" s="195" t="s">
        <v>66</v>
      </c>
      <c r="D90" s="194">
        <v>200</v>
      </c>
      <c r="E90" s="193"/>
    </row>
    <row r="91" spans="2:16" x14ac:dyDescent="0.25">
      <c r="B91" s="193" t="s">
        <v>99</v>
      </c>
      <c r="C91" s="193" t="s">
        <v>67</v>
      </c>
      <c r="D91" s="194">
        <v>2500</v>
      </c>
      <c r="E91" s="247"/>
    </row>
    <row r="92" spans="2:16" x14ac:dyDescent="0.25">
      <c r="B92" s="193" t="s">
        <v>177</v>
      </c>
      <c r="C92" s="193" t="s">
        <v>67</v>
      </c>
      <c r="D92" s="194">
        <v>3500</v>
      </c>
      <c r="E92" s="247"/>
    </row>
    <row r="93" spans="2:16" x14ac:dyDescent="0.25">
      <c r="B93" s="193" t="s">
        <v>100</v>
      </c>
      <c r="C93" s="193" t="s">
        <v>101</v>
      </c>
      <c r="D93" s="194">
        <v>5</v>
      </c>
      <c r="E93" s="247"/>
    </row>
    <row r="94" spans="2:16" x14ac:dyDescent="0.25">
      <c r="B94" s="195" t="s">
        <v>1105</v>
      </c>
      <c r="C94" s="195" t="s">
        <v>66</v>
      </c>
      <c r="D94" s="194">
        <v>2200</v>
      </c>
      <c r="E94" s="195"/>
    </row>
    <row r="95" spans="2:16" x14ac:dyDescent="0.25">
      <c r="B95" s="193" t="s">
        <v>104</v>
      </c>
      <c r="C95" s="193" t="s">
        <v>97</v>
      </c>
      <c r="D95" s="194">
        <v>18</v>
      </c>
      <c r="E95" s="193"/>
      <c r="F95" s="245"/>
    </row>
    <row r="96" spans="2:16" x14ac:dyDescent="0.25">
      <c r="B96" s="193" t="s">
        <v>105</v>
      </c>
      <c r="C96" s="193" t="s">
        <v>97</v>
      </c>
      <c r="D96" s="194">
        <v>27</v>
      </c>
      <c r="E96" s="193"/>
    </row>
    <row r="97" spans="2:5" x14ac:dyDescent="0.25">
      <c r="B97" s="193" t="s">
        <v>1609</v>
      </c>
      <c r="C97" s="193" t="s">
        <v>64</v>
      </c>
      <c r="D97" s="194">
        <v>25</v>
      </c>
      <c r="E97" s="193"/>
    </row>
    <row r="98" spans="2:5" x14ac:dyDescent="0.25">
      <c r="B98" s="193" t="s">
        <v>1610</v>
      </c>
      <c r="C98" s="193" t="s">
        <v>64</v>
      </c>
      <c r="D98" s="194">
        <v>20</v>
      </c>
      <c r="E98" s="193"/>
    </row>
    <row r="99" spans="2:5" x14ac:dyDescent="0.25">
      <c r="B99" s="195" t="s">
        <v>1356</v>
      </c>
      <c r="C99" s="193" t="s">
        <v>35</v>
      </c>
      <c r="D99" s="194">
        <v>3500</v>
      </c>
      <c r="E99" s="195"/>
    </row>
    <row r="100" spans="2:5" x14ac:dyDescent="0.25">
      <c r="B100" s="195" t="s">
        <v>1634</v>
      </c>
      <c r="C100" s="193" t="s">
        <v>35</v>
      </c>
      <c r="D100" s="194">
        <v>1250</v>
      </c>
      <c r="E100" s="195"/>
    </row>
    <row r="101" spans="2:5" x14ac:dyDescent="0.25">
      <c r="B101" s="195" t="s">
        <v>1357</v>
      </c>
      <c r="C101" s="193" t="s">
        <v>1349</v>
      </c>
      <c r="D101" s="194">
        <v>150</v>
      </c>
      <c r="E101" s="195"/>
    </row>
    <row r="102" spans="2:5" x14ac:dyDescent="0.25">
      <c r="B102" s="195" t="s">
        <v>1362</v>
      </c>
      <c r="C102" s="193" t="s">
        <v>35</v>
      </c>
      <c r="D102" s="194">
        <v>400</v>
      </c>
      <c r="E102" s="195"/>
    </row>
    <row r="103" spans="2:5" x14ac:dyDescent="0.25">
      <c r="B103" s="195" t="s">
        <v>1595</v>
      </c>
      <c r="C103" s="193" t="s">
        <v>68</v>
      </c>
      <c r="D103" s="194">
        <v>150</v>
      </c>
      <c r="E103" s="195"/>
    </row>
    <row r="104" spans="2:5" x14ac:dyDescent="0.25">
      <c r="B104" s="195" t="s">
        <v>1596</v>
      </c>
      <c r="C104" s="193" t="s">
        <v>68</v>
      </c>
      <c r="D104" s="194">
        <v>90</v>
      </c>
      <c r="E104" s="195"/>
    </row>
    <row r="105" spans="2:5" x14ac:dyDescent="0.25">
      <c r="B105" s="195" t="s">
        <v>1594</v>
      </c>
      <c r="C105" s="193" t="s">
        <v>68</v>
      </c>
      <c r="D105" s="194">
        <v>120</v>
      </c>
      <c r="E105" s="195"/>
    </row>
    <row r="106" spans="2:5" x14ac:dyDescent="0.25">
      <c r="B106" s="195" t="s">
        <v>1598</v>
      </c>
      <c r="C106" s="193" t="s">
        <v>1349</v>
      </c>
      <c r="D106" s="194">
        <v>18500</v>
      </c>
      <c r="E106" s="195"/>
    </row>
    <row r="107" spans="2:5" x14ac:dyDescent="0.25">
      <c r="B107" s="195" t="s">
        <v>1600</v>
      </c>
      <c r="C107" s="193" t="s">
        <v>1349</v>
      </c>
      <c r="D107" s="194">
        <v>4750</v>
      </c>
      <c r="E107" s="195"/>
    </row>
    <row r="108" spans="2:5" x14ac:dyDescent="0.25">
      <c r="B108" s="195" t="s">
        <v>1602</v>
      </c>
      <c r="C108" s="193" t="s">
        <v>1349</v>
      </c>
      <c r="D108" s="194">
        <v>219500</v>
      </c>
      <c r="E108" s="195"/>
    </row>
    <row r="109" spans="2:5" x14ac:dyDescent="0.25">
      <c r="B109" s="195" t="s">
        <v>670</v>
      </c>
      <c r="C109" s="193" t="s">
        <v>1349</v>
      </c>
      <c r="D109" s="194">
        <v>1137.4000000000001</v>
      </c>
      <c r="E109" s="195"/>
    </row>
    <row r="110" spans="2:5" x14ac:dyDescent="0.25">
      <c r="B110" s="195" t="s">
        <v>671</v>
      </c>
      <c r="C110" s="193" t="s">
        <v>1349</v>
      </c>
      <c r="D110" s="194">
        <v>1447</v>
      </c>
      <c r="E110" s="195"/>
    </row>
    <row r="111" spans="2:5" x14ac:dyDescent="0.25">
      <c r="B111" s="195" t="s">
        <v>1617</v>
      </c>
      <c r="C111" s="193" t="s">
        <v>68</v>
      </c>
      <c r="D111" s="194">
        <v>150</v>
      </c>
      <c r="E111" s="195"/>
    </row>
    <row r="112" spans="2:5" x14ac:dyDescent="0.25">
      <c r="B112" s="195" t="s">
        <v>1618</v>
      </c>
      <c r="C112" s="193" t="s">
        <v>68</v>
      </c>
      <c r="D112" s="194">
        <v>20</v>
      </c>
      <c r="E112" s="195"/>
    </row>
    <row r="113" spans="2:5" x14ac:dyDescent="0.25">
      <c r="B113" s="195"/>
      <c r="C113" s="193"/>
      <c r="D113" s="194"/>
      <c r="E113" s="195"/>
    </row>
    <row r="114" spans="2:5" x14ac:dyDescent="0.25">
      <c r="B114" s="195"/>
      <c r="C114" s="193"/>
      <c r="D114" s="194"/>
      <c r="E114" s="195"/>
    </row>
    <row r="115" spans="2:5" x14ac:dyDescent="0.25">
      <c r="B115" s="195"/>
      <c r="C115" s="193"/>
      <c r="D115" s="194"/>
      <c r="E115" s="195"/>
    </row>
    <row r="116" spans="2:5" x14ac:dyDescent="0.25">
      <c r="B116" s="195" t="s">
        <v>1359</v>
      </c>
      <c r="C116" s="193" t="s">
        <v>64</v>
      </c>
      <c r="D116" s="194">
        <v>40</v>
      </c>
      <c r="E116" s="195"/>
    </row>
    <row r="117" spans="2:5" x14ac:dyDescent="0.25">
      <c r="B117" s="198" t="s">
        <v>124</v>
      </c>
      <c r="C117" s="193" t="s">
        <v>64</v>
      </c>
      <c r="D117" s="194">
        <v>10</v>
      </c>
      <c r="E117" s="193"/>
    </row>
    <row r="118" spans="2:5" x14ac:dyDescent="0.25">
      <c r="B118" s="195" t="s">
        <v>1360</v>
      </c>
      <c r="C118" s="193" t="s">
        <v>64</v>
      </c>
      <c r="D118" s="194">
        <v>30</v>
      </c>
      <c r="E118" s="195"/>
    </row>
    <row r="119" spans="2:5" x14ac:dyDescent="0.25">
      <c r="B119" s="195" t="s">
        <v>1396</v>
      </c>
      <c r="C119" s="193" t="s">
        <v>1349</v>
      </c>
      <c r="D119" s="194">
        <v>20000</v>
      </c>
      <c r="E119" s="195"/>
    </row>
    <row r="120" spans="2:5" x14ac:dyDescent="0.25">
      <c r="B120" s="195" t="s">
        <v>1397</v>
      </c>
      <c r="C120" s="193" t="s">
        <v>1349</v>
      </c>
      <c r="D120" s="194">
        <v>40000</v>
      </c>
      <c r="E120" s="195"/>
    </row>
    <row r="121" spans="2:5" x14ac:dyDescent="0.25">
      <c r="B121" s="195" t="s">
        <v>1398</v>
      </c>
      <c r="C121" s="193" t="s">
        <v>1349</v>
      </c>
      <c r="D121" s="194">
        <v>35500</v>
      </c>
      <c r="E121" s="195"/>
    </row>
    <row r="122" spans="2:5" x14ac:dyDescent="0.25">
      <c r="B122" s="195" t="s">
        <v>1399</v>
      </c>
      <c r="C122" s="193" t="s">
        <v>1349</v>
      </c>
      <c r="D122" s="194">
        <v>5251800</v>
      </c>
      <c r="E122" s="195"/>
    </row>
    <row r="123" spans="2:5" x14ac:dyDescent="0.25">
      <c r="B123" s="195" t="s">
        <v>1586</v>
      </c>
      <c r="C123" s="193" t="s">
        <v>1349</v>
      </c>
      <c r="D123" s="194">
        <v>1500</v>
      </c>
      <c r="E123" s="195"/>
    </row>
    <row r="124" spans="2:5" x14ac:dyDescent="0.25">
      <c r="B124" s="195"/>
      <c r="C124" s="193"/>
      <c r="D124" s="194"/>
      <c r="E124" s="195"/>
    </row>
    <row r="125" spans="2:5" x14ac:dyDescent="0.25">
      <c r="B125" s="195" t="s">
        <v>1667</v>
      </c>
      <c r="C125" s="193" t="s">
        <v>64</v>
      </c>
      <c r="D125" s="194">
        <v>5</v>
      </c>
      <c r="E125" s="195"/>
    </row>
    <row r="126" spans="2:5" x14ac:dyDescent="0.25">
      <c r="B126" s="195" t="s">
        <v>168</v>
      </c>
      <c r="C126" s="193" t="s">
        <v>64</v>
      </c>
      <c r="D126" s="194">
        <v>3.8</v>
      </c>
      <c r="E126" s="195"/>
    </row>
    <row r="127" spans="2:5" x14ac:dyDescent="0.25">
      <c r="B127" s="195" t="s">
        <v>166</v>
      </c>
      <c r="C127" s="193" t="s">
        <v>64</v>
      </c>
      <c r="D127" s="194">
        <v>0.9</v>
      </c>
      <c r="E127" s="195"/>
    </row>
    <row r="128" spans="2:5" x14ac:dyDescent="0.25">
      <c r="B128" s="195" t="s">
        <v>165</v>
      </c>
      <c r="C128" s="193" t="s">
        <v>64</v>
      </c>
      <c r="D128" s="194">
        <f>30/50</f>
        <v>0.6</v>
      </c>
      <c r="E128" s="195"/>
    </row>
    <row r="129" spans="2:5" x14ac:dyDescent="0.25">
      <c r="B129" s="195"/>
      <c r="C129" s="193"/>
      <c r="D129" s="194"/>
      <c r="E129" s="195"/>
    </row>
    <row r="130" spans="2:5" x14ac:dyDescent="0.25">
      <c r="B130" s="195"/>
      <c r="C130" s="193"/>
      <c r="D130" s="194"/>
      <c r="E130" s="195"/>
    </row>
    <row r="131" spans="2:5" x14ac:dyDescent="0.25">
      <c r="B131" s="195" t="s">
        <v>1291</v>
      </c>
      <c r="C131" s="193" t="s">
        <v>68</v>
      </c>
      <c r="D131" s="194">
        <v>35</v>
      </c>
      <c r="E131" s="195"/>
    </row>
    <row r="132" spans="2:5" x14ac:dyDescent="0.25">
      <c r="B132" s="195" t="s">
        <v>170</v>
      </c>
      <c r="C132" s="193" t="s">
        <v>68</v>
      </c>
      <c r="D132" s="194">
        <v>39</v>
      </c>
      <c r="E132" s="195"/>
    </row>
    <row r="133" spans="2:5" x14ac:dyDescent="0.25">
      <c r="B133" s="195" t="s">
        <v>172</v>
      </c>
      <c r="C133" s="193" t="s">
        <v>68</v>
      </c>
      <c r="D133" s="194">
        <v>50</v>
      </c>
      <c r="E133" s="195"/>
    </row>
    <row r="134" spans="2:5" x14ac:dyDescent="0.25">
      <c r="B134" s="195" t="s">
        <v>1279</v>
      </c>
      <c r="C134" s="193" t="s">
        <v>68</v>
      </c>
      <c r="D134" s="194">
        <v>75</v>
      </c>
      <c r="E134" s="195"/>
    </row>
    <row r="135" spans="2:5" x14ac:dyDescent="0.25">
      <c r="B135" s="195" t="s">
        <v>1251</v>
      </c>
      <c r="C135" s="193" t="s">
        <v>68</v>
      </c>
      <c r="D135" s="194">
        <v>95</v>
      </c>
      <c r="E135" s="195"/>
    </row>
    <row r="136" spans="2:5" x14ac:dyDescent="0.25">
      <c r="B136" s="195" t="s">
        <v>1252</v>
      </c>
      <c r="C136" s="193" t="s">
        <v>68</v>
      </c>
      <c r="D136" s="194">
        <v>110</v>
      </c>
      <c r="E136" s="195"/>
    </row>
    <row r="137" spans="2:5" x14ac:dyDescent="0.25">
      <c r="B137" s="195" t="s">
        <v>1253</v>
      </c>
      <c r="C137" s="193" t="s">
        <v>68</v>
      </c>
      <c r="D137" s="194">
        <v>145</v>
      </c>
      <c r="E137" s="195"/>
    </row>
    <row r="138" spans="2:5" x14ac:dyDescent="0.25">
      <c r="B138" s="195" t="s">
        <v>1254</v>
      </c>
      <c r="C138" s="193" t="s">
        <v>68</v>
      </c>
      <c r="D138" s="194">
        <v>190</v>
      </c>
      <c r="E138" s="195"/>
    </row>
    <row r="139" spans="2:5" x14ac:dyDescent="0.25">
      <c r="B139" s="195" t="s">
        <v>181</v>
      </c>
      <c r="C139" s="193" t="s">
        <v>68</v>
      </c>
      <c r="D139" s="194">
        <v>229.9</v>
      </c>
      <c r="E139" s="195"/>
    </row>
    <row r="140" spans="2:5" x14ac:dyDescent="0.25">
      <c r="B140" s="195" t="s">
        <v>1255</v>
      </c>
      <c r="C140" s="193" t="s">
        <v>68</v>
      </c>
      <c r="D140" s="194">
        <v>345</v>
      </c>
      <c r="E140" s="195"/>
    </row>
    <row r="141" spans="2:5" x14ac:dyDescent="0.25">
      <c r="B141" s="195" t="s">
        <v>1281</v>
      </c>
      <c r="C141" s="193" t="s">
        <v>68</v>
      </c>
      <c r="D141" s="194">
        <v>510</v>
      </c>
      <c r="E141" s="195"/>
    </row>
    <row r="142" spans="2:5" x14ac:dyDescent="0.25">
      <c r="B142" s="195" t="s">
        <v>178</v>
      </c>
      <c r="C142" s="193" t="s">
        <v>68</v>
      </c>
      <c r="D142" s="194">
        <v>610</v>
      </c>
      <c r="E142" s="195"/>
    </row>
    <row r="143" spans="2:5" x14ac:dyDescent="0.25">
      <c r="B143" s="195" t="s">
        <v>1286</v>
      </c>
      <c r="C143" s="193" t="s">
        <v>68</v>
      </c>
      <c r="D143" s="194">
        <v>1222</v>
      </c>
      <c r="E143" s="195"/>
    </row>
    <row r="144" spans="2:5" x14ac:dyDescent="0.25">
      <c r="B144" s="195"/>
      <c r="C144" s="193"/>
      <c r="D144" s="194"/>
      <c r="E144" s="195"/>
    </row>
    <row r="145" spans="2:10" x14ac:dyDescent="0.25">
      <c r="B145" s="195" t="s">
        <v>1292</v>
      </c>
      <c r="C145" s="193" t="s">
        <v>68</v>
      </c>
      <c r="D145" s="194">
        <v>18</v>
      </c>
      <c r="E145" s="195"/>
    </row>
    <row r="146" spans="2:10" x14ac:dyDescent="0.25">
      <c r="B146" s="195" t="s">
        <v>1293</v>
      </c>
      <c r="C146" s="193" t="s">
        <v>68</v>
      </c>
      <c r="D146" s="194">
        <v>20</v>
      </c>
      <c r="E146" s="195"/>
    </row>
    <row r="147" spans="2:10" x14ac:dyDescent="0.25">
      <c r="B147" s="195" t="s">
        <v>1258</v>
      </c>
      <c r="C147" s="193" t="s">
        <v>68</v>
      </c>
      <c r="D147" s="194">
        <v>25</v>
      </c>
      <c r="E147" s="195"/>
    </row>
    <row r="148" spans="2:10" x14ac:dyDescent="0.25">
      <c r="B148" s="195" t="s">
        <v>1280</v>
      </c>
      <c r="C148" s="193" t="s">
        <v>68</v>
      </c>
      <c r="D148" s="194">
        <v>28</v>
      </c>
      <c r="E148" s="195"/>
    </row>
    <row r="149" spans="2:10" x14ac:dyDescent="0.25">
      <c r="B149" s="195" t="s">
        <v>1259</v>
      </c>
      <c r="C149" s="193" t="s">
        <v>68</v>
      </c>
      <c r="D149" s="194">
        <v>30</v>
      </c>
      <c r="E149" s="195"/>
    </row>
    <row r="150" spans="2:10" x14ac:dyDescent="0.25">
      <c r="B150" s="195" t="s">
        <v>1260</v>
      </c>
      <c r="C150" s="193" t="s">
        <v>68</v>
      </c>
      <c r="D150" s="194">
        <v>33</v>
      </c>
      <c r="E150" s="195"/>
      <c r="H150" s="244" t="s">
        <v>169</v>
      </c>
      <c r="I150" s="244" t="s">
        <v>68</v>
      </c>
      <c r="J150" s="244">
        <v>25</v>
      </c>
    </row>
    <row r="151" spans="2:10" x14ac:dyDescent="0.25">
      <c r="B151" s="195" t="s">
        <v>180</v>
      </c>
      <c r="C151" s="193" t="s">
        <v>68</v>
      </c>
      <c r="D151" s="194">
        <v>38</v>
      </c>
      <c r="E151" s="195"/>
      <c r="H151" s="244" t="s">
        <v>171</v>
      </c>
      <c r="I151" s="244" t="s">
        <v>68</v>
      </c>
      <c r="J151" s="244">
        <v>30</v>
      </c>
    </row>
    <row r="152" spans="2:10" x14ac:dyDescent="0.25">
      <c r="B152" s="195" t="s">
        <v>1257</v>
      </c>
      <c r="C152" s="193" t="s">
        <v>68</v>
      </c>
      <c r="D152" s="194">
        <v>44</v>
      </c>
      <c r="E152" s="195"/>
      <c r="H152" s="244" t="s">
        <v>176</v>
      </c>
      <c r="I152" s="244" t="s">
        <v>68</v>
      </c>
      <c r="J152" s="244">
        <v>130</v>
      </c>
    </row>
    <row r="153" spans="2:10" x14ac:dyDescent="0.25">
      <c r="B153" s="195" t="s">
        <v>182</v>
      </c>
      <c r="C153" s="193" t="s">
        <v>68</v>
      </c>
      <c r="D153" s="194">
        <v>50</v>
      </c>
      <c r="E153" s="195"/>
      <c r="H153" s="244" t="s">
        <v>183</v>
      </c>
      <c r="I153" s="244" t="s">
        <v>68</v>
      </c>
      <c r="J153" s="244">
        <v>180</v>
      </c>
    </row>
    <row r="154" spans="2:10" x14ac:dyDescent="0.25">
      <c r="B154" s="195" t="s">
        <v>1256</v>
      </c>
      <c r="C154" s="193" t="s">
        <v>68</v>
      </c>
      <c r="D154" s="194">
        <v>55</v>
      </c>
      <c r="E154" s="195"/>
      <c r="H154" s="244" t="s">
        <v>175</v>
      </c>
      <c r="I154" s="244" t="s">
        <v>68</v>
      </c>
      <c r="J154" s="244">
        <v>250</v>
      </c>
    </row>
    <row r="155" spans="2:10" x14ac:dyDescent="0.25">
      <c r="B155" s="195" t="s">
        <v>1282</v>
      </c>
      <c r="C155" s="193" t="s">
        <v>68</v>
      </c>
      <c r="D155" s="194">
        <v>60</v>
      </c>
      <c r="E155" s="195"/>
    </row>
    <row r="156" spans="2:10" x14ac:dyDescent="0.25">
      <c r="B156" s="195" t="s">
        <v>179</v>
      </c>
      <c r="C156" s="193" t="s">
        <v>68</v>
      </c>
      <c r="D156" s="194">
        <v>60</v>
      </c>
      <c r="E156" s="195"/>
    </row>
    <row r="157" spans="2:10" x14ac:dyDescent="0.25">
      <c r="B157" s="195" t="s">
        <v>1287</v>
      </c>
      <c r="C157" s="193" t="s">
        <v>68</v>
      </c>
      <c r="D157" s="194">
        <v>120</v>
      </c>
      <c r="E157" s="195"/>
    </row>
    <row r="158" spans="2:10" x14ac:dyDescent="0.25">
      <c r="B158" s="195"/>
      <c r="C158" s="193"/>
      <c r="D158" s="194"/>
      <c r="E158" s="195"/>
    </row>
    <row r="159" spans="2:10" x14ac:dyDescent="0.25">
      <c r="B159" s="195" t="s">
        <v>1412</v>
      </c>
      <c r="C159" s="193" t="s">
        <v>35</v>
      </c>
      <c r="D159" s="194">
        <v>205</v>
      </c>
      <c r="E159" s="195"/>
    </row>
    <row r="160" spans="2:10" x14ac:dyDescent="0.25">
      <c r="B160" s="195" t="s">
        <v>1416</v>
      </c>
      <c r="C160" s="193" t="s">
        <v>35</v>
      </c>
      <c r="D160" s="194">
        <v>215</v>
      </c>
      <c r="E160" s="195"/>
    </row>
    <row r="161" spans="2:5" x14ac:dyDescent="0.25">
      <c r="B161" s="195" t="s">
        <v>1420</v>
      </c>
      <c r="C161" s="193" t="s">
        <v>35</v>
      </c>
      <c r="D161" s="194">
        <v>227.5</v>
      </c>
      <c r="E161" s="195"/>
    </row>
    <row r="162" spans="2:5" x14ac:dyDescent="0.25">
      <c r="B162" s="195" t="s">
        <v>1413</v>
      </c>
      <c r="C162" s="193" t="s">
        <v>35</v>
      </c>
      <c r="D162" s="194">
        <v>224.5</v>
      </c>
      <c r="E162" s="195"/>
    </row>
    <row r="163" spans="2:5" x14ac:dyDescent="0.25">
      <c r="B163" s="195" t="s">
        <v>1417</v>
      </c>
      <c r="C163" s="193" t="s">
        <v>35</v>
      </c>
      <c r="D163" s="194">
        <v>229</v>
      </c>
      <c r="E163" s="195"/>
    </row>
    <row r="164" spans="2:5" x14ac:dyDescent="0.25">
      <c r="B164" s="195" t="s">
        <v>1295</v>
      </c>
      <c r="C164" s="193" t="s">
        <v>35</v>
      </c>
      <c r="D164" s="194">
        <v>260</v>
      </c>
      <c r="E164" s="195"/>
    </row>
    <row r="165" spans="2:5" x14ac:dyDescent="0.25">
      <c r="B165" s="195" t="s">
        <v>1471</v>
      </c>
      <c r="C165" s="193" t="s">
        <v>35</v>
      </c>
      <c r="D165" s="194">
        <v>300</v>
      </c>
      <c r="E165" s="195"/>
    </row>
    <row r="166" spans="2:5" x14ac:dyDescent="0.25">
      <c r="B166" s="195" t="s">
        <v>1296</v>
      </c>
      <c r="C166" s="193" t="s">
        <v>35</v>
      </c>
      <c r="D166" s="194">
        <v>312</v>
      </c>
      <c r="E166" s="195"/>
    </row>
    <row r="167" spans="2:5" x14ac:dyDescent="0.25">
      <c r="B167" s="195" t="s">
        <v>1297</v>
      </c>
      <c r="C167" s="193" t="s">
        <v>35</v>
      </c>
      <c r="D167" s="194">
        <v>335.40000000000003</v>
      </c>
      <c r="E167" s="195"/>
    </row>
    <row r="168" spans="2:5" x14ac:dyDescent="0.25">
      <c r="B168" s="195" t="s">
        <v>1299</v>
      </c>
      <c r="C168" s="193" t="s">
        <v>35</v>
      </c>
      <c r="D168" s="194">
        <v>355</v>
      </c>
      <c r="E168" s="195"/>
    </row>
    <row r="169" spans="2:5" x14ac:dyDescent="0.25">
      <c r="B169" s="195" t="s">
        <v>1414</v>
      </c>
      <c r="C169" s="193" t="s">
        <v>35</v>
      </c>
      <c r="D169" s="194">
        <v>791</v>
      </c>
      <c r="E169" s="195"/>
    </row>
    <row r="170" spans="2:5" x14ac:dyDescent="0.25">
      <c r="B170" s="195" t="s">
        <v>1418</v>
      </c>
      <c r="C170" s="193" t="s">
        <v>35</v>
      </c>
      <c r="D170" s="194">
        <v>820</v>
      </c>
      <c r="E170" s="195"/>
    </row>
    <row r="171" spans="2:5" x14ac:dyDescent="0.25">
      <c r="B171" s="195" t="s">
        <v>1421</v>
      </c>
      <c r="C171" s="193" t="s">
        <v>35</v>
      </c>
      <c r="D171" s="194">
        <v>861</v>
      </c>
      <c r="E171" s="195"/>
    </row>
    <row r="172" spans="2:5" x14ac:dyDescent="0.25">
      <c r="B172" s="195" t="s">
        <v>1470</v>
      </c>
      <c r="C172" s="193" t="s">
        <v>35</v>
      </c>
      <c r="D172" s="194">
        <v>830</v>
      </c>
      <c r="E172" s="195"/>
    </row>
    <row r="173" spans="2:5" x14ac:dyDescent="0.25">
      <c r="B173" s="195" t="s">
        <v>1298</v>
      </c>
      <c r="C173" s="193" t="s">
        <v>35</v>
      </c>
      <c r="D173" s="194">
        <v>835</v>
      </c>
      <c r="E173" s="195"/>
    </row>
    <row r="174" spans="2:5" x14ac:dyDescent="0.25">
      <c r="B174" s="195" t="s">
        <v>1300</v>
      </c>
      <c r="C174" s="193" t="s">
        <v>35</v>
      </c>
      <c r="D174" s="194">
        <v>920</v>
      </c>
      <c r="E174" s="195"/>
    </row>
    <row r="175" spans="2:5" x14ac:dyDescent="0.25">
      <c r="B175" s="195" t="s">
        <v>1415</v>
      </c>
      <c r="C175" s="193" t="s">
        <v>35</v>
      </c>
      <c r="D175" s="194">
        <v>1844</v>
      </c>
      <c r="E175" s="195"/>
    </row>
    <row r="176" spans="2:5" x14ac:dyDescent="0.25">
      <c r="B176" s="195" t="s">
        <v>1419</v>
      </c>
      <c r="C176" s="193" t="s">
        <v>35</v>
      </c>
      <c r="D176" s="194">
        <v>1857</v>
      </c>
      <c r="E176" s="195"/>
    </row>
    <row r="177" spans="2:5" x14ac:dyDescent="0.25">
      <c r="B177" s="195" t="s">
        <v>1472</v>
      </c>
      <c r="C177" s="193" t="s">
        <v>35</v>
      </c>
      <c r="D177" s="194">
        <v>1900</v>
      </c>
      <c r="E177" s="195"/>
    </row>
    <row r="178" spans="2:5" x14ac:dyDescent="0.25">
      <c r="B178" s="195" t="s">
        <v>1301</v>
      </c>
      <c r="C178" s="193" t="s">
        <v>35</v>
      </c>
      <c r="D178" s="194">
        <v>1950</v>
      </c>
      <c r="E178" s="195"/>
    </row>
    <row r="179" spans="2:5" x14ac:dyDescent="0.25">
      <c r="B179" s="195" t="s">
        <v>1422</v>
      </c>
      <c r="C179" s="193" t="s">
        <v>35</v>
      </c>
      <c r="D179" s="194">
        <v>2370</v>
      </c>
      <c r="E179" s="195"/>
    </row>
    <row r="180" spans="2:5" x14ac:dyDescent="0.25">
      <c r="B180" s="195" t="s">
        <v>1302</v>
      </c>
      <c r="C180" s="193" t="s">
        <v>35</v>
      </c>
      <c r="D180" s="194">
        <v>3472</v>
      </c>
      <c r="E180" s="195"/>
    </row>
    <row r="181" spans="2:5" x14ac:dyDescent="0.25">
      <c r="B181" s="195" t="s">
        <v>1303</v>
      </c>
      <c r="C181" s="193" t="s">
        <v>35</v>
      </c>
      <c r="D181" s="194">
        <v>4200</v>
      </c>
      <c r="E181" s="195"/>
    </row>
    <row r="182" spans="2:5" x14ac:dyDescent="0.25">
      <c r="B182" s="195" t="s">
        <v>1304</v>
      </c>
      <c r="C182" s="193" t="s">
        <v>35</v>
      </c>
      <c r="D182" s="194">
        <v>3325</v>
      </c>
      <c r="E182" s="195"/>
    </row>
    <row r="183" spans="2:5" x14ac:dyDescent="0.25">
      <c r="B183" s="195" t="s">
        <v>1423</v>
      </c>
      <c r="C183" s="193" t="s">
        <v>35</v>
      </c>
      <c r="D183" s="194">
        <v>288</v>
      </c>
      <c r="E183" s="195"/>
    </row>
    <row r="184" spans="2:5" x14ac:dyDescent="0.25">
      <c r="B184" s="195" t="s">
        <v>1424</v>
      </c>
      <c r="C184" s="193" t="s">
        <v>35</v>
      </c>
      <c r="D184" s="194">
        <v>307</v>
      </c>
      <c r="E184" s="195"/>
    </row>
    <row r="185" spans="2:5" x14ac:dyDescent="0.25">
      <c r="B185" s="195" t="s">
        <v>1425</v>
      </c>
      <c r="C185" s="193" t="s">
        <v>35</v>
      </c>
      <c r="D185" s="194">
        <v>345</v>
      </c>
      <c r="E185" s="195"/>
    </row>
    <row r="186" spans="2:5" x14ac:dyDescent="0.25">
      <c r="B186" s="195" t="s">
        <v>1426</v>
      </c>
      <c r="C186" s="193" t="s">
        <v>35</v>
      </c>
      <c r="D186" s="194">
        <v>935</v>
      </c>
      <c r="E186" s="195"/>
    </row>
    <row r="187" spans="2:5" x14ac:dyDescent="0.25">
      <c r="B187" s="195" t="s">
        <v>1427</v>
      </c>
      <c r="C187" s="193" t="s">
        <v>35</v>
      </c>
      <c r="D187" s="194">
        <v>958</v>
      </c>
      <c r="E187" s="195"/>
    </row>
    <row r="188" spans="2:5" x14ac:dyDescent="0.25">
      <c r="B188" s="195" t="s">
        <v>1428</v>
      </c>
      <c r="C188" s="193" t="s">
        <v>35</v>
      </c>
      <c r="D188" s="194">
        <v>1190</v>
      </c>
      <c r="E188" s="195"/>
    </row>
    <row r="189" spans="2:5" x14ac:dyDescent="0.25">
      <c r="B189" s="195" t="s">
        <v>1429</v>
      </c>
      <c r="C189" s="193" t="s">
        <v>35</v>
      </c>
      <c r="D189" s="194">
        <v>2150</v>
      </c>
      <c r="E189" s="195"/>
    </row>
    <row r="190" spans="2:5" x14ac:dyDescent="0.25">
      <c r="B190" s="195" t="s">
        <v>1430</v>
      </c>
      <c r="C190" s="193" t="s">
        <v>35</v>
      </c>
      <c r="D190" s="194">
        <v>2459</v>
      </c>
      <c r="E190" s="195"/>
    </row>
    <row r="191" spans="2:5" x14ac:dyDescent="0.25">
      <c r="B191" s="195" t="s">
        <v>1431</v>
      </c>
      <c r="C191" s="193" t="s">
        <v>35</v>
      </c>
      <c r="D191" s="194">
        <v>2578</v>
      </c>
      <c r="E191" s="195"/>
    </row>
    <row r="192" spans="2:5" x14ac:dyDescent="0.25">
      <c r="B192" s="195" t="s">
        <v>1432</v>
      </c>
      <c r="C192" s="193" t="s">
        <v>35</v>
      </c>
      <c r="D192" s="194">
        <v>3255</v>
      </c>
      <c r="E192" s="195"/>
    </row>
    <row r="193" spans="2:5" x14ac:dyDescent="0.25">
      <c r="B193" s="195" t="s">
        <v>1305</v>
      </c>
      <c r="C193" s="193" t="s">
        <v>35</v>
      </c>
      <c r="D193" s="194">
        <v>387</v>
      </c>
      <c r="E193" s="195"/>
    </row>
    <row r="194" spans="2:5" x14ac:dyDescent="0.25">
      <c r="B194" s="195" t="s">
        <v>1321</v>
      </c>
      <c r="C194" s="193" t="s">
        <v>35</v>
      </c>
      <c r="D194" s="194">
        <v>400</v>
      </c>
      <c r="E194" s="195"/>
    </row>
    <row r="195" spans="2:5" x14ac:dyDescent="0.25">
      <c r="B195" s="195" t="s">
        <v>1306</v>
      </c>
      <c r="C195" s="193" t="s">
        <v>35</v>
      </c>
      <c r="D195" s="194">
        <v>429</v>
      </c>
      <c r="E195" s="195"/>
    </row>
    <row r="196" spans="2:5" x14ac:dyDescent="0.25">
      <c r="B196" s="195" t="s">
        <v>1307</v>
      </c>
      <c r="C196" s="193" t="s">
        <v>35</v>
      </c>
      <c r="D196" s="194">
        <v>537</v>
      </c>
      <c r="E196" s="195"/>
    </row>
    <row r="197" spans="2:5" x14ac:dyDescent="0.25">
      <c r="B197" s="195" t="s">
        <v>1308</v>
      </c>
      <c r="C197" s="193" t="s">
        <v>35</v>
      </c>
      <c r="D197" s="194">
        <v>555</v>
      </c>
      <c r="E197" s="195"/>
    </row>
    <row r="198" spans="2:5" x14ac:dyDescent="0.25">
      <c r="B198" s="195" t="s">
        <v>1309</v>
      </c>
      <c r="C198" s="193" t="s">
        <v>35</v>
      </c>
      <c r="D198" s="194">
        <v>570</v>
      </c>
      <c r="E198" s="195"/>
    </row>
    <row r="199" spans="2:5" x14ac:dyDescent="0.25">
      <c r="B199" s="195" t="s">
        <v>1310</v>
      </c>
      <c r="C199" s="193" t="s">
        <v>35</v>
      </c>
      <c r="D199" s="194">
        <v>1065</v>
      </c>
      <c r="E199" s="195"/>
    </row>
    <row r="200" spans="2:5" x14ac:dyDescent="0.25">
      <c r="B200" s="195" t="s">
        <v>1311</v>
      </c>
      <c r="C200" s="193" t="s">
        <v>35</v>
      </c>
      <c r="D200" s="194">
        <v>1190</v>
      </c>
      <c r="E200" s="195"/>
    </row>
    <row r="201" spans="2:5" x14ac:dyDescent="0.25">
      <c r="B201" s="195" t="s">
        <v>1312</v>
      </c>
      <c r="C201" s="193" t="s">
        <v>35</v>
      </c>
      <c r="D201" s="194">
        <v>1215</v>
      </c>
      <c r="E201" s="195"/>
    </row>
    <row r="202" spans="2:5" x14ac:dyDescent="0.25">
      <c r="B202" s="195" t="s">
        <v>1313</v>
      </c>
      <c r="C202" s="193" t="s">
        <v>35</v>
      </c>
      <c r="D202" s="194">
        <v>1350</v>
      </c>
      <c r="E202" s="195"/>
    </row>
    <row r="203" spans="2:5" x14ac:dyDescent="0.25">
      <c r="B203" s="195" t="s">
        <v>1322</v>
      </c>
      <c r="C203" s="193" t="s">
        <v>35</v>
      </c>
      <c r="D203" s="194">
        <v>2725</v>
      </c>
      <c r="E203" s="195"/>
    </row>
    <row r="204" spans="2:5" x14ac:dyDescent="0.25">
      <c r="B204" s="195" t="s">
        <v>1314</v>
      </c>
      <c r="C204" s="193" t="s">
        <v>35</v>
      </c>
      <c r="D204" s="194">
        <v>2725</v>
      </c>
      <c r="E204" s="195"/>
    </row>
    <row r="205" spans="2:5" x14ac:dyDescent="0.25">
      <c r="B205" s="195" t="s">
        <v>1315</v>
      </c>
      <c r="C205" s="193" t="s">
        <v>35</v>
      </c>
      <c r="D205" s="194">
        <v>3200</v>
      </c>
      <c r="E205" s="195"/>
    </row>
    <row r="206" spans="2:5" x14ac:dyDescent="0.25">
      <c r="B206" s="195" t="s">
        <v>1316</v>
      </c>
      <c r="C206" s="193" t="s">
        <v>35</v>
      </c>
      <c r="D206" s="194">
        <v>3550</v>
      </c>
      <c r="E206" s="195"/>
    </row>
    <row r="207" spans="2:5" x14ac:dyDescent="0.25">
      <c r="B207" s="195" t="s">
        <v>1317</v>
      </c>
      <c r="C207" s="193" t="s">
        <v>35</v>
      </c>
      <c r="D207" s="194">
        <v>4200</v>
      </c>
      <c r="E207" s="195"/>
    </row>
    <row r="208" spans="2:5" x14ac:dyDescent="0.25">
      <c r="B208" s="195" t="s">
        <v>1318</v>
      </c>
      <c r="C208" s="193" t="s">
        <v>35</v>
      </c>
      <c r="D208" s="194">
        <v>4650</v>
      </c>
      <c r="E208" s="195"/>
    </row>
    <row r="209" spans="2:5" x14ac:dyDescent="0.25">
      <c r="B209" s="195" t="s">
        <v>1319</v>
      </c>
      <c r="C209" s="193" t="s">
        <v>35</v>
      </c>
      <c r="D209" s="194">
        <v>5100</v>
      </c>
      <c r="E209" s="195"/>
    </row>
    <row r="210" spans="2:5" x14ac:dyDescent="0.25">
      <c r="B210" s="195" t="s">
        <v>1320</v>
      </c>
      <c r="C210" s="193" t="s">
        <v>35</v>
      </c>
      <c r="D210" s="194">
        <v>5500</v>
      </c>
      <c r="E210" s="195"/>
    </row>
    <row r="211" spans="2:5" x14ac:dyDescent="0.25">
      <c r="B211" s="195" t="s">
        <v>1434</v>
      </c>
      <c r="C211" s="193" t="s">
        <v>35</v>
      </c>
      <c r="D211" s="194">
        <v>45</v>
      </c>
      <c r="E211" s="195"/>
    </row>
    <row r="212" spans="2:5" x14ac:dyDescent="0.25">
      <c r="B212" s="195" t="s">
        <v>1435</v>
      </c>
      <c r="C212" s="193" t="s">
        <v>35</v>
      </c>
      <c r="D212" s="194">
        <v>55</v>
      </c>
      <c r="E212" s="195"/>
    </row>
    <row r="213" spans="2:5" x14ac:dyDescent="0.25">
      <c r="B213" s="195" t="s">
        <v>1323</v>
      </c>
      <c r="C213" s="193" t="s">
        <v>35</v>
      </c>
      <c r="D213" s="194">
        <v>65</v>
      </c>
      <c r="E213" s="195"/>
    </row>
    <row r="214" spans="2:5" x14ac:dyDescent="0.25">
      <c r="B214" s="195" t="s">
        <v>1324</v>
      </c>
      <c r="C214" s="193" t="s">
        <v>35</v>
      </c>
      <c r="D214" s="194">
        <v>72</v>
      </c>
      <c r="E214" s="195"/>
    </row>
    <row r="215" spans="2:5" x14ac:dyDescent="0.25">
      <c r="B215" s="195" t="s">
        <v>1325</v>
      </c>
      <c r="C215" s="193" t="s">
        <v>35</v>
      </c>
      <c r="D215" s="194">
        <v>89</v>
      </c>
      <c r="E215" s="195"/>
    </row>
    <row r="216" spans="2:5" x14ac:dyDescent="0.25">
      <c r="B216" s="195" t="s">
        <v>1436</v>
      </c>
      <c r="C216" s="193" t="s">
        <v>35</v>
      </c>
      <c r="D216" s="194">
        <v>89</v>
      </c>
      <c r="E216" s="195"/>
    </row>
    <row r="217" spans="2:5" x14ac:dyDescent="0.25">
      <c r="B217" s="195" t="s">
        <v>1326</v>
      </c>
      <c r="C217" s="193" t="s">
        <v>35</v>
      </c>
      <c r="D217" s="194">
        <v>310</v>
      </c>
      <c r="E217" s="195"/>
    </row>
    <row r="218" spans="2:5" x14ac:dyDescent="0.25">
      <c r="B218" s="195" t="s">
        <v>1437</v>
      </c>
      <c r="C218" s="193" t="s">
        <v>35</v>
      </c>
      <c r="D218" s="194">
        <v>640</v>
      </c>
      <c r="E218" s="195"/>
    </row>
    <row r="219" spans="2:5" x14ac:dyDescent="0.25">
      <c r="B219" s="195" t="s">
        <v>1327</v>
      </c>
      <c r="C219" s="193" t="s">
        <v>35</v>
      </c>
      <c r="D219" s="194">
        <v>810</v>
      </c>
      <c r="E219" s="195"/>
    </row>
    <row r="220" spans="2:5" x14ac:dyDescent="0.25">
      <c r="B220" s="195" t="s">
        <v>1438</v>
      </c>
      <c r="C220" s="193" t="s">
        <v>35</v>
      </c>
      <c r="D220" s="194">
        <v>810</v>
      </c>
      <c r="E220" s="195"/>
    </row>
    <row r="221" spans="2:5" x14ac:dyDescent="0.25">
      <c r="B221" s="195" t="s">
        <v>1439</v>
      </c>
      <c r="C221" s="193" t="s">
        <v>35</v>
      </c>
      <c r="D221" s="194">
        <v>285</v>
      </c>
      <c r="E221" s="195"/>
    </row>
    <row r="222" spans="2:5" x14ac:dyDescent="0.25">
      <c r="B222" s="195" t="s">
        <v>1440</v>
      </c>
      <c r="C222" s="193" t="s">
        <v>35</v>
      </c>
      <c r="D222" s="194">
        <v>320</v>
      </c>
      <c r="E222" s="195"/>
    </row>
    <row r="223" spans="2:5" x14ac:dyDescent="0.25">
      <c r="B223" s="195" t="s">
        <v>1441</v>
      </c>
      <c r="C223" s="193" t="s">
        <v>35</v>
      </c>
      <c r="D223" s="194">
        <v>1600</v>
      </c>
      <c r="E223" s="195"/>
    </row>
    <row r="224" spans="2:5" x14ac:dyDescent="0.25">
      <c r="B224" s="195" t="s">
        <v>1442</v>
      </c>
      <c r="C224" s="193" t="s">
        <v>35</v>
      </c>
      <c r="D224" s="194">
        <v>2200</v>
      </c>
      <c r="E224" s="195"/>
    </row>
    <row r="225" spans="2:5" x14ac:dyDescent="0.25">
      <c r="B225" s="195" t="s">
        <v>1443</v>
      </c>
      <c r="C225" s="193" t="s">
        <v>35</v>
      </c>
      <c r="D225" s="194">
        <v>2750</v>
      </c>
      <c r="E225" s="195"/>
    </row>
    <row r="226" spans="2:5" x14ac:dyDescent="0.25">
      <c r="B226" s="195"/>
      <c r="C226" s="193"/>
      <c r="D226" s="194"/>
      <c r="E226" s="195"/>
    </row>
    <row r="227" spans="2:5" x14ac:dyDescent="0.25">
      <c r="B227" s="195"/>
      <c r="C227" s="193"/>
      <c r="D227" s="194"/>
      <c r="E227" s="195"/>
    </row>
    <row r="228" spans="2:5" x14ac:dyDescent="0.25">
      <c r="B228" s="195"/>
      <c r="C228" s="193"/>
      <c r="D228" s="194"/>
      <c r="E228" s="195"/>
    </row>
    <row r="229" spans="2:5" x14ac:dyDescent="0.25">
      <c r="B229" s="195" t="s">
        <v>1445</v>
      </c>
      <c r="C229" s="193" t="s">
        <v>35</v>
      </c>
      <c r="D229" s="194">
        <v>750</v>
      </c>
      <c r="E229" s="195"/>
    </row>
    <row r="230" spans="2:5" x14ac:dyDescent="0.25">
      <c r="B230" s="195" t="s">
        <v>1446</v>
      </c>
      <c r="C230" s="193" t="s">
        <v>35</v>
      </c>
      <c r="D230" s="194">
        <v>75</v>
      </c>
      <c r="E230" s="195"/>
    </row>
    <row r="231" spans="2:5" x14ac:dyDescent="0.25">
      <c r="B231" s="195" t="s">
        <v>1447</v>
      </c>
      <c r="C231" s="193" t="s">
        <v>35</v>
      </c>
      <c r="D231" s="194">
        <v>100</v>
      </c>
      <c r="E231" s="195"/>
    </row>
    <row r="232" spans="2:5" x14ac:dyDescent="0.25">
      <c r="B232" s="195" t="s">
        <v>1448</v>
      </c>
      <c r="C232" s="193" t="s">
        <v>35</v>
      </c>
      <c r="D232" s="194">
        <v>915</v>
      </c>
      <c r="E232" s="195"/>
    </row>
    <row r="233" spans="2:5" x14ac:dyDescent="0.25">
      <c r="B233" s="195" t="s">
        <v>1449</v>
      </c>
      <c r="C233" s="193" t="s">
        <v>35</v>
      </c>
      <c r="D233" s="194">
        <v>91.5</v>
      </c>
      <c r="E233" s="195"/>
    </row>
    <row r="234" spans="2:5" x14ac:dyDescent="0.25">
      <c r="B234" s="195" t="s">
        <v>1450</v>
      </c>
      <c r="C234" s="193" t="s">
        <v>35</v>
      </c>
      <c r="D234" s="194">
        <v>100</v>
      </c>
      <c r="E234" s="195"/>
    </row>
    <row r="235" spans="2:5" x14ac:dyDescent="0.25">
      <c r="B235" s="195" t="s">
        <v>1340</v>
      </c>
      <c r="C235" s="193" t="s">
        <v>35</v>
      </c>
      <c r="D235" s="194">
        <v>1268</v>
      </c>
      <c r="E235" s="195"/>
    </row>
    <row r="236" spans="2:5" x14ac:dyDescent="0.25">
      <c r="B236" s="195" t="s">
        <v>1342</v>
      </c>
      <c r="C236" s="193" t="s">
        <v>35</v>
      </c>
      <c r="D236" s="194">
        <f>0.1*D235</f>
        <v>126.80000000000001</v>
      </c>
      <c r="E236" s="195"/>
    </row>
    <row r="237" spans="2:5" x14ac:dyDescent="0.25">
      <c r="B237" s="195" t="s">
        <v>1330</v>
      </c>
      <c r="C237" s="193" t="s">
        <v>35</v>
      </c>
      <c r="D237" s="194">
        <v>150</v>
      </c>
      <c r="E237" s="195"/>
    </row>
    <row r="238" spans="2:5" x14ac:dyDescent="0.25">
      <c r="B238" s="195" t="s">
        <v>1341</v>
      </c>
      <c r="C238" s="193" t="s">
        <v>35</v>
      </c>
      <c r="D238" s="194">
        <v>1552</v>
      </c>
      <c r="E238" s="195"/>
    </row>
    <row r="239" spans="2:5" x14ac:dyDescent="0.25">
      <c r="B239" s="195" t="s">
        <v>1343</v>
      </c>
      <c r="C239" s="193" t="s">
        <v>35</v>
      </c>
      <c r="D239" s="194">
        <f>0.1*D238</f>
        <v>155.20000000000002</v>
      </c>
      <c r="E239" s="195"/>
    </row>
    <row r="240" spans="2:5" x14ac:dyDescent="0.25">
      <c r="B240" s="195" t="s">
        <v>1331</v>
      </c>
      <c r="C240" s="193" t="s">
        <v>35</v>
      </c>
      <c r="D240" s="194">
        <v>150</v>
      </c>
      <c r="E240" s="195"/>
    </row>
    <row r="241" spans="2:5" x14ac:dyDescent="0.25">
      <c r="B241" s="195" t="s">
        <v>1332</v>
      </c>
      <c r="C241" s="193" t="s">
        <v>35</v>
      </c>
      <c r="D241" s="194">
        <v>1700</v>
      </c>
      <c r="E241" s="195"/>
    </row>
    <row r="242" spans="2:5" x14ac:dyDescent="0.25">
      <c r="B242" s="195" t="s">
        <v>1477</v>
      </c>
      <c r="C242" s="193" t="s">
        <v>35</v>
      </c>
      <c r="D242" s="194">
        <v>1870</v>
      </c>
      <c r="E242" s="195"/>
    </row>
    <row r="243" spans="2:5" x14ac:dyDescent="0.25">
      <c r="B243" s="195" t="s">
        <v>1344</v>
      </c>
      <c r="C243" s="193" t="s">
        <v>35</v>
      </c>
      <c r="D243" s="194">
        <f>0.1*D241</f>
        <v>170</v>
      </c>
      <c r="E243" s="195"/>
    </row>
    <row r="244" spans="2:5" x14ac:dyDescent="0.25">
      <c r="B244" s="195" t="s">
        <v>1333</v>
      </c>
      <c r="C244" s="193" t="s">
        <v>35</v>
      </c>
      <c r="D244" s="194">
        <v>150</v>
      </c>
      <c r="E244" s="195"/>
    </row>
    <row r="245" spans="2:5" x14ac:dyDescent="0.25">
      <c r="B245" s="195" t="s">
        <v>1451</v>
      </c>
      <c r="C245" s="193" t="s">
        <v>35</v>
      </c>
      <c r="D245" s="194">
        <v>1870</v>
      </c>
      <c r="E245" s="195"/>
    </row>
    <row r="246" spans="2:5" x14ac:dyDescent="0.25">
      <c r="B246" s="195" t="s">
        <v>1478</v>
      </c>
      <c r="C246" s="193" t="s">
        <v>35</v>
      </c>
      <c r="D246" s="194">
        <v>2160</v>
      </c>
      <c r="E246" s="195"/>
    </row>
    <row r="247" spans="2:5" x14ac:dyDescent="0.25">
      <c r="B247" s="195" t="s">
        <v>1452</v>
      </c>
      <c r="C247" s="193" t="s">
        <v>35</v>
      </c>
      <c r="D247" s="194">
        <v>170</v>
      </c>
      <c r="E247" s="195"/>
    </row>
    <row r="248" spans="2:5" x14ac:dyDescent="0.25">
      <c r="B248" s="195" t="s">
        <v>1453</v>
      </c>
      <c r="C248" s="193" t="s">
        <v>35</v>
      </c>
      <c r="D248" s="194">
        <v>200</v>
      </c>
      <c r="E248" s="195"/>
    </row>
    <row r="249" spans="2:5" x14ac:dyDescent="0.25">
      <c r="B249" s="195" t="s">
        <v>1473</v>
      </c>
      <c r="C249" s="193" t="s">
        <v>35</v>
      </c>
      <c r="D249" s="194">
        <v>2200</v>
      </c>
      <c r="E249" s="195"/>
    </row>
    <row r="250" spans="2:5" x14ac:dyDescent="0.25">
      <c r="B250" s="195" t="s">
        <v>1479</v>
      </c>
      <c r="C250" s="193" t="s">
        <v>35</v>
      </c>
      <c r="D250" s="194">
        <v>2825</v>
      </c>
      <c r="E250" s="195"/>
    </row>
    <row r="251" spans="2:5" x14ac:dyDescent="0.25">
      <c r="B251" s="195" t="s">
        <v>1474</v>
      </c>
      <c r="C251" s="193" t="s">
        <v>35</v>
      </c>
      <c r="D251" s="194">
        <f>0.1*D249</f>
        <v>220</v>
      </c>
      <c r="E251" s="195"/>
    </row>
    <row r="252" spans="2:5" x14ac:dyDescent="0.25">
      <c r="B252" s="195" t="s">
        <v>1475</v>
      </c>
      <c r="C252" s="193" t="s">
        <v>35</v>
      </c>
      <c r="D252" s="194">
        <v>200</v>
      </c>
      <c r="E252" s="195"/>
    </row>
    <row r="253" spans="2:5" x14ac:dyDescent="0.25">
      <c r="B253" s="195" t="s">
        <v>1334</v>
      </c>
      <c r="C253" s="193" t="s">
        <v>35</v>
      </c>
      <c r="D253" s="194">
        <v>4550</v>
      </c>
      <c r="E253" s="195"/>
    </row>
    <row r="254" spans="2:5" x14ac:dyDescent="0.25">
      <c r="B254" s="195" t="s">
        <v>1345</v>
      </c>
      <c r="C254" s="193" t="s">
        <v>35</v>
      </c>
      <c r="D254" s="194">
        <f>0.1*D253</f>
        <v>455</v>
      </c>
      <c r="E254" s="195"/>
    </row>
    <row r="255" spans="2:5" x14ac:dyDescent="0.25">
      <c r="B255" s="195" t="s">
        <v>1335</v>
      </c>
      <c r="C255" s="193" t="s">
        <v>35</v>
      </c>
      <c r="D255" s="194">
        <v>200</v>
      </c>
      <c r="E255" s="195"/>
    </row>
    <row r="256" spans="2:5" x14ac:dyDescent="0.25">
      <c r="B256" s="195" t="s">
        <v>1454</v>
      </c>
      <c r="C256" s="193" t="s">
        <v>35</v>
      </c>
      <c r="D256" s="194">
        <v>7210</v>
      </c>
      <c r="E256" s="195"/>
    </row>
    <row r="257" spans="2:5" x14ac:dyDescent="0.25">
      <c r="B257" s="195" t="s">
        <v>1480</v>
      </c>
      <c r="C257" s="193" t="s">
        <v>35</v>
      </c>
      <c r="D257" s="194">
        <v>7750</v>
      </c>
      <c r="E257" s="195"/>
    </row>
    <row r="258" spans="2:5" x14ac:dyDescent="0.25">
      <c r="B258" s="195" t="s">
        <v>1455</v>
      </c>
      <c r="C258" s="193" t="s">
        <v>35</v>
      </c>
      <c r="D258" s="194">
        <v>721</v>
      </c>
      <c r="E258" s="195"/>
    </row>
    <row r="259" spans="2:5" x14ac:dyDescent="0.25">
      <c r="B259" s="195" t="s">
        <v>1456</v>
      </c>
      <c r="C259" s="193" t="s">
        <v>35</v>
      </c>
      <c r="D259" s="194">
        <v>1500</v>
      </c>
      <c r="E259" s="195"/>
    </row>
    <row r="260" spans="2:5" x14ac:dyDescent="0.25">
      <c r="B260" s="195" t="s">
        <v>1336</v>
      </c>
      <c r="C260" s="193" t="s">
        <v>35</v>
      </c>
      <c r="D260" s="194">
        <v>8250</v>
      </c>
      <c r="E260" s="195"/>
    </row>
    <row r="261" spans="2:5" x14ac:dyDescent="0.25">
      <c r="B261" s="195" t="s">
        <v>1346</v>
      </c>
      <c r="C261" s="193" t="s">
        <v>35</v>
      </c>
      <c r="D261" s="194">
        <f>0.1*D260</f>
        <v>825</v>
      </c>
      <c r="E261" s="195"/>
    </row>
    <row r="262" spans="2:5" x14ac:dyDescent="0.25">
      <c r="B262" s="195" t="s">
        <v>1337</v>
      </c>
      <c r="C262" s="193" t="s">
        <v>35</v>
      </c>
      <c r="D262" s="194">
        <v>250</v>
      </c>
      <c r="E262" s="195"/>
    </row>
    <row r="263" spans="2:5" x14ac:dyDescent="0.25">
      <c r="B263" s="195" t="s">
        <v>1457</v>
      </c>
      <c r="C263" s="193" t="s">
        <v>35</v>
      </c>
      <c r="D263" s="194">
        <v>9750</v>
      </c>
      <c r="E263" s="195"/>
    </row>
    <row r="264" spans="2:5" x14ac:dyDescent="0.25">
      <c r="B264" s="195" t="s">
        <v>1481</v>
      </c>
      <c r="C264" s="193" t="s">
        <v>35</v>
      </c>
      <c r="D264" s="194">
        <v>10150</v>
      </c>
      <c r="E264" s="195"/>
    </row>
    <row r="265" spans="2:5" x14ac:dyDescent="0.25">
      <c r="B265" s="195" t="s">
        <v>1458</v>
      </c>
      <c r="C265" s="193" t="s">
        <v>35</v>
      </c>
      <c r="D265" s="194">
        <v>975</v>
      </c>
      <c r="E265" s="195"/>
    </row>
    <row r="266" spans="2:5" x14ac:dyDescent="0.25">
      <c r="B266" s="195" t="s">
        <v>1459</v>
      </c>
      <c r="C266" s="193" t="s">
        <v>35</v>
      </c>
      <c r="D266" s="194">
        <v>1500</v>
      </c>
      <c r="E266" s="195"/>
    </row>
    <row r="267" spans="2:5" x14ac:dyDescent="0.25">
      <c r="B267" s="195" t="s">
        <v>1338</v>
      </c>
      <c r="C267" s="193" t="s">
        <v>35</v>
      </c>
      <c r="D267" s="194">
        <v>10250</v>
      </c>
      <c r="E267" s="195"/>
    </row>
    <row r="268" spans="2:5" x14ac:dyDescent="0.25">
      <c r="B268" s="195" t="s">
        <v>1347</v>
      </c>
      <c r="C268" s="193" t="s">
        <v>35</v>
      </c>
      <c r="D268" s="194">
        <f>0.1*D267</f>
        <v>1025</v>
      </c>
      <c r="E268" s="195"/>
    </row>
    <row r="269" spans="2:5" x14ac:dyDescent="0.25">
      <c r="B269" s="195" t="s">
        <v>1339</v>
      </c>
      <c r="C269" s="193" t="s">
        <v>35</v>
      </c>
      <c r="D269" s="194">
        <v>400</v>
      </c>
      <c r="E269" s="195"/>
    </row>
    <row r="270" spans="2:5" x14ac:dyDescent="0.25">
      <c r="B270" s="195" t="s">
        <v>1348</v>
      </c>
      <c r="C270" s="193" t="s">
        <v>1349</v>
      </c>
      <c r="D270" s="194">
        <v>8531</v>
      </c>
      <c r="E270" s="195"/>
    </row>
    <row r="271" spans="2:5" x14ac:dyDescent="0.25">
      <c r="B271" s="195" t="s">
        <v>1464</v>
      </c>
      <c r="C271" s="193" t="s">
        <v>35</v>
      </c>
      <c r="D271" s="194">
        <v>11757.36</v>
      </c>
      <c r="E271" s="195"/>
    </row>
    <row r="272" spans="2:5" x14ac:dyDescent="0.25">
      <c r="B272" s="195" t="s">
        <v>1465</v>
      </c>
      <c r="C272" s="193" t="s">
        <v>35</v>
      </c>
      <c r="D272" s="194">
        <v>13616.99</v>
      </c>
      <c r="E272" s="195"/>
    </row>
    <row r="273" spans="2:5" x14ac:dyDescent="0.25">
      <c r="B273" s="195" t="s">
        <v>1367</v>
      </c>
      <c r="C273" s="193" t="s">
        <v>35</v>
      </c>
      <c r="D273" s="194">
        <v>16328.61</v>
      </c>
      <c r="E273" s="195"/>
    </row>
    <row r="274" spans="2:5" x14ac:dyDescent="0.25">
      <c r="B274" s="195" t="s">
        <v>1466</v>
      </c>
      <c r="C274" s="193" t="s">
        <v>35</v>
      </c>
      <c r="D274" s="194">
        <v>26328.61</v>
      </c>
      <c r="E274" s="195"/>
    </row>
    <row r="275" spans="2:5" x14ac:dyDescent="0.25">
      <c r="B275" s="195" t="s">
        <v>1368</v>
      </c>
      <c r="C275" s="193" t="s">
        <v>35</v>
      </c>
      <c r="D275" s="194">
        <v>35250</v>
      </c>
      <c r="E275" s="195"/>
    </row>
    <row r="276" spans="2:5" x14ac:dyDescent="0.25">
      <c r="B276" s="195" t="s">
        <v>1369</v>
      </c>
      <c r="C276" s="193" t="s">
        <v>35</v>
      </c>
      <c r="D276" s="194">
        <v>48500</v>
      </c>
      <c r="E276" s="195"/>
    </row>
    <row r="277" spans="2:5" x14ac:dyDescent="0.25">
      <c r="B277" s="195" t="s">
        <v>1394</v>
      </c>
      <c r="C277" s="193" t="s">
        <v>35</v>
      </c>
      <c r="D277" s="194">
        <v>175250</v>
      </c>
      <c r="E277" s="195"/>
    </row>
    <row r="278" spans="2:5" x14ac:dyDescent="0.25">
      <c r="B278" s="195" t="s">
        <v>1386</v>
      </c>
      <c r="C278" s="193" t="s">
        <v>35</v>
      </c>
      <c r="D278" s="194">
        <v>630093.75</v>
      </c>
      <c r="E278" s="195"/>
    </row>
    <row r="279" spans="2:5" x14ac:dyDescent="0.25">
      <c r="B279" s="195" t="s">
        <v>1387</v>
      </c>
      <c r="C279" s="193" t="s">
        <v>35</v>
      </c>
      <c r="D279" s="194">
        <v>193875</v>
      </c>
      <c r="E279" s="195"/>
    </row>
    <row r="280" spans="2:5" x14ac:dyDescent="0.25">
      <c r="B280" s="195" t="s">
        <v>1388</v>
      </c>
      <c r="C280" s="193" t="s">
        <v>35</v>
      </c>
      <c r="D280" s="194">
        <v>174487.5</v>
      </c>
      <c r="E280" s="195"/>
    </row>
    <row r="281" spans="2:5" x14ac:dyDescent="0.25">
      <c r="B281" s="195" t="s">
        <v>1385</v>
      </c>
      <c r="C281" s="193" t="s">
        <v>35</v>
      </c>
      <c r="D281" s="194">
        <v>69937.5</v>
      </c>
      <c r="E281" s="195"/>
    </row>
    <row r="282" spans="2:5" x14ac:dyDescent="0.25">
      <c r="B282" s="195" t="s">
        <v>1389</v>
      </c>
      <c r="C282" s="193" t="s">
        <v>35</v>
      </c>
      <c r="D282" s="194">
        <v>49115</v>
      </c>
      <c r="E282" s="195"/>
    </row>
    <row r="283" spans="2:5" x14ac:dyDescent="0.25">
      <c r="B283" s="195" t="s">
        <v>1392</v>
      </c>
      <c r="C283" s="193" t="s">
        <v>35</v>
      </c>
      <c r="D283" s="194">
        <v>28500</v>
      </c>
      <c r="E283" s="195"/>
    </row>
    <row r="284" spans="2:5" x14ac:dyDescent="0.25">
      <c r="B284" s="195" t="s">
        <v>1401</v>
      </c>
      <c r="C284" s="193" t="s">
        <v>1349</v>
      </c>
      <c r="D284" s="194">
        <v>1181727.9411764699</v>
      </c>
      <c r="E284" s="195"/>
    </row>
    <row r="285" spans="2:5" x14ac:dyDescent="0.25">
      <c r="B285" s="195" t="s">
        <v>1403</v>
      </c>
      <c r="C285" s="193" t="s">
        <v>1349</v>
      </c>
      <c r="D285" s="194">
        <v>323462.5</v>
      </c>
      <c r="E285" s="195"/>
    </row>
    <row r="286" spans="2:5" x14ac:dyDescent="0.25">
      <c r="B286" s="195" t="s">
        <v>1407</v>
      </c>
      <c r="C286" s="193" t="s">
        <v>1349</v>
      </c>
      <c r="D286" s="194">
        <v>9500</v>
      </c>
      <c r="E286" s="195"/>
    </row>
    <row r="287" spans="2:5" x14ac:dyDescent="0.25">
      <c r="B287" s="195" t="s">
        <v>1408</v>
      </c>
      <c r="C287" s="193" t="s">
        <v>1349</v>
      </c>
      <c r="D287" s="194">
        <v>750</v>
      </c>
      <c r="E287" s="195"/>
    </row>
    <row r="288" spans="2:5" x14ac:dyDescent="0.25">
      <c r="B288" s="195" t="s">
        <v>1409</v>
      </c>
      <c r="C288" s="193" t="s">
        <v>1349</v>
      </c>
      <c r="D288" s="194">
        <v>1500</v>
      </c>
      <c r="E288" s="195"/>
    </row>
    <row r="289" spans="2:5" x14ac:dyDescent="0.25">
      <c r="B289" s="195" t="s">
        <v>1577</v>
      </c>
      <c r="C289" s="193" t="s">
        <v>1349</v>
      </c>
      <c r="D289" s="194">
        <v>2820451.1194268502</v>
      </c>
      <c r="E289" s="195"/>
    </row>
    <row r="290" spans="2:5" x14ac:dyDescent="0.25">
      <c r="B290" s="195" t="s">
        <v>1580</v>
      </c>
      <c r="C290" s="193" t="s">
        <v>1349</v>
      </c>
      <c r="D290" s="194">
        <v>3601579.3478260874</v>
      </c>
      <c r="E290" s="195"/>
    </row>
    <row r="291" spans="2:5" x14ac:dyDescent="0.25">
      <c r="B291" s="195" t="s">
        <v>1620</v>
      </c>
      <c r="C291" s="193" t="s">
        <v>1349</v>
      </c>
      <c r="D291" s="194">
        <v>1153556.2499999998</v>
      </c>
      <c r="E291" s="195"/>
    </row>
    <row r="292" spans="2:5" x14ac:dyDescent="0.25">
      <c r="B292" s="195" t="s">
        <v>1629</v>
      </c>
      <c r="C292" s="193" t="s">
        <v>1349</v>
      </c>
      <c r="D292" s="194">
        <v>2563458.333333333</v>
      </c>
      <c r="E292" s="195"/>
    </row>
    <row r="293" spans="2:5" x14ac:dyDescent="0.25">
      <c r="B293" s="195" t="s">
        <v>1633</v>
      </c>
      <c r="C293" s="193" t="s">
        <v>1349</v>
      </c>
      <c r="D293" s="194">
        <v>1047355.8333333331</v>
      </c>
      <c r="E293" s="195"/>
    </row>
    <row r="294" spans="2:5" x14ac:dyDescent="0.25">
      <c r="B294" s="195" t="s">
        <v>1581</v>
      </c>
      <c r="C294" s="193" t="s">
        <v>1349</v>
      </c>
      <c r="D294" s="194">
        <v>145500</v>
      </c>
      <c r="E294" s="195"/>
    </row>
    <row r="295" spans="2:5" x14ac:dyDescent="0.25">
      <c r="B295" s="195" t="s">
        <v>638</v>
      </c>
      <c r="C295" s="193" t="s">
        <v>1349</v>
      </c>
      <c r="D295" s="194">
        <v>164793.75</v>
      </c>
      <c r="E295" s="195"/>
    </row>
    <row r="296" spans="2:5" x14ac:dyDescent="0.25">
      <c r="B296" s="195" t="s">
        <v>1622</v>
      </c>
      <c r="C296" s="193" t="s">
        <v>1349</v>
      </c>
      <c r="D296" s="194">
        <v>1812500</v>
      </c>
      <c r="E296" s="195"/>
    </row>
    <row r="297" spans="2:5" x14ac:dyDescent="0.25">
      <c r="B297" s="195" t="s">
        <v>1625</v>
      </c>
      <c r="C297" s="193" t="s">
        <v>1349</v>
      </c>
      <c r="D297" s="194">
        <v>715000</v>
      </c>
      <c r="E297" s="195"/>
    </row>
    <row r="298" spans="2:5" x14ac:dyDescent="0.25">
      <c r="B298" s="195" t="s">
        <v>1587</v>
      </c>
      <c r="C298" s="193" t="s">
        <v>1349</v>
      </c>
      <c r="D298" s="194">
        <v>21972.5</v>
      </c>
      <c r="E298" s="195"/>
    </row>
    <row r="299" spans="2:5" x14ac:dyDescent="0.25">
      <c r="B299" s="195" t="s">
        <v>1582</v>
      </c>
      <c r="C299" s="193" t="s">
        <v>1349</v>
      </c>
      <c r="D299" s="194">
        <v>345270</v>
      </c>
      <c r="E299" s="195"/>
    </row>
    <row r="300" spans="2:5" x14ac:dyDescent="0.25">
      <c r="B300" s="195" t="s">
        <v>1583</v>
      </c>
      <c r="C300" s="193" t="s">
        <v>1349</v>
      </c>
      <c r="D300" s="194">
        <v>662420.37933166663</v>
      </c>
      <c r="E300" s="195"/>
    </row>
    <row r="301" spans="2:5" x14ac:dyDescent="0.25">
      <c r="B301" s="195" t="s">
        <v>1624</v>
      </c>
      <c r="C301" s="193" t="s">
        <v>1349</v>
      </c>
      <c r="D301" s="194">
        <v>157093.51699999996</v>
      </c>
      <c r="E301" s="195"/>
    </row>
    <row r="302" spans="2:5" x14ac:dyDescent="0.25">
      <c r="B302" s="195" t="s">
        <v>1627</v>
      </c>
      <c r="C302" s="193" t="s">
        <v>1349</v>
      </c>
      <c r="D302" s="194">
        <v>438304.67</v>
      </c>
      <c r="E302" s="195"/>
    </row>
    <row r="303" spans="2:5" x14ac:dyDescent="0.25">
      <c r="B303" s="195" t="s">
        <v>1628</v>
      </c>
      <c r="C303" s="193" t="s">
        <v>1349</v>
      </c>
      <c r="D303" s="194">
        <v>272802.63050000003</v>
      </c>
      <c r="E303" s="195"/>
    </row>
    <row r="304" spans="2:5" x14ac:dyDescent="0.25">
      <c r="B304" s="195" t="s">
        <v>651</v>
      </c>
      <c r="C304" s="193" t="s">
        <v>1349</v>
      </c>
      <c r="D304" s="194">
        <v>214682.1915666667</v>
      </c>
      <c r="E304" s="195"/>
    </row>
    <row r="305" spans="2:5" x14ac:dyDescent="0.25">
      <c r="B305" s="195" t="s">
        <v>652</v>
      </c>
      <c r="C305" s="193" t="s">
        <v>1349</v>
      </c>
      <c r="D305" s="194">
        <v>104088.41149999997</v>
      </c>
      <c r="E305" s="195"/>
    </row>
    <row r="306" spans="2:5" x14ac:dyDescent="0.25">
      <c r="B306" s="195" t="s">
        <v>653</v>
      </c>
      <c r="C306" s="193" t="s">
        <v>1349</v>
      </c>
      <c r="D306" s="194">
        <v>77660.269899999999</v>
      </c>
      <c r="E306" s="195"/>
    </row>
    <row r="307" spans="2:5" x14ac:dyDescent="0.25">
      <c r="B307" s="195" t="s">
        <v>1626</v>
      </c>
      <c r="C307" s="193" t="s">
        <v>1349</v>
      </c>
      <c r="D307" s="194">
        <v>754820.00000000012</v>
      </c>
      <c r="E307" s="195"/>
    </row>
    <row r="308" spans="2:5" x14ac:dyDescent="0.25">
      <c r="B308" s="195" t="s">
        <v>1623</v>
      </c>
      <c r="C308" s="193" t="s">
        <v>1349</v>
      </c>
      <c r="D308" s="194">
        <v>65500</v>
      </c>
      <c r="E308" s="195"/>
    </row>
    <row r="309" spans="2:5" x14ac:dyDescent="0.25">
      <c r="B309" s="195" t="s">
        <v>1632</v>
      </c>
      <c r="C309" s="193" t="s">
        <v>1349</v>
      </c>
      <c r="D309" s="194">
        <v>131835</v>
      </c>
      <c r="E309" s="195"/>
    </row>
    <row r="310" spans="2:5" x14ac:dyDescent="0.25">
      <c r="B310" s="195"/>
      <c r="C310" s="193"/>
      <c r="D310" s="194"/>
      <c r="E310" s="195"/>
    </row>
    <row r="311" spans="2:5" x14ac:dyDescent="0.25">
      <c r="B311" s="195"/>
      <c r="C311" s="193"/>
      <c r="D311" s="194"/>
      <c r="E311" s="195"/>
    </row>
    <row r="312" spans="2:5" x14ac:dyDescent="0.25">
      <c r="B312" s="195" t="s">
        <v>1270</v>
      </c>
      <c r="C312" s="193" t="s">
        <v>68</v>
      </c>
      <c r="D312" s="194">
        <v>4</v>
      </c>
      <c r="E312" s="195"/>
    </row>
    <row r="313" spans="2:5" x14ac:dyDescent="0.25">
      <c r="B313" s="195" t="s">
        <v>1101</v>
      </c>
      <c r="C313" s="193" t="s">
        <v>68</v>
      </c>
      <c r="D313" s="194">
        <v>33.5</v>
      </c>
      <c r="E313" s="195"/>
    </row>
    <row r="314" spans="2:5" x14ac:dyDescent="0.25">
      <c r="B314" s="195" t="s">
        <v>1649</v>
      </c>
      <c r="C314" s="193" t="s">
        <v>68</v>
      </c>
      <c r="D314" s="194">
        <v>33.5</v>
      </c>
      <c r="E314" s="195"/>
    </row>
    <row r="315" spans="2:5" x14ac:dyDescent="0.25">
      <c r="B315" s="195" t="s">
        <v>1220</v>
      </c>
      <c r="C315" s="193" t="s">
        <v>68</v>
      </c>
      <c r="D315" s="194">
        <v>40</v>
      </c>
      <c r="E315" s="195"/>
    </row>
    <row r="316" spans="2:5" x14ac:dyDescent="0.25">
      <c r="B316" s="195" t="s">
        <v>1045</v>
      </c>
      <c r="C316" s="193" t="s">
        <v>68</v>
      </c>
      <c r="D316" s="194">
        <v>52</v>
      </c>
      <c r="E316" s="195"/>
    </row>
    <row r="317" spans="2:5" x14ac:dyDescent="0.25">
      <c r="B317" s="195" t="s">
        <v>1044</v>
      </c>
      <c r="C317" s="193" t="s">
        <v>68</v>
      </c>
      <c r="D317" s="194">
        <v>80</v>
      </c>
      <c r="E317" s="195"/>
    </row>
    <row r="318" spans="2:5" x14ac:dyDescent="0.25">
      <c r="B318" s="195" t="s">
        <v>1229</v>
      </c>
      <c r="C318" s="193" t="s">
        <v>68</v>
      </c>
      <c r="D318" s="194">
        <v>95</v>
      </c>
      <c r="E318" s="195"/>
    </row>
    <row r="319" spans="2:5" x14ac:dyDescent="0.25">
      <c r="B319" s="195" t="s">
        <v>1708</v>
      </c>
      <c r="C319" s="193" t="s">
        <v>68</v>
      </c>
      <c r="D319" s="194">
        <v>135</v>
      </c>
      <c r="E319" s="195"/>
    </row>
    <row r="320" spans="2:5" x14ac:dyDescent="0.25">
      <c r="B320" s="195" t="s">
        <v>1709</v>
      </c>
      <c r="C320" s="193" t="s">
        <v>68</v>
      </c>
      <c r="D320" s="194">
        <v>275</v>
      </c>
      <c r="E320" s="195"/>
    </row>
    <row r="321" spans="2:5" x14ac:dyDescent="0.25">
      <c r="B321" s="195" t="s">
        <v>1271</v>
      </c>
      <c r="C321" s="193" t="s">
        <v>68</v>
      </c>
      <c r="D321" s="194">
        <v>2</v>
      </c>
      <c r="E321" s="195"/>
    </row>
    <row r="322" spans="2:5" x14ac:dyDescent="0.25">
      <c r="B322" s="195" t="s">
        <v>1102</v>
      </c>
      <c r="C322" s="193" t="s">
        <v>68</v>
      </c>
      <c r="D322" s="194">
        <v>2</v>
      </c>
      <c r="E322" s="195"/>
    </row>
    <row r="323" spans="2:5" x14ac:dyDescent="0.25">
      <c r="B323" s="195" t="s">
        <v>1650</v>
      </c>
      <c r="C323" s="193" t="s">
        <v>68</v>
      </c>
      <c r="D323" s="194">
        <v>2</v>
      </c>
      <c r="E323" s="195"/>
    </row>
    <row r="324" spans="2:5" x14ac:dyDescent="0.25">
      <c r="B324" s="195" t="s">
        <v>1221</v>
      </c>
      <c r="C324" s="193" t="s">
        <v>68</v>
      </c>
      <c r="D324" s="194">
        <v>4</v>
      </c>
      <c r="E324" s="195"/>
    </row>
    <row r="325" spans="2:5" x14ac:dyDescent="0.25">
      <c r="B325" s="195" t="s">
        <v>1043</v>
      </c>
      <c r="C325" s="193" t="s">
        <v>68</v>
      </c>
      <c r="D325" s="194">
        <v>5</v>
      </c>
      <c r="E325" s="195"/>
    </row>
    <row r="326" spans="2:5" x14ac:dyDescent="0.25">
      <c r="B326" s="195" t="s">
        <v>1046</v>
      </c>
      <c r="C326" s="193" t="s">
        <v>68</v>
      </c>
      <c r="D326" s="194">
        <v>8</v>
      </c>
      <c r="E326" s="193"/>
    </row>
    <row r="327" spans="2:5" x14ac:dyDescent="0.25">
      <c r="B327" s="195" t="s">
        <v>1230</v>
      </c>
      <c r="C327" s="193" t="s">
        <v>68</v>
      </c>
      <c r="D327" s="194">
        <v>10</v>
      </c>
      <c r="E327" s="195"/>
    </row>
    <row r="328" spans="2:5" x14ac:dyDescent="0.25">
      <c r="B328" s="195" t="s">
        <v>1710</v>
      </c>
      <c r="C328" s="193" t="s">
        <v>68</v>
      </c>
      <c r="D328" s="194">
        <v>14</v>
      </c>
      <c r="E328" s="195"/>
    </row>
    <row r="329" spans="2:5" x14ac:dyDescent="0.25">
      <c r="B329" s="195" t="s">
        <v>1711</v>
      </c>
      <c r="C329" s="193" t="s">
        <v>68</v>
      </c>
      <c r="D329" s="194">
        <v>28</v>
      </c>
      <c r="E329" s="195"/>
    </row>
    <row r="330" spans="2:5" x14ac:dyDescent="0.25">
      <c r="B330" s="195"/>
      <c r="C330" s="193"/>
      <c r="D330" s="194"/>
      <c r="E330" s="195"/>
    </row>
    <row r="331" spans="2:5" x14ac:dyDescent="0.25">
      <c r="B331" s="195" t="s">
        <v>1054</v>
      </c>
      <c r="C331" s="193" t="s">
        <v>68</v>
      </c>
      <c r="D331" s="194">
        <v>105</v>
      </c>
      <c r="E331" s="195"/>
    </row>
    <row r="332" spans="2:5" x14ac:dyDescent="0.25">
      <c r="B332" s="195" t="s">
        <v>1055</v>
      </c>
      <c r="C332" s="193" t="s">
        <v>68</v>
      </c>
      <c r="D332" s="194">
        <v>144</v>
      </c>
      <c r="E332" s="195"/>
    </row>
    <row r="333" spans="2:5" x14ac:dyDescent="0.25">
      <c r="B333" s="195" t="s">
        <v>1056</v>
      </c>
      <c r="C333" s="193" t="s">
        <v>68</v>
      </c>
      <c r="D333" s="194">
        <v>180</v>
      </c>
      <c r="E333" s="195"/>
    </row>
    <row r="334" spans="2:5" x14ac:dyDescent="0.25">
      <c r="B334" s="195" t="s">
        <v>1057</v>
      </c>
      <c r="C334" s="193" t="s">
        <v>68</v>
      </c>
      <c r="D334" s="194">
        <v>250</v>
      </c>
      <c r="E334" s="195"/>
    </row>
    <row r="335" spans="2:5" x14ac:dyDescent="0.25">
      <c r="B335" s="195" t="s">
        <v>1058</v>
      </c>
      <c r="C335" s="193" t="s">
        <v>68</v>
      </c>
      <c r="D335" s="194">
        <v>290</v>
      </c>
      <c r="E335" s="195"/>
    </row>
    <row r="336" spans="2:5" x14ac:dyDescent="0.25">
      <c r="B336" s="195" t="s">
        <v>1059</v>
      </c>
      <c r="C336" s="193" t="s">
        <v>68</v>
      </c>
      <c r="D336" s="194">
        <v>350</v>
      </c>
      <c r="E336" s="195"/>
    </row>
    <row r="337" spans="2:5" x14ac:dyDescent="0.25">
      <c r="B337" s="195" t="s">
        <v>1060</v>
      </c>
      <c r="C337" s="193" t="s">
        <v>68</v>
      </c>
      <c r="D337" s="194">
        <v>430</v>
      </c>
      <c r="E337" s="195"/>
    </row>
    <row r="338" spans="2:5" x14ac:dyDescent="0.25">
      <c r="B338" s="195" t="s">
        <v>1713</v>
      </c>
      <c r="C338" s="193" t="s">
        <v>68</v>
      </c>
      <c r="D338" s="194">
        <v>557</v>
      </c>
      <c r="E338" s="195"/>
    </row>
    <row r="339" spans="2:5" x14ac:dyDescent="0.25">
      <c r="B339" s="195" t="s">
        <v>1061</v>
      </c>
      <c r="C339" s="193" t="s">
        <v>68</v>
      </c>
      <c r="D339" s="194">
        <v>10</v>
      </c>
      <c r="E339" s="195"/>
    </row>
    <row r="340" spans="2:5" x14ac:dyDescent="0.25">
      <c r="B340" s="195" t="s">
        <v>1062</v>
      </c>
      <c r="C340" s="193" t="s">
        <v>68</v>
      </c>
      <c r="D340" s="194">
        <v>15</v>
      </c>
      <c r="E340" s="195"/>
    </row>
    <row r="341" spans="2:5" x14ac:dyDescent="0.25">
      <c r="B341" s="195" t="s">
        <v>1063</v>
      </c>
      <c r="C341" s="193" t="s">
        <v>68</v>
      </c>
      <c r="D341" s="194">
        <v>18</v>
      </c>
      <c r="E341" s="195"/>
    </row>
    <row r="342" spans="2:5" x14ac:dyDescent="0.25">
      <c r="B342" s="195" t="s">
        <v>1064</v>
      </c>
      <c r="C342" s="193" t="s">
        <v>68</v>
      </c>
      <c r="D342" s="194">
        <v>25</v>
      </c>
      <c r="E342" s="195"/>
    </row>
    <row r="343" spans="2:5" x14ac:dyDescent="0.25">
      <c r="B343" s="195" t="s">
        <v>1065</v>
      </c>
      <c r="C343" s="193" t="s">
        <v>68</v>
      </c>
      <c r="D343" s="194">
        <v>29</v>
      </c>
      <c r="E343" s="195"/>
    </row>
    <row r="344" spans="2:5" x14ac:dyDescent="0.25">
      <c r="B344" s="195" t="s">
        <v>1066</v>
      </c>
      <c r="C344" s="193" t="s">
        <v>68</v>
      </c>
      <c r="D344" s="194">
        <v>35</v>
      </c>
      <c r="E344" s="195"/>
    </row>
    <row r="345" spans="2:5" x14ac:dyDescent="0.25">
      <c r="B345" s="195" t="s">
        <v>1067</v>
      </c>
      <c r="C345" s="193" t="s">
        <v>68</v>
      </c>
      <c r="D345" s="194">
        <v>43</v>
      </c>
      <c r="E345" s="195"/>
    </row>
    <row r="346" spans="2:5" x14ac:dyDescent="0.25">
      <c r="B346" s="195" t="s">
        <v>1715</v>
      </c>
      <c r="C346" s="193" t="s">
        <v>68</v>
      </c>
      <c r="D346" s="194">
        <v>60</v>
      </c>
      <c r="E346" s="195"/>
    </row>
    <row r="347" spans="2:5" x14ac:dyDescent="0.25">
      <c r="B347" s="195" t="s">
        <v>1069</v>
      </c>
      <c r="C347" s="193" t="s">
        <v>68</v>
      </c>
      <c r="D347" s="194">
        <v>40</v>
      </c>
      <c r="E347" s="195"/>
    </row>
    <row r="348" spans="2:5" x14ac:dyDescent="0.25">
      <c r="B348" s="195" t="s">
        <v>1070</v>
      </c>
      <c r="C348" s="193" t="s">
        <v>68</v>
      </c>
      <c r="D348" s="194">
        <v>50</v>
      </c>
      <c r="E348" s="195"/>
    </row>
    <row r="349" spans="2:5" x14ac:dyDescent="0.25">
      <c r="B349" s="195" t="s">
        <v>1071</v>
      </c>
      <c r="C349" s="193" t="s">
        <v>68</v>
      </c>
      <c r="D349" s="194">
        <v>52</v>
      </c>
      <c r="E349" s="195"/>
    </row>
    <row r="350" spans="2:5" x14ac:dyDescent="0.25">
      <c r="B350" s="195" t="s">
        <v>1072</v>
      </c>
      <c r="C350" s="193" t="s">
        <v>68</v>
      </c>
      <c r="D350" s="194">
        <v>55</v>
      </c>
      <c r="E350" s="195"/>
    </row>
    <row r="351" spans="2:5" x14ac:dyDescent="0.25">
      <c r="B351" s="195" t="s">
        <v>1068</v>
      </c>
      <c r="C351" s="193" t="s">
        <v>68</v>
      </c>
      <c r="D351" s="194">
        <v>60</v>
      </c>
      <c r="E351" s="195"/>
    </row>
    <row r="352" spans="2:5" x14ac:dyDescent="0.25">
      <c r="B352" s="195" t="s">
        <v>1073</v>
      </c>
      <c r="C352" s="193" t="s">
        <v>68</v>
      </c>
      <c r="D352" s="194">
        <v>65</v>
      </c>
      <c r="E352" s="195"/>
    </row>
    <row r="353" spans="2:6" x14ac:dyDescent="0.25">
      <c r="B353" s="195" t="s">
        <v>1074</v>
      </c>
      <c r="C353" s="193" t="s">
        <v>68</v>
      </c>
      <c r="D353" s="194">
        <v>72</v>
      </c>
      <c r="E353" s="195"/>
    </row>
    <row r="354" spans="2:6" x14ac:dyDescent="0.25">
      <c r="B354" s="195" t="s">
        <v>1714</v>
      </c>
      <c r="C354" s="193" t="s">
        <v>68</v>
      </c>
      <c r="D354" s="194">
        <v>80</v>
      </c>
      <c r="E354" s="195"/>
    </row>
    <row r="355" spans="2:6" x14ac:dyDescent="0.25">
      <c r="B355" s="195"/>
      <c r="C355" s="193"/>
      <c r="D355" s="194"/>
      <c r="E355" s="195"/>
    </row>
    <row r="356" spans="2:6" x14ac:dyDescent="0.25">
      <c r="B356" s="195" t="s">
        <v>1037</v>
      </c>
      <c r="C356" s="193" t="s">
        <v>1038</v>
      </c>
      <c r="D356" s="194">
        <v>175</v>
      </c>
      <c r="E356" s="195"/>
    </row>
    <row r="357" spans="2:6" x14ac:dyDescent="0.25">
      <c r="B357" s="195" t="s">
        <v>1039</v>
      </c>
      <c r="C357" s="193" t="s">
        <v>68</v>
      </c>
      <c r="D357" s="194">
        <v>5</v>
      </c>
      <c r="E357" s="195"/>
    </row>
    <row r="358" spans="2:6" x14ac:dyDescent="0.25">
      <c r="B358" s="195" t="s">
        <v>1048</v>
      </c>
      <c r="C358" s="193" t="s">
        <v>68</v>
      </c>
      <c r="D358" s="194">
        <v>35</v>
      </c>
      <c r="E358" s="195"/>
    </row>
    <row r="359" spans="2:6" x14ac:dyDescent="0.25">
      <c r="B359" s="195" t="s">
        <v>1049</v>
      </c>
      <c r="C359" s="193" t="s">
        <v>68</v>
      </c>
      <c r="D359" s="194">
        <v>60</v>
      </c>
      <c r="E359" s="195"/>
    </row>
    <row r="360" spans="2:6" x14ac:dyDescent="0.25">
      <c r="B360" s="195"/>
      <c r="C360" s="193"/>
      <c r="D360" s="194"/>
      <c r="E360" s="195"/>
    </row>
    <row r="361" spans="2:6" x14ac:dyDescent="0.25">
      <c r="B361" s="195" t="s">
        <v>1276</v>
      </c>
      <c r="C361" s="193" t="s">
        <v>35</v>
      </c>
      <c r="D361" s="194">
        <v>7450</v>
      </c>
      <c r="E361" s="195"/>
    </row>
    <row r="362" spans="2:6" x14ac:dyDescent="0.25">
      <c r="B362" s="195" t="s">
        <v>1488</v>
      </c>
      <c r="C362" s="193" t="s">
        <v>35</v>
      </c>
      <c r="D362" s="194">
        <v>2590</v>
      </c>
      <c r="E362" s="195"/>
    </row>
    <row r="363" spans="2:6" x14ac:dyDescent="0.25">
      <c r="B363" s="195" t="s">
        <v>1489</v>
      </c>
      <c r="C363" s="193" t="s">
        <v>35</v>
      </c>
      <c r="D363" s="194">
        <v>3100</v>
      </c>
      <c r="E363" s="193"/>
    </row>
    <row r="364" spans="2:6" x14ac:dyDescent="0.25">
      <c r="B364" s="195" t="s">
        <v>1490</v>
      </c>
      <c r="C364" s="193" t="s">
        <v>35</v>
      </c>
      <c r="D364" s="194">
        <v>3600</v>
      </c>
      <c r="E364" s="193"/>
    </row>
    <row r="365" spans="2:6" x14ac:dyDescent="0.25">
      <c r="B365" s="195" t="s">
        <v>1491</v>
      </c>
      <c r="C365" s="193" t="s">
        <v>35</v>
      </c>
      <c r="D365" s="194">
        <v>4500</v>
      </c>
      <c r="E365" s="193"/>
      <c r="F365" s="245"/>
    </row>
    <row r="366" spans="2:6" x14ac:dyDescent="0.25">
      <c r="B366" s="195" t="s">
        <v>1492</v>
      </c>
      <c r="C366" s="193" t="s">
        <v>35</v>
      </c>
      <c r="D366" s="194">
        <v>5350</v>
      </c>
      <c r="E366" s="193"/>
      <c r="F366" s="245"/>
    </row>
    <row r="367" spans="2:6" x14ac:dyDescent="0.25">
      <c r="B367" s="195" t="s">
        <v>1493</v>
      </c>
      <c r="C367" s="193" t="s">
        <v>35</v>
      </c>
      <c r="D367" s="194">
        <v>6300</v>
      </c>
      <c r="E367" s="193"/>
      <c r="F367" s="245"/>
    </row>
    <row r="368" spans="2:6" x14ac:dyDescent="0.25">
      <c r="B368" s="195" t="s">
        <v>1534</v>
      </c>
      <c r="C368" s="193" t="s">
        <v>35</v>
      </c>
      <c r="D368" s="194">
        <v>7200</v>
      </c>
      <c r="E368" s="193"/>
      <c r="F368" s="245"/>
    </row>
    <row r="369" spans="2:5" x14ac:dyDescent="0.25">
      <c r="B369" s="195" t="s">
        <v>1535</v>
      </c>
      <c r="C369" s="193" t="s">
        <v>35</v>
      </c>
      <c r="D369" s="194">
        <v>8000</v>
      </c>
      <c r="E369" s="193"/>
    </row>
    <row r="370" spans="2:5" x14ac:dyDescent="0.25">
      <c r="B370" s="195" t="s">
        <v>1536</v>
      </c>
      <c r="C370" s="193" t="s">
        <v>35</v>
      </c>
      <c r="D370" s="194">
        <v>8850</v>
      </c>
      <c r="E370" s="193"/>
    </row>
    <row r="371" spans="2:5" x14ac:dyDescent="0.25">
      <c r="B371" s="195" t="s">
        <v>1537</v>
      </c>
      <c r="C371" s="193" t="s">
        <v>35</v>
      </c>
      <c r="D371" s="194">
        <v>9650</v>
      </c>
      <c r="E371" s="193"/>
    </row>
    <row r="372" spans="2:5" x14ac:dyDescent="0.25">
      <c r="B372" s="195" t="s">
        <v>1494</v>
      </c>
      <c r="C372" s="193" t="s">
        <v>35</v>
      </c>
      <c r="D372" s="194">
        <v>3470</v>
      </c>
      <c r="E372" s="193"/>
    </row>
    <row r="373" spans="2:5" x14ac:dyDescent="0.25">
      <c r="B373" s="195" t="s">
        <v>1495</v>
      </c>
      <c r="C373" s="193" t="s">
        <v>35</v>
      </c>
      <c r="D373" s="194">
        <v>4230</v>
      </c>
      <c r="E373" s="193"/>
    </row>
    <row r="374" spans="2:5" x14ac:dyDescent="0.25">
      <c r="B374" s="195" t="s">
        <v>1496</v>
      </c>
      <c r="C374" s="193" t="s">
        <v>35</v>
      </c>
      <c r="D374" s="194">
        <v>4710</v>
      </c>
      <c r="E374" s="193"/>
    </row>
    <row r="375" spans="2:5" x14ac:dyDescent="0.25">
      <c r="B375" s="195" t="s">
        <v>1497</v>
      </c>
      <c r="C375" s="193" t="s">
        <v>35</v>
      </c>
      <c r="D375" s="194">
        <v>5150</v>
      </c>
      <c r="E375" s="193"/>
    </row>
    <row r="376" spans="2:5" x14ac:dyDescent="0.25">
      <c r="B376" s="195" t="s">
        <v>1498</v>
      </c>
      <c r="C376" s="193" t="s">
        <v>35</v>
      </c>
      <c r="D376" s="194">
        <v>5800</v>
      </c>
      <c r="E376" s="193"/>
    </row>
    <row r="377" spans="2:5" x14ac:dyDescent="0.25">
      <c r="B377" s="195" t="s">
        <v>1499</v>
      </c>
      <c r="C377" s="193" t="s">
        <v>35</v>
      </c>
      <c r="D377" s="194">
        <v>6550</v>
      </c>
      <c r="E377" s="193"/>
    </row>
    <row r="378" spans="2:5" x14ac:dyDescent="0.25">
      <c r="B378" s="195" t="s">
        <v>1543</v>
      </c>
      <c r="C378" s="193" t="s">
        <v>35</v>
      </c>
      <c r="D378" s="194">
        <v>7350</v>
      </c>
      <c r="E378" s="193"/>
    </row>
    <row r="379" spans="2:5" x14ac:dyDescent="0.25">
      <c r="B379" s="195" t="s">
        <v>1544</v>
      </c>
      <c r="C379" s="193" t="s">
        <v>35</v>
      </c>
      <c r="D379" s="194">
        <v>8150</v>
      </c>
      <c r="E379" s="193"/>
    </row>
    <row r="380" spans="2:5" x14ac:dyDescent="0.25">
      <c r="B380" s="195" t="s">
        <v>1545</v>
      </c>
      <c r="C380" s="193" t="s">
        <v>35</v>
      </c>
      <c r="D380" s="194">
        <v>8950</v>
      </c>
      <c r="E380" s="193"/>
    </row>
    <row r="381" spans="2:5" x14ac:dyDescent="0.25">
      <c r="B381" s="195" t="s">
        <v>1546</v>
      </c>
      <c r="C381" s="193" t="s">
        <v>35</v>
      </c>
      <c r="D381" s="194">
        <v>9800</v>
      </c>
      <c r="E381" s="193"/>
    </row>
    <row r="382" spans="2:5" x14ac:dyDescent="0.25">
      <c r="B382" s="195" t="s">
        <v>1547</v>
      </c>
      <c r="C382" s="193" t="s">
        <v>35</v>
      </c>
      <c r="D382" s="194">
        <v>10650</v>
      </c>
      <c r="E382" s="193"/>
    </row>
    <row r="383" spans="2:5" x14ac:dyDescent="0.25">
      <c r="B383" s="195" t="s">
        <v>1548</v>
      </c>
      <c r="C383" s="193" t="s">
        <v>35</v>
      </c>
      <c r="D383" s="194">
        <f>D382+950</f>
        <v>11600</v>
      </c>
      <c r="E383" s="193"/>
    </row>
    <row r="384" spans="2:5" x14ac:dyDescent="0.25">
      <c r="B384" s="195" t="s">
        <v>1500</v>
      </c>
      <c r="C384" s="193" t="s">
        <v>35</v>
      </c>
      <c r="D384" s="194">
        <v>5085</v>
      </c>
      <c r="E384" s="193"/>
    </row>
    <row r="385" spans="2:6" x14ac:dyDescent="0.25">
      <c r="B385" s="195" t="s">
        <v>1501</v>
      </c>
      <c r="C385" s="193" t="s">
        <v>35</v>
      </c>
      <c r="D385" s="194">
        <v>5895</v>
      </c>
      <c r="E385" s="193"/>
      <c r="F385" s="245"/>
    </row>
    <row r="386" spans="2:6" x14ac:dyDescent="0.25">
      <c r="B386" s="195" t="s">
        <v>1502</v>
      </c>
      <c r="C386" s="193" t="s">
        <v>35</v>
      </c>
      <c r="D386" s="194">
        <v>6705</v>
      </c>
      <c r="E386" s="193"/>
      <c r="F386" s="245"/>
    </row>
    <row r="387" spans="2:6" x14ac:dyDescent="0.25">
      <c r="B387" s="195" t="s">
        <v>1503</v>
      </c>
      <c r="C387" s="193" t="s">
        <v>35</v>
      </c>
      <c r="D387" s="194">
        <v>7515</v>
      </c>
      <c r="E387" s="193"/>
      <c r="F387" s="245"/>
    </row>
    <row r="388" spans="2:6" x14ac:dyDescent="0.25">
      <c r="B388" s="195" t="s">
        <v>1555</v>
      </c>
      <c r="C388" s="193" t="s">
        <v>35</v>
      </c>
      <c r="D388" s="194">
        <v>8500</v>
      </c>
      <c r="E388" s="193"/>
      <c r="F388" s="245"/>
    </row>
    <row r="389" spans="2:6" x14ac:dyDescent="0.25">
      <c r="B389" s="195" t="s">
        <v>1556</v>
      </c>
      <c r="C389" s="193" t="s">
        <v>35</v>
      </c>
      <c r="D389" s="194">
        <v>9450</v>
      </c>
      <c r="E389" s="193"/>
      <c r="F389" s="245"/>
    </row>
    <row r="390" spans="2:6" x14ac:dyDescent="0.25">
      <c r="B390" s="195" t="s">
        <v>1557</v>
      </c>
      <c r="C390" s="193" t="s">
        <v>35</v>
      </c>
      <c r="D390" s="194">
        <v>10500</v>
      </c>
      <c r="E390" s="193"/>
      <c r="F390" s="245"/>
    </row>
    <row r="391" spans="2:6" x14ac:dyDescent="0.25">
      <c r="B391" s="195" t="s">
        <v>1558</v>
      </c>
      <c r="C391" s="193" t="s">
        <v>35</v>
      </c>
      <c r="D391" s="194">
        <v>11450</v>
      </c>
      <c r="E391" s="193"/>
      <c r="F391" s="245"/>
    </row>
    <row r="392" spans="2:6" x14ac:dyDescent="0.25">
      <c r="B392" s="195" t="s">
        <v>1559</v>
      </c>
      <c r="C392" s="193" t="s">
        <v>35</v>
      </c>
      <c r="D392" s="194">
        <v>12550</v>
      </c>
      <c r="E392" s="193"/>
      <c r="F392" s="245"/>
    </row>
    <row r="393" spans="2:6" x14ac:dyDescent="0.25">
      <c r="B393" s="195" t="s">
        <v>1566</v>
      </c>
      <c r="C393" s="193" t="s">
        <v>35</v>
      </c>
      <c r="D393" s="194">
        <v>14350</v>
      </c>
      <c r="E393" s="193"/>
      <c r="F393" s="245"/>
    </row>
    <row r="394" spans="2:6" x14ac:dyDescent="0.25">
      <c r="B394" s="195" t="s">
        <v>1565</v>
      </c>
      <c r="C394" s="193" t="s">
        <v>35</v>
      </c>
      <c r="D394" s="194">
        <v>17850</v>
      </c>
      <c r="E394" s="193"/>
      <c r="F394" s="245"/>
    </row>
    <row r="395" spans="2:6" x14ac:dyDescent="0.25">
      <c r="B395" s="195" t="s">
        <v>1487</v>
      </c>
      <c r="C395" s="195" t="s">
        <v>1349</v>
      </c>
      <c r="D395" s="194">
        <v>1500</v>
      </c>
      <c r="E395" s="193"/>
    </row>
    <row r="396" spans="2:6" x14ac:dyDescent="0.25">
      <c r="B396" s="193" t="s">
        <v>1542</v>
      </c>
      <c r="C396" s="195" t="s">
        <v>1349</v>
      </c>
      <c r="D396" s="194">
        <v>3500</v>
      </c>
      <c r="E396" s="193"/>
    </row>
    <row r="397" spans="2:6" x14ac:dyDescent="0.25">
      <c r="B397" s="193" t="s">
        <v>1672</v>
      </c>
      <c r="C397" s="195" t="s">
        <v>68</v>
      </c>
      <c r="D397" s="194">
        <v>275</v>
      </c>
      <c r="E397" s="193"/>
    </row>
    <row r="398" spans="2:6" x14ac:dyDescent="0.25">
      <c r="B398" s="193"/>
      <c r="C398" s="195"/>
      <c r="D398" s="194"/>
      <c r="E398" s="193"/>
    </row>
    <row r="399" spans="2:6" x14ac:dyDescent="0.25">
      <c r="B399" s="193"/>
      <c r="C399" s="195"/>
      <c r="D399" s="194"/>
      <c r="E399" s="193"/>
    </row>
    <row r="400" spans="2:6" x14ac:dyDescent="0.25">
      <c r="B400" s="193"/>
      <c r="C400" s="195"/>
      <c r="D400" s="194"/>
      <c r="E400" s="193"/>
    </row>
    <row r="401" spans="2:7" x14ac:dyDescent="0.25">
      <c r="B401" s="193" t="s">
        <v>106</v>
      </c>
      <c r="C401" s="193" t="s">
        <v>35</v>
      </c>
      <c r="D401" s="194">
        <v>450</v>
      </c>
      <c r="E401" s="193"/>
    </row>
    <row r="402" spans="2:7" x14ac:dyDescent="0.25">
      <c r="B402" s="193"/>
      <c r="C402" s="195"/>
      <c r="D402" s="194"/>
      <c r="E402" s="193"/>
    </row>
    <row r="403" spans="2:7" x14ac:dyDescent="0.25">
      <c r="B403" s="193" t="s">
        <v>1675</v>
      </c>
      <c r="C403" s="195" t="s">
        <v>64</v>
      </c>
      <c r="D403" s="194">
        <v>80</v>
      </c>
      <c r="E403" s="193"/>
    </row>
    <row r="404" spans="2:7" x14ac:dyDescent="0.25">
      <c r="B404" s="193" t="s">
        <v>1680</v>
      </c>
      <c r="C404" s="195" t="s">
        <v>64</v>
      </c>
      <c r="D404" s="194">
        <v>70</v>
      </c>
      <c r="E404" s="193"/>
    </row>
    <row r="405" spans="2:7" x14ac:dyDescent="0.25">
      <c r="B405" s="193" t="s">
        <v>102</v>
      </c>
      <c r="C405" s="193" t="s">
        <v>64</v>
      </c>
      <c r="D405" s="194">
        <v>80</v>
      </c>
      <c r="E405" s="193"/>
    </row>
    <row r="406" spans="2:7" x14ac:dyDescent="0.25">
      <c r="B406" s="193" t="s">
        <v>103</v>
      </c>
      <c r="C406" s="193" t="s">
        <v>64</v>
      </c>
      <c r="D406" s="194">
        <v>2</v>
      </c>
      <c r="E406" s="193"/>
    </row>
    <row r="407" spans="2:7" x14ac:dyDescent="0.25">
      <c r="B407" s="195" t="s">
        <v>120</v>
      </c>
      <c r="C407" s="195" t="s">
        <v>66</v>
      </c>
      <c r="D407" s="197">
        <v>40</v>
      </c>
      <c r="E407" s="195"/>
    </row>
    <row r="408" spans="2:7" x14ac:dyDescent="0.25">
      <c r="B408" s="195" t="s">
        <v>121</v>
      </c>
      <c r="C408" s="195" t="s">
        <v>66</v>
      </c>
      <c r="D408" s="197">
        <v>80</v>
      </c>
      <c r="E408" s="195"/>
      <c r="G408" s="432"/>
    </row>
    <row r="409" spans="2:7" x14ac:dyDescent="0.25">
      <c r="B409" s="195" t="s">
        <v>122</v>
      </c>
      <c r="C409" s="195" t="s">
        <v>64</v>
      </c>
      <c r="D409" s="197">
        <v>3</v>
      </c>
      <c r="E409" s="195"/>
      <c r="G409" s="432"/>
    </row>
    <row r="410" spans="2:7" x14ac:dyDescent="0.25">
      <c r="B410" s="198" t="s">
        <v>123</v>
      </c>
      <c r="C410" s="195" t="s">
        <v>98</v>
      </c>
      <c r="D410" s="194">
        <f>400/200</f>
        <v>2</v>
      </c>
      <c r="E410" s="193"/>
    </row>
    <row r="411" spans="2:7" x14ac:dyDescent="0.25">
      <c r="B411" s="196"/>
      <c r="C411" s="196"/>
      <c r="D411" s="197"/>
      <c r="E411" s="196"/>
    </row>
    <row r="412" spans="2:7" x14ac:dyDescent="0.25">
      <c r="B412" s="196" t="s">
        <v>1520</v>
      </c>
      <c r="C412" s="196" t="s">
        <v>1349</v>
      </c>
      <c r="D412" s="197">
        <v>25000</v>
      </c>
      <c r="E412" s="196"/>
    </row>
    <row r="413" spans="2:7" x14ac:dyDescent="0.25">
      <c r="B413" s="193" t="s">
        <v>1521</v>
      </c>
      <c r="C413" s="196" t="s">
        <v>1349</v>
      </c>
      <c r="D413" s="194">
        <v>35000</v>
      </c>
      <c r="E413" s="193"/>
    </row>
    <row r="414" spans="2:7" x14ac:dyDescent="0.25">
      <c r="B414" s="193" t="s">
        <v>1522</v>
      </c>
      <c r="C414" s="196" t="s">
        <v>1349</v>
      </c>
      <c r="D414" s="194">
        <v>10000</v>
      </c>
      <c r="E414" s="193"/>
    </row>
    <row r="415" spans="2:7" x14ac:dyDescent="0.25">
      <c r="B415" s="193" t="s">
        <v>1523</v>
      </c>
      <c r="C415" s="196" t="s">
        <v>1349</v>
      </c>
      <c r="D415" s="194">
        <v>13000</v>
      </c>
      <c r="E415" s="193"/>
    </row>
    <row r="416" spans="2:7" x14ac:dyDescent="0.25">
      <c r="B416" s="193" t="s">
        <v>1524</v>
      </c>
      <c r="C416" s="196" t="s">
        <v>1349</v>
      </c>
      <c r="D416" s="194">
        <v>6500</v>
      </c>
      <c r="E416" s="193"/>
    </row>
    <row r="417" spans="2:5" x14ac:dyDescent="0.25">
      <c r="B417" s="193" t="s">
        <v>1526</v>
      </c>
      <c r="C417" s="196" t="s">
        <v>1349</v>
      </c>
      <c r="D417" s="194">
        <v>25000</v>
      </c>
      <c r="E417" s="193"/>
    </row>
    <row r="418" spans="2:5" x14ac:dyDescent="0.25">
      <c r="B418" s="193" t="s">
        <v>1527</v>
      </c>
      <c r="C418" s="196" t="s">
        <v>1349</v>
      </c>
      <c r="D418" s="194">
        <v>11000</v>
      </c>
      <c r="E418" s="193"/>
    </row>
    <row r="419" spans="2:5" x14ac:dyDescent="0.25">
      <c r="B419" s="193" t="s">
        <v>1528</v>
      </c>
      <c r="C419" s="196" t="s">
        <v>1349</v>
      </c>
      <c r="D419" s="194">
        <v>9000</v>
      </c>
      <c r="E419" s="193"/>
    </row>
    <row r="420" spans="2:5" x14ac:dyDescent="0.25">
      <c r="B420" s="193" t="s">
        <v>189</v>
      </c>
      <c r="C420" s="196" t="s">
        <v>1349</v>
      </c>
      <c r="D420" s="194">
        <v>93999.999999999985</v>
      </c>
      <c r="E420" s="193"/>
    </row>
    <row r="421" spans="2:5" x14ac:dyDescent="0.25">
      <c r="B421" s="193" t="s">
        <v>190</v>
      </c>
      <c r="C421" s="196" t="s">
        <v>1349</v>
      </c>
      <c r="D421" s="194">
        <v>112800</v>
      </c>
      <c r="E421" s="193"/>
    </row>
    <row r="422" spans="2:5" x14ac:dyDescent="0.25">
      <c r="B422" s="193" t="s">
        <v>191</v>
      </c>
      <c r="C422" s="196" t="s">
        <v>1349</v>
      </c>
      <c r="D422" s="194">
        <v>93999.999999999985</v>
      </c>
      <c r="E422" s="193"/>
    </row>
    <row r="423" spans="2:5" x14ac:dyDescent="0.25">
      <c r="B423" s="193" t="s">
        <v>1531</v>
      </c>
      <c r="C423" s="193" t="s">
        <v>1530</v>
      </c>
      <c r="D423" s="194">
        <v>25000</v>
      </c>
      <c r="E423" s="193"/>
    </row>
    <row r="424" spans="2:5" x14ac:dyDescent="0.25">
      <c r="B424" s="193" t="s">
        <v>193</v>
      </c>
      <c r="C424" s="196" t="s">
        <v>1349</v>
      </c>
      <c r="D424" s="194">
        <v>99999.999999999985</v>
      </c>
      <c r="E424" s="193"/>
    </row>
    <row r="425" spans="2:5" x14ac:dyDescent="0.25">
      <c r="B425" s="193"/>
      <c r="C425" s="193"/>
      <c r="D425" s="194"/>
      <c r="E425" s="193"/>
    </row>
    <row r="426" spans="2:5" x14ac:dyDescent="0.25">
      <c r="B426" s="193"/>
      <c r="C426" s="193"/>
      <c r="D426" s="194"/>
      <c r="E426" s="193"/>
    </row>
    <row r="427" spans="2:5" x14ac:dyDescent="0.25">
      <c r="B427" s="193"/>
      <c r="C427" s="193"/>
      <c r="D427" s="194"/>
      <c r="E427" s="193"/>
    </row>
    <row r="428" spans="2:5" x14ac:dyDescent="0.25">
      <c r="B428" s="193"/>
      <c r="C428" s="193"/>
      <c r="D428" s="194"/>
      <c r="E428" s="193"/>
    </row>
    <row r="429" spans="2:5" x14ac:dyDescent="0.25">
      <c r="B429" s="193"/>
      <c r="C429" s="195"/>
      <c r="D429" s="194"/>
      <c r="E429" s="193"/>
    </row>
    <row r="430" spans="2:5" x14ac:dyDescent="0.25">
      <c r="B430" s="193"/>
      <c r="C430" s="195"/>
      <c r="D430" s="194"/>
      <c r="E430" s="193"/>
    </row>
    <row r="435" spans="1:2" x14ac:dyDescent="0.25">
      <c r="B435" s="249"/>
    </row>
    <row r="436" spans="1:2" x14ac:dyDescent="0.25">
      <c r="B436" s="249"/>
    </row>
    <row r="437" spans="1:2" x14ac:dyDescent="0.25">
      <c r="B437" s="250"/>
    </row>
    <row r="438" spans="1:2" x14ac:dyDescent="0.25">
      <c r="A438" s="1"/>
    </row>
    <row r="439" spans="1:2" x14ac:dyDescent="0.25">
      <c r="A439" s="1"/>
    </row>
    <row r="440" spans="1:2" x14ac:dyDescent="0.25">
      <c r="A440" s="1"/>
    </row>
    <row r="441" spans="1:2" x14ac:dyDescent="0.25">
      <c r="A441" s="1"/>
    </row>
    <row r="442" spans="1:2" x14ac:dyDescent="0.25">
      <c r="A442" s="1"/>
    </row>
    <row r="444" spans="1:2" x14ac:dyDescent="0.25">
      <c r="B444" s="250"/>
    </row>
    <row r="445" spans="1:2" x14ac:dyDescent="0.25">
      <c r="A445" s="1"/>
      <c r="B445" s="250"/>
    </row>
    <row r="446" spans="1:2" x14ac:dyDescent="0.25">
      <c r="A446" s="1"/>
    </row>
    <row r="447" spans="1:2" x14ac:dyDescent="0.25">
      <c r="A447" s="1"/>
    </row>
    <row r="448" spans="1:2" x14ac:dyDescent="0.25">
      <c r="A448" s="1"/>
    </row>
    <row r="449" spans="1:2" x14ac:dyDescent="0.25">
      <c r="A449" s="1"/>
    </row>
    <row r="450" spans="1:2" x14ac:dyDescent="0.25">
      <c r="A450" s="1"/>
    </row>
    <row r="451" spans="1:2" x14ac:dyDescent="0.25">
      <c r="A451" s="1"/>
    </row>
    <row r="452" spans="1:2" x14ac:dyDescent="0.25">
      <c r="A452" s="1"/>
    </row>
    <row r="454" spans="1:2" x14ac:dyDescent="0.25">
      <c r="B454" s="249"/>
    </row>
    <row r="455" spans="1:2" x14ac:dyDescent="0.25">
      <c r="A455" s="1"/>
    </row>
    <row r="456" spans="1:2" x14ac:dyDescent="0.25">
      <c r="A456" s="1"/>
    </row>
  </sheetData>
  <mergeCells count="1">
    <mergeCell ref="G408:G409"/>
  </mergeCells>
  <phoneticPr fontId="7" type="noConversion"/>
  <conditionalFormatting sqref="B3 B43:B430">
    <cfRule type="duplicateValues" dxfId="1" priority="2331"/>
  </conditionalFormatting>
  <conditionalFormatting sqref="B4:B42">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view="pageBreakPreview" topLeftCell="D1" zoomScaleNormal="55" zoomScaleSheetLayoutView="100" workbookViewId="0">
      <selection activeCell="E3" sqref="E3:E6"/>
    </sheetView>
  </sheetViews>
  <sheetFormatPr defaultColWidth="9.140625" defaultRowHeight="20.100000000000001" customHeight="1" outlineLevelCol="1" x14ac:dyDescent="0.25"/>
  <cols>
    <col min="1" max="1" width="42.7109375" style="14" hidden="1" customWidth="1"/>
    <col min="2" max="2" width="49.7109375" style="14" hidden="1" customWidth="1"/>
    <col min="3" max="3" width="30.7109375" style="15" hidden="1" customWidth="1"/>
    <col min="4" max="4" width="79.140625" style="16" customWidth="1"/>
    <col min="5" max="5" width="87.42578125" style="17" customWidth="1" outlineLevel="1"/>
    <col min="6" max="6" width="29.7109375" style="11" customWidth="1"/>
    <col min="7" max="7" width="9.140625" style="11"/>
    <col min="8" max="11" width="15.28515625" style="7" customWidth="1"/>
    <col min="12" max="12" width="29.5703125" style="7" bestFit="1" customWidth="1"/>
    <col min="13" max="16384" width="9.140625" style="12"/>
  </cols>
  <sheetData>
    <row r="1" spans="1:12" s="8" customFormat="1" ht="39.950000000000003" customHeight="1" thickBot="1" x14ac:dyDescent="0.3">
      <c r="A1" s="2"/>
      <c r="B1" s="2"/>
      <c r="C1" s="3" t="s">
        <v>71</v>
      </c>
      <c r="D1" s="230" t="s">
        <v>69</v>
      </c>
      <c r="E1" s="231" t="s">
        <v>70</v>
      </c>
      <c r="F1" s="4"/>
      <c r="G1" s="4"/>
      <c r="H1" s="5" t="s">
        <v>72</v>
      </c>
      <c r="I1" s="5" t="s">
        <v>30</v>
      </c>
      <c r="J1" s="5" t="s">
        <v>31</v>
      </c>
      <c r="K1" s="6" t="s">
        <v>29</v>
      </c>
      <c r="L1" s="7"/>
    </row>
    <row r="2" spans="1:12" ht="30" customHeight="1" thickBot="1" x14ac:dyDescent="0.3">
      <c r="A2" s="9" t="s">
        <v>73</v>
      </c>
      <c r="B2" s="9" t="s">
        <v>74</v>
      </c>
      <c r="C2" s="10"/>
      <c r="D2" s="240" t="s">
        <v>75</v>
      </c>
      <c r="E2" s="241">
        <f>Budget!T35</f>
        <v>121000231.72864877</v>
      </c>
      <c r="F2" s="18"/>
    </row>
    <row r="3" spans="1:12" ht="30" customHeight="1" x14ac:dyDescent="0.25">
      <c r="A3" s="9" t="s">
        <v>73</v>
      </c>
      <c r="B3" s="9" t="s">
        <v>74</v>
      </c>
      <c r="C3" s="10"/>
      <c r="D3" s="232" t="s">
        <v>30</v>
      </c>
      <c r="E3" s="233">
        <f>+Budget!AF35</f>
        <v>219500</v>
      </c>
    </row>
    <row r="4" spans="1:12" ht="30" customHeight="1" x14ac:dyDescent="0.25">
      <c r="A4" s="9" t="s">
        <v>73</v>
      </c>
      <c r="B4" s="9" t="s">
        <v>74</v>
      </c>
      <c r="C4" s="10">
        <v>15.4</v>
      </c>
      <c r="D4" s="234" t="s">
        <v>31</v>
      </c>
      <c r="E4" s="235">
        <f>+Budget!AG35</f>
        <v>219500</v>
      </c>
    </row>
    <row r="5" spans="1:12" ht="30" customHeight="1" x14ac:dyDescent="0.25">
      <c r="A5" s="9" t="s">
        <v>73</v>
      </c>
      <c r="B5" s="9" t="s">
        <v>74</v>
      </c>
      <c r="C5" s="10" t="s">
        <v>76</v>
      </c>
      <c r="D5" s="234" t="s">
        <v>29</v>
      </c>
      <c r="E5" s="235">
        <f>+Budget!AE35</f>
        <v>219500</v>
      </c>
      <c r="H5" s="13" t="e">
        <f>SUMIF(#REF!,$H$1,#REF!)</f>
        <v>#REF!</v>
      </c>
      <c r="I5" s="13" t="e">
        <f>SUMIF(#REF!,$I$1,#REF!)</f>
        <v>#REF!</v>
      </c>
      <c r="J5" s="13" t="e">
        <f>SUMIF(#REF!,$J$1,#REF!)</f>
        <v>#REF!</v>
      </c>
      <c r="K5" s="13" t="e">
        <f>SUMIF(#REF!,$K$1,#REF!)</f>
        <v>#REF!</v>
      </c>
      <c r="L5" s="7" t="e">
        <f>+#REF!-H5-I5-J5-K5</f>
        <v>#REF!</v>
      </c>
    </row>
    <row r="6" spans="1:12" ht="30" customHeight="1" x14ac:dyDescent="0.25">
      <c r="A6" s="9" t="s">
        <v>73</v>
      </c>
      <c r="B6" s="9" t="s">
        <v>74</v>
      </c>
      <c r="C6" s="10"/>
      <c r="D6" s="234" t="s">
        <v>72</v>
      </c>
      <c r="E6" s="235">
        <f>+Budget!AH35</f>
        <v>219500</v>
      </c>
    </row>
    <row r="7" spans="1:12" ht="9.9499999999999993" customHeight="1" thickBot="1" x14ac:dyDescent="0.3">
      <c r="D7" s="236"/>
      <c r="E7" s="237"/>
      <c r="H7" s="7">
        <v>1658389.6035</v>
      </c>
      <c r="I7" s="7">
        <v>16442314.458002768</v>
      </c>
      <c r="J7" s="7">
        <v>2825018.0948179276</v>
      </c>
      <c r="K7" s="7">
        <v>5795428.3859383753</v>
      </c>
    </row>
    <row r="8" spans="1:12" ht="30" customHeight="1" thickBot="1" x14ac:dyDescent="0.3">
      <c r="A8" s="9" t="s">
        <v>73</v>
      </c>
      <c r="B8" s="9" t="s">
        <v>74</v>
      </c>
      <c r="C8" s="10"/>
      <c r="D8" s="240" t="s">
        <v>36</v>
      </c>
      <c r="E8" s="241">
        <f>Budget!T16</f>
        <v>37202526.9595</v>
      </c>
    </row>
    <row r="9" spans="1:12" ht="9.9499999999999993" customHeight="1" thickBot="1" x14ac:dyDescent="0.3">
      <c r="D9" s="238"/>
      <c r="E9" s="239"/>
    </row>
    <row r="10" spans="1:12" ht="30" customHeight="1" thickBot="1" x14ac:dyDescent="0.3">
      <c r="A10" s="9" t="s">
        <v>73</v>
      </c>
      <c r="B10" s="9" t="s">
        <v>74</v>
      </c>
      <c r="C10" s="10"/>
      <c r="D10" s="240" t="s">
        <v>77</v>
      </c>
      <c r="E10" s="241">
        <f>+E2+E8</f>
        <v>158202758.68814877</v>
      </c>
    </row>
  </sheetData>
  <autoFilter ref="A1:K7" xr:uid="{00000000-0009-0000-0000-000002000000}"/>
  <printOptions horizontalCentered="1"/>
  <pageMargins left="0.35" right="0.35" top="1.5" bottom="0.75" header="0.3" footer="0.3"/>
  <pageSetup paperSize="8" scale="43" firstPageNumber="5" fitToHeight="90" orientation="landscape" useFirstPageNumber="1" r:id="rId1"/>
  <headerFooter alignWithMargins="0">
    <oddHeader>&amp;L&amp;G&amp;C&amp;"Times New Roman,Regular"&amp;24NEOM Temporary Roads Package RD17W2 - WO.26
EFFECTIVE BUDGET LEVLE ( 1 )&amp;R&amp;G</oddHeader>
    <oddFooter>&amp;CPage &amp;P&amp;R&amp;12MODON BUDGET REV.03</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3780-2D75-4352-A01C-CAC540A8E96A}">
  <sheetPr>
    <pageSetUpPr fitToPage="1"/>
  </sheetPr>
  <dimension ref="A1:T30"/>
  <sheetViews>
    <sheetView view="pageBreakPreview" zoomScale="85" zoomScaleNormal="90" zoomScaleSheetLayoutView="85" workbookViewId="0">
      <selection activeCell="H14" sqref="H14"/>
    </sheetView>
  </sheetViews>
  <sheetFormatPr defaultColWidth="9.140625" defaultRowHeight="39.950000000000003" customHeight="1" x14ac:dyDescent="0.2"/>
  <cols>
    <col min="1" max="1" width="1.85546875" style="316" customWidth="1"/>
    <col min="2" max="2" width="20.28515625" style="316" customWidth="1"/>
    <col min="3" max="3" width="59.85546875" style="317" bestFit="1" customWidth="1"/>
    <col min="4" max="4" width="41.5703125" style="316" customWidth="1"/>
    <col min="5" max="5" width="37.140625" style="316" customWidth="1"/>
    <col min="6" max="6" width="17.28515625" style="316" customWidth="1"/>
    <col min="7" max="7" width="14.7109375" style="316" bestFit="1" customWidth="1"/>
    <col min="8" max="8" width="13.5703125" style="316" customWidth="1"/>
    <col min="9" max="9" width="15" style="316" customWidth="1"/>
    <col min="10" max="11" width="13.5703125" style="316" customWidth="1"/>
    <col min="12" max="12" width="29.42578125" style="316" customWidth="1"/>
    <col min="13" max="13" width="7" style="316" bestFit="1" customWidth="1"/>
    <col min="14" max="14" width="28.85546875" style="316" customWidth="1"/>
    <col min="15" max="15" width="11.28515625" style="316" customWidth="1"/>
    <col min="16" max="16" width="13.28515625" style="316" bestFit="1" customWidth="1"/>
    <col min="17" max="17" width="17" style="316" bestFit="1" customWidth="1"/>
    <col min="18" max="18" width="13.28515625" style="316" bestFit="1" customWidth="1"/>
    <col min="19" max="19" width="17.28515625" style="316" bestFit="1" customWidth="1"/>
    <col min="20" max="20" width="15" style="316" bestFit="1" customWidth="1"/>
    <col min="21" max="21" width="17.140625" style="316" customWidth="1"/>
    <col min="22" max="23" width="9.140625" style="316"/>
    <col min="24" max="24" width="10.5703125" style="316" bestFit="1" customWidth="1"/>
    <col min="25" max="25" width="9.140625" style="316"/>
    <col min="26" max="26" width="13.28515625" style="316" bestFit="1" customWidth="1"/>
    <col min="27" max="16384" width="9.140625" style="316"/>
  </cols>
  <sheetData>
    <row r="1" spans="1:20" ht="84" customHeight="1" x14ac:dyDescent="0.2">
      <c r="B1" s="318"/>
      <c r="C1" s="433" t="s">
        <v>1726</v>
      </c>
      <c r="D1" s="433"/>
      <c r="E1" s="434"/>
      <c r="F1" s="319"/>
      <c r="G1" s="319"/>
      <c r="H1" s="319"/>
      <c r="I1" s="319"/>
      <c r="J1" s="319"/>
      <c r="K1" s="319"/>
    </row>
    <row r="2" spans="1:20" s="320" customFormat="1" ht="22.5" customHeight="1" x14ac:dyDescent="0.2">
      <c r="B2" s="321" t="s">
        <v>1727</v>
      </c>
      <c r="C2" s="322" t="s">
        <v>1774</v>
      </c>
      <c r="D2" s="323" t="s">
        <v>1728</v>
      </c>
      <c r="E2" s="324">
        <v>45874</v>
      </c>
      <c r="F2" s="325"/>
      <c r="G2" s="325"/>
      <c r="H2" s="325"/>
      <c r="I2" s="326"/>
      <c r="J2" s="326"/>
      <c r="K2" s="326"/>
      <c r="L2" s="326"/>
      <c r="M2" s="326"/>
      <c r="O2" s="327"/>
      <c r="P2" s="327"/>
      <c r="Q2" s="327"/>
      <c r="R2" s="327"/>
      <c r="S2" s="327"/>
      <c r="T2" s="327"/>
    </row>
    <row r="3" spans="1:20" s="320" customFormat="1" ht="22.5" customHeight="1" x14ac:dyDescent="0.2">
      <c r="B3" s="321" t="s">
        <v>1729</v>
      </c>
      <c r="C3" s="322" t="s">
        <v>1775</v>
      </c>
      <c r="D3" s="323" t="s">
        <v>1730</v>
      </c>
      <c r="E3" s="328">
        <v>0</v>
      </c>
      <c r="F3" s="325"/>
      <c r="G3" s="325"/>
      <c r="H3" s="325"/>
      <c r="I3" s="326"/>
      <c r="J3" s="326"/>
      <c r="K3" s="326"/>
      <c r="L3" s="326"/>
      <c r="M3" s="326"/>
      <c r="O3" s="327"/>
      <c r="P3" s="327"/>
      <c r="Q3" s="327"/>
      <c r="R3" s="327"/>
      <c r="S3" s="327"/>
      <c r="T3" s="327"/>
    </row>
    <row r="4" spans="1:20" s="320" customFormat="1" ht="22.5" customHeight="1" x14ac:dyDescent="0.2">
      <c r="B4" s="321" t="s">
        <v>1731</v>
      </c>
      <c r="C4" s="329">
        <v>45778</v>
      </c>
      <c r="D4" s="323" t="s">
        <v>1732</v>
      </c>
      <c r="E4" s="330" t="s">
        <v>1773</v>
      </c>
      <c r="F4" s="325"/>
      <c r="G4" s="325"/>
      <c r="H4" s="325"/>
      <c r="I4" s="326"/>
      <c r="J4" s="326"/>
      <c r="K4" s="326"/>
      <c r="L4" s="326"/>
      <c r="M4" s="326"/>
      <c r="O4" s="327"/>
      <c r="P4" s="327"/>
      <c r="Q4" s="327"/>
      <c r="R4" s="327"/>
      <c r="S4" s="327"/>
      <c r="T4" s="327"/>
    </row>
    <row r="5" spans="1:20" s="320" customFormat="1" ht="22.5" customHeight="1" x14ac:dyDescent="0.2">
      <c r="B5" s="321" t="s">
        <v>1733</v>
      </c>
      <c r="C5" s="329" t="s">
        <v>1734</v>
      </c>
      <c r="D5" s="323" t="s">
        <v>1735</v>
      </c>
      <c r="E5" s="331">
        <v>233776076.76352543</v>
      </c>
      <c r="F5" s="325"/>
      <c r="G5" s="325"/>
      <c r="H5" s="325"/>
      <c r="I5" s="326"/>
      <c r="J5" s="326"/>
      <c r="K5" s="326"/>
      <c r="L5" s="326"/>
      <c r="M5" s="326"/>
      <c r="O5" s="327"/>
      <c r="P5" s="327"/>
      <c r="Q5" s="327"/>
      <c r="R5" s="327"/>
      <c r="S5" s="327"/>
      <c r="T5" s="327"/>
    </row>
    <row r="6" spans="1:20" s="320" customFormat="1" ht="22.5" customHeight="1" x14ac:dyDescent="0.2">
      <c r="B6" s="321" t="s">
        <v>1736</v>
      </c>
      <c r="C6" s="329">
        <v>46538</v>
      </c>
      <c r="D6" s="323" t="s">
        <v>1737</v>
      </c>
      <c r="E6" s="330">
        <v>0</v>
      </c>
      <c r="F6" s="325"/>
      <c r="G6" s="325"/>
      <c r="H6" s="325"/>
      <c r="I6" s="326"/>
      <c r="J6" s="326"/>
      <c r="K6" s="326"/>
      <c r="L6" s="326"/>
      <c r="M6" s="326"/>
      <c r="O6" s="327"/>
      <c r="P6" s="327"/>
      <c r="Q6" s="327"/>
      <c r="R6" s="327"/>
      <c r="S6" s="327"/>
      <c r="T6" s="327"/>
    </row>
    <row r="7" spans="1:20" s="320" customFormat="1" ht="22.5" customHeight="1" x14ac:dyDescent="0.2">
      <c r="B7" s="321" t="s">
        <v>1738</v>
      </c>
      <c r="C7" s="332">
        <v>0</v>
      </c>
      <c r="D7" s="333"/>
      <c r="E7" s="334"/>
      <c r="F7" s="325"/>
      <c r="G7" s="325"/>
      <c r="H7" s="325"/>
      <c r="I7" s="326"/>
      <c r="J7" s="326"/>
      <c r="K7" s="326"/>
      <c r="L7" s="326"/>
      <c r="M7" s="326"/>
      <c r="O7" s="327"/>
      <c r="P7" s="327"/>
      <c r="Q7" s="327"/>
      <c r="R7" s="327"/>
      <c r="S7" s="327"/>
      <c r="T7" s="327"/>
    </row>
    <row r="8" spans="1:20" s="320" customFormat="1" ht="16.5" x14ac:dyDescent="0.2">
      <c r="B8" s="321"/>
      <c r="D8" s="333"/>
      <c r="E8" s="334"/>
      <c r="F8" s="325"/>
      <c r="G8" s="325"/>
      <c r="H8" s="325"/>
      <c r="I8" s="326"/>
      <c r="J8" s="326"/>
      <c r="K8" s="326"/>
      <c r="L8" s="326"/>
      <c r="M8" s="326"/>
      <c r="O8" s="327"/>
      <c r="P8" s="327"/>
      <c r="Q8" s="327"/>
      <c r="R8" s="327"/>
      <c r="S8" s="327"/>
      <c r="T8" s="327"/>
    </row>
    <row r="9" spans="1:20" ht="22.5" customHeight="1" x14ac:dyDescent="0.2">
      <c r="B9" s="335"/>
      <c r="C9" s="336"/>
      <c r="D9" s="336"/>
      <c r="E9" s="337"/>
      <c r="F9" s="338"/>
      <c r="G9" s="338"/>
      <c r="H9" s="339"/>
      <c r="J9" s="340"/>
      <c r="K9" s="340"/>
      <c r="L9" s="340"/>
      <c r="M9" s="340"/>
      <c r="N9" s="340"/>
      <c r="O9" s="340"/>
    </row>
    <row r="10" spans="1:20" s="320" customFormat="1" ht="3.75" customHeight="1" x14ac:dyDescent="0.2">
      <c r="B10" s="341"/>
      <c r="C10" s="342"/>
      <c r="D10" s="342"/>
      <c r="E10" s="343"/>
    </row>
    <row r="11" spans="1:20" ht="25.15" customHeight="1" x14ac:dyDescent="0.2">
      <c r="A11" s="344"/>
      <c r="B11" s="345" t="s">
        <v>1739</v>
      </c>
      <c r="C11" s="346" t="s">
        <v>1740</v>
      </c>
      <c r="D11" s="346" t="s">
        <v>1741</v>
      </c>
      <c r="E11" s="347" t="s">
        <v>1742</v>
      </c>
      <c r="F11" s="348"/>
      <c r="G11" s="349"/>
      <c r="H11" s="339"/>
      <c r="I11" s="339"/>
      <c r="J11" s="339"/>
      <c r="L11" s="340"/>
      <c r="M11" s="340"/>
      <c r="N11" s="340"/>
      <c r="O11" s="340"/>
      <c r="P11" s="340"/>
      <c r="Q11" s="340"/>
    </row>
    <row r="12" spans="1:20" s="320" customFormat="1" ht="37.5" customHeight="1" x14ac:dyDescent="0.2">
      <c r="B12" s="350">
        <v>1</v>
      </c>
      <c r="C12" s="351" t="s">
        <v>1743</v>
      </c>
      <c r="D12" s="352">
        <f>Budget!I35</f>
        <v>121000231.72864877</v>
      </c>
      <c r="E12" s="353"/>
      <c r="F12" s="354"/>
    </row>
    <row r="13" spans="1:20" s="320" customFormat="1" ht="37.5" customHeight="1" x14ac:dyDescent="0.2">
      <c r="B13" s="350">
        <f>B12+1</f>
        <v>2</v>
      </c>
      <c r="C13" s="351" t="s">
        <v>1744</v>
      </c>
      <c r="D13" s="352">
        <f>Budget!I16</f>
        <v>37202526.9595</v>
      </c>
      <c r="E13" s="353"/>
    </row>
    <row r="14" spans="1:20" s="320" customFormat="1" ht="37.5" customHeight="1" x14ac:dyDescent="0.2">
      <c r="B14" s="350">
        <f t="shared" ref="B14" si="0">B13+1</f>
        <v>3</v>
      </c>
      <c r="C14" s="351" t="s">
        <v>1745</v>
      </c>
      <c r="D14" s="352">
        <f>E14*E5</f>
        <v>23377607.676352546</v>
      </c>
      <c r="E14" s="388">
        <v>0.1</v>
      </c>
    </row>
    <row r="15" spans="1:20" s="355" customFormat="1" ht="37.5" customHeight="1" x14ac:dyDescent="0.25">
      <c r="B15" s="356"/>
      <c r="C15" s="357" t="s">
        <v>1746</v>
      </c>
      <c r="D15" s="358">
        <f>SUM(D12:D14)</f>
        <v>181580366.3645013</v>
      </c>
      <c r="E15" s="359"/>
    </row>
    <row r="16" spans="1:20" s="355" customFormat="1" ht="5.25" customHeight="1" x14ac:dyDescent="0.25">
      <c r="B16" s="341"/>
      <c r="C16" s="342"/>
      <c r="D16" s="342"/>
      <c r="E16" s="343"/>
    </row>
    <row r="17" spans="1:17" ht="25.15" customHeight="1" thickBot="1" x14ac:dyDescent="0.25">
      <c r="A17" s="344"/>
      <c r="B17" s="360"/>
      <c r="C17" s="361" t="s">
        <v>1747</v>
      </c>
      <c r="D17" s="361" t="s">
        <v>1748</v>
      </c>
      <c r="E17" s="362" t="s">
        <v>1749</v>
      </c>
      <c r="F17" s="348"/>
      <c r="G17" s="349"/>
      <c r="H17" s="339"/>
      <c r="I17" s="339"/>
      <c r="J17" s="339"/>
      <c r="L17" s="340"/>
      <c r="M17" s="340"/>
      <c r="N17" s="340"/>
      <c r="O17" s="340"/>
      <c r="P17" s="340"/>
      <c r="Q17" s="340"/>
    </row>
    <row r="18" spans="1:17" s="363" customFormat="1" ht="48" customHeight="1" x14ac:dyDescent="0.25">
      <c r="B18" s="364" t="s">
        <v>1750</v>
      </c>
      <c r="C18" s="365" t="s">
        <v>1751</v>
      </c>
      <c r="D18" s="366">
        <f>E5</f>
        <v>233776076.76352543</v>
      </c>
      <c r="E18" s="367">
        <f>IFERROR(D18/$E$5,0)</f>
        <v>1</v>
      </c>
    </row>
    <row r="19" spans="1:17" s="363" customFormat="1" ht="48" customHeight="1" x14ac:dyDescent="0.25">
      <c r="B19" s="368" t="s">
        <v>1752</v>
      </c>
      <c r="C19" s="369" t="s">
        <v>1743</v>
      </c>
      <c r="D19" s="370">
        <f>-D12</f>
        <v>-121000231.72864877</v>
      </c>
      <c r="E19" s="371">
        <f>-D19/$D$18</f>
        <v>0.51759030865697053</v>
      </c>
    </row>
    <row r="20" spans="1:17" s="363" customFormat="1" ht="48" customHeight="1" x14ac:dyDescent="0.25">
      <c r="B20" s="368" t="s">
        <v>1753</v>
      </c>
      <c r="C20" s="369" t="s">
        <v>1744</v>
      </c>
      <c r="D20" s="370">
        <f>-D13</f>
        <v>-37202526.9595</v>
      </c>
      <c r="E20" s="371">
        <f>-D20/$D$18</f>
        <v>0.15913744243869726</v>
      </c>
    </row>
    <row r="21" spans="1:17" s="363" customFormat="1" ht="48" customHeight="1" x14ac:dyDescent="0.25">
      <c r="B21" s="368" t="s">
        <v>1754</v>
      </c>
      <c r="C21" s="369" t="s">
        <v>1745</v>
      </c>
      <c r="D21" s="370">
        <f>-D14</f>
        <v>-23377607.676352546</v>
      </c>
      <c r="E21" s="371">
        <f>-D21/$D$18</f>
        <v>0.10000000000000002</v>
      </c>
    </row>
    <row r="22" spans="1:17" s="363" customFormat="1" ht="48" customHeight="1" x14ac:dyDescent="0.25">
      <c r="B22" s="372" t="s">
        <v>1755</v>
      </c>
      <c r="C22" s="373" t="s">
        <v>1756</v>
      </c>
      <c r="D22" s="374">
        <f>SUM(D19:D21)</f>
        <v>-181580366.3645013</v>
      </c>
      <c r="E22" s="375">
        <f>-D22/$D$18</f>
        <v>0.77672775109566772</v>
      </c>
    </row>
    <row r="23" spans="1:17" s="363" customFormat="1" ht="48" customHeight="1" x14ac:dyDescent="0.25">
      <c r="B23" s="372" t="s">
        <v>1757</v>
      </c>
      <c r="C23" s="376" t="s">
        <v>1758</v>
      </c>
      <c r="D23" s="377">
        <f>D18+D22</f>
        <v>52195710.399024129</v>
      </c>
      <c r="E23" s="378">
        <f>D23/$E$5</f>
        <v>0.22327224890433223</v>
      </c>
    </row>
    <row r="24" spans="1:17" s="363" customFormat="1" ht="48" customHeight="1" x14ac:dyDescent="0.25">
      <c r="B24" s="368" t="s">
        <v>1759</v>
      </c>
      <c r="C24" s="369" t="s">
        <v>1760</v>
      </c>
      <c r="D24" s="370">
        <f>-E5*10%*0.75%*2*0.5</f>
        <v>-175332.05757264409</v>
      </c>
      <c r="E24" s="379">
        <f>-D24/E5</f>
        <v>7.5000000000000012E-4</v>
      </c>
    </row>
    <row r="25" spans="1:17" s="363" customFormat="1" ht="48" customHeight="1" x14ac:dyDescent="0.25">
      <c r="B25" s="368" t="s">
        <v>1761</v>
      </c>
      <c r="C25" s="369" t="s">
        <v>1762</v>
      </c>
      <c r="D25" s="370">
        <v>-70017</v>
      </c>
      <c r="E25" s="379">
        <f>-D25/E5</f>
        <v>2.9950455568139768E-4</v>
      </c>
    </row>
    <row r="26" spans="1:17" s="363" customFormat="1" ht="48" customHeight="1" x14ac:dyDescent="0.25">
      <c r="B26" s="368" t="s">
        <v>1763</v>
      </c>
      <c r="C26" s="369" t="s">
        <v>1764</v>
      </c>
      <c r="D26" s="370">
        <v>0</v>
      </c>
      <c r="E26" s="379">
        <f>-D26/E5</f>
        <v>0</v>
      </c>
    </row>
    <row r="27" spans="1:17" s="363" customFormat="1" ht="48" customHeight="1" x14ac:dyDescent="0.25">
      <c r="B27" s="368" t="s">
        <v>1765</v>
      </c>
      <c r="C27" s="369" t="s">
        <v>1766</v>
      </c>
      <c r="D27" s="370">
        <v>-338506.86</v>
      </c>
      <c r="E27" s="379">
        <f>-D27/E5</f>
        <v>1.4479961537827255E-3</v>
      </c>
    </row>
    <row r="28" spans="1:17" s="363" customFormat="1" ht="48" customHeight="1" x14ac:dyDescent="0.25">
      <c r="B28" s="368" t="s">
        <v>1767</v>
      </c>
      <c r="C28" s="369" t="s">
        <v>1768</v>
      </c>
      <c r="D28" s="370">
        <f>-(E28*E5)</f>
        <v>-1168880.3838176271</v>
      </c>
      <c r="E28" s="379">
        <v>5.0000000000000001E-3</v>
      </c>
    </row>
    <row r="29" spans="1:17" s="363" customFormat="1" ht="48" customHeight="1" thickBot="1" x14ac:dyDescent="0.3">
      <c r="B29" s="380" t="s">
        <v>1769</v>
      </c>
      <c r="C29" s="381" t="s">
        <v>1770</v>
      </c>
      <c r="D29" s="382">
        <f>-E29*E5</f>
        <v>-11688803.838176273</v>
      </c>
      <c r="E29" s="383">
        <v>0.05</v>
      </c>
    </row>
    <row r="30" spans="1:17" s="384" customFormat="1" ht="67.5" customHeight="1" thickBot="1" x14ac:dyDescent="0.3">
      <c r="B30" s="380" t="s">
        <v>1771</v>
      </c>
      <c r="C30" s="385" t="s">
        <v>1772</v>
      </c>
      <c r="D30" s="386">
        <f>D23+D24+D25+D26+D27+D28+D29</f>
        <v>38754170.259457588</v>
      </c>
      <c r="E30" s="387">
        <f>D30/$E$5</f>
        <v>0.16577474819486812</v>
      </c>
    </row>
  </sheetData>
  <mergeCells count="1">
    <mergeCell ref="C1:E1"/>
  </mergeCells>
  <printOptions horizontalCentered="1"/>
  <pageMargins left="0.2" right="0.2" top="0.3" bottom="0.15" header="0.2" footer="0.15"/>
  <pageSetup paperSize="9" scale="63" fitToHeight="0" orientation="portrait" r:id="rId1"/>
  <headerFooter>
    <oddFoote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Budget</vt:lpstr>
      <vt:lpstr>Sheet2</vt:lpstr>
      <vt:lpstr>Level 3</vt:lpstr>
      <vt:lpstr>Summary</vt:lpstr>
      <vt:lpstr>Budget!Print_Area</vt:lpstr>
      <vt:lpstr>'Level 3'!Print_Area</vt:lpstr>
      <vt:lpstr>Summary!Print_Area</vt:lpstr>
      <vt:lpstr>Budget!Print_Titles</vt:lpstr>
      <vt:lpstr>'Level 3'!Print_Titles</vt:lpstr>
      <vt:lpstr>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Mahmoud Basouny</cp:lastModifiedBy>
  <cp:revision/>
  <cp:lastPrinted>2022-10-31T07:48:47Z</cp:lastPrinted>
  <dcterms:created xsi:type="dcterms:W3CDTF">2021-07-12T11:49:27Z</dcterms:created>
  <dcterms:modified xsi:type="dcterms:W3CDTF">2026-01-26T05:53:18Z</dcterms:modified>
  <cp:category/>
  <cp:contentStatus/>
</cp:coreProperties>
</file>